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chartsheets/sheet8.xml" ContentType="application/vnd.openxmlformats-officedocument.spreadsheetml.chart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chartsheets/sheet11.xml" ContentType="application/vnd.openxmlformats-officedocument.spreadsheetml.chartsheet+xml"/>
  <Override PartName="/xl/chartsheets/sheet12.xml" ContentType="application/vnd.openxmlformats-officedocument.spreadsheetml.chartsheet+xml"/>
  <Override PartName="/xl/chartsheets/sheet13.xml" ContentType="application/vnd.openxmlformats-officedocument.spreadsheetml.chartsheet+xml"/>
  <Override PartName="/xl/chartsheets/sheet14.xml" ContentType="application/vnd.openxmlformats-officedocument.spreadsheetml.chartsheet+xml"/>
  <Override PartName="/xl/chartsheets/sheet15.xml" ContentType="application/vnd.openxmlformats-officedocument.spreadsheetml.chartsheet+xml"/>
  <Override PartName="/xl/chartsheets/sheet16.xml" ContentType="application/vnd.openxmlformats-officedocument.spreadsheetml.chartsheet+xml"/>
  <Override PartName="/xl/chartsheets/sheet17.xml" ContentType="application/vnd.openxmlformats-officedocument.spreadsheetml.chartsheet+xml"/>
  <Override PartName="/xl/chartsheets/sheet18.xml" ContentType="application/vnd.openxmlformats-officedocument.spreadsheetml.chartsheet+xml"/>
  <Override PartName="/xl/chartsheets/sheet19.xml" ContentType="application/vnd.openxmlformats-officedocument.spreadsheetml.chartsheet+xml"/>
  <Override PartName="/xl/chartsheets/sheet20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drawings/drawing17.xml" ContentType="application/vnd.openxmlformats-officedocument.drawingml.chartshapes+xml"/>
  <Override PartName="/xl/drawings/drawing18.xml" ContentType="application/vnd.openxmlformats-officedocument.drawing+xml"/>
  <Override PartName="/xl/charts/chart17.xml" ContentType="application/vnd.openxmlformats-officedocument.drawingml.chart+xml"/>
  <Override PartName="/xl/drawings/drawing19.xml" ContentType="application/vnd.openxmlformats-officedocument.drawing+xml"/>
  <Override PartName="/xl/charts/chart18.xml" ContentType="application/vnd.openxmlformats-officedocument.drawingml.chart+xml"/>
  <Override PartName="/xl/drawings/drawing20.xml" ContentType="application/vnd.openxmlformats-officedocument.drawing+xml"/>
  <Override PartName="/xl/charts/chart19.xml" ContentType="application/vnd.openxmlformats-officedocument.drawingml.chart+xml"/>
  <Override PartName="/xl/drawings/drawing21.xml" ContentType="application/vnd.openxmlformats-officedocument.drawing+xml"/>
  <Override PartName="/xl/charts/chart20.xml" ContentType="application/vnd.openxmlformats-officedocument.drawingml.chart+xml"/>
  <Override PartName="/xl/drawings/drawing22.xml" ContentType="application/vnd.openxmlformats-officedocument.drawing+xml"/>
  <Override PartName="/xl/charts/chart2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backupFile="1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06-0 LMU\2017\Skript\"/>
    </mc:Choice>
  </mc:AlternateContent>
  <bookViews>
    <workbookView xWindow="0" yWindow="0" windowWidth="21492" windowHeight="8004" tabRatio="699" activeTab="1"/>
  </bookViews>
  <sheets>
    <sheet name="AUSW" sheetId="10" r:id="rId1"/>
    <sheet name="i1" sheetId="38" r:id="rId2"/>
    <sheet name="i2" sheetId="45" r:id="rId3"/>
    <sheet name="i3" sheetId="46" r:id="rId4"/>
    <sheet name="D_wx" sheetId="75" r:id="rId5"/>
    <sheet name="D_sx" sheetId="48" r:id="rId6"/>
    <sheet name="D_ex" sheetId="49" r:id="rId7"/>
    <sheet name="D_lx" sheetId="58" r:id="rId8"/>
    <sheet name="D_klkx" sheetId="43" r:id="rId9"/>
    <sheet name="D_GrKx" sheetId="51" r:id="rId10"/>
    <sheet name="D_Btrg" sheetId="42" r:id="rId11"/>
    <sheet name="D_Btrg_zahn" sheetId="79" r:id="rId12"/>
    <sheet name="D_Btrg_bis51" sheetId="77" r:id="rId13"/>
    <sheet name="D_ARn" sheetId="60" r:id="rId14"/>
    <sheet name="D_AR" sheetId="47" r:id="rId15"/>
    <sheet name="D_ARZn" sheetId="54" r:id="rId16"/>
    <sheet name="D_ARZ" sheetId="50" r:id="rId17"/>
    <sheet name="D_ARZ_bis56" sheetId="78" r:id="rId18"/>
    <sheet name="D_AR_TÄ" sheetId="61" r:id="rId19"/>
    <sheet name="D_i1_ARZ" sheetId="69" r:id="rId20"/>
    <sheet name="D_i1_ARFort" sheetId="59" r:id="rId21"/>
    <sheet name="D_i1_ARZuf" sheetId="52" r:id="rId22"/>
    <sheet name="D_i1_PAuft" sheetId="53" r:id="rId23"/>
    <sheet name="D_i1_ZPAuft" sheetId="66" r:id="rId24"/>
    <sheet name="WK2012" sheetId="57" r:id="rId25"/>
    <sheet name="WK2013" sheetId="56" r:id="rId26"/>
    <sheet name="WK2014" sheetId="70" r:id="rId27"/>
    <sheet name="WK2015" sheetId="76" r:id="rId28"/>
    <sheet name="qx" sheetId="6" r:id="rId29"/>
    <sheet name="wx" sheetId="4" r:id="rId30"/>
    <sheet name="Kx" sheetId="7" r:id="rId31"/>
    <sheet name="Basis" sheetId="55" r:id="rId32"/>
    <sheet name="DDat" sheetId="41" r:id="rId33"/>
  </sheets>
  <definedNames>
    <definedName name="Achtung">Basis!$Q$33</definedName>
    <definedName name="alpham">Basis!$T$25</definedName>
    <definedName name="alphasigma">Basis!$T$23</definedName>
    <definedName name="alphau">Basis!$T$24</definedName>
    <definedName name="alphaZ">Basis!$Q$7</definedName>
    <definedName name="alphaZGrenzalter">Basis!$Q$12</definedName>
    <definedName name="alphaZSchritt">Basis!$Q$13</definedName>
    <definedName name="alphaZx">Basis!$Q$8</definedName>
    <definedName name="alphaZx_Rd">Basis!$Q$10</definedName>
    <definedName name="ARx">AUSW!$J$101</definedName>
    <definedName name="Auswahl_alphaZAbstufung">AUSW!$K$85:$M$85</definedName>
    <definedName name="Auswahl_alphaZGrenzalter">AUSW!$K$86:$M$86</definedName>
    <definedName name="Auswahl_alphaZMB">AUSW!$K$84:$M$84</definedName>
    <definedName name="Auswahl_ARx">AUSW!$K$101:$M$101</definedName>
    <definedName name="Auswahl_Beitragsmonotonisierung">AUSW!$K$6:$M$6</definedName>
    <definedName name="Auswahl_Deltajun">AUSW!$K$57:$M$57</definedName>
    <definedName name="Auswahl_Deltasen">AUSW!$K$58:$M$58</definedName>
    <definedName name="Auswahl_DeltaTildejun">AUSW!$K$66:$M$66</definedName>
    <definedName name="Auswahl_DeltaTildeKJ">AUSW!$K$65:$M$65</definedName>
    <definedName name="Auswahl_DeltaTildesen">AUSW!$K$67:$M$67</definedName>
    <definedName name="Auswahl_Gammaj">AUSW!$K$71:$M$71</definedName>
    <definedName name="Auswahl_Gammas">AUSW!$K$72:$M$72</definedName>
    <definedName name="Auswahl_Geschl">AUSW!$K$11:$M$11</definedName>
    <definedName name="Auswahl_Geschl_">AUSW!$K$4:$M$4</definedName>
    <definedName name="Auswahl_Kostensatz">AUSW!$K$61:$M$61</definedName>
    <definedName name="Auswahl_KS">AUSW!$K$34:$M$34</definedName>
    <definedName name="Auswahl_KSErhoehung">AUSW!$K$38:$M$38</definedName>
    <definedName name="Auswahl_KSMaximierung">AUSW!$K$42:$M$42</definedName>
    <definedName name="Auswahl_KSNormierung">AUSW!$K$46:$M$46</definedName>
    <definedName name="Auswahl_lambdaxVorsicht">AUSW!$K$13:$M$13</definedName>
    <definedName name="Auswahl_lxalpha">AUSW!$K$31:$M$31</definedName>
    <definedName name="Auswahl_Omega">AUSW!$K$54:$M$54</definedName>
    <definedName name="Auswahl_qx">AUSW!$K$27:$M$27</definedName>
    <definedName name="Auswahl_r">AUSW!$K$24:$M$24</definedName>
    <definedName name="Auswahl_Runden">AUSW!$K$8:$M$8</definedName>
    <definedName name="Auswahl_sigma">AUSW!$K$49:$M$49</definedName>
    <definedName name="Auswahl_TAExplusm">AUSW!$K$112:$M$112</definedName>
    <definedName name="Auswahl_TAExplusmplusk">AUSW!$K$113:$M$113</definedName>
    <definedName name="Auswahl_Tarife">AUSW!$K$3:$M$3</definedName>
    <definedName name="Auswahl_vSK">AUSW!$K$37:$M$37</definedName>
    <definedName name="Auswahl_wx">AUSW!$K$28:$M$28</definedName>
    <definedName name="Auswahl_xalpha">AUSW!$K$17:$M$17</definedName>
    <definedName name="Auswahl_xJ">AUSW!$K$16:$M$16</definedName>
    <definedName name="Auswahl_xKM">AUSW!$K$41:$M$41</definedName>
    <definedName name="Auswahl_xN">AUSW!$K$45:$M$45</definedName>
    <definedName name="Auswahl_xomega">AUSW!$K$20:$M$20</definedName>
    <definedName name="Auswahl_xr">AUSW!$K$63:$M$63</definedName>
    <definedName name="Auswahl_xsen">AUSW!$K$18:$M$18</definedName>
    <definedName name="BE_F">Basis!$D$9</definedName>
    <definedName name="BE_F_">Basis!$E$9</definedName>
    <definedName name="BE_J_">Basis!$E$73</definedName>
    <definedName name="BE_K_">Basis!$D$73</definedName>
    <definedName name="BE_KJ_">Basis!$C$73</definedName>
    <definedName name="BE_M">Basis!$D$10</definedName>
    <definedName name="BE_M_">Basis!$E$10</definedName>
    <definedName name="BE_MF">Basis!$D$11</definedName>
    <definedName name="BE_MF_">Basis!$E$11</definedName>
    <definedName name="Beitragsmonotonisierung">Basis!$O$53</definedName>
    <definedName name="beta">Basis!$T$27</definedName>
    <definedName name="br">Basis!$AH$8</definedName>
    <definedName name="br_Rd">Basis!$AH$10</definedName>
    <definedName name="Delta">Basis!$R$8</definedName>
    <definedName name="Delta_Rd">Basis!$R$10</definedName>
    <definedName name="DeltaTilde">Basis!$T$8</definedName>
    <definedName name="DeltaTilde_Rd">Basis!$T$10</definedName>
    <definedName name="Dx">Basis!$AC$20</definedName>
    <definedName name="Dx_Rd">Basis!$AC$22</definedName>
    <definedName name="EF_">Basis!$O$12</definedName>
    <definedName name="Erhöhung">Basis!$O$11</definedName>
    <definedName name="eta">Basis!$G$69</definedName>
    <definedName name="FEHLER">Basis!$Q$34</definedName>
    <definedName name="G">Basis!$O$8</definedName>
    <definedName name="G_Rd">Basis!$O$10</definedName>
    <definedName name="Geschl">Basis!$D$8</definedName>
    <definedName name="Geschl_">Basis!$E$8</definedName>
    <definedName name="GrAx">Basis!$AH$20</definedName>
    <definedName name="GrAx_Rd">Basis!$AH$22</definedName>
    <definedName name="GrBTildeZx">Basis!$AK$8</definedName>
    <definedName name="GrBTildeZx_Rd">Basis!$AK$10</definedName>
    <definedName name="GrBZx">Basis!$AJ$8</definedName>
    <definedName name="GrBZx_Rd">Basis!$AJ$10</definedName>
    <definedName name="GrGamma">Basis!$V$8</definedName>
    <definedName name="GrGamma_Rd">Basis!$V$10</definedName>
    <definedName name="GrKx">Basis!$M$8</definedName>
    <definedName name="GrKx_Rd">Basis!$M$10</definedName>
    <definedName name="GrV_x_xplusm">Basis!$J$70</definedName>
    <definedName name="GrV_x_xplusm_Rd">Basis!$J$72</definedName>
    <definedName name="GrVZ_x_xplusm">Basis!$K$70</definedName>
    <definedName name="GrVZ_x_xplusm_Rd">Basis!$K$72</definedName>
    <definedName name="i1_">Basis!$C$1</definedName>
    <definedName name="i2_">Basis!$C$2</definedName>
    <definedName name="i3_">Basis!$C$3</definedName>
    <definedName name="iO">Basis!$Q$32</definedName>
    <definedName name="JN_Auswahl">Basis!$S$54:$S$55</definedName>
    <definedName name="JN_ja">Basis!$S$54</definedName>
    <definedName name="JN_nein">Basis!$S$55</definedName>
    <definedName name="jun">Basis!$C$71</definedName>
    <definedName name="kappax">Basis!$L$8</definedName>
    <definedName name="klax">Basis!$AE$20</definedName>
    <definedName name="klax_Rd">Basis!$AE$22</definedName>
    <definedName name="klbTildeZx">Basis!$AL$8</definedName>
    <definedName name="klbTildeZx_rd">Basis!$AL$10</definedName>
    <definedName name="klbZx">Basis!$AI$8</definedName>
    <definedName name="klbZx_Rd">Basis!$AI$10</definedName>
    <definedName name="kleinomega">Basis!$L$3</definedName>
    <definedName name="klgamma">Basis!$U$8</definedName>
    <definedName name="klgamma_Rd">Basis!$U$10</definedName>
    <definedName name="klkx">Basis!$N$8</definedName>
    <definedName name="klkx_rd">Basis!$N$10</definedName>
    <definedName name="klv_x_xplusm_Rd">Basis!$J$68</definedName>
    <definedName name="klvZ_x_xplusm_Rd">Basis!$K$68</definedName>
    <definedName name="Kostensatz_Auswahl">Basis!$T$17:$T$19</definedName>
    <definedName name="Kostensatzdynam">Basis!$T$17</definedName>
    <definedName name="Kostensatzfest">Basis!$T$18</definedName>
    <definedName name="Kostensatzohne">Basis!$T$19</definedName>
    <definedName name="Kx_Auswahl">Basis!$M$11:$M$36</definedName>
    <definedName name="l_xalpha">Basis!$AA$20</definedName>
    <definedName name="lambdax">Basis!$X$20</definedName>
    <definedName name="lambdax_max">Basis!$X$25</definedName>
    <definedName name="lambdax_min">Basis!$X$24</definedName>
    <definedName name="lambdax_Rd">Basis!$X$22</definedName>
    <definedName name="lambdaxVorsicht">AUSW!$J$12</definedName>
    <definedName name="LEER">Basis!$Q$31</definedName>
    <definedName name="lx">Basis!$AB$20</definedName>
    <definedName name="lx_Rd">Basis!$AB$22</definedName>
    <definedName name="MajuskelBeta">Basis!$W$8</definedName>
    <definedName name="MajuskelOmikron">Basis!$X$8</definedName>
    <definedName name="Meldung">Basis!$K$59</definedName>
    <definedName name="mUEW">Basis!$E$27</definedName>
    <definedName name="my">Basis!$G$75</definedName>
    <definedName name="nix_Rd">Basis!$C$10</definedName>
    <definedName name="Numerik_Abweichungen">Basis!$Q$74</definedName>
    <definedName name="Nx">Basis!$AD$20</definedName>
    <definedName name="Nx_Rd">Basis!$AD$22</definedName>
    <definedName name="Omega">Basis!$R$18</definedName>
    <definedName name="oUEW">Basis!$E$26</definedName>
    <definedName name="Ox">Basis!$AF$20</definedName>
    <definedName name="Ox_Rd">Basis!$AF$22</definedName>
    <definedName name="px">Basis!$AI$20</definedName>
    <definedName name="px_Rd">Basis!$AI$22</definedName>
    <definedName name="pZx">Basis!$AG$8</definedName>
    <definedName name="pZx_Rd">Basis!$AG$10</definedName>
    <definedName name="quer">Basis!$C$76</definedName>
    <definedName name="qx">Basis!$H$8</definedName>
    <definedName name="qx_Auswahl">Basis!$H$11:$H$17</definedName>
    <definedName name="qx_Rd">Basis!$H$10</definedName>
    <definedName name="r_">Basis!$F$8</definedName>
    <definedName name="rho">Basis!$T$26</definedName>
    <definedName name="sen">Basis!$C$72</definedName>
    <definedName name="Setzung">Basis!$K$60</definedName>
    <definedName name="SetzungZillmerung">Basis!$K$61</definedName>
    <definedName name="sigma">Basis!$R$13</definedName>
    <definedName name="SML">Basis!$N$44</definedName>
    <definedName name="SML_Auswahl">Basis!$N$46:$N$49</definedName>
    <definedName name="SML_mSML">Basis!$N$46</definedName>
    <definedName name="SML_oSML">Basis!$N$49</definedName>
    <definedName name="SML_vMLglvert">Basis!$N$48</definedName>
    <definedName name="SML_vSML">Basis!$N$47</definedName>
    <definedName name="SML_vSML_glvert">Basis!$M$48</definedName>
    <definedName name="sx">Basis!$Y$20</definedName>
    <definedName name="sx_1">Basis!$Z$20</definedName>
    <definedName name="sx_1_Rd">Basis!$Z$22</definedName>
    <definedName name="sx_Rd">Basis!$Y$22</definedName>
    <definedName name="Ux">Basis!$AG$20</definedName>
    <definedName name="Ux_Rd">Basis!$AG$22</definedName>
    <definedName name="v">Basis!$G$8</definedName>
    <definedName name="v_Rd">Basis!$G$10</definedName>
    <definedName name="VA_">Basis!$D$31</definedName>
    <definedName name="VA_GKVErg">Basis!$E$33</definedName>
    <definedName name="VA_Voll">Basis!$D$33</definedName>
    <definedName name="Vererbung">Basis!$O$74</definedName>
    <definedName name="VZins">Basis!$K$74</definedName>
    <definedName name="VZSparpr">Basis!$J$74</definedName>
    <definedName name="wx">Basis!$I$8</definedName>
    <definedName name="wx_Auswahl">Basis!$I$11:$I$30</definedName>
    <definedName name="wx_GES">Basis!$J$8</definedName>
    <definedName name="wx_PKV">Basis!$K$8</definedName>
    <definedName name="wx_Rd">Basis!$I$10</definedName>
    <definedName name="x">Basis!$A$18</definedName>
    <definedName name="x0">Basis!$C$70</definedName>
    <definedName name="xalpha">Basis!$C$64</definedName>
    <definedName name="xJ">Basis!$C$68</definedName>
    <definedName name="xKM">Basis!$C$75</definedName>
    <definedName name="xN">Basis!$C$69</definedName>
    <definedName name="xomega">Basis!$C$65</definedName>
    <definedName name="xr">Basis!$C$67</definedName>
    <definedName name="xrel">Basis!$C$63</definedName>
    <definedName name="xs">Basis!$C$66</definedName>
    <definedName name="Zuführung">Basis!$P$74</definedName>
    <definedName name="zx">Basis!$AF$8</definedName>
    <definedName name="zx_Rd">Basis!$AF$10</definedName>
  </definedNames>
  <calcPr calcId="162913"/>
  <fileRecoveryPr autoRecover="0"/>
</workbook>
</file>

<file path=xl/calcChain.xml><?xml version="1.0" encoding="utf-8"?>
<calcChain xmlns="http://schemas.openxmlformats.org/spreadsheetml/2006/main">
  <c r="DE19" i="38" l="1"/>
  <c r="DF19" i="38"/>
  <c r="DD19" i="38"/>
  <c r="DC19" i="38"/>
  <c r="DB19" i="38"/>
  <c r="DF14" i="38"/>
  <c r="DF18" i="38"/>
  <c r="DD14" i="38"/>
  <c r="CY14" i="38"/>
  <c r="DD18" i="38"/>
  <c r="DC18" i="38"/>
  <c r="DB18" i="38"/>
  <c r="CX14" i="38"/>
  <c r="DC14" i="38" s="1"/>
  <c r="CW14" i="38"/>
  <c r="DJ11" i="38"/>
  <c r="DJ24" i="38"/>
  <c r="DJ21" i="38"/>
  <c r="DJ23" i="38"/>
  <c r="DJ20" i="38"/>
  <c r="DF21" i="38"/>
  <c r="DF22" i="38"/>
  <c r="DF23" i="38"/>
  <c r="DF24" i="38"/>
  <c r="DF25" i="38"/>
  <c r="DF26" i="38"/>
  <c r="DF27" i="38"/>
  <c r="DF28" i="38"/>
  <c r="DF29" i="38"/>
  <c r="DF30" i="38"/>
  <c r="DF31" i="38"/>
  <c r="DF32" i="38"/>
  <c r="DF33" i="38"/>
  <c r="DF34" i="38"/>
  <c r="DF35" i="38"/>
  <c r="DF36" i="38"/>
  <c r="DF37" i="38"/>
  <c r="DF38" i="38"/>
  <c r="DF39" i="38"/>
  <c r="DF40" i="38"/>
  <c r="DF41" i="38"/>
  <c r="DF42" i="38"/>
  <c r="DF43" i="38"/>
  <c r="DF44" i="38"/>
  <c r="DF45" i="38"/>
  <c r="DF46" i="38"/>
  <c r="DF47" i="38"/>
  <c r="DF48" i="38"/>
  <c r="DF49" i="38"/>
  <c r="DF50" i="38"/>
  <c r="DF51" i="38"/>
  <c r="DF52" i="38"/>
  <c r="DF53" i="38"/>
  <c r="DF54" i="38"/>
  <c r="DF55" i="38"/>
  <c r="DF56" i="38"/>
  <c r="DF57" i="38"/>
  <c r="DF58" i="38"/>
  <c r="DF59" i="38"/>
  <c r="DF60" i="38"/>
  <c r="DF61" i="38"/>
  <c r="DF62" i="38"/>
  <c r="DF63" i="38"/>
  <c r="DF64" i="38"/>
  <c r="DF111" i="38"/>
  <c r="DF112" i="38"/>
  <c r="DF113" i="38"/>
  <c r="DF114" i="38"/>
  <c r="DF115" i="38"/>
  <c r="DF116" i="38"/>
  <c r="DF117" i="38"/>
  <c r="DF118" i="38"/>
  <c r="DF119" i="38"/>
  <c r="DF120" i="38"/>
  <c r="DF20" i="38"/>
  <c r="DA6" i="38"/>
  <c r="DA2" i="38"/>
  <c r="CZ2" i="38"/>
  <c r="K113" i="10"/>
  <c r="CY2" i="38"/>
  <c r="BD18" i="45" l="1"/>
  <c r="BC18" i="45"/>
  <c r="BD18" i="46"/>
  <c r="BC18" i="46"/>
  <c r="BD18" i="38"/>
  <c r="BC18" i="38"/>
  <c r="AH26" i="4"/>
  <c r="AH27" i="4" s="1"/>
  <c r="AG26" i="4"/>
  <c r="AG27" i="4" s="1"/>
  <c r="AH25" i="4"/>
  <c r="AG25" i="4"/>
  <c r="I23" i="55"/>
  <c r="I25" i="55"/>
  <c r="I26" i="55"/>
  <c r="I27" i="55"/>
  <c r="AJ13" i="4"/>
  <c r="AJ26" i="4"/>
  <c r="AJ25" i="4"/>
  <c r="AJ24" i="4"/>
  <c r="AJ23" i="4"/>
  <c r="AJ22" i="4"/>
  <c r="AJ21" i="4"/>
  <c r="AJ20" i="4"/>
  <c r="AI21" i="4"/>
  <c r="AI22" i="4"/>
  <c r="AI23" i="4"/>
  <c r="AI24" i="4"/>
  <c r="AI25" i="4"/>
  <c r="AI26" i="4"/>
  <c r="AI20" i="4"/>
  <c r="AJ15" i="4"/>
  <c r="AI15" i="4"/>
  <c r="AH15" i="4"/>
  <c r="AG15" i="4"/>
  <c r="AF15" i="4"/>
  <c r="AH13" i="4"/>
  <c r="AI27" i="4" l="1"/>
  <c r="AG28" i="4"/>
  <c r="AH28" i="4"/>
  <c r="AJ27" i="4"/>
  <c r="M37" i="10"/>
  <c r="L37" i="10"/>
  <c r="K37" i="10"/>
  <c r="J36" i="10"/>
  <c r="I36" i="10"/>
  <c r="AH29" i="4" l="1"/>
  <c r="AJ28" i="4"/>
  <c r="AG29" i="4"/>
  <c r="AI28" i="4"/>
  <c r="AT15" i="4"/>
  <c r="AS15" i="4"/>
  <c r="AR15" i="4"/>
  <c r="AQ15" i="4"/>
  <c r="AP15" i="4"/>
  <c r="AO15" i="4"/>
  <c r="AG30" i="4" l="1"/>
  <c r="AI29" i="4"/>
  <c r="AH30" i="4"/>
  <c r="AJ29" i="4"/>
  <c r="BJ18" i="41"/>
  <c r="BH18" i="41"/>
  <c r="BG18" i="41"/>
  <c r="AH31" i="4" l="1"/>
  <c r="AJ30" i="4"/>
  <c r="AG31" i="4"/>
  <c r="AI30" i="4"/>
  <c r="AS102" i="7"/>
  <c r="AS103" i="7" s="1"/>
  <c r="AS104" i="7" s="1"/>
  <c r="AS105" i="7" s="1"/>
  <c r="AS106" i="7" s="1"/>
  <c r="AS107" i="7" s="1"/>
  <c r="AS108" i="7" s="1"/>
  <c r="AS109" i="7" s="1"/>
  <c r="AS110" i="7" s="1"/>
  <c r="AS111" i="7" s="1"/>
  <c r="AS112" i="7" s="1"/>
  <c r="AS113" i="7" s="1"/>
  <c r="AS114" i="7" s="1"/>
  <c r="AS115" i="7" s="1"/>
  <c r="AS116" i="7" s="1"/>
  <c r="AS117" i="7" s="1"/>
  <c r="AS118" i="7" s="1"/>
  <c r="AS119" i="7" s="1"/>
  <c r="AS120" i="7" s="1"/>
  <c r="AS101" i="7"/>
  <c r="AR101" i="7"/>
  <c r="AR102" i="7" s="1"/>
  <c r="AR103" i="7" s="1"/>
  <c r="AR104" i="7" s="1"/>
  <c r="AR105" i="7" s="1"/>
  <c r="AR106" i="7" s="1"/>
  <c r="AR107" i="7" s="1"/>
  <c r="AR108" i="7" s="1"/>
  <c r="AR109" i="7" s="1"/>
  <c r="AR110" i="7" s="1"/>
  <c r="AR111" i="7" s="1"/>
  <c r="AR112" i="7" s="1"/>
  <c r="AR113" i="7" s="1"/>
  <c r="AR114" i="7" s="1"/>
  <c r="AR115" i="7" s="1"/>
  <c r="AR116" i="7" s="1"/>
  <c r="AR117" i="7" s="1"/>
  <c r="AR118" i="7" s="1"/>
  <c r="AR119" i="7" s="1"/>
  <c r="AR120" i="7" s="1"/>
  <c r="AQ101" i="7"/>
  <c r="AQ102" i="7" s="1"/>
  <c r="AQ103" i="7" s="1"/>
  <c r="AQ104" i="7" s="1"/>
  <c r="AQ105" i="7" s="1"/>
  <c r="AQ106" i="7" s="1"/>
  <c r="AQ107" i="7" s="1"/>
  <c r="AQ108" i="7" s="1"/>
  <c r="AQ109" i="7" s="1"/>
  <c r="AQ110" i="7" s="1"/>
  <c r="AQ111" i="7" s="1"/>
  <c r="AQ112" i="7" s="1"/>
  <c r="AQ113" i="7" s="1"/>
  <c r="AQ114" i="7" s="1"/>
  <c r="AQ115" i="7" s="1"/>
  <c r="AQ116" i="7" s="1"/>
  <c r="AQ117" i="7" s="1"/>
  <c r="AQ118" i="7" s="1"/>
  <c r="AQ119" i="7" s="1"/>
  <c r="AQ120" i="7" s="1"/>
  <c r="AP101" i="7"/>
  <c r="AP102" i="7" s="1"/>
  <c r="AP103" i="7" s="1"/>
  <c r="AP104" i="7" s="1"/>
  <c r="AP105" i="7" s="1"/>
  <c r="AP106" i="7" s="1"/>
  <c r="AP107" i="7" s="1"/>
  <c r="AP108" i="7" s="1"/>
  <c r="AP109" i="7" s="1"/>
  <c r="AP110" i="7" s="1"/>
  <c r="AP111" i="7" s="1"/>
  <c r="AP112" i="7" s="1"/>
  <c r="AP113" i="7" s="1"/>
  <c r="AP114" i="7" s="1"/>
  <c r="AP115" i="7" s="1"/>
  <c r="AP116" i="7" s="1"/>
  <c r="AP117" i="7" s="1"/>
  <c r="AP118" i="7" s="1"/>
  <c r="AP119" i="7" s="1"/>
  <c r="AP120" i="7" s="1"/>
  <c r="AO101" i="7"/>
  <c r="AO102" i="7" s="1"/>
  <c r="AO103" i="7" s="1"/>
  <c r="AO104" i="7" s="1"/>
  <c r="AO105" i="7" s="1"/>
  <c r="AO106" i="7" s="1"/>
  <c r="AO107" i="7" s="1"/>
  <c r="AO108" i="7" s="1"/>
  <c r="AO109" i="7" s="1"/>
  <c r="AO110" i="7" s="1"/>
  <c r="AO111" i="7" s="1"/>
  <c r="AO112" i="7" s="1"/>
  <c r="AO113" i="7" s="1"/>
  <c r="AO114" i="7" s="1"/>
  <c r="AO115" i="7" s="1"/>
  <c r="AO116" i="7" s="1"/>
  <c r="AO117" i="7" s="1"/>
  <c r="AO118" i="7" s="1"/>
  <c r="AO119" i="7" s="1"/>
  <c r="AO120" i="7" s="1"/>
  <c r="AN101" i="7"/>
  <c r="AN102" i="7" s="1"/>
  <c r="P6" i="76"/>
  <c r="P4" i="76"/>
  <c r="P2" i="76" s="1"/>
  <c r="P1" i="76"/>
  <c r="HY6" i="76"/>
  <c r="HY4" i="76"/>
  <c r="HY2" i="76" s="1"/>
  <c r="HY1" i="76"/>
  <c r="HJ4" i="76"/>
  <c r="HJ2" i="76" s="1"/>
  <c r="HJ6" i="76"/>
  <c r="HJ1" i="76"/>
  <c r="GM110" i="70"/>
  <c r="GM109" i="70"/>
  <c r="GM108" i="70"/>
  <c r="GM107" i="70"/>
  <c r="GM106" i="70"/>
  <c r="GM105" i="70"/>
  <c r="GM104" i="70"/>
  <c r="GM103" i="70"/>
  <c r="GM102" i="70"/>
  <c r="GM101" i="70"/>
  <c r="GM100" i="70"/>
  <c r="GM99" i="70"/>
  <c r="GM98" i="70"/>
  <c r="GM97" i="70"/>
  <c r="GM96" i="70"/>
  <c r="GM95" i="70"/>
  <c r="GM94" i="70"/>
  <c r="GM93" i="70"/>
  <c r="GM92" i="70"/>
  <c r="GM91" i="70"/>
  <c r="GM90" i="70"/>
  <c r="GM89" i="70"/>
  <c r="GM88" i="70"/>
  <c r="GM87" i="70"/>
  <c r="GM86" i="70"/>
  <c r="GM85" i="70"/>
  <c r="GM84" i="70"/>
  <c r="GM83" i="70"/>
  <c r="GM82" i="70"/>
  <c r="GM81" i="70"/>
  <c r="GM80" i="70"/>
  <c r="GM79" i="70"/>
  <c r="GM78" i="70"/>
  <c r="GM77" i="70"/>
  <c r="GM76" i="70"/>
  <c r="GM75" i="70"/>
  <c r="GM74" i="70"/>
  <c r="GM73" i="70"/>
  <c r="GM72" i="70"/>
  <c r="GM71" i="70"/>
  <c r="GM70" i="70"/>
  <c r="GM69" i="70"/>
  <c r="GM68" i="70"/>
  <c r="GM67" i="70"/>
  <c r="GM66" i="70"/>
  <c r="GM65" i="70"/>
  <c r="GM64" i="70"/>
  <c r="GM63" i="70"/>
  <c r="GM62" i="70"/>
  <c r="GM61" i="70"/>
  <c r="GM60" i="70"/>
  <c r="GM59" i="70"/>
  <c r="GM58" i="70"/>
  <c r="GM57" i="70"/>
  <c r="GM56" i="70"/>
  <c r="GM55" i="70"/>
  <c r="GM54" i="70"/>
  <c r="GM53" i="70"/>
  <c r="GM52" i="70"/>
  <c r="GM51" i="70"/>
  <c r="GM50" i="70"/>
  <c r="GM49" i="70"/>
  <c r="GM48" i="70"/>
  <c r="GM47" i="70"/>
  <c r="GM46" i="70"/>
  <c r="GM45" i="70"/>
  <c r="GM44" i="70"/>
  <c r="GM43" i="70"/>
  <c r="GM42" i="70"/>
  <c r="GM41" i="70"/>
  <c r="GM40" i="70"/>
  <c r="GM39" i="70"/>
  <c r="GM38" i="70"/>
  <c r="GM37" i="70"/>
  <c r="GM36" i="70"/>
  <c r="GM35" i="70"/>
  <c r="GM34" i="70"/>
  <c r="GM33" i="70"/>
  <c r="GM32" i="70"/>
  <c r="GM31" i="70"/>
  <c r="GM30" i="70"/>
  <c r="GM29" i="70"/>
  <c r="GM28" i="70"/>
  <c r="GM27" i="70"/>
  <c r="GM26" i="70"/>
  <c r="GM25" i="70"/>
  <c r="GM24" i="70"/>
  <c r="GM23" i="70"/>
  <c r="GM22" i="70"/>
  <c r="GM21" i="70"/>
  <c r="GM20" i="70"/>
  <c r="GM19" i="70"/>
  <c r="GM18" i="70"/>
  <c r="GM17" i="70"/>
  <c r="GM16" i="70"/>
  <c r="GM15" i="70"/>
  <c r="GM14" i="70"/>
  <c r="GM13" i="70"/>
  <c r="GM12" i="70"/>
  <c r="GM11" i="70"/>
  <c r="GM10" i="70"/>
  <c r="FY110" i="70"/>
  <c r="FY109" i="70"/>
  <c r="FY108" i="70"/>
  <c r="FY107" i="70"/>
  <c r="FY106" i="70"/>
  <c r="FY105" i="70"/>
  <c r="FY104" i="70"/>
  <c r="FY103" i="70"/>
  <c r="FY102" i="70"/>
  <c r="FY101" i="70"/>
  <c r="FY100" i="70"/>
  <c r="FY99" i="70"/>
  <c r="FY98" i="70"/>
  <c r="FY97" i="70"/>
  <c r="FY96" i="70"/>
  <c r="FY95" i="70"/>
  <c r="FY94" i="70"/>
  <c r="FY93" i="70"/>
  <c r="FY92" i="70"/>
  <c r="FY91" i="70"/>
  <c r="FY90" i="70"/>
  <c r="FY89" i="70"/>
  <c r="FY88" i="70"/>
  <c r="FY87" i="70"/>
  <c r="FY86" i="70"/>
  <c r="FY85" i="70"/>
  <c r="FY84" i="70"/>
  <c r="FY83" i="70"/>
  <c r="FY82" i="70"/>
  <c r="FY81" i="70"/>
  <c r="FY80" i="70"/>
  <c r="FY79" i="70"/>
  <c r="FY78" i="70"/>
  <c r="FY77" i="70"/>
  <c r="FY76" i="70"/>
  <c r="FY75" i="70"/>
  <c r="FY74" i="70"/>
  <c r="FY73" i="70"/>
  <c r="FY72" i="70"/>
  <c r="FY71" i="70"/>
  <c r="FY70" i="70"/>
  <c r="FY69" i="70"/>
  <c r="FY68" i="70"/>
  <c r="FY67" i="70"/>
  <c r="FY66" i="70"/>
  <c r="FY65" i="70"/>
  <c r="FY64" i="70"/>
  <c r="FY63" i="70"/>
  <c r="FY62" i="70"/>
  <c r="FY61" i="70"/>
  <c r="FY60" i="70"/>
  <c r="FY59" i="70"/>
  <c r="FY58" i="70"/>
  <c r="FY57" i="70"/>
  <c r="FY56" i="70"/>
  <c r="FY55" i="70"/>
  <c r="FY54" i="70"/>
  <c r="FY53" i="70"/>
  <c r="FY52" i="70"/>
  <c r="FY51" i="70"/>
  <c r="FY50" i="70"/>
  <c r="FY49" i="70"/>
  <c r="FY48" i="70"/>
  <c r="FY47" i="70"/>
  <c r="FY46" i="70"/>
  <c r="FY45" i="70"/>
  <c r="FY44" i="70"/>
  <c r="FY43" i="70"/>
  <c r="FY42" i="70"/>
  <c r="FY41" i="70"/>
  <c r="FY40" i="70"/>
  <c r="FY39" i="70"/>
  <c r="FY38" i="70"/>
  <c r="FY37" i="70"/>
  <c r="FY36" i="70"/>
  <c r="FY35" i="70"/>
  <c r="FY34" i="70"/>
  <c r="FY33" i="70"/>
  <c r="FY32" i="70"/>
  <c r="FY31" i="70"/>
  <c r="FY30" i="70"/>
  <c r="FY29" i="70"/>
  <c r="FY28" i="70"/>
  <c r="FY27" i="70"/>
  <c r="FY26" i="70"/>
  <c r="FY25" i="70"/>
  <c r="FY24" i="70"/>
  <c r="FY23" i="70"/>
  <c r="FY22" i="70"/>
  <c r="FY21" i="70"/>
  <c r="FY20" i="70"/>
  <c r="FY19" i="70"/>
  <c r="FY18" i="70"/>
  <c r="FY17" i="70"/>
  <c r="FY16" i="70"/>
  <c r="FY15" i="70"/>
  <c r="FY14" i="70"/>
  <c r="FY13" i="70"/>
  <c r="FY12" i="70"/>
  <c r="FY11" i="70"/>
  <c r="FY10" i="70"/>
  <c r="FK110" i="70"/>
  <c r="FK109" i="70"/>
  <c r="FK108" i="70"/>
  <c r="FK107" i="70"/>
  <c r="FK106" i="70"/>
  <c r="FK105" i="70"/>
  <c r="FK104" i="70"/>
  <c r="FK103" i="70"/>
  <c r="FK102" i="70"/>
  <c r="FK101" i="70"/>
  <c r="FK100" i="70"/>
  <c r="FK99" i="70"/>
  <c r="FK98" i="70"/>
  <c r="FK97" i="70"/>
  <c r="FK96" i="70"/>
  <c r="FK95" i="70"/>
  <c r="FK94" i="70"/>
  <c r="FK93" i="70"/>
  <c r="FK92" i="70"/>
  <c r="FK91" i="70"/>
  <c r="FK90" i="70"/>
  <c r="FK89" i="70"/>
  <c r="FK88" i="70"/>
  <c r="FK87" i="70"/>
  <c r="FK86" i="70"/>
  <c r="FK85" i="70"/>
  <c r="FK84" i="70"/>
  <c r="FK83" i="70"/>
  <c r="FK82" i="70"/>
  <c r="FK81" i="70"/>
  <c r="FK80" i="70"/>
  <c r="FK79" i="70"/>
  <c r="FK78" i="70"/>
  <c r="FK77" i="70"/>
  <c r="FK76" i="70"/>
  <c r="FK75" i="70"/>
  <c r="FK74" i="70"/>
  <c r="FK73" i="70"/>
  <c r="FK72" i="70"/>
  <c r="FK71" i="70"/>
  <c r="FK70" i="70"/>
  <c r="FK69" i="70"/>
  <c r="FK68" i="70"/>
  <c r="FK67" i="70"/>
  <c r="FK66" i="70"/>
  <c r="FK65" i="70"/>
  <c r="FK64" i="70"/>
  <c r="FK63" i="70"/>
  <c r="FK62" i="70"/>
  <c r="FK61" i="70"/>
  <c r="FK60" i="70"/>
  <c r="FK59" i="70"/>
  <c r="FK58" i="70"/>
  <c r="FK57" i="70"/>
  <c r="FK56" i="70"/>
  <c r="FK55" i="70"/>
  <c r="FK54" i="70"/>
  <c r="FK53" i="70"/>
  <c r="FK52" i="70"/>
  <c r="FK51" i="70"/>
  <c r="FK50" i="70"/>
  <c r="FK49" i="70"/>
  <c r="FK48" i="70"/>
  <c r="FK47" i="70"/>
  <c r="FK46" i="70"/>
  <c r="FK45" i="70"/>
  <c r="FK44" i="70"/>
  <c r="FK43" i="70"/>
  <c r="FK42" i="70"/>
  <c r="FK41" i="70"/>
  <c r="FK40" i="70"/>
  <c r="FK39" i="70"/>
  <c r="FK38" i="70"/>
  <c r="FK37" i="70"/>
  <c r="FK36" i="70"/>
  <c r="FK35" i="70"/>
  <c r="FK34" i="70"/>
  <c r="FK33" i="70"/>
  <c r="FK32" i="70"/>
  <c r="FK31" i="70"/>
  <c r="FK30" i="70"/>
  <c r="FK29" i="70"/>
  <c r="FK28" i="70"/>
  <c r="FK27" i="70"/>
  <c r="FK26" i="70"/>
  <c r="FK25" i="70"/>
  <c r="FK24" i="70"/>
  <c r="FK23" i="70"/>
  <c r="FK22" i="70"/>
  <c r="FK21" i="70"/>
  <c r="FK20" i="70"/>
  <c r="FK19" i="70"/>
  <c r="FK18" i="70"/>
  <c r="FK17" i="70"/>
  <c r="FK16" i="70"/>
  <c r="FK15" i="70"/>
  <c r="FK14" i="70"/>
  <c r="FK13" i="70"/>
  <c r="FK12" i="70"/>
  <c r="FK11" i="70"/>
  <c r="FK10" i="70"/>
  <c r="EW110" i="70"/>
  <c r="EW109" i="70"/>
  <c r="EW108" i="70"/>
  <c r="EW107" i="70"/>
  <c r="EW106" i="70"/>
  <c r="EW105" i="70"/>
  <c r="EW104" i="70"/>
  <c r="EW103" i="70"/>
  <c r="EW102" i="70"/>
  <c r="EW101" i="70"/>
  <c r="EW100" i="70"/>
  <c r="EW99" i="70"/>
  <c r="EW98" i="70"/>
  <c r="EW97" i="70"/>
  <c r="EW96" i="70"/>
  <c r="EW95" i="70"/>
  <c r="EW94" i="70"/>
  <c r="EW93" i="70"/>
  <c r="EW92" i="70"/>
  <c r="EW91" i="70"/>
  <c r="EW90" i="70"/>
  <c r="EW89" i="70"/>
  <c r="EW88" i="70"/>
  <c r="EW87" i="70"/>
  <c r="EW86" i="70"/>
  <c r="EW85" i="70"/>
  <c r="EW84" i="70"/>
  <c r="EW83" i="70"/>
  <c r="EW82" i="70"/>
  <c r="EW81" i="70"/>
  <c r="EW80" i="70"/>
  <c r="EW79" i="70"/>
  <c r="EW78" i="70"/>
  <c r="EW77" i="70"/>
  <c r="EW76" i="70"/>
  <c r="EW75" i="70"/>
  <c r="EW74" i="70"/>
  <c r="EW73" i="70"/>
  <c r="EW72" i="70"/>
  <c r="EW71" i="70"/>
  <c r="EW70" i="70"/>
  <c r="EW69" i="70"/>
  <c r="EW68" i="70"/>
  <c r="EW67" i="70"/>
  <c r="EW66" i="70"/>
  <c r="EW65" i="70"/>
  <c r="EW64" i="70"/>
  <c r="EW63" i="70"/>
  <c r="EW62" i="70"/>
  <c r="EW61" i="70"/>
  <c r="EW60" i="70"/>
  <c r="EW59" i="70"/>
  <c r="EW58" i="70"/>
  <c r="EW57" i="70"/>
  <c r="EW56" i="70"/>
  <c r="EW55" i="70"/>
  <c r="EW54" i="70"/>
  <c r="EW53" i="70"/>
  <c r="EW52" i="70"/>
  <c r="EW51" i="70"/>
  <c r="EW50" i="70"/>
  <c r="EW49" i="70"/>
  <c r="EW48" i="70"/>
  <c r="EW47" i="70"/>
  <c r="EW46" i="70"/>
  <c r="EW45" i="70"/>
  <c r="EW44" i="70"/>
  <c r="EW43" i="70"/>
  <c r="EW42" i="70"/>
  <c r="EW41" i="70"/>
  <c r="EW40" i="70"/>
  <c r="EW39" i="70"/>
  <c r="EW38" i="70"/>
  <c r="EW37" i="70"/>
  <c r="EW36" i="70"/>
  <c r="EW35" i="70"/>
  <c r="EW34" i="70"/>
  <c r="EW33" i="70"/>
  <c r="EW32" i="70"/>
  <c r="EW31" i="70"/>
  <c r="EW30" i="70"/>
  <c r="EW29" i="70"/>
  <c r="EW28" i="70"/>
  <c r="EW27" i="70"/>
  <c r="EW26" i="70"/>
  <c r="EW25" i="70"/>
  <c r="EW24" i="70"/>
  <c r="EW23" i="70"/>
  <c r="EW22" i="70"/>
  <c r="EW21" i="70"/>
  <c r="EW20" i="70"/>
  <c r="EW19" i="70"/>
  <c r="EW18" i="70"/>
  <c r="EW17" i="70"/>
  <c r="EW16" i="70"/>
  <c r="EW15" i="70"/>
  <c r="EW14" i="70"/>
  <c r="EW13" i="70"/>
  <c r="EW12" i="70"/>
  <c r="EW11" i="70"/>
  <c r="EW10" i="70"/>
  <c r="EI110" i="70"/>
  <c r="EI109" i="70"/>
  <c r="EI108" i="70"/>
  <c r="EI107" i="70"/>
  <c r="EI106" i="70"/>
  <c r="EI105" i="70"/>
  <c r="EI104" i="70"/>
  <c r="EI103" i="70"/>
  <c r="EI102" i="70"/>
  <c r="EI101" i="70"/>
  <c r="EI100" i="70"/>
  <c r="EI99" i="70"/>
  <c r="EI98" i="70"/>
  <c r="EI97" i="70"/>
  <c r="EI96" i="70"/>
  <c r="EI95" i="70"/>
  <c r="EI94" i="70"/>
  <c r="EI93" i="70"/>
  <c r="EI92" i="70"/>
  <c r="EI91" i="70"/>
  <c r="EI90" i="70"/>
  <c r="EI89" i="70"/>
  <c r="EI88" i="70"/>
  <c r="EI87" i="70"/>
  <c r="EI86" i="70"/>
  <c r="EI85" i="70"/>
  <c r="EI84" i="70"/>
  <c r="EI83" i="70"/>
  <c r="EI82" i="70"/>
  <c r="EI81" i="70"/>
  <c r="EI80" i="70"/>
  <c r="EI79" i="70"/>
  <c r="EI78" i="70"/>
  <c r="EI77" i="70"/>
  <c r="EI76" i="70"/>
  <c r="EI75" i="70"/>
  <c r="EI74" i="70"/>
  <c r="EI73" i="70"/>
  <c r="EI72" i="70"/>
  <c r="EI71" i="70"/>
  <c r="EI70" i="70"/>
  <c r="EI69" i="70"/>
  <c r="EI68" i="70"/>
  <c r="EI67" i="70"/>
  <c r="EI66" i="70"/>
  <c r="EI65" i="70"/>
  <c r="EI64" i="70"/>
  <c r="EI63" i="70"/>
  <c r="EI62" i="70"/>
  <c r="EI61" i="70"/>
  <c r="EI60" i="70"/>
  <c r="EI59" i="70"/>
  <c r="EI58" i="70"/>
  <c r="EI57" i="70"/>
  <c r="EI56" i="70"/>
  <c r="EI55" i="70"/>
  <c r="EI54" i="70"/>
  <c r="EI53" i="70"/>
  <c r="EI52" i="70"/>
  <c r="EI51" i="70"/>
  <c r="EI50" i="70"/>
  <c r="EI49" i="70"/>
  <c r="EI48" i="70"/>
  <c r="EI47" i="70"/>
  <c r="EI46" i="70"/>
  <c r="EI45" i="70"/>
  <c r="EI44" i="70"/>
  <c r="EI43" i="70"/>
  <c r="EI42" i="70"/>
  <c r="EI41" i="70"/>
  <c r="EI40" i="70"/>
  <c r="EI39" i="70"/>
  <c r="EI38" i="70"/>
  <c r="EI37" i="70"/>
  <c r="EI36" i="70"/>
  <c r="EI35" i="70"/>
  <c r="EI34" i="70"/>
  <c r="EI33" i="70"/>
  <c r="EI32" i="70"/>
  <c r="EI31" i="70"/>
  <c r="EI30" i="70"/>
  <c r="EI29" i="70"/>
  <c r="EI28" i="70"/>
  <c r="EI27" i="70"/>
  <c r="EI26" i="70"/>
  <c r="EI25" i="70"/>
  <c r="EI24" i="70"/>
  <c r="EI23" i="70"/>
  <c r="EI22" i="70"/>
  <c r="EI21" i="70"/>
  <c r="EI20" i="70"/>
  <c r="EI19" i="70"/>
  <c r="EI18" i="70"/>
  <c r="EI17" i="70"/>
  <c r="EI16" i="70"/>
  <c r="EI15" i="70"/>
  <c r="EI14" i="70"/>
  <c r="EI13" i="70"/>
  <c r="EI12" i="70"/>
  <c r="EI11" i="70"/>
  <c r="EI10" i="70"/>
  <c r="EI110" i="56"/>
  <c r="EI109" i="56"/>
  <c r="EI108" i="56"/>
  <c r="EI107" i="56"/>
  <c r="EI106" i="56"/>
  <c r="EI105" i="56"/>
  <c r="EI104" i="56"/>
  <c r="EI103" i="56"/>
  <c r="EI102" i="56"/>
  <c r="EI101" i="56"/>
  <c r="EI100" i="56"/>
  <c r="EI99" i="56"/>
  <c r="EI98" i="56"/>
  <c r="EI97" i="56"/>
  <c r="EI96" i="56"/>
  <c r="EI95" i="56"/>
  <c r="EI94" i="56"/>
  <c r="EI93" i="56"/>
  <c r="EI92" i="56"/>
  <c r="EI91" i="56"/>
  <c r="EI90" i="56"/>
  <c r="EI89" i="56"/>
  <c r="EI88" i="56"/>
  <c r="EI87" i="56"/>
  <c r="EI86" i="56"/>
  <c r="EI85" i="56"/>
  <c r="EI84" i="56"/>
  <c r="EI83" i="56"/>
  <c r="EI82" i="56"/>
  <c r="EI81" i="56"/>
  <c r="EI80" i="56"/>
  <c r="EI79" i="56"/>
  <c r="EI78" i="56"/>
  <c r="EI77" i="56"/>
  <c r="EI76" i="56"/>
  <c r="EI75" i="56"/>
  <c r="EI74" i="56"/>
  <c r="EI73" i="56"/>
  <c r="EI72" i="56"/>
  <c r="EI71" i="56"/>
  <c r="EI70" i="56"/>
  <c r="EI69" i="56"/>
  <c r="EI68" i="56"/>
  <c r="EI67" i="56"/>
  <c r="EI66" i="56"/>
  <c r="EI65" i="56"/>
  <c r="EI64" i="56"/>
  <c r="EI63" i="56"/>
  <c r="EI62" i="56"/>
  <c r="EI61" i="56"/>
  <c r="EI60" i="56"/>
  <c r="EI59" i="56"/>
  <c r="EI58" i="56"/>
  <c r="EI57" i="56"/>
  <c r="EI56" i="56"/>
  <c r="EI55" i="56"/>
  <c r="EI54" i="56"/>
  <c r="EI53" i="56"/>
  <c r="EI52" i="56"/>
  <c r="EI51" i="56"/>
  <c r="EI50" i="56"/>
  <c r="EI49" i="56"/>
  <c r="EI48" i="56"/>
  <c r="EI47" i="56"/>
  <c r="EI46" i="56"/>
  <c r="EI45" i="56"/>
  <c r="EI44" i="56"/>
  <c r="EI43" i="56"/>
  <c r="EI42" i="56"/>
  <c r="EI41" i="56"/>
  <c r="EI40" i="56"/>
  <c r="EI39" i="56"/>
  <c r="EI38" i="56"/>
  <c r="EI37" i="56"/>
  <c r="EI36" i="56"/>
  <c r="EI35" i="56"/>
  <c r="EI34" i="56"/>
  <c r="EI33" i="56"/>
  <c r="EI32" i="56"/>
  <c r="EI31" i="56"/>
  <c r="EI30" i="56"/>
  <c r="EI29" i="56"/>
  <c r="EI28" i="56"/>
  <c r="EI27" i="56"/>
  <c r="EI26" i="56"/>
  <c r="EI25" i="56"/>
  <c r="EI24" i="56"/>
  <c r="EI23" i="56"/>
  <c r="EI22" i="56"/>
  <c r="EI21" i="56"/>
  <c r="EI20" i="56"/>
  <c r="EI19" i="56"/>
  <c r="EI18" i="56"/>
  <c r="EI17" i="56"/>
  <c r="EI16" i="56"/>
  <c r="EI15" i="56"/>
  <c r="EI14" i="56"/>
  <c r="EI13" i="56"/>
  <c r="EI12" i="56"/>
  <c r="EI11" i="56"/>
  <c r="EI10" i="56"/>
  <c r="EW110" i="56"/>
  <c r="EW109" i="56"/>
  <c r="EW108" i="56"/>
  <c r="EW107" i="56"/>
  <c r="EW106" i="56"/>
  <c r="EW105" i="56"/>
  <c r="EW104" i="56"/>
  <c r="EW103" i="56"/>
  <c r="EW102" i="56"/>
  <c r="EW101" i="56"/>
  <c r="EW100" i="56"/>
  <c r="EW99" i="56"/>
  <c r="EW98" i="56"/>
  <c r="EW97" i="56"/>
  <c r="EW96" i="56"/>
  <c r="EW95" i="56"/>
  <c r="EW94" i="56"/>
  <c r="EW93" i="56"/>
  <c r="EW92" i="56"/>
  <c r="EW91" i="56"/>
  <c r="EW90" i="56"/>
  <c r="EW89" i="56"/>
  <c r="EW88" i="56"/>
  <c r="EW87" i="56"/>
  <c r="EW86" i="56"/>
  <c r="EW85" i="56"/>
  <c r="EW84" i="56"/>
  <c r="EW83" i="56"/>
  <c r="EW82" i="56"/>
  <c r="EW81" i="56"/>
  <c r="EW80" i="56"/>
  <c r="EW79" i="56"/>
  <c r="EW78" i="56"/>
  <c r="EW77" i="56"/>
  <c r="EW76" i="56"/>
  <c r="EW75" i="56"/>
  <c r="EW74" i="56"/>
  <c r="EW73" i="56"/>
  <c r="EW72" i="56"/>
  <c r="EW71" i="56"/>
  <c r="EW70" i="56"/>
  <c r="EW69" i="56"/>
  <c r="EW68" i="56"/>
  <c r="EW67" i="56"/>
  <c r="EW66" i="56"/>
  <c r="EW65" i="56"/>
  <c r="EW64" i="56"/>
  <c r="EW63" i="56"/>
  <c r="EW62" i="56"/>
  <c r="EW61" i="56"/>
  <c r="EW60" i="56"/>
  <c r="EW59" i="56"/>
  <c r="EW58" i="56"/>
  <c r="EW57" i="56"/>
  <c r="EW56" i="56"/>
  <c r="EW55" i="56"/>
  <c r="EW54" i="56"/>
  <c r="EW53" i="56"/>
  <c r="EW52" i="56"/>
  <c r="EW51" i="56"/>
  <c r="EW50" i="56"/>
  <c r="EW49" i="56"/>
  <c r="EW48" i="56"/>
  <c r="EW47" i="56"/>
  <c r="EW46" i="56"/>
  <c r="EW45" i="56"/>
  <c r="EW44" i="56"/>
  <c r="EW43" i="56"/>
  <c r="EW42" i="56"/>
  <c r="EW41" i="56"/>
  <c r="EW40" i="56"/>
  <c r="EW39" i="56"/>
  <c r="EW38" i="56"/>
  <c r="EW37" i="56"/>
  <c r="EW36" i="56"/>
  <c r="EW35" i="56"/>
  <c r="EW34" i="56"/>
  <c r="EW33" i="56"/>
  <c r="EW32" i="56"/>
  <c r="EW31" i="56"/>
  <c r="EW30" i="56"/>
  <c r="EW29" i="56"/>
  <c r="EW28" i="56"/>
  <c r="EW27" i="56"/>
  <c r="EW26" i="56"/>
  <c r="EW25" i="56"/>
  <c r="EW24" i="56"/>
  <c r="EW23" i="56"/>
  <c r="EW22" i="56"/>
  <c r="EW21" i="56"/>
  <c r="EW20" i="56"/>
  <c r="EW19" i="56"/>
  <c r="EW18" i="56"/>
  <c r="EW17" i="56"/>
  <c r="EW16" i="56"/>
  <c r="EW15" i="56"/>
  <c r="EW14" i="56"/>
  <c r="EW13" i="56"/>
  <c r="EW12" i="56"/>
  <c r="EW11" i="56"/>
  <c r="EW10" i="56"/>
  <c r="FK110" i="56"/>
  <c r="FK109" i="56"/>
  <c r="FK108" i="56"/>
  <c r="FK107" i="56"/>
  <c r="FK106" i="56"/>
  <c r="FK105" i="56"/>
  <c r="FK104" i="56"/>
  <c r="FK103" i="56"/>
  <c r="FK102" i="56"/>
  <c r="FK101" i="56"/>
  <c r="FK100" i="56"/>
  <c r="FK99" i="56"/>
  <c r="FK98" i="56"/>
  <c r="FK97" i="56"/>
  <c r="FK96" i="56"/>
  <c r="FK95" i="56"/>
  <c r="FK94" i="56"/>
  <c r="FK93" i="56"/>
  <c r="FK92" i="56"/>
  <c r="FK91" i="56"/>
  <c r="FK90" i="56"/>
  <c r="FK89" i="56"/>
  <c r="FK88" i="56"/>
  <c r="FK87" i="56"/>
  <c r="FK86" i="56"/>
  <c r="FK85" i="56"/>
  <c r="FK84" i="56"/>
  <c r="FK83" i="56"/>
  <c r="FK82" i="56"/>
  <c r="FK81" i="56"/>
  <c r="FK80" i="56"/>
  <c r="FK79" i="56"/>
  <c r="FK78" i="56"/>
  <c r="FK77" i="56"/>
  <c r="FK76" i="56"/>
  <c r="FK75" i="56"/>
  <c r="FK74" i="56"/>
  <c r="FK73" i="56"/>
  <c r="FK72" i="56"/>
  <c r="FK71" i="56"/>
  <c r="FK70" i="56"/>
  <c r="FK69" i="56"/>
  <c r="FK68" i="56"/>
  <c r="FK67" i="56"/>
  <c r="FK66" i="56"/>
  <c r="FK65" i="56"/>
  <c r="FK64" i="56"/>
  <c r="FK63" i="56"/>
  <c r="FK62" i="56"/>
  <c r="FK61" i="56"/>
  <c r="FK60" i="56"/>
  <c r="FK59" i="56"/>
  <c r="FK58" i="56"/>
  <c r="FK57" i="56"/>
  <c r="FK56" i="56"/>
  <c r="FK55" i="56"/>
  <c r="FK54" i="56"/>
  <c r="FK53" i="56"/>
  <c r="FK52" i="56"/>
  <c r="FK51" i="56"/>
  <c r="FK50" i="56"/>
  <c r="FK49" i="56"/>
  <c r="FK48" i="56"/>
  <c r="FK47" i="56"/>
  <c r="FK46" i="56"/>
  <c r="FK45" i="56"/>
  <c r="FK44" i="56"/>
  <c r="FK43" i="56"/>
  <c r="FK42" i="56"/>
  <c r="FK41" i="56"/>
  <c r="FK40" i="56"/>
  <c r="FK39" i="56"/>
  <c r="FK38" i="56"/>
  <c r="FK37" i="56"/>
  <c r="FK36" i="56"/>
  <c r="FK35" i="56"/>
  <c r="FK34" i="56"/>
  <c r="FK33" i="56"/>
  <c r="FK32" i="56"/>
  <c r="FK31" i="56"/>
  <c r="FK30" i="56"/>
  <c r="FK29" i="56"/>
  <c r="FK28" i="56"/>
  <c r="FK27" i="56"/>
  <c r="FK26" i="56"/>
  <c r="FK25" i="56"/>
  <c r="FK24" i="56"/>
  <c r="FK23" i="56"/>
  <c r="FK22" i="56"/>
  <c r="FK21" i="56"/>
  <c r="FK20" i="56"/>
  <c r="FK19" i="56"/>
  <c r="FK18" i="56"/>
  <c r="FK17" i="56"/>
  <c r="FK16" i="56"/>
  <c r="FK15" i="56"/>
  <c r="FK14" i="56"/>
  <c r="FK13" i="56"/>
  <c r="FK12" i="56"/>
  <c r="FK11" i="56"/>
  <c r="FK10" i="56"/>
  <c r="FY110" i="56"/>
  <c r="FY109" i="56"/>
  <c r="FY108" i="56"/>
  <c r="FY107" i="56"/>
  <c r="FY106" i="56"/>
  <c r="FY105" i="56"/>
  <c r="FY104" i="56"/>
  <c r="FY103" i="56"/>
  <c r="FY102" i="56"/>
  <c r="FY101" i="56"/>
  <c r="FY100" i="56"/>
  <c r="FY99" i="56"/>
  <c r="FY98" i="56"/>
  <c r="FY97" i="56"/>
  <c r="FY96" i="56"/>
  <c r="FY95" i="56"/>
  <c r="FY94" i="56"/>
  <c r="FY93" i="56"/>
  <c r="FY92" i="56"/>
  <c r="FY91" i="56"/>
  <c r="FY90" i="56"/>
  <c r="FY89" i="56"/>
  <c r="FY88" i="56"/>
  <c r="FY87" i="56"/>
  <c r="FY86" i="56"/>
  <c r="FY85" i="56"/>
  <c r="FY84" i="56"/>
  <c r="FY83" i="56"/>
  <c r="FY82" i="56"/>
  <c r="FY81" i="56"/>
  <c r="FY80" i="56"/>
  <c r="FY79" i="56"/>
  <c r="FY78" i="56"/>
  <c r="FY77" i="56"/>
  <c r="FY76" i="56"/>
  <c r="FY75" i="56"/>
  <c r="FY74" i="56"/>
  <c r="FY73" i="56"/>
  <c r="FY72" i="56"/>
  <c r="FY71" i="56"/>
  <c r="FY70" i="56"/>
  <c r="FY69" i="56"/>
  <c r="FY68" i="56"/>
  <c r="FY67" i="56"/>
  <c r="FY66" i="56"/>
  <c r="FY65" i="56"/>
  <c r="FY64" i="56"/>
  <c r="FY63" i="56"/>
  <c r="FY62" i="56"/>
  <c r="FY61" i="56"/>
  <c r="FY60" i="56"/>
  <c r="FY59" i="56"/>
  <c r="FY58" i="56"/>
  <c r="FY57" i="56"/>
  <c r="FY56" i="56"/>
  <c r="FY55" i="56"/>
  <c r="FY54" i="56"/>
  <c r="FY53" i="56"/>
  <c r="FY52" i="56"/>
  <c r="FY51" i="56"/>
  <c r="FY50" i="56"/>
  <c r="FY49" i="56"/>
  <c r="FY48" i="56"/>
  <c r="FY47" i="56"/>
  <c r="FY46" i="56"/>
  <c r="FY45" i="56"/>
  <c r="FY44" i="56"/>
  <c r="FY43" i="56"/>
  <c r="FY42" i="56"/>
  <c r="FY41" i="56"/>
  <c r="FY40" i="56"/>
  <c r="FY39" i="56"/>
  <c r="FY38" i="56"/>
  <c r="FY37" i="56"/>
  <c r="FY36" i="56"/>
  <c r="FY35" i="56"/>
  <c r="FY34" i="56"/>
  <c r="FY33" i="56"/>
  <c r="FY32" i="56"/>
  <c r="FY31" i="56"/>
  <c r="FY30" i="56"/>
  <c r="FY29" i="56"/>
  <c r="FY28" i="56"/>
  <c r="FY27" i="56"/>
  <c r="FY26" i="56"/>
  <c r="FY25" i="56"/>
  <c r="FY24" i="56"/>
  <c r="FY23" i="56"/>
  <c r="FY22" i="56"/>
  <c r="FY21" i="56"/>
  <c r="FY20" i="56"/>
  <c r="FY19" i="56"/>
  <c r="FY18" i="56"/>
  <c r="FY17" i="56"/>
  <c r="FY16" i="56"/>
  <c r="FY15" i="56"/>
  <c r="FY14" i="56"/>
  <c r="FY13" i="56"/>
  <c r="FY12" i="56"/>
  <c r="FY11" i="56"/>
  <c r="FY10" i="56"/>
  <c r="GM110" i="56"/>
  <c r="GM109" i="56"/>
  <c r="GM108" i="56"/>
  <c r="GM107" i="56"/>
  <c r="GM106" i="56"/>
  <c r="GM105" i="56"/>
  <c r="GM104" i="56"/>
  <c r="GM103" i="56"/>
  <c r="GM102" i="56"/>
  <c r="GM101" i="56"/>
  <c r="GM100" i="56"/>
  <c r="GM99" i="56"/>
  <c r="GM98" i="56"/>
  <c r="GM97" i="56"/>
  <c r="GM96" i="56"/>
  <c r="GM95" i="56"/>
  <c r="GM94" i="56"/>
  <c r="GM93" i="56"/>
  <c r="GM92" i="56"/>
  <c r="GM91" i="56"/>
  <c r="GM90" i="56"/>
  <c r="GM89" i="56"/>
  <c r="GM88" i="56"/>
  <c r="GM87" i="56"/>
  <c r="GM86" i="56"/>
  <c r="GM85" i="56"/>
  <c r="GM84" i="56"/>
  <c r="GM83" i="56"/>
  <c r="GM82" i="56"/>
  <c r="GM81" i="56"/>
  <c r="GM80" i="56"/>
  <c r="GM79" i="56"/>
  <c r="GM78" i="56"/>
  <c r="GM77" i="56"/>
  <c r="GM76" i="56"/>
  <c r="GM75" i="56"/>
  <c r="GM74" i="56"/>
  <c r="GM73" i="56"/>
  <c r="GM72" i="56"/>
  <c r="GM71" i="56"/>
  <c r="GM70" i="56"/>
  <c r="GM69" i="56"/>
  <c r="GM68" i="56"/>
  <c r="GM67" i="56"/>
  <c r="GM66" i="56"/>
  <c r="GM65" i="56"/>
  <c r="GM64" i="56"/>
  <c r="GM63" i="56"/>
  <c r="GM62" i="56"/>
  <c r="GM61" i="56"/>
  <c r="GM60" i="56"/>
  <c r="GM59" i="56"/>
  <c r="GM58" i="56"/>
  <c r="GM57" i="56"/>
  <c r="GM56" i="56"/>
  <c r="GM55" i="56"/>
  <c r="GM54" i="56"/>
  <c r="GM53" i="56"/>
  <c r="GM52" i="56"/>
  <c r="GM51" i="56"/>
  <c r="GM50" i="56"/>
  <c r="GM49" i="56"/>
  <c r="GM48" i="56"/>
  <c r="GM47" i="56"/>
  <c r="GM46" i="56"/>
  <c r="GM45" i="56"/>
  <c r="GM44" i="56"/>
  <c r="GM43" i="56"/>
  <c r="GM42" i="56"/>
  <c r="GM41" i="56"/>
  <c r="GM40" i="56"/>
  <c r="GM39" i="56"/>
  <c r="GM38" i="56"/>
  <c r="GM37" i="56"/>
  <c r="GM36" i="56"/>
  <c r="GM35" i="56"/>
  <c r="GM34" i="56"/>
  <c r="GM33" i="56"/>
  <c r="GM32" i="56"/>
  <c r="GM31" i="56"/>
  <c r="GM30" i="56"/>
  <c r="GM29" i="56"/>
  <c r="GM28" i="56"/>
  <c r="GM27" i="56"/>
  <c r="GM26" i="56"/>
  <c r="GM25" i="56"/>
  <c r="GM24" i="56"/>
  <c r="GM23" i="56"/>
  <c r="GM22" i="56"/>
  <c r="GM21" i="56"/>
  <c r="GM20" i="56"/>
  <c r="GM19" i="56"/>
  <c r="GM18" i="56"/>
  <c r="GM17" i="56"/>
  <c r="GM16" i="56"/>
  <c r="GM15" i="56"/>
  <c r="GM14" i="56"/>
  <c r="GM13" i="56"/>
  <c r="GM12" i="56"/>
  <c r="GM11" i="56"/>
  <c r="GM10" i="56"/>
  <c r="EI110" i="57"/>
  <c r="EI109" i="57"/>
  <c r="EI108" i="57"/>
  <c r="EI107" i="57"/>
  <c r="EI106" i="57"/>
  <c r="EI105" i="57"/>
  <c r="EI104" i="57"/>
  <c r="EI103" i="57"/>
  <c r="EI102" i="57"/>
  <c r="EI101" i="57"/>
  <c r="EI100" i="57"/>
  <c r="EI99" i="57"/>
  <c r="EI98" i="57"/>
  <c r="EI97" i="57"/>
  <c r="EI96" i="57"/>
  <c r="EI95" i="57"/>
  <c r="EI94" i="57"/>
  <c r="EI93" i="57"/>
  <c r="EI92" i="57"/>
  <c r="EI91" i="57"/>
  <c r="EI90" i="57"/>
  <c r="EI89" i="57"/>
  <c r="EI88" i="57"/>
  <c r="EI87" i="57"/>
  <c r="EI86" i="57"/>
  <c r="EI85" i="57"/>
  <c r="EI84" i="57"/>
  <c r="EI83" i="57"/>
  <c r="EI82" i="57"/>
  <c r="EI81" i="57"/>
  <c r="EI80" i="57"/>
  <c r="EI79" i="57"/>
  <c r="EI78" i="57"/>
  <c r="EI77" i="57"/>
  <c r="EI76" i="57"/>
  <c r="EI75" i="57"/>
  <c r="EI74" i="57"/>
  <c r="EI73" i="57"/>
  <c r="EI72" i="57"/>
  <c r="EI71" i="57"/>
  <c r="EI70" i="57"/>
  <c r="EI69" i="57"/>
  <c r="EI68" i="57"/>
  <c r="EI67" i="57"/>
  <c r="EI66" i="57"/>
  <c r="EI65" i="57"/>
  <c r="EI64" i="57"/>
  <c r="EI63" i="57"/>
  <c r="EI62" i="57"/>
  <c r="EI61" i="57"/>
  <c r="EI60" i="57"/>
  <c r="EI59" i="57"/>
  <c r="EI58" i="57"/>
  <c r="EI57" i="57"/>
  <c r="EI56" i="57"/>
  <c r="EI55" i="57"/>
  <c r="EI54" i="57"/>
  <c r="EI53" i="57"/>
  <c r="EI52" i="57"/>
  <c r="EI51" i="57"/>
  <c r="EI50" i="57"/>
  <c r="EI49" i="57"/>
  <c r="EI48" i="57"/>
  <c r="EI47" i="57"/>
  <c r="EI46" i="57"/>
  <c r="EI45" i="57"/>
  <c r="EI44" i="57"/>
  <c r="EI43" i="57"/>
  <c r="EI42" i="57"/>
  <c r="EI41" i="57"/>
  <c r="EI40" i="57"/>
  <c r="EI39" i="57"/>
  <c r="EI38" i="57"/>
  <c r="EI37" i="57"/>
  <c r="EI36" i="57"/>
  <c r="EI35" i="57"/>
  <c r="EI34" i="57"/>
  <c r="EI33" i="57"/>
  <c r="EI32" i="57"/>
  <c r="EI31" i="57"/>
  <c r="EI30" i="57"/>
  <c r="EI29" i="57"/>
  <c r="EI28" i="57"/>
  <c r="EI27" i="57"/>
  <c r="EI26" i="57"/>
  <c r="EI25" i="57"/>
  <c r="EI24" i="57"/>
  <c r="EI23" i="57"/>
  <c r="EI22" i="57"/>
  <c r="EI21" i="57"/>
  <c r="EI20" i="57"/>
  <c r="EI19" i="57"/>
  <c r="EI18" i="57"/>
  <c r="EI17" i="57"/>
  <c r="EI16" i="57"/>
  <c r="EI15" i="57"/>
  <c r="EI14" i="57"/>
  <c r="EI13" i="57"/>
  <c r="EI12" i="57"/>
  <c r="EI11" i="57"/>
  <c r="EI10" i="57"/>
  <c r="EW110" i="57"/>
  <c r="EW109" i="57"/>
  <c r="EW108" i="57"/>
  <c r="EW107" i="57"/>
  <c r="EW106" i="57"/>
  <c r="EW105" i="57"/>
  <c r="EW104" i="57"/>
  <c r="EW103" i="57"/>
  <c r="EW102" i="57"/>
  <c r="EW101" i="57"/>
  <c r="EW100" i="57"/>
  <c r="EW99" i="57"/>
  <c r="EW98" i="57"/>
  <c r="EW97" i="57"/>
  <c r="EW96" i="57"/>
  <c r="EW95" i="57"/>
  <c r="EW94" i="57"/>
  <c r="EW93" i="57"/>
  <c r="EW92" i="57"/>
  <c r="EW91" i="57"/>
  <c r="EW90" i="57"/>
  <c r="EW89" i="57"/>
  <c r="EW88" i="57"/>
  <c r="EW87" i="57"/>
  <c r="EW86" i="57"/>
  <c r="EW85" i="57"/>
  <c r="EW84" i="57"/>
  <c r="EW83" i="57"/>
  <c r="EW82" i="57"/>
  <c r="EW81" i="57"/>
  <c r="EW80" i="57"/>
  <c r="EW79" i="57"/>
  <c r="EW78" i="57"/>
  <c r="EW77" i="57"/>
  <c r="EW76" i="57"/>
  <c r="EW75" i="57"/>
  <c r="EW74" i="57"/>
  <c r="EW73" i="57"/>
  <c r="EW72" i="57"/>
  <c r="EW71" i="57"/>
  <c r="EW70" i="57"/>
  <c r="EW69" i="57"/>
  <c r="EW68" i="57"/>
  <c r="EW67" i="57"/>
  <c r="EW66" i="57"/>
  <c r="EW65" i="57"/>
  <c r="EW64" i="57"/>
  <c r="EW63" i="57"/>
  <c r="EW62" i="57"/>
  <c r="EW61" i="57"/>
  <c r="EW60" i="57"/>
  <c r="EW59" i="57"/>
  <c r="EW58" i="57"/>
  <c r="EW57" i="57"/>
  <c r="EW56" i="57"/>
  <c r="EW55" i="57"/>
  <c r="EW54" i="57"/>
  <c r="EW53" i="57"/>
  <c r="EW52" i="57"/>
  <c r="EW51" i="57"/>
  <c r="EW50" i="57"/>
  <c r="EW49" i="57"/>
  <c r="EW48" i="57"/>
  <c r="EW47" i="57"/>
  <c r="EW46" i="57"/>
  <c r="EW45" i="57"/>
  <c r="EW44" i="57"/>
  <c r="EW43" i="57"/>
  <c r="EW42" i="57"/>
  <c r="EW41" i="57"/>
  <c r="EW40" i="57"/>
  <c r="EW39" i="57"/>
  <c r="EW38" i="57"/>
  <c r="EW37" i="57"/>
  <c r="EW36" i="57"/>
  <c r="EW35" i="57"/>
  <c r="EW34" i="57"/>
  <c r="EW33" i="57"/>
  <c r="EW32" i="57"/>
  <c r="EW31" i="57"/>
  <c r="EW30" i="57"/>
  <c r="EW29" i="57"/>
  <c r="EW28" i="57"/>
  <c r="EW27" i="57"/>
  <c r="EW26" i="57"/>
  <c r="EW25" i="57"/>
  <c r="EW24" i="57"/>
  <c r="EW23" i="57"/>
  <c r="EW22" i="57"/>
  <c r="EW21" i="57"/>
  <c r="EW20" i="57"/>
  <c r="EW19" i="57"/>
  <c r="EW18" i="57"/>
  <c r="EW17" i="57"/>
  <c r="EW16" i="57"/>
  <c r="EW15" i="57"/>
  <c r="EW14" i="57"/>
  <c r="EW13" i="57"/>
  <c r="EW12" i="57"/>
  <c r="EW11" i="57"/>
  <c r="EW10" i="57"/>
  <c r="FK110" i="57"/>
  <c r="FK109" i="57"/>
  <c r="FK108" i="57"/>
  <c r="FK107" i="57"/>
  <c r="FK106" i="57"/>
  <c r="FK105" i="57"/>
  <c r="FK104" i="57"/>
  <c r="FK103" i="57"/>
  <c r="FK102" i="57"/>
  <c r="FK101" i="57"/>
  <c r="FK100" i="57"/>
  <c r="FK99" i="57"/>
  <c r="FK98" i="57"/>
  <c r="FK97" i="57"/>
  <c r="FK96" i="57"/>
  <c r="FK95" i="57"/>
  <c r="FK94" i="57"/>
  <c r="FK93" i="57"/>
  <c r="FK92" i="57"/>
  <c r="FK91" i="57"/>
  <c r="FK90" i="57"/>
  <c r="FK89" i="57"/>
  <c r="FK88" i="57"/>
  <c r="FK87" i="57"/>
  <c r="FK86" i="57"/>
  <c r="FK85" i="57"/>
  <c r="FK84" i="57"/>
  <c r="FK83" i="57"/>
  <c r="FK82" i="57"/>
  <c r="FK81" i="57"/>
  <c r="FK80" i="57"/>
  <c r="FK79" i="57"/>
  <c r="FK78" i="57"/>
  <c r="FK77" i="57"/>
  <c r="FK76" i="57"/>
  <c r="FK75" i="57"/>
  <c r="FK74" i="57"/>
  <c r="FK73" i="57"/>
  <c r="FK72" i="57"/>
  <c r="FK71" i="57"/>
  <c r="FK70" i="57"/>
  <c r="FK69" i="57"/>
  <c r="FK68" i="57"/>
  <c r="FK67" i="57"/>
  <c r="FK66" i="57"/>
  <c r="FK65" i="57"/>
  <c r="FK64" i="57"/>
  <c r="FK63" i="57"/>
  <c r="FK62" i="57"/>
  <c r="FK61" i="57"/>
  <c r="FK60" i="57"/>
  <c r="FK59" i="57"/>
  <c r="FK58" i="57"/>
  <c r="FK57" i="57"/>
  <c r="FK56" i="57"/>
  <c r="FK55" i="57"/>
  <c r="FK54" i="57"/>
  <c r="FK53" i="57"/>
  <c r="FK52" i="57"/>
  <c r="FK51" i="57"/>
  <c r="FK50" i="57"/>
  <c r="FK49" i="57"/>
  <c r="FK48" i="57"/>
  <c r="FK47" i="57"/>
  <c r="FK46" i="57"/>
  <c r="FK45" i="57"/>
  <c r="FK44" i="57"/>
  <c r="FK43" i="57"/>
  <c r="FK42" i="57"/>
  <c r="FK41" i="57"/>
  <c r="FK40" i="57"/>
  <c r="FK39" i="57"/>
  <c r="FK38" i="57"/>
  <c r="FK37" i="57"/>
  <c r="FK36" i="57"/>
  <c r="FK35" i="57"/>
  <c r="FK34" i="57"/>
  <c r="FK33" i="57"/>
  <c r="FK32" i="57"/>
  <c r="FK31" i="57"/>
  <c r="FK30" i="57"/>
  <c r="FK29" i="57"/>
  <c r="FK28" i="57"/>
  <c r="FK27" i="57"/>
  <c r="FK26" i="57"/>
  <c r="FK25" i="57"/>
  <c r="FK24" i="57"/>
  <c r="FK23" i="57"/>
  <c r="FK22" i="57"/>
  <c r="FK21" i="57"/>
  <c r="FK20" i="57"/>
  <c r="FK19" i="57"/>
  <c r="FK18" i="57"/>
  <c r="FK17" i="57"/>
  <c r="FK16" i="57"/>
  <c r="FK15" i="57"/>
  <c r="FK14" i="57"/>
  <c r="FK13" i="57"/>
  <c r="FK12" i="57"/>
  <c r="FK11" i="57"/>
  <c r="FK10" i="57"/>
  <c r="FY110" i="57"/>
  <c r="FY109" i="57"/>
  <c r="FY108" i="57"/>
  <c r="FY107" i="57"/>
  <c r="FY106" i="57"/>
  <c r="FY105" i="57"/>
  <c r="FY104" i="57"/>
  <c r="FY103" i="57"/>
  <c r="FY102" i="57"/>
  <c r="FY101" i="57"/>
  <c r="FY100" i="57"/>
  <c r="FY99" i="57"/>
  <c r="FY98" i="57"/>
  <c r="FY97" i="57"/>
  <c r="FY96" i="57"/>
  <c r="FY95" i="57"/>
  <c r="FY94" i="57"/>
  <c r="FY93" i="57"/>
  <c r="FY92" i="57"/>
  <c r="FY91" i="57"/>
  <c r="FY90" i="57"/>
  <c r="FY89" i="57"/>
  <c r="FY88" i="57"/>
  <c r="FY87" i="57"/>
  <c r="FY86" i="57"/>
  <c r="FY85" i="57"/>
  <c r="FY84" i="57"/>
  <c r="FY83" i="57"/>
  <c r="FY82" i="57"/>
  <c r="FY81" i="57"/>
  <c r="FY80" i="57"/>
  <c r="FY79" i="57"/>
  <c r="FY78" i="57"/>
  <c r="FY77" i="57"/>
  <c r="FY76" i="57"/>
  <c r="FY75" i="57"/>
  <c r="FY74" i="57"/>
  <c r="FY73" i="57"/>
  <c r="FY72" i="57"/>
  <c r="FY71" i="57"/>
  <c r="FY70" i="57"/>
  <c r="FY69" i="57"/>
  <c r="FY68" i="57"/>
  <c r="FY67" i="57"/>
  <c r="FY66" i="57"/>
  <c r="FY65" i="57"/>
  <c r="FY64" i="57"/>
  <c r="FY63" i="57"/>
  <c r="FY62" i="57"/>
  <c r="FY61" i="57"/>
  <c r="FY60" i="57"/>
  <c r="FY59" i="57"/>
  <c r="FY58" i="57"/>
  <c r="FY57" i="57"/>
  <c r="FY56" i="57"/>
  <c r="FY55" i="57"/>
  <c r="FY54" i="57"/>
  <c r="FY53" i="57"/>
  <c r="FY52" i="57"/>
  <c r="FY51" i="57"/>
  <c r="FY50" i="57"/>
  <c r="FY49" i="57"/>
  <c r="FY48" i="57"/>
  <c r="FY47" i="57"/>
  <c r="FY46" i="57"/>
  <c r="FY45" i="57"/>
  <c r="FY44" i="57"/>
  <c r="FY43" i="57"/>
  <c r="FY42" i="57"/>
  <c r="FY41" i="57"/>
  <c r="FY40" i="57"/>
  <c r="FY39" i="57"/>
  <c r="FY38" i="57"/>
  <c r="FY37" i="57"/>
  <c r="FY36" i="57"/>
  <c r="FY35" i="57"/>
  <c r="FY34" i="57"/>
  <c r="FY33" i="57"/>
  <c r="FY32" i="57"/>
  <c r="FY31" i="57"/>
  <c r="FY30" i="57"/>
  <c r="FY29" i="57"/>
  <c r="FY28" i="57"/>
  <c r="FY27" i="57"/>
  <c r="FY26" i="57"/>
  <c r="FY25" i="57"/>
  <c r="FY24" i="57"/>
  <c r="FY23" i="57"/>
  <c r="FY22" i="57"/>
  <c r="FY21" i="57"/>
  <c r="FY20" i="57"/>
  <c r="FY19" i="57"/>
  <c r="FY18" i="57"/>
  <c r="FY17" i="57"/>
  <c r="FY16" i="57"/>
  <c r="FY15" i="57"/>
  <c r="FY14" i="57"/>
  <c r="FY13" i="57"/>
  <c r="FY12" i="57"/>
  <c r="FY11" i="57"/>
  <c r="FY10" i="57"/>
  <c r="GL14" i="57"/>
  <c r="GK14" i="57"/>
  <c r="GJ14" i="57"/>
  <c r="GI14" i="57"/>
  <c r="GL13" i="57"/>
  <c r="GK13" i="57"/>
  <c r="GJ13" i="57"/>
  <c r="GI13" i="57"/>
  <c r="GM13" i="57" s="1"/>
  <c r="GL12" i="57"/>
  <c r="GK12" i="57"/>
  <c r="GJ12" i="57"/>
  <c r="GI12" i="57"/>
  <c r="GM12" i="57" s="1"/>
  <c r="GL11" i="57"/>
  <c r="GK11" i="57"/>
  <c r="GJ11" i="57"/>
  <c r="GI11" i="57"/>
  <c r="GM11" i="57" s="1"/>
  <c r="GL10" i="57"/>
  <c r="GK10" i="57"/>
  <c r="GJ10" i="57"/>
  <c r="GI10" i="57"/>
  <c r="GM10" i="57" s="1"/>
  <c r="GM14" i="57"/>
  <c r="GM15" i="57"/>
  <c r="GM16" i="57"/>
  <c r="GM17" i="57"/>
  <c r="GM18" i="57"/>
  <c r="GM19" i="57"/>
  <c r="GM20" i="57"/>
  <c r="GM21" i="57"/>
  <c r="GM22" i="57"/>
  <c r="GM23" i="57"/>
  <c r="GM24" i="57"/>
  <c r="GM25" i="57"/>
  <c r="GM26" i="57"/>
  <c r="GM27" i="57"/>
  <c r="GM28" i="57"/>
  <c r="GM29" i="57"/>
  <c r="GM30" i="57"/>
  <c r="GM31" i="57"/>
  <c r="GM32" i="57"/>
  <c r="GM33" i="57"/>
  <c r="GM34" i="57"/>
  <c r="GM35" i="57"/>
  <c r="GM36" i="57"/>
  <c r="GM37" i="57"/>
  <c r="GM38" i="57"/>
  <c r="GM39" i="57"/>
  <c r="GM40" i="57"/>
  <c r="GM41" i="57"/>
  <c r="GM42" i="57"/>
  <c r="GM43" i="57"/>
  <c r="GM44" i="57"/>
  <c r="GM45" i="57"/>
  <c r="GM46" i="57"/>
  <c r="GM47" i="57"/>
  <c r="GM48" i="57"/>
  <c r="GM49" i="57"/>
  <c r="GM50" i="57"/>
  <c r="GM51" i="57"/>
  <c r="GM52" i="57"/>
  <c r="GM53" i="57"/>
  <c r="GM54" i="57"/>
  <c r="GM55" i="57"/>
  <c r="GM56" i="57"/>
  <c r="GM57" i="57"/>
  <c r="GM58" i="57"/>
  <c r="GM59" i="57"/>
  <c r="GM60" i="57"/>
  <c r="GM61" i="57"/>
  <c r="GM62" i="57"/>
  <c r="GM63" i="57"/>
  <c r="GM64" i="57"/>
  <c r="GM65" i="57"/>
  <c r="GM66" i="57"/>
  <c r="GM67" i="57"/>
  <c r="GM68" i="57"/>
  <c r="GM69" i="57"/>
  <c r="GM70" i="57"/>
  <c r="GM71" i="57"/>
  <c r="GM72" i="57"/>
  <c r="GM73" i="57"/>
  <c r="GM74" i="57"/>
  <c r="GM75" i="57"/>
  <c r="GM76" i="57"/>
  <c r="GM77" i="57"/>
  <c r="GM78" i="57"/>
  <c r="GM79" i="57"/>
  <c r="GM80" i="57"/>
  <c r="GM81" i="57"/>
  <c r="GM82" i="57"/>
  <c r="GM83" i="57"/>
  <c r="GM84" i="57"/>
  <c r="GM85" i="57"/>
  <c r="GM86" i="57"/>
  <c r="GM87" i="57"/>
  <c r="GM88" i="57"/>
  <c r="GM89" i="57"/>
  <c r="GM90" i="57"/>
  <c r="GM91" i="57"/>
  <c r="GM92" i="57"/>
  <c r="GM93" i="57"/>
  <c r="GM94" i="57"/>
  <c r="GM95" i="57"/>
  <c r="GM96" i="57"/>
  <c r="GM97" i="57"/>
  <c r="GM98" i="57"/>
  <c r="GM99" i="57"/>
  <c r="GM100" i="57"/>
  <c r="GM101" i="57"/>
  <c r="GM102" i="57"/>
  <c r="GM103" i="57"/>
  <c r="GM104" i="57"/>
  <c r="GM105" i="57"/>
  <c r="GM106" i="57"/>
  <c r="GM107" i="57"/>
  <c r="GM108" i="57"/>
  <c r="GM109" i="57"/>
  <c r="GM110" i="57"/>
  <c r="BD13" i="46"/>
  <c r="BC13" i="46"/>
  <c r="BD13" i="45"/>
  <c r="BC13" i="45"/>
  <c r="BD13" i="38"/>
  <c r="BC13" i="38"/>
  <c r="FJ16" i="7"/>
  <c r="FK16" i="7" s="1"/>
  <c r="FL16" i="7" s="1"/>
  <c r="FB16" i="7"/>
  <c r="FC16" i="7" s="1"/>
  <c r="FD16" i="7" s="1"/>
  <c r="ET16" i="7"/>
  <c r="EU16" i="7" s="1"/>
  <c r="EV16" i="7" s="1"/>
  <c r="EL16" i="7"/>
  <c r="EM16" i="7" s="1"/>
  <c r="EN16" i="7" s="1"/>
  <c r="ED16" i="7"/>
  <c r="EE16" i="7" s="1"/>
  <c r="EF16" i="7" s="1"/>
  <c r="GI16" i="7"/>
  <c r="GJ16" i="7" s="1"/>
  <c r="GK16" i="7" s="1"/>
  <c r="FS16" i="7"/>
  <c r="FT16" i="7" s="1"/>
  <c r="FU16" i="7" s="1"/>
  <c r="GA16" i="7"/>
  <c r="GB16" i="7" s="1"/>
  <c r="GC16" i="7" s="1"/>
  <c r="GH15" i="7"/>
  <c r="FZ15" i="7"/>
  <c r="GO14" i="7"/>
  <c r="GN13" i="7"/>
  <c r="GM13" i="7"/>
  <c r="GL13" i="7"/>
  <c r="GK13" i="7"/>
  <c r="GJ13" i="7"/>
  <c r="GI13" i="7"/>
  <c r="GG14" i="7"/>
  <c r="GF13" i="7"/>
  <c r="GE13" i="7"/>
  <c r="GD13" i="7"/>
  <c r="GC13" i="7"/>
  <c r="GB13" i="7"/>
  <c r="GA13" i="7"/>
  <c r="FY14" i="7"/>
  <c r="FX13" i="7"/>
  <c r="FW13" i="7"/>
  <c r="FV13" i="7"/>
  <c r="FU13" i="7"/>
  <c r="FT13" i="7"/>
  <c r="HE4" i="76"/>
  <c r="HD4" i="76"/>
  <c r="HD2" i="76" s="1"/>
  <c r="HT4" i="76"/>
  <c r="HS4" i="76"/>
  <c r="GY1" i="76"/>
  <c r="GZ1" i="76" s="1"/>
  <c r="HA1" i="76" s="1"/>
  <c r="HB1" i="76" s="1"/>
  <c r="HC1" i="76" s="1"/>
  <c r="HD1" i="76" s="1"/>
  <c r="HE1" i="76" s="1"/>
  <c r="HF1" i="76" s="1"/>
  <c r="HG1" i="76" s="1"/>
  <c r="HH1" i="76" s="1"/>
  <c r="HI1" i="76" s="1"/>
  <c r="GX1" i="76"/>
  <c r="HS2" i="76"/>
  <c r="HM1" i="76"/>
  <c r="HN1" i="76" s="1"/>
  <c r="HO1" i="76" s="1"/>
  <c r="HP1" i="76" s="1"/>
  <c r="HQ1" i="76" s="1"/>
  <c r="HR1" i="76" s="1"/>
  <c r="HS1" i="76" s="1"/>
  <c r="HT1" i="76" s="1"/>
  <c r="HU1" i="76" s="1"/>
  <c r="HV1" i="76" s="1"/>
  <c r="HW1" i="76" s="1"/>
  <c r="HX1" i="76" s="1"/>
  <c r="K4" i="76"/>
  <c r="J4" i="76"/>
  <c r="J2" i="76" s="1"/>
  <c r="EB2" i="76"/>
  <c r="D1" i="76"/>
  <c r="E1" i="76" s="1"/>
  <c r="F1" i="76" s="1"/>
  <c r="G1" i="76" s="1"/>
  <c r="H1" i="76" s="1"/>
  <c r="HJ108" i="76"/>
  <c r="GG98" i="7" s="1"/>
  <c r="HJ23" i="76"/>
  <c r="GG143" i="7" s="1"/>
  <c r="HC21" i="76"/>
  <c r="GB141" i="7" s="1"/>
  <c r="HJ19" i="76"/>
  <c r="GG139" i="7" s="1"/>
  <c r="HJ15" i="76"/>
  <c r="GG135" i="7" s="1"/>
  <c r="HJ11" i="76"/>
  <c r="GG131" i="7" s="1"/>
  <c r="HB10" i="76"/>
  <c r="HB16" i="76"/>
  <c r="GA136" i="7" s="1"/>
  <c r="HY110" i="76"/>
  <c r="GO100" i="7" s="1"/>
  <c r="HY106" i="76"/>
  <c r="GO96" i="7" s="1"/>
  <c r="HY103" i="76"/>
  <c r="GO93" i="7" s="1"/>
  <c r="HY102" i="76"/>
  <c r="GO92" i="7" s="1"/>
  <c r="HY98" i="76"/>
  <c r="GO88" i="7" s="1"/>
  <c r="HY95" i="76"/>
  <c r="GO85" i="7" s="1"/>
  <c r="HY94" i="76"/>
  <c r="GO84" i="7" s="1"/>
  <c r="HY90" i="76"/>
  <c r="GO80" i="7" s="1"/>
  <c r="HY87" i="76"/>
  <c r="GO77" i="7" s="1"/>
  <c r="HY83" i="76"/>
  <c r="GO73" i="7" s="1"/>
  <c r="HY79" i="76"/>
  <c r="GO69" i="7" s="1"/>
  <c r="HY74" i="76"/>
  <c r="GO64" i="7" s="1"/>
  <c r="HY67" i="76"/>
  <c r="GO57" i="7" s="1"/>
  <c r="HY63" i="76"/>
  <c r="GO53" i="7" s="1"/>
  <c r="HY29" i="76"/>
  <c r="GO149" i="7" s="1"/>
  <c r="HS26" i="76"/>
  <c r="HY23" i="76"/>
  <c r="GO143" i="7" s="1"/>
  <c r="HS20" i="76"/>
  <c r="HS12" i="76"/>
  <c r="HY11" i="76"/>
  <c r="GO131" i="7" s="1"/>
  <c r="HS10" i="76"/>
  <c r="HS28" i="76"/>
  <c r="HQ46" i="76"/>
  <c r="GI36" i="7" s="1"/>
  <c r="HM6" i="76"/>
  <c r="HN6" i="76" s="1"/>
  <c r="HO6" i="76" s="1"/>
  <c r="HP6" i="76" s="1"/>
  <c r="HQ6" i="76" s="1"/>
  <c r="HR6" i="76" s="1"/>
  <c r="HS6" i="76" s="1"/>
  <c r="HT6" i="76" s="1"/>
  <c r="HU6" i="76" s="1"/>
  <c r="HV6" i="76" s="1"/>
  <c r="HW6" i="76" s="1"/>
  <c r="HX6" i="76" s="1"/>
  <c r="HV3" i="76"/>
  <c r="HV4" i="76" s="1"/>
  <c r="HV2" i="76" s="1"/>
  <c r="GL14" i="7" s="1"/>
  <c r="HU3" i="76"/>
  <c r="HU4" i="76" s="1"/>
  <c r="HU2" i="76" s="1"/>
  <c r="GK14" i="7" s="1"/>
  <c r="HS3" i="76"/>
  <c r="HR3" i="76"/>
  <c r="HR4" i="76" s="1"/>
  <c r="HR2" i="76" s="1"/>
  <c r="GJ14" i="7" s="1"/>
  <c r="HQ3" i="76"/>
  <c r="HQ4" i="76" s="1"/>
  <c r="HQ2" i="76" s="1"/>
  <c r="GI14" i="7" s="1"/>
  <c r="FI15" i="7"/>
  <c r="FA15" i="7"/>
  <c r="ES15" i="7"/>
  <c r="EK15" i="7"/>
  <c r="EC15" i="7"/>
  <c r="EB15" i="7"/>
  <c r="EA15" i="7"/>
  <c r="FP6" i="7"/>
  <c r="FO6" i="7"/>
  <c r="FN6" i="7"/>
  <c r="FM6" i="7"/>
  <c r="FL6" i="7"/>
  <c r="FK6" i="7"/>
  <c r="FH6" i="7"/>
  <c r="FG6" i="7"/>
  <c r="FF6" i="7"/>
  <c r="FE6" i="7"/>
  <c r="FD6" i="7"/>
  <c r="FC6" i="7"/>
  <c r="EZ6" i="7"/>
  <c r="EY6" i="7"/>
  <c r="EX6" i="7"/>
  <c r="EW6" i="7"/>
  <c r="EV6" i="7"/>
  <c r="EU6" i="7"/>
  <c r="ER6" i="7"/>
  <c r="EQ6" i="7"/>
  <c r="EP6" i="7"/>
  <c r="EO6" i="7"/>
  <c r="EN6" i="7"/>
  <c r="EM6" i="7"/>
  <c r="EJ6" i="7"/>
  <c r="EI6" i="7"/>
  <c r="EH6" i="7"/>
  <c r="EG6" i="7"/>
  <c r="EF6" i="7"/>
  <c r="EE6" i="7"/>
  <c r="GJ12" i="76"/>
  <c r="GI12" i="76"/>
  <c r="GJ11" i="76"/>
  <c r="GI11" i="76"/>
  <c r="HB91" i="76"/>
  <c r="GA81" i="7" s="1"/>
  <c r="HC91" i="76"/>
  <c r="GB81" i="7" s="1"/>
  <c r="HB43" i="76"/>
  <c r="GA33" i="7" s="1"/>
  <c r="HC38" i="76"/>
  <c r="GB28" i="7" s="1"/>
  <c r="HB15" i="76"/>
  <c r="GA135" i="7" s="1"/>
  <c r="GX6" i="76"/>
  <c r="GY6" i="76" s="1"/>
  <c r="GZ6" i="76" s="1"/>
  <c r="HA6" i="76" s="1"/>
  <c r="HB6" i="76" s="1"/>
  <c r="HC6" i="76" s="1"/>
  <c r="HD6" i="76" s="1"/>
  <c r="HE6" i="76" s="1"/>
  <c r="HF6" i="76" s="1"/>
  <c r="HG6" i="76" s="1"/>
  <c r="HH6" i="76" s="1"/>
  <c r="HI6" i="76" s="1"/>
  <c r="HG3" i="76"/>
  <c r="HG4" i="76" s="1"/>
  <c r="HG2" i="76" s="1"/>
  <c r="GD14" i="7" s="1"/>
  <c r="HF3" i="76"/>
  <c r="HF4" i="76" s="1"/>
  <c r="HF2" i="76" s="1"/>
  <c r="GC14" i="7" s="1"/>
  <c r="HD3" i="76"/>
  <c r="HC3" i="76"/>
  <c r="HC4" i="76" s="1"/>
  <c r="HC2" i="76" s="1"/>
  <c r="GB14" i="7" s="1"/>
  <c r="HB3" i="76"/>
  <c r="HB4" i="76" s="1"/>
  <c r="HB2" i="76" s="1"/>
  <c r="GA14" i="7" s="1"/>
  <c r="GJ10" i="76"/>
  <c r="GI10" i="76"/>
  <c r="DU3" i="56"/>
  <c r="DT3" i="56"/>
  <c r="DR3" i="56"/>
  <c r="DQ3" i="56"/>
  <c r="DP3" i="56"/>
  <c r="DG3" i="56"/>
  <c r="DF3" i="56"/>
  <c r="DD3" i="56"/>
  <c r="DC3" i="56"/>
  <c r="DB3" i="56"/>
  <c r="CS3" i="56"/>
  <c r="CR3" i="56"/>
  <c r="CP3" i="56"/>
  <c r="CO3" i="56"/>
  <c r="CN3" i="56"/>
  <c r="CE3" i="56"/>
  <c r="CD3" i="56"/>
  <c r="CB3" i="56"/>
  <c r="CA3" i="56"/>
  <c r="BZ3" i="56"/>
  <c r="BQ3" i="56"/>
  <c r="BP3" i="56"/>
  <c r="BN3" i="56"/>
  <c r="BM3" i="56"/>
  <c r="BL3" i="56"/>
  <c r="BC3" i="56"/>
  <c r="BB3" i="56"/>
  <c r="AZ3" i="56"/>
  <c r="AY3" i="56"/>
  <c r="AX3" i="56"/>
  <c r="AO3" i="56"/>
  <c r="AN3" i="56"/>
  <c r="AL3" i="56"/>
  <c r="AK3" i="56"/>
  <c r="AJ3" i="56"/>
  <c r="AA3" i="56"/>
  <c r="Z3" i="56"/>
  <c r="X3" i="56"/>
  <c r="W3" i="56"/>
  <c r="V3" i="56"/>
  <c r="M3" i="56"/>
  <c r="L3" i="56"/>
  <c r="J3" i="56"/>
  <c r="I3" i="56"/>
  <c r="H3" i="56"/>
  <c r="DU3" i="57"/>
  <c r="DT3" i="57"/>
  <c r="DR3" i="57"/>
  <c r="DQ3" i="57"/>
  <c r="DP3" i="57"/>
  <c r="DG3" i="57"/>
  <c r="DF3" i="57"/>
  <c r="DD3" i="57"/>
  <c r="DC3" i="57"/>
  <c r="DB3" i="57"/>
  <c r="CS3" i="57"/>
  <c r="CR3" i="57"/>
  <c r="CP3" i="57"/>
  <c r="CO3" i="57"/>
  <c r="CN3" i="57"/>
  <c r="CE3" i="57"/>
  <c r="CD3" i="57"/>
  <c r="CB3" i="57"/>
  <c r="CA3" i="57"/>
  <c r="BZ3" i="57"/>
  <c r="BQ3" i="57"/>
  <c r="BP3" i="57"/>
  <c r="BN3" i="57"/>
  <c r="BM3" i="57"/>
  <c r="BL3" i="57"/>
  <c r="BC3" i="57"/>
  <c r="BB3" i="57"/>
  <c r="AZ3" i="57"/>
  <c r="AY3" i="57"/>
  <c r="AX3" i="57"/>
  <c r="AO3" i="57"/>
  <c r="AN3" i="57"/>
  <c r="AL3" i="57"/>
  <c r="AK3" i="57"/>
  <c r="AJ3" i="57"/>
  <c r="AA3" i="57"/>
  <c r="Z3" i="57"/>
  <c r="X3" i="57"/>
  <c r="W3" i="57"/>
  <c r="V3" i="57"/>
  <c r="M3" i="57"/>
  <c r="L3" i="57"/>
  <c r="J3" i="57"/>
  <c r="I3" i="57"/>
  <c r="H3" i="57"/>
  <c r="DU3" i="76"/>
  <c r="DT3" i="76"/>
  <c r="DR3" i="76"/>
  <c r="DQ3" i="76"/>
  <c r="DP3" i="76"/>
  <c r="DG3" i="76"/>
  <c r="DF3" i="76"/>
  <c r="DD3" i="76"/>
  <c r="DC3" i="76"/>
  <c r="DB3" i="76"/>
  <c r="CS3" i="76"/>
  <c r="CR3" i="76"/>
  <c r="CP3" i="76"/>
  <c r="CO3" i="76"/>
  <c r="CN3" i="76"/>
  <c r="CE3" i="76"/>
  <c r="CD3" i="76"/>
  <c r="CB3" i="76"/>
  <c r="CA3" i="76"/>
  <c r="BZ3" i="76"/>
  <c r="BQ3" i="76"/>
  <c r="BP3" i="76"/>
  <c r="BN3" i="76"/>
  <c r="BM3" i="76"/>
  <c r="BL3" i="76"/>
  <c r="BC3" i="76"/>
  <c r="BB3" i="76"/>
  <c r="AZ3" i="76"/>
  <c r="AY3" i="76"/>
  <c r="AX3" i="76"/>
  <c r="AO3" i="76"/>
  <c r="AN3" i="76"/>
  <c r="AL3" i="76"/>
  <c r="AK3" i="76"/>
  <c r="AJ3" i="76"/>
  <c r="AA3" i="76"/>
  <c r="Z3" i="76"/>
  <c r="X3" i="76"/>
  <c r="W3" i="76"/>
  <c r="V3" i="76"/>
  <c r="M3" i="76"/>
  <c r="M4" i="76" s="1"/>
  <c r="M2" i="76" s="1"/>
  <c r="FV14" i="7" s="1"/>
  <c r="L3" i="76"/>
  <c r="L4" i="76" s="1"/>
  <c r="L2" i="76" s="1"/>
  <c r="FU14" i="7" s="1"/>
  <c r="J3" i="76"/>
  <c r="I3" i="76"/>
  <c r="I4" i="76" s="1"/>
  <c r="I2" i="76" s="1"/>
  <c r="FT14" i="7" s="1"/>
  <c r="H3" i="76"/>
  <c r="H4" i="76" s="1"/>
  <c r="H2" i="76" s="1"/>
  <c r="FS14" i="7" s="1"/>
  <c r="DU3" i="70"/>
  <c r="DT3" i="70"/>
  <c r="DR3" i="70"/>
  <c r="DQ3" i="70"/>
  <c r="DP3" i="70"/>
  <c r="DG3" i="70"/>
  <c r="DF3" i="70"/>
  <c r="DD3" i="70"/>
  <c r="DC3" i="70"/>
  <c r="DB3" i="70"/>
  <c r="CS3" i="70"/>
  <c r="CR3" i="70"/>
  <c r="CP3" i="70"/>
  <c r="CO3" i="70"/>
  <c r="CN3" i="70"/>
  <c r="CE3" i="70"/>
  <c r="CD3" i="70"/>
  <c r="CB3" i="70"/>
  <c r="CA3" i="70"/>
  <c r="BZ3" i="70"/>
  <c r="BQ3" i="70"/>
  <c r="BP3" i="70"/>
  <c r="BN3" i="70"/>
  <c r="BM3" i="70"/>
  <c r="BL3" i="70"/>
  <c r="BC3" i="70"/>
  <c r="BB3" i="70"/>
  <c r="AZ3" i="70"/>
  <c r="AY3" i="70"/>
  <c r="AX3" i="70"/>
  <c r="AO3" i="70"/>
  <c r="AN3" i="70"/>
  <c r="AL3" i="70"/>
  <c r="AK3" i="70"/>
  <c r="AJ3" i="70"/>
  <c r="AA3" i="70"/>
  <c r="Z3" i="70"/>
  <c r="X3" i="70"/>
  <c r="W3" i="70"/>
  <c r="V3" i="70"/>
  <c r="M3" i="70"/>
  <c r="L3" i="70"/>
  <c r="I3" i="70"/>
  <c r="H3" i="70"/>
  <c r="N48" i="55"/>
  <c r="DI3" i="56" s="1"/>
  <c r="HB26" i="76" l="1"/>
  <c r="GA146" i="7" s="1"/>
  <c r="HJ27" i="76"/>
  <c r="GG147" i="7" s="1"/>
  <c r="HC29" i="76"/>
  <c r="GB149" i="7" s="1"/>
  <c r="HB30" i="76"/>
  <c r="HJ31" i="76"/>
  <c r="GG21" i="7" s="1"/>
  <c r="HC33" i="76"/>
  <c r="GB23" i="7" s="1"/>
  <c r="HJ35" i="76"/>
  <c r="GG25" i="7" s="1"/>
  <c r="HJ39" i="76"/>
  <c r="GG29" i="7" s="1"/>
  <c r="HB42" i="76"/>
  <c r="GA32" i="7" s="1"/>
  <c r="HJ43" i="76"/>
  <c r="GG33" i="7" s="1"/>
  <c r="HB46" i="76"/>
  <c r="GA36" i="7" s="1"/>
  <c r="HJ47" i="76"/>
  <c r="GG37" i="7" s="1"/>
  <c r="HJ51" i="76"/>
  <c r="GG41" i="7" s="1"/>
  <c r="HC53" i="76"/>
  <c r="GB43" i="7" s="1"/>
  <c r="HJ55" i="76"/>
  <c r="GG45" i="7" s="1"/>
  <c r="HC57" i="76"/>
  <c r="GB47" i="7" s="1"/>
  <c r="HB58" i="76"/>
  <c r="GA48" i="7" s="1"/>
  <c r="HJ59" i="76"/>
  <c r="GG49" i="7" s="1"/>
  <c r="HJ63" i="76"/>
  <c r="GG53" i="7" s="1"/>
  <c r="HC65" i="76"/>
  <c r="GB55" i="7" s="1"/>
  <c r="HJ67" i="76"/>
  <c r="GG57" i="7" s="1"/>
  <c r="HJ71" i="76"/>
  <c r="GG61" i="7" s="1"/>
  <c r="HJ75" i="76"/>
  <c r="GG65" i="7" s="1"/>
  <c r="HJ79" i="76"/>
  <c r="GG69" i="7" s="1"/>
  <c r="HJ83" i="76"/>
  <c r="GG73" i="7" s="1"/>
  <c r="HJ87" i="76"/>
  <c r="GG77" i="7" s="1"/>
  <c r="HJ91" i="76"/>
  <c r="GG81" i="7" s="1"/>
  <c r="HJ95" i="76"/>
  <c r="GG85" i="7" s="1"/>
  <c r="HJ99" i="76"/>
  <c r="GG89" i="7" s="1"/>
  <c r="HJ103" i="76"/>
  <c r="GG93" i="7" s="1"/>
  <c r="HJ107" i="76"/>
  <c r="GG97" i="7" s="1"/>
  <c r="HS62" i="76"/>
  <c r="HS64" i="76"/>
  <c r="HT64" i="76" s="1"/>
  <c r="HS68" i="76"/>
  <c r="HC14" i="76"/>
  <c r="GB134" i="7" s="1"/>
  <c r="HB23" i="76"/>
  <c r="GA143" i="7" s="1"/>
  <c r="HB27" i="76"/>
  <c r="GA147" i="7" s="1"/>
  <c r="HB67" i="76"/>
  <c r="GA57" i="7" s="1"/>
  <c r="HB75" i="76"/>
  <c r="GA65" i="7" s="1"/>
  <c r="HB95" i="76"/>
  <c r="GA85" i="7" s="1"/>
  <c r="HS14" i="76"/>
  <c r="HT14" i="76" s="1"/>
  <c r="HS22" i="76"/>
  <c r="HS24" i="76"/>
  <c r="HS30" i="76"/>
  <c r="HS34" i="76"/>
  <c r="HS46" i="76"/>
  <c r="HS50" i="76"/>
  <c r="HY18" i="76"/>
  <c r="GO138" i="7" s="1"/>
  <c r="HS19" i="76"/>
  <c r="HT19" i="76" s="1"/>
  <c r="HY21" i="76"/>
  <c r="GO141" i="7" s="1"/>
  <c r="HY24" i="76"/>
  <c r="GO144" i="7" s="1"/>
  <c r="HY27" i="76"/>
  <c r="GO147" i="7" s="1"/>
  <c r="HY30" i="76"/>
  <c r="GO150" i="7" s="1"/>
  <c r="HY38" i="76"/>
  <c r="GO28" i="7" s="1"/>
  <c r="HY42" i="76"/>
  <c r="GO32" i="7" s="1"/>
  <c r="HY46" i="76"/>
  <c r="GO36" i="7" s="1"/>
  <c r="HY50" i="76"/>
  <c r="GO40" i="7" s="1"/>
  <c r="AI31" i="4"/>
  <c r="AG32" i="4"/>
  <c r="AH32" i="4"/>
  <c r="AJ31" i="4"/>
  <c r="HY15" i="76"/>
  <c r="GO135" i="7" s="1"/>
  <c r="HS16" i="76"/>
  <c r="HY19" i="76"/>
  <c r="GO139" i="7" s="1"/>
  <c r="HY22" i="76"/>
  <c r="GO142" i="7" s="1"/>
  <c r="P11" i="76"/>
  <c r="FY131" i="7" s="1"/>
  <c r="P13" i="76"/>
  <c r="FY133" i="7" s="1"/>
  <c r="P15" i="76"/>
  <c r="FY135" i="7" s="1"/>
  <c r="P17" i="76"/>
  <c r="FY137" i="7" s="1"/>
  <c r="P19" i="76"/>
  <c r="FY139" i="7" s="1"/>
  <c r="P21" i="76"/>
  <c r="FY141" i="7" s="1"/>
  <c r="P23" i="76"/>
  <c r="FY143" i="7" s="1"/>
  <c r="P25" i="76"/>
  <c r="FY145" i="7" s="1"/>
  <c r="P27" i="76"/>
  <c r="FY147" i="7" s="1"/>
  <c r="P29" i="76"/>
  <c r="FY149" i="7" s="1"/>
  <c r="P31" i="76"/>
  <c r="FY21" i="7" s="1"/>
  <c r="P33" i="76"/>
  <c r="FY23" i="7" s="1"/>
  <c r="P35" i="76"/>
  <c r="FY25" i="7" s="1"/>
  <c r="P37" i="76"/>
  <c r="FY27" i="7" s="1"/>
  <c r="P39" i="76"/>
  <c r="FY29" i="7" s="1"/>
  <c r="P41" i="76"/>
  <c r="FY31" i="7" s="1"/>
  <c r="P43" i="76"/>
  <c r="FY33" i="7" s="1"/>
  <c r="P45" i="76"/>
  <c r="FY35" i="7" s="1"/>
  <c r="P47" i="76"/>
  <c r="FY37" i="7" s="1"/>
  <c r="P49" i="76"/>
  <c r="FY39" i="7" s="1"/>
  <c r="P51" i="76"/>
  <c r="FY41" i="7" s="1"/>
  <c r="P53" i="76"/>
  <c r="FY43" i="7" s="1"/>
  <c r="P55" i="76"/>
  <c r="FY45" i="7" s="1"/>
  <c r="P57" i="76"/>
  <c r="FY47" i="7" s="1"/>
  <c r="P59" i="76"/>
  <c r="FY49" i="7" s="1"/>
  <c r="P61" i="76"/>
  <c r="FY51" i="7" s="1"/>
  <c r="P63" i="76"/>
  <c r="FY53" i="7" s="1"/>
  <c r="P65" i="76"/>
  <c r="FY55" i="7" s="1"/>
  <c r="P67" i="76"/>
  <c r="FY57" i="7" s="1"/>
  <c r="P69" i="76"/>
  <c r="FY59" i="7" s="1"/>
  <c r="P71" i="76"/>
  <c r="FY61" i="7" s="1"/>
  <c r="P73" i="76"/>
  <c r="FY63" i="7" s="1"/>
  <c r="P75" i="76"/>
  <c r="FY65" i="7" s="1"/>
  <c r="P77" i="76"/>
  <c r="FY67" i="7" s="1"/>
  <c r="P79" i="76"/>
  <c r="FY69" i="7" s="1"/>
  <c r="P81" i="76"/>
  <c r="FY71" i="7" s="1"/>
  <c r="P83" i="76"/>
  <c r="FY73" i="7" s="1"/>
  <c r="P85" i="76"/>
  <c r="FY75" i="7" s="1"/>
  <c r="P87" i="76"/>
  <c r="FY77" i="7" s="1"/>
  <c r="P89" i="76"/>
  <c r="FY79" i="7" s="1"/>
  <c r="P91" i="76"/>
  <c r="FY81" i="7" s="1"/>
  <c r="P93" i="76"/>
  <c r="FY83" i="7" s="1"/>
  <c r="P95" i="76"/>
  <c r="FY85" i="7" s="1"/>
  <c r="P97" i="76"/>
  <c r="FY87" i="7" s="1"/>
  <c r="P99" i="76"/>
  <c r="FY89" i="7" s="1"/>
  <c r="P101" i="76"/>
  <c r="FY91" i="7" s="1"/>
  <c r="P103" i="76"/>
  <c r="FY93" i="7" s="1"/>
  <c r="P105" i="76"/>
  <c r="FY95" i="7" s="1"/>
  <c r="P107" i="76"/>
  <c r="FY97" i="7" s="1"/>
  <c r="P109" i="76"/>
  <c r="FY99" i="7" s="1"/>
  <c r="HY40" i="76"/>
  <c r="GO30" i="7" s="1"/>
  <c r="HY51" i="76"/>
  <c r="GO41" i="7" s="1"/>
  <c r="HS52" i="76"/>
  <c r="HS60" i="76"/>
  <c r="HY69" i="76"/>
  <c r="GO59" i="7" s="1"/>
  <c r="HY73" i="76"/>
  <c r="GO63" i="7" s="1"/>
  <c r="HY77" i="76"/>
  <c r="GO67" i="7" s="1"/>
  <c r="HD15" i="76"/>
  <c r="HJ17" i="76"/>
  <c r="GG137" i="7" s="1"/>
  <c r="CG3" i="70"/>
  <c r="DI3" i="70"/>
  <c r="CG3" i="57"/>
  <c r="O3" i="70"/>
  <c r="BE3" i="57"/>
  <c r="BD3" i="76"/>
  <c r="AB3" i="56"/>
  <c r="BR3" i="70"/>
  <c r="DI3" i="76"/>
  <c r="CG3" i="56"/>
  <c r="HS54" i="76"/>
  <c r="HS58" i="76"/>
  <c r="HT58" i="76" s="1"/>
  <c r="HY78" i="76"/>
  <c r="GO68" i="7" s="1"/>
  <c r="HY82" i="76"/>
  <c r="GO72" i="7" s="1"/>
  <c r="HB19" i="76"/>
  <c r="GA139" i="7" s="1"/>
  <c r="HC26" i="76"/>
  <c r="GB146" i="7" s="1"/>
  <c r="HB39" i="76"/>
  <c r="GA29" i="7" s="1"/>
  <c r="HC42" i="76"/>
  <c r="GB32" i="7" s="1"/>
  <c r="HB55" i="76"/>
  <c r="GA45" i="7" s="1"/>
  <c r="HB79" i="76"/>
  <c r="GA69" i="7" s="1"/>
  <c r="HB99" i="76"/>
  <c r="GA89" i="7" s="1"/>
  <c r="HB107" i="76"/>
  <c r="GA97" i="7" s="1"/>
  <c r="HS42" i="76"/>
  <c r="HY10" i="76"/>
  <c r="GO130" i="7" s="1"/>
  <c r="HP9" i="76"/>
  <c r="HY32" i="76"/>
  <c r="GO22" i="7" s="1"/>
  <c r="HY35" i="76"/>
  <c r="GO25" i="7" s="1"/>
  <c r="HS36" i="76"/>
  <c r="HS40" i="76"/>
  <c r="HT40" i="76" s="1"/>
  <c r="HV40" i="76" s="1"/>
  <c r="GL30" i="7" s="1"/>
  <c r="HY43" i="76"/>
  <c r="GO33" i="7" s="1"/>
  <c r="HY54" i="76"/>
  <c r="GO44" i="7" s="1"/>
  <c r="HY58" i="76"/>
  <c r="GO48" i="7" s="1"/>
  <c r="HS66" i="76"/>
  <c r="HT66" i="76" s="1"/>
  <c r="HY71" i="76"/>
  <c r="GO61" i="7" s="1"/>
  <c r="HY76" i="76"/>
  <c r="GO66" i="7" s="1"/>
  <c r="HY80" i="76"/>
  <c r="GO70" i="7" s="1"/>
  <c r="HY84" i="76"/>
  <c r="GO74" i="7" s="1"/>
  <c r="HJ45" i="76"/>
  <c r="GG35" i="7" s="1"/>
  <c r="HJ61" i="76"/>
  <c r="GG51" i="7" s="1"/>
  <c r="HX3" i="76"/>
  <c r="HX4" i="76" s="1"/>
  <c r="HX2" i="76" s="1"/>
  <c r="GN14" i="7" s="1"/>
  <c r="GN15" i="7" s="1"/>
  <c r="AB3" i="76"/>
  <c r="CT3" i="76"/>
  <c r="DV3" i="57"/>
  <c r="BR3" i="56"/>
  <c r="DW3" i="70"/>
  <c r="BS3" i="76"/>
  <c r="CU3" i="76"/>
  <c r="AP3" i="57"/>
  <c r="CU3" i="57"/>
  <c r="AQ3" i="56"/>
  <c r="BS3" i="56"/>
  <c r="AP3" i="70"/>
  <c r="DH3" i="70"/>
  <c r="N3" i="57"/>
  <c r="CF3" i="57"/>
  <c r="DH3" i="56"/>
  <c r="HW3" i="76"/>
  <c r="HW4" i="76" s="1"/>
  <c r="HW2" i="76" s="1"/>
  <c r="GM14" i="7" s="1"/>
  <c r="GM15" i="7" s="1"/>
  <c r="P18" i="76"/>
  <c r="FY138" i="7" s="1"/>
  <c r="P44" i="76"/>
  <c r="FY34" i="7" s="1"/>
  <c r="P50" i="76"/>
  <c r="FY40" i="7" s="1"/>
  <c r="P62" i="76"/>
  <c r="FY52" i="7" s="1"/>
  <c r="P76" i="76"/>
  <c r="FY66" i="7" s="1"/>
  <c r="P82" i="76"/>
  <c r="FY72" i="7" s="1"/>
  <c r="U8" i="76"/>
  <c r="GM12" i="76"/>
  <c r="HY45" i="76"/>
  <c r="GO35" i="7" s="1"/>
  <c r="HY57" i="76"/>
  <c r="GO47" i="7" s="1"/>
  <c r="HE15" i="76"/>
  <c r="HF15" i="76" s="1"/>
  <c r="GC135" i="7" s="1"/>
  <c r="HS11" i="76"/>
  <c r="HT11" i="76" s="1"/>
  <c r="HY14" i="76"/>
  <c r="GO134" i="7" s="1"/>
  <c r="HY25" i="76"/>
  <c r="GO145" i="7" s="1"/>
  <c r="HY26" i="76"/>
  <c r="GO146" i="7" s="1"/>
  <c r="HY31" i="76"/>
  <c r="GO21" i="7" s="1"/>
  <c r="HS32" i="76"/>
  <c r="HT32" i="76" s="1"/>
  <c r="HY37" i="76"/>
  <c r="GO27" i="7" s="1"/>
  <c r="HS38" i="76"/>
  <c r="HT38" i="76" s="1"/>
  <c r="HY41" i="76"/>
  <c r="GO31" i="7" s="1"/>
  <c r="HY47" i="76"/>
  <c r="GO37" i="7" s="1"/>
  <c r="HS48" i="76"/>
  <c r="HY53" i="76"/>
  <c r="GO43" i="7" s="1"/>
  <c r="HY56" i="76"/>
  <c r="GO46" i="7" s="1"/>
  <c r="HY59" i="76"/>
  <c r="GO49" i="7" s="1"/>
  <c r="HY62" i="76"/>
  <c r="GO52" i="7" s="1"/>
  <c r="HY86" i="76"/>
  <c r="GO76" i="7" s="1"/>
  <c r="HQ88" i="76"/>
  <c r="GI78" i="7" s="1"/>
  <c r="HY89" i="76"/>
  <c r="GO79" i="7" s="1"/>
  <c r="HY93" i="76"/>
  <c r="GO83" i="7" s="1"/>
  <c r="HY97" i="76"/>
  <c r="GO87" i="7" s="1"/>
  <c r="HY101" i="76"/>
  <c r="GO91" i="7" s="1"/>
  <c r="HY105" i="76"/>
  <c r="GO95" i="7" s="1"/>
  <c r="HY109" i="76"/>
  <c r="GO99" i="7" s="1"/>
  <c r="HD40" i="76"/>
  <c r="HJ10" i="76"/>
  <c r="GG130" i="7" s="1"/>
  <c r="HJ14" i="76"/>
  <c r="GG134" i="7" s="1"/>
  <c r="HJ18" i="76"/>
  <c r="GG138" i="7" s="1"/>
  <c r="HJ22" i="76"/>
  <c r="GG142" i="7" s="1"/>
  <c r="HA8" i="76"/>
  <c r="HJ26" i="76"/>
  <c r="GG146" i="7" s="1"/>
  <c r="HJ30" i="76"/>
  <c r="HD31" i="76"/>
  <c r="HE31" i="76" s="1"/>
  <c r="HJ33" i="76"/>
  <c r="GG23" i="7" s="1"/>
  <c r="HJ34" i="76"/>
  <c r="GG24" i="7" s="1"/>
  <c r="HJ38" i="76"/>
  <c r="GG28" i="7" s="1"/>
  <c r="HJ42" i="76"/>
  <c r="GG32" i="7" s="1"/>
  <c r="HJ46" i="76"/>
  <c r="GG36" i="7" s="1"/>
  <c r="HJ50" i="76"/>
  <c r="GG40" i="7" s="1"/>
  <c r="HJ53" i="76"/>
  <c r="GG43" i="7" s="1"/>
  <c r="HJ54" i="76"/>
  <c r="GG44" i="7" s="1"/>
  <c r="HJ58" i="76"/>
  <c r="GG48" i="7" s="1"/>
  <c r="HJ62" i="76"/>
  <c r="GG52" i="7" s="1"/>
  <c r="HJ66" i="76"/>
  <c r="GG56" i="7" s="1"/>
  <c r="HD67" i="76"/>
  <c r="HE67" i="76" s="1"/>
  <c r="HJ70" i="76"/>
  <c r="GG60" i="7" s="1"/>
  <c r="HJ74" i="76"/>
  <c r="GG64" i="7" s="1"/>
  <c r="HJ78" i="76"/>
  <c r="GG68" i="7" s="1"/>
  <c r="HJ82" i="76"/>
  <c r="GG72" i="7" s="1"/>
  <c r="HJ86" i="76"/>
  <c r="GG76" i="7" s="1"/>
  <c r="HD87" i="76"/>
  <c r="HJ90" i="76"/>
  <c r="GG80" i="7" s="1"/>
  <c r="HJ94" i="76"/>
  <c r="GG84" i="7" s="1"/>
  <c r="HJ98" i="76"/>
  <c r="GG88" i="7" s="1"/>
  <c r="HJ102" i="76"/>
  <c r="GG92" i="7" s="1"/>
  <c r="HJ106" i="76"/>
  <c r="GG96" i="7" s="1"/>
  <c r="HJ110" i="76"/>
  <c r="GG100" i="7" s="1"/>
  <c r="HQ78" i="76"/>
  <c r="GI68" i="7" s="1"/>
  <c r="HQ86" i="76"/>
  <c r="GI76" i="7" s="1"/>
  <c r="P30" i="76"/>
  <c r="P34" i="76"/>
  <c r="FY24" i="7" s="1"/>
  <c r="P60" i="76"/>
  <c r="FY50" i="7" s="1"/>
  <c r="P66" i="76"/>
  <c r="FY56" i="7" s="1"/>
  <c r="P72" i="76"/>
  <c r="FY62" i="7" s="1"/>
  <c r="P94" i="76"/>
  <c r="FY84" i="7" s="1"/>
  <c r="P110" i="76"/>
  <c r="FY100" i="7" s="1"/>
  <c r="BY9" i="76"/>
  <c r="DO9" i="76"/>
  <c r="HQ72" i="76"/>
  <c r="GI62" i="7" s="1"/>
  <c r="HQ76" i="76"/>
  <c r="GI66" i="7" s="1"/>
  <c r="HS18" i="76"/>
  <c r="HY39" i="76"/>
  <c r="GO29" i="7" s="1"/>
  <c r="HS44" i="76"/>
  <c r="HT44" i="76" s="1"/>
  <c r="HY55" i="76"/>
  <c r="GO45" i="7" s="1"/>
  <c r="HS56" i="76"/>
  <c r="HT56" i="76" s="1"/>
  <c r="HY61" i="76"/>
  <c r="GO51" i="7" s="1"/>
  <c r="HY64" i="76"/>
  <c r="GO54" i="7" s="1"/>
  <c r="HY70" i="76"/>
  <c r="GO60" i="7" s="1"/>
  <c r="HY99" i="76"/>
  <c r="GO89" i="7" s="1"/>
  <c r="HC62" i="76"/>
  <c r="GB52" i="7" s="1"/>
  <c r="HB20" i="76"/>
  <c r="HH20" i="76" s="1"/>
  <c r="GE140" i="7" s="1"/>
  <c r="HB80" i="76"/>
  <c r="GA70" i="7" s="1"/>
  <c r="HB84" i="76"/>
  <c r="GA74" i="7" s="1"/>
  <c r="HB96" i="76"/>
  <c r="GA86" i="7" s="1"/>
  <c r="HB100" i="76"/>
  <c r="GA90" i="7" s="1"/>
  <c r="FY20" i="7"/>
  <c r="FY150" i="7"/>
  <c r="HR15" i="76"/>
  <c r="HR33" i="76"/>
  <c r="GJ23" i="7" s="1"/>
  <c r="HR47" i="76"/>
  <c r="GJ37" i="7" s="1"/>
  <c r="HR59" i="76"/>
  <c r="GJ49" i="7" s="1"/>
  <c r="GG150" i="7"/>
  <c r="GG20" i="7"/>
  <c r="HD43" i="76"/>
  <c r="HE43" i="76" s="1"/>
  <c r="HF43" i="76" s="1"/>
  <c r="GC33" i="7" s="1"/>
  <c r="HD63" i="76"/>
  <c r="HE63" i="76" s="1"/>
  <c r="HR19" i="76"/>
  <c r="HX19" i="76" s="1"/>
  <c r="GN139" i="7" s="1"/>
  <c r="HR25" i="76"/>
  <c r="GJ145" i="7" s="1"/>
  <c r="HP8" i="76"/>
  <c r="HR39" i="76"/>
  <c r="GJ29" i="7" s="1"/>
  <c r="HR51" i="76"/>
  <c r="GJ41" i="7" s="1"/>
  <c r="HR57" i="76"/>
  <c r="GJ47" i="7" s="1"/>
  <c r="HR72" i="76"/>
  <c r="GJ62" i="7" s="1"/>
  <c r="HD49" i="76"/>
  <c r="AI9" i="76"/>
  <c r="GM11" i="76"/>
  <c r="AW8" i="76"/>
  <c r="BK9" i="76"/>
  <c r="CL9" i="76"/>
  <c r="CZ9" i="76"/>
  <c r="HR11" i="76"/>
  <c r="HR17" i="76"/>
  <c r="GJ137" i="7" s="1"/>
  <c r="HR31" i="76"/>
  <c r="GJ21" i="7" s="1"/>
  <c r="HR43" i="76"/>
  <c r="GJ33" i="7" s="1"/>
  <c r="HR49" i="76"/>
  <c r="GJ39" i="7" s="1"/>
  <c r="HR63" i="76"/>
  <c r="GJ53" i="7" s="1"/>
  <c r="P12" i="76"/>
  <c r="FY132" i="7" s="1"/>
  <c r="P28" i="76"/>
  <c r="FY148" i="7" s="1"/>
  <c r="P40" i="76"/>
  <c r="FY30" i="7" s="1"/>
  <c r="P102" i="76"/>
  <c r="FY92" i="7" s="1"/>
  <c r="GM10" i="76"/>
  <c r="HY13" i="76"/>
  <c r="GO133" i="7" s="1"/>
  <c r="HY16" i="76"/>
  <c r="GO136" i="7" s="1"/>
  <c r="HR23" i="76"/>
  <c r="GJ143" i="7" s="1"/>
  <c r="HY34" i="76"/>
  <c r="GO24" i="7" s="1"/>
  <c r="HR35" i="76"/>
  <c r="GJ25" i="7" s="1"/>
  <c r="HR41" i="76"/>
  <c r="GJ31" i="7" s="1"/>
  <c r="HY48" i="76"/>
  <c r="GO38" i="7" s="1"/>
  <c r="HR55" i="76"/>
  <c r="GJ45" i="7" s="1"/>
  <c r="HY66" i="76"/>
  <c r="GO56" i="7" s="1"/>
  <c r="HR67" i="76"/>
  <c r="GJ57" i="7" s="1"/>
  <c r="HY72" i="76"/>
  <c r="GO62" i="7" s="1"/>
  <c r="HQ74" i="76"/>
  <c r="GI64" i="7" s="1"/>
  <c r="HY75" i="76"/>
  <c r="GO65" i="7" s="1"/>
  <c r="HR84" i="76"/>
  <c r="GJ74" i="7" s="1"/>
  <c r="HQ84" i="76"/>
  <c r="GI74" i="7" s="1"/>
  <c r="HY85" i="76"/>
  <c r="GO75" i="7" s="1"/>
  <c r="HY92" i="76"/>
  <c r="GO82" i="7" s="1"/>
  <c r="HY96" i="76"/>
  <c r="GO86" i="7" s="1"/>
  <c r="HY100" i="76"/>
  <c r="GO90" i="7" s="1"/>
  <c r="HY104" i="76"/>
  <c r="GO94" i="7" s="1"/>
  <c r="HY108" i="76"/>
  <c r="GO98" i="7" s="1"/>
  <c r="HJ13" i="76"/>
  <c r="GG133" i="7" s="1"/>
  <c r="HJ21" i="76"/>
  <c r="GG141" i="7" s="1"/>
  <c r="HJ25" i="76"/>
  <c r="GG145" i="7" s="1"/>
  <c r="HJ29" i="76"/>
  <c r="GG149" i="7" s="1"/>
  <c r="HJ37" i="76"/>
  <c r="GG27" i="7" s="1"/>
  <c r="HJ41" i="76"/>
  <c r="GG31" i="7" s="1"/>
  <c r="HJ49" i="76"/>
  <c r="GG39" i="7" s="1"/>
  <c r="HJ57" i="76"/>
  <c r="GG47" i="7" s="1"/>
  <c r="HJ65" i="76"/>
  <c r="GG55" i="7" s="1"/>
  <c r="HJ69" i="76"/>
  <c r="GG59" i="7" s="1"/>
  <c r="HR27" i="76"/>
  <c r="GJ147" i="7" s="1"/>
  <c r="HR65" i="76"/>
  <c r="GJ55" i="7" s="1"/>
  <c r="HR78" i="76"/>
  <c r="GJ68" i="7" s="1"/>
  <c r="HD19" i="76"/>
  <c r="HE19" i="76" s="1"/>
  <c r="HF19" i="76" s="1"/>
  <c r="GC139" i="7" s="1"/>
  <c r="HJ73" i="76"/>
  <c r="GG63" i="7" s="1"/>
  <c r="HJ77" i="76"/>
  <c r="GG67" i="7" s="1"/>
  <c r="HJ81" i="76"/>
  <c r="GG71" i="7" s="1"/>
  <c r="HJ85" i="76"/>
  <c r="GG75" i="7" s="1"/>
  <c r="HJ89" i="76"/>
  <c r="GG79" i="7" s="1"/>
  <c r="HJ93" i="76"/>
  <c r="GG83" i="7" s="1"/>
  <c r="HJ97" i="76"/>
  <c r="GG87" i="7" s="1"/>
  <c r="HJ101" i="76"/>
  <c r="GG91" i="7" s="1"/>
  <c r="HJ105" i="76"/>
  <c r="GG95" i="7" s="1"/>
  <c r="HJ109" i="76"/>
  <c r="GG99" i="7" s="1"/>
  <c r="P10" i="76"/>
  <c r="FY130" i="7" s="1"/>
  <c r="P14" i="76"/>
  <c r="FY134" i="7" s="1"/>
  <c r="P16" i="76"/>
  <c r="FY136" i="7" s="1"/>
  <c r="P20" i="76"/>
  <c r="FY140" i="7" s="1"/>
  <c r="P22" i="76"/>
  <c r="FY142" i="7" s="1"/>
  <c r="P24" i="76"/>
  <c r="FY144" i="7" s="1"/>
  <c r="P26" i="76"/>
  <c r="FY146" i="7" s="1"/>
  <c r="P32" i="76"/>
  <c r="FY22" i="7" s="1"/>
  <c r="P36" i="76"/>
  <c r="FY26" i="7" s="1"/>
  <c r="P38" i="76"/>
  <c r="FY28" i="7" s="1"/>
  <c r="P42" i="76"/>
  <c r="FY32" i="7" s="1"/>
  <c r="P46" i="76"/>
  <c r="FY36" i="7" s="1"/>
  <c r="P48" i="76"/>
  <c r="FY38" i="7" s="1"/>
  <c r="P52" i="76"/>
  <c r="FY42" i="7" s="1"/>
  <c r="P54" i="76"/>
  <c r="FY44" i="7" s="1"/>
  <c r="P56" i="76"/>
  <c r="FY46" i="7" s="1"/>
  <c r="P58" i="76"/>
  <c r="FY48" i="7" s="1"/>
  <c r="P64" i="76"/>
  <c r="FY54" i="7" s="1"/>
  <c r="P68" i="76"/>
  <c r="FY58" i="7" s="1"/>
  <c r="P70" i="76"/>
  <c r="FY60" i="7" s="1"/>
  <c r="P74" i="76"/>
  <c r="FY64" i="7" s="1"/>
  <c r="P78" i="76"/>
  <c r="FY68" i="7" s="1"/>
  <c r="P80" i="76"/>
  <c r="FY70" i="7" s="1"/>
  <c r="P84" i="76"/>
  <c r="FY74" i="7" s="1"/>
  <c r="P86" i="76"/>
  <c r="FY76" i="7" s="1"/>
  <c r="P88" i="76"/>
  <c r="FY78" i="7" s="1"/>
  <c r="P90" i="76"/>
  <c r="FY80" i="7" s="1"/>
  <c r="P92" i="76"/>
  <c r="FY82" i="7" s="1"/>
  <c r="P96" i="76"/>
  <c r="FY86" i="7" s="1"/>
  <c r="P98" i="76"/>
  <c r="FY88" i="7" s="1"/>
  <c r="P100" i="76"/>
  <c r="FY90" i="7" s="1"/>
  <c r="P104" i="76"/>
  <c r="FY94" i="7" s="1"/>
  <c r="P106" i="76"/>
  <c r="FY96" i="7" s="1"/>
  <c r="P108" i="76"/>
  <c r="FY98" i="7" s="1"/>
  <c r="HR13" i="76"/>
  <c r="GJ133" i="7" s="1"/>
  <c r="HS15" i="76"/>
  <c r="HT15" i="76" s="1"/>
  <c r="HV15" i="76" s="1"/>
  <c r="GL135" i="7" s="1"/>
  <c r="HY17" i="76"/>
  <c r="GO137" i="7" s="1"/>
  <c r="HY20" i="76"/>
  <c r="GO140" i="7" s="1"/>
  <c r="HR21" i="76"/>
  <c r="GJ141" i="7" s="1"/>
  <c r="HY28" i="76"/>
  <c r="GO148" i="7" s="1"/>
  <c r="HR29" i="76"/>
  <c r="GJ149" i="7" s="1"/>
  <c r="HY33" i="76"/>
  <c r="GO23" i="7" s="1"/>
  <c r="HY36" i="76"/>
  <c r="GO26" i="7" s="1"/>
  <c r="HR37" i="76"/>
  <c r="GJ27" i="7" s="1"/>
  <c r="HY44" i="76"/>
  <c r="GO34" i="7" s="1"/>
  <c r="HR45" i="76"/>
  <c r="GJ35" i="7" s="1"/>
  <c r="HY49" i="76"/>
  <c r="GO39" i="7" s="1"/>
  <c r="HY52" i="76"/>
  <c r="GO42" i="7" s="1"/>
  <c r="HR53" i="76"/>
  <c r="GJ43" i="7" s="1"/>
  <c r="HY60" i="76"/>
  <c r="GO50" i="7" s="1"/>
  <c r="HR61" i="76"/>
  <c r="GJ51" i="7" s="1"/>
  <c r="HY65" i="76"/>
  <c r="GO55" i="7" s="1"/>
  <c r="HY68" i="76"/>
  <c r="GO58" i="7" s="1"/>
  <c r="HQ70" i="76"/>
  <c r="GI60" i="7" s="1"/>
  <c r="HY81" i="76"/>
  <c r="GO71" i="7" s="1"/>
  <c r="HY88" i="76"/>
  <c r="GO78" i="7" s="1"/>
  <c r="HQ90" i="76"/>
  <c r="GI80" i="7" s="1"/>
  <c r="HY91" i="76"/>
  <c r="GO81" i="7" s="1"/>
  <c r="HY107" i="76"/>
  <c r="GO97" i="7" s="1"/>
  <c r="HJ12" i="76"/>
  <c r="GG132" i="7" s="1"/>
  <c r="HJ16" i="76"/>
  <c r="GG136" i="7" s="1"/>
  <c r="HJ20" i="76"/>
  <c r="GG140" i="7" s="1"/>
  <c r="HJ24" i="76"/>
  <c r="GG144" i="7" s="1"/>
  <c r="HJ28" i="76"/>
  <c r="GG148" i="7" s="1"/>
  <c r="HJ32" i="76"/>
  <c r="GG22" i="7" s="1"/>
  <c r="HJ36" i="76"/>
  <c r="GG26" i="7" s="1"/>
  <c r="HJ40" i="76"/>
  <c r="GG30" i="7" s="1"/>
  <c r="HJ44" i="76"/>
  <c r="GG34" i="7" s="1"/>
  <c r="HJ48" i="76"/>
  <c r="GG38" i="7" s="1"/>
  <c r="HJ52" i="76"/>
  <c r="GG42" i="7" s="1"/>
  <c r="HJ56" i="76"/>
  <c r="GG46" i="7" s="1"/>
  <c r="HJ60" i="76"/>
  <c r="GG50" i="7" s="1"/>
  <c r="HJ64" i="76"/>
  <c r="GG54" i="7" s="1"/>
  <c r="HJ68" i="76"/>
  <c r="GG58" i="7" s="1"/>
  <c r="HJ72" i="76"/>
  <c r="GG62" i="7" s="1"/>
  <c r="HJ76" i="76"/>
  <c r="GG66" i="7" s="1"/>
  <c r="HJ80" i="76"/>
  <c r="GG70" i="7" s="1"/>
  <c r="HJ84" i="76"/>
  <c r="GG74" i="7" s="1"/>
  <c r="HJ88" i="76"/>
  <c r="GG78" i="7" s="1"/>
  <c r="HJ92" i="76"/>
  <c r="GG82" i="7" s="1"/>
  <c r="HJ96" i="76"/>
  <c r="GG86" i="7" s="1"/>
  <c r="HJ100" i="76"/>
  <c r="GG90" i="7" s="1"/>
  <c r="HJ104" i="76"/>
  <c r="GG94" i="7" s="1"/>
  <c r="AN103" i="7"/>
  <c r="GJ131" i="7"/>
  <c r="GJ135" i="7"/>
  <c r="HT12" i="76"/>
  <c r="HH10" i="76"/>
  <c r="GE130" i="7" s="1"/>
  <c r="GA130" i="7"/>
  <c r="HD17" i="76"/>
  <c r="HE17" i="76" s="1"/>
  <c r="GA150" i="7"/>
  <c r="GA20" i="7"/>
  <c r="HD95" i="76"/>
  <c r="HD68" i="76"/>
  <c r="HE68" i="76" s="1"/>
  <c r="HD39" i="76"/>
  <c r="HE39" i="76" s="1"/>
  <c r="HF39" i="76" s="1"/>
  <c r="GC29" i="7" s="1"/>
  <c r="U9" i="76"/>
  <c r="T9" i="76"/>
  <c r="AW9" i="76"/>
  <c r="AV9" i="76"/>
  <c r="HR70" i="76"/>
  <c r="GJ60" i="7" s="1"/>
  <c r="HR76" i="76"/>
  <c r="GJ66" i="7" s="1"/>
  <c r="HQ82" i="76"/>
  <c r="GI72" i="7" s="1"/>
  <c r="HR94" i="76"/>
  <c r="GJ84" i="7" s="1"/>
  <c r="HR98" i="76"/>
  <c r="GJ88" i="7" s="1"/>
  <c r="HR102" i="76"/>
  <c r="GJ92" i="7" s="1"/>
  <c r="HR106" i="76"/>
  <c r="GJ96" i="7" s="1"/>
  <c r="HR110" i="76"/>
  <c r="GJ100" i="7" s="1"/>
  <c r="HC11" i="76"/>
  <c r="GB131" i="7" s="1"/>
  <c r="HD14" i="76"/>
  <c r="HE14" i="76" s="1"/>
  <c r="HG14" i="76" s="1"/>
  <c r="GD134" i="7" s="1"/>
  <c r="HC15" i="76"/>
  <c r="GB135" i="7" s="1"/>
  <c r="HC19" i="76"/>
  <c r="GB139" i="7" s="1"/>
  <c r="GA140" i="7"/>
  <c r="HD42" i="76"/>
  <c r="HE42" i="76" s="1"/>
  <c r="HD58" i="76"/>
  <c r="HE58" i="76" s="1"/>
  <c r="HF58" i="76" s="1"/>
  <c r="GC48" i="7" s="1"/>
  <c r="HD66" i="76"/>
  <c r="HE66" i="76" s="1"/>
  <c r="HC71" i="76"/>
  <c r="GB61" i="7" s="1"/>
  <c r="HC75" i="76"/>
  <c r="GB65" i="7" s="1"/>
  <c r="HC79" i="76"/>
  <c r="GB69" i="7" s="1"/>
  <c r="HC83" i="76"/>
  <c r="GB73" i="7" s="1"/>
  <c r="HC87" i="76"/>
  <c r="GB77" i="7" s="1"/>
  <c r="HC95" i="76"/>
  <c r="GB85" i="7" s="1"/>
  <c r="HC99" i="76"/>
  <c r="GB89" i="7" s="1"/>
  <c r="HC103" i="76"/>
  <c r="GB93" i="7" s="1"/>
  <c r="HC107" i="76"/>
  <c r="GB97" i="7" s="1"/>
  <c r="T8" i="76"/>
  <c r="AV8" i="76"/>
  <c r="CL8" i="76"/>
  <c r="CM8" i="76"/>
  <c r="CM9" i="76"/>
  <c r="CZ8" i="76"/>
  <c r="DA9" i="76"/>
  <c r="HR10" i="76"/>
  <c r="GJ130" i="7" s="1"/>
  <c r="HR12" i="76"/>
  <c r="GJ132" i="7" s="1"/>
  <c r="HR14" i="76"/>
  <c r="GJ134" i="7" s="1"/>
  <c r="HR16" i="76"/>
  <c r="GJ136" i="7" s="1"/>
  <c r="HR18" i="76"/>
  <c r="GJ138" i="7" s="1"/>
  <c r="HR20" i="76"/>
  <c r="GJ140" i="7" s="1"/>
  <c r="HR22" i="76"/>
  <c r="GJ142" i="7" s="1"/>
  <c r="HR24" i="76"/>
  <c r="GJ144" i="7" s="1"/>
  <c r="HR26" i="76"/>
  <c r="GJ146" i="7" s="1"/>
  <c r="HR28" i="76"/>
  <c r="GJ148" i="7" s="1"/>
  <c r="HR30" i="76"/>
  <c r="HR32" i="76"/>
  <c r="GJ22" i="7" s="1"/>
  <c r="HR34" i="76"/>
  <c r="GJ24" i="7" s="1"/>
  <c r="HR36" i="76"/>
  <c r="GJ26" i="7" s="1"/>
  <c r="HR38" i="76"/>
  <c r="GJ28" i="7" s="1"/>
  <c r="HR40" i="76"/>
  <c r="GJ30" i="7" s="1"/>
  <c r="HR42" i="76"/>
  <c r="GJ32" i="7" s="1"/>
  <c r="HR44" i="76"/>
  <c r="GJ34" i="7" s="1"/>
  <c r="HR46" i="76"/>
  <c r="GJ36" i="7" s="1"/>
  <c r="HR88" i="76"/>
  <c r="GJ78" i="7" s="1"/>
  <c r="HD11" i="76"/>
  <c r="HE11" i="76" s="1"/>
  <c r="HD23" i="76"/>
  <c r="HD59" i="76"/>
  <c r="HE59" i="76" s="1"/>
  <c r="HD91" i="76"/>
  <c r="HI91" i="76" s="1"/>
  <c r="GF81" i="7" s="1"/>
  <c r="HD83" i="76"/>
  <c r="HE83" i="76" s="1"/>
  <c r="AI8" i="76"/>
  <c r="AH8" i="76"/>
  <c r="AH9" i="76"/>
  <c r="BK8" i="76"/>
  <c r="BJ8" i="76"/>
  <c r="BJ9" i="76"/>
  <c r="BY8" i="76"/>
  <c r="BX8" i="76"/>
  <c r="BX9" i="76"/>
  <c r="DA8" i="76"/>
  <c r="DO8" i="76"/>
  <c r="DN8" i="76"/>
  <c r="DN9" i="76"/>
  <c r="HR80" i="76"/>
  <c r="GJ70" i="7" s="1"/>
  <c r="HQ80" i="76"/>
  <c r="GI70" i="7" s="1"/>
  <c r="HR86" i="76"/>
  <c r="GJ76" i="7" s="1"/>
  <c r="HR92" i="76"/>
  <c r="GJ82" i="7" s="1"/>
  <c r="HR96" i="76"/>
  <c r="GJ86" i="7" s="1"/>
  <c r="HR100" i="76"/>
  <c r="GJ90" i="7" s="1"/>
  <c r="HR104" i="76"/>
  <c r="GJ94" i="7" s="1"/>
  <c r="HR108" i="76"/>
  <c r="GJ98" i="7" s="1"/>
  <c r="HD27" i="76"/>
  <c r="HE27" i="76" s="1"/>
  <c r="HF27" i="76" s="1"/>
  <c r="GC147" i="7" s="1"/>
  <c r="HD35" i="76"/>
  <c r="HD47" i="76"/>
  <c r="HE47" i="76" s="1"/>
  <c r="HD51" i="76"/>
  <c r="HE51" i="76" s="1"/>
  <c r="HD55" i="76"/>
  <c r="HE55" i="76" s="1"/>
  <c r="HF55" i="76" s="1"/>
  <c r="GC45" i="7" s="1"/>
  <c r="HD71" i="76"/>
  <c r="HE71" i="76" s="1"/>
  <c r="HD75" i="76"/>
  <c r="HE75" i="76" s="1"/>
  <c r="HF75" i="76" s="1"/>
  <c r="GC65" i="7" s="1"/>
  <c r="HD79" i="76"/>
  <c r="HE79" i="76" s="1"/>
  <c r="HF79" i="76" s="1"/>
  <c r="GC69" i="7" s="1"/>
  <c r="HD99" i="76"/>
  <c r="HE99" i="76" s="1"/>
  <c r="HD103" i="76"/>
  <c r="HE103" i="76" s="1"/>
  <c r="HG103" i="76" s="1"/>
  <c r="GD93" i="7" s="1"/>
  <c r="HD107" i="76"/>
  <c r="HE107" i="76" s="1"/>
  <c r="HG107" i="76" s="1"/>
  <c r="GD97" i="7" s="1"/>
  <c r="HR74" i="76"/>
  <c r="GJ64" i="7" s="1"/>
  <c r="HR82" i="76"/>
  <c r="GJ72" i="7" s="1"/>
  <c r="HR90" i="76"/>
  <c r="GJ80" i="7" s="1"/>
  <c r="FU15" i="7"/>
  <c r="GB15" i="7"/>
  <c r="GG13" i="7"/>
  <c r="GG15" i="7" s="1"/>
  <c r="GD15" i="7"/>
  <c r="FV15" i="7"/>
  <c r="M32" i="55"/>
  <c r="GA15" i="7"/>
  <c r="GL15" i="7"/>
  <c r="FT15" i="7"/>
  <c r="FY13" i="7"/>
  <c r="FY15" i="7" s="1"/>
  <c r="GC15" i="7"/>
  <c r="GJ15" i="7"/>
  <c r="GO13" i="7"/>
  <c r="GO15" i="7" s="1"/>
  <c r="M33" i="55"/>
  <c r="GI15" i="7"/>
  <c r="GK15" i="7"/>
  <c r="FM16" i="7"/>
  <c r="FN16" i="7" s="1"/>
  <c r="FO16" i="7" s="1"/>
  <c r="FP16" i="7"/>
  <c r="FE16" i="7"/>
  <c r="FF16" i="7" s="1"/>
  <c r="FG16" i="7" s="1"/>
  <c r="FH16" i="7"/>
  <c r="EZ16" i="7"/>
  <c r="EW16" i="7"/>
  <c r="EX16" i="7" s="1"/>
  <c r="EY16" i="7" s="1"/>
  <c r="ER16" i="7"/>
  <c r="EO16" i="7"/>
  <c r="EP16" i="7" s="1"/>
  <c r="EQ16" i="7" s="1"/>
  <c r="EJ16" i="7"/>
  <c r="EG16" i="7"/>
  <c r="EH16" i="7" s="1"/>
  <c r="EI16" i="7" s="1"/>
  <c r="GL16" i="7"/>
  <c r="GM16" i="7" s="1"/>
  <c r="GN16" i="7" s="1"/>
  <c r="GO16" i="7"/>
  <c r="FV16" i="7"/>
  <c r="FW16" i="7" s="1"/>
  <c r="FX16" i="7" s="1"/>
  <c r="FY16" i="7"/>
  <c r="GG16" i="7"/>
  <c r="GD16" i="7"/>
  <c r="GE16" i="7" s="1"/>
  <c r="GF16" i="7" s="1"/>
  <c r="FS13" i="7"/>
  <c r="I1" i="76"/>
  <c r="J1" i="76" s="1"/>
  <c r="K1" i="76" s="1"/>
  <c r="L1" i="76" s="1"/>
  <c r="M1" i="76" s="1"/>
  <c r="N1" i="76" s="1"/>
  <c r="O1" i="76" s="1"/>
  <c r="HC22" i="76"/>
  <c r="GB142" i="7" s="1"/>
  <c r="HC30" i="76"/>
  <c r="HC49" i="76"/>
  <c r="GB39" i="7" s="1"/>
  <c r="HC58" i="76"/>
  <c r="HC66" i="76"/>
  <c r="GB56" i="7" s="1"/>
  <c r="HC10" i="76"/>
  <c r="GB130" i="7" s="1"/>
  <c r="HC13" i="76"/>
  <c r="GB133" i="7" s="1"/>
  <c r="HC18" i="76"/>
  <c r="HD21" i="76"/>
  <c r="HI21" i="76" s="1"/>
  <c r="GF141" i="7" s="1"/>
  <c r="HC25" i="76"/>
  <c r="GB145" i="7" s="1"/>
  <c r="HD29" i="76"/>
  <c r="HE29" i="76" s="1"/>
  <c r="HG29" i="76" s="1"/>
  <c r="GD149" i="7" s="1"/>
  <c r="HD33" i="76"/>
  <c r="HE33" i="76" s="1"/>
  <c r="HG33" i="76" s="1"/>
  <c r="GD23" i="7" s="1"/>
  <c r="HC37" i="76"/>
  <c r="GB27" i="7" s="1"/>
  <c r="HC41" i="76"/>
  <c r="GB31" i="7" s="1"/>
  <c r="HD56" i="76"/>
  <c r="HE56" i="76" s="1"/>
  <c r="HD64" i="76"/>
  <c r="HE64" i="76" s="1"/>
  <c r="HC34" i="76"/>
  <c r="HC45" i="76"/>
  <c r="GB35" i="7" s="1"/>
  <c r="HC54" i="76"/>
  <c r="GB44" i="7" s="1"/>
  <c r="HC61" i="76"/>
  <c r="GB51" i="7" s="1"/>
  <c r="HD12" i="76"/>
  <c r="HE12" i="76" s="1"/>
  <c r="HC17" i="76"/>
  <c r="GB137" i="7" s="1"/>
  <c r="HC46" i="76"/>
  <c r="HC50" i="76"/>
  <c r="HS108" i="76"/>
  <c r="HS104" i="76"/>
  <c r="HS100" i="76"/>
  <c r="HS96" i="76"/>
  <c r="HS92" i="76"/>
  <c r="HS88" i="76"/>
  <c r="HT88" i="76" s="1"/>
  <c r="HS84" i="76"/>
  <c r="HT84" i="76" s="1"/>
  <c r="HS80" i="76"/>
  <c r="HT80" i="76" s="1"/>
  <c r="HS76" i="76"/>
  <c r="HT76" i="76" s="1"/>
  <c r="HS72" i="76"/>
  <c r="HT72" i="76" s="1"/>
  <c r="HS110" i="76"/>
  <c r="HT110" i="76" s="1"/>
  <c r="HS106" i="76"/>
  <c r="HT106" i="76" s="1"/>
  <c r="HS102" i="76"/>
  <c r="HT102" i="76" s="1"/>
  <c r="HS98" i="76"/>
  <c r="HT98" i="76" s="1"/>
  <c r="HS94" i="76"/>
  <c r="HT94" i="76" s="1"/>
  <c r="HS90" i="76"/>
  <c r="HX90" i="76" s="1"/>
  <c r="GN80" i="7" s="1"/>
  <c r="HS86" i="76"/>
  <c r="HT86" i="76" s="1"/>
  <c r="HS82" i="76"/>
  <c r="HS78" i="76"/>
  <c r="HT78" i="76" s="1"/>
  <c r="HS74" i="76"/>
  <c r="HS70" i="76"/>
  <c r="HQ10" i="76"/>
  <c r="GI130" i="7" s="1"/>
  <c r="HQ11" i="76"/>
  <c r="GI131" i="7" s="1"/>
  <c r="HS13" i="76"/>
  <c r="HQ14" i="76"/>
  <c r="GI134" i="7" s="1"/>
  <c r="HQ15" i="76"/>
  <c r="GI135" i="7" s="1"/>
  <c r="HT16" i="76"/>
  <c r="HV16" i="76" s="1"/>
  <c r="GL136" i="7" s="1"/>
  <c r="HS17" i="76"/>
  <c r="HT17" i="76" s="1"/>
  <c r="HQ18" i="76"/>
  <c r="GI138" i="7" s="1"/>
  <c r="HQ19" i="76"/>
  <c r="GI139" i="7" s="1"/>
  <c r="HT20" i="76"/>
  <c r="HS21" i="76"/>
  <c r="HQ22" i="76"/>
  <c r="GI142" i="7" s="1"/>
  <c r="HQ23" i="76"/>
  <c r="GI143" i="7" s="1"/>
  <c r="HT24" i="76"/>
  <c r="HS25" i="76"/>
  <c r="HQ26" i="76"/>
  <c r="GI146" i="7" s="1"/>
  <c r="HQ27" i="76"/>
  <c r="GI147" i="7" s="1"/>
  <c r="HT28" i="76"/>
  <c r="HS29" i="76"/>
  <c r="HQ30" i="76"/>
  <c r="HQ31" i="76"/>
  <c r="GI21" i="7" s="1"/>
  <c r="HS33" i="76"/>
  <c r="HQ34" i="76"/>
  <c r="GI24" i="7" s="1"/>
  <c r="HQ35" i="76"/>
  <c r="GI25" i="7" s="1"/>
  <c r="HT36" i="76"/>
  <c r="HS37" i="76"/>
  <c r="HQ38" i="76"/>
  <c r="GI28" i="7" s="1"/>
  <c r="HQ39" i="76"/>
  <c r="GI29" i="7" s="1"/>
  <c r="HS41" i="76"/>
  <c r="HT41" i="76" s="1"/>
  <c r="HQ42" i="76"/>
  <c r="GI32" i="7" s="1"/>
  <c r="HQ43" i="76"/>
  <c r="GI33" i="7" s="1"/>
  <c r="HS45" i="76"/>
  <c r="HQ47" i="76"/>
  <c r="GI37" i="7" s="1"/>
  <c r="HS69" i="76"/>
  <c r="HT69" i="76" s="1"/>
  <c r="HS71" i="76"/>
  <c r="HS73" i="76"/>
  <c r="HT73" i="76" s="1"/>
  <c r="HS75" i="76"/>
  <c r="HT75" i="76" s="1"/>
  <c r="HS77" i="76"/>
  <c r="HT77" i="76" s="1"/>
  <c r="HS79" i="76"/>
  <c r="HT79" i="76" s="1"/>
  <c r="HS81" i="76"/>
  <c r="HT81" i="76" s="1"/>
  <c r="HS83" i="76"/>
  <c r="HT83" i="76" s="1"/>
  <c r="HS85" i="76"/>
  <c r="HT85" i="76" s="1"/>
  <c r="HS87" i="76"/>
  <c r="HS89" i="76"/>
  <c r="HT89" i="76" s="1"/>
  <c r="HS91" i="76"/>
  <c r="HT91" i="76" s="1"/>
  <c r="HW90" i="76"/>
  <c r="GM80" i="7" s="1"/>
  <c r="HQ68" i="76"/>
  <c r="GI58" i="7" s="1"/>
  <c r="HQ64" i="76"/>
  <c r="GI54" i="7" s="1"/>
  <c r="HQ60" i="76"/>
  <c r="GI50" i="7" s="1"/>
  <c r="HQ56" i="76"/>
  <c r="GI46" i="7" s="1"/>
  <c r="HQ52" i="76"/>
  <c r="GI42" i="7" s="1"/>
  <c r="HQ48" i="76"/>
  <c r="GI38" i="7" s="1"/>
  <c r="HQ110" i="76"/>
  <c r="GI100" i="7" s="1"/>
  <c r="HQ106" i="76"/>
  <c r="GI96" i="7" s="1"/>
  <c r="HQ102" i="76"/>
  <c r="GI92" i="7" s="1"/>
  <c r="HQ98" i="76"/>
  <c r="GI88" i="7" s="1"/>
  <c r="HQ94" i="76"/>
  <c r="GI84" i="7" s="1"/>
  <c r="HQ66" i="76"/>
  <c r="GI56" i="7" s="1"/>
  <c r="HQ62" i="76"/>
  <c r="GI52" i="7" s="1"/>
  <c r="HQ58" i="76"/>
  <c r="GI48" i="7" s="1"/>
  <c r="HQ54" i="76"/>
  <c r="GI44" i="7" s="1"/>
  <c r="HQ50" i="76"/>
  <c r="GI40" i="7" s="1"/>
  <c r="HQ108" i="76"/>
  <c r="GI98" i="7" s="1"/>
  <c r="HQ104" i="76"/>
  <c r="GI94" i="7" s="1"/>
  <c r="HQ100" i="76"/>
  <c r="GI90" i="7" s="1"/>
  <c r="HQ96" i="76"/>
  <c r="GI86" i="7" s="1"/>
  <c r="HQ92" i="76"/>
  <c r="GI82" i="7" s="1"/>
  <c r="HT10" i="76"/>
  <c r="HQ12" i="76"/>
  <c r="GI132" i="7" s="1"/>
  <c r="HQ13" i="76"/>
  <c r="GI133" i="7" s="1"/>
  <c r="HX16" i="76"/>
  <c r="GN136" i="7" s="1"/>
  <c r="HQ16" i="76"/>
  <c r="GI136" i="7" s="1"/>
  <c r="HQ17" i="76"/>
  <c r="GI137" i="7" s="1"/>
  <c r="HT18" i="76"/>
  <c r="HQ20" i="76"/>
  <c r="GI140" i="7" s="1"/>
  <c r="HQ21" i="76"/>
  <c r="GI141" i="7" s="1"/>
  <c r="HT22" i="76"/>
  <c r="HS23" i="76"/>
  <c r="HX23" i="76" s="1"/>
  <c r="GN143" i="7" s="1"/>
  <c r="HQ24" i="76"/>
  <c r="GI144" i="7" s="1"/>
  <c r="HQ25" i="76"/>
  <c r="GI145" i="7" s="1"/>
  <c r="HT26" i="76"/>
  <c r="HO8" i="76"/>
  <c r="HS27" i="76"/>
  <c r="HQ28" i="76"/>
  <c r="GI148" i="7" s="1"/>
  <c r="HQ29" i="76"/>
  <c r="GI149" i="7" s="1"/>
  <c r="HO9" i="76"/>
  <c r="HT30" i="76"/>
  <c r="HS31" i="76"/>
  <c r="HQ32" i="76"/>
  <c r="GI22" i="7" s="1"/>
  <c r="HQ33" i="76"/>
  <c r="GI23" i="7" s="1"/>
  <c r="HT34" i="76"/>
  <c r="HS35" i="76"/>
  <c r="HQ36" i="76"/>
  <c r="GI26" i="7" s="1"/>
  <c r="HQ37" i="76"/>
  <c r="GI27" i="7" s="1"/>
  <c r="HS39" i="76"/>
  <c r="HQ40" i="76"/>
  <c r="GI30" i="7" s="1"/>
  <c r="HQ41" i="76"/>
  <c r="GI31" i="7" s="1"/>
  <c r="HT42" i="76"/>
  <c r="HS43" i="76"/>
  <c r="HQ44" i="76"/>
  <c r="GI34" i="7" s="1"/>
  <c r="HQ45" i="76"/>
  <c r="GI35" i="7" s="1"/>
  <c r="HT46" i="76"/>
  <c r="HU46" i="76" s="1"/>
  <c r="GK36" i="7" s="1"/>
  <c r="HS47" i="76"/>
  <c r="HQ69" i="76"/>
  <c r="GI59" i="7" s="1"/>
  <c r="HQ71" i="76"/>
  <c r="GI61" i="7" s="1"/>
  <c r="HT71" i="76"/>
  <c r="HQ73" i="76"/>
  <c r="GI63" i="7" s="1"/>
  <c r="HQ75" i="76"/>
  <c r="GI65" i="7" s="1"/>
  <c r="HQ77" i="76"/>
  <c r="GI67" i="7" s="1"/>
  <c r="HQ79" i="76"/>
  <c r="GI69" i="7" s="1"/>
  <c r="HQ81" i="76"/>
  <c r="GI71" i="7" s="1"/>
  <c r="HQ83" i="76"/>
  <c r="GI73" i="7" s="1"/>
  <c r="HQ85" i="76"/>
  <c r="GI75" i="7" s="1"/>
  <c r="HQ87" i="76"/>
  <c r="GI77" i="7" s="1"/>
  <c r="HT87" i="76"/>
  <c r="HQ89" i="76"/>
  <c r="GI79" i="7" s="1"/>
  <c r="HQ91" i="76"/>
  <c r="GI81" i="7" s="1"/>
  <c r="HS93" i="76"/>
  <c r="HT93" i="76" s="1"/>
  <c r="HQ95" i="76"/>
  <c r="GI85" i="7" s="1"/>
  <c r="HS97" i="76"/>
  <c r="HT97" i="76" s="1"/>
  <c r="HQ99" i="76"/>
  <c r="GI89" i="7" s="1"/>
  <c r="HS101" i="76"/>
  <c r="HT101" i="76" s="1"/>
  <c r="HQ103" i="76"/>
  <c r="GI93" i="7" s="1"/>
  <c r="HS105" i="76"/>
  <c r="HT105" i="76" s="1"/>
  <c r="HQ107" i="76"/>
  <c r="GI97" i="7" s="1"/>
  <c r="HS109" i="76"/>
  <c r="HT109" i="76" s="1"/>
  <c r="HT48" i="76"/>
  <c r="HS49" i="76"/>
  <c r="HR50" i="76"/>
  <c r="GJ40" i="7" s="1"/>
  <c r="HQ51" i="76"/>
  <c r="GI41" i="7" s="1"/>
  <c r="HT52" i="76"/>
  <c r="HS53" i="76"/>
  <c r="HR54" i="76"/>
  <c r="GJ44" i="7" s="1"/>
  <c r="HQ55" i="76"/>
  <c r="GI45" i="7" s="1"/>
  <c r="HS57" i="76"/>
  <c r="HR58" i="76"/>
  <c r="GJ48" i="7" s="1"/>
  <c r="HQ59" i="76"/>
  <c r="GI49" i="7" s="1"/>
  <c r="HT60" i="76"/>
  <c r="HS61" i="76"/>
  <c r="HR62" i="76"/>
  <c r="GJ52" i="7" s="1"/>
  <c r="HQ63" i="76"/>
  <c r="GI53" i="7" s="1"/>
  <c r="HS65" i="76"/>
  <c r="HR66" i="76"/>
  <c r="GJ56" i="7" s="1"/>
  <c r="HQ67" i="76"/>
  <c r="GI57" i="7" s="1"/>
  <c r="HT68" i="76"/>
  <c r="HQ93" i="76"/>
  <c r="GI83" i="7" s="1"/>
  <c r="HS95" i="76"/>
  <c r="HT95" i="76" s="1"/>
  <c r="HQ97" i="76"/>
  <c r="GI87" i="7" s="1"/>
  <c r="HS99" i="76"/>
  <c r="HT99" i="76" s="1"/>
  <c r="HQ101" i="76"/>
  <c r="GI91" i="7" s="1"/>
  <c r="HS103" i="76"/>
  <c r="HT103" i="76" s="1"/>
  <c r="HQ105" i="76"/>
  <c r="GI95" i="7" s="1"/>
  <c r="HS107" i="76"/>
  <c r="HT107" i="76" s="1"/>
  <c r="HQ109" i="76"/>
  <c r="GI99" i="7" s="1"/>
  <c r="HR109" i="76"/>
  <c r="GJ99" i="7" s="1"/>
  <c r="HR105" i="76"/>
  <c r="GJ95" i="7" s="1"/>
  <c r="HR101" i="76"/>
  <c r="GJ91" i="7" s="1"/>
  <c r="HR97" i="76"/>
  <c r="GJ87" i="7" s="1"/>
  <c r="HR93" i="76"/>
  <c r="GJ83" i="7" s="1"/>
  <c r="HR89" i="76"/>
  <c r="GJ79" i="7" s="1"/>
  <c r="HR85" i="76"/>
  <c r="GJ75" i="7" s="1"/>
  <c r="HR81" i="76"/>
  <c r="GJ71" i="7" s="1"/>
  <c r="HR77" i="76"/>
  <c r="GJ67" i="7" s="1"/>
  <c r="HR73" i="76"/>
  <c r="GJ63" i="7" s="1"/>
  <c r="HR69" i="76"/>
  <c r="GJ59" i="7" s="1"/>
  <c r="HR107" i="76"/>
  <c r="GJ97" i="7" s="1"/>
  <c r="HR103" i="76"/>
  <c r="GJ93" i="7" s="1"/>
  <c r="HR99" i="76"/>
  <c r="GJ89" i="7" s="1"/>
  <c r="HR95" i="76"/>
  <c r="GJ85" i="7" s="1"/>
  <c r="HR91" i="76"/>
  <c r="GJ81" i="7" s="1"/>
  <c r="HR87" i="76"/>
  <c r="GJ77" i="7" s="1"/>
  <c r="HR83" i="76"/>
  <c r="GJ73" i="7" s="1"/>
  <c r="HR79" i="76"/>
  <c r="GJ69" i="7" s="1"/>
  <c r="HR75" i="76"/>
  <c r="GJ65" i="7" s="1"/>
  <c r="HR71" i="76"/>
  <c r="GJ61" i="7" s="1"/>
  <c r="HR48" i="76"/>
  <c r="GJ38" i="7" s="1"/>
  <c r="HQ49" i="76"/>
  <c r="GI39" i="7" s="1"/>
  <c r="HT50" i="76"/>
  <c r="HS51" i="76"/>
  <c r="HR52" i="76"/>
  <c r="GJ42" i="7" s="1"/>
  <c r="HQ53" i="76"/>
  <c r="GI43" i="7" s="1"/>
  <c r="HT54" i="76"/>
  <c r="HS55" i="76"/>
  <c r="HR56" i="76"/>
  <c r="GJ46" i="7" s="1"/>
  <c r="HQ57" i="76"/>
  <c r="GI47" i="7" s="1"/>
  <c r="HS59" i="76"/>
  <c r="HR60" i="76"/>
  <c r="GJ50" i="7" s="1"/>
  <c r="HQ61" i="76"/>
  <c r="GI51" i="7" s="1"/>
  <c r="HT62" i="76"/>
  <c r="HS63" i="76"/>
  <c r="HR64" i="76"/>
  <c r="GJ54" i="7" s="1"/>
  <c r="HQ65" i="76"/>
  <c r="GI55" i="7" s="1"/>
  <c r="HS67" i="76"/>
  <c r="HR68" i="76"/>
  <c r="GJ58" i="7" s="1"/>
  <c r="N3" i="70"/>
  <c r="BE3" i="70"/>
  <c r="DV3" i="70"/>
  <c r="AQ3" i="76"/>
  <c r="DH3" i="76"/>
  <c r="AC3" i="57"/>
  <c r="CT3" i="57"/>
  <c r="O3" i="56"/>
  <c r="CF3" i="56"/>
  <c r="DW3" i="56"/>
  <c r="HI3" i="76"/>
  <c r="HI4" i="76" s="1"/>
  <c r="HI2" i="76" s="1"/>
  <c r="GF14" i="7" s="1"/>
  <c r="GF15" i="7" s="1"/>
  <c r="AC3" i="70"/>
  <c r="BD3" i="70"/>
  <c r="BS3" i="70"/>
  <c r="CT3" i="70"/>
  <c r="O3" i="76"/>
  <c r="O4" i="76" s="1"/>
  <c r="O2" i="76" s="1"/>
  <c r="FX14" i="7" s="1"/>
  <c r="FX15" i="7" s="1"/>
  <c r="AP3" i="76"/>
  <c r="BE3" i="76"/>
  <c r="CF3" i="76"/>
  <c r="DW3" i="76"/>
  <c r="AB3" i="57"/>
  <c r="AQ3" i="57"/>
  <c r="BR3" i="57"/>
  <c r="DI3" i="57"/>
  <c r="N3" i="56"/>
  <c r="AC3" i="56"/>
  <c r="BD3" i="56"/>
  <c r="CU3" i="56"/>
  <c r="DV3" i="56"/>
  <c r="HH3" i="76"/>
  <c r="HH4" i="76" s="1"/>
  <c r="HH2" i="76" s="1"/>
  <c r="GE14" i="7" s="1"/>
  <c r="GE15" i="7" s="1"/>
  <c r="AB3" i="70"/>
  <c r="AQ3" i="70"/>
  <c r="CF3" i="70"/>
  <c r="CU3" i="70"/>
  <c r="N3" i="76"/>
  <c r="N4" i="76" s="1"/>
  <c r="N2" i="76" s="1"/>
  <c r="FW14" i="7" s="1"/>
  <c r="FW15" i="7" s="1"/>
  <c r="AC3" i="76"/>
  <c r="BR3" i="76"/>
  <c r="CG3" i="76"/>
  <c r="DV3" i="76"/>
  <c r="O3" i="57"/>
  <c r="BD3" i="57"/>
  <c r="BS3" i="57"/>
  <c r="DH3" i="57"/>
  <c r="DW3" i="57"/>
  <c r="AP3" i="56"/>
  <c r="BE3" i="56"/>
  <c r="CT3" i="56"/>
  <c r="HD10" i="76"/>
  <c r="HE10" i="76" s="1"/>
  <c r="HD24" i="76"/>
  <c r="HE24" i="76" s="1"/>
  <c r="HD26" i="76"/>
  <c r="HE26" i="76" s="1"/>
  <c r="HD37" i="76"/>
  <c r="HE37" i="76" s="1"/>
  <c r="HD46" i="76"/>
  <c r="HE46" i="76" s="1"/>
  <c r="HF46" i="76" s="1"/>
  <c r="GC36" i="7" s="1"/>
  <c r="HD48" i="76"/>
  <c r="HE48" i="76" s="1"/>
  <c r="HD53" i="76"/>
  <c r="HE53" i="76" s="1"/>
  <c r="HD62" i="76"/>
  <c r="HE62" i="76" s="1"/>
  <c r="HD74" i="76"/>
  <c r="HE74" i="76" s="1"/>
  <c r="HD78" i="76"/>
  <c r="HE78" i="76" s="1"/>
  <c r="HD90" i="76"/>
  <c r="HE90" i="76" s="1"/>
  <c r="HD94" i="76"/>
  <c r="HD106" i="76"/>
  <c r="HE106" i="76" s="1"/>
  <c r="HD110" i="76"/>
  <c r="HE110" i="76" s="1"/>
  <c r="HD16" i="76"/>
  <c r="HE16" i="76" s="1"/>
  <c r="HF16" i="76" s="1"/>
  <c r="GC136" i="7" s="1"/>
  <c r="HD18" i="76"/>
  <c r="HE18" i="76" s="1"/>
  <c r="HG18" i="76" s="1"/>
  <c r="GD138" i="7" s="1"/>
  <c r="HD20" i="76"/>
  <c r="HE20" i="76" s="1"/>
  <c r="HF20" i="76" s="1"/>
  <c r="GC140" i="7" s="1"/>
  <c r="HD22" i="76"/>
  <c r="HE22" i="76" s="1"/>
  <c r="HD25" i="76"/>
  <c r="HE25" i="76" s="1"/>
  <c r="HD28" i="76"/>
  <c r="HE28" i="76" s="1"/>
  <c r="HD30" i="76"/>
  <c r="HE30" i="76" s="1"/>
  <c r="HF30" i="76" s="1"/>
  <c r="HD32" i="76"/>
  <c r="HE32" i="76" s="1"/>
  <c r="HD34" i="76"/>
  <c r="HE34" i="76" s="1"/>
  <c r="HD45" i="76"/>
  <c r="HD50" i="76"/>
  <c r="HE50" i="76" s="1"/>
  <c r="HD61" i="76"/>
  <c r="HE61" i="76" s="1"/>
  <c r="HD70" i="76"/>
  <c r="HE70" i="76" s="1"/>
  <c r="HD82" i="76"/>
  <c r="HD86" i="76"/>
  <c r="HE86" i="76" s="1"/>
  <c r="HD98" i="76"/>
  <c r="HE98" i="76" s="1"/>
  <c r="HD102" i="76"/>
  <c r="HE102" i="76" s="1"/>
  <c r="HD13" i="76"/>
  <c r="HE13" i="76" s="1"/>
  <c r="HD36" i="76"/>
  <c r="HE36" i="76" s="1"/>
  <c r="HD38" i="76"/>
  <c r="HE38" i="76" s="1"/>
  <c r="HD41" i="76"/>
  <c r="HE41" i="76" s="1"/>
  <c r="HD44" i="76"/>
  <c r="HE44" i="76" s="1"/>
  <c r="HD52" i="76"/>
  <c r="HE52" i="76" s="1"/>
  <c r="HD54" i="76"/>
  <c r="HE54" i="76" s="1"/>
  <c r="HD57" i="76"/>
  <c r="HE57" i="76" s="1"/>
  <c r="HG57" i="76" s="1"/>
  <c r="GD47" i="7" s="1"/>
  <c r="HD60" i="76"/>
  <c r="HE60" i="76" s="1"/>
  <c r="HD65" i="76"/>
  <c r="HE65" i="76" s="1"/>
  <c r="HG65" i="76" s="1"/>
  <c r="GD55" i="7" s="1"/>
  <c r="HH15" i="76"/>
  <c r="GE135" i="7" s="1"/>
  <c r="GZ9" i="76"/>
  <c r="HH95" i="76"/>
  <c r="GE85" i="7" s="1"/>
  <c r="HH75" i="76"/>
  <c r="GE65" i="7" s="1"/>
  <c r="HB11" i="76"/>
  <c r="GA131" i="7" s="1"/>
  <c r="HB12" i="76"/>
  <c r="GA132" i="7" s="1"/>
  <c r="HB18" i="76"/>
  <c r="GA138" i="7" s="1"/>
  <c r="HB22" i="76"/>
  <c r="GA142" i="7" s="1"/>
  <c r="HE23" i="76"/>
  <c r="HF23" i="76" s="1"/>
  <c r="GC143" i="7" s="1"/>
  <c r="GZ8" i="76"/>
  <c r="HB35" i="76"/>
  <c r="GA25" i="7" s="1"/>
  <c r="HB38" i="76"/>
  <c r="GA28" i="7" s="1"/>
  <c r="HB51" i="76"/>
  <c r="GA41" i="7" s="1"/>
  <c r="HB54" i="76"/>
  <c r="GA44" i="7" s="1"/>
  <c r="HB63" i="76"/>
  <c r="GA53" i="7" s="1"/>
  <c r="HB66" i="76"/>
  <c r="GA56" i="7" s="1"/>
  <c r="HB72" i="76"/>
  <c r="GA62" i="7" s="1"/>
  <c r="HB83" i="76"/>
  <c r="GA73" i="7" s="1"/>
  <c r="HB88" i="76"/>
  <c r="GA78" i="7" s="1"/>
  <c r="HB104" i="76"/>
  <c r="GA94" i="7" s="1"/>
  <c r="HH23" i="76"/>
  <c r="GE143" i="7" s="1"/>
  <c r="HH19" i="76"/>
  <c r="GE139" i="7" s="1"/>
  <c r="HF67" i="76"/>
  <c r="GC57" i="7" s="1"/>
  <c r="HH91" i="76"/>
  <c r="GE81" i="7" s="1"/>
  <c r="HH96" i="76"/>
  <c r="GE86" i="7" s="1"/>
  <c r="HB106" i="76"/>
  <c r="GA96" i="7" s="1"/>
  <c r="HB102" i="76"/>
  <c r="GA92" i="7" s="1"/>
  <c r="HB65" i="76"/>
  <c r="GA55" i="7" s="1"/>
  <c r="HB61" i="76"/>
  <c r="GA51" i="7" s="1"/>
  <c r="HB57" i="76"/>
  <c r="GA47" i="7" s="1"/>
  <c r="HB53" i="76"/>
  <c r="GA43" i="7" s="1"/>
  <c r="HB49" i="76"/>
  <c r="GA39" i="7" s="1"/>
  <c r="HB45" i="76"/>
  <c r="GA35" i="7" s="1"/>
  <c r="HB41" i="76"/>
  <c r="GA31" i="7" s="1"/>
  <c r="HB37" i="76"/>
  <c r="GA27" i="7" s="1"/>
  <c r="HB33" i="76"/>
  <c r="GA23" i="7" s="1"/>
  <c r="HB29" i="76"/>
  <c r="GA149" i="7" s="1"/>
  <c r="HB25" i="76"/>
  <c r="GA145" i="7" s="1"/>
  <c r="HB21" i="76"/>
  <c r="GA141" i="7" s="1"/>
  <c r="HB17" i="76"/>
  <c r="GA137" i="7" s="1"/>
  <c r="HB13" i="76"/>
  <c r="GA133" i="7" s="1"/>
  <c r="HI14" i="76"/>
  <c r="GF134" i="7" s="1"/>
  <c r="HB14" i="76"/>
  <c r="GA134" i="7" s="1"/>
  <c r="HH16" i="76"/>
  <c r="GE136" i="7" s="1"/>
  <c r="HB31" i="76"/>
  <c r="GA21" i="7" s="1"/>
  <c r="HA9" i="76"/>
  <c r="HB34" i="76"/>
  <c r="GA24" i="7" s="1"/>
  <c r="HE35" i="76"/>
  <c r="HE40" i="76"/>
  <c r="HB47" i="76"/>
  <c r="GA37" i="7" s="1"/>
  <c r="HB50" i="76"/>
  <c r="GA40" i="7" s="1"/>
  <c r="HB59" i="76"/>
  <c r="GA49" i="7" s="1"/>
  <c r="HB62" i="76"/>
  <c r="GA52" i="7" s="1"/>
  <c r="HB71" i="76"/>
  <c r="GA61" i="7" s="1"/>
  <c r="HB76" i="76"/>
  <c r="GA66" i="7" s="1"/>
  <c r="HB87" i="76"/>
  <c r="GA77" i="7" s="1"/>
  <c r="HB92" i="76"/>
  <c r="GA82" i="7" s="1"/>
  <c r="HB103" i="76"/>
  <c r="GA93" i="7" s="1"/>
  <c r="HB108" i="76"/>
  <c r="GA98" i="7" s="1"/>
  <c r="HC105" i="76"/>
  <c r="GB95" i="7" s="1"/>
  <c r="HC101" i="76"/>
  <c r="GB91" i="7" s="1"/>
  <c r="HC110" i="76"/>
  <c r="GB100" i="7" s="1"/>
  <c r="HC106" i="76"/>
  <c r="GB96" i="7" s="1"/>
  <c r="HC102" i="76"/>
  <c r="GB92" i="7" s="1"/>
  <c r="HC98" i="76"/>
  <c r="GB88" i="7" s="1"/>
  <c r="HC94" i="76"/>
  <c r="GB84" i="7" s="1"/>
  <c r="HC90" i="76"/>
  <c r="GB80" i="7" s="1"/>
  <c r="HC86" i="76"/>
  <c r="GB76" i="7" s="1"/>
  <c r="HC82" i="76"/>
  <c r="GB72" i="7" s="1"/>
  <c r="HC78" i="76"/>
  <c r="GB68" i="7" s="1"/>
  <c r="HC74" i="76"/>
  <c r="GB64" i="7" s="1"/>
  <c r="HC70" i="76"/>
  <c r="GB60" i="7" s="1"/>
  <c r="HC31" i="76"/>
  <c r="GB21" i="7" s="1"/>
  <c r="HB32" i="76"/>
  <c r="GA22" i="7" s="1"/>
  <c r="HC39" i="76"/>
  <c r="GB29" i="7" s="1"/>
  <c r="HB40" i="76"/>
  <c r="GA30" i="7" s="1"/>
  <c r="HE45" i="76"/>
  <c r="HC47" i="76"/>
  <c r="GB37" i="7" s="1"/>
  <c r="HB48" i="76"/>
  <c r="GA38" i="7" s="1"/>
  <c r="HC55" i="76"/>
  <c r="GB45" i="7" s="1"/>
  <c r="HB56" i="76"/>
  <c r="GA46" i="7" s="1"/>
  <c r="HC59" i="76"/>
  <c r="GB49" i="7" s="1"/>
  <c r="HB60" i="76"/>
  <c r="GA50" i="7" s="1"/>
  <c r="HC63" i="76"/>
  <c r="GB53" i="7" s="1"/>
  <c r="HB64" i="76"/>
  <c r="GA54" i="7" s="1"/>
  <c r="HB68" i="76"/>
  <c r="GA58" i="7" s="1"/>
  <c r="HB73" i="76"/>
  <c r="GA63" i="7" s="1"/>
  <c r="HB85" i="76"/>
  <c r="GA75" i="7" s="1"/>
  <c r="HB89" i="76"/>
  <c r="GA79" i="7" s="1"/>
  <c r="HC12" i="76"/>
  <c r="GB132" i="7" s="1"/>
  <c r="HC16" i="76"/>
  <c r="GB136" i="7" s="1"/>
  <c r="HC20" i="76"/>
  <c r="GB140" i="7" s="1"/>
  <c r="HC72" i="76"/>
  <c r="GB62" i="7" s="1"/>
  <c r="HC76" i="76"/>
  <c r="GB66" i="7" s="1"/>
  <c r="HC80" i="76"/>
  <c r="GB70" i="7" s="1"/>
  <c r="HE82" i="76"/>
  <c r="HC84" i="76"/>
  <c r="GB74" i="7" s="1"/>
  <c r="HC88" i="76"/>
  <c r="GB78" i="7" s="1"/>
  <c r="HC92" i="76"/>
  <c r="GB82" i="7" s="1"/>
  <c r="HE94" i="76"/>
  <c r="HC96" i="76"/>
  <c r="GB86" i="7" s="1"/>
  <c r="HC100" i="76"/>
  <c r="GB90" i="7" s="1"/>
  <c r="HC104" i="76"/>
  <c r="GB94" i="7" s="1"/>
  <c r="HC108" i="76"/>
  <c r="GB98" i="7" s="1"/>
  <c r="HC23" i="76"/>
  <c r="GB143" i="7" s="1"/>
  <c r="HB24" i="76"/>
  <c r="GA144" i="7" s="1"/>
  <c r="HC27" i="76"/>
  <c r="GB147" i="7" s="1"/>
  <c r="HB28" i="76"/>
  <c r="GA148" i="7" s="1"/>
  <c r="HC35" i="76"/>
  <c r="GB25" i="7" s="1"/>
  <c r="HB36" i="76"/>
  <c r="GA26" i="7" s="1"/>
  <c r="HC43" i="76"/>
  <c r="GB33" i="7" s="1"/>
  <c r="HB44" i="76"/>
  <c r="GA34" i="7" s="1"/>
  <c r="HE49" i="76"/>
  <c r="HC51" i="76"/>
  <c r="GB41" i="7" s="1"/>
  <c r="HB52" i="76"/>
  <c r="GA42" i="7" s="1"/>
  <c r="HC67" i="76"/>
  <c r="GB57" i="7" s="1"/>
  <c r="HB69" i="76"/>
  <c r="GA59" i="7" s="1"/>
  <c r="HB77" i="76"/>
  <c r="GA67" i="7" s="1"/>
  <c r="HB81" i="76"/>
  <c r="GA71" i="7" s="1"/>
  <c r="HB93" i="76"/>
  <c r="GA83" i="7" s="1"/>
  <c r="HB97" i="76"/>
  <c r="GA87" i="7" s="1"/>
  <c r="HB101" i="76"/>
  <c r="GA91" i="7" s="1"/>
  <c r="HB105" i="76"/>
  <c r="GA95" i="7" s="1"/>
  <c r="HB109" i="76"/>
  <c r="GA99" i="7" s="1"/>
  <c r="HD104" i="76"/>
  <c r="HE104" i="76" s="1"/>
  <c r="HD100" i="76"/>
  <c r="HE100" i="76" s="1"/>
  <c r="HD109" i="76"/>
  <c r="HE109" i="76" s="1"/>
  <c r="HD105" i="76"/>
  <c r="HE105" i="76" s="1"/>
  <c r="HD101" i="76"/>
  <c r="HE101" i="76" s="1"/>
  <c r="HD97" i="76"/>
  <c r="HE97" i="76" s="1"/>
  <c r="HD93" i="76"/>
  <c r="HE93" i="76" s="1"/>
  <c r="HD89" i="76"/>
  <c r="HE89" i="76" s="1"/>
  <c r="HD85" i="76"/>
  <c r="HE85" i="76" s="1"/>
  <c r="HD81" i="76"/>
  <c r="HE81" i="76" s="1"/>
  <c r="HD77" i="76"/>
  <c r="HE77" i="76" s="1"/>
  <c r="HD73" i="76"/>
  <c r="HE73" i="76" s="1"/>
  <c r="HD69" i="76"/>
  <c r="HE69" i="76" s="1"/>
  <c r="HC24" i="76"/>
  <c r="GB144" i="7" s="1"/>
  <c r="HC28" i="76"/>
  <c r="GB148" i="7" s="1"/>
  <c r="HC32" i="76"/>
  <c r="GB22" i="7" s="1"/>
  <c r="HC36" i="76"/>
  <c r="GB26" i="7" s="1"/>
  <c r="HC40" i="76"/>
  <c r="GB30" i="7" s="1"/>
  <c r="HC44" i="76"/>
  <c r="GB34" i="7" s="1"/>
  <c r="HC48" i="76"/>
  <c r="GB38" i="7" s="1"/>
  <c r="HC52" i="76"/>
  <c r="GB42" i="7" s="1"/>
  <c r="HC56" i="76"/>
  <c r="GB46" i="7" s="1"/>
  <c r="HC60" i="76"/>
  <c r="GB50" i="7" s="1"/>
  <c r="HC64" i="76"/>
  <c r="GB54" i="7" s="1"/>
  <c r="HC68" i="76"/>
  <c r="GB58" i="7" s="1"/>
  <c r="HC69" i="76"/>
  <c r="GB59" i="7" s="1"/>
  <c r="HB70" i="76"/>
  <c r="GA60" i="7" s="1"/>
  <c r="HD72" i="76"/>
  <c r="HC73" i="76"/>
  <c r="GB63" i="7" s="1"/>
  <c r="HB74" i="76"/>
  <c r="GA64" i="7" s="1"/>
  <c r="HD76" i="76"/>
  <c r="HE76" i="76" s="1"/>
  <c r="HC77" i="76"/>
  <c r="GB67" i="7" s="1"/>
  <c r="HB78" i="76"/>
  <c r="GA68" i="7" s="1"/>
  <c r="HD80" i="76"/>
  <c r="HE80" i="76" s="1"/>
  <c r="HC81" i="76"/>
  <c r="GB71" i="7" s="1"/>
  <c r="HB82" i="76"/>
  <c r="GA72" i="7" s="1"/>
  <c r="HD84" i="76"/>
  <c r="HE84" i="76" s="1"/>
  <c r="HC85" i="76"/>
  <c r="GB75" i="7" s="1"/>
  <c r="HB86" i="76"/>
  <c r="GA76" i="7" s="1"/>
  <c r="HE87" i="76"/>
  <c r="HD88" i="76"/>
  <c r="HE88" i="76" s="1"/>
  <c r="HC89" i="76"/>
  <c r="GB79" i="7" s="1"/>
  <c r="HB90" i="76"/>
  <c r="GA80" i="7" s="1"/>
  <c r="HE91" i="76"/>
  <c r="HG91" i="76" s="1"/>
  <c r="GD81" i="7" s="1"/>
  <c r="HD92" i="76"/>
  <c r="HE92" i="76" s="1"/>
  <c r="HC93" i="76"/>
  <c r="GB83" i="7" s="1"/>
  <c r="HB94" i="76"/>
  <c r="GA84" i="7" s="1"/>
  <c r="HD96" i="76"/>
  <c r="HE96" i="76" s="1"/>
  <c r="HF96" i="76" s="1"/>
  <c r="GC86" i="7" s="1"/>
  <c r="HC97" i="76"/>
  <c r="GB87" i="7" s="1"/>
  <c r="HB98" i="76"/>
  <c r="GA88" i="7" s="1"/>
  <c r="HD108" i="76"/>
  <c r="HE108" i="76" s="1"/>
  <c r="HC109" i="76"/>
  <c r="GB99" i="7" s="1"/>
  <c r="HB110" i="76"/>
  <c r="GA100" i="7" s="1"/>
  <c r="A70" i="10"/>
  <c r="A71" i="10" s="1"/>
  <c r="A72" i="10" s="1"/>
  <c r="A65" i="10"/>
  <c r="A66" i="10" s="1"/>
  <c r="A67" i="10" s="1"/>
  <c r="R14" i="46"/>
  <c r="R9" i="46"/>
  <c r="R14" i="45"/>
  <c r="R9" i="45"/>
  <c r="O14" i="46"/>
  <c r="O11" i="46"/>
  <c r="O9" i="46"/>
  <c r="O14" i="45"/>
  <c r="O11" i="45"/>
  <c r="O9" i="45"/>
  <c r="R9" i="38"/>
  <c r="O9" i="38"/>
  <c r="M20" i="10"/>
  <c r="L20" i="10"/>
  <c r="K20" i="10"/>
  <c r="I7" i="10"/>
  <c r="J6" i="10"/>
  <c r="J96" i="10"/>
  <c r="J93" i="10"/>
  <c r="I96" i="10"/>
  <c r="I93" i="10"/>
  <c r="I31" i="10"/>
  <c r="AA20" i="55"/>
  <c r="R11" i="45" s="1"/>
  <c r="I89" i="10"/>
  <c r="I69" i="10"/>
  <c r="I82" i="10" s="1"/>
  <c r="C72" i="10"/>
  <c r="J72" i="10" s="1"/>
  <c r="C71" i="10"/>
  <c r="J71" i="10" s="1"/>
  <c r="C70" i="10"/>
  <c r="J70" i="10" s="1"/>
  <c r="C69" i="10"/>
  <c r="J69" i="10" s="1"/>
  <c r="I63" i="10"/>
  <c r="I79" i="10" s="1"/>
  <c r="J61" i="10"/>
  <c r="AI6" i="46"/>
  <c r="AG6" i="46"/>
  <c r="AI5" i="46"/>
  <c r="AG5" i="46"/>
  <c r="AJ4" i="46"/>
  <c r="AK4" i="46" s="1"/>
  <c r="AI4" i="46"/>
  <c r="AI6" i="45"/>
  <c r="AG6" i="45"/>
  <c r="AI5" i="45"/>
  <c r="AG5" i="45"/>
  <c r="AJ4" i="45"/>
  <c r="AK4" i="45" s="1"/>
  <c r="AI4" i="45"/>
  <c r="AG6" i="38"/>
  <c r="AG5" i="38"/>
  <c r="AI4" i="38"/>
  <c r="AJ4" i="38"/>
  <c r="AK4" i="38" s="1"/>
  <c r="AI6" i="38"/>
  <c r="AI5" i="38"/>
  <c r="E72" i="10"/>
  <c r="D72" i="10"/>
  <c r="E71" i="10"/>
  <c r="D71" i="10"/>
  <c r="E70" i="10"/>
  <c r="D70" i="10"/>
  <c r="E69" i="10"/>
  <c r="D69" i="10"/>
  <c r="A79" i="10"/>
  <c r="A82" i="10" s="1"/>
  <c r="A150" i="55"/>
  <c r="DZ150" i="7"/>
  <c r="DY150" i="7"/>
  <c r="DX150" i="7"/>
  <c r="DW150" i="7"/>
  <c r="DV150" i="7"/>
  <c r="DU150" i="7"/>
  <c r="DT150" i="7"/>
  <c r="DR150" i="7"/>
  <c r="DQ150" i="7"/>
  <c r="DP150" i="7"/>
  <c r="DO150" i="7"/>
  <c r="DN150" i="7"/>
  <c r="DM150" i="7"/>
  <c r="DL150" i="7"/>
  <c r="DJ150" i="7"/>
  <c r="DI150" i="7"/>
  <c r="DH150" i="7"/>
  <c r="DG150" i="7"/>
  <c r="DF150" i="7"/>
  <c r="DE150" i="7"/>
  <c r="DD150" i="7"/>
  <c r="DB150" i="7"/>
  <c r="DA150" i="7"/>
  <c r="CZ150" i="7"/>
  <c r="CY150" i="7"/>
  <c r="CX150" i="7"/>
  <c r="CW150" i="7"/>
  <c r="CV150" i="7"/>
  <c r="CT150" i="7"/>
  <c r="CS150" i="7"/>
  <c r="CR150" i="7"/>
  <c r="CQ150" i="7"/>
  <c r="CP150" i="7"/>
  <c r="CO150" i="7"/>
  <c r="CN150" i="7"/>
  <c r="CJ150" i="7"/>
  <c r="CI150" i="7"/>
  <c r="CH150" i="7"/>
  <c r="CG150" i="7"/>
  <c r="CF150" i="7"/>
  <c r="CE150" i="7"/>
  <c r="CD150" i="7"/>
  <c r="CB150" i="7"/>
  <c r="CA150" i="7"/>
  <c r="BZ150" i="7"/>
  <c r="BY150" i="7"/>
  <c r="BX150" i="7"/>
  <c r="BW150" i="7"/>
  <c r="BV150" i="7"/>
  <c r="BT150" i="7"/>
  <c r="BS150" i="7"/>
  <c r="BR150" i="7"/>
  <c r="BQ150" i="7"/>
  <c r="BP150" i="7"/>
  <c r="BO150" i="7"/>
  <c r="BN150" i="7"/>
  <c r="BL150" i="7"/>
  <c r="BK150" i="7"/>
  <c r="BJ150" i="7"/>
  <c r="BI150" i="7"/>
  <c r="BH150" i="7"/>
  <c r="BG150" i="7"/>
  <c r="BF150" i="7"/>
  <c r="BD150" i="7"/>
  <c r="BC150" i="7"/>
  <c r="BB150" i="7"/>
  <c r="BA150" i="7"/>
  <c r="AZ150" i="7"/>
  <c r="AY150" i="7"/>
  <c r="AX150" i="7"/>
  <c r="AT150" i="7"/>
  <c r="AS150" i="7"/>
  <c r="AR150" i="7"/>
  <c r="AQ150" i="7"/>
  <c r="AP150" i="7"/>
  <c r="AO150" i="7"/>
  <c r="AN150" i="7"/>
  <c r="AL150" i="7"/>
  <c r="AK150" i="7"/>
  <c r="AJ150" i="7"/>
  <c r="AI150" i="7"/>
  <c r="AH150" i="7"/>
  <c r="AG150" i="7"/>
  <c r="AF150" i="7"/>
  <c r="AD150" i="7"/>
  <c r="AC150" i="7"/>
  <c r="AB150" i="7"/>
  <c r="AA150" i="7"/>
  <c r="Z150" i="7"/>
  <c r="Y150" i="7"/>
  <c r="X150" i="7"/>
  <c r="V150" i="7"/>
  <c r="U150" i="7"/>
  <c r="T150" i="7"/>
  <c r="S150" i="7"/>
  <c r="R150" i="7"/>
  <c r="Q150" i="7"/>
  <c r="P150" i="7"/>
  <c r="N150" i="7"/>
  <c r="M150" i="7"/>
  <c r="L150" i="7"/>
  <c r="K150" i="7"/>
  <c r="J150" i="7"/>
  <c r="I150" i="7"/>
  <c r="H150" i="7"/>
  <c r="A150" i="7"/>
  <c r="DZ149" i="7"/>
  <c r="DY149" i="7"/>
  <c r="DX149" i="7"/>
  <c r="DW149" i="7"/>
  <c r="DV149" i="7"/>
  <c r="DU149" i="7"/>
  <c r="DT149" i="7"/>
  <c r="DR149" i="7"/>
  <c r="DQ149" i="7"/>
  <c r="DP149" i="7"/>
  <c r="DO149" i="7"/>
  <c r="DN149" i="7"/>
  <c r="DM149" i="7"/>
  <c r="DL149" i="7"/>
  <c r="DJ149" i="7"/>
  <c r="DI149" i="7"/>
  <c r="DH149" i="7"/>
  <c r="DG149" i="7"/>
  <c r="DF149" i="7"/>
  <c r="DE149" i="7"/>
  <c r="DD149" i="7"/>
  <c r="DB149" i="7"/>
  <c r="DA149" i="7"/>
  <c r="CZ149" i="7"/>
  <c r="CY149" i="7"/>
  <c r="CX149" i="7"/>
  <c r="CW149" i="7"/>
  <c r="CV149" i="7"/>
  <c r="CT149" i="7"/>
  <c r="CS149" i="7"/>
  <c r="CR149" i="7"/>
  <c r="CQ149" i="7"/>
  <c r="CP149" i="7"/>
  <c r="CO149" i="7"/>
  <c r="CN149" i="7"/>
  <c r="CJ149" i="7"/>
  <c r="CI149" i="7"/>
  <c r="CH149" i="7"/>
  <c r="CG149" i="7"/>
  <c r="CF149" i="7"/>
  <c r="CE149" i="7"/>
  <c r="CD149" i="7"/>
  <c r="CB149" i="7"/>
  <c r="CA149" i="7"/>
  <c r="BZ149" i="7"/>
  <c r="BY149" i="7"/>
  <c r="BX149" i="7"/>
  <c r="BW149" i="7"/>
  <c r="BV149" i="7"/>
  <c r="BT149" i="7"/>
  <c r="BS149" i="7"/>
  <c r="BR149" i="7"/>
  <c r="BQ149" i="7"/>
  <c r="BP149" i="7"/>
  <c r="BO149" i="7"/>
  <c r="BN149" i="7"/>
  <c r="BL149" i="7"/>
  <c r="BK149" i="7"/>
  <c r="BJ149" i="7"/>
  <c r="BI149" i="7"/>
  <c r="BH149" i="7"/>
  <c r="BG149" i="7"/>
  <c r="BF149" i="7"/>
  <c r="BD149" i="7"/>
  <c r="BC149" i="7"/>
  <c r="BB149" i="7"/>
  <c r="BA149" i="7"/>
  <c r="AZ149" i="7"/>
  <c r="AY149" i="7"/>
  <c r="AX149" i="7"/>
  <c r="AT149" i="7"/>
  <c r="AS149" i="7"/>
  <c r="AR149" i="7"/>
  <c r="AQ149" i="7"/>
  <c r="AP149" i="7"/>
  <c r="AO149" i="7"/>
  <c r="AN149" i="7"/>
  <c r="AL149" i="7"/>
  <c r="AK149" i="7"/>
  <c r="AJ149" i="7"/>
  <c r="AI149" i="7"/>
  <c r="AH149" i="7"/>
  <c r="AG149" i="7"/>
  <c r="AF149" i="7"/>
  <c r="AD149" i="7"/>
  <c r="AC149" i="7"/>
  <c r="AB149" i="7"/>
  <c r="AA149" i="7"/>
  <c r="Z149" i="7"/>
  <c r="Y149" i="7"/>
  <c r="X149" i="7"/>
  <c r="V149" i="7"/>
  <c r="U149" i="7"/>
  <c r="T149" i="7"/>
  <c r="S149" i="7"/>
  <c r="R149" i="7"/>
  <c r="Q149" i="7"/>
  <c r="P149" i="7"/>
  <c r="N149" i="7"/>
  <c r="M149" i="7"/>
  <c r="L149" i="7"/>
  <c r="K149" i="7"/>
  <c r="J149" i="7"/>
  <c r="I149" i="7"/>
  <c r="H149" i="7"/>
  <c r="A149" i="7"/>
  <c r="DZ148" i="7"/>
  <c r="DY148" i="7"/>
  <c r="DX148" i="7"/>
  <c r="DW148" i="7"/>
  <c r="DV148" i="7"/>
  <c r="DU148" i="7"/>
  <c r="DT148" i="7"/>
  <c r="DR148" i="7"/>
  <c r="DQ148" i="7"/>
  <c r="DP148" i="7"/>
  <c r="DO148" i="7"/>
  <c r="DN148" i="7"/>
  <c r="DM148" i="7"/>
  <c r="DL148" i="7"/>
  <c r="DJ148" i="7"/>
  <c r="DI148" i="7"/>
  <c r="DH148" i="7"/>
  <c r="DG148" i="7"/>
  <c r="DF148" i="7"/>
  <c r="DE148" i="7"/>
  <c r="DD148" i="7"/>
  <c r="DB148" i="7"/>
  <c r="DA148" i="7"/>
  <c r="CZ148" i="7"/>
  <c r="CY148" i="7"/>
  <c r="CX148" i="7"/>
  <c r="CW148" i="7"/>
  <c r="CV148" i="7"/>
  <c r="CT148" i="7"/>
  <c r="CS148" i="7"/>
  <c r="CR148" i="7"/>
  <c r="CQ148" i="7"/>
  <c r="CP148" i="7"/>
  <c r="CO148" i="7"/>
  <c r="CN148" i="7"/>
  <c r="CJ148" i="7"/>
  <c r="CI148" i="7"/>
  <c r="CH148" i="7"/>
  <c r="CG148" i="7"/>
  <c r="CF148" i="7"/>
  <c r="CE148" i="7"/>
  <c r="CD148" i="7"/>
  <c r="CB148" i="7"/>
  <c r="CA148" i="7"/>
  <c r="BZ148" i="7"/>
  <c r="BY148" i="7"/>
  <c r="BX148" i="7"/>
  <c r="BW148" i="7"/>
  <c r="BV148" i="7"/>
  <c r="BT148" i="7"/>
  <c r="BS148" i="7"/>
  <c r="BR148" i="7"/>
  <c r="BQ148" i="7"/>
  <c r="BP148" i="7"/>
  <c r="BO148" i="7"/>
  <c r="BN148" i="7"/>
  <c r="BL148" i="7"/>
  <c r="BK148" i="7"/>
  <c r="BJ148" i="7"/>
  <c r="BI148" i="7"/>
  <c r="BH148" i="7"/>
  <c r="BG148" i="7"/>
  <c r="BF148" i="7"/>
  <c r="BD148" i="7"/>
  <c r="BC148" i="7"/>
  <c r="BB148" i="7"/>
  <c r="BA148" i="7"/>
  <c r="AZ148" i="7"/>
  <c r="AY148" i="7"/>
  <c r="AX148" i="7"/>
  <c r="AT148" i="7"/>
  <c r="AS148" i="7"/>
  <c r="AR148" i="7"/>
  <c r="AQ148" i="7"/>
  <c r="AP148" i="7"/>
  <c r="AO148" i="7"/>
  <c r="AN148" i="7"/>
  <c r="AL148" i="7"/>
  <c r="AK148" i="7"/>
  <c r="AJ148" i="7"/>
  <c r="AI148" i="7"/>
  <c r="AH148" i="7"/>
  <c r="AG148" i="7"/>
  <c r="AF148" i="7"/>
  <c r="AD148" i="7"/>
  <c r="AC148" i="7"/>
  <c r="AB148" i="7"/>
  <c r="AA148" i="7"/>
  <c r="Z148" i="7"/>
  <c r="Y148" i="7"/>
  <c r="X148" i="7"/>
  <c r="V148" i="7"/>
  <c r="U148" i="7"/>
  <c r="T148" i="7"/>
  <c r="S148" i="7"/>
  <c r="R148" i="7"/>
  <c r="Q148" i="7"/>
  <c r="P148" i="7"/>
  <c r="N148" i="7"/>
  <c r="M148" i="7"/>
  <c r="L148" i="7"/>
  <c r="K148" i="7"/>
  <c r="J148" i="7"/>
  <c r="I148" i="7"/>
  <c r="H148" i="7"/>
  <c r="A148" i="7"/>
  <c r="DZ147" i="7"/>
  <c r="DY147" i="7"/>
  <c r="DX147" i="7"/>
  <c r="DW147" i="7"/>
  <c r="DV147" i="7"/>
  <c r="DU147" i="7"/>
  <c r="DT147" i="7"/>
  <c r="DR147" i="7"/>
  <c r="DQ147" i="7"/>
  <c r="DP147" i="7"/>
  <c r="DO147" i="7"/>
  <c r="DN147" i="7"/>
  <c r="DM147" i="7"/>
  <c r="DL147" i="7"/>
  <c r="DJ147" i="7"/>
  <c r="DI147" i="7"/>
  <c r="DH147" i="7"/>
  <c r="DG147" i="7"/>
  <c r="DF147" i="7"/>
  <c r="DE147" i="7"/>
  <c r="DD147" i="7"/>
  <c r="DB147" i="7"/>
  <c r="DA147" i="7"/>
  <c r="CZ147" i="7"/>
  <c r="CY147" i="7"/>
  <c r="CX147" i="7"/>
  <c r="CW147" i="7"/>
  <c r="CV147" i="7"/>
  <c r="CT147" i="7"/>
  <c r="CS147" i="7"/>
  <c r="CR147" i="7"/>
  <c r="CQ147" i="7"/>
  <c r="CP147" i="7"/>
  <c r="CO147" i="7"/>
  <c r="CN147" i="7"/>
  <c r="CJ147" i="7"/>
  <c r="CI147" i="7"/>
  <c r="CH147" i="7"/>
  <c r="CG147" i="7"/>
  <c r="CF147" i="7"/>
  <c r="CE147" i="7"/>
  <c r="CD147" i="7"/>
  <c r="CB147" i="7"/>
  <c r="CA147" i="7"/>
  <c r="BZ147" i="7"/>
  <c r="BY147" i="7"/>
  <c r="BX147" i="7"/>
  <c r="BW147" i="7"/>
  <c r="BV147" i="7"/>
  <c r="BT147" i="7"/>
  <c r="BS147" i="7"/>
  <c r="BR147" i="7"/>
  <c r="BQ147" i="7"/>
  <c r="BP147" i="7"/>
  <c r="BO147" i="7"/>
  <c r="BN147" i="7"/>
  <c r="BL147" i="7"/>
  <c r="BK147" i="7"/>
  <c r="BJ147" i="7"/>
  <c r="BI147" i="7"/>
  <c r="BH147" i="7"/>
  <c r="BG147" i="7"/>
  <c r="BF147" i="7"/>
  <c r="BD147" i="7"/>
  <c r="BC147" i="7"/>
  <c r="BB147" i="7"/>
  <c r="BA147" i="7"/>
  <c r="AZ147" i="7"/>
  <c r="AY147" i="7"/>
  <c r="AX147" i="7"/>
  <c r="AT147" i="7"/>
  <c r="AS147" i="7"/>
  <c r="AR147" i="7"/>
  <c r="AQ147" i="7"/>
  <c r="AP147" i="7"/>
  <c r="AO147" i="7"/>
  <c r="AN147" i="7"/>
  <c r="AL147" i="7"/>
  <c r="AK147" i="7"/>
  <c r="AJ147" i="7"/>
  <c r="AI147" i="7"/>
  <c r="AH147" i="7"/>
  <c r="AG147" i="7"/>
  <c r="AF147" i="7"/>
  <c r="AD147" i="7"/>
  <c r="AC147" i="7"/>
  <c r="AB147" i="7"/>
  <c r="AA147" i="7"/>
  <c r="Z147" i="7"/>
  <c r="Y147" i="7"/>
  <c r="X147" i="7"/>
  <c r="V147" i="7"/>
  <c r="U147" i="7"/>
  <c r="T147" i="7"/>
  <c r="S147" i="7"/>
  <c r="R147" i="7"/>
  <c r="Q147" i="7"/>
  <c r="P147" i="7"/>
  <c r="N147" i="7"/>
  <c r="M147" i="7"/>
  <c r="L147" i="7"/>
  <c r="K147" i="7"/>
  <c r="J147" i="7"/>
  <c r="I147" i="7"/>
  <c r="H147" i="7"/>
  <c r="A147" i="7"/>
  <c r="DZ146" i="7"/>
  <c r="DY146" i="7"/>
  <c r="DX146" i="7"/>
  <c r="DW146" i="7"/>
  <c r="DV146" i="7"/>
  <c r="DU146" i="7"/>
  <c r="DT146" i="7"/>
  <c r="DR146" i="7"/>
  <c r="DQ146" i="7"/>
  <c r="DP146" i="7"/>
  <c r="DO146" i="7"/>
  <c r="DN146" i="7"/>
  <c r="DM146" i="7"/>
  <c r="DL146" i="7"/>
  <c r="DJ146" i="7"/>
  <c r="DI146" i="7"/>
  <c r="DH146" i="7"/>
  <c r="DG146" i="7"/>
  <c r="DF146" i="7"/>
  <c r="DE146" i="7"/>
  <c r="DD146" i="7"/>
  <c r="DB146" i="7"/>
  <c r="DA146" i="7"/>
  <c r="CZ146" i="7"/>
  <c r="CY146" i="7"/>
  <c r="CX146" i="7"/>
  <c r="CW146" i="7"/>
  <c r="CV146" i="7"/>
  <c r="CT146" i="7"/>
  <c r="CS146" i="7"/>
  <c r="CR146" i="7"/>
  <c r="CQ146" i="7"/>
  <c r="CP146" i="7"/>
  <c r="CO146" i="7"/>
  <c r="CN146" i="7"/>
  <c r="CJ146" i="7"/>
  <c r="CI146" i="7"/>
  <c r="CH146" i="7"/>
  <c r="CG146" i="7"/>
  <c r="CF146" i="7"/>
  <c r="CE146" i="7"/>
  <c r="CD146" i="7"/>
  <c r="CB146" i="7"/>
  <c r="CA146" i="7"/>
  <c r="BZ146" i="7"/>
  <c r="BY146" i="7"/>
  <c r="BX146" i="7"/>
  <c r="BW146" i="7"/>
  <c r="BV146" i="7"/>
  <c r="BT146" i="7"/>
  <c r="BS146" i="7"/>
  <c r="BR146" i="7"/>
  <c r="BQ146" i="7"/>
  <c r="BP146" i="7"/>
  <c r="BO146" i="7"/>
  <c r="BN146" i="7"/>
  <c r="BL146" i="7"/>
  <c r="BK146" i="7"/>
  <c r="BJ146" i="7"/>
  <c r="BI146" i="7"/>
  <c r="BH146" i="7"/>
  <c r="BG146" i="7"/>
  <c r="BF146" i="7"/>
  <c r="BD146" i="7"/>
  <c r="BC146" i="7"/>
  <c r="BB146" i="7"/>
  <c r="BA146" i="7"/>
  <c r="AZ146" i="7"/>
  <c r="AY146" i="7"/>
  <c r="AX146" i="7"/>
  <c r="AT146" i="7"/>
  <c r="AS146" i="7"/>
  <c r="AR146" i="7"/>
  <c r="AQ146" i="7"/>
  <c r="AP146" i="7"/>
  <c r="AO146" i="7"/>
  <c r="AN146" i="7"/>
  <c r="AL146" i="7"/>
  <c r="AK146" i="7"/>
  <c r="AJ146" i="7"/>
  <c r="AI146" i="7"/>
  <c r="AH146" i="7"/>
  <c r="AG146" i="7"/>
  <c r="AF146" i="7"/>
  <c r="AD146" i="7"/>
  <c r="AC146" i="7"/>
  <c r="AB146" i="7"/>
  <c r="AA146" i="7"/>
  <c r="Z146" i="7"/>
  <c r="Y146" i="7"/>
  <c r="X146" i="7"/>
  <c r="V146" i="7"/>
  <c r="U146" i="7"/>
  <c r="T146" i="7"/>
  <c r="S146" i="7"/>
  <c r="R146" i="7"/>
  <c r="Q146" i="7"/>
  <c r="P146" i="7"/>
  <c r="N146" i="7"/>
  <c r="M146" i="7"/>
  <c r="L146" i="7"/>
  <c r="K146" i="7"/>
  <c r="J146" i="7"/>
  <c r="I146" i="7"/>
  <c r="H146" i="7"/>
  <c r="A146" i="7"/>
  <c r="DZ145" i="7"/>
  <c r="DY145" i="7"/>
  <c r="DX145" i="7"/>
  <c r="DW145" i="7"/>
  <c r="DV145" i="7"/>
  <c r="DU145" i="7"/>
  <c r="DT145" i="7"/>
  <c r="DR145" i="7"/>
  <c r="DQ145" i="7"/>
  <c r="DP145" i="7"/>
  <c r="DO145" i="7"/>
  <c r="DN145" i="7"/>
  <c r="DM145" i="7"/>
  <c r="DL145" i="7"/>
  <c r="DJ145" i="7"/>
  <c r="DI145" i="7"/>
  <c r="DH145" i="7"/>
  <c r="DG145" i="7"/>
  <c r="DF145" i="7"/>
  <c r="DE145" i="7"/>
  <c r="DD145" i="7"/>
  <c r="DB145" i="7"/>
  <c r="DA145" i="7"/>
  <c r="CZ145" i="7"/>
  <c r="CY145" i="7"/>
  <c r="CX145" i="7"/>
  <c r="CW145" i="7"/>
  <c r="CV145" i="7"/>
  <c r="CT145" i="7"/>
  <c r="CS145" i="7"/>
  <c r="CR145" i="7"/>
  <c r="CQ145" i="7"/>
  <c r="CP145" i="7"/>
  <c r="CO145" i="7"/>
  <c r="CN145" i="7"/>
  <c r="CJ145" i="7"/>
  <c r="CI145" i="7"/>
  <c r="CH145" i="7"/>
  <c r="CG145" i="7"/>
  <c r="CF145" i="7"/>
  <c r="CE145" i="7"/>
  <c r="CD145" i="7"/>
  <c r="CB145" i="7"/>
  <c r="CA145" i="7"/>
  <c r="BZ145" i="7"/>
  <c r="BY145" i="7"/>
  <c r="BX145" i="7"/>
  <c r="BW145" i="7"/>
  <c r="BV145" i="7"/>
  <c r="BT145" i="7"/>
  <c r="BS145" i="7"/>
  <c r="BR145" i="7"/>
  <c r="BQ145" i="7"/>
  <c r="BP145" i="7"/>
  <c r="BO145" i="7"/>
  <c r="BN145" i="7"/>
  <c r="BL145" i="7"/>
  <c r="BK145" i="7"/>
  <c r="BJ145" i="7"/>
  <c r="BI145" i="7"/>
  <c r="BH145" i="7"/>
  <c r="BG145" i="7"/>
  <c r="BF145" i="7"/>
  <c r="BD145" i="7"/>
  <c r="BC145" i="7"/>
  <c r="BB145" i="7"/>
  <c r="BA145" i="7"/>
  <c r="AZ145" i="7"/>
  <c r="AY145" i="7"/>
  <c r="AX145" i="7"/>
  <c r="AT145" i="7"/>
  <c r="AS145" i="7"/>
  <c r="AR145" i="7"/>
  <c r="AQ145" i="7"/>
  <c r="AP145" i="7"/>
  <c r="AO145" i="7"/>
  <c r="AN145" i="7"/>
  <c r="AL145" i="7"/>
  <c r="AK145" i="7"/>
  <c r="AJ145" i="7"/>
  <c r="AI145" i="7"/>
  <c r="AH145" i="7"/>
  <c r="AG145" i="7"/>
  <c r="AF145" i="7"/>
  <c r="AD145" i="7"/>
  <c r="AC145" i="7"/>
  <c r="AB145" i="7"/>
  <c r="AA145" i="7"/>
  <c r="Z145" i="7"/>
  <c r="Y145" i="7"/>
  <c r="X145" i="7"/>
  <c r="V145" i="7"/>
  <c r="U145" i="7"/>
  <c r="T145" i="7"/>
  <c r="S145" i="7"/>
  <c r="R145" i="7"/>
  <c r="Q145" i="7"/>
  <c r="P145" i="7"/>
  <c r="N145" i="7"/>
  <c r="M145" i="7"/>
  <c r="L145" i="7"/>
  <c r="K145" i="7"/>
  <c r="J145" i="7"/>
  <c r="I145" i="7"/>
  <c r="H145" i="7"/>
  <c r="A145" i="7"/>
  <c r="DZ144" i="7"/>
  <c r="DY144" i="7"/>
  <c r="DX144" i="7"/>
  <c r="DW144" i="7"/>
  <c r="DV144" i="7"/>
  <c r="DU144" i="7"/>
  <c r="DT144" i="7"/>
  <c r="DR144" i="7"/>
  <c r="DQ144" i="7"/>
  <c r="DP144" i="7"/>
  <c r="DO144" i="7"/>
  <c r="DN144" i="7"/>
  <c r="DM144" i="7"/>
  <c r="DL144" i="7"/>
  <c r="DJ144" i="7"/>
  <c r="DI144" i="7"/>
  <c r="DH144" i="7"/>
  <c r="DG144" i="7"/>
  <c r="DF144" i="7"/>
  <c r="DE144" i="7"/>
  <c r="DD144" i="7"/>
  <c r="DB144" i="7"/>
  <c r="DA144" i="7"/>
  <c r="CZ144" i="7"/>
  <c r="CY144" i="7"/>
  <c r="CX144" i="7"/>
  <c r="CW144" i="7"/>
  <c r="CV144" i="7"/>
  <c r="CT144" i="7"/>
  <c r="CS144" i="7"/>
  <c r="CR144" i="7"/>
  <c r="CQ144" i="7"/>
  <c r="CP144" i="7"/>
  <c r="CO144" i="7"/>
  <c r="CN144" i="7"/>
  <c r="CJ144" i="7"/>
  <c r="CI144" i="7"/>
  <c r="CH144" i="7"/>
  <c r="CG144" i="7"/>
  <c r="CF144" i="7"/>
  <c r="CE144" i="7"/>
  <c r="CD144" i="7"/>
  <c r="CB144" i="7"/>
  <c r="CA144" i="7"/>
  <c r="BZ144" i="7"/>
  <c r="BY144" i="7"/>
  <c r="BX144" i="7"/>
  <c r="BW144" i="7"/>
  <c r="BV144" i="7"/>
  <c r="BT144" i="7"/>
  <c r="BS144" i="7"/>
  <c r="BR144" i="7"/>
  <c r="BQ144" i="7"/>
  <c r="BP144" i="7"/>
  <c r="BO144" i="7"/>
  <c r="BN144" i="7"/>
  <c r="BL144" i="7"/>
  <c r="BK144" i="7"/>
  <c r="BJ144" i="7"/>
  <c r="BI144" i="7"/>
  <c r="BH144" i="7"/>
  <c r="BG144" i="7"/>
  <c r="BF144" i="7"/>
  <c r="BD144" i="7"/>
  <c r="BC144" i="7"/>
  <c r="BB144" i="7"/>
  <c r="BA144" i="7"/>
  <c r="AZ144" i="7"/>
  <c r="AY144" i="7"/>
  <c r="AX144" i="7"/>
  <c r="AT144" i="7"/>
  <c r="AS144" i="7"/>
  <c r="AR144" i="7"/>
  <c r="AQ144" i="7"/>
  <c r="AP144" i="7"/>
  <c r="AO144" i="7"/>
  <c r="AN144" i="7"/>
  <c r="AL144" i="7"/>
  <c r="AK144" i="7"/>
  <c r="AJ144" i="7"/>
  <c r="AI144" i="7"/>
  <c r="AH144" i="7"/>
  <c r="AG144" i="7"/>
  <c r="AF144" i="7"/>
  <c r="AD144" i="7"/>
  <c r="AC144" i="7"/>
  <c r="AB144" i="7"/>
  <c r="AA144" i="7"/>
  <c r="Z144" i="7"/>
  <c r="Y144" i="7"/>
  <c r="X144" i="7"/>
  <c r="V144" i="7"/>
  <c r="U144" i="7"/>
  <c r="T144" i="7"/>
  <c r="S144" i="7"/>
  <c r="R144" i="7"/>
  <c r="Q144" i="7"/>
  <c r="P144" i="7"/>
  <c r="N144" i="7"/>
  <c r="M144" i="7"/>
  <c r="L144" i="7"/>
  <c r="K144" i="7"/>
  <c r="J144" i="7"/>
  <c r="I144" i="7"/>
  <c r="H144" i="7"/>
  <c r="A144" i="7"/>
  <c r="DZ143" i="7"/>
  <c r="DY143" i="7"/>
  <c r="DX143" i="7"/>
  <c r="DW143" i="7"/>
  <c r="DV143" i="7"/>
  <c r="DU143" i="7"/>
  <c r="DT143" i="7"/>
  <c r="DR143" i="7"/>
  <c r="DQ143" i="7"/>
  <c r="DP143" i="7"/>
  <c r="DO143" i="7"/>
  <c r="DN143" i="7"/>
  <c r="DM143" i="7"/>
  <c r="DL143" i="7"/>
  <c r="DJ143" i="7"/>
  <c r="DI143" i="7"/>
  <c r="DH143" i="7"/>
  <c r="DG143" i="7"/>
  <c r="DF143" i="7"/>
  <c r="DE143" i="7"/>
  <c r="DD143" i="7"/>
  <c r="DB143" i="7"/>
  <c r="DA143" i="7"/>
  <c r="CZ143" i="7"/>
  <c r="CY143" i="7"/>
  <c r="CX143" i="7"/>
  <c r="CW143" i="7"/>
  <c r="CV143" i="7"/>
  <c r="CT143" i="7"/>
  <c r="CS143" i="7"/>
  <c r="CR143" i="7"/>
  <c r="CQ143" i="7"/>
  <c r="CP143" i="7"/>
  <c r="CO143" i="7"/>
  <c r="CN143" i="7"/>
  <c r="CJ143" i="7"/>
  <c r="CI143" i="7"/>
  <c r="CH143" i="7"/>
  <c r="CG143" i="7"/>
  <c r="CF143" i="7"/>
  <c r="CE143" i="7"/>
  <c r="CD143" i="7"/>
  <c r="CB143" i="7"/>
  <c r="CA143" i="7"/>
  <c r="BZ143" i="7"/>
  <c r="BY143" i="7"/>
  <c r="BX143" i="7"/>
  <c r="BW143" i="7"/>
  <c r="BV143" i="7"/>
  <c r="BT143" i="7"/>
  <c r="BS143" i="7"/>
  <c r="BR143" i="7"/>
  <c r="BQ143" i="7"/>
  <c r="BP143" i="7"/>
  <c r="BO143" i="7"/>
  <c r="BN143" i="7"/>
  <c r="BL143" i="7"/>
  <c r="BK143" i="7"/>
  <c r="BJ143" i="7"/>
  <c r="BI143" i="7"/>
  <c r="BH143" i="7"/>
  <c r="BG143" i="7"/>
  <c r="BF143" i="7"/>
  <c r="BD143" i="7"/>
  <c r="BC143" i="7"/>
  <c r="BB143" i="7"/>
  <c r="BA143" i="7"/>
  <c r="AZ143" i="7"/>
  <c r="AY143" i="7"/>
  <c r="AX143" i="7"/>
  <c r="AT143" i="7"/>
  <c r="AS143" i="7"/>
  <c r="AR143" i="7"/>
  <c r="AQ143" i="7"/>
  <c r="AP143" i="7"/>
  <c r="AO143" i="7"/>
  <c r="AN143" i="7"/>
  <c r="AL143" i="7"/>
  <c r="AK143" i="7"/>
  <c r="AJ143" i="7"/>
  <c r="AI143" i="7"/>
  <c r="AH143" i="7"/>
  <c r="AG143" i="7"/>
  <c r="AF143" i="7"/>
  <c r="AD143" i="7"/>
  <c r="AC143" i="7"/>
  <c r="AB143" i="7"/>
  <c r="AA143" i="7"/>
  <c r="Z143" i="7"/>
  <c r="Y143" i="7"/>
  <c r="X143" i="7"/>
  <c r="V143" i="7"/>
  <c r="U143" i="7"/>
  <c r="T143" i="7"/>
  <c r="S143" i="7"/>
  <c r="R143" i="7"/>
  <c r="Q143" i="7"/>
  <c r="P143" i="7"/>
  <c r="N143" i="7"/>
  <c r="M143" i="7"/>
  <c r="L143" i="7"/>
  <c r="K143" i="7"/>
  <c r="J143" i="7"/>
  <c r="I143" i="7"/>
  <c r="H143" i="7"/>
  <c r="A143" i="7"/>
  <c r="DZ142" i="7"/>
  <c r="DY142" i="7"/>
  <c r="DX142" i="7"/>
  <c r="DW142" i="7"/>
  <c r="DV142" i="7"/>
  <c r="DU142" i="7"/>
  <c r="DT142" i="7"/>
  <c r="DR142" i="7"/>
  <c r="DQ142" i="7"/>
  <c r="DP142" i="7"/>
  <c r="DO142" i="7"/>
  <c r="DN142" i="7"/>
  <c r="DM142" i="7"/>
  <c r="DL142" i="7"/>
  <c r="DJ142" i="7"/>
  <c r="DI142" i="7"/>
  <c r="DH142" i="7"/>
  <c r="DG142" i="7"/>
  <c r="DF142" i="7"/>
  <c r="DE142" i="7"/>
  <c r="DD142" i="7"/>
  <c r="DB142" i="7"/>
  <c r="DA142" i="7"/>
  <c r="CZ142" i="7"/>
  <c r="CY142" i="7"/>
  <c r="CX142" i="7"/>
  <c r="CW142" i="7"/>
  <c r="CV142" i="7"/>
  <c r="CT142" i="7"/>
  <c r="CS142" i="7"/>
  <c r="CR142" i="7"/>
  <c r="CQ142" i="7"/>
  <c r="CP142" i="7"/>
  <c r="CO142" i="7"/>
  <c r="CN142" i="7"/>
  <c r="CJ142" i="7"/>
  <c r="CI142" i="7"/>
  <c r="CH142" i="7"/>
  <c r="CG142" i="7"/>
  <c r="CF142" i="7"/>
  <c r="CE142" i="7"/>
  <c r="CD142" i="7"/>
  <c r="CB142" i="7"/>
  <c r="CA142" i="7"/>
  <c r="BZ142" i="7"/>
  <c r="BY142" i="7"/>
  <c r="BX142" i="7"/>
  <c r="BW142" i="7"/>
  <c r="BV142" i="7"/>
  <c r="BT142" i="7"/>
  <c r="BS142" i="7"/>
  <c r="BR142" i="7"/>
  <c r="BQ142" i="7"/>
  <c r="BP142" i="7"/>
  <c r="BO142" i="7"/>
  <c r="BN142" i="7"/>
  <c r="BL142" i="7"/>
  <c r="BK142" i="7"/>
  <c r="BJ142" i="7"/>
  <c r="BI142" i="7"/>
  <c r="BH142" i="7"/>
  <c r="BG142" i="7"/>
  <c r="BF142" i="7"/>
  <c r="BD142" i="7"/>
  <c r="BC142" i="7"/>
  <c r="BB142" i="7"/>
  <c r="BA142" i="7"/>
  <c r="AZ142" i="7"/>
  <c r="AY142" i="7"/>
  <c r="AX142" i="7"/>
  <c r="AT142" i="7"/>
  <c r="AS142" i="7"/>
  <c r="AR142" i="7"/>
  <c r="AQ142" i="7"/>
  <c r="AP142" i="7"/>
  <c r="AO142" i="7"/>
  <c r="AN142" i="7"/>
  <c r="AL142" i="7"/>
  <c r="AK142" i="7"/>
  <c r="AJ142" i="7"/>
  <c r="AI142" i="7"/>
  <c r="AH142" i="7"/>
  <c r="AG142" i="7"/>
  <c r="AF142" i="7"/>
  <c r="AD142" i="7"/>
  <c r="AC142" i="7"/>
  <c r="AB142" i="7"/>
  <c r="AA142" i="7"/>
  <c r="Z142" i="7"/>
  <c r="Y142" i="7"/>
  <c r="X142" i="7"/>
  <c r="V142" i="7"/>
  <c r="U142" i="7"/>
  <c r="T142" i="7"/>
  <c r="S142" i="7"/>
  <c r="R142" i="7"/>
  <c r="Q142" i="7"/>
  <c r="P142" i="7"/>
  <c r="N142" i="7"/>
  <c r="M142" i="7"/>
  <c r="L142" i="7"/>
  <c r="K142" i="7"/>
  <c r="J142" i="7"/>
  <c r="I142" i="7"/>
  <c r="H142" i="7"/>
  <c r="A142" i="7"/>
  <c r="DZ141" i="7"/>
  <c r="DY141" i="7"/>
  <c r="DX141" i="7"/>
  <c r="DW141" i="7"/>
  <c r="DV141" i="7"/>
  <c r="DU141" i="7"/>
  <c r="DT141" i="7"/>
  <c r="DR141" i="7"/>
  <c r="DQ141" i="7"/>
  <c r="DP141" i="7"/>
  <c r="DO141" i="7"/>
  <c r="DN141" i="7"/>
  <c r="DM141" i="7"/>
  <c r="DL141" i="7"/>
  <c r="DJ141" i="7"/>
  <c r="DI141" i="7"/>
  <c r="DH141" i="7"/>
  <c r="DG141" i="7"/>
  <c r="DF141" i="7"/>
  <c r="DE141" i="7"/>
  <c r="DD141" i="7"/>
  <c r="DB141" i="7"/>
  <c r="DA141" i="7"/>
  <c r="CZ141" i="7"/>
  <c r="CY141" i="7"/>
  <c r="CX141" i="7"/>
  <c r="CW141" i="7"/>
  <c r="CV141" i="7"/>
  <c r="CT141" i="7"/>
  <c r="CS141" i="7"/>
  <c r="CR141" i="7"/>
  <c r="CQ141" i="7"/>
  <c r="CP141" i="7"/>
  <c r="CO141" i="7"/>
  <c r="CN141" i="7"/>
  <c r="CJ141" i="7"/>
  <c r="CI141" i="7"/>
  <c r="CH141" i="7"/>
  <c r="CG141" i="7"/>
  <c r="CF141" i="7"/>
  <c r="CE141" i="7"/>
  <c r="CD141" i="7"/>
  <c r="CB141" i="7"/>
  <c r="CA141" i="7"/>
  <c r="BZ141" i="7"/>
  <c r="BY141" i="7"/>
  <c r="BX141" i="7"/>
  <c r="BW141" i="7"/>
  <c r="BV141" i="7"/>
  <c r="BT141" i="7"/>
  <c r="BS141" i="7"/>
  <c r="BR141" i="7"/>
  <c r="BQ141" i="7"/>
  <c r="BP141" i="7"/>
  <c r="BO141" i="7"/>
  <c r="BN141" i="7"/>
  <c r="BL141" i="7"/>
  <c r="BK141" i="7"/>
  <c r="BJ141" i="7"/>
  <c r="BI141" i="7"/>
  <c r="BH141" i="7"/>
  <c r="BG141" i="7"/>
  <c r="BF141" i="7"/>
  <c r="BD141" i="7"/>
  <c r="BC141" i="7"/>
  <c r="BB141" i="7"/>
  <c r="BA141" i="7"/>
  <c r="AZ141" i="7"/>
  <c r="AY141" i="7"/>
  <c r="AX141" i="7"/>
  <c r="AT141" i="7"/>
  <c r="AS141" i="7"/>
  <c r="AR141" i="7"/>
  <c r="AQ141" i="7"/>
  <c r="AP141" i="7"/>
  <c r="AO141" i="7"/>
  <c r="AN141" i="7"/>
  <c r="AL141" i="7"/>
  <c r="AK141" i="7"/>
  <c r="AJ141" i="7"/>
  <c r="AI141" i="7"/>
  <c r="AH141" i="7"/>
  <c r="AG141" i="7"/>
  <c r="AF141" i="7"/>
  <c r="AD141" i="7"/>
  <c r="AC141" i="7"/>
  <c r="AB141" i="7"/>
  <c r="AA141" i="7"/>
  <c r="Z141" i="7"/>
  <c r="Y141" i="7"/>
  <c r="X141" i="7"/>
  <c r="V141" i="7"/>
  <c r="U141" i="7"/>
  <c r="T141" i="7"/>
  <c r="S141" i="7"/>
  <c r="R141" i="7"/>
  <c r="Q141" i="7"/>
  <c r="P141" i="7"/>
  <c r="N141" i="7"/>
  <c r="M141" i="7"/>
  <c r="L141" i="7"/>
  <c r="K141" i="7"/>
  <c r="J141" i="7"/>
  <c r="I141" i="7"/>
  <c r="H141" i="7"/>
  <c r="A141" i="7"/>
  <c r="DZ140" i="7"/>
  <c r="DY140" i="7"/>
  <c r="DX140" i="7"/>
  <c r="DW140" i="7"/>
  <c r="DV140" i="7"/>
  <c r="DU140" i="7"/>
  <c r="DT140" i="7"/>
  <c r="DR140" i="7"/>
  <c r="DQ140" i="7"/>
  <c r="DP140" i="7"/>
  <c r="DO140" i="7"/>
  <c r="DN140" i="7"/>
  <c r="DM140" i="7"/>
  <c r="DL140" i="7"/>
  <c r="DJ140" i="7"/>
  <c r="DI140" i="7"/>
  <c r="DH140" i="7"/>
  <c r="DG140" i="7"/>
  <c r="DF140" i="7"/>
  <c r="DE140" i="7"/>
  <c r="DD140" i="7"/>
  <c r="DB140" i="7"/>
  <c r="DA140" i="7"/>
  <c r="CZ140" i="7"/>
  <c r="CY140" i="7"/>
  <c r="CX140" i="7"/>
  <c r="CW140" i="7"/>
  <c r="CV140" i="7"/>
  <c r="CT140" i="7"/>
  <c r="CS140" i="7"/>
  <c r="CR140" i="7"/>
  <c r="CQ140" i="7"/>
  <c r="CP140" i="7"/>
  <c r="CO140" i="7"/>
  <c r="CN140" i="7"/>
  <c r="CJ140" i="7"/>
  <c r="CI140" i="7"/>
  <c r="CH140" i="7"/>
  <c r="CG140" i="7"/>
  <c r="CF140" i="7"/>
  <c r="CE140" i="7"/>
  <c r="CD140" i="7"/>
  <c r="CB140" i="7"/>
  <c r="CA140" i="7"/>
  <c r="BZ140" i="7"/>
  <c r="BY140" i="7"/>
  <c r="BX140" i="7"/>
  <c r="BW140" i="7"/>
  <c r="BV140" i="7"/>
  <c r="BT140" i="7"/>
  <c r="BS140" i="7"/>
  <c r="BR140" i="7"/>
  <c r="BQ140" i="7"/>
  <c r="BP140" i="7"/>
  <c r="BO140" i="7"/>
  <c r="BN140" i="7"/>
  <c r="BL140" i="7"/>
  <c r="BK140" i="7"/>
  <c r="BJ140" i="7"/>
  <c r="BI140" i="7"/>
  <c r="BH140" i="7"/>
  <c r="BG140" i="7"/>
  <c r="BF140" i="7"/>
  <c r="BD140" i="7"/>
  <c r="BC140" i="7"/>
  <c r="BB140" i="7"/>
  <c r="BA140" i="7"/>
  <c r="AZ140" i="7"/>
  <c r="AY140" i="7"/>
  <c r="AX140" i="7"/>
  <c r="AT140" i="7"/>
  <c r="AS140" i="7"/>
  <c r="AR140" i="7"/>
  <c r="AQ140" i="7"/>
  <c r="AP140" i="7"/>
  <c r="AO140" i="7"/>
  <c r="AN140" i="7"/>
  <c r="AL140" i="7"/>
  <c r="AK140" i="7"/>
  <c r="AJ140" i="7"/>
  <c r="AI140" i="7"/>
  <c r="AH140" i="7"/>
  <c r="AG140" i="7"/>
  <c r="AF140" i="7"/>
  <c r="AD140" i="7"/>
  <c r="AC140" i="7"/>
  <c r="AB140" i="7"/>
  <c r="AA140" i="7"/>
  <c r="Z140" i="7"/>
  <c r="Y140" i="7"/>
  <c r="X140" i="7"/>
  <c r="V140" i="7"/>
  <c r="U140" i="7"/>
  <c r="T140" i="7"/>
  <c r="S140" i="7"/>
  <c r="R140" i="7"/>
  <c r="Q140" i="7"/>
  <c r="P140" i="7"/>
  <c r="N140" i="7"/>
  <c r="M140" i="7"/>
  <c r="L140" i="7"/>
  <c r="K140" i="7"/>
  <c r="J140" i="7"/>
  <c r="I140" i="7"/>
  <c r="H140" i="7"/>
  <c r="A140" i="7"/>
  <c r="DZ139" i="7"/>
  <c r="DY139" i="7"/>
  <c r="DX139" i="7"/>
  <c r="DW139" i="7"/>
  <c r="DV139" i="7"/>
  <c r="DU139" i="7"/>
  <c r="DT139" i="7"/>
  <c r="DR139" i="7"/>
  <c r="DQ139" i="7"/>
  <c r="DP139" i="7"/>
  <c r="DO139" i="7"/>
  <c r="DN139" i="7"/>
  <c r="DM139" i="7"/>
  <c r="DL139" i="7"/>
  <c r="DJ139" i="7"/>
  <c r="DI139" i="7"/>
  <c r="DH139" i="7"/>
  <c r="DG139" i="7"/>
  <c r="DF139" i="7"/>
  <c r="DE139" i="7"/>
  <c r="DD139" i="7"/>
  <c r="DB139" i="7"/>
  <c r="DA139" i="7"/>
  <c r="CZ139" i="7"/>
  <c r="CY139" i="7"/>
  <c r="CX139" i="7"/>
  <c r="CW139" i="7"/>
  <c r="CV139" i="7"/>
  <c r="CT139" i="7"/>
  <c r="CS139" i="7"/>
  <c r="CR139" i="7"/>
  <c r="CQ139" i="7"/>
  <c r="CP139" i="7"/>
  <c r="CO139" i="7"/>
  <c r="CN139" i="7"/>
  <c r="CJ139" i="7"/>
  <c r="CI139" i="7"/>
  <c r="CH139" i="7"/>
  <c r="CG139" i="7"/>
  <c r="CF139" i="7"/>
  <c r="CE139" i="7"/>
  <c r="CD139" i="7"/>
  <c r="CB139" i="7"/>
  <c r="CA139" i="7"/>
  <c r="BZ139" i="7"/>
  <c r="BY139" i="7"/>
  <c r="BX139" i="7"/>
  <c r="BW139" i="7"/>
  <c r="BV139" i="7"/>
  <c r="BT139" i="7"/>
  <c r="BS139" i="7"/>
  <c r="BR139" i="7"/>
  <c r="BQ139" i="7"/>
  <c r="BP139" i="7"/>
  <c r="BO139" i="7"/>
  <c r="BN139" i="7"/>
  <c r="BL139" i="7"/>
  <c r="BK139" i="7"/>
  <c r="BJ139" i="7"/>
  <c r="BI139" i="7"/>
  <c r="BH139" i="7"/>
  <c r="BG139" i="7"/>
  <c r="BF139" i="7"/>
  <c r="BD139" i="7"/>
  <c r="BC139" i="7"/>
  <c r="BB139" i="7"/>
  <c r="BA139" i="7"/>
  <c r="AZ139" i="7"/>
  <c r="AY139" i="7"/>
  <c r="AX139" i="7"/>
  <c r="AT139" i="7"/>
  <c r="AS139" i="7"/>
  <c r="AR139" i="7"/>
  <c r="AQ139" i="7"/>
  <c r="AP139" i="7"/>
  <c r="AO139" i="7"/>
  <c r="AN139" i="7"/>
  <c r="AL139" i="7"/>
  <c r="AK139" i="7"/>
  <c r="AJ139" i="7"/>
  <c r="AI139" i="7"/>
  <c r="AH139" i="7"/>
  <c r="AG139" i="7"/>
  <c r="AF139" i="7"/>
  <c r="AD139" i="7"/>
  <c r="AC139" i="7"/>
  <c r="AB139" i="7"/>
  <c r="AA139" i="7"/>
  <c r="Z139" i="7"/>
  <c r="Y139" i="7"/>
  <c r="X139" i="7"/>
  <c r="V139" i="7"/>
  <c r="U139" i="7"/>
  <c r="T139" i="7"/>
  <c r="S139" i="7"/>
  <c r="R139" i="7"/>
  <c r="Q139" i="7"/>
  <c r="P139" i="7"/>
  <c r="N139" i="7"/>
  <c r="M139" i="7"/>
  <c r="L139" i="7"/>
  <c r="K139" i="7"/>
  <c r="J139" i="7"/>
  <c r="I139" i="7"/>
  <c r="H139" i="7"/>
  <c r="A139" i="7"/>
  <c r="DZ138" i="7"/>
  <c r="DY138" i="7"/>
  <c r="DX138" i="7"/>
  <c r="DW138" i="7"/>
  <c r="DV138" i="7"/>
  <c r="DU138" i="7"/>
  <c r="DT138" i="7"/>
  <c r="DR138" i="7"/>
  <c r="DQ138" i="7"/>
  <c r="DP138" i="7"/>
  <c r="DO138" i="7"/>
  <c r="DN138" i="7"/>
  <c r="DM138" i="7"/>
  <c r="DL138" i="7"/>
  <c r="DJ138" i="7"/>
  <c r="DI138" i="7"/>
  <c r="DH138" i="7"/>
  <c r="DG138" i="7"/>
  <c r="DF138" i="7"/>
  <c r="DE138" i="7"/>
  <c r="DD138" i="7"/>
  <c r="DB138" i="7"/>
  <c r="DA138" i="7"/>
  <c r="CZ138" i="7"/>
  <c r="CY138" i="7"/>
  <c r="CX138" i="7"/>
  <c r="CW138" i="7"/>
  <c r="CV138" i="7"/>
  <c r="CT138" i="7"/>
  <c r="CS138" i="7"/>
  <c r="CR138" i="7"/>
  <c r="CQ138" i="7"/>
  <c r="CP138" i="7"/>
  <c r="CO138" i="7"/>
  <c r="CN138" i="7"/>
  <c r="CJ138" i="7"/>
  <c r="CI138" i="7"/>
  <c r="CH138" i="7"/>
  <c r="CG138" i="7"/>
  <c r="CF138" i="7"/>
  <c r="CE138" i="7"/>
  <c r="CD138" i="7"/>
  <c r="CB138" i="7"/>
  <c r="CA138" i="7"/>
  <c r="BZ138" i="7"/>
  <c r="BY138" i="7"/>
  <c r="BX138" i="7"/>
  <c r="BW138" i="7"/>
  <c r="BV138" i="7"/>
  <c r="BT138" i="7"/>
  <c r="BS138" i="7"/>
  <c r="BR138" i="7"/>
  <c r="BQ138" i="7"/>
  <c r="BP138" i="7"/>
  <c r="BO138" i="7"/>
  <c r="BN138" i="7"/>
  <c r="BL138" i="7"/>
  <c r="BK138" i="7"/>
  <c r="BJ138" i="7"/>
  <c r="BI138" i="7"/>
  <c r="BH138" i="7"/>
  <c r="BG138" i="7"/>
  <c r="BF138" i="7"/>
  <c r="BD138" i="7"/>
  <c r="BC138" i="7"/>
  <c r="BB138" i="7"/>
  <c r="BA138" i="7"/>
  <c r="AZ138" i="7"/>
  <c r="AY138" i="7"/>
  <c r="AX138" i="7"/>
  <c r="AT138" i="7"/>
  <c r="AS138" i="7"/>
  <c r="AR138" i="7"/>
  <c r="AQ138" i="7"/>
  <c r="AP138" i="7"/>
  <c r="AO138" i="7"/>
  <c r="AN138" i="7"/>
  <c r="AL138" i="7"/>
  <c r="AK138" i="7"/>
  <c r="AJ138" i="7"/>
  <c r="AI138" i="7"/>
  <c r="AH138" i="7"/>
  <c r="AG138" i="7"/>
  <c r="AF138" i="7"/>
  <c r="AD138" i="7"/>
  <c r="AC138" i="7"/>
  <c r="AB138" i="7"/>
  <c r="AA138" i="7"/>
  <c r="Z138" i="7"/>
  <c r="Y138" i="7"/>
  <c r="X138" i="7"/>
  <c r="V138" i="7"/>
  <c r="U138" i="7"/>
  <c r="T138" i="7"/>
  <c r="S138" i="7"/>
  <c r="R138" i="7"/>
  <c r="Q138" i="7"/>
  <c r="P138" i="7"/>
  <c r="N138" i="7"/>
  <c r="M138" i="7"/>
  <c r="L138" i="7"/>
  <c r="K138" i="7"/>
  <c r="J138" i="7"/>
  <c r="I138" i="7"/>
  <c r="H138" i="7"/>
  <c r="A138" i="7"/>
  <c r="DZ137" i="7"/>
  <c r="DY137" i="7"/>
  <c r="DX137" i="7"/>
  <c r="DW137" i="7"/>
  <c r="DV137" i="7"/>
  <c r="DU137" i="7"/>
  <c r="DT137" i="7"/>
  <c r="DR137" i="7"/>
  <c r="DQ137" i="7"/>
  <c r="DP137" i="7"/>
  <c r="DO137" i="7"/>
  <c r="DN137" i="7"/>
  <c r="DM137" i="7"/>
  <c r="DL137" i="7"/>
  <c r="DJ137" i="7"/>
  <c r="DI137" i="7"/>
  <c r="DH137" i="7"/>
  <c r="DG137" i="7"/>
  <c r="DF137" i="7"/>
  <c r="DE137" i="7"/>
  <c r="DD137" i="7"/>
  <c r="DB137" i="7"/>
  <c r="DA137" i="7"/>
  <c r="CZ137" i="7"/>
  <c r="CY137" i="7"/>
  <c r="CX137" i="7"/>
  <c r="CW137" i="7"/>
  <c r="CV137" i="7"/>
  <c r="CT137" i="7"/>
  <c r="CS137" i="7"/>
  <c r="CR137" i="7"/>
  <c r="CQ137" i="7"/>
  <c r="CP137" i="7"/>
  <c r="CO137" i="7"/>
  <c r="CN137" i="7"/>
  <c r="CJ137" i="7"/>
  <c r="CI137" i="7"/>
  <c r="CH137" i="7"/>
  <c r="CG137" i="7"/>
  <c r="CF137" i="7"/>
  <c r="CE137" i="7"/>
  <c r="CD137" i="7"/>
  <c r="CB137" i="7"/>
  <c r="CA137" i="7"/>
  <c r="BZ137" i="7"/>
  <c r="BY137" i="7"/>
  <c r="BX137" i="7"/>
  <c r="BW137" i="7"/>
  <c r="BV137" i="7"/>
  <c r="BT137" i="7"/>
  <c r="BS137" i="7"/>
  <c r="BR137" i="7"/>
  <c r="BQ137" i="7"/>
  <c r="BP137" i="7"/>
  <c r="BO137" i="7"/>
  <c r="BN137" i="7"/>
  <c r="BL137" i="7"/>
  <c r="BK137" i="7"/>
  <c r="BJ137" i="7"/>
  <c r="BI137" i="7"/>
  <c r="BH137" i="7"/>
  <c r="BG137" i="7"/>
  <c r="BF137" i="7"/>
  <c r="BD137" i="7"/>
  <c r="BC137" i="7"/>
  <c r="BB137" i="7"/>
  <c r="BA137" i="7"/>
  <c r="AZ137" i="7"/>
  <c r="AY137" i="7"/>
  <c r="AX137" i="7"/>
  <c r="AT137" i="7"/>
  <c r="AS137" i="7"/>
  <c r="AR137" i="7"/>
  <c r="AQ137" i="7"/>
  <c r="AP137" i="7"/>
  <c r="AO137" i="7"/>
  <c r="AN137" i="7"/>
  <c r="AL137" i="7"/>
  <c r="AK137" i="7"/>
  <c r="AJ137" i="7"/>
  <c r="AI137" i="7"/>
  <c r="AH137" i="7"/>
  <c r="AG137" i="7"/>
  <c r="AF137" i="7"/>
  <c r="AD137" i="7"/>
  <c r="AC137" i="7"/>
  <c r="AB137" i="7"/>
  <c r="AA137" i="7"/>
  <c r="Z137" i="7"/>
  <c r="Y137" i="7"/>
  <c r="X137" i="7"/>
  <c r="V137" i="7"/>
  <c r="U137" i="7"/>
  <c r="T137" i="7"/>
  <c r="S137" i="7"/>
  <c r="R137" i="7"/>
  <c r="Q137" i="7"/>
  <c r="P137" i="7"/>
  <c r="N137" i="7"/>
  <c r="M137" i="7"/>
  <c r="L137" i="7"/>
  <c r="K137" i="7"/>
  <c r="J137" i="7"/>
  <c r="I137" i="7"/>
  <c r="H137" i="7"/>
  <c r="A137" i="7"/>
  <c r="DZ136" i="7"/>
  <c r="DY136" i="7"/>
  <c r="DX136" i="7"/>
  <c r="DW136" i="7"/>
  <c r="DV136" i="7"/>
  <c r="DU136" i="7"/>
  <c r="DT136" i="7"/>
  <c r="DR136" i="7"/>
  <c r="DQ136" i="7"/>
  <c r="DP136" i="7"/>
  <c r="DO136" i="7"/>
  <c r="DN136" i="7"/>
  <c r="DM136" i="7"/>
  <c r="DL136" i="7"/>
  <c r="DJ136" i="7"/>
  <c r="DI136" i="7"/>
  <c r="DH136" i="7"/>
  <c r="DG136" i="7"/>
  <c r="DF136" i="7"/>
  <c r="DE136" i="7"/>
  <c r="DD136" i="7"/>
  <c r="DB136" i="7"/>
  <c r="DA136" i="7"/>
  <c r="CZ136" i="7"/>
  <c r="CY136" i="7"/>
  <c r="CX136" i="7"/>
  <c r="CW136" i="7"/>
  <c r="CV136" i="7"/>
  <c r="CT136" i="7"/>
  <c r="CS136" i="7"/>
  <c r="CR136" i="7"/>
  <c r="CQ136" i="7"/>
  <c r="CP136" i="7"/>
  <c r="CO136" i="7"/>
  <c r="CN136" i="7"/>
  <c r="CJ136" i="7"/>
  <c r="CI136" i="7"/>
  <c r="CH136" i="7"/>
  <c r="CG136" i="7"/>
  <c r="CF136" i="7"/>
  <c r="CE136" i="7"/>
  <c r="CD136" i="7"/>
  <c r="CB136" i="7"/>
  <c r="CA136" i="7"/>
  <c r="BZ136" i="7"/>
  <c r="BY136" i="7"/>
  <c r="BX136" i="7"/>
  <c r="BW136" i="7"/>
  <c r="BV136" i="7"/>
  <c r="BT136" i="7"/>
  <c r="BS136" i="7"/>
  <c r="BR136" i="7"/>
  <c r="BQ136" i="7"/>
  <c r="BP136" i="7"/>
  <c r="BO136" i="7"/>
  <c r="BN136" i="7"/>
  <c r="BL136" i="7"/>
  <c r="BK136" i="7"/>
  <c r="BJ136" i="7"/>
  <c r="BI136" i="7"/>
  <c r="BH136" i="7"/>
  <c r="BG136" i="7"/>
  <c r="BF136" i="7"/>
  <c r="BD136" i="7"/>
  <c r="BC136" i="7"/>
  <c r="BB136" i="7"/>
  <c r="BA136" i="7"/>
  <c r="AZ136" i="7"/>
  <c r="AY136" i="7"/>
  <c r="AX136" i="7"/>
  <c r="AT136" i="7"/>
  <c r="AS136" i="7"/>
  <c r="AR136" i="7"/>
  <c r="AQ136" i="7"/>
  <c r="AP136" i="7"/>
  <c r="AO136" i="7"/>
  <c r="AN136" i="7"/>
  <c r="AL136" i="7"/>
  <c r="AK136" i="7"/>
  <c r="AJ136" i="7"/>
  <c r="AI136" i="7"/>
  <c r="AH136" i="7"/>
  <c r="AG136" i="7"/>
  <c r="AF136" i="7"/>
  <c r="AD136" i="7"/>
  <c r="AC136" i="7"/>
  <c r="AB136" i="7"/>
  <c r="AA136" i="7"/>
  <c r="Z136" i="7"/>
  <c r="Y136" i="7"/>
  <c r="X136" i="7"/>
  <c r="V136" i="7"/>
  <c r="U136" i="7"/>
  <c r="T136" i="7"/>
  <c r="S136" i="7"/>
  <c r="R136" i="7"/>
  <c r="Q136" i="7"/>
  <c r="P136" i="7"/>
  <c r="N136" i="7"/>
  <c r="M136" i="7"/>
  <c r="L136" i="7"/>
  <c r="K136" i="7"/>
  <c r="J136" i="7"/>
  <c r="I136" i="7"/>
  <c r="H136" i="7"/>
  <c r="A136" i="7"/>
  <c r="DZ135" i="7"/>
  <c r="DY135" i="7"/>
  <c r="DX135" i="7"/>
  <c r="DW135" i="7"/>
  <c r="DV135" i="7"/>
  <c r="DU135" i="7"/>
  <c r="DT135" i="7"/>
  <c r="DR135" i="7"/>
  <c r="DQ135" i="7"/>
  <c r="DP135" i="7"/>
  <c r="DO135" i="7"/>
  <c r="DN135" i="7"/>
  <c r="DM135" i="7"/>
  <c r="DL135" i="7"/>
  <c r="DJ135" i="7"/>
  <c r="DI135" i="7"/>
  <c r="DH135" i="7"/>
  <c r="DG135" i="7"/>
  <c r="DF135" i="7"/>
  <c r="DE135" i="7"/>
  <c r="DD135" i="7"/>
  <c r="DB135" i="7"/>
  <c r="DA135" i="7"/>
  <c r="CZ135" i="7"/>
  <c r="CY135" i="7"/>
  <c r="CX135" i="7"/>
  <c r="CW135" i="7"/>
  <c r="CV135" i="7"/>
  <c r="CT135" i="7"/>
  <c r="CS135" i="7"/>
  <c r="CR135" i="7"/>
  <c r="CQ135" i="7"/>
  <c r="CP135" i="7"/>
  <c r="CO135" i="7"/>
  <c r="CN135" i="7"/>
  <c r="CJ135" i="7"/>
  <c r="CI135" i="7"/>
  <c r="CH135" i="7"/>
  <c r="CG135" i="7"/>
  <c r="CF135" i="7"/>
  <c r="CE135" i="7"/>
  <c r="CD135" i="7"/>
  <c r="CB135" i="7"/>
  <c r="CA135" i="7"/>
  <c r="BZ135" i="7"/>
  <c r="BY135" i="7"/>
  <c r="BX135" i="7"/>
  <c r="BW135" i="7"/>
  <c r="BV135" i="7"/>
  <c r="BT135" i="7"/>
  <c r="BS135" i="7"/>
  <c r="BR135" i="7"/>
  <c r="BQ135" i="7"/>
  <c r="BP135" i="7"/>
  <c r="BO135" i="7"/>
  <c r="BN135" i="7"/>
  <c r="BL135" i="7"/>
  <c r="BK135" i="7"/>
  <c r="BJ135" i="7"/>
  <c r="BI135" i="7"/>
  <c r="BH135" i="7"/>
  <c r="BG135" i="7"/>
  <c r="BF135" i="7"/>
  <c r="BD135" i="7"/>
  <c r="BC135" i="7"/>
  <c r="BB135" i="7"/>
  <c r="BA135" i="7"/>
  <c r="AZ135" i="7"/>
  <c r="AY135" i="7"/>
  <c r="AX135" i="7"/>
  <c r="AT135" i="7"/>
  <c r="AS135" i="7"/>
  <c r="AR135" i="7"/>
  <c r="AQ135" i="7"/>
  <c r="AP135" i="7"/>
  <c r="AO135" i="7"/>
  <c r="AN135" i="7"/>
  <c r="AL135" i="7"/>
  <c r="AK135" i="7"/>
  <c r="AJ135" i="7"/>
  <c r="AI135" i="7"/>
  <c r="AH135" i="7"/>
  <c r="AG135" i="7"/>
  <c r="AF135" i="7"/>
  <c r="AD135" i="7"/>
  <c r="AC135" i="7"/>
  <c r="AB135" i="7"/>
  <c r="AA135" i="7"/>
  <c r="Z135" i="7"/>
  <c r="Y135" i="7"/>
  <c r="X135" i="7"/>
  <c r="V135" i="7"/>
  <c r="U135" i="7"/>
  <c r="T135" i="7"/>
  <c r="S135" i="7"/>
  <c r="R135" i="7"/>
  <c r="Q135" i="7"/>
  <c r="P135" i="7"/>
  <c r="N135" i="7"/>
  <c r="M135" i="7"/>
  <c r="L135" i="7"/>
  <c r="K135" i="7"/>
  <c r="J135" i="7"/>
  <c r="I135" i="7"/>
  <c r="H135" i="7"/>
  <c r="A135" i="7"/>
  <c r="DZ134" i="7"/>
  <c r="DY134" i="7"/>
  <c r="DX134" i="7"/>
  <c r="DW134" i="7"/>
  <c r="DV134" i="7"/>
  <c r="DU134" i="7"/>
  <c r="DT134" i="7"/>
  <c r="DR134" i="7"/>
  <c r="DQ134" i="7"/>
  <c r="DP134" i="7"/>
  <c r="DO134" i="7"/>
  <c r="DN134" i="7"/>
  <c r="DM134" i="7"/>
  <c r="DL134" i="7"/>
  <c r="DJ134" i="7"/>
  <c r="DI134" i="7"/>
  <c r="DH134" i="7"/>
  <c r="DG134" i="7"/>
  <c r="DF134" i="7"/>
  <c r="DE134" i="7"/>
  <c r="DD134" i="7"/>
  <c r="DB134" i="7"/>
  <c r="DA134" i="7"/>
  <c r="CZ134" i="7"/>
  <c r="CY134" i="7"/>
  <c r="CX134" i="7"/>
  <c r="CW134" i="7"/>
  <c r="CV134" i="7"/>
  <c r="CT134" i="7"/>
  <c r="CS134" i="7"/>
  <c r="CR134" i="7"/>
  <c r="CQ134" i="7"/>
  <c r="CP134" i="7"/>
  <c r="CO134" i="7"/>
  <c r="CN134" i="7"/>
  <c r="CJ134" i="7"/>
  <c r="CI134" i="7"/>
  <c r="CH134" i="7"/>
  <c r="CG134" i="7"/>
  <c r="CF134" i="7"/>
  <c r="CE134" i="7"/>
  <c r="CD134" i="7"/>
  <c r="CB134" i="7"/>
  <c r="CA134" i="7"/>
  <c r="BZ134" i="7"/>
  <c r="BY134" i="7"/>
  <c r="BX134" i="7"/>
  <c r="BW134" i="7"/>
  <c r="BV134" i="7"/>
  <c r="BT134" i="7"/>
  <c r="BS134" i="7"/>
  <c r="BR134" i="7"/>
  <c r="BQ134" i="7"/>
  <c r="BP134" i="7"/>
  <c r="BO134" i="7"/>
  <c r="BN134" i="7"/>
  <c r="BL134" i="7"/>
  <c r="BK134" i="7"/>
  <c r="BJ134" i="7"/>
  <c r="BI134" i="7"/>
  <c r="BH134" i="7"/>
  <c r="BG134" i="7"/>
  <c r="BF134" i="7"/>
  <c r="BD134" i="7"/>
  <c r="BC134" i="7"/>
  <c r="BB134" i="7"/>
  <c r="BA134" i="7"/>
  <c r="AZ134" i="7"/>
  <c r="AY134" i="7"/>
  <c r="AX134" i="7"/>
  <c r="AT134" i="7"/>
  <c r="AS134" i="7"/>
  <c r="AR134" i="7"/>
  <c r="AQ134" i="7"/>
  <c r="AP134" i="7"/>
  <c r="AO134" i="7"/>
  <c r="AN134" i="7"/>
  <c r="AL134" i="7"/>
  <c r="AK134" i="7"/>
  <c r="AJ134" i="7"/>
  <c r="AI134" i="7"/>
  <c r="AH134" i="7"/>
  <c r="AG134" i="7"/>
  <c r="AF134" i="7"/>
  <c r="AD134" i="7"/>
  <c r="AC134" i="7"/>
  <c r="AB134" i="7"/>
  <c r="AA134" i="7"/>
  <c r="Z134" i="7"/>
  <c r="Y134" i="7"/>
  <c r="X134" i="7"/>
  <c r="V134" i="7"/>
  <c r="U134" i="7"/>
  <c r="T134" i="7"/>
  <c r="S134" i="7"/>
  <c r="R134" i="7"/>
  <c r="Q134" i="7"/>
  <c r="P134" i="7"/>
  <c r="N134" i="7"/>
  <c r="M134" i="7"/>
  <c r="L134" i="7"/>
  <c r="K134" i="7"/>
  <c r="J134" i="7"/>
  <c r="I134" i="7"/>
  <c r="H134" i="7"/>
  <c r="A134" i="7"/>
  <c r="DZ133" i="7"/>
  <c r="DY133" i="7"/>
  <c r="DX133" i="7"/>
  <c r="DW133" i="7"/>
  <c r="DV133" i="7"/>
  <c r="DU133" i="7"/>
  <c r="DT133" i="7"/>
  <c r="DR133" i="7"/>
  <c r="DQ133" i="7"/>
  <c r="DP133" i="7"/>
  <c r="DO133" i="7"/>
  <c r="DN133" i="7"/>
  <c r="DM133" i="7"/>
  <c r="DL133" i="7"/>
  <c r="DJ133" i="7"/>
  <c r="DI133" i="7"/>
  <c r="DH133" i="7"/>
  <c r="DG133" i="7"/>
  <c r="DF133" i="7"/>
  <c r="DE133" i="7"/>
  <c r="DD133" i="7"/>
  <c r="DB133" i="7"/>
  <c r="DA133" i="7"/>
  <c r="CZ133" i="7"/>
  <c r="CY133" i="7"/>
  <c r="CX133" i="7"/>
  <c r="CW133" i="7"/>
  <c r="CV133" i="7"/>
  <c r="CT133" i="7"/>
  <c r="CS133" i="7"/>
  <c r="CR133" i="7"/>
  <c r="CQ133" i="7"/>
  <c r="CP133" i="7"/>
  <c r="CO133" i="7"/>
  <c r="CN133" i="7"/>
  <c r="CJ133" i="7"/>
  <c r="CI133" i="7"/>
  <c r="CH133" i="7"/>
  <c r="CG133" i="7"/>
  <c r="CF133" i="7"/>
  <c r="CE133" i="7"/>
  <c r="CD133" i="7"/>
  <c r="CB133" i="7"/>
  <c r="CA133" i="7"/>
  <c r="BZ133" i="7"/>
  <c r="BY133" i="7"/>
  <c r="BX133" i="7"/>
  <c r="BW133" i="7"/>
  <c r="BV133" i="7"/>
  <c r="BT133" i="7"/>
  <c r="BS133" i="7"/>
  <c r="BR133" i="7"/>
  <c r="BQ133" i="7"/>
  <c r="BP133" i="7"/>
  <c r="BO133" i="7"/>
  <c r="BN133" i="7"/>
  <c r="BL133" i="7"/>
  <c r="BK133" i="7"/>
  <c r="BJ133" i="7"/>
  <c r="BI133" i="7"/>
  <c r="BH133" i="7"/>
  <c r="BG133" i="7"/>
  <c r="BF133" i="7"/>
  <c r="BD133" i="7"/>
  <c r="BC133" i="7"/>
  <c r="BB133" i="7"/>
  <c r="BA133" i="7"/>
  <c r="AZ133" i="7"/>
  <c r="AY133" i="7"/>
  <c r="AX133" i="7"/>
  <c r="AT133" i="7"/>
  <c r="AS133" i="7"/>
  <c r="AR133" i="7"/>
  <c r="AQ133" i="7"/>
  <c r="AP133" i="7"/>
  <c r="AO133" i="7"/>
  <c r="AN133" i="7"/>
  <c r="AL133" i="7"/>
  <c r="AK133" i="7"/>
  <c r="AJ133" i="7"/>
  <c r="AI133" i="7"/>
  <c r="AH133" i="7"/>
  <c r="AG133" i="7"/>
  <c r="AF133" i="7"/>
  <c r="AD133" i="7"/>
  <c r="AC133" i="7"/>
  <c r="AB133" i="7"/>
  <c r="AA133" i="7"/>
  <c r="Z133" i="7"/>
  <c r="Y133" i="7"/>
  <c r="X133" i="7"/>
  <c r="V133" i="7"/>
  <c r="U133" i="7"/>
  <c r="T133" i="7"/>
  <c r="S133" i="7"/>
  <c r="R133" i="7"/>
  <c r="Q133" i="7"/>
  <c r="P133" i="7"/>
  <c r="N133" i="7"/>
  <c r="M133" i="7"/>
  <c r="L133" i="7"/>
  <c r="K133" i="7"/>
  <c r="J133" i="7"/>
  <c r="I133" i="7"/>
  <c r="H133" i="7"/>
  <c r="A133" i="7"/>
  <c r="DZ132" i="7"/>
  <c r="DY132" i="7"/>
  <c r="DX132" i="7"/>
  <c r="DW132" i="7"/>
  <c r="DV132" i="7"/>
  <c r="DU132" i="7"/>
  <c r="DT132" i="7"/>
  <c r="DR132" i="7"/>
  <c r="DQ132" i="7"/>
  <c r="DP132" i="7"/>
  <c r="DO132" i="7"/>
  <c r="DN132" i="7"/>
  <c r="DM132" i="7"/>
  <c r="DL132" i="7"/>
  <c r="DJ132" i="7"/>
  <c r="DI132" i="7"/>
  <c r="DH132" i="7"/>
  <c r="DG132" i="7"/>
  <c r="DF132" i="7"/>
  <c r="DE132" i="7"/>
  <c r="DD132" i="7"/>
  <c r="DB132" i="7"/>
  <c r="DA132" i="7"/>
  <c r="CZ132" i="7"/>
  <c r="CY132" i="7"/>
  <c r="CX132" i="7"/>
  <c r="CW132" i="7"/>
  <c r="CV132" i="7"/>
  <c r="CT132" i="7"/>
  <c r="CS132" i="7"/>
  <c r="CR132" i="7"/>
  <c r="CQ132" i="7"/>
  <c r="CP132" i="7"/>
  <c r="CO132" i="7"/>
  <c r="CN132" i="7"/>
  <c r="CJ132" i="7"/>
  <c r="CI132" i="7"/>
  <c r="CH132" i="7"/>
  <c r="CG132" i="7"/>
  <c r="CF132" i="7"/>
  <c r="CE132" i="7"/>
  <c r="CD132" i="7"/>
  <c r="CB132" i="7"/>
  <c r="CA132" i="7"/>
  <c r="BZ132" i="7"/>
  <c r="BY132" i="7"/>
  <c r="BX132" i="7"/>
  <c r="BW132" i="7"/>
  <c r="BV132" i="7"/>
  <c r="BT132" i="7"/>
  <c r="BS132" i="7"/>
  <c r="BR132" i="7"/>
  <c r="BQ132" i="7"/>
  <c r="BP132" i="7"/>
  <c r="BO132" i="7"/>
  <c r="BN132" i="7"/>
  <c r="BL132" i="7"/>
  <c r="BK132" i="7"/>
  <c r="BJ132" i="7"/>
  <c r="BI132" i="7"/>
  <c r="BH132" i="7"/>
  <c r="BG132" i="7"/>
  <c r="BF132" i="7"/>
  <c r="BD132" i="7"/>
  <c r="BC132" i="7"/>
  <c r="BB132" i="7"/>
  <c r="BA132" i="7"/>
  <c r="AZ132" i="7"/>
  <c r="AY132" i="7"/>
  <c r="AX132" i="7"/>
  <c r="AT132" i="7"/>
  <c r="AS132" i="7"/>
  <c r="AR132" i="7"/>
  <c r="AQ132" i="7"/>
  <c r="AP132" i="7"/>
  <c r="AO132" i="7"/>
  <c r="AN132" i="7"/>
  <c r="AL132" i="7"/>
  <c r="AK132" i="7"/>
  <c r="AJ132" i="7"/>
  <c r="AI132" i="7"/>
  <c r="AH132" i="7"/>
  <c r="AG132" i="7"/>
  <c r="AF132" i="7"/>
  <c r="AD132" i="7"/>
  <c r="AC132" i="7"/>
  <c r="AB132" i="7"/>
  <c r="AA132" i="7"/>
  <c r="Z132" i="7"/>
  <c r="Y132" i="7"/>
  <c r="X132" i="7"/>
  <c r="V132" i="7"/>
  <c r="U132" i="7"/>
  <c r="T132" i="7"/>
  <c r="S132" i="7"/>
  <c r="R132" i="7"/>
  <c r="Q132" i="7"/>
  <c r="P132" i="7"/>
  <c r="N132" i="7"/>
  <c r="M132" i="7"/>
  <c r="L132" i="7"/>
  <c r="K132" i="7"/>
  <c r="J132" i="7"/>
  <c r="I132" i="7"/>
  <c r="H132" i="7"/>
  <c r="A132" i="7"/>
  <c r="DZ131" i="7"/>
  <c r="DY131" i="7"/>
  <c r="DX131" i="7"/>
  <c r="DW131" i="7"/>
  <c r="DV131" i="7"/>
  <c r="DU131" i="7"/>
  <c r="DT131" i="7"/>
  <c r="DR131" i="7"/>
  <c r="DQ131" i="7"/>
  <c r="DP131" i="7"/>
  <c r="DO131" i="7"/>
  <c r="DN131" i="7"/>
  <c r="DM131" i="7"/>
  <c r="DL131" i="7"/>
  <c r="DJ131" i="7"/>
  <c r="DI131" i="7"/>
  <c r="DH131" i="7"/>
  <c r="DG131" i="7"/>
  <c r="DF131" i="7"/>
  <c r="DE131" i="7"/>
  <c r="DD131" i="7"/>
  <c r="DB131" i="7"/>
  <c r="DA131" i="7"/>
  <c r="CZ131" i="7"/>
  <c r="CY131" i="7"/>
  <c r="CX131" i="7"/>
  <c r="CW131" i="7"/>
  <c r="CV131" i="7"/>
  <c r="CT131" i="7"/>
  <c r="CS131" i="7"/>
  <c r="CR131" i="7"/>
  <c r="CQ131" i="7"/>
  <c r="CP131" i="7"/>
  <c r="CO131" i="7"/>
  <c r="CN131" i="7"/>
  <c r="CJ131" i="7"/>
  <c r="CI131" i="7"/>
  <c r="CH131" i="7"/>
  <c r="CG131" i="7"/>
  <c r="CF131" i="7"/>
  <c r="CE131" i="7"/>
  <c r="CD131" i="7"/>
  <c r="CB131" i="7"/>
  <c r="CA131" i="7"/>
  <c r="BZ131" i="7"/>
  <c r="BY131" i="7"/>
  <c r="BX131" i="7"/>
  <c r="BW131" i="7"/>
  <c r="BV131" i="7"/>
  <c r="BT131" i="7"/>
  <c r="BS131" i="7"/>
  <c r="BR131" i="7"/>
  <c r="BQ131" i="7"/>
  <c r="BP131" i="7"/>
  <c r="BO131" i="7"/>
  <c r="BN131" i="7"/>
  <c r="BL131" i="7"/>
  <c r="BK131" i="7"/>
  <c r="BJ131" i="7"/>
  <c r="BI131" i="7"/>
  <c r="BH131" i="7"/>
  <c r="BG131" i="7"/>
  <c r="BF131" i="7"/>
  <c r="BD131" i="7"/>
  <c r="BC131" i="7"/>
  <c r="BB131" i="7"/>
  <c r="BA131" i="7"/>
  <c r="AZ131" i="7"/>
  <c r="AY131" i="7"/>
  <c r="AX131" i="7"/>
  <c r="AT131" i="7"/>
  <c r="AS131" i="7"/>
  <c r="AR131" i="7"/>
  <c r="AQ131" i="7"/>
  <c r="AP131" i="7"/>
  <c r="AO131" i="7"/>
  <c r="AN131" i="7"/>
  <c r="AL131" i="7"/>
  <c r="AK131" i="7"/>
  <c r="AJ131" i="7"/>
  <c r="AI131" i="7"/>
  <c r="AH131" i="7"/>
  <c r="AG131" i="7"/>
  <c r="AF131" i="7"/>
  <c r="AD131" i="7"/>
  <c r="AC131" i="7"/>
  <c r="AB131" i="7"/>
  <c r="AA131" i="7"/>
  <c r="Z131" i="7"/>
  <c r="Y131" i="7"/>
  <c r="X131" i="7"/>
  <c r="V131" i="7"/>
  <c r="U131" i="7"/>
  <c r="T131" i="7"/>
  <c r="S131" i="7"/>
  <c r="R131" i="7"/>
  <c r="Q131" i="7"/>
  <c r="P131" i="7"/>
  <c r="N131" i="7"/>
  <c r="M131" i="7"/>
  <c r="L131" i="7"/>
  <c r="K131" i="7"/>
  <c r="J131" i="7"/>
  <c r="I131" i="7"/>
  <c r="H131" i="7"/>
  <c r="A131" i="7"/>
  <c r="E67" i="10"/>
  <c r="D67" i="10"/>
  <c r="E66" i="10"/>
  <c r="D66" i="10"/>
  <c r="C64" i="10"/>
  <c r="J64" i="10" s="1"/>
  <c r="E65" i="10"/>
  <c r="E64" i="10"/>
  <c r="D64" i="10"/>
  <c r="D65" i="10"/>
  <c r="C65" i="10"/>
  <c r="J65" i="10" s="1"/>
  <c r="K6" i="45"/>
  <c r="AB6" i="45" s="1"/>
  <c r="K5" i="45"/>
  <c r="AB5" i="45" s="1"/>
  <c r="K3" i="45"/>
  <c r="K2" i="45"/>
  <c r="K6" i="46"/>
  <c r="AB6" i="46" s="1"/>
  <c r="K5" i="46"/>
  <c r="AB5" i="46" s="1"/>
  <c r="K3" i="46"/>
  <c r="K2" i="46"/>
  <c r="A78" i="10"/>
  <c r="O67" i="10"/>
  <c r="O66" i="10"/>
  <c r="O65" i="10"/>
  <c r="O64" i="10"/>
  <c r="C58" i="10"/>
  <c r="J90" i="10" s="1"/>
  <c r="C57" i="10"/>
  <c r="J89" i="10" s="1"/>
  <c r="E58" i="10"/>
  <c r="D58" i="10"/>
  <c r="E57" i="10"/>
  <c r="D57" i="10"/>
  <c r="C52" i="10"/>
  <c r="J52" i="10" s="1"/>
  <c r="C51" i="10"/>
  <c r="J51" i="10" s="1"/>
  <c r="C50" i="10"/>
  <c r="J50" i="10" s="1"/>
  <c r="C49" i="10"/>
  <c r="J49" i="10" s="1"/>
  <c r="C67" i="10"/>
  <c r="J67" i="10" s="1"/>
  <c r="C66" i="10"/>
  <c r="J66" i="10" s="1"/>
  <c r="C55" i="10"/>
  <c r="J55" i="10" s="1"/>
  <c r="C54" i="10"/>
  <c r="J54" i="10" s="1"/>
  <c r="I61" i="10"/>
  <c r="I57" i="10"/>
  <c r="J58" i="10"/>
  <c r="J57" i="10"/>
  <c r="H49" i="10"/>
  <c r="I54" i="10"/>
  <c r="I49" i="10"/>
  <c r="M3" i="10"/>
  <c r="L3" i="10"/>
  <c r="K3" i="10"/>
  <c r="J35" i="10"/>
  <c r="J38" i="10"/>
  <c r="J37" i="10"/>
  <c r="I37" i="10"/>
  <c r="H11" i="38"/>
  <c r="H11" i="46"/>
  <c r="H11" i="45"/>
  <c r="HF42" i="76" l="1"/>
  <c r="GC32" i="7" s="1"/>
  <c r="GO20" i="7"/>
  <c r="HF26" i="76"/>
  <c r="GC146" i="7" s="1"/>
  <c r="HU78" i="76"/>
  <c r="GK68" i="7" s="1"/>
  <c r="HX100" i="76"/>
  <c r="GN90" i="7" s="1"/>
  <c r="HG83" i="76"/>
  <c r="GD73" i="7" s="1"/>
  <c r="HH80" i="76"/>
  <c r="GE70" i="7" s="1"/>
  <c r="AH33" i="4"/>
  <c r="AJ32" i="4"/>
  <c r="AG33" i="4"/>
  <c r="AI32" i="4"/>
  <c r="HH79" i="76"/>
  <c r="GE69" i="7" s="1"/>
  <c r="HH99" i="76"/>
  <c r="GE89" i="7" s="1"/>
  <c r="HV28" i="76"/>
  <c r="GL148" i="7" s="1"/>
  <c r="HW78" i="76"/>
  <c r="GM68" i="7" s="1"/>
  <c r="HV17" i="76"/>
  <c r="GL137" i="7" s="1"/>
  <c r="HF99" i="76"/>
  <c r="GC89" i="7" s="1"/>
  <c r="HH84" i="76"/>
  <c r="GE74" i="7" s="1"/>
  <c r="HH107" i="76"/>
  <c r="GE97" i="7" s="1"/>
  <c r="HI79" i="76"/>
  <c r="GF69" i="7" s="1"/>
  <c r="HI17" i="76"/>
  <c r="GF137" i="7" s="1"/>
  <c r="HX88" i="76"/>
  <c r="GN78" i="7" s="1"/>
  <c r="HG17" i="76"/>
  <c r="GD137" i="7" s="1"/>
  <c r="HF84" i="76"/>
  <c r="GC74" i="7" s="1"/>
  <c r="HG41" i="76"/>
  <c r="GD31" i="7" s="1"/>
  <c r="HV44" i="76"/>
  <c r="GL34" i="7" s="1"/>
  <c r="HX20" i="76"/>
  <c r="GN140" i="7" s="1"/>
  <c r="HW86" i="76"/>
  <c r="GM76" i="7" s="1"/>
  <c r="HV20" i="76"/>
  <c r="GL140" i="7" s="1"/>
  <c r="HG66" i="76"/>
  <c r="GD56" i="7" s="1"/>
  <c r="HW76" i="76"/>
  <c r="GM66" i="7" s="1"/>
  <c r="HF80" i="76"/>
  <c r="GC70" i="7" s="1"/>
  <c r="HI87" i="76"/>
  <c r="GF77" i="7" s="1"/>
  <c r="HG15" i="76"/>
  <c r="GD135" i="7" s="1"/>
  <c r="HI83" i="76"/>
  <c r="GF73" i="7" s="1"/>
  <c r="HI107" i="76"/>
  <c r="GF97" i="7" s="1"/>
  <c r="HV32" i="76"/>
  <c r="GL22" i="7" s="1"/>
  <c r="HV24" i="76"/>
  <c r="GL144" i="7" s="1"/>
  <c r="HW84" i="76"/>
  <c r="GM74" i="7" s="1"/>
  <c r="HX76" i="76"/>
  <c r="GN66" i="7" s="1"/>
  <c r="HU72" i="76"/>
  <c r="GK62" i="7" s="1"/>
  <c r="HU88" i="76"/>
  <c r="GK78" i="7" s="1"/>
  <c r="HV19" i="76"/>
  <c r="GL139" i="7" s="1"/>
  <c r="GJ139" i="7"/>
  <c r="HX11" i="76"/>
  <c r="GN131" i="7" s="1"/>
  <c r="HX15" i="76"/>
  <c r="GN135" i="7" s="1"/>
  <c r="HF100" i="76"/>
  <c r="GC90" i="7" s="1"/>
  <c r="HI103" i="76"/>
  <c r="GF93" i="7" s="1"/>
  <c r="HH100" i="76"/>
  <c r="GE90" i="7" s="1"/>
  <c r="HV34" i="76"/>
  <c r="GL24" i="7" s="1"/>
  <c r="HV26" i="76"/>
  <c r="GL146" i="7" s="1"/>
  <c r="HX24" i="76"/>
  <c r="GN144" i="7" s="1"/>
  <c r="HW88" i="76"/>
  <c r="GM78" i="7" s="1"/>
  <c r="HX80" i="76"/>
  <c r="GN70" i="7" s="1"/>
  <c r="HV102" i="76"/>
  <c r="GL92" i="7" s="1"/>
  <c r="J79" i="10"/>
  <c r="A81" i="10"/>
  <c r="J82" i="10" s="1"/>
  <c r="HG13" i="76"/>
  <c r="GD133" i="7" s="1"/>
  <c r="HI19" i="76"/>
  <c r="GF139" i="7" s="1"/>
  <c r="HV94" i="76"/>
  <c r="GL84" i="7" s="1"/>
  <c r="HI95" i="76"/>
  <c r="GF85" i="7" s="1"/>
  <c r="HI75" i="76"/>
  <c r="GF65" i="7" s="1"/>
  <c r="HG99" i="76"/>
  <c r="GD89" i="7" s="1"/>
  <c r="HV14" i="76"/>
  <c r="GL134" i="7" s="1"/>
  <c r="HX12" i="76"/>
  <c r="GN132" i="7" s="1"/>
  <c r="HW82" i="76"/>
  <c r="GM72" i="7" s="1"/>
  <c r="HX21" i="76"/>
  <c r="GN141" i="7" s="1"/>
  <c r="HX14" i="76"/>
  <c r="GN134" i="7" s="1"/>
  <c r="HX92" i="76"/>
  <c r="GN82" i="7" s="1"/>
  <c r="HX108" i="76"/>
  <c r="GN98" i="7" s="1"/>
  <c r="HV78" i="76"/>
  <c r="GL68" i="7" s="1"/>
  <c r="HV110" i="76"/>
  <c r="GL100" i="7" s="1"/>
  <c r="HG49" i="76"/>
  <c r="GD39" i="7" s="1"/>
  <c r="HG42" i="76"/>
  <c r="GD32" i="7" s="1"/>
  <c r="HG25" i="76"/>
  <c r="GD145" i="7" s="1"/>
  <c r="HV36" i="76"/>
  <c r="GL26" i="7" s="1"/>
  <c r="HV22" i="76"/>
  <c r="GL142" i="7" s="1"/>
  <c r="HV12" i="76"/>
  <c r="GL132" i="7" s="1"/>
  <c r="HX78" i="76"/>
  <c r="GN68" i="7" s="1"/>
  <c r="HX22" i="76"/>
  <c r="GN142" i="7" s="1"/>
  <c r="HV11" i="76"/>
  <c r="GL131" i="7" s="1"/>
  <c r="HY12" i="76"/>
  <c r="GO132" i="7" s="1"/>
  <c r="AN104" i="7"/>
  <c r="HU86" i="76"/>
  <c r="GK76" i="7" s="1"/>
  <c r="HV86" i="76"/>
  <c r="GL76" i="7" s="1"/>
  <c r="GC150" i="7"/>
  <c r="GC20" i="7"/>
  <c r="GI101" i="7"/>
  <c r="HG46" i="76"/>
  <c r="GD36" i="7" s="1"/>
  <c r="GB36" i="7"/>
  <c r="HG58" i="76"/>
  <c r="GD48" i="7" s="1"/>
  <c r="GB48" i="7"/>
  <c r="GJ101" i="7"/>
  <c r="GJ102" i="7" s="1"/>
  <c r="GJ103" i="7" s="1"/>
  <c r="GJ104" i="7" s="1"/>
  <c r="GJ105" i="7" s="1"/>
  <c r="GJ106" i="7" s="1"/>
  <c r="GJ107" i="7" s="1"/>
  <c r="GJ108" i="7" s="1"/>
  <c r="GJ109" i="7" s="1"/>
  <c r="GJ110" i="7" s="1"/>
  <c r="GJ111" i="7" s="1"/>
  <c r="GJ112" i="7" s="1"/>
  <c r="GJ113" i="7" s="1"/>
  <c r="GJ114" i="7" s="1"/>
  <c r="GJ115" i="7" s="1"/>
  <c r="GJ116" i="7" s="1"/>
  <c r="GJ117" i="7" s="1"/>
  <c r="GJ118" i="7" s="1"/>
  <c r="GJ119" i="7" s="1"/>
  <c r="GJ120" i="7" s="1"/>
  <c r="HE95" i="76"/>
  <c r="HF95" i="76" s="1"/>
  <c r="GC85" i="7" s="1"/>
  <c r="HG87" i="76"/>
  <c r="GD77" i="7" s="1"/>
  <c r="HG71" i="76"/>
  <c r="GD61" i="7" s="1"/>
  <c r="HG62" i="76"/>
  <c r="GD52" i="7" s="1"/>
  <c r="HI99" i="76"/>
  <c r="GF89" i="7" s="1"/>
  <c r="HG11" i="76"/>
  <c r="GD131" i="7" s="1"/>
  <c r="HX110" i="76"/>
  <c r="GN100" i="7" s="1"/>
  <c r="HT100" i="76"/>
  <c r="HV100" i="76" s="1"/>
  <c r="GL90" i="7" s="1"/>
  <c r="HX94" i="76"/>
  <c r="GN84" i="7" s="1"/>
  <c r="HV30" i="76"/>
  <c r="HX86" i="76"/>
  <c r="GN76" i="7" s="1"/>
  <c r="HW80" i="76"/>
  <c r="GM70" i="7" s="1"/>
  <c r="HX18" i="76"/>
  <c r="GN138" i="7" s="1"/>
  <c r="HV106" i="76"/>
  <c r="GL96" i="7" s="1"/>
  <c r="HU80" i="76"/>
  <c r="GK70" i="7" s="1"/>
  <c r="HX96" i="76"/>
  <c r="GN86" i="7" s="1"/>
  <c r="HT70" i="76"/>
  <c r="HU70" i="76" s="1"/>
  <c r="GK60" i="7" s="1"/>
  <c r="GB101" i="7"/>
  <c r="GB102" i="7" s="1"/>
  <c r="GB103" i="7" s="1"/>
  <c r="GB104" i="7" s="1"/>
  <c r="GB105" i="7" s="1"/>
  <c r="GB106" i="7" s="1"/>
  <c r="GB107" i="7" s="1"/>
  <c r="GB108" i="7" s="1"/>
  <c r="GB109" i="7" s="1"/>
  <c r="GB110" i="7" s="1"/>
  <c r="GB111" i="7" s="1"/>
  <c r="GB112" i="7" s="1"/>
  <c r="GB113" i="7" s="1"/>
  <c r="GB114" i="7" s="1"/>
  <c r="GB115" i="7" s="1"/>
  <c r="GB116" i="7" s="1"/>
  <c r="GB117" i="7" s="1"/>
  <c r="GB118" i="7" s="1"/>
  <c r="GB119" i="7" s="1"/>
  <c r="GB120" i="7" s="1"/>
  <c r="HI18" i="76"/>
  <c r="GF138" i="7" s="1"/>
  <c r="GB138" i="7"/>
  <c r="HV42" i="76"/>
  <c r="GL32" i="7" s="1"/>
  <c r="HX10" i="76"/>
  <c r="GN130" i="7" s="1"/>
  <c r="GB150" i="7"/>
  <c r="GB20" i="7"/>
  <c r="GJ150" i="7"/>
  <c r="GJ20" i="7"/>
  <c r="GA101" i="7"/>
  <c r="HG45" i="76"/>
  <c r="GD35" i="7" s="1"/>
  <c r="HI11" i="76"/>
  <c r="GF131" i="7" s="1"/>
  <c r="HG54" i="76"/>
  <c r="GD44" i="7" s="1"/>
  <c r="HG38" i="76"/>
  <c r="GD28" i="7" s="1"/>
  <c r="HI13" i="76"/>
  <c r="GF133" i="7" s="1"/>
  <c r="HI10" i="76"/>
  <c r="GF130" i="7" s="1"/>
  <c r="HG61" i="76"/>
  <c r="GD51" i="7" s="1"/>
  <c r="HI15" i="76"/>
  <c r="GF135" i="7" s="1"/>
  <c r="HT108" i="76"/>
  <c r="HV108" i="76" s="1"/>
  <c r="GL98" i="7" s="1"/>
  <c r="HX102" i="76"/>
  <c r="GN92" i="7" s="1"/>
  <c r="HT92" i="76"/>
  <c r="HV92" i="76" s="1"/>
  <c r="GL82" i="7" s="1"/>
  <c r="HV38" i="76"/>
  <c r="GL28" i="7" s="1"/>
  <c r="HV18" i="76"/>
  <c r="GL138" i="7" s="1"/>
  <c r="HX84" i="76"/>
  <c r="GN74" i="7" s="1"/>
  <c r="GI150" i="7"/>
  <c r="GI20" i="7"/>
  <c r="HV10" i="76"/>
  <c r="GL130" i="7" s="1"/>
  <c r="HX82" i="76"/>
  <c r="GN72" i="7" s="1"/>
  <c r="HV98" i="76"/>
  <c r="GL88" i="7" s="1"/>
  <c r="HX104" i="76"/>
  <c r="GN94" i="7" s="1"/>
  <c r="HG50" i="76"/>
  <c r="GD40" i="7" s="1"/>
  <c r="GB40" i="7"/>
  <c r="HG34" i="76"/>
  <c r="GD24" i="7" s="1"/>
  <c r="GB24" i="7"/>
  <c r="M31" i="55"/>
  <c r="FS15" i="7"/>
  <c r="HG53" i="76"/>
  <c r="GD43" i="7" s="1"/>
  <c r="HG26" i="76"/>
  <c r="GD146" i="7" s="1"/>
  <c r="HE21" i="76"/>
  <c r="HG21" i="76" s="1"/>
  <c r="GD141" i="7" s="1"/>
  <c r="HG37" i="76"/>
  <c r="GD27" i="7" s="1"/>
  <c r="HG30" i="76"/>
  <c r="HV76" i="76"/>
  <c r="GL66" i="7" s="1"/>
  <c r="HU76" i="76"/>
  <c r="GK66" i="7" s="1"/>
  <c r="HV84" i="76"/>
  <c r="GL74" i="7" s="1"/>
  <c r="HU84" i="76"/>
  <c r="GK74" i="7" s="1"/>
  <c r="HT63" i="76"/>
  <c r="HV63" i="76" s="1"/>
  <c r="GL53" i="7" s="1"/>
  <c r="HT59" i="76"/>
  <c r="HV59" i="76" s="1"/>
  <c r="GL49" i="7" s="1"/>
  <c r="HT55" i="76"/>
  <c r="HV55" i="76"/>
  <c r="GL45" i="7" s="1"/>
  <c r="HT51" i="76"/>
  <c r="HV51" i="76" s="1"/>
  <c r="GL41" i="7" s="1"/>
  <c r="HV71" i="76"/>
  <c r="GL61" i="7" s="1"/>
  <c r="HV87" i="76"/>
  <c r="GL77" i="7" s="1"/>
  <c r="HX87" i="76"/>
  <c r="GN77" i="7" s="1"/>
  <c r="HV103" i="76"/>
  <c r="GL93" i="7" s="1"/>
  <c r="HX103" i="76"/>
  <c r="GN93" i="7" s="1"/>
  <c r="HV77" i="76"/>
  <c r="GL67" i="7" s="1"/>
  <c r="HX77" i="76"/>
  <c r="GN67" i="7" s="1"/>
  <c r="HV93" i="76"/>
  <c r="GL83" i="7" s="1"/>
  <c r="HX93" i="76"/>
  <c r="GN83" i="7" s="1"/>
  <c r="HV109" i="76"/>
  <c r="GL99" i="7" s="1"/>
  <c r="HX109" i="76"/>
  <c r="GN99" i="7" s="1"/>
  <c r="HU105" i="76"/>
  <c r="GK95" i="7" s="1"/>
  <c r="HW105" i="76"/>
  <c r="GM95" i="7" s="1"/>
  <c r="HW99" i="76"/>
  <c r="GM89" i="7" s="1"/>
  <c r="HU99" i="76"/>
  <c r="GK89" i="7" s="1"/>
  <c r="HU40" i="76"/>
  <c r="GK30" i="7" s="1"/>
  <c r="HU32" i="76"/>
  <c r="GK22" i="7" s="1"/>
  <c r="HW20" i="76"/>
  <c r="GM140" i="7" s="1"/>
  <c r="HU20" i="76"/>
  <c r="GK140" i="7" s="1"/>
  <c r="HW17" i="76"/>
  <c r="GM137" i="7" s="1"/>
  <c r="HU17" i="76"/>
  <c r="GK137" i="7" s="1"/>
  <c r="HW100" i="76"/>
  <c r="GM90" i="7" s="1"/>
  <c r="HU54" i="76"/>
  <c r="GK44" i="7" s="1"/>
  <c r="HW94" i="76"/>
  <c r="GM84" i="7" s="1"/>
  <c r="HU94" i="76"/>
  <c r="GK84" i="7" s="1"/>
  <c r="HW110" i="76"/>
  <c r="GM100" i="7" s="1"/>
  <c r="HU110" i="76"/>
  <c r="GK100" i="7" s="1"/>
  <c r="HU60" i="76"/>
  <c r="GK50" i="7" s="1"/>
  <c r="HT67" i="76"/>
  <c r="HV67" i="76" s="1"/>
  <c r="GL57" i="7" s="1"/>
  <c r="HW23" i="76"/>
  <c r="GM143" i="7" s="1"/>
  <c r="HU15" i="76"/>
  <c r="GK135" i="7" s="1"/>
  <c r="HW15" i="76"/>
  <c r="GM135" i="7" s="1"/>
  <c r="HT53" i="76"/>
  <c r="HU53" i="76" s="1"/>
  <c r="GK43" i="7" s="1"/>
  <c r="HT37" i="76"/>
  <c r="HV37" i="76" s="1"/>
  <c r="GL27" i="7" s="1"/>
  <c r="HT21" i="76"/>
  <c r="HU21" i="76" s="1"/>
  <c r="GK141" i="7" s="1"/>
  <c r="HX17" i="76"/>
  <c r="GN137" i="7" s="1"/>
  <c r="HV75" i="76"/>
  <c r="GL65" i="7" s="1"/>
  <c r="HX75" i="76"/>
  <c r="GN65" i="7" s="1"/>
  <c r="HV91" i="76"/>
  <c r="GL81" i="7" s="1"/>
  <c r="HX91" i="76"/>
  <c r="GN81" i="7" s="1"/>
  <c r="HV107" i="76"/>
  <c r="GL97" i="7" s="1"/>
  <c r="HX107" i="76"/>
  <c r="GN97" i="7" s="1"/>
  <c r="HV81" i="76"/>
  <c r="GL71" i="7" s="1"/>
  <c r="HX81" i="76"/>
  <c r="GN71" i="7" s="1"/>
  <c r="HV97" i="76"/>
  <c r="GL87" i="7" s="1"/>
  <c r="HX97" i="76"/>
  <c r="GN87" i="7" s="1"/>
  <c r="HT104" i="76"/>
  <c r="HV104" i="76" s="1"/>
  <c r="GL94" i="7" s="1"/>
  <c r="HU101" i="76"/>
  <c r="GK91" i="7" s="1"/>
  <c r="HW101" i="76"/>
  <c r="GM91" i="7" s="1"/>
  <c r="HX98" i="76"/>
  <c r="GN88" i="7" s="1"/>
  <c r="HW95" i="76"/>
  <c r="GM85" i="7" s="1"/>
  <c r="HU95" i="76"/>
  <c r="GK85" i="7" s="1"/>
  <c r="HU89" i="76"/>
  <c r="GK79" i="7" s="1"/>
  <c r="HW89" i="76"/>
  <c r="GM79" i="7" s="1"/>
  <c r="HU85" i="76"/>
  <c r="GK75" i="7" s="1"/>
  <c r="HW85" i="76"/>
  <c r="GM75" i="7" s="1"/>
  <c r="HU81" i="76"/>
  <c r="GK71" i="7" s="1"/>
  <c r="HW81" i="76"/>
  <c r="GM71" i="7" s="1"/>
  <c r="HU77" i="76"/>
  <c r="GK67" i="7" s="1"/>
  <c r="HW77" i="76"/>
  <c r="GM67" i="7" s="1"/>
  <c r="HU73" i="76"/>
  <c r="GK63" i="7" s="1"/>
  <c r="HU69" i="76"/>
  <c r="GK59" i="7" s="1"/>
  <c r="HT43" i="76"/>
  <c r="HV43" i="76" s="1"/>
  <c r="GL33" i="7" s="1"/>
  <c r="HT35" i="76"/>
  <c r="HU35" i="76" s="1"/>
  <c r="GK25" i="7" s="1"/>
  <c r="HT23" i="76"/>
  <c r="HU23" i="76" s="1"/>
  <c r="GK143" i="7" s="1"/>
  <c r="HW16" i="76"/>
  <c r="GM136" i="7" s="1"/>
  <c r="HU16" i="76"/>
  <c r="GK136" i="7" s="1"/>
  <c r="HW13" i="76"/>
  <c r="GM133" i="7" s="1"/>
  <c r="HW104" i="76"/>
  <c r="GM94" i="7" s="1"/>
  <c r="HU58" i="76"/>
  <c r="GK48" i="7" s="1"/>
  <c r="HW98" i="76"/>
  <c r="GM88" i="7" s="1"/>
  <c r="HU98" i="76"/>
  <c r="GK88" i="7" s="1"/>
  <c r="HU48" i="76"/>
  <c r="GK38" i="7" s="1"/>
  <c r="HU64" i="76"/>
  <c r="GK54" i="7" s="1"/>
  <c r="HU38" i="76"/>
  <c r="GK28" i="7" s="1"/>
  <c r="HU30" i="76"/>
  <c r="HU22" i="76"/>
  <c r="GK142" i="7" s="1"/>
  <c r="HW22" i="76"/>
  <c r="GM142" i="7" s="1"/>
  <c r="HU14" i="76"/>
  <c r="GK134" i="7" s="1"/>
  <c r="HW14" i="76"/>
  <c r="GM134" i="7" s="1"/>
  <c r="HU11" i="76"/>
  <c r="GK131" i="7" s="1"/>
  <c r="HW11" i="76"/>
  <c r="GM131" i="7" s="1"/>
  <c r="HT65" i="76"/>
  <c r="HV65" i="76" s="1"/>
  <c r="GL55" i="7" s="1"/>
  <c r="HT49" i="76"/>
  <c r="HV49" i="76" s="1"/>
  <c r="GL39" i="7" s="1"/>
  <c r="HT33" i="76"/>
  <c r="HV33" i="76" s="1"/>
  <c r="GL23" i="7" s="1"/>
  <c r="HX13" i="76"/>
  <c r="GN133" i="7" s="1"/>
  <c r="HU65" i="76"/>
  <c r="GK55" i="7" s="1"/>
  <c r="HV79" i="76"/>
  <c r="GL69" i="7" s="1"/>
  <c r="HX79" i="76"/>
  <c r="GN69" i="7" s="1"/>
  <c r="HV95" i="76"/>
  <c r="GL85" i="7" s="1"/>
  <c r="HX95" i="76"/>
  <c r="GN85" i="7" s="1"/>
  <c r="HV69" i="76"/>
  <c r="GL59" i="7" s="1"/>
  <c r="HV85" i="76"/>
  <c r="GL75" i="7" s="1"/>
  <c r="HX85" i="76"/>
  <c r="GN75" i="7" s="1"/>
  <c r="HV101" i="76"/>
  <c r="GL91" i="7" s="1"/>
  <c r="HX101" i="76"/>
  <c r="GN91" i="7" s="1"/>
  <c r="HU97" i="76"/>
  <c r="GK87" i="7" s="1"/>
  <c r="HW97" i="76"/>
  <c r="GM87" i="7" s="1"/>
  <c r="HU55" i="76"/>
  <c r="GK45" i="7" s="1"/>
  <c r="HW107" i="76"/>
  <c r="GM97" i="7" s="1"/>
  <c r="HU107" i="76"/>
  <c r="GK97" i="7" s="1"/>
  <c r="HU44" i="76"/>
  <c r="GK34" i="7" s="1"/>
  <c r="HU36" i="76"/>
  <c r="GK26" i="7" s="1"/>
  <c r="HT27" i="76"/>
  <c r="HV27" i="76" s="1"/>
  <c r="GL147" i="7" s="1"/>
  <c r="HW24" i="76"/>
  <c r="GM144" i="7" s="1"/>
  <c r="HU24" i="76"/>
  <c r="GK144" i="7" s="1"/>
  <c r="HW12" i="76"/>
  <c r="GM132" i="7" s="1"/>
  <c r="HU12" i="76"/>
  <c r="GK132" i="7" s="1"/>
  <c r="HW92" i="76"/>
  <c r="GM82" i="7" s="1"/>
  <c r="HW108" i="76"/>
  <c r="GM98" i="7" s="1"/>
  <c r="HU62" i="76"/>
  <c r="GK52" i="7" s="1"/>
  <c r="HW102" i="76"/>
  <c r="GM92" i="7" s="1"/>
  <c r="HU102" i="76"/>
  <c r="GK92" i="7" s="1"/>
  <c r="HU52" i="76"/>
  <c r="GK42" i="7" s="1"/>
  <c r="HU68" i="76"/>
  <c r="GK58" i="7" s="1"/>
  <c r="HS9" i="76"/>
  <c r="HT9" i="76" s="1"/>
  <c r="HS8" i="76"/>
  <c r="HT8" i="76" s="1"/>
  <c r="HU19" i="76"/>
  <c r="GK139" i="7" s="1"/>
  <c r="HW19" i="76"/>
  <c r="GM139" i="7" s="1"/>
  <c r="HU10" i="76"/>
  <c r="GK130" i="7" s="1"/>
  <c r="HW10" i="76"/>
  <c r="GM130" i="7" s="1"/>
  <c r="HT90" i="76"/>
  <c r="HT82" i="76"/>
  <c r="HT74" i="76"/>
  <c r="HT61" i="76"/>
  <c r="HU61" i="76" s="1"/>
  <c r="GK51" i="7" s="1"/>
  <c r="HT45" i="76"/>
  <c r="HV45" i="76" s="1"/>
  <c r="GL35" i="7" s="1"/>
  <c r="HT29" i="76"/>
  <c r="HU29" i="76" s="1"/>
  <c r="GK149" i="7" s="1"/>
  <c r="HT13" i="76"/>
  <c r="HV13" i="76" s="1"/>
  <c r="GL133" i="7" s="1"/>
  <c r="HV68" i="76"/>
  <c r="GL58" i="7" s="1"/>
  <c r="HV64" i="76"/>
  <c r="GL54" i="7" s="1"/>
  <c r="HV60" i="76"/>
  <c r="GL50" i="7" s="1"/>
  <c r="HV56" i="76"/>
  <c r="GL46" i="7" s="1"/>
  <c r="HV52" i="76"/>
  <c r="GL42" i="7" s="1"/>
  <c r="HV48" i="76"/>
  <c r="GL38" i="7" s="1"/>
  <c r="HV83" i="76"/>
  <c r="GL73" i="7" s="1"/>
  <c r="HX83" i="76"/>
  <c r="GN73" i="7" s="1"/>
  <c r="HV99" i="76"/>
  <c r="GL89" i="7" s="1"/>
  <c r="HX99" i="76"/>
  <c r="GN89" i="7" s="1"/>
  <c r="HV73" i="76"/>
  <c r="GL63" i="7" s="1"/>
  <c r="HV89" i="76"/>
  <c r="GL79" i="7" s="1"/>
  <c r="HX89" i="76"/>
  <c r="GN79" i="7" s="1"/>
  <c r="HV105" i="76"/>
  <c r="GL95" i="7" s="1"/>
  <c r="HX105" i="76"/>
  <c r="GN95" i="7" s="1"/>
  <c r="HU109" i="76"/>
  <c r="GK99" i="7" s="1"/>
  <c r="HW109" i="76"/>
  <c r="GM99" i="7" s="1"/>
  <c r="HX106" i="76"/>
  <c r="GN96" i="7" s="1"/>
  <c r="HT96" i="76"/>
  <c r="HV96" i="76" s="1"/>
  <c r="GL86" i="7" s="1"/>
  <c r="HU93" i="76"/>
  <c r="GK83" i="7" s="1"/>
  <c r="HW93" i="76"/>
  <c r="GM83" i="7" s="1"/>
  <c r="HV66" i="76"/>
  <c r="GL56" i="7" s="1"/>
  <c r="HV62" i="76"/>
  <c r="GL52" i="7" s="1"/>
  <c r="HV58" i="76"/>
  <c r="GL48" i="7" s="1"/>
  <c r="HV54" i="76"/>
  <c r="GL44" i="7" s="1"/>
  <c r="HV50" i="76"/>
  <c r="GL40" i="7" s="1"/>
  <c r="HW103" i="76"/>
  <c r="GM93" i="7" s="1"/>
  <c r="HU103" i="76"/>
  <c r="GK93" i="7" s="1"/>
  <c r="HW91" i="76"/>
  <c r="GM81" i="7" s="1"/>
  <c r="HU91" i="76"/>
  <c r="GK81" i="7" s="1"/>
  <c r="HW87" i="76"/>
  <c r="GM77" i="7" s="1"/>
  <c r="HU87" i="76"/>
  <c r="GK77" i="7" s="1"/>
  <c r="HW83" i="76"/>
  <c r="GM73" i="7" s="1"/>
  <c r="HU83" i="76"/>
  <c r="GK73" i="7" s="1"/>
  <c r="HW79" i="76"/>
  <c r="GM69" i="7" s="1"/>
  <c r="HU79" i="76"/>
  <c r="GK69" i="7" s="1"/>
  <c r="HW75" i="76"/>
  <c r="GM65" i="7" s="1"/>
  <c r="HU75" i="76"/>
  <c r="GK65" i="7" s="1"/>
  <c r="HU71" i="76"/>
  <c r="GK61" i="7" s="1"/>
  <c r="HT47" i="76"/>
  <c r="HU47" i="76" s="1"/>
  <c r="GK37" i="7" s="1"/>
  <c r="HV47" i="76"/>
  <c r="GL37" i="7" s="1"/>
  <c r="HU41" i="76"/>
  <c r="GK31" i="7" s="1"/>
  <c r="HT39" i="76"/>
  <c r="HU39" i="76" s="1"/>
  <c r="GK29" i="7" s="1"/>
  <c r="HT31" i="76"/>
  <c r="HU31" i="76" s="1"/>
  <c r="GK21" i="7" s="1"/>
  <c r="HU28" i="76"/>
  <c r="GK148" i="7" s="1"/>
  <c r="HW21" i="76"/>
  <c r="GM141" i="7" s="1"/>
  <c r="HW96" i="76"/>
  <c r="GM86" i="7" s="1"/>
  <c r="HU50" i="76"/>
  <c r="GK40" i="7" s="1"/>
  <c r="HU66" i="76"/>
  <c r="GK56" i="7" s="1"/>
  <c r="HW106" i="76"/>
  <c r="GM96" i="7" s="1"/>
  <c r="HU106" i="76"/>
  <c r="GK96" i="7" s="1"/>
  <c r="HU56" i="76"/>
  <c r="GK46" i="7" s="1"/>
  <c r="HV88" i="76"/>
  <c r="GL78" i="7" s="1"/>
  <c r="HV80" i="76"/>
  <c r="GL70" i="7" s="1"/>
  <c r="HV72" i="76"/>
  <c r="GL62" i="7" s="1"/>
  <c r="HV41" i="76"/>
  <c r="GL31" i="7" s="1"/>
  <c r="HV46" i="76"/>
  <c r="GL36" i="7" s="1"/>
  <c r="HU42" i="76"/>
  <c r="GK32" i="7" s="1"/>
  <c r="HU34" i="76"/>
  <c r="GK24" i="7" s="1"/>
  <c r="HU26" i="76"/>
  <c r="GK146" i="7" s="1"/>
  <c r="HU18" i="76"/>
  <c r="GK138" i="7" s="1"/>
  <c r="HW18" i="76"/>
  <c r="GM138" i="7" s="1"/>
  <c r="HT57" i="76"/>
  <c r="HV57" i="76" s="1"/>
  <c r="GL47" i="7" s="1"/>
  <c r="HT25" i="76"/>
  <c r="HV25" i="76" s="1"/>
  <c r="GL145" i="7" s="1"/>
  <c r="HG10" i="76"/>
  <c r="GD130" i="7" s="1"/>
  <c r="HF10" i="76"/>
  <c r="GC130" i="7" s="1"/>
  <c r="HG19" i="76"/>
  <c r="GD139" i="7" s="1"/>
  <c r="HF91" i="76"/>
  <c r="GC81" i="7" s="1"/>
  <c r="HG22" i="76"/>
  <c r="GD142" i="7" s="1"/>
  <c r="HD9" i="76"/>
  <c r="HE9" i="76" s="1"/>
  <c r="HD8" i="76"/>
  <c r="HE8" i="76" s="1"/>
  <c r="HI22" i="76"/>
  <c r="GF142" i="7" s="1"/>
  <c r="HG97" i="76"/>
  <c r="GD87" i="7" s="1"/>
  <c r="HI97" i="76"/>
  <c r="GF87" i="7" s="1"/>
  <c r="HG89" i="76"/>
  <c r="GD79" i="7" s="1"/>
  <c r="HI89" i="76"/>
  <c r="GF79" i="7" s="1"/>
  <c r="HG81" i="76"/>
  <c r="GD71" i="7" s="1"/>
  <c r="HI81" i="76"/>
  <c r="GF71" i="7" s="1"/>
  <c r="HG73" i="76"/>
  <c r="GD63" i="7" s="1"/>
  <c r="HG69" i="76"/>
  <c r="GD59" i="7" s="1"/>
  <c r="HG60" i="76"/>
  <c r="GD50" i="7" s="1"/>
  <c r="HG28" i="76"/>
  <c r="GD148" i="7" s="1"/>
  <c r="HF105" i="76"/>
  <c r="GC95" i="7" s="1"/>
  <c r="HH105" i="76"/>
  <c r="GE95" i="7" s="1"/>
  <c r="HF36" i="76"/>
  <c r="GC26" i="7" s="1"/>
  <c r="HG27" i="76"/>
  <c r="GD147" i="7" s="1"/>
  <c r="HG104" i="76"/>
  <c r="GD94" i="7" s="1"/>
  <c r="HI104" i="76"/>
  <c r="GF94" i="7" s="1"/>
  <c r="HG88" i="76"/>
  <c r="GD78" i="7" s="1"/>
  <c r="HI88" i="76"/>
  <c r="GF78" i="7" s="1"/>
  <c r="HF73" i="76"/>
  <c r="GC63" i="7" s="1"/>
  <c r="HG74" i="76"/>
  <c r="GD64" i="7" s="1"/>
  <c r="HI106" i="76"/>
  <c r="GF96" i="7" s="1"/>
  <c r="HG106" i="76"/>
  <c r="GD96" i="7" s="1"/>
  <c r="HF25" i="76"/>
  <c r="GC145" i="7" s="1"/>
  <c r="HF41" i="76"/>
  <c r="GC31" i="7" s="1"/>
  <c r="HF106" i="76"/>
  <c r="GC96" i="7" s="1"/>
  <c r="HH106" i="76"/>
  <c r="GE96" i="7" s="1"/>
  <c r="HH88" i="76"/>
  <c r="GE78" i="7" s="1"/>
  <c r="HF88" i="76"/>
  <c r="GC78" i="7" s="1"/>
  <c r="HG109" i="76"/>
  <c r="GD99" i="7" s="1"/>
  <c r="HI109" i="76"/>
  <c r="GF99" i="7" s="1"/>
  <c r="HE72" i="76"/>
  <c r="HG72" i="76" s="1"/>
  <c r="GD62" i="7" s="1"/>
  <c r="HG40" i="76"/>
  <c r="GD30" i="7" s="1"/>
  <c r="HG31" i="76"/>
  <c r="GD21" i="7" s="1"/>
  <c r="HI94" i="76"/>
  <c r="GF84" i="7" s="1"/>
  <c r="HG94" i="76"/>
  <c r="GD84" i="7" s="1"/>
  <c r="HF13" i="76"/>
  <c r="GC133" i="7" s="1"/>
  <c r="HH13" i="76"/>
  <c r="GE133" i="7" s="1"/>
  <c r="HF45" i="76"/>
  <c r="GC35" i="7" s="1"/>
  <c r="HF107" i="76"/>
  <c r="GC97" i="7" s="1"/>
  <c r="HF98" i="76"/>
  <c r="GC88" i="7" s="1"/>
  <c r="HH98" i="76"/>
  <c r="GE88" i="7" s="1"/>
  <c r="HF94" i="76"/>
  <c r="GC84" i="7" s="1"/>
  <c r="HH94" i="76"/>
  <c r="GE84" i="7" s="1"/>
  <c r="HF90" i="76"/>
  <c r="GC80" i="7" s="1"/>
  <c r="HH90" i="76"/>
  <c r="GE80" i="7" s="1"/>
  <c r="HF86" i="76"/>
  <c r="GC76" i="7" s="1"/>
  <c r="HH86" i="76"/>
  <c r="GE76" i="7" s="1"/>
  <c r="HF82" i="76"/>
  <c r="GC72" i="7" s="1"/>
  <c r="HH82" i="76"/>
  <c r="GE72" i="7" s="1"/>
  <c r="HF78" i="76"/>
  <c r="GC68" i="7" s="1"/>
  <c r="HH78" i="76"/>
  <c r="GE68" i="7" s="1"/>
  <c r="HF74" i="76"/>
  <c r="GC64" i="7" s="1"/>
  <c r="HF70" i="76"/>
  <c r="GC60" i="7" s="1"/>
  <c r="HG64" i="76"/>
  <c r="GD54" i="7" s="1"/>
  <c r="HG48" i="76"/>
  <c r="GD38" i="7" s="1"/>
  <c r="HG32" i="76"/>
  <c r="GD22" i="7" s="1"/>
  <c r="HF109" i="76"/>
  <c r="GC99" i="7" s="1"/>
  <c r="HH109" i="76"/>
  <c r="GE99" i="7" s="1"/>
  <c r="HF93" i="76"/>
  <c r="GC83" i="7" s="1"/>
  <c r="HH93" i="76"/>
  <c r="GE83" i="7" s="1"/>
  <c r="HG67" i="76"/>
  <c r="GD57" i="7" s="1"/>
  <c r="HG51" i="76"/>
  <c r="GD41" i="7" s="1"/>
  <c r="HF28" i="76"/>
  <c r="GC148" i="7" s="1"/>
  <c r="HG23" i="76"/>
  <c r="GD143" i="7" s="1"/>
  <c r="HI23" i="76"/>
  <c r="GF143" i="7" s="1"/>
  <c r="HG16" i="76"/>
  <c r="GD136" i="7" s="1"/>
  <c r="HI16" i="76"/>
  <c r="GF136" i="7" s="1"/>
  <c r="HF85" i="76"/>
  <c r="GC75" i="7" s="1"/>
  <c r="HH85" i="76"/>
  <c r="GE75" i="7" s="1"/>
  <c r="HG63" i="76"/>
  <c r="GD53" i="7" s="1"/>
  <c r="HF56" i="76"/>
  <c r="GC46" i="7" s="1"/>
  <c r="HG47" i="76"/>
  <c r="GD37" i="7" s="1"/>
  <c r="HG70" i="76"/>
  <c r="GD60" i="7" s="1"/>
  <c r="HI86" i="76"/>
  <c r="GF76" i="7" s="1"/>
  <c r="HG86" i="76"/>
  <c r="GD76" i="7" s="1"/>
  <c r="HI102" i="76"/>
  <c r="GF92" i="7" s="1"/>
  <c r="HG102" i="76"/>
  <c r="GD92" i="7" s="1"/>
  <c r="HG105" i="76"/>
  <c r="GD95" i="7" s="1"/>
  <c r="HI105" i="76"/>
  <c r="GF95" i="7" s="1"/>
  <c r="HF71" i="76"/>
  <c r="GC61" i="7" s="1"/>
  <c r="HF62" i="76"/>
  <c r="GC52" i="7" s="1"/>
  <c r="HF50" i="76"/>
  <c r="GC40" i="7" s="1"/>
  <c r="HF34" i="76"/>
  <c r="GC24" i="7" s="1"/>
  <c r="HF31" i="76"/>
  <c r="GC21" i="7" s="1"/>
  <c r="HH14" i="76"/>
  <c r="GE134" i="7" s="1"/>
  <c r="HF14" i="76"/>
  <c r="GC134" i="7" s="1"/>
  <c r="HH21" i="76"/>
  <c r="GE141" i="7" s="1"/>
  <c r="HF37" i="76"/>
  <c r="GC27" i="7" s="1"/>
  <c r="HF53" i="76"/>
  <c r="GC43" i="7" s="1"/>
  <c r="HF102" i="76"/>
  <c r="GC92" i="7" s="1"/>
  <c r="HH102" i="76"/>
  <c r="GE92" i="7" s="1"/>
  <c r="HG95" i="76"/>
  <c r="GD85" i="7" s="1"/>
  <c r="HG79" i="76"/>
  <c r="GD69" i="7" s="1"/>
  <c r="HF54" i="76"/>
  <c r="GC44" i="7" s="1"/>
  <c r="HH22" i="76"/>
  <c r="GE142" i="7" s="1"/>
  <c r="HF22" i="76"/>
  <c r="GC142" i="7" s="1"/>
  <c r="HF12" i="76"/>
  <c r="GC132" i="7" s="1"/>
  <c r="HH12" i="76"/>
  <c r="GE132" i="7" s="1"/>
  <c r="HF110" i="76"/>
  <c r="GC100" i="7" s="1"/>
  <c r="HH110" i="76"/>
  <c r="GE100" i="7" s="1"/>
  <c r="HG93" i="76"/>
  <c r="GD83" i="7" s="1"/>
  <c r="HI93" i="76"/>
  <c r="GF83" i="7" s="1"/>
  <c r="HG85" i="76"/>
  <c r="GD75" i="7" s="1"/>
  <c r="HI85" i="76"/>
  <c r="GF75" i="7" s="1"/>
  <c r="HG77" i="76"/>
  <c r="GD67" i="7" s="1"/>
  <c r="HI77" i="76"/>
  <c r="GF67" i="7" s="1"/>
  <c r="HG44" i="76"/>
  <c r="GD34" i="7" s="1"/>
  <c r="HF81" i="76"/>
  <c r="GC71" i="7" s="1"/>
  <c r="HH81" i="76"/>
  <c r="GE71" i="7" s="1"/>
  <c r="HG96" i="76"/>
  <c r="GD86" i="7" s="1"/>
  <c r="HI96" i="76"/>
  <c r="GF86" i="7" s="1"/>
  <c r="HG80" i="76"/>
  <c r="GD70" i="7" s="1"/>
  <c r="HI80" i="76"/>
  <c r="GF70" i="7" s="1"/>
  <c r="HG12" i="76"/>
  <c r="GD132" i="7" s="1"/>
  <c r="HI12" i="76"/>
  <c r="GF132" i="7" s="1"/>
  <c r="HF60" i="76"/>
  <c r="GC50" i="7" s="1"/>
  <c r="HG55" i="76"/>
  <c r="GD45" i="7" s="1"/>
  <c r="HF32" i="76"/>
  <c r="GC22" i="7" s="1"/>
  <c r="HI90" i="76"/>
  <c r="GF80" i="7" s="1"/>
  <c r="HG90" i="76"/>
  <c r="GD80" i="7" s="1"/>
  <c r="HH108" i="76"/>
  <c r="GE98" i="7" s="1"/>
  <c r="HF108" i="76"/>
  <c r="GC98" i="7" s="1"/>
  <c r="HF57" i="76"/>
  <c r="GC47" i="7" s="1"/>
  <c r="HH104" i="76"/>
  <c r="GE94" i="7" s="1"/>
  <c r="HF104" i="76"/>
  <c r="GC94" i="7" s="1"/>
  <c r="HH11" i="76"/>
  <c r="GE131" i="7" s="1"/>
  <c r="HF11" i="76"/>
  <c r="GC131" i="7" s="1"/>
  <c r="HG56" i="76"/>
  <c r="GD46" i="7" s="1"/>
  <c r="HI24" i="76"/>
  <c r="GF144" i="7" s="1"/>
  <c r="HG24" i="76"/>
  <c r="GD144" i="7" s="1"/>
  <c r="HF101" i="76"/>
  <c r="GC91" i="7" s="1"/>
  <c r="HH101" i="76"/>
  <c r="GE91" i="7" s="1"/>
  <c r="HF77" i="76"/>
  <c r="GC67" i="7" s="1"/>
  <c r="HH77" i="76"/>
  <c r="GE67" i="7" s="1"/>
  <c r="HF44" i="76"/>
  <c r="GC34" i="7" s="1"/>
  <c r="HG35" i="76"/>
  <c r="GD25" i="7" s="1"/>
  <c r="HF68" i="76"/>
  <c r="GC58" i="7" s="1"/>
  <c r="HG59" i="76"/>
  <c r="GD49" i="7" s="1"/>
  <c r="HF40" i="76"/>
  <c r="GC30" i="7" s="1"/>
  <c r="HI78" i="76"/>
  <c r="GF68" i="7" s="1"/>
  <c r="HG78" i="76"/>
  <c r="GD68" i="7" s="1"/>
  <c r="HI110" i="76"/>
  <c r="GF100" i="7" s="1"/>
  <c r="HG110" i="76"/>
  <c r="GD100" i="7" s="1"/>
  <c r="HH103" i="76"/>
  <c r="GE93" i="7" s="1"/>
  <c r="HF103" i="76"/>
  <c r="GC93" i="7" s="1"/>
  <c r="HH92" i="76"/>
  <c r="GE82" i="7" s="1"/>
  <c r="HF92" i="76"/>
  <c r="GC82" i="7" s="1"/>
  <c r="HF29" i="76"/>
  <c r="GC149" i="7" s="1"/>
  <c r="HF61" i="76"/>
  <c r="GC51" i="7" s="1"/>
  <c r="HH83" i="76"/>
  <c r="GE73" i="7" s="1"/>
  <c r="HF83" i="76"/>
  <c r="GC73" i="7" s="1"/>
  <c r="HF63" i="76"/>
  <c r="GC53" i="7" s="1"/>
  <c r="HF35" i="76"/>
  <c r="GC25" i="7" s="1"/>
  <c r="HG68" i="76"/>
  <c r="GD58" i="7" s="1"/>
  <c r="HG52" i="76"/>
  <c r="GD42" i="7" s="1"/>
  <c r="HG36" i="76"/>
  <c r="GD26" i="7" s="1"/>
  <c r="HF97" i="76"/>
  <c r="GC87" i="7" s="1"/>
  <c r="HH97" i="76"/>
  <c r="GE87" i="7" s="1"/>
  <c r="HF69" i="76"/>
  <c r="GC59" i="7" s="1"/>
  <c r="HF52" i="76"/>
  <c r="GC42" i="7" s="1"/>
  <c r="HG43" i="76"/>
  <c r="GD33" i="7" s="1"/>
  <c r="HF24" i="76"/>
  <c r="GC144" i="7" s="1"/>
  <c r="HH24" i="76"/>
  <c r="GE144" i="7" s="1"/>
  <c r="HG108" i="76"/>
  <c r="GD98" i="7" s="1"/>
  <c r="HI108" i="76"/>
  <c r="GF98" i="7" s="1"/>
  <c r="HG100" i="76"/>
  <c r="GD90" i="7" s="1"/>
  <c r="HI100" i="76"/>
  <c r="GF90" i="7" s="1"/>
  <c r="HG92" i="76"/>
  <c r="GD82" i="7" s="1"/>
  <c r="HI92" i="76"/>
  <c r="GF82" i="7" s="1"/>
  <c r="HG84" i="76"/>
  <c r="GD74" i="7" s="1"/>
  <c r="HI84" i="76"/>
  <c r="GF74" i="7" s="1"/>
  <c r="HG76" i="76"/>
  <c r="GD66" i="7" s="1"/>
  <c r="HI76" i="76"/>
  <c r="GF66" i="7" s="1"/>
  <c r="HG20" i="76"/>
  <c r="GD140" i="7" s="1"/>
  <c r="HI20" i="76"/>
  <c r="GF140" i="7" s="1"/>
  <c r="HF89" i="76"/>
  <c r="GC79" i="7" s="1"/>
  <c r="HH89" i="76"/>
  <c r="GE79" i="7" s="1"/>
  <c r="HF64" i="76"/>
  <c r="GC54" i="7" s="1"/>
  <c r="HF48" i="76"/>
  <c r="GC38" i="7" s="1"/>
  <c r="HG39" i="76"/>
  <c r="GD29" i="7" s="1"/>
  <c r="HI82" i="76"/>
  <c r="GF72" i="7" s="1"/>
  <c r="HG82" i="76"/>
  <c r="GD72" i="7" s="1"/>
  <c r="HI98" i="76"/>
  <c r="GF88" i="7" s="1"/>
  <c r="HG98" i="76"/>
  <c r="GD88" i="7" s="1"/>
  <c r="HG101" i="76"/>
  <c r="GD91" i="7" s="1"/>
  <c r="HI101" i="76"/>
  <c r="GF91" i="7" s="1"/>
  <c r="HH87" i="76"/>
  <c r="GE77" i="7" s="1"/>
  <c r="HF87" i="76"/>
  <c r="GC77" i="7" s="1"/>
  <c r="HH76" i="76"/>
  <c r="GE66" i="7" s="1"/>
  <c r="HF76" i="76"/>
  <c r="GC66" i="7" s="1"/>
  <c r="HF59" i="76"/>
  <c r="GC49" i="7" s="1"/>
  <c r="HF47" i="76"/>
  <c r="GC37" i="7" s="1"/>
  <c r="HH17" i="76"/>
  <c r="GE137" i="7" s="1"/>
  <c r="HF17" i="76"/>
  <c r="GC137" i="7" s="1"/>
  <c r="HF33" i="76"/>
  <c r="GC23" i="7" s="1"/>
  <c r="HF49" i="76"/>
  <c r="GC39" i="7" s="1"/>
  <c r="HF65" i="76"/>
  <c r="GC55" i="7" s="1"/>
  <c r="HG75" i="76"/>
  <c r="GD65" i="7" s="1"/>
  <c r="HF66" i="76"/>
  <c r="GC56" i="7" s="1"/>
  <c r="HF51" i="76"/>
  <c r="GC41" i="7" s="1"/>
  <c r="HF38" i="76"/>
  <c r="GC28" i="7" s="1"/>
  <c r="HH18" i="76"/>
  <c r="GE138" i="7" s="1"/>
  <c r="HF18" i="76"/>
  <c r="GC138" i="7" s="1"/>
  <c r="A58" i="10"/>
  <c r="R11" i="46"/>
  <c r="M42" i="10"/>
  <c r="L42" i="10"/>
  <c r="K42" i="10"/>
  <c r="I40" i="10"/>
  <c r="I42" i="10" s="1"/>
  <c r="J44" i="10"/>
  <c r="J46" i="10" s="1"/>
  <c r="I44" i="10"/>
  <c r="I46" i="10" s="1"/>
  <c r="I11" i="46"/>
  <c r="I11" i="45"/>
  <c r="M46" i="10"/>
  <c r="L46" i="10"/>
  <c r="K46" i="10"/>
  <c r="D1" i="10"/>
  <c r="E2" i="10"/>
  <c r="E83" i="10" s="1"/>
  <c r="D2" i="10"/>
  <c r="D83" i="10" s="1"/>
  <c r="I35" i="10"/>
  <c r="I34" i="10"/>
  <c r="H34" i="10"/>
  <c r="I41" i="10"/>
  <c r="J41" i="10"/>
  <c r="I19" i="10"/>
  <c r="I20" i="10" s="1"/>
  <c r="I17" i="10"/>
  <c r="J21" i="10"/>
  <c r="I21" i="10"/>
  <c r="H27" i="10"/>
  <c r="I30" i="10"/>
  <c r="I29" i="10"/>
  <c r="I28" i="10"/>
  <c r="I27" i="10"/>
  <c r="J30" i="10"/>
  <c r="J29" i="10"/>
  <c r="J28" i="10"/>
  <c r="I24" i="10"/>
  <c r="H24" i="10"/>
  <c r="J8" i="10"/>
  <c r="I16" i="10"/>
  <c r="I45" i="10"/>
  <c r="I18" i="10"/>
  <c r="J17" i="10"/>
  <c r="AG34" i="4" l="1"/>
  <c r="AI33" i="4"/>
  <c r="AH34" i="4"/>
  <c r="AJ33" i="4"/>
  <c r="HU33" i="76"/>
  <c r="GK23" i="7" s="1"/>
  <c r="GE101" i="7"/>
  <c r="GE102" i="7" s="1"/>
  <c r="GE103" i="7" s="1"/>
  <c r="GE104" i="7" s="1"/>
  <c r="GE105" i="7" s="1"/>
  <c r="GE106" i="7" s="1"/>
  <c r="GE107" i="7" s="1"/>
  <c r="GE108" i="7" s="1"/>
  <c r="GE109" i="7" s="1"/>
  <c r="GE110" i="7" s="1"/>
  <c r="GE111" i="7" s="1"/>
  <c r="GE112" i="7" s="1"/>
  <c r="GE113" i="7" s="1"/>
  <c r="GE114" i="7" s="1"/>
  <c r="GE115" i="7" s="1"/>
  <c r="GE116" i="7" s="1"/>
  <c r="GE117" i="7" s="1"/>
  <c r="GE118" i="7" s="1"/>
  <c r="GE119" i="7" s="1"/>
  <c r="GE120" i="7" s="1"/>
  <c r="HV29" i="76"/>
  <c r="GL149" i="7" s="1"/>
  <c r="HV39" i="76"/>
  <c r="GL29" i="7" s="1"/>
  <c r="GG101" i="7"/>
  <c r="GO101" i="7"/>
  <c r="GC101" i="7"/>
  <c r="GC102" i="7" s="1"/>
  <c r="GC103" i="7" s="1"/>
  <c r="GC104" i="7" s="1"/>
  <c r="GC105" i="7" s="1"/>
  <c r="GC106" i="7" s="1"/>
  <c r="GC107" i="7" s="1"/>
  <c r="GC108" i="7" s="1"/>
  <c r="GC109" i="7" s="1"/>
  <c r="GC110" i="7" s="1"/>
  <c r="GC111" i="7" s="1"/>
  <c r="GC112" i="7" s="1"/>
  <c r="GC113" i="7" s="1"/>
  <c r="GC114" i="7" s="1"/>
  <c r="GC115" i="7" s="1"/>
  <c r="GC116" i="7" s="1"/>
  <c r="GC117" i="7" s="1"/>
  <c r="GC118" i="7" s="1"/>
  <c r="GC119" i="7" s="1"/>
  <c r="GC120" i="7" s="1"/>
  <c r="GL101" i="7"/>
  <c r="GL102" i="7" s="1"/>
  <c r="GL103" i="7" s="1"/>
  <c r="GL104" i="7" s="1"/>
  <c r="GL105" i="7" s="1"/>
  <c r="GL106" i="7" s="1"/>
  <c r="GL107" i="7" s="1"/>
  <c r="GL108" i="7" s="1"/>
  <c r="GL109" i="7" s="1"/>
  <c r="GL110" i="7" s="1"/>
  <c r="GL111" i="7" s="1"/>
  <c r="GL112" i="7" s="1"/>
  <c r="GL113" i="7" s="1"/>
  <c r="GL114" i="7" s="1"/>
  <c r="GL115" i="7" s="1"/>
  <c r="GL116" i="7" s="1"/>
  <c r="GL117" i="7" s="1"/>
  <c r="GL118" i="7" s="1"/>
  <c r="GL119" i="7" s="1"/>
  <c r="GL120" i="7" s="1"/>
  <c r="HU100" i="76"/>
  <c r="GK90" i="7" s="1"/>
  <c r="HU96" i="76"/>
  <c r="GK86" i="7" s="1"/>
  <c r="HU108" i="76"/>
  <c r="GK98" i="7" s="1"/>
  <c r="GK101" i="7" s="1"/>
  <c r="GK102" i="7" s="1"/>
  <c r="GK103" i="7" s="1"/>
  <c r="GK104" i="7" s="1"/>
  <c r="GK105" i="7" s="1"/>
  <c r="GK106" i="7" s="1"/>
  <c r="GK107" i="7" s="1"/>
  <c r="GK108" i="7" s="1"/>
  <c r="GK109" i="7" s="1"/>
  <c r="GK110" i="7" s="1"/>
  <c r="GK111" i="7" s="1"/>
  <c r="GK112" i="7" s="1"/>
  <c r="GK113" i="7" s="1"/>
  <c r="GK114" i="7" s="1"/>
  <c r="GK115" i="7" s="1"/>
  <c r="GK116" i="7" s="1"/>
  <c r="GK117" i="7" s="1"/>
  <c r="GK118" i="7" s="1"/>
  <c r="GK119" i="7" s="1"/>
  <c r="GK120" i="7" s="1"/>
  <c r="HU37" i="76"/>
  <c r="GK27" i="7" s="1"/>
  <c r="HU27" i="76"/>
  <c r="GK147" i="7" s="1"/>
  <c r="GF101" i="7"/>
  <c r="GF102" i="7" s="1"/>
  <c r="GF103" i="7" s="1"/>
  <c r="GF104" i="7" s="1"/>
  <c r="GF105" i="7" s="1"/>
  <c r="GF106" i="7" s="1"/>
  <c r="GF107" i="7" s="1"/>
  <c r="GF108" i="7" s="1"/>
  <c r="GF109" i="7" s="1"/>
  <c r="GF110" i="7" s="1"/>
  <c r="GF111" i="7" s="1"/>
  <c r="GF112" i="7" s="1"/>
  <c r="GF113" i="7" s="1"/>
  <c r="GF114" i="7" s="1"/>
  <c r="GF115" i="7" s="1"/>
  <c r="GF116" i="7" s="1"/>
  <c r="GF117" i="7" s="1"/>
  <c r="GF118" i="7" s="1"/>
  <c r="GF119" i="7" s="1"/>
  <c r="GF120" i="7" s="1"/>
  <c r="HV31" i="76"/>
  <c r="GL21" i="7" s="1"/>
  <c r="HU92" i="76"/>
  <c r="GK82" i="7" s="1"/>
  <c r="HU63" i="76"/>
  <c r="GK53" i="7" s="1"/>
  <c r="HV35" i="76"/>
  <c r="GL25" i="7" s="1"/>
  <c r="HU45" i="76"/>
  <c r="GK35" i="7" s="1"/>
  <c r="AN105" i="7"/>
  <c r="GM101" i="7"/>
  <c r="GM102" i="7" s="1"/>
  <c r="GM103" i="7" s="1"/>
  <c r="GM104" i="7" s="1"/>
  <c r="GM105" i="7" s="1"/>
  <c r="GM106" i="7" s="1"/>
  <c r="GM107" i="7" s="1"/>
  <c r="GM108" i="7" s="1"/>
  <c r="GM109" i="7" s="1"/>
  <c r="GM110" i="7" s="1"/>
  <c r="GM111" i="7" s="1"/>
  <c r="GM112" i="7" s="1"/>
  <c r="GM113" i="7" s="1"/>
  <c r="GM114" i="7" s="1"/>
  <c r="GM115" i="7" s="1"/>
  <c r="GM116" i="7" s="1"/>
  <c r="GM117" i="7" s="1"/>
  <c r="GM118" i="7" s="1"/>
  <c r="GM119" i="7" s="1"/>
  <c r="GM120" i="7" s="1"/>
  <c r="GD150" i="7"/>
  <c r="GD20" i="7"/>
  <c r="GN101" i="7"/>
  <c r="GN102" i="7" s="1"/>
  <c r="GN103" i="7" s="1"/>
  <c r="GN104" i="7" s="1"/>
  <c r="GN105" i="7" s="1"/>
  <c r="GN106" i="7" s="1"/>
  <c r="GN107" i="7" s="1"/>
  <c r="GN108" i="7" s="1"/>
  <c r="GN109" i="7" s="1"/>
  <c r="GN110" i="7" s="1"/>
  <c r="GN111" i="7" s="1"/>
  <c r="GN112" i="7" s="1"/>
  <c r="GN113" i="7" s="1"/>
  <c r="GN114" i="7" s="1"/>
  <c r="GN115" i="7" s="1"/>
  <c r="GN116" i="7" s="1"/>
  <c r="GN117" i="7" s="1"/>
  <c r="GN118" i="7" s="1"/>
  <c r="GN119" i="7" s="1"/>
  <c r="GN120" i="7" s="1"/>
  <c r="HU59" i="76"/>
  <c r="GK49" i="7" s="1"/>
  <c r="GL150" i="7"/>
  <c r="GL20" i="7"/>
  <c r="GI102" i="7"/>
  <c r="GA102" i="7"/>
  <c r="GD101" i="7"/>
  <c r="GD102" i="7" s="1"/>
  <c r="GD103" i="7" s="1"/>
  <c r="GD104" i="7" s="1"/>
  <c r="GD105" i="7" s="1"/>
  <c r="GD106" i="7" s="1"/>
  <c r="GD107" i="7" s="1"/>
  <c r="GD108" i="7" s="1"/>
  <c r="GD109" i="7" s="1"/>
  <c r="GD110" i="7" s="1"/>
  <c r="GD111" i="7" s="1"/>
  <c r="GD112" i="7" s="1"/>
  <c r="GD113" i="7" s="1"/>
  <c r="GD114" i="7" s="1"/>
  <c r="GD115" i="7" s="1"/>
  <c r="GD116" i="7" s="1"/>
  <c r="GD117" i="7" s="1"/>
  <c r="GD118" i="7" s="1"/>
  <c r="GD119" i="7" s="1"/>
  <c r="GD120" i="7" s="1"/>
  <c r="GK150" i="7"/>
  <c r="GK20" i="7"/>
  <c r="HV70" i="76"/>
  <c r="GL60" i="7" s="1"/>
  <c r="HU43" i="76"/>
  <c r="GK33" i="7" s="1"/>
  <c r="HU51" i="76"/>
  <c r="GK41" i="7" s="1"/>
  <c r="HU67" i="76"/>
  <c r="GK57" i="7" s="1"/>
  <c r="HF21" i="76"/>
  <c r="GC141" i="7" s="1"/>
  <c r="HW8" i="76"/>
  <c r="HX8" i="76"/>
  <c r="HW9" i="76"/>
  <c r="HX9" i="76"/>
  <c r="HV82" i="76"/>
  <c r="GL72" i="7" s="1"/>
  <c r="HU82" i="76"/>
  <c r="GK72" i="7" s="1"/>
  <c r="HV53" i="76"/>
  <c r="GL43" i="7" s="1"/>
  <c r="HV90" i="76"/>
  <c r="GL80" i="7" s="1"/>
  <c r="HU90" i="76"/>
  <c r="GK80" i="7" s="1"/>
  <c r="HU49" i="76"/>
  <c r="GK39" i="7" s="1"/>
  <c r="HU57" i="76"/>
  <c r="GK47" i="7" s="1"/>
  <c r="HV21" i="76"/>
  <c r="GL141" i="7" s="1"/>
  <c r="HU13" i="76"/>
  <c r="GK133" i="7" s="1"/>
  <c r="HV23" i="76"/>
  <c r="GL143" i="7" s="1"/>
  <c r="HV61" i="76"/>
  <c r="GL51" i="7" s="1"/>
  <c r="HV74" i="76"/>
  <c r="GL64" i="7" s="1"/>
  <c r="HU74" i="76"/>
  <c r="GK64" i="7" s="1"/>
  <c r="HU104" i="76"/>
  <c r="GK94" i="7" s="1"/>
  <c r="HU25" i="76"/>
  <c r="GK145" i="7" s="1"/>
  <c r="HH8" i="76"/>
  <c r="HH29" i="76" s="1"/>
  <c r="GE149" i="7" s="1"/>
  <c r="HI8" i="76"/>
  <c r="HI27" i="76" s="1"/>
  <c r="GF147" i="7" s="1"/>
  <c r="HF72" i="76"/>
  <c r="GC62" i="7" s="1"/>
  <c r="HH26" i="76"/>
  <c r="GE146" i="7" s="1"/>
  <c r="HH28" i="76"/>
  <c r="GE148" i="7" s="1"/>
  <c r="HI9" i="76"/>
  <c r="HH9" i="76"/>
  <c r="HH25" i="76"/>
  <c r="GE145" i="7" s="1"/>
  <c r="A17" i="46"/>
  <c r="A17" i="45"/>
  <c r="AH35" i="4" l="1"/>
  <c r="AJ34" i="4"/>
  <c r="AG35" i="4"/>
  <c r="AI34" i="4"/>
  <c r="HH27" i="76"/>
  <c r="GE147" i="7" s="1"/>
  <c r="GG102" i="7"/>
  <c r="GI103" i="7"/>
  <c r="GO102" i="7"/>
  <c r="AN106" i="7"/>
  <c r="GA103" i="7"/>
  <c r="HI26" i="76"/>
  <c r="GF146" i="7" s="1"/>
  <c r="HX70" i="76"/>
  <c r="GN60" i="7" s="1"/>
  <c r="HX31" i="76"/>
  <c r="GN21" i="7" s="1"/>
  <c r="HX39" i="76"/>
  <c r="GN29" i="7" s="1"/>
  <c r="HX30" i="76"/>
  <c r="HX38" i="76"/>
  <c r="GN28" i="7" s="1"/>
  <c r="HX46" i="76"/>
  <c r="GN36" i="7" s="1"/>
  <c r="HX72" i="76"/>
  <c r="GN62" i="7" s="1"/>
  <c r="HX32" i="76"/>
  <c r="GN22" i="7" s="1"/>
  <c r="HX40" i="76"/>
  <c r="GN30" i="7" s="1"/>
  <c r="HX35" i="76"/>
  <c r="GN25" i="7" s="1"/>
  <c r="HX43" i="76"/>
  <c r="GN33" i="7" s="1"/>
  <c r="HX34" i="76"/>
  <c r="GN24" i="7" s="1"/>
  <c r="HX42" i="76"/>
  <c r="GN32" i="7" s="1"/>
  <c r="HX36" i="76"/>
  <c r="GN26" i="7" s="1"/>
  <c r="HX44" i="76"/>
  <c r="GN34" i="7" s="1"/>
  <c r="HX33" i="76"/>
  <c r="GN23" i="7" s="1"/>
  <c r="HX49" i="76"/>
  <c r="GN39" i="7" s="1"/>
  <c r="HX69" i="76"/>
  <c r="GN59" i="7" s="1"/>
  <c r="HX51" i="76"/>
  <c r="GN41" i="7" s="1"/>
  <c r="HX62" i="76"/>
  <c r="GN52" i="7" s="1"/>
  <c r="HX54" i="76"/>
  <c r="GN44" i="7" s="1"/>
  <c r="HX53" i="76"/>
  <c r="GN43" i="7" s="1"/>
  <c r="HX47" i="76"/>
  <c r="GN37" i="7" s="1"/>
  <c r="HX74" i="76"/>
  <c r="GN64" i="7" s="1"/>
  <c r="HX55" i="76"/>
  <c r="GN45" i="7" s="1"/>
  <c r="HX60" i="76"/>
  <c r="GN50" i="7" s="1"/>
  <c r="HX52" i="76"/>
  <c r="GN42" i="7" s="1"/>
  <c r="HX63" i="76"/>
  <c r="GN53" i="7" s="1"/>
  <c r="HX45" i="76"/>
  <c r="GN35" i="7" s="1"/>
  <c r="HX57" i="76"/>
  <c r="GN47" i="7" s="1"/>
  <c r="HX68" i="76"/>
  <c r="GN58" i="7" s="1"/>
  <c r="HX73" i="76"/>
  <c r="GN63" i="7" s="1"/>
  <c r="HX66" i="76"/>
  <c r="GN56" i="7" s="1"/>
  <c r="HX58" i="76"/>
  <c r="GN48" i="7" s="1"/>
  <c r="HX50" i="76"/>
  <c r="GN40" i="7" s="1"/>
  <c r="HX37" i="76"/>
  <c r="GN27" i="7" s="1"/>
  <c r="HX71" i="76"/>
  <c r="GN61" i="7" s="1"/>
  <c r="HX59" i="76"/>
  <c r="GN49" i="7" s="1"/>
  <c r="HX65" i="76"/>
  <c r="GN55" i="7" s="1"/>
  <c r="HX61" i="76"/>
  <c r="GN51" i="7" s="1"/>
  <c r="HX41" i="76"/>
  <c r="GN31" i="7" s="1"/>
  <c r="HX67" i="76"/>
  <c r="GN57" i="7" s="1"/>
  <c r="HX64" i="76"/>
  <c r="GN54" i="7" s="1"/>
  <c r="HX56" i="76"/>
  <c r="GN46" i="7" s="1"/>
  <c r="HX48" i="76"/>
  <c r="GN38" i="7" s="1"/>
  <c r="HW46" i="76"/>
  <c r="GM36" i="7" s="1"/>
  <c r="HW70" i="76"/>
  <c r="GM60" i="7" s="1"/>
  <c r="HW72" i="76"/>
  <c r="GM62" i="7" s="1"/>
  <c r="HW74" i="76"/>
  <c r="GM64" i="7" s="1"/>
  <c r="HW40" i="76"/>
  <c r="GM30" i="7" s="1"/>
  <c r="HW31" i="76"/>
  <c r="GM21" i="7" s="1"/>
  <c r="HW69" i="76"/>
  <c r="GM59" i="7" s="1"/>
  <c r="HW64" i="76"/>
  <c r="GM54" i="7" s="1"/>
  <c r="HW47" i="76"/>
  <c r="GM37" i="7" s="1"/>
  <c r="HW67" i="76"/>
  <c r="GM57" i="7" s="1"/>
  <c r="HW59" i="76"/>
  <c r="GM49" i="7" s="1"/>
  <c r="HW51" i="76"/>
  <c r="GM41" i="7" s="1"/>
  <c r="HW43" i="76"/>
  <c r="GM33" i="7" s="1"/>
  <c r="HW41" i="76"/>
  <c r="GM31" i="7" s="1"/>
  <c r="HW33" i="76"/>
  <c r="GM23" i="7" s="1"/>
  <c r="HW50" i="76"/>
  <c r="GM40" i="7" s="1"/>
  <c r="HW60" i="76"/>
  <c r="GM50" i="7" s="1"/>
  <c r="HW30" i="76"/>
  <c r="HW65" i="76"/>
  <c r="GM55" i="7" s="1"/>
  <c r="HW57" i="76"/>
  <c r="GM47" i="7" s="1"/>
  <c r="HW49" i="76"/>
  <c r="GM39" i="7" s="1"/>
  <c r="HW44" i="76"/>
  <c r="GM34" i="7" s="1"/>
  <c r="HW34" i="76"/>
  <c r="GM24" i="7" s="1"/>
  <c r="HW32" i="76"/>
  <c r="GM22" i="7" s="1"/>
  <c r="HW39" i="76"/>
  <c r="GM29" i="7" s="1"/>
  <c r="HW73" i="76"/>
  <c r="GM63" i="7" s="1"/>
  <c r="HW45" i="76"/>
  <c r="GM35" i="7" s="1"/>
  <c r="HW37" i="76"/>
  <c r="GM27" i="7" s="1"/>
  <c r="HW58" i="76"/>
  <c r="GM48" i="7" s="1"/>
  <c r="HW48" i="76"/>
  <c r="GM38" i="7" s="1"/>
  <c r="HW63" i="76"/>
  <c r="GM53" i="7" s="1"/>
  <c r="HW55" i="76"/>
  <c r="GM45" i="7" s="1"/>
  <c r="HW62" i="76"/>
  <c r="GM52" i="7" s="1"/>
  <c r="HW52" i="76"/>
  <c r="GM42" i="7" s="1"/>
  <c r="HW35" i="76"/>
  <c r="GM25" i="7" s="1"/>
  <c r="HW66" i="76"/>
  <c r="GM56" i="7" s="1"/>
  <c r="HW56" i="76"/>
  <c r="GM46" i="7" s="1"/>
  <c r="HW54" i="76"/>
  <c r="GM44" i="7" s="1"/>
  <c r="HW38" i="76"/>
  <c r="GM28" i="7" s="1"/>
  <c r="HW61" i="76"/>
  <c r="GM51" i="7" s="1"/>
  <c r="HW53" i="76"/>
  <c r="GM43" i="7" s="1"/>
  <c r="HW36" i="76"/>
  <c r="GM26" i="7" s="1"/>
  <c r="HW68" i="76"/>
  <c r="GM58" i="7" s="1"/>
  <c r="HW71" i="76"/>
  <c r="GM61" i="7" s="1"/>
  <c r="HW42" i="76"/>
  <c r="GM32" i="7" s="1"/>
  <c r="HX28" i="76"/>
  <c r="GN148" i="7" s="1"/>
  <c r="HX26" i="76"/>
  <c r="GN146" i="7" s="1"/>
  <c r="HX29" i="76"/>
  <c r="GN149" i="7" s="1"/>
  <c r="HX25" i="76"/>
  <c r="GN145" i="7" s="1"/>
  <c r="HX27" i="76"/>
  <c r="GN147" i="7" s="1"/>
  <c r="HW27" i="76"/>
  <c r="GM147" i="7" s="1"/>
  <c r="HW28" i="76"/>
  <c r="GM148" i="7" s="1"/>
  <c r="HW29" i="76"/>
  <c r="GM149" i="7" s="1"/>
  <c r="HW25" i="76"/>
  <c r="GM145" i="7" s="1"/>
  <c r="HW26" i="76"/>
  <c r="GM146" i="7" s="1"/>
  <c r="HI25" i="76"/>
  <c r="GF145" i="7" s="1"/>
  <c r="HI28" i="76"/>
  <c r="GF148" i="7" s="1"/>
  <c r="HI29" i="76"/>
  <c r="GF149" i="7" s="1"/>
  <c r="HI49" i="76"/>
  <c r="GF39" i="7" s="1"/>
  <c r="HI65" i="76"/>
  <c r="GF55" i="7" s="1"/>
  <c r="HI33" i="76"/>
  <c r="GF23" i="7" s="1"/>
  <c r="HI61" i="76"/>
  <c r="GF51" i="7" s="1"/>
  <c r="HI42" i="76"/>
  <c r="GF32" i="7" s="1"/>
  <c r="HI53" i="76"/>
  <c r="GF43" i="7" s="1"/>
  <c r="HI45" i="76"/>
  <c r="GF35" i="7" s="1"/>
  <c r="HI30" i="76"/>
  <c r="HI41" i="76"/>
  <c r="GF31" i="7" s="1"/>
  <c r="HI57" i="76"/>
  <c r="GF47" i="7" s="1"/>
  <c r="HI38" i="76"/>
  <c r="GF28" i="7" s="1"/>
  <c r="HI66" i="76"/>
  <c r="GF56" i="7" s="1"/>
  <c r="HI46" i="76"/>
  <c r="GF36" i="7" s="1"/>
  <c r="HI58" i="76"/>
  <c r="GF48" i="7" s="1"/>
  <c r="HI37" i="76"/>
  <c r="GF27" i="7" s="1"/>
  <c r="HI71" i="76"/>
  <c r="GF61" i="7" s="1"/>
  <c r="HI54" i="76"/>
  <c r="GF44" i="7" s="1"/>
  <c r="HI34" i="76"/>
  <c r="GF24" i="7" s="1"/>
  <c r="HI50" i="76"/>
  <c r="GF40" i="7" s="1"/>
  <c r="HI62" i="76"/>
  <c r="GF52" i="7" s="1"/>
  <c r="HI74" i="76"/>
  <c r="GF64" i="7" s="1"/>
  <c r="HI67" i="76"/>
  <c r="GF57" i="7" s="1"/>
  <c r="HI63" i="76"/>
  <c r="GF53" i="7" s="1"/>
  <c r="HI47" i="76"/>
  <c r="GF37" i="7" s="1"/>
  <c r="HI35" i="76"/>
  <c r="GF25" i="7" s="1"/>
  <c r="HI59" i="76"/>
  <c r="GF49" i="7" s="1"/>
  <c r="HI39" i="76"/>
  <c r="GF29" i="7" s="1"/>
  <c r="HI69" i="76"/>
  <c r="GF59" i="7" s="1"/>
  <c r="HI32" i="76"/>
  <c r="GF22" i="7" s="1"/>
  <c r="HI70" i="76"/>
  <c r="GF60" i="7" s="1"/>
  <c r="HI44" i="76"/>
  <c r="GF34" i="7" s="1"/>
  <c r="HI51" i="76"/>
  <c r="GF41" i="7" s="1"/>
  <c r="HI68" i="76"/>
  <c r="GF58" i="7" s="1"/>
  <c r="HI73" i="76"/>
  <c r="GF63" i="7" s="1"/>
  <c r="HI40" i="76"/>
  <c r="GF30" i="7" s="1"/>
  <c r="HI48" i="76"/>
  <c r="GF38" i="7" s="1"/>
  <c r="HI52" i="76"/>
  <c r="GF42" i="7" s="1"/>
  <c r="HI72" i="76"/>
  <c r="GF62" i="7" s="1"/>
  <c r="HI64" i="76"/>
  <c r="GF54" i="7" s="1"/>
  <c r="HI56" i="76"/>
  <c r="GF46" i="7" s="1"/>
  <c r="HI36" i="76"/>
  <c r="GF26" i="7" s="1"/>
  <c r="HI60" i="76"/>
  <c r="GF50" i="7" s="1"/>
  <c r="HI31" i="76"/>
  <c r="GF21" i="7" s="1"/>
  <c r="HI55" i="76"/>
  <c r="GF45" i="7" s="1"/>
  <c r="HI43" i="76"/>
  <c r="GF33" i="7" s="1"/>
  <c r="HH43" i="76"/>
  <c r="GE33" i="7" s="1"/>
  <c r="HH58" i="76"/>
  <c r="GE48" i="7" s="1"/>
  <c r="HH39" i="76"/>
  <c r="GE29" i="7" s="1"/>
  <c r="HH55" i="76"/>
  <c r="GE45" i="7" s="1"/>
  <c r="HH30" i="76"/>
  <c r="HH46" i="76"/>
  <c r="GE36" i="7" s="1"/>
  <c r="HH42" i="76"/>
  <c r="GE32" i="7" s="1"/>
  <c r="HH67" i="76"/>
  <c r="GE57" i="7" s="1"/>
  <c r="HH70" i="76"/>
  <c r="GE60" i="7" s="1"/>
  <c r="HH60" i="76"/>
  <c r="GE50" i="7" s="1"/>
  <c r="HH32" i="76"/>
  <c r="GE22" i="7" s="1"/>
  <c r="HH35" i="76"/>
  <c r="GE25" i="7" s="1"/>
  <c r="HH52" i="76"/>
  <c r="GE42" i="7" s="1"/>
  <c r="HH64" i="76"/>
  <c r="GE54" i="7" s="1"/>
  <c r="HH59" i="76"/>
  <c r="GE49" i="7" s="1"/>
  <c r="HH38" i="76"/>
  <c r="GE28" i="7" s="1"/>
  <c r="HH50" i="76"/>
  <c r="GE40" i="7" s="1"/>
  <c r="HH68" i="76"/>
  <c r="GE58" i="7" s="1"/>
  <c r="HH65" i="76"/>
  <c r="GE55" i="7" s="1"/>
  <c r="HH41" i="76"/>
  <c r="GE31" i="7" s="1"/>
  <c r="HH72" i="76"/>
  <c r="GE62" i="7" s="1"/>
  <c r="HH44" i="76"/>
  <c r="GE34" i="7" s="1"/>
  <c r="HH69" i="76"/>
  <c r="GE59" i="7" s="1"/>
  <c r="HH48" i="76"/>
  <c r="GE38" i="7" s="1"/>
  <c r="HH73" i="76"/>
  <c r="GE63" i="7" s="1"/>
  <c r="HH45" i="76"/>
  <c r="GE35" i="7" s="1"/>
  <c r="HH62" i="76"/>
  <c r="GE52" i="7" s="1"/>
  <c r="HH34" i="76"/>
  <c r="GE24" i="7" s="1"/>
  <c r="HH37" i="76"/>
  <c r="GE27" i="7" s="1"/>
  <c r="HH54" i="76"/>
  <c r="GE44" i="7" s="1"/>
  <c r="HH49" i="76"/>
  <c r="GE39" i="7" s="1"/>
  <c r="HH51" i="76"/>
  <c r="GE41" i="7" s="1"/>
  <c r="HH66" i="76"/>
  <c r="GE56" i="7" s="1"/>
  <c r="HH36" i="76"/>
  <c r="GE26" i="7" s="1"/>
  <c r="HH71" i="76"/>
  <c r="GE61" i="7" s="1"/>
  <c r="HH53" i="76"/>
  <c r="GE43" i="7" s="1"/>
  <c r="HH57" i="76"/>
  <c r="GE47" i="7" s="1"/>
  <c r="HH61" i="76"/>
  <c r="GE51" i="7" s="1"/>
  <c r="HH33" i="76"/>
  <c r="GE23" i="7" s="1"/>
  <c r="HH74" i="76"/>
  <c r="GE64" i="7" s="1"/>
  <c r="HH56" i="76"/>
  <c r="GE46" i="7" s="1"/>
  <c r="HH31" i="76"/>
  <c r="GE21" i="7" s="1"/>
  <c r="HH40" i="76"/>
  <c r="GE30" i="7" s="1"/>
  <c r="HH63" i="76"/>
  <c r="GE53" i="7" s="1"/>
  <c r="HH47" i="76"/>
  <c r="GE37" i="7" s="1"/>
  <c r="CO18" i="38"/>
  <c r="CN18" i="38"/>
  <c r="H14" i="38"/>
  <c r="AG36" i="4" l="1"/>
  <c r="AI35" i="4"/>
  <c r="AH36" i="4"/>
  <c r="AJ35" i="4"/>
  <c r="GG103" i="7"/>
  <c r="GO103" i="7"/>
  <c r="GI104" i="7"/>
  <c r="GI105" i="7" s="1"/>
  <c r="GI106" i="7" s="1"/>
  <c r="AN107" i="7"/>
  <c r="GF150" i="7"/>
  <c r="GF20" i="7"/>
  <c r="GM150" i="7"/>
  <c r="GM20" i="7"/>
  <c r="GA104" i="7"/>
  <c r="GE150" i="7"/>
  <c r="GE20" i="7"/>
  <c r="GN150" i="7"/>
  <c r="GN20" i="7"/>
  <c r="M8" i="10"/>
  <c r="L8" i="10"/>
  <c r="H11" i="55"/>
  <c r="I11" i="55"/>
  <c r="M11" i="55"/>
  <c r="H12" i="55"/>
  <c r="M12" i="55"/>
  <c r="H13" i="55"/>
  <c r="I13" i="55"/>
  <c r="M13" i="55"/>
  <c r="H14" i="55"/>
  <c r="I14" i="55"/>
  <c r="M14" i="55"/>
  <c r="H15" i="55"/>
  <c r="I15" i="55"/>
  <c r="M15" i="55"/>
  <c r="H16" i="55"/>
  <c r="I16" i="55"/>
  <c r="H17" i="55"/>
  <c r="I18" i="55"/>
  <c r="I19" i="55"/>
  <c r="I20" i="55"/>
  <c r="I21" i="55"/>
  <c r="M36" i="55"/>
  <c r="K8" i="10"/>
  <c r="AH37" i="4" l="1"/>
  <c r="AJ36" i="4"/>
  <c r="AG37" i="4"/>
  <c r="AI36" i="4"/>
  <c r="GG104" i="7"/>
  <c r="GO104" i="7"/>
  <c r="GO105" i="7" s="1"/>
  <c r="GO106" i="7" s="1"/>
  <c r="AN108" i="7"/>
  <c r="GA105" i="7"/>
  <c r="GI107" i="7"/>
  <c r="GI110" i="76"/>
  <c r="FU110" i="76"/>
  <c r="FG110" i="76"/>
  <c r="ES110" i="76"/>
  <c r="EE110" i="76"/>
  <c r="DR110" i="76"/>
  <c r="DQ110" i="76"/>
  <c r="DP110" i="76"/>
  <c r="DV110" i="76" s="1"/>
  <c r="DD110" i="76"/>
  <c r="DC110" i="76"/>
  <c r="DB110" i="76"/>
  <c r="DH110" i="76" s="1"/>
  <c r="CP110" i="76"/>
  <c r="CO110" i="76"/>
  <c r="CN110" i="76"/>
  <c r="CB110" i="76"/>
  <c r="CA110" i="76"/>
  <c r="BZ110" i="76"/>
  <c r="CF110" i="76" s="1"/>
  <c r="BN110" i="76"/>
  <c r="BM110" i="76"/>
  <c r="BL110" i="76"/>
  <c r="AZ110" i="76"/>
  <c r="AY110" i="76"/>
  <c r="AX110" i="76"/>
  <c r="AL110" i="76"/>
  <c r="AK110" i="76"/>
  <c r="AJ110" i="76"/>
  <c r="X110" i="76"/>
  <c r="W110" i="76"/>
  <c r="V110" i="76"/>
  <c r="J110" i="76"/>
  <c r="I110" i="76"/>
  <c r="FT100" i="7" s="1"/>
  <c r="H110" i="76"/>
  <c r="FS100" i="7" s="1"/>
  <c r="GI109" i="76"/>
  <c r="FU109" i="76"/>
  <c r="FG109" i="76"/>
  <c r="ES109" i="76"/>
  <c r="EE109" i="76"/>
  <c r="DR109" i="76"/>
  <c r="DQ109" i="76"/>
  <c r="DP109" i="76"/>
  <c r="DD109" i="76"/>
  <c r="DC109" i="76"/>
  <c r="DB109" i="76"/>
  <c r="CP109" i="76"/>
  <c r="CO109" i="76"/>
  <c r="CN109" i="76"/>
  <c r="CT109" i="76" s="1"/>
  <c r="CB109" i="76"/>
  <c r="CA109" i="76"/>
  <c r="BZ109" i="76"/>
  <c r="CF109" i="76" s="1"/>
  <c r="BN109" i="76"/>
  <c r="BM109" i="76"/>
  <c r="BL109" i="76"/>
  <c r="BR109" i="76" s="1"/>
  <c r="AZ109" i="76"/>
  <c r="AY109" i="76"/>
  <c r="AX109" i="76"/>
  <c r="AL109" i="76"/>
  <c r="AK109" i="76"/>
  <c r="AJ109" i="76"/>
  <c r="AP109" i="76" s="1"/>
  <c r="X109" i="76"/>
  <c r="W109" i="76"/>
  <c r="V109" i="76"/>
  <c r="AB109" i="76" s="1"/>
  <c r="J109" i="76"/>
  <c r="I109" i="76"/>
  <c r="FT99" i="7" s="1"/>
  <c r="H109" i="76"/>
  <c r="GI108" i="76"/>
  <c r="FU108" i="76"/>
  <c r="FG108" i="76"/>
  <c r="ES108" i="76"/>
  <c r="EE108" i="76"/>
  <c r="DR108" i="76"/>
  <c r="DQ108" i="76"/>
  <c r="DP108" i="76"/>
  <c r="DV108" i="76" s="1"/>
  <c r="DD108" i="76"/>
  <c r="DC108" i="76"/>
  <c r="DB108" i="76"/>
  <c r="DH108" i="76" s="1"/>
  <c r="CP108" i="76"/>
  <c r="CO108" i="76"/>
  <c r="CN108" i="76"/>
  <c r="CT108" i="76" s="1"/>
  <c r="CB108" i="76"/>
  <c r="CA108" i="76"/>
  <c r="BZ108" i="76"/>
  <c r="BN108" i="76"/>
  <c r="BM108" i="76"/>
  <c r="BL108" i="76"/>
  <c r="BR108" i="76" s="1"/>
  <c r="AZ108" i="76"/>
  <c r="AY108" i="76"/>
  <c r="AX108" i="76"/>
  <c r="AL108" i="76"/>
  <c r="AK108" i="76"/>
  <c r="AJ108" i="76"/>
  <c r="AP108" i="76" s="1"/>
  <c r="X108" i="76"/>
  <c r="W108" i="76"/>
  <c r="V108" i="76"/>
  <c r="J108" i="76"/>
  <c r="K108" i="76" s="1"/>
  <c r="I108" i="76"/>
  <c r="FT98" i="7" s="1"/>
  <c r="H108" i="76"/>
  <c r="FS98" i="7" s="1"/>
  <c r="GI107" i="76"/>
  <c r="FU107" i="76"/>
  <c r="FG107" i="76"/>
  <c r="ES107" i="76"/>
  <c r="EE107" i="76"/>
  <c r="DR107" i="76"/>
  <c r="DQ107" i="76"/>
  <c r="DP107" i="76"/>
  <c r="DD107" i="76"/>
  <c r="DC107" i="76"/>
  <c r="DB107" i="76"/>
  <c r="CP107" i="76"/>
  <c r="CO107" i="76"/>
  <c r="CN107" i="76"/>
  <c r="CB107" i="76"/>
  <c r="CA107" i="76"/>
  <c r="BZ107" i="76"/>
  <c r="BN107" i="76"/>
  <c r="BM107" i="76"/>
  <c r="BL107" i="76"/>
  <c r="AZ107" i="76"/>
  <c r="AY107" i="76"/>
  <c r="AX107" i="76"/>
  <c r="AL107" i="76"/>
  <c r="AK107" i="76"/>
  <c r="AJ107" i="76"/>
  <c r="X107" i="76"/>
  <c r="W107" i="76"/>
  <c r="V107" i="76"/>
  <c r="J107" i="76"/>
  <c r="K107" i="76" s="1"/>
  <c r="I107" i="76"/>
  <c r="FT97" i="7" s="1"/>
  <c r="H107" i="76"/>
  <c r="FS97" i="7" s="1"/>
  <c r="GI106" i="76"/>
  <c r="FU106" i="76"/>
  <c r="FG106" i="76"/>
  <c r="ES106" i="76"/>
  <c r="EE106" i="76"/>
  <c r="DR106" i="76"/>
  <c r="DQ106" i="76"/>
  <c r="DP106" i="76"/>
  <c r="DV106" i="76" s="1"/>
  <c r="DD106" i="76"/>
  <c r="DC106" i="76"/>
  <c r="DB106" i="76"/>
  <c r="DH106" i="76" s="1"/>
  <c r="CP106" i="76"/>
  <c r="CO106" i="76"/>
  <c r="CN106" i="76"/>
  <c r="CB106" i="76"/>
  <c r="CA106" i="76"/>
  <c r="BZ106" i="76"/>
  <c r="BN106" i="76"/>
  <c r="BM106" i="76"/>
  <c r="BL106" i="76"/>
  <c r="BR106" i="76" s="1"/>
  <c r="AZ106" i="76"/>
  <c r="AY106" i="76"/>
  <c r="AX106" i="76"/>
  <c r="BD106" i="76" s="1"/>
  <c r="AL106" i="76"/>
  <c r="AK106" i="76"/>
  <c r="AJ106" i="76"/>
  <c r="X106" i="76"/>
  <c r="W106" i="76"/>
  <c r="V106" i="76"/>
  <c r="AB106" i="76" s="1"/>
  <c r="J106" i="76"/>
  <c r="K106" i="76" s="1"/>
  <c r="I106" i="76"/>
  <c r="FT96" i="7" s="1"/>
  <c r="H106" i="76"/>
  <c r="FS96" i="7" s="1"/>
  <c r="GI105" i="76"/>
  <c r="FU105" i="76"/>
  <c r="FG105" i="76"/>
  <c r="ES105" i="76"/>
  <c r="EE105" i="76"/>
  <c r="DR105" i="76"/>
  <c r="DQ105" i="76"/>
  <c r="DP105" i="76"/>
  <c r="DD105" i="76"/>
  <c r="DC105" i="76"/>
  <c r="DB105" i="76"/>
  <c r="CP105" i="76"/>
  <c r="CO105" i="76"/>
  <c r="CN105" i="76"/>
  <c r="CT105" i="76" s="1"/>
  <c r="CB105" i="76"/>
  <c r="CA105" i="76"/>
  <c r="BZ105" i="76"/>
  <c r="BN105" i="76"/>
  <c r="BM105" i="76"/>
  <c r="BL105" i="76"/>
  <c r="AZ105" i="76"/>
  <c r="AY105" i="76"/>
  <c r="AX105" i="76"/>
  <c r="AL105" i="76"/>
  <c r="AK105" i="76"/>
  <c r="AJ105" i="76"/>
  <c r="AP105" i="76" s="1"/>
  <c r="X105" i="76"/>
  <c r="W105" i="76"/>
  <c r="V105" i="76"/>
  <c r="J105" i="76"/>
  <c r="I105" i="76"/>
  <c r="FT95" i="7" s="1"/>
  <c r="H105" i="76"/>
  <c r="GI104" i="76"/>
  <c r="FU104" i="76"/>
  <c r="FG104" i="76"/>
  <c r="ES104" i="76"/>
  <c r="EE104" i="76"/>
  <c r="DR104" i="76"/>
  <c r="DQ104" i="76"/>
  <c r="DP104" i="76"/>
  <c r="DV104" i="76" s="1"/>
  <c r="DD104" i="76"/>
  <c r="DC104" i="76"/>
  <c r="DB104" i="76"/>
  <c r="DH104" i="76" s="1"/>
  <c r="CP104" i="76"/>
  <c r="CO104" i="76"/>
  <c r="CN104" i="76"/>
  <c r="CB104" i="76"/>
  <c r="CA104" i="76"/>
  <c r="BZ104" i="76"/>
  <c r="CF104" i="76" s="1"/>
  <c r="BN104" i="76"/>
  <c r="BM104" i="76"/>
  <c r="BL104" i="76"/>
  <c r="BR104" i="76" s="1"/>
  <c r="AZ104" i="76"/>
  <c r="AY104" i="76"/>
  <c r="AX104" i="76"/>
  <c r="AL104" i="76"/>
  <c r="AK104" i="76"/>
  <c r="AJ104" i="76"/>
  <c r="X104" i="76"/>
  <c r="W104" i="76"/>
  <c r="V104" i="76"/>
  <c r="AB104" i="76" s="1"/>
  <c r="J104" i="76"/>
  <c r="K104" i="76" s="1"/>
  <c r="I104" i="76"/>
  <c r="FT94" i="7" s="1"/>
  <c r="H104" i="76"/>
  <c r="FS94" i="7" s="1"/>
  <c r="GI103" i="76"/>
  <c r="FU103" i="76"/>
  <c r="FG103" i="76"/>
  <c r="ES103" i="76"/>
  <c r="EE103" i="76"/>
  <c r="DR103" i="76"/>
  <c r="DQ103" i="76"/>
  <c r="DP103" i="76"/>
  <c r="DV103" i="76" s="1"/>
  <c r="DD103" i="76"/>
  <c r="DC103" i="76"/>
  <c r="DB103" i="76"/>
  <c r="DH103" i="76" s="1"/>
  <c r="CP103" i="76"/>
  <c r="CO103" i="76"/>
  <c r="CN103" i="76"/>
  <c r="CB103" i="76"/>
  <c r="CA103" i="76"/>
  <c r="BZ103" i="76"/>
  <c r="CF103" i="76" s="1"/>
  <c r="BN103" i="76"/>
  <c r="BM103" i="76"/>
  <c r="BL103" i="76"/>
  <c r="BR103" i="76" s="1"/>
  <c r="AZ103" i="76"/>
  <c r="AY103" i="76"/>
  <c r="AX103" i="76"/>
  <c r="BD103" i="76" s="1"/>
  <c r="AL103" i="76"/>
  <c r="AK103" i="76"/>
  <c r="AJ103" i="76"/>
  <c r="X103" i="76"/>
  <c r="W103" i="76"/>
  <c r="V103" i="76"/>
  <c r="AB103" i="76" s="1"/>
  <c r="J103" i="76"/>
  <c r="K103" i="76" s="1"/>
  <c r="I103" i="76"/>
  <c r="FT93" i="7" s="1"/>
  <c r="H103" i="76"/>
  <c r="FS93" i="7" s="1"/>
  <c r="GI102" i="76"/>
  <c r="FU102" i="76"/>
  <c r="FG102" i="76"/>
  <c r="ES102" i="76"/>
  <c r="EE102" i="76"/>
  <c r="DR102" i="76"/>
  <c r="DQ102" i="76"/>
  <c r="DP102" i="76"/>
  <c r="DV102" i="76" s="1"/>
  <c r="DD102" i="76"/>
  <c r="DC102" i="76"/>
  <c r="DB102" i="76"/>
  <c r="DH102" i="76" s="1"/>
  <c r="CP102" i="76"/>
  <c r="CO102" i="76"/>
  <c r="CN102" i="76"/>
  <c r="CT102" i="76" s="1"/>
  <c r="CB102" i="76"/>
  <c r="CA102" i="76"/>
  <c r="BZ102" i="76"/>
  <c r="CF102" i="76" s="1"/>
  <c r="BN102" i="76"/>
  <c r="BM102" i="76"/>
  <c r="BL102" i="76"/>
  <c r="BR102" i="76" s="1"/>
  <c r="AZ102" i="76"/>
  <c r="AY102" i="76"/>
  <c r="AX102" i="76"/>
  <c r="BD102" i="76" s="1"/>
  <c r="AL102" i="76"/>
  <c r="AK102" i="76"/>
  <c r="AJ102" i="76"/>
  <c r="X102" i="76"/>
  <c r="W102" i="76"/>
  <c r="V102" i="76"/>
  <c r="J102" i="76"/>
  <c r="K102" i="76" s="1"/>
  <c r="I102" i="76"/>
  <c r="FT92" i="7" s="1"/>
  <c r="H102" i="76"/>
  <c r="GI101" i="76"/>
  <c r="FU101" i="76"/>
  <c r="FG101" i="76"/>
  <c r="ES101" i="76"/>
  <c r="EE101" i="76"/>
  <c r="DR101" i="76"/>
  <c r="DQ101" i="76"/>
  <c r="DP101" i="76"/>
  <c r="DV101" i="76" s="1"/>
  <c r="DD101" i="76"/>
  <c r="DC101" i="76"/>
  <c r="DB101" i="76"/>
  <c r="DH101" i="76" s="1"/>
  <c r="CP101" i="76"/>
  <c r="CO101" i="76"/>
  <c r="CN101" i="76"/>
  <c r="CB101" i="76"/>
  <c r="CA101" i="76"/>
  <c r="BZ101" i="76"/>
  <c r="CF101" i="76" s="1"/>
  <c r="BN101" i="76"/>
  <c r="BM101" i="76"/>
  <c r="BL101" i="76"/>
  <c r="AZ101" i="76"/>
  <c r="AY101" i="76"/>
  <c r="AX101" i="76"/>
  <c r="BD101" i="76" s="1"/>
  <c r="AL101" i="76"/>
  <c r="AK101" i="76"/>
  <c r="AJ101" i="76"/>
  <c r="X101" i="76"/>
  <c r="W101" i="76"/>
  <c r="V101" i="76"/>
  <c r="J101" i="76"/>
  <c r="K101" i="76" s="1"/>
  <c r="I101" i="76"/>
  <c r="FT91" i="7" s="1"/>
  <c r="H101" i="76"/>
  <c r="FS91" i="7" s="1"/>
  <c r="GI100" i="76"/>
  <c r="FU100" i="76"/>
  <c r="FG100" i="76"/>
  <c r="ES100" i="76"/>
  <c r="EE100" i="76"/>
  <c r="DR100" i="76"/>
  <c r="DQ100" i="76"/>
  <c r="DP100" i="76"/>
  <c r="DD100" i="76"/>
  <c r="DC100" i="76"/>
  <c r="DB100" i="76"/>
  <c r="CP100" i="76"/>
  <c r="CO100" i="76"/>
  <c r="CN100" i="76"/>
  <c r="CT100" i="76" s="1"/>
  <c r="CB100" i="76"/>
  <c r="CA100" i="76"/>
  <c r="BZ100" i="76"/>
  <c r="BN100" i="76"/>
  <c r="BM100" i="76"/>
  <c r="BL100" i="76"/>
  <c r="AZ100" i="76"/>
  <c r="AY100" i="76"/>
  <c r="AX100" i="76"/>
  <c r="AL100" i="76"/>
  <c r="AK100" i="76"/>
  <c r="AJ100" i="76"/>
  <c r="AP100" i="76" s="1"/>
  <c r="X100" i="76"/>
  <c r="W100" i="76"/>
  <c r="V100" i="76"/>
  <c r="J100" i="76"/>
  <c r="K100" i="76" s="1"/>
  <c r="I100" i="76"/>
  <c r="FT90" i="7" s="1"/>
  <c r="H100" i="76"/>
  <c r="GI99" i="76"/>
  <c r="FU99" i="76"/>
  <c r="FG99" i="76"/>
  <c r="ES99" i="76"/>
  <c r="EE99" i="76"/>
  <c r="DR99" i="76"/>
  <c r="DQ99" i="76"/>
  <c r="DP99" i="76"/>
  <c r="DV99" i="76" s="1"/>
  <c r="DD99" i="76"/>
  <c r="DC99" i="76"/>
  <c r="DB99" i="76"/>
  <c r="CP99" i="76"/>
  <c r="CO99" i="76"/>
  <c r="CN99" i="76"/>
  <c r="CT99" i="76" s="1"/>
  <c r="CB99" i="76"/>
  <c r="CA99" i="76"/>
  <c r="BZ99" i="76"/>
  <c r="CF99" i="76" s="1"/>
  <c r="BN99" i="76"/>
  <c r="BM99" i="76"/>
  <c r="BL99" i="76"/>
  <c r="BR99" i="76" s="1"/>
  <c r="AZ99" i="76"/>
  <c r="AY99" i="76"/>
  <c r="AX99" i="76"/>
  <c r="AL99" i="76"/>
  <c r="AK99" i="76"/>
  <c r="AJ99" i="76"/>
  <c r="AP99" i="76" s="1"/>
  <c r="X99" i="76"/>
  <c r="W99" i="76"/>
  <c r="V99" i="76"/>
  <c r="AB99" i="76" s="1"/>
  <c r="J99" i="76"/>
  <c r="K99" i="76" s="1"/>
  <c r="I99" i="76"/>
  <c r="FT89" i="7" s="1"/>
  <c r="H99" i="76"/>
  <c r="FS89" i="7" s="1"/>
  <c r="GI98" i="76"/>
  <c r="FU98" i="76"/>
  <c r="FG98" i="76"/>
  <c r="ES98" i="76"/>
  <c r="EE98" i="76"/>
  <c r="DR98" i="76"/>
  <c r="DQ98" i="76"/>
  <c r="DP98" i="76"/>
  <c r="DV98" i="76" s="1"/>
  <c r="DD98" i="76"/>
  <c r="DC98" i="76"/>
  <c r="DB98" i="76"/>
  <c r="CP98" i="76"/>
  <c r="CO98" i="76"/>
  <c r="CN98" i="76"/>
  <c r="CB98" i="76"/>
  <c r="CA98" i="76"/>
  <c r="BZ98" i="76"/>
  <c r="CF98" i="76" s="1"/>
  <c r="BN98" i="76"/>
  <c r="BM98" i="76"/>
  <c r="BL98" i="76"/>
  <c r="BR98" i="76" s="1"/>
  <c r="AZ98" i="76"/>
  <c r="AY98" i="76"/>
  <c r="AX98" i="76"/>
  <c r="BD98" i="76" s="1"/>
  <c r="AL98" i="76"/>
  <c r="AK98" i="76"/>
  <c r="AJ98" i="76"/>
  <c r="AP98" i="76" s="1"/>
  <c r="X98" i="76"/>
  <c r="W98" i="76"/>
  <c r="V98" i="76"/>
  <c r="AB98" i="76" s="1"/>
  <c r="J98" i="76"/>
  <c r="K98" i="76" s="1"/>
  <c r="I98" i="76"/>
  <c r="FT88" i="7" s="1"/>
  <c r="H98" i="76"/>
  <c r="GI97" i="76"/>
  <c r="FU97" i="76"/>
  <c r="FG97" i="76"/>
  <c r="ES97" i="76"/>
  <c r="EE97" i="76"/>
  <c r="DR97" i="76"/>
  <c r="DQ97" i="76"/>
  <c r="DP97" i="76"/>
  <c r="DD97" i="76"/>
  <c r="DC97" i="76"/>
  <c r="DB97" i="76"/>
  <c r="DH97" i="76" s="1"/>
  <c r="CP97" i="76"/>
  <c r="CO97" i="76"/>
  <c r="CN97" i="76"/>
  <c r="CT97" i="76" s="1"/>
  <c r="CB97" i="76"/>
  <c r="CA97" i="76"/>
  <c r="BZ97" i="76"/>
  <c r="CF97" i="76" s="1"/>
  <c r="BN97" i="76"/>
  <c r="BM97" i="76"/>
  <c r="BL97" i="76"/>
  <c r="AZ97" i="76"/>
  <c r="AY97" i="76"/>
  <c r="AX97" i="76"/>
  <c r="AL97" i="76"/>
  <c r="AK97" i="76"/>
  <c r="AJ97" i="76"/>
  <c r="X97" i="76"/>
  <c r="W97" i="76"/>
  <c r="V97" i="76"/>
  <c r="AB97" i="76" s="1"/>
  <c r="J97" i="76"/>
  <c r="I97" i="76"/>
  <c r="FT87" i="7" s="1"/>
  <c r="H97" i="76"/>
  <c r="GI96" i="76"/>
  <c r="FU96" i="76"/>
  <c r="FG96" i="76"/>
  <c r="ES96" i="76"/>
  <c r="EE96" i="76"/>
  <c r="DR96" i="76"/>
  <c r="DQ96" i="76"/>
  <c r="DP96" i="76"/>
  <c r="DD96" i="76"/>
  <c r="DC96" i="76"/>
  <c r="DB96" i="76"/>
  <c r="DH96" i="76" s="1"/>
  <c r="CP96" i="76"/>
  <c r="CO96" i="76"/>
  <c r="CN96" i="76"/>
  <c r="CT96" i="76" s="1"/>
  <c r="CB96" i="76"/>
  <c r="CA96" i="76"/>
  <c r="BZ96" i="76"/>
  <c r="CF96" i="76" s="1"/>
  <c r="BN96" i="76"/>
  <c r="BM96" i="76"/>
  <c r="BL96" i="76"/>
  <c r="AZ96" i="76"/>
  <c r="AY96" i="76"/>
  <c r="AX96" i="76"/>
  <c r="AL96" i="76"/>
  <c r="AK96" i="76"/>
  <c r="AJ96" i="76"/>
  <c r="AP96" i="76" s="1"/>
  <c r="X96" i="76"/>
  <c r="W96" i="76"/>
  <c r="V96" i="76"/>
  <c r="AB96" i="76" s="1"/>
  <c r="J96" i="76"/>
  <c r="K96" i="76" s="1"/>
  <c r="I96" i="76"/>
  <c r="FT86" i="7" s="1"/>
  <c r="H96" i="76"/>
  <c r="FS86" i="7" s="1"/>
  <c r="GI95" i="76"/>
  <c r="FU95" i="76"/>
  <c r="FG95" i="76"/>
  <c r="ES95" i="76"/>
  <c r="EE95" i="76"/>
  <c r="DR95" i="76"/>
  <c r="DQ95" i="76"/>
  <c r="DP95" i="76"/>
  <c r="DV95" i="76" s="1"/>
  <c r="DD95" i="76"/>
  <c r="DC95" i="76"/>
  <c r="DB95" i="76"/>
  <c r="CP95" i="76"/>
  <c r="CO95" i="76"/>
  <c r="CN95" i="76"/>
  <c r="CT95" i="76" s="1"/>
  <c r="CB95" i="76"/>
  <c r="CA95" i="76"/>
  <c r="BZ95" i="76"/>
  <c r="BN95" i="76"/>
  <c r="BM95" i="76"/>
  <c r="BL95" i="76"/>
  <c r="BR95" i="76" s="1"/>
  <c r="AZ95" i="76"/>
  <c r="AY95" i="76"/>
  <c r="AX95" i="76"/>
  <c r="AL95" i="76"/>
  <c r="AK95" i="76"/>
  <c r="AJ95" i="76"/>
  <c r="X95" i="76"/>
  <c r="W95" i="76"/>
  <c r="V95" i="76"/>
  <c r="J95" i="76"/>
  <c r="K95" i="76" s="1"/>
  <c r="I95" i="76"/>
  <c r="FT85" i="7" s="1"/>
  <c r="H95" i="76"/>
  <c r="GI94" i="76"/>
  <c r="FU94" i="76"/>
  <c r="FG94" i="76"/>
  <c r="ES94" i="76"/>
  <c r="EE94" i="76"/>
  <c r="DR94" i="76"/>
  <c r="DQ94" i="76"/>
  <c r="DP94" i="76"/>
  <c r="DV94" i="76" s="1"/>
  <c r="DD94" i="76"/>
  <c r="DC94" i="76"/>
  <c r="DB94" i="76"/>
  <c r="CP94" i="76"/>
  <c r="CO94" i="76"/>
  <c r="CN94" i="76"/>
  <c r="CT94" i="76" s="1"/>
  <c r="CB94" i="76"/>
  <c r="CA94" i="76"/>
  <c r="BZ94" i="76"/>
  <c r="BN94" i="76"/>
  <c r="BM94" i="76"/>
  <c r="BL94" i="76"/>
  <c r="BR94" i="76" s="1"/>
  <c r="AZ94" i="76"/>
  <c r="AY94" i="76"/>
  <c r="AX94" i="76"/>
  <c r="AL94" i="76"/>
  <c r="AK94" i="76"/>
  <c r="AJ94" i="76"/>
  <c r="AP94" i="76" s="1"/>
  <c r="X94" i="76"/>
  <c r="W94" i="76"/>
  <c r="V94" i="76"/>
  <c r="AB94" i="76" s="1"/>
  <c r="J94" i="76"/>
  <c r="I94" i="76"/>
  <c r="FT84" i="7" s="1"/>
  <c r="H94" i="76"/>
  <c r="GI93" i="76"/>
  <c r="FU93" i="76"/>
  <c r="FG93" i="76"/>
  <c r="ES93" i="76"/>
  <c r="EE93" i="76"/>
  <c r="DR93" i="76"/>
  <c r="DQ93" i="76"/>
  <c r="DP93" i="76"/>
  <c r="DV93" i="76" s="1"/>
  <c r="DD93" i="76"/>
  <c r="DC93" i="76"/>
  <c r="DB93" i="76"/>
  <c r="DH93" i="76" s="1"/>
  <c r="CP93" i="76"/>
  <c r="CO93" i="76"/>
  <c r="CN93" i="76"/>
  <c r="CB93" i="76"/>
  <c r="CA93" i="76"/>
  <c r="BZ93" i="76"/>
  <c r="CF93" i="76" s="1"/>
  <c r="BN93" i="76"/>
  <c r="BM93" i="76"/>
  <c r="BL93" i="76"/>
  <c r="AZ93" i="76"/>
  <c r="AY93" i="76"/>
  <c r="AX93" i="76"/>
  <c r="BD93" i="76" s="1"/>
  <c r="AL93" i="76"/>
  <c r="AK93" i="76"/>
  <c r="AJ93" i="76"/>
  <c r="X93" i="76"/>
  <c r="W93" i="76"/>
  <c r="V93" i="76"/>
  <c r="J93" i="76"/>
  <c r="I93" i="76"/>
  <c r="FT83" i="7" s="1"/>
  <c r="H93" i="76"/>
  <c r="GI92" i="76"/>
  <c r="FU92" i="76"/>
  <c r="FG92" i="76"/>
  <c r="ES92" i="76"/>
  <c r="EE92" i="76"/>
  <c r="DR92" i="76"/>
  <c r="DQ92" i="76"/>
  <c r="DP92" i="76"/>
  <c r="DV92" i="76" s="1"/>
  <c r="DD92" i="76"/>
  <c r="DC92" i="76"/>
  <c r="DB92" i="76"/>
  <c r="CP92" i="76"/>
  <c r="CO92" i="76"/>
  <c r="CN92" i="76"/>
  <c r="CB92" i="76"/>
  <c r="CA92" i="76"/>
  <c r="BZ92" i="76"/>
  <c r="BN92" i="76"/>
  <c r="BM92" i="76"/>
  <c r="BL92" i="76"/>
  <c r="BR92" i="76" s="1"/>
  <c r="AZ92" i="76"/>
  <c r="AY92" i="76"/>
  <c r="AX92" i="76"/>
  <c r="AL92" i="76"/>
  <c r="AK92" i="76"/>
  <c r="AJ92" i="76"/>
  <c r="AP92" i="76" s="1"/>
  <c r="X92" i="76"/>
  <c r="W92" i="76"/>
  <c r="V92" i="76"/>
  <c r="J92" i="76"/>
  <c r="K92" i="76" s="1"/>
  <c r="I92" i="76"/>
  <c r="H92" i="76"/>
  <c r="FS82" i="7" s="1"/>
  <c r="GI91" i="76"/>
  <c r="FU91" i="76"/>
  <c r="FG91" i="76"/>
  <c r="ES91" i="76"/>
  <c r="EE91" i="76"/>
  <c r="DR91" i="76"/>
  <c r="DQ91" i="76"/>
  <c r="DP91" i="76"/>
  <c r="DD91" i="76"/>
  <c r="DC91" i="76"/>
  <c r="DB91" i="76"/>
  <c r="CP91" i="76"/>
  <c r="CO91" i="76"/>
  <c r="CN91" i="76"/>
  <c r="CB91" i="76"/>
  <c r="CA91" i="76"/>
  <c r="BZ91" i="76"/>
  <c r="BN91" i="76"/>
  <c r="BM91" i="76"/>
  <c r="BL91" i="76"/>
  <c r="AZ91" i="76"/>
  <c r="AY91" i="76"/>
  <c r="AX91" i="76"/>
  <c r="AL91" i="76"/>
  <c r="AK91" i="76"/>
  <c r="AJ91" i="76"/>
  <c r="X91" i="76"/>
  <c r="W91" i="76"/>
  <c r="V91" i="76"/>
  <c r="J91" i="76"/>
  <c r="I91" i="76"/>
  <c r="FT81" i="7" s="1"/>
  <c r="H91" i="76"/>
  <c r="GI90" i="76"/>
  <c r="FU90" i="76"/>
  <c r="FG90" i="76"/>
  <c r="ES90" i="76"/>
  <c r="EE90" i="76"/>
  <c r="DR90" i="76"/>
  <c r="DQ90" i="76"/>
  <c r="DP90" i="76"/>
  <c r="DV90" i="76" s="1"/>
  <c r="DD90" i="76"/>
  <c r="DC90" i="76"/>
  <c r="DB90" i="76"/>
  <c r="DH90" i="76" s="1"/>
  <c r="CP90" i="76"/>
  <c r="CO90" i="76"/>
  <c r="CN90" i="76"/>
  <c r="CB90" i="76"/>
  <c r="CA90" i="76"/>
  <c r="BZ90" i="76"/>
  <c r="CF90" i="76" s="1"/>
  <c r="BN90" i="76"/>
  <c r="BM90" i="76"/>
  <c r="BL90" i="76"/>
  <c r="BR90" i="76" s="1"/>
  <c r="AZ90" i="76"/>
  <c r="AY90" i="76"/>
  <c r="AX90" i="76"/>
  <c r="AL90" i="76"/>
  <c r="AK90" i="76"/>
  <c r="AJ90" i="76"/>
  <c r="AP90" i="76" s="1"/>
  <c r="X90" i="76"/>
  <c r="W90" i="76"/>
  <c r="V90" i="76"/>
  <c r="J90" i="76"/>
  <c r="K90" i="76" s="1"/>
  <c r="I90" i="76"/>
  <c r="FT80" i="7" s="1"/>
  <c r="H90" i="76"/>
  <c r="GI89" i="76"/>
  <c r="FU89" i="76"/>
  <c r="FG89" i="76"/>
  <c r="ES89" i="76"/>
  <c r="EE89" i="76"/>
  <c r="DR89" i="76"/>
  <c r="DQ89" i="76"/>
  <c r="DP89" i="76"/>
  <c r="DV89" i="76" s="1"/>
  <c r="DD89" i="76"/>
  <c r="DC89" i="76"/>
  <c r="DB89" i="76"/>
  <c r="CP89" i="76"/>
  <c r="CO89" i="76"/>
  <c r="CN89" i="76"/>
  <c r="CB89" i="76"/>
  <c r="CA89" i="76"/>
  <c r="BZ89" i="76"/>
  <c r="BN89" i="76"/>
  <c r="BM89" i="76"/>
  <c r="BL89" i="76"/>
  <c r="BR89" i="76" s="1"/>
  <c r="AZ89" i="76"/>
  <c r="AY89" i="76"/>
  <c r="AX89" i="76"/>
  <c r="BD89" i="76" s="1"/>
  <c r="AL89" i="76"/>
  <c r="AK89" i="76"/>
  <c r="AJ89" i="76"/>
  <c r="X89" i="76"/>
  <c r="W89" i="76"/>
  <c r="V89" i="76"/>
  <c r="J89" i="76"/>
  <c r="I89" i="76"/>
  <c r="FT79" i="7" s="1"/>
  <c r="H89" i="76"/>
  <c r="GI88" i="76"/>
  <c r="FU88" i="76"/>
  <c r="FG88" i="76"/>
  <c r="ES88" i="76"/>
  <c r="EE88" i="76"/>
  <c r="DR88" i="76"/>
  <c r="DQ88" i="76"/>
  <c r="DP88" i="76"/>
  <c r="DD88" i="76"/>
  <c r="DC88" i="76"/>
  <c r="DB88" i="76"/>
  <c r="DH88" i="76" s="1"/>
  <c r="CP88" i="76"/>
  <c r="CO88" i="76"/>
  <c r="CN88" i="76"/>
  <c r="CT88" i="76" s="1"/>
  <c r="CB88" i="76"/>
  <c r="CA88" i="76"/>
  <c r="BZ88" i="76"/>
  <c r="CF88" i="76" s="1"/>
  <c r="BN88" i="76"/>
  <c r="BM88" i="76"/>
  <c r="BL88" i="76"/>
  <c r="AZ88" i="76"/>
  <c r="AY88" i="76"/>
  <c r="AX88" i="76"/>
  <c r="AL88" i="76"/>
  <c r="AK88" i="76"/>
  <c r="AJ88" i="76"/>
  <c r="AP88" i="76" s="1"/>
  <c r="X88" i="76"/>
  <c r="W88" i="76"/>
  <c r="V88" i="76"/>
  <c r="AB88" i="76" s="1"/>
  <c r="J88" i="76"/>
  <c r="K88" i="76" s="1"/>
  <c r="I88" i="76"/>
  <c r="FT78" i="7" s="1"/>
  <c r="H88" i="76"/>
  <c r="FS78" i="7" s="1"/>
  <c r="GI87" i="76"/>
  <c r="FU87" i="76"/>
  <c r="FG87" i="76"/>
  <c r="ES87" i="76"/>
  <c r="EE87" i="76"/>
  <c r="DR87" i="76"/>
  <c r="DQ87" i="76"/>
  <c r="DP87" i="76"/>
  <c r="DV87" i="76" s="1"/>
  <c r="DD87" i="76"/>
  <c r="DC87" i="76"/>
  <c r="DB87" i="76"/>
  <c r="CP87" i="76"/>
  <c r="CO87" i="76"/>
  <c r="CN87" i="76"/>
  <c r="CT87" i="76" s="1"/>
  <c r="CB87" i="76"/>
  <c r="CA87" i="76"/>
  <c r="BZ87" i="76"/>
  <c r="BN87" i="76"/>
  <c r="BM87" i="76"/>
  <c r="BL87" i="76"/>
  <c r="BR87" i="76" s="1"/>
  <c r="AZ87" i="76"/>
  <c r="AY87" i="76"/>
  <c r="AX87" i="76"/>
  <c r="AL87" i="76"/>
  <c r="AK87" i="76"/>
  <c r="AJ87" i="76"/>
  <c r="AP87" i="76" s="1"/>
  <c r="X87" i="76"/>
  <c r="W87" i="76"/>
  <c r="V87" i="76"/>
  <c r="J87" i="76"/>
  <c r="K87" i="76" s="1"/>
  <c r="I87" i="76"/>
  <c r="FT77" i="7" s="1"/>
  <c r="H87" i="76"/>
  <c r="FS77" i="7" s="1"/>
  <c r="GI86" i="76"/>
  <c r="FU86" i="76"/>
  <c r="FG86" i="76"/>
  <c r="ES86" i="76"/>
  <c r="EE86" i="76"/>
  <c r="DR86" i="76"/>
  <c r="DQ86" i="76"/>
  <c r="DP86" i="76"/>
  <c r="DV86" i="76" s="1"/>
  <c r="DD86" i="76"/>
  <c r="DC86" i="76"/>
  <c r="DB86" i="76"/>
  <c r="DH86" i="76" s="1"/>
  <c r="CP86" i="76"/>
  <c r="CO86" i="76"/>
  <c r="CN86" i="76"/>
  <c r="CB86" i="76"/>
  <c r="CA86" i="76"/>
  <c r="BZ86" i="76"/>
  <c r="CF86" i="76" s="1"/>
  <c r="BN86" i="76"/>
  <c r="BM86" i="76"/>
  <c r="BL86" i="76"/>
  <c r="BR86" i="76" s="1"/>
  <c r="AZ86" i="76"/>
  <c r="AY86" i="76"/>
  <c r="AX86" i="76"/>
  <c r="AL86" i="76"/>
  <c r="AK86" i="76"/>
  <c r="AJ86" i="76"/>
  <c r="AP86" i="76" s="1"/>
  <c r="X86" i="76"/>
  <c r="W86" i="76"/>
  <c r="V86" i="76"/>
  <c r="AB86" i="76" s="1"/>
  <c r="J86" i="76"/>
  <c r="K86" i="76" s="1"/>
  <c r="I86" i="76"/>
  <c r="FT76" i="7" s="1"/>
  <c r="H86" i="76"/>
  <c r="GI85" i="76"/>
  <c r="FU85" i="76"/>
  <c r="FG85" i="76"/>
  <c r="ES85" i="76"/>
  <c r="EE85" i="76"/>
  <c r="DR85" i="76"/>
  <c r="DQ85" i="76"/>
  <c r="DP85" i="76"/>
  <c r="DV85" i="76" s="1"/>
  <c r="DD85" i="76"/>
  <c r="DC85" i="76"/>
  <c r="DB85" i="76"/>
  <c r="CP85" i="76"/>
  <c r="CO85" i="76"/>
  <c r="CN85" i="76"/>
  <c r="CB85" i="76"/>
  <c r="CA85" i="76"/>
  <c r="BZ85" i="76"/>
  <c r="CF85" i="76" s="1"/>
  <c r="BN85" i="76"/>
  <c r="BM85" i="76"/>
  <c r="BL85" i="76"/>
  <c r="BR85" i="76" s="1"/>
  <c r="AZ85" i="76"/>
  <c r="AY85" i="76"/>
  <c r="AX85" i="76"/>
  <c r="AL85" i="76"/>
  <c r="AK85" i="76"/>
  <c r="AJ85" i="76"/>
  <c r="X85" i="76"/>
  <c r="W85" i="76"/>
  <c r="V85" i="76"/>
  <c r="J85" i="76"/>
  <c r="I85" i="76"/>
  <c r="FT75" i="7" s="1"/>
  <c r="H85" i="76"/>
  <c r="GI84" i="76"/>
  <c r="FU84" i="76"/>
  <c r="FG84" i="76"/>
  <c r="ES84" i="76"/>
  <c r="EE84" i="76"/>
  <c r="DR84" i="76"/>
  <c r="DQ84" i="76"/>
  <c r="DP84" i="76"/>
  <c r="DD84" i="76"/>
  <c r="DC84" i="76"/>
  <c r="DB84" i="76"/>
  <c r="DH84" i="76" s="1"/>
  <c r="CP84" i="76"/>
  <c r="CO84" i="76"/>
  <c r="CN84" i="76"/>
  <c r="CT84" i="76" s="1"/>
  <c r="CB84" i="76"/>
  <c r="CA84" i="76"/>
  <c r="BZ84" i="76"/>
  <c r="BN84" i="76"/>
  <c r="BM84" i="76"/>
  <c r="BL84" i="76"/>
  <c r="AZ84" i="76"/>
  <c r="AY84" i="76"/>
  <c r="AX84" i="76"/>
  <c r="AL84" i="76"/>
  <c r="AK84" i="76"/>
  <c r="AJ84" i="76"/>
  <c r="AP84" i="76" s="1"/>
  <c r="X84" i="76"/>
  <c r="W84" i="76"/>
  <c r="V84" i="76"/>
  <c r="J84" i="76"/>
  <c r="K84" i="76" s="1"/>
  <c r="I84" i="76"/>
  <c r="FT74" i="7" s="1"/>
  <c r="H84" i="76"/>
  <c r="FS74" i="7" s="1"/>
  <c r="GI83" i="76"/>
  <c r="FU83" i="76"/>
  <c r="FG83" i="76"/>
  <c r="ES83" i="76"/>
  <c r="EE83" i="76"/>
  <c r="DR83" i="76"/>
  <c r="DQ83" i="76"/>
  <c r="DP83" i="76"/>
  <c r="DV83" i="76" s="1"/>
  <c r="DD83" i="76"/>
  <c r="DC83" i="76"/>
  <c r="DB83" i="76"/>
  <c r="CP83" i="76"/>
  <c r="CO83" i="76"/>
  <c r="CN83" i="76"/>
  <c r="CB83" i="76"/>
  <c r="CA83" i="76"/>
  <c r="BZ83" i="76"/>
  <c r="BN83" i="76"/>
  <c r="BM83" i="76"/>
  <c r="BL83" i="76"/>
  <c r="BR83" i="76" s="1"/>
  <c r="AZ83" i="76"/>
  <c r="AY83" i="76"/>
  <c r="AX83" i="76"/>
  <c r="AL83" i="76"/>
  <c r="AK83" i="76"/>
  <c r="AJ83" i="76"/>
  <c r="AP83" i="76" s="1"/>
  <c r="X83" i="76"/>
  <c r="W83" i="76"/>
  <c r="V83" i="76"/>
  <c r="J83" i="76"/>
  <c r="K83" i="76" s="1"/>
  <c r="I83" i="76"/>
  <c r="FT73" i="7" s="1"/>
  <c r="H83" i="76"/>
  <c r="GI82" i="76"/>
  <c r="FU82" i="76"/>
  <c r="FG82" i="76"/>
  <c r="ES82" i="76"/>
  <c r="EE82" i="76"/>
  <c r="DR82" i="76"/>
  <c r="DQ82" i="76"/>
  <c r="DP82" i="76"/>
  <c r="DV82" i="76" s="1"/>
  <c r="DD82" i="76"/>
  <c r="DC82" i="76"/>
  <c r="DB82" i="76"/>
  <c r="DH82" i="76" s="1"/>
  <c r="CP82" i="76"/>
  <c r="CO82" i="76"/>
  <c r="CN82" i="76"/>
  <c r="CB82" i="76"/>
  <c r="CA82" i="76"/>
  <c r="BZ82" i="76"/>
  <c r="CF82" i="76" s="1"/>
  <c r="BN82" i="76"/>
  <c r="BM82" i="76"/>
  <c r="BL82" i="76"/>
  <c r="BR82" i="76" s="1"/>
  <c r="AZ82" i="76"/>
  <c r="AY82" i="76"/>
  <c r="AX82" i="76"/>
  <c r="AL82" i="76"/>
  <c r="AK82" i="76"/>
  <c r="AJ82" i="76"/>
  <c r="X82" i="76"/>
  <c r="W82" i="76"/>
  <c r="V82" i="76"/>
  <c r="AB82" i="76" s="1"/>
  <c r="J82" i="76"/>
  <c r="I82" i="76"/>
  <c r="FT72" i="7" s="1"/>
  <c r="H82" i="76"/>
  <c r="FS72" i="7" s="1"/>
  <c r="GI81" i="76"/>
  <c r="FU81" i="76"/>
  <c r="FG81" i="76"/>
  <c r="ES81" i="76"/>
  <c r="EE81" i="76"/>
  <c r="DR81" i="76"/>
  <c r="DQ81" i="76"/>
  <c r="DP81" i="76"/>
  <c r="DV81" i="76" s="1"/>
  <c r="DD81" i="76"/>
  <c r="DC81" i="76"/>
  <c r="DB81" i="76"/>
  <c r="DH81" i="76" s="1"/>
  <c r="CP81" i="76"/>
  <c r="CO81" i="76"/>
  <c r="CN81" i="76"/>
  <c r="CT81" i="76" s="1"/>
  <c r="CB81" i="76"/>
  <c r="CA81" i="76"/>
  <c r="BZ81" i="76"/>
  <c r="CF81" i="76" s="1"/>
  <c r="BN81" i="76"/>
  <c r="BM81" i="76"/>
  <c r="BL81" i="76"/>
  <c r="BR81" i="76" s="1"/>
  <c r="AZ81" i="76"/>
  <c r="AY81" i="76"/>
  <c r="AX81" i="76"/>
  <c r="AL81" i="76"/>
  <c r="AK81" i="76"/>
  <c r="AJ81" i="76"/>
  <c r="X81" i="76"/>
  <c r="W81" i="76"/>
  <c r="V81" i="76"/>
  <c r="AB81" i="76" s="1"/>
  <c r="J81" i="76"/>
  <c r="K81" i="76" s="1"/>
  <c r="I81" i="76"/>
  <c r="FT71" i="7" s="1"/>
  <c r="H81" i="76"/>
  <c r="FS71" i="7" s="1"/>
  <c r="GI80" i="76"/>
  <c r="FU80" i="76"/>
  <c r="FG80" i="76"/>
  <c r="ES80" i="76"/>
  <c r="EE80" i="76"/>
  <c r="DR80" i="76"/>
  <c r="DQ80" i="76"/>
  <c r="DP80" i="76"/>
  <c r="DV80" i="76" s="1"/>
  <c r="DD80" i="76"/>
  <c r="DC80" i="76"/>
  <c r="DB80" i="76"/>
  <c r="DH80" i="76" s="1"/>
  <c r="CP80" i="76"/>
  <c r="CO80" i="76"/>
  <c r="CN80" i="76"/>
  <c r="CB80" i="76"/>
  <c r="CA80" i="76"/>
  <c r="BZ80" i="76"/>
  <c r="BN80" i="76"/>
  <c r="BM80" i="76"/>
  <c r="BL80" i="76"/>
  <c r="BR80" i="76" s="1"/>
  <c r="AZ80" i="76"/>
  <c r="AY80" i="76"/>
  <c r="AX80" i="76"/>
  <c r="AL80" i="76"/>
  <c r="AK80" i="76"/>
  <c r="AJ80" i="76"/>
  <c r="X80" i="76"/>
  <c r="W80" i="76"/>
  <c r="V80" i="76"/>
  <c r="J80" i="76"/>
  <c r="K80" i="76" s="1"/>
  <c r="I80" i="76"/>
  <c r="FT70" i="7" s="1"/>
  <c r="H80" i="76"/>
  <c r="FS70" i="7" s="1"/>
  <c r="GI79" i="76"/>
  <c r="FU79" i="76"/>
  <c r="FG79" i="76"/>
  <c r="ES79" i="76"/>
  <c r="EE79" i="76"/>
  <c r="DR79" i="76"/>
  <c r="DQ79" i="76"/>
  <c r="DP79" i="76"/>
  <c r="DD79" i="76"/>
  <c r="DC79" i="76"/>
  <c r="DB79" i="76"/>
  <c r="CP79" i="76"/>
  <c r="CO79" i="76"/>
  <c r="CN79" i="76"/>
  <c r="CB79" i="76"/>
  <c r="CA79" i="76"/>
  <c r="BZ79" i="76"/>
  <c r="BN79" i="76"/>
  <c r="BM79" i="76"/>
  <c r="BL79" i="76"/>
  <c r="AZ79" i="76"/>
  <c r="AY79" i="76"/>
  <c r="AX79" i="76"/>
  <c r="AL79" i="76"/>
  <c r="AK79" i="76"/>
  <c r="AJ79" i="76"/>
  <c r="AP79" i="76" s="1"/>
  <c r="X79" i="76"/>
  <c r="W79" i="76"/>
  <c r="V79" i="76"/>
  <c r="J79" i="76"/>
  <c r="I79" i="76"/>
  <c r="FT69" i="7" s="1"/>
  <c r="H79" i="76"/>
  <c r="FS69" i="7" s="1"/>
  <c r="GI78" i="76"/>
  <c r="FU78" i="76"/>
  <c r="FG78" i="76"/>
  <c r="ES78" i="76"/>
  <c r="EE78" i="76"/>
  <c r="DR78" i="76"/>
  <c r="DQ78" i="76"/>
  <c r="DP78" i="76"/>
  <c r="DV78" i="76" s="1"/>
  <c r="DD78" i="76"/>
  <c r="DC78" i="76"/>
  <c r="DB78" i="76"/>
  <c r="CP78" i="76"/>
  <c r="CO78" i="76"/>
  <c r="CN78" i="76"/>
  <c r="CT78" i="76" s="1"/>
  <c r="CB78" i="76"/>
  <c r="CA78" i="76"/>
  <c r="BZ78" i="76"/>
  <c r="BN78" i="76"/>
  <c r="BM78" i="76"/>
  <c r="BL78" i="76"/>
  <c r="BR78" i="76" s="1"/>
  <c r="AZ78" i="76"/>
  <c r="AY78" i="76"/>
  <c r="AX78" i="76"/>
  <c r="AL78" i="76"/>
  <c r="AK78" i="76"/>
  <c r="AJ78" i="76"/>
  <c r="AP78" i="76" s="1"/>
  <c r="X78" i="76"/>
  <c r="W78" i="76"/>
  <c r="V78" i="76"/>
  <c r="J78" i="76"/>
  <c r="K78" i="76" s="1"/>
  <c r="I78" i="76"/>
  <c r="FT68" i="7" s="1"/>
  <c r="H78" i="76"/>
  <c r="FS68" i="7" s="1"/>
  <c r="GI77" i="76"/>
  <c r="FU77" i="76"/>
  <c r="FG77" i="76"/>
  <c r="ES77" i="76"/>
  <c r="EE77" i="76"/>
  <c r="DR77" i="76"/>
  <c r="DQ77" i="76"/>
  <c r="DP77" i="76"/>
  <c r="DV77" i="76" s="1"/>
  <c r="DD77" i="76"/>
  <c r="DC77" i="76"/>
  <c r="DB77" i="76"/>
  <c r="DH77" i="76" s="1"/>
  <c r="CP77" i="76"/>
  <c r="CO77" i="76"/>
  <c r="CN77" i="76"/>
  <c r="CB77" i="76"/>
  <c r="CA77" i="76"/>
  <c r="BZ77" i="76"/>
  <c r="CF77" i="76" s="1"/>
  <c r="BN77" i="76"/>
  <c r="BM77" i="76"/>
  <c r="BL77" i="76"/>
  <c r="BR77" i="76" s="1"/>
  <c r="AZ77" i="76"/>
  <c r="AY77" i="76"/>
  <c r="AX77" i="76"/>
  <c r="BD77" i="76" s="1"/>
  <c r="AL77" i="76"/>
  <c r="AK77" i="76"/>
  <c r="AJ77" i="76"/>
  <c r="X77" i="76"/>
  <c r="W77" i="76"/>
  <c r="V77" i="76"/>
  <c r="AB77" i="76" s="1"/>
  <c r="J77" i="76"/>
  <c r="K77" i="76" s="1"/>
  <c r="I77" i="76"/>
  <c r="FT67" i="7" s="1"/>
  <c r="H77" i="76"/>
  <c r="FS67" i="7" s="1"/>
  <c r="GI76" i="76"/>
  <c r="FU76" i="76"/>
  <c r="FG76" i="76"/>
  <c r="ES76" i="76"/>
  <c r="EE76" i="76"/>
  <c r="DR76" i="76"/>
  <c r="DQ76" i="76"/>
  <c r="DP76" i="76"/>
  <c r="DD76" i="76"/>
  <c r="DC76" i="76"/>
  <c r="DB76" i="76"/>
  <c r="DH76" i="76" s="1"/>
  <c r="CP76" i="76"/>
  <c r="CO76" i="76"/>
  <c r="CN76" i="76"/>
  <c r="CB76" i="76"/>
  <c r="CA76" i="76"/>
  <c r="BZ76" i="76"/>
  <c r="CF76" i="76" s="1"/>
  <c r="BN76" i="76"/>
  <c r="BM76" i="76"/>
  <c r="BL76" i="76"/>
  <c r="AZ76" i="76"/>
  <c r="AY76" i="76"/>
  <c r="AX76" i="76"/>
  <c r="BD76" i="76" s="1"/>
  <c r="AL76" i="76"/>
  <c r="AK76" i="76"/>
  <c r="AJ76" i="76"/>
  <c r="X76" i="76"/>
  <c r="W76" i="76"/>
  <c r="V76" i="76"/>
  <c r="AB76" i="76" s="1"/>
  <c r="J76" i="76"/>
  <c r="K76" i="76" s="1"/>
  <c r="I76" i="76"/>
  <c r="FT66" i="7" s="1"/>
  <c r="H76" i="76"/>
  <c r="FS66" i="7" s="1"/>
  <c r="GI75" i="76"/>
  <c r="FU75" i="76"/>
  <c r="FG75" i="76"/>
  <c r="ES75" i="76"/>
  <c r="EE75" i="76"/>
  <c r="DR75" i="76"/>
  <c r="DQ75" i="76"/>
  <c r="DP75" i="76"/>
  <c r="DV75" i="76" s="1"/>
  <c r="DD75" i="76"/>
  <c r="DC75" i="76"/>
  <c r="DB75" i="76"/>
  <c r="DH75" i="76" s="1"/>
  <c r="CP75" i="76"/>
  <c r="CO75" i="76"/>
  <c r="CN75" i="76"/>
  <c r="CT75" i="76" s="1"/>
  <c r="CB75" i="76"/>
  <c r="CA75" i="76"/>
  <c r="BZ75" i="76"/>
  <c r="CF75" i="76" s="1"/>
  <c r="BN75" i="76"/>
  <c r="BM75" i="76"/>
  <c r="BL75" i="76"/>
  <c r="BR75" i="76" s="1"/>
  <c r="AZ75" i="76"/>
  <c r="AY75" i="76"/>
  <c r="AX75" i="76"/>
  <c r="BD75" i="76" s="1"/>
  <c r="AL75" i="76"/>
  <c r="AK75" i="76"/>
  <c r="AJ75" i="76"/>
  <c r="X75" i="76"/>
  <c r="W75" i="76"/>
  <c r="V75" i="76"/>
  <c r="AB75" i="76" s="1"/>
  <c r="J75" i="76"/>
  <c r="K75" i="76" s="1"/>
  <c r="I75" i="76"/>
  <c r="FT65" i="7" s="1"/>
  <c r="H75" i="76"/>
  <c r="GI74" i="76"/>
  <c r="FU74" i="76"/>
  <c r="FG74" i="76"/>
  <c r="ES74" i="76"/>
  <c r="EE74" i="76"/>
  <c r="DR74" i="76"/>
  <c r="DQ74" i="76"/>
  <c r="DP74" i="76"/>
  <c r="DD74" i="76"/>
  <c r="DC74" i="76"/>
  <c r="DB74" i="76"/>
  <c r="CP74" i="76"/>
  <c r="CO74" i="76"/>
  <c r="CN74" i="76"/>
  <c r="CB74" i="76"/>
  <c r="CA74" i="76"/>
  <c r="BZ74" i="76"/>
  <c r="BN74" i="76"/>
  <c r="BM74" i="76"/>
  <c r="BL74" i="76"/>
  <c r="AZ74" i="76"/>
  <c r="AY74" i="76"/>
  <c r="AX74" i="76"/>
  <c r="AL74" i="76"/>
  <c r="AK74" i="76"/>
  <c r="AJ74" i="76"/>
  <c r="X74" i="76"/>
  <c r="W74" i="76"/>
  <c r="V74" i="76"/>
  <c r="J74" i="76"/>
  <c r="K74" i="76" s="1"/>
  <c r="I74" i="76"/>
  <c r="FT64" i="7" s="1"/>
  <c r="H74" i="76"/>
  <c r="FS64" i="7" s="1"/>
  <c r="GI73" i="76"/>
  <c r="FU73" i="76"/>
  <c r="FG73" i="76"/>
  <c r="ES73" i="76"/>
  <c r="EE73" i="76"/>
  <c r="DR73" i="76"/>
  <c r="DQ73" i="76"/>
  <c r="DP73" i="76"/>
  <c r="DD73" i="76"/>
  <c r="DC73" i="76"/>
  <c r="DB73" i="76"/>
  <c r="CP73" i="76"/>
  <c r="CO73" i="76"/>
  <c r="CN73" i="76"/>
  <c r="CB73" i="76"/>
  <c r="CA73" i="76"/>
  <c r="BZ73" i="76"/>
  <c r="BN73" i="76"/>
  <c r="BM73" i="76"/>
  <c r="BL73" i="76"/>
  <c r="AZ73" i="76"/>
  <c r="AY73" i="76"/>
  <c r="AX73" i="76"/>
  <c r="AL73" i="76"/>
  <c r="AK73" i="76"/>
  <c r="AJ73" i="76"/>
  <c r="X73" i="76"/>
  <c r="W73" i="76"/>
  <c r="V73" i="76"/>
  <c r="J73" i="76"/>
  <c r="K73" i="76" s="1"/>
  <c r="I73" i="76"/>
  <c r="FT63" i="7" s="1"/>
  <c r="H73" i="76"/>
  <c r="FS63" i="7" s="1"/>
  <c r="GI72" i="76"/>
  <c r="FU72" i="76"/>
  <c r="FG72" i="76"/>
  <c r="ES72" i="76"/>
  <c r="EE72" i="76"/>
  <c r="DR72" i="76"/>
  <c r="DQ72" i="76"/>
  <c r="DP72" i="76"/>
  <c r="DD72" i="76"/>
  <c r="DC72" i="76"/>
  <c r="DB72" i="76"/>
  <c r="CP72" i="76"/>
  <c r="CO72" i="76"/>
  <c r="CN72" i="76"/>
  <c r="CB72" i="76"/>
  <c r="CA72" i="76"/>
  <c r="BZ72" i="76"/>
  <c r="BN72" i="76"/>
  <c r="BM72" i="76"/>
  <c r="BL72" i="76"/>
  <c r="AZ72" i="76"/>
  <c r="AY72" i="76"/>
  <c r="AX72" i="76"/>
  <c r="AL72" i="76"/>
  <c r="AK72" i="76"/>
  <c r="AJ72" i="76"/>
  <c r="X72" i="76"/>
  <c r="W72" i="76"/>
  <c r="V72" i="76"/>
  <c r="J72" i="76"/>
  <c r="K72" i="76" s="1"/>
  <c r="I72" i="76"/>
  <c r="FT62" i="7" s="1"/>
  <c r="H72" i="76"/>
  <c r="FS62" i="7" s="1"/>
  <c r="GI71" i="76"/>
  <c r="FU71" i="76"/>
  <c r="FG71" i="76"/>
  <c r="ES71" i="76"/>
  <c r="EE71" i="76"/>
  <c r="DR71" i="76"/>
  <c r="DQ71" i="76"/>
  <c r="DP71" i="76"/>
  <c r="DD71" i="76"/>
  <c r="DC71" i="76"/>
  <c r="DB71" i="76"/>
  <c r="CP71" i="76"/>
  <c r="CO71" i="76"/>
  <c r="CN71" i="76"/>
  <c r="CB71" i="76"/>
  <c r="CA71" i="76"/>
  <c r="BZ71" i="76"/>
  <c r="BN71" i="76"/>
  <c r="BM71" i="76"/>
  <c r="BL71" i="76"/>
  <c r="AZ71" i="76"/>
  <c r="AY71" i="76"/>
  <c r="AX71" i="76"/>
  <c r="AL71" i="76"/>
  <c r="AK71" i="76"/>
  <c r="AJ71" i="76"/>
  <c r="X71" i="76"/>
  <c r="W71" i="76"/>
  <c r="V71" i="76"/>
  <c r="J71" i="76"/>
  <c r="I71" i="76"/>
  <c r="FT61" i="7" s="1"/>
  <c r="H71" i="76"/>
  <c r="FS61" i="7" s="1"/>
  <c r="GI70" i="76"/>
  <c r="FU70" i="76"/>
  <c r="FG70" i="76"/>
  <c r="ES70" i="76"/>
  <c r="EE70" i="76"/>
  <c r="DR70" i="76"/>
  <c r="DQ70" i="76"/>
  <c r="DP70" i="76"/>
  <c r="DD70" i="76"/>
  <c r="DC70" i="76"/>
  <c r="DB70" i="76"/>
  <c r="CP70" i="76"/>
  <c r="CO70" i="76"/>
  <c r="CN70" i="76"/>
  <c r="CB70" i="76"/>
  <c r="CA70" i="76"/>
  <c r="BZ70" i="76"/>
  <c r="BN70" i="76"/>
  <c r="BM70" i="76"/>
  <c r="BL70" i="76"/>
  <c r="AZ70" i="76"/>
  <c r="AY70" i="76"/>
  <c r="AX70" i="76"/>
  <c r="AL70" i="76"/>
  <c r="AK70" i="76"/>
  <c r="AJ70" i="76"/>
  <c r="X70" i="76"/>
  <c r="W70" i="76"/>
  <c r="V70" i="76"/>
  <c r="J70" i="76"/>
  <c r="K70" i="76" s="1"/>
  <c r="I70" i="76"/>
  <c r="FT60" i="7" s="1"/>
  <c r="H70" i="76"/>
  <c r="FS60" i="7" s="1"/>
  <c r="GI69" i="76"/>
  <c r="FU69" i="76"/>
  <c r="FG69" i="76"/>
  <c r="ES69" i="76"/>
  <c r="EE69" i="76"/>
  <c r="DR69" i="76"/>
  <c r="DQ69" i="76"/>
  <c r="DP69" i="76"/>
  <c r="DD69" i="76"/>
  <c r="DC69" i="76"/>
  <c r="DB69" i="76"/>
  <c r="CP69" i="76"/>
  <c r="CO69" i="76"/>
  <c r="CN69" i="76"/>
  <c r="CB69" i="76"/>
  <c r="CA69" i="76"/>
  <c r="BZ69" i="76"/>
  <c r="BN69" i="76"/>
  <c r="BM69" i="76"/>
  <c r="BL69" i="76"/>
  <c r="AZ69" i="76"/>
  <c r="AY69" i="76"/>
  <c r="AX69" i="76"/>
  <c r="AL69" i="76"/>
  <c r="AK69" i="76"/>
  <c r="AJ69" i="76"/>
  <c r="X69" i="76"/>
  <c r="W69" i="76"/>
  <c r="V69" i="76"/>
  <c r="J69" i="76"/>
  <c r="I69" i="76"/>
  <c r="FT59" i="7" s="1"/>
  <c r="H69" i="76"/>
  <c r="FS59" i="7" s="1"/>
  <c r="GI68" i="76"/>
  <c r="FU68" i="76"/>
  <c r="FG68" i="76"/>
  <c r="ES68" i="76"/>
  <c r="EE68" i="76"/>
  <c r="DR68" i="76"/>
  <c r="DQ68" i="76"/>
  <c r="DP68" i="76"/>
  <c r="DD68" i="76"/>
  <c r="DC68" i="76"/>
  <c r="DB68" i="76"/>
  <c r="CP68" i="76"/>
  <c r="CO68" i="76"/>
  <c r="CN68" i="76"/>
  <c r="CB68" i="76"/>
  <c r="CA68" i="76"/>
  <c r="BZ68" i="76"/>
  <c r="BN68" i="76"/>
  <c r="BM68" i="76"/>
  <c r="BL68" i="76"/>
  <c r="AZ68" i="76"/>
  <c r="AY68" i="76"/>
  <c r="AX68" i="76"/>
  <c r="AL68" i="76"/>
  <c r="AK68" i="76"/>
  <c r="AJ68" i="76"/>
  <c r="X68" i="76"/>
  <c r="W68" i="76"/>
  <c r="V68" i="76"/>
  <c r="J68" i="76"/>
  <c r="K68" i="76" s="1"/>
  <c r="I68" i="76"/>
  <c r="FT58" i="7" s="1"/>
  <c r="H68" i="76"/>
  <c r="FS58" i="7" s="1"/>
  <c r="GI67" i="76"/>
  <c r="FU67" i="76"/>
  <c r="FG67" i="76"/>
  <c r="ES67" i="76"/>
  <c r="EE67" i="76"/>
  <c r="DR67" i="76"/>
  <c r="DQ67" i="76"/>
  <c r="DP67" i="76"/>
  <c r="DD67" i="76"/>
  <c r="DC67" i="76"/>
  <c r="DB67" i="76"/>
  <c r="CP67" i="76"/>
  <c r="CO67" i="76"/>
  <c r="CN67" i="76"/>
  <c r="CB67" i="76"/>
  <c r="CA67" i="76"/>
  <c r="BZ67" i="76"/>
  <c r="BN67" i="76"/>
  <c r="BM67" i="76"/>
  <c r="BL67" i="76"/>
  <c r="AZ67" i="76"/>
  <c r="AY67" i="76"/>
  <c r="AX67" i="76"/>
  <c r="AL67" i="76"/>
  <c r="AK67" i="76"/>
  <c r="AJ67" i="76"/>
  <c r="X67" i="76"/>
  <c r="W67" i="76"/>
  <c r="V67" i="76"/>
  <c r="J67" i="76"/>
  <c r="K67" i="76" s="1"/>
  <c r="I67" i="76"/>
  <c r="FT57" i="7" s="1"/>
  <c r="H67" i="76"/>
  <c r="FS57" i="7" s="1"/>
  <c r="GI66" i="76"/>
  <c r="FU66" i="76"/>
  <c r="FG66" i="76"/>
  <c r="ES66" i="76"/>
  <c r="EE66" i="76"/>
  <c r="DR66" i="76"/>
  <c r="DQ66" i="76"/>
  <c r="DP66" i="76"/>
  <c r="DD66" i="76"/>
  <c r="DC66" i="76"/>
  <c r="DB66" i="76"/>
  <c r="CP66" i="76"/>
  <c r="CO66" i="76"/>
  <c r="CN66" i="76"/>
  <c r="CB66" i="76"/>
  <c r="CA66" i="76"/>
  <c r="BZ66" i="76"/>
  <c r="BN66" i="76"/>
  <c r="BM66" i="76"/>
  <c r="BL66" i="76"/>
  <c r="AZ66" i="76"/>
  <c r="AY66" i="76"/>
  <c r="AX66" i="76"/>
  <c r="AL66" i="76"/>
  <c r="AK66" i="76"/>
  <c r="AJ66" i="76"/>
  <c r="X66" i="76"/>
  <c r="W66" i="76"/>
  <c r="V66" i="76"/>
  <c r="J66" i="76"/>
  <c r="K66" i="76" s="1"/>
  <c r="I66" i="76"/>
  <c r="FT56" i="7" s="1"/>
  <c r="H66" i="76"/>
  <c r="FS56" i="7" s="1"/>
  <c r="GI65" i="76"/>
  <c r="FU65" i="76"/>
  <c r="FG65" i="76"/>
  <c r="ES65" i="76"/>
  <c r="EE65" i="76"/>
  <c r="DR65" i="76"/>
  <c r="DQ65" i="76"/>
  <c r="DP65" i="76"/>
  <c r="DD65" i="76"/>
  <c r="DC65" i="76"/>
  <c r="DB65" i="76"/>
  <c r="CP65" i="76"/>
  <c r="CO65" i="76"/>
  <c r="CN65" i="76"/>
  <c r="CB65" i="76"/>
  <c r="CA65" i="76"/>
  <c r="BZ65" i="76"/>
  <c r="BN65" i="76"/>
  <c r="BM65" i="76"/>
  <c r="BL65" i="76"/>
  <c r="AZ65" i="76"/>
  <c r="AY65" i="76"/>
  <c r="AX65" i="76"/>
  <c r="AL65" i="76"/>
  <c r="AK65" i="76"/>
  <c r="AJ65" i="76"/>
  <c r="X65" i="76"/>
  <c r="W65" i="76"/>
  <c r="V65" i="76"/>
  <c r="J65" i="76"/>
  <c r="K65" i="76" s="1"/>
  <c r="I65" i="76"/>
  <c r="FT55" i="7" s="1"/>
  <c r="H65" i="76"/>
  <c r="FS55" i="7" s="1"/>
  <c r="GI64" i="76"/>
  <c r="FU64" i="76"/>
  <c r="FG64" i="76"/>
  <c r="ES64" i="76"/>
  <c r="EE64" i="76"/>
  <c r="DR64" i="76"/>
  <c r="DQ64" i="76"/>
  <c r="DP64" i="76"/>
  <c r="DD64" i="76"/>
  <c r="DC64" i="76"/>
  <c r="DB64" i="76"/>
  <c r="CP64" i="76"/>
  <c r="CO64" i="76"/>
  <c r="CN64" i="76"/>
  <c r="CB64" i="76"/>
  <c r="CA64" i="76"/>
  <c r="BZ64" i="76"/>
  <c r="BN64" i="76"/>
  <c r="BM64" i="76"/>
  <c r="BL64" i="76"/>
  <c r="AZ64" i="76"/>
  <c r="AY64" i="76"/>
  <c r="AX64" i="76"/>
  <c r="AL64" i="76"/>
  <c r="AK64" i="76"/>
  <c r="AJ64" i="76"/>
  <c r="X64" i="76"/>
  <c r="W64" i="76"/>
  <c r="V64" i="76"/>
  <c r="J64" i="76"/>
  <c r="K64" i="76" s="1"/>
  <c r="I64" i="76"/>
  <c r="FT54" i="7" s="1"/>
  <c r="H64" i="76"/>
  <c r="FS54" i="7" s="1"/>
  <c r="GI63" i="76"/>
  <c r="FU63" i="76"/>
  <c r="FG63" i="76"/>
  <c r="ES63" i="76"/>
  <c r="EF63" i="76"/>
  <c r="EE63" i="76"/>
  <c r="DR63" i="76"/>
  <c r="DQ63" i="76"/>
  <c r="DP63" i="76"/>
  <c r="DD63" i="76"/>
  <c r="DC63" i="76"/>
  <c r="DB63" i="76"/>
  <c r="CP63" i="76"/>
  <c r="CO63" i="76"/>
  <c r="CN63" i="76"/>
  <c r="CB63" i="76"/>
  <c r="CA63" i="76"/>
  <c r="BZ63" i="76"/>
  <c r="BN63" i="76"/>
  <c r="BM63" i="76"/>
  <c r="BL63" i="76"/>
  <c r="AZ63" i="76"/>
  <c r="AY63" i="76"/>
  <c r="AX63" i="76"/>
  <c r="AL63" i="76"/>
  <c r="AK63" i="76"/>
  <c r="AJ63" i="76"/>
  <c r="X63" i="76"/>
  <c r="W63" i="76"/>
  <c r="V63" i="76"/>
  <c r="J63" i="76"/>
  <c r="K63" i="76" s="1"/>
  <c r="I63" i="76"/>
  <c r="FT53" i="7" s="1"/>
  <c r="H63" i="76"/>
  <c r="FS53" i="7" s="1"/>
  <c r="GI62" i="76"/>
  <c r="FU62" i="76"/>
  <c r="FG62" i="76"/>
  <c r="ES62" i="76"/>
  <c r="EE62" i="76"/>
  <c r="DR62" i="76"/>
  <c r="DQ62" i="76"/>
  <c r="DP62" i="76"/>
  <c r="DD62" i="76"/>
  <c r="DC62" i="76"/>
  <c r="DB62" i="76"/>
  <c r="CP62" i="76"/>
  <c r="CO62" i="76"/>
  <c r="CN62" i="76"/>
  <c r="CB62" i="76"/>
  <c r="CA62" i="76"/>
  <c r="BZ62" i="76"/>
  <c r="BN62" i="76"/>
  <c r="BM62" i="76"/>
  <c r="BL62" i="76"/>
  <c r="AZ62" i="76"/>
  <c r="AY62" i="76"/>
  <c r="AX62" i="76"/>
  <c r="AL62" i="76"/>
  <c r="AK62" i="76"/>
  <c r="AJ62" i="76"/>
  <c r="X62" i="76"/>
  <c r="W62" i="76"/>
  <c r="V62" i="76"/>
  <c r="J62" i="76"/>
  <c r="K62" i="76" s="1"/>
  <c r="I62" i="76"/>
  <c r="FT52" i="7" s="1"/>
  <c r="H62" i="76"/>
  <c r="FS52" i="7" s="1"/>
  <c r="GI61" i="76"/>
  <c r="FU61" i="76"/>
  <c r="FG61" i="76"/>
  <c r="ES61" i="76"/>
  <c r="EE61" i="76"/>
  <c r="DR61" i="76"/>
  <c r="DQ61" i="76"/>
  <c r="DP61" i="76"/>
  <c r="DD61" i="76"/>
  <c r="DC61" i="76"/>
  <c r="DB61" i="76"/>
  <c r="CP61" i="76"/>
  <c r="CO61" i="76"/>
  <c r="CN61" i="76"/>
  <c r="CB61" i="76"/>
  <c r="CA61" i="76"/>
  <c r="BZ61" i="76"/>
  <c r="BN61" i="76"/>
  <c r="BM61" i="76"/>
  <c r="BL61" i="76"/>
  <c r="AZ61" i="76"/>
  <c r="AY61" i="76"/>
  <c r="AX61" i="76"/>
  <c r="AL61" i="76"/>
  <c r="AK61" i="76"/>
  <c r="AJ61" i="76"/>
  <c r="X61" i="76"/>
  <c r="W61" i="76"/>
  <c r="V61" i="76"/>
  <c r="J61" i="76"/>
  <c r="K61" i="76" s="1"/>
  <c r="I61" i="76"/>
  <c r="FT51" i="7" s="1"/>
  <c r="H61" i="76"/>
  <c r="FS51" i="7" s="1"/>
  <c r="GI60" i="76"/>
  <c r="FU60" i="76"/>
  <c r="FG60" i="76"/>
  <c r="ES60" i="76"/>
  <c r="EE60" i="76"/>
  <c r="DR60" i="76"/>
  <c r="DQ60" i="76"/>
  <c r="DP60" i="76"/>
  <c r="DD60" i="76"/>
  <c r="DC60" i="76"/>
  <c r="DB60" i="76"/>
  <c r="CP60" i="76"/>
  <c r="CO60" i="76"/>
  <c r="CN60" i="76"/>
  <c r="CB60" i="76"/>
  <c r="CA60" i="76"/>
  <c r="BZ60" i="76"/>
  <c r="BN60" i="76"/>
  <c r="BM60" i="76"/>
  <c r="BL60" i="76"/>
  <c r="AZ60" i="76"/>
  <c r="AY60" i="76"/>
  <c r="AX60" i="76"/>
  <c r="AL60" i="76"/>
  <c r="AK60" i="76"/>
  <c r="AJ60" i="76"/>
  <c r="X60" i="76"/>
  <c r="W60" i="76"/>
  <c r="V60" i="76"/>
  <c r="J60" i="76"/>
  <c r="K60" i="76" s="1"/>
  <c r="I60" i="76"/>
  <c r="FT50" i="7" s="1"/>
  <c r="H60" i="76"/>
  <c r="FS50" i="7" s="1"/>
  <c r="GI59" i="76"/>
  <c r="FU59" i="76"/>
  <c r="FG59" i="76"/>
  <c r="ES59" i="76"/>
  <c r="EE59" i="76"/>
  <c r="DR59" i="76"/>
  <c r="DQ59" i="76"/>
  <c r="DP59" i="76"/>
  <c r="DD59" i="76"/>
  <c r="DC59" i="76"/>
  <c r="DB59" i="76"/>
  <c r="CP59" i="76"/>
  <c r="CO59" i="76"/>
  <c r="CN59" i="76"/>
  <c r="CB59" i="76"/>
  <c r="CA59" i="76"/>
  <c r="BZ59" i="76"/>
  <c r="BN59" i="76"/>
  <c r="BM59" i="76"/>
  <c r="BL59" i="76"/>
  <c r="AZ59" i="76"/>
  <c r="AY59" i="76"/>
  <c r="AX59" i="76"/>
  <c r="AL59" i="76"/>
  <c r="AK59" i="76"/>
  <c r="AJ59" i="76"/>
  <c r="X59" i="76"/>
  <c r="W59" i="76"/>
  <c r="V59" i="76"/>
  <c r="J59" i="76"/>
  <c r="K59" i="76" s="1"/>
  <c r="I59" i="76"/>
  <c r="FT49" i="7" s="1"/>
  <c r="H59" i="76"/>
  <c r="FS49" i="7" s="1"/>
  <c r="GI58" i="76"/>
  <c r="FU58" i="76"/>
  <c r="FG58" i="76"/>
  <c r="ES58" i="76"/>
  <c r="EE58" i="76"/>
  <c r="DR58" i="76"/>
  <c r="DQ58" i="76"/>
  <c r="DP58" i="76"/>
  <c r="DD58" i="76"/>
  <c r="DC58" i="76"/>
  <c r="DB58" i="76"/>
  <c r="CP58" i="76"/>
  <c r="CO58" i="76"/>
  <c r="CN58" i="76"/>
  <c r="CB58" i="76"/>
  <c r="CA58" i="76"/>
  <c r="BZ58" i="76"/>
  <c r="BN58" i="76"/>
  <c r="BM58" i="76"/>
  <c r="BL58" i="76"/>
  <c r="AZ58" i="76"/>
  <c r="AY58" i="76"/>
  <c r="AX58" i="76"/>
  <c r="AL58" i="76"/>
  <c r="AK58" i="76"/>
  <c r="AJ58" i="76"/>
  <c r="X58" i="76"/>
  <c r="W58" i="76"/>
  <c r="V58" i="76"/>
  <c r="J58" i="76"/>
  <c r="K58" i="76" s="1"/>
  <c r="I58" i="76"/>
  <c r="FT48" i="7" s="1"/>
  <c r="H58" i="76"/>
  <c r="FS48" i="7" s="1"/>
  <c r="GI57" i="76"/>
  <c r="FU57" i="76"/>
  <c r="FG57" i="76"/>
  <c r="ES57" i="76"/>
  <c r="EE57" i="76"/>
  <c r="DR57" i="76"/>
  <c r="DQ57" i="76"/>
  <c r="DP57" i="76"/>
  <c r="DD57" i="76"/>
  <c r="DC57" i="76"/>
  <c r="DB57" i="76"/>
  <c r="CP57" i="76"/>
  <c r="CO57" i="76"/>
  <c r="CN57" i="76"/>
  <c r="CB57" i="76"/>
  <c r="CA57" i="76"/>
  <c r="BZ57" i="76"/>
  <c r="BN57" i="76"/>
  <c r="BM57" i="76"/>
  <c r="BL57" i="76"/>
  <c r="AZ57" i="76"/>
  <c r="AY57" i="76"/>
  <c r="AX57" i="76"/>
  <c r="AL57" i="76"/>
  <c r="AK57" i="76"/>
  <c r="AJ57" i="76"/>
  <c r="X57" i="76"/>
  <c r="W57" i="76"/>
  <c r="V57" i="76"/>
  <c r="J57" i="76"/>
  <c r="I57" i="76"/>
  <c r="FT47" i="7" s="1"/>
  <c r="H57" i="76"/>
  <c r="FS47" i="7" s="1"/>
  <c r="GI56" i="76"/>
  <c r="FU56" i="76"/>
  <c r="FG56" i="76"/>
  <c r="ES56" i="76"/>
  <c r="EE56" i="76"/>
  <c r="DR56" i="76"/>
  <c r="DQ56" i="76"/>
  <c r="DP56" i="76"/>
  <c r="DD56" i="76"/>
  <c r="DC56" i="76"/>
  <c r="DB56" i="76"/>
  <c r="CP56" i="76"/>
  <c r="CO56" i="76"/>
  <c r="CN56" i="76"/>
  <c r="CB56" i="76"/>
  <c r="CA56" i="76"/>
  <c r="BZ56" i="76"/>
  <c r="BN56" i="76"/>
  <c r="BM56" i="76"/>
  <c r="BL56" i="76"/>
  <c r="AZ56" i="76"/>
  <c r="AY56" i="76"/>
  <c r="AX56" i="76"/>
  <c r="AL56" i="76"/>
  <c r="AK56" i="76"/>
  <c r="AJ56" i="76"/>
  <c r="X56" i="76"/>
  <c r="W56" i="76"/>
  <c r="V56" i="76"/>
  <c r="J56" i="76"/>
  <c r="K56" i="76" s="1"/>
  <c r="I56" i="76"/>
  <c r="FT46" i="7" s="1"/>
  <c r="H56" i="76"/>
  <c r="FS46" i="7" s="1"/>
  <c r="GI55" i="76"/>
  <c r="FU55" i="76"/>
  <c r="FG55" i="76"/>
  <c r="ES55" i="76"/>
  <c r="EE55" i="76"/>
  <c r="DR55" i="76"/>
  <c r="DQ55" i="76"/>
  <c r="DP55" i="76"/>
  <c r="DD55" i="76"/>
  <c r="DC55" i="76"/>
  <c r="DB55" i="76"/>
  <c r="CP55" i="76"/>
  <c r="CO55" i="76"/>
  <c r="CN55" i="76"/>
  <c r="CB55" i="76"/>
  <c r="CA55" i="76"/>
  <c r="BZ55" i="76"/>
  <c r="BN55" i="76"/>
  <c r="BM55" i="76"/>
  <c r="BL55" i="76"/>
  <c r="AZ55" i="76"/>
  <c r="AY55" i="76"/>
  <c r="AX55" i="76"/>
  <c r="AL55" i="76"/>
  <c r="AK55" i="76"/>
  <c r="AJ55" i="76"/>
  <c r="X55" i="76"/>
  <c r="W55" i="76"/>
  <c r="V55" i="76"/>
  <c r="J55" i="76"/>
  <c r="K55" i="76" s="1"/>
  <c r="I55" i="76"/>
  <c r="FT45" i="7" s="1"/>
  <c r="H55" i="76"/>
  <c r="FS45" i="7" s="1"/>
  <c r="GI54" i="76"/>
  <c r="FU54" i="76"/>
  <c r="FG54" i="76"/>
  <c r="ES54" i="76"/>
  <c r="EE54" i="76"/>
  <c r="DR54" i="76"/>
  <c r="DQ54" i="76"/>
  <c r="DP54" i="76"/>
  <c r="DD54" i="76"/>
  <c r="DC54" i="76"/>
  <c r="DB54" i="76"/>
  <c r="CP54" i="76"/>
  <c r="CO54" i="76"/>
  <c r="CN54" i="76"/>
  <c r="CB54" i="76"/>
  <c r="CA54" i="76"/>
  <c r="BZ54" i="76"/>
  <c r="BN54" i="76"/>
  <c r="BM54" i="76"/>
  <c r="BL54" i="76"/>
  <c r="AZ54" i="76"/>
  <c r="AY54" i="76"/>
  <c r="AX54" i="76"/>
  <c r="AL54" i="76"/>
  <c r="AK54" i="76"/>
  <c r="AJ54" i="76"/>
  <c r="X54" i="76"/>
  <c r="W54" i="76"/>
  <c r="V54" i="76"/>
  <c r="J54" i="76"/>
  <c r="K54" i="76" s="1"/>
  <c r="I54" i="76"/>
  <c r="FT44" i="7" s="1"/>
  <c r="H54" i="76"/>
  <c r="FS44" i="7" s="1"/>
  <c r="GI53" i="76"/>
  <c r="FU53" i="76"/>
  <c r="FG53" i="76"/>
  <c r="ES53" i="76"/>
  <c r="EE53" i="76"/>
  <c r="DR53" i="76"/>
  <c r="DQ53" i="76"/>
  <c r="DP53" i="76"/>
  <c r="DD53" i="76"/>
  <c r="DC53" i="76"/>
  <c r="DB53" i="76"/>
  <c r="CP53" i="76"/>
  <c r="CO53" i="76"/>
  <c r="CN53" i="76"/>
  <c r="CB53" i="76"/>
  <c r="CA53" i="76"/>
  <c r="BZ53" i="76"/>
  <c r="BN53" i="76"/>
  <c r="BM53" i="76"/>
  <c r="BL53" i="76"/>
  <c r="AZ53" i="76"/>
  <c r="AY53" i="76"/>
  <c r="AX53" i="76"/>
  <c r="AL53" i="76"/>
  <c r="AK53" i="76"/>
  <c r="AJ53" i="76"/>
  <c r="X53" i="76"/>
  <c r="W53" i="76"/>
  <c r="V53" i="76"/>
  <c r="J53" i="76"/>
  <c r="I53" i="76"/>
  <c r="FT43" i="7" s="1"/>
  <c r="H53" i="76"/>
  <c r="FS43" i="7" s="1"/>
  <c r="GI52" i="76"/>
  <c r="FU52" i="76"/>
  <c r="FG52" i="76"/>
  <c r="ES52" i="76"/>
  <c r="EE52" i="76"/>
  <c r="DR52" i="76"/>
  <c r="DQ52" i="76"/>
  <c r="DP52" i="76"/>
  <c r="DD52" i="76"/>
  <c r="DC52" i="76"/>
  <c r="DB52" i="76"/>
  <c r="CP52" i="76"/>
  <c r="CO52" i="76"/>
  <c r="CN52" i="76"/>
  <c r="CB52" i="76"/>
  <c r="CA52" i="76"/>
  <c r="BZ52" i="76"/>
  <c r="BN52" i="76"/>
  <c r="BM52" i="76"/>
  <c r="BL52" i="76"/>
  <c r="AZ52" i="76"/>
  <c r="AY52" i="76"/>
  <c r="AX52" i="76"/>
  <c r="AL52" i="76"/>
  <c r="AK52" i="76"/>
  <c r="AJ52" i="76"/>
  <c r="X52" i="76"/>
  <c r="W52" i="76"/>
  <c r="V52" i="76"/>
  <c r="J52" i="76"/>
  <c r="K52" i="76" s="1"/>
  <c r="I52" i="76"/>
  <c r="FT42" i="7" s="1"/>
  <c r="H52" i="76"/>
  <c r="FS42" i="7" s="1"/>
  <c r="GI51" i="76"/>
  <c r="FU51" i="76"/>
  <c r="FG51" i="76"/>
  <c r="ES51" i="76"/>
  <c r="EE51" i="76"/>
  <c r="DR51" i="76"/>
  <c r="DQ51" i="76"/>
  <c r="DP51" i="76"/>
  <c r="DD51" i="76"/>
  <c r="DC51" i="76"/>
  <c r="DB51" i="76"/>
  <c r="CP51" i="76"/>
  <c r="CO51" i="76"/>
  <c r="CN51" i="76"/>
  <c r="CB51" i="76"/>
  <c r="CA51" i="76"/>
  <c r="BZ51" i="76"/>
  <c r="BN51" i="76"/>
  <c r="BM51" i="76"/>
  <c r="BL51" i="76"/>
  <c r="AZ51" i="76"/>
  <c r="AY51" i="76"/>
  <c r="AX51" i="76"/>
  <c r="AL51" i="76"/>
  <c r="AK51" i="76"/>
  <c r="AJ51" i="76"/>
  <c r="X51" i="76"/>
  <c r="W51" i="76"/>
  <c r="V51" i="76"/>
  <c r="J51" i="76"/>
  <c r="K51" i="76" s="1"/>
  <c r="I51" i="76"/>
  <c r="FT41" i="7" s="1"/>
  <c r="H51" i="76"/>
  <c r="FS41" i="7" s="1"/>
  <c r="GI50" i="76"/>
  <c r="FU50" i="76"/>
  <c r="FG50" i="76"/>
  <c r="ES50" i="76"/>
  <c r="EE50" i="76"/>
  <c r="DR50" i="76"/>
  <c r="DQ50" i="76"/>
  <c r="DP50" i="76"/>
  <c r="DD50" i="76"/>
  <c r="DC50" i="76"/>
  <c r="DB50" i="76"/>
  <c r="CP50" i="76"/>
  <c r="CO50" i="76"/>
  <c r="CN50" i="76"/>
  <c r="CB50" i="76"/>
  <c r="CA50" i="76"/>
  <c r="BZ50" i="76"/>
  <c r="BN50" i="76"/>
  <c r="BM50" i="76"/>
  <c r="BL50" i="76"/>
  <c r="AZ50" i="76"/>
  <c r="AY50" i="76"/>
  <c r="AX50" i="76"/>
  <c r="AL50" i="76"/>
  <c r="AK50" i="76"/>
  <c r="AJ50" i="76"/>
  <c r="X50" i="76"/>
  <c r="W50" i="76"/>
  <c r="V50" i="76"/>
  <c r="J50" i="76"/>
  <c r="K50" i="76" s="1"/>
  <c r="I50" i="76"/>
  <c r="FT40" i="7" s="1"/>
  <c r="H50" i="76"/>
  <c r="FS40" i="7" s="1"/>
  <c r="GI49" i="76"/>
  <c r="FU49" i="76"/>
  <c r="FG49" i="76"/>
  <c r="ES49" i="76"/>
  <c r="EE49" i="76"/>
  <c r="DR49" i="76"/>
  <c r="DQ49" i="76"/>
  <c r="DP49" i="76"/>
  <c r="DD49" i="76"/>
  <c r="DC49" i="76"/>
  <c r="DB49" i="76"/>
  <c r="CP49" i="76"/>
  <c r="CO49" i="76"/>
  <c r="CN49" i="76"/>
  <c r="CB49" i="76"/>
  <c r="CA49" i="76"/>
  <c r="BZ49" i="76"/>
  <c r="BN49" i="76"/>
  <c r="BM49" i="76"/>
  <c r="BL49" i="76"/>
  <c r="AZ49" i="76"/>
  <c r="AY49" i="76"/>
  <c r="AX49" i="76"/>
  <c r="AL49" i="76"/>
  <c r="AK49" i="76"/>
  <c r="AJ49" i="76"/>
  <c r="X49" i="76"/>
  <c r="W49" i="76"/>
  <c r="V49" i="76"/>
  <c r="J49" i="76"/>
  <c r="K49" i="76" s="1"/>
  <c r="I49" i="76"/>
  <c r="FT39" i="7" s="1"/>
  <c r="H49" i="76"/>
  <c r="FS39" i="7" s="1"/>
  <c r="GI48" i="76"/>
  <c r="FU48" i="76"/>
  <c r="FG48" i="76"/>
  <c r="ES48" i="76"/>
  <c r="EE48" i="76"/>
  <c r="DR48" i="76"/>
  <c r="DQ48" i="76"/>
  <c r="DP48" i="76"/>
  <c r="DD48" i="76"/>
  <c r="DC48" i="76"/>
  <c r="DB48" i="76"/>
  <c r="CP48" i="76"/>
  <c r="CO48" i="76"/>
  <c r="CN48" i="76"/>
  <c r="CB48" i="76"/>
  <c r="CA48" i="76"/>
  <c r="BZ48" i="76"/>
  <c r="BN48" i="76"/>
  <c r="BM48" i="76"/>
  <c r="BL48" i="76"/>
  <c r="AZ48" i="76"/>
  <c r="AY48" i="76"/>
  <c r="AX48" i="76"/>
  <c r="AL48" i="76"/>
  <c r="AK48" i="76"/>
  <c r="AJ48" i="76"/>
  <c r="X48" i="76"/>
  <c r="W48" i="76"/>
  <c r="V48" i="76"/>
  <c r="J48" i="76"/>
  <c r="K48" i="76" s="1"/>
  <c r="I48" i="76"/>
  <c r="FT38" i="7" s="1"/>
  <c r="H48" i="76"/>
  <c r="FS38" i="7" s="1"/>
  <c r="GI47" i="76"/>
  <c r="FU47" i="76"/>
  <c r="FG47" i="76"/>
  <c r="ES47" i="76"/>
  <c r="EE47" i="76"/>
  <c r="DR47" i="76"/>
  <c r="DQ47" i="76"/>
  <c r="DP47" i="76"/>
  <c r="DD47" i="76"/>
  <c r="DC47" i="76"/>
  <c r="DB47" i="76"/>
  <c r="CP47" i="76"/>
  <c r="CO47" i="76"/>
  <c r="CN47" i="76"/>
  <c r="CB47" i="76"/>
  <c r="CA47" i="76"/>
  <c r="BZ47" i="76"/>
  <c r="BN47" i="76"/>
  <c r="BM47" i="76"/>
  <c r="BL47" i="76"/>
  <c r="AZ47" i="76"/>
  <c r="AY47" i="76"/>
  <c r="AX47" i="76"/>
  <c r="AL47" i="76"/>
  <c r="AK47" i="76"/>
  <c r="AJ47" i="76"/>
  <c r="X47" i="76"/>
  <c r="W47" i="76"/>
  <c r="V47" i="76"/>
  <c r="J47" i="76"/>
  <c r="K47" i="76" s="1"/>
  <c r="I47" i="76"/>
  <c r="FT37" i="7" s="1"/>
  <c r="H47" i="76"/>
  <c r="FS37" i="7" s="1"/>
  <c r="GI46" i="76"/>
  <c r="FU46" i="76"/>
  <c r="FG46" i="76"/>
  <c r="ES46" i="76"/>
  <c r="EE46" i="76"/>
  <c r="DR46" i="76"/>
  <c r="DQ46" i="76"/>
  <c r="DP46" i="76"/>
  <c r="DD46" i="76"/>
  <c r="DC46" i="76"/>
  <c r="DB46" i="76"/>
  <c r="CP46" i="76"/>
  <c r="CO46" i="76"/>
  <c r="CN46" i="76"/>
  <c r="CB46" i="76"/>
  <c r="CA46" i="76"/>
  <c r="BZ46" i="76"/>
  <c r="BN46" i="76"/>
  <c r="BM46" i="76"/>
  <c r="BL46" i="76"/>
  <c r="AZ46" i="76"/>
  <c r="AY46" i="76"/>
  <c r="AX46" i="76"/>
  <c r="AL46" i="76"/>
  <c r="AK46" i="76"/>
  <c r="AJ46" i="76"/>
  <c r="X46" i="76"/>
  <c r="W46" i="76"/>
  <c r="V46" i="76"/>
  <c r="J46" i="76"/>
  <c r="K46" i="76" s="1"/>
  <c r="I46" i="76"/>
  <c r="FT36" i="7" s="1"/>
  <c r="H46" i="76"/>
  <c r="FS36" i="7" s="1"/>
  <c r="GI45" i="76"/>
  <c r="FU45" i="76"/>
  <c r="FG45" i="76"/>
  <c r="ES45" i="76"/>
  <c r="EE45" i="76"/>
  <c r="DR45" i="76"/>
  <c r="DQ45" i="76"/>
  <c r="DP45" i="76"/>
  <c r="DD45" i="76"/>
  <c r="DC45" i="76"/>
  <c r="DB45" i="76"/>
  <c r="CP45" i="76"/>
  <c r="CO45" i="76"/>
  <c r="CN45" i="76"/>
  <c r="CB45" i="76"/>
  <c r="CA45" i="76"/>
  <c r="BZ45" i="76"/>
  <c r="BN45" i="76"/>
  <c r="BM45" i="76"/>
  <c r="BL45" i="76"/>
  <c r="AZ45" i="76"/>
  <c r="AY45" i="76"/>
  <c r="AX45" i="76"/>
  <c r="AL45" i="76"/>
  <c r="AK45" i="76"/>
  <c r="AJ45" i="76"/>
  <c r="X45" i="76"/>
  <c r="W45" i="76"/>
  <c r="V45" i="76"/>
  <c r="J45" i="76"/>
  <c r="K45" i="76" s="1"/>
  <c r="I45" i="76"/>
  <c r="FT35" i="7" s="1"/>
  <c r="H45" i="76"/>
  <c r="FS35" i="7" s="1"/>
  <c r="GI44" i="76"/>
  <c r="FU44" i="76"/>
  <c r="FG44" i="76"/>
  <c r="ES44" i="76"/>
  <c r="EE44" i="76"/>
  <c r="DR44" i="76"/>
  <c r="DQ44" i="76"/>
  <c r="DP44" i="76"/>
  <c r="DD44" i="76"/>
  <c r="DC44" i="76"/>
  <c r="DB44" i="76"/>
  <c r="CP44" i="76"/>
  <c r="CO44" i="76"/>
  <c r="CN44" i="76"/>
  <c r="CB44" i="76"/>
  <c r="CA44" i="76"/>
  <c r="BZ44" i="76"/>
  <c r="BN44" i="76"/>
  <c r="BM44" i="76"/>
  <c r="BL44" i="76"/>
  <c r="AZ44" i="76"/>
  <c r="AY44" i="76"/>
  <c r="AX44" i="76"/>
  <c r="AL44" i="76"/>
  <c r="AK44" i="76"/>
  <c r="AJ44" i="76"/>
  <c r="X44" i="76"/>
  <c r="W44" i="76"/>
  <c r="V44" i="76"/>
  <c r="J44" i="76"/>
  <c r="K44" i="76" s="1"/>
  <c r="I44" i="76"/>
  <c r="FT34" i="7" s="1"/>
  <c r="H44" i="76"/>
  <c r="FS34" i="7" s="1"/>
  <c r="GI43" i="76"/>
  <c r="FU43" i="76"/>
  <c r="FG43" i="76"/>
  <c r="ES43" i="76"/>
  <c r="EE43" i="76"/>
  <c r="DR43" i="76"/>
  <c r="DQ43" i="76"/>
  <c r="DP43" i="76"/>
  <c r="DD43" i="76"/>
  <c r="DC43" i="76"/>
  <c r="DB43" i="76"/>
  <c r="CP43" i="76"/>
  <c r="CO43" i="76"/>
  <c r="CN43" i="76"/>
  <c r="CB43" i="76"/>
  <c r="CA43" i="76"/>
  <c r="BZ43" i="76"/>
  <c r="BN43" i="76"/>
  <c r="BM43" i="76"/>
  <c r="BL43" i="76"/>
  <c r="AZ43" i="76"/>
  <c r="AY43" i="76"/>
  <c r="AX43" i="76"/>
  <c r="AL43" i="76"/>
  <c r="AK43" i="76"/>
  <c r="AJ43" i="76"/>
  <c r="X43" i="76"/>
  <c r="W43" i="76"/>
  <c r="V43" i="76"/>
  <c r="J43" i="76"/>
  <c r="K43" i="76" s="1"/>
  <c r="I43" i="76"/>
  <c r="FT33" i="7" s="1"/>
  <c r="H43" i="76"/>
  <c r="FS33" i="7" s="1"/>
  <c r="GI42" i="76"/>
  <c r="FU42" i="76"/>
  <c r="FG42" i="76"/>
  <c r="ES42" i="76"/>
  <c r="EE42" i="76"/>
  <c r="DR42" i="76"/>
  <c r="DQ42" i="76"/>
  <c r="DP42" i="76"/>
  <c r="DD42" i="76"/>
  <c r="DC42" i="76"/>
  <c r="DB42" i="76"/>
  <c r="CP42" i="76"/>
  <c r="CO42" i="76"/>
  <c r="CN42" i="76"/>
  <c r="CB42" i="76"/>
  <c r="CA42" i="76"/>
  <c r="BZ42" i="76"/>
  <c r="BN42" i="76"/>
  <c r="BM42" i="76"/>
  <c r="BL42" i="76"/>
  <c r="AZ42" i="76"/>
  <c r="AY42" i="76"/>
  <c r="AX42" i="76"/>
  <c r="AL42" i="76"/>
  <c r="AK42" i="76"/>
  <c r="AJ42" i="76"/>
  <c r="X42" i="76"/>
  <c r="W42" i="76"/>
  <c r="V42" i="76"/>
  <c r="J42" i="76"/>
  <c r="K42" i="76" s="1"/>
  <c r="I42" i="76"/>
  <c r="FT32" i="7" s="1"/>
  <c r="H42" i="76"/>
  <c r="FS32" i="7" s="1"/>
  <c r="GI41" i="76"/>
  <c r="FU41" i="76"/>
  <c r="FG41" i="76"/>
  <c r="ES41" i="76"/>
  <c r="EE41" i="76"/>
  <c r="DR41" i="76"/>
  <c r="DQ41" i="76"/>
  <c r="DP41" i="76"/>
  <c r="DD41" i="76"/>
  <c r="DC41" i="76"/>
  <c r="DB41" i="76"/>
  <c r="CP41" i="76"/>
  <c r="CO41" i="76"/>
  <c r="CN41" i="76"/>
  <c r="CB41" i="76"/>
  <c r="CA41" i="76"/>
  <c r="BZ41" i="76"/>
  <c r="BN41" i="76"/>
  <c r="BM41" i="76"/>
  <c r="BL41" i="76"/>
  <c r="AZ41" i="76"/>
  <c r="AY41" i="76"/>
  <c r="AX41" i="76"/>
  <c r="AL41" i="76"/>
  <c r="AK41" i="76"/>
  <c r="AJ41" i="76"/>
  <c r="X41" i="76"/>
  <c r="W41" i="76"/>
  <c r="V41" i="76"/>
  <c r="J41" i="76"/>
  <c r="K41" i="76" s="1"/>
  <c r="I41" i="76"/>
  <c r="FT31" i="7" s="1"/>
  <c r="H41" i="76"/>
  <c r="FS31" i="7" s="1"/>
  <c r="GI40" i="76"/>
  <c r="FU40" i="76"/>
  <c r="FG40" i="76"/>
  <c r="ES40" i="76"/>
  <c r="EE40" i="76"/>
  <c r="DR40" i="76"/>
  <c r="DQ40" i="76"/>
  <c r="DP40" i="76"/>
  <c r="DD40" i="76"/>
  <c r="DC40" i="76"/>
  <c r="DB40" i="76"/>
  <c r="CP40" i="76"/>
  <c r="CO40" i="76"/>
  <c r="CN40" i="76"/>
  <c r="CB40" i="76"/>
  <c r="CA40" i="76"/>
  <c r="BZ40" i="76"/>
  <c r="BN40" i="76"/>
  <c r="BM40" i="76"/>
  <c r="BL40" i="76"/>
  <c r="AZ40" i="76"/>
  <c r="AY40" i="76"/>
  <c r="AX40" i="76"/>
  <c r="AL40" i="76"/>
  <c r="AK40" i="76"/>
  <c r="AJ40" i="76"/>
  <c r="X40" i="76"/>
  <c r="W40" i="76"/>
  <c r="V40" i="76"/>
  <c r="J40" i="76"/>
  <c r="K40" i="76" s="1"/>
  <c r="I40" i="76"/>
  <c r="FT30" i="7" s="1"/>
  <c r="H40" i="76"/>
  <c r="FS30" i="7" s="1"/>
  <c r="GI39" i="76"/>
  <c r="FU39" i="76"/>
  <c r="FG39" i="76"/>
  <c r="ET39" i="76"/>
  <c r="ES39" i="76"/>
  <c r="EE39" i="76"/>
  <c r="DR39" i="76"/>
  <c r="DQ39" i="76"/>
  <c r="DP39" i="76"/>
  <c r="DD39" i="76"/>
  <c r="DC39" i="76"/>
  <c r="DB39" i="76"/>
  <c r="CP39" i="76"/>
  <c r="CO39" i="76"/>
  <c r="CN39" i="76"/>
  <c r="CB39" i="76"/>
  <c r="CA39" i="76"/>
  <c r="BZ39" i="76"/>
  <c r="BN39" i="76"/>
  <c r="BM39" i="76"/>
  <c r="BL39" i="76"/>
  <c r="AZ39" i="76"/>
  <c r="AY39" i="76"/>
  <c r="AX39" i="76"/>
  <c r="AL39" i="76"/>
  <c r="AK39" i="76"/>
  <c r="AJ39" i="76"/>
  <c r="X39" i="76"/>
  <c r="W39" i="76"/>
  <c r="V39" i="76"/>
  <c r="J39" i="76"/>
  <c r="K39" i="76" s="1"/>
  <c r="I39" i="76"/>
  <c r="FT29" i="7" s="1"/>
  <c r="H39" i="76"/>
  <c r="FS29" i="7" s="1"/>
  <c r="GI38" i="76"/>
  <c r="FU38" i="76"/>
  <c r="FG38" i="76"/>
  <c r="ES38" i="76"/>
  <c r="EE38" i="76"/>
  <c r="DR38" i="76"/>
  <c r="DQ38" i="76"/>
  <c r="DP38" i="76"/>
  <c r="DD38" i="76"/>
  <c r="DC38" i="76"/>
  <c r="DB38" i="76"/>
  <c r="CP38" i="76"/>
  <c r="CO38" i="76"/>
  <c r="CN38" i="76"/>
  <c r="CB38" i="76"/>
  <c r="CA38" i="76"/>
  <c r="BZ38" i="76"/>
  <c r="BN38" i="76"/>
  <c r="BM38" i="76"/>
  <c r="BL38" i="76"/>
  <c r="AZ38" i="76"/>
  <c r="AY38" i="76"/>
  <c r="AX38" i="76"/>
  <c r="AL38" i="76"/>
  <c r="AK38" i="76"/>
  <c r="AJ38" i="76"/>
  <c r="X38" i="76"/>
  <c r="W38" i="76"/>
  <c r="V38" i="76"/>
  <c r="J38" i="76"/>
  <c r="K38" i="76" s="1"/>
  <c r="I38" i="76"/>
  <c r="FT28" i="7" s="1"/>
  <c r="H38" i="76"/>
  <c r="FS28" i="7" s="1"/>
  <c r="GI37" i="76"/>
  <c r="FU37" i="76"/>
  <c r="FG37" i="76"/>
  <c r="ES37" i="76"/>
  <c r="EE37" i="76"/>
  <c r="DR37" i="76"/>
  <c r="DQ37" i="76"/>
  <c r="DP37" i="76"/>
  <c r="DD37" i="76"/>
  <c r="DC37" i="76"/>
  <c r="DB37" i="76"/>
  <c r="CP37" i="76"/>
  <c r="CO37" i="76"/>
  <c r="CN37" i="76"/>
  <c r="CB37" i="76"/>
  <c r="CA37" i="76"/>
  <c r="BZ37" i="76"/>
  <c r="BN37" i="76"/>
  <c r="BM37" i="76"/>
  <c r="BL37" i="76"/>
  <c r="AZ37" i="76"/>
  <c r="AY37" i="76"/>
  <c r="AX37" i="76"/>
  <c r="AL37" i="76"/>
  <c r="AK37" i="76"/>
  <c r="AJ37" i="76"/>
  <c r="X37" i="76"/>
  <c r="W37" i="76"/>
  <c r="V37" i="76"/>
  <c r="J37" i="76"/>
  <c r="K37" i="76" s="1"/>
  <c r="I37" i="76"/>
  <c r="FT27" i="7" s="1"/>
  <c r="H37" i="76"/>
  <c r="FS27" i="7" s="1"/>
  <c r="GI36" i="76"/>
  <c r="FU36" i="76"/>
  <c r="FH36" i="76"/>
  <c r="FG36" i="76"/>
  <c r="ES36" i="76"/>
  <c r="EE36" i="76"/>
  <c r="DR36" i="76"/>
  <c r="DQ36" i="76"/>
  <c r="DP36" i="76"/>
  <c r="DD36" i="76"/>
  <c r="DC36" i="76"/>
  <c r="DB36" i="76"/>
  <c r="CP36" i="76"/>
  <c r="CO36" i="76"/>
  <c r="CN36" i="76"/>
  <c r="CB36" i="76"/>
  <c r="CA36" i="76"/>
  <c r="BZ36" i="76"/>
  <c r="BN36" i="76"/>
  <c r="BM36" i="76"/>
  <c r="BL36" i="76"/>
  <c r="AZ36" i="76"/>
  <c r="AY36" i="76"/>
  <c r="AX36" i="76"/>
  <c r="AL36" i="76"/>
  <c r="AK36" i="76"/>
  <c r="AJ36" i="76"/>
  <c r="X36" i="76"/>
  <c r="W36" i="76"/>
  <c r="V36" i="76"/>
  <c r="J36" i="76"/>
  <c r="K36" i="76" s="1"/>
  <c r="I36" i="76"/>
  <c r="FT26" i="7" s="1"/>
  <c r="H36" i="76"/>
  <c r="FS26" i="7" s="1"/>
  <c r="GI35" i="76"/>
  <c r="FU35" i="76"/>
  <c r="FG35" i="76"/>
  <c r="ES35" i="76"/>
  <c r="EE35" i="76"/>
  <c r="DR35" i="76"/>
  <c r="DQ35" i="76"/>
  <c r="DP35" i="76"/>
  <c r="DD35" i="76"/>
  <c r="DC35" i="76"/>
  <c r="DB35" i="76"/>
  <c r="CP35" i="76"/>
  <c r="CO35" i="76"/>
  <c r="CN35" i="76"/>
  <c r="CB35" i="76"/>
  <c r="CA35" i="76"/>
  <c r="BZ35" i="76"/>
  <c r="BN35" i="76"/>
  <c r="BM35" i="76"/>
  <c r="BL35" i="76"/>
  <c r="AZ35" i="76"/>
  <c r="AY35" i="76"/>
  <c r="AX35" i="76"/>
  <c r="AL35" i="76"/>
  <c r="AK35" i="76"/>
  <c r="AJ35" i="76"/>
  <c r="X35" i="76"/>
  <c r="W35" i="76"/>
  <c r="V35" i="76"/>
  <c r="J35" i="76"/>
  <c r="K35" i="76" s="1"/>
  <c r="I35" i="76"/>
  <c r="FT25" i="7" s="1"/>
  <c r="H35" i="76"/>
  <c r="FS25" i="7" s="1"/>
  <c r="GI34" i="76"/>
  <c r="FU34" i="76"/>
  <c r="FG34" i="76"/>
  <c r="ES34" i="76"/>
  <c r="EE34" i="76"/>
  <c r="DR34" i="76"/>
  <c r="DQ34" i="76"/>
  <c r="DP34" i="76"/>
  <c r="DD34" i="76"/>
  <c r="DC34" i="76"/>
  <c r="DB34" i="76"/>
  <c r="CP34" i="76"/>
  <c r="CO34" i="76"/>
  <c r="CN34" i="76"/>
  <c r="CB34" i="76"/>
  <c r="CA34" i="76"/>
  <c r="BZ34" i="76"/>
  <c r="BN34" i="76"/>
  <c r="BM34" i="76"/>
  <c r="BL34" i="76"/>
  <c r="AZ34" i="76"/>
  <c r="AY34" i="76"/>
  <c r="AX34" i="76"/>
  <c r="AL34" i="76"/>
  <c r="AK34" i="76"/>
  <c r="AJ34" i="76"/>
  <c r="X34" i="76"/>
  <c r="W34" i="76"/>
  <c r="V34" i="76"/>
  <c r="J34" i="76"/>
  <c r="K34" i="76" s="1"/>
  <c r="I34" i="76"/>
  <c r="FT24" i="7" s="1"/>
  <c r="H34" i="76"/>
  <c r="FS24" i="7" s="1"/>
  <c r="GI33" i="76"/>
  <c r="FU33" i="76"/>
  <c r="FG33" i="76"/>
  <c r="ES33" i="76"/>
  <c r="EE33" i="76"/>
  <c r="DR33" i="76"/>
  <c r="DQ33" i="76"/>
  <c r="DP33" i="76"/>
  <c r="DD33" i="76"/>
  <c r="DC33" i="76"/>
  <c r="DB33" i="76"/>
  <c r="CP33" i="76"/>
  <c r="CO33" i="76"/>
  <c r="CN33" i="76"/>
  <c r="CB33" i="76"/>
  <c r="CA33" i="76"/>
  <c r="BZ33" i="76"/>
  <c r="BN33" i="76"/>
  <c r="BM33" i="76"/>
  <c r="BL33" i="76"/>
  <c r="AZ33" i="76"/>
  <c r="AY33" i="76"/>
  <c r="AX33" i="76"/>
  <c r="AL33" i="76"/>
  <c r="AK33" i="76"/>
  <c r="AJ33" i="76"/>
  <c r="X33" i="76"/>
  <c r="W33" i="76"/>
  <c r="V33" i="76"/>
  <c r="J33" i="76"/>
  <c r="K33" i="76" s="1"/>
  <c r="I33" i="76"/>
  <c r="FT23" i="7" s="1"/>
  <c r="H33" i="76"/>
  <c r="FS23" i="7" s="1"/>
  <c r="GI32" i="76"/>
  <c r="FU32" i="76"/>
  <c r="FG32" i="76"/>
  <c r="ET32" i="76"/>
  <c r="ES32" i="76"/>
  <c r="EE32" i="76"/>
  <c r="DR32" i="76"/>
  <c r="DQ32" i="76"/>
  <c r="DP32" i="76"/>
  <c r="DD32" i="76"/>
  <c r="DC32" i="76"/>
  <c r="DB32" i="76"/>
  <c r="CP32" i="76"/>
  <c r="CO32" i="76"/>
  <c r="CN32" i="76"/>
  <c r="CB32" i="76"/>
  <c r="CA32" i="76"/>
  <c r="BZ32" i="76"/>
  <c r="BN32" i="76"/>
  <c r="BM32" i="76"/>
  <c r="BL32" i="76"/>
  <c r="AZ32" i="76"/>
  <c r="AY32" i="76"/>
  <c r="AX32" i="76"/>
  <c r="AL32" i="76"/>
  <c r="AK32" i="76"/>
  <c r="AJ32" i="76"/>
  <c r="X32" i="76"/>
  <c r="W32" i="76"/>
  <c r="V32" i="76"/>
  <c r="J32" i="76"/>
  <c r="K32" i="76" s="1"/>
  <c r="I32" i="76"/>
  <c r="FT22" i="7" s="1"/>
  <c r="H32" i="76"/>
  <c r="FS22" i="7" s="1"/>
  <c r="GI31" i="76"/>
  <c r="FU31" i="76"/>
  <c r="FG31" i="76"/>
  <c r="ES31" i="76"/>
  <c r="EE31" i="76"/>
  <c r="DR31" i="76"/>
  <c r="DQ31" i="76"/>
  <c r="DP31" i="76"/>
  <c r="DD31" i="76"/>
  <c r="DC31" i="76"/>
  <c r="DB31" i="76"/>
  <c r="CP31" i="76"/>
  <c r="CO31" i="76"/>
  <c r="CN31" i="76"/>
  <c r="CB31" i="76"/>
  <c r="CA31" i="76"/>
  <c r="BZ31" i="76"/>
  <c r="BN31" i="76"/>
  <c r="BM31" i="76"/>
  <c r="BL31" i="76"/>
  <c r="AZ31" i="76"/>
  <c r="AY31" i="76"/>
  <c r="AX31" i="76"/>
  <c r="AL31" i="76"/>
  <c r="AK31" i="76"/>
  <c r="AJ31" i="76"/>
  <c r="X31" i="76"/>
  <c r="W31" i="76"/>
  <c r="V31" i="76"/>
  <c r="J31" i="76"/>
  <c r="K31" i="76" s="1"/>
  <c r="I31" i="76"/>
  <c r="FT21" i="7" s="1"/>
  <c r="H31" i="76"/>
  <c r="FS21" i="7" s="1"/>
  <c r="GI30" i="76"/>
  <c r="FU30" i="76"/>
  <c r="FG30" i="76"/>
  <c r="ES30" i="76"/>
  <c r="EE30" i="76"/>
  <c r="DR30" i="76"/>
  <c r="DQ30" i="76"/>
  <c r="DP30" i="76"/>
  <c r="DD30" i="76"/>
  <c r="DC30" i="76"/>
  <c r="DB30" i="76"/>
  <c r="CP30" i="76"/>
  <c r="CO30" i="76"/>
  <c r="CN30" i="76"/>
  <c r="CB30" i="76"/>
  <c r="CA30" i="76"/>
  <c r="BZ30" i="76"/>
  <c r="BN30" i="76"/>
  <c r="BM30" i="76"/>
  <c r="BL30" i="76"/>
  <c r="AZ30" i="76"/>
  <c r="AY30" i="76"/>
  <c r="AX30" i="76"/>
  <c r="AL30" i="76"/>
  <c r="AK30" i="76"/>
  <c r="AJ30" i="76"/>
  <c r="X30" i="76"/>
  <c r="W30" i="76"/>
  <c r="V30" i="76"/>
  <c r="J30" i="76"/>
  <c r="K30" i="76" s="1"/>
  <c r="I30" i="76"/>
  <c r="H30" i="76"/>
  <c r="GI29" i="76"/>
  <c r="FU29" i="76"/>
  <c r="FG29" i="76"/>
  <c r="ES29" i="76"/>
  <c r="EE29" i="76"/>
  <c r="DR29" i="76"/>
  <c r="DQ29" i="76"/>
  <c r="DP29" i="76"/>
  <c r="DD29" i="76"/>
  <c r="DC29" i="76"/>
  <c r="DB29" i="76"/>
  <c r="CP29" i="76"/>
  <c r="CO29" i="76"/>
  <c r="CN29" i="76"/>
  <c r="CB29" i="76"/>
  <c r="CA29" i="76"/>
  <c r="BZ29" i="76"/>
  <c r="BN29" i="76"/>
  <c r="BM29" i="76"/>
  <c r="BL29" i="76"/>
  <c r="AZ29" i="76"/>
  <c r="AY29" i="76"/>
  <c r="AX29" i="76"/>
  <c r="AL29" i="76"/>
  <c r="AK29" i="76"/>
  <c r="AJ29" i="76"/>
  <c r="X29" i="76"/>
  <c r="W29" i="76"/>
  <c r="V29" i="76"/>
  <c r="J29" i="76"/>
  <c r="K29" i="76" s="1"/>
  <c r="I29" i="76"/>
  <c r="FT149" i="7" s="1"/>
  <c r="H29" i="76"/>
  <c r="FS149" i="7" s="1"/>
  <c r="GJ28" i="76"/>
  <c r="GI28" i="76"/>
  <c r="FU28" i="76"/>
  <c r="FH28" i="76"/>
  <c r="FG28" i="76"/>
  <c r="ES28" i="76"/>
  <c r="EE28" i="76"/>
  <c r="DR28" i="76"/>
  <c r="DQ28" i="76"/>
  <c r="DP28" i="76"/>
  <c r="DD28" i="76"/>
  <c r="DC28" i="76"/>
  <c r="DB28" i="76"/>
  <c r="CP28" i="76"/>
  <c r="CO28" i="76"/>
  <c r="CN28" i="76"/>
  <c r="CB28" i="76"/>
  <c r="CA28" i="76"/>
  <c r="BZ28" i="76"/>
  <c r="BN28" i="76"/>
  <c r="BM28" i="76"/>
  <c r="BL28" i="76"/>
  <c r="AZ28" i="76"/>
  <c r="AY28" i="76"/>
  <c r="AX28" i="76"/>
  <c r="AL28" i="76"/>
  <c r="AK28" i="76"/>
  <c r="AJ28" i="76"/>
  <c r="X28" i="76"/>
  <c r="W28" i="76"/>
  <c r="V28" i="76"/>
  <c r="J28" i="76"/>
  <c r="K28" i="76" s="1"/>
  <c r="I28" i="76"/>
  <c r="FT148" i="7" s="1"/>
  <c r="H28" i="76"/>
  <c r="FS148" i="7" s="1"/>
  <c r="GI27" i="76"/>
  <c r="FU27" i="76"/>
  <c r="FG27" i="76"/>
  <c r="ES27" i="76"/>
  <c r="EE27" i="76"/>
  <c r="DR27" i="76"/>
  <c r="DQ27" i="76"/>
  <c r="DP27" i="76"/>
  <c r="DD27" i="76"/>
  <c r="DC27" i="76"/>
  <c r="DB27" i="76"/>
  <c r="CP27" i="76"/>
  <c r="CO27" i="76"/>
  <c r="CN27" i="76"/>
  <c r="CB27" i="76"/>
  <c r="CA27" i="76"/>
  <c r="BZ27" i="76"/>
  <c r="BN27" i="76"/>
  <c r="BM27" i="76"/>
  <c r="BL27" i="76"/>
  <c r="AZ27" i="76"/>
  <c r="AY27" i="76"/>
  <c r="AX27" i="76"/>
  <c r="AL27" i="76"/>
  <c r="AK27" i="76"/>
  <c r="AJ27" i="76"/>
  <c r="X27" i="76"/>
  <c r="W27" i="76"/>
  <c r="V27" i="76"/>
  <c r="J27" i="76"/>
  <c r="K27" i="76" s="1"/>
  <c r="I27" i="76"/>
  <c r="FT147" i="7" s="1"/>
  <c r="H27" i="76"/>
  <c r="FS147" i="7" s="1"/>
  <c r="GI26" i="76"/>
  <c r="FV26" i="76"/>
  <c r="FU26" i="76"/>
  <c r="FH26" i="76"/>
  <c r="FG26" i="76"/>
  <c r="ES26" i="76"/>
  <c r="EF26" i="76"/>
  <c r="EE26" i="76"/>
  <c r="DR26" i="76"/>
  <c r="DQ26" i="76"/>
  <c r="DP26" i="76"/>
  <c r="DD26" i="76"/>
  <c r="DC26" i="76"/>
  <c r="DB26" i="76"/>
  <c r="CP26" i="76"/>
  <c r="CO26" i="76"/>
  <c r="CN26" i="76"/>
  <c r="CB26" i="76"/>
  <c r="CA26" i="76"/>
  <c r="BZ26" i="76"/>
  <c r="BN26" i="76"/>
  <c r="BM26" i="76"/>
  <c r="BL26" i="76"/>
  <c r="AZ26" i="76"/>
  <c r="AY26" i="76"/>
  <c r="AX26" i="76"/>
  <c r="AL26" i="76"/>
  <c r="AK26" i="76"/>
  <c r="AJ26" i="76"/>
  <c r="X26" i="76"/>
  <c r="W26" i="76"/>
  <c r="V26" i="76"/>
  <c r="J26" i="76"/>
  <c r="K26" i="76" s="1"/>
  <c r="I26" i="76"/>
  <c r="FT146" i="7" s="1"/>
  <c r="H26" i="76"/>
  <c r="FS146" i="7" s="1"/>
  <c r="GJ25" i="76"/>
  <c r="GI25" i="76"/>
  <c r="FU25" i="76"/>
  <c r="FG25" i="76"/>
  <c r="ET25" i="76"/>
  <c r="ES25" i="76"/>
  <c r="EE25" i="76"/>
  <c r="DR25" i="76"/>
  <c r="DQ25" i="76"/>
  <c r="DP25" i="76"/>
  <c r="DD25" i="76"/>
  <c r="DC25" i="76"/>
  <c r="DB25" i="76"/>
  <c r="CP25" i="76"/>
  <c r="CO25" i="76"/>
  <c r="CN25" i="76"/>
  <c r="CB25" i="76"/>
  <c r="CA25" i="76"/>
  <c r="BZ25" i="76"/>
  <c r="BN25" i="76"/>
  <c r="BM25" i="76"/>
  <c r="BL25" i="76"/>
  <c r="AZ25" i="76"/>
  <c r="AY25" i="76"/>
  <c r="AX25" i="76"/>
  <c r="AL25" i="76"/>
  <c r="AK25" i="76"/>
  <c r="AJ25" i="76"/>
  <c r="X25" i="76"/>
  <c r="W25" i="76"/>
  <c r="V25" i="76"/>
  <c r="J25" i="76"/>
  <c r="K25" i="76" s="1"/>
  <c r="I25" i="76"/>
  <c r="FT145" i="7" s="1"/>
  <c r="H25" i="76"/>
  <c r="FS145" i="7" s="1"/>
  <c r="GJ24" i="76"/>
  <c r="GI24" i="76"/>
  <c r="FU24" i="76"/>
  <c r="FG24" i="76"/>
  <c r="ET24" i="76"/>
  <c r="ES24" i="76"/>
  <c r="EE24" i="76"/>
  <c r="DR24" i="76"/>
  <c r="DQ24" i="76"/>
  <c r="DP24" i="76"/>
  <c r="DD24" i="76"/>
  <c r="DC24" i="76"/>
  <c r="DB24" i="76"/>
  <c r="DH24" i="76" s="1"/>
  <c r="CP24" i="76"/>
  <c r="CO24" i="76"/>
  <c r="CN24" i="76"/>
  <c r="CB24" i="76"/>
  <c r="CA24" i="76"/>
  <c r="BZ24" i="76"/>
  <c r="CF24" i="76" s="1"/>
  <c r="BN24" i="76"/>
  <c r="BM24" i="76"/>
  <c r="BL24" i="76"/>
  <c r="AZ24" i="76"/>
  <c r="AY24" i="76"/>
  <c r="AX24" i="76"/>
  <c r="BD24" i="76" s="1"/>
  <c r="AL24" i="76"/>
  <c r="AK24" i="76"/>
  <c r="AJ24" i="76"/>
  <c r="AP24" i="76" s="1"/>
  <c r="X24" i="76"/>
  <c r="W24" i="76"/>
  <c r="V24" i="76"/>
  <c r="AB24" i="76" s="1"/>
  <c r="J24" i="76"/>
  <c r="K24" i="76" s="1"/>
  <c r="I24" i="76"/>
  <c r="FT144" i="7" s="1"/>
  <c r="H24" i="76"/>
  <c r="GI23" i="76"/>
  <c r="FV23" i="76"/>
  <c r="FU23" i="76"/>
  <c r="FH23" i="76"/>
  <c r="FG23" i="76"/>
  <c r="ES23" i="76"/>
  <c r="EE23" i="76"/>
  <c r="DR23" i="76"/>
  <c r="DQ23" i="76"/>
  <c r="DP23" i="76"/>
  <c r="DV23" i="76" s="1"/>
  <c r="DD23" i="76"/>
  <c r="DC23" i="76"/>
  <c r="DB23" i="76"/>
  <c r="DH23" i="76" s="1"/>
  <c r="CP23" i="76"/>
  <c r="CO23" i="76"/>
  <c r="CN23" i="76"/>
  <c r="CT23" i="76" s="1"/>
  <c r="CB23" i="76"/>
  <c r="CA23" i="76"/>
  <c r="BZ23" i="76"/>
  <c r="CF23" i="76" s="1"/>
  <c r="BN23" i="76"/>
  <c r="BM23" i="76"/>
  <c r="BL23" i="76"/>
  <c r="BR23" i="76" s="1"/>
  <c r="AZ23" i="76"/>
  <c r="AY23" i="76"/>
  <c r="AX23" i="76"/>
  <c r="AL23" i="76"/>
  <c r="AK23" i="76"/>
  <c r="AJ23" i="76"/>
  <c r="AP23" i="76" s="1"/>
  <c r="X23" i="76"/>
  <c r="W23" i="76"/>
  <c r="V23" i="76"/>
  <c r="AB23" i="76" s="1"/>
  <c r="J23" i="76"/>
  <c r="K23" i="76" s="1"/>
  <c r="I23" i="76"/>
  <c r="FT143" i="7" s="1"/>
  <c r="H23" i="76"/>
  <c r="FS143" i="7" s="1"/>
  <c r="GJ22" i="76"/>
  <c r="GI22" i="76"/>
  <c r="FU22" i="76"/>
  <c r="FG22" i="76"/>
  <c r="ET22" i="76"/>
  <c r="ES22" i="76"/>
  <c r="EF22" i="76"/>
  <c r="EE22" i="76"/>
  <c r="DR22" i="76"/>
  <c r="DQ22" i="76"/>
  <c r="DP22" i="76"/>
  <c r="DD22" i="76"/>
  <c r="DC22" i="76"/>
  <c r="DB22" i="76"/>
  <c r="DH22" i="76" s="1"/>
  <c r="CP22" i="76"/>
  <c r="CO22" i="76"/>
  <c r="CN22" i="76"/>
  <c r="CB22" i="76"/>
  <c r="CA22" i="76"/>
  <c r="BZ22" i="76"/>
  <c r="CF22" i="76" s="1"/>
  <c r="BN22" i="76"/>
  <c r="BM22" i="76"/>
  <c r="BL22" i="76"/>
  <c r="AZ22" i="76"/>
  <c r="AY22" i="76"/>
  <c r="AX22" i="76"/>
  <c r="BD22" i="76" s="1"/>
  <c r="AL22" i="76"/>
  <c r="AK22" i="76"/>
  <c r="AJ22" i="76"/>
  <c r="X22" i="76"/>
  <c r="W22" i="76"/>
  <c r="V22" i="76"/>
  <c r="AB22" i="76" s="1"/>
  <c r="J22" i="76"/>
  <c r="K22" i="76" s="1"/>
  <c r="I22" i="76"/>
  <c r="FT142" i="7" s="1"/>
  <c r="H22" i="76"/>
  <c r="GJ21" i="76"/>
  <c r="GI21" i="76"/>
  <c r="FU21" i="76"/>
  <c r="FG21" i="76"/>
  <c r="ES21" i="76"/>
  <c r="EF21" i="76"/>
  <c r="EE21" i="76"/>
  <c r="DR21" i="76"/>
  <c r="DQ21" i="76"/>
  <c r="DP21" i="76"/>
  <c r="DV21" i="76" s="1"/>
  <c r="DD21" i="76"/>
  <c r="DC21" i="76"/>
  <c r="DB21" i="76"/>
  <c r="CP21" i="76"/>
  <c r="CO21" i="76"/>
  <c r="CN21" i="76"/>
  <c r="CB21" i="76"/>
  <c r="CA21" i="76"/>
  <c r="BZ21" i="76"/>
  <c r="CF21" i="76" s="1"/>
  <c r="BN21" i="76"/>
  <c r="BM21" i="76"/>
  <c r="BL21" i="76"/>
  <c r="BR21" i="76" s="1"/>
  <c r="AZ21" i="76"/>
  <c r="AY21" i="76"/>
  <c r="AX21" i="76"/>
  <c r="BD21" i="76" s="1"/>
  <c r="AL21" i="76"/>
  <c r="AK21" i="76"/>
  <c r="AJ21" i="76"/>
  <c r="X21" i="76"/>
  <c r="W21" i="76"/>
  <c r="V21" i="76"/>
  <c r="AB21" i="76" s="1"/>
  <c r="J21" i="76"/>
  <c r="K21" i="76" s="1"/>
  <c r="I21" i="76"/>
  <c r="FT141" i="7" s="1"/>
  <c r="H21" i="76"/>
  <c r="GI20" i="76"/>
  <c r="FU20" i="76"/>
  <c r="FH20" i="76"/>
  <c r="FG20" i="76"/>
  <c r="ET20" i="76"/>
  <c r="ES20" i="76"/>
  <c r="EE20" i="76"/>
  <c r="DR20" i="76"/>
  <c r="DQ20" i="76"/>
  <c r="DP20" i="76"/>
  <c r="DV20" i="76" s="1"/>
  <c r="DD20" i="76"/>
  <c r="DC20" i="76"/>
  <c r="DB20" i="76"/>
  <c r="DH20" i="76" s="1"/>
  <c r="CP20" i="76"/>
  <c r="CO20" i="76"/>
  <c r="CN20" i="76"/>
  <c r="CB20" i="76"/>
  <c r="CA20" i="76"/>
  <c r="BZ20" i="76"/>
  <c r="BN20" i="76"/>
  <c r="BM20" i="76"/>
  <c r="BL20" i="76"/>
  <c r="BR20" i="76" s="1"/>
  <c r="AZ20" i="76"/>
  <c r="AY20" i="76"/>
  <c r="AX20" i="76"/>
  <c r="BD20" i="76" s="1"/>
  <c r="AL20" i="76"/>
  <c r="AK20" i="76"/>
  <c r="AJ20" i="76"/>
  <c r="AP20" i="76" s="1"/>
  <c r="X20" i="76"/>
  <c r="W20" i="76"/>
  <c r="V20" i="76"/>
  <c r="J20" i="76"/>
  <c r="K20" i="76" s="1"/>
  <c r="I20" i="76"/>
  <c r="FT140" i="7" s="1"/>
  <c r="H20" i="76"/>
  <c r="GJ19" i="76"/>
  <c r="GI19" i="76"/>
  <c r="FV19" i="76"/>
  <c r="FU19" i="76"/>
  <c r="FH19" i="76"/>
  <c r="FG19" i="76"/>
  <c r="ES19" i="76"/>
  <c r="EF19" i="76"/>
  <c r="EE19" i="76"/>
  <c r="DR19" i="76"/>
  <c r="DQ19" i="76"/>
  <c r="DP19" i="76"/>
  <c r="DV19" i="76" s="1"/>
  <c r="DD19" i="76"/>
  <c r="DC19" i="76"/>
  <c r="DB19" i="76"/>
  <c r="DH19" i="76" s="1"/>
  <c r="CP19" i="76"/>
  <c r="CO19" i="76"/>
  <c r="CN19" i="76"/>
  <c r="CT19" i="76" s="1"/>
  <c r="CB19" i="76"/>
  <c r="CA19" i="76"/>
  <c r="BZ19" i="76"/>
  <c r="CF19" i="76" s="1"/>
  <c r="BN19" i="76"/>
  <c r="BM19" i="76"/>
  <c r="BL19" i="76"/>
  <c r="BR19" i="76" s="1"/>
  <c r="AZ19" i="76"/>
  <c r="AY19" i="76"/>
  <c r="AX19" i="76"/>
  <c r="AL19" i="76"/>
  <c r="AK19" i="76"/>
  <c r="AJ19" i="76"/>
  <c r="AP19" i="76" s="1"/>
  <c r="X19" i="76"/>
  <c r="W19" i="76"/>
  <c r="V19" i="76"/>
  <c r="AB19" i="76" s="1"/>
  <c r="J19" i="76"/>
  <c r="K19" i="76" s="1"/>
  <c r="I19" i="76"/>
  <c r="FT139" i="7" s="1"/>
  <c r="H19" i="76"/>
  <c r="FS139" i="7" s="1"/>
  <c r="GJ18" i="76"/>
  <c r="GI18" i="76"/>
  <c r="FU18" i="76"/>
  <c r="FG18" i="76"/>
  <c r="ET18" i="76"/>
  <c r="ES18" i="76"/>
  <c r="EF18" i="76"/>
  <c r="EE18" i="76"/>
  <c r="DR18" i="76"/>
  <c r="DQ18" i="76"/>
  <c r="DP18" i="76"/>
  <c r="DV18" i="76" s="1"/>
  <c r="DD18" i="76"/>
  <c r="DC18" i="76"/>
  <c r="DB18" i="76"/>
  <c r="CP18" i="76"/>
  <c r="CO18" i="76"/>
  <c r="CN18" i="76"/>
  <c r="CT18" i="76" s="1"/>
  <c r="CB18" i="76"/>
  <c r="CA18" i="76"/>
  <c r="BZ18" i="76"/>
  <c r="BN18" i="76"/>
  <c r="BM18" i="76"/>
  <c r="BL18" i="76"/>
  <c r="BR18" i="76" s="1"/>
  <c r="AZ18" i="76"/>
  <c r="AY18" i="76"/>
  <c r="AX18" i="76"/>
  <c r="AL18" i="76"/>
  <c r="AK18" i="76"/>
  <c r="AJ18" i="76"/>
  <c r="AP18" i="76" s="1"/>
  <c r="X18" i="76"/>
  <c r="W18" i="76"/>
  <c r="V18" i="76"/>
  <c r="AB18" i="76" s="1"/>
  <c r="J18" i="76"/>
  <c r="K18" i="76" s="1"/>
  <c r="I18" i="76"/>
  <c r="FT138" i="7" s="1"/>
  <c r="H18" i="76"/>
  <c r="GJ17" i="76"/>
  <c r="GI17" i="76"/>
  <c r="FU17" i="76"/>
  <c r="FG17" i="76"/>
  <c r="ET17" i="76"/>
  <c r="ES17" i="76"/>
  <c r="EF17" i="76"/>
  <c r="EE17" i="76"/>
  <c r="DR17" i="76"/>
  <c r="DQ17" i="76"/>
  <c r="DP17" i="76"/>
  <c r="DD17" i="76"/>
  <c r="DC17" i="76"/>
  <c r="DB17" i="76"/>
  <c r="CP17" i="76"/>
  <c r="CO17" i="76"/>
  <c r="CN17" i="76"/>
  <c r="CB17" i="76"/>
  <c r="CA17" i="76"/>
  <c r="BZ17" i="76"/>
  <c r="BN17" i="76"/>
  <c r="BM17" i="76"/>
  <c r="BL17" i="76"/>
  <c r="AZ17" i="76"/>
  <c r="AY17" i="76"/>
  <c r="AX17" i="76"/>
  <c r="BD17" i="76" s="1"/>
  <c r="AL17" i="76"/>
  <c r="AK17" i="76"/>
  <c r="AJ17" i="76"/>
  <c r="AP17" i="76" s="1"/>
  <c r="X17" i="76"/>
  <c r="W17" i="76"/>
  <c r="V17" i="76"/>
  <c r="J17" i="76"/>
  <c r="K17" i="76" s="1"/>
  <c r="I17" i="76"/>
  <c r="FT137" i="7" s="1"/>
  <c r="H17" i="76"/>
  <c r="FS137" i="7" s="1"/>
  <c r="GI16" i="76"/>
  <c r="FV16" i="76"/>
  <c r="FU16" i="76"/>
  <c r="FH16" i="76"/>
  <c r="FG16" i="76"/>
  <c r="ET16" i="76"/>
  <c r="ES16" i="76"/>
  <c r="EE16" i="76"/>
  <c r="DR16" i="76"/>
  <c r="DQ16" i="76"/>
  <c r="DP16" i="76"/>
  <c r="DV16" i="76" s="1"/>
  <c r="DD16" i="76"/>
  <c r="DC16" i="76"/>
  <c r="DB16" i="76"/>
  <c r="DH16" i="76" s="1"/>
  <c r="CP16" i="76"/>
  <c r="CO16" i="76"/>
  <c r="CN16" i="76"/>
  <c r="CB16" i="76"/>
  <c r="CA16" i="76"/>
  <c r="BZ16" i="76"/>
  <c r="CF16" i="76" s="1"/>
  <c r="BN16" i="76"/>
  <c r="BM16" i="76"/>
  <c r="BL16" i="76"/>
  <c r="BR16" i="76" s="1"/>
  <c r="AZ16" i="76"/>
  <c r="AY16" i="76"/>
  <c r="AX16" i="76"/>
  <c r="BD16" i="76" s="1"/>
  <c r="AL16" i="76"/>
  <c r="AK16" i="76"/>
  <c r="AJ16" i="76"/>
  <c r="X16" i="76"/>
  <c r="W16" i="76"/>
  <c r="V16" i="76"/>
  <c r="J16" i="76"/>
  <c r="K16" i="76" s="1"/>
  <c r="I16" i="76"/>
  <c r="FT136" i="7" s="1"/>
  <c r="H16" i="76"/>
  <c r="FS136" i="7" s="1"/>
  <c r="GJ15" i="76"/>
  <c r="GI15" i="76"/>
  <c r="FV15" i="76"/>
  <c r="FU15" i="76"/>
  <c r="FG15" i="76"/>
  <c r="ES15" i="76"/>
  <c r="EF15" i="76"/>
  <c r="EE15" i="76"/>
  <c r="DR15" i="76"/>
  <c r="DQ15" i="76"/>
  <c r="DP15" i="76"/>
  <c r="DV15" i="76" s="1"/>
  <c r="DD15" i="76"/>
  <c r="DC15" i="76"/>
  <c r="DB15" i="76"/>
  <c r="DH15" i="76" s="1"/>
  <c r="CP15" i="76"/>
  <c r="CO15" i="76"/>
  <c r="CN15" i="76"/>
  <c r="CT15" i="76" s="1"/>
  <c r="CB15" i="76"/>
  <c r="CA15" i="76"/>
  <c r="BZ15" i="76"/>
  <c r="CF15" i="76" s="1"/>
  <c r="BN15" i="76"/>
  <c r="BM15" i="76"/>
  <c r="BL15" i="76"/>
  <c r="BR15" i="76" s="1"/>
  <c r="AZ15" i="76"/>
  <c r="AY15" i="76"/>
  <c r="AX15" i="76"/>
  <c r="AL15" i="76"/>
  <c r="AK15" i="76"/>
  <c r="AJ15" i="76"/>
  <c r="AP15" i="76" s="1"/>
  <c r="X15" i="76"/>
  <c r="W15" i="76"/>
  <c r="V15" i="76"/>
  <c r="AB15" i="76" s="1"/>
  <c r="J15" i="76"/>
  <c r="K15" i="76" s="1"/>
  <c r="I15" i="76"/>
  <c r="FT135" i="7" s="1"/>
  <c r="H15" i="76"/>
  <c r="FS135" i="7" s="1"/>
  <c r="GI14" i="76"/>
  <c r="FV14" i="76"/>
  <c r="FU14" i="76"/>
  <c r="FG14" i="76"/>
  <c r="ET14" i="76"/>
  <c r="ES14" i="76"/>
  <c r="EE14" i="76"/>
  <c r="DR14" i="76"/>
  <c r="DQ14" i="76"/>
  <c r="DP14" i="76"/>
  <c r="DV14" i="76" s="1"/>
  <c r="DD14" i="76"/>
  <c r="DC14" i="76"/>
  <c r="DB14" i="76"/>
  <c r="CP14" i="76"/>
  <c r="CO14" i="76"/>
  <c r="CN14" i="76"/>
  <c r="CB14" i="76"/>
  <c r="CA14" i="76"/>
  <c r="BZ14" i="76"/>
  <c r="BN14" i="76"/>
  <c r="BM14" i="76"/>
  <c r="BL14" i="76"/>
  <c r="BR14" i="76" s="1"/>
  <c r="AZ14" i="76"/>
  <c r="AY14" i="76"/>
  <c r="AX14" i="76"/>
  <c r="AL14" i="76"/>
  <c r="AK14" i="76"/>
  <c r="AJ14" i="76"/>
  <c r="AP14" i="76" s="1"/>
  <c r="X14" i="76"/>
  <c r="W14" i="76"/>
  <c r="V14" i="76"/>
  <c r="J14" i="76"/>
  <c r="K14" i="76" s="1"/>
  <c r="I14" i="76"/>
  <c r="FT134" i="7" s="1"/>
  <c r="H14" i="76"/>
  <c r="FS134" i="7" s="1"/>
  <c r="GJ13" i="76"/>
  <c r="GI13" i="76"/>
  <c r="FU13" i="76"/>
  <c r="FH13" i="76"/>
  <c r="FG13" i="76"/>
  <c r="ET13" i="76"/>
  <c r="ES13" i="76"/>
  <c r="EF13" i="76"/>
  <c r="EE13" i="76"/>
  <c r="DR13" i="76"/>
  <c r="DQ13" i="76"/>
  <c r="DP13" i="76"/>
  <c r="DD13" i="76"/>
  <c r="DC13" i="76"/>
  <c r="DB13" i="76"/>
  <c r="CP13" i="76"/>
  <c r="CO13" i="76"/>
  <c r="CN13" i="76"/>
  <c r="CB13" i="76"/>
  <c r="CA13" i="76"/>
  <c r="BZ13" i="76"/>
  <c r="BN13" i="76"/>
  <c r="BM13" i="76"/>
  <c r="BL13" i="76"/>
  <c r="AZ13" i="76"/>
  <c r="AY13" i="76"/>
  <c r="AX13" i="76"/>
  <c r="AL13" i="76"/>
  <c r="AK13" i="76"/>
  <c r="AJ13" i="76"/>
  <c r="X13" i="76"/>
  <c r="W13" i="76"/>
  <c r="V13" i="76"/>
  <c r="J13" i="76"/>
  <c r="K13" i="76" s="1"/>
  <c r="I13" i="76"/>
  <c r="FT133" i="7" s="1"/>
  <c r="H13" i="76"/>
  <c r="FS133" i="7" s="1"/>
  <c r="FV12" i="76"/>
  <c r="FU12" i="76"/>
  <c r="FH12" i="76"/>
  <c r="FG12" i="76"/>
  <c r="ES12" i="76"/>
  <c r="EF12" i="76"/>
  <c r="EE12" i="76"/>
  <c r="DR12" i="76"/>
  <c r="DQ12" i="76"/>
  <c r="DP12" i="76"/>
  <c r="DD12" i="76"/>
  <c r="DC12" i="76"/>
  <c r="DB12" i="76"/>
  <c r="CP12" i="76"/>
  <c r="CO12" i="76"/>
  <c r="CN12" i="76"/>
  <c r="CB12" i="76"/>
  <c r="CA12" i="76"/>
  <c r="BZ12" i="76"/>
  <c r="BN12" i="76"/>
  <c r="BM12" i="76"/>
  <c r="BL12" i="76"/>
  <c r="AZ12" i="76"/>
  <c r="AY12" i="76"/>
  <c r="AX12" i="76"/>
  <c r="AL12" i="76"/>
  <c r="AK12" i="76"/>
  <c r="AJ12" i="76"/>
  <c r="X12" i="76"/>
  <c r="W12" i="76"/>
  <c r="V12" i="76"/>
  <c r="J12" i="76"/>
  <c r="K12" i="76" s="1"/>
  <c r="I12" i="76"/>
  <c r="FT132" i="7" s="1"/>
  <c r="H12" i="76"/>
  <c r="FS132" i="7" s="1"/>
  <c r="FV11" i="76"/>
  <c r="FU11" i="76"/>
  <c r="FG11" i="76"/>
  <c r="ET11" i="76"/>
  <c r="ES11" i="76"/>
  <c r="EF11" i="76"/>
  <c r="EE11" i="76"/>
  <c r="DR11" i="76"/>
  <c r="DQ11" i="76"/>
  <c r="DP11" i="76"/>
  <c r="DD11" i="76"/>
  <c r="DC11" i="76"/>
  <c r="DB11" i="76"/>
  <c r="CP11" i="76"/>
  <c r="CO11" i="76"/>
  <c r="CN11" i="76"/>
  <c r="CB11" i="76"/>
  <c r="CA11" i="76"/>
  <c r="BZ11" i="76"/>
  <c r="BN11" i="76"/>
  <c r="BM11" i="76"/>
  <c r="BL11" i="76"/>
  <c r="AZ11" i="76"/>
  <c r="AY11" i="76"/>
  <c r="AX11" i="76"/>
  <c r="AL11" i="76"/>
  <c r="AK11" i="76"/>
  <c r="AJ11" i="76"/>
  <c r="X11" i="76"/>
  <c r="W11" i="76"/>
  <c r="V11" i="76"/>
  <c r="J11" i="76"/>
  <c r="K11" i="76" s="1"/>
  <c r="I11" i="76"/>
  <c r="FT131" i="7" s="1"/>
  <c r="H11" i="76"/>
  <c r="FS131" i="7" s="1"/>
  <c r="FU10" i="76"/>
  <c r="FH10" i="76"/>
  <c r="FG10" i="76"/>
  <c r="ET10" i="76"/>
  <c r="ES10" i="76"/>
  <c r="EF10" i="76"/>
  <c r="EE10" i="76"/>
  <c r="DR10" i="76"/>
  <c r="DQ10" i="76"/>
  <c r="DP10" i="76"/>
  <c r="DV10" i="76" s="1"/>
  <c r="DD10" i="76"/>
  <c r="DC10" i="76"/>
  <c r="DB10" i="76"/>
  <c r="DH10" i="76" s="1"/>
  <c r="CP10" i="76"/>
  <c r="CO10" i="76"/>
  <c r="CN10" i="76"/>
  <c r="CB10" i="76"/>
  <c r="CA10" i="76"/>
  <c r="BZ10" i="76"/>
  <c r="BN10" i="76"/>
  <c r="BM10" i="76"/>
  <c r="BL10" i="76"/>
  <c r="BR10" i="76" s="1"/>
  <c r="AZ10" i="76"/>
  <c r="AY10" i="76"/>
  <c r="AX10" i="76"/>
  <c r="BD10" i="76" s="1"/>
  <c r="AL10" i="76"/>
  <c r="AK10" i="76"/>
  <c r="AJ10" i="76"/>
  <c r="AP10" i="76" s="1"/>
  <c r="X10" i="76"/>
  <c r="W10" i="76"/>
  <c r="V10" i="76"/>
  <c r="J10" i="76"/>
  <c r="K10" i="76" s="1"/>
  <c r="I10" i="76"/>
  <c r="FT130" i="7" s="1"/>
  <c r="H10" i="76"/>
  <c r="G9" i="76"/>
  <c r="F9" i="76"/>
  <c r="GM8" i="76"/>
  <c r="GN8" i="76" s="1"/>
  <c r="GO8" i="76" s="1"/>
  <c r="GL8" i="76"/>
  <c r="GJ8" i="76"/>
  <c r="GJ41" i="76" s="1"/>
  <c r="FX8" i="76"/>
  <c r="FY8" i="76" s="1"/>
  <c r="FZ8" i="76" s="1"/>
  <c r="GA8" i="76" s="1"/>
  <c r="FV8" i="76"/>
  <c r="FV29" i="76" s="1"/>
  <c r="FK8" i="76"/>
  <c r="FL8" i="76" s="1"/>
  <c r="FM8" i="76" s="1"/>
  <c r="FJ8" i="76"/>
  <c r="FH8" i="76"/>
  <c r="FH34" i="76" s="1"/>
  <c r="EV8" i="76"/>
  <c r="EV3" i="76" s="1"/>
  <c r="ET8" i="76"/>
  <c r="ET49" i="76" s="1"/>
  <c r="EI8" i="76"/>
  <c r="EJ8" i="76" s="1"/>
  <c r="EK8" i="76" s="1"/>
  <c r="EH8" i="76"/>
  <c r="EF8" i="76"/>
  <c r="EF41" i="76" s="1"/>
  <c r="G8" i="76"/>
  <c r="F8" i="76"/>
  <c r="GG6" i="76"/>
  <c r="GF6" i="76"/>
  <c r="FR6" i="76"/>
  <c r="FD6" i="76"/>
  <c r="EP6" i="76"/>
  <c r="EC6" i="76"/>
  <c r="EB6" i="76"/>
  <c r="DM6" i="76"/>
  <c r="DN6" i="76" s="1"/>
  <c r="DO6" i="76" s="1"/>
  <c r="DP6" i="76" s="1"/>
  <c r="DQ6" i="76" s="1"/>
  <c r="DR6" i="76" s="1"/>
  <c r="DS6" i="76" s="1"/>
  <c r="DT6" i="76" s="1"/>
  <c r="DU6" i="76" s="1"/>
  <c r="DV6" i="76" s="1"/>
  <c r="DW6" i="76" s="1"/>
  <c r="DL6" i="76"/>
  <c r="CY6" i="76"/>
  <c r="CZ6" i="76" s="1"/>
  <c r="DA6" i="76" s="1"/>
  <c r="DB6" i="76" s="1"/>
  <c r="DC6" i="76" s="1"/>
  <c r="DD6" i="76" s="1"/>
  <c r="DE6" i="76" s="1"/>
  <c r="DF6" i="76" s="1"/>
  <c r="DG6" i="76" s="1"/>
  <c r="DH6" i="76" s="1"/>
  <c r="DI6" i="76" s="1"/>
  <c r="CX6" i="76"/>
  <c r="CK6" i="76"/>
  <c r="CL6" i="76" s="1"/>
  <c r="CJ6" i="76"/>
  <c r="FS6" i="76" s="1"/>
  <c r="BW6" i="76"/>
  <c r="BX6" i="76" s="1"/>
  <c r="BY6" i="76" s="1"/>
  <c r="BZ6" i="76" s="1"/>
  <c r="CA6" i="76" s="1"/>
  <c r="CB6" i="76" s="1"/>
  <c r="CC6" i="76" s="1"/>
  <c r="CD6" i="76" s="1"/>
  <c r="CE6" i="76" s="1"/>
  <c r="CF6" i="76" s="1"/>
  <c r="CG6" i="76" s="1"/>
  <c r="BV6" i="76"/>
  <c r="BI6" i="76"/>
  <c r="BJ6" i="76" s="1"/>
  <c r="BK6" i="76" s="1"/>
  <c r="BL6" i="76" s="1"/>
  <c r="BM6" i="76" s="1"/>
  <c r="BN6" i="76" s="1"/>
  <c r="BO6" i="76" s="1"/>
  <c r="BP6" i="76" s="1"/>
  <c r="BQ6" i="76" s="1"/>
  <c r="BR6" i="76" s="1"/>
  <c r="BS6" i="76" s="1"/>
  <c r="BH6" i="76"/>
  <c r="AU6" i="76"/>
  <c r="GH6" i="76" s="1"/>
  <c r="AT6" i="76"/>
  <c r="AG6" i="76"/>
  <c r="FF6" i="76" s="1"/>
  <c r="AF6" i="76"/>
  <c r="FE6" i="76" s="1"/>
  <c r="S6" i="76"/>
  <c r="R6" i="76"/>
  <c r="EQ6" i="76" s="1"/>
  <c r="E6" i="76"/>
  <c r="ED6" i="76" s="1"/>
  <c r="D6" i="76"/>
  <c r="GM4" i="76"/>
  <c r="GM2" i="76" s="1"/>
  <c r="FP14" i="7" s="1"/>
  <c r="FY4" i="76"/>
  <c r="FY3" i="76" s="1"/>
  <c r="FH1" i="7" s="1"/>
  <c r="FK4" i="76"/>
  <c r="FK3" i="76" s="1"/>
  <c r="EZ1" i="7" s="1"/>
  <c r="EW4" i="76"/>
  <c r="EW2" i="76" s="1"/>
  <c r="ER14" i="7" s="1"/>
  <c r="EI4" i="76"/>
  <c r="EI3" i="76" s="1"/>
  <c r="EJ1" i="7" s="1"/>
  <c r="GJ3" i="76"/>
  <c r="GI3" i="76"/>
  <c r="FV3" i="76"/>
  <c r="FU3" i="76"/>
  <c r="FH3" i="76"/>
  <c r="FG3" i="76"/>
  <c r="ET3" i="76"/>
  <c r="ES3" i="76"/>
  <c r="EF3" i="76"/>
  <c r="EE3" i="76"/>
  <c r="FX3" i="76"/>
  <c r="FW3" i="76"/>
  <c r="FJ3" i="76"/>
  <c r="GL3" i="76"/>
  <c r="GK3" i="76"/>
  <c r="FI3" i="76"/>
  <c r="EU3" i="76"/>
  <c r="EH3" i="76"/>
  <c r="GF2" i="76"/>
  <c r="FR2" i="76"/>
  <c r="FD2" i="76"/>
  <c r="EP2" i="76"/>
  <c r="GG1" i="76"/>
  <c r="GH1" i="76" s="1"/>
  <c r="GI1" i="76" s="1"/>
  <c r="GJ1" i="76" s="1"/>
  <c r="GK1" i="76" s="1"/>
  <c r="FT1" i="76"/>
  <c r="FU1" i="76" s="1"/>
  <c r="FV1" i="76" s="1"/>
  <c r="FW1" i="76" s="1"/>
  <c r="FS1" i="76"/>
  <c r="FE1" i="76"/>
  <c r="FF1" i="76" s="1"/>
  <c r="FG1" i="76" s="1"/>
  <c r="FH1" i="76" s="1"/>
  <c r="FI1" i="76" s="1"/>
  <c r="ER1" i="76"/>
  <c r="ES1" i="76" s="1"/>
  <c r="ET1" i="76" s="1"/>
  <c r="EU1" i="76" s="1"/>
  <c r="EQ1" i="76"/>
  <c r="EC1" i="76"/>
  <c r="ED1" i="76" s="1"/>
  <c r="EE1" i="76" s="1"/>
  <c r="EF1" i="76" s="1"/>
  <c r="EG1" i="76" s="1"/>
  <c r="AD15" i="4"/>
  <c r="AC15" i="4"/>
  <c r="AB15" i="4"/>
  <c r="AA15" i="4"/>
  <c r="Z15" i="4"/>
  <c r="Y15" i="4"/>
  <c r="X15" i="4"/>
  <c r="W15" i="4"/>
  <c r="V15" i="4"/>
  <c r="U15" i="4"/>
  <c r="T15" i="4"/>
  <c r="S15" i="4"/>
  <c r="R15" i="4"/>
  <c r="Q15" i="4"/>
  <c r="P15" i="4"/>
  <c r="O15" i="4"/>
  <c r="N15" i="4"/>
  <c r="M15" i="4"/>
  <c r="L15" i="4"/>
  <c r="K15" i="4"/>
  <c r="J15" i="4"/>
  <c r="I15" i="4"/>
  <c r="H15" i="4"/>
  <c r="G15" i="4"/>
  <c r="F15" i="4"/>
  <c r="E15" i="4"/>
  <c r="D15" i="4"/>
  <c r="B15" i="4"/>
  <c r="A15" i="4"/>
  <c r="AN15" i="4"/>
  <c r="C15" i="4"/>
  <c r="AE13" i="4"/>
  <c r="AE15" i="4" s="1"/>
  <c r="Q13" i="4"/>
  <c r="EW20" i="76" l="1"/>
  <c r="FK23" i="76"/>
  <c r="DW88" i="76"/>
  <c r="GK110" i="76"/>
  <c r="FJ100" i="7" s="1"/>
  <c r="AG38" i="4"/>
  <c r="AI37" i="4"/>
  <c r="AH38" i="4"/>
  <c r="AJ37" i="4"/>
  <c r="EW25" i="76"/>
  <c r="GM25" i="76"/>
  <c r="FK26" i="76"/>
  <c r="EZ146" i="7" s="1"/>
  <c r="AC78" i="76"/>
  <c r="GK80" i="76"/>
  <c r="FJ70" i="7" s="1"/>
  <c r="GG105" i="7"/>
  <c r="EI10" i="76"/>
  <c r="FK10" i="76"/>
  <c r="EZ130" i="7" s="1"/>
  <c r="EW11" i="76"/>
  <c r="ER131" i="7" s="1"/>
  <c r="FK12" i="76"/>
  <c r="EW14" i="76"/>
  <c r="EW18" i="76"/>
  <c r="ER138" i="7" s="1"/>
  <c r="GM18" i="76"/>
  <c r="FP138" i="7" s="1"/>
  <c r="FK19" i="76"/>
  <c r="GM19" i="76"/>
  <c r="FP139" i="7" s="1"/>
  <c r="FY14" i="76"/>
  <c r="FH134" i="7" s="1"/>
  <c r="FK16" i="76"/>
  <c r="EZ136" i="7" s="1"/>
  <c r="EI17" i="76"/>
  <c r="EI21" i="76"/>
  <c r="EJ141" i="7" s="1"/>
  <c r="EW22" i="76"/>
  <c r="ER142" i="7" s="1"/>
  <c r="GM22" i="76"/>
  <c r="FP142" i="7" s="1"/>
  <c r="EI63" i="76"/>
  <c r="AM103" i="76"/>
  <c r="AO103" i="76" s="1"/>
  <c r="O105" i="76"/>
  <c r="FX95" i="7" s="1"/>
  <c r="O110" i="76"/>
  <c r="FX100" i="7" s="1"/>
  <c r="EI12" i="76"/>
  <c r="EW13" i="76"/>
  <c r="ER133" i="7" s="1"/>
  <c r="CG23" i="76"/>
  <c r="EW32" i="76"/>
  <c r="ER22" i="7" s="1"/>
  <c r="CG92" i="76"/>
  <c r="CG93" i="76"/>
  <c r="AQ101" i="76"/>
  <c r="GM15" i="76"/>
  <c r="FP135" i="7" s="1"/>
  <c r="FY11" i="76"/>
  <c r="EI13" i="76"/>
  <c r="EJ133" i="7" s="1"/>
  <c r="FK13" i="76"/>
  <c r="EZ133" i="7" s="1"/>
  <c r="EI18" i="76"/>
  <c r="EJ138" i="7" s="1"/>
  <c r="FY19" i="76"/>
  <c r="EI22" i="76"/>
  <c r="EJ142" i="7" s="1"/>
  <c r="FY23" i="76"/>
  <c r="FH143" i="7" s="1"/>
  <c r="EW24" i="76"/>
  <c r="ER144" i="7" s="1"/>
  <c r="GM24" i="76"/>
  <c r="FY26" i="76"/>
  <c r="GK28" i="76"/>
  <c r="FJ148" i="7" s="1"/>
  <c r="FK28" i="76"/>
  <c r="EZ148" i="7" s="1"/>
  <c r="EW49" i="76"/>
  <c r="DW99" i="76"/>
  <c r="EW10" i="76"/>
  <c r="ER130" i="7" s="1"/>
  <c r="EI11" i="76"/>
  <c r="EJ131" i="7" s="1"/>
  <c r="FY12" i="76"/>
  <c r="GM13" i="76"/>
  <c r="FP133" i="7" s="1"/>
  <c r="EI15" i="76"/>
  <c r="EJ135" i="7" s="1"/>
  <c r="FY15" i="76"/>
  <c r="FH135" i="7" s="1"/>
  <c r="CC16" i="76"/>
  <c r="CD16" i="76" s="1"/>
  <c r="EW16" i="76"/>
  <c r="ER136" i="7" s="1"/>
  <c r="FY16" i="76"/>
  <c r="FH136" i="7" s="1"/>
  <c r="EW17" i="76"/>
  <c r="ER137" i="7" s="1"/>
  <c r="GM17" i="76"/>
  <c r="FP137" i="7" s="1"/>
  <c r="EI19" i="76"/>
  <c r="EJ139" i="7" s="1"/>
  <c r="FK20" i="76"/>
  <c r="EZ140" i="7" s="1"/>
  <c r="CU21" i="76"/>
  <c r="GM21" i="76"/>
  <c r="FP141" i="7" s="1"/>
  <c r="EI26" i="76"/>
  <c r="EJ146" i="7" s="1"/>
  <c r="GM28" i="76"/>
  <c r="FP148" i="7" s="1"/>
  <c r="FY29" i="76"/>
  <c r="FH149" i="7" s="1"/>
  <c r="FK34" i="76"/>
  <c r="FK36" i="76"/>
  <c r="EZ26" i="7" s="1"/>
  <c r="EW39" i="76"/>
  <c r="EI41" i="76"/>
  <c r="EJ31" i="7" s="1"/>
  <c r="GM41" i="76"/>
  <c r="GO107" i="7"/>
  <c r="GK62" i="76"/>
  <c r="FJ52" i="7" s="1"/>
  <c r="AM73" i="76"/>
  <c r="AN73" i="76" s="1"/>
  <c r="O82" i="76"/>
  <c r="FX72" i="7" s="1"/>
  <c r="BS96" i="76"/>
  <c r="DW96" i="76"/>
  <c r="AQ110" i="76"/>
  <c r="Y65" i="76"/>
  <c r="Z65" i="76" s="1"/>
  <c r="AN109" i="7"/>
  <c r="EV4" i="76"/>
  <c r="EV2" i="76" s="1"/>
  <c r="EM14" i="7" s="1"/>
  <c r="EM1" i="7"/>
  <c r="N90" i="76"/>
  <c r="FW80" i="7" s="1"/>
  <c r="FS80" i="7"/>
  <c r="N91" i="76"/>
  <c r="FW81" i="7" s="1"/>
  <c r="FS81" i="7"/>
  <c r="N93" i="76"/>
  <c r="FW83" i="7" s="1"/>
  <c r="FS83" i="7"/>
  <c r="N94" i="76"/>
  <c r="FW84" i="7" s="1"/>
  <c r="FS84" i="7"/>
  <c r="EU4" i="76"/>
  <c r="EU2" i="76" s="1"/>
  <c r="EL14" i="7" s="1"/>
  <c r="EL1" i="7"/>
  <c r="GL4" i="76"/>
  <c r="GL2" i="76" s="1"/>
  <c r="FK14" i="7" s="1"/>
  <c r="FK1" i="7"/>
  <c r="EW8" i="76"/>
  <c r="EX8" i="76" s="1"/>
  <c r="EY8" i="76" s="1"/>
  <c r="EY3" i="76" s="1"/>
  <c r="J9" i="76"/>
  <c r="K9" i="76" s="1"/>
  <c r="O9" i="76" s="1"/>
  <c r="AQ15" i="76"/>
  <c r="GK17" i="76"/>
  <c r="FJ137" i="7" s="1"/>
  <c r="N18" i="76"/>
  <c r="FW138" i="7" s="1"/>
  <c r="FS138" i="7"/>
  <c r="CG19" i="76"/>
  <c r="N20" i="76"/>
  <c r="FW140" i="7" s="1"/>
  <c r="FS140" i="7"/>
  <c r="DE27" i="76"/>
  <c r="DF27" i="76" s="1"/>
  <c r="CC43" i="76"/>
  <c r="CE43" i="76" s="1"/>
  <c r="O79" i="76"/>
  <c r="FX69" i="7" s="1"/>
  <c r="BE79" i="76"/>
  <c r="DI88" i="76"/>
  <c r="O92" i="76"/>
  <c r="FX82" i="7" s="1"/>
  <c r="FT82" i="7"/>
  <c r="N95" i="76"/>
  <c r="FW85" i="7" s="1"/>
  <c r="FS85" i="7"/>
  <c r="N100" i="76"/>
  <c r="FW90" i="7" s="1"/>
  <c r="FS90" i="7"/>
  <c r="BO101" i="76"/>
  <c r="BP101" i="76" s="1"/>
  <c r="N102" i="76"/>
  <c r="FW92" i="7" s="1"/>
  <c r="FS92" i="7"/>
  <c r="GA106" i="7"/>
  <c r="GG106" i="7" s="1"/>
  <c r="EH4" i="76"/>
  <c r="EH2" i="76" s="1"/>
  <c r="EE14" i="7" s="1"/>
  <c r="EE1" i="7"/>
  <c r="GK4" i="76"/>
  <c r="GK2" i="76" s="1"/>
  <c r="FJ14" i="7" s="1"/>
  <c r="FJ1" i="7"/>
  <c r="FX4" i="76"/>
  <c r="FX2" i="76" s="1"/>
  <c r="FC14" i="7" s="1"/>
  <c r="FC1" i="7"/>
  <c r="N21" i="76"/>
  <c r="FW141" i="7" s="1"/>
  <c r="FS141" i="7"/>
  <c r="N24" i="76"/>
  <c r="FW144" i="7" s="1"/>
  <c r="FS144" i="7"/>
  <c r="FJ4" i="76"/>
  <c r="FJ2" i="76" s="1"/>
  <c r="EU14" i="7" s="1"/>
  <c r="EU1" i="7"/>
  <c r="N10" i="76"/>
  <c r="FW130" i="7" s="1"/>
  <c r="FS130" i="7"/>
  <c r="N22" i="76"/>
  <c r="FW142" i="7" s="1"/>
  <c r="FS142" i="7"/>
  <c r="FS150" i="7"/>
  <c r="FS20" i="7"/>
  <c r="N83" i="76"/>
  <c r="FW73" i="7" s="1"/>
  <c r="FS73" i="7"/>
  <c r="N85" i="76"/>
  <c r="FW75" i="7" s="1"/>
  <c r="FS75" i="7"/>
  <c r="N86" i="76"/>
  <c r="FW76" i="7" s="1"/>
  <c r="FS76" i="7"/>
  <c r="N105" i="76"/>
  <c r="FW95" i="7" s="1"/>
  <c r="FS95" i="7"/>
  <c r="N109" i="76"/>
  <c r="FW99" i="7" s="1"/>
  <c r="FS99" i="7"/>
  <c r="FS101" i="7" s="1"/>
  <c r="FI4" i="76"/>
  <c r="FI2" i="76" s="1"/>
  <c r="ET14" i="7" s="1"/>
  <c r="ET1" i="7"/>
  <c r="FW4" i="76"/>
  <c r="FW2" i="76" s="1"/>
  <c r="FB14" i="7" s="1"/>
  <c r="FB1" i="7"/>
  <c r="ER6" i="76"/>
  <c r="J8" i="76"/>
  <c r="K8" i="76" s="1"/>
  <c r="O8" i="76" s="1"/>
  <c r="O25" i="76" s="1"/>
  <c r="FX145" i="7" s="1"/>
  <c r="FI13" i="76"/>
  <c r="ET133" i="7" s="1"/>
  <c r="DW13" i="76"/>
  <c r="FT150" i="7"/>
  <c r="FT20" i="7"/>
  <c r="FI36" i="76"/>
  <c r="ET26" i="7" s="1"/>
  <c r="BO38" i="76"/>
  <c r="BQ38" i="76" s="1"/>
  <c r="FI41" i="76"/>
  <c r="ET31" i="7" s="1"/>
  <c r="N75" i="76"/>
  <c r="FW65" i="7" s="1"/>
  <c r="FS65" i="7"/>
  <c r="BD80" i="76"/>
  <c r="FW87" i="76"/>
  <c r="FB77" i="7" s="1"/>
  <c r="AQ88" i="76"/>
  <c r="N89" i="76"/>
  <c r="FW79" i="7" s="1"/>
  <c r="FS79" i="7"/>
  <c r="CU96" i="76"/>
  <c r="N97" i="76"/>
  <c r="FW87" i="7" s="1"/>
  <c r="FS87" i="7"/>
  <c r="N98" i="76"/>
  <c r="FW88" i="7" s="1"/>
  <c r="FS88" i="7"/>
  <c r="DI98" i="76"/>
  <c r="DI99" i="76"/>
  <c r="AC108" i="76"/>
  <c r="CC109" i="76"/>
  <c r="FT101" i="7"/>
  <c r="FT102" i="7" s="1"/>
  <c r="FT103" i="7" s="1"/>
  <c r="FT104" i="7" s="1"/>
  <c r="FT105" i="7" s="1"/>
  <c r="FT106" i="7" s="1"/>
  <c r="FT107" i="7" s="1"/>
  <c r="FT108" i="7" s="1"/>
  <c r="FT109" i="7" s="1"/>
  <c r="FT110" i="7" s="1"/>
  <c r="FT111" i="7" s="1"/>
  <c r="FT112" i="7" s="1"/>
  <c r="FT113" i="7" s="1"/>
  <c r="FT114" i="7" s="1"/>
  <c r="FT115" i="7" s="1"/>
  <c r="FT116" i="7" s="1"/>
  <c r="FT117" i="7" s="1"/>
  <c r="FT118" i="7" s="1"/>
  <c r="FT119" i="7" s="1"/>
  <c r="FT120" i="7" s="1"/>
  <c r="GI108" i="7"/>
  <c r="EV1" i="76"/>
  <c r="EL13" i="7"/>
  <c r="M27" i="55" s="1"/>
  <c r="EH1" i="76"/>
  <c r="ED13" i="7"/>
  <c r="M26" i="55" s="1"/>
  <c r="FX1" i="76"/>
  <c r="FB13" i="7"/>
  <c r="M29" i="55" s="1"/>
  <c r="GL1" i="76"/>
  <c r="FJ13" i="7"/>
  <c r="M30" i="55" s="1"/>
  <c r="FJ1" i="76"/>
  <c r="ET13" i="7"/>
  <c r="M28" i="55" s="1"/>
  <c r="DS13" i="76"/>
  <c r="DT13" i="76" s="1"/>
  <c r="DW15" i="76"/>
  <c r="DW92" i="76"/>
  <c r="DI11" i="76"/>
  <c r="FW86" i="76"/>
  <c r="FB76" i="7" s="1"/>
  <c r="DI106" i="76"/>
  <c r="DI96" i="76"/>
  <c r="DI77" i="76"/>
  <c r="DI89" i="76"/>
  <c r="FH139" i="7"/>
  <c r="CQ60" i="76"/>
  <c r="CR60" i="76" s="1"/>
  <c r="CU77" i="76"/>
  <c r="CU89" i="76"/>
  <c r="FW95" i="76"/>
  <c r="FB85" i="7" s="1"/>
  <c r="CU101" i="76"/>
  <c r="FW54" i="76"/>
  <c r="FB44" i="7" s="1"/>
  <c r="CT86" i="76"/>
  <c r="FW94" i="76"/>
  <c r="FB84" i="7" s="1"/>
  <c r="CU110" i="76"/>
  <c r="CC50" i="76"/>
  <c r="CE50" i="76" s="1"/>
  <c r="GK44" i="76"/>
  <c r="FJ34" i="7" s="1"/>
  <c r="GK46" i="76"/>
  <c r="FJ36" i="7" s="1"/>
  <c r="GK49" i="76"/>
  <c r="FJ39" i="7" s="1"/>
  <c r="GK50" i="76"/>
  <c r="FJ40" i="7" s="1"/>
  <c r="CG89" i="76"/>
  <c r="FP130" i="7"/>
  <c r="CG109" i="76"/>
  <c r="BO13" i="76"/>
  <c r="BS20" i="76"/>
  <c r="BS103" i="76"/>
  <c r="FP31" i="7"/>
  <c r="FP145" i="7"/>
  <c r="BE21" i="76"/>
  <c r="AZ8" i="76"/>
  <c r="BA8" i="76" s="1"/>
  <c r="GK71" i="76"/>
  <c r="FJ61" i="7" s="1"/>
  <c r="BE100" i="76"/>
  <c r="AQ24" i="76"/>
  <c r="AQ108" i="76"/>
  <c r="AQ75" i="76"/>
  <c r="AM56" i="76"/>
  <c r="AO56" i="76" s="1"/>
  <c r="DW11" i="76"/>
  <c r="DW14" i="76"/>
  <c r="DW84" i="76"/>
  <c r="DR8" i="76"/>
  <c r="DS8" i="76" s="1"/>
  <c r="DW8" i="76" s="1"/>
  <c r="DE68" i="76"/>
  <c r="DG68" i="76" s="1"/>
  <c r="FX17" i="76"/>
  <c r="FC137" i="7" s="1"/>
  <c r="DD8" i="76"/>
  <c r="DI84" i="76"/>
  <c r="DI101" i="76"/>
  <c r="DI18" i="76"/>
  <c r="DE35" i="76"/>
  <c r="DG35" i="76" s="1"/>
  <c r="DE45" i="76"/>
  <c r="DF45" i="76" s="1"/>
  <c r="DI86" i="76"/>
  <c r="DI92" i="76"/>
  <c r="DE65" i="76"/>
  <c r="DF65" i="76" s="1"/>
  <c r="FW90" i="76"/>
  <c r="FB80" i="7" s="1"/>
  <c r="FW17" i="76"/>
  <c r="FB137" i="7" s="1"/>
  <c r="DE69" i="76"/>
  <c r="DG69" i="76" s="1"/>
  <c r="DH94" i="76"/>
  <c r="FW10" i="76"/>
  <c r="FB130" i="7" s="1"/>
  <c r="DE13" i="76"/>
  <c r="DF13" i="76" s="1"/>
  <c r="DE58" i="76"/>
  <c r="DG58" i="76" s="1"/>
  <c r="DE75" i="76"/>
  <c r="DG75" i="76" s="1"/>
  <c r="FW77" i="76"/>
  <c r="FB67" i="7" s="1"/>
  <c r="FW80" i="76"/>
  <c r="FB70" i="7" s="1"/>
  <c r="CT17" i="76"/>
  <c r="CP9" i="76"/>
  <c r="CQ9" i="76" s="1"/>
  <c r="CQ108" i="76"/>
  <c r="CQ75" i="76"/>
  <c r="CS75" i="76" s="1"/>
  <c r="CT90" i="76"/>
  <c r="CQ93" i="76"/>
  <c r="CS93" i="76" s="1"/>
  <c r="CU97" i="76"/>
  <c r="CQ105" i="76"/>
  <c r="CS105" i="76" s="1"/>
  <c r="GK82" i="76"/>
  <c r="FJ72" i="7" s="1"/>
  <c r="GK13" i="76"/>
  <c r="FJ133" i="7" s="1"/>
  <c r="CC27" i="76"/>
  <c r="CD27" i="76" s="1"/>
  <c r="FI33" i="76"/>
  <c r="ET23" i="7" s="1"/>
  <c r="FI58" i="76"/>
  <c r="ET48" i="7" s="1"/>
  <c r="CG80" i="76"/>
  <c r="GK98" i="76"/>
  <c r="FJ88" i="7" s="1"/>
  <c r="CG104" i="76"/>
  <c r="CB8" i="76"/>
  <c r="CC8" i="76" s="1"/>
  <c r="CG8" i="76" s="1"/>
  <c r="CG94" i="76"/>
  <c r="CG102" i="76"/>
  <c r="CG108" i="76"/>
  <c r="BS23" i="76"/>
  <c r="BO28" i="76"/>
  <c r="BQ28" i="76" s="1"/>
  <c r="BO52" i="76"/>
  <c r="BP52" i="76" s="1"/>
  <c r="BS97" i="76"/>
  <c r="BS99" i="76"/>
  <c r="BS104" i="76"/>
  <c r="BO109" i="76"/>
  <c r="BP109" i="76" s="1"/>
  <c r="BO17" i="76"/>
  <c r="BQ17" i="76" s="1"/>
  <c r="BO61" i="76"/>
  <c r="BQ61" i="76" s="1"/>
  <c r="BO71" i="76"/>
  <c r="BQ71" i="76" s="1"/>
  <c r="BO93" i="76"/>
  <c r="BQ93" i="76" s="1"/>
  <c r="BO104" i="76"/>
  <c r="BQ104" i="76" s="1"/>
  <c r="BS110" i="76"/>
  <c r="BA71" i="76"/>
  <c r="BB71" i="76" s="1"/>
  <c r="BE84" i="76"/>
  <c r="BE86" i="76"/>
  <c r="BA88" i="76"/>
  <c r="BB88" i="76" s="1"/>
  <c r="GK106" i="76"/>
  <c r="FJ96" i="7" s="1"/>
  <c r="BE108" i="76"/>
  <c r="GL30" i="76"/>
  <c r="BE16" i="76"/>
  <c r="BA47" i="76"/>
  <c r="BC47" i="76" s="1"/>
  <c r="GK47" i="76"/>
  <c r="FJ37" i="7" s="1"/>
  <c r="BA65" i="76"/>
  <c r="BB65" i="76" s="1"/>
  <c r="BE92" i="76"/>
  <c r="BE94" i="76"/>
  <c r="BE96" i="76"/>
  <c r="BE101" i="76"/>
  <c r="AM19" i="76"/>
  <c r="AN19" i="76" s="1"/>
  <c r="AM39" i="76"/>
  <c r="AO39" i="76" s="1"/>
  <c r="AM110" i="76"/>
  <c r="AN110" i="76" s="1"/>
  <c r="AQ97" i="76"/>
  <c r="AQ14" i="76"/>
  <c r="AL9" i="76"/>
  <c r="AM9" i="76" s="1"/>
  <c r="AP9" i="76" s="1"/>
  <c r="AM32" i="76"/>
  <c r="AO32" i="76" s="1"/>
  <c r="AQ90" i="76"/>
  <c r="AC22" i="76"/>
  <c r="Y64" i="76"/>
  <c r="AA64" i="76" s="1"/>
  <c r="AC84" i="76"/>
  <c r="AC93" i="76"/>
  <c r="AC17" i="76"/>
  <c r="X8" i="76"/>
  <c r="AC77" i="76"/>
  <c r="DS30" i="76"/>
  <c r="DU30" i="76" s="1"/>
  <c r="DR9" i="76"/>
  <c r="DS9" i="76" s="1"/>
  <c r="DW9" i="76" s="1"/>
  <c r="DS36" i="76"/>
  <c r="DU36" i="76" s="1"/>
  <c r="DS61" i="76"/>
  <c r="DT61" i="76" s="1"/>
  <c r="DS92" i="76"/>
  <c r="DT92" i="76" s="1"/>
  <c r="DS93" i="76"/>
  <c r="DU93" i="76" s="1"/>
  <c r="DW94" i="76"/>
  <c r="DS110" i="76"/>
  <c r="DT110" i="76" s="1"/>
  <c r="DS24" i="76"/>
  <c r="DS38" i="76"/>
  <c r="DU38" i="76" s="1"/>
  <c r="DS50" i="76"/>
  <c r="DT50" i="76" s="1"/>
  <c r="DS79" i="76"/>
  <c r="DU79" i="76" s="1"/>
  <c r="DS20" i="76"/>
  <c r="DU20" i="76" s="1"/>
  <c r="DW23" i="76"/>
  <c r="FI28" i="76"/>
  <c r="ET148" i="7" s="1"/>
  <c r="DS31" i="76"/>
  <c r="FI38" i="76"/>
  <c r="ET28" i="7" s="1"/>
  <c r="DS47" i="76"/>
  <c r="DU47" i="76" s="1"/>
  <c r="DS52" i="76"/>
  <c r="DT52" i="76" s="1"/>
  <c r="DS80" i="76"/>
  <c r="DU80" i="76" s="1"/>
  <c r="DS82" i="76"/>
  <c r="DU82" i="76" s="1"/>
  <c r="DW104" i="76"/>
  <c r="DS106" i="76"/>
  <c r="DU106" i="76" s="1"/>
  <c r="DW109" i="76"/>
  <c r="EV19" i="76"/>
  <c r="EM139" i="7" s="1"/>
  <c r="FW41" i="76"/>
  <c r="FB31" i="7" s="1"/>
  <c r="DE96" i="76"/>
  <c r="DF96" i="76" s="1"/>
  <c r="DI105" i="76"/>
  <c r="FW106" i="76"/>
  <c r="FB96" i="7" s="1"/>
  <c r="DI109" i="76"/>
  <c r="DE17" i="76"/>
  <c r="DF17" i="76" s="1"/>
  <c r="DE24" i="76"/>
  <c r="DG24" i="76" s="1"/>
  <c r="DE36" i="76"/>
  <c r="DF36" i="76" s="1"/>
  <c r="DE40" i="76"/>
  <c r="DG40" i="76" s="1"/>
  <c r="DI85" i="76"/>
  <c r="DE86" i="76"/>
  <c r="DF86" i="76" s="1"/>
  <c r="EH23" i="76"/>
  <c r="EE143" i="7" s="1"/>
  <c r="DD9" i="76"/>
  <c r="DE9" i="76" s="1"/>
  <c r="DI9" i="76" s="1"/>
  <c r="DE47" i="76"/>
  <c r="DF47" i="76" s="1"/>
  <c r="FW69" i="76"/>
  <c r="FB59" i="7" s="1"/>
  <c r="DI75" i="76"/>
  <c r="FW82" i="76"/>
  <c r="FB72" i="7" s="1"/>
  <c r="DI87" i="76"/>
  <c r="FW93" i="76"/>
  <c r="FB83" i="7" s="1"/>
  <c r="DI102" i="76"/>
  <c r="DE108" i="76"/>
  <c r="DG108" i="76" s="1"/>
  <c r="FX35" i="76"/>
  <c r="FC25" i="7" s="1"/>
  <c r="FX10" i="76"/>
  <c r="FC130" i="7" s="1"/>
  <c r="CU19" i="76"/>
  <c r="FJ23" i="76"/>
  <c r="EU143" i="7" s="1"/>
  <c r="CP8" i="76"/>
  <c r="CQ8" i="76" s="1"/>
  <c r="CQ73" i="76"/>
  <c r="CR73" i="76" s="1"/>
  <c r="FW75" i="76"/>
  <c r="FB65" i="7" s="1"/>
  <c r="CQ79" i="76"/>
  <c r="CR79" i="76" s="1"/>
  <c r="FI80" i="76"/>
  <c r="ET70" i="7" s="1"/>
  <c r="CT80" i="76"/>
  <c r="CU86" i="76"/>
  <c r="CU99" i="76"/>
  <c r="FI102" i="76"/>
  <c r="ET92" i="7" s="1"/>
  <c r="CQ102" i="76"/>
  <c r="CR102" i="76" s="1"/>
  <c r="EG106" i="76"/>
  <c r="ED96" i="7" s="1"/>
  <c r="CQ110" i="76"/>
  <c r="CR110" i="76" s="1"/>
  <c r="CQ53" i="76"/>
  <c r="CS53" i="76" s="1"/>
  <c r="CQ61" i="76"/>
  <c r="CS61" i="76" s="1"/>
  <c r="CQ109" i="76"/>
  <c r="CR109" i="76" s="1"/>
  <c r="CT10" i="76"/>
  <c r="CQ26" i="76"/>
  <c r="CS26" i="76" s="1"/>
  <c r="CQ57" i="76"/>
  <c r="CR57" i="76" s="1"/>
  <c r="CQ58" i="76"/>
  <c r="CR58" i="76" s="1"/>
  <c r="FW62" i="76"/>
  <c r="FB52" i="7" s="1"/>
  <c r="FW66" i="76"/>
  <c r="FB56" i="7" s="1"/>
  <c r="CU75" i="76"/>
  <c r="FI77" i="76"/>
  <c r="ET67" i="7" s="1"/>
  <c r="CQ78" i="76"/>
  <c r="CS78" i="76" s="1"/>
  <c r="CT106" i="76"/>
  <c r="CU108" i="76"/>
  <c r="CG101" i="76"/>
  <c r="CG12" i="76"/>
  <c r="CF17" i="76"/>
  <c r="CC20" i="76"/>
  <c r="CE20" i="76" s="1"/>
  <c r="GL23" i="76"/>
  <c r="FK143" i="7" s="1"/>
  <c r="CC23" i="76"/>
  <c r="CD23" i="76" s="1"/>
  <c r="CC28" i="76"/>
  <c r="CE28" i="76" s="1"/>
  <c r="GK58" i="76"/>
  <c r="FJ48" i="7" s="1"/>
  <c r="CC60" i="76"/>
  <c r="CD60" i="76" s="1"/>
  <c r="GK65" i="76"/>
  <c r="FJ55" i="7" s="1"/>
  <c r="GK81" i="76"/>
  <c r="FJ71" i="7" s="1"/>
  <c r="CG90" i="76"/>
  <c r="CC46" i="76"/>
  <c r="CE46" i="76" s="1"/>
  <c r="CC53" i="76"/>
  <c r="CE53" i="76" s="1"/>
  <c r="CC68" i="76"/>
  <c r="CD68" i="76" s="1"/>
  <c r="CG77" i="76"/>
  <c r="GL17" i="76"/>
  <c r="FK137" i="7" s="1"/>
  <c r="CC35" i="76"/>
  <c r="CE35" i="76" s="1"/>
  <c r="CC42" i="76"/>
  <c r="CD42" i="76" s="1"/>
  <c r="GK51" i="76"/>
  <c r="FJ41" i="7" s="1"/>
  <c r="GK70" i="76"/>
  <c r="FJ60" i="7" s="1"/>
  <c r="CG78" i="76"/>
  <c r="BO39" i="76"/>
  <c r="BQ39" i="76" s="1"/>
  <c r="EU101" i="76"/>
  <c r="EL91" i="7" s="1"/>
  <c r="BS109" i="76"/>
  <c r="BS15" i="76"/>
  <c r="BN8" i="76"/>
  <c r="BO8" i="76" s="1"/>
  <c r="BO30" i="76"/>
  <c r="BQ30" i="76" s="1"/>
  <c r="BO43" i="76"/>
  <c r="BP43" i="76" s="1"/>
  <c r="BO54" i="76"/>
  <c r="BQ54" i="76" s="1"/>
  <c r="BO73" i="76"/>
  <c r="BQ73" i="76" s="1"/>
  <c r="BO74" i="76"/>
  <c r="BQ74" i="76" s="1"/>
  <c r="BO79" i="76"/>
  <c r="BP79" i="76" s="1"/>
  <c r="BS84" i="76"/>
  <c r="BO105" i="76"/>
  <c r="BQ105" i="76" s="1"/>
  <c r="EU108" i="76"/>
  <c r="EL98" i="7" s="1"/>
  <c r="BS11" i="76"/>
  <c r="BN9" i="76"/>
  <c r="BO9" i="76" s="1"/>
  <c r="BO47" i="76"/>
  <c r="BO50" i="76"/>
  <c r="BP50" i="76" s="1"/>
  <c r="EU54" i="76"/>
  <c r="EL44" i="7" s="1"/>
  <c r="EU90" i="76"/>
  <c r="EL80" i="7" s="1"/>
  <c r="BO94" i="76"/>
  <c r="BQ94" i="76" s="1"/>
  <c r="BS100" i="76"/>
  <c r="GK10" i="76"/>
  <c r="FJ130" i="7" s="1"/>
  <c r="AZ9" i="76"/>
  <c r="BA9" i="76" s="1"/>
  <c r="BA35" i="76"/>
  <c r="BB35" i="76" s="1"/>
  <c r="GK35" i="76"/>
  <c r="FJ25" i="7" s="1"/>
  <c r="BA43" i="76"/>
  <c r="BC43" i="76" s="1"/>
  <c r="GK61" i="76"/>
  <c r="FJ51" i="7" s="1"/>
  <c r="EG72" i="76"/>
  <c r="ED62" i="7" s="1"/>
  <c r="BE75" i="76"/>
  <c r="BA77" i="76"/>
  <c r="BC77" i="76" s="1"/>
  <c r="BE88" i="76"/>
  <c r="BE99" i="76"/>
  <c r="BE102" i="76"/>
  <c r="BE105" i="76"/>
  <c r="BA49" i="76"/>
  <c r="BC49" i="76" s="1"/>
  <c r="BA56" i="76"/>
  <c r="BC56" i="76" s="1"/>
  <c r="EH11" i="76"/>
  <c r="EE131" i="7" s="1"/>
  <c r="EG16" i="76"/>
  <c r="ED136" i="7" s="1"/>
  <c r="GK77" i="76"/>
  <c r="FJ67" i="7" s="1"/>
  <c r="BE78" i="76"/>
  <c r="BD82" i="76"/>
  <c r="BE90" i="76"/>
  <c r="GK93" i="76"/>
  <c r="FJ83" i="7" s="1"/>
  <c r="GK102" i="76"/>
  <c r="FJ92" i="7" s="1"/>
  <c r="BE106" i="76"/>
  <c r="BD110" i="76"/>
  <c r="AM53" i="76"/>
  <c r="AN53" i="76" s="1"/>
  <c r="AM97" i="76"/>
  <c r="AN97" i="76" s="1"/>
  <c r="AQ99" i="76"/>
  <c r="AQ11" i="76"/>
  <c r="AM21" i="76"/>
  <c r="AO21" i="76" s="1"/>
  <c r="AM77" i="76"/>
  <c r="AO77" i="76" s="1"/>
  <c r="AQ86" i="76"/>
  <c r="AQ92" i="76"/>
  <c r="AQ96" i="76"/>
  <c r="AM102" i="76"/>
  <c r="AN102" i="76" s="1"/>
  <c r="AM26" i="76"/>
  <c r="AN26" i="76" s="1"/>
  <c r="AM50" i="76"/>
  <c r="AN50" i="76" s="1"/>
  <c r="AQ109" i="76"/>
  <c r="Y60" i="76"/>
  <c r="Z60" i="76" s="1"/>
  <c r="Y85" i="76"/>
  <c r="Z85" i="76" s="1"/>
  <c r="AC20" i="76"/>
  <c r="EU75" i="76"/>
  <c r="EL65" i="7" s="1"/>
  <c r="AC91" i="76"/>
  <c r="AC92" i="76"/>
  <c r="EU94" i="76"/>
  <c r="EL84" i="7" s="1"/>
  <c r="Y53" i="76"/>
  <c r="AA53" i="76" s="1"/>
  <c r="AC12" i="76"/>
  <c r="AC21" i="76"/>
  <c r="Y34" i="76"/>
  <c r="AA34" i="76" s="1"/>
  <c r="Y88" i="76"/>
  <c r="Z88" i="76" s="1"/>
  <c r="AC97" i="76"/>
  <c r="AC106" i="76"/>
  <c r="EJ130" i="7"/>
  <c r="L33" i="76"/>
  <c r="FU23" i="7" s="1"/>
  <c r="O99" i="76"/>
  <c r="FX89" i="7" s="1"/>
  <c r="K82" i="76"/>
  <c r="M82" i="76" s="1"/>
  <c r="FV72" i="7" s="1"/>
  <c r="L26" i="76"/>
  <c r="FU146" i="7" s="1"/>
  <c r="L51" i="76"/>
  <c r="FU41" i="7" s="1"/>
  <c r="M55" i="76"/>
  <c r="FV45" i="7" s="1"/>
  <c r="O96" i="76"/>
  <c r="FX86" i="7" s="1"/>
  <c r="M12" i="76"/>
  <c r="FV132" i="7" s="1"/>
  <c r="L25" i="76"/>
  <c r="FU145" i="7" s="1"/>
  <c r="M28" i="76"/>
  <c r="FV148" i="7" s="1"/>
  <c r="M88" i="76"/>
  <c r="FV78" i="7" s="1"/>
  <c r="O104" i="76"/>
  <c r="FX94" i="7" s="1"/>
  <c r="M36" i="76"/>
  <c r="FV26" i="7" s="1"/>
  <c r="M43" i="76"/>
  <c r="FV33" i="7" s="1"/>
  <c r="L62" i="76"/>
  <c r="FU52" i="7" s="1"/>
  <c r="L63" i="76"/>
  <c r="FU53" i="7" s="1"/>
  <c r="L81" i="76"/>
  <c r="FU71" i="7" s="1"/>
  <c r="O100" i="76"/>
  <c r="FX90" i="7" s="1"/>
  <c r="O109" i="76"/>
  <c r="FX99" i="7" s="1"/>
  <c r="M38" i="76"/>
  <c r="FV28" i="7" s="1"/>
  <c r="M47" i="76"/>
  <c r="FV37" i="7" s="1"/>
  <c r="M54" i="76"/>
  <c r="FV44" i="7" s="1"/>
  <c r="M86" i="76"/>
  <c r="FV76" i="7" s="1"/>
  <c r="M101" i="76"/>
  <c r="FV91" i="7" s="1"/>
  <c r="O20" i="76"/>
  <c r="FX140" i="7" s="1"/>
  <c r="O23" i="76"/>
  <c r="FX143" i="7" s="1"/>
  <c r="O24" i="76"/>
  <c r="FX144" i="7" s="1"/>
  <c r="M30" i="76"/>
  <c r="M90" i="76"/>
  <c r="FV80" i="7" s="1"/>
  <c r="O93" i="76"/>
  <c r="FX83" i="7" s="1"/>
  <c r="O94" i="76"/>
  <c r="FX84" i="7" s="1"/>
  <c r="L103" i="76"/>
  <c r="FU93" i="7" s="1"/>
  <c r="EW3" i="76"/>
  <c r="ER1" i="7" s="1"/>
  <c r="EI2" i="76"/>
  <c r="EJ14" i="7" s="1"/>
  <c r="GM3" i="76"/>
  <c r="FP1" i="7" s="1"/>
  <c r="L67" i="76"/>
  <c r="FU57" i="7" s="1"/>
  <c r="EG54" i="76"/>
  <c r="ED44" i="7" s="1"/>
  <c r="EG65" i="76"/>
  <c r="ED55" i="7" s="1"/>
  <c r="EG75" i="76"/>
  <c r="ED65" i="7" s="1"/>
  <c r="L22" i="76"/>
  <c r="FU142" i="7" s="1"/>
  <c r="EG94" i="76"/>
  <c r="ED84" i="7" s="1"/>
  <c r="L59" i="76"/>
  <c r="FU49" i="7" s="1"/>
  <c r="L72" i="76"/>
  <c r="FU62" i="7" s="1"/>
  <c r="DS60" i="76"/>
  <c r="DU60" i="76" s="1"/>
  <c r="DW17" i="76"/>
  <c r="DW86" i="76"/>
  <c r="DS94" i="76"/>
  <c r="DT94" i="76" s="1"/>
  <c r="DW97" i="76"/>
  <c r="DW101" i="76"/>
  <c r="DS105" i="76"/>
  <c r="DU105" i="76" s="1"/>
  <c r="DW110" i="76"/>
  <c r="DS12" i="76"/>
  <c r="DU12" i="76" s="1"/>
  <c r="DW105" i="76"/>
  <c r="DW24" i="76"/>
  <c r="DS39" i="76"/>
  <c r="DT39" i="76" s="1"/>
  <c r="DW79" i="76"/>
  <c r="DW93" i="76"/>
  <c r="DW100" i="76"/>
  <c r="DS104" i="76"/>
  <c r="DU104" i="76" s="1"/>
  <c r="DW12" i="76"/>
  <c r="DS73" i="76"/>
  <c r="DU73" i="76" s="1"/>
  <c r="DS74" i="76"/>
  <c r="DU74" i="76" s="1"/>
  <c r="DS86" i="76"/>
  <c r="DU86" i="76" s="1"/>
  <c r="DV97" i="76"/>
  <c r="FI65" i="76"/>
  <c r="ET55" i="7" s="1"/>
  <c r="FI54" i="76"/>
  <c r="ET44" i="7" s="1"/>
  <c r="FI70" i="76"/>
  <c r="ET60" i="7" s="1"/>
  <c r="FI98" i="76"/>
  <c r="ET88" i="7" s="1"/>
  <c r="FI108" i="76"/>
  <c r="ET98" i="7" s="1"/>
  <c r="FI110" i="76"/>
  <c r="ET100" i="7" s="1"/>
  <c r="DV105" i="76"/>
  <c r="DS32" i="76"/>
  <c r="DT32" i="76" s="1"/>
  <c r="FI62" i="76"/>
  <c r="ET52" i="7" s="1"/>
  <c r="FI71" i="76"/>
  <c r="ET61" i="7" s="1"/>
  <c r="DS28" i="76"/>
  <c r="DU28" i="76" s="1"/>
  <c r="DS43" i="76"/>
  <c r="DT43" i="76" s="1"/>
  <c r="DS54" i="76"/>
  <c r="DU54" i="76" s="1"/>
  <c r="FI57" i="76"/>
  <c r="ET47" i="7" s="1"/>
  <c r="DS65" i="76"/>
  <c r="DU65" i="76" s="1"/>
  <c r="DS71" i="76"/>
  <c r="DU71" i="76" s="1"/>
  <c r="DV79" i="76"/>
  <c r="FI83" i="76"/>
  <c r="ET73" i="7" s="1"/>
  <c r="DS97" i="76"/>
  <c r="DT97" i="76" s="1"/>
  <c r="DS101" i="76"/>
  <c r="DT101" i="76" s="1"/>
  <c r="DE101" i="76"/>
  <c r="DG101" i="76" s="1"/>
  <c r="DI108" i="76"/>
  <c r="DE8" i="76"/>
  <c r="DI8" i="76" s="1"/>
  <c r="DI15" i="76"/>
  <c r="DI21" i="76"/>
  <c r="DI22" i="76"/>
  <c r="DE49" i="76"/>
  <c r="DF49" i="76" s="1"/>
  <c r="DI78" i="76"/>
  <c r="DI80" i="76"/>
  <c r="DI90" i="76"/>
  <c r="DI94" i="76"/>
  <c r="DE100" i="76"/>
  <c r="DF100" i="76" s="1"/>
  <c r="DI104" i="76"/>
  <c r="FX12" i="76"/>
  <c r="FC132" i="7" s="1"/>
  <c r="DI16" i="76"/>
  <c r="DE12" i="76"/>
  <c r="DF12" i="76" s="1"/>
  <c r="DE26" i="76"/>
  <c r="DG26" i="76" s="1"/>
  <c r="DE46" i="76"/>
  <c r="DG46" i="76" s="1"/>
  <c r="DE64" i="76"/>
  <c r="DF64" i="76" s="1"/>
  <c r="DE71" i="76"/>
  <c r="DG71" i="76" s="1"/>
  <c r="DE77" i="76"/>
  <c r="DG77" i="76" s="1"/>
  <c r="DE88" i="76"/>
  <c r="DF88" i="76" s="1"/>
  <c r="DE90" i="76"/>
  <c r="DG90" i="76" s="1"/>
  <c r="DI93" i="76"/>
  <c r="DE93" i="76"/>
  <c r="DG93" i="76" s="1"/>
  <c r="DI12" i="76"/>
  <c r="DI17" i="76"/>
  <c r="DI24" i="76"/>
  <c r="DE56" i="76"/>
  <c r="DG56" i="76" s="1"/>
  <c r="DI79" i="76"/>
  <c r="DE85" i="76"/>
  <c r="DF85" i="76" s="1"/>
  <c r="DI100" i="76"/>
  <c r="EU21" i="76"/>
  <c r="EL141" i="7" s="1"/>
  <c r="DH21" i="76"/>
  <c r="FW61" i="76"/>
  <c r="FB51" i="7" s="1"/>
  <c r="FW70" i="76"/>
  <c r="FB60" i="7" s="1"/>
  <c r="DE80" i="76"/>
  <c r="DF80" i="76" s="1"/>
  <c r="DE102" i="76"/>
  <c r="DG102" i="76" s="1"/>
  <c r="FW102" i="76"/>
  <c r="FB92" i="7" s="1"/>
  <c r="FW43" i="76"/>
  <c r="FB33" i="7" s="1"/>
  <c r="FW47" i="76"/>
  <c r="FB37" i="7" s="1"/>
  <c r="FW50" i="76"/>
  <c r="FB40" i="7" s="1"/>
  <c r="DE61" i="76"/>
  <c r="DG61" i="76" s="1"/>
  <c r="FW65" i="76"/>
  <c r="FB55" i="7" s="1"/>
  <c r="EU70" i="76"/>
  <c r="EL60" i="7" s="1"/>
  <c r="EU71" i="76"/>
  <c r="EL61" i="7" s="1"/>
  <c r="FW74" i="76"/>
  <c r="FB64" i="7" s="1"/>
  <c r="DE89" i="76"/>
  <c r="DF89" i="76" s="1"/>
  <c r="FW98" i="76"/>
  <c r="FB88" i="7" s="1"/>
  <c r="DE104" i="76"/>
  <c r="DG104" i="76" s="1"/>
  <c r="DE106" i="76"/>
  <c r="DF106" i="76" s="1"/>
  <c r="FW14" i="76"/>
  <c r="FB134" i="7" s="1"/>
  <c r="FW21" i="76"/>
  <c r="FB141" i="7" s="1"/>
  <c r="FW32" i="76"/>
  <c r="FB22" i="7" s="1"/>
  <c r="FW71" i="76"/>
  <c r="FB61" i="7" s="1"/>
  <c r="FW20" i="76"/>
  <c r="FB140" i="7" s="1"/>
  <c r="FW24" i="76"/>
  <c r="FB144" i="7" s="1"/>
  <c r="FW25" i="76"/>
  <c r="FB145" i="7" s="1"/>
  <c r="FW28" i="76"/>
  <c r="FB148" i="7" s="1"/>
  <c r="DE15" i="76"/>
  <c r="DF15" i="76" s="1"/>
  <c r="DE21" i="76"/>
  <c r="DG21" i="76" s="1"/>
  <c r="EU28" i="76"/>
  <c r="EL148" i="7" s="1"/>
  <c r="FW33" i="76"/>
  <c r="FB23" i="7" s="1"/>
  <c r="FW36" i="76"/>
  <c r="FB26" i="7" s="1"/>
  <c r="EG49" i="76"/>
  <c r="ED39" i="7" s="1"/>
  <c r="EU62" i="76"/>
  <c r="EL52" i="7" s="1"/>
  <c r="EG70" i="76"/>
  <c r="ED60" i="7" s="1"/>
  <c r="DE74" i="76"/>
  <c r="DF74" i="76" s="1"/>
  <c r="DF75" i="76"/>
  <c r="EG76" i="76"/>
  <c r="ED66" i="7" s="1"/>
  <c r="DH89" i="76"/>
  <c r="FW97" i="76"/>
  <c r="FB87" i="7" s="1"/>
  <c r="CQ101" i="76"/>
  <c r="CR101" i="76" s="1"/>
  <c r="CU14" i="76"/>
  <c r="CQ19" i="76"/>
  <c r="CS19" i="76" s="1"/>
  <c r="CQ40" i="76"/>
  <c r="CS40" i="76" s="1"/>
  <c r="CQ45" i="76"/>
  <c r="CS45" i="76" s="1"/>
  <c r="CU92" i="76"/>
  <c r="CU11" i="76"/>
  <c r="CQ31" i="76"/>
  <c r="CS31" i="76" s="1"/>
  <c r="CQ56" i="76"/>
  <c r="CS56" i="76" s="1"/>
  <c r="CU88" i="76"/>
  <c r="EH85" i="76"/>
  <c r="EE75" i="7" s="1"/>
  <c r="CU20" i="76"/>
  <c r="CU85" i="76"/>
  <c r="CU93" i="76"/>
  <c r="CU16" i="76"/>
  <c r="CQ28" i="76"/>
  <c r="CR28" i="76" s="1"/>
  <c r="CQ65" i="76"/>
  <c r="CS65" i="76" s="1"/>
  <c r="CU79" i="76"/>
  <c r="CQ92" i="76"/>
  <c r="CR92" i="76" s="1"/>
  <c r="CU100" i="76"/>
  <c r="FJ37" i="76"/>
  <c r="EU27" i="7" s="1"/>
  <c r="CQ12" i="76"/>
  <c r="CR12" i="76" s="1"/>
  <c r="CQ39" i="76"/>
  <c r="CR39" i="76" s="1"/>
  <c r="CQ48" i="76"/>
  <c r="CR48" i="76" s="1"/>
  <c r="CQ49" i="76"/>
  <c r="CS49" i="76" s="1"/>
  <c r="CU105" i="76"/>
  <c r="CU109" i="76"/>
  <c r="CT79" i="76"/>
  <c r="FW81" i="76"/>
  <c r="FB71" i="7" s="1"/>
  <c r="EG33" i="76"/>
  <c r="ED23" i="7" s="1"/>
  <c r="CS39" i="76"/>
  <c r="EU50" i="76"/>
  <c r="EL40" i="7" s="1"/>
  <c r="CT21" i="76"/>
  <c r="FW58" i="76"/>
  <c r="FB48" i="7" s="1"/>
  <c r="CT77" i="76"/>
  <c r="CT82" i="76"/>
  <c r="EU56" i="76"/>
  <c r="EL46" i="7" s="1"/>
  <c r="CQ82" i="76"/>
  <c r="CS82" i="76" s="1"/>
  <c r="EG93" i="76"/>
  <c r="ED83" i="7" s="1"/>
  <c r="CT93" i="76"/>
  <c r="EG98" i="76"/>
  <c r="ED88" i="7" s="1"/>
  <c r="CT101" i="76"/>
  <c r="CQ13" i="76"/>
  <c r="CS13" i="76" s="1"/>
  <c r="CQ24" i="76"/>
  <c r="CR24" i="76" s="1"/>
  <c r="EG25" i="76"/>
  <c r="ED145" i="7" s="1"/>
  <c r="EG29" i="76"/>
  <c r="ED149" i="7" s="1"/>
  <c r="CQ36" i="76"/>
  <c r="CR36" i="76" s="1"/>
  <c r="FW40" i="76"/>
  <c r="FB30" i="7" s="1"/>
  <c r="FI52" i="76"/>
  <c r="ET42" i="7" s="1"/>
  <c r="EU58" i="76"/>
  <c r="EL48" i="7" s="1"/>
  <c r="EG80" i="76"/>
  <c r="ED70" i="7" s="1"/>
  <c r="CQ80" i="76"/>
  <c r="CR80" i="76" s="1"/>
  <c r="FI81" i="76"/>
  <c r="ET71" i="7" s="1"/>
  <c r="EG82" i="76"/>
  <c r="ED72" i="7" s="1"/>
  <c r="FI86" i="76"/>
  <c r="ET76" i="7" s="1"/>
  <c r="EG86" i="76"/>
  <c r="ED76" i="7" s="1"/>
  <c r="CT110" i="76"/>
  <c r="CT14" i="76"/>
  <c r="EU17" i="76"/>
  <c r="EL137" i="7" s="1"/>
  <c r="CT20" i="76"/>
  <c r="CQ21" i="76"/>
  <c r="CR21" i="76" s="1"/>
  <c r="CT24" i="76"/>
  <c r="EG27" i="76"/>
  <c r="ED147" i="7" s="1"/>
  <c r="EG32" i="76"/>
  <c r="ED22" i="7" s="1"/>
  <c r="CQ32" i="76"/>
  <c r="CR32" i="76" s="1"/>
  <c r="EU36" i="76"/>
  <c r="EL26" i="7" s="1"/>
  <c r="EG46" i="76"/>
  <c r="ED36" i="7" s="1"/>
  <c r="EU47" i="76"/>
  <c r="EL37" i="7" s="1"/>
  <c r="FI50" i="76"/>
  <c r="ET40" i="7" s="1"/>
  <c r="CQ50" i="76"/>
  <c r="CR50" i="76" s="1"/>
  <c r="FI74" i="76"/>
  <c r="ET64" i="7" s="1"/>
  <c r="EU77" i="76"/>
  <c r="EL67" i="7" s="1"/>
  <c r="CQ77" i="76"/>
  <c r="CS77" i="76" s="1"/>
  <c r="CQ88" i="76"/>
  <c r="CR88" i="76" s="1"/>
  <c r="CQ96" i="76"/>
  <c r="CR96" i="76" s="1"/>
  <c r="CQ97" i="76"/>
  <c r="CS97" i="76" s="1"/>
  <c r="CT98" i="76"/>
  <c r="CQ99" i="76"/>
  <c r="CS99" i="76" s="1"/>
  <c r="FW101" i="76"/>
  <c r="FB91" i="7" s="1"/>
  <c r="EG103" i="76"/>
  <c r="ED93" i="7" s="1"/>
  <c r="EG110" i="76"/>
  <c r="ED100" i="7" s="1"/>
  <c r="CC65" i="76"/>
  <c r="CD65" i="76" s="1"/>
  <c r="CC85" i="76"/>
  <c r="CE85" i="76" s="1"/>
  <c r="CG87" i="76"/>
  <c r="CC89" i="76"/>
  <c r="CD89" i="76" s="1"/>
  <c r="CC100" i="76"/>
  <c r="CD100" i="76" s="1"/>
  <c r="CC101" i="76"/>
  <c r="CD101" i="76" s="1"/>
  <c r="CG11" i="76"/>
  <c r="CG18" i="76"/>
  <c r="CG22" i="76"/>
  <c r="CC34" i="76"/>
  <c r="CE34" i="76" s="1"/>
  <c r="CC64" i="76"/>
  <c r="CE64" i="76" s="1"/>
  <c r="CC88" i="76"/>
  <c r="CE88" i="76" s="1"/>
  <c r="CG91" i="76"/>
  <c r="CG99" i="76"/>
  <c r="CG106" i="76"/>
  <c r="CG21" i="76"/>
  <c r="CG24" i="76"/>
  <c r="CG79" i="76"/>
  <c r="CG85" i="76"/>
  <c r="CG100" i="76"/>
  <c r="CG105" i="76"/>
  <c r="FJ10" i="76"/>
  <c r="EU130" i="7" s="1"/>
  <c r="FJ12" i="76"/>
  <c r="EU132" i="7" s="1"/>
  <c r="CC12" i="76"/>
  <c r="CE12" i="76" s="1"/>
  <c r="CG16" i="76"/>
  <c r="CC18" i="76"/>
  <c r="CE18" i="76" s="1"/>
  <c r="CG20" i="76"/>
  <c r="CG75" i="76"/>
  <c r="CC80" i="76"/>
  <c r="CE80" i="76" s="1"/>
  <c r="FI75" i="76"/>
  <c r="ET65" i="7" s="1"/>
  <c r="GK95" i="76"/>
  <c r="FJ85" i="7" s="1"/>
  <c r="CC36" i="76"/>
  <c r="CE36" i="76" s="1"/>
  <c r="GK40" i="76"/>
  <c r="FJ30" i="7" s="1"/>
  <c r="GK66" i="76"/>
  <c r="FJ56" i="7" s="1"/>
  <c r="GK69" i="76"/>
  <c r="FJ59" i="7" s="1"/>
  <c r="CF80" i="76"/>
  <c r="FI94" i="76"/>
  <c r="ET84" i="7" s="1"/>
  <c r="FI95" i="76"/>
  <c r="ET85" i="7" s="1"/>
  <c r="FI97" i="76"/>
  <c r="ET87" i="7" s="1"/>
  <c r="FI106" i="76"/>
  <c r="ET96" i="7" s="1"/>
  <c r="CC106" i="76"/>
  <c r="CE106" i="76" s="1"/>
  <c r="CF106" i="76"/>
  <c r="FI10" i="76"/>
  <c r="ET130" i="7" s="1"/>
  <c r="GK75" i="76"/>
  <c r="FJ65" i="7" s="1"/>
  <c r="FI82" i="76"/>
  <c r="ET72" i="7" s="1"/>
  <c r="GK83" i="76"/>
  <c r="FJ73" i="7" s="1"/>
  <c r="CF94" i="76"/>
  <c r="GK103" i="76"/>
  <c r="FJ93" i="7" s="1"/>
  <c r="CF10" i="76"/>
  <c r="GK14" i="76"/>
  <c r="FJ134" i="7" s="1"/>
  <c r="GK29" i="76"/>
  <c r="FJ149" i="7" s="1"/>
  <c r="FI32" i="76"/>
  <c r="ET22" i="7" s="1"/>
  <c r="CC32" i="76"/>
  <c r="CD32" i="76" s="1"/>
  <c r="GK33" i="76"/>
  <c r="FJ23" i="7" s="1"/>
  <c r="GK36" i="76"/>
  <c r="FJ26" i="7" s="1"/>
  <c r="FI40" i="76"/>
  <c r="ET30" i="7" s="1"/>
  <c r="FI47" i="76"/>
  <c r="ET37" i="7" s="1"/>
  <c r="GK55" i="76"/>
  <c r="FJ45" i="7" s="1"/>
  <c r="FI61" i="76"/>
  <c r="ET51" i="7" s="1"/>
  <c r="FI66" i="76"/>
  <c r="ET56" i="7" s="1"/>
  <c r="FI69" i="76"/>
  <c r="ET59" i="7" s="1"/>
  <c r="CC69" i="76"/>
  <c r="CD69" i="76" s="1"/>
  <c r="FI87" i="76"/>
  <c r="ET77" i="7" s="1"/>
  <c r="FI90" i="76"/>
  <c r="ET80" i="7" s="1"/>
  <c r="GK90" i="76"/>
  <c r="FJ80" i="7" s="1"/>
  <c r="FI93" i="76"/>
  <c r="ET83" i="7" s="1"/>
  <c r="CC93" i="76"/>
  <c r="CE93" i="76" s="1"/>
  <c r="CC94" i="76"/>
  <c r="CE94" i="76" s="1"/>
  <c r="GK97" i="76"/>
  <c r="FJ87" i="7" s="1"/>
  <c r="GK100" i="76"/>
  <c r="FJ90" i="7" s="1"/>
  <c r="FI101" i="76"/>
  <c r="ET91" i="7" s="1"/>
  <c r="CC102" i="76"/>
  <c r="CD102" i="76" s="1"/>
  <c r="FI104" i="76"/>
  <c r="ET94" i="7" s="1"/>
  <c r="BS14" i="76"/>
  <c r="BO65" i="76"/>
  <c r="BP65" i="76" s="1"/>
  <c r="BS86" i="76"/>
  <c r="BS88" i="76"/>
  <c r="BO20" i="76"/>
  <c r="BP20" i="76" s="1"/>
  <c r="BO27" i="76"/>
  <c r="BQ27" i="76" s="1"/>
  <c r="BS101" i="76"/>
  <c r="BS24" i="76"/>
  <c r="BS94" i="76"/>
  <c r="BS105" i="76"/>
  <c r="BS79" i="76"/>
  <c r="BO86" i="76"/>
  <c r="BQ86" i="76" s="1"/>
  <c r="BO92" i="76"/>
  <c r="BQ92" i="76" s="1"/>
  <c r="BS93" i="76"/>
  <c r="EV23" i="76"/>
  <c r="EM143" i="7" s="1"/>
  <c r="BO24" i="76"/>
  <c r="BP24" i="76" s="1"/>
  <c r="BO31" i="76"/>
  <c r="BQ31" i="76" s="1"/>
  <c r="BO49" i="76"/>
  <c r="BQ49" i="76" s="1"/>
  <c r="BO60" i="76"/>
  <c r="BQ60" i="76" s="1"/>
  <c r="BS92" i="76"/>
  <c r="BR93" i="76"/>
  <c r="BR97" i="76"/>
  <c r="BR110" i="76"/>
  <c r="EU10" i="76"/>
  <c r="EL130" i="7" s="1"/>
  <c r="BR79" i="76"/>
  <c r="EU106" i="76"/>
  <c r="EL96" i="7" s="1"/>
  <c r="EU110" i="76"/>
  <c r="EL100" i="7" s="1"/>
  <c r="BO32" i="76"/>
  <c r="BQ32" i="76" s="1"/>
  <c r="EU80" i="76"/>
  <c r="EL70" i="7" s="1"/>
  <c r="EU93" i="76"/>
  <c r="EL83" i="7" s="1"/>
  <c r="BR105" i="76"/>
  <c r="EU32" i="76"/>
  <c r="EL22" i="7" s="1"/>
  <c r="BO36" i="76"/>
  <c r="BQ36" i="76" s="1"/>
  <c r="EU40" i="76"/>
  <c r="EL30" i="7" s="1"/>
  <c r="EU65" i="76"/>
  <c r="EL55" i="7" s="1"/>
  <c r="EU66" i="76"/>
  <c r="EL56" i="7" s="1"/>
  <c r="EU69" i="76"/>
  <c r="EL59" i="7" s="1"/>
  <c r="EU82" i="76"/>
  <c r="EL72" i="7" s="1"/>
  <c r="BO97" i="76"/>
  <c r="BP97" i="76" s="1"/>
  <c r="BR101" i="76"/>
  <c r="BO110" i="76"/>
  <c r="BP110" i="76" s="1"/>
  <c r="EG40" i="76"/>
  <c r="ED30" i="7" s="1"/>
  <c r="EG50" i="76"/>
  <c r="ED40" i="7" s="1"/>
  <c r="BD90" i="76"/>
  <c r="GK54" i="76"/>
  <c r="FJ44" i="7" s="1"/>
  <c r="GK86" i="76"/>
  <c r="FJ76" i="7" s="1"/>
  <c r="EG21" i="76"/>
  <c r="ED141" i="7" s="1"/>
  <c r="GK21" i="76"/>
  <c r="FJ141" i="7" s="1"/>
  <c r="GK24" i="76"/>
  <c r="FJ144" i="7" s="1"/>
  <c r="GK32" i="76"/>
  <c r="FJ22" i="7" s="1"/>
  <c r="EG41" i="76"/>
  <c r="ED31" i="7" s="1"/>
  <c r="BA68" i="76"/>
  <c r="BC68" i="76" s="1"/>
  <c r="EG69" i="76"/>
  <c r="ED59" i="7" s="1"/>
  <c r="EG79" i="76"/>
  <c r="ED69" i="7" s="1"/>
  <c r="BD81" i="76"/>
  <c r="BD86" i="76"/>
  <c r="BA90" i="76"/>
  <c r="BC90" i="76" s="1"/>
  <c r="BA93" i="76"/>
  <c r="BB93" i="76" s="1"/>
  <c r="BD94" i="76"/>
  <c r="BA108" i="76"/>
  <c r="BC108" i="76" s="1"/>
  <c r="EG90" i="76"/>
  <c r="ED80" i="7" s="1"/>
  <c r="EG81" i="76"/>
  <c r="ED71" i="7" s="1"/>
  <c r="GK94" i="76"/>
  <c r="FJ84" i="7" s="1"/>
  <c r="EG18" i="76"/>
  <c r="ED138" i="7" s="1"/>
  <c r="EG36" i="76"/>
  <c r="ED26" i="7" s="1"/>
  <c r="BA36" i="76"/>
  <c r="BB36" i="76" s="1"/>
  <c r="BA40" i="76"/>
  <c r="BC40" i="76" s="1"/>
  <c r="BA45" i="76"/>
  <c r="BC45" i="76" s="1"/>
  <c r="EG66" i="76"/>
  <c r="ED56" i="7" s="1"/>
  <c r="BA86" i="76"/>
  <c r="BC86" i="76" s="1"/>
  <c r="EG87" i="76"/>
  <c r="ED77" i="7" s="1"/>
  <c r="EG95" i="76"/>
  <c r="ED85" i="7" s="1"/>
  <c r="BD97" i="76"/>
  <c r="BA69" i="76"/>
  <c r="BC69" i="76" s="1"/>
  <c r="BE80" i="76"/>
  <c r="BE85" i="76"/>
  <c r="BA89" i="76"/>
  <c r="BB89" i="76" s="1"/>
  <c r="BA21" i="76"/>
  <c r="BC21" i="76" s="1"/>
  <c r="BE24" i="76"/>
  <c r="EH17" i="76"/>
  <c r="EE137" i="7" s="1"/>
  <c r="BE17" i="76"/>
  <c r="BA101" i="76"/>
  <c r="BC101" i="76" s="1"/>
  <c r="BA20" i="76"/>
  <c r="BB20" i="76" s="1"/>
  <c r="BA27" i="76"/>
  <c r="BB27" i="76" s="1"/>
  <c r="BA58" i="76"/>
  <c r="BC58" i="76" s="1"/>
  <c r="BA61" i="76"/>
  <c r="BC61" i="76" s="1"/>
  <c r="BA74" i="76"/>
  <c r="BC74" i="76" s="1"/>
  <c r="BE93" i="76"/>
  <c r="BE109" i="76"/>
  <c r="BA17" i="76"/>
  <c r="BC17" i="76" s="1"/>
  <c r="BE19" i="76"/>
  <c r="BA24" i="76"/>
  <c r="BC24" i="76" s="1"/>
  <c r="BA64" i="76"/>
  <c r="BC64" i="76" s="1"/>
  <c r="BA75" i="76"/>
  <c r="BC75" i="76" s="1"/>
  <c r="BA84" i="76"/>
  <c r="BC84" i="76" s="1"/>
  <c r="BE89" i="76"/>
  <c r="BA96" i="76"/>
  <c r="BC96" i="76" s="1"/>
  <c r="BA100" i="76"/>
  <c r="BB100" i="76" s="1"/>
  <c r="BA18" i="76"/>
  <c r="BC18" i="76" s="1"/>
  <c r="BA23" i="76"/>
  <c r="BC23" i="76" s="1"/>
  <c r="BA26" i="76"/>
  <c r="BC26" i="76" s="1"/>
  <c r="AQ19" i="76"/>
  <c r="AM78" i="76"/>
  <c r="AO78" i="76" s="1"/>
  <c r="AM45" i="76"/>
  <c r="AO45" i="76" s="1"/>
  <c r="AM48" i="76"/>
  <c r="AO48" i="76" s="1"/>
  <c r="AM88" i="76"/>
  <c r="AO88" i="76" s="1"/>
  <c r="AM92" i="76"/>
  <c r="AO92" i="76" s="1"/>
  <c r="AM109" i="76"/>
  <c r="AO109" i="76" s="1"/>
  <c r="AQ77" i="76"/>
  <c r="AM28" i="76"/>
  <c r="AO28" i="76" s="1"/>
  <c r="AQ100" i="76"/>
  <c r="AM16" i="76"/>
  <c r="AN16" i="76" s="1"/>
  <c r="AM43" i="76"/>
  <c r="AN43" i="76" s="1"/>
  <c r="AM60" i="76"/>
  <c r="AN60" i="76" s="1"/>
  <c r="AQ79" i="76"/>
  <c r="AQ85" i="76"/>
  <c r="AQ105" i="76"/>
  <c r="AQ17" i="76"/>
  <c r="FJ19" i="76"/>
  <c r="EU139" i="7" s="1"/>
  <c r="AQ20" i="76"/>
  <c r="AQ21" i="76"/>
  <c r="AQ89" i="76"/>
  <c r="AQ93" i="76"/>
  <c r="AP21" i="76"/>
  <c r="FI31" i="76"/>
  <c r="ET21" i="7" s="1"/>
  <c r="AP75" i="76"/>
  <c r="AP101" i="76"/>
  <c r="AM40" i="76"/>
  <c r="AN40" i="76" s="1"/>
  <c r="FI49" i="76"/>
  <c r="ET39" i="7" s="1"/>
  <c r="AM65" i="76"/>
  <c r="AN65" i="76" s="1"/>
  <c r="AM79" i="76"/>
  <c r="AN79" i="76" s="1"/>
  <c r="AP95" i="76"/>
  <c r="AP102" i="76"/>
  <c r="AM105" i="76"/>
  <c r="AO105" i="76" s="1"/>
  <c r="AM106" i="76"/>
  <c r="AN106" i="76" s="1"/>
  <c r="AM108" i="76"/>
  <c r="AN108" i="76" s="1"/>
  <c r="AP80" i="76"/>
  <c r="AP93" i="76"/>
  <c r="AM36" i="76"/>
  <c r="AO36" i="76" s="1"/>
  <c r="AM84" i="76"/>
  <c r="AO84" i="76" s="1"/>
  <c r="AP97" i="76"/>
  <c r="AP110" i="76"/>
  <c r="AM31" i="76"/>
  <c r="AO31" i="76" s="1"/>
  <c r="AM49" i="76"/>
  <c r="AN49" i="76" s="1"/>
  <c r="AM75" i="76"/>
  <c r="AN75" i="76" s="1"/>
  <c r="AP77" i="76"/>
  <c r="AM80" i="76"/>
  <c r="AP81" i="76"/>
  <c r="AP82" i="76"/>
  <c r="AM93" i="76"/>
  <c r="AN93" i="76" s="1"/>
  <c r="AM99" i="76"/>
  <c r="AM101" i="76"/>
  <c r="AN101" i="76" s="1"/>
  <c r="AP106" i="76"/>
  <c r="AC13" i="76"/>
  <c r="Y35" i="76"/>
  <c r="Z35" i="76" s="1"/>
  <c r="Y8" i="76"/>
  <c r="AC8" i="76" s="1"/>
  <c r="Y43" i="76"/>
  <c r="Z43" i="76" s="1"/>
  <c r="AC87" i="76"/>
  <c r="AC15" i="76"/>
  <c r="AC109" i="76"/>
  <c r="AB10" i="76"/>
  <c r="Y16" i="76"/>
  <c r="Z16" i="76" s="1"/>
  <c r="Y27" i="76"/>
  <c r="AA27" i="76" s="1"/>
  <c r="Y28" i="76"/>
  <c r="AA28" i="76" s="1"/>
  <c r="Y69" i="76"/>
  <c r="Z69" i="76" s="1"/>
  <c r="Y42" i="76"/>
  <c r="Z42" i="76" s="1"/>
  <c r="Y46" i="76"/>
  <c r="AA46" i="76" s="1"/>
  <c r="EU46" i="76"/>
  <c r="EL36" i="7" s="1"/>
  <c r="Y68" i="76"/>
  <c r="Z68" i="76" s="1"/>
  <c r="EU86" i="76"/>
  <c r="EL76" i="7" s="1"/>
  <c r="Y89" i="76"/>
  <c r="AA89" i="76" s="1"/>
  <c r="AB90" i="76"/>
  <c r="AB93" i="76"/>
  <c r="Y97" i="76"/>
  <c r="Z97" i="76" s="1"/>
  <c r="AB101" i="76"/>
  <c r="Y109" i="76"/>
  <c r="AA109" i="76" s="1"/>
  <c r="Y32" i="76"/>
  <c r="Z32" i="76" s="1"/>
  <c r="Y36" i="76"/>
  <c r="Z36" i="76" s="1"/>
  <c r="AB80" i="76"/>
  <c r="EU104" i="76"/>
  <c r="EL94" i="7" s="1"/>
  <c r="AB110" i="76"/>
  <c r="AC16" i="76"/>
  <c r="AC19" i="76"/>
  <c r="Y20" i="76"/>
  <c r="AA20" i="76" s="1"/>
  <c r="Y23" i="76"/>
  <c r="AA23" i="76" s="1"/>
  <c r="AC24" i="76"/>
  <c r="Y50" i="76"/>
  <c r="AA50" i="76" s="1"/>
  <c r="AC79" i="76"/>
  <c r="AC85" i="76"/>
  <c r="AC89" i="76"/>
  <c r="Y93" i="76"/>
  <c r="AA93" i="76" s="1"/>
  <c r="Y94" i="76"/>
  <c r="AA94" i="76" s="1"/>
  <c r="AC100" i="76"/>
  <c r="AC75" i="76"/>
  <c r="AC23" i="76"/>
  <c r="AC105" i="76"/>
  <c r="M10" i="76"/>
  <c r="FV130" i="7" s="1"/>
  <c r="M17" i="76"/>
  <c r="FV137" i="7" s="1"/>
  <c r="M29" i="76"/>
  <c r="FV149" i="7" s="1"/>
  <c r="M37" i="76"/>
  <c r="FV27" i="7" s="1"/>
  <c r="L54" i="76"/>
  <c r="FU44" i="7" s="1"/>
  <c r="M59" i="76"/>
  <c r="FV49" i="7" s="1"/>
  <c r="M70" i="76"/>
  <c r="FV60" i="7" s="1"/>
  <c r="L77" i="76"/>
  <c r="FU67" i="7" s="1"/>
  <c r="K105" i="76"/>
  <c r="L105" i="76" s="1"/>
  <c r="FU95" i="7" s="1"/>
  <c r="L28" i="76"/>
  <c r="FU148" i="7" s="1"/>
  <c r="M44" i="76"/>
  <c r="FV34" i="7" s="1"/>
  <c r="L47" i="76"/>
  <c r="FU37" i="7" s="1"/>
  <c r="M48" i="76"/>
  <c r="FV38" i="7" s="1"/>
  <c r="L58" i="76"/>
  <c r="FU48" i="7" s="1"/>
  <c r="L65" i="76"/>
  <c r="FU55" i="7" s="1"/>
  <c r="M67" i="76"/>
  <c r="FV57" i="7" s="1"/>
  <c r="K71" i="76"/>
  <c r="M71" i="76" s="1"/>
  <c r="FV61" i="7" s="1"/>
  <c r="K79" i="76"/>
  <c r="L79" i="76" s="1"/>
  <c r="FU69" i="7" s="1"/>
  <c r="M92" i="76"/>
  <c r="FV82" i="7" s="1"/>
  <c r="K93" i="76"/>
  <c r="L93" i="76" s="1"/>
  <c r="FU83" i="7" s="1"/>
  <c r="K94" i="76"/>
  <c r="L94" i="76" s="1"/>
  <c r="FU84" i="7" s="1"/>
  <c r="L101" i="76"/>
  <c r="FU91" i="7" s="1"/>
  <c r="L107" i="76"/>
  <c r="FU97" i="7" s="1"/>
  <c r="K109" i="76"/>
  <c r="M109" i="76" s="1"/>
  <c r="FV99" i="7" s="1"/>
  <c r="K110" i="76"/>
  <c r="L110" i="76" s="1"/>
  <c r="FU100" i="7" s="1"/>
  <c r="L10" i="76"/>
  <c r="FU130" i="7" s="1"/>
  <c r="M39" i="76"/>
  <c r="FV29" i="7" s="1"/>
  <c r="L44" i="76"/>
  <c r="FU34" i="7" s="1"/>
  <c r="M49" i="76"/>
  <c r="FV39" i="7" s="1"/>
  <c r="M65" i="76"/>
  <c r="FV55" i="7" s="1"/>
  <c r="M68" i="76"/>
  <c r="FV58" i="7" s="1"/>
  <c r="EG47" i="76"/>
  <c r="ED37" i="7" s="1"/>
  <c r="N80" i="76"/>
  <c r="FW70" i="7" s="1"/>
  <c r="N82" i="76"/>
  <c r="FW72" i="7" s="1"/>
  <c r="EG17" i="76"/>
  <c r="ED137" i="7" s="1"/>
  <c r="EG62" i="76"/>
  <c r="ED52" i="7" s="1"/>
  <c r="EG28" i="76"/>
  <c r="ED148" i="7" s="1"/>
  <c r="EG71" i="76"/>
  <c r="ED61" i="7" s="1"/>
  <c r="L87" i="76"/>
  <c r="FU77" i="7" s="1"/>
  <c r="N101" i="76"/>
  <c r="FW91" i="7" s="1"/>
  <c r="N110" i="76"/>
  <c r="FW100" i="7" s="1"/>
  <c r="EG102" i="76"/>
  <c r="ED92" i="7" s="1"/>
  <c r="N106" i="76"/>
  <c r="FW96" i="7" s="1"/>
  <c r="N77" i="76"/>
  <c r="FW67" i="7" s="1"/>
  <c r="N79" i="76"/>
  <c r="FW69" i="7" s="1"/>
  <c r="EG97" i="76"/>
  <c r="ED87" i="7" s="1"/>
  <c r="EG10" i="76"/>
  <c r="ED130" i="7" s="1"/>
  <c r="L18" i="76"/>
  <c r="FU138" i="7" s="1"/>
  <c r="L41" i="76"/>
  <c r="FU31" i="7" s="1"/>
  <c r="EG58" i="76"/>
  <c r="ED48" i="7" s="1"/>
  <c r="L76" i="76"/>
  <c r="FU66" i="7" s="1"/>
  <c r="N81" i="76"/>
  <c r="FW71" i="7" s="1"/>
  <c r="N87" i="76"/>
  <c r="FW77" i="7" s="1"/>
  <c r="N103" i="76"/>
  <c r="FW93" i="7" s="1"/>
  <c r="DV17" i="76"/>
  <c r="DW20" i="76"/>
  <c r="FI11" i="76"/>
  <c r="ET131" i="7" s="1"/>
  <c r="DS16" i="76"/>
  <c r="DT16" i="76" s="1"/>
  <c r="FI21" i="76"/>
  <c r="ET141" i="7" s="1"/>
  <c r="FI17" i="76"/>
  <c r="ET137" i="7" s="1"/>
  <c r="DS17" i="76"/>
  <c r="DU17" i="76" s="1"/>
  <c r="EZ139" i="7"/>
  <c r="FJ21" i="76"/>
  <c r="EU141" i="7" s="1"/>
  <c r="FW11" i="76"/>
  <c r="FB131" i="7" s="1"/>
  <c r="EG14" i="76"/>
  <c r="ED134" i="7" s="1"/>
  <c r="DE20" i="76"/>
  <c r="DF20" i="76" s="1"/>
  <c r="EV20" i="76"/>
  <c r="EM140" i="7" s="1"/>
  <c r="DH13" i="76"/>
  <c r="DH17" i="76"/>
  <c r="EG12" i="76"/>
  <c r="ED132" i="7" s="1"/>
  <c r="EU12" i="76"/>
  <c r="EL132" i="7" s="1"/>
  <c r="EG13" i="76"/>
  <c r="ED133" i="7" s="1"/>
  <c r="EU13" i="76"/>
  <c r="EL133" i="7" s="1"/>
  <c r="FW13" i="76"/>
  <c r="FB133" i="7" s="1"/>
  <c r="DI13" i="76"/>
  <c r="FW16" i="76"/>
  <c r="FB136" i="7" s="1"/>
  <c r="DE18" i="76"/>
  <c r="DG18" i="76" s="1"/>
  <c r="DI19" i="76"/>
  <c r="FH132" i="7"/>
  <c r="CT13" i="76"/>
  <c r="ER134" i="7"/>
  <c r="CQ15" i="76"/>
  <c r="CR15" i="76" s="1"/>
  <c r="FJ17" i="76"/>
  <c r="EU137" i="7" s="1"/>
  <c r="CU13" i="76"/>
  <c r="EV11" i="76"/>
  <c r="EM131" i="7" s="1"/>
  <c r="FH131" i="7"/>
  <c r="CU12" i="76"/>
  <c r="CU15" i="76"/>
  <c r="EU16" i="76"/>
  <c r="EL136" i="7" s="1"/>
  <c r="CU17" i="76"/>
  <c r="CG13" i="76"/>
  <c r="GL11" i="76"/>
  <c r="FK131" i="7" s="1"/>
  <c r="CC13" i="76"/>
  <c r="CE13" i="76" s="1"/>
  <c r="CF13" i="76"/>
  <c r="BS16" i="76"/>
  <c r="BS12" i="76"/>
  <c r="EV12" i="76"/>
  <c r="EM132" i="7" s="1"/>
  <c r="BR13" i="76"/>
  <c r="BO12" i="76"/>
  <c r="BQ12" i="76" s="1"/>
  <c r="BS13" i="76"/>
  <c r="BS17" i="76"/>
  <c r="BR17" i="76"/>
  <c r="BS19" i="76"/>
  <c r="BE13" i="76"/>
  <c r="BE12" i="76"/>
  <c r="BA13" i="76"/>
  <c r="BC13" i="76" s="1"/>
  <c r="BA15" i="76"/>
  <c r="BB15" i="76" s="1"/>
  <c r="FP131" i="7"/>
  <c r="BA12" i="76"/>
  <c r="BC12" i="76" s="1"/>
  <c r="EJ132" i="7"/>
  <c r="FP132" i="7"/>
  <c r="BD13" i="76"/>
  <c r="BE15" i="76"/>
  <c r="AP13" i="76"/>
  <c r="AQ13" i="76"/>
  <c r="FI14" i="76"/>
  <c r="ET134" i="7" s="1"/>
  <c r="AQ12" i="76"/>
  <c r="FJ13" i="76"/>
  <c r="EU133" i="7" s="1"/>
  <c r="AQ16" i="76"/>
  <c r="AM12" i="76"/>
  <c r="AN12" i="76" s="1"/>
  <c r="EZ132" i="7"/>
  <c r="AM13" i="76"/>
  <c r="AO13" i="76" s="1"/>
  <c r="AB13" i="76"/>
  <c r="Y13" i="76"/>
  <c r="Z13" i="76" s="1"/>
  <c r="AB17" i="76"/>
  <c r="AC18" i="76"/>
  <c r="N13" i="76"/>
  <c r="FW133" i="7" s="1"/>
  <c r="L15" i="76"/>
  <c r="FU135" i="7" s="1"/>
  <c r="L17" i="76"/>
  <c r="FU137" i="7" s="1"/>
  <c r="O12" i="76"/>
  <c r="FX132" i="7" s="1"/>
  <c r="M13" i="76"/>
  <c r="FV133" i="7" s="1"/>
  <c r="O13" i="76"/>
  <c r="FX133" i="7" s="1"/>
  <c r="N14" i="76"/>
  <c r="FW134" i="7" s="1"/>
  <c r="O15" i="76"/>
  <c r="FX135" i="7" s="1"/>
  <c r="N16" i="76"/>
  <c r="FW136" i="7" s="1"/>
  <c r="N17" i="76"/>
  <c r="FW137" i="7" s="1"/>
  <c r="M18" i="76"/>
  <c r="FV138" i="7" s="1"/>
  <c r="M19" i="76"/>
  <c r="FV139" i="7" s="1"/>
  <c r="GB8" i="76"/>
  <c r="GA3" i="76"/>
  <c r="FN8" i="76"/>
  <c r="FM3" i="76"/>
  <c r="EZ8" i="76"/>
  <c r="L11" i="76"/>
  <c r="FU131" i="7" s="1"/>
  <c r="CM6" i="76"/>
  <c r="FU6" i="76"/>
  <c r="EL8" i="76"/>
  <c r="EK3" i="76"/>
  <c r="GP8" i="76"/>
  <c r="GO3" i="76"/>
  <c r="M21" i="76"/>
  <c r="FV141" i="7" s="1"/>
  <c r="M11" i="76"/>
  <c r="FV131" i="7" s="1"/>
  <c r="FJ11" i="76"/>
  <c r="EU131" i="7" s="1"/>
  <c r="FI12" i="76"/>
  <c r="ET132" i="7" s="1"/>
  <c r="EH14" i="76"/>
  <c r="EE134" i="7" s="1"/>
  <c r="O14" i="76"/>
  <c r="FX134" i="7" s="1"/>
  <c r="EV15" i="76"/>
  <c r="EM135" i="7" s="1"/>
  <c r="FJ15" i="76"/>
  <c r="EU135" i="7" s="1"/>
  <c r="O16" i="76"/>
  <c r="FX136" i="7" s="1"/>
  <c r="DW16" i="76"/>
  <c r="EH19" i="76"/>
  <c r="EE139" i="7" s="1"/>
  <c r="FJ20" i="76"/>
  <c r="EU140" i="7" s="1"/>
  <c r="BE20" i="76"/>
  <c r="DI20" i="76"/>
  <c r="L24" i="76"/>
  <c r="FU144" i="7" s="1"/>
  <c r="CU24" i="76"/>
  <c r="EG24" i="76"/>
  <c r="ED144" i="7" s="1"/>
  <c r="EU24" i="76"/>
  <c r="EL144" i="7" s="1"/>
  <c r="EH28" i="76"/>
  <c r="EE148" i="7" s="1"/>
  <c r="AM29" i="76"/>
  <c r="AO29" i="76" s="1"/>
  <c r="FI29" i="76"/>
  <c r="ET149" i="7" s="1"/>
  <c r="CC29" i="76"/>
  <c r="CE29" i="76" s="1"/>
  <c r="DS29" i="76"/>
  <c r="DU29" i="76" s="1"/>
  <c r="EV41" i="76"/>
  <c r="EM31" i="7" s="1"/>
  <c r="DE43" i="76"/>
  <c r="DF43" i="76" s="1"/>
  <c r="FJ45" i="76"/>
  <c r="EU35" i="7" s="1"/>
  <c r="DE52" i="76"/>
  <c r="DG52" i="76" s="1"/>
  <c r="FX55" i="76"/>
  <c r="FC45" i="7" s="1"/>
  <c r="FY2" i="76"/>
  <c r="FH14" i="7" s="1"/>
  <c r="EG3" i="76"/>
  <c r="Y10" i="76"/>
  <c r="Z10" i="76" s="1"/>
  <c r="AQ10" i="76"/>
  <c r="BE10" i="76"/>
  <c r="CC10" i="76"/>
  <c r="CD10" i="76" s="1"/>
  <c r="CU10" i="76"/>
  <c r="DI10" i="76"/>
  <c r="DW10" i="76"/>
  <c r="BR11" i="76"/>
  <c r="CF11" i="76"/>
  <c r="DH11" i="76"/>
  <c r="EG11" i="76"/>
  <c r="ED131" i="7" s="1"/>
  <c r="FX11" i="76"/>
  <c r="FC131" i="7" s="1"/>
  <c r="CS12" i="76"/>
  <c r="FW12" i="76"/>
  <c r="FB132" i="7" s="1"/>
  <c r="EU14" i="76"/>
  <c r="EL134" i="7" s="1"/>
  <c r="Y14" i="76"/>
  <c r="DE14" i="76"/>
  <c r="DF14" i="76" s="1"/>
  <c r="FX14" i="76"/>
  <c r="FC134" i="7" s="1"/>
  <c r="M15" i="76"/>
  <c r="FV135" i="7" s="1"/>
  <c r="AM15" i="76"/>
  <c r="AN15" i="76" s="1"/>
  <c r="CG15" i="76"/>
  <c r="EH15" i="76"/>
  <c r="EE135" i="7" s="1"/>
  <c r="GL15" i="76"/>
  <c r="FK135" i="7" s="1"/>
  <c r="FJ16" i="76"/>
  <c r="EU136" i="7" s="1"/>
  <c r="AP16" i="76"/>
  <c r="BO16" i="76"/>
  <c r="BQ16" i="76" s="1"/>
  <c r="CT16" i="76"/>
  <c r="FI16" i="76"/>
  <c r="ET136" i="7" s="1"/>
  <c r="AM17" i="76"/>
  <c r="AN17" i="76" s="1"/>
  <c r="CG17" i="76"/>
  <c r="CQ17" i="76"/>
  <c r="GL18" i="76"/>
  <c r="FK138" i="7" s="1"/>
  <c r="BE18" i="76"/>
  <c r="BD18" i="76"/>
  <c r="CF18" i="76"/>
  <c r="DH18" i="76"/>
  <c r="EV18" i="76"/>
  <c r="EM138" i="7" s="1"/>
  <c r="O19" i="76"/>
  <c r="FX139" i="7" s="1"/>
  <c r="Y19" i="76"/>
  <c r="AA19" i="76" s="1"/>
  <c r="CC19" i="76"/>
  <c r="CD19" i="76" s="1"/>
  <c r="DW19" i="76"/>
  <c r="FW19" i="76"/>
  <c r="FB139" i="7" s="1"/>
  <c r="L20" i="76"/>
  <c r="FU140" i="7" s="1"/>
  <c r="AB20" i="76"/>
  <c r="CF20" i="76"/>
  <c r="EG20" i="76"/>
  <c r="ED140" i="7" s="1"/>
  <c r="EU20" i="76"/>
  <c r="EL140" i="7" s="1"/>
  <c r="GK20" i="76"/>
  <c r="FJ140" i="7" s="1"/>
  <c r="O21" i="76"/>
  <c r="FX141" i="7" s="1"/>
  <c r="Y21" i="76"/>
  <c r="AA21" i="76" s="1"/>
  <c r="BS21" i="76"/>
  <c r="CC21" i="76"/>
  <c r="CE21" i="76" s="1"/>
  <c r="DW21" i="76"/>
  <c r="EH21" i="76"/>
  <c r="EE141" i="7" s="1"/>
  <c r="FH21" i="76"/>
  <c r="FX21" i="76"/>
  <c r="FC141" i="7" s="1"/>
  <c r="GL21" i="76"/>
  <c r="FK141" i="7" s="1"/>
  <c r="M22" i="76"/>
  <c r="FV142" i="7" s="1"/>
  <c r="AM22" i="76"/>
  <c r="AN22" i="76" s="1"/>
  <c r="BO22" i="76"/>
  <c r="BP22" i="76" s="1"/>
  <c r="CQ22" i="76"/>
  <c r="CR22" i="76" s="1"/>
  <c r="DS22" i="76"/>
  <c r="DT22" i="76" s="1"/>
  <c r="EG22" i="76"/>
  <c r="ED142" i="7" s="1"/>
  <c r="FV22" i="76"/>
  <c r="GK22" i="76"/>
  <c r="FJ142" i="7" s="1"/>
  <c r="BE23" i="76"/>
  <c r="BO23" i="76"/>
  <c r="BP23" i="76" s="1"/>
  <c r="FX23" i="76"/>
  <c r="FC143" i="7" s="1"/>
  <c r="DI23" i="76"/>
  <c r="DS23" i="76"/>
  <c r="DU23" i="76" s="1"/>
  <c r="EU23" i="76"/>
  <c r="EL143" i="7" s="1"/>
  <c r="FI23" i="76"/>
  <c r="ET143" i="7" s="1"/>
  <c r="M24" i="76"/>
  <c r="FV144" i="7" s="1"/>
  <c r="AM24" i="76"/>
  <c r="AN24" i="76" s="1"/>
  <c r="BQ24" i="76"/>
  <c r="BR24" i="76"/>
  <c r="DV24" i="76"/>
  <c r="EH24" i="76"/>
  <c r="EE144" i="7" s="1"/>
  <c r="FJ24" i="76"/>
  <c r="EU144" i="7" s="1"/>
  <c r="EH25" i="76"/>
  <c r="EE145" i="7" s="1"/>
  <c r="M25" i="76"/>
  <c r="FV145" i="7" s="1"/>
  <c r="EU25" i="76"/>
  <c r="EL145" i="7" s="1"/>
  <c r="Y25" i="76"/>
  <c r="GL25" i="76"/>
  <c r="FK145" i="7" s="1"/>
  <c r="FI25" i="76"/>
  <c r="ET145" i="7" s="1"/>
  <c r="M26" i="76"/>
  <c r="FV146" i="7" s="1"/>
  <c r="FI26" i="76"/>
  <c r="ET146" i="7" s="1"/>
  <c r="BO26" i="76"/>
  <c r="DS26" i="76"/>
  <c r="EH26" i="76"/>
  <c r="EE146" i="7" s="1"/>
  <c r="FW26" i="76"/>
  <c r="FB146" i="7" s="1"/>
  <c r="EU27" i="76"/>
  <c r="EL147" i="7" s="1"/>
  <c r="FH27" i="76"/>
  <c r="FX27" i="76"/>
  <c r="FC147" i="7" s="1"/>
  <c r="GK27" i="76"/>
  <c r="FJ147" i="7" s="1"/>
  <c r="ET29" i="76"/>
  <c r="EW29" i="76" s="1"/>
  <c r="FJ29" i="76"/>
  <c r="EU149" i="7" s="1"/>
  <c r="Y30" i="76"/>
  <c r="Z30" i="76" s="1"/>
  <c r="AM30" i="76"/>
  <c r="CC30" i="76"/>
  <c r="CD30" i="76" s="1"/>
  <c r="CQ30" i="76"/>
  <c r="CS30" i="76" s="1"/>
  <c r="EG31" i="76"/>
  <c r="ED21" i="7" s="1"/>
  <c r="FX32" i="76"/>
  <c r="FC22" i="7" s="1"/>
  <c r="FJ32" i="76"/>
  <c r="EU22" i="7" s="1"/>
  <c r="EH33" i="76"/>
  <c r="EE23" i="7" s="1"/>
  <c r="M33" i="76"/>
  <c r="FV23" i="7" s="1"/>
  <c r="AM34" i="76"/>
  <c r="AN34" i="76" s="1"/>
  <c r="FI34" i="76"/>
  <c r="ET24" i="7" s="1"/>
  <c r="BA34" i="76"/>
  <c r="CQ34" i="76"/>
  <c r="CR34" i="76" s="1"/>
  <c r="DE34" i="76"/>
  <c r="DF34" i="76" s="1"/>
  <c r="EF34" i="76"/>
  <c r="EV34" i="76"/>
  <c r="EM24" i="7" s="1"/>
  <c r="FW34" i="76"/>
  <c r="FB24" i="7" s="1"/>
  <c r="GJ34" i="76"/>
  <c r="L36" i="76"/>
  <c r="FU26" i="7" s="1"/>
  <c r="EH36" i="76"/>
  <c r="EE26" i="7" s="1"/>
  <c r="FX36" i="76"/>
  <c r="FC26" i="7" s="1"/>
  <c r="GJ36" i="76"/>
  <c r="GM36" i="76" s="1"/>
  <c r="L37" i="76"/>
  <c r="FU27" i="7" s="1"/>
  <c r="EU37" i="76"/>
  <c r="EL27" i="7" s="1"/>
  <c r="Y37" i="76"/>
  <c r="AA37" i="76" s="1"/>
  <c r="AM37" i="76"/>
  <c r="AO37" i="76" s="1"/>
  <c r="FI37" i="76"/>
  <c r="ET27" i="7" s="1"/>
  <c r="BA37" i="76"/>
  <c r="BC37" i="76" s="1"/>
  <c r="BO37" i="76"/>
  <c r="BQ37" i="76" s="1"/>
  <c r="CC37" i="76"/>
  <c r="CQ37" i="76"/>
  <c r="CS37" i="76" s="1"/>
  <c r="FW37" i="76"/>
  <c r="FB27" i="7" s="1"/>
  <c r="DE37" i="76"/>
  <c r="DG37" i="76" s="1"/>
  <c r="DS37" i="76"/>
  <c r="DU37" i="76" s="1"/>
  <c r="FJ39" i="76"/>
  <c r="EU29" i="7" s="1"/>
  <c r="GK39" i="76"/>
  <c r="FJ29" i="7" s="1"/>
  <c r="BA39" i="76"/>
  <c r="BB39" i="76" s="1"/>
  <c r="DE39" i="76"/>
  <c r="DF39" i="76" s="1"/>
  <c r="GL41" i="76"/>
  <c r="FK31" i="7" s="1"/>
  <c r="GL42" i="76"/>
  <c r="FK32" i="7" s="1"/>
  <c r="BA42" i="76"/>
  <c r="FX42" i="76"/>
  <c r="FC32" i="7" s="1"/>
  <c r="DS45" i="76"/>
  <c r="DT45" i="76" s="1"/>
  <c r="FJ49" i="76"/>
  <c r="EU39" i="7" s="1"/>
  <c r="BA50" i="76"/>
  <c r="BC50" i="76" s="1"/>
  <c r="GP50" i="76" s="1"/>
  <c r="FM40" i="7" s="1"/>
  <c r="GL50" i="76"/>
  <c r="FK40" i="7" s="1"/>
  <c r="EV52" i="76"/>
  <c r="EM42" i="7" s="1"/>
  <c r="GK53" i="76"/>
  <c r="FJ43" i="7" s="1"/>
  <c r="BA53" i="76"/>
  <c r="BB53" i="76" s="1"/>
  <c r="DS55" i="76"/>
  <c r="DU55" i="76" s="1"/>
  <c r="FI55" i="76"/>
  <c r="ET45" i="7" s="1"/>
  <c r="CQ69" i="76"/>
  <c r="CS69" i="76" s="1"/>
  <c r="FT6" i="76"/>
  <c r="L12" i="76"/>
  <c r="FU132" i="7" s="1"/>
  <c r="EG15" i="76"/>
  <c r="ED135" i="7" s="1"/>
  <c r="N15" i="76"/>
  <c r="FW135" i="7" s="1"/>
  <c r="FX16" i="76"/>
  <c r="FC136" i="7" s="1"/>
  <c r="EV17" i="76"/>
  <c r="EM137" i="7" s="1"/>
  <c r="EU18" i="76"/>
  <c r="EL138" i="7" s="1"/>
  <c r="Y18" i="76"/>
  <c r="FJ18" i="76"/>
  <c r="EU138" i="7" s="1"/>
  <c r="FX18" i="76"/>
  <c r="FC138" i="7" s="1"/>
  <c r="GK19" i="76"/>
  <c r="FJ139" i="7" s="1"/>
  <c r="BD19" i="76"/>
  <c r="GL19" i="76"/>
  <c r="FK139" i="7" s="1"/>
  <c r="FI20" i="76"/>
  <c r="ET140" i="7" s="1"/>
  <c r="GL22" i="76"/>
  <c r="FK142" i="7" s="1"/>
  <c r="BE22" i="76"/>
  <c r="EV22" i="76"/>
  <c r="EM142" i="7" s="1"/>
  <c r="FW23" i="76"/>
  <c r="FB143" i="7" s="1"/>
  <c r="BA25" i="76"/>
  <c r="GK25" i="76"/>
  <c r="FJ145" i="7" s="1"/>
  <c r="EV25" i="76"/>
  <c r="EM145" i="7" s="1"/>
  <c r="FX25" i="76"/>
  <c r="FC145" i="7" s="1"/>
  <c r="EG26" i="76"/>
  <c r="ED146" i="7" s="1"/>
  <c r="FJ26" i="76"/>
  <c r="EU146" i="7" s="1"/>
  <c r="FJ27" i="76"/>
  <c r="EU147" i="7" s="1"/>
  <c r="FX28" i="76"/>
  <c r="FC148" i="7" s="1"/>
  <c r="L29" i="76"/>
  <c r="FU149" i="7" s="1"/>
  <c r="EU29" i="76"/>
  <c r="EL149" i="7" s="1"/>
  <c r="Y29" i="76"/>
  <c r="BA29" i="76"/>
  <c r="BC29" i="76" s="1"/>
  <c r="BO29" i="76"/>
  <c r="BQ29" i="76" s="1"/>
  <c r="CQ29" i="76"/>
  <c r="CS29" i="76" s="1"/>
  <c r="FW29" i="76"/>
  <c r="FB149" i="7" s="1"/>
  <c r="DE29" i="76"/>
  <c r="DG29" i="76" s="1"/>
  <c r="FJ31" i="76"/>
  <c r="EU21" i="7" s="1"/>
  <c r="GK31" i="76"/>
  <c r="FJ21" i="7" s="1"/>
  <c r="BA31" i="76"/>
  <c r="BC31" i="76" s="1"/>
  <c r="DE31" i="76"/>
  <c r="DG31" i="76" s="1"/>
  <c r="EV31" i="76"/>
  <c r="EM21" i="7" s="1"/>
  <c r="GL33" i="76"/>
  <c r="FK23" i="7" s="1"/>
  <c r="BO35" i="76"/>
  <c r="DS35" i="76"/>
  <c r="DU35" i="76" s="1"/>
  <c r="FJ38" i="76"/>
  <c r="EU28" i="7" s="1"/>
  <c r="GK38" i="76"/>
  <c r="FJ28" i="7" s="1"/>
  <c r="BA38" i="76"/>
  <c r="BB38" i="76" s="1"/>
  <c r="FX38" i="76"/>
  <c r="FC28" i="7" s="1"/>
  <c r="DE38" i="76"/>
  <c r="DF38" i="76" s="1"/>
  <c r="FI42" i="76"/>
  <c r="ET32" i="7" s="1"/>
  <c r="AM42" i="76"/>
  <c r="AN42" i="76" s="1"/>
  <c r="EV63" i="76"/>
  <c r="EM53" i="7" s="1"/>
  <c r="CC71" i="76"/>
  <c r="EH73" i="76"/>
  <c r="EE63" i="7" s="1"/>
  <c r="M73" i="76"/>
  <c r="FV63" i="7" s="1"/>
  <c r="FK2" i="76"/>
  <c r="EZ14" i="7" s="1"/>
  <c r="F6" i="76"/>
  <c r="T6" i="76"/>
  <c r="AH6" i="76"/>
  <c r="AV6" i="76"/>
  <c r="O10" i="76"/>
  <c r="FX130" i="7" s="1"/>
  <c r="AC10" i="76"/>
  <c r="AM10" i="76"/>
  <c r="AO10" i="76" s="1"/>
  <c r="BA10" i="76"/>
  <c r="BB10" i="76" s="1"/>
  <c r="BO10" i="76"/>
  <c r="BQ10" i="76" s="1"/>
  <c r="BS10" i="76"/>
  <c r="CG10" i="76"/>
  <c r="CQ10" i="76"/>
  <c r="CR10" i="76" s="1"/>
  <c r="DE10" i="76"/>
  <c r="DG10" i="76" s="1"/>
  <c r="DS10" i="76"/>
  <c r="DU10" i="76" s="1"/>
  <c r="EH10" i="76"/>
  <c r="EE130" i="7" s="1"/>
  <c r="GL10" i="76"/>
  <c r="FK130" i="7" s="1"/>
  <c r="N11" i="76"/>
  <c r="FW131" i="7" s="1"/>
  <c r="AB11" i="76"/>
  <c r="AP11" i="76"/>
  <c r="BD11" i="76"/>
  <c r="CT11" i="76"/>
  <c r="DV11" i="76"/>
  <c r="GK11" i="76"/>
  <c r="FJ131" i="7" s="1"/>
  <c r="L13" i="76"/>
  <c r="FU133" i="7" s="1"/>
  <c r="BA14" i="76"/>
  <c r="BB14" i="76" s="1"/>
  <c r="CC14" i="76"/>
  <c r="CD14" i="76" s="1"/>
  <c r="FJ14" i="76"/>
  <c r="EU134" i="7" s="1"/>
  <c r="GK15" i="76"/>
  <c r="FJ135" i="7" s="1"/>
  <c r="BD15" i="76"/>
  <c r="AL8" i="76"/>
  <c r="AM8" i="76" s="1"/>
  <c r="EF109" i="76"/>
  <c r="EF110" i="76"/>
  <c r="EI110" i="76" s="1"/>
  <c r="EF107" i="76"/>
  <c r="EF105" i="76"/>
  <c r="EI105" i="76" s="1"/>
  <c r="EF106" i="76"/>
  <c r="EI106" i="76" s="1"/>
  <c r="EF104" i="76"/>
  <c r="EI104" i="76" s="1"/>
  <c r="EJ94" i="7" s="1"/>
  <c r="EF103" i="76"/>
  <c r="EF101" i="76"/>
  <c r="EI101" i="76" s="1"/>
  <c r="EF100" i="76"/>
  <c r="EI100" i="76" s="1"/>
  <c r="EF102" i="76"/>
  <c r="EI102" i="76" s="1"/>
  <c r="EF99" i="76"/>
  <c r="EF108" i="76"/>
  <c r="EI108" i="76" s="1"/>
  <c r="EF97" i="76"/>
  <c r="EI97" i="76" s="1"/>
  <c r="EF98" i="76"/>
  <c r="EI98" i="76" s="1"/>
  <c r="EF95" i="76"/>
  <c r="EI95" i="76" s="1"/>
  <c r="EF93" i="76"/>
  <c r="EI93" i="76" s="1"/>
  <c r="EF89" i="76"/>
  <c r="EF85" i="76"/>
  <c r="EF94" i="76"/>
  <c r="EI94" i="76" s="1"/>
  <c r="EF92" i="76"/>
  <c r="EI92" i="76" s="1"/>
  <c r="EF96" i="76"/>
  <c r="EI96" i="76" s="1"/>
  <c r="EF83" i="76"/>
  <c r="EI83" i="76" s="1"/>
  <c r="EF79" i="76"/>
  <c r="EI79" i="76" s="1"/>
  <c r="EF87" i="76"/>
  <c r="EI87" i="76" s="1"/>
  <c r="EF84" i="76"/>
  <c r="EI84" i="76" s="1"/>
  <c r="EF82" i="76"/>
  <c r="EI82" i="76" s="1"/>
  <c r="EF80" i="76"/>
  <c r="EF78" i="76"/>
  <c r="EF76" i="76"/>
  <c r="EF88" i="76"/>
  <c r="EF86" i="76"/>
  <c r="EI86" i="76" s="1"/>
  <c r="EF91" i="76"/>
  <c r="EI91" i="76" s="1"/>
  <c r="EF74" i="76"/>
  <c r="EI74" i="76" s="1"/>
  <c r="EF70" i="76"/>
  <c r="EI70" i="76" s="1"/>
  <c r="EF90" i="76"/>
  <c r="EI90" i="76" s="1"/>
  <c r="EJ80" i="7" s="1"/>
  <c r="EF77" i="76"/>
  <c r="EF75" i="76"/>
  <c r="EI75" i="76" s="1"/>
  <c r="EF73" i="76"/>
  <c r="EF69" i="76"/>
  <c r="EF65" i="76"/>
  <c r="EF61" i="76"/>
  <c r="EF57" i="76"/>
  <c r="EF53" i="76"/>
  <c r="EI53" i="76" s="1"/>
  <c r="EF49" i="76"/>
  <c r="EI49" i="76" s="1"/>
  <c r="EF81" i="76"/>
  <c r="EF72" i="76"/>
  <c r="EF68" i="76"/>
  <c r="EF64" i="76"/>
  <c r="EI64" i="76" s="1"/>
  <c r="EF60" i="76"/>
  <c r="EI60" i="76" s="1"/>
  <c r="EF71" i="76"/>
  <c r="EF62" i="76"/>
  <c r="EF55" i="76"/>
  <c r="EF50" i="76"/>
  <c r="EF48" i="76"/>
  <c r="EF46" i="76"/>
  <c r="EF67" i="76"/>
  <c r="EF51" i="76"/>
  <c r="EI51" i="76" s="1"/>
  <c r="EF44" i="76"/>
  <c r="EF66" i="76"/>
  <c r="EI66" i="76" s="1"/>
  <c r="EF43" i="76"/>
  <c r="EI43" i="76" s="1"/>
  <c r="EF39" i="76"/>
  <c r="EF35" i="76"/>
  <c r="EF31" i="76"/>
  <c r="EF27" i="76"/>
  <c r="EI27" i="76" s="1"/>
  <c r="EF58" i="76"/>
  <c r="EI58" i="76" s="1"/>
  <c r="EF56" i="76"/>
  <c r="EF54" i="76"/>
  <c r="EF59" i="76"/>
  <c r="EF47" i="76"/>
  <c r="EI47" i="76" s="1"/>
  <c r="EF45" i="76"/>
  <c r="EI45" i="76" s="1"/>
  <c r="EF37" i="76"/>
  <c r="EF32" i="76"/>
  <c r="EI32" i="76" s="1"/>
  <c r="EF30" i="76"/>
  <c r="EI30" i="76" s="1"/>
  <c r="EF24" i="76"/>
  <c r="EF20" i="76"/>
  <c r="EF16" i="76"/>
  <c r="EF42" i="76"/>
  <c r="EF40" i="76"/>
  <c r="EF38" i="76"/>
  <c r="EF29" i="76"/>
  <c r="EI29" i="76" s="1"/>
  <c r="ET108" i="76"/>
  <c r="ET109" i="76"/>
  <c r="ET104" i="76"/>
  <c r="ET110" i="76"/>
  <c r="EW110" i="76" s="1"/>
  <c r="ET105" i="76"/>
  <c r="EW105" i="76" s="1"/>
  <c r="ER95" i="7" s="1"/>
  <c r="ET103" i="76"/>
  <c r="ET107" i="76"/>
  <c r="ET102" i="76"/>
  <c r="EW102" i="76" s="1"/>
  <c r="ET99" i="76"/>
  <c r="ET101" i="76"/>
  <c r="EW101" i="76" s="1"/>
  <c r="ER91" i="7" s="1"/>
  <c r="ET106" i="76"/>
  <c r="ET96" i="76"/>
  <c r="EW96" i="76" s="1"/>
  <c r="ET100" i="76"/>
  <c r="ET93" i="76"/>
  <c r="EW93" i="76" s="1"/>
  <c r="ET98" i="76"/>
  <c r="ET92" i="76"/>
  <c r="ET88" i="76"/>
  <c r="ET84" i="76"/>
  <c r="ET95" i="76"/>
  <c r="ET97" i="76"/>
  <c r="EW97" i="76" s="1"/>
  <c r="ET90" i="76"/>
  <c r="ET78" i="76"/>
  <c r="ET94" i="76"/>
  <c r="ET85" i="76"/>
  <c r="ET89" i="76"/>
  <c r="ET86" i="76"/>
  <c r="EW86" i="76" s="1"/>
  <c r="ET83" i="76"/>
  <c r="ET81" i="76"/>
  <c r="EW81" i="76" s="1"/>
  <c r="ET91" i="76"/>
  <c r="EW91" i="76" s="1"/>
  <c r="ET82" i="76"/>
  <c r="ET73" i="76"/>
  <c r="ET80" i="76"/>
  <c r="ET71" i="76"/>
  <c r="EW71" i="76" s="1"/>
  <c r="ET87" i="76"/>
  <c r="ET79" i="76"/>
  <c r="ET75" i="76"/>
  <c r="EW75" i="76" s="1"/>
  <c r="ET68" i="76"/>
  <c r="ET64" i="76"/>
  <c r="EW64" i="76" s="1"/>
  <c r="ET60" i="76"/>
  <c r="ET56" i="76"/>
  <c r="ET52" i="76"/>
  <c r="EW52" i="76" s="1"/>
  <c r="ER42" i="7" s="1"/>
  <c r="ET48" i="76"/>
  <c r="ET70" i="76"/>
  <c r="ET67" i="76"/>
  <c r="ET63" i="76"/>
  <c r="EW63" i="76" s="1"/>
  <c r="ER53" i="7" s="1"/>
  <c r="ET76" i="76"/>
  <c r="EW76" i="76" s="1"/>
  <c r="ER66" i="7" s="1"/>
  <c r="ET72" i="76"/>
  <c r="ET69" i="76"/>
  <c r="ET62" i="76"/>
  <c r="EW62" i="76" s="1"/>
  <c r="ET58" i="76"/>
  <c r="EW58" i="76" s="1"/>
  <c r="ET66" i="76"/>
  <c r="ET53" i="76"/>
  <c r="ET51" i="76"/>
  <c r="EW51" i="76" s="1"/>
  <c r="ET45" i="76"/>
  <c r="ET77" i="76"/>
  <c r="ET65" i="76"/>
  <c r="ET57" i="76"/>
  <c r="EW57" i="76" s="1"/>
  <c r="ET54" i="76"/>
  <c r="ET50" i="76"/>
  <c r="ET46" i="76"/>
  <c r="ET44" i="76"/>
  <c r="ET42" i="76"/>
  <c r="EW42" i="76" s="1"/>
  <c r="ET38" i="76"/>
  <c r="EW38" i="76" s="1"/>
  <c r="ET34" i="76"/>
  <c r="ET30" i="76"/>
  <c r="EW30" i="76" s="1"/>
  <c r="ET26" i="76"/>
  <c r="ET74" i="76"/>
  <c r="ET55" i="76"/>
  <c r="ET47" i="76"/>
  <c r="EW47" i="76" s="1"/>
  <c r="ET43" i="76"/>
  <c r="EW43" i="76" s="1"/>
  <c r="ER33" i="7" s="1"/>
  <c r="ET35" i="76"/>
  <c r="ET33" i="76"/>
  <c r="ET28" i="76"/>
  <c r="EW28" i="76" s="1"/>
  <c r="ET23" i="76"/>
  <c r="ET19" i="76"/>
  <c r="ET15" i="76"/>
  <c r="ET59" i="76"/>
  <c r="ET41" i="76"/>
  <c r="ET36" i="76"/>
  <c r="ET27" i="76"/>
  <c r="ET40" i="76"/>
  <c r="FH107" i="76"/>
  <c r="FK107" i="76" s="1"/>
  <c r="FH109" i="76"/>
  <c r="FK109" i="76" s="1"/>
  <c r="EZ99" i="7" s="1"/>
  <c r="FH108" i="76"/>
  <c r="FH103" i="76"/>
  <c r="FK103" i="76" s="1"/>
  <c r="FH106" i="76"/>
  <c r="FH110" i="76"/>
  <c r="FH105" i="76"/>
  <c r="FH104" i="76"/>
  <c r="FK104" i="76" s="1"/>
  <c r="FH102" i="76"/>
  <c r="FH98" i="76"/>
  <c r="FH100" i="76"/>
  <c r="FH95" i="76"/>
  <c r="FK95" i="76" s="1"/>
  <c r="FH101" i="76"/>
  <c r="FK101" i="76" s="1"/>
  <c r="FH99" i="76"/>
  <c r="FK99" i="76" s="1"/>
  <c r="EZ89" i="7" s="1"/>
  <c r="FH94" i="76"/>
  <c r="FH96" i="76"/>
  <c r="FH91" i="76"/>
  <c r="FH87" i="76"/>
  <c r="FH83" i="76"/>
  <c r="FH97" i="76"/>
  <c r="FK97" i="76" s="1"/>
  <c r="FH93" i="76"/>
  <c r="FK93" i="76" s="1"/>
  <c r="FH92" i="76"/>
  <c r="FH86" i="76"/>
  <c r="FH84" i="76"/>
  <c r="FH81" i="76"/>
  <c r="FH77" i="76"/>
  <c r="FK77" i="76" s="1"/>
  <c r="EZ67" i="7" s="1"/>
  <c r="FH90" i="76"/>
  <c r="FH88" i="76"/>
  <c r="FH89" i="76"/>
  <c r="FH85" i="76"/>
  <c r="FK85" i="76" s="1"/>
  <c r="EZ75" i="7" s="1"/>
  <c r="FH82" i="76"/>
  <c r="FH79" i="76"/>
  <c r="FH80" i="76"/>
  <c r="FH78" i="76"/>
  <c r="FK78" i="76" s="1"/>
  <c r="EZ68" i="7" s="1"/>
  <c r="FH76" i="76"/>
  <c r="FK76" i="76" s="1"/>
  <c r="EZ66" i="7" s="1"/>
  <c r="FH72" i="76"/>
  <c r="FK72" i="76" s="1"/>
  <c r="FH74" i="76"/>
  <c r="FH71" i="76"/>
  <c r="FH67" i="76"/>
  <c r="FH63" i="76"/>
  <c r="FK63" i="76" s="1"/>
  <c r="FH59" i="76"/>
  <c r="FH55" i="76"/>
  <c r="FK55" i="76" s="1"/>
  <c r="EZ45" i="7" s="1"/>
  <c r="FH51" i="76"/>
  <c r="FH75" i="76"/>
  <c r="FH73" i="76"/>
  <c r="FH66" i="76"/>
  <c r="FH62" i="76"/>
  <c r="FH70" i="76"/>
  <c r="FH64" i="76"/>
  <c r="FH61" i="76"/>
  <c r="FH58" i="76"/>
  <c r="FK58" i="76" s="1"/>
  <c r="FH56" i="76"/>
  <c r="FH49" i="76"/>
  <c r="FH44" i="76"/>
  <c r="FK44" i="76" s="1"/>
  <c r="EZ34" i="7" s="1"/>
  <c r="FH69" i="76"/>
  <c r="FH47" i="76"/>
  <c r="FH45" i="76"/>
  <c r="FK45" i="76" s="1"/>
  <c r="FH42" i="76"/>
  <c r="FK42" i="76" s="1"/>
  <c r="EZ32" i="7" s="1"/>
  <c r="FH68" i="76"/>
  <c r="FK68" i="76" s="1"/>
  <c r="FH60" i="76"/>
  <c r="FH41" i="76"/>
  <c r="FK41" i="76" s="1"/>
  <c r="FH37" i="76"/>
  <c r="FH33" i="76"/>
  <c r="FH29" i="76"/>
  <c r="FH25" i="76"/>
  <c r="FH65" i="76"/>
  <c r="FK65" i="76" s="1"/>
  <c r="EZ55" i="7" s="1"/>
  <c r="FH57" i="76"/>
  <c r="FH54" i="76"/>
  <c r="FK54" i="76" s="1"/>
  <c r="FH52" i="76"/>
  <c r="FH50" i="76"/>
  <c r="FK50" i="76" s="1"/>
  <c r="EZ40" i="7" s="1"/>
  <c r="FH48" i="76"/>
  <c r="FH43" i="76"/>
  <c r="FH40" i="76"/>
  <c r="FK40" i="76" s="1"/>
  <c r="FH38" i="76"/>
  <c r="FK38" i="76" s="1"/>
  <c r="EZ28" i="7" s="1"/>
  <c r="FH31" i="76"/>
  <c r="FH24" i="76"/>
  <c r="FK24" i="76" s="1"/>
  <c r="FH22" i="76"/>
  <c r="FH18" i="76"/>
  <c r="FH14" i="76"/>
  <c r="FH53" i="76"/>
  <c r="FK53" i="76" s="1"/>
  <c r="FH39" i="76"/>
  <c r="FH32" i="76"/>
  <c r="FH30" i="76"/>
  <c r="FK30" i="76" s="1"/>
  <c r="FH46" i="76"/>
  <c r="FV110" i="76"/>
  <c r="FV106" i="76"/>
  <c r="FV102" i="76"/>
  <c r="FV109" i="76"/>
  <c r="FV108" i="76"/>
  <c r="FV107" i="76"/>
  <c r="FY107" i="76" s="1"/>
  <c r="FH97" i="7" s="1"/>
  <c r="FV105" i="76"/>
  <c r="FV104" i="76"/>
  <c r="FV103" i="76"/>
  <c r="FY103" i="76" s="1"/>
  <c r="FV101" i="76"/>
  <c r="FV100" i="76"/>
  <c r="FY100" i="76" s="1"/>
  <c r="FV98" i="76"/>
  <c r="FY98" i="76" s="1"/>
  <c r="FV94" i="76"/>
  <c r="FV97" i="76"/>
  <c r="FV95" i="76"/>
  <c r="FV99" i="76"/>
  <c r="FV90" i="76"/>
  <c r="FV86" i="76"/>
  <c r="FV82" i="76"/>
  <c r="FV96" i="76"/>
  <c r="FY96" i="76" s="1"/>
  <c r="FH86" i="7" s="1"/>
  <c r="FV93" i="76"/>
  <c r="FY93" i="76" s="1"/>
  <c r="FV89" i="76"/>
  <c r="FV87" i="76"/>
  <c r="FV80" i="76"/>
  <c r="FY80" i="76" s="1"/>
  <c r="FV91" i="76"/>
  <c r="FY91" i="76" s="1"/>
  <c r="FV84" i="76"/>
  <c r="FY84" i="76" s="1"/>
  <c r="FV92" i="76"/>
  <c r="FV85" i="76"/>
  <c r="FV88" i="76"/>
  <c r="FV83" i="76"/>
  <c r="FV81" i="76"/>
  <c r="FY81" i="76" s="1"/>
  <c r="FH71" i="7" s="1"/>
  <c r="FV75" i="76"/>
  <c r="FY75" i="76" s="1"/>
  <c r="FH65" i="7" s="1"/>
  <c r="FV71" i="76"/>
  <c r="FV70" i="76"/>
  <c r="FV79" i="76"/>
  <c r="FV76" i="76"/>
  <c r="FY76" i="76" s="1"/>
  <c r="FV74" i="76"/>
  <c r="FV72" i="76"/>
  <c r="FY72" i="76" s="1"/>
  <c r="FH62" i="7" s="1"/>
  <c r="FV66" i="76"/>
  <c r="FY66" i="76" s="1"/>
  <c r="FV62" i="76"/>
  <c r="FY62" i="76" s="1"/>
  <c r="FH52" i="7" s="1"/>
  <c r="FV58" i="76"/>
  <c r="FV54" i="76"/>
  <c r="FV50" i="76"/>
  <c r="FV78" i="76"/>
  <c r="FV69" i="76"/>
  <c r="FY69" i="76" s="1"/>
  <c r="FV65" i="76"/>
  <c r="FV61" i="76"/>
  <c r="FV67" i="76"/>
  <c r="FY67" i="76" s="1"/>
  <c r="FH57" i="7" s="1"/>
  <c r="FV64" i="76"/>
  <c r="FV68" i="76"/>
  <c r="FY68" i="76" s="1"/>
  <c r="FV59" i="76"/>
  <c r="FV52" i="76"/>
  <c r="FV47" i="76"/>
  <c r="FV43" i="76"/>
  <c r="FV77" i="76"/>
  <c r="FV63" i="76"/>
  <c r="FY63" i="76" s="1"/>
  <c r="FH53" i="7" s="1"/>
  <c r="FV73" i="76"/>
  <c r="FY73" i="76" s="1"/>
  <c r="FH63" i="7" s="1"/>
  <c r="FV55" i="76"/>
  <c r="FV51" i="76"/>
  <c r="FV60" i="76"/>
  <c r="FY60" i="76" s="1"/>
  <c r="FV57" i="76"/>
  <c r="FV53" i="76"/>
  <c r="FY53" i="76" s="1"/>
  <c r="FH43" i="7" s="1"/>
  <c r="FV48" i="76"/>
  <c r="FV45" i="76"/>
  <c r="FV40" i="76"/>
  <c r="FV36" i="76"/>
  <c r="FY36" i="76" s="1"/>
  <c r="FH26" i="7" s="1"/>
  <c r="FV32" i="76"/>
  <c r="FY32" i="76" s="1"/>
  <c r="FV28" i="76"/>
  <c r="FY28" i="76" s="1"/>
  <c r="FH148" i="7" s="1"/>
  <c r="FV24" i="76"/>
  <c r="FV49" i="76"/>
  <c r="FV46" i="76"/>
  <c r="FV56" i="76"/>
  <c r="FY56" i="76" s="1"/>
  <c r="FV41" i="76"/>
  <c r="FY41" i="76" s="1"/>
  <c r="FV34" i="76"/>
  <c r="FV27" i="76"/>
  <c r="FV25" i="76"/>
  <c r="FY25" i="76" s="1"/>
  <c r="FV21" i="76"/>
  <c r="FV17" i="76"/>
  <c r="FV13" i="76"/>
  <c r="FV35" i="76"/>
  <c r="FV33" i="76"/>
  <c r="FV44" i="76"/>
  <c r="FV42" i="76"/>
  <c r="FY42" i="76" s="1"/>
  <c r="FV39" i="76"/>
  <c r="GJ109" i="76"/>
  <c r="GJ110" i="76"/>
  <c r="GM110" i="76" s="1"/>
  <c r="FP100" i="7" s="1"/>
  <c r="GJ107" i="76"/>
  <c r="GJ105" i="76"/>
  <c r="GM105" i="76" s="1"/>
  <c r="GJ106" i="76"/>
  <c r="GJ104" i="76"/>
  <c r="GM104" i="76" s="1"/>
  <c r="FP94" i="7" s="1"/>
  <c r="GJ108" i="76"/>
  <c r="GJ102" i="76"/>
  <c r="GJ101" i="76"/>
  <c r="GJ100" i="76"/>
  <c r="GJ103" i="76"/>
  <c r="GJ99" i="76"/>
  <c r="GM99" i="76" s="1"/>
  <c r="GJ97" i="76"/>
  <c r="GJ93" i="76"/>
  <c r="GJ98" i="76"/>
  <c r="GJ95" i="76"/>
  <c r="GJ89" i="76"/>
  <c r="GM89" i="76" s="1"/>
  <c r="GJ85" i="76"/>
  <c r="GJ81" i="76"/>
  <c r="GJ94" i="76"/>
  <c r="GJ92" i="76"/>
  <c r="GM92" i="76" s="1"/>
  <c r="GJ83" i="76"/>
  <c r="GJ79" i="76"/>
  <c r="GJ87" i="76"/>
  <c r="GJ84" i="76"/>
  <c r="GJ82" i="76"/>
  <c r="GJ80" i="76"/>
  <c r="GJ78" i="76"/>
  <c r="GJ76" i="76"/>
  <c r="GJ88" i="76"/>
  <c r="GJ96" i="76"/>
  <c r="GJ91" i="76"/>
  <c r="GJ77" i="76"/>
  <c r="GM77" i="76" s="1"/>
  <c r="GJ74" i="76"/>
  <c r="GJ70" i="76"/>
  <c r="GM70" i="76" s="1"/>
  <c r="GJ90" i="76"/>
  <c r="GJ75" i="76"/>
  <c r="GM75" i="76" s="1"/>
  <c r="GJ73" i="76"/>
  <c r="GM73" i="76" s="1"/>
  <c r="GJ69" i="76"/>
  <c r="GJ65" i="76"/>
  <c r="GJ61" i="76"/>
  <c r="GM61" i="76" s="1"/>
  <c r="GJ57" i="76"/>
  <c r="GJ53" i="76"/>
  <c r="GJ49" i="76"/>
  <c r="GJ72" i="76"/>
  <c r="GJ68" i="76"/>
  <c r="GJ64" i="76"/>
  <c r="GJ62" i="76"/>
  <c r="GM62" i="76" s="1"/>
  <c r="GJ60" i="76"/>
  <c r="GJ86" i="76"/>
  <c r="GM86" i="76" s="1"/>
  <c r="FP76" i="7" s="1"/>
  <c r="GJ71" i="76"/>
  <c r="GM71" i="76" s="1"/>
  <c r="FP61" i="7" s="1"/>
  <c r="GJ66" i="76"/>
  <c r="GJ55" i="76"/>
  <c r="GJ50" i="76"/>
  <c r="GJ48" i="76"/>
  <c r="GJ46" i="76"/>
  <c r="GJ67" i="76"/>
  <c r="GJ52" i="76"/>
  <c r="GJ44" i="76"/>
  <c r="GJ56" i="76"/>
  <c r="GM56" i="76" s="1"/>
  <c r="GJ43" i="76"/>
  <c r="GJ39" i="76"/>
  <c r="GM39" i="76" s="1"/>
  <c r="FP29" i="7" s="1"/>
  <c r="GJ35" i="76"/>
  <c r="GJ31" i="76"/>
  <c r="GJ27" i="76"/>
  <c r="GJ58" i="76"/>
  <c r="GM58" i="76" s="1"/>
  <c r="GJ54" i="76"/>
  <c r="GM54" i="76" s="1"/>
  <c r="GJ47" i="76"/>
  <c r="GJ37" i="76"/>
  <c r="GM37" i="76" s="1"/>
  <c r="GJ32" i="76"/>
  <c r="GJ30" i="76"/>
  <c r="GM30" i="76" s="1"/>
  <c r="GJ20" i="76"/>
  <c r="GJ16" i="76"/>
  <c r="GJ59" i="76"/>
  <c r="GM59" i="76" s="1"/>
  <c r="GJ45" i="76"/>
  <c r="GJ42" i="76"/>
  <c r="GJ40" i="76"/>
  <c r="GM40" i="76" s="1"/>
  <c r="FP30" i="7" s="1"/>
  <c r="GJ38" i="76"/>
  <c r="GJ29" i="76"/>
  <c r="GJ63" i="76"/>
  <c r="X9" i="76"/>
  <c r="Y9" i="76" s="1"/>
  <c r="CB9" i="76"/>
  <c r="CC9" i="76" s="1"/>
  <c r="AN10" i="76"/>
  <c r="EV10" i="76"/>
  <c r="EM130" i="7" s="1"/>
  <c r="FV10" i="76"/>
  <c r="O11" i="76"/>
  <c r="FX131" i="7" s="1"/>
  <c r="Y11" i="76"/>
  <c r="AC11" i="76"/>
  <c r="AM11" i="76"/>
  <c r="AO11" i="76" s="1"/>
  <c r="BA11" i="76"/>
  <c r="BB11" i="76" s="1"/>
  <c r="BE11" i="76"/>
  <c r="BO11" i="76"/>
  <c r="BQ11" i="76" s="1"/>
  <c r="CC11" i="76"/>
  <c r="CD11" i="76" s="1"/>
  <c r="CQ11" i="76"/>
  <c r="CR11" i="76" s="1"/>
  <c r="DE11" i="76"/>
  <c r="DS11" i="76"/>
  <c r="DT11" i="76" s="1"/>
  <c r="EU11" i="76"/>
  <c r="EL131" i="7" s="1"/>
  <c r="FH11" i="76"/>
  <c r="N12" i="76"/>
  <c r="FW132" i="7" s="1"/>
  <c r="AB12" i="76"/>
  <c r="AP12" i="76"/>
  <c r="BD12" i="76"/>
  <c r="BR12" i="76"/>
  <c r="CF12" i="76"/>
  <c r="CT12" i="76"/>
  <c r="DH12" i="76"/>
  <c r="DV12" i="76"/>
  <c r="ET12" i="76"/>
  <c r="EW12" i="76" s="1"/>
  <c r="GK12" i="76"/>
  <c r="FJ132" i="7" s="1"/>
  <c r="EV13" i="76"/>
  <c r="EM133" i="7" s="1"/>
  <c r="DV13" i="76"/>
  <c r="L14" i="76"/>
  <c r="FU134" i="7" s="1"/>
  <c r="AC14" i="76"/>
  <c r="AB14" i="76"/>
  <c r="GL14" i="76"/>
  <c r="FK134" i="7" s="1"/>
  <c r="BE14" i="76"/>
  <c r="BD14" i="76"/>
  <c r="CG14" i="76"/>
  <c r="CF14" i="76"/>
  <c r="DI14" i="76"/>
  <c r="DH14" i="76"/>
  <c r="EF14" i="76"/>
  <c r="EV14" i="76"/>
  <c r="EM134" i="7" s="1"/>
  <c r="GJ14" i="76"/>
  <c r="Y15" i="76"/>
  <c r="CC15" i="76"/>
  <c r="CE15" i="76" s="1"/>
  <c r="FH15" i="76"/>
  <c r="FK15" i="76" s="1"/>
  <c r="FW15" i="76"/>
  <c r="FB135" i="7" s="1"/>
  <c r="L16" i="76"/>
  <c r="FU136" i="7" s="1"/>
  <c r="AB16" i="76"/>
  <c r="BA16" i="76"/>
  <c r="BB16" i="76" s="1"/>
  <c r="DE16" i="76"/>
  <c r="DF16" i="76" s="1"/>
  <c r="GK16" i="76"/>
  <c r="FJ136" i="7" s="1"/>
  <c r="O17" i="76"/>
  <c r="FX137" i="7" s="1"/>
  <c r="Y17" i="76"/>
  <c r="Z17" i="76" s="1"/>
  <c r="CC17" i="76"/>
  <c r="CD17" i="76" s="1"/>
  <c r="FH17" i="76"/>
  <c r="AM18" i="76"/>
  <c r="AN18" i="76" s="1"/>
  <c r="BO18" i="76"/>
  <c r="BP18" i="76" s="1"/>
  <c r="CQ18" i="76"/>
  <c r="CR18" i="76" s="1"/>
  <c r="DS18" i="76"/>
  <c r="FV18" i="76"/>
  <c r="GK18" i="76"/>
  <c r="FJ138" i="7" s="1"/>
  <c r="BO19" i="76"/>
  <c r="FX19" i="76"/>
  <c r="FC139" i="7" s="1"/>
  <c r="DS19" i="76"/>
  <c r="DU19" i="76" s="1"/>
  <c r="EU19" i="76"/>
  <c r="EL139" i="7" s="1"/>
  <c r="FI19" i="76"/>
  <c r="ET139" i="7" s="1"/>
  <c r="M20" i="76"/>
  <c r="FV140" i="7" s="1"/>
  <c r="AM20" i="76"/>
  <c r="AN20" i="76" s="1"/>
  <c r="CQ20" i="76"/>
  <c r="CS20" i="76" s="1"/>
  <c r="EH20" i="76"/>
  <c r="EE140" i="7" s="1"/>
  <c r="FV20" i="76"/>
  <c r="FY20" i="76" s="1"/>
  <c r="GL20" i="76"/>
  <c r="FK140" i="7" s="1"/>
  <c r="BO21" i="76"/>
  <c r="DS21" i="76"/>
  <c r="DU21" i="76" s="1"/>
  <c r="ET21" i="76"/>
  <c r="EH22" i="76"/>
  <c r="EE142" i="7" s="1"/>
  <c r="O22" i="76"/>
  <c r="FX142" i="7" s="1"/>
  <c r="AQ22" i="76"/>
  <c r="AP22" i="76"/>
  <c r="BS22" i="76"/>
  <c r="BR22" i="76"/>
  <c r="CU22" i="76"/>
  <c r="CT22" i="76"/>
  <c r="DW22" i="76"/>
  <c r="DV22" i="76"/>
  <c r="FI22" i="76"/>
  <c r="ET142" i="7" s="1"/>
  <c r="FW22" i="76"/>
  <c r="FB142" i="7" s="1"/>
  <c r="EG23" i="76"/>
  <c r="ED143" i="7" s="1"/>
  <c r="N23" i="76"/>
  <c r="FW143" i="7" s="1"/>
  <c r="L23" i="76"/>
  <c r="FU143" i="7" s="1"/>
  <c r="AQ23" i="76"/>
  <c r="CU23" i="76"/>
  <c r="DE23" i="76"/>
  <c r="DG23" i="76" s="1"/>
  <c r="EF23" i="76"/>
  <c r="GJ23" i="76"/>
  <c r="Y24" i="76"/>
  <c r="Z24" i="76" s="1"/>
  <c r="FI24" i="76"/>
  <c r="ET144" i="7" s="1"/>
  <c r="GL24" i="76"/>
  <c r="FK144" i="7" s="1"/>
  <c r="CC24" i="76"/>
  <c r="CD24" i="76" s="1"/>
  <c r="FP144" i="7"/>
  <c r="DE25" i="76"/>
  <c r="DF25" i="76" s="1"/>
  <c r="EF25" i="76"/>
  <c r="ER145" i="7"/>
  <c r="FJ25" i="76"/>
  <c r="EU145" i="7" s="1"/>
  <c r="Y26" i="76"/>
  <c r="Z26" i="76" s="1"/>
  <c r="CC26" i="76"/>
  <c r="EV26" i="76"/>
  <c r="EM146" i="7" s="1"/>
  <c r="GJ26" i="76"/>
  <c r="GM26" i="76" s="1"/>
  <c r="CE27" i="76"/>
  <c r="EV28" i="76"/>
  <c r="EM148" i="7" s="1"/>
  <c r="BA28" i="76"/>
  <c r="BC28" i="76" s="1"/>
  <c r="DE28" i="76"/>
  <c r="DG28" i="76" s="1"/>
  <c r="EF28" i="76"/>
  <c r="GL28" i="76"/>
  <c r="FK148" i="7" s="1"/>
  <c r="FX29" i="76"/>
  <c r="FC149" i="7" s="1"/>
  <c r="EV30" i="76"/>
  <c r="EH30" i="76"/>
  <c r="EU30" i="76"/>
  <c r="FI30" i="76"/>
  <c r="FV30" i="76"/>
  <c r="FY30" i="76" s="1"/>
  <c r="M31" i="76"/>
  <c r="FV21" i="7" s="1"/>
  <c r="Y31" i="76"/>
  <c r="Z31" i="76" s="1"/>
  <c r="EU31" i="76"/>
  <c r="EL21" i="7" s="1"/>
  <c r="CC31" i="76"/>
  <c r="CD31" i="76" s="1"/>
  <c r="BA32" i="76"/>
  <c r="BC32" i="76" s="1"/>
  <c r="DE32" i="76"/>
  <c r="DG32" i="76" s="1"/>
  <c r="EF33" i="76"/>
  <c r="EV33" i="76"/>
  <c r="EM23" i="7" s="1"/>
  <c r="GJ33" i="76"/>
  <c r="EG34" i="76"/>
  <c r="ED24" i="7" s="1"/>
  <c r="L34" i="76"/>
  <c r="FU24" i="7" s="1"/>
  <c r="FJ34" i="76"/>
  <c r="EU24" i="7" s="1"/>
  <c r="AA35" i="76"/>
  <c r="FI35" i="76"/>
  <c r="ET25" i="7" s="1"/>
  <c r="AM35" i="76"/>
  <c r="AN35" i="76" s="1"/>
  <c r="FW35" i="76"/>
  <c r="FB25" i="7" s="1"/>
  <c r="CQ35" i="76"/>
  <c r="CR35" i="76" s="1"/>
  <c r="EG35" i="76"/>
  <c r="ED25" i="7" s="1"/>
  <c r="EU35" i="76"/>
  <c r="EL25" i="7" s="1"/>
  <c r="FH35" i="76"/>
  <c r="FK35" i="76" s="1"/>
  <c r="EG37" i="76"/>
  <c r="ED27" i="7" s="1"/>
  <c r="ET37" i="76"/>
  <c r="FV37" i="76"/>
  <c r="GK37" i="76"/>
  <c r="FJ27" i="7" s="1"/>
  <c r="Y38" i="76"/>
  <c r="Z38" i="76" s="1"/>
  <c r="AM38" i="76"/>
  <c r="AN38" i="76" s="1"/>
  <c r="CC38" i="76"/>
  <c r="CD38" i="76" s="1"/>
  <c r="CQ38" i="76"/>
  <c r="CS38" i="76" s="1"/>
  <c r="EG39" i="76"/>
  <c r="ED29" i="7" s="1"/>
  <c r="BP39" i="76"/>
  <c r="EH40" i="76"/>
  <c r="EE30" i="7" s="1"/>
  <c r="M40" i="76"/>
  <c r="FV30" i="7" s="1"/>
  <c r="BB40" i="76"/>
  <c r="EV42" i="76"/>
  <c r="EM32" i="7" s="1"/>
  <c r="CQ44" i="76"/>
  <c r="CS44" i="76" s="1"/>
  <c r="FW44" i="76"/>
  <c r="FB34" i="7" s="1"/>
  <c r="EG44" i="76"/>
  <c r="ED34" i="7" s="1"/>
  <c r="EV45" i="76"/>
  <c r="EM35" i="7" s="1"/>
  <c r="FX47" i="76"/>
  <c r="FC37" i="7" s="1"/>
  <c r="CQ51" i="76"/>
  <c r="CS51" i="76" s="1"/>
  <c r="FW51" i="76"/>
  <c r="FB41" i="7" s="1"/>
  <c r="GJ51" i="76"/>
  <c r="GL56" i="76"/>
  <c r="FK46" i="7" s="1"/>
  <c r="BO57" i="76"/>
  <c r="DE57" i="76"/>
  <c r="DF57" i="76" s="1"/>
  <c r="EH109" i="76"/>
  <c r="EE99" i="7" s="1"/>
  <c r="EH110" i="76"/>
  <c r="EE100" i="7" s="1"/>
  <c r="EH105" i="76"/>
  <c r="EE95" i="7" s="1"/>
  <c r="EH100" i="76"/>
  <c r="EE90" i="7" s="1"/>
  <c r="EH99" i="76"/>
  <c r="EE89" i="7" s="1"/>
  <c r="EH89" i="76"/>
  <c r="EE79" i="7" s="1"/>
  <c r="EH97" i="76"/>
  <c r="EE87" i="7" s="1"/>
  <c r="EH93" i="76"/>
  <c r="EE83" i="7" s="1"/>
  <c r="EH92" i="76"/>
  <c r="EE82" i="7" s="1"/>
  <c r="EH79" i="76"/>
  <c r="EE69" i="7" s="1"/>
  <c r="EH74" i="76"/>
  <c r="EE64" i="7" s="1"/>
  <c r="EH69" i="76"/>
  <c r="EE59" i="7" s="1"/>
  <c r="EH68" i="76"/>
  <c r="EE58" i="7" s="1"/>
  <c r="EH65" i="76"/>
  <c r="EE55" i="7" s="1"/>
  <c r="EH64" i="76"/>
  <c r="EE54" i="7" s="1"/>
  <c r="EH61" i="76"/>
  <c r="EE51" i="7" s="1"/>
  <c r="EH53" i="76"/>
  <c r="EE43" i="7" s="1"/>
  <c r="EH57" i="76"/>
  <c r="EE47" i="7" s="1"/>
  <c r="EH49" i="76"/>
  <c r="EE39" i="7" s="1"/>
  <c r="EH46" i="76"/>
  <c r="EE36" i="7" s="1"/>
  <c r="EH27" i="76"/>
  <c r="EE147" i="7" s="1"/>
  <c r="EH56" i="76"/>
  <c r="EE46" i="7" s="1"/>
  <c r="EH35" i="76"/>
  <c r="EE25" i="7" s="1"/>
  <c r="EH43" i="76"/>
  <c r="EE33" i="7" s="1"/>
  <c r="EH39" i="76"/>
  <c r="EE29" i="7" s="1"/>
  <c r="EV109" i="76"/>
  <c r="EM99" i="7" s="1"/>
  <c r="EV105" i="76"/>
  <c r="EM95" i="7" s="1"/>
  <c r="EV100" i="76"/>
  <c r="EM90" i="7" s="1"/>
  <c r="EV103" i="76"/>
  <c r="EM93" i="7" s="1"/>
  <c r="EV97" i="76"/>
  <c r="EM87" i="7" s="1"/>
  <c r="EV93" i="76"/>
  <c r="EM83" i="7" s="1"/>
  <c r="EV92" i="76"/>
  <c r="EM82" i="7" s="1"/>
  <c r="EV89" i="76"/>
  <c r="EM79" i="7" s="1"/>
  <c r="EV91" i="76"/>
  <c r="EM81" i="7" s="1"/>
  <c r="EV79" i="76"/>
  <c r="EM69" i="7" s="1"/>
  <c r="EV85" i="76"/>
  <c r="EM75" i="7" s="1"/>
  <c r="EV74" i="76"/>
  <c r="EM64" i="7" s="1"/>
  <c r="EV69" i="76"/>
  <c r="EM59" i="7" s="1"/>
  <c r="EV65" i="76"/>
  <c r="EM55" i="7" s="1"/>
  <c r="EV61" i="76"/>
  <c r="EM51" i="7" s="1"/>
  <c r="EV84" i="76"/>
  <c r="EM74" i="7" s="1"/>
  <c r="EV64" i="76"/>
  <c r="EM54" i="7" s="1"/>
  <c r="EV49" i="76"/>
  <c r="EM39" i="7" s="1"/>
  <c r="EV68" i="76"/>
  <c r="EM58" i="7" s="1"/>
  <c r="EV57" i="76"/>
  <c r="EM47" i="7" s="1"/>
  <c r="EV46" i="76"/>
  <c r="EM36" i="7" s="1"/>
  <c r="EV53" i="76"/>
  <c r="EM43" i="7" s="1"/>
  <c r="EV27" i="76"/>
  <c r="EM147" i="7" s="1"/>
  <c r="EV67" i="76"/>
  <c r="EM57" i="7" s="1"/>
  <c r="EV35" i="76"/>
  <c r="EM25" i="7" s="1"/>
  <c r="EV51" i="76"/>
  <c r="EM41" i="7" s="1"/>
  <c r="EV39" i="76"/>
  <c r="EM29" i="7" s="1"/>
  <c r="FJ98" i="76"/>
  <c r="EU88" i="7" s="1"/>
  <c r="FJ96" i="76"/>
  <c r="EU86" i="7" s="1"/>
  <c r="FJ91" i="76"/>
  <c r="EU81" i="7" s="1"/>
  <c r="FJ83" i="76"/>
  <c r="EU73" i="7" s="1"/>
  <c r="FJ86" i="76"/>
  <c r="EU76" i="7" s="1"/>
  <c r="FJ77" i="76"/>
  <c r="EU67" i="7" s="1"/>
  <c r="FJ72" i="76"/>
  <c r="EU62" i="7" s="1"/>
  <c r="FJ62" i="76"/>
  <c r="EU52" i="7" s="1"/>
  <c r="FJ80" i="76"/>
  <c r="EU70" i="7" s="1"/>
  <c r="FJ54" i="76"/>
  <c r="EU44" i="7" s="1"/>
  <c r="FJ56" i="76"/>
  <c r="EU46" i="7" s="1"/>
  <c r="FJ50" i="76"/>
  <c r="EU40" i="7" s="1"/>
  <c r="FJ43" i="76"/>
  <c r="EU33" i="7" s="1"/>
  <c r="FX110" i="76"/>
  <c r="FC100" i="7" s="1"/>
  <c r="FX105" i="76"/>
  <c r="FC95" i="7" s="1"/>
  <c r="FX100" i="76"/>
  <c r="FC90" i="7" s="1"/>
  <c r="FX97" i="76"/>
  <c r="FC87" i="7" s="1"/>
  <c r="FX93" i="76"/>
  <c r="FC83" i="7" s="1"/>
  <c r="FX98" i="76"/>
  <c r="FC88" i="7" s="1"/>
  <c r="FX90" i="76"/>
  <c r="FC80" i="7" s="1"/>
  <c r="FX79" i="76"/>
  <c r="FC69" i="7" s="1"/>
  <c r="FX91" i="76"/>
  <c r="FC81" i="7" s="1"/>
  <c r="FX89" i="76"/>
  <c r="FC79" i="7" s="1"/>
  <c r="FX83" i="76"/>
  <c r="FC73" i="7" s="1"/>
  <c r="FX76" i="76"/>
  <c r="FC66" i="7" s="1"/>
  <c r="FX74" i="76"/>
  <c r="FC64" i="7" s="1"/>
  <c r="FX85" i="76"/>
  <c r="FC75" i="7" s="1"/>
  <c r="FX82" i="76"/>
  <c r="FC72" i="7" s="1"/>
  <c r="FX77" i="76"/>
  <c r="FC67" i="7" s="1"/>
  <c r="FX75" i="76"/>
  <c r="FC65" i="7" s="1"/>
  <c r="FX61" i="76"/>
  <c r="FC51" i="7" s="1"/>
  <c r="FX65" i="76"/>
  <c r="FC55" i="7" s="1"/>
  <c r="FX49" i="76"/>
  <c r="FC39" i="7" s="1"/>
  <c r="FX69" i="76"/>
  <c r="FC59" i="7" s="1"/>
  <c r="FX57" i="76"/>
  <c r="FC47" i="7" s="1"/>
  <c r="FX54" i="76"/>
  <c r="FC44" i="7" s="1"/>
  <c r="FX53" i="76"/>
  <c r="FC43" i="7" s="1"/>
  <c r="FX72" i="76"/>
  <c r="FC62" i="7" s="1"/>
  <c r="FX59" i="76"/>
  <c r="FC49" i="7" s="1"/>
  <c r="FX46" i="76"/>
  <c r="FC36" i="7" s="1"/>
  <c r="FX31" i="76"/>
  <c r="FC21" i="7" s="1"/>
  <c r="FX39" i="76"/>
  <c r="FC29" i="7" s="1"/>
  <c r="GL109" i="76"/>
  <c r="FK99" i="7" s="1"/>
  <c r="GL105" i="76"/>
  <c r="FK95" i="7" s="1"/>
  <c r="GL110" i="76"/>
  <c r="FK100" i="7" s="1"/>
  <c r="GL100" i="76"/>
  <c r="FK90" i="7" s="1"/>
  <c r="GL102" i="76"/>
  <c r="FK92" i="7" s="1"/>
  <c r="GL101" i="76"/>
  <c r="FK91" i="7" s="1"/>
  <c r="GL99" i="76"/>
  <c r="FK89" i="7" s="1"/>
  <c r="GL97" i="76"/>
  <c r="FK87" i="7" s="1"/>
  <c r="GL93" i="76"/>
  <c r="FK83" i="7" s="1"/>
  <c r="GL89" i="76"/>
  <c r="FK79" i="7" s="1"/>
  <c r="GL92" i="76"/>
  <c r="FK82" i="7" s="1"/>
  <c r="GL79" i="76"/>
  <c r="FK69" i="7" s="1"/>
  <c r="GL74" i="76"/>
  <c r="FK64" i="7" s="1"/>
  <c r="GL78" i="76"/>
  <c r="FK68" i="7" s="1"/>
  <c r="GL85" i="76"/>
  <c r="FK75" i="7" s="1"/>
  <c r="GL69" i="76"/>
  <c r="FK59" i="7" s="1"/>
  <c r="GL68" i="76"/>
  <c r="FK58" i="7" s="1"/>
  <c r="GL73" i="76"/>
  <c r="FK63" i="7" s="1"/>
  <c r="GL65" i="76"/>
  <c r="FK55" i="7" s="1"/>
  <c r="GL64" i="76"/>
  <c r="FK54" i="7" s="1"/>
  <c r="GL61" i="76"/>
  <c r="FK51" i="7" s="1"/>
  <c r="GL49" i="76"/>
  <c r="FK39" i="7" s="1"/>
  <c r="GL57" i="76"/>
  <c r="FK47" i="7" s="1"/>
  <c r="GL48" i="76"/>
  <c r="FK38" i="7" s="1"/>
  <c r="GL46" i="76"/>
  <c r="FK36" i="7" s="1"/>
  <c r="GL27" i="76"/>
  <c r="FK147" i="7" s="1"/>
  <c r="GL53" i="76"/>
  <c r="FK43" i="7" s="1"/>
  <c r="GL43" i="76"/>
  <c r="FK33" i="7" s="1"/>
  <c r="GL35" i="76"/>
  <c r="FK25" i="7" s="1"/>
  <c r="GL39" i="76"/>
  <c r="FK29" i="7" s="1"/>
  <c r="Y12" i="76"/>
  <c r="AA12" i="76" s="1"/>
  <c r="EH12" i="76"/>
  <c r="EE132" i="7" s="1"/>
  <c r="GL12" i="76"/>
  <c r="FK132" i="7" s="1"/>
  <c r="EH13" i="76"/>
  <c r="EE133" i="7" s="1"/>
  <c r="FX13" i="76"/>
  <c r="FC133" i="7" s="1"/>
  <c r="GL13" i="76"/>
  <c r="FK133" i="7" s="1"/>
  <c r="M14" i="76"/>
  <c r="FV134" i="7" s="1"/>
  <c r="AM14" i="76"/>
  <c r="AO14" i="76" s="1"/>
  <c r="BO14" i="76"/>
  <c r="CQ14" i="76"/>
  <c r="CS14" i="76" s="1"/>
  <c r="DS14" i="76"/>
  <c r="BO15" i="76"/>
  <c r="BP15" i="76" s="1"/>
  <c r="FX15" i="76"/>
  <c r="FC135" i="7" s="1"/>
  <c r="DS15" i="76"/>
  <c r="DU15" i="76" s="1"/>
  <c r="EU15" i="76"/>
  <c r="EL135" i="7" s="1"/>
  <c r="FI15" i="76"/>
  <c r="ET135" i="7" s="1"/>
  <c r="M16" i="76"/>
  <c r="FV136" i="7" s="1"/>
  <c r="CQ16" i="76"/>
  <c r="EH16" i="76"/>
  <c r="EE136" i="7" s="1"/>
  <c r="EV16" i="76"/>
  <c r="EM136" i="7" s="1"/>
  <c r="GL16" i="76"/>
  <c r="FK136" i="7" s="1"/>
  <c r="EJ137" i="7"/>
  <c r="EH18" i="76"/>
  <c r="EE138" i="7" s="1"/>
  <c r="O18" i="76"/>
  <c r="FX138" i="7" s="1"/>
  <c r="AQ18" i="76"/>
  <c r="BS18" i="76"/>
  <c r="CU18" i="76"/>
  <c r="DW18" i="76"/>
  <c r="FI18" i="76"/>
  <c r="ET138" i="7" s="1"/>
  <c r="FW18" i="76"/>
  <c r="FB138" i="7" s="1"/>
  <c r="EG19" i="76"/>
  <c r="ED139" i="7" s="1"/>
  <c r="N19" i="76"/>
  <c r="FW139" i="7" s="1"/>
  <c r="L19" i="76"/>
  <c r="FU139" i="7" s="1"/>
  <c r="BA19" i="76"/>
  <c r="BC19" i="76" s="1"/>
  <c r="DE19" i="76"/>
  <c r="DF19" i="76" s="1"/>
  <c r="ER140" i="7"/>
  <c r="FX20" i="76"/>
  <c r="FC140" i="7" s="1"/>
  <c r="L21" i="76"/>
  <c r="FU141" i="7" s="1"/>
  <c r="EV21" i="76"/>
  <c r="EM141" i="7" s="1"/>
  <c r="EU22" i="76"/>
  <c r="EL142" i="7" s="1"/>
  <c r="Y22" i="76"/>
  <c r="AA22" i="76" s="1"/>
  <c r="BA22" i="76"/>
  <c r="BB22" i="76" s="1"/>
  <c r="CC22" i="76"/>
  <c r="CE22" i="76" s="1"/>
  <c r="DE22" i="76"/>
  <c r="DG22" i="76" s="1"/>
  <c r="FJ22" i="76"/>
  <c r="EU142" i="7" s="1"/>
  <c r="FX22" i="76"/>
  <c r="FC142" i="7" s="1"/>
  <c r="M23" i="76"/>
  <c r="FV143" i="7" s="1"/>
  <c r="AM23" i="76"/>
  <c r="AO23" i="76" s="1"/>
  <c r="GK23" i="76"/>
  <c r="FJ143" i="7" s="1"/>
  <c r="BD23" i="76"/>
  <c r="BB23" i="76"/>
  <c r="CQ23" i="76"/>
  <c r="CS23" i="76" s="1"/>
  <c r="EZ143" i="7"/>
  <c r="FX24" i="76"/>
  <c r="FC144" i="7" s="1"/>
  <c r="CC25" i="76"/>
  <c r="GK26" i="76"/>
  <c r="FJ146" i="7" s="1"/>
  <c r="DF26" i="76"/>
  <c r="FH146" i="7"/>
  <c r="GL26" i="76"/>
  <c r="FK146" i="7" s="1"/>
  <c r="L27" i="76"/>
  <c r="FU147" i="7" s="1"/>
  <c r="AM27" i="76"/>
  <c r="AN27" i="76" s="1"/>
  <c r="FI27" i="76"/>
  <c r="ET147" i="7" s="1"/>
  <c r="FW27" i="76"/>
  <c r="FB147" i="7" s="1"/>
  <c r="CQ27" i="76"/>
  <c r="DS27" i="76"/>
  <c r="DT27" i="76" s="1"/>
  <c r="FJ28" i="76"/>
  <c r="EU148" i="7" s="1"/>
  <c r="FJ30" i="76"/>
  <c r="GK30" i="76"/>
  <c r="BA30" i="76"/>
  <c r="BC30" i="76" s="1"/>
  <c r="FX30" i="76"/>
  <c r="DE30" i="76"/>
  <c r="DG30" i="76" s="1"/>
  <c r="EH31" i="76"/>
  <c r="EE21" i="7" s="1"/>
  <c r="ET31" i="76"/>
  <c r="FV31" i="76"/>
  <c r="FY31" i="76" s="1"/>
  <c r="GL31" i="76"/>
  <c r="FK21" i="7" s="1"/>
  <c r="M32" i="76"/>
  <c r="FV22" i="7" s="1"/>
  <c r="EH32" i="76"/>
  <c r="EE22" i="7" s="1"/>
  <c r="FJ33" i="76"/>
  <c r="EU23" i="7" s="1"/>
  <c r="FX33" i="76"/>
  <c r="FC23" i="7" s="1"/>
  <c r="EH34" i="76"/>
  <c r="EE24" i="7" s="1"/>
  <c r="GL34" i="76"/>
  <c r="FK24" i="7" s="1"/>
  <c r="BO34" i="76"/>
  <c r="DS34" i="76"/>
  <c r="DT34" i="76" s="1"/>
  <c r="L35" i="76"/>
  <c r="FU25" i="7" s="1"/>
  <c r="EV36" i="76"/>
  <c r="EM26" i="7" s="1"/>
  <c r="AA36" i="76"/>
  <c r="EF36" i="76"/>
  <c r="EI36" i="76" s="1"/>
  <c r="GL36" i="76"/>
  <c r="FK26" i="7" s="1"/>
  <c r="FX37" i="76"/>
  <c r="FC27" i="7" s="1"/>
  <c r="EV38" i="76"/>
  <c r="EM28" i="7" s="1"/>
  <c r="EH38" i="76"/>
  <c r="EE28" i="7" s="1"/>
  <c r="EU38" i="76"/>
  <c r="EL28" i="7" s="1"/>
  <c r="FV38" i="76"/>
  <c r="GL38" i="76"/>
  <c r="FK28" i="7" s="1"/>
  <c r="EU39" i="76"/>
  <c r="EL29" i="7" s="1"/>
  <c r="Y39" i="76"/>
  <c r="Z39" i="76" s="1"/>
  <c r="CC39" i="76"/>
  <c r="CD39" i="76" s="1"/>
  <c r="FI39" i="76"/>
  <c r="ET29" i="7" s="1"/>
  <c r="GL40" i="76"/>
  <c r="FK30" i="7" s="1"/>
  <c r="BO40" i="76"/>
  <c r="BQ40" i="76" s="1"/>
  <c r="CC40" i="76"/>
  <c r="FX40" i="76"/>
  <c r="FC30" i="7" s="1"/>
  <c r="DS40" i="76"/>
  <c r="DE42" i="76"/>
  <c r="CC47" i="76"/>
  <c r="CE47" i="76" s="1"/>
  <c r="EU48" i="76"/>
  <c r="EL38" i="7" s="1"/>
  <c r="Y48" i="76"/>
  <c r="Z48" i="76" s="1"/>
  <c r="GL52" i="76"/>
  <c r="FK42" i="7" s="1"/>
  <c r="BA52" i="76"/>
  <c r="BC52" i="76" s="1"/>
  <c r="EF52" i="76"/>
  <c r="FJ59" i="76"/>
  <c r="EU49" i="7" s="1"/>
  <c r="ET61" i="76"/>
  <c r="EW61" i="76" s="1"/>
  <c r="FJ40" i="76"/>
  <c r="EU30" i="7" s="1"/>
  <c r="EH41" i="76"/>
  <c r="EE31" i="7" s="1"/>
  <c r="EG42" i="76"/>
  <c r="ED32" i="7" s="1"/>
  <c r="L42" i="76"/>
  <c r="FU32" i="7" s="1"/>
  <c r="FJ42" i="76"/>
  <c r="EU32" i="7" s="1"/>
  <c r="EH44" i="76"/>
  <c r="EE34" i="7" s="1"/>
  <c r="AM44" i="76"/>
  <c r="AN44" i="76" s="1"/>
  <c r="FI44" i="76"/>
  <c r="ET34" i="7" s="1"/>
  <c r="EG45" i="76"/>
  <c r="ED35" i="7" s="1"/>
  <c r="L45" i="76"/>
  <c r="FU35" i="7" s="1"/>
  <c r="CC48" i="76"/>
  <c r="CD48" i="76" s="1"/>
  <c r="EH50" i="76"/>
  <c r="EE40" i="7" s="1"/>
  <c r="DE50" i="76"/>
  <c r="DG50" i="76" s="1"/>
  <c r="FI51" i="76"/>
  <c r="ET41" i="7" s="1"/>
  <c r="BO55" i="76"/>
  <c r="FI56" i="76"/>
  <c r="ET46" i="7" s="1"/>
  <c r="DS56" i="76"/>
  <c r="DT56" i="76" s="1"/>
  <c r="K57" i="76"/>
  <c r="M57" i="76" s="1"/>
  <c r="FV47" i="7" s="1"/>
  <c r="GK57" i="76"/>
  <c r="FJ47" i="7" s="1"/>
  <c r="BA57" i="76"/>
  <c r="BB57" i="76" s="1"/>
  <c r="DS57" i="76"/>
  <c r="DU57" i="76" s="1"/>
  <c r="EH58" i="76"/>
  <c r="EE48" i="7" s="1"/>
  <c r="M58" i="76"/>
  <c r="FV48" i="7" s="1"/>
  <c r="FX58" i="76"/>
  <c r="FC48" i="7" s="1"/>
  <c r="EV59" i="76"/>
  <c r="EM49" i="7" s="1"/>
  <c r="CC61" i="76"/>
  <c r="CD61" i="76" s="1"/>
  <c r="CQ63" i="76"/>
  <c r="CS63" i="76" s="1"/>
  <c r="FW63" i="76"/>
  <c r="FB53" i="7" s="1"/>
  <c r="AM69" i="76"/>
  <c r="AO69" i="76" s="1"/>
  <c r="DI76" i="76"/>
  <c r="GL29" i="76"/>
  <c r="FK149" i="7" s="1"/>
  <c r="EV29" i="76"/>
  <c r="EM149" i="7" s="1"/>
  <c r="FW30" i="76"/>
  <c r="L31" i="76"/>
  <c r="FU21" i="7" s="1"/>
  <c r="GL32" i="76"/>
  <c r="FK22" i="7" s="1"/>
  <c r="AM33" i="76"/>
  <c r="AN33" i="76" s="1"/>
  <c r="BO33" i="76"/>
  <c r="CQ33" i="76"/>
  <c r="CR33" i="76" s="1"/>
  <c r="DS33" i="76"/>
  <c r="DT33" i="76" s="1"/>
  <c r="FX34" i="76"/>
  <c r="FC24" i="7" s="1"/>
  <c r="EU34" i="76"/>
  <c r="EL24" i="7" s="1"/>
  <c r="M35" i="76"/>
  <c r="FV25" i="7" s="1"/>
  <c r="FJ36" i="76"/>
  <c r="EU26" i="7" s="1"/>
  <c r="EH37" i="76"/>
  <c r="EE27" i="7" s="1"/>
  <c r="EG38" i="76"/>
  <c r="ED28" i="7" s="1"/>
  <c r="L38" i="76"/>
  <c r="FU28" i="7" s="1"/>
  <c r="FW39" i="76"/>
  <c r="FB29" i="7" s="1"/>
  <c r="ER29" i="7"/>
  <c r="L40" i="76"/>
  <c r="FU30" i="7" s="1"/>
  <c r="EV40" i="76"/>
  <c r="EM30" i="7" s="1"/>
  <c r="EU41" i="76"/>
  <c r="EL31" i="7" s="1"/>
  <c r="Y41" i="76"/>
  <c r="Z41" i="76" s="1"/>
  <c r="BA41" i="76"/>
  <c r="BB41" i="76" s="1"/>
  <c r="CC41" i="76"/>
  <c r="CD41" i="76" s="1"/>
  <c r="DE41" i="76"/>
  <c r="FJ41" i="76"/>
  <c r="EU31" i="7" s="1"/>
  <c r="FX41" i="76"/>
  <c r="FC31" i="7" s="1"/>
  <c r="EH42" i="76"/>
  <c r="EE32" i="7" s="1"/>
  <c r="M42" i="76"/>
  <c r="FV32" i="7" s="1"/>
  <c r="GK42" i="76"/>
  <c r="FJ32" i="7" s="1"/>
  <c r="CQ42" i="76"/>
  <c r="CR42" i="76" s="1"/>
  <c r="FW42" i="76"/>
  <c r="FB32" i="7" s="1"/>
  <c r="EG43" i="76"/>
  <c r="ED33" i="7" s="1"/>
  <c r="L43" i="76"/>
  <c r="FU33" i="7" s="1"/>
  <c r="FI43" i="76"/>
  <c r="ET33" i="7" s="1"/>
  <c r="CQ43" i="76"/>
  <c r="FX43" i="76"/>
  <c r="FC33" i="7" s="1"/>
  <c r="FJ44" i="76"/>
  <c r="EU34" i="7" s="1"/>
  <c r="BO44" i="76"/>
  <c r="BQ44" i="76" s="1"/>
  <c r="EH45" i="76"/>
  <c r="EE35" i="7" s="1"/>
  <c r="Y45" i="76"/>
  <c r="Z45" i="76" s="1"/>
  <c r="EU45" i="76"/>
  <c r="EL35" i="7" s="1"/>
  <c r="CC45" i="76"/>
  <c r="CD45" i="76" s="1"/>
  <c r="FI45" i="76"/>
  <c r="ET35" i="7" s="1"/>
  <c r="EV47" i="76"/>
  <c r="EM37" i="7" s="1"/>
  <c r="Y47" i="76"/>
  <c r="AA47" i="76" s="1"/>
  <c r="GL47" i="76"/>
  <c r="FK37" i="7" s="1"/>
  <c r="GK48" i="76"/>
  <c r="FJ38" i="7" s="1"/>
  <c r="BA48" i="76"/>
  <c r="BC48" i="76" s="1"/>
  <c r="EH51" i="76"/>
  <c r="EE41" i="7" s="1"/>
  <c r="M51" i="76"/>
  <c r="FV41" i="7" s="1"/>
  <c r="K53" i="76"/>
  <c r="M53" i="76" s="1"/>
  <c r="FV43" i="7" s="1"/>
  <c r="EU53" i="76"/>
  <c r="EL43" i="7" s="1"/>
  <c r="DE53" i="76"/>
  <c r="L55" i="76"/>
  <c r="FU45" i="7" s="1"/>
  <c r="EG55" i="76"/>
  <c r="ED45" i="7" s="1"/>
  <c r="EG56" i="76"/>
  <c r="ED46" i="7" s="1"/>
  <c r="L56" i="76"/>
  <c r="FU46" i="7" s="1"/>
  <c r="BO56" i="76"/>
  <c r="BP56" i="76" s="1"/>
  <c r="EU57" i="76"/>
  <c r="EL47" i="7" s="1"/>
  <c r="Y57" i="76"/>
  <c r="Z57" i="76" s="1"/>
  <c r="FJ58" i="76"/>
  <c r="EU48" i="7" s="1"/>
  <c r="AM58" i="76"/>
  <c r="AN58" i="76" s="1"/>
  <c r="BA59" i="76"/>
  <c r="GK59" i="76"/>
  <c r="FJ49" i="7" s="1"/>
  <c r="EH62" i="76"/>
  <c r="EE52" i="7" s="1"/>
  <c r="M62" i="76"/>
  <c r="FV52" i="7" s="1"/>
  <c r="BO62" i="76"/>
  <c r="BP62" i="76" s="1"/>
  <c r="DS62" i="76"/>
  <c r="DU62" i="76" s="1"/>
  <c r="K69" i="76"/>
  <c r="L69" i="76" s="1"/>
  <c r="FU59" i="7" s="1"/>
  <c r="DS69" i="76"/>
  <c r="DT69" i="76" s="1"/>
  <c r="EV24" i="76"/>
  <c r="EM144" i="7" s="1"/>
  <c r="AM25" i="76"/>
  <c r="AN25" i="76" s="1"/>
  <c r="BO25" i="76"/>
  <c r="BP25" i="76" s="1"/>
  <c r="CQ25" i="76"/>
  <c r="CR25" i="76" s="1"/>
  <c r="DS25" i="76"/>
  <c r="DT25" i="76" s="1"/>
  <c r="FX26" i="76"/>
  <c r="FC146" i="7" s="1"/>
  <c r="EU26" i="76"/>
  <c r="EL146" i="7" s="1"/>
  <c r="M27" i="76"/>
  <c r="FV147" i="7" s="1"/>
  <c r="EH29" i="76"/>
  <c r="EE149" i="7" s="1"/>
  <c r="EG30" i="76"/>
  <c r="L30" i="76"/>
  <c r="FW31" i="76"/>
  <c r="FB21" i="7" s="1"/>
  <c r="L32" i="76"/>
  <c r="FU22" i="7" s="1"/>
  <c r="EV32" i="76"/>
  <c r="EM22" i="7" s="1"/>
  <c r="EU33" i="76"/>
  <c r="EL23" i="7" s="1"/>
  <c r="Y33" i="76"/>
  <c r="BA33" i="76"/>
  <c r="BB33" i="76" s="1"/>
  <c r="CC33" i="76"/>
  <c r="CD33" i="76" s="1"/>
  <c r="DE33" i="76"/>
  <c r="DF33" i="76" s="1"/>
  <c r="M34" i="76"/>
  <c r="FV24" i="7" s="1"/>
  <c r="GK34" i="76"/>
  <c r="FJ24" i="7" s="1"/>
  <c r="EZ24" i="7"/>
  <c r="FJ35" i="76"/>
  <c r="EU25" i="7" s="1"/>
  <c r="GL37" i="76"/>
  <c r="FK27" i="7" s="1"/>
  <c r="EV37" i="76"/>
  <c r="EM27" i="7" s="1"/>
  <c r="FW38" i="76"/>
  <c r="FB28" i="7" s="1"/>
  <c r="L39" i="76"/>
  <c r="FU29" i="7" s="1"/>
  <c r="Y40" i="76"/>
  <c r="Z40" i="76" s="1"/>
  <c r="M41" i="76"/>
  <c r="FV31" i="7" s="1"/>
  <c r="AM41" i="76"/>
  <c r="AN41" i="76" s="1"/>
  <c r="BO41" i="76"/>
  <c r="CQ41" i="76"/>
  <c r="CR41" i="76" s="1"/>
  <c r="DS41" i="76"/>
  <c r="GK41" i="76"/>
  <c r="FJ31" i="7" s="1"/>
  <c r="EU42" i="76"/>
  <c r="EL32" i="7" s="1"/>
  <c r="BO42" i="76"/>
  <c r="BQ42" i="76" s="1"/>
  <c r="DS42" i="76"/>
  <c r="DT42" i="76" s="1"/>
  <c r="EU43" i="76"/>
  <c r="EL33" i="7" s="1"/>
  <c r="GK43" i="76"/>
  <c r="FJ33" i="7" s="1"/>
  <c r="FX44" i="76"/>
  <c r="FC34" i="7" s="1"/>
  <c r="DS44" i="76"/>
  <c r="DU44" i="76" s="1"/>
  <c r="BO45" i="76"/>
  <c r="BP45" i="76" s="1"/>
  <c r="FX45" i="76"/>
  <c r="FC35" i="7" s="1"/>
  <c r="DG45" i="76"/>
  <c r="FI46" i="76"/>
  <c r="ET36" i="7" s="1"/>
  <c r="AM46" i="76"/>
  <c r="AN46" i="76" s="1"/>
  <c r="FW46" i="76"/>
  <c r="FB36" i="7" s="1"/>
  <c r="CQ46" i="76"/>
  <c r="CR46" i="76" s="1"/>
  <c r="DE48" i="76"/>
  <c r="FI48" i="76"/>
  <c r="ET38" i="7" s="1"/>
  <c r="EV56" i="76"/>
  <c r="EM46" i="7" s="1"/>
  <c r="CC57" i="76"/>
  <c r="CD57" i="76" s="1"/>
  <c r="EH60" i="76"/>
  <c r="EE50" i="7" s="1"/>
  <c r="M60" i="76"/>
  <c r="FV50" i="7" s="1"/>
  <c r="GL60" i="76"/>
  <c r="FK50" i="7" s="1"/>
  <c r="FJ61" i="76"/>
  <c r="EU51" i="7" s="1"/>
  <c r="BO64" i="76"/>
  <c r="BP64" i="76" s="1"/>
  <c r="EU64" i="76"/>
  <c r="EL54" i="7" s="1"/>
  <c r="BO69" i="76"/>
  <c r="BP69" i="76" s="1"/>
  <c r="CQ70" i="76"/>
  <c r="CS70" i="76" s="1"/>
  <c r="FX70" i="76"/>
  <c r="FC60" i="7" s="1"/>
  <c r="M46" i="76"/>
  <c r="FV36" i="7" s="1"/>
  <c r="FJ47" i="76"/>
  <c r="EU37" i="7" s="1"/>
  <c r="FJ48" i="76"/>
  <c r="EU38" i="7" s="1"/>
  <c r="FX48" i="76"/>
  <c r="FC38" i="7" s="1"/>
  <c r="L49" i="76"/>
  <c r="FU39" i="7" s="1"/>
  <c r="FJ51" i="76"/>
  <c r="EU41" i="7" s="1"/>
  <c r="DS51" i="76"/>
  <c r="DU51" i="76" s="1"/>
  <c r="EG51" i="76"/>
  <c r="ED41" i="7" s="1"/>
  <c r="EV54" i="76"/>
  <c r="EM44" i="7" s="1"/>
  <c r="BA55" i="76"/>
  <c r="BC55" i="76" s="1"/>
  <c r="DE55" i="76"/>
  <c r="FW55" i="76"/>
  <c r="FB45" i="7" s="1"/>
  <c r="FJ57" i="76"/>
  <c r="EU47" i="7" s="1"/>
  <c r="CC58" i="76"/>
  <c r="CE58" i="76" s="1"/>
  <c r="EG59" i="76"/>
  <c r="ED49" i="7" s="1"/>
  <c r="EU59" i="76"/>
  <c r="EL49" i="7" s="1"/>
  <c r="Y59" i="76"/>
  <c r="Z59" i="76" s="1"/>
  <c r="FP49" i="7"/>
  <c r="GK60" i="76"/>
  <c r="FJ50" i="7" s="1"/>
  <c r="BA60" i="76"/>
  <c r="BC60" i="76" s="1"/>
  <c r="DE60" i="76"/>
  <c r="DF60" i="76" s="1"/>
  <c r="EJ53" i="7"/>
  <c r="FW64" i="76"/>
  <c r="FB54" i="7" s="1"/>
  <c r="CQ64" i="76"/>
  <c r="CR64" i="76" s="1"/>
  <c r="CC66" i="76"/>
  <c r="CE66" i="76" s="1"/>
  <c r="FJ66" i="76"/>
  <c r="EU56" i="7" s="1"/>
  <c r="BA67" i="76"/>
  <c r="GK67" i="76"/>
  <c r="FJ57" i="7" s="1"/>
  <c r="FX67" i="76"/>
  <c r="FC57" i="7" s="1"/>
  <c r="FX71" i="76"/>
  <c r="FC61" i="7" s="1"/>
  <c r="DE73" i="76"/>
  <c r="DF73" i="76" s="1"/>
  <c r="AC76" i="76"/>
  <c r="EV76" i="76"/>
  <c r="EM66" i="7" s="1"/>
  <c r="EH77" i="76"/>
  <c r="EE67" i="7" s="1"/>
  <c r="BS81" i="76"/>
  <c r="EV43" i="76"/>
  <c r="EM33" i="7" s="1"/>
  <c r="EU44" i="76"/>
  <c r="EL34" i="7" s="1"/>
  <c r="Y44" i="76"/>
  <c r="Z44" i="76" s="1"/>
  <c r="BA44" i="76"/>
  <c r="BB44" i="76" s="1"/>
  <c r="CC44" i="76"/>
  <c r="DE44" i="76"/>
  <c r="DF44" i="76" s="1"/>
  <c r="M45" i="76"/>
  <c r="FV35" i="7" s="1"/>
  <c r="GK45" i="76"/>
  <c r="FJ35" i="7" s="1"/>
  <c r="GL45" i="76"/>
  <c r="FK35" i="7" s="1"/>
  <c r="FJ46" i="76"/>
  <c r="EU36" i="7" s="1"/>
  <c r="BO46" i="76"/>
  <c r="BQ46" i="76" s="1"/>
  <c r="DS46" i="76"/>
  <c r="DT46" i="76" s="1"/>
  <c r="AM47" i="76"/>
  <c r="AO47" i="76" s="1"/>
  <c r="BB47" i="76"/>
  <c r="CQ47" i="76"/>
  <c r="CS47" i="76" s="1"/>
  <c r="EV48" i="76"/>
  <c r="EM38" i="7" s="1"/>
  <c r="BO48" i="76"/>
  <c r="DS48" i="76"/>
  <c r="DT48" i="76" s="1"/>
  <c r="EH48" i="76"/>
  <c r="EE38" i="7" s="1"/>
  <c r="Y49" i="76"/>
  <c r="Z49" i="76" s="1"/>
  <c r="BB49" i="76"/>
  <c r="CC49" i="76"/>
  <c r="CD49" i="76" s="1"/>
  <c r="EU49" i="76"/>
  <c r="EL39" i="7" s="1"/>
  <c r="GL51" i="76"/>
  <c r="FK41" i="7" s="1"/>
  <c r="BO51" i="76"/>
  <c r="BP51" i="76" s="1"/>
  <c r="FX51" i="76"/>
  <c r="FC41" i="7" s="1"/>
  <c r="EG52" i="76"/>
  <c r="ED42" i="7" s="1"/>
  <c r="L52" i="76"/>
  <c r="FU42" i="7" s="1"/>
  <c r="AM52" i="76"/>
  <c r="AN52" i="76" s="1"/>
  <c r="CQ52" i="76"/>
  <c r="CR52" i="76" s="1"/>
  <c r="EU52" i="76"/>
  <c r="EL42" i="7" s="1"/>
  <c r="FJ52" i="76"/>
  <c r="EU42" i="7" s="1"/>
  <c r="FW52" i="76"/>
  <c r="FB42" i="7" s="1"/>
  <c r="EG53" i="76"/>
  <c r="ED43" i="7" s="1"/>
  <c r="Y54" i="76"/>
  <c r="Z54" i="76" s="1"/>
  <c r="AM54" i="76"/>
  <c r="BA54" i="76"/>
  <c r="BC54" i="76" s="1"/>
  <c r="CC54" i="76"/>
  <c r="CE54" i="76" s="1"/>
  <c r="CQ54" i="76"/>
  <c r="DE54" i="76"/>
  <c r="DG54" i="76" s="1"/>
  <c r="EH54" i="76"/>
  <c r="EE44" i="7" s="1"/>
  <c r="GL54" i="76"/>
  <c r="FK44" i="7" s="1"/>
  <c r="EH55" i="76"/>
  <c r="EE45" i="7" s="1"/>
  <c r="EU55" i="76"/>
  <c r="EL45" i="7" s="1"/>
  <c r="Y55" i="76"/>
  <c r="CC55" i="76"/>
  <c r="FJ55" i="76"/>
  <c r="EU45" i="7" s="1"/>
  <c r="M56" i="76"/>
  <c r="FV46" i="7" s="1"/>
  <c r="FX56" i="76"/>
  <c r="FC46" i="7" s="1"/>
  <c r="AM57" i="76"/>
  <c r="AO57" i="76" s="1"/>
  <c r="GL58" i="76"/>
  <c r="FK48" i="7" s="1"/>
  <c r="GL59" i="76"/>
  <c r="FK49" i="7" s="1"/>
  <c r="CC59" i="76"/>
  <c r="CE59" i="76" s="1"/>
  <c r="FI59" i="76"/>
  <c r="ET49" i="7" s="1"/>
  <c r="L61" i="76"/>
  <c r="FU51" i="7" s="1"/>
  <c r="EG61" i="76"/>
  <c r="ED51" i="7" s="1"/>
  <c r="GL62" i="76"/>
  <c r="FK52" i="7" s="1"/>
  <c r="BA62" i="76"/>
  <c r="BC62" i="76" s="1"/>
  <c r="DE62" i="76"/>
  <c r="DG62" i="76" s="1"/>
  <c r="EG64" i="76"/>
  <c r="ED54" i="7" s="1"/>
  <c r="L64" i="76"/>
  <c r="FU54" i="7" s="1"/>
  <c r="FI64" i="76"/>
  <c r="ET54" i="7" s="1"/>
  <c r="AM64" i="76"/>
  <c r="AN64" i="76" s="1"/>
  <c r="EV66" i="76"/>
  <c r="EM56" i="7" s="1"/>
  <c r="Y66" i="76"/>
  <c r="AA66" i="76" s="1"/>
  <c r="FJ67" i="76"/>
  <c r="EU57" i="7" s="1"/>
  <c r="DE67" i="76"/>
  <c r="DG67" i="76" s="1"/>
  <c r="FJ68" i="76"/>
  <c r="EU58" i="7" s="1"/>
  <c r="FX68" i="76"/>
  <c r="FC58" i="7" s="1"/>
  <c r="CG76" i="76"/>
  <c r="BO77" i="76"/>
  <c r="BQ77" i="76" s="1"/>
  <c r="BS77" i="76"/>
  <c r="GL44" i="76"/>
  <c r="FK34" i="7" s="1"/>
  <c r="EV44" i="76"/>
  <c r="EM34" i="7" s="1"/>
  <c r="FW45" i="76"/>
  <c r="FB35" i="7" s="1"/>
  <c r="L46" i="76"/>
  <c r="FU36" i="7" s="1"/>
  <c r="BA46" i="76"/>
  <c r="BB46" i="76" s="1"/>
  <c r="EH47" i="76"/>
  <c r="EE37" i="7" s="1"/>
  <c r="FW48" i="76"/>
  <c r="FB38" i="7" s="1"/>
  <c r="DS49" i="76"/>
  <c r="DU49" i="76" s="1"/>
  <c r="M50" i="76"/>
  <c r="FV40" i="7" s="1"/>
  <c r="DU50" i="76"/>
  <c r="FX50" i="76"/>
  <c r="FC40" i="7" s="1"/>
  <c r="AM51" i="76"/>
  <c r="AN51" i="76" s="1"/>
  <c r="EH52" i="76"/>
  <c r="EE42" i="7" s="1"/>
  <c r="Y52" i="76"/>
  <c r="AA52" i="76" s="1"/>
  <c r="CC52" i="76"/>
  <c r="CE52" i="76" s="1"/>
  <c r="FX52" i="76"/>
  <c r="FC42" i="7" s="1"/>
  <c r="FI53" i="76"/>
  <c r="ET43" i="7" s="1"/>
  <c r="BO53" i="76"/>
  <c r="BQ53" i="76" s="1"/>
  <c r="FW53" i="76"/>
  <c r="FB43" i="7" s="1"/>
  <c r="DS53" i="76"/>
  <c r="DU53" i="76" s="1"/>
  <c r="AM55" i="76"/>
  <c r="AO55" i="76" s="1"/>
  <c r="CQ55" i="76"/>
  <c r="CR55" i="76" s="1"/>
  <c r="Y56" i="76"/>
  <c r="GK56" i="76"/>
  <c r="FJ46" i="7" s="1"/>
  <c r="CC56" i="76"/>
  <c r="CE56" i="76" s="1"/>
  <c r="EG57" i="76"/>
  <c r="ED47" i="7" s="1"/>
  <c r="FW57" i="76"/>
  <c r="FB47" i="7" s="1"/>
  <c r="EV58" i="76"/>
  <c r="EM48" i="7" s="1"/>
  <c r="Y58" i="76"/>
  <c r="AA58" i="76" s="1"/>
  <c r="BO58" i="76"/>
  <c r="BQ58" i="76" s="1"/>
  <c r="DS58" i="76"/>
  <c r="DU58" i="76" s="1"/>
  <c r="DE59" i="76"/>
  <c r="DG59" i="76" s="1"/>
  <c r="FW59" i="76"/>
  <c r="FB49" i="7" s="1"/>
  <c r="EV60" i="76"/>
  <c r="EM50" i="7" s="1"/>
  <c r="FI60" i="76"/>
  <c r="ET50" i="7" s="1"/>
  <c r="FJ60" i="76"/>
  <c r="EU50" i="7" s="1"/>
  <c r="FW60" i="76"/>
  <c r="FB50" i="7" s="1"/>
  <c r="Y61" i="76"/>
  <c r="AA61" i="76" s="1"/>
  <c r="EU61" i="76"/>
  <c r="EL51" i="7" s="1"/>
  <c r="AM63" i="76"/>
  <c r="AO63" i="76" s="1"/>
  <c r="FI63" i="76"/>
  <c r="ET53" i="7" s="1"/>
  <c r="FJ63" i="76"/>
  <c r="EU53" i="7" s="1"/>
  <c r="DS64" i="76"/>
  <c r="FJ65" i="76"/>
  <c r="EU55" i="7" s="1"/>
  <c r="FJ70" i="76"/>
  <c r="EU60" i="7" s="1"/>
  <c r="AM70" i="76"/>
  <c r="AO70" i="76" s="1"/>
  <c r="DE72" i="76"/>
  <c r="FW72" i="76"/>
  <c r="FB62" i="7" s="1"/>
  <c r="GK73" i="76"/>
  <c r="FJ63" i="7" s="1"/>
  <c r="BA73" i="76"/>
  <c r="BB73" i="76" s="1"/>
  <c r="GL76" i="76"/>
  <c r="FK66" i="7" s="1"/>
  <c r="BE76" i="76"/>
  <c r="BO82" i="76"/>
  <c r="BQ82" i="76" s="1"/>
  <c r="BS82" i="76"/>
  <c r="DE82" i="76"/>
  <c r="DG82" i="76" s="1"/>
  <c r="DI82" i="76"/>
  <c r="EH63" i="76"/>
  <c r="EE53" i="7" s="1"/>
  <c r="EU63" i="76"/>
  <c r="EL53" i="7" s="1"/>
  <c r="Y63" i="76"/>
  <c r="Z63" i="76" s="1"/>
  <c r="CC63" i="76"/>
  <c r="CE63" i="76" s="1"/>
  <c r="EH66" i="76"/>
  <c r="EE56" i="7" s="1"/>
  <c r="BO66" i="76"/>
  <c r="BQ66" i="76" s="1"/>
  <c r="DS66" i="76"/>
  <c r="DU66" i="76" s="1"/>
  <c r="AM67" i="76"/>
  <c r="AO67" i="76" s="1"/>
  <c r="CQ67" i="76"/>
  <c r="CS67" i="76" s="1"/>
  <c r="FW67" i="76"/>
  <c r="FB57" i="7" s="1"/>
  <c r="EG68" i="76"/>
  <c r="ED58" i="7" s="1"/>
  <c r="L68" i="76"/>
  <c r="FU58" i="7" s="1"/>
  <c r="FW68" i="76"/>
  <c r="FB58" i="7" s="1"/>
  <c r="EU68" i="76"/>
  <c r="EL58" i="7" s="1"/>
  <c r="FJ69" i="76"/>
  <c r="EU59" i="7" s="1"/>
  <c r="EV70" i="76"/>
  <c r="EM60" i="7" s="1"/>
  <c r="Y70" i="76"/>
  <c r="Z70" i="76" s="1"/>
  <c r="CC70" i="76"/>
  <c r="CE70" i="76" s="1"/>
  <c r="EV71" i="76"/>
  <c r="EM61" i="7" s="1"/>
  <c r="Y71" i="76"/>
  <c r="AA71" i="76" s="1"/>
  <c r="FJ71" i="76"/>
  <c r="EU61" i="7" s="1"/>
  <c r="GL71" i="76"/>
  <c r="FK61" i="7" s="1"/>
  <c r="EU72" i="76"/>
  <c r="EL62" i="7" s="1"/>
  <c r="Y72" i="76"/>
  <c r="AA72" i="76" s="1"/>
  <c r="FJ75" i="76"/>
  <c r="EU65" i="7" s="1"/>
  <c r="O78" i="76"/>
  <c r="FX68" i="7" s="1"/>
  <c r="M78" i="76"/>
  <c r="FV68" i="7" s="1"/>
  <c r="EH78" i="76"/>
  <c r="EE68" i="7" s="1"/>
  <c r="BS78" i="76"/>
  <c r="BO78" i="76"/>
  <c r="BS80" i="76"/>
  <c r="BO80" i="76"/>
  <c r="BP80" i="76" s="1"/>
  <c r="BR96" i="76"/>
  <c r="BO96" i="76"/>
  <c r="BP96" i="76" s="1"/>
  <c r="EG48" i="76"/>
  <c r="ED38" i="7" s="1"/>
  <c r="L48" i="76"/>
  <c r="FU38" i="7" s="1"/>
  <c r="FW49" i="76"/>
  <c r="FB39" i="7" s="1"/>
  <c r="ER39" i="7"/>
  <c r="L50" i="76"/>
  <c r="FU40" i="7" s="1"/>
  <c r="EV50" i="76"/>
  <c r="EM40" i="7" s="1"/>
  <c r="EU51" i="76"/>
  <c r="EL41" i="7" s="1"/>
  <c r="Y51" i="76"/>
  <c r="Z51" i="76" s="1"/>
  <c r="BA51" i="76"/>
  <c r="BB51" i="76" s="1"/>
  <c r="CC51" i="76"/>
  <c r="CD51" i="76" s="1"/>
  <c r="DE51" i="76"/>
  <c r="DF51" i="76" s="1"/>
  <c r="M52" i="76"/>
  <c r="FV42" i="7" s="1"/>
  <c r="GK52" i="76"/>
  <c r="FJ42" i="7" s="1"/>
  <c r="FJ53" i="76"/>
  <c r="EU43" i="7" s="1"/>
  <c r="GL55" i="76"/>
  <c r="FK45" i="7" s="1"/>
  <c r="EV55" i="76"/>
  <c r="EM45" i="7" s="1"/>
  <c r="FW56" i="76"/>
  <c r="FB46" i="7" s="1"/>
  <c r="AM59" i="76"/>
  <c r="AN59" i="76" s="1"/>
  <c r="BO59" i="76"/>
  <c r="BP59" i="76" s="1"/>
  <c r="CQ59" i="76"/>
  <c r="DS59" i="76"/>
  <c r="DT59" i="76" s="1"/>
  <c r="FX60" i="76"/>
  <c r="FC50" i="7" s="1"/>
  <c r="EU60" i="76"/>
  <c r="EL50" i="7" s="1"/>
  <c r="M61" i="76"/>
  <c r="FV51" i="7" s="1"/>
  <c r="AM61" i="76"/>
  <c r="AO61" i="76" s="1"/>
  <c r="EV62" i="76"/>
  <c r="EM52" i="7" s="1"/>
  <c r="Y62" i="76"/>
  <c r="CC62" i="76"/>
  <c r="CE62" i="76" s="1"/>
  <c r="BA63" i="76"/>
  <c r="BB63" i="76" s="1"/>
  <c r="GK63" i="76"/>
  <c r="FJ53" i="7" s="1"/>
  <c r="FX63" i="76"/>
  <c r="FC53" i="7" s="1"/>
  <c r="DE63" i="76"/>
  <c r="DF63" i="76" s="1"/>
  <c r="M64" i="76"/>
  <c r="FV54" i="7" s="1"/>
  <c r="FJ64" i="76"/>
  <c r="EU54" i="7" s="1"/>
  <c r="FX64" i="76"/>
  <c r="FC54" i="7" s="1"/>
  <c r="M66" i="76"/>
  <c r="FV56" i="7" s="1"/>
  <c r="AM66" i="76"/>
  <c r="AN66" i="76" s="1"/>
  <c r="CQ66" i="76"/>
  <c r="CS66" i="76" s="1"/>
  <c r="FX66" i="76"/>
  <c r="FC56" i="7" s="1"/>
  <c r="EG67" i="76"/>
  <c r="ED57" i="7" s="1"/>
  <c r="GL67" i="76"/>
  <c r="FK57" i="7" s="1"/>
  <c r="BO67" i="76"/>
  <c r="BP67" i="76" s="1"/>
  <c r="DS67" i="76"/>
  <c r="DT67" i="76" s="1"/>
  <c r="FI67" i="76"/>
  <c r="ET57" i="7" s="1"/>
  <c r="GK68" i="76"/>
  <c r="FJ58" i="7" s="1"/>
  <c r="FI68" i="76"/>
  <c r="ET58" i="7" s="1"/>
  <c r="GL70" i="76"/>
  <c r="FK60" i="7" s="1"/>
  <c r="BA70" i="76"/>
  <c r="BC70" i="76" s="1"/>
  <c r="DS70" i="76"/>
  <c r="DT70" i="76" s="1"/>
  <c r="M72" i="76"/>
  <c r="FV62" i="7" s="1"/>
  <c r="CC72" i="76"/>
  <c r="CE72" i="76" s="1"/>
  <c r="FI72" i="76"/>
  <c r="ET62" i="7" s="1"/>
  <c r="EV73" i="76"/>
  <c r="EM63" i="7" s="1"/>
  <c r="FJ73" i="76"/>
  <c r="EU63" i="7" s="1"/>
  <c r="Y74" i="76"/>
  <c r="Z74" i="76" s="1"/>
  <c r="EU74" i="76"/>
  <c r="EL64" i="7" s="1"/>
  <c r="CC74" i="76"/>
  <c r="CD74" i="76" s="1"/>
  <c r="GK74" i="76"/>
  <c r="FJ64" i="7" s="1"/>
  <c r="DS77" i="76"/>
  <c r="DT77" i="76" s="1"/>
  <c r="DW77" i="76"/>
  <c r="CF78" i="76"/>
  <c r="CC78" i="76"/>
  <c r="CD78" i="76" s="1"/>
  <c r="FI78" i="76"/>
  <c r="ET68" i="7" s="1"/>
  <c r="DW81" i="76"/>
  <c r="GL86" i="76"/>
  <c r="FK76" i="7" s="1"/>
  <c r="FW89" i="76"/>
  <c r="FB79" i="7" s="1"/>
  <c r="CQ89" i="76"/>
  <c r="CT89" i="76"/>
  <c r="EU91" i="76"/>
  <c r="EL81" i="7" s="1"/>
  <c r="Y91" i="76"/>
  <c r="Z91" i="76" s="1"/>
  <c r="AB91" i="76"/>
  <c r="EH59" i="76"/>
  <c r="EE49" i="7" s="1"/>
  <c r="EG60" i="76"/>
  <c r="ED50" i="7" s="1"/>
  <c r="L60" i="76"/>
  <c r="FU50" i="7" s="1"/>
  <c r="FP51" i="7"/>
  <c r="AM62" i="76"/>
  <c r="CQ62" i="76"/>
  <c r="FX62" i="76"/>
  <c r="FC52" i="7" s="1"/>
  <c r="EG63" i="76"/>
  <c r="ED53" i="7" s="1"/>
  <c r="M63" i="76"/>
  <c r="FV53" i="7" s="1"/>
  <c r="GL63" i="76"/>
  <c r="FK53" i="7" s="1"/>
  <c r="BO63" i="76"/>
  <c r="DS63" i="76"/>
  <c r="DT63" i="76" s="1"/>
  <c r="GK64" i="76"/>
  <c r="FJ54" i="7" s="1"/>
  <c r="AA65" i="76"/>
  <c r="DG65" i="76"/>
  <c r="L66" i="76"/>
  <c r="FU56" i="7" s="1"/>
  <c r="GL66" i="76"/>
  <c r="FK56" i="7" s="1"/>
  <c r="BA66" i="76"/>
  <c r="BC66" i="76" s="1"/>
  <c r="DE66" i="76"/>
  <c r="DG66" i="76" s="1"/>
  <c r="EH67" i="76"/>
  <c r="EE57" i="7" s="1"/>
  <c r="EU67" i="76"/>
  <c r="EL57" i="7" s="1"/>
  <c r="Y67" i="76"/>
  <c r="Z67" i="76" s="1"/>
  <c r="CC67" i="76"/>
  <c r="CE67" i="76" s="1"/>
  <c r="AM68" i="76"/>
  <c r="AO68" i="76" s="1"/>
  <c r="BO68" i="76"/>
  <c r="CQ68" i="76"/>
  <c r="CR68" i="76" s="1"/>
  <c r="DS68" i="76"/>
  <c r="DU68" i="76" s="1"/>
  <c r="EH70" i="76"/>
  <c r="EE60" i="7" s="1"/>
  <c r="BO70" i="76"/>
  <c r="EH71" i="76"/>
  <c r="EE61" i="7" s="1"/>
  <c r="BA72" i="76"/>
  <c r="BC72" i="76" s="1"/>
  <c r="GK72" i="76"/>
  <c r="FJ62" i="7" s="1"/>
  <c r="FJ74" i="76"/>
  <c r="EU64" i="7" s="1"/>
  <c r="M75" i="76"/>
  <c r="FV65" i="7" s="1"/>
  <c r="EH75" i="76"/>
  <c r="EE65" i="7" s="1"/>
  <c r="O75" i="76"/>
  <c r="FX65" i="7" s="1"/>
  <c r="BO75" i="76"/>
  <c r="BS75" i="76"/>
  <c r="DS75" i="76"/>
  <c r="DU75" i="76" s="1"/>
  <c r="DW75" i="76"/>
  <c r="M77" i="76"/>
  <c r="FV67" i="7" s="1"/>
  <c r="O77" i="76"/>
  <c r="FX67" i="7" s="1"/>
  <c r="AB78" i="76"/>
  <c r="Y78" i="76"/>
  <c r="Z78" i="76" s="1"/>
  <c r="EU78" i="76"/>
  <c r="EL68" i="7" s="1"/>
  <c r="DW78" i="76"/>
  <c r="DS78" i="76"/>
  <c r="DU78" i="76" s="1"/>
  <c r="Y80" i="76"/>
  <c r="AA80" i="76" s="1"/>
  <c r="AC80" i="76"/>
  <c r="EH81" i="76"/>
  <c r="EE71" i="7" s="1"/>
  <c r="O81" i="76"/>
  <c r="FX71" i="7" s="1"/>
  <c r="M81" i="76"/>
  <c r="FV71" i="7" s="1"/>
  <c r="AM89" i="76"/>
  <c r="AN89" i="76" s="1"/>
  <c r="AP89" i="76"/>
  <c r="FI89" i="76"/>
  <c r="ET79" i="7" s="1"/>
  <c r="DE70" i="76"/>
  <c r="DG70" i="76" s="1"/>
  <c r="AM71" i="76"/>
  <c r="AO71" i="76" s="1"/>
  <c r="BC71" i="76"/>
  <c r="CQ71" i="76"/>
  <c r="CS71" i="76" s="1"/>
  <c r="GL72" i="76"/>
  <c r="FK62" i="7" s="1"/>
  <c r="EV72" i="76"/>
  <c r="EM62" i="7" s="1"/>
  <c r="Y73" i="76"/>
  <c r="AA73" i="76" s="1"/>
  <c r="CC73" i="76"/>
  <c r="CE73" i="76" s="1"/>
  <c r="FW73" i="76"/>
  <c r="FB63" i="7" s="1"/>
  <c r="L74" i="76"/>
  <c r="FU64" i="7" s="1"/>
  <c r="EG74" i="76"/>
  <c r="ED64" i="7" s="1"/>
  <c r="Y75" i="76"/>
  <c r="AA75" i="76" s="1"/>
  <c r="CC75" i="76"/>
  <c r="CE75" i="76" s="1"/>
  <c r="GL75" i="76"/>
  <c r="FK65" i="7" s="1"/>
  <c r="M76" i="76"/>
  <c r="FV66" i="7" s="1"/>
  <c r="AM76" i="76"/>
  <c r="BO76" i="76"/>
  <c r="FW76" i="76"/>
  <c r="FB66" i="7" s="1"/>
  <c r="CQ76" i="76"/>
  <c r="CR76" i="76" s="1"/>
  <c r="DS76" i="76"/>
  <c r="DV76" i="76"/>
  <c r="FI76" i="76"/>
  <c r="ET66" i="7" s="1"/>
  <c r="Y77" i="76"/>
  <c r="GL77" i="76"/>
  <c r="FK67" i="7" s="1"/>
  <c r="CC77" i="76"/>
  <c r="CE77" i="76" s="1"/>
  <c r="EV78" i="76"/>
  <c r="EM68" i="7" s="1"/>
  <c r="Y79" i="76"/>
  <c r="Z79" i="76" s="1"/>
  <c r="EU79" i="76"/>
  <c r="EL69" i="7" s="1"/>
  <c r="AB79" i="76"/>
  <c r="CC79" i="76"/>
  <c r="CD79" i="76" s="1"/>
  <c r="CF79" i="76"/>
  <c r="AQ80" i="76"/>
  <c r="AO80" i="76"/>
  <c r="AC81" i="76"/>
  <c r="CG81" i="76"/>
  <c r="EV81" i="76"/>
  <c r="EM71" i="7" s="1"/>
  <c r="CG82" i="76"/>
  <c r="FJ82" i="76"/>
  <c r="EU72" i="7" s="1"/>
  <c r="BO83" i="76"/>
  <c r="DV84" i="76"/>
  <c r="DS84" i="76"/>
  <c r="DT84" i="76" s="1"/>
  <c r="K85" i="76"/>
  <c r="M85" i="76" s="1"/>
  <c r="FV75" i="7" s="1"/>
  <c r="O85" i="76"/>
  <c r="FX75" i="7" s="1"/>
  <c r="BO85" i="76"/>
  <c r="BS85" i="76"/>
  <c r="DS85" i="76"/>
  <c r="DU85" i="76" s="1"/>
  <c r="DW85" i="76"/>
  <c r="O88" i="76"/>
  <c r="FX78" i="7" s="1"/>
  <c r="EH88" i="76"/>
  <c r="EE78" i="7" s="1"/>
  <c r="CF92" i="76"/>
  <c r="CC92" i="76"/>
  <c r="CD92" i="76" s="1"/>
  <c r="FI92" i="76"/>
  <c r="ET82" i="7" s="1"/>
  <c r="K97" i="76"/>
  <c r="L97" i="76" s="1"/>
  <c r="FU87" i="7" s="1"/>
  <c r="O97" i="76"/>
  <c r="FX87" i="7" s="1"/>
  <c r="AO53" i="76"/>
  <c r="L70" i="76"/>
  <c r="FU60" i="7" s="1"/>
  <c r="AM72" i="76"/>
  <c r="AN72" i="76" s="1"/>
  <c r="BO72" i="76"/>
  <c r="CQ72" i="76"/>
  <c r="CR72" i="76" s="1"/>
  <c r="DS72" i="76"/>
  <c r="DT72" i="76" s="1"/>
  <c r="Z73" i="76"/>
  <c r="FX73" i="76"/>
  <c r="FC63" i="7" s="1"/>
  <c r="EU73" i="76"/>
  <c r="EL63" i="7" s="1"/>
  <c r="FI73" i="76"/>
  <c r="ET63" i="7" s="1"/>
  <c r="M74" i="76"/>
  <c r="FV64" i="7" s="1"/>
  <c r="AM74" i="76"/>
  <c r="AO74" i="76" s="1"/>
  <c r="CQ74" i="76"/>
  <c r="CS74" i="76" s="1"/>
  <c r="EH76" i="76"/>
  <c r="EE66" i="7" s="1"/>
  <c r="O76" i="76"/>
  <c r="FX66" i="7" s="1"/>
  <c r="N76" i="76"/>
  <c r="FW66" i="7" s="1"/>
  <c r="FJ76" i="76"/>
  <c r="EU66" i="7" s="1"/>
  <c r="AQ76" i="76"/>
  <c r="AP76" i="76"/>
  <c r="BS76" i="76"/>
  <c r="BR76" i="76"/>
  <c r="CU76" i="76"/>
  <c r="CT76" i="76"/>
  <c r="BE77" i="76"/>
  <c r="FJ78" i="76"/>
  <c r="EU68" i="7" s="1"/>
  <c r="AQ78" i="76"/>
  <c r="GK78" i="76"/>
  <c r="FJ68" i="7" s="1"/>
  <c r="BD78" i="76"/>
  <c r="BA78" i="76"/>
  <c r="FX78" i="76"/>
  <c r="FC68" i="7" s="1"/>
  <c r="CU78" i="76"/>
  <c r="DH78" i="76"/>
  <c r="DE78" i="76"/>
  <c r="FI79" i="76"/>
  <c r="ET69" i="7" s="1"/>
  <c r="M80" i="76"/>
  <c r="FV70" i="7" s="1"/>
  <c r="EH80" i="76"/>
  <c r="EE70" i="7" s="1"/>
  <c r="O80" i="76"/>
  <c r="FX70" i="7" s="1"/>
  <c r="BA80" i="76"/>
  <c r="DW80" i="76"/>
  <c r="AQ81" i="76"/>
  <c r="FJ81" i="76"/>
  <c r="EU71" i="7" s="1"/>
  <c r="CU81" i="76"/>
  <c r="FX81" i="76"/>
  <c r="FC71" i="7" s="1"/>
  <c r="CU82" i="76"/>
  <c r="L83" i="76"/>
  <c r="FU73" i="7" s="1"/>
  <c r="EG83" i="76"/>
  <c r="ED73" i="7" s="1"/>
  <c r="AM83" i="76"/>
  <c r="AN83" i="76" s="1"/>
  <c r="EG84" i="76"/>
  <c r="ED74" i="7" s="1"/>
  <c r="N84" i="76"/>
  <c r="FW74" i="7" s="1"/>
  <c r="L84" i="76"/>
  <c r="FU74" i="7" s="1"/>
  <c r="BR84" i="76"/>
  <c r="BO84" i="76"/>
  <c r="BP84" i="76" s="1"/>
  <c r="FI84" i="76"/>
  <c r="ET74" i="7" s="1"/>
  <c r="EH86" i="76"/>
  <c r="EE76" i="7" s="1"/>
  <c r="EU87" i="76"/>
  <c r="EL77" i="7" s="1"/>
  <c r="Y87" i="76"/>
  <c r="AA87" i="76" s="1"/>
  <c r="AB87" i="76"/>
  <c r="CU87" i="76"/>
  <c r="FX87" i="76"/>
  <c r="FC77" i="7" s="1"/>
  <c r="BR88" i="76"/>
  <c r="BO88" i="76"/>
  <c r="BQ88" i="76" s="1"/>
  <c r="CU90" i="76"/>
  <c r="CQ90" i="76"/>
  <c r="CR90" i="76" s="1"/>
  <c r="DI91" i="76"/>
  <c r="AM94" i="76"/>
  <c r="AO94" i="76" s="1"/>
  <c r="AQ94" i="76"/>
  <c r="FJ94" i="76"/>
  <c r="EU84" i="7" s="1"/>
  <c r="GL94" i="76"/>
  <c r="FK84" i="7" s="1"/>
  <c r="FX94" i="76"/>
  <c r="FC84" i="7" s="1"/>
  <c r="CQ94" i="76"/>
  <c r="CR94" i="76" s="1"/>
  <c r="CU94" i="76"/>
  <c r="EH72" i="76"/>
  <c r="EE62" i="7" s="1"/>
  <c r="EG73" i="76"/>
  <c r="ED63" i="7" s="1"/>
  <c r="L73" i="76"/>
  <c r="FU63" i="7" s="1"/>
  <c r="L75" i="76"/>
  <c r="FU65" i="7" s="1"/>
  <c r="EV75" i="76"/>
  <c r="EM65" i="7" s="1"/>
  <c r="EU76" i="76"/>
  <c r="EL66" i="7" s="1"/>
  <c r="Y76" i="76"/>
  <c r="AA76" i="76" s="1"/>
  <c r="BA76" i="76"/>
  <c r="BC76" i="76" s="1"/>
  <c r="CC76" i="76"/>
  <c r="DE76" i="76"/>
  <c r="GK76" i="76"/>
  <c r="FJ66" i="7" s="1"/>
  <c r="EV77" i="76"/>
  <c r="EM67" i="7" s="1"/>
  <c r="FP67" i="7"/>
  <c r="FJ79" i="76"/>
  <c r="EU69" i="7" s="1"/>
  <c r="BD79" i="76"/>
  <c r="GK79" i="76"/>
  <c r="FJ69" i="7" s="1"/>
  <c r="BA79" i="76"/>
  <c r="BB79" i="76" s="1"/>
  <c r="DH79" i="76"/>
  <c r="DE79" i="76"/>
  <c r="DF79" i="76" s="1"/>
  <c r="CU80" i="76"/>
  <c r="FX80" i="76"/>
  <c r="FC70" i="7" s="1"/>
  <c r="BE81" i="76"/>
  <c r="GL81" i="76"/>
  <c r="FK71" i="7" s="1"/>
  <c r="DI81" i="76"/>
  <c r="CC82" i="76"/>
  <c r="CE82" i="76" s="1"/>
  <c r="DS83" i="76"/>
  <c r="EJ73" i="7"/>
  <c r="FI85" i="76"/>
  <c r="ET75" i="7" s="1"/>
  <c r="AP85" i="76"/>
  <c r="AM85" i="76"/>
  <c r="AN85" i="76" s="1"/>
  <c r="FW85" i="76"/>
  <c r="FB75" i="7" s="1"/>
  <c r="CT85" i="76"/>
  <c r="CQ85" i="76"/>
  <c r="CR85" i="76" s="1"/>
  <c r="CC86" i="76"/>
  <c r="CD86" i="76" s="1"/>
  <c r="CG86" i="76"/>
  <c r="FJ87" i="76"/>
  <c r="EU77" i="7" s="1"/>
  <c r="DV88" i="76"/>
  <c r="DS88" i="76"/>
  <c r="DU88" i="76" s="1"/>
  <c r="O89" i="76"/>
  <c r="FX79" i="7" s="1"/>
  <c r="K89" i="76"/>
  <c r="M89" i="76" s="1"/>
  <c r="FV79" i="7" s="1"/>
  <c r="BS89" i="76"/>
  <c r="BO89" i="76"/>
  <c r="DW89" i="76"/>
  <c r="DS89" i="76"/>
  <c r="DU89" i="76" s="1"/>
  <c r="EV90" i="76"/>
  <c r="EM80" i="7" s="1"/>
  <c r="Y90" i="76"/>
  <c r="Z90" i="76" s="1"/>
  <c r="AC90" i="76"/>
  <c r="AB92" i="76"/>
  <c r="Y92" i="76"/>
  <c r="Z92" i="76" s="1"/>
  <c r="EU92" i="76"/>
  <c r="EL82" i="7" s="1"/>
  <c r="FP82" i="7"/>
  <c r="DW76" i="76"/>
  <c r="EG77" i="76"/>
  <c r="ED67" i="7" s="1"/>
  <c r="CR78" i="76"/>
  <c r="FW78" i="76"/>
  <c r="FB68" i="7" s="1"/>
  <c r="GL80" i="76"/>
  <c r="FK70" i="7" s="1"/>
  <c r="AM81" i="76"/>
  <c r="AN81" i="76" s="1"/>
  <c r="BO81" i="76"/>
  <c r="BP81" i="76" s="1"/>
  <c r="CQ81" i="76"/>
  <c r="DS81" i="76"/>
  <c r="EV82" i="76"/>
  <c r="EM72" i="7" s="1"/>
  <c r="AC82" i="76"/>
  <c r="BE82" i="76"/>
  <c r="DW82" i="76"/>
  <c r="EH82" i="76"/>
  <c r="EE72" i="7" s="1"/>
  <c r="GL82" i="76"/>
  <c r="FK72" i="7" s="1"/>
  <c r="EH83" i="76"/>
  <c r="EE73" i="7" s="1"/>
  <c r="O83" i="76"/>
  <c r="FX73" i="7" s="1"/>
  <c r="EU83" i="76"/>
  <c r="EL73" i="7" s="1"/>
  <c r="Y83" i="76"/>
  <c r="AB83" i="76"/>
  <c r="BS83" i="76"/>
  <c r="CC83" i="76"/>
  <c r="CF83" i="76"/>
  <c r="DW83" i="76"/>
  <c r="O84" i="76"/>
  <c r="FX74" i="7" s="1"/>
  <c r="EH84" i="76"/>
  <c r="EE74" i="7" s="1"/>
  <c r="M84" i="76"/>
  <c r="FV74" i="7" s="1"/>
  <c r="AQ84" i="76"/>
  <c r="FX84" i="76"/>
  <c r="FC74" i="7" s="1"/>
  <c r="CU84" i="76"/>
  <c r="DE84" i="76"/>
  <c r="DG84" i="76" s="1"/>
  <c r="FJ84" i="76"/>
  <c r="EU74" i="7" s="1"/>
  <c r="GK85" i="76"/>
  <c r="FJ75" i="7" s="1"/>
  <c r="BA85" i="76"/>
  <c r="BD85" i="76"/>
  <c r="DH85" i="76"/>
  <c r="FX86" i="76"/>
  <c r="FC76" i="7" s="1"/>
  <c r="CQ86" i="76"/>
  <c r="CR86" i="76" s="1"/>
  <c r="EH87" i="76"/>
  <c r="EE77" i="7" s="1"/>
  <c r="O87" i="76"/>
  <c r="FX77" i="7" s="1"/>
  <c r="M87" i="76"/>
  <c r="FV77" i="7" s="1"/>
  <c r="BA87" i="76"/>
  <c r="GK87" i="76"/>
  <c r="FJ77" i="7" s="1"/>
  <c r="BD87" i="76"/>
  <c r="DW87" i="76"/>
  <c r="AC88" i="76"/>
  <c r="CG88" i="76"/>
  <c r="FJ89" i="76"/>
  <c r="EU79" i="7" s="1"/>
  <c r="FJ90" i="76"/>
  <c r="EU80" i="7" s="1"/>
  <c r="BO90" i="76"/>
  <c r="BP90" i="76" s="1"/>
  <c r="BS90" i="76"/>
  <c r="BA91" i="76"/>
  <c r="BC91" i="76" s="1"/>
  <c r="GK91" i="76"/>
  <c r="FJ81" i="7" s="1"/>
  <c r="BD91" i="76"/>
  <c r="AC96" i="76"/>
  <c r="EV96" i="76"/>
  <c r="EM86" i="7" s="1"/>
  <c r="CQ83" i="76"/>
  <c r="CS83" i="76" s="1"/>
  <c r="CT83" i="76"/>
  <c r="AB84" i="76"/>
  <c r="Y84" i="76"/>
  <c r="AA84" i="76" s="1"/>
  <c r="GK84" i="76"/>
  <c r="FJ74" i="7" s="1"/>
  <c r="BD84" i="76"/>
  <c r="CF84" i="76"/>
  <c r="CC84" i="76"/>
  <c r="EG85" i="76"/>
  <c r="ED75" i="7" s="1"/>
  <c r="EV86" i="76"/>
  <c r="EM76" i="7" s="1"/>
  <c r="Y86" i="76"/>
  <c r="AA86" i="76" s="1"/>
  <c r="AC86" i="76"/>
  <c r="AQ87" i="76"/>
  <c r="CC87" i="76"/>
  <c r="CE87" i="76" s="1"/>
  <c r="CF87" i="76"/>
  <c r="L90" i="76"/>
  <c r="FU80" i="7" s="1"/>
  <c r="CC90" i="76"/>
  <c r="K91" i="76"/>
  <c r="L91" i="76" s="1"/>
  <c r="FU81" i="7" s="1"/>
  <c r="GL91" i="76"/>
  <c r="FK81" i="7" s="1"/>
  <c r="BE91" i="76"/>
  <c r="CC91" i="76"/>
  <c r="CE91" i="76" s="1"/>
  <c r="CF91" i="76"/>
  <c r="GK92" i="76"/>
  <c r="FJ82" i="7" s="1"/>
  <c r="BD92" i="76"/>
  <c r="BA92" i="76"/>
  <c r="DH92" i="76"/>
  <c r="DE92" i="76"/>
  <c r="DF92" i="76" s="1"/>
  <c r="EH98" i="76"/>
  <c r="EE88" i="7" s="1"/>
  <c r="O98" i="76"/>
  <c r="FX88" i="7" s="1"/>
  <c r="M98" i="76"/>
  <c r="FV88" i="7" s="1"/>
  <c r="EG78" i="76"/>
  <c r="ED68" i="7" s="1"/>
  <c r="N78" i="76"/>
  <c r="FW68" i="7" s="1"/>
  <c r="L78" i="76"/>
  <c r="FU68" i="7" s="1"/>
  <c r="FW79" i="76"/>
  <c r="FB69" i="7" s="1"/>
  <c r="L80" i="76"/>
  <c r="FU70" i="7" s="1"/>
  <c r="EV80" i="76"/>
  <c r="EM70" i="7" s="1"/>
  <c r="EU81" i="76"/>
  <c r="EL71" i="7" s="1"/>
  <c r="Y81" i="76"/>
  <c r="Z81" i="76" s="1"/>
  <c r="BA81" i="76"/>
  <c r="CC81" i="76"/>
  <c r="DE81" i="76"/>
  <c r="DF81" i="76" s="1"/>
  <c r="Y82" i="76"/>
  <c r="AA82" i="76" s="1"/>
  <c r="AM82" i="76"/>
  <c r="AQ82" i="76"/>
  <c r="BA82" i="76"/>
  <c r="BC82" i="76" s="1"/>
  <c r="M83" i="76"/>
  <c r="FV73" i="7" s="1"/>
  <c r="AQ83" i="76"/>
  <c r="BA83" i="76"/>
  <c r="BD83" i="76"/>
  <c r="CU83" i="76"/>
  <c r="DE83" i="76"/>
  <c r="DF83" i="76" s="1"/>
  <c r="DH83" i="76"/>
  <c r="FW83" i="76"/>
  <c r="FB73" i="7" s="1"/>
  <c r="GL84" i="76"/>
  <c r="FK74" i="7" s="1"/>
  <c r="CG84" i="76"/>
  <c r="CQ84" i="76"/>
  <c r="CS84" i="76" s="1"/>
  <c r="EU84" i="76"/>
  <c r="EL74" i="7" s="1"/>
  <c r="EU85" i="76"/>
  <c r="EL75" i="7" s="1"/>
  <c r="L86" i="76"/>
  <c r="FU76" i="7" s="1"/>
  <c r="AM86" i="76"/>
  <c r="AN86" i="76" s="1"/>
  <c r="BS87" i="76"/>
  <c r="DE87" i="76"/>
  <c r="DH87" i="76"/>
  <c r="EG88" i="76"/>
  <c r="ED78" i="7" s="1"/>
  <c r="N88" i="76"/>
  <c r="FW78" i="7" s="1"/>
  <c r="L88" i="76"/>
  <c r="FU78" i="7" s="1"/>
  <c r="GK88" i="76"/>
  <c r="FJ78" i="7" s="1"/>
  <c r="BD88" i="76"/>
  <c r="EV88" i="76"/>
  <c r="EM78" i="7" s="1"/>
  <c r="FJ88" i="76"/>
  <c r="EU78" i="7" s="1"/>
  <c r="GL88" i="76"/>
  <c r="FK78" i="7" s="1"/>
  <c r="EU89" i="76"/>
  <c r="EL79" i="7" s="1"/>
  <c r="AB89" i="76"/>
  <c r="GK89" i="76"/>
  <c r="FJ79" i="7" s="1"/>
  <c r="CF89" i="76"/>
  <c r="EH90" i="76"/>
  <c r="EE80" i="7" s="1"/>
  <c r="O90" i="76"/>
  <c r="FX80" i="7" s="1"/>
  <c r="AM90" i="76"/>
  <c r="AN90" i="76" s="1"/>
  <c r="DS90" i="76"/>
  <c r="DU90" i="76" s="1"/>
  <c r="DW90" i="76"/>
  <c r="DE91" i="76"/>
  <c r="DG91" i="76" s="1"/>
  <c r="DH91" i="76"/>
  <c r="FJ85" i="76"/>
  <c r="EU75" i="7" s="1"/>
  <c r="GL87" i="76"/>
  <c r="FK77" i="7" s="1"/>
  <c r="BE87" i="76"/>
  <c r="EV87" i="76"/>
  <c r="EM77" i="7" s="1"/>
  <c r="FW88" i="76"/>
  <c r="FB78" i="7" s="1"/>
  <c r="EG89" i="76"/>
  <c r="ED79" i="7" s="1"/>
  <c r="GL90" i="76"/>
  <c r="FK80" i="7" s="1"/>
  <c r="AM91" i="76"/>
  <c r="BO91" i="76"/>
  <c r="CQ91" i="76"/>
  <c r="CR91" i="76" s="1"/>
  <c r="DS91" i="76"/>
  <c r="DT91" i="76" s="1"/>
  <c r="EG91" i="76"/>
  <c r="ED81" i="7" s="1"/>
  <c r="DT93" i="76"/>
  <c r="FH83" i="7"/>
  <c r="GL96" i="76"/>
  <c r="FK86" i="7" s="1"/>
  <c r="CG96" i="76"/>
  <c r="DV96" i="76"/>
  <c r="DS96" i="76"/>
  <c r="DT96" i="76" s="1"/>
  <c r="CG97" i="76"/>
  <c r="CC97" i="76"/>
  <c r="CE97" i="76" s="1"/>
  <c r="BS98" i="76"/>
  <c r="BO98" i="76"/>
  <c r="BQ98" i="76" s="1"/>
  <c r="EV99" i="76"/>
  <c r="EM89" i="7" s="1"/>
  <c r="Y99" i="76"/>
  <c r="AA99" i="76" s="1"/>
  <c r="AC99" i="76"/>
  <c r="AO79" i="76"/>
  <c r="AN80" i="76"/>
  <c r="AC83" i="76"/>
  <c r="GL83" i="76"/>
  <c r="FK73" i="7" s="1"/>
  <c r="BE83" i="76"/>
  <c r="CG83" i="76"/>
  <c r="DI83" i="76"/>
  <c r="EV83" i="76"/>
  <c r="EM73" i="7" s="1"/>
  <c r="FW84" i="76"/>
  <c r="FB74" i="7" s="1"/>
  <c r="AB85" i="76"/>
  <c r="O86" i="76"/>
  <c r="FX76" i="7" s="1"/>
  <c r="AM87" i="76"/>
  <c r="BO87" i="76"/>
  <c r="BP87" i="76" s="1"/>
  <c r="CQ87" i="76"/>
  <c r="CR87" i="76" s="1"/>
  <c r="DS87" i="76"/>
  <c r="DT87" i="76" s="1"/>
  <c r="CD88" i="76"/>
  <c r="FX88" i="76"/>
  <c r="FC78" i="7" s="1"/>
  <c r="EU88" i="76"/>
  <c r="EL78" i="7" s="1"/>
  <c r="FI88" i="76"/>
  <c r="ET78" i="7" s="1"/>
  <c r="EH91" i="76"/>
  <c r="EE81" i="7" s="1"/>
  <c r="O91" i="76"/>
  <c r="FX81" i="7" s="1"/>
  <c r="AQ91" i="76"/>
  <c r="AP91" i="76"/>
  <c r="BS91" i="76"/>
  <c r="BR91" i="76"/>
  <c r="CU91" i="76"/>
  <c r="CT91" i="76"/>
  <c r="DW91" i="76"/>
  <c r="DV91" i="76"/>
  <c r="FI91" i="76"/>
  <c r="ET81" i="7" s="1"/>
  <c r="FW91" i="76"/>
  <c r="FB81" i="7" s="1"/>
  <c r="EG92" i="76"/>
  <c r="ED82" i="7" s="1"/>
  <c r="N92" i="76"/>
  <c r="FW82" i="7" s="1"/>
  <c r="L92" i="76"/>
  <c r="FU82" i="7" s="1"/>
  <c r="CT92" i="76"/>
  <c r="FW92" i="76"/>
  <c r="FB82" i="7" s="1"/>
  <c r="FJ93" i="76"/>
  <c r="EU83" i="7" s="1"/>
  <c r="EH95" i="76"/>
  <c r="EE85" i="7" s="1"/>
  <c r="O95" i="76"/>
  <c r="FX85" i="7" s="1"/>
  <c r="M95" i="76"/>
  <c r="FV85" i="7" s="1"/>
  <c r="AQ95" i="76"/>
  <c r="FJ95" i="76"/>
  <c r="EU85" i="7" s="1"/>
  <c r="BS95" i="76"/>
  <c r="CU95" i="76"/>
  <c r="FX95" i="76"/>
  <c r="FC85" i="7" s="1"/>
  <c r="DW95" i="76"/>
  <c r="EG96" i="76"/>
  <c r="ED86" i="7" s="1"/>
  <c r="N96" i="76"/>
  <c r="FW86" i="7" s="1"/>
  <c r="L96" i="76"/>
  <c r="FU86" i="7" s="1"/>
  <c r="FJ100" i="76"/>
  <c r="EU90" i="7" s="1"/>
  <c r="AC104" i="76"/>
  <c r="EV104" i="76"/>
  <c r="EM94" i="7" s="1"/>
  <c r="Y104" i="76"/>
  <c r="AA104" i="76" s="1"/>
  <c r="FJ92" i="76"/>
  <c r="EU82" i="7" s="1"/>
  <c r="FX92" i="76"/>
  <c r="FC82" i="7" s="1"/>
  <c r="ER83" i="7"/>
  <c r="BE97" i="76"/>
  <c r="BA97" i="76"/>
  <c r="BB97" i="76" s="1"/>
  <c r="DI97" i="76"/>
  <c r="DE97" i="76"/>
  <c r="DG97" i="76" s="1"/>
  <c r="EV94" i="76"/>
  <c r="EM84" i="7" s="1"/>
  <c r="BA94" i="76"/>
  <c r="BC94" i="76" s="1"/>
  <c r="DE94" i="76"/>
  <c r="EU95" i="76"/>
  <c r="EL85" i="7" s="1"/>
  <c r="Y95" i="76"/>
  <c r="BA95" i="76"/>
  <c r="BB95" i="76" s="1"/>
  <c r="CC95" i="76"/>
  <c r="CD95" i="76" s="1"/>
  <c r="DE95" i="76"/>
  <c r="M96" i="76"/>
  <c r="FV86" i="7" s="1"/>
  <c r="AM96" i="76"/>
  <c r="AO96" i="76" s="1"/>
  <c r="GK96" i="76"/>
  <c r="FJ86" i="7" s="1"/>
  <c r="BD96" i="76"/>
  <c r="EH96" i="76"/>
  <c r="EE86" i="7" s="1"/>
  <c r="FJ97" i="76"/>
  <c r="EU87" i="7" s="1"/>
  <c r="EU97" i="76"/>
  <c r="EL87" i="7" s="1"/>
  <c r="EV98" i="76"/>
  <c r="EM88" i="7" s="1"/>
  <c r="AC98" i="76"/>
  <c r="Y98" i="76"/>
  <c r="AA98" i="76" s="1"/>
  <c r="CG98" i="76"/>
  <c r="CC98" i="76"/>
  <c r="CE98" i="76" s="1"/>
  <c r="DE98" i="76"/>
  <c r="DH98" i="76"/>
  <c r="EG99" i="76"/>
  <c r="ED89" i="7" s="1"/>
  <c r="N99" i="76"/>
  <c r="FW89" i="7" s="1"/>
  <c r="L99" i="76"/>
  <c r="FU89" i="7" s="1"/>
  <c r="AO99" i="76"/>
  <c r="GK99" i="76"/>
  <c r="FJ89" i="7" s="1"/>
  <c r="BD99" i="76"/>
  <c r="BA99" i="76"/>
  <c r="FW100" i="76"/>
  <c r="FB90" i="7" s="1"/>
  <c r="CQ100" i="76"/>
  <c r="CR100" i="76" s="1"/>
  <c r="EG100" i="76"/>
  <c r="ED90" i="7" s="1"/>
  <c r="EV101" i="76"/>
  <c r="EM91" i="7" s="1"/>
  <c r="Y101" i="76"/>
  <c r="Z101" i="76" s="1"/>
  <c r="AC101" i="76"/>
  <c r="AC102" i="76"/>
  <c r="FX104" i="76"/>
  <c r="FC94" i="7" s="1"/>
  <c r="CU104" i="76"/>
  <c r="DE105" i="76"/>
  <c r="DG105" i="76" s="1"/>
  <c r="DH105" i="76"/>
  <c r="AC94" i="76"/>
  <c r="L95" i="76"/>
  <c r="FU85" i="7" s="1"/>
  <c r="AC95" i="76"/>
  <c r="AB95" i="76"/>
  <c r="GL95" i="76"/>
  <c r="FK85" i="7" s="1"/>
  <c r="BE95" i="76"/>
  <c r="BD95" i="76"/>
  <c r="CG95" i="76"/>
  <c r="CF95" i="76"/>
  <c r="DI95" i="76"/>
  <c r="DH95" i="76"/>
  <c r="EV95" i="76"/>
  <c r="EM85" i="7" s="1"/>
  <c r="Y96" i="76"/>
  <c r="CC96" i="76"/>
  <c r="CE96" i="76" s="1"/>
  <c r="FW96" i="76"/>
  <c r="FB86" i="7" s="1"/>
  <c r="AQ98" i="76"/>
  <c r="AM98" i="76"/>
  <c r="AO98" i="76" s="1"/>
  <c r="CU98" i="76"/>
  <c r="M99" i="76"/>
  <c r="FV89" i="7" s="1"/>
  <c r="FJ99" i="76"/>
  <c r="EU89" i="7" s="1"/>
  <c r="DH99" i="76"/>
  <c r="DE99" i="76"/>
  <c r="EZ91" i="7"/>
  <c r="GL104" i="76"/>
  <c r="FK94" i="7" s="1"/>
  <c r="BA104" i="76"/>
  <c r="BC104" i="76" s="1"/>
  <c r="BE104" i="76"/>
  <c r="EH94" i="76"/>
  <c r="EE84" i="7" s="1"/>
  <c r="AM95" i="76"/>
  <c r="AN95" i="76" s="1"/>
  <c r="BO95" i="76"/>
  <c r="BP95" i="76" s="1"/>
  <c r="CQ95" i="76"/>
  <c r="CS95" i="76" s="1"/>
  <c r="DS95" i="76"/>
  <c r="DU95" i="76" s="1"/>
  <c r="FX96" i="76"/>
  <c r="FC86" i="7" s="1"/>
  <c r="EU96" i="76"/>
  <c r="EL86" i="7" s="1"/>
  <c r="FI96" i="76"/>
  <c r="ET86" i="7" s="1"/>
  <c r="GL98" i="76"/>
  <c r="FK88" i="7" s="1"/>
  <c r="BE98" i="76"/>
  <c r="BA98" i="76"/>
  <c r="BC98" i="76" s="1"/>
  <c r="DW98" i="76"/>
  <c r="EU100" i="76"/>
  <c r="EL90" i="7" s="1"/>
  <c r="Y100" i="76"/>
  <c r="AA100" i="76" s="1"/>
  <c r="AB100" i="76"/>
  <c r="EH101" i="76"/>
  <c r="EE91" i="7" s="1"/>
  <c r="DS102" i="76"/>
  <c r="DU102" i="76" s="1"/>
  <c r="DW102" i="76"/>
  <c r="FH88" i="7"/>
  <c r="AN99" i="76"/>
  <c r="CC99" i="76"/>
  <c r="CE99" i="76" s="1"/>
  <c r="CR99" i="76"/>
  <c r="FW99" i="76"/>
  <c r="FB89" i="7" s="1"/>
  <c r="L100" i="76"/>
  <c r="FU90" i="7" s="1"/>
  <c r="BD100" i="76"/>
  <c r="DH100" i="76"/>
  <c r="BO102" i="76"/>
  <c r="BQ102" i="76" s="1"/>
  <c r="BS102" i="76"/>
  <c r="EH103" i="76"/>
  <c r="EE93" i="7" s="1"/>
  <c r="O103" i="76"/>
  <c r="FX93" i="7" s="1"/>
  <c r="M103" i="76"/>
  <c r="FV93" i="7" s="1"/>
  <c r="EG105" i="76"/>
  <c r="ED95" i="7" s="1"/>
  <c r="DV109" i="76"/>
  <c r="DS109" i="76"/>
  <c r="DT109" i="76" s="1"/>
  <c r="L98" i="76"/>
  <c r="FU88" i="7" s="1"/>
  <c r="EU98" i="76"/>
  <c r="EL88" i="7" s="1"/>
  <c r="CQ98" i="76"/>
  <c r="CR98" i="76" s="1"/>
  <c r="DS98" i="76"/>
  <c r="DT98" i="76" s="1"/>
  <c r="BO99" i="76"/>
  <c r="BQ99" i="76" s="1"/>
  <c r="FX99" i="76"/>
  <c r="FC89" i="7" s="1"/>
  <c r="DS99" i="76"/>
  <c r="EU99" i="76"/>
  <c r="EL89" i="7" s="1"/>
  <c r="FI99" i="76"/>
  <c r="ET89" i="7" s="1"/>
  <c r="M100" i="76"/>
  <c r="FV90" i="7" s="1"/>
  <c r="AM100" i="76"/>
  <c r="AN100" i="76" s="1"/>
  <c r="BO100" i="76"/>
  <c r="BP100" i="76" s="1"/>
  <c r="BR100" i="76"/>
  <c r="DS100" i="76"/>
  <c r="DT100" i="76" s="1"/>
  <c r="DV100" i="76"/>
  <c r="FI100" i="76"/>
  <c r="ET90" i="7" s="1"/>
  <c r="O101" i="76"/>
  <c r="FX91" i="7" s="1"/>
  <c r="L102" i="76"/>
  <c r="FU92" i="7" s="1"/>
  <c r="Y102" i="76"/>
  <c r="Z102" i="76" s="1"/>
  <c r="FX102" i="76"/>
  <c r="FC92" i="7" s="1"/>
  <c r="CQ103" i="76"/>
  <c r="CS103" i="76" s="1"/>
  <c r="CT103" i="76"/>
  <c r="FW103" i="76"/>
  <c r="FB93" i="7" s="1"/>
  <c r="BS108" i="76"/>
  <c r="BO108" i="76"/>
  <c r="CF100" i="76"/>
  <c r="FJ101" i="76"/>
  <c r="EU91" i="7" s="1"/>
  <c r="EH102" i="76"/>
  <c r="EE92" i="7" s="1"/>
  <c r="FJ102" i="76"/>
  <c r="EU92" i="7" s="1"/>
  <c r="CG103" i="76"/>
  <c r="DW103" i="76"/>
  <c r="EG101" i="76"/>
  <c r="ED91" i="7" s="1"/>
  <c r="FX101" i="76"/>
  <c r="FC91" i="7" s="1"/>
  <c r="GK101" i="76"/>
  <c r="FJ91" i="7" s="1"/>
  <c r="M102" i="76"/>
  <c r="FV92" i="7" s="1"/>
  <c r="EV102" i="76"/>
  <c r="EM92" i="7" s="1"/>
  <c r="AB102" i="76"/>
  <c r="AQ102" i="76"/>
  <c r="BA102" i="76"/>
  <c r="CU102" i="76"/>
  <c r="EU102" i="76"/>
  <c r="EL92" i="7" s="1"/>
  <c r="AQ103" i="76"/>
  <c r="FJ103" i="76"/>
  <c r="EU93" i="7" s="1"/>
  <c r="AP103" i="76"/>
  <c r="DI103" i="76"/>
  <c r="DS103" i="76"/>
  <c r="DT103" i="76" s="1"/>
  <c r="CT104" i="76"/>
  <c r="CQ104" i="76"/>
  <c r="CR104" i="76" s="1"/>
  <c r="FW104" i="76"/>
  <c r="FB94" i="7" s="1"/>
  <c r="Y106" i="76"/>
  <c r="AA106" i="76" s="1"/>
  <c r="FX106" i="76"/>
  <c r="FC96" i="7" s="1"/>
  <c r="CU106" i="76"/>
  <c r="CQ106" i="76"/>
  <c r="FJ106" i="76"/>
  <c r="EU96" i="7" s="1"/>
  <c r="EU107" i="76"/>
  <c r="EL97" i="7" s="1"/>
  <c r="Y107" i="76"/>
  <c r="Z107" i="76" s="1"/>
  <c r="AB107" i="76"/>
  <c r="AQ107" i="76"/>
  <c r="FJ107" i="76"/>
  <c r="EU97" i="7" s="1"/>
  <c r="CC107" i="76"/>
  <c r="CE107" i="76" s="1"/>
  <c r="CF107" i="76"/>
  <c r="CU107" i="76"/>
  <c r="FX107" i="76"/>
  <c r="FC97" i="7" s="1"/>
  <c r="GL108" i="76"/>
  <c r="FK98" i="7" s="1"/>
  <c r="O102" i="76"/>
  <c r="FX92" i="7" s="1"/>
  <c r="AN103" i="76"/>
  <c r="GL103" i="76"/>
  <c r="FK93" i="7" s="1"/>
  <c r="BE103" i="76"/>
  <c r="BO103" i="76"/>
  <c r="BP103" i="76" s="1"/>
  <c r="CU103" i="76"/>
  <c r="FX103" i="76"/>
  <c r="FC93" i="7" s="1"/>
  <c r="FI103" i="76"/>
  <c r="ET93" i="7" s="1"/>
  <c r="EG104" i="76"/>
  <c r="ED94" i="7" s="1"/>
  <c r="N104" i="76"/>
  <c r="FW94" i="7" s="1"/>
  <c r="L104" i="76"/>
  <c r="FU94" i="7" s="1"/>
  <c r="AP104" i="76"/>
  <c r="AM104" i="76"/>
  <c r="AN104" i="76" s="1"/>
  <c r="CC104" i="76"/>
  <c r="CD104" i="76" s="1"/>
  <c r="BS106" i="76"/>
  <c r="BO106" i="76"/>
  <c r="BQ106" i="76" s="1"/>
  <c r="EH107" i="76"/>
  <c r="EE97" i="7" s="1"/>
  <c r="O107" i="76"/>
  <c r="FX97" i="7" s="1"/>
  <c r="M107" i="76"/>
  <c r="FV97" i="7" s="1"/>
  <c r="BA107" i="76"/>
  <c r="BB107" i="76" s="1"/>
  <c r="BD107" i="76"/>
  <c r="GK107" i="76"/>
  <c r="FJ97" i="7" s="1"/>
  <c r="BS107" i="76"/>
  <c r="DE107" i="76"/>
  <c r="DG107" i="76" s="1"/>
  <c r="DH107" i="76"/>
  <c r="FW107" i="76"/>
  <c r="FB97" i="7" s="1"/>
  <c r="DW107" i="76"/>
  <c r="DW108" i="76"/>
  <c r="DS108" i="76"/>
  <c r="DU108" i="76" s="1"/>
  <c r="BA110" i="76"/>
  <c r="BB110" i="76" s="1"/>
  <c r="BE110" i="76"/>
  <c r="DE110" i="76"/>
  <c r="DG110" i="76" s="1"/>
  <c r="DI110" i="76"/>
  <c r="AC103" i="76"/>
  <c r="EH104" i="76"/>
  <c r="EE94" i="7" s="1"/>
  <c r="FJ104" i="76"/>
  <c r="EU94" i="7" s="1"/>
  <c r="AQ104" i="76"/>
  <c r="FJ105" i="76"/>
  <c r="EU95" i="7" s="1"/>
  <c r="GK105" i="76"/>
  <c r="FJ95" i="7" s="1"/>
  <c r="BA105" i="76"/>
  <c r="BB105" i="76" s="1"/>
  <c r="BD105" i="76"/>
  <c r="O108" i="76"/>
  <c r="FX98" i="7" s="1"/>
  <c r="EH108" i="76"/>
  <c r="EE98" i="7" s="1"/>
  <c r="M108" i="76"/>
  <c r="FV98" i="7" s="1"/>
  <c r="EV108" i="76"/>
  <c r="EM98" i="7" s="1"/>
  <c r="FI109" i="76"/>
  <c r="ET99" i="7" s="1"/>
  <c r="EU105" i="76"/>
  <c r="EL95" i="7" s="1"/>
  <c r="AB105" i="76"/>
  <c r="Y105" i="76"/>
  <c r="Z105" i="76" s="1"/>
  <c r="CF105" i="76"/>
  <c r="CC105" i="76"/>
  <c r="AQ106" i="76"/>
  <c r="FJ108" i="76"/>
  <c r="EU98" i="7" s="1"/>
  <c r="FX108" i="76"/>
  <c r="FC98" i="7" s="1"/>
  <c r="CS108" i="76"/>
  <c r="FJ109" i="76"/>
  <c r="EU99" i="7" s="1"/>
  <c r="EU103" i="76"/>
  <c r="EL93" i="7" s="1"/>
  <c r="Y103" i="76"/>
  <c r="Z103" i="76" s="1"/>
  <c r="BA103" i="76"/>
  <c r="BB103" i="76" s="1"/>
  <c r="CC103" i="76"/>
  <c r="CD103" i="76" s="1"/>
  <c r="DE103" i="76"/>
  <c r="M104" i="76"/>
  <c r="FV94" i="7" s="1"/>
  <c r="GK104" i="76"/>
  <c r="FJ94" i="7" s="1"/>
  <c r="BD104" i="76"/>
  <c r="FI105" i="76"/>
  <c r="ET95" i="7" s="1"/>
  <c r="EH106" i="76"/>
  <c r="EE96" i="7" s="1"/>
  <c r="O106" i="76"/>
  <c r="FX96" i="7" s="1"/>
  <c r="M106" i="76"/>
  <c r="FV96" i="7" s="1"/>
  <c r="GL106" i="76"/>
  <c r="FK96" i="7" s="1"/>
  <c r="DW106" i="76"/>
  <c r="Y110" i="76"/>
  <c r="AA110" i="76" s="1"/>
  <c r="AC110" i="76"/>
  <c r="CC110" i="76"/>
  <c r="CE110" i="76" s="1"/>
  <c r="CG110" i="76"/>
  <c r="FW105" i="76"/>
  <c r="FB95" i="7" s="1"/>
  <c r="L106" i="76"/>
  <c r="FU96" i="7" s="1"/>
  <c r="EV106" i="76"/>
  <c r="EM96" i="7" s="1"/>
  <c r="BA106" i="76"/>
  <c r="BC106" i="76" s="1"/>
  <c r="DT106" i="76"/>
  <c r="AM107" i="76"/>
  <c r="AN107" i="76" s="1"/>
  <c r="AP107" i="76"/>
  <c r="CQ107" i="76"/>
  <c r="CT107" i="76"/>
  <c r="EG107" i="76"/>
  <c r="ED97" i="7" s="1"/>
  <c r="AB108" i="76"/>
  <c r="Y108" i="76"/>
  <c r="Z108" i="76" s="1"/>
  <c r="GK108" i="76"/>
  <c r="FJ98" i="7" s="1"/>
  <c r="BD108" i="76"/>
  <c r="CF108" i="76"/>
  <c r="CC108" i="76"/>
  <c r="CD108" i="76" s="1"/>
  <c r="AN109" i="76"/>
  <c r="FW109" i="76"/>
  <c r="FB99" i="7" s="1"/>
  <c r="EV110" i="76"/>
  <c r="EM100" i="7" s="1"/>
  <c r="N107" i="76"/>
  <c r="FW97" i="7" s="1"/>
  <c r="BO107" i="76"/>
  <c r="BP107" i="76" s="1"/>
  <c r="BR107" i="76"/>
  <c r="DS107" i="76"/>
  <c r="DU107" i="76" s="1"/>
  <c r="DV107" i="76"/>
  <c r="FI107" i="76"/>
  <c r="ET97" i="7" s="1"/>
  <c r="EG108" i="76"/>
  <c r="ED98" i="7" s="1"/>
  <c r="N108" i="76"/>
  <c r="FW98" i="7" s="1"/>
  <c r="L108" i="76"/>
  <c r="FU98" i="7" s="1"/>
  <c r="GK109" i="76"/>
  <c r="FJ99" i="7" s="1"/>
  <c r="BA109" i="76"/>
  <c r="BD109" i="76"/>
  <c r="CD109" i="76"/>
  <c r="DH109" i="76"/>
  <c r="DE109" i="76"/>
  <c r="DF109" i="76" s="1"/>
  <c r="EU109" i="76"/>
  <c r="EL99" i="7" s="1"/>
  <c r="FJ110" i="76"/>
  <c r="EU100" i="7" s="1"/>
  <c r="CS110" i="76"/>
  <c r="AC107" i="76"/>
  <c r="GL107" i="76"/>
  <c r="FK97" i="7" s="1"/>
  <c r="BE107" i="76"/>
  <c r="CG107" i="76"/>
  <c r="DI107" i="76"/>
  <c r="EV107" i="76"/>
  <c r="EM97" i="7" s="1"/>
  <c r="CR108" i="76"/>
  <c r="FW108" i="76"/>
  <c r="FB98" i="7" s="1"/>
  <c r="EG109" i="76"/>
  <c r="ED99" i="7" s="1"/>
  <c r="CE109" i="76"/>
  <c r="EJ100" i="7"/>
  <c r="FX109" i="76"/>
  <c r="FC99" i="7" s="1"/>
  <c r="AO110" i="76"/>
  <c r="FW110" i="76"/>
  <c r="FB100" i="7" s="1"/>
  <c r="K137" i="41"/>
  <c r="AH139" i="41"/>
  <c r="AT129" i="41"/>
  <c r="AT128" i="41"/>
  <c r="AS128" i="41"/>
  <c r="AT126" i="41"/>
  <c r="AS131" i="41"/>
  <c r="AS127" i="41"/>
  <c r="AS129" i="41" s="1"/>
  <c r="AS130" i="41" s="1"/>
  <c r="AI126" i="41"/>
  <c r="A16" i="41"/>
  <c r="M120" i="41"/>
  <c r="L120" i="41"/>
  <c r="K120" i="41"/>
  <c r="FR18" i="38"/>
  <c r="FS11" i="38"/>
  <c r="FO18" i="46"/>
  <c r="FP11" i="46"/>
  <c r="AC11" i="46"/>
  <c r="AC11" i="45"/>
  <c r="K6" i="38"/>
  <c r="AB6" i="38" s="1"/>
  <c r="K5" i="38"/>
  <c r="AB5" i="38" s="1"/>
  <c r="K3" i="38"/>
  <c r="K2" i="38"/>
  <c r="AC11" i="38"/>
  <c r="FO18" i="45"/>
  <c r="FP11" i="45"/>
  <c r="T15" i="6"/>
  <c r="S15" i="6"/>
  <c r="Q15" i="6"/>
  <c r="P15" i="6"/>
  <c r="N15" i="6"/>
  <c r="M15" i="6"/>
  <c r="K15" i="6"/>
  <c r="J15" i="6"/>
  <c r="H15" i="6"/>
  <c r="G15" i="6"/>
  <c r="F15" i="6"/>
  <c r="E15" i="6"/>
  <c r="B15" i="6"/>
  <c r="A15" i="6"/>
  <c r="AV15" i="7"/>
  <c r="CL15" i="7"/>
  <c r="DT16" i="7"/>
  <c r="DU16" i="7" s="1"/>
  <c r="DV16" i="7" s="1"/>
  <c r="DZ16" i="7" s="1"/>
  <c r="DL16" i="7"/>
  <c r="DM16" i="7" s="1"/>
  <c r="DN16" i="7" s="1"/>
  <c r="DR16" i="7" s="1"/>
  <c r="DD16" i="7"/>
  <c r="DE16" i="7" s="1"/>
  <c r="DF16" i="7" s="1"/>
  <c r="DG16" i="7" s="1"/>
  <c r="DH16" i="7" s="1"/>
  <c r="DI16" i="7" s="1"/>
  <c r="CV16" i="7"/>
  <c r="CW16" i="7" s="1"/>
  <c r="CX16" i="7" s="1"/>
  <c r="DB16" i="7" s="1"/>
  <c r="CN16" i="7"/>
  <c r="CO16" i="7" s="1"/>
  <c r="CP16" i="7" s="1"/>
  <c r="CT16" i="7" s="1"/>
  <c r="DS15" i="7"/>
  <c r="DK15" i="7"/>
  <c r="DC15" i="7"/>
  <c r="CU15" i="7"/>
  <c r="CM15" i="7"/>
  <c r="CK15" i="7"/>
  <c r="CC15" i="7"/>
  <c r="BU15" i="7"/>
  <c r="BM15" i="7"/>
  <c r="BE15" i="7"/>
  <c r="AW15" i="7"/>
  <c r="AU15" i="7"/>
  <c r="AM15" i="7"/>
  <c r="AE15" i="7"/>
  <c r="W15" i="7"/>
  <c r="O15" i="7"/>
  <c r="G15" i="7"/>
  <c r="F15" i="7"/>
  <c r="C15" i="7"/>
  <c r="B15" i="7"/>
  <c r="AN16" i="7"/>
  <c r="AO16" i="7" s="1"/>
  <c r="AP16" i="7" s="1"/>
  <c r="AQ16" i="7" s="1"/>
  <c r="AR16" i="7" s="1"/>
  <c r="AS16" i="7" s="1"/>
  <c r="AT16" i="7" s="1"/>
  <c r="AO13" i="7"/>
  <c r="AP13" i="7" s="1"/>
  <c r="AQ13" i="7" s="1"/>
  <c r="AR13" i="7" s="1"/>
  <c r="AS13" i="7" s="1"/>
  <c r="AT13" i="7" s="1"/>
  <c r="AK14" i="7"/>
  <c r="AJ14" i="7"/>
  <c r="AC14" i="7"/>
  <c r="AB14" i="7"/>
  <c r="U14" i="7"/>
  <c r="T14" i="7"/>
  <c r="M14" i="7"/>
  <c r="L14" i="7"/>
  <c r="GM4" i="57"/>
  <c r="AT14" i="7" s="1"/>
  <c r="GI110" i="57"/>
  <c r="GI109" i="57"/>
  <c r="GI108" i="57"/>
  <c r="GI107" i="57"/>
  <c r="GI106" i="57"/>
  <c r="GI105" i="57"/>
  <c r="GI104" i="57"/>
  <c r="GI103" i="57"/>
  <c r="GI102" i="57"/>
  <c r="GI101" i="57"/>
  <c r="GI100" i="57"/>
  <c r="GI99" i="57"/>
  <c r="GI98" i="57"/>
  <c r="GI97" i="57"/>
  <c r="GI96" i="57"/>
  <c r="GI95" i="57"/>
  <c r="GI94" i="57"/>
  <c r="GI93" i="57"/>
  <c r="GI92" i="57"/>
  <c r="GI91" i="57"/>
  <c r="GI90" i="57"/>
  <c r="GI89" i="57"/>
  <c r="GI88" i="57"/>
  <c r="GI87" i="57"/>
  <c r="GI86" i="57"/>
  <c r="GI85" i="57"/>
  <c r="GI84" i="57"/>
  <c r="GI83" i="57"/>
  <c r="GI82" i="57"/>
  <c r="GI81" i="57"/>
  <c r="GI80" i="57"/>
  <c r="GI79" i="57"/>
  <c r="GI78" i="57"/>
  <c r="GI77" i="57"/>
  <c r="GI76" i="57"/>
  <c r="GI75" i="57"/>
  <c r="GI74" i="57"/>
  <c r="GI73" i="57"/>
  <c r="GI72" i="57"/>
  <c r="GI71" i="57"/>
  <c r="GI70" i="57"/>
  <c r="GI69" i="57"/>
  <c r="GI68" i="57"/>
  <c r="GI67" i="57"/>
  <c r="GI66" i="57"/>
  <c r="GI65" i="57"/>
  <c r="GI64" i="57"/>
  <c r="GI63" i="57"/>
  <c r="GI62" i="57"/>
  <c r="GI61" i="57"/>
  <c r="GI60" i="57"/>
  <c r="GI59" i="57"/>
  <c r="GI58" i="57"/>
  <c r="GI57" i="57"/>
  <c r="GI56" i="57"/>
  <c r="GI55" i="57"/>
  <c r="GI54" i="57"/>
  <c r="GI53" i="57"/>
  <c r="GI52" i="57"/>
  <c r="GI51" i="57"/>
  <c r="GI50" i="57"/>
  <c r="GI49" i="57"/>
  <c r="GI48" i="57"/>
  <c r="GI47" i="57"/>
  <c r="GI46" i="57"/>
  <c r="GI45" i="57"/>
  <c r="GI44" i="57"/>
  <c r="GI43" i="57"/>
  <c r="GI42" i="57"/>
  <c r="GI41" i="57"/>
  <c r="GI40" i="57"/>
  <c r="GI39" i="57"/>
  <c r="GI38" i="57"/>
  <c r="GI37" i="57"/>
  <c r="GI36" i="57"/>
  <c r="GI35" i="57"/>
  <c r="GI34" i="57"/>
  <c r="GI33" i="57"/>
  <c r="GI32" i="57"/>
  <c r="GI31" i="57"/>
  <c r="GI30" i="57"/>
  <c r="GI29" i="57"/>
  <c r="GI28" i="57"/>
  <c r="GI27" i="57"/>
  <c r="GI26" i="57"/>
  <c r="GI25" i="57"/>
  <c r="GI24" i="57"/>
  <c r="GI23" i="57"/>
  <c r="GI22" i="57"/>
  <c r="GI21" i="57"/>
  <c r="GI20" i="57"/>
  <c r="GI19" i="57"/>
  <c r="GI18" i="57"/>
  <c r="GI17" i="57"/>
  <c r="GI16" i="57"/>
  <c r="GI15" i="57"/>
  <c r="GI3" i="57"/>
  <c r="GL8" i="57"/>
  <c r="GM8" i="57"/>
  <c r="GN8" i="57" s="1"/>
  <c r="GO8" i="57" s="1"/>
  <c r="GO3" i="57" s="1"/>
  <c r="GO4" i="57" s="1"/>
  <c r="AP14" i="7" s="1"/>
  <c r="GJ8" i="57"/>
  <c r="V13" i="4"/>
  <c r="AB13" i="4"/>
  <c r="K13" i="4"/>
  <c r="U13" i="6"/>
  <c r="U15" i="6"/>
  <c r="R13" i="6"/>
  <c r="R15" i="6" s="1"/>
  <c r="CO9" i="7"/>
  <c r="CP9" i="7" s="1"/>
  <c r="CQ9" i="7" s="1"/>
  <c r="CR9" i="7" s="1"/>
  <c r="CS9" i="7" s="1"/>
  <c r="CT9" i="7" s="1"/>
  <c r="GF2" i="70"/>
  <c r="FR2" i="70"/>
  <c r="FD2" i="70"/>
  <c r="EP2" i="70"/>
  <c r="EB2" i="70"/>
  <c r="GI102" i="70"/>
  <c r="FU102" i="70"/>
  <c r="FG102" i="70"/>
  <c r="ES102" i="70"/>
  <c r="EE102" i="70"/>
  <c r="DR102" i="70"/>
  <c r="DQ102" i="70"/>
  <c r="DP102" i="70"/>
  <c r="DV102" i="70" s="1"/>
  <c r="DD102" i="70"/>
  <c r="DC102" i="70"/>
  <c r="DB102" i="70"/>
  <c r="CP102" i="70"/>
  <c r="CO102" i="70"/>
  <c r="CU102" i="70" s="1"/>
  <c r="CN102" i="70"/>
  <c r="CB102" i="70"/>
  <c r="CA102" i="70"/>
  <c r="BZ102" i="70"/>
  <c r="BN102" i="70"/>
  <c r="BM102" i="70"/>
  <c r="BL102" i="70"/>
  <c r="AZ102" i="70"/>
  <c r="BE102" i="70" s="1"/>
  <c r="AY102" i="70"/>
  <c r="AX102" i="70"/>
  <c r="AL102" i="70"/>
  <c r="AQ102" i="70" s="1"/>
  <c r="AK102" i="70"/>
  <c r="AJ102" i="70"/>
  <c r="AP102" i="70"/>
  <c r="X102" i="70"/>
  <c r="W102" i="70"/>
  <c r="AC102" i="70" s="1"/>
  <c r="V102" i="70"/>
  <c r="AB102" i="70"/>
  <c r="J102" i="70"/>
  <c r="K102" i="70" s="1"/>
  <c r="I102" i="70"/>
  <c r="H102" i="70"/>
  <c r="GI92" i="70"/>
  <c r="FU92" i="70"/>
  <c r="FG92" i="70"/>
  <c r="ES92" i="70"/>
  <c r="EE92" i="70"/>
  <c r="DR92" i="70"/>
  <c r="DQ92" i="70"/>
  <c r="DW92" i="70" s="1"/>
  <c r="DP92" i="70"/>
  <c r="DV92" i="70" s="1"/>
  <c r="DD92" i="70"/>
  <c r="DC92" i="70"/>
  <c r="DI92" i="70" s="1"/>
  <c r="DB92" i="70"/>
  <c r="DH92" i="70" s="1"/>
  <c r="CP92" i="70"/>
  <c r="CO92" i="70"/>
  <c r="CN92" i="70"/>
  <c r="CB92" i="70"/>
  <c r="CA92" i="70"/>
  <c r="BZ92" i="70"/>
  <c r="CF92" i="70" s="1"/>
  <c r="BN92" i="70"/>
  <c r="BM92" i="70"/>
  <c r="BL92" i="70"/>
  <c r="BR92" i="70" s="1"/>
  <c r="AZ92" i="70"/>
  <c r="AY92" i="70"/>
  <c r="BE92" i="70" s="1"/>
  <c r="AX92" i="70"/>
  <c r="AL92" i="70"/>
  <c r="AK92" i="70"/>
  <c r="AQ92" i="70" s="1"/>
  <c r="AJ92" i="70"/>
  <c r="X92" i="70"/>
  <c r="W92" i="70"/>
  <c r="AC92" i="70" s="1"/>
  <c r="V92" i="70"/>
  <c r="AB92" i="70" s="1"/>
  <c r="J92" i="70"/>
  <c r="I92" i="70"/>
  <c r="H92" i="70"/>
  <c r="N92" i="70" s="1"/>
  <c r="GI82" i="70"/>
  <c r="FU82" i="70"/>
  <c r="FG82" i="70"/>
  <c r="ES82" i="70"/>
  <c r="EE82" i="70"/>
  <c r="DR82" i="70"/>
  <c r="DQ82" i="70"/>
  <c r="DP82" i="70"/>
  <c r="DV82" i="70" s="1"/>
  <c r="DD82" i="70"/>
  <c r="DC82" i="70"/>
  <c r="DB82" i="70"/>
  <c r="DH82" i="70" s="1"/>
  <c r="CP82" i="70"/>
  <c r="CO82" i="70"/>
  <c r="CN82" i="70"/>
  <c r="CB82" i="70"/>
  <c r="CA82" i="70"/>
  <c r="BZ82" i="70"/>
  <c r="BN82" i="70"/>
  <c r="BM82" i="70"/>
  <c r="BL82" i="70"/>
  <c r="BR82" i="70" s="1"/>
  <c r="AZ82" i="70"/>
  <c r="AY82" i="70"/>
  <c r="AX82" i="70"/>
  <c r="BD82" i="70" s="1"/>
  <c r="AL82" i="70"/>
  <c r="AK82" i="70"/>
  <c r="AJ82" i="70"/>
  <c r="AP82" i="70" s="1"/>
  <c r="X82" i="70"/>
  <c r="AC82" i="70" s="1"/>
  <c r="W82" i="70"/>
  <c r="V82" i="70"/>
  <c r="N82" i="70"/>
  <c r="J82" i="70"/>
  <c r="K82" i="70" s="1"/>
  <c r="I82" i="70"/>
  <c r="H82" i="70"/>
  <c r="GI72" i="70"/>
  <c r="FU72" i="70"/>
  <c r="FG72" i="70"/>
  <c r="ES72" i="70"/>
  <c r="EE72" i="70"/>
  <c r="DR72" i="70"/>
  <c r="DQ72" i="70"/>
  <c r="DP72" i="70"/>
  <c r="DD72" i="70"/>
  <c r="DC72" i="70"/>
  <c r="DB72" i="70"/>
  <c r="CP72" i="70"/>
  <c r="CO72" i="70"/>
  <c r="CN72" i="70"/>
  <c r="CB72" i="70"/>
  <c r="CA72" i="70"/>
  <c r="BZ72" i="70"/>
  <c r="BN72" i="70"/>
  <c r="BM72" i="70"/>
  <c r="BL72" i="70"/>
  <c r="AZ72" i="70"/>
  <c r="AY72" i="70"/>
  <c r="AX72" i="70"/>
  <c r="AL72" i="70"/>
  <c r="AK72" i="70"/>
  <c r="AJ72" i="70"/>
  <c r="FI72" i="70"/>
  <c r="DD62" i="7" s="1"/>
  <c r="X72" i="70"/>
  <c r="W72" i="70"/>
  <c r="V72" i="70"/>
  <c r="J72" i="70"/>
  <c r="K72" i="70" s="1"/>
  <c r="I72" i="70"/>
  <c r="H72" i="70"/>
  <c r="EG72" i="70" s="1"/>
  <c r="CN62" i="7" s="1"/>
  <c r="GI62" i="70"/>
  <c r="FU62" i="70"/>
  <c r="FG62" i="70"/>
  <c r="ES62" i="70"/>
  <c r="EE62" i="70"/>
  <c r="DR62" i="70"/>
  <c r="DQ62" i="70"/>
  <c r="DS62" i="70" s="1"/>
  <c r="DP62" i="70"/>
  <c r="DD62" i="70"/>
  <c r="DC62" i="70"/>
  <c r="DB62" i="70"/>
  <c r="CP62" i="70"/>
  <c r="CO62" i="70"/>
  <c r="CN62" i="70"/>
  <c r="CB62" i="70"/>
  <c r="CA62" i="70"/>
  <c r="BZ62" i="70"/>
  <c r="BN62" i="70"/>
  <c r="BM62" i="70"/>
  <c r="BO62" i="70" s="1"/>
  <c r="BL62" i="70"/>
  <c r="AZ62" i="70"/>
  <c r="AY62" i="70"/>
  <c r="AX62" i="70"/>
  <c r="AL62" i="70"/>
  <c r="AK62" i="70"/>
  <c r="AJ62" i="70"/>
  <c r="X62" i="70"/>
  <c r="W62" i="70"/>
  <c r="V62" i="70"/>
  <c r="J62" i="70"/>
  <c r="K62" i="70"/>
  <c r="I62" i="70"/>
  <c r="H62" i="70"/>
  <c r="GI52" i="70"/>
  <c r="FU52" i="70"/>
  <c r="FG52" i="70"/>
  <c r="ES52" i="70"/>
  <c r="EE52" i="70"/>
  <c r="DR52" i="70"/>
  <c r="DQ52" i="70"/>
  <c r="DP52" i="70"/>
  <c r="DD52" i="70"/>
  <c r="DC52" i="70"/>
  <c r="DB52" i="70"/>
  <c r="CP52" i="70"/>
  <c r="CO52" i="70"/>
  <c r="CN52" i="70"/>
  <c r="CB52" i="70"/>
  <c r="CA52" i="70"/>
  <c r="BZ52" i="70"/>
  <c r="CC52" i="70" s="1"/>
  <c r="BN52" i="70"/>
  <c r="BM52" i="70"/>
  <c r="BL52" i="70"/>
  <c r="AZ52" i="70"/>
  <c r="AY52" i="70"/>
  <c r="AX52" i="70"/>
  <c r="AL52" i="70"/>
  <c r="AK52" i="70"/>
  <c r="AJ52" i="70"/>
  <c r="X52" i="70"/>
  <c r="W52" i="70"/>
  <c r="V52" i="70"/>
  <c r="Y52" i="70" s="1"/>
  <c r="K52" i="70"/>
  <c r="J52" i="70"/>
  <c r="I52" i="70"/>
  <c r="H52" i="70"/>
  <c r="GI42" i="70"/>
  <c r="FU42" i="70"/>
  <c r="FG42" i="70"/>
  <c r="ES42" i="70"/>
  <c r="EE42" i="70"/>
  <c r="DR42" i="70"/>
  <c r="DQ42" i="70"/>
  <c r="DP42" i="70"/>
  <c r="DD42" i="70"/>
  <c r="DC42" i="70"/>
  <c r="DB42" i="70"/>
  <c r="CP42" i="70"/>
  <c r="CO42" i="70"/>
  <c r="CN42" i="70"/>
  <c r="CB42" i="70"/>
  <c r="CA42" i="70"/>
  <c r="BZ42" i="70"/>
  <c r="BN42" i="70"/>
  <c r="BM42" i="70"/>
  <c r="BL42" i="70"/>
  <c r="AZ42" i="70"/>
  <c r="AY42" i="70"/>
  <c r="AX42" i="70"/>
  <c r="AL42" i="70"/>
  <c r="AK42" i="70"/>
  <c r="AJ42" i="70"/>
  <c r="X42" i="70"/>
  <c r="W42" i="70"/>
  <c r="V42" i="70"/>
  <c r="J42" i="70"/>
  <c r="K42" i="70" s="1"/>
  <c r="I42" i="70"/>
  <c r="H42" i="70"/>
  <c r="GI32" i="70"/>
  <c r="FU32" i="70"/>
  <c r="FG32" i="70"/>
  <c r="ES32" i="70"/>
  <c r="EE32" i="70"/>
  <c r="DR32" i="70"/>
  <c r="DQ32" i="70"/>
  <c r="DP32" i="70"/>
  <c r="DD32" i="70"/>
  <c r="DC32" i="70"/>
  <c r="DB32" i="70"/>
  <c r="CP32" i="70"/>
  <c r="CO32" i="70"/>
  <c r="CN32" i="70"/>
  <c r="CB32" i="70"/>
  <c r="CA32" i="70"/>
  <c r="BZ32" i="70"/>
  <c r="BN32" i="70"/>
  <c r="BM32" i="70"/>
  <c r="BL32" i="70"/>
  <c r="AZ32" i="70"/>
  <c r="AY32" i="70"/>
  <c r="AX32" i="70"/>
  <c r="AL32" i="70"/>
  <c r="AK32" i="70"/>
  <c r="AJ32" i="70"/>
  <c r="X32" i="70"/>
  <c r="W32" i="70"/>
  <c r="V32" i="70"/>
  <c r="J32" i="70"/>
  <c r="K32" i="70" s="1"/>
  <c r="I32" i="70"/>
  <c r="H32" i="70"/>
  <c r="GI29" i="70"/>
  <c r="FU29" i="70"/>
  <c r="FG29" i="70"/>
  <c r="ES29" i="70"/>
  <c r="EE29" i="70"/>
  <c r="DR29" i="70"/>
  <c r="DQ29" i="70"/>
  <c r="DP29" i="70"/>
  <c r="DD29" i="70"/>
  <c r="DC29" i="70"/>
  <c r="DB29" i="70"/>
  <c r="CP29" i="70"/>
  <c r="CO29" i="70"/>
  <c r="CN29" i="70"/>
  <c r="FW29" i="70" s="1"/>
  <c r="CB29" i="70"/>
  <c r="CA29" i="70"/>
  <c r="BZ29" i="70"/>
  <c r="BN29" i="70"/>
  <c r="BM29" i="70"/>
  <c r="BL29" i="70"/>
  <c r="AZ29" i="70"/>
  <c r="AY29" i="70"/>
  <c r="AX29" i="70"/>
  <c r="AL29" i="70"/>
  <c r="AK29" i="70"/>
  <c r="AJ29" i="70"/>
  <c r="FI29" i="70" s="1"/>
  <c r="X29" i="70"/>
  <c r="W29" i="70"/>
  <c r="V29" i="70"/>
  <c r="J29" i="70"/>
  <c r="K29" i="70" s="1"/>
  <c r="L29" i="70" s="1"/>
  <c r="I29" i="70"/>
  <c r="H29" i="70"/>
  <c r="GI28" i="70"/>
  <c r="FU28" i="70"/>
  <c r="FG28" i="70"/>
  <c r="ES28" i="70"/>
  <c r="EE28" i="70"/>
  <c r="DR28" i="70"/>
  <c r="DQ28" i="70"/>
  <c r="DP28" i="70"/>
  <c r="DD28" i="70"/>
  <c r="DC28" i="70"/>
  <c r="DB28" i="70"/>
  <c r="CP28" i="70"/>
  <c r="CO28" i="70"/>
  <c r="CN28" i="70"/>
  <c r="FW28" i="70" s="1"/>
  <c r="CB28" i="70"/>
  <c r="CA28" i="70"/>
  <c r="BZ28" i="70"/>
  <c r="BN28" i="70"/>
  <c r="BM28" i="70"/>
  <c r="BL28" i="70"/>
  <c r="AZ28" i="70"/>
  <c r="AY28" i="70"/>
  <c r="AX28" i="70"/>
  <c r="AL28" i="70"/>
  <c r="AK28" i="70"/>
  <c r="AJ28" i="70"/>
  <c r="X28" i="70"/>
  <c r="W28" i="70"/>
  <c r="V28" i="70"/>
  <c r="K28" i="70"/>
  <c r="J28" i="70"/>
  <c r="I28" i="70"/>
  <c r="M28" i="70" s="1"/>
  <c r="H28" i="70"/>
  <c r="GI27" i="70"/>
  <c r="FU27" i="70"/>
  <c r="FG27" i="70"/>
  <c r="ES27" i="70"/>
  <c r="EE27" i="70"/>
  <c r="DR27" i="70"/>
  <c r="DQ27" i="70"/>
  <c r="DP27" i="70"/>
  <c r="DD27" i="70"/>
  <c r="DC27" i="70"/>
  <c r="DB27" i="70"/>
  <c r="CP27" i="70"/>
  <c r="CO27" i="70"/>
  <c r="CN27" i="70"/>
  <c r="CB27" i="70"/>
  <c r="CA27" i="70"/>
  <c r="BZ27" i="70"/>
  <c r="BN27" i="70"/>
  <c r="BM27" i="70"/>
  <c r="BL27" i="70"/>
  <c r="AZ27" i="70"/>
  <c r="AY27" i="70"/>
  <c r="AX27" i="70"/>
  <c r="AL27" i="70"/>
  <c r="AK27" i="70"/>
  <c r="AJ27" i="70"/>
  <c r="X27" i="70"/>
  <c r="W27" i="70"/>
  <c r="V27" i="70"/>
  <c r="J27" i="70"/>
  <c r="K27" i="70" s="1"/>
  <c r="I27" i="70"/>
  <c r="H27" i="70"/>
  <c r="GI26" i="70"/>
  <c r="FU26" i="70"/>
  <c r="FG26" i="70"/>
  <c r="ES26" i="70"/>
  <c r="EE26" i="70"/>
  <c r="DR26" i="70"/>
  <c r="DS26" i="70" s="1"/>
  <c r="DQ26" i="70"/>
  <c r="DP26" i="70"/>
  <c r="DD26" i="70"/>
  <c r="DC26" i="70"/>
  <c r="DB26" i="70"/>
  <c r="CP26" i="70"/>
  <c r="CO26" i="70"/>
  <c r="CN26" i="70"/>
  <c r="FW26" i="70" s="1"/>
  <c r="CB26" i="70"/>
  <c r="CB8" i="70"/>
  <c r="CA26" i="70"/>
  <c r="BZ26" i="70"/>
  <c r="BN26" i="70"/>
  <c r="BM26" i="70"/>
  <c r="BL26" i="70"/>
  <c r="AZ26" i="70"/>
  <c r="AY26" i="70"/>
  <c r="AX26" i="70"/>
  <c r="AL26" i="70"/>
  <c r="AK26" i="70"/>
  <c r="AJ26" i="70"/>
  <c r="X26" i="70"/>
  <c r="W26" i="70"/>
  <c r="V26" i="70"/>
  <c r="J26" i="70"/>
  <c r="K26" i="70"/>
  <c r="I26" i="70"/>
  <c r="H26" i="70"/>
  <c r="EG26" i="70" s="1"/>
  <c r="GI25" i="70"/>
  <c r="FU25" i="70"/>
  <c r="FG25" i="70"/>
  <c r="ES25" i="70"/>
  <c r="EE25" i="70"/>
  <c r="DR25" i="70"/>
  <c r="DR8" i="70" s="1"/>
  <c r="DS8" i="70" s="1"/>
  <c r="DQ25" i="70"/>
  <c r="DP25" i="70"/>
  <c r="DD25" i="70"/>
  <c r="DC25" i="70"/>
  <c r="DB25" i="70"/>
  <c r="CP25" i="70"/>
  <c r="CO25" i="70"/>
  <c r="CN25" i="70"/>
  <c r="FW25" i="70" s="1"/>
  <c r="CB25" i="70"/>
  <c r="CA25" i="70"/>
  <c r="BZ25" i="70"/>
  <c r="GK25" i="70"/>
  <c r="BN25" i="70"/>
  <c r="BM25" i="70"/>
  <c r="BL25" i="70"/>
  <c r="AZ25" i="70"/>
  <c r="AZ8" i="70" s="1"/>
  <c r="AY25" i="70"/>
  <c r="AX25" i="70"/>
  <c r="AL25" i="70"/>
  <c r="AK25" i="70"/>
  <c r="AJ25" i="70"/>
  <c r="X25" i="70"/>
  <c r="W25" i="70"/>
  <c r="V25" i="70"/>
  <c r="J25" i="70"/>
  <c r="K25" i="70" s="1"/>
  <c r="I25" i="70"/>
  <c r="H25" i="70"/>
  <c r="GI24" i="70"/>
  <c r="FU24" i="70"/>
  <c r="FG24" i="70"/>
  <c r="ES24" i="70"/>
  <c r="EE24" i="70"/>
  <c r="DR24" i="70"/>
  <c r="DQ24" i="70"/>
  <c r="DP24" i="70"/>
  <c r="DV24" i="70"/>
  <c r="DD24" i="70"/>
  <c r="DC24" i="70"/>
  <c r="DB24" i="70"/>
  <c r="DH24" i="70"/>
  <c r="CP24" i="70"/>
  <c r="CO24" i="70"/>
  <c r="CN24" i="70"/>
  <c r="CT24" i="70"/>
  <c r="CB24" i="70"/>
  <c r="CA24" i="70"/>
  <c r="CG24" i="70" s="1"/>
  <c r="BZ24" i="70"/>
  <c r="BN24" i="70"/>
  <c r="BM24" i="70"/>
  <c r="BL24" i="70"/>
  <c r="BR24" i="70" s="1"/>
  <c r="AZ24" i="70"/>
  <c r="AY24" i="70"/>
  <c r="AX24" i="70"/>
  <c r="AL24" i="70"/>
  <c r="AK24" i="70"/>
  <c r="AJ24" i="70"/>
  <c r="AP24" i="70" s="1"/>
  <c r="X24" i="70"/>
  <c r="W24" i="70"/>
  <c r="V24" i="70"/>
  <c r="J24" i="70"/>
  <c r="I24" i="70"/>
  <c r="H24" i="70"/>
  <c r="GI23" i="70"/>
  <c r="FU23" i="70"/>
  <c r="FG23" i="70"/>
  <c r="ES23" i="70"/>
  <c r="EE23" i="70"/>
  <c r="DR23" i="70"/>
  <c r="DQ23" i="70"/>
  <c r="DP23" i="70"/>
  <c r="DV23" i="70" s="1"/>
  <c r="DD23" i="70"/>
  <c r="DC23" i="70"/>
  <c r="DB23" i="70"/>
  <c r="DH23" i="70" s="1"/>
  <c r="CP23" i="70"/>
  <c r="CO23" i="70"/>
  <c r="CN23" i="70"/>
  <c r="CB23" i="70"/>
  <c r="CA23" i="70"/>
  <c r="BZ23" i="70"/>
  <c r="CF23" i="70" s="1"/>
  <c r="BN23" i="70"/>
  <c r="BM23" i="70"/>
  <c r="BL23" i="70"/>
  <c r="BR23" i="70" s="1"/>
  <c r="AZ23" i="70"/>
  <c r="AY23" i="70"/>
  <c r="AX23" i="70"/>
  <c r="BD23" i="70" s="1"/>
  <c r="AL23" i="70"/>
  <c r="AK23" i="70"/>
  <c r="AJ23" i="70"/>
  <c r="AP23" i="70" s="1"/>
  <c r="X23" i="70"/>
  <c r="W23" i="70"/>
  <c r="V23" i="70"/>
  <c r="AB23" i="70" s="1"/>
  <c r="J23" i="70"/>
  <c r="K23" i="70" s="1"/>
  <c r="I23" i="70"/>
  <c r="M23" i="70"/>
  <c r="H23" i="70"/>
  <c r="GI22" i="70"/>
  <c r="FU22" i="70"/>
  <c r="FG22" i="70"/>
  <c r="ES22" i="70"/>
  <c r="EE22" i="70"/>
  <c r="DR22" i="70"/>
  <c r="DQ22" i="70"/>
  <c r="DW22" i="70" s="1"/>
  <c r="DP22" i="70"/>
  <c r="DD22" i="70"/>
  <c r="DC22" i="70"/>
  <c r="DB22" i="70"/>
  <c r="CP22" i="70"/>
  <c r="CO22" i="70"/>
  <c r="CU22" i="70" s="1"/>
  <c r="CN22" i="70"/>
  <c r="CB22" i="70"/>
  <c r="CA22" i="70"/>
  <c r="BZ22" i="70"/>
  <c r="BN22" i="70"/>
  <c r="BM22" i="70"/>
  <c r="BL22" i="70"/>
  <c r="AZ22" i="70"/>
  <c r="AY22" i="70"/>
  <c r="AX22" i="70"/>
  <c r="AL22" i="70"/>
  <c r="AK22" i="70"/>
  <c r="AJ22" i="70"/>
  <c r="X22" i="70"/>
  <c r="W22" i="70"/>
  <c r="V22" i="70"/>
  <c r="J22" i="70"/>
  <c r="K22" i="70" s="1"/>
  <c r="I22" i="70"/>
  <c r="H22" i="70"/>
  <c r="GI21" i="70"/>
  <c r="FU21" i="70"/>
  <c r="FG21" i="70"/>
  <c r="ES21" i="70"/>
  <c r="EE21" i="70"/>
  <c r="DR21" i="70"/>
  <c r="DQ21" i="70"/>
  <c r="DP21" i="70"/>
  <c r="DV21" i="70" s="1"/>
  <c r="DD21" i="70"/>
  <c r="DC21" i="70"/>
  <c r="DB21" i="70"/>
  <c r="DH21" i="70" s="1"/>
  <c r="CP21" i="70"/>
  <c r="CO21" i="70"/>
  <c r="CN21" i="70"/>
  <c r="CB21" i="70"/>
  <c r="CA21" i="70"/>
  <c r="BZ21" i="70"/>
  <c r="FI21" i="70" s="1"/>
  <c r="BN21" i="70"/>
  <c r="BM21" i="70"/>
  <c r="BL21" i="70"/>
  <c r="BR21" i="70" s="1"/>
  <c r="AZ21" i="70"/>
  <c r="AY21" i="70"/>
  <c r="AX21" i="70"/>
  <c r="AL21" i="70"/>
  <c r="AK21" i="70"/>
  <c r="AJ21" i="70"/>
  <c r="AP21" i="70" s="1"/>
  <c r="X21" i="70"/>
  <c r="W21" i="70"/>
  <c r="V21" i="70"/>
  <c r="J21" i="70"/>
  <c r="I21" i="70"/>
  <c r="H21" i="70"/>
  <c r="N21" i="70" s="1"/>
  <c r="GI20" i="70"/>
  <c r="FU20" i="70"/>
  <c r="FG20" i="70"/>
  <c r="ES20" i="70"/>
  <c r="EE20" i="70"/>
  <c r="DR20" i="70"/>
  <c r="DQ20" i="70"/>
  <c r="DP20" i="70"/>
  <c r="DV20" i="70"/>
  <c r="DD20" i="70"/>
  <c r="DC20" i="70"/>
  <c r="DB20" i="70"/>
  <c r="DH20" i="70"/>
  <c r="CP20" i="70"/>
  <c r="CO20" i="70"/>
  <c r="CN20" i="70"/>
  <c r="CT20" i="70"/>
  <c r="CB20" i="70"/>
  <c r="CA20" i="70"/>
  <c r="BZ20" i="70"/>
  <c r="CF20" i="70" s="1"/>
  <c r="BN20" i="70"/>
  <c r="BM20" i="70"/>
  <c r="BL20" i="70"/>
  <c r="BR20" i="70" s="1"/>
  <c r="AZ20" i="70"/>
  <c r="AY20" i="70"/>
  <c r="AX20" i="70"/>
  <c r="AL20" i="70"/>
  <c r="AK20" i="70"/>
  <c r="AJ20" i="70"/>
  <c r="X20" i="70"/>
  <c r="W20" i="70"/>
  <c r="V20" i="70"/>
  <c r="AB20" i="70"/>
  <c r="J20" i="70"/>
  <c r="K20" i="70" s="1"/>
  <c r="I20" i="70"/>
  <c r="H20" i="70"/>
  <c r="GI12" i="70"/>
  <c r="FU12" i="70"/>
  <c r="FG12" i="70"/>
  <c r="ES12" i="70"/>
  <c r="EE12" i="70"/>
  <c r="DR12" i="70"/>
  <c r="DQ12" i="70"/>
  <c r="DP12" i="70"/>
  <c r="DD12" i="70"/>
  <c r="DC12" i="70"/>
  <c r="DB12" i="70"/>
  <c r="CP12" i="70"/>
  <c r="CO12" i="70"/>
  <c r="CN12" i="70"/>
  <c r="CB12" i="70"/>
  <c r="CA12" i="70"/>
  <c r="BZ12" i="70"/>
  <c r="BN12" i="70"/>
  <c r="BM12" i="70"/>
  <c r="BL12" i="70"/>
  <c r="AZ12" i="70"/>
  <c r="AY12" i="70"/>
  <c r="AX12" i="70"/>
  <c r="AL12" i="70"/>
  <c r="AK12" i="70"/>
  <c r="AJ12" i="70"/>
  <c r="X12" i="70"/>
  <c r="W12" i="70"/>
  <c r="V12" i="70"/>
  <c r="J12" i="70"/>
  <c r="K12" i="70" s="1"/>
  <c r="I12" i="70"/>
  <c r="H12" i="70"/>
  <c r="DO8" i="70"/>
  <c r="DN8" i="70"/>
  <c r="DD8" i="70"/>
  <c r="DA8" i="70"/>
  <c r="CZ8" i="70"/>
  <c r="CM8" i="70"/>
  <c r="CL8" i="70"/>
  <c r="BY8" i="70"/>
  <c r="BX8" i="70"/>
  <c r="BK8" i="70"/>
  <c r="BJ8" i="70"/>
  <c r="AW8" i="70"/>
  <c r="AV8" i="70"/>
  <c r="AI8" i="70"/>
  <c r="AH8" i="70"/>
  <c r="U8" i="70"/>
  <c r="T8" i="70"/>
  <c r="J8" i="70"/>
  <c r="G8" i="70"/>
  <c r="F8" i="70"/>
  <c r="GI110" i="70"/>
  <c r="FU110" i="70"/>
  <c r="FG110" i="70"/>
  <c r="ES110" i="70"/>
  <c r="EE110" i="70"/>
  <c r="DR110" i="70"/>
  <c r="DQ110" i="70"/>
  <c r="DP110" i="70"/>
  <c r="DD110" i="70"/>
  <c r="DC110" i="70"/>
  <c r="DB110" i="70"/>
  <c r="CP110" i="70"/>
  <c r="CO110" i="70"/>
  <c r="CU110" i="70" s="1"/>
  <c r="CN110" i="70"/>
  <c r="CB110" i="70"/>
  <c r="CA110" i="70"/>
  <c r="BZ110" i="70"/>
  <c r="BN110" i="70"/>
  <c r="BM110" i="70"/>
  <c r="BL110" i="70"/>
  <c r="AZ110" i="70"/>
  <c r="AY110" i="70"/>
  <c r="BE110" i="70" s="1"/>
  <c r="AX110" i="70"/>
  <c r="AL110" i="70"/>
  <c r="AK110" i="70"/>
  <c r="AJ110" i="70"/>
  <c r="X110" i="70"/>
  <c r="AC110" i="70" s="1"/>
  <c r="W110" i="70"/>
  <c r="V110" i="70"/>
  <c r="K110" i="70"/>
  <c r="J110" i="70"/>
  <c r="I110" i="70"/>
  <c r="O110" i="70" s="1"/>
  <c r="H110" i="70"/>
  <c r="GI109" i="70"/>
  <c r="FU109" i="70"/>
  <c r="FG109" i="70"/>
  <c r="ES109" i="70"/>
  <c r="EE109" i="70"/>
  <c r="DR109" i="70"/>
  <c r="DQ109" i="70"/>
  <c r="DP109" i="70"/>
  <c r="DV109" i="70" s="1"/>
  <c r="DD109" i="70"/>
  <c r="DC109" i="70"/>
  <c r="DB109" i="70"/>
  <c r="CP109" i="70"/>
  <c r="CO109" i="70"/>
  <c r="CN109" i="70"/>
  <c r="CB109" i="70"/>
  <c r="CA109" i="70"/>
  <c r="BZ109" i="70"/>
  <c r="BN109" i="70"/>
  <c r="BM109" i="70"/>
  <c r="BL109" i="70"/>
  <c r="AZ109" i="70"/>
  <c r="AY109" i="70"/>
  <c r="AX109" i="70"/>
  <c r="AL109" i="70"/>
  <c r="AK109" i="70"/>
  <c r="AJ109" i="70"/>
  <c r="X109" i="70"/>
  <c r="W109" i="70"/>
  <c r="V109" i="70"/>
  <c r="J109" i="70"/>
  <c r="K109" i="70" s="1"/>
  <c r="I109" i="70"/>
  <c r="H109" i="70"/>
  <c r="N109" i="70" s="1"/>
  <c r="GI108" i="70"/>
  <c r="FU108" i="70"/>
  <c r="FG108" i="70"/>
  <c r="ES108" i="70"/>
  <c r="EE108" i="70"/>
  <c r="DR108" i="70"/>
  <c r="DQ108" i="70"/>
  <c r="DP108" i="70"/>
  <c r="DV108" i="70" s="1"/>
  <c r="DD108" i="70"/>
  <c r="DC108" i="70"/>
  <c r="DB108" i="70"/>
  <c r="CP108" i="70"/>
  <c r="CO108" i="70"/>
  <c r="CN108" i="70"/>
  <c r="CT108" i="70" s="1"/>
  <c r="CB108" i="70"/>
  <c r="CA108" i="70"/>
  <c r="BZ108" i="70"/>
  <c r="CF108" i="70" s="1"/>
  <c r="BN108" i="70"/>
  <c r="BM108" i="70"/>
  <c r="BL108" i="70"/>
  <c r="BR108" i="70" s="1"/>
  <c r="AZ108" i="70"/>
  <c r="AY108" i="70"/>
  <c r="AX108" i="70"/>
  <c r="AL108" i="70"/>
  <c r="AK108" i="70"/>
  <c r="AQ108" i="70" s="1"/>
  <c r="AJ108" i="70"/>
  <c r="X108" i="70"/>
  <c r="W108" i="70"/>
  <c r="V108" i="70"/>
  <c r="J108" i="70"/>
  <c r="K108" i="70" s="1"/>
  <c r="I108" i="70"/>
  <c r="H108" i="70"/>
  <c r="GI107" i="70"/>
  <c r="FU107" i="70"/>
  <c r="FG107" i="70"/>
  <c r="ES107" i="70"/>
  <c r="EE107" i="70"/>
  <c r="DR107" i="70"/>
  <c r="DQ107" i="70"/>
  <c r="DP107" i="70"/>
  <c r="DD107" i="70"/>
  <c r="DC107" i="70"/>
  <c r="DB107" i="70"/>
  <c r="CP107" i="70"/>
  <c r="CO107" i="70"/>
  <c r="CN107" i="70"/>
  <c r="CB107" i="70"/>
  <c r="CA107" i="70"/>
  <c r="BZ107" i="70"/>
  <c r="BN107" i="70"/>
  <c r="BM107" i="70"/>
  <c r="BL107" i="70"/>
  <c r="AZ107" i="70"/>
  <c r="AY107" i="70"/>
  <c r="AX107" i="70"/>
  <c r="AL107" i="70"/>
  <c r="AK107" i="70"/>
  <c r="AJ107" i="70"/>
  <c r="X107" i="70"/>
  <c r="W107" i="70"/>
  <c r="V107" i="70"/>
  <c r="AB107" i="70" s="1"/>
  <c r="J107" i="70"/>
  <c r="K107" i="70" s="1"/>
  <c r="I107" i="70"/>
  <c r="O107" i="70" s="1"/>
  <c r="H107" i="70"/>
  <c r="N107" i="70" s="1"/>
  <c r="GI106" i="70"/>
  <c r="FU106" i="70"/>
  <c r="FG106" i="70"/>
  <c r="ES106" i="70"/>
  <c r="EE106" i="70"/>
  <c r="DR106" i="70"/>
  <c r="DQ106" i="70"/>
  <c r="DP106" i="70"/>
  <c r="DV106" i="70" s="1"/>
  <c r="DD106" i="70"/>
  <c r="DC106" i="70"/>
  <c r="DB106" i="70"/>
  <c r="CP106" i="70"/>
  <c r="CO106" i="70"/>
  <c r="CN106" i="70"/>
  <c r="CT106" i="70" s="1"/>
  <c r="CB106" i="70"/>
  <c r="CA106" i="70"/>
  <c r="BZ106" i="70"/>
  <c r="BN106" i="70"/>
  <c r="BM106" i="70"/>
  <c r="BL106" i="70"/>
  <c r="BR106" i="70" s="1"/>
  <c r="AZ106" i="70"/>
  <c r="AY106" i="70"/>
  <c r="AX106" i="70"/>
  <c r="AL106" i="70"/>
  <c r="AK106" i="70"/>
  <c r="AJ106" i="70"/>
  <c r="AP106" i="70"/>
  <c r="X106" i="70"/>
  <c r="W106" i="70"/>
  <c r="V106" i="70"/>
  <c r="J106" i="70"/>
  <c r="I106" i="70"/>
  <c r="H106" i="70"/>
  <c r="GI105" i="70"/>
  <c r="FU105" i="70"/>
  <c r="FG105" i="70"/>
  <c r="ES105" i="70"/>
  <c r="EE105" i="70"/>
  <c r="DR105" i="70"/>
  <c r="DQ105" i="70"/>
  <c r="DP105" i="70"/>
  <c r="DD105" i="70"/>
  <c r="DC105" i="70"/>
  <c r="DB105" i="70"/>
  <c r="CP105" i="70"/>
  <c r="CO105" i="70"/>
  <c r="CN105" i="70"/>
  <c r="CB105" i="70"/>
  <c r="CC105" i="70" s="1"/>
  <c r="CA105" i="70"/>
  <c r="BZ105" i="70"/>
  <c r="BN105" i="70"/>
  <c r="BM105" i="70"/>
  <c r="BL105" i="70"/>
  <c r="AZ105" i="70"/>
  <c r="BE105" i="70"/>
  <c r="AY105" i="70"/>
  <c r="AX105" i="70"/>
  <c r="AL105" i="70"/>
  <c r="AK105" i="70"/>
  <c r="AJ105" i="70"/>
  <c r="X105" i="70"/>
  <c r="W105" i="70"/>
  <c r="V105" i="70"/>
  <c r="J105" i="70"/>
  <c r="K105" i="70" s="1"/>
  <c r="I105" i="70"/>
  <c r="O105" i="70" s="1"/>
  <c r="H105" i="70"/>
  <c r="N105" i="70" s="1"/>
  <c r="GI104" i="70"/>
  <c r="FU104" i="70"/>
  <c r="FG104" i="70"/>
  <c r="ES104" i="70"/>
  <c r="EE104" i="70"/>
  <c r="DV104" i="70"/>
  <c r="DR104" i="70"/>
  <c r="DQ104" i="70"/>
  <c r="DP104" i="70"/>
  <c r="DD104" i="70"/>
  <c r="DC104" i="70"/>
  <c r="DB104" i="70"/>
  <c r="CT104" i="70"/>
  <c r="CP104" i="70"/>
  <c r="CO104" i="70"/>
  <c r="CN104" i="70"/>
  <c r="CB104" i="70"/>
  <c r="CA104" i="70"/>
  <c r="BZ104" i="70"/>
  <c r="CF104" i="70" s="1"/>
  <c r="BN104" i="70"/>
  <c r="BM104" i="70"/>
  <c r="BL104" i="70"/>
  <c r="BR104" i="70" s="1"/>
  <c r="AZ104" i="70"/>
  <c r="AY104" i="70"/>
  <c r="AX104" i="70"/>
  <c r="AL104" i="70"/>
  <c r="AK104" i="70"/>
  <c r="AJ104" i="70"/>
  <c r="AP104" i="70" s="1"/>
  <c r="X104" i="70"/>
  <c r="W104" i="70"/>
  <c r="V104" i="70"/>
  <c r="J104" i="70"/>
  <c r="K104" i="70" s="1"/>
  <c r="I104" i="70"/>
  <c r="H104" i="70"/>
  <c r="GI103" i="70"/>
  <c r="FU103" i="70"/>
  <c r="FG103" i="70"/>
  <c r="ES103" i="70"/>
  <c r="EE103" i="70"/>
  <c r="DR103" i="70"/>
  <c r="DW103" i="70" s="1"/>
  <c r="DQ103" i="70"/>
  <c r="DP103" i="70"/>
  <c r="DV103" i="70" s="1"/>
  <c r="DD103" i="70"/>
  <c r="DC103" i="70"/>
  <c r="DB103" i="70"/>
  <c r="DH103" i="70" s="1"/>
  <c r="CP103" i="70"/>
  <c r="CO103" i="70"/>
  <c r="CU103" i="70" s="1"/>
  <c r="CN103" i="70"/>
  <c r="CT103" i="70"/>
  <c r="CB103" i="70"/>
  <c r="CA103" i="70"/>
  <c r="BZ103" i="70"/>
  <c r="CF103" i="70"/>
  <c r="BN103" i="70"/>
  <c r="BM103" i="70"/>
  <c r="BL103" i="70"/>
  <c r="BR103" i="70"/>
  <c r="AZ103" i="70"/>
  <c r="AY103" i="70"/>
  <c r="AX103" i="70"/>
  <c r="AL103" i="70"/>
  <c r="AK103" i="70"/>
  <c r="AQ103" i="70"/>
  <c r="AJ103" i="70"/>
  <c r="AP103" i="70" s="1"/>
  <c r="X103" i="70"/>
  <c r="W103" i="70"/>
  <c r="V103" i="70"/>
  <c r="AB103" i="70" s="1"/>
  <c r="J103" i="70"/>
  <c r="K103" i="70" s="1"/>
  <c r="I103" i="70"/>
  <c r="O103" i="70" s="1"/>
  <c r="H103" i="70"/>
  <c r="GI101" i="70"/>
  <c r="FU101" i="70"/>
  <c r="FG101" i="70"/>
  <c r="ES101" i="70"/>
  <c r="EE101" i="70"/>
  <c r="DR101" i="70"/>
  <c r="DQ101" i="70"/>
  <c r="DP101" i="70"/>
  <c r="DV101" i="70" s="1"/>
  <c r="DD101" i="70"/>
  <c r="DC101" i="70"/>
  <c r="DB101" i="70"/>
  <c r="DH101" i="70"/>
  <c r="CP101" i="70"/>
  <c r="CO101" i="70"/>
  <c r="CN101" i="70"/>
  <c r="CT101" i="70"/>
  <c r="CB101" i="70"/>
  <c r="CA101" i="70"/>
  <c r="CG101" i="70" s="1"/>
  <c r="BZ101" i="70"/>
  <c r="CF101" i="70" s="1"/>
  <c r="BN101" i="70"/>
  <c r="BM101" i="70"/>
  <c r="BL101" i="70"/>
  <c r="BR101" i="70" s="1"/>
  <c r="AZ101" i="70"/>
  <c r="AY101" i="70"/>
  <c r="AX101" i="70"/>
  <c r="BD101" i="70" s="1"/>
  <c r="AL101" i="70"/>
  <c r="AK101" i="70"/>
  <c r="AQ101" i="70"/>
  <c r="AJ101" i="70"/>
  <c r="AP101" i="70" s="1"/>
  <c r="X101" i="70"/>
  <c r="W101" i="70"/>
  <c r="V101" i="70"/>
  <c r="AB101" i="70" s="1"/>
  <c r="J101" i="70"/>
  <c r="I101" i="70"/>
  <c r="H101" i="70"/>
  <c r="N101" i="70" s="1"/>
  <c r="GI100" i="70"/>
  <c r="FU100" i="70"/>
  <c r="FG100" i="70"/>
  <c r="ES100" i="70"/>
  <c r="EE100" i="70"/>
  <c r="DR100" i="70"/>
  <c r="DQ100" i="70"/>
  <c r="DP100" i="70"/>
  <c r="DV100" i="70" s="1"/>
  <c r="DD100" i="70"/>
  <c r="DC100" i="70"/>
  <c r="DI100" i="70" s="1"/>
  <c r="DB100" i="70"/>
  <c r="CP100" i="70"/>
  <c r="CO100" i="70"/>
  <c r="CN100" i="70"/>
  <c r="CT100" i="70" s="1"/>
  <c r="CB100" i="70"/>
  <c r="CA100" i="70"/>
  <c r="BZ100" i="70"/>
  <c r="CC100" i="70" s="1"/>
  <c r="BN100" i="70"/>
  <c r="BM100" i="70"/>
  <c r="BL100" i="70"/>
  <c r="BR100" i="70" s="1"/>
  <c r="AZ100" i="70"/>
  <c r="AY100" i="70"/>
  <c r="AX100" i="70"/>
  <c r="AL100" i="70"/>
  <c r="AK100" i="70"/>
  <c r="AJ100" i="70"/>
  <c r="X100" i="70"/>
  <c r="W100" i="70"/>
  <c r="V100" i="70"/>
  <c r="J100" i="70"/>
  <c r="I100" i="70"/>
  <c r="H100" i="70"/>
  <c r="GI99" i="70"/>
  <c r="FU99" i="70"/>
  <c r="FG99" i="70"/>
  <c r="ES99" i="70"/>
  <c r="EE99" i="70"/>
  <c r="DR99" i="70"/>
  <c r="DQ99" i="70"/>
  <c r="DP99" i="70"/>
  <c r="DV99" i="70" s="1"/>
  <c r="DD99" i="70"/>
  <c r="DI99" i="70" s="1"/>
  <c r="DC99" i="70"/>
  <c r="DB99" i="70"/>
  <c r="DH99" i="70"/>
  <c r="CP99" i="70"/>
  <c r="CU99" i="70" s="1"/>
  <c r="CO99" i="70"/>
  <c r="CN99" i="70"/>
  <c r="CB99" i="70"/>
  <c r="CG99" i="70" s="1"/>
  <c r="CA99" i="70"/>
  <c r="BZ99" i="70"/>
  <c r="CF99" i="70"/>
  <c r="BN99" i="70"/>
  <c r="BM99" i="70"/>
  <c r="BL99" i="70"/>
  <c r="BR99" i="70"/>
  <c r="AZ99" i="70"/>
  <c r="AY99" i="70"/>
  <c r="AX99" i="70"/>
  <c r="AL99" i="70"/>
  <c r="AK99" i="70"/>
  <c r="AQ99" i="70" s="1"/>
  <c r="AJ99" i="70"/>
  <c r="AP99" i="70" s="1"/>
  <c r="X99" i="70"/>
  <c r="W99" i="70"/>
  <c r="AC99" i="70" s="1"/>
  <c r="V99" i="70"/>
  <c r="AB99" i="70" s="1"/>
  <c r="J99" i="70"/>
  <c r="I99" i="70"/>
  <c r="H99" i="70"/>
  <c r="GI98" i="70"/>
  <c r="FU98" i="70"/>
  <c r="FG98" i="70"/>
  <c r="ES98" i="70"/>
  <c r="EE98" i="70"/>
  <c r="DR98" i="70"/>
  <c r="DW98" i="70"/>
  <c r="DQ98" i="70"/>
  <c r="DP98" i="70"/>
  <c r="DV98" i="70"/>
  <c r="DD98" i="70"/>
  <c r="DC98" i="70"/>
  <c r="DB98" i="70"/>
  <c r="CP98" i="70"/>
  <c r="CO98" i="70"/>
  <c r="CN98" i="70"/>
  <c r="CB98" i="70"/>
  <c r="CA98" i="70"/>
  <c r="BZ98" i="70"/>
  <c r="CC98" i="70" s="1"/>
  <c r="BN98" i="70"/>
  <c r="BM98" i="70"/>
  <c r="BL98" i="70"/>
  <c r="BR98" i="70" s="1"/>
  <c r="AZ98" i="70"/>
  <c r="AY98" i="70"/>
  <c r="AX98" i="70"/>
  <c r="AL98" i="70"/>
  <c r="AK98" i="70"/>
  <c r="AQ98" i="70" s="1"/>
  <c r="AJ98" i="70"/>
  <c r="X98" i="70"/>
  <c r="W98" i="70"/>
  <c r="V98" i="70"/>
  <c r="Y98" i="70" s="1"/>
  <c r="J98" i="70"/>
  <c r="I98" i="70"/>
  <c r="H98" i="70"/>
  <c r="N98" i="70" s="1"/>
  <c r="GI97" i="70"/>
  <c r="FU97" i="70"/>
  <c r="FG97" i="70"/>
  <c r="ES97" i="70"/>
  <c r="EE97" i="70"/>
  <c r="DR97" i="70"/>
  <c r="DQ97" i="70"/>
  <c r="DP97" i="70"/>
  <c r="DV97" i="70"/>
  <c r="DD97" i="70"/>
  <c r="DC97" i="70"/>
  <c r="DB97" i="70"/>
  <c r="DH97" i="70"/>
  <c r="CP97" i="70"/>
  <c r="CO97" i="70"/>
  <c r="CN97" i="70"/>
  <c r="FW97" i="70"/>
  <c r="DL87" i="7" s="1"/>
  <c r="CB97" i="70"/>
  <c r="CA97" i="70"/>
  <c r="BZ97" i="70"/>
  <c r="BN97" i="70"/>
  <c r="BM97" i="70"/>
  <c r="BL97" i="70"/>
  <c r="AZ97" i="70"/>
  <c r="AY97" i="70"/>
  <c r="AX97" i="70"/>
  <c r="AL97" i="70"/>
  <c r="AK97" i="70"/>
  <c r="AJ97" i="70"/>
  <c r="X97" i="70"/>
  <c r="W97" i="70"/>
  <c r="V97" i="70"/>
  <c r="AB97" i="70" s="1"/>
  <c r="J97" i="70"/>
  <c r="K97" i="70"/>
  <c r="I97" i="70"/>
  <c r="H97" i="70"/>
  <c r="N97" i="70" s="1"/>
  <c r="GI96" i="70"/>
  <c r="FU96" i="70"/>
  <c r="FG96" i="70"/>
  <c r="ES96" i="70"/>
  <c r="EE96" i="70"/>
  <c r="DR96" i="70"/>
  <c r="DQ96" i="70"/>
  <c r="DP96" i="70"/>
  <c r="DD96" i="70"/>
  <c r="DC96" i="70"/>
  <c r="DB96" i="70"/>
  <c r="CP96" i="70"/>
  <c r="CO96" i="70"/>
  <c r="CN96" i="70"/>
  <c r="CB96" i="70"/>
  <c r="CA96" i="70"/>
  <c r="BZ96" i="70"/>
  <c r="BN96" i="70"/>
  <c r="BM96" i="70"/>
  <c r="BL96" i="70"/>
  <c r="AZ96" i="70"/>
  <c r="AY96" i="70"/>
  <c r="AX96" i="70"/>
  <c r="AL96" i="70"/>
  <c r="AK96" i="70"/>
  <c r="AJ96" i="70"/>
  <c r="X96" i="70"/>
  <c r="W96" i="70"/>
  <c r="V96" i="70"/>
  <c r="J96" i="70"/>
  <c r="K96" i="70"/>
  <c r="I96" i="70"/>
  <c r="H96" i="70"/>
  <c r="GI95" i="70"/>
  <c r="FU95" i="70"/>
  <c r="FG95" i="70"/>
  <c r="ES95" i="70"/>
  <c r="EE95" i="70"/>
  <c r="DR95" i="70"/>
  <c r="DQ95" i="70"/>
  <c r="DP95" i="70"/>
  <c r="DV95" i="70"/>
  <c r="DD95" i="70"/>
  <c r="DC95" i="70"/>
  <c r="DB95" i="70"/>
  <c r="DH95" i="70"/>
  <c r="CP95" i="70"/>
  <c r="CO95" i="70"/>
  <c r="CN95" i="70"/>
  <c r="CB95" i="70"/>
  <c r="CA95" i="70"/>
  <c r="BZ95" i="70"/>
  <c r="CF95" i="70" s="1"/>
  <c r="BN95" i="70"/>
  <c r="BM95" i="70"/>
  <c r="BL95" i="70"/>
  <c r="BR95" i="70" s="1"/>
  <c r="AZ95" i="70"/>
  <c r="AY95" i="70"/>
  <c r="AX95" i="70"/>
  <c r="AL95" i="70"/>
  <c r="AK95" i="70"/>
  <c r="AJ95" i="70"/>
  <c r="AP95" i="70" s="1"/>
  <c r="X95" i="70"/>
  <c r="W95" i="70"/>
  <c r="V95" i="70"/>
  <c r="J95" i="70"/>
  <c r="K95" i="70" s="1"/>
  <c r="I95" i="70"/>
  <c r="H95" i="70"/>
  <c r="GI94" i="70"/>
  <c r="FU94" i="70"/>
  <c r="FG94" i="70"/>
  <c r="ES94" i="70"/>
  <c r="EE94" i="70"/>
  <c r="DR94" i="70"/>
  <c r="DQ94" i="70"/>
  <c r="DS94" i="70" s="1"/>
  <c r="DP94" i="70"/>
  <c r="DD94" i="70"/>
  <c r="DC94" i="70"/>
  <c r="DB94" i="70"/>
  <c r="CP94" i="70"/>
  <c r="CO94" i="70"/>
  <c r="CN94" i="70"/>
  <c r="CB94" i="70"/>
  <c r="CA94" i="70"/>
  <c r="CG94" i="70"/>
  <c r="BZ94" i="70"/>
  <c r="BN94" i="70"/>
  <c r="BM94" i="70"/>
  <c r="BL94" i="70"/>
  <c r="AZ94" i="70"/>
  <c r="AY94" i="70"/>
  <c r="AX94" i="70"/>
  <c r="AL94" i="70"/>
  <c r="AK94" i="70"/>
  <c r="AJ94" i="70"/>
  <c r="X94" i="70"/>
  <c r="W94" i="70"/>
  <c r="V94" i="70"/>
  <c r="J94" i="70"/>
  <c r="I94" i="70"/>
  <c r="H94" i="70"/>
  <c r="GI93" i="70"/>
  <c r="FU93" i="70"/>
  <c r="FG93" i="70"/>
  <c r="ES93" i="70"/>
  <c r="EE93" i="70"/>
  <c r="DR93" i="70"/>
  <c r="DQ93" i="70"/>
  <c r="DP93" i="70"/>
  <c r="DD93" i="70"/>
  <c r="DC93" i="70"/>
  <c r="DB93" i="70"/>
  <c r="CP93" i="70"/>
  <c r="CO93" i="70"/>
  <c r="CN93" i="70"/>
  <c r="CB93" i="70"/>
  <c r="CA93" i="70"/>
  <c r="BZ93" i="70"/>
  <c r="CF93" i="70"/>
  <c r="BN93" i="70"/>
  <c r="BM93" i="70"/>
  <c r="BS93" i="70" s="1"/>
  <c r="BL93" i="70"/>
  <c r="AZ93" i="70"/>
  <c r="AY93" i="70"/>
  <c r="AX93" i="70"/>
  <c r="AL93" i="70"/>
  <c r="AK93" i="70"/>
  <c r="AJ93" i="70"/>
  <c r="X93" i="70"/>
  <c r="W93" i="70"/>
  <c r="V93" i="70"/>
  <c r="J93" i="70"/>
  <c r="I93" i="70"/>
  <c r="H93" i="70"/>
  <c r="GI91" i="70"/>
  <c r="FU91" i="70"/>
  <c r="FG91" i="70"/>
  <c r="ES91" i="70"/>
  <c r="EE91" i="70"/>
  <c r="DR91" i="70"/>
  <c r="DQ91" i="70"/>
  <c r="DP91" i="70"/>
  <c r="DV91" i="70" s="1"/>
  <c r="DD91" i="70"/>
  <c r="DC91" i="70"/>
  <c r="DI91" i="70"/>
  <c r="DB91" i="70"/>
  <c r="DH91" i="70"/>
  <c r="CP91" i="70"/>
  <c r="CO91" i="70"/>
  <c r="CU91" i="70" s="1"/>
  <c r="CN91" i="70"/>
  <c r="FW91" i="70"/>
  <c r="DL81" i="7" s="1"/>
  <c r="CB91" i="70"/>
  <c r="CA91" i="70"/>
  <c r="BZ91" i="70"/>
  <c r="BN91" i="70"/>
  <c r="BM91" i="70"/>
  <c r="BL91" i="70"/>
  <c r="BR91" i="70"/>
  <c r="AZ91" i="70"/>
  <c r="AY91" i="70"/>
  <c r="AX91" i="70"/>
  <c r="BD91" i="70"/>
  <c r="AL91" i="70"/>
  <c r="AK91" i="70"/>
  <c r="AJ91" i="70"/>
  <c r="AP91" i="70"/>
  <c r="X91" i="70"/>
  <c r="W91" i="70"/>
  <c r="V91" i="70"/>
  <c r="AB91" i="70" s="1"/>
  <c r="J91" i="70"/>
  <c r="K91" i="70" s="1"/>
  <c r="I91" i="70"/>
  <c r="H91" i="70"/>
  <c r="GI90" i="70"/>
  <c r="FU90" i="70"/>
  <c r="FG90" i="70"/>
  <c r="ES90" i="70"/>
  <c r="EE90" i="70"/>
  <c r="DR90" i="70"/>
  <c r="DQ90" i="70"/>
  <c r="DP90" i="70"/>
  <c r="DV90" i="70" s="1"/>
  <c r="DD90" i="70"/>
  <c r="DC90" i="70"/>
  <c r="DB90" i="70"/>
  <c r="DH90" i="70" s="1"/>
  <c r="CP90" i="70"/>
  <c r="CO90" i="70"/>
  <c r="CU90" i="70" s="1"/>
  <c r="CN90" i="70"/>
  <c r="CT90" i="70" s="1"/>
  <c r="CB90" i="70"/>
  <c r="CG90" i="70"/>
  <c r="CA90" i="70"/>
  <c r="BZ90" i="70"/>
  <c r="CF90" i="70"/>
  <c r="BN90" i="70"/>
  <c r="BS90" i="70" s="1"/>
  <c r="BM90" i="70"/>
  <c r="BL90" i="70"/>
  <c r="BR90" i="70"/>
  <c r="AZ90" i="70"/>
  <c r="AY90" i="70"/>
  <c r="AX90" i="70"/>
  <c r="AL90" i="70"/>
  <c r="AK90" i="70"/>
  <c r="AQ90" i="70" s="1"/>
  <c r="AJ90" i="70"/>
  <c r="AP90" i="70" s="1"/>
  <c r="X90" i="70"/>
  <c r="W90" i="70"/>
  <c r="V90" i="70"/>
  <c r="AB90" i="70" s="1"/>
  <c r="J90" i="70"/>
  <c r="K90" i="70" s="1"/>
  <c r="I90" i="70"/>
  <c r="O90" i="70" s="1"/>
  <c r="H90" i="70"/>
  <c r="GI89" i="70"/>
  <c r="FU89" i="70"/>
  <c r="FG89" i="70"/>
  <c r="ES89" i="70"/>
  <c r="EE89" i="70"/>
  <c r="DR89" i="70"/>
  <c r="DQ89" i="70"/>
  <c r="DP89" i="70"/>
  <c r="DV89" i="70"/>
  <c r="DD89" i="70"/>
  <c r="DC89" i="70"/>
  <c r="DB89" i="70"/>
  <c r="DH89" i="70"/>
  <c r="CP89" i="70"/>
  <c r="CO89" i="70"/>
  <c r="CN89" i="70"/>
  <c r="FW89" i="70"/>
  <c r="DL79" i="7"/>
  <c r="CB89" i="70"/>
  <c r="CA89" i="70"/>
  <c r="BZ89" i="70"/>
  <c r="CF89" i="70"/>
  <c r="BN89" i="70"/>
  <c r="BM89" i="70"/>
  <c r="BL89" i="70"/>
  <c r="BR89" i="70"/>
  <c r="AZ89" i="70"/>
  <c r="AY89" i="70"/>
  <c r="AX89" i="70"/>
  <c r="GK89" i="70"/>
  <c r="DT79" i="7" s="1"/>
  <c r="AL89" i="70"/>
  <c r="AK89" i="70"/>
  <c r="AJ89" i="70"/>
  <c r="X89" i="70"/>
  <c r="W89" i="70"/>
  <c r="V89" i="70"/>
  <c r="AB89" i="70"/>
  <c r="J89" i="70"/>
  <c r="K89" i="70" s="1"/>
  <c r="I89" i="70"/>
  <c r="H89" i="70"/>
  <c r="GI88" i="70"/>
  <c r="FU88" i="70"/>
  <c r="FG88" i="70"/>
  <c r="ES88" i="70"/>
  <c r="EE88" i="70"/>
  <c r="DR88" i="70"/>
  <c r="DQ88" i="70"/>
  <c r="DP88" i="70"/>
  <c r="DD88" i="70"/>
  <c r="DC88" i="70"/>
  <c r="DB88" i="70"/>
  <c r="CP88" i="70"/>
  <c r="CO88" i="70"/>
  <c r="CN88" i="70"/>
  <c r="CB88" i="70"/>
  <c r="CA88" i="70"/>
  <c r="CG88" i="70" s="1"/>
  <c r="BZ88" i="70"/>
  <c r="BN88" i="70"/>
  <c r="BM88" i="70"/>
  <c r="BL88" i="70"/>
  <c r="AZ88" i="70"/>
  <c r="AY88" i="70"/>
  <c r="AX88" i="70"/>
  <c r="AL88" i="70"/>
  <c r="AK88" i="70"/>
  <c r="AJ88" i="70"/>
  <c r="X88" i="70"/>
  <c r="W88" i="70"/>
  <c r="V88" i="70"/>
  <c r="J88" i="70"/>
  <c r="K88" i="70" s="1"/>
  <c r="I88" i="70"/>
  <c r="H88" i="70"/>
  <c r="GI87" i="70"/>
  <c r="FU87" i="70"/>
  <c r="FG87" i="70"/>
  <c r="ES87" i="70"/>
  <c r="EE87" i="70"/>
  <c r="DR87" i="70"/>
  <c r="DQ87" i="70"/>
  <c r="DP87" i="70"/>
  <c r="DD87" i="70"/>
  <c r="DC87" i="70"/>
  <c r="DB87" i="70"/>
  <c r="CP87" i="70"/>
  <c r="CO87" i="70"/>
  <c r="CN87" i="70"/>
  <c r="CB87" i="70"/>
  <c r="CA87" i="70"/>
  <c r="BZ87" i="70"/>
  <c r="BN87" i="70"/>
  <c r="BS87" i="70" s="1"/>
  <c r="BM87" i="70"/>
  <c r="BL87" i="70"/>
  <c r="AZ87" i="70"/>
  <c r="BE87" i="70" s="1"/>
  <c r="AY87" i="70"/>
  <c r="AX87" i="70"/>
  <c r="AL87" i="70"/>
  <c r="AK87" i="70"/>
  <c r="AJ87" i="70"/>
  <c r="X87" i="70"/>
  <c r="W87" i="70"/>
  <c r="V87" i="70"/>
  <c r="AB87" i="70" s="1"/>
  <c r="J87" i="70"/>
  <c r="I87" i="70"/>
  <c r="H87" i="70"/>
  <c r="N87" i="70" s="1"/>
  <c r="GI86" i="70"/>
  <c r="FU86" i="70"/>
  <c r="FG86" i="70"/>
  <c r="ES86" i="70"/>
  <c r="EE86" i="70"/>
  <c r="DR86" i="70"/>
  <c r="DQ86" i="70"/>
  <c r="DP86" i="70"/>
  <c r="DV86" i="70" s="1"/>
  <c r="DD86" i="70"/>
  <c r="DC86" i="70"/>
  <c r="DB86" i="70"/>
  <c r="DH86" i="70" s="1"/>
  <c r="CP86" i="70"/>
  <c r="CO86" i="70"/>
  <c r="CN86" i="70"/>
  <c r="CB86" i="70"/>
  <c r="CA86" i="70"/>
  <c r="CG86" i="70" s="1"/>
  <c r="BZ86" i="70"/>
  <c r="CF86" i="70" s="1"/>
  <c r="BN86" i="70"/>
  <c r="BM86" i="70"/>
  <c r="BL86" i="70"/>
  <c r="BR86" i="70" s="1"/>
  <c r="AZ86" i="70"/>
  <c r="AY86" i="70"/>
  <c r="AX86" i="70"/>
  <c r="BD86" i="70" s="1"/>
  <c r="AL86" i="70"/>
  <c r="AK86" i="70"/>
  <c r="AQ86" i="70" s="1"/>
  <c r="AJ86" i="70"/>
  <c r="X86" i="70"/>
  <c r="W86" i="70"/>
  <c r="V86" i="70"/>
  <c r="AB86" i="70" s="1"/>
  <c r="J86" i="70"/>
  <c r="K86" i="70" s="1"/>
  <c r="I86" i="70"/>
  <c r="H86" i="70"/>
  <c r="N86" i="70"/>
  <c r="GI85" i="70"/>
  <c r="FU85" i="70"/>
  <c r="FG85" i="70"/>
  <c r="ES85" i="70"/>
  <c r="EE85" i="70"/>
  <c r="DR85" i="70"/>
  <c r="DQ85" i="70"/>
  <c r="DP85" i="70"/>
  <c r="DV85" i="70" s="1"/>
  <c r="DD85" i="70"/>
  <c r="DC85" i="70"/>
  <c r="DB85" i="70"/>
  <c r="DH85" i="70" s="1"/>
  <c r="CP85" i="70"/>
  <c r="CO85" i="70"/>
  <c r="CN85" i="70"/>
  <c r="FW85" i="70"/>
  <c r="DL75" i="7" s="1"/>
  <c r="CB85" i="70"/>
  <c r="CA85" i="70"/>
  <c r="BZ85" i="70"/>
  <c r="CF85" i="70" s="1"/>
  <c r="BN85" i="70"/>
  <c r="BM85" i="70"/>
  <c r="BL85" i="70"/>
  <c r="BR85" i="70" s="1"/>
  <c r="AZ85" i="70"/>
  <c r="AY85" i="70"/>
  <c r="AX85" i="70"/>
  <c r="BD85" i="70" s="1"/>
  <c r="AL85" i="70"/>
  <c r="AK85" i="70"/>
  <c r="AJ85" i="70"/>
  <c r="X85" i="70"/>
  <c r="W85" i="70"/>
  <c r="V85" i="70"/>
  <c r="AB85" i="70"/>
  <c r="J85" i="70"/>
  <c r="K85" i="70"/>
  <c r="L85" i="70" s="1"/>
  <c r="I85" i="70"/>
  <c r="H85" i="70"/>
  <c r="GI84" i="70"/>
  <c r="FU84" i="70"/>
  <c r="FG84" i="70"/>
  <c r="ES84" i="70"/>
  <c r="EE84" i="70"/>
  <c r="DR84" i="70"/>
  <c r="DQ84" i="70"/>
  <c r="DW84" i="70" s="1"/>
  <c r="DP84" i="70"/>
  <c r="DV84" i="70"/>
  <c r="DD84" i="70"/>
  <c r="DC84" i="70"/>
  <c r="DB84" i="70"/>
  <c r="DH84" i="70"/>
  <c r="CP84" i="70"/>
  <c r="CO84" i="70"/>
  <c r="CN84" i="70"/>
  <c r="CT84" i="70"/>
  <c r="CB84" i="70"/>
  <c r="CA84" i="70"/>
  <c r="BZ84" i="70"/>
  <c r="CF84" i="70"/>
  <c r="BN84" i="70"/>
  <c r="BM84" i="70"/>
  <c r="BL84" i="70"/>
  <c r="BR84" i="70"/>
  <c r="AZ84" i="70"/>
  <c r="AY84" i="70"/>
  <c r="AX84" i="70"/>
  <c r="AL84" i="70"/>
  <c r="AK84" i="70"/>
  <c r="AJ84" i="70"/>
  <c r="AP84" i="70" s="1"/>
  <c r="X84" i="70"/>
  <c r="AC84" i="70"/>
  <c r="W84" i="70"/>
  <c r="V84" i="70"/>
  <c r="AB84" i="70"/>
  <c r="K84" i="70"/>
  <c r="J84" i="70"/>
  <c r="O84" i="70" s="1"/>
  <c r="I84" i="70"/>
  <c r="H84" i="70"/>
  <c r="GI83" i="70"/>
  <c r="FU83" i="70"/>
  <c r="FG83" i="70"/>
  <c r="ES83" i="70"/>
  <c r="EE83" i="70"/>
  <c r="DR83" i="70"/>
  <c r="DQ83" i="70"/>
  <c r="DW83" i="70"/>
  <c r="DP83" i="70"/>
  <c r="DD83" i="70"/>
  <c r="DC83" i="70"/>
  <c r="DI83" i="70" s="1"/>
  <c r="DB83" i="70"/>
  <c r="CP83" i="70"/>
  <c r="CO83" i="70"/>
  <c r="CN83" i="70"/>
  <c r="CB83" i="70"/>
  <c r="CA83" i="70"/>
  <c r="BZ83" i="70"/>
  <c r="BN83" i="70"/>
  <c r="BM83" i="70"/>
  <c r="BL83" i="70"/>
  <c r="AZ83" i="70"/>
  <c r="AY83" i="70"/>
  <c r="AX83" i="70"/>
  <c r="AL83" i="70"/>
  <c r="AK83" i="70"/>
  <c r="AJ83" i="70"/>
  <c r="X83" i="70"/>
  <c r="W83" i="70"/>
  <c r="V83" i="70"/>
  <c r="J83" i="70"/>
  <c r="I83" i="70"/>
  <c r="H83" i="70"/>
  <c r="GI81" i="70"/>
  <c r="FU81" i="70"/>
  <c r="FG81" i="70"/>
  <c r="ES81" i="70"/>
  <c r="EE81" i="70"/>
  <c r="DR81" i="70"/>
  <c r="DQ81" i="70"/>
  <c r="DP81" i="70"/>
  <c r="DV81" i="70"/>
  <c r="DD81" i="70"/>
  <c r="DC81" i="70"/>
  <c r="DB81" i="70"/>
  <c r="DH81" i="70"/>
  <c r="CP81" i="70"/>
  <c r="CO81" i="70"/>
  <c r="CN81" i="70"/>
  <c r="CB81" i="70"/>
  <c r="CA81" i="70"/>
  <c r="BZ81" i="70"/>
  <c r="CF81" i="70" s="1"/>
  <c r="BN81" i="70"/>
  <c r="BM81" i="70"/>
  <c r="BS81" i="70"/>
  <c r="BL81" i="70"/>
  <c r="BR81" i="70" s="1"/>
  <c r="BD81" i="70"/>
  <c r="AZ81" i="70"/>
  <c r="AY81" i="70"/>
  <c r="AX81" i="70"/>
  <c r="AL81" i="70"/>
  <c r="AK81" i="70"/>
  <c r="AJ81" i="70"/>
  <c r="AP81" i="70" s="1"/>
  <c r="X81" i="70"/>
  <c r="W81" i="70"/>
  <c r="V81" i="70"/>
  <c r="AB81" i="70"/>
  <c r="J81" i="70"/>
  <c r="I81" i="70"/>
  <c r="H81" i="70"/>
  <c r="GI80" i="70"/>
  <c r="FU80" i="70"/>
  <c r="FG80" i="70"/>
  <c r="ES80" i="70"/>
  <c r="EE80" i="70"/>
  <c r="DR80" i="70"/>
  <c r="DQ80" i="70"/>
  <c r="DP80" i="70"/>
  <c r="DD80" i="70"/>
  <c r="DC80" i="70"/>
  <c r="DB80" i="70"/>
  <c r="CP80" i="70"/>
  <c r="CO80" i="70"/>
  <c r="CN80" i="70"/>
  <c r="CB80" i="70"/>
  <c r="CA80" i="70"/>
  <c r="CG80" i="70"/>
  <c r="BZ80" i="70"/>
  <c r="BN80" i="70"/>
  <c r="BM80" i="70"/>
  <c r="BS80" i="70"/>
  <c r="BL80" i="70"/>
  <c r="AZ80" i="70"/>
  <c r="AY80" i="70"/>
  <c r="AX80" i="70"/>
  <c r="AL80" i="70"/>
  <c r="AK80" i="70"/>
  <c r="AQ80" i="70" s="1"/>
  <c r="AJ80" i="70"/>
  <c r="AP80" i="70" s="1"/>
  <c r="X80" i="70"/>
  <c r="W80" i="70"/>
  <c r="V80" i="70"/>
  <c r="J80" i="70"/>
  <c r="K80" i="70" s="1"/>
  <c r="I80" i="70"/>
  <c r="O80" i="70" s="1"/>
  <c r="H80" i="70"/>
  <c r="GI79" i="70"/>
  <c r="FU79" i="70"/>
  <c r="FG79" i="70"/>
  <c r="ES79" i="70"/>
  <c r="EE79" i="70"/>
  <c r="DR79" i="70"/>
  <c r="DQ79" i="70"/>
  <c r="DP79" i="70"/>
  <c r="DV79" i="70"/>
  <c r="DD79" i="70"/>
  <c r="DC79" i="70"/>
  <c r="DB79" i="70"/>
  <c r="DH79" i="70"/>
  <c r="CP79" i="70"/>
  <c r="CO79" i="70"/>
  <c r="CN79" i="70"/>
  <c r="CB79" i="70"/>
  <c r="CA79" i="70"/>
  <c r="BZ79" i="70"/>
  <c r="BN79" i="70"/>
  <c r="BM79" i="70"/>
  <c r="BL79" i="70"/>
  <c r="BR79" i="70" s="1"/>
  <c r="AZ79" i="70"/>
  <c r="BE79" i="70" s="1"/>
  <c r="AY79" i="70"/>
  <c r="AX79" i="70"/>
  <c r="BD79" i="70"/>
  <c r="AL79" i="70"/>
  <c r="AK79" i="70"/>
  <c r="AJ79" i="70"/>
  <c r="X79" i="70"/>
  <c r="AC79" i="70" s="1"/>
  <c r="W79" i="70"/>
  <c r="V79" i="70"/>
  <c r="J79" i="70"/>
  <c r="K79" i="70" s="1"/>
  <c r="I79" i="70"/>
  <c r="H79" i="70"/>
  <c r="N79" i="70" s="1"/>
  <c r="GI78" i="70"/>
  <c r="FU78" i="70"/>
  <c r="FG78" i="70"/>
  <c r="ES78" i="70"/>
  <c r="EE78" i="70"/>
  <c r="DR78" i="70"/>
  <c r="DQ78" i="70"/>
  <c r="DW78" i="70" s="1"/>
  <c r="DP78" i="70"/>
  <c r="DV78" i="70" s="1"/>
  <c r="DD78" i="70"/>
  <c r="DC78" i="70"/>
  <c r="DB78" i="70"/>
  <c r="DH78" i="70" s="1"/>
  <c r="CP78" i="70"/>
  <c r="CO78" i="70"/>
  <c r="CN78" i="70"/>
  <c r="CB78" i="70"/>
  <c r="CA78" i="70"/>
  <c r="BZ78" i="70"/>
  <c r="CF78" i="70"/>
  <c r="BN78" i="70"/>
  <c r="BM78" i="70"/>
  <c r="BL78" i="70"/>
  <c r="AZ78" i="70"/>
  <c r="AY78" i="70"/>
  <c r="AX78" i="70"/>
  <c r="BD78" i="70" s="1"/>
  <c r="AL78" i="70"/>
  <c r="AK78" i="70"/>
  <c r="AJ78" i="70"/>
  <c r="X78" i="70"/>
  <c r="W78" i="70"/>
  <c r="V78" i="70"/>
  <c r="AB78" i="70" s="1"/>
  <c r="J78" i="70"/>
  <c r="K78" i="70" s="1"/>
  <c r="I78" i="70"/>
  <c r="H78" i="70"/>
  <c r="N78" i="70" s="1"/>
  <c r="GI77" i="70"/>
  <c r="FU77" i="70"/>
  <c r="FG77" i="70"/>
  <c r="ES77" i="70"/>
  <c r="EE77" i="70"/>
  <c r="DR77" i="70"/>
  <c r="DQ77" i="70"/>
  <c r="DW77" i="70" s="1"/>
  <c r="DP77" i="70"/>
  <c r="DD77" i="70"/>
  <c r="DC77" i="70"/>
  <c r="DB77" i="70"/>
  <c r="DH77" i="70" s="1"/>
  <c r="CP77" i="70"/>
  <c r="CO77" i="70"/>
  <c r="CU77" i="70" s="1"/>
  <c r="CN77" i="70"/>
  <c r="CB77" i="70"/>
  <c r="CA77" i="70"/>
  <c r="BZ77" i="70"/>
  <c r="CF77" i="70" s="1"/>
  <c r="BN77" i="70"/>
  <c r="BM77" i="70"/>
  <c r="BL77" i="70"/>
  <c r="AZ77" i="70"/>
  <c r="AY77" i="70"/>
  <c r="AX77" i="70"/>
  <c r="BD77" i="70"/>
  <c r="AL77" i="70"/>
  <c r="AK77" i="70"/>
  <c r="AJ77" i="70"/>
  <c r="X77" i="70"/>
  <c r="W77" i="70"/>
  <c r="V77" i="70"/>
  <c r="AB77" i="70"/>
  <c r="J77" i="70"/>
  <c r="I77" i="70"/>
  <c r="H77" i="70"/>
  <c r="N77" i="70"/>
  <c r="GI76" i="70"/>
  <c r="FU76" i="70"/>
  <c r="FG76" i="70"/>
  <c r="ES76" i="70"/>
  <c r="EE76" i="70"/>
  <c r="DR76" i="70"/>
  <c r="DW76" i="70" s="1"/>
  <c r="DQ76" i="70"/>
  <c r="DP76" i="70"/>
  <c r="DV76" i="70"/>
  <c r="DD76" i="70"/>
  <c r="DC76" i="70"/>
  <c r="DB76" i="70"/>
  <c r="DH76" i="70"/>
  <c r="CP76" i="70"/>
  <c r="CO76" i="70"/>
  <c r="CN76" i="70"/>
  <c r="CT76" i="70"/>
  <c r="CB76" i="70"/>
  <c r="CA76" i="70"/>
  <c r="BZ76" i="70"/>
  <c r="CF76" i="70"/>
  <c r="BN76" i="70"/>
  <c r="BM76" i="70"/>
  <c r="BL76" i="70"/>
  <c r="BR76" i="70"/>
  <c r="AZ76" i="70"/>
  <c r="AY76" i="70"/>
  <c r="AX76" i="70"/>
  <c r="AL76" i="70"/>
  <c r="AK76" i="70"/>
  <c r="AJ76" i="70"/>
  <c r="AP76" i="70" s="1"/>
  <c r="X76" i="70"/>
  <c r="W76" i="70"/>
  <c r="V76" i="70"/>
  <c r="AB76" i="70" s="1"/>
  <c r="J76" i="70"/>
  <c r="K76" i="70" s="1"/>
  <c r="I76" i="70"/>
  <c r="H76" i="70"/>
  <c r="GI75" i="70"/>
  <c r="FU75" i="70"/>
  <c r="FG75" i="70"/>
  <c r="ES75" i="70"/>
  <c r="EE75" i="70"/>
  <c r="DR75" i="70"/>
  <c r="DQ75" i="70"/>
  <c r="DP75" i="70"/>
  <c r="DV75" i="70" s="1"/>
  <c r="DD75" i="70"/>
  <c r="DC75" i="70"/>
  <c r="DB75" i="70"/>
  <c r="DH75" i="70" s="1"/>
  <c r="CP75" i="70"/>
  <c r="CO75" i="70"/>
  <c r="CN75" i="70"/>
  <c r="CB75" i="70"/>
  <c r="CA75" i="70"/>
  <c r="CG75" i="70" s="1"/>
  <c r="BZ75" i="70"/>
  <c r="BN75" i="70"/>
  <c r="BM75" i="70"/>
  <c r="BL75" i="70"/>
  <c r="AZ75" i="70"/>
  <c r="AY75" i="70"/>
  <c r="AX75" i="70"/>
  <c r="AL75" i="70"/>
  <c r="AK75" i="70"/>
  <c r="AQ75" i="70" s="1"/>
  <c r="AJ75" i="70"/>
  <c r="X75" i="70"/>
  <c r="W75" i="70"/>
  <c r="V75" i="70"/>
  <c r="J75" i="70"/>
  <c r="I75" i="70"/>
  <c r="H75" i="70"/>
  <c r="GI74" i="70"/>
  <c r="FU74" i="70"/>
  <c r="FG74" i="70"/>
  <c r="ES74" i="70"/>
  <c r="EE74" i="70"/>
  <c r="DR74" i="70"/>
  <c r="DQ74" i="70"/>
  <c r="DP74" i="70"/>
  <c r="DD74" i="70"/>
  <c r="DC74" i="70"/>
  <c r="DB74" i="70"/>
  <c r="CP74" i="70"/>
  <c r="CO74" i="70"/>
  <c r="CN74" i="70"/>
  <c r="CB74" i="70"/>
  <c r="CA74" i="70"/>
  <c r="BZ74" i="70"/>
  <c r="BN74" i="70"/>
  <c r="BM74" i="70"/>
  <c r="BL74" i="70"/>
  <c r="AZ74" i="70"/>
  <c r="AY74" i="70"/>
  <c r="AX74" i="70"/>
  <c r="AL74" i="70"/>
  <c r="AK74" i="70"/>
  <c r="AJ74" i="70"/>
  <c r="X74" i="70"/>
  <c r="W74" i="70"/>
  <c r="V74" i="70"/>
  <c r="J74" i="70"/>
  <c r="I74" i="70"/>
  <c r="H74" i="70"/>
  <c r="GI73" i="70"/>
  <c r="FU73" i="70"/>
  <c r="FG73" i="70"/>
  <c r="ES73" i="70"/>
  <c r="EE73" i="70"/>
  <c r="DR73" i="70"/>
  <c r="DQ73" i="70"/>
  <c r="DP73" i="70"/>
  <c r="DD73" i="70"/>
  <c r="DC73" i="70"/>
  <c r="DB73" i="70"/>
  <c r="CP73" i="70"/>
  <c r="CO73" i="70"/>
  <c r="CN73" i="70"/>
  <c r="FW73" i="70" s="1"/>
  <c r="DL63" i="7" s="1"/>
  <c r="CB73" i="70"/>
  <c r="CA73" i="70"/>
  <c r="BZ73" i="70"/>
  <c r="BN73" i="70"/>
  <c r="BM73" i="70"/>
  <c r="BL73" i="70"/>
  <c r="AZ73" i="70"/>
  <c r="AY73" i="70"/>
  <c r="AX73" i="70"/>
  <c r="AL73" i="70"/>
  <c r="AK73" i="70"/>
  <c r="AJ73" i="70"/>
  <c r="X73" i="70"/>
  <c r="W73" i="70"/>
  <c r="V73" i="70"/>
  <c r="J73" i="70"/>
  <c r="K73" i="70" s="1"/>
  <c r="I73" i="70"/>
  <c r="H73" i="70"/>
  <c r="GI71" i="70"/>
  <c r="FU71" i="70"/>
  <c r="FG71" i="70"/>
  <c r="ES71" i="70"/>
  <c r="EE71" i="70"/>
  <c r="DR71" i="70"/>
  <c r="DQ71" i="70"/>
  <c r="DP71" i="70"/>
  <c r="DD71" i="70"/>
  <c r="DE71" i="70" s="1"/>
  <c r="DC71" i="70"/>
  <c r="DB71" i="70"/>
  <c r="CP71" i="70"/>
  <c r="CO71" i="70"/>
  <c r="CN71" i="70"/>
  <c r="FW71" i="70" s="1"/>
  <c r="DL61" i="7" s="1"/>
  <c r="CB71" i="70"/>
  <c r="CA71" i="70"/>
  <c r="CC71" i="70" s="1"/>
  <c r="BZ71" i="70"/>
  <c r="BN71" i="70"/>
  <c r="BM71" i="70"/>
  <c r="BL71" i="70"/>
  <c r="AZ71" i="70"/>
  <c r="AY71" i="70"/>
  <c r="AX71" i="70"/>
  <c r="GK71" i="70" s="1"/>
  <c r="DT61" i="7" s="1"/>
  <c r="AL71" i="70"/>
  <c r="AK71" i="70"/>
  <c r="AJ71" i="70"/>
  <c r="X71" i="70"/>
  <c r="W71" i="70"/>
  <c r="V71" i="70"/>
  <c r="J71" i="70"/>
  <c r="K71" i="70" s="1"/>
  <c r="I71" i="70"/>
  <c r="H71" i="70"/>
  <c r="GI70" i="70"/>
  <c r="FU70" i="70"/>
  <c r="FG70" i="70"/>
  <c r="ES70" i="70"/>
  <c r="EE70" i="70"/>
  <c r="DR70" i="70"/>
  <c r="DQ70" i="70"/>
  <c r="DP70" i="70"/>
  <c r="DD70" i="70"/>
  <c r="DC70" i="70"/>
  <c r="DB70" i="70"/>
  <c r="CP70" i="70"/>
  <c r="CO70" i="70"/>
  <c r="CN70" i="70"/>
  <c r="CB70" i="70"/>
  <c r="CA70" i="70"/>
  <c r="BZ70" i="70"/>
  <c r="BN70" i="70"/>
  <c r="BM70" i="70"/>
  <c r="BL70" i="70"/>
  <c r="AZ70" i="70"/>
  <c r="AY70" i="70"/>
  <c r="AX70" i="70"/>
  <c r="GK70" i="70" s="1"/>
  <c r="DT60" i="7" s="1"/>
  <c r="AL70" i="70"/>
  <c r="AK70" i="70"/>
  <c r="AJ70" i="70"/>
  <c r="X70" i="70"/>
  <c r="W70" i="70"/>
  <c r="V70" i="70"/>
  <c r="J70" i="70"/>
  <c r="K70" i="70"/>
  <c r="I70" i="70"/>
  <c r="H70" i="70"/>
  <c r="GI69" i="70"/>
  <c r="FU69" i="70"/>
  <c r="FG69" i="70"/>
  <c r="ES69" i="70"/>
  <c r="EE69" i="70"/>
  <c r="DR69" i="70"/>
  <c r="DQ69" i="70"/>
  <c r="DP69" i="70"/>
  <c r="DD69" i="70"/>
  <c r="DC69" i="70"/>
  <c r="DB69" i="70"/>
  <c r="CP69" i="70"/>
  <c r="CO69" i="70"/>
  <c r="CN69" i="70"/>
  <c r="CB69" i="70"/>
  <c r="CA69" i="70"/>
  <c r="BZ69" i="70"/>
  <c r="BN69" i="70"/>
  <c r="BM69" i="70"/>
  <c r="BL69" i="70"/>
  <c r="AZ69" i="70"/>
  <c r="AY69" i="70"/>
  <c r="AX69" i="70"/>
  <c r="AL69" i="70"/>
  <c r="AK69" i="70"/>
  <c r="AJ69" i="70"/>
  <c r="X69" i="70"/>
  <c r="W69" i="70"/>
  <c r="V69" i="70"/>
  <c r="J69" i="70"/>
  <c r="K69" i="70" s="1"/>
  <c r="I69" i="70"/>
  <c r="H69" i="70"/>
  <c r="GI68" i="70"/>
  <c r="FU68" i="70"/>
  <c r="FG68" i="70"/>
  <c r="ES68" i="70"/>
  <c r="EE68" i="70"/>
  <c r="DR68" i="70"/>
  <c r="DQ68" i="70"/>
  <c r="DP68" i="70"/>
  <c r="DD68" i="70"/>
  <c r="DC68" i="70"/>
  <c r="DB68" i="70"/>
  <c r="CP68" i="70"/>
  <c r="CO68" i="70"/>
  <c r="CN68" i="70"/>
  <c r="CB68" i="70"/>
  <c r="CA68" i="70"/>
  <c r="BZ68" i="70"/>
  <c r="BN68" i="70"/>
  <c r="BM68" i="70"/>
  <c r="BL68" i="70"/>
  <c r="AZ68" i="70"/>
  <c r="AY68" i="70"/>
  <c r="AX68" i="70"/>
  <c r="AL68" i="70"/>
  <c r="AK68" i="70"/>
  <c r="AJ68" i="70"/>
  <c r="X68" i="70"/>
  <c r="W68" i="70"/>
  <c r="V68" i="70"/>
  <c r="J68" i="70"/>
  <c r="K68" i="70" s="1"/>
  <c r="I68" i="70"/>
  <c r="H68" i="70"/>
  <c r="GI67" i="70"/>
  <c r="FU67" i="70"/>
  <c r="FG67" i="70"/>
  <c r="ES67" i="70"/>
  <c r="EE67" i="70"/>
  <c r="DR67" i="70"/>
  <c r="DQ67" i="70"/>
  <c r="DP67" i="70"/>
  <c r="DD67" i="70"/>
  <c r="DC67" i="70"/>
  <c r="DB67" i="70"/>
  <c r="CP67" i="70"/>
  <c r="CO67" i="70"/>
  <c r="CN67" i="70"/>
  <c r="CB67" i="70"/>
  <c r="CA67" i="70"/>
  <c r="BZ67" i="70"/>
  <c r="BN67" i="70"/>
  <c r="BM67" i="70"/>
  <c r="BL67" i="70"/>
  <c r="AZ67" i="70"/>
  <c r="AY67" i="70"/>
  <c r="AX67" i="70"/>
  <c r="AL67" i="70"/>
  <c r="AK67" i="70"/>
  <c r="AJ67" i="70"/>
  <c r="X67" i="70"/>
  <c r="W67" i="70"/>
  <c r="V67" i="70"/>
  <c r="J67" i="70"/>
  <c r="I67" i="70"/>
  <c r="H67" i="70"/>
  <c r="GI66" i="70"/>
  <c r="FU66" i="70"/>
  <c r="FG66" i="70"/>
  <c r="ES66" i="70"/>
  <c r="EE66" i="70"/>
  <c r="DR66" i="70"/>
  <c r="DQ66" i="70"/>
  <c r="DP66" i="70"/>
  <c r="DD66" i="70"/>
  <c r="DC66" i="70"/>
  <c r="DB66" i="70"/>
  <c r="CP66" i="70"/>
  <c r="CO66" i="70"/>
  <c r="CN66" i="70"/>
  <c r="CB66" i="70"/>
  <c r="CA66" i="70"/>
  <c r="BZ66" i="70"/>
  <c r="BN66" i="70"/>
  <c r="BM66" i="70"/>
  <c r="BL66" i="70"/>
  <c r="AZ66" i="70"/>
  <c r="AY66" i="70"/>
  <c r="AX66" i="70"/>
  <c r="AL66" i="70"/>
  <c r="AK66" i="70"/>
  <c r="AJ66" i="70"/>
  <c r="X66" i="70"/>
  <c r="W66" i="70"/>
  <c r="V66" i="70"/>
  <c r="J66" i="70"/>
  <c r="K66" i="70" s="1"/>
  <c r="I66" i="70"/>
  <c r="H66" i="70"/>
  <c r="GI65" i="70"/>
  <c r="FU65" i="70"/>
  <c r="FG65" i="70"/>
  <c r="ES65" i="70"/>
  <c r="EE65" i="70"/>
  <c r="DR65" i="70"/>
  <c r="DQ65" i="70"/>
  <c r="DP65" i="70"/>
  <c r="DD65" i="70"/>
  <c r="DC65" i="70"/>
  <c r="DB65" i="70"/>
  <c r="CP65" i="70"/>
  <c r="CO65" i="70"/>
  <c r="CN65" i="70"/>
  <c r="CB65" i="70"/>
  <c r="CA65" i="70"/>
  <c r="BZ65" i="70"/>
  <c r="BN65" i="70"/>
  <c r="BM65" i="70"/>
  <c r="BL65" i="70"/>
  <c r="AZ65" i="70"/>
  <c r="AY65" i="70"/>
  <c r="AX65" i="70"/>
  <c r="AL65" i="70"/>
  <c r="AK65" i="70"/>
  <c r="AJ65" i="70"/>
  <c r="X65" i="70"/>
  <c r="W65" i="70"/>
  <c r="V65" i="70"/>
  <c r="J65" i="70"/>
  <c r="K65" i="70" s="1"/>
  <c r="I65" i="70"/>
  <c r="H65" i="70"/>
  <c r="GI64" i="70"/>
  <c r="FU64" i="70"/>
  <c r="FG64" i="70"/>
  <c r="ES64" i="70"/>
  <c r="EE64" i="70"/>
  <c r="DR64" i="70"/>
  <c r="DQ64" i="70"/>
  <c r="DP64" i="70"/>
  <c r="DD64" i="70"/>
  <c r="DC64" i="70"/>
  <c r="DB64" i="70"/>
  <c r="CP64" i="70"/>
  <c r="CO64" i="70"/>
  <c r="CN64" i="70"/>
  <c r="FW64" i="70"/>
  <c r="DL54" i="7"/>
  <c r="CB64" i="70"/>
  <c r="CA64" i="70"/>
  <c r="BZ64" i="70"/>
  <c r="BN64" i="70"/>
  <c r="BM64" i="70"/>
  <c r="BL64" i="70"/>
  <c r="AZ64" i="70"/>
  <c r="AY64" i="70"/>
  <c r="AX64" i="70"/>
  <c r="AL64" i="70"/>
  <c r="AK64" i="70"/>
  <c r="AJ64" i="70"/>
  <c r="X64" i="70"/>
  <c r="W64" i="70"/>
  <c r="V64" i="70"/>
  <c r="J64" i="70"/>
  <c r="K64" i="70" s="1"/>
  <c r="I64" i="70"/>
  <c r="H64" i="70"/>
  <c r="GI63" i="70"/>
  <c r="FU63" i="70"/>
  <c r="FG63" i="70"/>
  <c r="ES63" i="70"/>
  <c r="EE63" i="70"/>
  <c r="DR63" i="70"/>
  <c r="DQ63" i="70"/>
  <c r="DP63" i="70"/>
  <c r="DD63" i="70"/>
  <c r="DC63" i="70"/>
  <c r="DB63" i="70"/>
  <c r="CP63" i="70"/>
  <c r="CO63" i="70"/>
  <c r="CN63" i="70"/>
  <c r="CB63" i="70"/>
  <c r="CA63" i="70"/>
  <c r="BZ63" i="70"/>
  <c r="BN63" i="70"/>
  <c r="BM63" i="70"/>
  <c r="BL63" i="70"/>
  <c r="AZ63" i="70"/>
  <c r="AY63" i="70"/>
  <c r="AX63" i="70"/>
  <c r="AL63" i="70"/>
  <c r="AK63" i="70"/>
  <c r="AJ63" i="70"/>
  <c r="X63" i="70"/>
  <c r="W63" i="70"/>
  <c r="V63" i="70"/>
  <c r="J63" i="70"/>
  <c r="I63" i="70"/>
  <c r="H63" i="70"/>
  <c r="GI61" i="70"/>
  <c r="FU61" i="70"/>
  <c r="FG61" i="70"/>
  <c r="ES61" i="70"/>
  <c r="EE61" i="70"/>
  <c r="DR61" i="70"/>
  <c r="DQ61" i="70"/>
  <c r="DP61" i="70"/>
  <c r="DD61" i="70"/>
  <c r="DC61" i="70"/>
  <c r="DB61" i="70"/>
  <c r="CP61" i="70"/>
  <c r="CO61" i="70"/>
  <c r="CN61" i="70"/>
  <c r="CB61" i="70"/>
  <c r="CA61" i="70"/>
  <c r="BZ61" i="70"/>
  <c r="BN61" i="70"/>
  <c r="BM61" i="70"/>
  <c r="BL61" i="70"/>
  <c r="AZ61" i="70"/>
  <c r="AY61" i="70"/>
  <c r="AX61" i="70"/>
  <c r="GK61" i="70" s="1"/>
  <c r="DT51" i="7" s="1"/>
  <c r="AL61" i="70"/>
  <c r="AK61" i="70"/>
  <c r="AJ61" i="70"/>
  <c r="X61" i="70"/>
  <c r="W61" i="70"/>
  <c r="V61" i="70"/>
  <c r="J61" i="70"/>
  <c r="K61" i="70" s="1"/>
  <c r="I61" i="70"/>
  <c r="H61" i="70"/>
  <c r="GI60" i="70"/>
  <c r="FU60" i="70"/>
  <c r="FG60" i="70"/>
  <c r="ES60" i="70"/>
  <c r="EE60" i="70"/>
  <c r="DR60" i="70"/>
  <c r="DS60" i="70" s="1"/>
  <c r="DQ60" i="70"/>
  <c r="DP60" i="70"/>
  <c r="DD60" i="70"/>
  <c r="DC60" i="70"/>
  <c r="DB60" i="70"/>
  <c r="CP60" i="70"/>
  <c r="CO60" i="70"/>
  <c r="CN60" i="70"/>
  <c r="CB60" i="70"/>
  <c r="CA60" i="70"/>
  <c r="BZ60" i="70"/>
  <c r="BN60" i="70"/>
  <c r="BM60" i="70"/>
  <c r="BL60" i="70"/>
  <c r="AZ60" i="70"/>
  <c r="AY60" i="70"/>
  <c r="AX60" i="70"/>
  <c r="AL60" i="70"/>
  <c r="AK60" i="70"/>
  <c r="AJ60" i="70"/>
  <c r="X60" i="70"/>
  <c r="W60" i="70"/>
  <c r="V60" i="70"/>
  <c r="J60" i="70"/>
  <c r="K60" i="70" s="1"/>
  <c r="I60" i="70"/>
  <c r="H60" i="70"/>
  <c r="GI59" i="70"/>
  <c r="FU59" i="70"/>
  <c r="FG59" i="70"/>
  <c r="ES59" i="70"/>
  <c r="EE59" i="70"/>
  <c r="DR59" i="70"/>
  <c r="DQ59" i="70"/>
  <c r="DP59" i="70"/>
  <c r="DD59" i="70"/>
  <c r="DC59" i="70"/>
  <c r="DB59" i="70"/>
  <c r="CP59" i="70"/>
  <c r="CO59" i="70"/>
  <c r="CN59" i="70"/>
  <c r="CB59" i="70"/>
  <c r="CA59" i="70"/>
  <c r="BZ59" i="70"/>
  <c r="BN59" i="70"/>
  <c r="BM59" i="70"/>
  <c r="BL59" i="70"/>
  <c r="AZ59" i="70"/>
  <c r="AY59" i="70"/>
  <c r="AX59" i="70"/>
  <c r="AL59" i="70"/>
  <c r="AK59" i="70"/>
  <c r="AJ59" i="70"/>
  <c r="X59" i="70"/>
  <c r="W59" i="70"/>
  <c r="V59" i="70"/>
  <c r="J59" i="70"/>
  <c r="I59" i="70"/>
  <c r="H59" i="70"/>
  <c r="GI58" i="70"/>
  <c r="FU58" i="70"/>
  <c r="FG58" i="70"/>
  <c r="ES58" i="70"/>
  <c r="EE58" i="70"/>
  <c r="DR58" i="70"/>
  <c r="DQ58" i="70"/>
  <c r="DP58" i="70"/>
  <c r="DD58" i="70"/>
  <c r="DC58" i="70"/>
  <c r="DB58" i="70"/>
  <c r="CP58" i="70"/>
  <c r="CO58" i="70"/>
  <c r="CN58" i="70"/>
  <c r="CB58" i="70"/>
  <c r="CA58" i="70"/>
  <c r="BZ58" i="70"/>
  <c r="BN58" i="70"/>
  <c r="BM58" i="70"/>
  <c r="BL58" i="70"/>
  <c r="AZ58" i="70"/>
  <c r="AY58" i="70"/>
  <c r="AX58" i="70"/>
  <c r="GK58" i="70" s="1"/>
  <c r="DT48" i="7" s="1"/>
  <c r="AL58" i="70"/>
  <c r="AK58" i="70"/>
  <c r="AJ58" i="70"/>
  <c r="X58" i="70"/>
  <c r="W58" i="70"/>
  <c r="V58" i="70"/>
  <c r="J58" i="70"/>
  <c r="K58" i="70" s="1"/>
  <c r="I58" i="70"/>
  <c r="H58" i="70"/>
  <c r="GI57" i="70"/>
  <c r="FU57" i="70"/>
  <c r="FG57" i="70"/>
  <c r="ES57" i="70"/>
  <c r="EE57" i="70"/>
  <c r="DR57" i="70"/>
  <c r="DQ57" i="70"/>
  <c r="DP57" i="70"/>
  <c r="DD57" i="70"/>
  <c r="DC57" i="70"/>
  <c r="DB57" i="70"/>
  <c r="CP57" i="70"/>
  <c r="CO57" i="70"/>
  <c r="CN57" i="70"/>
  <c r="CB57" i="70"/>
  <c r="CA57" i="70"/>
  <c r="BZ57" i="70"/>
  <c r="BN57" i="70"/>
  <c r="BM57" i="70"/>
  <c r="BL57" i="70"/>
  <c r="AZ57" i="70"/>
  <c r="AY57" i="70"/>
  <c r="AX57" i="70"/>
  <c r="AL57" i="70"/>
  <c r="AK57" i="70"/>
  <c r="AJ57" i="70"/>
  <c r="X57" i="70"/>
  <c r="W57" i="70"/>
  <c r="V57" i="70"/>
  <c r="J57" i="70"/>
  <c r="K57" i="70" s="1"/>
  <c r="I57" i="70"/>
  <c r="H57" i="70"/>
  <c r="GI56" i="70"/>
  <c r="FU56" i="70"/>
  <c r="FG56" i="70"/>
  <c r="ES56" i="70"/>
  <c r="EE56" i="70"/>
  <c r="DR56" i="70"/>
  <c r="DQ56" i="70"/>
  <c r="DP56" i="70"/>
  <c r="DD56" i="70"/>
  <c r="DC56" i="70"/>
  <c r="DB56" i="70"/>
  <c r="CP56" i="70"/>
  <c r="CO56" i="70"/>
  <c r="CN56" i="70"/>
  <c r="CB56" i="70"/>
  <c r="CA56" i="70"/>
  <c r="BZ56" i="70"/>
  <c r="BN56" i="70"/>
  <c r="BM56" i="70"/>
  <c r="BL56" i="70"/>
  <c r="AZ56" i="70"/>
  <c r="AY56" i="70"/>
  <c r="AX56" i="70"/>
  <c r="AL56" i="70"/>
  <c r="AK56" i="70"/>
  <c r="AJ56" i="70"/>
  <c r="X56" i="70"/>
  <c r="W56" i="70"/>
  <c r="V56" i="70"/>
  <c r="J56" i="70"/>
  <c r="K56" i="70" s="1"/>
  <c r="I56" i="70"/>
  <c r="H56" i="70"/>
  <c r="GI55" i="70"/>
  <c r="FU55" i="70"/>
  <c r="FG55" i="70"/>
  <c r="ES55" i="70"/>
  <c r="EE55" i="70"/>
  <c r="DR55" i="70"/>
  <c r="DQ55" i="70"/>
  <c r="DP55" i="70"/>
  <c r="DD55" i="70"/>
  <c r="DC55" i="70"/>
  <c r="DB55" i="70"/>
  <c r="CP55" i="70"/>
  <c r="CO55" i="70"/>
  <c r="CN55" i="70"/>
  <c r="CB55" i="70"/>
  <c r="CA55" i="70"/>
  <c r="BZ55" i="70"/>
  <c r="BN55" i="70"/>
  <c r="BM55" i="70"/>
  <c r="BL55" i="70"/>
  <c r="AZ55" i="70"/>
  <c r="AY55" i="70"/>
  <c r="AX55" i="70"/>
  <c r="AL55" i="70"/>
  <c r="AK55" i="70"/>
  <c r="AJ55" i="70"/>
  <c r="X55" i="70"/>
  <c r="W55" i="70"/>
  <c r="V55" i="70"/>
  <c r="J55" i="70"/>
  <c r="K55" i="70" s="1"/>
  <c r="I55" i="70"/>
  <c r="H55" i="70"/>
  <c r="GI54" i="70"/>
  <c r="FU54" i="70"/>
  <c r="FG54" i="70"/>
  <c r="ES54" i="70"/>
  <c r="EE54" i="70"/>
  <c r="DR54" i="70"/>
  <c r="DQ54" i="70"/>
  <c r="DP54" i="70"/>
  <c r="DD54" i="70"/>
  <c r="DC54" i="70"/>
  <c r="DB54" i="70"/>
  <c r="CP54" i="70"/>
  <c r="CO54" i="70"/>
  <c r="CN54" i="70"/>
  <c r="CB54" i="70"/>
  <c r="CA54" i="70"/>
  <c r="BZ54" i="70"/>
  <c r="BN54" i="70"/>
  <c r="BM54" i="70"/>
  <c r="BL54" i="70"/>
  <c r="AZ54" i="70"/>
  <c r="AY54" i="70"/>
  <c r="AX54" i="70"/>
  <c r="AL54" i="70"/>
  <c r="AK54" i="70"/>
  <c r="AJ54" i="70"/>
  <c r="X54" i="70"/>
  <c r="W54" i="70"/>
  <c r="V54" i="70"/>
  <c r="J54" i="70"/>
  <c r="K54" i="70" s="1"/>
  <c r="I54" i="70"/>
  <c r="H54" i="70"/>
  <c r="GI53" i="70"/>
  <c r="FU53" i="70"/>
  <c r="FG53" i="70"/>
  <c r="ES53" i="70"/>
  <c r="EE53" i="70"/>
  <c r="DR53" i="70"/>
  <c r="DQ53" i="70"/>
  <c r="DP53" i="70"/>
  <c r="DD53" i="70"/>
  <c r="DC53" i="70"/>
  <c r="DB53" i="70"/>
  <c r="CP53" i="70"/>
  <c r="CO53" i="70"/>
  <c r="CN53" i="70"/>
  <c r="CB53" i="70"/>
  <c r="CA53" i="70"/>
  <c r="BZ53" i="70"/>
  <c r="BN53" i="70"/>
  <c r="BM53" i="70"/>
  <c r="BL53" i="70"/>
  <c r="AZ53" i="70"/>
  <c r="AY53" i="70"/>
  <c r="AX53" i="70"/>
  <c r="AL53" i="70"/>
  <c r="AK53" i="70"/>
  <c r="AJ53" i="70"/>
  <c r="X53" i="70"/>
  <c r="W53" i="70"/>
  <c r="V53" i="70"/>
  <c r="J53" i="70"/>
  <c r="K53" i="70" s="1"/>
  <c r="I53" i="70"/>
  <c r="H53" i="70"/>
  <c r="GI51" i="70"/>
  <c r="FU51" i="70"/>
  <c r="FG51" i="70"/>
  <c r="ES51" i="70"/>
  <c r="EE51" i="70"/>
  <c r="DR51" i="70"/>
  <c r="DQ51" i="70"/>
  <c r="DS51" i="70"/>
  <c r="DP51" i="70"/>
  <c r="DD51" i="70"/>
  <c r="DC51" i="70"/>
  <c r="DB51" i="70"/>
  <c r="CP51" i="70"/>
  <c r="CO51" i="70"/>
  <c r="CN51" i="70"/>
  <c r="CQ51" i="70"/>
  <c r="CB51" i="70"/>
  <c r="CA51" i="70"/>
  <c r="BZ51" i="70"/>
  <c r="BN51" i="70"/>
  <c r="BM51" i="70"/>
  <c r="BL51" i="70"/>
  <c r="AZ51" i="70"/>
  <c r="AY51" i="70"/>
  <c r="AX51" i="70"/>
  <c r="AL51" i="70"/>
  <c r="AK51" i="70"/>
  <c r="AJ51" i="70"/>
  <c r="AM51" i="70" s="1"/>
  <c r="X51" i="70"/>
  <c r="W51" i="70"/>
  <c r="V51" i="70"/>
  <c r="J51" i="70"/>
  <c r="I51" i="70"/>
  <c r="H51" i="70"/>
  <c r="GI50" i="70"/>
  <c r="FU50" i="70"/>
  <c r="FG50" i="70"/>
  <c r="ES50" i="70"/>
  <c r="EE50" i="70"/>
  <c r="DR50" i="70"/>
  <c r="DQ50" i="70"/>
  <c r="DP50" i="70"/>
  <c r="DD50" i="70"/>
  <c r="DC50" i="70"/>
  <c r="DB50" i="70"/>
  <c r="CP50" i="70"/>
  <c r="CO50" i="70"/>
  <c r="CN50" i="70"/>
  <c r="FW50" i="70" s="1"/>
  <c r="DL40" i="7" s="1"/>
  <c r="CB50" i="70"/>
  <c r="CA50" i="70"/>
  <c r="BZ50" i="70"/>
  <c r="BN50" i="70"/>
  <c r="BM50" i="70"/>
  <c r="BL50" i="70"/>
  <c r="AZ50" i="70"/>
  <c r="AY50" i="70"/>
  <c r="AX50" i="70"/>
  <c r="AL50" i="70"/>
  <c r="AK50" i="70"/>
  <c r="AJ50" i="70"/>
  <c r="X50" i="70"/>
  <c r="W50" i="70"/>
  <c r="V50" i="70"/>
  <c r="J50" i="70"/>
  <c r="K50" i="70"/>
  <c r="M50" i="70" s="1"/>
  <c r="I50" i="70"/>
  <c r="H50" i="70"/>
  <c r="GI49" i="70"/>
  <c r="FU49" i="70"/>
  <c r="FG49" i="70"/>
  <c r="ES49" i="70"/>
  <c r="EE49" i="70"/>
  <c r="DR49" i="70"/>
  <c r="DQ49" i="70"/>
  <c r="DP49" i="70"/>
  <c r="DD49" i="70"/>
  <c r="DC49" i="70"/>
  <c r="DB49" i="70"/>
  <c r="CP49" i="70"/>
  <c r="CO49" i="70"/>
  <c r="CN49" i="70"/>
  <c r="CB49" i="70"/>
  <c r="CA49" i="70"/>
  <c r="BZ49" i="70"/>
  <c r="BN49" i="70"/>
  <c r="BM49" i="70"/>
  <c r="BL49" i="70"/>
  <c r="AZ49" i="70"/>
  <c r="AY49" i="70"/>
  <c r="AX49" i="70"/>
  <c r="AL49" i="70"/>
  <c r="AK49" i="70"/>
  <c r="AJ49" i="70"/>
  <c r="X49" i="70"/>
  <c r="W49" i="70"/>
  <c r="V49" i="70"/>
  <c r="J49" i="70"/>
  <c r="K49" i="70" s="1"/>
  <c r="I49" i="70"/>
  <c r="H49" i="70"/>
  <c r="GI48" i="70"/>
  <c r="FU48" i="70"/>
  <c r="FG48" i="70"/>
  <c r="ES48" i="70"/>
  <c r="EE48" i="70"/>
  <c r="DR48" i="70"/>
  <c r="DQ48" i="70"/>
  <c r="DP48" i="70"/>
  <c r="DD48" i="70"/>
  <c r="DC48" i="70"/>
  <c r="DB48" i="70"/>
  <c r="CP48" i="70"/>
  <c r="CO48" i="70"/>
  <c r="CQ48" i="70" s="1"/>
  <c r="CN48" i="70"/>
  <c r="CB48" i="70"/>
  <c r="CA48" i="70"/>
  <c r="BZ48" i="70"/>
  <c r="BN48" i="70"/>
  <c r="BM48" i="70"/>
  <c r="BL48" i="70"/>
  <c r="AZ48" i="70"/>
  <c r="AY48" i="70"/>
  <c r="AX48" i="70"/>
  <c r="AL48" i="70"/>
  <c r="AK48" i="70"/>
  <c r="AJ48" i="70"/>
  <c r="X48" i="70"/>
  <c r="W48" i="70"/>
  <c r="V48" i="70"/>
  <c r="J48" i="70"/>
  <c r="K48" i="70" s="1"/>
  <c r="I48" i="70"/>
  <c r="H48" i="70"/>
  <c r="GI47" i="70"/>
  <c r="FU47" i="70"/>
  <c r="FG47" i="70"/>
  <c r="ES47" i="70"/>
  <c r="EE47" i="70"/>
  <c r="DR47" i="70"/>
  <c r="DQ47" i="70"/>
  <c r="DP47" i="70"/>
  <c r="DD47" i="70"/>
  <c r="DC47" i="70"/>
  <c r="DB47" i="70"/>
  <c r="CP47" i="70"/>
  <c r="CO47" i="70"/>
  <c r="CN47" i="70"/>
  <c r="CB47" i="70"/>
  <c r="CA47" i="70"/>
  <c r="BZ47" i="70"/>
  <c r="BN47" i="70"/>
  <c r="BM47" i="70"/>
  <c r="BL47" i="70"/>
  <c r="AZ47" i="70"/>
  <c r="AY47" i="70"/>
  <c r="AX47" i="70"/>
  <c r="AL47" i="70"/>
  <c r="AK47" i="70"/>
  <c r="AJ47" i="70"/>
  <c r="X47" i="70"/>
  <c r="W47" i="70"/>
  <c r="V47" i="70"/>
  <c r="J47" i="70"/>
  <c r="I47" i="70"/>
  <c r="H47" i="70"/>
  <c r="GI46" i="70"/>
  <c r="FU46" i="70"/>
  <c r="FG46" i="70"/>
  <c r="ES46" i="70"/>
  <c r="EE46" i="70"/>
  <c r="DR46" i="70"/>
  <c r="DQ46" i="70"/>
  <c r="DP46" i="70"/>
  <c r="DD46" i="70"/>
  <c r="DC46" i="70"/>
  <c r="DB46" i="70"/>
  <c r="CP46" i="70"/>
  <c r="CO46" i="70"/>
  <c r="CN46" i="70"/>
  <c r="FW46" i="70"/>
  <c r="DL36" i="7" s="1"/>
  <c r="CB46" i="70"/>
  <c r="CA46" i="70"/>
  <c r="BZ46" i="70"/>
  <c r="BN46" i="70"/>
  <c r="BM46" i="70"/>
  <c r="BL46" i="70"/>
  <c r="AZ46" i="70"/>
  <c r="AY46" i="70"/>
  <c r="AX46" i="70"/>
  <c r="AL46" i="70"/>
  <c r="AK46" i="70"/>
  <c r="AJ46" i="70"/>
  <c r="X46" i="70"/>
  <c r="W46" i="70"/>
  <c r="V46" i="70"/>
  <c r="J46" i="70"/>
  <c r="K46" i="70" s="1"/>
  <c r="I46" i="70"/>
  <c r="H46" i="70"/>
  <c r="GI45" i="70"/>
  <c r="FU45" i="70"/>
  <c r="FG45" i="70"/>
  <c r="ES45" i="70"/>
  <c r="EE45" i="70"/>
  <c r="DR45" i="70"/>
  <c r="DQ45" i="70"/>
  <c r="DP45" i="70"/>
  <c r="DD45" i="70"/>
  <c r="DC45" i="70"/>
  <c r="DB45" i="70"/>
  <c r="CP45" i="70"/>
  <c r="CO45" i="70"/>
  <c r="CN45" i="70"/>
  <c r="FW45" i="70" s="1"/>
  <c r="DL35" i="7" s="1"/>
  <c r="CB45" i="70"/>
  <c r="CA45" i="70"/>
  <c r="BZ45" i="70"/>
  <c r="BN45" i="70"/>
  <c r="BM45" i="70"/>
  <c r="BL45" i="70"/>
  <c r="AZ45" i="70"/>
  <c r="AY45" i="70"/>
  <c r="AX45" i="70"/>
  <c r="AL45" i="70"/>
  <c r="AK45" i="70"/>
  <c r="AJ45" i="70"/>
  <c r="X45" i="70"/>
  <c r="W45" i="70"/>
  <c r="V45" i="70"/>
  <c r="J45" i="70"/>
  <c r="K45" i="70"/>
  <c r="I45" i="70"/>
  <c r="H45" i="70"/>
  <c r="GI44" i="70"/>
  <c r="FU44" i="70"/>
  <c r="FG44" i="70"/>
  <c r="ES44" i="70"/>
  <c r="EE44" i="70"/>
  <c r="DR44" i="70"/>
  <c r="DQ44" i="70"/>
  <c r="DP44" i="70"/>
  <c r="DD44" i="70"/>
  <c r="DC44" i="70"/>
  <c r="DB44" i="70"/>
  <c r="CP44" i="70"/>
  <c r="CO44" i="70"/>
  <c r="CN44" i="70"/>
  <c r="CB44" i="70"/>
  <c r="CA44" i="70"/>
  <c r="BZ44" i="70"/>
  <c r="BN44" i="70"/>
  <c r="BM44" i="70"/>
  <c r="BL44" i="70"/>
  <c r="AZ44" i="70"/>
  <c r="AY44" i="70"/>
  <c r="AX44" i="70"/>
  <c r="AL44" i="70"/>
  <c r="AK44" i="70"/>
  <c r="AJ44" i="70"/>
  <c r="X44" i="70"/>
  <c r="W44" i="70"/>
  <c r="V44" i="70"/>
  <c r="J44" i="70"/>
  <c r="K44" i="70" s="1"/>
  <c r="I44" i="70"/>
  <c r="H44" i="70"/>
  <c r="GI43" i="70"/>
  <c r="FU43" i="70"/>
  <c r="FG43" i="70"/>
  <c r="ES43" i="70"/>
  <c r="EE43" i="70"/>
  <c r="DR43" i="70"/>
  <c r="DQ43" i="70"/>
  <c r="DP43" i="70"/>
  <c r="DD43" i="70"/>
  <c r="DC43" i="70"/>
  <c r="DB43" i="70"/>
  <c r="CP43" i="70"/>
  <c r="CO43" i="70"/>
  <c r="CN43" i="70"/>
  <c r="CB43" i="70"/>
  <c r="CA43" i="70"/>
  <c r="BZ43" i="70"/>
  <c r="BN43" i="70"/>
  <c r="BM43" i="70"/>
  <c r="BL43" i="70"/>
  <c r="AZ43" i="70"/>
  <c r="AY43" i="70"/>
  <c r="AX43" i="70"/>
  <c r="AL43" i="70"/>
  <c r="AK43" i="70"/>
  <c r="AJ43" i="70"/>
  <c r="X43" i="70"/>
  <c r="W43" i="70"/>
  <c r="V43" i="70"/>
  <c r="J43" i="70"/>
  <c r="I43" i="70"/>
  <c r="H43" i="70"/>
  <c r="GI41" i="70"/>
  <c r="FU41" i="70"/>
  <c r="FG41" i="70"/>
  <c r="ES41" i="70"/>
  <c r="EE41" i="70"/>
  <c r="DR41" i="70"/>
  <c r="DQ41" i="70"/>
  <c r="DP41" i="70"/>
  <c r="DD41" i="70"/>
  <c r="DC41" i="70"/>
  <c r="DB41" i="70"/>
  <c r="CP41" i="70"/>
  <c r="CO41" i="70"/>
  <c r="CN41" i="70"/>
  <c r="FW41" i="70" s="1"/>
  <c r="DL31" i="7" s="1"/>
  <c r="CB41" i="70"/>
  <c r="CA41" i="70"/>
  <c r="BZ41" i="70"/>
  <c r="BN41" i="70"/>
  <c r="BM41" i="70"/>
  <c r="BL41" i="70"/>
  <c r="AZ41" i="70"/>
  <c r="AY41" i="70"/>
  <c r="AX41" i="70"/>
  <c r="AL41" i="70"/>
  <c r="AK41" i="70"/>
  <c r="AJ41" i="70"/>
  <c r="X41" i="70"/>
  <c r="W41" i="70"/>
  <c r="V41" i="70"/>
  <c r="J41" i="70"/>
  <c r="K41" i="70"/>
  <c r="I41" i="70"/>
  <c r="H41" i="70"/>
  <c r="GI40" i="70"/>
  <c r="FU40" i="70"/>
  <c r="FG40" i="70"/>
  <c r="ES40" i="70"/>
  <c r="EE40" i="70"/>
  <c r="DR40" i="70"/>
  <c r="DQ40" i="70"/>
  <c r="DP40" i="70"/>
  <c r="DD40" i="70"/>
  <c r="DC40" i="70"/>
  <c r="DB40" i="70"/>
  <c r="CP40" i="70"/>
  <c r="CO40" i="70"/>
  <c r="CN40" i="70"/>
  <c r="CB40" i="70"/>
  <c r="CA40" i="70"/>
  <c r="BZ40" i="70"/>
  <c r="BN40" i="70"/>
  <c r="BM40" i="70"/>
  <c r="BL40" i="70"/>
  <c r="AZ40" i="70"/>
  <c r="AY40" i="70"/>
  <c r="AX40" i="70"/>
  <c r="AL40" i="70"/>
  <c r="AK40" i="70"/>
  <c r="AJ40" i="70"/>
  <c r="X40" i="70"/>
  <c r="W40" i="70"/>
  <c r="V40" i="70"/>
  <c r="K40" i="70"/>
  <c r="J40" i="70"/>
  <c r="I40" i="70"/>
  <c r="H40" i="70"/>
  <c r="GI39" i="70"/>
  <c r="FU39" i="70"/>
  <c r="FG39" i="70"/>
  <c r="ES39" i="70"/>
  <c r="EE39" i="70"/>
  <c r="DR39" i="70"/>
  <c r="DQ39" i="70"/>
  <c r="DP39" i="70"/>
  <c r="DD39" i="70"/>
  <c r="DC39" i="70"/>
  <c r="DB39" i="70"/>
  <c r="CP39" i="70"/>
  <c r="CO39" i="70"/>
  <c r="CN39" i="70"/>
  <c r="CB39" i="70"/>
  <c r="CA39" i="70"/>
  <c r="BZ39" i="70"/>
  <c r="BN39" i="70"/>
  <c r="BM39" i="70"/>
  <c r="BL39" i="70"/>
  <c r="AZ39" i="70"/>
  <c r="AY39" i="70"/>
  <c r="AX39" i="70"/>
  <c r="EG39" i="70" s="1"/>
  <c r="CN29" i="7" s="1"/>
  <c r="AL39" i="70"/>
  <c r="AK39" i="70"/>
  <c r="AJ39" i="70"/>
  <c r="X39" i="70"/>
  <c r="W39" i="70"/>
  <c r="V39" i="70"/>
  <c r="J39" i="70"/>
  <c r="I39" i="70"/>
  <c r="H39" i="70"/>
  <c r="GI38" i="70"/>
  <c r="FU38" i="70"/>
  <c r="FG38" i="70"/>
  <c r="ES38" i="70"/>
  <c r="EE38" i="70"/>
  <c r="DR38" i="70"/>
  <c r="DQ38" i="70"/>
  <c r="DP38" i="70"/>
  <c r="DD38" i="70"/>
  <c r="DC38" i="70"/>
  <c r="DB38" i="70"/>
  <c r="CP38" i="70"/>
  <c r="CO38" i="70"/>
  <c r="CN38" i="70"/>
  <c r="CB38" i="70"/>
  <c r="CA38" i="70"/>
  <c r="BZ38" i="70"/>
  <c r="BN38" i="70"/>
  <c r="BM38" i="70"/>
  <c r="BL38" i="70"/>
  <c r="AZ38" i="70"/>
  <c r="AY38" i="70"/>
  <c r="AX38" i="70"/>
  <c r="AL38" i="70"/>
  <c r="AK38" i="70"/>
  <c r="AJ38" i="70"/>
  <c r="X38" i="70"/>
  <c r="W38" i="70"/>
  <c r="V38" i="70"/>
  <c r="J38" i="70"/>
  <c r="I38" i="70"/>
  <c r="H38" i="70"/>
  <c r="GI37" i="70"/>
  <c r="FU37" i="70"/>
  <c r="FG37" i="70"/>
  <c r="ES37" i="70"/>
  <c r="EE37" i="70"/>
  <c r="DR37" i="70"/>
  <c r="DQ37" i="70"/>
  <c r="DP37" i="70"/>
  <c r="DD37" i="70"/>
  <c r="DC37" i="70"/>
  <c r="DB37" i="70"/>
  <c r="CP37" i="70"/>
  <c r="CO37" i="70"/>
  <c r="CN37" i="70"/>
  <c r="CB37" i="70"/>
  <c r="CA37" i="70"/>
  <c r="BZ37" i="70"/>
  <c r="BN37" i="70"/>
  <c r="BM37" i="70"/>
  <c r="BL37" i="70"/>
  <c r="AZ37" i="70"/>
  <c r="AY37" i="70"/>
  <c r="AX37" i="70"/>
  <c r="AL37" i="70"/>
  <c r="AK37" i="70"/>
  <c r="AJ37" i="70"/>
  <c r="X37" i="70"/>
  <c r="W37" i="70"/>
  <c r="V37" i="70"/>
  <c r="J37" i="70"/>
  <c r="K37" i="70" s="1"/>
  <c r="I37" i="70"/>
  <c r="H37" i="70"/>
  <c r="GI36" i="70"/>
  <c r="FU36" i="70"/>
  <c r="FG36" i="70"/>
  <c r="ES36" i="70"/>
  <c r="EE36" i="70"/>
  <c r="DR36" i="70"/>
  <c r="DQ36" i="70"/>
  <c r="DP36" i="70"/>
  <c r="DD36" i="70"/>
  <c r="DC36" i="70"/>
  <c r="DB36" i="70"/>
  <c r="CP36" i="70"/>
  <c r="CO36" i="70"/>
  <c r="CN36" i="70"/>
  <c r="CB36" i="70"/>
  <c r="CA36" i="70"/>
  <c r="BZ36" i="70"/>
  <c r="BN36" i="70"/>
  <c r="BM36" i="70"/>
  <c r="BL36" i="70"/>
  <c r="AZ36" i="70"/>
  <c r="AY36" i="70"/>
  <c r="AX36" i="70"/>
  <c r="AL36" i="70"/>
  <c r="AK36" i="70"/>
  <c r="AJ36" i="70"/>
  <c r="X36" i="70"/>
  <c r="W36" i="70"/>
  <c r="V36" i="70"/>
  <c r="J36" i="70"/>
  <c r="K36" i="70" s="1"/>
  <c r="I36" i="70"/>
  <c r="H36" i="70"/>
  <c r="GI35" i="70"/>
  <c r="FU35" i="70"/>
  <c r="FG35" i="70"/>
  <c r="ES35" i="70"/>
  <c r="EE35" i="70"/>
  <c r="DR35" i="70"/>
  <c r="DQ35" i="70"/>
  <c r="DP35" i="70"/>
  <c r="DD35" i="70"/>
  <c r="DC35" i="70"/>
  <c r="DB35" i="70"/>
  <c r="CP35" i="70"/>
  <c r="CO35" i="70"/>
  <c r="CN35" i="70"/>
  <c r="CB35" i="70"/>
  <c r="CA35" i="70"/>
  <c r="BZ35" i="70"/>
  <c r="BN35" i="70"/>
  <c r="BM35" i="70"/>
  <c r="BL35" i="70"/>
  <c r="AZ35" i="70"/>
  <c r="AY35" i="70"/>
  <c r="AX35" i="70"/>
  <c r="AL35" i="70"/>
  <c r="AK35" i="70"/>
  <c r="AJ35" i="70"/>
  <c r="X35" i="70"/>
  <c r="W35" i="70"/>
  <c r="Y35" i="70" s="1"/>
  <c r="V35" i="70"/>
  <c r="J35" i="70"/>
  <c r="I35" i="70"/>
  <c r="H35" i="70"/>
  <c r="GI34" i="70"/>
  <c r="FU34" i="70"/>
  <c r="FG34" i="70"/>
  <c r="ES34" i="70"/>
  <c r="EE34" i="70"/>
  <c r="DR34" i="70"/>
  <c r="DQ34" i="70"/>
  <c r="DP34" i="70"/>
  <c r="DD34" i="70"/>
  <c r="DC34" i="70"/>
  <c r="DB34" i="70"/>
  <c r="CP34" i="70"/>
  <c r="CO34" i="70"/>
  <c r="CN34" i="70"/>
  <c r="FW34" i="70"/>
  <c r="DL24" i="7" s="1"/>
  <c r="CB34" i="70"/>
  <c r="CA34" i="70"/>
  <c r="BZ34" i="70"/>
  <c r="BN34" i="70"/>
  <c r="BM34" i="70"/>
  <c r="BL34" i="70"/>
  <c r="AZ34" i="70"/>
  <c r="AY34" i="70"/>
  <c r="AX34" i="70"/>
  <c r="AL34" i="70"/>
  <c r="AK34" i="70"/>
  <c r="AJ34" i="70"/>
  <c r="X34" i="70"/>
  <c r="W34" i="70"/>
  <c r="V34" i="70"/>
  <c r="J34" i="70"/>
  <c r="I34" i="70"/>
  <c r="H34" i="70"/>
  <c r="GI33" i="70"/>
  <c r="FU33" i="70"/>
  <c r="FG33" i="70"/>
  <c r="ES33" i="70"/>
  <c r="EE33" i="70"/>
  <c r="DR33" i="70"/>
  <c r="DQ33" i="70"/>
  <c r="DP33" i="70"/>
  <c r="DD33" i="70"/>
  <c r="DC33" i="70"/>
  <c r="DB33" i="70"/>
  <c r="CP33" i="70"/>
  <c r="CO33" i="70"/>
  <c r="CN33" i="70"/>
  <c r="CQ33" i="70" s="1"/>
  <c r="CB33" i="70"/>
  <c r="CA33" i="70"/>
  <c r="BZ33" i="70"/>
  <c r="BN33" i="70"/>
  <c r="BM33" i="70"/>
  <c r="BL33" i="70"/>
  <c r="BO33" i="70" s="1"/>
  <c r="AZ33" i="70"/>
  <c r="AY33" i="70"/>
  <c r="AX33" i="70"/>
  <c r="BA33" i="70" s="1"/>
  <c r="AL33" i="70"/>
  <c r="AK33" i="70"/>
  <c r="AJ33" i="70"/>
  <c r="X33" i="70"/>
  <c r="W33" i="70"/>
  <c r="V33" i="70"/>
  <c r="J33" i="70"/>
  <c r="K33" i="70" s="1"/>
  <c r="I33" i="70"/>
  <c r="H33" i="70"/>
  <c r="GI31" i="70"/>
  <c r="FU31" i="70"/>
  <c r="FG31" i="70"/>
  <c r="ES31" i="70"/>
  <c r="EE31" i="70"/>
  <c r="DR31" i="70"/>
  <c r="DQ31" i="70"/>
  <c r="DP31" i="70"/>
  <c r="DD31" i="70"/>
  <c r="DC31" i="70"/>
  <c r="DB31" i="70"/>
  <c r="CP31" i="70"/>
  <c r="CO31" i="70"/>
  <c r="CN31" i="70"/>
  <c r="FW31" i="70"/>
  <c r="DL21" i="7" s="1"/>
  <c r="CB31" i="70"/>
  <c r="CA31" i="70"/>
  <c r="BZ31" i="70"/>
  <c r="BN31" i="70"/>
  <c r="BM31" i="70"/>
  <c r="BL31" i="70"/>
  <c r="AZ31" i="70"/>
  <c r="AY31" i="70"/>
  <c r="AX31" i="70"/>
  <c r="GK31" i="70" s="1"/>
  <c r="DT21" i="7" s="1"/>
  <c r="AL31" i="70"/>
  <c r="AK31" i="70"/>
  <c r="AJ31" i="70"/>
  <c r="X31" i="70"/>
  <c r="W31" i="70"/>
  <c r="V31" i="70"/>
  <c r="J31" i="70"/>
  <c r="K31" i="70" s="1"/>
  <c r="I31" i="70"/>
  <c r="H31" i="70"/>
  <c r="GI30" i="70"/>
  <c r="FU30" i="70"/>
  <c r="FG30" i="70"/>
  <c r="ES30" i="70"/>
  <c r="EE30" i="70"/>
  <c r="DR30" i="70"/>
  <c r="DQ30" i="70"/>
  <c r="DP30" i="70"/>
  <c r="DD30" i="70"/>
  <c r="DC30" i="70"/>
  <c r="DB30" i="70"/>
  <c r="CP30" i="70"/>
  <c r="CO30" i="70"/>
  <c r="CN30" i="70"/>
  <c r="CB30" i="70"/>
  <c r="CA30" i="70"/>
  <c r="BZ30" i="70"/>
  <c r="BN30" i="70"/>
  <c r="BM30" i="70"/>
  <c r="BL30" i="70"/>
  <c r="AZ30" i="70"/>
  <c r="AY30" i="70"/>
  <c r="AX30" i="70"/>
  <c r="AL30" i="70"/>
  <c r="AK30" i="70"/>
  <c r="AJ30" i="70"/>
  <c r="X30" i="70"/>
  <c r="W30" i="70"/>
  <c r="V30" i="70"/>
  <c r="J30" i="70"/>
  <c r="K30" i="70" s="1"/>
  <c r="M30" i="70"/>
  <c r="I30" i="70"/>
  <c r="H30" i="70"/>
  <c r="GI19" i="70"/>
  <c r="FU19" i="70"/>
  <c r="FG19" i="70"/>
  <c r="ES19" i="70"/>
  <c r="EE19" i="70"/>
  <c r="DR19" i="70"/>
  <c r="DQ19" i="70"/>
  <c r="DP19" i="70"/>
  <c r="DV19" i="70" s="1"/>
  <c r="DD19" i="70"/>
  <c r="DC19" i="70"/>
  <c r="DB19" i="70"/>
  <c r="CP19" i="70"/>
  <c r="CO19" i="70"/>
  <c r="CN19" i="70"/>
  <c r="CT19" i="70" s="1"/>
  <c r="CB19" i="70"/>
  <c r="CA19" i="70"/>
  <c r="BZ19" i="70"/>
  <c r="BN19" i="70"/>
  <c r="BM19" i="70"/>
  <c r="BL19" i="70"/>
  <c r="BR19" i="70" s="1"/>
  <c r="AZ19" i="70"/>
  <c r="AY19" i="70"/>
  <c r="AX19" i="70"/>
  <c r="AL19" i="70"/>
  <c r="AK19" i="70"/>
  <c r="AJ19" i="70"/>
  <c r="AP19" i="70" s="1"/>
  <c r="X19" i="70"/>
  <c r="W19" i="70"/>
  <c r="V19" i="70"/>
  <c r="J19" i="70"/>
  <c r="K19" i="70" s="1"/>
  <c r="I19" i="70"/>
  <c r="H19" i="70"/>
  <c r="N19" i="70" s="1"/>
  <c r="GI18" i="70"/>
  <c r="FU18" i="70"/>
  <c r="FG18" i="70"/>
  <c r="ES18" i="70"/>
  <c r="EE18" i="70"/>
  <c r="DR18" i="70"/>
  <c r="DQ18" i="70"/>
  <c r="DP18" i="70"/>
  <c r="DV18" i="70" s="1"/>
  <c r="DD18" i="70"/>
  <c r="DI18" i="70" s="1"/>
  <c r="DC18" i="70"/>
  <c r="DB18" i="70"/>
  <c r="DH18" i="70" s="1"/>
  <c r="CP18" i="70"/>
  <c r="CO18" i="70"/>
  <c r="CN18" i="70"/>
  <c r="CT18" i="70" s="1"/>
  <c r="CB18" i="70"/>
  <c r="CG18" i="70" s="1"/>
  <c r="CA18" i="70"/>
  <c r="BZ18" i="70"/>
  <c r="CF18" i="70"/>
  <c r="BN18" i="70"/>
  <c r="BM18" i="70"/>
  <c r="BL18" i="70"/>
  <c r="BR18" i="70"/>
  <c r="AZ18" i="70"/>
  <c r="AY18" i="70"/>
  <c r="AX18" i="70"/>
  <c r="BD18" i="70" s="1"/>
  <c r="AL18" i="70"/>
  <c r="AK18" i="70"/>
  <c r="AJ18" i="70"/>
  <c r="AP18" i="70" s="1"/>
  <c r="X18" i="70"/>
  <c r="W18" i="70"/>
  <c r="V18" i="70"/>
  <c r="AB18" i="70" s="1"/>
  <c r="J18" i="70"/>
  <c r="I18" i="70"/>
  <c r="H18" i="70"/>
  <c r="N18" i="70" s="1"/>
  <c r="GI17" i="70"/>
  <c r="FU17" i="70"/>
  <c r="FG17" i="70"/>
  <c r="ES17" i="70"/>
  <c r="EE17" i="70"/>
  <c r="DR17" i="70"/>
  <c r="DQ17" i="70"/>
  <c r="DP17" i="70"/>
  <c r="DD17" i="70"/>
  <c r="DC17" i="70"/>
  <c r="DB17" i="70"/>
  <c r="CP17" i="70"/>
  <c r="CO17" i="70"/>
  <c r="CN17" i="70"/>
  <c r="FW17" i="70" s="1"/>
  <c r="CB17" i="70"/>
  <c r="CA17" i="70"/>
  <c r="BZ17" i="70"/>
  <c r="BN17" i="70"/>
  <c r="BM17" i="70"/>
  <c r="BL17" i="70"/>
  <c r="AZ17" i="70"/>
  <c r="AY17" i="70"/>
  <c r="AX17" i="70"/>
  <c r="AL17" i="70"/>
  <c r="AK17" i="70"/>
  <c r="AJ17" i="70"/>
  <c r="X17" i="70"/>
  <c r="W17" i="70"/>
  <c r="V17" i="70"/>
  <c r="K17" i="70"/>
  <c r="J17" i="70"/>
  <c r="I17" i="70"/>
  <c r="M17" i="70" s="1"/>
  <c r="H17" i="70"/>
  <c r="GI16" i="70"/>
  <c r="FU16" i="70"/>
  <c r="FG16" i="70"/>
  <c r="ES16" i="70"/>
  <c r="EE16" i="70"/>
  <c r="DR16" i="70"/>
  <c r="DQ16" i="70"/>
  <c r="DW16" i="70" s="1"/>
  <c r="DP16" i="70"/>
  <c r="DD16" i="70"/>
  <c r="DC16" i="70"/>
  <c r="DB16" i="70"/>
  <c r="CP16" i="70"/>
  <c r="CO16" i="70"/>
  <c r="CN16" i="70"/>
  <c r="CB16" i="70"/>
  <c r="CA16" i="70"/>
  <c r="CG16" i="70" s="1"/>
  <c r="BZ16" i="70"/>
  <c r="BN16" i="70"/>
  <c r="BM16" i="70"/>
  <c r="BL16" i="70"/>
  <c r="AZ16" i="70"/>
  <c r="AY16" i="70"/>
  <c r="BE16" i="70" s="1"/>
  <c r="AX16" i="70"/>
  <c r="AL16" i="70"/>
  <c r="AK16" i="70"/>
  <c r="AJ16" i="70"/>
  <c r="X16" i="70"/>
  <c r="W16" i="70"/>
  <c r="V16" i="70"/>
  <c r="J16" i="70"/>
  <c r="I16" i="70"/>
  <c r="H16" i="70"/>
  <c r="GI15" i="70"/>
  <c r="FU15" i="70"/>
  <c r="FG15" i="70"/>
  <c r="ES15" i="70"/>
  <c r="EE15" i="70"/>
  <c r="DR15" i="70"/>
  <c r="DQ15" i="70"/>
  <c r="DP15" i="70"/>
  <c r="DD15" i="70"/>
  <c r="DC15" i="70"/>
  <c r="DB15" i="70"/>
  <c r="CP15" i="70"/>
  <c r="CO15" i="70"/>
  <c r="CN15" i="70"/>
  <c r="CB15" i="70"/>
  <c r="CA15" i="70"/>
  <c r="BZ15" i="70"/>
  <c r="BN15" i="70"/>
  <c r="BM15" i="70"/>
  <c r="BL15" i="70"/>
  <c r="AZ15" i="70"/>
  <c r="AY15" i="70"/>
  <c r="AX15" i="70"/>
  <c r="AL15" i="70"/>
  <c r="AK15" i="70"/>
  <c r="AJ15" i="70"/>
  <c r="X15" i="70"/>
  <c r="W15" i="70"/>
  <c r="V15" i="70"/>
  <c r="J15" i="70"/>
  <c r="K15" i="70" s="1"/>
  <c r="I15" i="70"/>
  <c r="H15" i="70"/>
  <c r="GI14" i="70"/>
  <c r="FU14" i="70"/>
  <c r="FG14" i="70"/>
  <c r="ES14" i="70"/>
  <c r="EE14" i="70"/>
  <c r="DR14" i="70"/>
  <c r="DQ14" i="70"/>
  <c r="DP14" i="70"/>
  <c r="DV14" i="70" s="1"/>
  <c r="DD14" i="70"/>
  <c r="DC14" i="70"/>
  <c r="DB14" i="70"/>
  <c r="DH14" i="70" s="1"/>
  <c r="CP14" i="70"/>
  <c r="CO14" i="70"/>
  <c r="CN14" i="70"/>
  <c r="FW14" i="70" s="1"/>
  <c r="CB14" i="70"/>
  <c r="CA14" i="70"/>
  <c r="BZ14" i="70"/>
  <c r="CF14" i="70" s="1"/>
  <c r="BN14" i="70"/>
  <c r="BM14" i="70"/>
  <c r="BL14" i="70"/>
  <c r="BR14" i="70" s="1"/>
  <c r="AZ14" i="70"/>
  <c r="AY14" i="70"/>
  <c r="AX14" i="70"/>
  <c r="AL14" i="70"/>
  <c r="AK14" i="70"/>
  <c r="AJ14" i="70"/>
  <c r="X14" i="70"/>
  <c r="W14" i="70"/>
  <c r="V14" i="70"/>
  <c r="AB14" i="70" s="1"/>
  <c r="J14" i="70"/>
  <c r="K14" i="70" s="1"/>
  <c r="I14" i="70"/>
  <c r="M14" i="70" s="1"/>
  <c r="H14" i="70"/>
  <c r="GI13" i="70"/>
  <c r="FU13" i="70"/>
  <c r="FG13" i="70"/>
  <c r="ES13" i="70"/>
  <c r="EE13" i="70"/>
  <c r="DR13" i="70"/>
  <c r="DQ13" i="70"/>
  <c r="DP13" i="70"/>
  <c r="DD13" i="70"/>
  <c r="DC13" i="70"/>
  <c r="DB13" i="70"/>
  <c r="CP13" i="70"/>
  <c r="CO13" i="70"/>
  <c r="CN13" i="70"/>
  <c r="CB13" i="70"/>
  <c r="CA13" i="70"/>
  <c r="BZ13" i="70"/>
  <c r="BN13" i="70"/>
  <c r="BM13" i="70"/>
  <c r="BL13" i="70"/>
  <c r="AZ13" i="70"/>
  <c r="AY13" i="70"/>
  <c r="AX13" i="70"/>
  <c r="AL13" i="70"/>
  <c r="AK13" i="70"/>
  <c r="AJ13" i="70"/>
  <c r="X13" i="70"/>
  <c r="W13" i="70"/>
  <c r="V13" i="70"/>
  <c r="K13" i="70"/>
  <c r="J13" i="70"/>
  <c r="I13" i="70"/>
  <c r="H13" i="70"/>
  <c r="GI11" i="70"/>
  <c r="FU11" i="70"/>
  <c r="FG11" i="70"/>
  <c r="ES11" i="70"/>
  <c r="EE11" i="70"/>
  <c r="DR11" i="70"/>
  <c r="DQ11" i="70"/>
  <c r="DP11" i="70"/>
  <c r="DS11" i="70"/>
  <c r="DD11" i="70"/>
  <c r="DC11" i="70"/>
  <c r="DB11" i="70"/>
  <c r="DE11" i="70"/>
  <c r="CP11" i="70"/>
  <c r="CO11" i="70"/>
  <c r="CN11" i="70"/>
  <c r="CQ11" i="70"/>
  <c r="CB11" i="70"/>
  <c r="CA11" i="70"/>
  <c r="BZ11" i="70"/>
  <c r="BN11" i="70"/>
  <c r="BM11" i="70"/>
  <c r="BL11" i="70"/>
  <c r="AZ11" i="70"/>
  <c r="AY11" i="70"/>
  <c r="AX11" i="70"/>
  <c r="AL11" i="70"/>
  <c r="AK11" i="70"/>
  <c r="AJ11" i="70"/>
  <c r="X11" i="70"/>
  <c r="W11" i="70"/>
  <c r="V11" i="70"/>
  <c r="K11" i="70"/>
  <c r="J11" i="70"/>
  <c r="I11" i="70"/>
  <c r="H11" i="70"/>
  <c r="L11" i="70"/>
  <c r="GI10" i="70"/>
  <c r="FU10" i="70"/>
  <c r="FG10" i="70"/>
  <c r="ES10" i="70"/>
  <c r="EE10" i="70"/>
  <c r="DV10" i="70"/>
  <c r="DR10" i="70"/>
  <c r="DQ10" i="70"/>
  <c r="DP10" i="70"/>
  <c r="DD10" i="70"/>
  <c r="DC10" i="70"/>
  <c r="DB10" i="70"/>
  <c r="DH10" i="70" s="1"/>
  <c r="CP10" i="70"/>
  <c r="CO10" i="70"/>
  <c r="CN10" i="70"/>
  <c r="CT10" i="70" s="1"/>
  <c r="CF10" i="70"/>
  <c r="CB10" i="70"/>
  <c r="CA10" i="70"/>
  <c r="BZ10" i="70"/>
  <c r="BR10" i="70"/>
  <c r="BN10" i="70"/>
  <c r="BM10" i="70"/>
  <c r="BL10" i="70"/>
  <c r="AZ10" i="70"/>
  <c r="AY10" i="70"/>
  <c r="AX10" i="70"/>
  <c r="BD10" i="70" s="1"/>
  <c r="AL10" i="70"/>
  <c r="AK10" i="70"/>
  <c r="AJ10" i="70"/>
  <c r="X10" i="70"/>
  <c r="W10" i="70"/>
  <c r="V10" i="70"/>
  <c r="AB10" i="70" s="1"/>
  <c r="J10" i="70"/>
  <c r="K10" i="70"/>
  <c r="I10" i="70"/>
  <c r="H10" i="70"/>
  <c r="DO9" i="70"/>
  <c r="DN9" i="70"/>
  <c r="DA9" i="70"/>
  <c r="CZ9" i="70"/>
  <c r="CM9" i="70"/>
  <c r="CL9" i="70"/>
  <c r="BY9" i="70"/>
  <c r="BX9" i="70"/>
  <c r="BK9" i="70"/>
  <c r="BJ9" i="70"/>
  <c r="AW9" i="70"/>
  <c r="AV9" i="70"/>
  <c r="AI9" i="70"/>
  <c r="AH9" i="70"/>
  <c r="U9" i="70"/>
  <c r="T9" i="70"/>
  <c r="G9" i="70"/>
  <c r="F9" i="70"/>
  <c r="GL8" i="70"/>
  <c r="GJ8" i="70"/>
  <c r="FX8" i="70"/>
  <c r="FX26" i="70" s="1"/>
  <c r="FV8" i="70"/>
  <c r="FJ8" i="70"/>
  <c r="FH8" i="70"/>
  <c r="EV8" i="70"/>
  <c r="EW8" i="70" s="1"/>
  <c r="EX8" i="70" s="1"/>
  <c r="EY8" i="70" s="1"/>
  <c r="ET8" i="70"/>
  <c r="ET3" i="70" s="1"/>
  <c r="EH8" i="70"/>
  <c r="EH26" i="70" s="1"/>
  <c r="EF8" i="70"/>
  <c r="EF3" i="70" s="1"/>
  <c r="GF6" i="70"/>
  <c r="FR6" i="70"/>
  <c r="FD6" i="70"/>
  <c r="EP6" i="70"/>
  <c r="EB6" i="70"/>
  <c r="DL6" i="70"/>
  <c r="CX6" i="70"/>
  <c r="CY6" i="70" s="1"/>
  <c r="CZ6" i="70"/>
  <c r="DA6" i="70" s="1"/>
  <c r="DB6" i="70" s="1"/>
  <c r="DC6" i="70" s="1"/>
  <c r="DD6" i="70" s="1"/>
  <c r="DE6" i="70" s="1"/>
  <c r="DF6" i="70" s="1"/>
  <c r="DG6" i="70" s="1"/>
  <c r="DH6" i="70" s="1"/>
  <c r="DI6" i="70" s="1"/>
  <c r="CJ6" i="70"/>
  <c r="CK6" i="70" s="1"/>
  <c r="CL6" i="70" s="1"/>
  <c r="BV6" i="70"/>
  <c r="BH6" i="70"/>
  <c r="BI6" i="70" s="1"/>
  <c r="BJ6" i="70" s="1"/>
  <c r="BK6" i="70" s="1"/>
  <c r="BL6" i="70" s="1"/>
  <c r="BM6" i="70" s="1"/>
  <c r="BN6" i="70" s="1"/>
  <c r="BO6" i="70" s="1"/>
  <c r="BP6" i="70" s="1"/>
  <c r="BQ6" i="70" s="1"/>
  <c r="BR6" i="70" s="1"/>
  <c r="BS6" i="70" s="1"/>
  <c r="AT6" i="70"/>
  <c r="AF6" i="70"/>
  <c r="AG6" i="70" s="1"/>
  <c r="AH6" i="70" s="1"/>
  <c r="R6" i="70"/>
  <c r="S6" i="70"/>
  <c r="D6" i="70"/>
  <c r="E6" i="70" s="1"/>
  <c r="GM4" i="70"/>
  <c r="GM3" i="70" s="1"/>
  <c r="FY4" i="70"/>
  <c r="FY2" i="70" s="1"/>
  <c r="FK4" i="70"/>
  <c r="FK3" i="70" s="1"/>
  <c r="EW4" i="70"/>
  <c r="EI4" i="70"/>
  <c r="EI3" i="70" s="1"/>
  <c r="GI3" i="70"/>
  <c r="FU3" i="70"/>
  <c r="FG3" i="70"/>
  <c r="ES3" i="70"/>
  <c r="EE3" i="70"/>
  <c r="GK3" i="70"/>
  <c r="FI3" i="70"/>
  <c r="EV3" i="70"/>
  <c r="J3" i="70"/>
  <c r="GG1" i="70"/>
  <c r="GH1" i="70"/>
  <c r="GI1" i="70" s="1"/>
  <c r="GJ1" i="70" s="1"/>
  <c r="GK1" i="70" s="1"/>
  <c r="FS1" i="70"/>
  <c r="FT1" i="70" s="1"/>
  <c r="FU1" i="70" s="1"/>
  <c r="FV1" i="70" s="1"/>
  <c r="FW1" i="70" s="1"/>
  <c r="FE1" i="70"/>
  <c r="FF1" i="70" s="1"/>
  <c r="FG1" i="70" s="1"/>
  <c r="FH1" i="70" s="1"/>
  <c r="FI1" i="70" s="1"/>
  <c r="EQ1" i="70"/>
  <c r="ER1" i="70" s="1"/>
  <c r="ES1" i="70" s="1"/>
  <c r="ET1" i="70" s="1"/>
  <c r="EU1" i="70" s="1"/>
  <c r="EC1" i="70"/>
  <c r="ED1" i="70"/>
  <c r="EE1" i="70" s="1"/>
  <c r="EF1" i="70" s="1"/>
  <c r="EG1" i="70" s="1"/>
  <c r="A5" i="55"/>
  <c r="CX16" i="41"/>
  <c r="CW19" i="41"/>
  <c r="J101" i="10"/>
  <c r="AN11" i="45" s="1"/>
  <c r="AP13" i="41" s="1"/>
  <c r="CY12" i="41"/>
  <c r="CZ12" i="41" s="1"/>
  <c r="CN15" i="38"/>
  <c r="BY18" i="41" s="1"/>
  <c r="CR15" i="38"/>
  <c r="CQ15" i="38"/>
  <c r="BX18" i="41" s="1"/>
  <c r="CP15" i="38"/>
  <c r="BW18" i="41" s="1"/>
  <c r="CO15" i="38"/>
  <c r="BV18" i="41" s="1"/>
  <c r="CN10" i="38"/>
  <c r="Y13" i="4"/>
  <c r="K4" i="10"/>
  <c r="AX16" i="7"/>
  <c r="AY16" i="7" s="1"/>
  <c r="AZ16" i="7" s="1"/>
  <c r="BA16" i="7" s="1"/>
  <c r="BB16" i="7" s="1"/>
  <c r="BC16" i="7" s="1"/>
  <c r="C1" i="38"/>
  <c r="EX8" i="38"/>
  <c r="EX9" i="38"/>
  <c r="D14" i="7"/>
  <c r="D15" i="7" s="1"/>
  <c r="E14" i="7"/>
  <c r="H14" i="7"/>
  <c r="H15" i="7" s="1"/>
  <c r="I14" i="7"/>
  <c r="J14" i="7"/>
  <c r="K14" i="7"/>
  <c r="EI4" i="57"/>
  <c r="EI3" i="57" s="1"/>
  <c r="N1" i="7" s="1"/>
  <c r="N14" i="7" s="1"/>
  <c r="P14" i="7"/>
  <c r="P15" i="7" s="1"/>
  <c r="Q14" i="7"/>
  <c r="R14" i="7"/>
  <c r="S14" i="7"/>
  <c r="EW4" i="57"/>
  <c r="EW3" i="57" s="1"/>
  <c r="V1" i="7" s="1"/>
  <c r="V14" i="7" s="1"/>
  <c r="X14" i="7"/>
  <c r="X15" i="7" s="1"/>
  <c r="Y14" i="7"/>
  <c r="Z14" i="7"/>
  <c r="AA14" i="7"/>
  <c r="FK4" i="57"/>
  <c r="FK3" i="57" s="1"/>
  <c r="AD1" i="7" s="1"/>
  <c r="AD14" i="7" s="1"/>
  <c r="AF14" i="7"/>
  <c r="AF15" i="7" s="1"/>
  <c r="AG14" i="7"/>
  <c r="AH14" i="7"/>
  <c r="AI14" i="7"/>
  <c r="FY4" i="57"/>
  <c r="FY3" i="57" s="1"/>
  <c r="AL1" i="7" s="1"/>
  <c r="AL14" i="7" s="1"/>
  <c r="EW8" i="38"/>
  <c r="EW9" i="38"/>
  <c r="FB9" i="38" s="1"/>
  <c r="EV8" i="38"/>
  <c r="FC8" i="38"/>
  <c r="AY9" i="7"/>
  <c r="AZ9" i="7" s="1"/>
  <c r="BA9" i="7" s="1"/>
  <c r="BB9" i="7" s="1"/>
  <c r="BC9" i="7" s="1"/>
  <c r="BD9" i="7" s="1"/>
  <c r="FD2" i="38"/>
  <c r="FC2" i="38"/>
  <c r="FB2" i="38"/>
  <c r="FD11" i="38"/>
  <c r="FB8" i="38"/>
  <c r="FC14" i="38"/>
  <c r="FB14" i="38"/>
  <c r="FD8" i="38"/>
  <c r="EY8" i="38"/>
  <c r="EX14" i="38"/>
  <c r="EW14" i="38"/>
  <c r="EV14" i="38"/>
  <c r="C1" i="46"/>
  <c r="M4" i="10"/>
  <c r="C1" i="45"/>
  <c r="L4" i="10"/>
  <c r="AF16" i="7"/>
  <c r="AG16" i="7" s="1"/>
  <c r="AH16" i="7" s="1"/>
  <c r="AL16" i="7" s="1"/>
  <c r="X16" i="7"/>
  <c r="Y16" i="7" s="1"/>
  <c r="Z16" i="7" s="1"/>
  <c r="AA16" i="7" s="1"/>
  <c r="AB16" i="7" s="1"/>
  <c r="AC16" i="7" s="1"/>
  <c r="P16" i="7"/>
  <c r="Q16" i="7" s="1"/>
  <c r="R16" i="7" s="1"/>
  <c r="V16" i="7" s="1"/>
  <c r="GR3" i="57"/>
  <c r="AS1" i="7" s="1"/>
  <c r="H16" i="7"/>
  <c r="I16" i="7" s="1"/>
  <c r="J16" i="7" s="1"/>
  <c r="K16" i="7" s="1"/>
  <c r="L16" i="7" s="1"/>
  <c r="M16" i="7" s="1"/>
  <c r="DN9" i="57"/>
  <c r="DO9" i="57"/>
  <c r="DN8" i="57"/>
  <c r="DO8" i="57"/>
  <c r="CZ9" i="57"/>
  <c r="DA9" i="57"/>
  <c r="CZ8" i="57"/>
  <c r="DA8" i="57"/>
  <c r="CL9" i="57"/>
  <c r="CM9" i="57"/>
  <c r="CL8" i="57"/>
  <c r="CM8" i="57"/>
  <c r="BX9" i="57"/>
  <c r="BY9" i="57"/>
  <c r="BX8" i="57"/>
  <c r="BY8" i="57"/>
  <c r="BJ9" i="57"/>
  <c r="BK9" i="57"/>
  <c r="BJ8" i="57"/>
  <c r="BK8" i="57"/>
  <c r="AV9" i="57"/>
  <c r="AW9" i="57"/>
  <c r="AV8" i="57"/>
  <c r="AW8" i="57"/>
  <c r="AH9" i="57"/>
  <c r="AI9" i="57"/>
  <c r="AH8" i="57"/>
  <c r="AI8" i="57"/>
  <c r="T9" i="57"/>
  <c r="U9" i="57"/>
  <c r="T8" i="57"/>
  <c r="U8" i="57"/>
  <c r="F9" i="57"/>
  <c r="G9" i="57"/>
  <c r="F8" i="57"/>
  <c r="G8" i="57"/>
  <c r="CD16" i="7"/>
  <c r="CE16" i="7" s="1"/>
  <c r="CF16" i="7" s="1"/>
  <c r="CG16" i="7" s="1"/>
  <c r="CH16" i="7" s="1"/>
  <c r="CI16" i="7" s="1"/>
  <c r="BV16" i="7"/>
  <c r="BW16" i="7" s="1"/>
  <c r="BX16" i="7" s="1"/>
  <c r="BY16" i="7" s="1"/>
  <c r="BZ16" i="7" s="1"/>
  <c r="CA16" i="7" s="1"/>
  <c r="BN16" i="7"/>
  <c r="BO16" i="7" s="1"/>
  <c r="BP16" i="7" s="1"/>
  <c r="BQ16" i="7" s="1"/>
  <c r="BR16" i="7" s="1"/>
  <c r="BS16" i="7" s="1"/>
  <c r="BF16" i="7"/>
  <c r="BG16" i="7" s="1"/>
  <c r="BH16" i="7" s="1"/>
  <c r="BI16" i="7" s="1"/>
  <c r="BJ16" i="7" s="1"/>
  <c r="BK16" i="7" s="1"/>
  <c r="CZ9" i="56"/>
  <c r="DA9" i="56"/>
  <c r="CZ8" i="56"/>
  <c r="DA8" i="56"/>
  <c r="CL9" i="56"/>
  <c r="CM9" i="56"/>
  <c r="CL8" i="56"/>
  <c r="CM8" i="56"/>
  <c r="BX9" i="56"/>
  <c r="BY9" i="56"/>
  <c r="BX8" i="56"/>
  <c r="BY8" i="56"/>
  <c r="BJ9" i="56"/>
  <c r="BK9" i="56"/>
  <c r="BJ8" i="56"/>
  <c r="BK8" i="56"/>
  <c r="AV9" i="56"/>
  <c r="AW9" i="56"/>
  <c r="AV8" i="56"/>
  <c r="AW8" i="56"/>
  <c r="AH9" i="56"/>
  <c r="AI9" i="56"/>
  <c r="AH8" i="56"/>
  <c r="AI8" i="56"/>
  <c r="T9" i="56"/>
  <c r="U9" i="56"/>
  <c r="T8" i="56"/>
  <c r="U8" i="56"/>
  <c r="F9" i="56"/>
  <c r="G9" i="56"/>
  <c r="F8" i="56"/>
  <c r="G8" i="56"/>
  <c r="DO8" i="56"/>
  <c r="DN8" i="56"/>
  <c r="DO9" i="56"/>
  <c r="DN9" i="56"/>
  <c r="K112" i="10"/>
  <c r="DT4" i="38"/>
  <c r="EL11" i="38" s="1"/>
  <c r="EI4" i="56"/>
  <c r="EI2" i="56" s="1"/>
  <c r="BD14" i="7" s="1"/>
  <c r="E13" i="7"/>
  <c r="I13" i="7"/>
  <c r="Q13" i="7"/>
  <c r="Y13" i="7"/>
  <c r="Z13" i="7" s="1"/>
  <c r="AA13" i="7" s="1"/>
  <c r="AD13" i="7" s="1"/>
  <c r="AG13" i="7"/>
  <c r="AH13" i="7" s="1"/>
  <c r="A15" i="7"/>
  <c r="AR13" i="38"/>
  <c r="AS13" i="38"/>
  <c r="AX13" i="38"/>
  <c r="EW4" i="56"/>
  <c r="EW2" i="56" s="1"/>
  <c r="BL14" i="7" s="1"/>
  <c r="AR13" i="45"/>
  <c r="AS13" i="45"/>
  <c r="AX13" i="45"/>
  <c r="A8" i="41"/>
  <c r="CH8" i="41" s="1"/>
  <c r="A9" i="41"/>
  <c r="CH9" i="41" s="1"/>
  <c r="J106" i="10"/>
  <c r="EA7" i="38" s="1"/>
  <c r="A4" i="41"/>
  <c r="CH4" i="41" s="1"/>
  <c r="A5" i="41"/>
  <c r="CH5" i="41" s="1"/>
  <c r="A6" i="41"/>
  <c r="CH6" i="41" s="1"/>
  <c r="A7" i="41"/>
  <c r="CH7" i="41" s="1"/>
  <c r="A10" i="41"/>
  <c r="CH10" i="41" s="1"/>
  <c r="A11" i="41"/>
  <c r="CH11" i="41" s="1"/>
  <c r="A13" i="41"/>
  <c r="CH13" i="41" s="1"/>
  <c r="CI13" i="41"/>
  <c r="CI12" i="41"/>
  <c r="CI11" i="41"/>
  <c r="CI10" i="41"/>
  <c r="CI9" i="41"/>
  <c r="CI8" i="41"/>
  <c r="CI7" i="41"/>
  <c r="CI6" i="41"/>
  <c r="CI5" i="41"/>
  <c r="CI4" i="41"/>
  <c r="CI3" i="41"/>
  <c r="AD14" i="38"/>
  <c r="FR15" i="38" s="1"/>
  <c r="AJ14" i="45"/>
  <c r="AD14" i="45"/>
  <c r="V14" i="45"/>
  <c r="FM14" i="45" s="1"/>
  <c r="Y14" i="45"/>
  <c r="FL14" i="45" s="1"/>
  <c r="M14" i="38"/>
  <c r="V14" i="38"/>
  <c r="FP14" i="38" s="1"/>
  <c r="AJ14" i="38"/>
  <c r="K14" i="38"/>
  <c r="FR7" i="38" s="1"/>
  <c r="A3" i="41"/>
  <c r="CH3" i="41" s="1"/>
  <c r="K1" i="41"/>
  <c r="FK4" i="56"/>
  <c r="FY4" i="56"/>
  <c r="FY3" i="56" s="1"/>
  <c r="CB1" i="7" s="1"/>
  <c r="GM4" i="56"/>
  <c r="GM2" i="56" s="1"/>
  <c r="CJ14" i="7" s="1"/>
  <c r="A20" i="38"/>
  <c r="CV20" i="38" s="1"/>
  <c r="Z14" i="38"/>
  <c r="EL18" i="38"/>
  <c r="AR13" i="46"/>
  <c r="AS13" i="46"/>
  <c r="AX13" i="46"/>
  <c r="T14" i="46"/>
  <c r="S14" i="46"/>
  <c r="T14" i="45"/>
  <c r="S14" i="45"/>
  <c r="S14" i="38"/>
  <c r="K14" i="46"/>
  <c r="FO7" i="46" s="1"/>
  <c r="K14" i="45"/>
  <c r="FO7" i="45" s="1"/>
  <c r="J84" i="10"/>
  <c r="A20" i="46"/>
  <c r="FK20" i="46" s="1"/>
  <c r="FP18" i="46" s="1"/>
  <c r="A20" i="45"/>
  <c r="FK20" i="45" s="1"/>
  <c r="FP18" i="45" s="1"/>
  <c r="FQ18" i="45" s="1"/>
  <c r="FR18" i="45" s="1"/>
  <c r="FS18" i="45" s="1"/>
  <c r="FT18" i="45" s="1"/>
  <c r="FU18" i="45" s="1"/>
  <c r="D16" i="7"/>
  <c r="E16" i="7" s="1"/>
  <c r="DM8" i="57"/>
  <c r="DL8" i="57"/>
  <c r="DK8" i="57"/>
  <c r="CK8" i="57"/>
  <c r="CJ8" i="57"/>
  <c r="CI8" i="57"/>
  <c r="CN52" i="57" s="1"/>
  <c r="CY8" i="57"/>
  <c r="CX8" i="57"/>
  <c r="CW8" i="57"/>
  <c r="BI8" i="57"/>
  <c r="BH8" i="57"/>
  <c r="BG8" i="57"/>
  <c r="BL109" i="57" s="1"/>
  <c r="BW8" i="57"/>
  <c r="BV8" i="57"/>
  <c r="BU8" i="57"/>
  <c r="AU8" i="57"/>
  <c r="AT8" i="57"/>
  <c r="AS8" i="57"/>
  <c r="AX53" i="57"/>
  <c r="AG8" i="57"/>
  <c r="AF8" i="57"/>
  <c r="AE8" i="57"/>
  <c r="S8" i="57"/>
  <c r="R8" i="57"/>
  <c r="Q8" i="57"/>
  <c r="E8" i="57"/>
  <c r="D8" i="57"/>
  <c r="C8" i="57"/>
  <c r="J1" i="41"/>
  <c r="AV1" i="41"/>
  <c r="FX8" i="57"/>
  <c r="DC110" i="57"/>
  <c r="DE110" i="57" s="1"/>
  <c r="DC107" i="57"/>
  <c r="DC108" i="57"/>
  <c r="DC109" i="57"/>
  <c r="FU106" i="57"/>
  <c r="FU107" i="57"/>
  <c r="FU108" i="57"/>
  <c r="FU109" i="57"/>
  <c r="FU110" i="57"/>
  <c r="DC53" i="57"/>
  <c r="AX54" i="57"/>
  <c r="DC55" i="57"/>
  <c r="I57" i="57"/>
  <c r="AX58" i="57"/>
  <c r="DC58" i="57"/>
  <c r="DC59" i="57"/>
  <c r="DC60" i="57"/>
  <c r="DC61" i="57"/>
  <c r="AX62" i="57"/>
  <c r="DC63" i="57"/>
  <c r="DC64" i="57"/>
  <c r="AX65" i="57"/>
  <c r="AX66" i="57"/>
  <c r="DC66" i="57"/>
  <c r="CN67" i="57"/>
  <c r="AX68" i="57"/>
  <c r="CN68" i="57"/>
  <c r="AX69" i="57"/>
  <c r="I69" i="57"/>
  <c r="AX70" i="57"/>
  <c r="DC70" i="57"/>
  <c r="AX71" i="57"/>
  <c r="I71" i="57"/>
  <c r="AX72" i="57"/>
  <c r="DC72" i="57"/>
  <c r="AX73" i="57"/>
  <c r="DC73" i="57"/>
  <c r="AX74" i="57"/>
  <c r="AX75" i="57"/>
  <c r="I75" i="57"/>
  <c r="AX76" i="57"/>
  <c r="DC76" i="57"/>
  <c r="AX77" i="57"/>
  <c r="DC77" i="57"/>
  <c r="AX78" i="57"/>
  <c r="I78" i="57"/>
  <c r="AX79" i="57"/>
  <c r="I79" i="57"/>
  <c r="AX80" i="57"/>
  <c r="DC80" i="57"/>
  <c r="AX81" i="57"/>
  <c r="AX82" i="57"/>
  <c r="I82" i="57"/>
  <c r="AX83" i="57"/>
  <c r="I83" i="57"/>
  <c r="AX84" i="57"/>
  <c r="DC84" i="57"/>
  <c r="AX85" i="57"/>
  <c r="DC85" i="57"/>
  <c r="AX86" i="57"/>
  <c r="I86" i="57"/>
  <c r="AX87" i="57"/>
  <c r="I87" i="57"/>
  <c r="AX88" i="57"/>
  <c r="DC88" i="57"/>
  <c r="AX89" i="57"/>
  <c r="DC89" i="57"/>
  <c r="AX90" i="57"/>
  <c r="DC90" i="57"/>
  <c r="AX91" i="57"/>
  <c r="DC91" i="57"/>
  <c r="AX92" i="57"/>
  <c r="AX93" i="57"/>
  <c r="CN93" i="57"/>
  <c r="AX94" i="57"/>
  <c r="CN94" i="57"/>
  <c r="AX95" i="57"/>
  <c r="CN95" i="57"/>
  <c r="AX96" i="57"/>
  <c r="DC96" i="57"/>
  <c r="AX97" i="57"/>
  <c r="AX98" i="57"/>
  <c r="DC98" i="57"/>
  <c r="AX99" i="57"/>
  <c r="DC99" i="57"/>
  <c r="AX100" i="57"/>
  <c r="DC100" i="57"/>
  <c r="AX101" i="57"/>
  <c r="AX102" i="57"/>
  <c r="I102" i="57"/>
  <c r="AX103" i="57"/>
  <c r="CN103" i="57"/>
  <c r="DC103" i="57"/>
  <c r="AX104" i="57"/>
  <c r="DC104" i="57"/>
  <c r="AX105" i="57"/>
  <c r="DC105" i="57"/>
  <c r="AX45" i="57"/>
  <c r="AX46" i="57"/>
  <c r="DC46" i="57"/>
  <c r="AX47" i="57"/>
  <c r="I47" i="57"/>
  <c r="AX48" i="57"/>
  <c r="I48" i="57"/>
  <c r="AX49" i="57"/>
  <c r="CN49" i="57"/>
  <c r="DC49" i="57"/>
  <c r="X1" i="41"/>
  <c r="W1" i="41"/>
  <c r="V1" i="41"/>
  <c r="I6" i="10"/>
  <c r="AH1" i="41" s="1"/>
  <c r="C11" i="38"/>
  <c r="C10" i="38"/>
  <c r="C9" i="38"/>
  <c r="C8" i="38"/>
  <c r="C7" i="38"/>
  <c r="C6" i="38"/>
  <c r="C5" i="38"/>
  <c r="C4" i="38"/>
  <c r="C3" i="38"/>
  <c r="C2" i="38"/>
  <c r="C11" i="46"/>
  <c r="C10" i="46"/>
  <c r="C9" i="46"/>
  <c r="C8" i="46"/>
  <c r="C7" i="46"/>
  <c r="C6" i="46"/>
  <c r="C5" i="46"/>
  <c r="C4" i="46"/>
  <c r="C3" i="46"/>
  <c r="C2" i="46"/>
  <c r="C11" i="45"/>
  <c r="C10" i="45"/>
  <c r="C9" i="45"/>
  <c r="C8" i="45"/>
  <c r="C7" i="45"/>
  <c r="C6" i="45"/>
  <c r="C5" i="45"/>
  <c r="C4" i="45"/>
  <c r="C3" i="45"/>
  <c r="C2" i="45"/>
  <c r="A130" i="46"/>
  <c r="I18" i="46"/>
  <c r="I14" i="46"/>
  <c r="H14" i="46"/>
  <c r="AX10" i="57"/>
  <c r="CN10" i="57"/>
  <c r="CT10" i="57"/>
  <c r="I10" i="57"/>
  <c r="CO10" i="57"/>
  <c r="A130" i="45"/>
  <c r="H30" i="57"/>
  <c r="AX30" i="57"/>
  <c r="I30" i="57"/>
  <c r="H31" i="57"/>
  <c r="AX31" i="57"/>
  <c r="DC31" i="57"/>
  <c r="H32" i="57"/>
  <c r="AX32" i="57"/>
  <c r="I32" i="57"/>
  <c r="DC32" i="57"/>
  <c r="AX33" i="57"/>
  <c r="I33" i="57"/>
  <c r="DC33" i="57"/>
  <c r="AX34" i="57"/>
  <c r="I34" i="57"/>
  <c r="DC34" i="57"/>
  <c r="H35" i="57"/>
  <c r="AX35" i="57"/>
  <c r="I35" i="57"/>
  <c r="H36" i="57"/>
  <c r="AX36" i="57"/>
  <c r="DC36" i="57"/>
  <c r="AX37" i="57"/>
  <c r="DC37" i="57"/>
  <c r="H38" i="57"/>
  <c r="AX38" i="57"/>
  <c r="I38" i="57"/>
  <c r="DC38" i="57"/>
  <c r="AX39" i="57"/>
  <c r="I39" i="57"/>
  <c r="DC39" i="57"/>
  <c r="H40" i="57"/>
  <c r="AX40" i="57"/>
  <c r="I40" i="57"/>
  <c r="CO40" i="57"/>
  <c r="AX41" i="57"/>
  <c r="I41" i="57"/>
  <c r="AX42" i="57"/>
  <c r="I42" i="57"/>
  <c r="DC42" i="57"/>
  <c r="AX43" i="57"/>
  <c r="DC43" i="57"/>
  <c r="AX44" i="57"/>
  <c r="I44" i="57"/>
  <c r="I18" i="45"/>
  <c r="I14" i="45"/>
  <c r="H14" i="45"/>
  <c r="A130" i="38"/>
  <c r="J110" i="57"/>
  <c r="AZ110" i="57"/>
  <c r="DD110" i="57"/>
  <c r="CP110" i="57"/>
  <c r="J106" i="57"/>
  <c r="AZ106" i="57"/>
  <c r="DD106" i="57"/>
  <c r="CP106" i="57"/>
  <c r="J107" i="57"/>
  <c r="AZ107" i="57"/>
  <c r="DD107" i="57"/>
  <c r="CP107" i="57"/>
  <c r="J108" i="57"/>
  <c r="AZ108" i="57"/>
  <c r="DD108" i="57"/>
  <c r="CP108" i="57"/>
  <c r="J109" i="57"/>
  <c r="AZ109" i="57"/>
  <c r="DD109" i="57"/>
  <c r="CP109" i="57"/>
  <c r="W110" i="57"/>
  <c r="X110" i="57"/>
  <c r="AC110" i="57" s="1"/>
  <c r="BM110" i="57"/>
  <c r="BL110" i="57"/>
  <c r="W106" i="57"/>
  <c r="BM106" i="57"/>
  <c r="BN106" i="57"/>
  <c r="BL106" i="57"/>
  <c r="W107" i="57"/>
  <c r="AC107" i="57"/>
  <c r="X107" i="57"/>
  <c r="BM107" i="57"/>
  <c r="BL107" i="57"/>
  <c r="W108" i="57"/>
  <c r="X108" i="57"/>
  <c r="BM108" i="57"/>
  <c r="BN108" i="57"/>
  <c r="BL108" i="57"/>
  <c r="W109" i="57"/>
  <c r="BM109" i="57"/>
  <c r="BN109" i="57"/>
  <c r="AL110" i="57"/>
  <c r="AJ110" i="57"/>
  <c r="AP110" i="57"/>
  <c r="BZ110" i="57"/>
  <c r="DR110" i="57"/>
  <c r="AL106" i="57"/>
  <c r="AJ106" i="57"/>
  <c r="CA106" i="57"/>
  <c r="BZ106" i="57"/>
  <c r="AL107" i="57"/>
  <c r="AJ107" i="57"/>
  <c r="AP107" i="57"/>
  <c r="CA107" i="57"/>
  <c r="BZ107" i="57"/>
  <c r="DQ107" i="57"/>
  <c r="AL108" i="57"/>
  <c r="AJ108" i="57"/>
  <c r="AP108" i="57" s="1"/>
  <c r="CA108" i="57"/>
  <c r="BZ108" i="57"/>
  <c r="AL109" i="57"/>
  <c r="AJ109" i="57"/>
  <c r="AP109" i="57" s="1"/>
  <c r="BZ109" i="57"/>
  <c r="DQ109" i="57"/>
  <c r="DR109" i="57"/>
  <c r="FY8" i="57"/>
  <c r="FZ8" i="57"/>
  <c r="GA8" i="57" s="1"/>
  <c r="CO110" i="56"/>
  <c r="CU110" i="56"/>
  <c r="CP110" i="56"/>
  <c r="CN110" i="56"/>
  <c r="FX8" i="56"/>
  <c r="FY8" i="56"/>
  <c r="FZ8" i="56" s="1"/>
  <c r="GA8" i="56" s="1"/>
  <c r="DC110" i="56"/>
  <c r="DD110" i="56"/>
  <c r="DB110" i="56"/>
  <c r="DH110" i="56"/>
  <c r="FU110" i="56"/>
  <c r="FV8" i="56"/>
  <c r="FX110" i="56"/>
  <c r="BW100" i="7" s="1"/>
  <c r="CO109" i="56"/>
  <c r="CP109" i="56"/>
  <c r="CN109" i="56"/>
  <c r="DC109" i="56"/>
  <c r="FX109" i="56" s="1"/>
  <c r="BW99" i="7" s="1"/>
  <c r="DD109" i="56"/>
  <c r="DB109" i="56"/>
  <c r="DH109" i="56" s="1"/>
  <c r="FU109" i="56"/>
  <c r="CO108" i="56"/>
  <c r="CP108" i="56"/>
  <c r="CN108" i="56"/>
  <c r="CT108" i="56" s="1"/>
  <c r="DC108" i="56"/>
  <c r="DD108" i="56"/>
  <c r="DB108" i="56"/>
  <c r="FU108" i="56"/>
  <c r="FV108" i="56"/>
  <c r="CO107" i="56"/>
  <c r="CP107" i="56"/>
  <c r="CN107" i="56"/>
  <c r="CT107" i="56"/>
  <c r="DC107" i="56"/>
  <c r="DI107" i="56"/>
  <c r="DD107" i="56"/>
  <c r="DB107" i="56"/>
  <c r="FU107" i="56"/>
  <c r="CO106" i="56"/>
  <c r="CP106" i="56"/>
  <c r="CN106" i="56"/>
  <c r="DC106" i="56"/>
  <c r="DD106" i="56"/>
  <c r="DB106" i="56"/>
  <c r="DH106" i="56" s="1"/>
  <c r="FU106" i="56"/>
  <c r="CO105" i="56"/>
  <c r="CP105" i="56"/>
  <c r="CN105" i="56"/>
  <c r="DC105" i="56"/>
  <c r="FX105" i="56" s="1"/>
  <c r="DD105" i="56"/>
  <c r="DB105" i="56"/>
  <c r="DH105" i="56" s="1"/>
  <c r="FU105" i="56"/>
  <c r="BW95" i="7"/>
  <c r="CO104" i="56"/>
  <c r="CP104" i="56"/>
  <c r="CN104" i="56"/>
  <c r="CT104" i="56"/>
  <c r="DC104" i="56"/>
  <c r="DD104" i="56"/>
  <c r="DB104" i="56"/>
  <c r="FU104" i="56"/>
  <c r="CO103" i="56"/>
  <c r="CP103" i="56"/>
  <c r="CN103" i="56"/>
  <c r="CT103" i="56" s="1"/>
  <c r="DC103" i="56"/>
  <c r="DD103" i="56"/>
  <c r="DB103" i="56"/>
  <c r="DH103" i="56" s="1"/>
  <c r="FU103" i="56"/>
  <c r="CO102" i="56"/>
  <c r="CP102" i="56"/>
  <c r="CN102" i="56"/>
  <c r="CT102" i="56"/>
  <c r="DC102" i="56"/>
  <c r="DD102" i="56"/>
  <c r="DB102" i="56"/>
  <c r="DH102" i="56"/>
  <c r="FU102" i="56"/>
  <c r="CO101" i="56"/>
  <c r="FX101" i="56" s="1"/>
  <c r="BW91" i="7" s="1"/>
  <c r="CP101" i="56"/>
  <c r="CN101" i="56"/>
  <c r="DC101" i="56"/>
  <c r="DD101" i="56"/>
  <c r="DB101" i="56"/>
  <c r="DH101" i="56" s="1"/>
  <c r="FU101" i="56"/>
  <c r="CO100" i="56"/>
  <c r="CP100" i="56"/>
  <c r="CN100" i="56"/>
  <c r="CT100" i="56" s="1"/>
  <c r="DC100" i="56"/>
  <c r="DD100" i="56"/>
  <c r="DB100" i="56"/>
  <c r="FU100" i="56"/>
  <c r="CO99" i="56"/>
  <c r="CP99" i="56"/>
  <c r="CN99" i="56"/>
  <c r="DC99" i="56"/>
  <c r="DD99" i="56"/>
  <c r="DB99" i="56"/>
  <c r="DH99" i="56" s="1"/>
  <c r="FU99" i="56"/>
  <c r="CO98" i="56"/>
  <c r="CP98" i="56"/>
  <c r="CN98" i="56"/>
  <c r="CT98" i="56" s="1"/>
  <c r="DC98" i="56"/>
  <c r="DD98" i="56"/>
  <c r="DB98" i="56"/>
  <c r="FU98" i="56"/>
  <c r="CO97" i="56"/>
  <c r="CP97" i="56"/>
  <c r="CN97" i="56"/>
  <c r="DC97" i="56"/>
  <c r="DD97" i="56"/>
  <c r="DB97" i="56"/>
  <c r="FU97" i="56"/>
  <c r="FX97" i="56"/>
  <c r="BW87" i="7" s="1"/>
  <c r="CO96" i="56"/>
  <c r="CP96" i="56"/>
  <c r="CU96" i="56" s="1"/>
  <c r="CN96" i="56"/>
  <c r="DC96" i="56"/>
  <c r="DD96" i="56"/>
  <c r="DB96" i="56"/>
  <c r="FU96" i="56"/>
  <c r="CO95" i="56"/>
  <c r="CP95" i="56"/>
  <c r="CN95" i="56"/>
  <c r="CT95" i="56" s="1"/>
  <c r="DC95" i="56"/>
  <c r="DD95" i="56"/>
  <c r="DB95" i="56"/>
  <c r="FU95" i="56"/>
  <c r="CO94" i="56"/>
  <c r="CP94" i="56"/>
  <c r="CN94" i="56"/>
  <c r="DC94" i="56"/>
  <c r="DD94" i="56"/>
  <c r="DB94" i="56"/>
  <c r="DH94" i="56" s="1"/>
  <c r="FU94" i="56"/>
  <c r="FX94" i="56"/>
  <c r="BW84" i="7" s="1"/>
  <c r="CO93" i="56"/>
  <c r="CU93" i="56" s="1"/>
  <c r="CP93" i="56"/>
  <c r="CN93" i="56"/>
  <c r="DC93" i="56"/>
  <c r="DD93" i="56"/>
  <c r="DB93" i="56"/>
  <c r="DH93" i="56"/>
  <c r="FU93" i="56"/>
  <c r="CO92" i="56"/>
  <c r="CP92" i="56"/>
  <c r="CN92" i="56"/>
  <c r="CT92" i="56" s="1"/>
  <c r="DC92" i="56"/>
  <c r="DD92" i="56"/>
  <c r="DB92" i="56"/>
  <c r="FU92" i="56"/>
  <c r="FV92" i="56"/>
  <c r="CO91" i="56"/>
  <c r="CP91" i="56"/>
  <c r="CN91" i="56"/>
  <c r="CT91" i="56"/>
  <c r="DC91" i="56"/>
  <c r="DI91" i="56"/>
  <c r="DD91" i="56"/>
  <c r="DB91" i="56"/>
  <c r="FU91" i="56"/>
  <c r="CO90" i="56"/>
  <c r="CP90" i="56"/>
  <c r="CN90" i="56"/>
  <c r="CT90" i="56" s="1"/>
  <c r="DC90" i="56"/>
  <c r="DI90" i="56" s="1"/>
  <c r="DD90" i="56"/>
  <c r="DB90" i="56"/>
  <c r="FU90" i="56"/>
  <c r="CO89" i="56"/>
  <c r="CU89" i="56" s="1"/>
  <c r="CP89" i="56"/>
  <c r="CN89" i="56"/>
  <c r="DC89" i="56"/>
  <c r="DD89" i="56"/>
  <c r="DB89" i="56"/>
  <c r="DH89" i="56"/>
  <c r="FU89" i="56"/>
  <c r="CO88" i="56"/>
  <c r="CP88" i="56"/>
  <c r="CN88" i="56"/>
  <c r="CT88" i="56" s="1"/>
  <c r="DC88" i="56"/>
  <c r="DD88" i="56"/>
  <c r="DB88" i="56"/>
  <c r="FU88" i="56"/>
  <c r="CO87" i="56"/>
  <c r="CP87" i="56"/>
  <c r="CN87" i="56"/>
  <c r="DC87" i="56"/>
  <c r="DD87" i="56"/>
  <c r="DB87" i="56"/>
  <c r="DH87" i="56" s="1"/>
  <c r="FU87" i="56"/>
  <c r="CO86" i="56"/>
  <c r="CP86" i="56"/>
  <c r="CN86" i="56"/>
  <c r="DC86" i="56"/>
  <c r="FX86" i="56" s="1"/>
  <c r="DD86" i="56"/>
  <c r="DI86" i="56"/>
  <c r="DB86" i="56"/>
  <c r="DH86" i="56" s="1"/>
  <c r="FU86" i="56"/>
  <c r="BW76" i="7"/>
  <c r="CO85" i="56"/>
  <c r="CP85" i="56"/>
  <c r="CN85" i="56"/>
  <c r="DC85" i="56"/>
  <c r="DD85" i="56"/>
  <c r="DB85" i="56"/>
  <c r="DH85" i="56" s="1"/>
  <c r="FU85" i="56"/>
  <c r="CO84" i="56"/>
  <c r="CU84" i="56" s="1"/>
  <c r="CP84" i="56"/>
  <c r="CN84" i="56"/>
  <c r="CT84" i="56" s="1"/>
  <c r="DC84" i="56"/>
  <c r="DD84" i="56"/>
  <c r="DB84" i="56"/>
  <c r="FU84" i="56"/>
  <c r="CO83" i="56"/>
  <c r="CP83" i="56"/>
  <c r="CN83" i="56"/>
  <c r="CT83" i="56" s="1"/>
  <c r="DC83" i="56"/>
  <c r="DD83" i="56"/>
  <c r="DB83" i="56"/>
  <c r="DH83" i="56" s="1"/>
  <c r="FU83" i="56"/>
  <c r="CB73" i="7" s="1"/>
  <c r="FV83" i="56"/>
  <c r="CO82" i="56"/>
  <c r="CP82" i="56"/>
  <c r="CN82" i="56"/>
  <c r="DC82" i="56"/>
  <c r="DD82" i="56"/>
  <c r="DB82" i="56"/>
  <c r="DH82" i="56" s="1"/>
  <c r="FU82" i="56"/>
  <c r="CO81" i="56"/>
  <c r="CU81" i="56" s="1"/>
  <c r="CP81" i="56"/>
  <c r="CN81" i="56"/>
  <c r="FW81" i="56" s="1"/>
  <c r="BV71" i="7" s="1"/>
  <c r="DC81" i="56"/>
  <c r="DD81" i="56"/>
  <c r="DB81" i="56"/>
  <c r="DH81" i="56" s="1"/>
  <c r="FU81" i="56"/>
  <c r="CO80" i="56"/>
  <c r="CU80" i="56" s="1"/>
  <c r="CP80" i="56"/>
  <c r="CN80" i="56"/>
  <c r="CT80" i="56" s="1"/>
  <c r="DC80" i="56"/>
  <c r="DI80" i="56" s="1"/>
  <c r="DD80" i="56"/>
  <c r="DB80" i="56"/>
  <c r="FU80" i="56"/>
  <c r="FV80" i="56"/>
  <c r="CO79" i="56"/>
  <c r="CP79" i="56"/>
  <c r="CN79" i="56"/>
  <c r="CT79" i="56"/>
  <c r="DC79" i="56"/>
  <c r="DD79" i="56"/>
  <c r="DB79" i="56"/>
  <c r="DH79" i="56" s="1"/>
  <c r="FU79" i="56"/>
  <c r="FW79" i="56"/>
  <c r="BV69" i="7" s="1"/>
  <c r="CO78" i="56"/>
  <c r="CP78" i="56"/>
  <c r="CN78" i="56"/>
  <c r="CT78" i="56" s="1"/>
  <c r="DC78" i="56"/>
  <c r="DD78" i="56"/>
  <c r="DI78" i="56"/>
  <c r="DB78" i="56"/>
  <c r="DH78" i="56"/>
  <c r="FU78" i="56"/>
  <c r="CO77" i="56"/>
  <c r="CP77" i="56"/>
  <c r="CU77" i="56" s="1"/>
  <c r="CN77" i="56"/>
  <c r="DC77" i="56"/>
  <c r="DD77" i="56"/>
  <c r="DB77" i="56"/>
  <c r="DH77" i="56" s="1"/>
  <c r="FU77" i="56"/>
  <c r="CO76" i="56"/>
  <c r="CP76" i="56"/>
  <c r="CN76" i="56"/>
  <c r="CT76" i="56" s="1"/>
  <c r="DC76" i="56"/>
  <c r="DD76" i="56"/>
  <c r="DI76" i="56" s="1"/>
  <c r="DB76" i="56"/>
  <c r="FU76" i="56"/>
  <c r="FV76" i="56"/>
  <c r="CB66" i="7" s="1"/>
  <c r="CO75" i="56"/>
  <c r="CP75" i="56"/>
  <c r="CN75" i="56"/>
  <c r="CT75" i="56" s="1"/>
  <c r="DC75" i="56"/>
  <c r="DI75" i="56" s="1"/>
  <c r="DD75" i="56"/>
  <c r="DB75" i="56"/>
  <c r="DH75" i="56" s="1"/>
  <c r="FU75" i="56"/>
  <c r="CO74" i="56"/>
  <c r="CP74" i="56"/>
  <c r="CN74" i="56"/>
  <c r="DC74" i="56"/>
  <c r="DD74" i="56"/>
  <c r="DB74" i="56"/>
  <c r="FU74" i="56"/>
  <c r="FW74" i="56"/>
  <c r="BV64" i="7" s="1"/>
  <c r="CO73" i="56"/>
  <c r="CP73" i="56"/>
  <c r="CN73" i="56"/>
  <c r="DC73" i="56"/>
  <c r="DD73" i="56"/>
  <c r="DB73" i="56"/>
  <c r="FU73" i="56"/>
  <c r="FV73" i="56"/>
  <c r="CB63" i="7" s="1"/>
  <c r="CO72" i="56"/>
  <c r="CP72" i="56"/>
  <c r="CN72" i="56"/>
  <c r="CQ72" i="56" s="1"/>
  <c r="CS72" i="56" s="1"/>
  <c r="DC72" i="56"/>
  <c r="DD72" i="56"/>
  <c r="DB72" i="56"/>
  <c r="FU72" i="56"/>
  <c r="CO71" i="56"/>
  <c r="CP71" i="56"/>
  <c r="CN71" i="56"/>
  <c r="FW71" i="56"/>
  <c r="BV61" i="7" s="1"/>
  <c r="DC71" i="56"/>
  <c r="DD71" i="56"/>
  <c r="DB71" i="56"/>
  <c r="FU71" i="56"/>
  <c r="CO70" i="56"/>
  <c r="CP70" i="56"/>
  <c r="CN70" i="56"/>
  <c r="DC70" i="56"/>
  <c r="DD70" i="56"/>
  <c r="DB70" i="56"/>
  <c r="FU70" i="56"/>
  <c r="CO69" i="56"/>
  <c r="CP69" i="56"/>
  <c r="CN69" i="56"/>
  <c r="DC69" i="56"/>
  <c r="DD69" i="56"/>
  <c r="DB69" i="56"/>
  <c r="FU69" i="56"/>
  <c r="CB59" i="7" s="1"/>
  <c r="FV69" i="56"/>
  <c r="CO68" i="56"/>
  <c r="CP68" i="56"/>
  <c r="CN68" i="56"/>
  <c r="CQ68" i="56" s="1"/>
  <c r="DC68" i="56"/>
  <c r="FX68" i="56" s="1"/>
  <c r="BW58" i="7" s="1"/>
  <c r="DD68" i="56"/>
  <c r="DB68" i="56"/>
  <c r="FU68" i="56"/>
  <c r="CO67" i="56"/>
  <c r="CQ67" i="56"/>
  <c r="CP67" i="56"/>
  <c r="CN67" i="56"/>
  <c r="DC67" i="56"/>
  <c r="DD67" i="56"/>
  <c r="DB67" i="56"/>
  <c r="FU67" i="56"/>
  <c r="CO66" i="56"/>
  <c r="CP66" i="56"/>
  <c r="CN66" i="56"/>
  <c r="DC66" i="56"/>
  <c r="DD66" i="56"/>
  <c r="DB66" i="56"/>
  <c r="FU66" i="56"/>
  <c r="CO65" i="56"/>
  <c r="FX65" i="56" s="1"/>
  <c r="BW55" i="7" s="1"/>
  <c r="CP65" i="56"/>
  <c r="CN65" i="56"/>
  <c r="DC65" i="56"/>
  <c r="DD65" i="56"/>
  <c r="DB65" i="56"/>
  <c r="FU65" i="56"/>
  <c r="CO64" i="56"/>
  <c r="CP64" i="56"/>
  <c r="CN64" i="56"/>
  <c r="CQ64" i="56" s="1"/>
  <c r="DC64" i="56"/>
  <c r="DD64" i="56"/>
  <c r="DB64" i="56"/>
  <c r="FU64" i="56"/>
  <c r="CO63" i="56"/>
  <c r="CP63" i="56"/>
  <c r="CN63" i="56"/>
  <c r="FW63" i="56" s="1"/>
  <c r="BV53" i="7" s="1"/>
  <c r="DC63" i="56"/>
  <c r="DD63" i="56"/>
  <c r="DE63" i="56"/>
  <c r="DB63" i="56"/>
  <c r="FU63" i="56"/>
  <c r="CO62" i="56"/>
  <c r="CP62" i="56"/>
  <c r="CN62" i="56"/>
  <c r="DC62" i="56"/>
  <c r="DD62" i="56"/>
  <c r="DB62" i="56"/>
  <c r="FU62" i="56"/>
  <c r="CO61" i="56"/>
  <c r="CP61" i="56"/>
  <c r="CN61" i="56"/>
  <c r="DC61" i="56"/>
  <c r="DD61" i="56"/>
  <c r="DB61" i="56"/>
  <c r="FU61" i="56"/>
  <c r="CB51" i="7" s="1"/>
  <c r="FV61" i="56"/>
  <c r="CO60" i="56"/>
  <c r="CP60" i="56"/>
  <c r="CN60" i="56"/>
  <c r="DC60" i="56"/>
  <c r="DD60" i="56"/>
  <c r="DB60" i="56"/>
  <c r="FU60" i="56"/>
  <c r="CO59" i="56"/>
  <c r="CP59" i="56"/>
  <c r="CN59" i="56"/>
  <c r="DC59" i="56"/>
  <c r="DD59" i="56"/>
  <c r="DB59" i="56"/>
  <c r="FU59" i="56"/>
  <c r="CB49" i="7" s="1"/>
  <c r="FV59" i="56"/>
  <c r="CO58" i="56"/>
  <c r="CP58" i="56"/>
  <c r="CN58" i="56"/>
  <c r="DC58" i="56"/>
  <c r="DD58" i="56"/>
  <c r="DB58" i="56"/>
  <c r="FU58" i="56"/>
  <c r="FV58" i="56"/>
  <c r="CB48" i="7" s="1"/>
  <c r="CO57" i="56"/>
  <c r="CP57" i="56"/>
  <c r="CN57" i="56"/>
  <c r="DC57" i="56"/>
  <c r="FX57" i="56" s="1"/>
  <c r="BW47" i="7" s="1"/>
  <c r="DD57" i="56"/>
  <c r="DB57" i="56"/>
  <c r="FU57" i="56"/>
  <c r="FV57" i="56"/>
  <c r="CB47" i="7" s="1"/>
  <c r="CO56" i="56"/>
  <c r="CP56" i="56"/>
  <c r="CN56" i="56"/>
  <c r="DC56" i="56"/>
  <c r="FX56" i="56" s="1"/>
  <c r="BW46" i="7" s="1"/>
  <c r="DD56" i="56"/>
  <c r="DB56" i="56"/>
  <c r="FU56" i="56"/>
  <c r="FV56" i="56"/>
  <c r="CO55" i="56"/>
  <c r="CP55" i="56"/>
  <c r="CS55" i="56"/>
  <c r="CN55" i="56"/>
  <c r="CQ55" i="56"/>
  <c r="DC55" i="56"/>
  <c r="DD55" i="56"/>
  <c r="DB55" i="56"/>
  <c r="FW55" i="56"/>
  <c r="BV45" i="7" s="1"/>
  <c r="FU55" i="56"/>
  <c r="FV55" i="56"/>
  <c r="CO54" i="56"/>
  <c r="CP54" i="56"/>
  <c r="CN54" i="56"/>
  <c r="DC54" i="56"/>
  <c r="DD54" i="56"/>
  <c r="DB54" i="56"/>
  <c r="FU54" i="56"/>
  <c r="CO53" i="56"/>
  <c r="CP53" i="56"/>
  <c r="CN53" i="56"/>
  <c r="DC53" i="56"/>
  <c r="FX53" i="56"/>
  <c r="BW43" i="7" s="1"/>
  <c r="DD53" i="56"/>
  <c r="DB53" i="56"/>
  <c r="FU53" i="56"/>
  <c r="FV53" i="56"/>
  <c r="CO52" i="56"/>
  <c r="FX52" i="56" s="1"/>
  <c r="BW42" i="7" s="1"/>
  <c r="CP52" i="56"/>
  <c r="CN52" i="56"/>
  <c r="DC52" i="56"/>
  <c r="DD52" i="56"/>
  <c r="DB52" i="56"/>
  <c r="FU52" i="56"/>
  <c r="CO51" i="56"/>
  <c r="CP51" i="56"/>
  <c r="CN51" i="56"/>
  <c r="DC51" i="56"/>
  <c r="DD51" i="56"/>
  <c r="DB51" i="56"/>
  <c r="FU51" i="56"/>
  <c r="CO50" i="56"/>
  <c r="CP50" i="56"/>
  <c r="CN50" i="56"/>
  <c r="DC50" i="56"/>
  <c r="DD50" i="56"/>
  <c r="DB50" i="56"/>
  <c r="FU50" i="56"/>
  <c r="FV50" i="56"/>
  <c r="CB40" i="7" s="1"/>
  <c r="CO49" i="56"/>
  <c r="CP49" i="56"/>
  <c r="CN49" i="56"/>
  <c r="DC49" i="56"/>
  <c r="FX49" i="56" s="1"/>
  <c r="BW39" i="7" s="1"/>
  <c r="DD49" i="56"/>
  <c r="DB49" i="56"/>
  <c r="FU49" i="56"/>
  <c r="FV49" i="56"/>
  <c r="CB39" i="7" s="1"/>
  <c r="CO48" i="56"/>
  <c r="CP48" i="56"/>
  <c r="CN48" i="56"/>
  <c r="CQ48" i="56"/>
  <c r="DC48" i="56"/>
  <c r="DD48" i="56"/>
  <c r="DB48" i="56"/>
  <c r="FU48" i="56"/>
  <c r="FX48" i="56"/>
  <c r="BW38" i="7" s="1"/>
  <c r="CO47" i="56"/>
  <c r="CP47" i="56"/>
  <c r="CN47" i="56"/>
  <c r="DC47" i="56"/>
  <c r="DD47" i="56"/>
  <c r="DB47" i="56"/>
  <c r="FU47" i="56"/>
  <c r="FV47" i="56"/>
  <c r="CB37" i="7" s="1"/>
  <c r="CO46" i="56"/>
  <c r="CP46" i="56"/>
  <c r="CN46" i="56"/>
  <c r="DC46" i="56"/>
  <c r="DD46" i="56"/>
  <c r="DB46" i="56"/>
  <c r="FU46" i="56"/>
  <c r="CO45" i="56"/>
  <c r="CP45" i="56"/>
  <c r="CN45" i="56"/>
  <c r="DC45" i="56"/>
  <c r="FX45" i="56" s="1"/>
  <c r="BW35" i="7" s="1"/>
  <c r="DD45" i="56"/>
  <c r="DB45" i="56"/>
  <c r="FU45" i="56"/>
  <c r="FV45" i="56"/>
  <c r="CB35" i="7" s="1"/>
  <c r="CO44" i="56"/>
  <c r="CP44" i="56"/>
  <c r="CQ44" i="56" s="1"/>
  <c r="CR44" i="56" s="1"/>
  <c r="CN44" i="56"/>
  <c r="DC44" i="56"/>
  <c r="FX44" i="56" s="1"/>
  <c r="BW34" i="7" s="1"/>
  <c r="DD44" i="56"/>
  <c r="DB44" i="56"/>
  <c r="FU44" i="56"/>
  <c r="FV44" i="56"/>
  <c r="CO43" i="56"/>
  <c r="CP43" i="56"/>
  <c r="CN43" i="56"/>
  <c r="DC43" i="56"/>
  <c r="DD43" i="56"/>
  <c r="DB43" i="56"/>
  <c r="FW43" i="56" s="1"/>
  <c r="BV33" i="7" s="1"/>
  <c r="FU43" i="56"/>
  <c r="FV43" i="56"/>
  <c r="CB33" i="7" s="1"/>
  <c r="CO42" i="56"/>
  <c r="CP42" i="56"/>
  <c r="CN42" i="56"/>
  <c r="DC42" i="56"/>
  <c r="DD42" i="56"/>
  <c r="DB42" i="56"/>
  <c r="FU42" i="56"/>
  <c r="CO41" i="56"/>
  <c r="CP41" i="56"/>
  <c r="CN41" i="56"/>
  <c r="DC41" i="56"/>
  <c r="DD41" i="56"/>
  <c r="DB41" i="56"/>
  <c r="FU41" i="56"/>
  <c r="CB31" i="7" s="1"/>
  <c r="FV41" i="56"/>
  <c r="CO40" i="56"/>
  <c r="CP40" i="56"/>
  <c r="CN40" i="56"/>
  <c r="DC40" i="56"/>
  <c r="FX40" i="56" s="1"/>
  <c r="BW30" i="7" s="1"/>
  <c r="DD40" i="56"/>
  <c r="DB40" i="56"/>
  <c r="FU40" i="56"/>
  <c r="FV40" i="56"/>
  <c r="CO39" i="56"/>
  <c r="CP39" i="56"/>
  <c r="CN39" i="56"/>
  <c r="DC39" i="56"/>
  <c r="DD39" i="56"/>
  <c r="DB39" i="56"/>
  <c r="FU39" i="56"/>
  <c r="CO38" i="56"/>
  <c r="CP38" i="56"/>
  <c r="CN38" i="56"/>
  <c r="DC38" i="56"/>
  <c r="DD38" i="56"/>
  <c r="DB38" i="56"/>
  <c r="FU38" i="56"/>
  <c r="CB28" i="7" s="1"/>
  <c r="FV38" i="56"/>
  <c r="CO37" i="56"/>
  <c r="CP37" i="56"/>
  <c r="CN37" i="56"/>
  <c r="DC37" i="56"/>
  <c r="FX37" i="56" s="1"/>
  <c r="BW27" i="7" s="1"/>
  <c r="DD37" i="56"/>
  <c r="DB37" i="56"/>
  <c r="FU37" i="56"/>
  <c r="CO36" i="56"/>
  <c r="CP36" i="56"/>
  <c r="CN36" i="56"/>
  <c r="DC36" i="56"/>
  <c r="DD36" i="56"/>
  <c r="DB36" i="56"/>
  <c r="FU36" i="56"/>
  <c r="FX36" i="56"/>
  <c r="BW26" i="7" s="1"/>
  <c r="CO35" i="56"/>
  <c r="CP35" i="56"/>
  <c r="CN35" i="56"/>
  <c r="DC35" i="56"/>
  <c r="DD35" i="56"/>
  <c r="DB35" i="56"/>
  <c r="FU35" i="56"/>
  <c r="FV35" i="56"/>
  <c r="CO34" i="56"/>
  <c r="CP34" i="56"/>
  <c r="CN34" i="56"/>
  <c r="DC34" i="56"/>
  <c r="DD34" i="56"/>
  <c r="DB34" i="56"/>
  <c r="FU34" i="56"/>
  <c r="FV34" i="56"/>
  <c r="CO33" i="56"/>
  <c r="FX33" i="56"/>
  <c r="BW23" i="7" s="1"/>
  <c r="CP33" i="56"/>
  <c r="CN33" i="56"/>
  <c r="DC33" i="56"/>
  <c r="DD33" i="56"/>
  <c r="DB33" i="56"/>
  <c r="FU33" i="56"/>
  <c r="CB23" i="7" s="1"/>
  <c r="FV33" i="56"/>
  <c r="CO32" i="56"/>
  <c r="CP32" i="56"/>
  <c r="CQ32" i="56" s="1"/>
  <c r="CN32" i="56"/>
  <c r="DC32" i="56"/>
  <c r="DD32" i="56"/>
  <c r="DB32" i="56"/>
  <c r="FU32" i="56"/>
  <c r="FV32" i="56"/>
  <c r="CB22" i="7" s="1"/>
  <c r="FX32" i="56"/>
  <c r="BW22" i="7" s="1"/>
  <c r="CO31" i="56"/>
  <c r="CP31" i="56"/>
  <c r="CN31" i="56"/>
  <c r="DC31" i="56"/>
  <c r="DD31" i="56"/>
  <c r="DB31" i="56"/>
  <c r="FU31" i="56"/>
  <c r="FV31" i="56"/>
  <c r="CB21" i="7" s="1"/>
  <c r="CO30" i="56"/>
  <c r="CP30" i="56"/>
  <c r="CN30" i="56"/>
  <c r="DC30" i="56"/>
  <c r="DD30" i="56"/>
  <c r="DB30" i="56"/>
  <c r="FU30" i="56"/>
  <c r="FV30" i="56"/>
  <c r="CO29" i="56"/>
  <c r="CP29" i="56"/>
  <c r="CN29" i="56"/>
  <c r="DC29" i="56"/>
  <c r="FX29" i="56" s="1"/>
  <c r="DD29" i="56"/>
  <c r="DB29" i="56"/>
  <c r="FW29" i="56" s="1"/>
  <c r="FU29" i="56"/>
  <c r="FV29" i="56"/>
  <c r="CO28" i="56"/>
  <c r="CP28" i="56"/>
  <c r="CQ28" i="56" s="1"/>
  <c r="CR28" i="56" s="1"/>
  <c r="CN28" i="56"/>
  <c r="DC28" i="56"/>
  <c r="DD28" i="56"/>
  <c r="DB28" i="56"/>
  <c r="FU28" i="56"/>
  <c r="FV28" i="56"/>
  <c r="FX28" i="56"/>
  <c r="CO27" i="56"/>
  <c r="CP27" i="56"/>
  <c r="CN27" i="56"/>
  <c r="DC27" i="56"/>
  <c r="DD27" i="56"/>
  <c r="DB27" i="56"/>
  <c r="FW27" i="56" s="1"/>
  <c r="FU27" i="56"/>
  <c r="FV27" i="56"/>
  <c r="CO26" i="56"/>
  <c r="CP26" i="56"/>
  <c r="CN26" i="56"/>
  <c r="DC26" i="56"/>
  <c r="DD26" i="56"/>
  <c r="DB26" i="56"/>
  <c r="FU26" i="56"/>
  <c r="FV26" i="56"/>
  <c r="CO25" i="56"/>
  <c r="CP25" i="56"/>
  <c r="CN25" i="56"/>
  <c r="DC25" i="56"/>
  <c r="FX25" i="56" s="1"/>
  <c r="DD25" i="56"/>
  <c r="DB25" i="56"/>
  <c r="FU25" i="56"/>
  <c r="FV25" i="56"/>
  <c r="CO24" i="56"/>
  <c r="CP24" i="56"/>
  <c r="CN24" i="56"/>
  <c r="DC24" i="56"/>
  <c r="DI24" i="56" s="1"/>
  <c r="DD24" i="56"/>
  <c r="DB24" i="56"/>
  <c r="FU24" i="56"/>
  <c r="FV24" i="56"/>
  <c r="CO23" i="56"/>
  <c r="CP23" i="56"/>
  <c r="CN23" i="56"/>
  <c r="CT23" i="56" s="1"/>
  <c r="DC23" i="56"/>
  <c r="DD23" i="56"/>
  <c r="DB23" i="56"/>
  <c r="FU23" i="56"/>
  <c r="FV23" i="56"/>
  <c r="CO22" i="56"/>
  <c r="CP22" i="56"/>
  <c r="CN22" i="56"/>
  <c r="CT22" i="56" s="1"/>
  <c r="DC22" i="56"/>
  <c r="DI22" i="56" s="1"/>
  <c r="DD22" i="56"/>
  <c r="DB22" i="56"/>
  <c r="DH22" i="56" s="1"/>
  <c r="FU22" i="56"/>
  <c r="FV22" i="56"/>
  <c r="CO21" i="56"/>
  <c r="CP21" i="56"/>
  <c r="CN21" i="56"/>
  <c r="DC21" i="56"/>
  <c r="DD21" i="56"/>
  <c r="DB21" i="56"/>
  <c r="DH21" i="56"/>
  <c r="FU21" i="56"/>
  <c r="FV21" i="56"/>
  <c r="CO20" i="56"/>
  <c r="FX20" i="56" s="1"/>
  <c r="CP20" i="56"/>
  <c r="CQ20" i="56" s="1"/>
  <c r="CN20" i="56"/>
  <c r="CT20" i="56" s="1"/>
  <c r="DC20" i="56"/>
  <c r="DD20" i="56"/>
  <c r="DI20" i="56" s="1"/>
  <c r="DB20" i="56"/>
  <c r="FU20" i="56"/>
  <c r="FV20" i="56"/>
  <c r="CO19" i="56"/>
  <c r="CP19" i="56"/>
  <c r="CN19" i="56"/>
  <c r="DC19" i="56"/>
  <c r="DD19" i="56"/>
  <c r="DB19" i="56"/>
  <c r="FU19" i="56"/>
  <c r="FV19" i="56"/>
  <c r="CO18" i="56"/>
  <c r="CP18" i="56"/>
  <c r="CN18" i="56"/>
  <c r="CT18" i="56"/>
  <c r="DC18" i="56"/>
  <c r="DD18" i="56"/>
  <c r="DB18" i="56"/>
  <c r="DH18" i="56" s="1"/>
  <c r="FU18" i="56"/>
  <c r="FV18" i="56"/>
  <c r="CO17" i="56"/>
  <c r="CU17" i="56" s="1"/>
  <c r="CP17" i="56"/>
  <c r="CN17" i="56"/>
  <c r="DC17" i="56"/>
  <c r="DD17" i="56"/>
  <c r="DB17" i="56"/>
  <c r="DH17" i="56" s="1"/>
  <c r="FU17" i="56"/>
  <c r="FV17" i="56"/>
  <c r="CO16" i="56"/>
  <c r="CP16" i="56"/>
  <c r="CN16" i="56"/>
  <c r="CT16" i="56" s="1"/>
  <c r="DC16" i="56"/>
  <c r="DD16" i="56"/>
  <c r="DB16" i="56"/>
  <c r="FU16" i="56"/>
  <c r="FV16" i="56"/>
  <c r="CO15" i="56"/>
  <c r="CP15" i="56"/>
  <c r="CN15" i="56"/>
  <c r="CT15" i="56" s="1"/>
  <c r="DC15" i="56"/>
  <c r="DD15" i="56"/>
  <c r="DB15" i="56"/>
  <c r="DH15" i="56" s="1"/>
  <c r="FU15" i="56"/>
  <c r="FV15" i="56"/>
  <c r="CO14" i="56"/>
  <c r="FX14" i="56" s="1"/>
  <c r="CP14" i="56"/>
  <c r="CN14" i="56"/>
  <c r="CT14" i="56"/>
  <c r="DC14" i="56"/>
  <c r="DI14" i="56"/>
  <c r="DD14" i="56"/>
  <c r="DB14" i="56"/>
  <c r="DH14" i="56" s="1"/>
  <c r="FU14" i="56"/>
  <c r="FV14" i="56"/>
  <c r="CO13" i="56"/>
  <c r="CP13" i="56"/>
  <c r="CN13" i="56"/>
  <c r="DC13" i="56"/>
  <c r="DD13" i="56"/>
  <c r="DB13" i="56"/>
  <c r="DH13" i="56" s="1"/>
  <c r="FU13" i="56"/>
  <c r="FV13" i="56"/>
  <c r="FW13" i="56"/>
  <c r="CO12" i="56"/>
  <c r="CP12" i="56"/>
  <c r="CN12" i="56"/>
  <c r="CT12" i="56" s="1"/>
  <c r="DC12" i="56"/>
  <c r="DD12" i="56"/>
  <c r="DB12" i="56"/>
  <c r="FU12" i="56"/>
  <c r="FV12" i="56"/>
  <c r="CO11" i="56"/>
  <c r="CP11" i="56"/>
  <c r="CN11" i="56"/>
  <c r="CT11" i="56" s="1"/>
  <c r="DC11" i="56"/>
  <c r="DD11" i="56"/>
  <c r="DB11" i="56"/>
  <c r="FU11" i="56"/>
  <c r="FV11" i="56"/>
  <c r="CO10" i="56"/>
  <c r="DC10" i="56"/>
  <c r="FU10" i="56"/>
  <c r="CB130" i="7" s="1"/>
  <c r="FV10" i="56"/>
  <c r="CN10" i="56"/>
  <c r="DB10" i="56"/>
  <c r="DH10" i="56" s="1"/>
  <c r="DD10" i="56"/>
  <c r="CP10" i="56"/>
  <c r="FX3" i="56"/>
  <c r="FX4" i="56" s="1"/>
  <c r="FX2" i="56" s="1"/>
  <c r="BW14" i="7" s="1"/>
  <c r="FW3" i="56"/>
  <c r="FV3" i="56"/>
  <c r="FU3" i="56"/>
  <c r="CJ6" i="56"/>
  <c r="FS6" i="56" s="1"/>
  <c r="CX6" i="56"/>
  <c r="CY6" i="56" s="1"/>
  <c r="CZ6" i="56" s="1"/>
  <c r="DA6" i="56" s="1"/>
  <c r="DB6" i="56" s="1"/>
  <c r="DC6" i="56" s="1"/>
  <c r="DD6" i="56" s="1"/>
  <c r="DE6" i="56" s="1"/>
  <c r="DF6" i="56" s="1"/>
  <c r="DG6" i="56" s="1"/>
  <c r="DH6" i="56" s="1"/>
  <c r="DI6" i="56" s="1"/>
  <c r="FR6" i="56"/>
  <c r="FS1" i="56"/>
  <c r="FT1" i="56" s="1"/>
  <c r="FU1" i="56"/>
  <c r="FV1" i="56" s="1"/>
  <c r="FW1" i="56" s="1"/>
  <c r="GG1" i="56"/>
  <c r="GH1" i="56" s="1"/>
  <c r="GI1" i="56" s="1"/>
  <c r="GJ1" i="56" s="1"/>
  <c r="GK1" i="56" s="1"/>
  <c r="FE1" i="56"/>
  <c r="FF1" i="56" s="1"/>
  <c r="FG1" i="56" s="1"/>
  <c r="FH1" i="56" s="1"/>
  <c r="FI1" i="56"/>
  <c r="EQ1" i="56"/>
  <c r="ER1" i="56" s="1"/>
  <c r="ES1" i="56" s="1"/>
  <c r="ET1" i="56" s="1"/>
  <c r="EU1" i="56" s="1"/>
  <c r="EC1" i="56"/>
  <c r="ED1" i="56" s="1"/>
  <c r="EE1" i="56"/>
  <c r="EF1" i="56" s="1"/>
  <c r="EG1" i="56" s="1"/>
  <c r="BI18" i="41"/>
  <c r="H50" i="56"/>
  <c r="AX50" i="56"/>
  <c r="I50" i="56"/>
  <c r="AY50" i="56"/>
  <c r="EH8" i="56"/>
  <c r="EE50" i="56"/>
  <c r="EF8" i="56"/>
  <c r="EF50" i="56" s="1"/>
  <c r="EF30" i="56"/>
  <c r="EE30" i="56"/>
  <c r="EE31" i="56"/>
  <c r="EF31" i="56"/>
  <c r="BD21" i="7" s="1"/>
  <c r="EE32" i="56"/>
  <c r="EF32" i="56"/>
  <c r="EE33" i="56"/>
  <c r="EF33" i="56"/>
  <c r="BD23" i="7" s="1"/>
  <c r="EE34" i="56"/>
  <c r="EF34" i="56"/>
  <c r="EE35" i="56"/>
  <c r="EF35" i="56"/>
  <c r="BD25" i="7" s="1"/>
  <c r="EE36" i="56"/>
  <c r="EF36" i="56"/>
  <c r="EE37" i="56"/>
  <c r="EF37" i="56"/>
  <c r="BD27" i="7" s="1"/>
  <c r="EE38" i="56"/>
  <c r="EF38" i="56"/>
  <c r="EE39" i="56"/>
  <c r="EF39" i="56"/>
  <c r="BD29" i="7" s="1"/>
  <c r="EE40" i="56"/>
  <c r="EF40" i="56"/>
  <c r="EE41" i="56"/>
  <c r="EF41" i="56"/>
  <c r="BD31" i="7" s="1"/>
  <c r="EE42" i="56"/>
  <c r="EF42" i="56"/>
  <c r="EE43" i="56"/>
  <c r="EF43" i="56"/>
  <c r="BD33" i="7" s="1"/>
  <c r="EE44" i="56"/>
  <c r="EF44" i="56"/>
  <c r="EE45" i="56"/>
  <c r="EF45" i="56"/>
  <c r="BD35" i="7" s="1"/>
  <c r="EE46" i="56"/>
  <c r="EF46" i="56"/>
  <c r="EE47" i="56"/>
  <c r="EF47" i="56"/>
  <c r="BD37" i="7" s="1"/>
  <c r="EE48" i="56"/>
  <c r="EF48" i="56"/>
  <c r="EE49" i="56"/>
  <c r="EF49" i="56"/>
  <c r="BD39" i="7" s="1"/>
  <c r="EE51" i="56"/>
  <c r="EF51" i="56"/>
  <c r="EE52" i="56"/>
  <c r="EF52" i="56"/>
  <c r="BD42" i="7" s="1"/>
  <c r="EE53" i="56"/>
  <c r="BD43" i="7" s="1"/>
  <c r="EF53" i="56"/>
  <c r="EE54" i="56"/>
  <c r="BD44" i="7" s="1"/>
  <c r="EF54" i="56"/>
  <c r="EE55" i="56"/>
  <c r="EF55" i="56"/>
  <c r="BD45" i="7" s="1"/>
  <c r="EE56" i="56"/>
  <c r="EF56" i="56"/>
  <c r="EE57" i="56"/>
  <c r="BD47" i="7"/>
  <c r="EF57" i="56"/>
  <c r="EE58" i="56"/>
  <c r="EF58" i="56"/>
  <c r="BD48" i="7" s="1"/>
  <c r="EE59" i="56"/>
  <c r="EF59" i="56"/>
  <c r="EE60" i="56"/>
  <c r="EF60" i="56"/>
  <c r="BD50" i="7" s="1"/>
  <c r="EE61" i="56"/>
  <c r="BD51" i="7" s="1"/>
  <c r="EF61" i="56"/>
  <c r="EE62" i="56"/>
  <c r="BD52" i="7" s="1"/>
  <c r="EF62" i="56"/>
  <c r="EE63" i="56"/>
  <c r="BD53" i="7"/>
  <c r="EF63" i="56"/>
  <c r="EE64" i="56"/>
  <c r="EF64" i="56"/>
  <c r="BD54" i="7" s="1"/>
  <c r="EE65" i="56"/>
  <c r="BD55" i="7" s="1"/>
  <c r="EF65" i="56"/>
  <c r="EE66" i="56"/>
  <c r="BD56" i="7" s="1"/>
  <c r="EF66" i="56"/>
  <c r="EE67" i="56"/>
  <c r="BD57" i="7"/>
  <c r="EF67" i="56"/>
  <c r="EE68" i="56"/>
  <c r="EF68" i="56"/>
  <c r="BD58" i="7" s="1"/>
  <c r="EE69" i="56"/>
  <c r="BD59" i="7" s="1"/>
  <c r="EF69" i="56"/>
  <c r="EE70" i="56"/>
  <c r="BD60" i="7" s="1"/>
  <c r="EF70" i="56"/>
  <c r="EE71" i="56"/>
  <c r="BD61" i="7"/>
  <c r="EF71" i="56"/>
  <c r="EE72" i="56"/>
  <c r="EF72" i="56"/>
  <c r="BD62" i="7" s="1"/>
  <c r="EE73" i="56"/>
  <c r="BD63" i="7" s="1"/>
  <c r="EF73" i="56"/>
  <c r="EE74" i="56"/>
  <c r="BD64" i="7" s="1"/>
  <c r="EF74" i="56"/>
  <c r="EE75" i="56"/>
  <c r="BD65" i="7"/>
  <c r="EF75" i="56"/>
  <c r="EE76" i="56"/>
  <c r="EF76" i="56"/>
  <c r="BD66" i="7" s="1"/>
  <c r="EE77" i="56"/>
  <c r="BD67" i="7" s="1"/>
  <c r="EF77" i="56"/>
  <c r="EE78" i="56"/>
  <c r="BD68" i="7" s="1"/>
  <c r="EF78" i="56"/>
  <c r="EE79" i="56"/>
  <c r="BD69" i="7"/>
  <c r="EF79" i="56"/>
  <c r="EE80" i="56"/>
  <c r="BD70" i="7" s="1"/>
  <c r="EF80" i="56"/>
  <c r="EE81" i="56"/>
  <c r="EF81" i="56"/>
  <c r="BD71" i="7" s="1"/>
  <c r="EE82" i="56"/>
  <c r="BD72" i="7" s="1"/>
  <c r="EF82" i="56"/>
  <c r="EE83" i="56"/>
  <c r="BD73" i="7"/>
  <c r="EF83" i="56"/>
  <c r="EE84" i="56"/>
  <c r="BD74" i="7" s="1"/>
  <c r="EF84" i="56"/>
  <c r="EE85" i="56"/>
  <c r="BD75" i="7" s="1"/>
  <c r="EF85" i="56"/>
  <c r="EE86" i="56"/>
  <c r="BD76" i="7" s="1"/>
  <c r="EF86" i="56"/>
  <c r="EE87" i="56"/>
  <c r="BD77" i="7"/>
  <c r="EF87" i="56"/>
  <c r="EE88" i="56"/>
  <c r="BD78" i="7" s="1"/>
  <c r="EF88" i="56"/>
  <c r="EE89" i="56"/>
  <c r="BD79" i="7"/>
  <c r="EF89" i="56"/>
  <c r="EE90" i="56"/>
  <c r="BD80" i="7" s="1"/>
  <c r="EF90" i="56"/>
  <c r="EE91" i="56"/>
  <c r="BD81" i="7"/>
  <c r="EF91" i="56"/>
  <c r="EE92" i="56"/>
  <c r="BD82" i="7" s="1"/>
  <c r="EF92" i="56"/>
  <c r="EE93" i="56"/>
  <c r="BD83" i="7"/>
  <c r="EF93" i="56"/>
  <c r="EE94" i="56"/>
  <c r="BD84" i="7" s="1"/>
  <c r="EF94" i="56"/>
  <c r="EE95" i="56"/>
  <c r="BD85" i="7"/>
  <c r="EF95" i="56"/>
  <c r="EE96" i="56"/>
  <c r="BD86" i="7" s="1"/>
  <c r="EF96" i="56"/>
  <c r="EE97" i="56"/>
  <c r="BD87" i="7"/>
  <c r="EF97" i="56"/>
  <c r="EE98" i="56"/>
  <c r="BD88" i="7" s="1"/>
  <c r="EF98" i="56"/>
  <c r="EE99" i="56"/>
  <c r="BD89" i="7"/>
  <c r="EF99" i="56"/>
  <c r="EE100" i="56"/>
  <c r="BD90" i="7" s="1"/>
  <c r="EF100" i="56"/>
  <c r="EE101" i="56"/>
  <c r="BD91" i="7"/>
  <c r="EF101" i="56"/>
  <c r="EE102" i="56"/>
  <c r="BD92" i="7" s="1"/>
  <c r="EF102" i="56"/>
  <c r="EE103" i="56"/>
  <c r="BD93" i="7"/>
  <c r="EF103" i="56"/>
  <c r="EE104" i="56"/>
  <c r="BD94" i="7" s="1"/>
  <c r="EF104" i="56"/>
  <c r="EE105" i="56"/>
  <c r="BD95" i="7"/>
  <c r="EF105" i="56"/>
  <c r="EE106" i="56"/>
  <c r="BD96" i="7" s="1"/>
  <c r="EF106" i="56"/>
  <c r="EE107" i="56"/>
  <c r="BD97" i="7"/>
  <c r="EF107" i="56"/>
  <c r="EE108" i="56"/>
  <c r="BD98" i="7" s="1"/>
  <c r="EF108" i="56"/>
  <c r="EE109" i="56"/>
  <c r="BD99" i="7"/>
  <c r="EF109" i="56"/>
  <c r="EE110" i="56"/>
  <c r="BD100" i="7" s="1"/>
  <c r="EF110" i="56"/>
  <c r="H45" i="56"/>
  <c r="AX45" i="56"/>
  <c r="I45" i="56"/>
  <c r="AY45" i="56"/>
  <c r="H46" i="56"/>
  <c r="EG46" i="56"/>
  <c r="AX36" i="7" s="1"/>
  <c r="AX46" i="56"/>
  <c r="I46" i="56"/>
  <c r="EH46" i="56" s="1"/>
  <c r="AY36" i="7" s="1"/>
  <c r="AY46" i="56"/>
  <c r="H47" i="56"/>
  <c r="AX47" i="56"/>
  <c r="I47" i="56"/>
  <c r="AY47" i="56"/>
  <c r="H48" i="56"/>
  <c r="EG48" i="56"/>
  <c r="AX38" i="7" s="1"/>
  <c r="AX48" i="56"/>
  <c r="I48" i="56"/>
  <c r="EH48" i="56" s="1"/>
  <c r="AY38" i="7" s="1"/>
  <c r="AY48" i="56"/>
  <c r="H49" i="56"/>
  <c r="AX49" i="56"/>
  <c r="I49" i="56"/>
  <c r="AY49" i="56"/>
  <c r="H51" i="56"/>
  <c r="EG51" i="56"/>
  <c r="AX41" i="7" s="1"/>
  <c r="AX51" i="56"/>
  <c r="I51" i="56"/>
  <c r="EH51" i="56" s="1"/>
  <c r="AY41" i="7" s="1"/>
  <c r="AY51" i="56"/>
  <c r="H52" i="56"/>
  <c r="AX52" i="56"/>
  <c r="I52" i="56"/>
  <c r="AY52" i="56"/>
  <c r="H53" i="56"/>
  <c r="EG53" i="56"/>
  <c r="AX43" i="7" s="1"/>
  <c r="AX53" i="56"/>
  <c r="I53" i="56"/>
  <c r="EH53" i="56" s="1"/>
  <c r="AY43" i="7" s="1"/>
  <c r="AY53" i="56"/>
  <c r="H54" i="56"/>
  <c r="AX54" i="56"/>
  <c r="I54" i="56"/>
  <c r="AY54" i="56"/>
  <c r="H55" i="56"/>
  <c r="EG55" i="56"/>
  <c r="AX45" i="7" s="1"/>
  <c r="AX55" i="56"/>
  <c r="I55" i="56"/>
  <c r="EH55" i="56" s="1"/>
  <c r="AY45" i="7" s="1"/>
  <c r="AY55" i="56"/>
  <c r="H56" i="56"/>
  <c r="AX56" i="56"/>
  <c r="I56" i="56"/>
  <c r="AY56" i="56"/>
  <c r="H57" i="56"/>
  <c r="EG57" i="56"/>
  <c r="AX47" i="7" s="1"/>
  <c r="AX57" i="56"/>
  <c r="I57" i="56"/>
  <c r="EH57" i="56" s="1"/>
  <c r="AY47" i="7" s="1"/>
  <c r="AY57" i="56"/>
  <c r="H58" i="56"/>
  <c r="AX58" i="56"/>
  <c r="I58" i="56"/>
  <c r="AY58" i="56"/>
  <c r="H59" i="56"/>
  <c r="EG59" i="56"/>
  <c r="AX49" i="7" s="1"/>
  <c r="AX59" i="56"/>
  <c r="I59" i="56"/>
  <c r="AY59" i="56"/>
  <c r="H60" i="56"/>
  <c r="AX60" i="56"/>
  <c r="I60" i="56"/>
  <c r="AY60" i="56"/>
  <c r="H61" i="56"/>
  <c r="EG61" i="56" s="1"/>
  <c r="AX51" i="7" s="1"/>
  <c r="AX61" i="56"/>
  <c r="I61" i="56"/>
  <c r="EH61" i="56" s="1"/>
  <c r="AY51" i="7" s="1"/>
  <c r="AY61" i="56"/>
  <c r="H62" i="56"/>
  <c r="AX62" i="56"/>
  <c r="I62" i="56"/>
  <c r="AY62" i="56"/>
  <c r="H63" i="56"/>
  <c r="AX63" i="56"/>
  <c r="I63" i="56"/>
  <c r="AY63" i="56"/>
  <c r="H64" i="56"/>
  <c r="AX64" i="56"/>
  <c r="I64" i="56"/>
  <c r="AY64" i="56"/>
  <c r="H65" i="56"/>
  <c r="EG65" i="56" s="1"/>
  <c r="AX55" i="7" s="1"/>
  <c r="AX65" i="56"/>
  <c r="I65" i="56"/>
  <c r="EH65" i="56" s="1"/>
  <c r="AY55" i="7" s="1"/>
  <c r="AY65" i="56"/>
  <c r="H66" i="56"/>
  <c r="AX66" i="56"/>
  <c r="I66" i="56"/>
  <c r="AY66" i="56"/>
  <c r="H67" i="56"/>
  <c r="AX67" i="56"/>
  <c r="I67" i="56"/>
  <c r="AY67" i="56"/>
  <c r="H68" i="56"/>
  <c r="AX68" i="56"/>
  <c r="I68" i="56"/>
  <c r="AY68" i="56"/>
  <c r="H69" i="56"/>
  <c r="EG69" i="56" s="1"/>
  <c r="AX59" i="7" s="1"/>
  <c r="AX69" i="56"/>
  <c r="I69" i="56"/>
  <c r="EH69" i="56" s="1"/>
  <c r="AY59" i="7" s="1"/>
  <c r="AY69" i="56"/>
  <c r="H70" i="56"/>
  <c r="AX70" i="56"/>
  <c r="I70" i="56"/>
  <c r="AY70" i="56"/>
  <c r="H71" i="56"/>
  <c r="AX71" i="56"/>
  <c r="I71" i="56"/>
  <c r="AY71" i="56"/>
  <c r="H72" i="56"/>
  <c r="AX72" i="56"/>
  <c r="I72" i="56"/>
  <c r="AY72" i="56"/>
  <c r="H73" i="56"/>
  <c r="EG73" i="56" s="1"/>
  <c r="AX63" i="7" s="1"/>
  <c r="AX73" i="56"/>
  <c r="I73" i="56"/>
  <c r="EH73" i="56" s="1"/>
  <c r="AY63" i="7" s="1"/>
  <c r="AY73" i="56"/>
  <c r="H74" i="56"/>
  <c r="AX74" i="56"/>
  <c r="I74" i="56"/>
  <c r="AY74" i="56"/>
  <c r="H75" i="56"/>
  <c r="N75" i="56" s="1"/>
  <c r="AX75" i="56"/>
  <c r="I75" i="56"/>
  <c r="AY75" i="56"/>
  <c r="H76" i="56"/>
  <c r="AX76" i="56"/>
  <c r="BD76" i="56" s="1"/>
  <c r="I76" i="56"/>
  <c r="AY76" i="56"/>
  <c r="H77" i="56"/>
  <c r="N77" i="56" s="1"/>
  <c r="AX77" i="56"/>
  <c r="BD77" i="56" s="1"/>
  <c r="I77" i="56"/>
  <c r="AY77" i="56"/>
  <c r="H78" i="56"/>
  <c r="AX78" i="56"/>
  <c r="BD78" i="56" s="1"/>
  <c r="I78" i="56"/>
  <c r="AY78" i="56"/>
  <c r="H79" i="56"/>
  <c r="N79" i="56" s="1"/>
  <c r="AX79" i="56"/>
  <c r="I79" i="56"/>
  <c r="AY79" i="56"/>
  <c r="H80" i="56"/>
  <c r="AX80" i="56"/>
  <c r="BD80" i="56" s="1"/>
  <c r="I80" i="56"/>
  <c r="AY80" i="56"/>
  <c r="H81" i="56"/>
  <c r="N81" i="56" s="1"/>
  <c r="AX81" i="56"/>
  <c r="I81" i="56"/>
  <c r="AY81" i="56"/>
  <c r="H82" i="56"/>
  <c r="AX82" i="56"/>
  <c r="BD82" i="56"/>
  <c r="I82" i="56"/>
  <c r="AY82" i="56"/>
  <c r="H83" i="56"/>
  <c r="N83" i="56"/>
  <c r="AX83" i="56"/>
  <c r="EG83" i="56" s="1"/>
  <c r="AX73" i="7" s="1"/>
  <c r="I83" i="56"/>
  <c r="AY83" i="56"/>
  <c r="H84" i="56"/>
  <c r="AX84" i="56"/>
  <c r="BD84" i="56"/>
  <c r="I84" i="56"/>
  <c r="AY84" i="56"/>
  <c r="H85" i="56"/>
  <c r="N85" i="56"/>
  <c r="AX85" i="56"/>
  <c r="BD85" i="56" s="1"/>
  <c r="I85" i="56"/>
  <c r="EH85" i="56" s="1"/>
  <c r="AY75" i="7" s="1"/>
  <c r="AY85" i="56"/>
  <c r="H86" i="56"/>
  <c r="AX86" i="56"/>
  <c r="BD86" i="56"/>
  <c r="I86" i="56"/>
  <c r="AY86" i="56"/>
  <c r="H87" i="56"/>
  <c r="N87" i="56"/>
  <c r="AX87" i="56"/>
  <c r="EG87" i="56" s="1"/>
  <c r="AX77" i="7"/>
  <c r="I87" i="56"/>
  <c r="AY87" i="56"/>
  <c r="H88" i="56"/>
  <c r="AX88" i="56"/>
  <c r="BD88" i="56" s="1"/>
  <c r="I88" i="56"/>
  <c r="AY88" i="56"/>
  <c r="H89" i="56"/>
  <c r="AX89" i="56"/>
  <c r="I89" i="56"/>
  <c r="AY89" i="56"/>
  <c r="H90" i="56"/>
  <c r="AX90" i="56"/>
  <c r="BD90" i="56" s="1"/>
  <c r="I90" i="56"/>
  <c r="AY90" i="56"/>
  <c r="H91" i="56"/>
  <c r="N91" i="56" s="1"/>
  <c r="AX91" i="56"/>
  <c r="I91" i="56"/>
  <c r="AY91" i="56"/>
  <c r="H92" i="56"/>
  <c r="AX92" i="56"/>
  <c r="BD92" i="56" s="1"/>
  <c r="I92" i="56"/>
  <c r="AY92" i="56"/>
  <c r="H93" i="56"/>
  <c r="N93" i="56" s="1"/>
  <c r="AX93" i="56"/>
  <c r="BD93" i="56" s="1"/>
  <c r="I93" i="56"/>
  <c r="AY93" i="56"/>
  <c r="H94" i="56"/>
  <c r="AX94" i="56"/>
  <c r="BD94" i="56" s="1"/>
  <c r="I94" i="56"/>
  <c r="AY94" i="56"/>
  <c r="H95" i="56"/>
  <c r="N95" i="56" s="1"/>
  <c r="AX95" i="56"/>
  <c r="I95" i="56"/>
  <c r="AY95" i="56"/>
  <c r="H96" i="56"/>
  <c r="AX96" i="56"/>
  <c r="BD96" i="56" s="1"/>
  <c r="I96" i="56"/>
  <c r="AY96" i="56"/>
  <c r="H97" i="56"/>
  <c r="N97" i="56" s="1"/>
  <c r="AX97" i="56"/>
  <c r="BD97" i="56" s="1"/>
  <c r="I97" i="56"/>
  <c r="AY97" i="56"/>
  <c r="H98" i="56"/>
  <c r="AX98" i="56"/>
  <c r="BD98" i="56" s="1"/>
  <c r="I98" i="56"/>
  <c r="AY98" i="56"/>
  <c r="H99" i="56"/>
  <c r="N99" i="56" s="1"/>
  <c r="AX99" i="56"/>
  <c r="BD99" i="56" s="1"/>
  <c r="I99" i="56"/>
  <c r="AY99" i="56"/>
  <c r="H100" i="56"/>
  <c r="AX100" i="56"/>
  <c r="BD100" i="56" s="1"/>
  <c r="I100" i="56"/>
  <c r="AY100" i="56"/>
  <c r="H101" i="56"/>
  <c r="N101" i="56" s="1"/>
  <c r="AX101" i="56"/>
  <c r="BD101" i="56" s="1"/>
  <c r="I101" i="56"/>
  <c r="AY101" i="56"/>
  <c r="H102" i="56"/>
  <c r="AX102" i="56"/>
  <c r="BD102" i="56" s="1"/>
  <c r="I102" i="56"/>
  <c r="AY102" i="56"/>
  <c r="H103" i="56"/>
  <c r="N103" i="56" s="1"/>
  <c r="AX103" i="56"/>
  <c r="BD103" i="56" s="1"/>
  <c r="I103" i="56"/>
  <c r="AY103" i="56"/>
  <c r="H104" i="56"/>
  <c r="AX104" i="56"/>
  <c r="BD104" i="56"/>
  <c r="I104" i="56"/>
  <c r="AY104" i="56"/>
  <c r="H105" i="56"/>
  <c r="N105" i="56"/>
  <c r="AX105" i="56"/>
  <c r="I105" i="56"/>
  <c r="AY105" i="56"/>
  <c r="H106" i="56"/>
  <c r="AX106" i="56"/>
  <c r="BD106" i="56" s="1"/>
  <c r="I106" i="56"/>
  <c r="AY106" i="56"/>
  <c r="H107" i="56"/>
  <c r="N107" i="56" s="1"/>
  <c r="AX107" i="56"/>
  <c r="I107" i="56"/>
  <c r="AY107" i="56"/>
  <c r="H108" i="56"/>
  <c r="AX108" i="56"/>
  <c r="BD108" i="56" s="1"/>
  <c r="I108" i="56"/>
  <c r="AY108" i="56"/>
  <c r="H109" i="56"/>
  <c r="N109" i="56" s="1"/>
  <c r="AX109" i="56"/>
  <c r="I109" i="56"/>
  <c r="AY109" i="56"/>
  <c r="H110" i="56"/>
  <c r="AX110" i="56"/>
  <c r="BD110" i="56"/>
  <c r="I110" i="56"/>
  <c r="AY110" i="56"/>
  <c r="BR10" i="38"/>
  <c r="BW13" i="38"/>
  <c r="BR14" i="38" s="1"/>
  <c r="BT18" i="38"/>
  <c r="I14" i="38"/>
  <c r="BS14" i="38" s="1"/>
  <c r="T14" i="38"/>
  <c r="BU14" i="38" s="1"/>
  <c r="BV14" i="38" s="1"/>
  <c r="H42" i="56"/>
  <c r="AX42" i="56"/>
  <c r="I42" i="56"/>
  <c r="AY42" i="56"/>
  <c r="H43" i="56"/>
  <c r="AX43" i="56"/>
  <c r="I43" i="56"/>
  <c r="AY43" i="56"/>
  <c r="H44" i="56"/>
  <c r="AX44" i="56"/>
  <c r="I44" i="56"/>
  <c r="AY44" i="56"/>
  <c r="AN18" i="38"/>
  <c r="S11" i="38"/>
  <c r="CB15" i="38"/>
  <c r="BL18" i="41" s="1"/>
  <c r="J14" i="38"/>
  <c r="CH10" i="38"/>
  <c r="CB10" i="38"/>
  <c r="J13" i="10"/>
  <c r="J11" i="10"/>
  <c r="J4" i="10" s="1"/>
  <c r="I29" i="57"/>
  <c r="H29" i="57"/>
  <c r="I28" i="57"/>
  <c r="H28" i="57"/>
  <c r="I27" i="57"/>
  <c r="H27" i="57"/>
  <c r="I26" i="57"/>
  <c r="H26" i="57"/>
  <c r="I25" i="57"/>
  <c r="H25" i="57"/>
  <c r="I24" i="57"/>
  <c r="H24" i="57"/>
  <c r="N24" i="57" s="1"/>
  <c r="I23" i="57"/>
  <c r="H23" i="57"/>
  <c r="N23" i="57" s="1"/>
  <c r="I22" i="57"/>
  <c r="H22" i="57"/>
  <c r="N22" i="57" s="1"/>
  <c r="I21" i="57"/>
  <c r="H21" i="57"/>
  <c r="N21" i="57" s="1"/>
  <c r="I20" i="57"/>
  <c r="H20" i="57"/>
  <c r="N20" i="57" s="1"/>
  <c r="I19" i="57"/>
  <c r="H19" i="57"/>
  <c r="N19" i="57" s="1"/>
  <c r="I18" i="57"/>
  <c r="H18" i="57"/>
  <c r="N18" i="57" s="1"/>
  <c r="I17" i="57"/>
  <c r="H17" i="57"/>
  <c r="N17" i="57" s="1"/>
  <c r="I16" i="57"/>
  <c r="H16" i="57"/>
  <c r="I15" i="57"/>
  <c r="H15" i="57"/>
  <c r="N15" i="57" s="1"/>
  <c r="I14" i="57"/>
  <c r="H14" i="57"/>
  <c r="N14" i="57"/>
  <c r="I13" i="57"/>
  <c r="H13" i="57"/>
  <c r="N13" i="57" s="1"/>
  <c r="I12" i="57"/>
  <c r="H12" i="57"/>
  <c r="I11" i="57"/>
  <c r="H11" i="57"/>
  <c r="N11" i="57" s="1"/>
  <c r="FV8" i="57"/>
  <c r="FV91" i="57" s="1"/>
  <c r="AZ105" i="57"/>
  <c r="CA105" i="57"/>
  <c r="CB105" i="57"/>
  <c r="BZ105" i="57"/>
  <c r="CF105" i="57" s="1"/>
  <c r="FU105" i="57"/>
  <c r="AZ104" i="57"/>
  <c r="CA104" i="57"/>
  <c r="CB104" i="57"/>
  <c r="BZ104" i="57"/>
  <c r="CF104" i="57" s="1"/>
  <c r="FU104" i="57"/>
  <c r="AZ103" i="57"/>
  <c r="CA103" i="57"/>
  <c r="CB103" i="57"/>
  <c r="BZ103" i="57"/>
  <c r="FU103" i="57"/>
  <c r="AZ102" i="57"/>
  <c r="CA102" i="57"/>
  <c r="CB102" i="57"/>
  <c r="BZ102" i="57"/>
  <c r="FU102" i="57"/>
  <c r="AZ101" i="57"/>
  <c r="CA101" i="57"/>
  <c r="CB101" i="57"/>
  <c r="BZ101" i="57"/>
  <c r="CF101" i="57" s="1"/>
  <c r="FU101" i="57"/>
  <c r="AZ100" i="57"/>
  <c r="CA100" i="57"/>
  <c r="CB100" i="57"/>
  <c r="BZ100" i="57"/>
  <c r="CF100" i="57" s="1"/>
  <c r="FU100" i="57"/>
  <c r="AZ99" i="57"/>
  <c r="CA99" i="57"/>
  <c r="CB99" i="57"/>
  <c r="BZ99" i="57"/>
  <c r="FU99" i="57"/>
  <c r="AL89" i="7" s="1"/>
  <c r="FV99" i="57"/>
  <c r="AZ98" i="57"/>
  <c r="CA98" i="57"/>
  <c r="CB98" i="57"/>
  <c r="BZ98" i="57"/>
  <c r="CF98" i="57" s="1"/>
  <c r="FU98" i="57"/>
  <c r="AZ97" i="57"/>
  <c r="CA97" i="57"/>
  <c r="CB97" i="57"/>
  <c r="BZ97" i="57"/>
  <c r="CF97" i="57" s="1"/>
  <c r="FU97" i="57"/>
  <c r="AZ96" i="57"/>
  <c r="CA96" i="57"/>
  <c r="CB96" i="57"/>
  <c r="BZ96" i="57"/>
  <c r="CF96" i="57" s="1"/>
  <c r="FU96" i="57"/>
  <c r="AZ95" i="57"/>
  <c r="CA95" i="57"/>
  <c r="CB95" i="57"/>
  <c r="BZ95" i="57"/>
  <c r="FU95" i="57"/>
  <c r="FV95" i="57"/>
  <c r="AZ94" i="57"/>
  <c r="CA94" i="57"/>
  <c r="CB94" i="57"/>
  <c r="BZ94" i="57"/>
  <c r="CF94" i="57" s="1"/>
  <c r="FU94" i="57"/>
  <c r="AZ93" i="57"/>
  <c r="CA93" i="57"/>
  <c r="CB93" i="57"/>
  <c r="BZ93" i="57"/>
  <c r="CF93" i="57" s="1"/>
  <c r="FU93" i="57"/>
  <c r="AZ92" i="57"/>
  <c r="CA92" i="57"/>
  <c r="CB92" i="57"/>
  <c r="BZ92" i="57"/>
  <c r="CF92" i="57" s="1"/>
  <c r="FU92" i="57"/>
  <c r="AZ91" i="57"/>
  <c r="CA91" i="57"/>
  <c r="CB91" i="57"/>
  <c r="BZ91" i="57"/>
  <c r="FU91" i="57"/>
  <c r="AL81" i="7" s="1"/>
  <c r="AZ90" i="57"/>
  <c r="CA90" i="57"/>
  <c r="CB90" i="57"/>
  <c r="BZ90" i="57"/>
  <c r="FU90" i="57"/>
  <c r="AZ89" i="57"/>
  <c r="CA89" i="57"/>
  <c r="CB89" i="57"/>
  <c r="BZ89" i="57"/>
  <c r="CF89" i="57" s="1"/>
  <c r="FU89" i="57"/>
  <c r="AZ88" i="57"/>
  <c r="CA88" i="57"/>
  <c r="CB88" i="57"/>
  <c r="BZ88" i="57"/>
  <c r="CF88" i="57" s="1"/>
  <c r="FU88" i="57"/>
  <c r="AZ87" i="57"/>
  <c r="CA87" i="57"/>
  <c r="CG87" i="57" s="1"/>
  <c r="CB87" i="57"/>
  <c r="BZ87" i="57"/>
  <c r="FU87" i="57"/>
  <c r="FV87" i="57"/>
  <c r="AL77" i="7" s="1"/>
  <c r="AZ86" i="57"/>
  <c r="CA86" i="57"/>
  <c r="CB86" i="57"/>
  <c r="BZ86" i="57"/>
  <c r="FU86" i="57"/>
  <c r="AZ85" i="57"/>
  <c r="CA85" i="57"/>
  <c r="CB85" i="57"/>
  <c r="BZ85" i="57"/>
  <c r="CF85" i="57" s="1"/>
  <c r="FU85" i="57"/>
  <c r="AZ84" i="57"/>
  <c r="CA84" i="57"/>
  <c r="CB84" i="57"/>
  <c r="BZ84" i="57"/>
  <c r="CF84" i="57" s="1"/>
  <c r="FU84" i="57"/>
  <c r="AZ83" i="57"/>
  <c r="CA83" i="57"/>
  <c r="CB83" i="57"/>
  <c r="BZ83" i="57"/>
  <c r="FU83" i="57"/>
  <c r="FV83" i="57"/>
  <c r="AZ82" i="57"/>
  <c r="CA82" i="57"/>
  <c r="CB82" i="57"/>
  <c r="BZ82" i="57"/>
  <c r="CF82" i="57" s="1"/>
  <c r="FU82" i="57"/>
  <c r="AZ81" i="57"/>
  <c r="CA81" i="57"/>
  <c r="CB81" i="57"/>
  <c r="BZ81" i="57"/>
  <c r="CF81" i="57" s="1"/>
  <c r="FU81" i="57"/>
  <c r="AZ80" i="57"/>
  <c r="CA80" i="57"/>
  <c r="CB80" i="57"/>
  <c r="BZ80" i="57"/>
  <c r="CF80" i="57" s="1"/>
  <c r="FU80" i="57"/>
  <c r="AZ79" i="57"/>
  <c r="CA79" i="57"/>
  <c r="CG79" i="57" s="1"/>
  <c r="CB79" i="57"/>
  <c r="BZ79" i="57"/>
  <c r="FU79" i="57"/>
  <c r="AL69" i="7" s="1"/>
  <c r="FV79" i="57"/>
  <c r="AZ78" i="57"/>
  <c r="CA78" i="57"/>
  <c r="CB78" i="57"/>
  <c r="BZ78" i="57"/>
  <c r="FU78" i="57"/>
  <c r="AZ77" i="57"/>
  <c r="CA77" i="57"/>
  <c r="CB77" i="57"/>
  <c r="BZ77" i="57"/>
  <c r="CF77" i="57" s="1"/>
  <c r="FU77" i="57"/>
  <c r="AZ76" i="57"/>
  <c r="CA76" i="57"/>
  <c r="CB76" i="57"/>
  <c r="BZ76" i="57"/>
  <c r="CF76" i="57" s="1"/>
  <c r="FU76" i="57"/>
  <c r="AZ75" i="57"/>
  <c r="CA75" i="57"/>
  <c r="CB75" i="57"/>
  <c r="BZ75" i="57"/>
  <c r="FU75" i="57"/>
  <c r="AL65" i="7" s="1"/>
  <c r="FV75" i="57"/>
  <c r="AZ74" i="57"/>
  <c r="CA74" i="57"/>
  <c r="CB74" i="57"/>
  <c r="BZ74" i="57"/>
  <c r="FU74" i="57"/>
  <c r="AZ73" i="57"/>
  <c r="CA73" i="57"/>
  <c r="CB73" i="57"/>
  <c r="BZ73" i="57"/>
  <c r="CC73" i="57"/>
  <c r="FU73" i="57"/>
  <c r="AZ72" i="57"/>
  <c r="CA72" i="57"/>
  <c r="CB72" i="57"/>
  <c r="BZ72" i="57"/>
  <c r="FU72" i="57"/>
  <c r="AZ71" i="57"/>
  <c r="CA71" i="57"/>
  <c r="CB71" i="57"/>
  <c r="BZ71" i="57"/>
  <c r="FU71" i="57"/>
  <c r="FV71" i="57"/>
  <c r="AZ70" i="57"/>
  <c r="CA70" i="57"/>
  <c r="CB70" i="57"/>
  <c r="BZ70" i="57"/>
  <c r="FU70" i="57"/>
  <c r="AZ69" i="57"/>
  <c r="CA69" i="57"/>
  <c r="CB69" i="57"/>
  <c r="BZ69" i="57"/>
  <c r="FU69" i="57"/>
  <c r="AZ68" i="57"/>
  <c r="CA68" i="57"/>
  <c r="CB68" i="57"/>
  <c r="BZ68" i="57"/>
  <c r="FU68" i="57"/>
  <c r="AZ67" i="57"/>
  <c r="CA67" i="57"/>
  <c r="CB67" i="57"/>
  <c r="BZ67" i="57"/>
  <c r="FU67" i="57"/>
  <c r="AL57" i="7" s="1"/>
  <c r="FV67" i="57"/>
  <c r="AZ66" i="57"/>
  <c r="CA66" i="57"/>
  <c r="CB66" i="57"/>
  <c r="BZ66" i="57"/>
  <c r="FU66" i="57"/>
  <c r="AZ65" i="57"/>
  <c r="CA65" i="57"/>
  <c r="CB65" i="57"/>
  <c r="BZ65" i="57"/>
  <c r="CC65" i="57" s="1"/>
  <c r="FU65" i="57"/>
  <c r="AZ64" i="57"/>
  <c r="CA64" i="57"/>
  <c r="CB64" i="57"/>
  <c r="BZ64" i="57"/>
  <c r="FU64" i="57"/>
  <c r="AZ63" i="57"/>
  <c r="CA63" i="57"/>
  <c r="CB63" i="57"/>
  <c r="BZ63" i="57"/>
  <c r="FU63" i="57"/>
  <c r="AL53" i="7" s="1"/>
  <c r="FV63" i="57"/>
  <c r="AZ62" i="57"/>
  <c r="CA62" i="57"/>
  <c r="CB62" i="57"/>
  <c r="BZ62" i="57"/>
  <c r="FU62" i="57"/>
  <c r="AZ61" i="57"/>
  <c r="CA61" i="57"/>
  <c r="CB61" i="57"/>
  <c r="BZ61" i="57"/>
  <c r="CC61" i="57" s="1"/>
  <c r="FU61" i="57"/>
  <c r="AZ60" i="57"/>
  <c r="CA60" i="57"/>
  <c r="CB60" i="57"/>
  <c r="BZ60" i="57"/>
  <c r="FU60" i="57"/>
  <c r="AZ59" i="57"/>
  <c r="CA59" i="57"/>
  <c r="CB59" i="57"/>
  <c r="BZ59" i="57"/>
  <c r="FU59" i="57"/>
  <c r="FV59" i="57"/>
  <c r="AZ58" i="57"/>
  <c r="CA58" i="57"/>
  <c r="CB58" i="57"/>
  <c r="BZ58" i="57"/>
  <c r="FU58" i="57"/>
  <c r="AZ57" i="57"/>
  <c r="CA57" i="57"/>
  <c r="CB57" i="57"/>
  <c r="BZ57" i="57"/>
  <c r="CC57" i="57" s="1"/>
  <c r="FU57" i="57"/>
  <c r="AZ56" i="57"/>
  <c r="CA56" i="57"/>
  <c r="CB56" i="57"/>
  <c r="BZ56" i="57"/>
  <c r="FU56" i="57"/>
  <c r="AZ55" i="57"/>
  <c r="CA55" i="57"/>
  <c r="CB55" i="57"/>
  <c r="BZ55" i="57"/>
  <c r="FU55" i="57"/>
  <c r="FV55" i="57"/>
  <c r="AL45" i="7" s="1"/>
  <c r="AZ54" i="57"/>
  <c r="CA54" i="57"/>
  <c r="CB54" i="57"/>
  <c r="BZ54" i="57"/>
  <c r="FU54" i="57"/>
  <c r="AZ53" i="57"/>
  <c r="CA53" i="57"/>
  <c r="CB53" i="57"/>
  <c r="BZ53" i="57"/>
  <c r="FU53" i="57"/>
  <c r="AZ52" i="57"/>
  <c r="CA52" i="57"/>
  <c r="CB52" i="57"/>
  <c r="BZ52" i="57"/>
  <c r="FU52" i="57"/>
  <c r="AZ51" i="57"/>
  <c r="CA51" i="57"/>
  <c r="CB51" i="57"/>
  <c r="BZ51" i="57"/>
  <c r="FU51" i="57"/>
  <c r="AL41" i="7" s="1"/>
  <c r="FV51" i="57"/>
  <c r="AZ50" i="57"/>
  <c r="CA50" i="57"/>
  <c r="CB50" i="57"/>
  <c r="BZ50" i="57"/>
  <c r="FU50" i="57"/>
  <c r="AZ49" i="57"/>
  <c r="CA49" i="57"/>
  <c r="CB49" i="57"/>
  <c r="BZ49" i="57"/>
  <c r="FU49" i="57"/>
  <c r="AZ48" i="57"/>
  <c r="CA48" i="57"/>
  <c r="CB48" i="57"/>
  <c r="BZ48" i="57"/>
  <c r="FU48" i="57"/>
  <c r="AZ47" i="57"/>
  <c r="CA47" i="57"/>
  <c r="CB47" i="57"/>
  <c r="BZ47" i="57"/>
  <c r="FU47" i="57"/>
  <c r="FV47" i="57"/>
  <c r="AZ46" i="57"/>
  <c r="CA46" i="57"/>
  <c r="CB46" i="57"/>
  <c r="BZ46" i="57"/>
  <c r="FU46" i="57"/>
  <c r="AZ45" i="57"/>
  <c r="CA45" i="57"/>
  <c r="CB45" i="57"/>
  <c r="BZ45" i="57"/>
  <c r="CC45" i="57" s="1"/>
  <c r="FU45" i="57"/>
  <c r="AZ44" i="57"/>
  <c r="CA44" i="57"/>
  <c r="CB44" i="57"/>
  <c r="BZ44" i="57"/>
  <c r="FW44" i="57"/>
  <c r="AF34" i="7" s="1"/>
  <c r="FU44" i="57"/>
  <c r="AZ43" i="57"/>
  <c r="CA43" i="57"/>
  <c r="CB43" i="57"/>
  <c r="BZ43" i="57"/>
  <c r="FU43" i="57"/>
  <c r="AL33" i="7" s="1"/>
  <c r="FV43" i="57"/>
  <c r="AZ42" i="57"/>
  <c r="CA42" i="57"/>
  <c r="CB42" i="57"/>
  <c r="BZ42" i="57"/>
  <c r="FW42" i="57" s="1"/>
  <c r="AF32" i="7" s="1"/>
  <c r="FU42" i="57"/>
  <c r="AZ41" i="57"/>
  <c r="CA41" i="57"/>
  <c r="CB41" i="57"/>
  <c r="BZ41" i="57"/>
  <c r="FW41" i="57" s="1"/>
  <c r="AF31" i="7" s="1"/>
  <c r="FU41" i="57"/>
  <c r="AZ40" i="57"/>
  <c r="CA40" i="57"/>
  <c r="CB40" i="57"/>
  <c r="BZ40" i="57"/>
  <c r="FW40" i="57" s="1"/>
  <c r="AF30" i="7" s="1"/>
  <c r="FU40" i="57"/>
  <c r="AZ39" i="57"/>
  <c r="CA39" i="57"/>
  <c r="CB39" i="57"/>
  <c r="BZ39" i="57"/>
  <c r="FU39" i="57"/>
  <c r="AL29" i="7" s="1"/>
  <c r="FV39" i="57"/>
  <c r="AZ38" i="57"/>
  <c r="CA38" i="57"/>
  <c r="CB38" i="57"/>
  <c r="BZ38" i="57"/>
  <c r="FW38" i="57" s="1"/>
  <c r="AF28" i="7" s="1"/>
  <c r="FU38" i="57"/>
  <c r="AZ37" i="57"/>
  <c r="CA37" i="57"/>
  <c r="CB37" i="57"/>
  <c r="BZ37" i="57"/>
  <c r="FU37" i="57"/>
  <c r="AZ36" i="57"/>
  <c r="CA36" i="57"/>
  <c r="CB36" i="57"/>
  <c r="BZ36" i="57"/>
  <c r="FW36" i="57" s="1"/>
  <c r="AF26" i="7" s="1"/>
  <c r="FU36" i="57"/>
  <c r="AZ35" i="57"/>
  <c r="CA35" i="57"/>
  <c r="CB35" i="57"/>
  <c r="BZ35" i="57"/>
  <c r="FU35" i="57"/>
  <c r="FV35" i="57"/>
  <c r="AZ34" i="57"/>
  <c r="CA34" i="57"/>
  <c r="CB34" i="57"/>
  <c r="BZ34" i="57"/>
  <c r="FW34" i="57" s="1"/>
  <c r="AF24" i="7" s="1"/>
  <c r="FU34" i="57"/>
  <c r="AZ33" i="57"/>
  <c r="CA33" i="57"/>
  <c r="CB33" i="57"/>
  <c r="BZ33" i="57"/>
  <c r="FW33" i="57" s="1"/>
  <c r="AF23" i="7" s="1"/>
  <c r="FU33" i="57"/>
  <c r="AZ32" i="57"/>
  <c r="CA32" i="57"/>
  <c r="CB32" i="57"/>
  <c r="BZ32" i="57"/>
  <c r="FW32" i="57"/>
  <c r="AF22" i="7" s="1"/>
  <c r="FU32" i="57"/>
  <c r="AZ31" i="57"/>
  <c r="CA31" i="57"/>
  <c r="CB31" i="57"/>
  <c r="BZ31" i="57"/>
  <c r="FU31" i="57"/>
  <c r="AL21" i="7" s="1"/>
  <c r="FV31" i="57"/>
  <c r="AZ30" i="57"/>
  <c r="CA30" i="57"/>
  <c r="CB30" i="57"/>
  <c r="BZ30" i="57"/>
  <c r="FW30" i="57"/>
  <c r="AF20" i="7"/>
  <c r="FU30" i="57"/>
  <c r="AY29" i="57"/>
  <c r="AZ29" i="57"/>
  <c r="AX29" i="57"/>
  <c r="CA29" i="57"/>
  <c r="FX29" i="57" s="1"/>
  <c r="CB29" i="57"/>
  <c r="BZ29" i="57"/>
  <c r="FU29" i="57"/>
  <c r="AY28" i="57"/>
  <c r="AZ28" i="57"/>
  <c r="AX28" i="57"/>
  <c r="CA28" i="57"/>
  <c r="CB28" i="57"/>
  <c r="BZ28" i="57"/>
  <c r="FU28" i="57"/>
  <c r="AY27" i="57"/>
  <c r="FX27" i="57" s="1"/>
  <c r="AZ27" i="57"/>
  <c r="AX27" i="57"/>
  <c r="CA27" i="57"/>
  <c r="CB27" i="57"/>
  <c r="BZ27" i="57"/>
  <c r="FU27" i="57"/>
  <c r="AY26" i="57"/>
  <c r="AZ26" i="57"/>
  <c r="AX26" i="57"/>
  <c r="CA26" i="57"/>
  <c r="CB26" i="57"/>
  <c r="BZ26" i="57"/>
  <c r="FU26" i="57"/>
  <c r="AY25" i="57"/>
  <c r="AZ25" i="57"/>
  <c r="AX25" i="57"/>
  <c r="CA25" i="57"/>
  <c r="CB25" i="57"/>
  <c r="BZ25" i="57"/>
  <c r="FU25" i="57"/>
  <c r="FV25" i="57"/>
  <c r="AY24" i="57"/>
  <c r="AZ24" i="57"/>
  <c r="AX24" i="57"/>
  <c r="BD24" i="57" s="1"/>
  <c r="CA24" i="57"/>
  <c r="CB24" i="57"/>
  <c r="BZ24" i="57"/>
  <c r="CF24" i="57"/>
  <c r="FU24" i="57"/>
  <c r="FW24" i="57"/>
  <c r="AY23" i="57"/>
  <c r="AZ23" i="57"/>
  <c r="AX23" i="57"/>
  <c r="BD23" i="57" s="1"/>
  <c r="CA23" i="57"/>
  <c r="CB23" i="57"/>
  <c r="BZ23" i="57"/>
  <c r="CF23" i="57" s="1"/>
  <c r="FU23" i="57"/>
  <c r="AY22" i="57"/>
  <c r="AZ22" i="57"/>
  <c r="AX22" i="57"/>
  <c r="CA22" i="57"/>
  <c r="CB22" i="57"/>
  <c r="BZ22" i="57"/>
  <c r="CF22" i="57" s="1"/>
  <c r="FU22" i="57"/>
  <c r="AY21" i="57"/>
  <c r="AZ21" i="57"/>
  <c r="AX21" i="57"/>
  <c r="BD21" i="57" s="1"/>
  <c r="CA21" i="57"/>
  <c r="CG21" i="57" s="1"/>
  <c r="CB21" i="57"/>
  <c r="BZ21" i="57"/>
  <c r="FU21" i="57"/>
  <c r="FV21" i="57"/>
  <c r="AY20" i="57"/>
  <c r="AZ20" i="57"/>
  <c r="AX20" i="57"/>
  <c r="BD20" i="57" s="1"/>
  <c r="CA20" i="57"/>
  <c r="CB20" i="57"/>
  <c r="BZ20" i="57"/>
  <c r="FU20" i="57"/>
  <c r="AY19" i="57"/>
  <c r="FX19" i="57" s="1"/>
  <c r="AZ19" i="57"/>
  <c r="AX19" i="57"/>
  <c r="BD19" i="57" s="1"/>
  <c r="CA19" i="57"/>
  <c r="CG19" i="57"/>
  <c r="CB19" i="57"/>
  <c r="BZ19" i="57"/>
  <c r="CF19" i="57" s="1"/>
  <c r="FU19" i="57"/>
  <c r="AY18" i="57"/>
  <c r="AZ18" i="57"/>
  <c r="BE18" i="57" s="1"/>
  <c r="AX18" i="57"/>
  <c r="CA18" i="57"/>
  <c r="CB18" i="57"/>
  <c r="BZ18" i="57"/>
  <c r="CF18" i="57"/>
  <c r="FU18" i="57"/>
  <c r="AY17" i="57"/>
  <c r="FX17" i="57" s="1"/>
  <c r="AZ17" i="57"/>
  <c r="AX17" i="57"/>
  <c r="BD17" i="57" s="1"/>
  <c r="CA17" i="57"/>
  <c r="CB17" i="57"/>
  <c r="BZ17" i="57"/>
  <c r="FU17" i="57"/>
  <c r="FV17" i="57"/>
  <c r="AY16" i="57"/>
  <c r="AZ16" i="57"/>
  <c r="AX16" i="57"/>
  <c r="BD16" i="57"/>
  <c r="CA16" i="57"/>
  <c r="CB16" i="57"/>
  <c r="BZ16" i="57"/>
  <c r="CF16" i="57"/>
  <c r="FU16" i="57"/>
  <c r="AY15" i="57"/>
  <c r="AZ15" i="57"/>
  <c r="AX15" i="57"/>
  <c r="BD15" i="57" s="1"/>
  <c r="CA15" i="57"/>
  <c r="CB15" i="57"/>
  <c r="BZ15" i="57"/>
  <c r="CF15" i="57" s="1"/>
  <c r="FU15" i="57"/>
  <c r="AY14" i="57"/>
  <c r="BE14" i="57"/>
  <c r="AZ14" i="57"/>
  <c r="AX14" i="57"/>
  <c r="FW14" i="57" s="1"/>
  <c r="CA14" i="57"/>
  <c r="CB14" i="57"/>
  <c r="BZ14" i="57"/>
  <c r="CF14" i="57" s="1"/>
  <c r="FU14" i="57"/>
  <c r="AY13" i="57"/>
  <c r="AZ13" i="57"/>
  <c r="AX13" i="57"/>
  <c r="BD13" i="57"/>
  <c r="CA13" i="57"/>
  <c r="CG13" i="57" s="1"/>
  <c r="CB13" i="57"/>
  <c r="BZ13" i="57"/>
  <c r="FU13" i="57"/>
  <c r="FV13" i="57"/>
  <c r="AY12" i="57"/>
  <c r="AZ12" i="57"/>
  <c r="AX12" i="57"/>
  <c r="BD12" i="57" s="1"/>
  <c r="CA12" i="57"/>
  <c r="CB12" i="57"/>
  <c r="BZ12" i="57"/>
  <c r="CF12" i="57" s="1"/>
  <c r="FU12" i="57"/>
  <c r="AY11" i="57"/>
  <c r="AZ11" i="57"/>
  <c r="AX11" i="57"/>
  <c r="BD11" i="57"/>
  <c r="CA11" i="57"/>
  <c r="CB11" i="57"/>
  <c r="BZ11" i="57"/>
  <c r="CF11" i="57" s="1"/>
  <c r="FU11" i="57"/>
  <c r="AZ10" i="57"/>
  <c r="CA10" i="57"/>
  <c r="CB10" i="57"/>
  <c r="BZ10" i="57"/>
  <c r="CF10" i="57" s="1"/>
  <c r="FU10" i="57"/>
  <c r="FV3" i="57"/>
  <c r="FU3" i="57"/>
  <c r="AT6" i="56"/>
  <c r="AU6" i="56" s="1"/>
  <c r="BV6" i="56"/>
  <c r="BW6" i="56" s="1"/>
  <c r="BX6" i="56" s="1"/>
  <c r="BY6" i="56" s="1"/>
  <c r="BZ6" i="56" s="1"/>
  <c r="CA6" i="56" s="1"/>
  <c r="CB6" i="56" s="1"/>
  <c r="CC6" i="56" s="1"/>
  <c r="CD6" i="56" s="1"/>
  <c r="CE6" i="56" s="1"/>
  <c r="CF6" i="56" s="1"/>
  <c r="CG6" i="56" s="1"/>
  <c r="GL8" i="56"/>
  <c r="GM8" i="56" s="1"/>
  <c r="GN8" i="56"/>
  <c r="GO8" i="56" s="1"/>
  <c r="GJ8" i="56"/>
  <c r="GF6" i="56"/>
  <c r="AK10" i="57"/>
  <c r="AL10" i="57"/>
  <c r="AJ10" i="57"/>
  <c r="AP10" i="57"/>
  <c r="CP10" i="57"/>
  <c r="DQ10" i="57"/>
  <c r="DR10" i="57"/>
  <c r="W10" i="57"/>
  <c r="X10" i="57"/>
  <c r="V10" i="57"/>
  <c r="AB10" i="57" s="1"/>
  <c r="BM10" i="57"/>
  <c r="BN10" i="57"/>
  <c r="BL10" i="57"/>
  <c r="DD10" i="57"/>
  <c r="J10" i="57"/>
  <c r="AK105" i="57"/>
  <c r="AL105" i="57"/>
  <c r="AJ105" i="57"/>
  <c r="CP105" i="57"/>
  <c r="DQ105" i="57"/>
  <c r="DW105" i="57" s="1"/>
  <c r="DR105" i="57"/>
  <c r="W105" i="57"/>
  <c r="X105" i="57"/>
  <c r="V105" i="57"/>
  <c r="AB105" i="57" s="1"/>
  <c r="BM105" i="57"/>
  <c r="BN105" i="57"/>
  <c r="BL105" i="57"/>
  <c r="BR105" i="57" s="1"/>
  <c r="DD105" i="57"/>
  <c r="J105" i="57"/>
  <c r="AK104" i="57"/>
  <c r="AL104" i="57"/>
  <c r="AJ104" i="57"/>
  <c r="AP104" i="57" s="1"/>
  <c r="CP104" i="57"/>
  <c r="DQ104" i="57"/>
  <c r="DR104" i="57"/>
  <c r="W104" i="57"/>
  <c r="X104" i="57"/>
  <c r="V104" i="57"/>
  <c r="AB104" i="57" s="1"/>
  <c r="BM104" i="57"/>
  <c r="BN104" i="57"/>
  <c r="BS104" i="57" s="1"/>
  <c r="BL104" i="57"/>
  <c r="DD104" i="57"/>
  <c r="J104" i="57"/>
  <c r="AK103" i="57"/>
  <c r="AL103" i="57"/>
  <c r="AJ103" i="57"/>
  <c r="CP103" i="57"/>
  <c r="DQ103" i="57"/>
  <c r="DW103" i="57" s="1"/>
  <c r="DR103" i="57"/>
  <c r="W103" i="57"/>
  <c r="X103" i="57"/>
  <c r="V103" i="57"/>
  <c r="AB103" i="57" s="1"/>
  <c r="BM103" i="57"/>
  <c r="BN103" i="57"/>
  <c r="BL103" i="57"/>
  <c r="BR103" i="57" s="1"/>
  <c r="DD103" i="57"/>
  <c r="J103" i="57"/>
  <c r="AK102" i="57"/>
  <c r="AQ102" i="57" s="1"/>
  <c r="AL102" i="57"/>
  <c r="AJ102" i="57"/>
  <c r="AP102" i="57" s="1"/>
  <c r="CP102" i="57"/>
  <c r="DQ102" i="57"/>
  <c r="DR102" i="57"/>
  <c r="W102" i="57"/>
  <c r="X102" i="57"/>
  <c r="V102" i="57"/>
  <c r="AB102" i="57" s="1"/>
  <c r="BM102" i="57"/>
  <c r="BN102" i="57"/>
  <c r="BL102" i="57"/>
  <c r="DD102" i="57"/>
  <c r="J102" i="57"/>
  <c r="AK101" i="57"/>
  <c r="AQ101" i="57"/>
  <c r="AL101" i="57"/>
  <c r="AJ101" i="57"/>
  <c r="CP101" i="57"/>
  <c r="DQ101" i="57"/>
  <c r="DW101" i="57" s="1"/>
  <c r="DR101" i="57"/>
  <c r="W101" i="57"/>
  <c r="X101" i="57"/>
  <c r="V101" i="57"/>
  <c r="AB101" i="57" s="1"/>
  <c r="BM101" i="57"/>
  <c r="BN101" i="57"/>
  <c r="BL101" i="57"/>
  <c r="BR101" i="57" s="1"/>
  <c r="DD101" i="57"/>
  <c r="J101" i="57"/>
  <c r="AK100" i="57"/>
  <c r="AL100" i="57"/>
  <c r="AJ100" i="57"/>
  <c r="CP100" i="57"/>
  <c r="DQ100" i="57"/>
  <c r="DR100" i="57"/>
  <c r="W100" i="57"/>
  <c r="X100" i="57"/>
  <c r="V100" i="57"/>
  <c r="AB100" i="57" s="1"/>
  <c r="BM100" i="57"/>
  <c r="BN100" i="57"/>
  <c r="BL100" i="57"/>
  <c r="DD100" i="57"/>
  <c r="J100" i="57"/>
  <c r="AK99" i="57"/>
  <c r="AL99" i="57"/>
  <c r="AJ99" i="57"/>
  <c r="CP99" i="57"/>
  <c r="DQ99" i="57"/>
  <c r="DR99" i="57"/>
  <c r="W99" i="57"/>
  <c r="X99" i="57"/>
  <c r="V99" i="57"/>
  <c r="AB99" i="57" s="1"/>
  <c r="BM99" i="57"/>
  <c r="BN99" i="57"/>
  <c r="BL99" i="57"/>
  <c r="BR99" i="57" s="1"/>
  <c r="DD99" i="57"/>
  <c r="J99" i="57"/>
  <c r="AK98" i="57"/>
  <c r="AL98" i="57"/>
  <c r="AJ98" i="57"/>
  <c r="AP98" i="57" s="1"/>
  <c r="CP98" i="57"/>
  <c r="DQ98" i="57"/>
  <c r="DR98" i="57"/>
  <c r="W98" i="57"/>
  <c r="X98" i="57"/>
  <c r="V98" i="57"/>
  <c r="Y98" i="57" s="1"/>
  <c r="BM98" i="57"/>
  <c r="BS98" i="57" s="1"/>
  <c r="BN98" i="57"/>
  <c r="BL98" i="57"/>
  <c r="DD98" i="57"/>
  <c r="J98" i="57"/>
  <c r="AK97" i="57"/>
  <c r="AL97" i="57"/>
  <c r="AJ97" i="57"/>
  <c r="CP97" i="57"/>
  <c r="DQ97" i="57"/>
  <c r="DR97" i="57"/>
  <c r="W97" i="57"/>
  <c r="X97" i="57"/>
  <c r="V97" i="57"/>
  <c r="AB97" i="57" s="1"/>
  <c r="BM97" i="57"/>
  <c r="BN97" i="57"/>
  <c r="BL97" i="57"/>
  <c r="BR97" i="57" s="1"/>
  <c r="DD97" i="57"/>
  <c r="J97" i="57"/>
  <c r="AK96" i="57"/>
  <c r="AL96" i="57"/>
  <c r="AJ96" i="57"/>
  <c r="AP96" i="57" s="1"/>
  <c r="CP96" i="57"/>
  <c r="DQ96" i="57"/>
  <c r="DR96" i="57"/>
  <c r="W96" i="57"/>
  <c r="X96" i="57"/>
  <c r="V96" i="57"/>
  <c r="Y96" i="57" s="1"/>
  <c r="BM96" i="57"/>
  <c r="BN96" i="57"/>
  <c r="BL96" i="57"/>
  <c r="DD96" i="57"/>
  <c r="J96" i="57"/>
  <c r="AK95" i="57"/>
  <c r="AQ95" i="57" s="1"/>
  <c r="AL95" i="57"/>
  <c r="AJ95" i="57"/>
  <c r="CP95" i="57"/>
  <c r="DQ95" i="57"/>
  <c r="DR95" i="57"/>
  <c r="W95" i="57"/>
  <c r="X95" i="57"/>
  <c r="V95" i="57"/>
  <c r="AB95" i="57"/>
  <c r="BM95" i="57"/>
  <c r="BN95" i="57"/>
  <c r="BL95" i="57"/>
  <c r="BR95" i="57"/>
  <c r="DD95" i="57"/>
  <c r="J95" i="57"/>
  <c r="AK94" i="57"/>
  <c r="AL94" i="57"/>
  <c r="AJ94" i="57"/>
  <c r="AP94" i="57"/>
  <c r="CP94" i="57"/>
  <c r="DQ94" i="57"/>
  <c r="DR94" i="57"/>
  <c r="W94" i="57"/>
  <c r="X94" i="57"/>
  <c r="V94" i="57"/>
  <c r="AB94" i="57" s="1"/>
  <c r="BM94" i="57"/>
  <c r="BN94" i="57"/>
  <c r="BL94" i="57"/>
  <c r="DD94" i="57"/>
  <c r="J94" i="57"/>
  <c r="AK93" i="57"/>
  <c r="AQ93" i="57"/>
  <c r="AL93" i="57"/>
  <c r="AJ93" i="57"/>
  <c r="CP93" i="57"/>
  <c r="DQ93" i="57"/>
  <c r="DR93" i="57"/>
  <c r="W93" i="57"/>
  <c r="X93" i="57"/>
  <c r="V93" i="57"/>
  <c r="AB93" i="57" s="1"/>
  <c r="BM93" i="57"/>
  <c r="BN93" i="57"/>
  <c r="BL93" i="57"/>
  <c r="BR93" i="57" s="1"/>
  <c r="DD93" i="57"/>
  <c r="J93" i="57"/>
  <c r="AK92" i="57"/>
  <c r="AL92" i="57"/>
  <c r="AJ92" i="57"/>
  <c r="AP92" i="57" s="1"/>
  <c r="CP92" i="57"/>
  <c r="DQ92" i="57"/>
  <c r="DR92" i="57"/>
  <c r="W92" i="57"/>
  <c r="Y92" i="57" s="1"/>
  <c r="X92" i="57"/>
  <c r="V92" i="57"/>
  <c r="BM92" i="57"/>
  <c r="BN92" i="57"/>
  <c r="BL92" i="57"/>
  <c r="DD92" i="57"/>
  <c r="J92" i="57"/>
  <c r="AK91" i="57"/>
  <c r="AQ91" i="57" s="1"/>
  <c r="AL91" i="57"/>
  <c r="AJ91" i="57"/>
  <c r="CP91" i="57"/>
  <c r="DQ91" i="57"/>
  <c r="DR91" i="57"/>
  <c r="W91" i="57"/>
  <c r="X91" i="57"/>
  <c r="V91" i="57"/>
  <c r="AB91" i="57" s="1"/>
  <c r="BM91" i="57"/>
  <c r="BN91" i="57"/>
  <c r="BL91" i="57"/>
  <c r="BR91" i="57" s="1"/>
  <c r="DD91" i="57"/>
  <c r="J91" i="57"/>
  <c r="AK90" i="57"/>
  <c r="AQ90" i="57" s="1"/>
  <c r="AL90" i="57"/>
  <c r="AJ90" i="57"/>
  <c r="AP90" i="57" s="1"/>
  <c r="CP90" i="57"/>
  <c r="DQ90" i="57"/>
  <c r="DR90" i="57"/>
  <c r="W90" i="57"/>
  <c r="X90" i="57"/>
  <c r="V90" i="57"/>
  <c r="BM90" i="57"/>
  <c r="BS90" i="57" s="1"/>
  <c r="BN90" i="57"/>
  <c r="BL90" i="57"/>
  <c r="DD90" i="57"/>
  <c r="J90" i="57"/>
  <c r="AK89" i="57"/>
  <c r="AL89" i="57"/>
  <c r="AJ89" i="57"/>
  <c r="CP89" i="57"/>
  <c r="DQ89" i="57"/>
  <c r="DR89" i="57"/>
  <c r="DW89" i="57" s="1"/>
  <c r="W89" i="57"/>
  <c r="X89" i="57"/>
  <c r="V89" i="57"/>
  <c r="AB89" i="57"/>
  <c r="BM89" i="57"/>
  <c r="BN89" i="57"/>
  <c r="BL89" i="57"/>
  <c r="BR89" i="57"/>
  <c r="DD89" i="57"/>
  <c r="J89" i="57"/>
  <c r="AK88" i="57"/>
  <c r="AL88" i="57"/>
  <c r="AJ88" i="57"/>
  <c r="AP88" i="57"/>
  <c r="CP88" i="57"/>
  <c r="DQ88" i="57"/>
  <c r="DR88" i="57"/>
  <c r="W88" i="57"/>
  <c r="X88" i="57"/>
  <c r="V88" i="57"/>
  <c r="BM88" i="57"/>
  <c r="BS88" i="57"/>
  <c r="BN88" i="57"/>
  <c r="BL88" i="57"/>
  <c r="DD88" i="57"/>
  <c r="J88" i="57"/>
  <c r="AK87" i="57"/>
  <c r="AL87" i="57"/>
  <c r="AQ87" i="57" s="1"/>
  <c r="AJ87" i="57"/>
  <c r="CP87" i="57"/>
  <c r="DQ87" i="57"/>
  <c r="DR87" i="57"/>
  <c r="W87" i="57"/>
  <c r="X87" i="57"/>
  <c r="V87" i="57"/>
  <c r="AB87" i="57" s="1"/>
  <c r="BM87" i="57"/>
  <c r="BN87" i="57"/>
  <c r="BL87" i="57"/>
  <c r="BR87" i="57" s="1"/>
  <c r="DD87" i="57"/>
  <c r="J87" i="57"/>
  <c r="AK86" i="57"/>
  <c r="AL86" i="57"/>
  <c r="AJ86" i="57"/>
  <c r="AP86" i="57"/>
  <c r="CP86" i="57"/>
  <c r="DQ86" i="57"/>
  <c r="DR86" i="57"/>
  <c r="W86" i="57"/>
  <c r="X86" i="57"/>
  <c r="V86" i="57"/>
  <c r="AB86" i="57" s="1"/>
  <c r="BM86" i="57"/>
  <c r="BN86" i="57"/>
  <c r="BL86" i="57"/>
  <c r="DD86" i="57"/>
  <c r="J86" i="57"/>
  <c r="AK85" i="57"/>
  <c r="AL85" i="57"/>
  <c r="AJ85" i="57"/>
  <c r="CP85" i="57"/>
  <c r="DQ85" i="57"/>
  <c r="DR85" i="57"/>
  <c r="W85" i="57"/>
  <c r="X85" i="57"/>
  <c r="V85" i="57"/>
  <c r="BM85" i="57"/>
  <c r="BN85" i="57"/>
  <c r="BL85" i="57"/>
  <c r="DD85" i="57"/>
  <c r="J85" i="57"/>
  <c r="AK84" i="57"/>
  <c r="AL84" i="57"/>
  <c r="AJ84" i="57"/>
  <c r="CP84" i="57"/>
  <c r="DQ84" i="57"/>
  <c r="DR84" i="57"/>
  <c r="W84" i="57"/>
  <c r="X84" i="57"/>
  <c r="V84" i="57"/>
  <c r="AB84" i="57" s="1"/>
  <c r="BM84" i="57"/>
  <c r="BN84" i="57"/>
  <c r="BL84" i="57"/>
  <c r="DD84" i="57"/>
  <c r="J84" i="57"/>
  <c r="AK83" i="57"/>
  <c r="AL83" i="57"/>
  <c r="AJ83" i="57"/>
  <c r="CP83" i="57"/>
  <c r="DQ83" i="57"/>
  <c r="DR83" i="57"/>
  <c r="W83" i="57"/>
  <c r="X83" i="57"/>
  <c r="V83" i="57"/>
  <c r="AB83" i="57" s="1"/>
  <c r="BM83" i="57"/>
  <c r="BN83" i="57"/>
  <c r="BL83" i="57"/>
  <c r="DD83" i="57"/>
  <c r="J83" i="57"/>
  <c r="AK82" i="57"/>
  <c r="AL82" i="57"/>
  <c r="AJ82" i="57"/>
  <c r="CP82" i="57"/>
  <c r="DQ82" i="57"/>
  <c r="DR82" i="57"/>
  <c r="W82" i="57"/>
  <c r="X82" i="57"/>
  <c r="V82" i="57"/>
  <c r="AB82" i="57"/>
  <c r="BM82" i="57"/>
  <c r="BN82" i="57"/>
  <c r="BL82" i="57"/>
  <c r="DD82" i="57"/>
  <c r="J82" i="57"/>
  <c r="AK81" i="57"/>
  <c r="AL81" i="57"/>
  <c r="AJ81" i="57"/>
  <c r="CP81" i="57"/>
  <c r="DQ81" i="57"/>
  <c r="DR81" i="57"/>
  <c r="W81" i="57"/>
  <c r="X81" i="57"/>
  <c r="V81" i="57"/>
  <c r="Y81" i="57" s="1"/>
  <c r="Z81" i="57" s="1"/>
  <c r="AB81" i="57"/>
  <c r="BM81" i="57"/>
  <c r="BN81" i="57"/>
  <c r="BL81" i="57"/>
  <c r="DD81" i="57"/>
  <c r="J81" i="57"/>
  <c r="AK80" i="57"/>
  <c r="AQ80" i="57" s="1"/>
  <c r="AL80" i="57"/>
  <c r="AJ80" i="57"/>
  <c r="CP80" i="57"/>
  <c r="DQ80" i="57"/>
  <c r="DR80" i="57"/>
  <c r="W80" i="57"/>
  <c r="X80" i="57"/>
  <c r="V80" i="57"/>
  <c r="AB80" i="57" s="1"/>
  <c r="BM80" i="57"/>
  <c r="BN80" i="57"/>
  <c r="BL80" i="57"/>
  <c r="DD80" i="57"/>
  <c r="J80" i="57"/>
  <c r="AK79" i="57"/>
  <c r="AL79" i="57"/>
  <c r="AJ79" i="57"/>
  <c r="CP79" i="57"/>
  <c r="DQ79" i="57"/>
  <c r="DW79" i="57" s="1"/>
  <c r="DR79" i="57"/>
  <c r="W79" i="57"/>
  <c r="X79" i="57"/>
  <c r="V79" i="57"/>
  <c r="BM79" i="57"/>
  <c r="BN79" i="57"/>
  <c r="BL79" i="57"/>
  <c r="DD79" i="57"/>
  <c r="J79" i="57"/>
  <c r="AK78" i="57"/>
  <c r="AL78" i="57"/>
  <c r="AJ78" i="57"/>
  <c r="CP78" i="57"/>
  <c r="DQ78" i="57"/>
  <c r="DR78" i="57"/>
  <c r="W78" i="57"/>
  <c r="X78" i="57"/>
  <c r="V78" i="57"/>
  <c r="AB78" i="57" s="1"/>
  <c r="BM78" i="57"/>
  <c r="BN78" i="57"/>
  <c r="BL78" i="57"/>
  <c r="DD78" i="57"/>
  <c r="J78" i="57"/>
  <c r="AK77" i="57"/>
  <c r="AL77" i="57"/>
  <c r="AJ77" i="57"/>
  <c r="CP77" i="57"/>
  <c r="DQ77" i="57"/>
  <c r="DR77" i="57"/>
  <c r="DW77" i="57"/>
  <c r="W77" i="57"/>
  <c r="X77" i="57"/>
  <c r="V77" i="57"/>
  <c r="Y77" i="57" s="1"/>
  <c r="BM77" i="57"/>
  <c r="BN77" i="57"/>
  <c r="BL77" i="57"/>
  <c r="DD77" i="57"/>
  <c r="J77" i="57"/>
  <c r="AK76" i="57"/>
  <c r="AL76" i="57"/>
  <c r="AJ76" i="57"/>
  <c r="CP76" i="57"/>
  <c r="DQ76" i="57"/>
  <c r="DR76" i="57"/>
  <c r="W76" i="57"/>
  <c r="X76" i="57"/>
  <c r="V76" i="57"/>
  <c r="AB76" i="57" s="1"/>
  <c r="BM76" i="57"/>
  <c r="BN76" i="57"/>
  <c r="BL76" i="57"/>
  <c r="DD76" i="57"/>
  <c r="J76" i="57"/>
  <c r="AK75" i="57"/>
  <c r="AL75" i="57"/>
  <c r="AJ75" i="57"/>
  <c r="CP75" i="57"/>
  <c r="DQ75" i="57"/>
  <c r="DW75" i="57" s="1"/>
  <c r="DR75" i="57"/>
  <c r="W75" i="57"/>
  <c r="X75" i="57"/>
  <c r="V75" i="57"/>
  <c r="BM75" i="57"/>
  <c r="BN75" i="57"/>
  <c r="BL75" i="57"/>
  <c r="DD75" i="57"/>
  <c r="J75" i="57"/>
  <c r="AK74" i="57"/>
  <c r="AL74" i="57"/>
  <c r="AJ74" i="57"/>
  <c r="CP74" i="57"/>
  <c r="DQ74" i="57"/>
  <c r="DR74" i="57"/>
  <c r="W74" i="57"/>
  <c r="X74" i="57"/>
  <c r="V74" i="57"/>
  <c r="BM74" i="57"/>
  <c r="BN74" i="57"/>
  <c r="BL74" i="57"/>
  <c r="DD74" i="57"/>
  <c r="J74" i="57"/>
  <c r="AK73" i="57"/>
  <c r="AL73" i="57"/>
  <c r="AJ73" i="57"/>
  <c r="CP73" i="57"/>
  <c r="DQ73" i="57"/>
  <c r="DR73" i="57"/>
  <c r="W73" i="57"/>
  <c r="X73" i="57"/>
  <c r="V73" i="57"/>
  <c r="BM73" i="57"/>
  <c r="BN73" i="57"/>
  <c r="BL73" i="57"/>
  <c r="DD73" i="57"/>
  <c r="J73" i="57"/>
  <c r="AK72" i="57"/>
  <c r="AL72" i="57"/>
  <c r="AJ72" i="57"/>
  <c r="CP72" i="57"/>
  <c r="DQ72" i="57"/>
  <c r="DR72" i="57"/>
  <c r="W72" i="57"/>
  <c r="X72" i="57"/>
  <c r="V72" i="57"/>
  <c r="BM72" i="57"/>
  <c r="BN72" i="57"/>
  <c r="BL72" i="57"/>
  <c r="DD72" i="57"/>
  <c r="J72" i="57"/>
  <c r="AK71" i="57"/>
  <c r="AL71" i="57"/>
  <c r="AJ71" i="57"/>
  <c r="CP71" i="57"/>
  <c r="DQ71" i="57"/>
  <c r="DR71" i="57"/>
  <c r="W71" i="57"/>
  <c r="X71" i="57"/>
  <c r="V71" i="57"/>
  <c r="BM71" i="57"/>
  <c r="BN71" i="57"/>
  <c r="BL71" i="57"/>
  <c r="DD71" i="57"/>
  <c r="J71" i="57"/>
  <c r="AK70" i="57"/>
  <c r="AL70" i="57"/>
  <c r="AJ70" i="57"/>
  <c r="CP70" i="57"/>
  <c r="DQ70" i="57"/>
  <c r="DR70" i="57"/>
  <c r="W70" i="57"/>
  <c r="X70" i="57"/>
  <c r="V70" i="57"/>
  <c r="BM70" i="57"/>
  <c r="BN70" i="57"/>
  <c r="BL70" i="57"/>
  <c r="DD70" i="57"/>
  <c r="J70" i="57"/>
  <c r="AK69" i="57"/>
  <c r="AL69" i="57"/>
  <c r="AJ69" i="57"/>
  <c r="CP69" i="57"/>
  <c r="DQ69" i="57"/>
  <c r="DR69" i="57"/>
  <c r="W69" i="57"/>
  <c r="X69" i="57"/>
  <c r="V69" i="57"/>
  <c r="BM69" i="57"/>
  <c r="BN69" i="57"/>
  <c r="BL69" i="57"/>
  <c r="DD69" i="57"/>
  <c r="J69" i="57"/>
  <c r="AK68" i="57"/>
  <c r="AL68" i="57"/>
  <c r="AJ68" i="57"/>
  <c r="CP68" i="57"/>
  <c r="DQ68" i="57"/>
  <c r="DR68" i="57"/>
  <c r="W68" i="57"/>
  <c r="X68" i="57"/>
  <c r="V68" i="57"/>
  <c r="BM68" i="57"/>
  <c r="BN68" i="57"/>
  <c r="BL68" i="57"/>
  <c r="DD68" i="57"/>
  <c r="J68" i="57"/>
  <c r="AK67" i="57"/>
  <c r="AL67" i="57"/>
  <c r="AJ67" i="57"/>
  <c r="CP67" i="57"/>
  <c r="DQ67" i="57"/>
  <c r="DR67" i="57"/>
  <c r="W67" i="57"/>
  <c r="X67" i="57"/>
  <c r="V67" i="57"/>
  <c r="BM67" i="57"/>
  <c r="BN67" i="57"/>
  <c r="BL67" i="57"/>
  <c r="DD67" i="57"/>
  <c r="J67" i="57"/>
  <c r="AK66" i="57"/>
  <c r="AL66" i="57"/>
  <c r="AJ66" i="57"/>
  <c r="CP66" i="57"/>
  <c r="DQ66" i="57"/>
  <c r="DR66" i="57"/>
  <c r="W66" i="57"/>
  <c r="X66" i="57"/>
  <c r="V66" i="57"/>
  <c r="BM66" i="57"/>
  <c r="BN66" i="57"/>
  <c r="BL66" i="57"/>
  <c r="DD66" i="57"/>
  <c r="J66" i="57"/>
  <c r="AK65" i="57"/>
  <c r="AL65" i="57"/>
  <c r="AJ65" i="57"/>
  <c r="CP65" i="57"/>
  <c r="DQ65" i="57"/>
  <c r="DR65" i="57"/>
  <c r="W65" i="57"/>
  <c r="X65" i="57"/>
  <c r="V65" i="57"/>
  <c r="BM65" i="57"/>
  <c r="BN65" i="57"/>
  <c r="BL65" i="57"/>
  <c r="DD65" i="57"/>
  <c r="J65" i="57"/>
  <c r="AK64" i="57"/>
  <c r="AL64" i="57"/>
  <c r="AJ64" i="57"/>
  <c r="CP64" i="57"/>
  <c r="DQ64" i="57"/>
  <c r="DR64" i="57"/>
  <c r="W64" i="57"/>
  <c r="X64" i="57"/>
  <c r="V64" i="57"/>
  <c r="BM64" i="57"/>
  <c r="BN64" i="57"/>
  <c r="BL64" i="57"/>
  <c r="DD64" i="57"/>
  <c r="J64" i="57"/>
  <c r="AK63" i="57"/>
  <c r="AL63" i="57"/>
  <c r="AJ63" i="57"/>
  <c r="CP63" i="57"/>
  <c r="DQ63" i="57"/>
  <c r="DR63" i="57"/>
  <c r="W63" i="57"/>
  <c r="X63" i="57"/>
  <c r="V63" i="57"/>
  <c r="Y63" i="57" s="1"/>
  <c r="BM63" i="57"/>
  <c r="BN63" i="57"/>
  <c r="BL63" i="57"/>
  <c r="DD63" i="57"/>
  <c r="J63" i="57"/>
  <c r="AK62" i="57"/>
  <c r="AL62" i="57"/>
  <c r="AJ62" i="57"/>
  <c r="CP62" i="57"/>
  <c r="DQ62" i="57"/>
  <c r="DR62" i="57"/>
  <c r="W62" i="57"/>
  <c r="X62" i="57"/>
  <c r="V62" i="57"/>
  <c r="BM62" i="57"/>
  <c r="BN62" i="57"/>
  <c r="BL62" i="57"/>
  <c r="DD62" i="57"/>
  <c r="J62" i="57"/>
  <c r="AK61" i="57"/>
  <c r="AL61" i="57"/>
  <c r="AJ61" i="57"/>
  <c r="CP61" i="57"/>
  <c r="DQ61" i="57"/>
  <c r="DR61" i="57"/>
  <c r="W61" i="57"/>
  <c r="X61" i="57"/>
  <c r="V61" i="57"/>
  <c r="BM61" i="57"/>
  <c r="BN61" i="57"/>
  <c r="BL61" i="57"/>
  <c r="DD61" i="57"/>
  <c r="J61" i="57"/>
  <c r="AK60" i="57"/>
  <c r="AL60" i="57"/>
  <c r="AJ60" i="57"/>
  <c r="CP60" i="57"/>
  <c r="DQ60" i="57"/>
  <c r="DR60" i="57"/>
  <c r="W60" i="57"/>
  <c r="X60" i="57"/>
  <c r="V60" i="57"/>
  <c r="BM60" i="57"/>
  <c r="BN60" i="57"/>
  <c r="BL60" i="57"/>
  <c r="DD60" i="57"/>
  <c r="J60" i="57"/>
  <c r="AK59" i="57"/>
  <c r="AL59" i="57"/>
  <c r="AJ59" i="57"/>
  <c r="CP59" i="57"/>
  <c r="DQ59" i="57"/>
  <c r="DR59" i="57"/>
  <c r="W59" i="57"/>
  <c r="X59" i="57"/>
  <c r="V59" i="57"/>
  <c r="BM59" i="57"/>
  <c r="BN59" i="57"/>
  <c r="BL59" i="57"/>
  <c r="DD59" i="57"/>
  <c r="J59" i="57"/>
  <c r="AK58" i="57"/>
  <c r="AL58" i="57"/>
  <c r="AJ58" i="57"/>
  <c r="CP58" i="57"/>
  <c r="DQ58" i="57"/>
  <c r="DR58" i="57"/>
  <c r="W58" i="57"/>
  <c r="X58" i="57"/>
  <c r="V58" i="57"/>
  <c r="BM58" i="57"/>
  <c r="BN58" i="57"/>
  <c r="BL58" i="57"/>
  <c r="DD58" i="57"/>
  <c r="J58" i="57"/>
  <c r="AK57" i="57"/>
  <c r="AL57" i="57"/>
  <c r="AJ57" i="57"/>
  <c r="CP57" i="57"/>
  <c r="DQ57" i="57"/>
  <c r="DR57" i="57"/>
  <c r="W57" i="57"/>
  <c r="X57" i="57"/>
  <c r="V57" i="57"/>
  <c r="BM57" i="57"/>
  <c r="BN57" i="57"/>
  <c r="BL57" i="57"/>
  <c r="DD57" i="57"/>
  <c r="J57" i="57"/>
  <c r="AK56" i="57"/>
  <c r="AL56" i="57"/>
  <c r="AJ56" i="57"/>
  <c r="CP56" i="57"/>
  <c r="DQ56" i="57"/>
  <c r="DR56" i="57"/>
  <c r="W56" i="57"/>
  <c r="X56" i="57"/>
  <c r="V56" i="57"/>
  <c r="BM56" i="57"/>
  <c r="BN56" i="57"/>
  <c r="BL56" i="57"/>
  <c r="DD56" i="57"/>
  <c r="J56" i="57"/>
  <c r="AK55" i="57"/>
  <c r="AL55" i="57"/>
  <c r="AJ55" i="57"/>
  <c r="CP55" i="57"/>
  <c r="DQ55" i="57"/>
  <c r="DR55" i="57"/>
  <c r="W55" i="57"/>
  <c r="X55" i="57"/>
  <c r="V55" i="57"/>
  <c r="BM55" i="57"/>
  <c r="BN55" i="57"/>
  <c r="BL55" i="57"/>
  <c r="DD55" i="57"/>
  <c r="J55" i="57"/>
  <c r="AK54" i="57"/>
  <c r="AL54" i="57"/>
  <c r="AJ54" i="57"/>
  <c r="CP54" i="57"/>
  <c r="DQ54" i="57"/>
  <c r="DR54" i="57"/>
  <c r="W54" i="57"/>
  <c r="X54" i="57"/>
  <c r="V54" i="57"/>
  <c r="BM54" i="57"/>
  <c r="BN54" i="57"/>
  <c r="BL54" i="57"/>
  <c r="DD54" i="57"/>
  <c r="J54" i="57"/>
  <c r="AK53" i="57"/>
  <c r="AL53" i="57"/>
  <c r="AJ53" i="57"/>
  <c r="CP53" i="57"/>
  <c r="DQ53" i="57"/>
  <c r="DR53" i="57"/>
  <c r="W53" i="57"/>
  <c r="X53" i="57"/>
  <c r="V53" i="57"/>
  <c r="BM53" i="57"/>
  <c r="BN53" i="57"/>
  <c r="BL53" i="57"/>
  <c r="DD53" i="57"/>
  <c r="J53" i="57"/>
  <c r="AK52" i="57"/>
  <c r="AL52" i="57"/>
  <c r="AJ52" i="57"/>
  <c r="CP52" i="57"/>
  <c r="DQ52" i="57"/>
  <c r="DR52" i="57"/>
  <c r="W52" i="57"/>
  <c r="X52" i="57"/>
  <c r="Y52" i="57" s="1"/>
  <c r="V52" i="57"/>
  <c r="BM52" i="57"/>
  <c r="BN52" i="57"/>
  <c r="BL52" i="57"/>
  <c r="BO52" i="57" s="1"/>
  <c r="DD52" i="57"/>
  <c r="J52" i="57"/>
  <c r="AK51" i="57"/>
  <c r="AL51" i="57"/>
  <c r="AJ51" i="57"/>
  <c r="CP51" i="57"/>
  <c r="DQ51" i="57"/>
  <c r="DR51" i="57"/>
  <c r="W51" i="57"/>
  <c r="X51" i="57"/>
  <c r="V51" i="57"/>
  <c r="BM51" i="57"/>
  <c r="BN51" i="57"/>
  <c r="BL51" i="57"/>
  <c r="DD51" i="57"/>
  <c r="J51" i="57"/>
  <c r="AK50" i="57"/>
  <c r="AL50" i="57"/>
  <c r="AJ50" i="57"/>
  <c r="CP50" i="57"/>
  <c r="DQ50" i="57"/>
  <c r="DR50" i="57"/>
  <c r="W50" i="57"/>
  <c r="X50" i="57"/>
  <c r="V50" i="57"/>
  <c r="BM50" i="57"/>
  <c r="BN50" i="57"/>
  <c r="BL50" i="57"/>
  <c r="BO50" i="57" s="1"/>
  <c r="DD50" i="57"/>
  <c r="J50" i="57"/>
  <c r="AK49" i="57"/>
  <c r="AL49" i="57"/>
  <c r="AJ49" i="57"/>
  <c r="CP49" i="57"/>
  <c r="DQ49" i="57"/>
  <c r="DR49" i="57"/>
  <c r="W49" i="57"/>
  <c r="X49" i="57"/>
  <c r="V49" i="57"/>
  <c r="BM49" i="57"/>
  <c r="BN49" i="57"/>
  <c r="BL49" i="57"/>
  <c r="DD49" i="57"/>
  <c r="J49" i="57"/>
  <c r="AK48" i="57"/>
  <c r="AL48" i="57"/>
  <c r="AJ48" i="57"/>
  <c r="CP48" i="57"/>
  <c r="DQ48" i="57"/>
  <c r="DR48" i="57"/>
  <c r="W48" i="57"/>
  <c r="X48" i="57"/>
  <c r="V48" i="57"/>
  <c r="BM48" i="57"/>
  <c r="BN48" i="57"/>
  <c r="BL48" i="57"/>
  <c r="DD48" i="57"/>
  <c r="J48" i="57"/>
  <c r="AK47" i="57"/>
  <c r="AL47" i="57"/>
  <c r="AJ47" i="57"/>
  <c r="CP47" i="57"/>
  <c r="DQ47" i="57"/>
  <c r="DR47" i="57"/>
  <c r="W47" i="57"/>
  <c r="X47" i="57"/>
  <c r="V47" i="57"/>
  <c r="BM47" i="57"/>
  <c r="BN47" i="57"/>
  <c r="BL47" i="57"/>
  <c r="DD47" i="57"/>
  <c r="J47" i="57"/>
  <c r="AK46" i="57"/>
  <c r="AL46" i="57"/>
  <c r="AJ46" i="57"/>
  <c r="CP46" i="57"/>
  <c r="DQ46" i="57"/>
  <c r="DR46" i="57"/>
  <c r="W46" i="57"/>
  <c r="X46" i="57"/>
  <c r="V46" i="57"/>
  <c r="BM46" i="57"/>
  <c r="BN46" i="57"/>
  <c r="BL46" i="57"/>
  <c r="DD46" i="57"/>
  <c r="J46" i="57"/>
  <c r="AK45" i="57"/>
  <c r="AL45" i="57"/>
  <c r="AJ45" i="57"/>
  <c r="CP45" i="57"/>
  <c r="DQ45" i="57"/>
  <c r="DR45" i="57"/>
  <c r="W45" i="57"/>
  <c r="X45" i="57"/>
  <c r="V45" i="57"/>
  <c r="BM45" i="57"/>
  <c r="BN45" i="57"/>
  <c r="BL45" i="57"/>
  <c r="DD45" i="57"/>
  <c r="J45" i="57"/>
  <c r="AK44" i="57"/>
  <c r="AL44" i="57"/>
  <c r="AJ44" i="57"/>
  <c r="CP44" i="57"/>
  <c r="DQ44" i="57"/>
  <c r="DR44" i="57"/>
  <c r="W44" i="57"/>
  <c r="X44" i="57"/>
  <c r="V44" i="57"/>
  <c r="BM44" i="57"/>
  <c r="BN44" i="57"/>
  <c r="BL44" i="57"/>
  <c r="DD44" i="57"/>
  <c r="J44" i="57"/>
  <c r="AK43" i="57"/>
  <c r="AL43" i="57"/>
  <c r="AJ43" i="57"/>
  <c r="AM43" i="57" s="1"/>
  <c r="CP43" i="57"/>
  <c r="DQ43" i="57"/>
  <c r="DR43" i="57"/>
  <c r="W43" i="57"/>
  <c r="X43" i="57"/>
  <c r="V43" i="57"/>
  <c r="BM43" i="57"/>
  <c r="BN43" i="57"/>
  <c r="BL43" i="57"/>
  <c r="DD43" i="57"/>
  <c r="J43" i="57"/>
  <c r="AK42" i="57"/>
  <c r="AL42" i="57"/>
  <c r="AJ42" i="57"/>
  <c r="CP42" i="57"/>
  <c r="DQ42" i="57"/>
  <c r="DR42" i="57"/>
  <c r="W42" i="57"/>
  <c r="X42" i="57"/>
  <c r="V42" i="57"/>
  <c r="BM42" i="57"/>
  <c r="BN42" i="57"/>
  <c r="BL42" i="57"/>
  <c r="DD42" i="57"/>
  <c r="J42" i="57"/>
  <c r="AK41" i="57"/>
  <c r="AL41" i="57"/>
  <c r="AJ41" i="57"/>
  <c r="CP41" i="57"/>
  <c r="DQ41" i="57"/>
  <c r="DR41" i="57"/>
  <c r="W41" i="57"/>
  <c r="X41" i="57"/>
  <c r="V41" i="57"/>
  <c r="BM41" i="57"/>
  <c r="BN41" i="57"/>
  <c r="BL41" i="57"/>
  <c r="DD41" i="57"/>
  <c r="J41" i="57"/>
  <c r="AK40" i="57"/>
  <c r="AL40" i="57"/>
  <c r="AJ40" i="57"/>
  <c r="CP40" i="57"/>
  <c r="DQ40" i="57"/>
  <c r="DR40" i="57"/>
  <c r="W40" i="57"/>
  <c r="X40" i="57"/>
  <c r="V40" i="57"/>
  <c r="BM40" i="57"/>
  <c r="BN40" i="57"/>
  <c r="BL40" i="57"/>
  <c r="DD40" i="57"/>
  <c r="J40" i="57"/>
  <c r="AK39" i="57"/>
  <c r="AL39" i="57"/>
  <c r="AJ39" i="57"/>
  <c r="AM39" i="57" s="1"/>
  <c r="CP39" i="57"/>
  <c r="DQ39" i="57"/>
  <c r="DR39" i="57"/>
  <c r="W39" i="57"/>
  <c r="X39" i="57"/>
  <c r="V39" i="57"/>
  <c r="BM39" i="57"/>
  <c r="BN39" i="57"/>
  <c r="BL39" i="57"/>
  <c r="DD39" i="57"/>
  <c r="J39" i="57"/>
  <c r="AK38" i="57"/>
  <c r="AL38" i="57"/>
  <c r="AJ38" i="57"/>
  <c r="CP38" i="57"/>
  <c r="DQ38" i="57"/>
  <c r="DR38" i="57"/>
  <c r="W38" i="57"/>
  <c r="X38" i="57"/>
  <c r="V38" i="57"/>
  <c r="BM38" i="57"/>
  <c r="BN38" i="57"/>
  <c r="BL38" i="57"/>
  <c r="DD38" i="57"/>
  <c r="J38" i="57"/>
  <c r="K38" i="57" s="1"/>
  <c r="AK37" i="57"/>
  <c r="AL37" i="57"/>
  <c r="AJ37" i="57"/>
  <c r="CP37" i="57"/>
  <c r="DQ37" i="57"/>
  <c r="DR37" i="57"/>
  <c r="W37" i="57"/>
  <c r="X37" i="57"/>
  <c r="V37" i="57"/>
  <c r="BM37" i="57"/>
  <c r="BN37" i="57"/>
  <c r="BL37" i="57"/>
  <c r="DD37" i="57"/>
  <c r="J37" i="57"/>
  <c r="AK36" i="57"/>
  <c r="AL36" i="57"/>
  <c r="AJ36" i="57"/>
  <c r="CP36" i="57"/>
  <c r="DQ36" i="57"/>
  <c r="DR36" i="57"/>
  <c r="W36" i="57"/>
  <c r="X36" i="57"/>
  <c r="V36" i="57"/>
  <c r="BM36" i="57"/>
  <c r="BN36" i="57"/>
  <c r="BL36" i="57"/>
  <c r="DD36" i="57"/>
  <c r="J36" i="57"/>
  <c r="AK35" i="57"/>
  <c r="AL35" i="57"/>
  <c r="AJ35" i="57"/>
  <c r="CP35" i="57"/>
  <c r="DQ35" i="57"/>
  <c r="DR35" i="57"/>
  <c r="W35" i="57"/>
  <c r="X35" i="57"/>
  <c r="V35" i="57"/>
  <c r="BM35" i="57"/>
  <c r="BN35" i="57"/>
  <c r="BL35" i="57"/>
  <c r="DD35" i="57"/>
  <c r="J35" i="57"/>
  <c r="K35" i="57"/>
  <c r="AK34" i="57"/>
  <c r="AL34" i="57"/>
  <c r="AJ34" i="57"/>
  <c r="CP34" i="57"/>
  <c r="DQ34" i="57"/>
  <c r="DR34" i="57"/>
  <c r="W34" i="57"/>
  <c r="X34" i="57"/>
  <c r="V34" i="57"/>
  <c r="BM34" i="57"/>
  <c r="BN34" i="57"/>
  <c r="BL34" i="57"/>
  <c r="DD34" i="57"/>
  <c r="J34" i="57"/>
  <c r="AK33" i="57"/>
  <c r="AL33" i="57"/>
  <c r="AJ33" i="57"/>
  <c r="CP33" i="57"/>
  <c r="DQ33" i="57"/>
  <c r="DR33" i="57"/>
  <c r="W33" i="57"/>
  <c r="X33" i="57"/>
  <c r="V33" i="57"/>
  <c r="BM33" i="57"/>
  <c r="BN33" i="57"/>
  <c r="BL33" i="57"/>
  <c r="DD33" i="57"/>
  <c r="J33" i="57"/>
  <c r="AK32" i="57"/>
  <c r="AL32" i="57"/>
  <c r="AJ32" i="57"/>
  <c r="CP32" i="57"/>
  <c r="DQ32" i="57"/>
  <c r="DR32" i="57"/>
  <c r="W32" i="57"/>
  <c r="X32" i="57"/>
  <c r="V32" i="57"/>
  <c r="BM32" i="57"/>
  <c r="BN32" i="57"/>
  <c r="BL32" i="57"/>
  <c r="BO32" i="57" s="1"/>
  <c r="DD32" i="57"/>
  <c r="J32" i="57"/>
  <c r="K32" i="57"/>
  <c r="M32" i="57" s="1"/>
  <c r="AK31" i="57"/>
  <c r="AL31" i="57"/>
  <c r="AJ31" i="57"/>
  <c r="CP31" i="57"/>
  <c r="DQ31" i="57"/>
  <c r="DR31" i="57"/>
  <c r="W31" i="57"/>
  <c r="X31" i="57"/>
  <c r="V31" i="57"/>
  <c r="BM31" i="57"/>
  <c r="BN31" i="57"/>
  <c r="BL31" i="57"/>
  <c r="DD31" i="57"/>
  <c r="J31" i="57"/>
  <c r="AK30" i="57"/>
  <c r="AL30" i="57"/>
  <c r="AJ30" i="57"/>
  <c r="CP30" i="57"/>
  <c r="DQ30" i="57"/>
  <c r="DR30" i="57"/>
  <c r="W30" i="57"/>
  <c r="X30" i="57"/>
  <c r="V30" i="57"/>
  <c r="BM30" i="57"/>
  <c r="BN30" i="57"/>
  <c r="BL30" i="57"/>
  <c r="DD30" i="57"/>
  <c r="J30" i="57"/>
  <c r="K30" i="57" s="1"/>
  <c r="L30" i="57" s="1"/>
  <c r="C6" i="57"/>
  <c r="D6" i="57" s="1"/>
  <c r="E6" i="57" s="1"/>
  <c r="F6" i="57" s="1"/>
  <c r="AS6" i="57"/>
  <c r="AT6" i="57" s="1"/>
  <c r="CI6" i="57"/>
  <c r="CJ6" i="57" s="1"/>
  <c r="CK6" i="57" s="1"/>
  <c r="CW6" i="57"/>
  <c r="CX6" i="57" s="1"/>
  <c r="DK6" i="57"/>
  <c r="DM5" i="57"/>
  <c r="CY5" i="57"/>
  <c r="CK5" i="57"/>
  <c r="BU6" i="57"/>
  <c r="BV6" i="57" s="1"/>
  <c r="BW6" i="57" s="1"/>
  <c r="BW5" i="57"/>
  <c r="BG6" i="57"/>
  <c r="BH6" i="57" s="1"/>
  <c r="BI6" i="57" s="1"/>
  <c r="BI5" i="57"/>
  <c r="AU5" i="57"/>
  <c r="AE6" i="57"/>
  <c r="AF6" i="57" s="1"/>
  <c r="AG6" i="57" s="1"/>
  <c r="AG5" i="57"/>
  <c r="Q6" i="57"/>
  <c r="S5" i="57"/>
  <c r="E5" i="57"/>
  <c r="FW3" i="57"/>
  <c r="FW4" i="57" s="1"/>
  <c r="GK3" i="57"/>
  <c r="AN1" i="7" s="1"/>
  <c r="EE3" i="57"/>
  <c r="ES3" i="57"/>
  <c r="FG3" i="57"/>
  <c r="EF8" i="57"/>
  <c r="EF28" i="57" s="1"/>
  <c r="EH8" i="57"/>
  <c r="ET8" i="57"/>
  <c r="ET31" i="57" s="1"/>
  <c r="ET10" i="57"/>
  <c r="EV8" i="57"/>
  <c r="FH8" i="57"/>
  <c r="FH28" i="57" s="1"/>
  <c r="FJ8" i="57"/>
  <c r="EE10" i="57"/>
  <c r="ES10" i="57"/>
  <c r="FG10" i="57"/>
  <c r="J11" i="57"/>
  <c r="V11" i="57"/>
  <c r="W11" i="57"/>
  <c r="X11" i="57"/>
  <c r="AJ11" i="57"/>
  <c r="AP11" i="57" s="1"/>
  <c r="AK11" i="57"/>
  <c r="AL11" i="57"/>
  <c r="BL11" i="57"/>
  <c r="BM11" i="57"/>
  <c r="BN11" i="57"/>
  <c r="CN11" i="57"/>
  <c r="CO11" i="57"/>
  <c r="CP11" i="57"/>
  <c r="DB11" i="57"/>
  <c r="DC11" i="57"/>
  <c r="DD11" i="57"/>
  <c r="DQ11" i="57"/>
  <c r="DR11" i="57"/>
  <c r="EE11" i="57"/>
  <c r="ES11" i="57"/>
  <c r="FG11" i="57"/>
  <c r="J12" i="57"/>
  <c r="V12" i="57"/>
  <c r="AB12" i="57" s="1"/>
  <c r="W12" i="57"/>
  <c r="X12" i="57"/>
  <c r="AJ12" i="57"/>
  <c r="AP12" i="57" s="1"/>
  <c r="AK12" i="57"/>
  <c r="AL12" i="57"/>
  <c r="BL12" i="57"/>
  <c r="BR12" i="57" s="1"/>
  <c r="BM12" i="57"/>
  <c r="BN12" i="57"/>
  <c r="CN12" i="57"/>
  <c r="CO12" i="57"/>
  <c r="CP12" i="57"/>
  <c r="DB12" i="57"/>
  <c r="DC12" i="57"/>
  <c r="DE12" i="57" s="1"/>
  <c r="DD12" i="57"/>
  <c r="DQ12" i="57"/>
  <c r="DR12" i="57"/>
  <c r="EE12" i="57"/>
  <c r="EF12" i="57"/>
  <c r="ES12" i="57"/>
  <c r="FG12" i="57"/>
  <c r="J13" i="57"/>
  <c r="V13" i="57"/>
  <c r="AB13" i="57" s="1"/>
  <c r="W13" i="57"/>
  <c r="X13" i="57"/>
  <c r="AJ13" i="57"/>
  <c r="AK13" i="57"/>
  <c r="AL13" i="57"/>
  <c r="BL13" i="57"/>
  <c r="BR13" i="57" s="1"/>
  <c r="BM13" i="57"/>
  <c r="BN13" i="57"/>
  <c r="CN13" i="57"/>
  <c r="CO13" i="57"/>
  <c r="CP13" i="57"/>
  <c r="DB13" i="57"/>
  <c r="DH13" i="57"/>
  <c r="DC13" i="57"/>
  <c r="DD13" i="57"/>
  <c r="DQ13" i="57"/>
  <c r="DR13" i="57"/>
  <c r="EE13" i="57"/>
  <c r="ES13" i="57"/>
  <c r="FG13" i="57"/>
  <c r="J14" i="57"/>
  <c r="K14" i="57" s="1"/>
  <c r="L14" i="57" s="1"/>
  <c r="V14" i="57"/>
  <c r="W14" i="57"/>
  <c r="X14" i="57"/>
  <c r="AJ14" i="57"/>
  <c r="AP14" i="57" s="1"/>
  <c r="AK14" i="57"/>
  <c r="AL14" i="57"/>
  <c r="BL14" i="57"/>
  <c r="BR14" i="57" s="1"/>
  <c r="BM14" i="57"/>
  <c r="BS14" i="57" s="1"/>
  <c r="BN14" i="57"/>
  <c r="CN14" i="57"/>
  <c r="CT14" i="57" s="1"/>
  <c r="CO14" i="57"/>
  <c r="CP14" i="57"/>
  <c r="DB14" i="57"/>
  <c r="DH14" i="57" s="1"/>
  <c r="DC14" i="57"/>
  <c r="DD14" i="57"/>
  <c r="DQ14" i="57"/>
  <c r="DR14" i="57"/>
  <c r="EE14" i="57"/>
  <c r="EF14" i="57"/>
  <c r="ES14" i="57"/>
  <c r="FG14" i="57"/>
  <c r="J15" i="57"/>
  <c r="V15" i="57"/>
  <c r="W15" i="57"/>
  <c r="X15" i="57"/>
  <c r="AJ15" i="57"/>
  <c r="AP15" i="57" s="1"/>
  <c r="AK15" i="57"/>
  <c r="AL15" i="57"/>
  <c r="BL15" i="57"/>
  <c r="BM15" i="57"/>
  <c r="BN15" i="57"/>
  <c r="CN15" i="57"/>
  <c r="GK15" i="57" s="1"/>
  <c r="CO15" i="57"/>
  <c r="CP15" i="57"/>
  <c r="DB15" i="57"/>
  <c r="DC15" i="57"/>
  <c r="DD15" i="57"/>
  <c r="DQ15" i="57"/>
  <c r="DR15" i="57"/>
  <c r="EE15" i="57"/>
  <c r="ES15" i="57"/>
  <c r="FG15" i="57"/>
  <c r="J16" i="57"/>
  <c r="V16" i="57"/>
  <c r="AB16" i="57"/>
  <c r="W16" i="57"/>
  <c r="X16" i="57"/>
  <c r="AJ16" i="57"/>
  <c r="AP16" i="57" s="1"/>
  <c r="AK16" i="57"/>
  <c r="AL16" i="57"/>
  <c r="BL16" i="57"/>
  <c r="BM16" i="57"/>
  <c r="BN16" i="57"/>
  <c r="CN16" i="57"/>
  <c r="CT16" i="57" s="1"/>
  <c r="CO16" i="57"/>
  <c r="CP16" i="57"/>
  <c r="DB16" i="57"/>
  <c r="DH16" i="57" s="1"/>
  <c r="DC16" i="57"/>
  <c r="DD16" i="57"/>
  <c r="DQ16" i="57"/>
  <c r="DR16" i="57"/>
  <c r="EE16" i="57"/>
  <c r="ES16" i="57"/>
  <c r="FG16" i="57"/>
  <c r="J17" i="57"/>
  <c r="V17" i="57"/>
  <c r="AB17" i="57" s="1"/>
  <c r="W17" i="57"/>
  <c r="X17" i="57"/>
  <c r="AJ17" i="57"/>
  <c r="AK17" i="57"/>
  <c r="AL17" i="57"/>
  <c r="BL17" i="57"/>
  <c r="BR17" i="57"/>
  <c r="BM17" i="57"/>
  <c r="BN17" i="57"/>
  <c r="CN17" i="57"/>
  <c r="GK17" i="57"/>
  <c r="CO17" i="57"/>
  <c r="CP17" i="57"/>
  <c r="DB17" i="57"/>
  <c r="DH17" i="57"/>
  <c r="DC17" i="57"/>
  <c r="DD17" i="57"/>
  <c r="DQ17" i="57"/>
  <c r="DR17" i="57"/>
  <c r="EE17" i="57"/>
  <c r="EF17" i="57"/>
  <c r="ES17" i="57"/>
  <c r="FG17" i="57"/>
  <c r="J18" i="57"/>
  <c r="V18" i="57"/>
  <c r="AB18" i="57" s="1"/>
  <c r="W18" i="57"/>
  <c r="X18" i="57"/>
  <c r="AJ18" i="57"/>
  <c r="AK18" i="57"/>
  <c r="AL18" i="57"/>
  <c r="BL18" i="57"/>
  <c r="BR18" i="57"/>
  <c r="BM18" i="57"/>
  <c r="BN18" i="57"/>
  <c r="CN18" i="57"/>
  <c r="GK18" i="57"/>
  <c r="CO18" i="57"/>
  <c r="CP18" i="57"/>
  <c r="DB18" i="57"/>
  <c r="DH18" i="57"/>
  <c r="DC18" i="57"/>
  <c r="DD18" i="57"/>
  <c r="DQ18" i="57"/>
  <c r="DR18" i="57"/>
  <c r="EE18" i="57"/>
  <c r="ES18" i="57"/>
  <c r="ET18" i="57"/>
  <c r="FG18" i="57"/>
  <c r="J19" i="57"/>
  <c r="V19" i="57"/>
  <c r="W19" i="57"/>
  <c r="X19" i="57"/>
  <c r="AJ19" i="57"/>
  <c r="AP19" i="57" s="1"/>
  <c r="AK19" i="57"/>
  <c r="AL19" i="57"/>
  <c r="BL19" i="57"/>
  <c r="BM19" i="57"/>
  <c r="BN19" i="57"/>
  <c r="CN19" i="57"/>
  <c r="CT19" i="57" s="1"/>
  <c r="CO19" i="57"/>
  <c r="CP19" i="57"/>
  <c r="DB19" i="57"/>
  <c r="DC19" i="57"/>
  <c r="DD19" i="57"/>
  <c r="DQ19" i="57"/>
  <c r="DR19" i="57"/>
  <c r="EE19" i="57"/>
  <c r="ES19" i="57"/>
  <c r="FG19" i="57"/>
  <c r="J20" i="57"/>
  <c r="V20" i="57"/>
  <c r="AB20" i="57" s="1"/>
  <c r="W20" i="57"/>
  <c r="X20" i="57"/>
  <c r="AJ20" i="57"/>
  <c r="AP20" i="57" s="1"/>
  <c r="AK20" i="57"/>
  <c r="AL20" i="57"/>
  <c r="BL20" i="57"/>
  <c r="BR20" i="57" s="1"/>
  <c r="BM20" i="57"/>
  <c r="BN20" i="57"/>
  <c r="CN20" i="57"/>
  <c r="CT20" i="57" s="1"/>
  <c r="CO20" i="57"/>
  <c r="CP20" i="57"/>
  <c r="DB20" i="57"/>
  <c r="DH20" i="57" s="1"/>
  <c r="DC20" i="57"/>
  <c r="DD20" i="57"/>
  <c r="DQ20" i="57"/>
  <c r="DR20" i="57"/>
  <c r="EE20" i="57"/>
  <c r="EF20" i="57"/>
  <c r="ES20" i="57"/>
  <c r="FG20" i="57"/>
  <c r="J21" i="57"/>
  <c r="V21" i="57"/>
  <c r="AB21" i="57" s="1"/>
  <c r="W21" i="57"/>
  <c r="X21" i="57"/>
  <c r="AJ21" i="57"/>
  <c r="AK21" i="57"/>
  <c r="AL21" i="57"/>
  <c r="BL21" i="57"/>
  <c r="BR21" i="57" s="1"/>
  <c r="BM21" i="57"/>
  <c r="BN21" i="57"/>
  <c r="CN21" i="57"/>
  <c r="CO21" i="57"/>
  <c r="CP21" i="57"/>
  <c r="DB21" i="57"/>
  <c r="DH21" i="57" s="1"/>
  <c r="DC21" i="57"/>
  <c r="GL21" i="57" s="1"/>
  <c r="DD21" i="57"/>
  <c r="DQ21" i="57"/>
  <c r="DR21" i="57"/>
  <c r="EE21" i="57"/>
  <c r="EF21" i="57"/>
  <c r="ES21" i="57"/>
  <c r="FG21" i="57"/>
  <c r="J22" i="57"/>
  <c r="K22" i="57" s="1"/>
  <c r="V22" i="57"/>
  <c r="AB22" i="57" s="1"/>
  <c r="W22" i="57"/>
  <c r="X22" i="57"/>
  <c r="AJ22" i="57"/>
  <c r="AP22" i="57" s="1"/>
  <c r="AK22" i="57"/>
  <c r="AL22" i="57"/>
  <c r="BL22" i="57"/>
  <c r="BR22" i="57" s="1"/>
  <c r="BM22" i="57"/>
  <c r="BS22" i="57" s="1"/>
  <c r="BN22" i="57"/>
  <c r="CN22" i="57"/>
  <c r="CO22" i="57"/>
  <c r="GL22" i="57" s="1"/>
  <c r="CP22" i="57"/>
  <c r="DB22" i="57"/>
  <c r="DH22" i="57" s="1"/>
  <c r="DC22" i="57"/>
  <c r="DD22" i="57"/>
  <c r="DQ22" i="57"/>
  <c r="DR22" i="57"/>
  <c r="EE22" i="57"/>
  <c r="ES22" i="57"/>
  <c r="FG22" i="57"/>
  <c r="J23" i="57"/>
  <c r="V23" i="57"/>
  <c r="W23" i="57"/>
  <c r="X23" i="57"/>
  <c r="AJ23" i="57"/>
  <c r="AP23" i="57" s="1"/>
  <c r="AK23" i="57"/>
  <c r="AL23" i="57"/>
  <c r="BL23" i="57"/>
  <c r="BM23" i="57"/>
  <c r="BN23" i="57"/>
  <c r="CN23" i="57"/>
  <c r="CO23" i="57"/>
  <c r="CP23" i="57"/>
  <c r="DB23" i="57"/>
  <c r="DC23" i="57"/>
  <c r="DD23" i="57"/>
  <c r="DQ23" i="57"/>
  <c r="DR23" i="57"/>
  <c r="EE23" i="57"/>
  <c r="ES23" i="57"/>
  <c r="FG23" i="57"/>
  <c r="J24" i="57"/>
  <c r="K24" i="57" s="1"/>
  <c r="L24" i="57" s="1"/>
  <c r="V24" i="57"/>
  <c r="AB24" i="57" s="1"/>
  <c r="W24" i="57"/>
  <c r="X24" i="57"/>
  <c r="AJ24" i="57"/>
  <c r="AP24" i="57" s="1"/>
  <c r="AK24" i="57"/>
  <c r="AL24" i="57"/>
  <c r="BL24" i="57"/>
  <c r="BM24" i="57"/>
  <c r="BN24" i="57"/>
  <c r="CN24" i="57"/>
  <c r="CO24" i="57"/>
  <c r="CP24" i="57"/>
  <c r="DB24" i="57"/>
  <c r="DH24" i="57" s="1"/>
  <c r="DC24" i="57"/>
  <c r="DD24" i="57"/>
  <c r="DQ24" i="57"/>
  <c r="DR24" i="57"/>
  <c r="EE24" i="57"/>
  <c r="ES24" i="57"/>
  <c r="FG24" i="57"/>
  <c r="FH24" i="57"/>
  <c r="J25" i="57"/>
  <c r="K25" i="57" s="1"/>
  <c r="L25" i="57"/>
  <c r="V25" i="57"/>
  <c r="W25" i="57"/>
  <c r="X25" i="57"/>
  <c r="AJ25" i="57"/>
  <c r="AK25" i="57"/>
  <c r="AL25" i="57"/>
  <c r="BL25" i="57"/>
  <c r="BM25" i="57"/>
  <c r="BN25" i="57"/>
  <c r="CN25" i="57"/>
  <c r="CO25" i="57"/>
  <c r="GL25" i="57"/>
  <c r="CP25" i="57"/>
  <c r="DB25" i="57"/>
  <c r="DC25" i="57"/>
  <c r="DD25" i="57"/>
  <c r="DQ25" i="57"/>
  <c r="DR25" i="57"/>
  <c r="EE25" i="57"/>
  <c r="ES25" i="57"/>
  <c r="FG25" i="57"/>
  <c r="J26" i="57"/>
  <c r="K26" i="57" s="1"/>
  <c r="L26" i="57" s="1"/>
  <c r="V26" i="57"/>
  <c r="W26" i="57"/>
  <c r="X26" i="57"/>
  <c r="AJ26" i="57"/>
  <c r="AK26" i="57"/>
  <c r="AL26" i="57"/>
  <c r="BL26" i="57"/>
  <c r="BM26" i="57"/>
  <c r="BN26" i="57"/>
  <c r="CN26" i="57"/>
  <c r="EU26" i="57"/>
  <c r="CO26" i="57"/>
  <c r="CP26" i="57"/>
  <c r="DB26" i="57"/>
  <c r="DC26" i="57"/>
  <c r="DD26" i="57"/>
  <c r="DQ26" i="57"/>
  <c r="DR26" i="57"/>
  <c r="EE26" i="57"/>
  <c r="ES26" i="57"/>
  <c r="FG26" i="57"/>
  <c r="J27" i="57"/>
  <c r="V27" i="57"/>
  <c r="W27" i="57"/>
  <c r="X27" i="57"/>
  <c r="AJ27" i="57"/>
  <c r="AK27" i="57"/>
  <c r="AL27" i="57"/>
  <c r="BL27" i="57"/>
  <c r="BM27" i="57"/>
  <c r="BN27" i="57"/>
  <c r="CN27" i="57"/>
  <c r="GK27" i="57" s="1"/>
  <c r="CO27" i="57"/>
  <c r="CP27" i="57"/>
  <c r="DB27" i="57"/>
  <c r="DC27" i="57"/>
  <c r="DD27" i="57"/>
  <c r="DQ27" i="57"/>
  <c r="DR27" i="57"/>
  <c r="EE27" i="57"/>
  <c r="ES27" i="57"/>
  <c r="FG27" i="57"/>
  <c r="FH27" i="57"/>
  <c r="J28" i="57"/>
  <c r="V28" i="57"/>
  <c r="W28" i="57"/>
  <c r="X28" i="57"/>
  <c r="AJ28" i="57"/>
  <c r="AK28" i="57"/>
  <c r="AL28" i="57"/>
  <c r="BL28" i="57"/>
  <c r="BM28" i="57"/>
  <c r="BN28" i="57"/>
  <c r="CN28" i="57"/>
  <c r="CO28" i="57"/>
  <c r="CP28" i="57"/>
  <c r="DB28" i="57"/>
  <c r="DC28" i="57"/>
  <c r="DD28" i="57"/>
  <c r="DQ28" i="57"/>
  <c r="DR28" i="57"/>
  <c r="EE28" i="57"/>
  <c r="ES28" i="57"/>
  <c r="FG28" i="57"/>
  <c r="J29" i="57"/>
  <c r="K29" i="57" s="1"/>
  <c r="V29" i="57"/>
  <c r="W29" i="57"/>
  <c r="X29" i="57"/>
  <c r="AJ29" i="57"/>
  <c r="AK29" i="57"/>
  <c r="AL29" i="57"/>
  <c r="BL29" i="57"/>
  <c r="BM29" i="57"/>
  <c r="BN29" i="57"/>
  <c r="CN29" i="57"/>
  <c r="CO29" i="57"/>
  <c r="CP29" i="57"/>
  <c r="DB29" i="57"/>
  <c r="DC29" i="57"/>
  <c r="DD29" i="57"/>
  <c r="DQ29" i="57"/>
  <c r="DR29" i="57"/>
  <c r="EE29" i="57"/>
  <c r="ES29" i="57"/>
  <c r="ET29" i="57"/>
  <c r="FG29" i="57"/>
  <c r="EE30" i="57"/>
  <c r="EF30" i="57"/>
  <c r="ES30" i="57"/>
  <c r="FG30" i="57"/>
  <c r="EE31" i="57"/>
  <c r="N21" i="7"/>
  <c r="EF31" i="57"/>
  <c r="ES31" i="57"/>
  <c r="FG31" i="57"/>
  <c r="EE32" i="57"/>
  <c r="EF32" i="57"/>
  <c r="ES32" i="57"/>
  <c r="ET32" i="57"/>
  <c r="FG32" i="57"/>
  <c r="EE33" i="57"/>
  <c r="N23" i="7" s="1"/>
  <c r="EF33" i="57"/>
  <c r="ES33" i="57"/>
  <c r="FG33" i="57"/>
  <c r="EE34" i="57"/>
  <c r="N24" i="7" s="1"/>
  <c r="EF34" i="57"/>
  <c r="ES34" i="57"/>
  <c r="ET34" i="57"/>
  <c r="FG34" i="57"/>
  <c r="EE35" i="57"/>
  <c r="ES35" i="57"/>
  <c r="FG35" i="57"/>
  <c r="EE36" i="57"/>
  <c r="ES36" i="57"/>
  <c r="FG36" i="57"/>
  <c r="FH36" i="57"/>
  <c r="EE37" i="57"/>
  <c r="EF37" i="57"/>
  <c r="N27" i="7" s="1"/>
  <c r="ES37" i="57"/>
  <c r="FG37" i="57"/>
  <c r="EE38" i="57"/>
  <c r="ES38" i="57"/>
  <c r="ET38" i="57"/>
  <c r="FG38" i="57"/>
  <c r="EE39" i="57"/>
  <c r="EF39" i="57"/>
  <c r="ES39" i="57"/>
  <c r="V29" i="7" s="1"/>
  <c r="ET39" i="57"/>
  <c r="FG39" i="57"/>
  <c r="EE40" i="57"/>
  <c r="ES40" i="57"/>
  <c r="ET40" i="57"/>
  <c r="FG40" i="57"/>
  <c r="EE41" i="57"/>
  <c r="EF41" i="57"/>
  <c r="ES41" i="57"/>
  <c r="ET41" i="57"/>
  <c r="FG41" i="57"/>
  <c r="FH41" i="57"/>
  <c r="EE42" i="57"/>
  <c r="ES42" i="57"/>
  <c r="ET42" i="57"/>
  <c r="FG42" i="57"/>
  <c r="EE43" i="57"/>
  <c r="EF43" i="57"/>
  <c r="ES43" i="57"/>
  <c r="ET43" i="57"/>
  <c r="FG43" i="57"/>
  <c r="FH43" i="57"/>
  <c r="EE44" i="57"/>
  <c r="N34" i="7"/>
  <c r="EF44" i="57"/>
  <c r="ES44" i="57"/>
  <c r="ET44" i="57"/>
  <c r="FG44" i="57"/>
  <c r="FH44" i="57"/>
  <c r="EE45" i="57"/>
  <c r="N35" i="7" s="1"/>
  <c r="EF45" i="57"/>
  <c r="ES45" i="57"/>
  <c r="V35" i="7"/>
  <c r="ET45" i="57"/>
  <c r="FG45" i="57"/>
  <c r="FH45" i="57"/>
  <c r="EE46" i="57"/>
  <c r="ES46" i="57"/>
  <c r="ET46" i="57"/>
  <c r="FG46" i="57"/>
  <c r="EE47" i="57"/>
  <c r="EF47" i="57"/>
  <c r="ES47" i="57"/>
  <c r="V37" i="7"/>
  <c r="ET47" i="57"/>
  <c r="FG47" i="57"/>
  <c r="EE48" i="57"/>
  <c r="EF48" i="57"/>
  <c r="ES48" i="57"/>
  <c r="V38" i="7" s="1"/>
  <c r="ET48" i="57"/>
  <c r="FG48" i="57"/>
  <c r="FH48" i="57"/>
  <c r="EE49" i="57"/>
  <c r="EF49" i="57"/>
  <c r="N39" i="7" s="1"/>
  <c r="ES49" i="57"/>
  <c r="ET49" i="57"/>
  <c r="V39" i="7" s="1"/>
  <c r="FG49" i="57"/>
  <c r="FH49" i="57"/>
  <c r="AD39" i="7" s="1"/>
  <c r="EE50" i="57"/>
  <c r="EF50" i="57"/>
  <c r="N40" i="7" s="1"/>
  <c r="ES50" i="57"/>
  <c r="ET50" i="57"/>
  <c r="V40" i="7" s="1"/>
  <c r="FG50" i="57"/>
  <c r="FH50" i="57"/>
  <c r="AD40" i="7" s="1"/>
  <c r="EE51" i="57"/>
  <c r="EF51" i="57"/>
  <c r="ES51" i="57"/>
  <c r="ET51" i="57"/>
  <c r="FG51" i="57"/>
  <c r="FH51" i="57"/>
  <c r="EE52" i="57"/>
  <c r="EF52" i="57"/>
  <c r="ES52" i="57"/>
  <c r="ET52" i="57"/>
  <c r="V42" i="7" s="1"/>
  <c r="FG52" i="57"/>
  <c r="FH52" i="57"/>
  <c r="AD42" i="7" s="1"/>
  <c r="EE53" i="57"/>
  <c r="EF53" i="57"/>
  <c r="N43" i="7"/>
  <c r="ES53" i="57"/>
  <c r="ET53" i="57"/>
  <c r="FG53" i="57"/>
  <c r="FH53" i="57"/>
  <c r="AD43" i="7" s="1"/>
  <c r="EE54" i="57"/>
  <c r="EF54" i="57"/>
  <c r="ES54" i="57"/>
  <c r="V44" i="7"/>
  <c r="ET54" i="57"/>
  <c r="FG54" i="57"/>
  <c r="AD44" i="7"/>
  <c r="FH54" i="57"/>
  <c r="EE55" i="57"/>
  <c r="EF55" i="57"/>
  <c r="ES55" i="57"/>
  <c r="ET55" i="57"/>
  <c r="FG55" i="57"/>
  <c r="FH55" i="57"/>
  <c r="AD45" i="7" s="1"/>
  <c r="EE56" i="57"/>
  <c r="ES56" i="57"/>
  <c r="ET56" i="57"/>
  <c r="FG56" i="57"/>
  <c r="EE57" i="57"/>
  <c r="EF57" i="57"/>
  <c r="N47" i="7" s="1"/>
  <c r="ES57" i="57"/>
  <c r="ET57" i="57"/>
  <c r="V47" i="7"/>
  <c r="FG57" i="57"/>
  <c r="EE58" i="57"/>
  <c r="N48" i="7" s="1"/>
  <c r="EF58" i="57"/>
  <c r="ES58" i="57"/>
  <c r="V48" i="7"/>
  <c r="ET58" i="57"/>
  <c r="FG58" i="57"/>
  <c r="AD48" i="7" s="1"/>
  <c r="FH58" i="57"/>
  <c r="EE59" i="57"/>
  <c r="ES59" i="57"/>
  <c r="ET59" i="57"/>
  <c r="FG59" i="57"/>
  <c r="EE60" i="57"/>
  <c r="EF60" i="57"/>
  <c r="ES60" i="57"/>
  <c r="ET60" i="57"/>
  <c r="FG60" i="57"/>
  <c r="FH60" i="57"/>
  <c r="EE61" i="57"/>
  <c r="ES61" i="57"/>
  <c r="ET61" i="57"/>
  <c r="FG61" i="57"/>
  <c r="EE62" i="57"/>
  <c r="EF62" i="57"/>
  <c r="ES62" i="57"/>
  <c r="ET62" i="57"/>
  <c r="V52" i="7"/>
  <c r="FG62" i="57"/>
  <c r="EE63" i="57"/>
  <c r="EF63" i="57"/>
  <c r="ES63" i="57"/>
  <c r="ET63" i="57"/>
  <c r="FG63" i="57"/>
  <c r="FH63" i="57"/>
  <c r="AD53" i="7" s="1"/>
  <c r="EE64" i="57"/>
  <c r="ES64" i="57"/>
  <c r="ET64" i="57"/>
  <c r="FG64" i="57"/>
  <c r="FH64" i="57"/>
  <c r="EE65" i="57"/>
  <c r="ES65" i="57"/>
  <c r="ET65" i="57"/>
  <c r="FG65" i="57"/>
  <c r="EE66" i="57"/>
  <c r="EF66" i="57"/>
  <c r="ES66" i="57"/>
  <c r="ET66" i="57"/>
  <c r="FG66" i="57"/>
  <c r="FH66" i="57"/>
  <c r="EE67" i="57"/>
  <c r="ES67" i="57"/>
  <c r="ET67" i="57"/>
  <c r="FG67" i="57"/>
  <c r="EE68" i="57"/>
  <c r="EF68" i="57"/>
  <c r="N58" i="7" s="1"/>
  <c r="ES68" i="57"/>
  <c r="ET68" i="57"/>
  <c r="FG68" i="57"/>
  <c r="FH68" i="57"/>
  <c r="EE69" i="57"/>
  <c r="ES69" i="57"/>
  <c r="ET69" i="57"/>
  <c r="V59" i="7" s="1"/>
  <c r="FG69" i="57"/>
  <c r="EE70" i="57"/>
  <c r="EF70" i="57"/>
  <c r="ES70" i="57"/>
  <c r="ET70" i="57"/>
  <c r="FG70" i="57"/>
  <c r="EE71" i="57"/>
  <c r="N61" i="7"/>
  <c r="EF71" i="57"/>
  <c r="ES71" i="57"/>
  <c r="ET71" i="57"/>
  <c r="V61" i="7" s="1"/>
  <c r="FG71" i="57"/>
  <c r="AD61" i="7" s="1"/>
  <c r="FH71" i="57"/>
  <c r="EE72" i="57"/>
  <c r="ES72" i="57"/>
  <c r="V62" i="7" s="1"/>
  <c r="ET72" i="57"/>
  <c r="FG72" i="57"/>
  <c r="FH72" i="57"/>
  <c r="EE73" i="57"/>
  <c r="EF73" i="57"/>
  <c r="N63" i="7" s="1"/>
  <c r="ES73" i="57"/>
  <c r="ET73" i="57"/>
  <c r="V63" i="7" s="1"/>
  <c r="FG73" i="57"/>
  <c r="EE74" i="57"/>
  <c r="EF74" i="57"/>
  <c r="ES74" i="57"/>
  <c r="ET74" i="57"/>
  <c r="FG74" i="57"/>
  <c r="FH74" i="57"/>
  <c r="EE75" i="57"/>
  <c r="EF75" i="57"/>
  <c r="N65" i="7" s="1"/>
  <c r="ES75" i="57"/>
  <c r="ET75" i="57"/>
  <c r="FG75" i="57"/>
  <c r="FH75" i="57"/>
  <c r="EE76" i="57"/>
  <c r="EF76" i="57"/>
  <c r="ES76" i="57"/>
  <c r="ET76" i="57"/>
  <c r="FG76" i="57"/>
  <c r="FH76" i="57"/>
  <c r="EE77" i="57"/>
  <c r="EF77" i="57"/>
  <c r="ES77" i="57"/>
  <c r="ET77" i="57"/>
  <c r="FG77" i="57"/>
  <c r="FH77" i="57"/>
  <c r="EE78" i="57"/>
  <c r="EF78" i="57"/>
  <c r="ES78" i="57"/>
  <c r="V68" i="7"/>
  <c r="ET78" i="57"/>
  <c r="FG78" i="57"/>
  <c r="AD68" i="7" s="1"/>
  <c r="FH78" i="57"/>
  <c r="EE79" i="57"/>
  <c r="ES79" i="57"/>
  <c r="V69" i="7" s="1"/>
  <c r="ET79" i="57"/>
  <c r="FG79" i="57"/>
  <c r="AD69" i="7"/>
  <c r="FH79" i="57"/>
  <c r="EE80" i="57"/>
  <c r="N70" i="7" s="1"/>
  <c r="EF80" i="57"/>
  <c r="ES80" i="57"/>
  <c r="ET80" i="57"/>
  <c r="FG80" i="57"/>
  <c r="FH80" i="57"/>
  <c r="EE81" i="57"/>
  <c r="EF81" i="57"/>
  <c r="ES81" i="57"/>
  <c r="ET81" i="57"/>
  <c r="FG81" i="57"/>
  <c r="FH81" i="57"/>
  <c r="EE82" i="57"/>
  <c r="EF82" i="57"/>
  <c r="ES82" i="57"/>
  <c r="ET82" i="57"/>
  <c r="FG82" i="57"/>
  <c r="FH82" i="57"/>
  <c r="EE83" i="57"/>
  <c r="EF83" i="57"/>
  <c r="ES83" i="57"/>
  <c r="ET83" i="57"/>
  <c r="FG83" i="57"/>
  <c r="EE84" i="57"/>
  <c r="N74" i="7" s="1"/>
  <c r="EF84" i="57"/>
  <c r="ES84" i="57"/>
  <c r="ET84" i="57"/>
  <c r="FG84" i="57"/>
  <c r="FH84" i="57"/>
  <c r="EE85" i="57"/>
  <c r="N75" i="7"/>
  <c r="EF85" i="57"/>
  <c r="ES85" i="57"/>
  <c r="V75" i="7" s="1"/>
  <c r="ET85" i="57"/>
  <c r="FG85" i="57"/>
  <c r="FH85" i="57"/>
  <c r="EE86" i="57"/>
  <c r="EF86" i="57"/>
  <c r="ES86" i="57"/>
  <c r="ET86" i="57"/>
  <c r="FG86" i="57"/>
  <c r="FH86" i="57"/>
  <c r="EE87" i="57"/>
  <c r="EF87" i="57"/>
  <c r="ES87" i="57"/>
  <c r="ET87" i="57"/>
  <c r="FG87" i="57"/>
  <c r="FH87" i="57"/>
  <c r="EE88" i="57"/>
  <c r="EF88" i="57"/>
  <c r="ES88" i="57"/>
  <c r="ET88" i="57"/>
  <c r="FG88" i="57"/>
  <c r="FH88" i="57"/>
  <c r="EE89" i="57"/>
  <c r="ES89" i="57"/>
  <c r="ET89" i="57"/>
  <c r="V79" i="7" s="1"/>
  <c r="FG89" i="57"/>
  <c r="FH89" i="57"/>
  <c r="EE90" i="57"/>
  <c r="EF90" i="57"/>
  <c r="N80" i="7" s="1"/>
  <c r="ES90" i="57"/>
  <c r="ET90" i="57"/>
  <c r="V80" i="7" s="1"/>
  <c r="FG90" i="57"/>
  <c r="FH90" i="57"/>
  <c r="AD80" i="7" s="1"/>
  <c r="EE91" i="57"/>
  <c r="EF91" i="57"/>
  <c r="N81" i="7" s="1"/>
  <c r="ES91" i="57"/>
  <c r="ET91" i="57"/>
  <c r="FG91" i="57"/>
  <c r="AD81" i="7"/>
  <c r="FH91" i="57"/>
  <c r="EE92" i="57"/>
  <c r="EF92" i="57"/>
  <c r="N82" i="7" s="1"/>
  <c r="ES92" i="57"/>
  <c r="ET92" i="57"/>
  <c r="FG92" i="57"/>
  <c r="EE93" i="57"/>
  <c r="N83" i="7"/>
  <c r="EF93" i="57"/>
  <c r="ES93" i="57"/>
  <c r="ET93" i="57"/>
  <c r="V83" i="7" s="1"/>
  <c r="FG93" i="57"/>
  <c r="EE94" i="57"/>
  <c r="EF94" i="57"/>
  <c r="ES94" i="57"/>
  <c r="ET94" i="57"/>
  <c r="FG94" i="57"/>
  <c r="FH94" i="57"/>
  <c r="EE95" i="57"/>
  <c r="ES95" i="57"/>
  <c r="ET95" i="57"/>
  <c r="FG95" i="57"/>
  <c r="EE96" i="57"/>
  <c r="EF96" i="57"/>
  <c r="ES96" i="57"/>
  <c r="ET96" i="57"/>
  <c r="FG96" i="57"/>
  <c r="FH96" i="57"/>
  <c r="EE97" i="57"/>
  <c r="ES97" i="57"/>
  <c r="ET97" i="57"/>
  <c r="V87" i="7" s="1"/>
  <c r="FG97" i="57"/>
  <c r="FH97" i="57"/>
  <c r="EE98" i="57"/>
  <c r="EF98" i="57"/>
  <c r="ES98" i="57"/>
  <c r="ET98" i="57"/>
  <c r="V88" i="7" s="1"/>
  <c r="FG98" i="57"/>
  <c r="FH98" i="57"/>
  <c r="EE99" i="57"/>
  <c r="EF99" i="57"/>
  <c r="ES99" i="57"/>
  <c r="ET99" i="57"/>
  <c r="FG99" i="57"/>
  <c r="FH99" i="57"/>
  <c r="AD89" i="7" s="1"/>
  <c r="EE100" i="57"/>
  <c r="EF100" i="57"/>
  <c r="ES100" i="57"/>
  <c r="ET100" i="57"/>
  <c r="V90" i="7" s="1"/>
  <c r="FG100" i="57"/>
  <c r="FH100" i="57"/>
  <c r="EE101" i="57"/>
  <c r="EF101" i="57"/>
  <c r="N91" i="7" s="1"/>
  <c r="ES101" i="57"/>
  <c r="V91" i="7" s="1"/>
  <c r="ET101" i="57"/>
  <c r="FG101" i="57"/>
  <c r="EE102" i="57"/>
  <c r="EF102" i="57"/>
  <c r="ES102" i="57"/>
  <c r="ET102" i="57"/>
  <c r="FG102" i="57"/>
  <c r="FH102" i="57"/>
  <c r="EE103" i="57"/>
  <c r="EF103" i="57"/>
  <c r="ES103" i="57"/>
  <c r="ET103" i="57"/>
  <c r="FG103" i="57"/>
  <c r="EE104" i="57"/>
  <c r="EF104" i="57"/>
  <c r="ES104" i="57"/>
  <c r="ET104" i="57"/>
  <c r="FG104" i="57"/>
  <c r="FH104" i="57"/>
  <c r="EE105" i="57"/>
  <c r="EF105" i="57"/>
  <c r="ES105" i="57"/>
  <c r="ET105" i="57"/>
  <c r="FG105" i="57"/>
  <c r="EE106" i="57"/>
  <c r="EF106" i="57"/>
  <c r="ES106" i="57"/>
  <c r="ET106" i="57"/>
  <c r="FG106" i="57"/>
  <c r="AD96" i="7"/>
  <c r="FH106" i="57"/>
  <c r="EE107" i="57"/>
  <c r="EF107" i="57"/>
  <c r="ES107" i="57"/>
  <c r="ET107" i="57"/>
  <c r="FG107" i="57"/>
  <c r="FH107" i="57"/>
  <c r="EE108" i="57"/>
  <c r="EF108" i="57"/>
  <c r="ES108" i="57"/>
  <c r="ET108" i="57"/>
  <c r="FG108" i="57"/>
  <c r="EE109" i="57"/>
  <c r="EF109" i="57"/>
  <c r="ES109" i="57"/>
  <c r="ET109" i="57"/>
  <c r="FG109" i="57"/>
  <c r="FH109" i="57"/>
  <c r="EE110" i="57"/>
  <c r="EF110" i="57"/>
  <c r="ES110" i="57"/>
  <c r="ET110" i="57"/>
  <c r="FG110" i="57"/>
  <c r="GK3" i="56"/>
  <c r="CD1" i="7" s="1"/>
  <c r="GJ3" i="56"/>
  <c r="GI3" i="56"/>
  <c r="GI29" i="56"/>
  <c r="GJ29" i="56"/>
  <c r="AY29" i="56"/>
  <c r="AZ29" i="56"/>
  <c r="AX29" i="56"/>
  <c r="CA29" i="56"/>
  <c r="GL29" i="56" s="1"/>
  <c r="CB29" i="56"/>
  <c r="BZ29" i="56"/>
  <c r="GI28" i="56"/>
  <c r="GJ28" i="56"/>
  <c r="AY28" i="56"/>
  <c r="AZ28" i="56"/>
  <c r="BA28" i="56" s="1"/>
  <c r="BC28" i="56" s="1"/>
  <c r="AX28" i="56"/>
  <c r="CA28" i="56"/>
  <c r="CB28" i="56"/>
  <c r="BZ28" i="56"/>
  <c r="GI27" i="56"/>
  <c r="GJ27" i="56"/>
  <c r="AY27" i="56"/>
  <c r="AZ27" i="56"/>
  <c r="AX27" i="56"/>
  <c r="CA27" i="56"/>
  <c r="CB27" i="56"/>
  <c r="BZ27" i="56"/>
  <c r="GI26" i="56"/>
  <c r="GJ26" i="56"/>
  <c r="AY26" i="56"/>
  <c r="AZ26" i="56"/>
  <c r="AX26" i="56"/>
  <c r="CA26" i="56"/>
  <c r="CB26" i="56"/>
  <c r="BZ26" i="56"/>
  <c r="GK26" i="56" s="1"/>
  <c r="GI25" i="56"/>
  <c r="GJ25" i="56"/>
  <c r="AY25" i="56"/>
  <c r="AZ25" i="56"/>
  <c r="AX25" i="56"/>
  <c r="CA25" i="56"/>
  <c r="CB25" i="56"/>
  <c r="BZ25" i="56"/>
  <c r="GI24" i="56"/>
  <c r="GJ24" i="56"/>
  <c r="AY24" i="56"/>
  <c r="AZ24" i="56"/>
  <c r="AX24" i="56"/>
  <c r="BD24" i="56" s="1"/>
  <c r="CA24" i="56"/>
  <c r="CB24" i="56"/>
  <c r="BZ24" i="56"/>
  <c r="GI23" i="56"/>
  <c r="GJ23" i="56"/>
  <c r="AY23" i="56"/>
  <c r="AZ23" i="56"/>
  <c r="AX23" i="56"/>
  <c r="CA23" i="56"/>
  <c r="CB23" i="56"/>
  <c r="BZ23" i="56"/>
  <c r="CF23" i="56" s="1"/>
  <c r="GI22" i="56"/>
  <c r="GJ22" i="56"/>
  <c r="AY22" i="56"/>
  <c r="AZ22" i="56"/>
  <c r="AX22" i="56"/>
  <c r="CA22" i="56"/>
  <c r="CB22" i="56"/>
  <c r="BZ22" i="56"/>
  <c r="CF22" i="56"/>
  <c r="GI21" i="56"/>
  <c r="GJ21" i="56"/>
  <c r="AY21" i="56"/>
  <c r="AZ21" i="56"/>
  <c r="AX21" i="56"/>
  <c r="BD21" i="56" s="1"/>
  <c r="CA21" i="56"/>
  <c r="CB21" i="56"/>
  <c r="BZ21" i="56"/>
  <c r="GI20" i="56"/>
  <c r="GJ20" i="56"/>
  <c r="AY20" i="56"/>
  <c r="AZ20" i="56"/>
  <c r="AX20" i="56"/>
  <c r="CA20" i="56"/>
  <c r="CB20" i="56"/>
  <c r="BZ20" i="56"/>
  <c r="GI19" i="56"/>
  <c r="GJ19" i="56"/>
  <c r="AY19" i="56"/>
  <c r="AZ19" i="56"/>
  <c r="AX19" i="56"/>
  <c r="CA19" i="56"/>
  <c r="CB19" i="56"/>
  <c r="BZ19" i="56"/>
  <c r="CF19" i="56" s="1"/>
  <c r="GI18" i="56"/>
  <c r="GJ18" i="56"/>
  <c r="AY18" i="56"/>
  <c r="AZ18" i="56"/>
  <c r="AX18" i="56"/>
  <c r="CA18" i="56"/>
  <c r="CB18" i="56"/>
  <c r="BZ18" i="56"/>
  <c r="CF18" i="56" s="1"/>
  <c r="GI17" i="56"/>
  <c r="GJ17" i="56"/>
  <c r="AY17" i="56"/>
  <c r="AZ17" i="56"/>
  <c r="AX17" i="56"/>
  <c r="BD17" i="56"/>
  <c r="CA17" i="56"/>
  <c r="CC17" i="56" s="1"/>
  <c r="CB17" i="56"/>
  <c r="BZ17" i="56"/>
  <c r="CF17" i="56" s="1"/>
  <c r="CE17" i="56"/>
  <c r="GI16" i="56"/>
  <c r="GJ16" i="56"/>
  <c r="AY16" i="56"/>
  <c r="AZ16" i="56"/>
  <c r="AX16" i="56"/>
  <c r="CA16" i="56"/>
  <c r="CB16" i="56"/>
  <c r="BZ16" i="56"/>
  <c r="GI15" i="56"/>
  <c r="GJ15" i="56"/>
  <c r="AY15" i="56"/>
  <c r="AZ15" i="56"/>
  <c r="AX15" i="56"/>
  <c r="CA15" i="56"/>
  <c r="CB15" i="56"/>
  <c r="BZ15" i="56"/>
  <c r="CF15" i="56"/>
  <c r="GI14" i="56"/>
  <c r="GJ14" i="56"/>
  <c r="AY14" i="56"/>
  <c r="AZ14" i="56"/>
  <c r="AX14" i="56"/>
  <c r="BD14" i="56" s="1"/>
  <c r="GK14" i="56"/>
  <c r="CA14" i="56"/>
  <c r="CB14" i="56"/>
  <c r="BZ14" i="56"/>
  <c r="CF14" i="56"/>
  <c r="GI13" i="56"/>
  <c r="GJ13" i="56"/>
  <c r="AY13" i="56"/>
  <c r="GL13" i="56" s="1"/>
  <c r="AZ13" i="56"/>
  <c r="AX13" i="56"/>
  <c r="BD13" i="56"/>
  <c r="CA13" i="56"/>
  <c r="CB13" i="56"/>
  <c r="CC13" i="56" s="1"/>
  <c r="BZ13" i="56"/>
  <c r="CF13" i="56" s="1"/>
  <c r="GI12" i="56"/>
  <c r="GJ12" i="56"/>
  <c r="AY12" i="56"/>
  <c r="AZ12" i="56"/>
  <c r="AX12" i="56"/>
  <c r="BD12" i="56"/>
  <c r="CA12" i="56"/>
  <c r="CB12" i="56"/>
  <c r="BZ12" i="56"/>
  <c r="GI11" i="56"/>
  <c r="GJ11" i="56"/>
  <c r="AY11" i="56"/>
  <c r="AZ11" i="56"/>
  <c r="AX11" i="56"/>
  <c r="CA11" i="56"/>
  <c r="CB11" i="56"/>
  <c r="BZ11" i="56"/>
  <c r="CF11" i="56" s="1"/>
  <c r="GI10" i="56"/>
  <c r="GJ10" i="56"/>
  <c r="CJ130" i="7" s="1"/>
  <c r="AY10" i="56"/>
  <c r="AZ10" i="56"/>
  <c r="AX10" i="56"/>
  <c r="BD10" i="56"/>
  <c r="CA10" i="56"/>
  <c r="CB10" i="56"/>
  <c r="BZ10" i="56"/>
  <c r="CF10" i="56"/>
  <c r="GI106" i="56"/>
  <c r="CJ96" i="7" s="1"/>
  <c r="GJ106" i="56"/>
  <c r="GI107" i="56"/>
  <c r="CJ97" i="7"/>
  <c r="GJ107" i="56"/>
  <c r="GI108" i="56"/>
  <c r="GJ108" i="56"/>
  <c r="CJ98" i="7" s="1"/>
  <c r="GI109" i="56"/>
  <c r="CJ99" i="7" s="1"/>
  <c r="GJ109" i="56"/>
  <c r="GI110" i="56"/>
  <c r="GJ110" i="56"/>
  <c r="AZ106" i="56"/>
  <c r="CA106" i="56"/>
  <c r="GL106" i="56" s="1"/>
  <c r="CB106" i="56"/>
  <c r="BZ106" i="56"/>
  <c r="CF106" i="56" s="1"/>
  <c r="AZ107" i="56"/>
  <c r="CA107" i="56"/>
  <c r="CB107" i="56"/>
  <c r="BZ107" i="56"/>
  <c r="CF107" i="56"/>
  <c r="AZ108" i="56"/>
  <c r="BA108" i="56"/>
  <c r="CA108" i="56"/>
  <c r="GL108" i="56" s="1"/>
  <c r="CE98" i="7" s="1"/>
  <c r="CB108" i="56"/>
  <c r="BZ108" i="56"/>
  <c r="CF108" i="56"/>
  <c r="AZ109" i="56"/>
  <c r="CA109" i="56"/>
  <c r="CB109" i="56"/>
  <c r="BZ109" i="56"/>
  <c r="GK109" i="56" s="1"/>
  <c r="CD99" i="7" s="1"/>
  <c r="AZ110" i="56"/>
  <c r="CA110" i="56"/>
  <c r="GL110" i="56" s="1"/>
  <c r="CE100" i="7" s="1"/>
  <c r="CB110" i="56"/>
  <c r="BZ110" i="56"/>
  <c r="CF110" i="56"/>
  <c r="CE96" i="7"/>
  <c r="GK108" i="56"/>
  <c r="CD98" i="7" s="1"/>
  <c r="GK110" i="56"/>
  <c r="CD100" i="7" s="1"/>
  <c r="GI105" i="56"/>
  <c r="GJ105" i="56"/>
  <c r="AZ105" i="56"/>
  <c r="BA105" i="56" s="1"/>
  <c r="CA105" i="56"/>
  <c r="CB105" i="56"/>
  <c r="BZ105" i="56"/>
  <c r="CF105" i="56" s="1"/>
  <c r="GI104" i="56"/>
  <c r="GJ104" i="56"/>
  <c r="AZ104" i="56"/>
  <c r="CA104" i="56"/>
  <c r="CB104" i="56"/>
  <c r="BZ104" i="56"/>
  <c r="CF104" i="56"/>
  <c r="GI103" i="56"/>
  <c r="CJ93" i="7"/>
  <c r="GJ103" i="56"/>
  <c r="AZ103" i="56"/>
  <c r="CA103" i="56"/>
  <c r="CB103" i="56"/>
  <c r="BZ103" i="56"/>
  <c r="GI102" i="56"/>
  <c r="GJ102" i="56"/>
  <c r="AZ102" i="56"/>
  <c r="CA102" i="56"/>
  <c r="CB102" i="56"/>
  <c r="BZ102" i="56"/>
  <c r="GI101" i="56"/>
  <c r="GJ101" i="56"/>
  <c r="AZ101" i="56"/>
  <c r="BA101" i="56" s="1"/>
  <c r="BB101" i="56" s="1"/>
  <c r="CA101" i="56"/>
  <c r="CB101" i="56"/>
  <c r="BZ101" i="56"/>
  <c r="CF101" i="56"/>
  <c r="GK101" i="56"/>
  <c r="CD91" i="7" s="1"/>
  <c r="GI100" i="56"/>
  <c r="CJ90" i="7" s="1"/>
  <c r="GJ100" i="56"/>
  <c r="AZ100" i="56"/>
  <c r="CA100" i="56"/>
  <c r="CB100" i="56"/>
  <c r="BZ100" i="56"/>
  <c r="GK100" i="56"/>
  <c r="CD90" i="7"/>
  <c r="CF100" i="56"/>
  <c r="GI99" i="56"/>
  <c r="GJ99" i="56"/>
  <c r="CJ89" i="7"/>
  <c r="AZ99" i="56"/>
  <c r="BA99" i="56" s="1"/>
  <c r="BB99" i="56"/>
  <c r="CA99" i="56"/>
  <c r="CB99" i="56"/>
  <c r="BZ99" i="56"/>
  <c r="GI98" i="56"/>
  <c r="CJ88" i="7" s="1"/>
  <c r="GJ98" i="56"/>
  <c r="AZ98" i="56"/>
  <c r="BA98" i="56" s="1"/>
  <c r="BB98" i="56" s="1"/>
  <c r="CA98" i="56"/>
  <c r="GL98" i="56"/>
  <c r="CE88" i="7" s="1"/>
  <c r="CB98" i="56"/>
  <c r="BZ98" i="56"/>
  <c r="CF98" i="56" s="1"/>
  <c r="CC98" i="56"/>
  <c r="CE98" i="56" s="1"/>
  <c r="GI97" i="56"/>
  <c r="GJ97" i="56"/>
  <c r="AZ97" i="56"/>
  <c r="CA97" i="56"/>
  <c r="CB97" i="56"/>
  <c r="BZ97" i="56"/>
  <c r="CF97" i="56" s="1"/>
  <c r="GI96" i="56"/>
  <c r="GJ96" i="56"/>
  <c r="CJ86" i="7" s="1"/>
  <c r="AZ96" i="56"/>
  <c r="CA96" i="56"/>
  <c r="CB96" i="56"/>
  <c r="BZ96" i="56"/>
  <c r="CF96" i="56" s="1"/>
  <c r="GI95" i="56"/>
  <c r="GJ95" i="56"/>
  <c r="AZ95" i="56"/>
  <c r="CA95" i="56"/>
  <c r="CB95" i="56"/>
  <c r="BZ95" i="56"/>
  <c r="GI94" i="56"/>
  <c r="CJ84" i="7" s="1"/>
  <c r="GJ94" i="56"/>
  <c r="AZ94" i="56"/>
  <c r="CA94" i="56"/>
  <c r="CB94" i="56"/>
  <c r="BZ94" i="56"/>
  <c r="CF94" i="56"/>
  <c r="GI93" i="56"/>
  <c r="CJ83" i="7" s="1"/>
  <c r="GJ93" i="56"/>
  <c r="AZ93" i="56"/>
  <c r="BA93" i="56"/>
  <c r="CA93" i="56"/>
  <c r="CB93" i="56"/>
  <c r="BZ93" i="56"/>
  <c r="GK93" i="56"/>
  <c r="CD83" i="7" s="1"/>
  <c r="GI92" i="56"/>
  <c r="GJ92" i="56"/>
  <c r="CJ82" i="7" s="1"/>
  <c r="AZ92" i="56"/>
  <c r="CA92" i="56"/>
  <c r="CB92" i="56"/>
  <c r="BZ92" i="56"/>
  <c r="GK92" i="56" s="1"/>
  <c r="CD82" i="7" s="1"/>
  <c r="CF92" i="56"/>
  <c r="GI91" i="56"/>
  <c r="GJ91" i="56"/>
  <c r="AZ91" i="56"/>
  <c r="BA91" i="56" s="1"/>
  <c r="BB91" i="56" s="1"/>
  <c r="CA91" i="56"/>
  <c r="CB91" i="56"/>
  <c r="BZ91" i="56"/>
  <c r="GI90" i="56"/>
  <c r="GJ90" i="56"/>
  <c r="AZ90" i="56"/>
  <c r="BA90" i="56"/>
  <c r="BB90" i="56" s="1"/>
  <c r="CA90" i="56"/>
  <c r="GL90" i="56"/>
  <c r="CE80" i="7" s="1"/>
  <c r="CB90" i="56"/>
  <c r="CC90" i="56" s="1"/>
  <c r="CE90" i="56" s="1"/>
  <c r="BZ90" i="56"/>
  <c r="CF90" i="56"/>
  <c r="GI89" i="56"/>
  <c r="GJ89" i="56"/>
  <c r="AZ89" i="56"/>
  <c r="BA89" i="56"/>
  <c r="CA89" i="56"/>
  <c r="CB89" i="56"/>
  <c r="BZ89" i="56"/>
  <c r="GI88" i="56"/>
  <c r="CJ78" i="7" s="1"/>
  <c r="GJ88" i="56"/>
  <c r="AZ88" i="56"/>
  <c r="CA88" i="56"/>
  <c r="CB88" i="56"/>
  <c r="BZ88" i="56"/>
  <c r="CF88" i="56" s="1"/>
  <c r="GI87" i="56"/>
  <c r="GJ87" i="56"/>
  <c r="AZ87" i="56"/>
  <c r="BA87" i="56" s="1"/>
  <c r="CA87" i="56"/>
  <c r="CB87" i="56"/>
  <c r="BZ87" i="56"/>
  <c r="GI86" i="56"/>
  <c r="GJ86" i="56"/>
  <c r="AZ86" i="56"/>
  <c r="CA86" i="56"/>
  <c r="GL86" i="56" s="1"/>
  <c r="CE76" i="7" s="1"/>
  <c r="CB86" i="56"/>
  <c r="BZ86" i="56"/>
  <c r="CF86" i="56" s="1"/>
  <c r="GI85" i="56"/>
  <c r="CJ75" i="7" s="1"/>
  <c r="GJ85" i="56"/>
  <c r="AZ85" i="56"/>
  <c r="BA85" i="56" s="1"/>
  <c r="CA85" i="56"/>
  <c r="CB85" i="56"/>
  <c r="BZ85" i="56"/>
  <c r="CF85" i="56" s="1"/>
  <c r="GI84" i="56"/>
  <c r="CJ74" i="7" s="1"/>
  <c r="GJ84" i="56"/>
  <c r="AZ84" i="56"/>
  <c r="CA84" i="56"/>
  <c r="CB84" i="56"/>
  <c r="BZ84" i="56"/>
  <c r="GK84" i="56" s="1"/>
  <c r="CD74" i="7"/>
  <c r="GI83" i="56"/>
  <c r="CJ73" i="7"/>
  <c r="GJ83" i="56"/>
  <c r="AZ83" i="56"/>
  <c r="CA83" i="56"/>
  <c r="CB83" i="56"/>
  <c r="BZ83" i="56"/>
  <c r="GI82" i="56"/>
  <c r="GJ82" i="56"/>
  <c r="AZ82" i="56"/>
  <c r="BA82" i="56" s="1"/>
  <c r="CA82" i="56"/>
  <c r="CB82" i="56"/>
  <c r="BZ82" i="56"/>
  <c r="CF82" i="56" s="1"/>
  <c r="GI81" i="56"/>
  <c r="GJ81" i="56"/>
  <c r="AZ81" i="56"/>
  <c r="BA81" i="56" s="1"/>
  <c r="BB81" i="56" s="1"/>
  <c r="CA81" i="56"/>
  <c r="CB81" i="56"/>
  <c r="BZ81" i="56"/>
  <c r="GK81" i="56" s="1"/>
  <c r="CD71" i="7" s="1"/>
  <c r="GI80" i="56"/>
  <c r="GJ80" i="56"/>
  <c r="AZ80" i="56"/>
  <c r="CA80" i="56"/>
  <c r="CB80" i="56"/>
  <c r="BZ80" i="56"/>
  <c r="GK80" i="56" s="1"/>
  <c r="CD70" i="7" s="1"/>
  <c r="GI79" i="56"/>
  <c r="GJ79" i="56"/>
  <c r="AZ79" i="56"/>
  <c r="BA79" i="56" s="1"/>
  <c r="BB79" i="56" s="1"/>
  <c r="CA79" i="56"/>
  <c r="CB79" i="56"/>
  <c r="BZ79" i="56"/>
  <c r="GI78" i="56"/>
  <c r="GJ78" i="56"/>
  <c r="AZ78" i="56"/>
  <c r="CA78" i="56"/>
  <c r="CB78" i="56"/>
  <c r="CC78" i="56" s="1"/>
  <c r="BZ78" i="56"/>
  <c r="CF78" i="56" s="1"/>
  <c r="GI77" i="56"/>
  <c r="CJ67" i="7" s="1"/>
  <c r="GJ77" i="56"/>
  <c r="AZ77" i="56"/>
  <c r="BA77" i="56" s="1"/>
  <c r="BB77" i="56" s="1"/>
  <c r="CA77" i="56"/>
  <c r="CB77" i="56"/>
  <c r="BZ77" i="56"/>
  <c r="GK77" i="56" s="1"/>
  <c r="CD67" i="7" s="1"/>
  <c r="GI76" i="56"/>
  <c r="CJ66" i="7" s="1"/>
  <c r="GJ76" i="56"/>
  <c r="AZ76" i="56"/>
  <c r="CA76" i="56"/>
  <c r="CB76" i="56"/>
  <c r="BZ76" i="56"/>
  <c r="GI75" i="56"/>
  <c r="GJ75" i="56"/>
  <c r="AZ75" i="56"/>
  <c r="BA75" i="56" s="1"/>
  <c r="CA75" i="56"/>
  <c r="CB75" i="56"/>
  <c r="BZ75" i="56"/>
  <c r="GI74" i="56"/>
  <c r="CJ64" i="7"/>
  <c r="GJ74" i="56"/>
  <c r="AZ74" i="56"/>
  <c r="BA74" i="56" s="1"/>
  <c r="BB74" i="56" s="1"/>
  <c r="CA74" i="56"/>
  <c r="CB74" i="56"/>
  <c r="BZ74" i="56"/>
  <c r="GI73" i="56"/>
  <c r="CJ63" i="7" s="1"/>
  <c r="GJ73" i="56"/>
  <c r="AZ73" i="56"/>
  <c r="BA73" i="56" s="1"/>
  <c r="CA73" i="56"/>
  <c r="CB73" i="56"/>
  <c r="BZ73" i="56"/>
  <c r="GK73" i="56" s="1"/>
  <c r="CD63" i="7" s="1"/>
  <c r="GI72" i="56"/>
  <c r="GJ72" i="56"/>
  <c r="AZ72" i="56"/>
  <c r="CA72" i="56"/>
  <c r="CB72" i="56"/>
  <c r="BZ72" i="56"/>
  <c r="GK72" i="56"/>
  <c r="CD62" i="7" s="1"/>
  <c r="GI71" i="56"/>
  <c r="CJ61" i="7" s="1"/>
  <c r="GJ71" i="56"/>
  <c r="AZ71" i="56"/>
  <c r="BA71" i="56" s="1"/>
  <c r="CA71" i="56"/>
  <c r="CB71" i="56"/>
  <c r="BZ71" i="56"/>
  <c r="GI70" i="56"/>
  <c r="CJ60" i="7"/>
  <c r="GJ70" i="56"/>
  <c r="AZ70" i="56"/>
  <c r="CA70" i="56"/>
  <c r="CB70" i="56"/>
  <c r="BZ70" i="56"/>
  <c r="GL70" i="56"/>
  <c r="CE60" i="7" s="1"/>
  <c r="GI69" i="56"/>
  <c r="GJ69" i="56"/>
  <c r="CJ59" i="7" s="1"/>
  <c r="AZ69" i="56"/>
  <c r="BA69" i="56"/>
  <c r="BB69" i="56" s="1"/>
  <c r="CA69" i="56"/>
  <c r="CB69" i="56"/>
  <c r="BZ69" i="56"/>
  <c r="GK69" i="56" s="1"/>
  <c r="CD59" i="7" s="1"/>
  <c r="GI68" i="56"/>
  <c r="GJ68" i="56"/>
  <c r="AZ68" i="56"/>
  <c r="CA68" i="56"/>
  <c r="CB68" i="56"/>
  <c r="BZ68" i="56"/>
  <c r="GK68" i="56" s="1"/>
  <c r="CD58" i="7"/>
  <c r="GI67" i="56"/>
  <c r="CJ57" i="7"/>
  <c r="GJ67" i="56"/>
  <c r="AZ67" i="56"/>
  <c r="BA67" i="56" s="1"/>
  <c r="BB67" i="56" s="1"/>
  <c r="CA67" i="56"/>
  <c r="CB67" i="56"/>
  <c r="BZ67" i="56"/>
  <c r="GI66" i="56"/>
  <c r="GJ66" i="56"/>
  <c r="AZ66" i="56"/>
  <c r="BC66" i="56"/>
  <c r="BA66" i="56"/>
  <c r="BB66" i="56"/>
  <c r="CA66" i="56"/>
  <c r="CB66" i="56"/>
  <c r="BZ66" i="56"/>
  <c r="GI65" i="56"/>
  <c r="CJ55" i="7" s="1"/>
  <c r="GJ65" i="56"/>
  <c r="AZ65" i="56"/>
  <c r="BA65" i="56"/>
  <c r="BB65" i="56" s="1"/>
  <c r="CA65" i="56"/>
  <c r="CB65" i="56"/>
  <c r="BZ65" i="56"/>
  <c r="GK65" i="56" s="1"/>
  <c r="CD55" i="7" s="1"/>
  <c r="GI64" i="56"/>
  <c r="CJ54" i="7" s="1"/>
  <c r="GJ64" i="56"/>
  <c r="AZ64" i="56"/>
  <c r="CA64" i="56"/>
  <c r="CB64" i="56"/>
  <c r="BZ64" i="56"/>
  <c r="GK64" i="56"/>
  <c r="CD54" i="7" s="1"/>
  <c r="GI63" i="56"/>
  <c r="GJ63" i="56"/>
  <c r="AZ63" i="56"/>
  <c r="BA63" i="56"/>
  <c r="BB63" i="56" s="1"/>
  <c r="CA63" i="56"/>
  <c r="CB63" i="56"/>
  <c r="BZ63" i="56"/>
  <c r="GI62" i="56"/>
  <c r="CJ52" i="7" s="1"/>
  <c r="GJ62" i="56"/>
  <c r="AZ62" i="56"/>
  <c r="CA62" i="56"/>
  <c r="GL62" i="56" s="1"/>
  <c r="CE52" i="7" s="1"/>
  <c r="CB62" i="56"/>
  <c r="BZ62" i="56"/>
  <c r="CC62" i="56" s="1"/>
  <c r="GI61" i="56"/>
  <c r="CJ51" i="7" s="1"/>
  <c r="GJ61" i="56"/>
  <c r="AZ61" i="56"/>
  <c r="CA61" i="56"/>
  <c r="CB61" i="56"/>
  <c r="BZ61" i="56"/>
  <c r="GK61" i="56" s="1"/>
  <c r="CD51" i="7"/>
  <c r="GI60" i="56"/>
  <c r="GJ60" i="56"/>
  <c r="AZ60" i="56"/>
  <c r="CA60" i="56"/>
  <c r="CB60" i="56"/>
  <c r="BZ60" i="56"/>
  <c r="GK60" i="56" s="1"/>
  <c r="CD50" i="7" s="1"/>
  <c r="GI59" i="56"/>
  <c r="GJ59" i="56"/>
  <c r="AZ59" i="56"/>
  <c r="CA59" i="56"/>
  <c r="CB59" i="56"/>
  <c r="BZ59" i="56"/>
  <c r="GI58" i="56"/>
  <c r="GJ58" i="56"/>
  <c r="AZ58" i="56"/>
  <c r="BA58" i="56" s="1"/>
  <c r="BB58" i="56" s="1"/>
  <c r="CA58" i="56"/>
  <c r="CB58" i="56"/>
  <c r="BZ58" i="56"/>
  <c r="GI57" i="56"/>
  <c r="CJ47" i="7" s="1"/>
  <c r="GJ57" i="56"/>
  <c r="AZ57" i="56"/>
  <c r="BA57" i="56" s="1"/>
  <c r="BB57" i="56" s="1"/>
  <c r="CA57" i="56"/>
  <c r="CB57" i="56"/>
  <c r="BZ57" i="56"/>
  <c r="GK57" i="56" s="1"/>
  <c r="CD47" i="7" s="1"/>
  <c r="GI56" i="56"/>
  <c r="GJ56" i="56"/>
  <c r="AZ56" i="56"/>
  <c r="CA56" i="56"/>
  <c r="CB56" i="56"/>
  <c r="BZ56" i="56"/>
  <c r="GI55" i="56"/>
  <c r="CJ45" i="7" s="1"/>
  <c r="GJ55" i="56"/>
  <c r="AZ55" i="56"/>
  <c r="BA55" i="56"/>
  <c r="BB55" i="56" s="1"/>
  <c r="CA55" i="56"/>
  <c r="CB55" i="56"/>
  <c r="BZ55" i="56"/>
  <c r="GI54" i="56"/>
  <c r="GJ54" i="56"/>
  <c r="AZ54" i="56"/>
  <c r="CA54" i="56"/>
  <c r="CB54" i="56"/>
  <c r="CC54" i="56" s="1"/>
  <c r="BZ54" i="56"/>
  <c r="GL54" i="56"/>
  <c r="CE44" i="7" s="1"/>
  <c r="GI53" i="56"/>
  <c r="CJ43" i="7" s="1"/>
  <c r="GJ53" i="56"/>
  <c r="AZ53" i="56"/>
  <c r="BA53" i="56" s="1"/>
  <c r="BB53" i="56" s="1"/>
  <c r="CA53" i="56"/>
  <c r="CB53" i="56"/>
  <c r="BZ53" i="56"/>
  <c r="GK53" i="56" s="1"/>
  <c r="CD43" i="7" s="1"/>
  <c r="GI52" i="56"/>
  <c r="CJ42" i="7" s="1"/>
  <c r="GJ52" i="56"/>
  <c r="AZ52" i="56"/>
  <c r="BA52" i="56"/>
  <c r="CA52" i="56"/>
  <c r="CB52" i="56"/>
  <c r="BZ52" i="56"/>
  <c r="BB52" i="56"/>
  <c r="GL52" i="56"/>
  <c r="CE42" i="7" s="1"/>
  <c r="GK52" i="56"/>
  <c r="CD42" i="7" s="1"/>
  <c r="GI51" i="56"/>
  <c r="GJ51" i="56"/>
  <c r="AZ51" i="56"/>
  <c r="BA51" i="56" s="1"/>
  <c r="BB51" i="56"/>
  <c r="CA51" i="56"/>
  <c r="CB51" i="56"/>
  <c r="BZ51" i="56"/>
  <c r="GK51" i="56"/>
  <c r="CD41" i="7" s="1"/>
  <c r="GI50" i="56"/>
  <c r="GJ50" i="56"/>
  <c r="AZ50" i="56"/>
  <c r="BA50" i="56"/>
  <c r="BB50" i="56" s="1"/>
  <c r="CA50" i="56"/>
  <c r="GL50" i="56" s="1"/>
  <c r="CE40" i="7" s="1"/>
  <c r="CB50" i="56"/>
  <c r="BZ50" i="56"/>
  <c r="GI49" i="56"/>
  <c r="GJ49" i="56"/>
  <c r="CJ39" i="7"/>
  <c r="AZ49" i="56"/>
  <c r="BA49" i="56"/>
  <c r="CA49" i="56"/>
  <c r="CB49" i="56"/>
  <c r="BZ49" i="56"/>
  <c r="GI48" i="56"/>
  <c r="GJ48" i="56"/>
  <c r="CJ38" i="7"/>
  <c r="AZ48" i="56"/>
  <c r="CA48" i="56"/>
  <c r="GL48" i="56" s="1"/>
  <c r="CE38" i="7" s="1"/>
  <c r="CB48" i="56"/>
  <c r="CC48" i="56"/>
  <c r="BZ48" i="56"/>
  <c r="GK48" i="56"/>
  <c r="CD38" i="7" s="1"/>
  <c r="GI47" i="56"/>
  <c r="CJ37" i="7"/>
  <c r="GJ47" i="56"/>
  <c r="AZ47" i="56"/>
  <c r="CA47" i="56"/>
  <c r="CB47" i="56"/>
  <c r="BZ47" i="56"/>
  <c r="GK47" i="56" s="1"/>
  <c r="CD37" i="7" s="1"/>
  <c r="GI46" i="56"/>
  <c r="GJ46" i="56"/>
  <c r="AZ46" i="56"/>
  <c r="BA46" i="56" s="1"/>
  <c r="BB46" i="56" s="1"/>
  <c r="CA46" i="56"/>
  <c r="GL46" i="56" s="1"/>
  <c r="CB46" i="56"/>
  <c r="BZ46" i="56"/>
  <c r="CE36" i="7"/>
  <c r="GI45" i="56"/>
  <c r="GJ45" i="56"/>
  <c r="AZ45" i="56"/>
  <c r="BA45" i="56" s="1"/>
  <c r="BB45" i="56" s="1"/>
  <c r="CA45" i="56"/>
  <c r="CB45" i="56"/>
  <c r="BZ45" i="56"/>
  <c r="GK45" i="56" s="1"/>
  <c r="CD35" i="7" s="1"/>
  <c r="GI44" i="56"/>
  <c r="GJ44" i="56"/>
  <c r="AZ44" i="56"/>
  <c r="BA44" i="56" s="1"/>
  <c r="CA44" i="56"/>
  <c r="GL44" i="56" s="1"/>
  <c r="CE34" i="7" s="1"/>
  <c r="CB44" i="56"/>
  <c r="BZ44" i="56"/>
  <c r="GI43" i="56"/>
  <c r="CJ33" i="7"/>
  <c r="GJ43" i="56"/>
  <c r="AZ43" i="56"/>
  <c r="BA43" i="56"/>
  <c r="CA43" i="56"/>
  <c r="CB43" i="56"/>
  <c r="BZ43" i="56"/>
  <c r="GK43" i="56"/>
  <c r="CD33" i="7" s="1"/>
  <c r="GI42" i="56"/>
  <c r="GJ42" i="56"/>
  <c r="AZ42" i="56"/>
  <c r="BA42" i="56" s="1"/>
  <c r="BB42" i="56" s="1"/>
  <c r="CA42" i="56"/>
  <c r="GL42" i="56" s="1"/>
  <c r="CE32" i="7" s="1"/>
  <c r="CB42" i="56"/>
  <c r="BZ42" i="56"/>
  <c r="GI41" i="56"/>
  <c r="GJ41" i="56"/>
  <c r="CJ31" i="7"/>
  <c r="AY41" i="56"/>
  <c r="AZ41" i="56"/>
  <c r="AX41" i="56"/>
  <c r="CA41" i="56"/>
  <c r="CB41" i="56"/>
  <c r="BZ41" i="56"/>
  <c r="GI40" i="56"/>
  <c r="GJ40" i="56"/>
  <c r="CJ30" i="7" s="1"/>
  <c r="AY40" i="56"/>
  <c r="AZ40" i="56"/>
  <c r="AX40" i="56"/>
  <c r="CA40" i="56"/>
  <c r="CB40" i="56"/>
  <c r="BZ40" i="56"/>
  <c r="GI39" i="56"/>
  <c r="CJ29" i="7" s="1"/>
  <c r="GJ39" i="56"/>
  <c r="AY39" i="56"/>
  <c r="AZ39" i="56"/>
  <c r="AX39" i="56"/>
  <c r="CA39" i="56"/>
  <c r="CB39" i="56"/>
  <c r="BZ39" i="56"/>
  <c r="GK39" i="56"/>
  <c r="CD29" i="7" s="1"/>
  <c r="GI38" i="56"/>
  <c r="GJ38" i="56"/>
  <c r="AY38" i="56"/>
  <c r="AZ38" i="56"/>
  <c r="AX38" i="56"/>
  <c r="CA38" i="56"/>
  <c r="CB38" i="56"/>
  <c r="BZ38" i="56"/>
  <c r="GI37" i="56"/>
  <c r="GJ37" i="56"/>
  <c r="CJ27" i="7" s="1"/>
  <c r="AY37" i="56"/>
  <c r="AZ37" i="56"/>
  <c r="AX37" i="56"/>
  <c r="BA37" i="56" s="1"/>
  <c r="CA37" i="56"/>
  <c r="CB37" i="56"/>
  <c r="BZ37" i="56"/>
  <c r="GI36" i="56"/>
  <c r="CJ26" i="7" s="1"/>
  <c r="GJ36" i="56"/>
  <c r="AY36" i="56"/>
  <c r="AZ36" i="56"/>
  <c r="AX36" i="56"/>
  <c r="CA36" i="56"/>
  <c r="GL36" i="56" s="1"/>
  <c r="CE26" i="7" s="1"/>
  <c r="CB36" i="56"/>
  <c r="CC36" i="56" s="1"/>
  <c r="BZ36" i="56"/>
  <c r="GI35" i="56"/>
  <c r="CJ25" i="7" s="1"/>
  <c r="GJ35" i="56"/>
  <c r="AY35" i="56"/>
  <c r="AZ35" i="56"/>
  <c r="AX35" i="56"/>
  <c r="CA35" i="56"/>
  <c r="CB35" i="56"/>
  <c r="BZ35" i="56"/>
  <c r="GK35" i="56" s="1"/>
  <c r="CD25" i="7" s="1"/>
  <c r="GI34" i="56"/>
  <c r="GJ34" i="56"/>
  <c r="AY34" i="56"/>
  <c r="AZ34" i="56"/>
  <c r="AX34" i="56"/>
  <c r="CA34" i="56"/>
  <c r="CB34" i="56"/>
  <c r="BZ34" i="56"/>
  <c r="GI33" i="56"/>
  <c r="CJ23" i="7"/>
  <c r="GJ33" i="56"/>
  <c r="AY33" i="56"/>
  <c r="AZ33" i="56"/>
  <c r="AX33" i="56"/>
  <c r="CA33" i="56"/>
  <c r="CB33" i="56"/>
  <c r="BZ33" i="56"/>
  <c r="GI32" i="56"/>
  <c r="GJ32" i="56"/>
  <c r="AY32" i="56"/>
  <c r="AZ32" i="56"/>
  <c r="AX32" i="56"/>
  <c r="CA32" i="56"/>
  <c r="CB32" i="56"/>
  <c r="BZ32" i="56"/>
  <c r="GI31" i="56"/>
  <c r="GJ31" i="56"/>
  <c r="AY31" i="56"/>
  <c r="AZ31" i="56"/>
  <c r="AX31" i="56"/>
  <c r="CA31" i="56"/>
  <c r="CB31" i="56"/>
  <c r="BZ31" i="56"/>
  <c r="GK31" i="56" s="1"/>
  <c r="CD21" i="7" s="1"/>
  <c r="GI30" i="56"/>
  <c r="CJ20" i="7" s="1"/>
  <c r="GJ30" i="56"/>
  <c r="AY30" i="56"/>
  <c r="GL30" i="56" s="1"/>
  <c r="CE20" i="7" s="1"/>
  <c r="AZ30" i="56"/>
  <c r="AX30" i="56"/>
  <c r="CA30" i="56"/>
  <c r="CB30" i="56"/>
  <c r="BZ30" i="56"/>
  <c r="FG29" i="56"/>
  <c r="FH8" i="56"/>
  <c r="FH28" i="56"/>
  <c r="FG28" i="56"/>
  <c r="FG27" i="56"/>
  <c r="FG26" i="56"/>
  <c r="FG25" i="56"/>
  <c r="FG24" i="56"/>
  <c r="FG23" i="56"/>
  <c r="FG22" i="56"/>
  <c r="FG21" i="56"/>
  <c r="FG20" i="56"/>
  <c r="FG19" i="56"/>
  <c r="FG18" i="56"/>
  <c r="FG17" i="56"/>
  <c r="FG16" i="56"/>
  <c r="FG15" i="56"/>
  <c r="FH15" i="56"/>
  <c r="FG14" i="56"/>
  <c r="FH14" i="56"/>
  <c r="FG13" i="56"/>
  <c r="FH13" i="56"/>
  <c r="FG12" i="56"/>
  <c r="FH12" i="56"/>
  <c r="FG11" i="56"/>
  <c r="FH11" i="56"/>
  <c r="FG10" i="56"/>
  <c r="FH10" i="56"/>
  <c r="FG110" i="56"/>
  <c r="FH110" i="56"/>
  <c r="FG109" i="56"/>
  <c r="FH109" i="56"/>
  <c r="FG108" i="56"/>
  <c r="FH108" i="56"/>
  <c r="FG107" i="56"/>
  <c r="FH107" i="56"/>
  <c r="FG106" i="56"/>
  <c r="FH106" i="56"/>
  <c r="FG105" i="56"/>
  <c r="FH105" i="56"/>
  <c r="FG104" i="56"/>
  <c r="FH104" i="56"/>
  <c r="FG103" i="56"/>
  <c r="FH103" i="56"/>
  <c r="FG102" i="56"/>
  <c r="FH102" i="56"/>
  <c r="FG101" i="56"/>
  <c r="FH101" i="56"/>
  <c r="FG100" i="56"/>
  <c r="FH100" i="56"/>
  <c r="FG99" i="56"/>
  <c r="FH99" i="56"/>
  <c r="FG98" i="56"/>
  <c r="FH98" i="56"/>
  <c r="FG97" i="56"/>
  <c r="FH97" i="56"/>
  <c r="FG96" i="56"/>
  <c r="FH96" i="56"/>
  <c r="FG95" i="56"/>
  <c r="FH95" i="56"/>
  <c r="FG94" i="56"/>
  <c r="FH94" i="56"/>
  <c r="FG93" i="56"/>
  <c r="FH93" i="56"/>
  <c r="FG92" i="56"/>
  <c r="FH92" i="56"/>
  <c r="FG91" i="56"/>
  <c r="FH91" i="56"/>
  <c r="FG90" i="56"/>
  <c r="FH90" i="56"/>
  <c r="FG89" i="56"/>
  <c r="FH89" i="56"/>
  <c r="FG88" i="56"/>
  <c r="FH88" i="56"/>
  <c r="FG87" i="56"/>
  <c r="FH87" i="56"/>
  <c r="FG86" i="56"/>
  <c r="FH86" i="56"/>
  <c r="FG85" i="56"/>
  <c r="FH85" i="56"/>
  <c r="FG84" i="56"/>
  <c r="FH84" i="56"/>
  <c r="FG83" i="56"/>
  <c r="FH83" i="56"/>
  <c r="FG82" i="56"/>
  <c r="FH82" i="56"/>
  <c r="FG81" i="56"/>
  <c r="FH81" i="56"/>
  <c r="FG80" i="56"/>
  <c r="FH80" i="56"/>
  <c r="FG79" i="56"/>
  <c r="FH79" i="56"/>
  <c r="FG78" i="56"/>
  <c r="FH78" i="56"/>
  <c r="FG77" i="56"/>
  <c r="FH77" i="56"/>
  <c r="FG76" i="56"/>
  <c r="FH76" i="56"/>
  <c r="FG75" i="56"/>
  <c r="FH75" i="56"/>
  <c r="FG74" i="56"/>
  <c r="FH74" i="56"/>
  <c r="FG73" i="56"/>
  <c r="FH73" i="56"/>
  <c r="FG72" i="56"/>
  <c r="FH72" i="56"/>
  <c r="FG71" i="56"/>
  <c r="FH71" i="56"/>
  <c r="FG70" i="56"/>
  <c r="FH70" i="56"/>
  <c r="FG69" i="56"/>
  <c r="FH69" i="56"/>
  <c r="FG68" i="56"/>
  <c r="FH68" i="56"/>
  <c r="FG67" i="56"/>
  <c r="FH67" i="56"/>
  <c r="FG66" i="56"/>
  <c r="FH66" i="56"/>
  <c r="FG65" i="56"/>
  <c r="FH65" i="56"/>
  <c r="FG64" i="56"/>
  <c r="FH64" i="56"/>
  <c r="FG63" i="56"/>
  <c r="FH63" i="56"/>
  <c r="FG62" i="56"/>
  <c r="FH62" i="56"/>
  <c r="FG61" i="56"/>
  <c r="FH61" i="56"/>
  <c r="FG60" i="56"/>
  <c r="FH60" i="56"/>
  <c r="FG59" i="56"/>
  <c r="FH59" i="56"/>
  <c r="FG58" i="56"/>
  <c r="FH58" i="56"/>
  <c r="FG57" i="56"/>
  <c r="FH57" i="56"/>
  <c r="FG56" i="56"/>
  <c r="FH56" i="56"/>
  <c r="FG55" i="56"/>
  <c r="FH55" i="56"/>
  <c r="FG54" i="56"/>
  <c r="FH54" i="56"/>
  <c r="FG53" i="56"/>
  <c r="FH53" i="56"/>
  <c r="FG52" i="56"/>
  <c r="FH52" i="56"/>
  <c r="FG51" i="56"/>
  <c r="FH51" i="56"/>
  <c r="FG50" i="56"/>
  <c r="FH50" i="56"/>
  <c r="FG49" i="56"/>
  <c r="FH49" i="56"/>
  <c r="FG48" i="56"/>
  <c r="FH48" i="56"/>
  <c r="FG47" i="56"/>
  <c r="FH47" i="56"/>
  <c r="FG46" i="56"/>
  <c r="FH46" i="56"/>
  <c r="FG45" i="56"/>
  <c r="FH45" i="56"/>
  <c r="FG44" i="56"/>
  <c r="FH44" i="56"/>
  <c r="FG43" i="56"/>
  <c r="FH43" i="56"/>
  <c r="FG42" i="56"/>
  <c r="FH42" i="56"/>
  <c r="FG41" i="56"/>
  <c r="FH41" i="56"/>
  <c r="FG40" i="56"/>
  <c r="FH40" i="56"/>
  <c r="FG39" i="56"/>
  <c r="FH39" i="56"/>
  <c r="FG38" i="56"/>
  <c r="FH38" i="56"/>
  <c r="FG37" i="56"/>
  <c r="FH37" i="56"/>
  <c r="FG36" i="56"/>
  <c r="FH36" i="56"/>
  <c r="FG35" i="56"/>
  <c r="FH35" i="56"/>
  <c r="FG34" i="56"/>
  <c r="FH34" i="56"/>
  <c r="FG33" i="56"/>
  <c r="FH33" i="56"/>
  <c r="FG32" i="56"/>
  <c r="FH32" i="56"/>
  <c r="FG31" i="56"/>
  <c r="FH31" i="56"/>
  <c r="FG30" i="56"/>
  <c r="FH30" i="56"/>
  <c r="ES11" i="56"/>
  <c r="ET8" i="56"/>
  <c r="ET20" i="56" s="1"/>
  <c r="ES12" i="56"/>
  <c r="ES13" i="56"/>
  <c r="ET13" i="56"/>
  <c r="ES14" i="56"/>
  <c r="ET14" i="56"/>
  <c r="ES15" i="56"/>
  <c r="ES16" i="56"/>
  <c r="ES17" i="56"/>
  <c r="ET17" i="56"/>
  <c r="ES18" i="56"/>
  <c r="ES19" i="56"/>
  <c r="ET19" i="56"/>
  <c r="ES20" i="56"/>
  <c r="ES21" i="56"/>
  <c r="ES22" i="56"/>
  <c r="ES23" i="56"/>
  <c r="ET23" i="56"/>
  <c r="ES24" i="56"/>
  <c r="ET24" i="56"/>
  <c r="ES25" i="56"/>
  <c r="ES26" i="56"/>
  <c r="ET26" i="56"/>
  <c r="ES27" i="56"/>
  <c r="ES28" i="56"/>
  <c r="ES29" i="56"/>
  <c r="ES10" i="56"/>
  <c r="ET10" i="56"/>
  <c r="ES106" i="56"/>
  <c r="ES107" i="56"/>
  <c r="ES108" i="56"/>
  <c r="ES109" i="56"/>
  <c r="ES110" i="56"/>
  <c r="ES31" i="56"/>
  <c r="ET31" i="56"/>
  <c r="ES32" i="56"/>
  <c r="ES33" i="56"/>
  <c r="ES34" i="56"/>
  <c r="ES35" i="56"/>
  <c r="ES36" i="56"/>
  <c r="ES37" i="56"/>
  <c r="ES38" i="56"/>
  <c r="ES39" i="56"/>
  <c r="ES40" i="56"/>
  <c r="ET40" i="56"/>
  <c r="ES41" i="56"/>
  <c r="ES42" i="56"/>
  <c r="ES43" i="56"/>
  <c r="ES44" i="56"/>
  <c r="BL34" i="7" s="1"/>
  <c r="ET44" i="56"/>
  <c r="ES45" i="56"/>
  <c r="ES46" i="56"/>
  <c r="ES47" i="56"/>
  <c r="ET47" i="56"/>
  <c r="ES48" i="56"/>
  <c r="ES49" i="56"/>
  <c r="ES50" i="56"/>
  <c r="ES51" i="56"/>
  <c r="ES52" i="56"/>
  <c r="ES53" i="56"/>
  <c r="ES54" i="56"/>
  <c r="ES55" i="56"/>
  <c r="ES56" i="56"/>
  <c r="ET56" i="56"/>
  <c r="ES57" i="56"/>
  <c r="ES58" i="56"/>
  <c r="ES59" i="56"/>
  <c r="ES60" i="56"/>
  <c r="ET60" i="56"/>
  <c r="ES61" i="56"/>
  <c r="ES62" i="56"/>
  <c r="ES63" i="56"/>
  <c r="ET63" i="56"/>
  <c r="ES64" i="56"/>
  <c r="ES65" i="56"/>
  <c r="ES66" i="56"/>
  <c r="ES67" i="56"/>
  <c r="ES68" i="56"/>
  <c r="ES69" i="56"/>
  <c r="ES70" i="56"/>
  <c r="ES71" i="56"/>
  <c r="ES72" i="56"/>
  <c r="ET72" i="56"/>
  <c r="ES73" i="56"/>
  <c r="ET73" i="56"/>
  <c r="ES74" i="56"/>
  <c r="ES75" i="56"/>
  <c r="ES76" i="56"/>
  <c r="ET76" i="56"/>
  <c r="ES77" i="56"/>
  <c r="ES78" i="56"/>
  <c r="ES79" i="56"/>
  <c r="ES80" i="56"/>
  <c r="ES81" i="56"/>
  <c r="ES82" i="56"/>
  <c r="ES83" i="56"/>
  <c r="ES84" i="56"/>
  <c r="ES85" i="56"/>
  <c r="ES86" i="56"/>
  <c r="ES87" i="56"/>
  <c r="ES88" i="56"/>
  <c r="ES89" i="56"/>
  <c r="ES90" i="56"/>
  <c r="ES91" i="56"/>
  <c r="ES92" i="56"/>
  <c r="ES93" i="56"/>
  <c r="ES94" i="56"/>
  <c r="ES95" i="56"/>
  <c r="ET95" i="56"/>
  <c r="ES96" i="56"/>
  <c r="ES97" i="56"/>
  <c r="ES98" i="56"/>
  <c r="ES99" i="56"/>
  <c r="ES100" i="56"/>
  <c r="ES101" i="56"/>
  <c r="ES102" i="56"/>
  <c r="ES103" i="56"/>
  <c r="ES104" i="56"/>
  <c r="ET104" i="56"/>
  <c r="ES105" i="56"/>
  <c r="ES30" i="56"/>
  <c r="AK29" i="56"/>
  <c r="FJ8" i="56"/>
  <c r="DQ29" i="56"/>
  <c r="H29" i="56"/>
  <c r="EG29" i="56" s="1"/>
  <c r="I29" i="56"/>
  <c r="EH29" i="56" s="1"/>
  <c r="EE29" i="56"/>
  <c r="EF29" i="56"/>
  <c r="J29" i="56"/>
  <c r="K29" i="56" s="1"/>
  <c r="L29" i="56" s="1"/>
  <c r="EI8" i="56"/>
  <c r="EJ8" i="56" s="1"/>
  <c r="EK8" i="56" s="1"/>
  <c r="AK28" i="56"/>
  <c r="DQ28" i="56"/>
  <c r="H28" i="56"/>
  <c r="I28" i="56"/>
  <c r="EE28" i="56"/>
  <c r="EF28" i="56"/>
  <c r="J28" i="56"/>
  <c r="K28" i="56" s="1"/>
  <c r="AK27" i="56"/>
  <c r="DQ27" i="56"/>
  <c r="H27" i="56"/>
  <c r="I27" i="56"/>
  <c r="EE27" i="56"/>
  <c r="EF27" i="56"/>
  <c r="J27" i="56"/>
  <c r="AK26" i="56"/>
  <c r="DQ26" i="56"/>
  <c r="FJ26" i="56" s="1"/>
  <c r="H26" i="56"/>
  <c r="I26" i="56"/>
  <c r="EE26" i="56"/>
  <c r="EF26" i="56"/>
  <c r="J26" i="56"/>
  <c r="AK25" i="56"/>
  <c r="DQ25" i="56"/>
  <c r="H25" i="56"/>
  <c r="EG25" i="56" s="1"/>
  <c r="I25" i="56"/>
  <c r="EE25" i="56"/>
  <c r="EF25" i="56"/>
  <c r="J25" i="56"/>
  <c r="AK24" i="56"/>
  <c r="DQ24" i="56"/>
  <c r="H24" i="56"/>
  <c r="I24" i="56"/>
  <c r="EE24" i="56"/>
  <c r="EF24" i="56"/>
  <c r="J24" i="56"/>
  <c r="K24" i="56" s="1"/>
  <c r="L24" i="56" s="1"/>
  <c r="AK23" i="56"/>
  <c r="DQ23" i="56"/>
  <c r="H23" i="56"/>
  <c r="EG23" i="56" s="1"/>
  <c r="I23" i="56"/>
  <c r="EH23" i="56"/>
  <c r="EE23" i="56"/>
  <c r="EF23" i="56"/>
  <c r="J23" i="56"/>
  <c r="AK22" i="56"/>
  <c r="DQ22" i="56"/>
  <c r="H22" i="56"/>
  <c r="I22" i="56"/>
  <c r="EE22" i="56"/>
  <c r="EF22" i="56"/>
  <c r="J22" i="56"/>
  <c r="AK21" i="56"/>
  <c r="DQ21" i="56"/>
  <c r="H21" i="56"/>
  <c r="I21" i="56"/>
  <c r="EH21" i="56" s="1"/>
  <c r="EE21" i="56"/>
  <c r="EF21" i="56"/>
  <c r="J21" i="56"/>
  <c r="K21" i="56" s="1"/>
  <c r="L21" i="56" s="1"/>
  <c r="AK20" i="56"/>
  <c r="DQ20" i="56"/>
  <c r="H20" i="56"/>
  <c r="I20" i="56"/>
  <c r="EE20" i="56"/>
  <c r="EF20" i="56"/>
  <c r="J20" i="56"/>
  <c r="K20" i="56" s="1"/>
  <c r="L20" i="56" s="1"/>
  <c r="AK19" i="56"/>
  <c r="DQ19" i="56"/>
  <c r="H19" i="56"/>
  <c r="N19" i="56" s="1"/>
  <c r="I19" i="56"/>
  <c r="EH19" i="56"/>
  <c r="EE19" i="56"/>
  <c r="EF19" i="56"/>
  <c r="J19" i="56"/>
  <c r="AK18" i="56"/>
  <c r="DQ18" i="56"/>
  <c r="H18" i="56"/>
  <c r="I18" i="56"/>
  <c r="EE18" i="56"/>
  <c r="EF18" i="56"/>
  <c r="J18" i="56"/>
  <c r="K18" i="56"/>
  <c r="AK17" i="56"/>
  <c r="DQ17" i="56"/>
  <c r="H17" i="56"/>
  <c r="N17" i="56"/>
  <c r="I17" i="56"/>
  <c r="EE17" i="56"/>
  <c r="EF17" i="56"/>
  <c r="J17" i="56"/>
  <c r="K17" i="56" s="1"/>
  <c r="AK16" i="56"/>
  <c r="DQ16" i="56"/>
  <c r="H16" i="56"/>
  <c r="I16" i="56"/>
  <c r="EE16" i="56"/>
  <c r="EF16" i="56"/>
  <c r="J16" i="56"/>
  <c r="K16" i="56" s="1"/>
  <c r="AK15" i="56"/>
  <c r="DQ15" i="56"/>
  <c r="H15" i="56"/>
  <c r="N15" i="56" s="1"/>
  <c r="EG15" i="56"/>
  <c r="I15" i="56"/>
  <c r="EH15" i="56" s="1"/>
  <c r="EE15" i="56"/>
  <c r="EF15" i="56"/>
  <c r="J15" i="56"/>
  <c r="AK14" i="56"/>
  <c r="DQ14" i="56"/>
  <c r="FJ14" i="56"/>
  <c r="H14" i="56"/>
  <c r="I14" i="56"/>
  <c r="EE14" i="56"/>
  <c r="EF14" i="56"/>
  <c r="J14" i="56"/>
  <c r="K14" i="56" s="1"/>
  <c r="AK13" i="56"/>
  <c r="DQ13" i="56"/>
  <c r="H13" i="56"/>
  <c r="I13" i="56"/>
  <c r="EH13" i="56" s="1"/>
  <c r="EE13" i="56"/>
  <c r="EF13" i="56"/>
  <c r="J13" i="56"/>
  <c r="K13" i="56" s="1"/>
  <c r="AK12" i="56"/>
  <c r="DQ12" i="56"/>
  <c r="H12" i="56"/>
  <c r="I12" i="56"/>
  <c r="EE12" i="56"/>
  <c r="EF12" i="56"/>
  <c r="J12" i="56"/>
  <c r="K12" i="56"/>
  <c r="AK11" i="56"/>
  <c r="DQ11" i="56"/>
  <c r="H11" i="56"/>
  <c r="N11" i="56"/>
  <c r="I11" i="56"/>
  <c r="EH11" i="56" s="1"/>
  <c r="EE11" i="56"/>
  <c r="EF11" i="56"/>
  <c r="J11" i="56"/>
  <c r="AK10" i="56"/>
  <c r="DQ10" i="56"/>
  <c r="H10" i="56"/>
  <c r="I10" i="56"/>
  <c r="M10" i="56" s="1"/>
  <c r="EE10" i="56"/>
  <c r="BD130" i="7" s="1"/>
  <c r="EF10" i="56"/>
  <c r="J10" i="56"/>
  <c r="K10" i="56" s="1"/>
  <c r="AK106" i="56"/>
  <c r="DQ106" i="56"/>
  <c r="AK107" i="56"/>
  <c r="DQ107" i="56"/>
  <c r="AK108" i="56"/>
  <c r="DQ108" i="56"/>
  <c r="AK109" i="56"/>
  <c r="DQ109" i="56"/>
  <c r="AK110" i="56"/>
  <c r="DQ110" i="56"/>
  <c r="J106" i="56"/>
  <c r="K106" i="56" s="1"/>
  <c r="J107" i="56"/>
  <c r="K107" i="56" s="1"/>
  <c r="J108" i="56"/>
  <c r="K108" i="56" s="1"/>
  <c r="J109" i="56"/>
  <c r="K109" i="56" s="1"/>
  <c r="J110" i="56"/>
  <c r="K110" i="56" s="1"/>
  <c r="H13" i="4"/>
  <c r="N13" i="4"/>
  <c r="I13" i="6"/>
  <c r="I15" i="6" s="1"/>
  <c r="L13" i="6"/>
  <c r="L15" i="6" s="1"/>
  <c r="O13" i="6"/>
  <c r="O15" i="6" s="1"/>
  <c r="AK105" i="56"/>
  <c r="DQ105" i="56"/>
  <c r="J105" i="56"/>
  <c r="K105" i="56"/>
  <c r="AK104" i="56"/>
  <c r="DQ104" i="56"/>
  <c r="J104" i="56"/>
  <c r="K104" i="56"/>
  <c r="L104" i="56" s="1"/>
  <c r="AK103" i="56"/>
  <c r="DQ103" i="56"/>
  <c r="J103" i="56"/>
  <c r="AK102" i="56"/>
  <c r="DQ102" i="56"/>
  <c r="J102" i="56"/>
  <c r="K102" i="56"/>
  <c r="M102" i="56" s="1"/>
  <c r="AK101" i="56"/>
  <c r="DQ101" i="56"/>
  <c r="J101" i="56"/>
  <c r="K101" i="56" s="1"/>
  <c r="AK100" i="56"/>
  <c r="DQ100" i="56"/>
  <c r="J100" i="56"/>
  <c r="K100" i="56" s="1"/>
  <c r="AK99" i="56"/>
  <c r="DQ99" i="56"/>
  <c r="J99" i="56"/>
  <c r="K99" i="56" s="1"/>
  <c r="L99" i="56" s="1"/>
  <c r="AK98" i="56"/>
  <c r="DQ98" i="56"/>
  <c r="J98" i="56"/>
  <c r="AK97" i="56"/>
  <c r="DQ97" i="56"/>
  <c r="J97" i="56"/>
  <c r="K97" i="56"/>
  <c r="AK96" i="56"/>
  <c r="DQ96" i="56"/>
  <c r="J96" i="56"/>
  <c r="K96" i="56"/>
  <c r="M96" i="56" s="1"/>
  <c r="AK95" i="56"/>
  <c r="DQ95" i="56"/>
  <c r="J95" i="56"/>
  <c r="K95" i="56"/>
  <c r="AK94" i="56"/>
  <c r="DQ94" i="56"/>
  <c r="J94" i="56"/>
  <c r="K94" i="56"/>
  <c r="AK93" i="56"/>
  <c r="DQ93" i="56"/>
  <c r="J93" i="56"/>
  <c r="AK92" i="56"/>
  <c r="DQ92" i="56"/>
  <c r="J92" i="56"/>
  <c r="AK91" i="56"/>
  <c r="DQ91" i="56"/>
  <c r="J91" i="56"/>
  <c r="K91" i="56" s="1"/>
  <c r="AK90" i="56"/>
  <c r="DQ90" i="56"/>
  <c r="J90" i="56"/>
  <c r="K90" i="56" s="1"/>
  <c r="AK89" i="56"/>
  <c r="DQ89" i="56"/>
  <c r="J89" i="56"/>
  <c r="K89" i="56" s="1"/>
  <c r="AK88" i="56"/>
  <c r="DQ88" i="56"/>
  <c r="J88" i="56"/>
  <c r="K88" i="56" s="1"/>
  <c r="L88" i="56" s="1"/>
  <c r="AK87" i="56"/>
  <c r="DQ87" i="56"/>
  <c r="J87" i="56"/>
  <c r="AK86" i="56"/>
  <c r="DQ86" i="56"/>
  <c r="J86" i="56"/>
  <c r="K86" i="56"/>
  <c r="M86" i="56" s="1"/>
  <c r="AK85" i="56"/>
  <c r="DQ85" i="56"/>
  <c r="J85" i="56"/>
  <c r="K85" i="56" s="1"/>
  <c r="M85" i="56"/>
  <c r="AK84" i="56"/>
  <c r="DQ84" i="56"/>
  <c r="J84" i="56"/>
  <c r="K84" i="56"/>
  <c r="L84" i="56" s="1"/>
  <c r="AK83" i="56"/>
  <c r="DQ83" i="56"/>
  <c r="J83" i="56"/>
  <c r="AK82" i="56"/>
  <c r="DQ82" i="56"/>
  <c r="J82" i="56"/>
  <c r="K82" i="56"/>
  <c r="M82" i="56" s="1"/>
  <c r="AK81" i="56"/>
  <c r="DQ81" i="56"/>
  <c r="J81" i="56"/>
  <c r="K81" i="56"/>
  <c r="AK80" i="56"/>
  <c r="DQ80" i="56"/>
  <c r="J80" i="56"/>
  <c r="K80" i="56"/>
  <c r="L80" i="56" s="1"/>
  <c r="AK79" i="56"/>
  <c r="DQ79" i="56"/>
  <c r="J79" i="56"/>
  <c r="K79" i="56"/>
  <c r="AK78" i="56"/>
  <c r="DQ78" i="56"/>
  <c r="J78" i="56"/>
  <c r="K78" i="56" s="1"/>
  <c r="AK77" i="56"/>
  <c r="DQ77" i="56"/>
  <c r="J77" i="56"/>
  <c r="AK76" i="56"/>
  <c r="DQ76" i="56"/>
  <c r="J76" i="56"/>
  <c r="K76" i="56"/>
  <c r="M76" i="56" s="1"/>
  <c r="AK75" i="56"/>
  <c r="DQ75" i="56"/>
  <c r="J75" i="56"/>
  <c r="K75" i="56"/>
  <c r="AK74" i="56"/>
  <c r="DQ74" i="56"/>
  <c r="J74" i="56"/>
  <c r="K74" i="56"/>
  <c r="AK73" i="56"/>
  <c r="DQ73" i="56"/>
  <c r="J73" i="56"/>
  <c r="K73" i="56"/>
  <c r="AK72" i="56"/>
  <c r="DQ72" i="56"/>
  <c r="J72" i="56"/>
  <c r="AK71" i="56"/>
  <c r="DQ71" i="56"/>
  <c r="J71" i="56"/>
  <c r="K71" i="56" s="1"/>
  <c r="AK70" i="56"/>
  <c r="DQ70" i="56"/>
  <c r="J70" i="56"/>
  <c r="K70" i="56" s="1"/>
  <c r="AK69" i="56"/>
  <c r="DQ69" i="56"/>
  <c r="J69" i="56"/>
  <c r="K69" i="56"/>
  <c r="L69" i="56" s="1"/>
  <c r="AK68" i="56"/>
  <c r="DQ68" i="56"/>
  <c r="J68" i="56"/>
  <c r="K68" i="56"/>
  <c r="L68" i="56" s="1"/>
  <c r="AK67" i="56"/>
  <c r="DQ67" i="56"/>
  <c r="J67" i="56"/>
  <c r="AK66" i="56"/>
  <c r="DQ66" i="56"/>
  <c r="J66" i="56"/>
  <c r="K66" i="56" s="1"/>
  <c r="L66" i="56" s="1"/>
  <c r="AK65" i="56"/>
  <c r="DQ65" i="56"/>
  <c r="J65" i="56"/>
  <c r="AK64" i="56"/>
  <c r="DQ64" i="56"/>
  <c r="J64" i="56"/>
  <c r="K64" i="56" s="1"/>
  <c r="L64" i="56" s="1"/>
  <c r="M64" i="56"/>
  <c r="AK63" i="56"/>
  <c r="DQ63" i="56"/>
  <c r="J63" i="56"/>
  <c r="K63" i="56"/>
  <c r="L63" i="56" s="1"/>
  <c r="AK62" i="56"/>
  <c r="DQ62" i="56"/>
  <c r="J62" i="56"/>
  <c r="K62" i="56" s="1"/>
  <c r="AK61" i="56"/>
  <c r="DQ61" i="56"/>
  <c r="J61" i="56"/>
  <c r="AK60" i="56"/>
  <c r="DQ60" i="56"/>
  <c r="J60" i="56"/>
  <c r="K60" i="56"/>
  <c r="M60" i="56" s="1"/>
  <c r="AK59" i="56"/>
  <c r="DQ59" i="56"/>
  <c r="J59" i="56"/>
  <c r="K59" i="56" s="1"/>
  <c r="AK58" i="56"/>
  <c r="DQ58" i="56"/>
  <c r="J58" i="56"/>
  <c r="K58" i="56" s="1"/>
  <c r="L58" i="56" s="1"/>
  <c r="AK57" i="56"/>
  <c r="DQ57" i="56"/>
  <c r="J57" i="56"/>
  <c r="K57" i="56" s="1"/>
  <c r="AK56" i="56"/>
  <c r="DQ56" i="56"/>
  <c r="J56" i="56"/>
  <c r="AK55" i="56"/>
  <c r="DQ55" i="56"/>
  <c r="J55" i="56"/>
  <c r="AK54" i="56"/>
  <c r="DQ54" i="56"/>
  <c r="J54" i="56"/>
  <c r="K54" i="56" s="1"/>
  <c r="L54" i="56" s="1"/>
  <c r="AK53" i="56"/>
  <c r="DQ53" i="56"/>
  <c r="J53" i="56"/>
  <c r="K53" i="56" s="1"/>
  <c r="AK52" i="56"/>
  <c r="DQ52" i="56"/>
  <c r="J52" i="56"/>
  <c r="K52" i="56" s="1"/>
  <c r="L52" i="56" s="1"/>
  <c r="AK51" i="56"/>
  <c r="DQ51" i="56"/>
  <c r="J51" i="56"/>
  <c r="AK50" i="56"/>
  <c r="DQ50" i="56"/>
  <c r="J50" i="56"/>
  <c r="K50" i="56"/>
  <c r="AK49" i="56"/>
  <c r="DQ49" i="56"/>
  <c r="J49" i="56"/>
  <c r="K49" i="56"/>
  <c r="M49" i="56" s="1"/>
  <c r="AK48" i="56"/>
  <c r="DQ48" i="56"/>
  <c r="J48" i="56"/>
  <c r="K48" i="56" s="1"/>
  <c r="L48" i="56" s="1"/>
  <c r="M48" i="56"/>
  <c r="AK47" i="56"/>
  <c r="DQ47" i="56"/>
  <c r="J47" i="56"/>
  <c r="K47" i="56" s="1"/>
  <c r="M47" i="56"/>
  <c r="AK46" i="56"/>
  <c r="DQ46" i="56"/>
  <c r="J46" i="56"/>
  <c r="K46" i="56" s="1"/>
  <c r="AK45" i="56"/>
  <c r="DQ45" i="56"/>
  <c r="J45" i="56"/>
  <c r="AK44" i="56"/>
  <c r="DQ44" i="56"/>
  <c r="J44" i="56"/>
  <c r="K44" i="56"/>
  <c r="M44" i="56" s="1"/>
  <c r="AK43" i="56"/>
  <c r="DQ43" i="56"/>
  <c r="J43" i="56"/>
  <c r="K43" i="56" s="1"/>
  <c r="AK42" i="56"/>
  <c r="DQ42" i="56"/>
  <c r="J42" i="56"/>
  <c r="K42" i="56" s="1"/>
  <c r="L42" i="56" s="1"/>
  <c r="AK41" i="56"/>
  <c r="DQ41" i="56"/>
  <c r="H41" i="56"/>
  <c r="EG41" i="56" s="1"/>
  <c r="AX31" i="7" s="1"/>
  <c r="I41" i="56"/>
  <c r="EH41" i="56" s="1"/>
  <c r="AY31" i="7" s="1"/>
  <c r="J41" i="56"/>
  <c r="K41" i="56" s="1"/>
  <c r="L41" i="56" s="1"/>
  <c r="AK40" i="56"/>
  <c r="DQ40" i="56"/>
  <c r="H40" i="56"/>
  <c r="EG40" i="56" s="1"/>
  <c r="AX30" i="7" s="1"/>
  <c r="I40" i="56"/>
  <c r="J40" i="56"/>
  <c r="K40" i="56"/>
  <c r="L40" i="56" s="1"/>
  <c r="AK39" i="56"/>
  <c r="DQ39" i="56"/>
  <c r="H39" i="56"/>
  <c r="I39" i="56"/>
  <c r="EH39" i="56" s="1"/>
  <c r="AY29" i="7" s="1"/>
  <c r="J39" i="56"/>
  <c r="K39" i="56"/>
  <c r="AK38" i="56"/>
  <c r="DQ38" i="56"/>
  <c r="H38" i="56"/>
  <c r="EG38" i="56"/>
  <c r="AX28" i="7" s="1"/>
  <c r="I38" i="56"/>
  <c r="EH38" i="56" s="1"/>
  <c r="AY28" i="7"/>
  <c r="J38" i="56"/>
  <c r="K38" i="56"/>
  <c r="AK37" i="56"/>
  <c r="DQ37" i="56"/>
  <c r="H37" i="56"/>
  <c r="EG37" i="56" s="1"/>
  <c r="AX27" i="7"/>
  <c r="I37" i="56"/>
  <c r="EH37" i="56"/>
  <c r="AY27" i="7" s="1"/>
  <c r="J37" i="56"/>
  <c r="K37" i="56" s="1"/>
  <c r="AK36" i="56"/>
  <c r="DQ36" i="56"/>
  <c r="H36" i="56"/>
  <c r="I36" i="56"/>
  <c r="EH36" i="56"/>
  <c r="AY26" i="7" s="1"/>
  <c r="J36" i="56"/>
  <c r="AK35" i="56"/>
  <c r="DQ35" i="56"/>
  <c r="H35" i="56"/>
  <c r="EG35" i="56" s="1"/>
  <c r="AX25" i="7" s="1"/>
  <c r="I35" i="56"/>
  <c r="EH35" i="56" s="1"/>
  <c r="AY25" i="7" s="1"/>
  <c r="J35" i="56"/>
  <c r="K35" i="56"/>
  <c r="AK34" i="56"/>
  <c r="DQ34" i="56"/>
  <c r="H34" i="56"/>
  <c r="EG34" i="56"/>
  <c r="AX24" i="7" s="1"/>
  <c r="I34" i="56"/>
  <c r="EH34" i="56" s="1"/>
  <c r="AY24" i="7"/>
  <c r="J34" i="56"/>
  <c r="K34" i="56"/>
  <c r="AK33" i="56"/>
  <c r="DQ33" i="56"/>
  <c r="H33" i="56"/>
  <c r="EG33" i="56"/>
  <c r="AX23" i="7" s="1"/>
  <c r="I33" i="56"/>
  <c r="EH33" i="56" s="1"/>
  <c r="AY23" i="7" s="1"/>
  <c r="J33" i="56"/>
  <c r="K33" i="56" s="1"/>
  <c r="L33" i="56" s="1"/>
  <c r="AK32" i="56"/>
  <c r="DQ32" i="56"/>
  <c r="H32" i="56"/>
  <c r="EG32" i="56" s="1"/>
  <c r="AX22" i="7" s="1"/>
  <c r="I32" i="56"/>
  <c r="J32" i="56"/>
  <c r="K32" i="56"/>
  <c r="L32" i="56" s="1"/>
  <c r="AK31" i="56"/>
  <c r="DQ31" i="56"/>
  <c r="H31" i="56"/>
  <c r="EG31" i="56"/>
  <c r="AX21" i="7" s="1"/>
  <c r="I31" i="56"/>
  <c r="J31" i="56"/>
  <c r="K31" i="56" s="1"/>
  <c r="L31" i="56" s="1"/>
  <c r="AK30" i="56"/>
  <c r="DQ30" i="56"/>
  <c r="H30" i="56"/>
  <c r="EG30" i="56" s="1"/>
  <c r="AX20" i="7" s="1"/>
  <c r="I30" i="56"/>
  <c r="J30" i="56"/>
  <c r="W29" i="56"/>
  <c r="BM29" i="56"/>
  <c r="EV8" i="56"/>
  <c r="EW8" i="56" s="1"/>
  <c r="W28" i="56"/>
  <c r="BM28" i="56"/>
  <c r="W27" i="56"/>
  <c r="BM27" i="56"/>
  <c r="W26" i="56"/>
  <c r="BM26" i="56"/>
  <c r="W25" i="56"/>
  <c r="BM25" i="56"/>
  <c r="W24" i="56"/>
  <c r="BM24" i="56"/>
  <c r="W23" i="56"/>
  <c r="BM23" i="56"/>
  <c r="W22" i="56"/>
  <c r="BM22" i="56"/>
  <c r="W21" i="56"/>
  <c r="BM21" i="56"/>
  <c r="W20" i="56"/>
  <c r="BM20" i="56"/>
  <c r="W19" i="56"/>
  <c r="BM19" i="56"/>
  <c r="W18" i="56"/>
  <c r="BM18" i="56"/>
  <c r="W17" i="56"/>
  <c r="BM17" i="56"/>
  <c r="W16" i="56"/>
  <c r="BM16" i="56"/>
  <c r="W15" i="56"/>
  <c r="BM15" i="56"/>
  <c r="W14" i="56"/>
  <c r="BM14" i="56"/>
  <c r="W13" i="56"/>
  <c r="BM13" i="56"/>
  <c r="W12" i="56"/>
  <c r="BM12" i="56"/>
  <c r="W11" i="56"/>
  <c r="BM11" i="56"/>
  <c r="W10" i="56"/>
  <c r="BM10" i="56"/>
  <c r="W106" i="56"/>
  <c r="BM106" i="56"/>
  <c r="W107" i="56"/>
  <c r="BM107" i="56"/>
  <c r="W108" i="56"/>
  <c r="BM108" i="56"/>
  <c r="W109" i="56"/>
  <c r="BM109" i="56"/>
  <c r="W110" i="56"/>
  <c r="BM110" i="56"/>
  <c r="W105" i="56"/>
  <c r="EV105" i="56" s="1"/>
  <c r="BG95" i="7" s="1"/>
  <c r="BM105" i="56"/>
  <c r="W104" i="56"/>
  <c r="BM104" i="56"/>
  <c r="W103" i="56"/>
  <c r="BM103" i="56"/>
  <c r="W102" i="56"/>
  <c r="BM102" i="56"/>
  <c r="W101" i="56"/>
  <c r="BM101" i="56"/>
  <c r="EV101" i="56" s="1"/>
  <c r="BG91" i="7" s="1"/>
  <c r="W100" i="56"/>
  <c r="BM100" i="56"/>
  <c r="W99" i="56"/>
  <c r="BM99" i="56"/>
  <c r="W98" i="56"/>
  <c r="BM98" i="56"/>
  <c r="W97" i="56"/>
  <c r="BM97" i="56"/>
  <c r="W96" i="56"/>
  <c r="BM96" i="56"/>
  <c r="W95" i="56"/>
  <c r="BM95" i="56"/>
  <c r="W94" i="56"/>
  <c r="BM94" i="56"/>
  <c r="W93" i="56"/>
  <c r="EV93" i="56" s="1"/>
  <c r="BG83" i="7" s="1"/>
  <c r="BM93" i="56"/>
  <c r="W92" i="56"/>
  <c r="BM92" i="56"/>
  <c r="W91" i="56"/>
  <c r="BM91" i="56"/>
  <c r="W90" i="56"/>
  <c r="BM90" i="56"/>
  <c r="W89" i="56"/>
  <c r="BM89" i="56"/>
  <c r="W88" i="56"/>
  <c r="BM88" i="56"/>
  <c r="W87" i="56"/>
  <c r="BM87" i="56"/>
  <c r="W86" i="56"/>
  <c r="BM86" i="56"/>
  <c r="W85" i="56"/>
  <c r="BM85" i="56"/>
  <c r="W84" i="56"/>
  <c r="BM84" i="56"/>
  <c r="W83" i="56"/>
  <c r="BM83" i="56"/>
  <c r="W82" i="56"/>
  <c r="BM82" i="56"/>
  <c r="W81" i="56"/>
  <c r="BM81" i="56"/>
  <c r="W80" i="56"/>
  <c r="BM80" i="56"/>
  <c r="W79" i="56"/>
  <c r="BM79" i="56"/>
  <c r="W78" i="56"/>
  <c r="BM78" i="56"/>
  <c r="W77" i="56"/>
  <c r="EV77" i="56" s="1"/>
  <c r="BG67" i="7" s="1"/>
  <c r="BM77" i="56"/>
  <c r="W76" i="56"/>
  <c r="BM76" i="56"/>
  <c r="W75" i="56"/>
  <c r="BM75" i="56"/>
  <c r="EV75" i="56" s="1"/>
  <c r="BG65" i="7" s="1"/>
  <c r="W74" i="56"/>
  <c r="BM74" i="56"/>
  <c r="W73" i="56"/>
  <c r="EV73" i="56"/>
  <c r="BG63" i="7" s="1"/>
  <c r="BM73" i="56"/>
  <c r="W72" i="56"/>
  <c r="BM72" i="56"/>
  <c r="W71" i="56"/>
  <c r="BM71" i="56"/>
  <c r="W70" i="56"/>
  <c r="BM70" i="56"/>
  <c r="W69" i="56"/>
  <c r="BM69" i="56"/>
  <c r="W68" i="56"/>
  <c r="BM68" i="56"/>
  <c r="W67" i="56"/>
  <c r="EV67" i="56" s="1"/>
  <c r="BG57" i="7" s="1"/>
  <c r="BM67" i="56"/>
  <c r="W66" i="56"/>
  <c r="BM66" i="56"/>
  <c r="W65" i="56"/>
  <c r="BM65" i="56"/>
  <c r="W64" i="56"/>
  <c r="BM64" i="56"/>
  <c r="W63" i="56"/>
  <c r="BM63" i="56"/>
  <c r="W62" i="56"/>
  <c r="BM62" i="56"/>
  <c r="W61" i="56"/>
  <c r="EV61" i="56" s="1"/>
  <c r="BG51" i="7" s="1"/>
  <c r="BM61" i="56"/>
  <c r="W60" i="56"/>
  <c r="BM60" i="56"/>
  <c r="W59" i="56"/>
  <c r="BM59" i="56"/>
  <c r="W58" i="56"/>
  <c r="BM58" i="56"/>
  <c r="W57" i="56"/>
  <c r="EV57" i="56" s="1"/>
  <c r="BG47" i="7" s="1"/>
  <c r="BM57" i="56"/>
  <c r="W56" i="56"/>
  <c r="BM56" i="56"/>
  <c r="W55" i="56"/>
  <c r="BM55" i="56"/>
  <c r="W54" i="56"/>
  <c r="BM54" i="56"/>
  <c r="W53" i="56"/>
  <c r="BM53" i="56"/>
  <c r="EV53" i="56" s="1"/>
  <c r="BG43" i="7" s="1"/>
  <c r="W52" i="56"/>
  <c r="BM52" i="56"/>
  <c r="W51" i="56"/>
  <c r="EV51" i="56"/>
  <c r="BG41" i="7" s="1"/>
  <c r="BM51" i="56"/>
  <c r="W50" i="56"/>
  <c r="BM50" i="56"/>
  <c r="W49" i="56"/>
  <c r="BM49" i="56"/>
  <c r="W48" i="56"/>
  <c r="BM48" i="56"/>
  <c r="W47" i="56"/>
  <c r="BM47" i="56"/>
  <c r="W46" i="56"/>
  <c r="BM46" i="56"/>
  <c r="W45" i="56"/>
  <c r="BM45" i="56"/>
  <c r="W44" i="56"/>
  <c r="BM44" i="56"/>
  <c r="W43" i="56"/>
  <c r="BM43" i="56"/>
  <c r="W42" i="56"/>
  <c r="BM42" i="56"/>
  <c r="W41" i="56"/>
  <c r="EV41" i="56" s="1"/>
  <c r="BG31" i="7" s="1"/>
  <c r="BM41" i="56"/>
  <c r="W40" i="56"/>
  <c r="BM40" i="56"/>
  <c r="W39" i="56"/>
  <c r="BM39" i="56"/>
  <c r="W38" i="56"/>
  <c r="BM38" i="56"/>
  <c r="W37" i="56"/>
  <c r="BM37" i="56"/>
  <c r="EV37" i="56" s="1"/>
  <c r="BG27" i="7" s="1"/>
  <c r="W36" i="56"/>
  <c r="BM36" i="56"/>
  <c r="W35" i="56"/>
  <c r="BM35" i="56"/>
  <c r="W34" i="56"/>
  <c r="BM34" i="56"/>
  <c r="W33" i="56"/>
  <c r="BM33" i="56"/>
  <c r="W32" i="56"/>
  <c r="BM32" i="56"/>
  <c r="W31" i="56"/>
  <c r="BM31" i="56"/>
  <c r="W30" i="56"/>
  <c r="BM30" i="56"/>
  <c r="AJ29" i="56"/>
  <c r="FI29" i="56"/>
  <c r="DP29" i="56"/>
  <c r="AJ28" i="56"/>
  <c r="DP28" i="56"/>
  <c r="AJ27" i="56"/>
  <c r="DP27" i="56"/>
  <c r="AJ26" i="56"/>
  <c r="DP26" i="56"/>
  <c r="FI26" i="56" s="1"/>
  <c r="AJ25" i="56"/>
  <c r="DP25" i="56"/>
  <c r="FI25" i="56" s="1"/>
  <c r="AJ24" i="56"/>
  <c r="DP24" i="56"/>
  <c r="DV24" i="56" s="1"/>
  <c r="AJ23" i="56"/>
  <c r="AP23" i="56" s="1"/>
  <c r="DP23" i="56"/>
  <c r="DV23" i="56" s="1"/>
  <c r="AJ22" i="56"/>
  <c r="DP22" i="56"/>
  <c r="DV22" i="56" s="1"/>
  <c r="AJ21" i="56"/>
  <c r="AP21" i="56" s="1"/>
  <c r="DP21" i="56"/>
  <c r="DV21" i="56" s="1"/>
  <c r="AJ20" i="56"/>
  <c r="DP20" i="56"/>
  <c r="AJ19" i="56"/>
  <c r="AP19" i="56" s="1"/>
  <c r="DP19" i="56"/>
  <c r="DV19" i="56" s="1"/>
  <c r="AJ18" i="56"/>
  <c r="DP18" i="56"/>
  <c r="DV18" i="56" s="1"/>
  <c r="AJ17" i="56"/>
  <c r="AP17" i="56" s="1"/>
  <c r="DP17" i="56"/>
  <c r="DV17" i="56" s="1"/>
  <c r="AJ16" i="56"/>
  <c r="DP16" i="56"/>
  <c r="AJ15" i="56"/>
  <c r="AP15" i="56" s="1"/>
  <c r="DP15" i="56"/>
  <c r="AJ14" i="56"/>
  <c r="FI14" i="56" s="1"/>
  <c r="DP14" i="56"/>
  <c r="DV14" i="56"/>
  <c r="AJ13" i="56"/>
  <c r="AP13" i="56"/>
  <c r="DP13" i="56"/>
  <c r="DV13" i="56"/>
  <c r="AJ12" i="56"/>
  <c r="DP12" i="56"/>
  <c r="AJ11" i="56"/>
  <c r="AP11" i="56"/>
  <c r="DP11" i="56"/>
  <c r="AJ10" i="56"/>
  <c r="DP10" i="56"/>
  <c r="DV10" i="56" s="1"/>
  <c r="AJ106" i="56"/>
  <c r="AP106" i="56" s="1"/>
  <c r="DP106" i="56"/>
  <c r="DV106" i="56" s="1"/>
  <c r="AJ107" i="56"/>
  <c r="AP107" i="56" s="1"/>
  <c r="DP107" i="56"/>
  <c r="DV107" i="56" s="1"/>
  <c r="AJ108" i="56"/>
  <c r="DP108" i="56"/>
  <c r="AJ109" i="56"/>
  <c r="DP109" i="56"/>
  <c r="AJ110" i="56"/>
  <c r="AP110" i="56" s="1"/>
  <c r="DP110" i="56"/>
  <c r="FI110" i="56" s="1"/>
  <c r="BN100" i="7" s="1"/>
  <c r="AJ105" i="56"/>
  <c r="AP105" i="56" s="1"/>
  <c r="DP105" i="56"/>
  <c r="AJ104" i="56"/>
  <c r="AP104" i="56" s="1"/>
  <c r="DP104" i="56"/>
  <c r="AJ103" i="56"/>
  <c r="AP103" i="56"/>
  <c r="DP103" i="56"/>
  <c r="DV103" i="56"/>
  <c r="AJ102" i="56"/>
  <c r="AP102" i="56"/>
  <c r="DP102" i="56"/>
  <c r="AJ101" i="56"/>
  <c r="AP101" i="56" s="1"/>
  <c r="DP101" i="56"/>
  <c r="AJ100" i="56"/>
  <c r="DP100" i="56"/>
  <c r="AJ99" i="56"/>
  <c r="DP99" i="56"/>
  <c r="DV99" i="56"/>
  <c r="AJ98" i="56"/>
  <c r="DP98" i="56"/>
  <c r="AJ97" i="56"/>
  <c r="AP97" i="56"/>
  <c r="DP97" i="56"/>
  <c r="AJ96" i="56"/>
  <c r="AP96" i="56" s="1"/>
  <c r="DP96" i="56"/>
  <c r="AJ95" i="56"/>
  <c r="AP95" i="56" s="1"/>
  <c r="DP95" i="56"/>
  <c r="AJ94" i="56"/>
  <c r="DP94" i="56"/>
  <c r="DV94" i="56" s="1"/>
  <c r="AJ93" i="56"/>
  <c r="DP93" i="56"/>
  <c r="AJ92" i="56"/>
  <c r="AP92" i="56"/>
  <c r="DP92" i="56"/>
  <c r="DV92" i="56"/>
  <c r="AJ91" i="56"/>
  <c r="AP91" i="56"/>
  <c r="DP91" i="56"/>
  <c r="DV91" i="56"/>
  <c r="AJ90" i="56"/>
  <c r="AP90" i="56"/>
  <c r="DP90" i="56"/>
  <c r="AJ89" i="56"/>
  <c r="DP89" i="56"/>
  <c r="AJ88" i="56"/>
  <c r="DP88" i="56"/>
  <c r="DV88" i="56" s="1"/>
  <c r="AJ87" i="56"/>
  <c r="DP87" i="56"/>
  <c r="DV87" i="56" s="1"/>
  <c r="AJ86" i="56"/>
  <c r="DP86" i="56"/>
  <c r="AJ85" i="56"/>
  <c r="AP85" i="56" s="1"/>
  <c r="DP85" i="56"/>
  <c r="AJ84" i="56"/>
  <c r="AP84" i="56" s="1"/>
  <c r="DP84" i="56"/>
  <c r="AJ83" i="56"/>
  <c r="AP83" i="56" s="1"/>
  <c r="DP83" i="56"/>
  <c r="DV83" i="56" s="1"/>
  <c r="AJ82" i="56"/>
  <c r="AP82" i="56" s="1"/>
  <c r="DP82" i="56"/>
  <c r="AJ81" i="56"/>
  <c r="AP81" i="56"/>
  <c r="DP81" i="56"/>
  <c r="AJ80" i="56"/>
  <c r="DP80" i="56"/>
  <c r="DV80" i="56" s="1"/>
  <c r="AJ79" i="56"/>
  <c r="AP79" i="56" s="1"/>
  <c r="DP79" i="56"/>
  <c r="DV79" i="56" s="1"/>
  <c r="AJ78" i="56"/>
  <c r="AP78" i="56" s="1"/>
  <c r="DP78" i="56"/>
  <c r="DV78" i="56" s="1"/>
  <c r="AJ77" i="56"/>
  <c r="DP77" i="56"/>
  <c r="AJ76" i="56"/>
  <c r="AP76" i="56" s="1"/>
  <c r="DP76" i="56"/>
  <c r="DV76" i="56" s="1"/>
  <c r="AJ75" i="56"/>
  <c r="AP75" i="56" s="1"/>
  <c r="DP75" i="56"/>
  <c r="DV75" i="56" s="1"/>
  <c r="AJ74" i="56"/>
  <c r="DP74" i="56"/>
  <c r="AJ73" i="56"/>
  <c r="AM73" i="56" s="1"/>
  <c r="DP73" i="56"/>
  <c r="AJ72" i="56"/>
  <c r="DP72" i="56"/>
  <c r="AJ71" i="56"/>
  <c r="DP71" i="56"/>
  <c r="AJ70" i="56"/>
  <c r="DP70" i="56"/>
  <c r="AJ69" i="56"/>
  <c r="DP69" i="56"/>
  <c r="AJ68" i="56"/>
  <c r="DP68" i="56"/>
  <c r="AJ67" i="56"/>
  <c r="DP67" i="56"/>
  <c r="AJ66" i="56"/>
  <c r="DP66" i="56"/>
  <c r="AJ65" i="56"/>
  <c r="DP65" i="56"/>
  <c r="AJ64" i="56"/>
  <c r="DP64" i="56"/>
  <c r="AJ63" i="56"/>
  <c r="DP63" i="56"/>
  <c r="AJ62" i="56"/>
  <c r="DP62" i="56"/>
  <c r="AJ61" i="56"/>
  <c r="DP61" i="56"/>
  <c r="AJ60" i="56"/>
  <c r="DP60" i="56"/>
  <c r="AJ59" i="56"/>
  <c r="DP59" i="56"/>
  <c r="AJ58" i="56"/>
  <c r="DP58" i="56"/>
  <c r="AJ57" i="56"/>
  <c r="DP57" i="56"/>
  <c r="AJ56" i="56"/>
  <c r="DP56" i="56"/>
  <c r="AJ55" i="56"/>
  <c r="DP55" i="56"/>
  <c r="AJ54" i="56"/>
  <c r="DP54" i="56"/>
  <c r="AJ53" i="56"/>
  <c r="DP53" i="56"/>
  <c r="AJ52" i="56"/>
  <c r="DP52" i="56"/>
  <c r="AJ51" i="56"/>
  <c r="DP51" i="56"/>
  <c r="AJ50" i="56"/>
  <c r="DP50" i="56"/>
  <c r="AJ49" i="56"/>
  <c r="DP49" i="56"/>
  <c r="AJ48" i="56"/>
  <c r="DP48" i="56"/>
  <c r="AJ47" i="56"/>
  <c r="DP47" i="56"/>
  <c r="AJ46" i="56"/>
  <c r="DP46" i="56"/>
  <c r="AJ45" i="56"/>
  <c r="DP45" i="56"/>
  <c r="AJ44" i="56"/>
  <c r="DP44" i="56"/>
  <c r="AJ43" i="56"/>
  <c r="DP43" i="56"/>
  <c r="AJ42" i="56"/>
  <c r="DP42" i="56"/>
  <c r="AJ41" i="56"/>
  <c r="DP41" i="56"/>
  <c r="AJ40" i="56"/>
  <c r="DP40" i="56"/>
  <c r="AJ39" i="56"/>
  <c r="DP39" i="56"/>
  <c r="AJ38" i="56"/>
  <c r="DP38" i="56"/>
  <c r="AJ37" i="56"/>
  <c r="DP37" i="56"/>
  <c r="AJ36" i="56"/>
  <c r="DP36" i="56"/>
  <c r="AJ35" i="56"/>
  <c r="DP35" i="56"/>
  <c r="AJ34" i="56"/>
  <c r="DP34" i="56"/>
  <c r="AJ33" i="56"/>
  <c r="DP33" i="56"/>
  <c r="AJ32" i="56"/>
  <c r="DP32" i="56"/>
  <c r="AJ31" i="56"/>
  <c r="DP31" i="56"/>
  <c r="AJ30" i="56"/>
  <c r="DP30" i="56"/>
  <c r="BF14" i="46"/>
  <c r="BE15" i="46"/>
  <c r="BA14" i="46"/>
  <c r="AZ15" i="46"/>
  <c r="AV14" i="46"/>
  <c r="AU15" i="46"/>
  <c r="BG14" i="46"/>
  <c r="BE14" i="46"/>
  <c r="BD14" i="46"/>
  <c r="BC14" i="46"/>
  <c r="BB14" i="46"/>
  <c r="AZ14" i="46"/>
  <c r="AY14" i="46"/>
  <c r="AX14" i="46"/>
  <c r="AW14" i="46"/>
  <c r="AU14" i="46"/>
  <c r="AT14" i="46"/>
  <c r="AS14" i="46"/>
  <c r="AR14" i="46"/>
  <c r="BG13" i="46"/>
  <c r="BB13" i="46"/>
  <c r="AW13" i="46"/>
  <c r="V29" i="56"/>
  <c r="BL29" i="56"/>
  <c r="V28" i="56"/>
  <c r="BL28" i="56"/>
  <c r="V27" i="56"/>
  <c r="BL27" i="56"/>
  <c r="EU27" i="56" s="1"/>
  <c r="V26" i="56"/>
  <c r="BL26" i="56"/>
  <c r="V25" i="56"/>
  <c r="BL25" i="56"/>
  <c r="V24" i="56"/>
  <c r="AB24" i="56" s="1"/>
  <c r="BL24" i="56"/>
  <c r="BR24" i="56" s="1"/>
  <c r="V23" i="56"/>
  <c r="AB23" i="56" s="1"/>
  <c r="BL23" i="56"/>
  <c r="BR23" i="56" s="1"/>
  <c r="V22" i="56"/>
  <c r="BL22" i="56"/>
  <c r="V21" i="56"/>
  <c r="BL21" i="56"/>
  <c r="V20" i="56"/>
  <c r="AB20" i="56" s="1"/>
  <c r="BL20" i="56"/>
  <c r="BR20" i="56" s="1"/>
  <c r="V19" i="56"/>
  <c r="AB19" i="56" s="1"/>
  <c r="BL19" i="56"/>
  <c r="BR19" i="56" s="1"/>
  <c r="V18" i="56"/>
  <c r="AB18" i="56" s="1"/>
  <c r="BL18" i="56"/>
  <c r="BR18" i="56" s="1"/>
  <c r="V17" i="56"/>
  <c r="BL17" i="56"/>
  <c r="BR17" i="56"/>
  <c r="V16" i="56"/>
  <c r="BL16" i="56"/>
  <c r="BR16" i="56" s="1"/>
  <c r="V15" i="56"/>
  <c r="AB15" i="56" s="1"/>
  <c r="BL15" i="56"/>
  <c r="V14" i="56"/>
  <c r="AB14" i="56"/>
  <c r="BL14" i="56"/>
  <c r="V13" i="56"/>
  <c r="BL13" i="56"/>
  <c r="BR13" i="56"/>
  <c r="V12" i="56"/>
  <c r="AB12" i="56"/>
  <c r="BL12" i="56"/>
  <c r="V11" i="56"/>
  <c r="BL11" i="56"/>
  <c r="V10" i="56"/>
  <c r="AB10" i="56" s="1"/>
  <c r="BL10" i="56"/>
  <c r="BR10" i="56" s="1"/>
  <c r="V106" i="56"/>
  <c r="BL106" i="56"/>
  <c r="BR106" i="56" s="1"/>
  <c r="V107" i="56"/>
  <c r="AB107" i="56" s="1"/>
  <c r="BL107" i="56"/>
  <c r="V108" i="56"/>
  <c r="BL108" i="56"/>
  <c r="V109" i="56"/>
  <c r="Y109" i="56" s="1"/>
  <c r="BL109" i="56"/>
  <c r="V110" i="56"/>
  <c r="BL110" i="56"/>
  <c r="BR110" i="56"/>
  <c r="V105" i="56"/>
  <c r="AB105" i="56"/>
  <c r="BL105" i="56"/>
  <c r="BR105" i="56"/>
  <c r="V104" i="56"/>
  <c r="AB104" i="56"/>
  <c r="BL104" i="56"/>
  <c r="BR104" i="56"/>
  <c r="V103" i="56"/>
  <c r="AB103" i="56"/>
  <c r="BL103" i="56"/>
  <c r="EU103" i="56" s="1"/>
  <c r="BF93" i="7" s="1"/>
  <c r="BR103" i="56"/>
  <c r="V102" i="56"/>
  <c r="BL102" i="56"/>
  <c r="V101" i="56"/>
  <c r="BL101" i="56"/>
  <c r="BR101" i="56" s="1"/>
  <c r="V100" i="56"/>
  <c r="AB100" i="56" s="1"/>
  <c r="BL100" i="56"/>
  <c r="V99" i="56"/>
  <c r="AB99" i="56" s="1"/>
  <c r="BL99" i="56"/>
  <c r="V98" i="56"/>
  <c r="BL98" i="56"/>
  <c r="BR98" i="56" s="1"/>
  <c r="V97" i="56"/>
  <c r="AB97" i="56" s="1"/>
  <c r="BL97" i="56"/>
  <c r="V96" i="56"/>
  <c r="AB96" i="56"/>
  <c r="BL96" i="56"/>
  <c r="V95" i="56"/>
  <c r="BL95" i="56"/>
  <c r="BR95" i="56" s="1"/>
  <c r="V94" i="56"/>
  <c r="BL94" i="56"/>
  <c r="BR94" i="56"/>
  <c r="V93" i="56"/>
  <c r="AB93" i="56"/>
  <c r="BL93" i="56"/>
  <c r="BR93" i="56"/>
  <c r="EU93" i="56"/>
  <c r="BF83" i="7"/>
  <c r="V92" i="56"/>
  <c r="AB92" i="56"/>
  <c r="BL92" i="56"/>
  <c r="BR92" i="56"/>
  <c r="V91" i="56"/>
  <c r="BL91" i="56"/>
  <c r="BR91" i="56" s="1"/>
  <c r="V90" i="56"/>
  <c r="BL90" i="56"/>
  <c r="V89" i="56"/>
  <c r="AB89" i="56" s="1"/>
  <c r="BL89" i="56"/>
  <c r="V88" i="56"/>
  <c r="AB88" i="56" s="1"/>
  <c r="BL88" i="56"/>
  <c r="BR88" i="56" s="1"/>
  <c r="V87" i="56"/>
  <c r="AB87" i="56" s="1"/>
  <c r="BL87" i="56"/>
  <c r="V86" i="56"/>
  <c r="BL86" i="56"/>
  <c r="BR86" i="56" s="1"/>
  <c r="V85" i="56"/>
  <c r="BL85" i="56"/>
  <c r="BR85" i="56" s="1"/>
  <c r="V84" i="56"/>
  <c r="AB84" i="56" s="1"/>
  <c r="BL84" i="56"/>
  <c r="V83" i="56"/>
  <c r="AB83" i="56" s="1"/>
  <c r="BL83" i="56"/>
  <c r="BR83" i="56" s="1"/>
  <c r="V82" i="56"/>
  <c r="BL82" i="56"/>
  <c r="BR82" i="56" s="1"/>
  <c r="V81" i="56"/>
  <c r="AB81" i="56" s="1"/>
  <c r="BL81" i="56"/>
  <c r="V80" i="56"/>
  <c r="AB80" i="56" s="1"/>
  <c r="BL80" i="56"/>
  <c r="V79" i="56"/>
  <c r="AB79" i="56" s="1"/>
  <c r="BL79" i="56"/>
  <c r="BR79" i="56" s="1"/>
  <c r="V78" i="56"/>
  <c r="BL78" i="56"/>
  <c r="BR78" i="56" s="1"/>
  <c r="V77" i="56"/>
  <c r="AB77" i="56" s="1"/>
  <c r="BL77" i="56"/>
  <c r="V76" i="56"/>
  <c r="AB76" i="56" s="1"/>
  <c r="BL76" i="56"/>
  <c r="V75" i="56"/>
  <c r="BL75" i="56"/>
  <c r="BR75" i="56" s="1"/>
  <c r="V74" i="56"/>
  <c r="BL74" i="56"/>
  <c r="V73" i="56"/>
  <c r="BL73" i="56"/>
  <c r="V72" i="56"/>
  <c r="EU72" i="56" s="1"/>
  <c r="BF62" i="7" s="1"/>
  <c r="BL72" i="56"/>
  <c r="V71" i="56"/>
  <c r="BL71" i="56"/>
  <c r="V70" i="56"/>
  <c r="BL70" i="56"/>
  <c r="V69" i="56"/>
  <c r="BL69" i="56"/>
  <c r="V68" i="56"/>
  <c r="BL68" i="56"/>
  <c r="V67" i="56"/>
  <c r="BL67" i="56"/>
  <c r="V66" i="56"/>
  <c r="BL66" i="56"/>
  <c r="V65" i="56"/>
  <c r="BL65" i="56"/>
  <c r="V64" i="56"/>
  <c r="BL64" i="56"/>
  <c r="V63" i="56"/>
  <c r="BL63" i="56"/>
  <c r="V62" i="56"/>
  <c r="BL62" i="56"/>
  <c r="V61" i="56"/>
  <c r="BL61" i="56"/>
  <c r="V60" i="56"/>
  <c r="EU60" i="56" s="1"/>
  <c r="BF50" i="7" s="1"/>
  <c r="BL60" i="56"/>
  <c r="V59" i="56"/>
  <c r="BL59" i="56"/>
  <c r="V58" i="56"/>
  <c r="BL58" i="56"/>
  <c r="V57" i="56"/>
  <c r="BL57" i="56"/>
  <c r="V56" i="56"/>
  <c r="BL56" i="56"/>
  <c r="V55" i="56"/>
  <c r="EU55" i="56" s="1"/>
  <c r="BF45" i="7" s="1"/>
  <c r="BL55" i="56"/>
  <c r="V54" i="56"/>
  <c r="BL54" i="56"/>
  <c r="V53" i="56"/>
  <c r="BL53" i="56"/>
  <c r="V52" i="56"/>
  <c r="BL52" i="56"/>
  <c r="V51" i="56"/>
  <c r="BL51" i="56"/>
  <c r="V50" i="56"/>
  <c r="BL50" i="56"/>
  <c r="V49" i="56"/>
  <c r="BL49" i="56"/>
  <c r="V48" i="56"/>
  <c r="BL48" i="56"/>
  <c r="V47" i="56"/>
  <c r="BL47" i="56"/>
  <c r="V46" i="56"/>
  <c r="BL46" i="56"/>
  <c r="V45" i="56"/>
  <c r="EU45" i="56"/>
  <c r="BF35" i="7" s="1"/>
  <c r="BL45" i="56"/>
  <c r="V44" i="56"/>
  <c r="EU44" i="56" s="1"/>
  <c r="BF34" i="7" s="1"/>
  <c r="BL44" i="56"/>
  <c r="V43" i="56"/>
  <c r="BL43" i="56"/>
  <c r="V42" i="56"/>
  <c r="BL42" i="56"/>
  <c r="V41" i="56"/>
  <c r="BL41" i="56"/>
  <c r="EU41" i="56" s="1"/>
  <c r="BF31" i="7" s="1"/>
  <c r="V40" i="56"/>
  <c r="BL40" i="56"/>
  <c r="V39" i="56"/>
  <c r="EU39" i="56" s="1"/>
  <c r="BF29" i="7" s="1"/>
  <c r="BL39" i="56"/>
  <c r="V38" i="56"/>
  <c r="BL38" i="56"/>
  <c r="V37" i="56"/>
  <c r="BL37" i="56"/>
  <c r="V36" i="56"/>
  <c r="BL36" i="56"/>
  <c r="V35" i="56"/>
  <c r="BL35" i="56"/>
  <c r="V34" i="56"/>
  <c r="BL34" i="56"/>
  <c r="V33" i="56"/>
  <c r="BL33" i="56"/>
  <c r="V32" i="56"/>
  <c r="BL32" i="56"/>
  <c r="V31" i="56"/>
  <c r="BL31" i="56"/>
  <c r="V30" i="56"/>
  <c r="BL30" i="56"/>
  <c r="BF14" i="45"/>
  <c r="BE15" i="45"/>
  <c r="BA14" i="45"/>
  <c r="AZ15" i="45"/>
  <c r="AV14" i="45"/>
  <c r="AU15" i="45"/>
  <c r="BG14" i="45"/>
  <c r="BE14" i="45"/>
  <c r="BD14" i="45"/>
  <c r="BC14" i="45"/>
  <c r="BB14" i="45"/>
  <c r="AZ14" i="45"/>
  <c r="AY14" i="45"/>
  <c r="AX14" i="45"/>
  <c r="AW14" i="45"/>
  <c r="AU14" i="45"/>
  <c r="AT14" i="45"/>
  <c r="AS14" i="45"/>
  <c r="AR14" i="45"/>
  <c r="BG13" i="45"/>
  <c r="BB13" i="45"/>
  <c r="AW13" i="45"/>
  <c r="C14" i="4"/>
  <c r="D13" i="4"/>
  <c r="D14" i="4"/>
  <c r="C15" i="6"/>
  <c r="D13" i="6"/>
  <c r="D15" i="6"/>
  <c r="BF14" i="38"/>
  <c r="BA14" i="38"/>
  <c r="AV14" i="38"/>
  <c r="BE15" i="38"/>
  <c r="AZ15" i="38"/>
  <c r="AU15" i="38"/>
  <c r="BG13" i="38"/>
  <c r="BB13" i="38"/>
  <c r="AW13" i="38"/>
  <c r="BG14" i="38"/>
  <c r="BE14" i="38"/>
  <c r="BD14" i="38"/>
  <c r="BB14" i="38"/>
  <c r="AZ14" i="38"/>
  <c r="AY14" i="38"/>
  <c r="AW14" i="38"/>
  <c r="AU14" i="38"/>
  <c r="AR14" i="38"/>
  <c r="AL106" i="56"/>
  <c r="AM106" i="56" s="1"/>
  <c r="AO106" i="56" s="1"/>
  <c r="FK8" i="56"/>
  <c r="FL8" i="56" s="1"/>
  <c r="FM8" i="56" s="1"/>
  <c r="FN8" i="56" s="1"/>
  <c r="DR106" i="56"/>
  <c r="AL107" i="56"/>
  <c r="DR107" i="56"/>
  <c r="DS107" i="56" s="1"/>
  <c r="AL108" i="56"/>
  <c r="AM108" i="56" s="1"/>
  <c r="DR108" i="56"/>
  <c r="AL109" i="56"/>
  <c r="DR109" i="56"/>
  <c r="DW109" i="56" s="1"/>
  <c r="AL110" i="56"/>
  <c r="AM110" i="56" s="1"/>
  <c r="AN110" i="56" s="1"/>
  <c r="DR110" i="56"/>
  <c r="DW110" i="56" s="1"/>
  <c r="X106" i="56"/>
  <c r="BN106" i="56"/>
  <c r="EX8" i="56"/>
  <c r="EY8" i="56" s="1"/>
  <c r="X107" i="56"/>
  <c r="BN107" i="56"/>
  <c r="X108" i="56"/>
  <c r="BN108" i="56"/>
  <c r="BO108" i="56"/>
  <c r="BQ108" i="56" s="1"/>
  <c r="X109" i="56"/>
  <c r="BN109" i="56"/>
  <c r="X110" i="56"/>
  <c r="BN110" i="56"/>
  <c r="AS14" i="38"/>
  <c r="AT14" i="38"/>
  <c r="AX14" i="38"/>
  <c r="BC14" i="38"/>
  <c r="AF6" i="56"/>
  <c r="AG6" i="56" s="1"/>
  <c r="AH6" i="56"/>
  <c r="DL6" i="56"/>
  <c r="DM6" i="56"/>
  <c r="DN6" i="56" s="1"/>
  <c r="DO6" i="56" s="1"/>
  <c r="DP6" i="56" s="1"/>
  <c r="DQ6" i="56" s="1"/>
  <c r="DR6" i="56" s="1"/>
  <c r="DS6" i="56" s="1"/>
  <c r="DT6" i="56" s="1"/>
  <c r="DU6" i="56" s="1"/>
  <c r="DV6" i="56" s="1"/>
  <c r="DW6" i="56" s="1"/>
  <c r="D6" i="56"/>
  <c r="E6" i="56" s="1"/>
  <c r="F6" i="56" s="1"/>
  <c r="G6" i="56" s="1"/>
  <c r="R6" i="56"/>
  <c r="S6" i="56" s="1"/>
  <c r="T6" i="56" s="1"/>
  <c r="U6" i="56" s="1"/>
  <c r="V6" i="56" s="1"/>
  <c r="W6" i="56" s="1"/>
  <c r="BH6" i="56"/>
  <c r="AL29" i="56"/>
  <c r="DR29" i="56"/>
  <c r="AL28" i="56"/>
  <c r="DR28" i="56"/>
  <c r="AL27" i="56"/>
  <c r="DR27" i="56"/>
  <c r="AL26" i="56"/>
  <c r="DR26" i="56"/>
  <c r="DS26" i="56"/>
  <c r="AL25" i="56"/>
  <c r="AM25" i="56"/>
  <c r="AN25" i="56" s="1"/>
  <c r="DR25" i="56"/>
  <c r="AL24" i="56"/>
  <c r="DR24" i="56"/>
  <c r="DS24" i="56" s="1"/>
  <c r="DT24" i="56"/>
  <c r="AL23" i="56"/>
  <c r="DR23" i="56"/>
  <c r="AL22" i="56"/>
  <c r="AM22" i="56"/>
  <c r="DR22" i="56"/>
  <c r="AL21" i="56"/>
  <c r="AM21" i="56" s="1"/>
  <c r="AO21" i="56" s="1"/>
  <c r="DR21" i="56"/>
  <c r="AL20" i="56"/>
  <c r="DR20" i="56"/>
  <c r="DS20" i="56" s="1"/>
  <c r="DT20" i="56" s="1"/>
  <c r="AL19" i="56"/>
  <c r="AM19" i="56"/>
  <c r="DR19" i="56"/>
  <c r="DS19" i="56" s="1"/>
  <c r="DT19" i="56" s="1"/>
  <c r="AL18" i="56"/>
  <c r="AM18" i="56" s="1"/>
  <c r="DR18" i="56"/>
  <c r="AL17" i="56"/>
  <c r="AM17" i="56"/>
  <c r="AO17" i="56" s="1"/>
  <c r="DR17" i="56"/>
  <c r="AL16" i="56"/>
  <c r="DR16" i="56"/>
  <c r="AL15" i="56"/>
  <c r="DR15" i="56"/>
  <c r="DW15" i="56" s="1"/>
  <c r="AL14" i="56"/>
  <c r="AM14" i="56" s="1"/>
  <c r="DR14" i="56"/>
  <c r="DS14" i="56" s="1"/>
  <c r="AL13" i="56"/>
  <c r="AM13" i="56" s="1"/>
  <c r="DR13" i="56"/>
  <c r="AL12" i="56"/>
  <c r="DR12" i="56"/>
  <c r="AL11" i="56"/>
  <c r="DR11" i="56"/>
  <c r="AL10" i="56"/>
  <c r="DR10" i="56"/>
  <c r="DS10" i="56" s="1"/>
  <c r="DT10" i="56" s="1"/>
  <c r="AL105" i="56"/>
  <c r="DR105" i="56"/>
  <c r="AL104" i="56"/>
  <c r="AM104" i="56"/>
  <c r="AN104" i="56" s="1"/>
  <c r="DR104" i="56"/>
  <c r="DW104" i="56" s="1"/>
  <c r="AL103" i="56"/>
  <c r="AM103" i="56" s="1"/>
  <c r="AN103" i="56" s="1"/>
  <c r="DR103" i="56"/>
  <c r="AL102" i="56"/>
  <c r="AM102" i="56"/>
  <c r="DR102" i="56"/>
  <c r="DW102" i="56"/>
  <c r="AL101" i="56"/>
  <c r="DR101" i="56"/>
  <c r="AL100" i="56"/>
  <c r="AM100" i="56"/>
  <c r="AO100" i="56" s="1"/>
  <c r="DR100" i="56"/>
  <c r="DS100" i="56"/>
  <c r="AL99" i="56"/>
  <c r="AM99" i="56" s="1"/>
  <c r="DR99" i="56"/>
  <c r="AL98" i="56"/>
  <c r="AM98" i="56"/>
  <c r="DR98" i="56"/>
  <c r="AL97" i="56"/>
  <c r="DR97" i="56"/>
  <c r="AL96" i="56"/>
  <c r="DR96" i="56"/>
  <c r="AL95" i="56"/>
  <c r="DR95" i="56"/>
  <c r="AL94" i="56"/>
  <c r="DR94" i="56"/>
  <c r="DS94" i="56"/>
  <c r="DT94" i="56" s="1"/>
  <c r="AL93" i="56"/>
  <c r="DR93" i="56"/>
  <c r="AL92" i="56"/>
  <c r="DR92" i="56"/>
  <c r="AL91" i="56"/>
  <c r="DR91" i="56"/>
  <c r="AL90" i="56"/>
  <c r="DR90" i="56"/>
  <c r="DS90" i="56" s="1"/>
  <c r="AL89" i="56"/>
  <c r="AM89" i="56" s="1"/>
  <c r="DR89" i="56"/>
  <c r="DW89" i="56" s="1"/>
  <c r="AL88" i="56"/>
  <c r="AM88" i="56"/>
  <c r="AO88" i="56" s="1"/>
  <c r="DR88" i="56"/>
  <c r="DS88" i="56" s="1"/>
  <c r="AL87" i="56"/>
  <c r="DR87" i="56"/>
  <c r="AL86" i="56"/>
  <c r="AQ86" i="56" s="1"/>
  <c r="DR86" i="56"/>
  <c r="AL85" i="56"/>
  <c r="DR85" i="56"/>
  <c r="AL84" i="56"/>
  <c r="DR84" i="56"/>
  <c r="DS84" i="56"/>
  <c r="DU84" i="56" s="1"/>
  <c r="AL83" i="56"/>
  <c r="AM83" i="56" s="1"/>
  <c r="AN83" i="56"/>
  <c r="DR83" i="56"/>
  <c r="DS83" i="56"/>
  <c r="AL82" i="56"/>
  <c r="AM82" i="56"/>
  <c r="DR82" i="56"/>
  <c r="AL81" i="56"/>
  <c r="DR81" i="56"/>
  <c r="DW81" i="56" s="1"/>
  <c r="AL80" i="56"/>
  <c r="DR80" i="56"/>
  <c r="DS80" i="56"/>
  <c r="AL79" i="56"/>
  <c r="DR79" i="56"/>
  <c r="AL78" i="56"/>
  <c r="DR78" i="56"/>
  <c r="AL77" i="56"/>
  <c r="AM77" i="56"/>
  <c r="DR77" i="56"/>
  <c r="AL76" i="56"/>
  <c r="DR76" i="56"/>
  <c r="AL75" i="56"/>
  <c r="DR75" i="56"/>
  <c r="AL74" i="56"/>
  <c r="DR74" i="56"/>
  <c r="AL73" i="56"/>
  <c r="DR73" i="56"/>
  <c r="AL72" i="56"/>
  <c r="DR72" i="56"/>
  <c r="AL71" i="56"/>
  <c r="AM71" i="56" s="1"/>
  <c r="AN71" i="56" s="1"/>
  <c r="DR71" i="56"/>
  <c r="AL70" i="56"/>
  <c r="DR70" i="56"/>
  <c r="AL69" i="56"/>
  <c r="DR69" i="56"/>
  <c r="AL68" i="56"/>
  <c r="DR68" i="56"/>
  <c r="DS68" i="56"/>
  <c r="AL67" i="56"/>
  <c r="AM67" i="56"/>
  <c r="AN67" i="56" s="1"/>
  <c r="DR67" i="56"/>
  <c r="AL66" i="56"/>
  <c r="DR66" i="56"/>
  <c r="AL65" i="56"/>
  <c r="AM65" i="56" s="1"/>
  <c r="AN65" i="56" s="1"/>
  <c r="DR65" i="56"/>
  <c r="AL64" i="56"/>
  <c r="DR64" i="56"/>
  <c r="DS64" i="56" s="1"/>
  <c r="DT64" i="56"/>
  <c r="AL63" i="56"/>
  <c r="DR63" i="56"/>
  <c r="DS63" i="56" s="1"/>
  <c r="DT63" i="56" s="1"/>
  <c r="AL62" i="56"/>
  <c r="DR62" i="56"/>
  <c r="DS62" i="56"/>
  <c r="AL61" i="56"/>
  <c r="AM61" i="56" s="1"/>
  <c r="AO61" i="56" s="1"/>
  <c r="DR61" i="56"/>
  <c r="AL60" i="56"/>
  <c r="DR60" i="56"/>
  <c r="AL59" i="56"/>
  <c r="DR59" i="56"/>
  <c r="AL58" i="56"/>
  <c r="AM58" i="56"/>
  <c r="AO58" i="56" s="1"/>
  <c r="DR58" i="56"/>
  <c r="DS58" i="56"/>
  <c r="DU58" i="56" s="1"/>
  <c r="AL57" i="56"/>
  <c r="AM57" i="56" s="1"/>
  <c r="DR57" i="56"/>
  <c r="AL56" i="56"/>
  <c r="AM56" i="56" s="1"/>
  <c r="DR56" i="56"/>
  <c r="DS56" i="56" s="1"/>
  <c r="AL55" i="56"/>
  <c r="AM55" i="56" s="1"/>
  <c r="DR55" i="56"/>
  <c r="AL54" i="56"/>
  <c r="AM54" i="56"/>
  <c r="DR54" i="56"/>
  <c r="AL53" i="56"/>
  <c r="DR53" i="56"/>
  <c r="AL52" i="56"/>
  <c r="DR52" i="56"/>
  <c r="DS52" i="56" s="1"/>
  <c r="AL51" i="56"/>
  <c r="DR51" i="56"/>
  <c r="DS51" i="56"/>
  <c r="AL50" i="56"/>
  <c r="AM50" i="56"/>
  <c r="DR50" i="56"/>
  <c r="AL49" i="56"/>
  <c r="DR49" i="56"/>
  <c r="AL48" i="56"/>
  <c r="DR48" i="56"/>
  <c r="DS48" i="56"/>
  <c r="AL47" i="56"/>
  <c r="DR47" i="56"/>
  <c r="DS47" i="56" s="1"/>
  <c r="DT47" i="56" s="1"/>
  <c r="AL46" i="56"/>
  <c r="DR46" i="56"/>
  <c r="DS46" i="56"/>
  <c r="AL45" i="56"/>
  <c r="DR45" i="56"/>
  <c r="AL44" i="56"/>
  <c r="DR44" i="56"/>
  <c r="AL43" i="56"/>
  <c r="DR43" i="56"/>
  <c r="AL42" i="56"/>
  <c r="DR42" i="56"/>
  <c r="DS42" i="56" s="1"/>
  <c r="AL41" i="56"/>
  <c r="AM41" i="56" s="1"/>
  <c r="DR41" i="56"/>
  <c r="AL40" i="56"/>
  <c r="DR40" i="56"/>
  <c r="AL39" i="56"/>
  <c r="AM39" i="56"/>
  <c r="DR39" i="56"/>
  <c r="AL38" i="56"/>
  <c r="DR38" i="56"/>
  <c r="AL37" i="56"/>
  <c r="DR37" i="56"/>
  <c r="AL36" i="56"/>
  <c r="DR36" i="56"/>
  <c r="DS36" i="56" s="1"/>
  <c r="AL35" i="56"/>
  <c r="DR35" i="56"/>
  <c r="DS35" i="56"/>
  <c r="AL34" i="56"/>
  <c r="AM34" i="56"/>
  <c r="AN34" i="56" s="1"/>
  <c r="DR34" i="56"/>
  <c r="AL33" i="56"/>
  <c r="AM33" i="56"/>
  <c r="AN33" i="56" s="1"/>
  <c r="DR33" i="56"/>
  <c r="AL32" i="56"/>
  <c r="DR32" i="56"/>
  <c r="DS32" i="56" s="1"/>
  <c r="AL31" i="56"/>
  <c r="AM31" i="56" s="1"/>
  <c r="DR31" i="56"/>
  <c r="DU31" i="56" s="1"/>
  <c r="DS31" i="56"/>
  <c r="FI3" i="56"/>
  <c r="FI4" i="56" s="1"/>
  <c r="FI2" i="56" s="1"/>
  <c r="BN14" i="7" s="1"/>
  <c r="AL30" i="56"/>
  <c r="AM30" i="56" s="1"/>
  <c r="AO30" i="56" s="1"/>
  <c r="DR30" i="56"/>
  <c r="FH3" i="56"/>
  <c r="FG3" i="56"/>
  <c r="FD6" i="56"/>
  <c r="X29" i="56"/>
  <c r="BN29" i="56"/>
  <c r="X28" i="56"/>
  <c r="BN28" i="56"/>
  <c r="X27" i="56"/>
  <c r="BN27" i="56"/>
  <c r="BO27" i="56"/>
  <c r="X26" i="56"/>
  <c r="BN26" i="56"/>
  <c r="X25" i="56"/>
  <c r="BN25" i="56"/>
  <c r="BO25" i="56" s="1"/>
  <c r="BP25" i="56" s="1"/>
  <c r="X24" i="56"/>
  <c r="BN24" i="56"/>
  <c r="BO24" i="56" s="1"/>
  <c r="X23" i="56"/>
  <c r="BN23" i="56"/>
  <c r="BO23" i="56" s="1"/>
  <c r="BP23" i="56" s="1"/>
  <c r="X22" i="56"/>
  <c r="BN22" i="56"/>
  <c r="X21" i="56"/>
  <c r="BN21" i="56"/>
  <c r="BO21" i="56" s="1"/>
  <c r="BQ21" i="56" s="1"/>
  <c r="X20" i="56"/>
  <c r="BN20" i="56"/>
  <c r="X19" i="56"/>
  <c r="BN19" i="56"/>
  <c r="X18" i="56"/>
  <c r="BN18" i="56"/>
  <c r="BO18" i="56"/>
  <c r="X17" i="56"/>
  <c r="BN17" i="56"/>
  <c r="BO17" i="56" s="1"/>
  <c r="X16" i="56"/>
  <c r="BN16" i="56"/>
  <c r="BO16" i="56"/>
  <c r="X15" i="56"/>
  <c r="BN15" i="56"/>
  <c r="X14" i="56"/>
  <c r="BN14" i="56"/>
  <c r="X13" i="56"/>
  <c r="BN13" i="56"/>
  <c r="BO13" i="56" s="1"/>
  <c r="X12" i="56"/>
  <c r="BN12" i="56"/>
  <c r="BO12" i="56" s="1"/>
  <c r="BQ12" i="56" s="1"/>
  <c r="X11" i="56"/>
  <c r="BN11" i="56"/>
  <c r="BO11" i="56"/>
  <c r="X10" i="56"/>
  <c r="BN10" i="56"/>
  <c r="BO10" i="56" s="1"/>
  <c r="X105" i="56"/>
  <c r="BN105" i="56"/>
  <c r="X104" i="56"/>
  <c r="BN104" i="56"/>
  <c r="X103" i="56"/>
  <c r="BN103" i="56"/>
  <c r="BO103" i="56"/>
  <c r="X102" i="56"/>
  <c r="Y102" i="56" s="1"/>
  <c r="Z102" i="56" s="1"/>
  <c r="BN102" i="56"/>
  <c r="X101" i="56"/>
  <c r="BN101" i="56"/>
  <c r="X100" i="56"/>
  <c r="Y100" i="56" s="1"/>
  <c r="BN100" i="56"/>
  <c r="BO100" i="56" s="1"/>
  <c r="X99" i="56"/>
  <c r="BN99" i="56"/>
  <c r="X98" i="56"/>
  <c r="BN98" i="56"/>
  <c r="X97" i="56"/>
  <c r="BN97" i="56"/>
  <c r="X96" i="56"/>
  <c r="BN96" i="56"/>
  <c r="BO96" i="56"/>
  <c r="X95" i="56"/>
  <c r="BN95" i="56"/>
  <c r="X94" i="56"/>
  <c r="BN94" i="56"/>
  <c r="X93" i="56"/>
  <c r="BN93" i="56"/>
  <c r="BO93" i="56" s="1"/>
  <c r="X92" i="56"/>
  <c r="BN92" i="56"/>
  <c r="BO92" i="56"/>
  <c r="X91" i="56"/>
  <c r="BN91" i="56"/>
  <c r="X90" i="56"/>
  <c r="BN90" i="56"/>
  <c r="BO90" i="56" s="1"/>
  <c r="X89" i="56"/>
  <c r="BN89" i="56"/>
  <c r="X88" i="56"/>
  <c r="BN88" i="56"/>
  <c r="BO88" i="56"/>
  <c r="BP88" i="56" s="1"/>
  <c r="X87" i="56"/>
  <c r="BN87" i="56"/>
  <c r="X86" i="56"/>
  <c r="BN86" i="56"/>
  <c r="BO86" i="56" s="1"/>
  <c r="X85" i="56"/>
  <c r="BN85" i="56"/>
  <c r="BO85" i="56" s="1"/>
  <c r="BP85" i="56" s="1"/>
  <c r="X84" i="56"/>
  <c r="BN84" i="56"/>
  <c r="BO84" i="56" s="1"/>
  <c r="BP84" i="56" s="1"/>
  <c r="X83" i="56"/>
  <c r="BN83" i="56"/>
  <c r="BO83" i="56"/>
  <c r="X82" i="56"/>
  <c r="BN82" i="56"/>
  <c r="X81" i="56"/>
  <c r="BN81" i="56"/>
  <c r="BO81" i="56" s="1"/>
  <c r="X80" i="56"/>
  <c r="BN80" i="56"/>
  <c r="BO80" i="56"/>
  <c r="BP80" i="56" s="1"/>
  <c r="X79" i="56"/>
  <c r="BN79" i="56"/>
  <c r="BO79" i="56"/>
  <c r="BP79" i="56" s="1"/>
  <c r="X78" i="56"/>
  <c r="BN78" i="56"/>
  <c r="BO78" i="56"/>
  <c r="BP78" i="56" s="1"/>
  <c r="X77" i="56"/>
  <c r="BN77" i="56"/>
  <c r="BO77" i="56"/>
  <c r="BP77" i="56" s="1"/>
  <c r="X76" i="56"/>
  <c r="BN76" i="56"/>
  <c r="X75" i="56"/>
  <c r="BN75" i="56"/>
  <c r="X74" i="56"/>
  <c r="BN74" i="56"/>
  <c r="BO74" i="56"/>
  <c r="X73" i="56"/>
  <c r="BN73" i="56"/>
  <c r="X72" i="56"/>
  <c r="BN72" i="56"/>
  <c r="X71" i="56"/>
  <c r="Y71" i="56" s="1"/>
  <c r="BN71" i="56"/>
  <c r="X70" i="56"/>
  <c r="BN70" i="56"/>
  <c r="BO70" i="56" s="1"/>
  <c r="X69" i="56"/>
  <c r="BN69" i="56"/>
  <c r="BO69" i="56" s="1"/>
  <c r="X68" i="56"/>
  <c r="BN68" i="56"/>
  <c r="X67" i="56"/>
  <c r="Y67" i="56" s="1"/>
  <c r="Z67" i="56" s="1"/>
  <c r="BN67" i="56"/>
  <c r="X66" i="56"/>
  <c r="BN66" i="56"/>
  <c r="BO66" i="56"/>
  <c r="BQ66" i="56" s="1"/>
  <c r="X65" i="56"/>
  <c r="BN65" i="56"/>
  <c r="BO65" i="56" s="1"/>
  <c r="X64" i="56"/>
  <c r="BN64" i="56"/>
  <c r="BO64" i="56"/>
  <c r="X63" i="56"/>
  <c r="BN63" i="56"/>
  <c r="X62" i="56"/>
  <c r="BN62" i="56"/>
  <c r="X61" i="56"/>
  <c r="Y61" i="56" s="1"/>
  <c r="Z61" i="56" s="1"/>
  <c r="BN61" i="56"/>
  <c r="X60" i="56"/>
  <c r="BN60" i="56"/>
  <c r="X59" i="56"/>
  <c r="BN59" i="56"/>
  <c r="BO59" i="56" s="1"/>
  <c r="X58" i="56"/>
  <c r="BN58" i="56"/>
  <c r="X57" i="56"/>
  <c r="BN57" i="56"/>
  <c r="X56" i="56"/>
  <c r="BN56" i="56"/>
  <c r="BO56" i="56"/>
  <c r="X55" i="56"/>
  <c r="BN55" i="56"/>
  <c r="BO55" i="56" s="1"/>
  <c r="X54" i="56"/>
  <c r="Y54" i="56" s="1"/>
  <c r="BN54" i="56"/>
  <c r="X53" i="56"/>
  <c r="Y53" i="56" s="1"/>
  <c r="Z53" i="56" s="1"/>
  <c r="BN53" i="56"/>
  <c r="BO53" i="56" s="1"/>
  <c r="X52" i="56"/>
  <c r="BN52" i="56"/>
  <c r="X51" i="56"/>
  <c r="BN51" i="56"/>
  <c r="BO51" i="56"/>
  <c r="X50" i="56"/>
  <c r="BN50" i="56"/>
  <c r="X49" i="56"/>
  <c r="BN49" i="56"/>
  <c r="X48" i="56"/>
  <c r="BN48" i="56"/>
  <c r="BO48" i="56" s="1"/>
  <c r="X47" i="56"/>
  <c r="Y47" i="56" s="1"/>
  <c r="Z47" i="56" s="1"/>
  <c r="BN47" i="56"/>
  <c r="X46" i="56"/>
  <c r="BN46" i="56"/>
  <c r="BO46" i="56" s="1"/>
  <c r="X45" i="56"/>
  <c r="BN45" i="56"/>
  <c r="BO45" i="56"/>
  <c r="X44" i="56"/>
  <c r="BN44" i="56"/>
  <c r="BO44" i="56" s="1"/>
  <c r="BQ44" i="56" s="1"/>
  <c r="X43" i="56"/>
  <c r="Y43" i="56" s="1"/>
  <c r="Z43" i="56" s="1"/>
  <c r="BN43" i="56"/>
  <c r="X42" i="56"/>
  <c r="BN42" i="56"/>
  <c r="X41" i="56"/>
  <c r="BN41" i="56"/>
  <c r="BO41" i="56"/>
  <c r="X40" i="56"/>
  <c r="BN40" i="56"/>
  <c r="X39" i="56"/>
  <c r="BN39" i="56"/>
  <c r="X38" i="56"/>
  <c r="Y38" i="56"/>
  <c r="BN38" i="56"/>
  <c r="X37" i="56"/>
  <c r="Y37" i="56" s="1"/>
  <c r="BN37" i="56"/>
  <c r="X36" i="56"/>
  <c r="Y36" i="56" s="1"/>
  <c r="BN36" i="56"/>
  <c r="BO36" i="56" s="1"/>
  <c r="X35" i="56"/>
  <c r="BN35" i="56"/>
  <c r="BO35" i="56" s="1"/>
  <c r="X34" i="56"/>
  <c r="Y34" i="56" s="1"/>
  <c r="BN34" i="56"/>
  <c r="BO34" i="56" s="1"/>
  <c r="X33" i="56"/>
  <c r="Y33" i="56" s="1"/>
  <c r="BN33" i="56"/>
  <c r="BO33" i="56"/>
  <c r="X32" i="56"/>
  <c r="Y32" i="56"/>
  <c r="BN32" i="56"/>
  <c r="X31" i="56"/>
  <c r="Y31" i="56" s="1"/>
  <c r="BN31" i="56"/>
  <c r="EH3" i="56"/>
  <c r="AY1" i="7" s="1"/>
  <c r="EG3" i="56"/>
  <c r="AX1" i="7" s="1"/>
  <c r="ET3" i="56"/>
  <c r="ES3" i="56"/>
  <c r="EP6" i="56"/>
  <c r="X30" i="56"/>
  <c r="Y30" i="56" s="1"/>
  <c r="BN30" i="56"/>
  <c r="EC6" i="56"/>
  <c r="EB6" i="56"/>
  <c r="EF3" i="56"/>
  <c r="EE3" i="56"/>
  <c r="L18" i="56"/>
  <c r="L17" i="56"/>
  <c r="L16" i="56"/>
  <c r="L14" i="56"/>
  <c r="L12" i="56"/>
  <c r="L10" i="56"/>
  <c r="L105" i="56"/>
  <c r="L102" i="56"/>
  <c r="L97" i="56"/>
  <c r="L96" i="56"/>
  <c r="L95" i="56"/>
  <c r="L94" i="56"/>
  <c r="L91" i="56"/>
  <c r="L90" i="56"/>
  <c r="L89" i="56"/>
  <c r="L86" i="56"/>
  <c r="L85" i="56"/>
  <c r="L82" i="56"/>
  <c r="L81" i="56"/>
  <c r="L79" i="56"/>
  <c r="L78" i="56"/>
  <c r="L76" i="56"/>
  <c r="L75" i="56"/>
  <c r="L74" i="56"/>
  <c r="L73" i="56"/>
  <c r="L70" i="56"/>
  <c r="L62" i="56"/>
  <c r="L60" i="56"/>
  <c r="L53" i="56"/>
  <c r="L50" i="56"/>
  <c r="L49" i="56"/>
  <c r="L47" i="56"/>
  <c r="L46" i="56"/>
  <c r="L39" i="56"/>
  <c r="L38" i="56"/>
  <c r="L37" i="56"/>
  <c r="L35" i="56"/>
  <c r="L34" i="56"/>
  <c r="HB6" i="56"/>
  <c r="HC6" i="56" s="1"/>
  <c r="HD6" i="56" s="1"/>
  <c r="HE6" i="56" s="1"/>
  <c r="HF6" i="56" s="1"/>
  <c r="HG6" i="56" s="1"/>
  <c r="HH6" i="56" s="1"/>
  <c r="HI6" i="56" s="1"/>
  <c r="HJ6" i="56" s="1"/>
  <c r="HK6" i="56" s="1"/>
  <c r="HG110" i="56"/>
  <c r="HH110" i="56"/>
  <c r="HF110" i="56"/>
  <c r="HI110" i="56" s="1"/>
  <c r="HJ110" i="56" s="1"/>
  <c r="HG109" i="56"/>
  <c r="HH109" i="56"/>
  <c r="HF109" i="56"/>
  <c r="HG108" i="56"/>
  <c r="HH108" i="56"/>
  <c r="HF108" i="56"/>
  <c r="HI108" i="56" s="1"/>
  <c r="HK108" i="56" s="1"/>
  <c r="HG107" i="56"/>
  <c r="HH107" i="56"/>
  <c r="HF107" i="56"/>
  <c r="HG106" i="56"/>
  <c r="HH106" i="56"/>
  <c r="HF106" i="56"/>
  <c r="HI106" i="56" s="1"/>
  <c r="HG105" i="56"/>
  <c r="HH105" i="56"/>
  <c r="HF105" i="56"/>
  <c r="HG104" i="56"/>
  <c r="HH104" i="56"/>
  <c r="HF104" i="56"/>
  <c r="HI104" i="56" s="1"/>
  <c r="HG103" i="56"/>
  <c r="HH103" i="56"/>
  <c r="HF103" i="56"/>
  <c r="HG102" i="56"/>
  <c r="HH102" i="56"/>
  <c r="HF102" i="56"/>
  <c r="HG101" i="56"/>
  <c r="HH101" i="56"/>
  <c r="HF101" i="56"/>
  <c r="HG100" i="56"/>
  <c r="HK100" i="56" s="1"/>
  <c r="HH100" i="56"/>
  <c r="HF100" i="56"/>
  <c r="HJ100" i="56" s="1"/>
  <c r="HI100" i="56"/>
  <c r="HG99" i="56"/>
  <c r="HH99" i="56"/>
  <c r="HF99" i="56"/>
  <c r="HG98" i="56"/>
  <c r="HH98" i="56"/>
  <c r="HF98" i="56"/>
  <c r="HJ98" i="56" s="1"/>
  <c r="HI98" i="56"/>
  <c r="HG97" i="56"/>
  <c r="HH97" i="56"/>
  <c r="HF97" i="56"/>
  <c r="HG96" i="56"/>
  <c r="HH96" i="56"/>
  <c r="HF96" i="56"/>
  <c r="HJ96" i="56" s="1"/>
  <c r="HI96" i="56"/>
  <c r="HG95" i="56"/>
  <c r="HH95" i="56"/>
  <c r="HF95" i="56"/>
  <c r="HG94" i="56"/>
  <c r="HH94" i="56"/>
  <c r="HF94" i="56"/>
  <c r="HG93" i="56"/>
  <c r="HH93" i="56"/>
  <c r="HF93" i="56"/>
  <c r="HG92" i="56"/>
  <c r="HH92" i="56"/>
  <c r="HF92" i="56"/>
  <c r="HI92" i="56" s="1"/>
  <c r="HG91" i="56"/>
  <c r="HH91" i="56"/>
  <c r="HF91" i="56"/>
  <c r="HG90" i="56"/>
  <c r="HH90" i="56"/>
  <c r="HF90" i="56"/>
  <c r="HI90" i="56" s="1"/>
  <c r="HJ90" i="56" s="1"/>
  <c r="HG89" i="56"/>
  <c r="HH89" i="56"/>
  <c r="HF89" i="56"/>
  <c r="HG88" i="56"/>
  <c r="HH88" i="56"/>
  <c r="HF88" i="56"/>
  <c r="HI88" i="56" s="1"/>
  <c r="HJ88" i="56" s="1"/>
  <c r="HG87" i="56"/>
  <c r="HH87" i="56"/>
  <c r="HF87" i="56"/>
  <c r="HG86" i="56"/>
  <c r="HH86" i="56"/>
  <c r="HF86" i="56"/>
  <c r="HG85" i="56"/>
  <c r="HH85" i="56"/>
  <c r="HF85" i="56"/>
  <c r="HG84" i="56"/>
  <c r="HK84" i="56" s="1"/>
  <c r="HH84" i="56"/>
  <c r="HF84" i="56"/>
  <c r="HJ84" i="56" s="1"/>
  <c r="HI84" i="56"/>
  <c r="HG83" i="56"/>
  <c r="HH83" i="56"/>
  <c r="HF83" i="56"/>
  <c r="HG82" i="56"/>
  <c r="HH82" i="56"/>
  <c r="HK82" i="56" s="1"/>
  <c r="HF82" i="56"/>
  <c r="HI82" i="56"/>
  <c r="HJ82" i="56" s="1"/>
  <c r="HG81" i="56"/>
  <c r="HH81" i="56"/>
  <c r="HF81" i="56"/>
  <c r="HG80" i="56"/>
  <c r="HH80" i="56"/>
  <c r="HK80" i="56" s="1"/>
  <c r="HF80" i="56"/>
  <c r="HI80" i="56"/>
  <c r="HJ80" i="56" s="1"/>
  <c r="HG79" i="56"/>
  <c r="HH79" i="56"/>
  <c r="HF79" i="56"/>
  <c r="HG78" i="56"/>
  <c r="HH78" i="56"/>
  <c r="HF78" i="56"/>
  <c r="HG77" i="56"/>
  <c r="HH77" i="56"/>
  <c r="HF77" i="56"/>
  <c r="HG76" i="56"/>
  <c r="HH76" i="56"/>
  <c r="HF76" i="56"/>
  <c r="HI76" i="56" s="1"/>
  <c r="HK76" i="56" s="1"/>
  <c r="HG75" i="56"/>
  <c r="HH75" i="56"/>
  <c r="HF75" i="56"/>
  <c r="HG74" i="56"/>
  <c r="HH74" i="56"/>
  <c r="HF74" i="56"/>
  <c r="HI74" i="56" s="1"/>
  <c r="HG73" i="56"/>
  <c r="HH73" i="56"/>
  <c r="HF73" i="56"/>
  <c r="HG72" i="56"/>
  <c r="HH72" i="56"/>
  <c r="HF72" i="56"/>
  <c r="HI72" i="56" s="1"/>
  <c r="HG71" i="56"/>
  <c r="HH71" i="56"/>
  <c r="HF71" i="56"/>
  <c r="HG70" i="56"/>
  <c r="HH70" i="56"/>
  <c r="HF70" i="56"/>
  <c r="HG69" i="56"/>
  <c r="HH69" i="56"/>
  <c r="HF69" i="56"/>
  <c r="HG68" i="56"/>
  <c r="HK68" i="56" s="1"/>
  <c r="HH68" i="56"/>
  <c r="HF68" i="56"/>
  <c r="HJ68" i="56" s="1"/>
  <c r="HI68" i="56"/>
  <c r="HG67" i="56"/>
  <c r="HH67" i="56"/>
  <c r="HF67" i="56"/>
  <c r="HG66" i="56"/>
  <c r="HH66" i="56"/>
  <c r="HF66" i="56"/>
  <c r="HJ66" i="56" s="1"/>
  <c r="HI66" i="56"/>
  <c r="HG65" i="56"/>
  <c r="HH65" i="56"/>
  <c r="HF65" i="56"/>
  <c r="HG64" i="56"/>
  <c r="HH64" i="56"/>
  <c r="HF64" i="56"/>
  <c r="HJ64" i="56" s="1"/>
  <c r="HI64" i="56"/>
  <c r="HG63" i="56"/>
  <c r="HH63" i="56"/>
  <c r="HF63" i="56"/>
  <c r="HG62" i="56"/>
  <c r="HH62" i="56"/>
  <c r="HF62" i="56"/>
  <c r="HG61" i="56"/>
  <c r="HH61" i="56"/>
  <c r="HF61" i="56"/>
  <c r="HG60" i="56"/>
  <c r="HH60" i="56"/>
  <c r="HF60" i="56"/>
  <c r="HI60" i="56" s="1"/>
  <c r="HG59" i="56"/>
  <c r="HH59" i="56"/>
  <c r="HF59" i="56"/>
  <c r="HG58" i="56"/>
  <c r="HH58" i="56"/>
  <c r="HF58" i="56"/>
  <c r="HI58" i="56" s="1"/>
  <c r="HJ58" i="56" s="1"/>
  <c r="HG57" i="56"/>
  <c r="HH57" i="56"/>
  <c r="HF57" i="56"/>
  <c r="HG56" i="56"/>
  <c r="HH56" i="56"/>
  <c r="HF56" i="56"/>
  <c r="HI56" i="56" s="1"/>
  <c r="HJ56" i="56" s="1"/>
  <c r="HG55" i="56"/>
  <c r="HH55" i="56"/>
  <c r="HF55" i="56"/>
  <c r="HG54" i="56"/>
  <c r="HH54" i="56"/>
  <c r="HF54" i="56"/>
  <c r="HG53" i="56"/>
  <c r="HH53" i="56"/>
  <c r="HF53" i="56"/>
  <c r="HG52" i="56"/>
  <c r="HK52" i="56" s="1"/>
  <c r="HH52" i="56"/>
  <c r="HF52" i="56"/>
  <c r="HJ52" i="56" s="1"/>
  <c r="HI52" i="56"/>
  <c r="HG51" i="56"/>
  <c r="HH51" i="56"/>
  <c r="HF51" i="56"/>
  <c r="HG50" i="56"/>
  <c r="HH50" i="56"/>
  <c r="HK50" i="56" s="1"/>
  <c r="HF50" i="56"/>
  <c r="HJ50" i="56" s="1"/>
  <c r="HI50" i="56"/>
  <c r="HG49" i="56"/>
  <c r="HH49" i="56"/>
  <c r="HF49" i="56"/>
  <c r="HG48" i="56"/>
  <c r="HH48" i="56"/>
  <c r="HK48" i="56" s="1"/>
  <c r="HF48" i="56"/>
  <c r="HJ48" i="56" s="1"/>
  <c r="HI48" i="56"/>
  <c r="HG47" i="56"/>
  <c r="HH47" i="56"/>
  <c r="HF47" i="56"/>
  <c r="HG46" i="56"/>
  <c r="HH46" i="56"/>
  <c r="HF46" i="56"/>
  <c r="HG45" i="56"/>
  <c r="HH45" i="56"/>
  <c r="HF45" i="56"/>
  <c r="HG44" i="56"/>
  <c r="HH44" i="56"/>
  <c r="HF44" i="56"/>
  <c r="HI44" i="56" s="1"/>
  <c r="HK44" i="56" s="1"/>
  <c r="HG43" i="56"/>
  <c r="HH43" i="56"/>
  <c r="HF43" i="56"/>
  <c r="HG42" i="56"/>
  <c r="HH42" i="56"/>
  <c r="HF42" i="56"/>
  <c r="HI42" i="56" s="1"/>
  <c r="HG41" i="56"/>
  <c r="HH41" i="56"/>
  <c r="HF41" i="56"/>
  <c r="HG40" i="56"/>
  <c r="HH40" i="56"/>
  <c r="HF40" i="56"/>
  <c r="HI40" i="56" s="1"/>
  <c r="HG39" i="56"/>
  <c r="HH39" i="56"/>
  <c r="HF39" i="56"/>
  <c r="HG38" i="56"/>
  <c r="HH38" i="56"/>
  <c r="HF38" i="56"/>
  <c r="HG37" i="56"/>
  <c r="HH37" i="56"/>
  <c r="HF37" i="56"/>
  <c r="HG36" i="56"/>
  <c r="HK36" i="56" s="1"/>
  <c r="HH36" i="56"/>
  <c r="HF36" i="56"/>
  <c r="HJ36" i="56" s="1"/>
  <c r="HI36" i="56"/>
  <c r="HG35" i="56"/>
  <c r="HH35" i="56"/>
  <c r="HF35" i="56"/>
  <c r="HG34" i="56"/>
  <c r="HH34" i="56"/>
  <c r="HF34" i="56"/>
  <c r="HJ34" i="56" s="1"/>
  <c r="HI34" i="56"/>
  <c r="HG33" i="56"/>
  <c r="HH33" i="56"/>
  <c r="HF33" i="56"/>
  <c r="HG32" i="56"/>
  <c r="HH32" i="56"/>
  <c r="HF32" i="56"/>
  <c r="HJ32" i="56" s="1"/>
  <c r="HI32" i="56"/>
  <c r="HG31" i="56"/>
  <c r="HH31" i="56"/>
  <c r="HF31" i="56"/>
  <c r="HG30" i="56"/>
  <c r="HH30" i="56"/>
  <c r="HF30" i="56"/>
  <c r="HG29" i="56"/>
  <c r="HH29" i="56"/>
  <c r="HF29" i="56"/>
  <c r="HG28" i="56"/>
  <c r="HH28" i="56"/>
  <c r="HF28" i="56"/>
  <c r="HI28" i="56" s="1"/>
  <c r="HG27" i="56"/>
  <c r="HH27" i="56"/>
  <c r="HF27" i="56"/>
  <c r="HG26" i="56"/>
  <c r="HH26" i="56"/>
  <c r="HF26" i="56"/>
  <c r="HI26" i="56" s="1"/>
  <c r="HJ26" i="56" s="1"/>
  <c r="HG25" i="56"/>
  <c r="HH25" i="56"/>
  <c r="HF25" i="56"/>
  <c r="HG24" i="56"/>
  <c r="HH24" i="56"/>
  <c r="HF24" i="56"/>
  <c r="HI24" i="56" s="1"/>
  <c r="HJ24" i="56" s="1"/>
  <c r="HG23" i="56"/>
  <c r="HH23" i="56"/>
  <c r="HF23" i="56"/>
  <c r="HG22" i="56"/>
  <c r="HH22" i="56"/>
  <c r="HF22" i="56"/>
  <c r="HG21" i="56"/>
  <c r="HH21" i="56"/>
  <c r="HF21" i="56"/>
  <c r="HG20" i="56"/>
  <c r="HK20" i="56" s="1"/>
  <c r="HH20" i="56"/>
  <c r="HF20" i="56"/>
  <c r="HJ20" i="56" s="1"/>
  <c r="HI20" i="56"/>
  <c r="HG19" i="56"/>
  <c r="HH19" i="56"/>
  <c r="HF19" i="56"/>
  <c r="HG18" i="56"/>
  <c r="HH18" i="56"/>
  <c r="HK18" i="56" s="1"/>
  <c r="HF18" i="56"/>
  <c r="HJ18" i="56" s="1"/>
  <c r="HI18" i="56"/>
  <c r="HG17" i="56"/>
  <c r="HH17" i="56"/>
  <c r="HF17" i="56"/>
  <c r="HG16" i="56"/>
  <c r="HH16" i="56"/>
  <c r="HK16" i="56" s="1"/>
  <c r="HF16" i="56"/>
  <c r="HJ16" i="56" s="1"/>
  <c r="HI16" i="56"/>
  <c r="HG15" i="56"/>
  <c r="HH15" i="56"/>
  <c r="HF15" i="56"/>
  <c r="HG14" i="56"/>
  <c r="HH14" i="56"/>
  <c r="HF14" i="56"/>
  <c r="HG13" i="56"/>
  <c r="HH13" i="56"/>
  <c r="HF13" i="56"/>
  <c r="HG12" i="56"/>
  <c r="HH12" i="56"/>
  <c r="HF12" i="56"/>
  <c r="HI12" i="56" s="1"/>
  <c r="HK12" i="56" s="1"/>
  <c r="HG11" i="56"/>
  <c r="HH11" i="56"/>
  <c r="HF11" i="56"/>
  <c r="HG10" i="56"/>
  <c r="HH10" i="56"/>
  <c r="HF10" i="56"/>
  <c r="HI10" i="56" s="1"/>
  <c r="HH3" i="56"/>
  <c r="HG3" i="56"/>
  <c r="HF3" i="56"/>
  <c r="A19" i="55"/>
  <c r="A21" i="55"/>
  <c r="A21" i="38" s="1"/>
  <c r="CV21" i="38" s="1"/>
  <c r="A131" i="55"/>
  <c r="AK14" i="46"/>
  <c r="AJ14" i="46"/>
  <c r="AF14" i="46"/>
  <c r="AE14" i="46"/>
  <c r="AD14" i="46"/>
  <c r="FO15" i="46" s="1"/>
  <c r="AA14" i="46"/>
  <c r="Z14" i="46"/>
  <c r="Y14" i="46"/>
  <c r="FL14" i="46" s="1"/>
  <c r="X14" i="46"/>
  <c r="W14" i="46"/>
  <c r="V14" i="46"/>
  <c r="FM14" i="46" s="1"/>
  <c r="U14" i="46"/>
  <c r="P14" i="46"/>
  <c r="M14" i="46"/>
  <c r="L14" i="46"/>
  <c r="A14" i="46"/>
  <c r="AB11" i="46"/>
  <c r="S11" i="46"/>
  <c r="M11" i="46"/>
  <c r="L11" i="46"/>
  <c r="F11" i="46"/>
  <c r="AK14" i="45"/>
  <c r="AF14" i="45"/>
  <c r="AE14" i="45"/>
  <c r="AA14" i="45"/>
  <c r="Z14" i="45"/>
  <c r="X14" i="45"/>
  <c r="W14" i="45"/>
  <c r="U14" i="45"/>
  <c r="P14" i="45"/>
  <c r="M14" i="45"/>
  <c r="L14" i="45"/>
  <c r="A14" i="45"/>
  <c r="AB11" i="45"/>
  <c r="S11" i="45"/>
  <c r="M11" i="45"/>
  <c r="L11" i="45"/>
  <c r="F11" i="45"/>
  <c r="A17" i="38"/>
  <c r="P14" i="38"/>
  <c r="CI18" i="38"/>
  <c r="AK14" i="38"/>
  <c r="AF14" i="38"/>
  <c r="AE14" i="38"/>
  <c r="AA14" i="38"/>
  <c r="Y14" i="38"/>
  <c r="FO14" i="38" s="1"/>
  <c r="X14" i="38"/>
  <c r="W14" i="38"/>
  <c r="U14" i="38"/>
  <c r="R14" i="38"/>
  <c r="L14" i="38"/>
  <c r="A14" i="38"/>
  <c r="AB11" i="38"/>
  <c r="R11" i="38"/>
  <c r="O11" i="38"/>
  <c r="M11" i="38"/>
  <c r="L11" i="38"/>
  <c r="I11" i="38"/>
  <c r="F11" i="38"/>
  <c r="J18" i="46"/>
  <c r="J14" i="46"/>
  <c r="G14" i="46"/>
  <c r="F14" i="46"/>
  <c r="J11" i="46"/>
  <c r="J18" i="45"/>
  <c r="J14" i="45"/>
  <c r="G14" i="45"/>
  <c r="F14" i="45"/>
  <c r="J11" i="45"/>
  <c r="J18" i="38"/>
  <c r="J11" i="38"/>
  <c r="I38" i="10"/>
  <c r="CH15" i="38"/>
  <c r="BT18" i="41" s="1"/>
  <c r="CK15" i="38"/>
  <c r="BS18" i="41" s="1"/>
  <c r="CJ15" i="38"/>
  <c r="BR18" i="41" s="1"/>
  <c r="CI15" i="38"/>
  <c r="BQ18" i="41" s="1"/>
  <c r="CL15" i="38"/>
  <c r="CF15" i="38"/>
  <c r="CH18" i="38"/>
  <c r="J16" i="10"/>
  <c r="AI14" i="46"/>
  <c r="AI14" i="45"/>
  <c r="AI14" i="38"/>
  <c r="J31" i="10"/>
  <c r="J45" i="10"/>
  <c r="J63" i="10"/>
  <c r="J80" i="10" s="1"/>
  <c r="J18" i="10"/>
  <c r="J85" i="10"/>
  <c r="J86" i="10"/>
  <c r="I84" i="10"/>
  <c r="J24" i="10"/>
  <c r="J19" i="10"/>
  <c r="J20" i="10" s="1"/>
  <c r="J100" i="10"/>
  <c r="I18" i="38"/>
  <c r="G14" i="38"/>
  <c r="F14" i="38"/>
  <c r="CE15" i="38"/>
  <c r="BO18" i="41" s="1"/>
  <c r="CD15" i="38"/>
  <c r="BN18" i="41" s="1"/>
  <c r="CC15" i="38"/>
  <c r="BM18" i="41" s="1"/>
  <c r="A20" i="41"/>
  <c r="AO18" i="46"/>
  <c r="AN18" i="46"/>
  <c r="AH14" i="46"/>
  <c r="AC14" i="46"/>
  <c r="AB14" i="46"/>
  <c r="Q14" i="46"/>
  <c r="AO18" i="45"/>
  <c r="AN18" i="45"/>
  <c r="AH14" i="45"/>
  <c r="AC14" i="45"/>
  <c r="AB14" i="45"/>
  <c r="Q14" i="45"/>
  <c r="AO18" i="38"/>
  <c r="G120" i="41"/>
  <c r="H120" i="41"/>
  <c r="I120" i="41"/>
  <c r="AH14" i="38"/>
  <c r="O14" i="38"/>
  <c r="J34" i="10"/>
  <c r="J40" i="10" s="1"/>
  <c r="J42" i="10" s="1"/>
  <c r="J27" i="10"/>
  <c r="AC14" i="38"/>
  <c r="AB14" i="38"/>
  <c r="Q14" i="38"/>
  <c r="A20" i="4"/>
  <c r="A20" i="6"/>
  <c r="A130" i="7"/>
  <c r="A20" i="7"/>
  <c r="BX14" i="38"/>
  <c r="Y45" i="56"/>
  <c r="Z45" i="56" s="1"/>
  <c r="Y49" i="56"/>
  <c r="Z49" i="56" s="1"/>
  <c r="Y51" i="56"/>
  <c r="Z51" i="56"/>
  <c r="AA67" i="56"/>
  <c r="Y77" i="56"/>
  <c r="Y83" i="56"/>
  <c r="Y89" i="56"/>
  <c r="Z89" i="56"/>
  <c r="Y11" i="56"/>
  <c r="AA11" i="56" s="1"/>
  <c r="Y15" i="56"/>
  <c r="Z15" i="56" s="1"/>
  <c r="Y21" i="56"/>
  <c r="Y27" i="56"/>
  <c r="Z27" i="56" s="1"/>
  <c r="AA27" i="56"/>
  <c r="DU10" i="56"/>
  <c r="AM27" i="56"/>
  <c r="AN27" i="56" s="1"/>
  <c r="DS38" i="56"/>
  <c r="DS70" i="56"/>
  <c r="DU70" i="56" s="1"/>
  <c r="DV86" i="56"/>
  <c r="DV102" i="56"/>
  <c r="DS102" i="56"/>
  <c r="DT102" i="56" s="1"/>
  <c r="AP20" i="56"/>
  <c r="AM20" i="56"/>
  <c r="AO20" i="56" s="1"/>
  <c r="EV71" i="56"/>
  <c r="BG61" i="7" s="1"/>
  <c r="Z71" i="56"/>
  <c r="DW105" i="56"/>
  <c r="AQ109" i="56"/>
  <c r="CF91" i="56"/>
  <c r="CC91" i="56"/>
  <c r="CE91" i="56" s="1"/>
  <c r="CD91" i="56"/>
  <c r="GK91" i="56"/>
  <c r="CD81" i="7" s="1"/>
  <c r="BD11" i="56"/>
  <c r="BA11" i="56"/>
  <c r="BB11" i="56"/>
  <c r="GK11" i="56"/>
  <c r="EG11" i="56"/>
  <c r="AB23" i="57"/>
  <c r="EU23" i="57"/>
  <c r="Y23" i="57"/>
  <c r="Z23" i="57"/>
  <c r="BO66" i="57"/>
  <c r="BP66" i="57"/>
  <c r="GP8" i="56"/>
  <c r="GO3" i="56"/>
  <c r="GO4" i="56" s="1"/>
  <c r="GO2" i="56" s="1"/>
  <c r="CF14" i="7" s="1"/>
  <c r="FX59" i="56"/>
  <c r="BW49" i="7"/>
  <c r="DH108" i="56"/>
  <c r="DE108" i="56"/>
  <c r="DF108" i="56" s="1"/>
  <c r="FW108" i="56"/>
  <c r="BV98" i="7"/>
  <c r="EU3" i="56"/>
  <c r="BF1" i="7" s="1"/>
  <c r="BQ80" i="56"/>
  <c r="FE6" i="56"/>
  <c r="AO65" i="56"/>
  <c r="AO98" i="56"/>
  <c r="AM11" i="56"/>
  <c r="AN11" i="56" s="1"/>
  <c r="BO110" i="56"/>
  <c r="BP110" i="56" s="1"/>
  <c r="EZ8" i="56"/>
  <c r="EY3" i="56"/>
  <c r="BH1" i="7" s="1"/>
  <c r="EU37" i="56"/>
  <c r="BF27" i="7" s="1"/>
  <c r="EU46" i="56"/>
  <c r="BF36" i="7" s="1"/>
  <c r="Y46" i="56"/>
  <c r="Z46" i="56"/>
  <c r="EU53" i="56"/>
  <c r="BF43" i="7" s="1"/>
  <c r="EU62" i="56"/>
  <c r="BF52" i="7" s="1"/>
  <c r="Y62" i="56"/>
  <c r="Z62" i="56"/>
  <c r="EU69" i="56"/>
  <c r="BF59" i="7"/>
  <c r="Y69" i="56"/>
  <c r="Z69" i="56"/>
  <c r="AB78" i="56"/>
  <c r="EU78" i="56"/>
  <c r="BF68" i="7" s="1"/>
  <c r="Y78" i="56"/>
  <c r="Z78" i="56"/>
  <c r="AB85" i="56"/>
  <c r="Y85" i="56"/>
  <c r="Z85" i="56" s="1"/>
  <c r="AB94" i="56"/>
  <c r="EU94" i="56"/>
  <c r="BF84" i="7"/>
  <c r="Y94" i="56"/>
  <c r="Z94" i="56" s="1"/>
  <c r="AB101" i="56"/>
  <c r="EU101" i="56"/>
  <c r="BF91" i="7"/>
  <c r="Y101" i="56"/>
  <c r="Z101" i="56"/>
  <c r="AB106" i="56"/>
  <c r="EU106" i="56"/>
  <c r="BF96" i="7" s="1"/>
  <c r="Y106" i="56"/>
  <c r="Z106" i="56" s="1"/>
  <c r="AA106" i="56"/>
  <c r="AB16" i="56"/>
  <c r="EU16" i="56"/>
  <c r="Y16" i="56"/>
  <c r="EU25" i="56"/>
  <c r="Y25" i="56"/>
  <c r="Z25" i="56" s="1"/>
  <c r="FI31" i="56"/>
  <c r="BN21" i="7" s="1"/>
  <c r="AN31" i="56"/>
  <c r="FI47" i="56"/>
  <c r="BN37" i="7"/>
  <c r="AM47" i="56"/>
  <c r="DT58" i="56"/>
  <c r="DV90" i="56"/>
  <c r="DT90" i="56"/>
  <c r="EV54" i="56"/>
  <c r="BG44" i="7" s="1"/>
  <c r="EV70" i="56"/>
  <c r="BG60" i="7" s="1"/>
  <c r="BS86" i="56"/>
  <c r="EV86" i="56"/>
  <c r="BG76" i="7"/>
  <c r="BS17" i="56"/>
  <c r="EV17" i="56"/>
  <c r="DS43" i="56"/>
  <c r="DS59" i="56"/>
  <c r="DW75" i="56"/>
  <c r="DS75" i="56"/>
  <c r="DW83" i="56"/>
  <c r="DW91" i="56"/>
  <c r="DS91" i="56"/>
  <c r="DS110" i="56"/>
  <c r="DT110" i="56" s="1"/>
  <c r="FJ110" i="56"/>
  <c r="BO100" i="7" s="1"/>
  <c r="K11" i="56"/>
  <c r="M11" i="56" s="1"/>
  <c r="L11" i="56"/>
  <c r="DW23" i="56"/>
  <c r="DS23" i="56"/>
  <c r="DU23" i="56" s="1"/>
  <c r="DT23" i="56"/>
  <c r="AQ24" i="56"/>
  <c r="FJ24" i="56"/>
  <c r="DS27" i="56"/>
  <c r="FJ28" i="56"/>
  <c r="BA31" i="56"/>
  <c r="BB31" i="56" s="1"/>
  <c r="BA36" i="56"/>
  <c r="BB36" i="56" s="1"/>
  <c r="BC36" i="56"/>
  <c r="GK36" i="56"/>
  <c r="CD26" i="7" s="1"/>
  <c r="GL37" i="56"/>
  <c r="CE27" i="7" s="1"/>
  <c r="GL40" i="56"/>
  <c r="CE30" i="7"/>
  <c r="EH40" i="56"/>
  <c r="AY30" i="7" s="1"/>
  <c r="CC41" i="56"/>
  <c r="GK41" i="56"/>
  <c r="CD31" i="7" s="1"/>
  <c r="BA48" i="56"/>
  <c r="BB48" i="56" s="1"/>
  <c r="CC49" i="56"/>
  <c r="GK49" i="56"/>
  <c r="CD39" i="7" s="1"/>
  <c r="BE17" i="56"/>
  <c r="BA17" i="56"/>
  <c r="BB17" i="56"/>
  <c r="GL17" i="56"/>
  <c r="EH17" i="56"/>
  <c r="AP17" i="57"/>
  <c r="AM17" i="57"/>
  <c r="AN17" i="57"/>
  <c r="BR15" i="57"/>
  <c r="BO15" i="57"/>
  <c r="BP15" i="57" s="1"/>
  <c r="K15" i="57"/>
  <c r="L15" i="57" s="1"/>
  <c r="AB11" i="57"/>
  <c r="EU11" i="57"/>
  <c r="Y11" i="57"/>
  <c r="Z11" i="57" s="1"/>
  <c r="G6" i="57"/>
  <c r="H6" i="57" s="1"/>
  <c r="BO45" i="57"/>
  <c r="BP45" i="57"/>
  <c r="Y47" i="57"/>
  <c r="AA47" i="57"/>
  <c r="Y53" i="57"/>
  <c r="AA53" i="57"/>
  <c r="BO55" i="57"/>
  <c r="BP55" i="57" s="1"/>
  <c r="BQ55" i="57"/>
  <c r="BR82" i="57"/>
  <c r="BO82" i="57"/>
  <c r="BP82" i="57"/>
  <c r="CT17" i="56"/>
  <c r="CQ17" i="56"/>
  <c r="CS17" i="56" s="1"/>
  <c r="FW17" i="56"/>
  <c r="EG17" i="56"/>
  <c r="CQ49" i="56"/>
  <c r="CS49" i="56" s="1"/>
  <c r="FW49" i="56"/>
  <c r="BV39" i="7"/>
  <c r="Y41" i="56"/>
  <c r="Y57" i="56"/>
  <c r="AA57" i="56"/>
  <c r="Z57" i="56"/>
  <c r="Y65" i="56"/>
  <c r="Z65" i="56"/>
  <c r="Y73" i="56"/>
  <c r="Z73" i="56" s="1"/>
  <c r="Y97" i="56"/>
  <c r="Z97" i="56"/>
  <c r="Y99" i="56"/>
  <c r="Y17" i="56"/>
  <c r="Z17" i="56" s="1"/>
  <c r="Y19" i="56"/>
  <c r="AN61" i="56"/>
  <c r="AM96" i="56"/>
  <c r="AN96" i="56" s="1"/>
  <c r="FI43" i="56"/>
  <c r="BN33" i="7" s="1"/>
  <c r="AC103" i="56"/>
  <c r="EV103" i="56"/>
  <c r="BG93" i="7"/>
  <c r="Y103" i="56"/>
  <c r="Z103" i="56"/>
  <c r="AC18" i="56"/>
  <c r="EV18" i="56"/>
  <c r="Y18" i="56"/>
  <c r="Z18" i="56"/>
  <c r="O12" i="56"/>
  <c r="EH12" i="56"/>
  <c r="M12" i="56"/>
  <c r="K27" i="56"/>
  <c r="L27" i="56" s="1"/>
  <c r="CC34" i="56"/>
  <c r="CE34" i="56" s="1"/>
  <c r="CF79" i="56"/>
  <c r="CC79" i="56"/>
  <c r="CD79" i="56"/>
  <c r="GO79" i="56" s="1"/>
  <c r="CF69" i="7" s="1"/>
  <c r="GK79" i="56"/>
  <c r="CD69" i="7" s="1"/>
  <c r="Y35" i="57"/>
  <c r="AP84" i="57"/>
  <c r="AM84" i="57"/>
  <c r="AN84" i="57" s="1"/>
  <c r="BQ33" i="56"/>
  <c r="Y40" i="56"/>
  <c r="Z40" i="56"/>
  <c r="Y42" i="56"/>
  <c r="Z42" i="56" s="1"/>
  <c r="Y44" i="56"/>
  <c r="AA44" i="56" s="1"/>
  <c r="Y48" i="56"/>
  <c r="AA48" i="56" s="1"/>
  <c r="Z48" i="56"/>
  <c r="Y52" i="56"/>
  <c r="Z54" i="56"/>
  <c r="Y56" i="56"/>
  <c r="AA56" i="56" s="1"/>
  <c r="Y58" i="56"/>
  <c r="Y60" i="56"/>
  <c r="Z60" i="56" s="1"/>
  <c r="AA62" i="56"/>
  <c r="Y64" i="56"/>
  <c r="Z64" i="56"/>
  <c r="Y66" i="56"/>
  <c r="Z66" i="56"/>
  <c r="AA66" i="56"/>
  <c r="Y68" i="56"/>
  <c r="Z68" i="56" s="1"/>
  <c r="Y70" i="56"/>
  <c r="Z70" i="56"/>
  <c r="Y72" i="56"/>
  <c r="Z72" i="56" s="1"/>
  <c r="Y74" i="56"/>
  <c r="Z74" i="56" s="1"/>
  <c r="Y76" i="56"/>
  <c r="Z76" i="56"/>
  <c r="AA78" i="56"/>
  <c r="Y80" i="56"/>
  <c r="Y82" i="56"/>
  <c r="Z82" i="56"/>
  <c r="Y84" i="56"/>
  <c r="AA84" i="56"/>
  <c r="Z84" i="56"/>
  <c r="Y86" i="56"/>
  <c r="AA86" i="56" s="1"/>
  <c r="Y88" i="56"/>
  <c r="Y90" i="56"/>
  <c r="AA90" i="56" s="1"/>
  <c r="Y92" i="56"/>
  <c r="AA92" i="56" s="1"/>
  <c r="Z92" i="56"/>
  <c r="Y96" i="56"/>
  <c r="Z96" i="56"/>
  <c r="AA96" i="56"/>
  <c r="Y98" i="56"/>
  <c r="Z98" i="56" s="1"/>
  <c r="Z100" i="56"/>
  <c r="Y104" i="56"/>
  <c r="Z104" i="56" s="1"/>
  <c r="AA104" i="56"/>
  <c r="Y12" i="56"/>
  <c r="Z12" i="56"/>
  <c r="Y14" i="56"/>
  <c r="Z14" i="56" s="1"/>
  <c r="Y24" i="56"/>
  <c r="Z24" i="56" s="1"/>
  <c r="Y28" i="56"/>
  <c r="Z28" i="56" s="1"/>
  <c r="DT31" i="56"/>
  <c r="AM36" i="56"/>
  <c r="AN36" i="56" s="1"/>
  <c r="AM46" i="56"/>
  <c r="AO46" i="56"/>
  <c r="AM78" i="56"/>
  <c r="AN78" i="56"/>
  <c r="AM94" i="56"/>
  <c r="AM10" i="56"/>
  <c r="AO10" i="56" s="1"/>
  <c r="EU36" i="56"/>
  <c r="BF26" i="7" s="1"/>
  <c r="EU43" i="56"/>
  <c r="BF33" i="7" s="1"/>
  <c r="EU52" i="56"/>
  <c r="BF42" i="7" s="1"/>
  <c r="EU59" i="56"/>
  <c r="BF49" i="7" s="1"/>
  <c r="Y59" i="56"/>
  <c r="Z59" i="56" s="1"/>
  <c r="EU68" i="56"/>
  <c r="BF58" i="7" s="1"/>
  <c r="AB75" i="56"/>
  <c r="EU75" i="56"/>
  <c r="BF65" i="7"/>
  <c r="Y75" i="56"/>
  <c r="Z75" i="56" s="1"/>
  <c r="BR84" i="56"/>
  <c r="EU84" i="56"/>
  <c r="BF74" i="7"/>
  <c r="AB91" i="56"/>
  <c r="EU91" i="56"/>
  <c r="BF81" i="7" s="1"/>
  <c r="BR100" i="56"/>
  <c r="EU100" i="56"/>
  <c r="BF90" i="7" s="1"/>
  <c r="AB109" i="56"/>
  <c r="Z109" i="56"/>
  <c r="EU109" i="56"/>
  <c r="BF99" i="7" s="1"/>
  <c r="BR15" i="56"/>
  <c r="EU15" i="56"/>
  <c r="AB22" i="56"/>
  <c r="Y22" i="56"/>
  <c r="Z22" i="56" s="1"/>
  <c r="FI35" i="56"/>
  <c r="BN25" i="7" s="1"/>
  <c r="FI51" i="56"/>
  <c r="BN41" i="7" s="1"/>
  <c r="AM51" i="56"/>
  <c r="AO51" i="56" s="1"/>
  <c r="AP16" i="56"/>
  <c r="AM16" i="56"/>
  <c r="AN16" i="56" s="1"/>
  <c r="FI16" i="56"/>
  <c r="AP24" i="56"/>
  <c r="AM24" i="56"/>
  <c r="AO24" i="56"/>
  <c r="FI24" i="56"/>
  <c r="EV47" i="56"/>
  <c r="BG37" i="7"/>
  <c r="EV63" i="56"/>
  <c r="BG53" i="7"/>
  <c r="Y63" i="56"/>
  <c r="Z63" i="56" s="1"/>
  <c r="AC79" i="56"/>
  <c r="EV79" i="56"/>
  <c r="BG69" i="7"/>
  <c r="AC95" i="56"/>
  <c r="EV95" i="56"/>
  <c r="BG85" i="7" s="1"/>
  <c r="AC10" i="56"/>
  <c r="EV10" i="56"/>
  <c r="BG130" i="7" s="1"/>
  <c r="Y10" i="56"/>
  <c r="Z10" i="56" s="1"/>
  <c r="EV26" i="56"/>
  <c r="Y26" i="56"/>
  <c r="Z26" i="56" s="1"/>
  <c r="EV29" i="56"/>
  <c r="Y29" i="56"/>
  <c r="Z29" i="56" s="1"/>
  <c r="DW93" i="56"/>
  <c r="DW101" i="56"/>
  <c r="AQ16" i="56"/>
  <c r="FJ16" i="56"/>
  <c r="AO16" i="56"/>
  <c r="DW19" i="56"/>
  <c r="AQ20" i="56"/>
  <c r="FJ20" i="56"/>
  <c r="K23" i="56"/>
  <c r="M23" i="56" s="1"/>
  <c r="L23" i="56"/>
  <c r="O24" i="56"/>
  <c r="EH24" i="56"/>
  <c r="M24" i="56"/>
  <c r="EH28" i="56"/>
  <c r="M28" i="56"/>
  <c r="EL8" i="56"/>
  <c r="EK3" i="56"/>
  <c r="AZ1" i="7" s="1"/>
  <c r="DS29" i="56"/>
  <c r="DU29" i="56" s="1"/>
  <c r="DT29" i="56"/>
  <c r="CC42" i="56"/>
  <c r="CE42" i="56" s="1"/>
  <c r="CC59" i="56"/>
  <c r="CE59" i="56" s="1"/>
  <c r="GK59" i="56"/>
  <c r="CD49" i="7" s="1"/>
  <c r="CC69" i="56"/>
  <c r="CD69" i="56" s="1"/>
  <c r="GO69" i="56" s="1"/>
  <c r="CF59" i="7" s="1"/>
  <c r="GL69" i="56"/>
  <c r="CE59" i="7" s="1"/>
  <c r="BA72" i="56"/>
  <c r="BC72" i="56" s="1"/>
  <c r="BB72" i="56"/>
  <c r="CG89" i="56"/>
  <c r="GL89" i="56"/>
  <c r="CE79" i="7" s="1"/>
  <c r="BD19" i="56"/>
  <c r="BA19" i="56"/>
  <c r="BB19" i="56"/>
  <c r="GK19" i="56"/>
  <c r="EG19" i="56"/>
  <c r="BJ6" i="57"/>
  <c r="BK6" i="57" s="1"/>
  <c r="BL6" i="57" s="1"/>
  <c r="BM6" i="57" s="1"/>
  <c r="BN6" i="57" s="1"/>
  <c r="BO6" i="57" s="1"/>
  <c r="BP6" i="57" s="1"/>
  <c r="BQ6" i="57" s="1"/>
  <c r="BR6" i="57" s="1"/>
  <c r="BS6" i="57" s="1"/>
  <c r="BI7" i="57"/>
  <c r="Y37" i="57"/>
  <c r="AA37" i="57"/>
  <c r="BO43" i="57"/>
  <c r="BQ43" i="57"/>
  <c r="AM62" i="57"/>
  <c r="AN62" i="57"/>
  <c r="DW80" i="57"/>
  <c r="FX27" i="56"/>
  <c r="EH27" i="56"/>
  <c r="AA69" i="56"/>
  <c r="AA75" i="56"/>
  <c r="Y81" i="56"/>
  <c r="Z81" i="56" s="1"/>
  <c r="Y93" i="56"/>
  <c r="AA101" i="56"/>
  <c r="Y105" i="56"/>
  <c r="Y13" i="56"/>
  <c r="Z13" i="56"/>
  <c r="Y23" i="56"/>
  <c r="Z23" i="56"/>
  <c r="AM32" i="56"/>
  <c r="AN32" i="56"/>
  <c r="AN102" i="56"/>
  <c r="AO102" i="56"/>
  <c r="AP12" i="56"/>
  <c r="AM12" i="56"/>
  <c r="FI12" i="56"/>
  <c r="AM28" i="56"/>
  <c r="FI28" i="56"/>
  <c r="EV39" i="56"/>
  <c r="BG29" i="7"/>
  <c r="EV55" i="56"/>
  <c r="BG45" i="7" s="1"/>
  <c r="Y55" i="56"/>
  <c r="Z55" i="56" s="1"/>
  <c r="AA55" i="56"/>
  <c r="AC87" i="56"/>
  <c r="EV87" i="56"/>
  <c r="BG77" i="7" s="1"/>
  <c r="Y87" i="56"/>
  <c r="Z87" i="56" s="1"/>
  <c r="K19" i="56"/>
  <c r="L19" i="56"/>
  <c r="GL47" i="56"/>
  <c r="CE37" i="7" s="1"/>
  <c r="CC57" i="56"/>
  <c r="CD57" i="56" s="1"/>
  <c r="GL57" i="56"/>
  <c r="CE47" i="7" s="1"/>
  <c r="BA27" i="56"/>
  <c r="BB27" i="56"/>
  <c r="GK27" i="56"/>
  <c r="EG27" i="56"/>
  <c r="DD8" i="57"/>
  <c r="DE8" i="57" s="1"/>
  <c r="AF1" i="7"/>
  <c r="AQ81" i="57"/>
  <c r="BS83" i="57"/>
  <c r="EG44" i="56"/>
  <c r="AX34" i="7"/>
  <c r="CU107" i="56"/>
  <c r="FX107" i="56"/>
  <c r="BW97" i="7" s="1"/>
  <c r="CQ107" i="56"/>
  <c r="CS107" i="56" s="1"/>
  <c r="FJ107" i="56"/>
  <c r="BO97" i="7" s="1"/>
  <c r="CU10" i="57"/>
  <c r="CQ10" i="57"/>
  <c r="CR10" i="57"/>
  <c r="Y35" i="56"/>
  <c r="Z35" i="56" s="1"/>
  <c r="BQ53" i="56"/>
  <c r="BQ55" i="56"/>
  <c r="BQ65" i="56"/>
  <c r="BQ77" i="56"/>
  <c r="BQ79" i="56"/>
  <c r="BQ85" i="56"/>
  <c r="BQ13" i="56"/>
  <c r="BQ23" i="56"/>
  <c r="AO31" i="56"/>
  <c r="AO39" i="56"/>
  <c r="AM63" i="56"/>
  <c r="AN63" i="56" s="1"/>
  <c r="AM79" i="56"/>
  <c r="AN79" i="56" s="1"/>
  <c r="AM95" i="56"/>
  <c r="AN95" i="56" s="1"/>
  <c r="AO13" i="56"/>
  <c r="AN13" i="56"/>
  <c r="DU26" i="56"/>
  <c r="DT26" i="56"/>
  <c r="AI6" i="56"/>
  <c r="Y110" i="56"/>
  <c r="AA110" i="56" s="1"/>
  <c r="FM3" i="56"/>
  <c r="BP1" i="7" s="1"/>
  <c r="EU33" i="56"/>
  <c r="BF23" i="7"/>
  <c r="EU49" i="56"/>
  <c r="BF39" i="7"/>
  <c r="EU65" i="56"/>
  <c r="BF55" i="7" s="1"/>
  <c r="BP65" i="56"/>
  <c r="BP74" i="56"/>
  <c r="BR81" i="56"/>
  <c r="EU81" i="56"/>
  <c r="BF71" i="7"/>
  <c r="BR90" i="56"/>
  <c r="BR97" i="56"/>
  <c r="BR12" i="56"/>
  <c r="EU12" i="56"/>
  <c r="BP12" i="56"/>
  <c r="BR21" i="56"/>
  <c r="EU28" i="56"/>
  <c r="DS34" i="56"/>
  <c r="DU34" i="56"/>
  <c r="FI39" i="56"/>
  <c r="BN29" i="7"/>
  <c r="AN39" i="56"/>
  <c r="DS50" i="56"/>
  <c r="DV82" i="56"/>
  <c r="DS82" i="56"/>
  <c r="DV98" i="56"/>
  <c r="DS98" i="56"/>
  <c r="DU98" i="56" s="1"/>
  <c r="EV30" i="56"/>
  <c r="BG20" i="7" s="1"/>
  <c r="EV46" i="56"/>
  <c r="BG36" i="7" s="1"/>
  <c r="BQ46" i="56"/>
  <c r="EV62" i="56"/>
  <c r="BG52" i="7" s="1"/>
  <c r="BS78" i="56"/>
  <c r="EV78" i="56"/>
  <c r="BG68" i="7" s="1"/>
  <c r="BQ78" i="56"/>
  <c r="EV94" i="56"/>
  <c r="BG84" i="7"/>
  <c r="BS106" i="56"/>
  <c r="EV106" i="56"/>
  <c r="BG96" i="7" s="1"/>
  <c r="EV25" i="56"/>
  <c r="BQ25" i="56"/>
  <c r="DS37" i="56"/>
  <c r="DT37" i="56" s="1"/>
  <c r="DS55" i="56"/>
  <c r="DT55" i="56" s="1"/>
  <c r="DS71" i="56"/>
  <c r="DW87" i="56"/>
  <c r="DS87" i="56"/>
  <c r="DT87" i="56" s="1"/>
  <c r="DW103" i="56"/>
  <c r="DS103" i="56"/>
  <c r="DT103" i="56" s="1"/>
  <c r="DW11" i="56"/>
  <c r="DS11" i="56"/>
  <c r="AQ12" i="56"/>
  <c r="FJ12" i="56"/>
  <c r="K15" i="56"/>
  <c r="O16" i="56"/>
  <c r="EH16" i="56"/>
  <c r="M16" i="56"/>
  <c r="O20" i="56"/>
  <c r="EH20" i="56"/>
  <c r="GL32" i="56"/>
  <c r="CE22" i="7"/>
  <c r="EH32" i="56"/>
  <c r="AY22" i="7"/>
  <c r="CC33" i="56"/>
  <c r="CD33" i="56" s="1"/>
  <c r="CE33" i="56"/>
  <c r="GK33" i="56"/>
  <c r="CD23" i="7"/>
  <c r="BA39" i="56"/>
  <c r="BB39" i="56"/>
  <c r="CC52" i="56"/>
  <c r="CE52" i="56" s="1"/>
  <c r="GP52" i="56" s="1"/>
  <c r="CG42" i="7" s="1"/>
  <c r="BA84" i="56"/>
  <c r="BB84" i="56" s="1"/>
  <c r="CG101" i="56"/>
  <c r="CC101" i="56"/>
  <c r="CD101" i="56"/>
  <c r="GO101" i="56" s="1"/>
  <c r="CF91" i="7" s="1"/>
  <c r="GL101" i="56"/>
  <c r="CE91" i="7"/>
  <c r="BA104" i="56"/>
  <c r="BB104" i="56" s="1"/>
  <c r="BA25" i="56"/>
  <c r="BB25" i="56" s="1"/>
  <c r="GL25" i="56"/>
  <c r="EH25" i="56"/>
  <c r="EG27" i="57"/>
  <c r="DE27" i="57"/>
  <c r="DF27" i="57" s="1"/>
  <c r="EU21" i="57"/>
  <c r="DH19" i="57"/>
  <c r="EG19" i="57"/>
  <c r="DE19" i="57"/>
  <c r="CY6" i="57"/>
  <c r="EC6" i="57"/>
  <c r="DR9" i="57"/>
  <c r="DS9" i="57" s="1"/>
  <c r="AL9" i="57"/>
  <c r="AM9" i="57" s="1"/>
  <c r="AM30" i="57"/>
  <c r="AM32" i="57"/>
  <c r="AN32" i="57" s="1"/>
  <c r="AM50" i="57"/>
  <c r="AM56" i="57"/>
  <c r="AN56" i="57"/>
  <c r="AM68" i="57"/>
  <c r="AN68" i="57" s="1"/>
  <c r="BO72" i="57"/>
  <c r="AQ75" i="57"/>
  <c r="AP78" i="57"/>
  <c r="AM78" i="57"/>
  <c r="AN78" i="57"/>
  <c r="N100" i="56"/>
  <c r="EG100" i="56"/>
  <c r="AX90" i="7" s="1"/>
  <c r="BE94" i="56"/>
  <c r="EH94" i="56"/>
  <c r="AY84" i="7"/>
  <c r="BA94" i="56"/>
  <c r="GL94" i="56"/>
  <c r="CE84" i="7" s="1"/>
  <c r="CT77" i="56"/>
  <c r="CQ77" i="56"/>
  <c r="CR77" i="56" s="1"/>
  <c r="EG77" i="56"/>
  <c r="AX67" i="7" s="1"/>
  <c r="FW77" i="56"/>
  <c r="BV67" i="7" s="1"/>
  <c r="AO55" i="56"/>
  <c r="AO71" i="56"/>
  <c r="AO103" i="56"/>
  <c r="AO14" i="56"/>
  <c r="AN21" i="56"/>
  <c r="AN106" i="56"/>
  <c r="EU42" i="56"/>
  <c r="BF32" i="7" s="1"/>
  <c r="EU58" i="56"/>
  <c r="BF48" i="7" s="1"/>
  <c r="EU74" i="56"/>
  <c r="BF64" i="7" s="1"/>
  <c r="EU79" i="56"/>
  <c r="BF69" i="7" s="1"/>
  <c r="AB90" i="56"/>
  <c r="EU90" i="56"/>
  <c r="BF80" i="7" s="1"/>
  <c r="EU92" i="56"/>
  <c r="BF82" i="7"/>
  <c r="EU95" i="56"/>
  <c r="BF85" i="7" s="1"/>
  <c r="EU105" i="56"/>
  <c r="BF95" i="7" s="1"/>
  <c r="AB110" i="56"/>
  <c r="EU110" i="56"/>
  <c r="BF100" i="7"/>
  <c r="Z110" i="56"/>
  <c r="EU108" i="56"/>
  <c r="BF98" i="7" s="1"/>
  <c r="BR107" i="56"/>
  <c r="BO107" i="56"/>
  <c r="BP107" i="56" s="1"/>
  <c r="EU10" i="56"/>
  <c r="BF130" i="7" s="1"/>
  <c r="EU20" i="56"/>
  <c r="AB21" i="56"/>
  <c r="EU21" i="56"/>
  <c r="EU23" i="56"/>
  <c r="FI30" i="56"/>
  <c r="BN20" i="7" s="1"/>
  <c r="FI34" i="56"/>
  <c r="BN24" i="7" s="1"/>
  <c r="FI38" i="56"/>
  <c r="BN28" i="7" s="1"/>
  <c r="DS41" i="56"/>
  <c r="DU41" i="56" s="1"/>
  <c r="FI42" i="56"/>
  <c r="BN32" i="7" s="1"/>
  <c r="DS45" i="56"/>
  <c r="DT45" i="56" s="1"/>
  <c r="FI46" i="56"/>
  <c r="BN36" i="7"/>
  <c r="AN46" i="56"/>
  <c r="DS49" i="56"/>
  <c r="DU49" i="56" s="1"/>
  <c r="FI50" i="56"/>
  <c r="BN40" i="7"/>
  <c r="AN50" i="56"/>
  <c r="DS53" i="56"/>
  <c r="DT53" i="56" s="1"/>
  <c r="DU53" i="56"/>
  <c r="FI54" i="56"/>
  <c r="BN44" i="7" s="1"/>
  <c r="AN54" i="56"/>
  <c r="DS57" i="56"/>
  <c r="DT57" i="56" s="1"/>
  <c r="DU57" i="56"/>
  <c r="DS61" i="56"/>
  <c r="DU61" i="56"/>
  <c r="DT61" i="56"/>
  <c r="DS69" i="56"/>
  <c r="DU69" i="56" s="1"/>
  <c r="DS73" i="56"/>
  <c r="DT73" i="56" s="1"/>
  <c r="DU73" i="56"/>
  <c r="DV77" i="56"/>
  <c r="DV81" i="56"/>
  <c r="DS81" i="56"/>
  <c r="DU81" i="56" s="1"/>
  <c r="DT81" i="56"/>
  <c r="DV85" i="56"/>
  <c r="DS85" i="56"/>
  <c r="DV89" i="56"/>
  <c r="DS89" i="56"/>
  <c r="DV93" i="56"/>
  <c r="DS93" i="56"/>
  <c r="DT93" i="56" s="1"/>
  <c r="DV97" i="56"/>
  <c r="DS97" i="56"/>
  <c r="DT97" i="56" s="1"/>
  <c r="DU97" i="56"/>
  <c r="DV101" i="56"/>
  <c r="DS101" i="56"/>
  <c r="DU101" i="56" s="1"/>
  <c r="DV105" i="56"/>
  <c r="DS105" i="56"/>
  <c r="DU105" i="56"/>
  <c r="FI106" i="56"/>
  <c r="BN96" i="7" s="1"/>
  <c r="FI13" i="56"/>
  <c r="FI17" i="56"/>
  <c r="FI21" i="56"/>
  <c r="BS80" i="56"/>
  <c r="AC81" i="56"/>
  <c r="BS88" i="56"/>
  <c r="AC89" i="56"/>
  <c r="BS96" i="56"/>
  <c r="AC97" i="56"/>
  <c r="AC105" i="56"/>
  <c r="EV107" i="56"/>
  <c r="BG97" i="7" s="1"/>
  <c r="BS11" i="56"/>
  <c r="AC12" i="56"/>
  <c r="BS19" i="56"/>
  <c r="DW108" i="56"/>
  <c r="AQ107" i="56"/>
  <c r="N12" i="56"/>
  <c r="EG12" i="56"/>
  <c r="N16" i="56"/>
  <c r="EG16" i="56"/>
  <c r="N20" i="56"/>
  <c r="EG20" i="56"/>
  <c r="N24" i="56"/>
  <c r="EG24" i="56"/>
  <c r="BL94" i="7"/>
  <c r="BL62" i="7"/>
  <c r="BL46" i="7"/>
  <c r="BL30" i="7"/>
  <c r="GK30" i="56"/>
  <c r="CD20" i="7"/>
  <c r="BA30" i="56"/>
  <c r="GL31" i="56"/>
  <c r="CE21" i="7" s="1"/>
  <c r="CC35" i="56"/>
  <c r="CE36" i="56"/>
  <c r="GP36" i="56" s="1"/>
  <c r="CG26" i="7" s="1"/>
  <c r="GK38" i="56"/>
  <c r="CD28" i="7"/>
  <c r="BA38" i="56"/>
  <c r="GL39" i="56"/>
  <c r="CE29" i="7" s="1"/>
  <c r="CJ32" i="7"/>
  <c r="GL43" i="56"/>
  <c r="CE33" i="7"/>
  <c r="CC45" i="56"/>
  <c r="BC46" i="56"/>
  <c r="CE48" i="56"/>
  <c r="CC51" i="56"/>
  <c r="BC51" i="56"/>
  <c r="CE54" i="56"/>
  <c r="BC55" i="56"/>
  <c r="CJ48" i="7"/>
  <c r="BA60" i="56"/>
  <c r="BB60" i="56"/>
  <c r="CC65" i="56"/>
  <c r="GL65" i="56"/>
  <c r="CE55" i="7" s="1"/>
  <c r="CC67" i="56"/>
  <c r="GK67" i="56"/>
  <c r="CD57" i="7"/>
  <c r="BC67" i="56"/>
  <c r="CG77" i="56"/>
  <c r="CC77" i="56"/>
  <c r="GL77" i="56"/>
  <c r="CE67" i="7" s="1"/>
  <c r="CJ68" i="7"/>
  <c r="CE79" i="56"/>
  <c r="BA80" i="56"/>
  <c r="BC80" i="56" s="1"/>
  <c r="BB80" i="56"/>
  <c r="CF87" i="56"/>
  <c r="CC87" i="56"/>
  <c r="GK87" i="56"/>
  <c r="CD77" i="7"/>
  <c r="CJ80" i="7"/>
  <c r="BA92" i="56"/>
  <c r="BB92" i="56" s="1"/>
  <c r="BC92" i="56"/>
  <c r="CG97" i="56"/>
  <c r="CC97" i="56"/>
  <c r="GL97" i="56"/>
  <c r="CE87" i="7"/>
  <c r="CF99" i="56"/>
  <c r="CC99" i="56"/>
  <c r="CD99" i="56" s="1"/>
  <c r="GK99" i="56"/>
  <c r="CD89" i="7" s="1"/>
  <c r="BC99" i="56"/>
  <c r="CG10" i="56"/>
  <c r="CC10" i="56"/>
  <c r="GL10" i="56"/>
  <c r="CE130" i="7" s="1"/>
  <c r="BC11" i="56"/>
  <c r="CE13" i="56"/>
  <c r="CF16" i="56"/>
  <c r="CC16" i="56"/>
  <c r="CD16" i="56"/>
  <c r="CG18" i="56"/>
  <c r="CC18" i="56"/>
  <c r="GL18" i="56"/>
  <c r="BC19" i="56"/>
  <c r="CF24" i="56"/>
  <c r="CC24" i="56"/>
  <c r="CE24" i="56" s="1"/>
  <c r="CC26" i="56"/>
  <c r="GL26" i="56"/>
  <c r="BC27" i="56"/>
  <c r="N100" i="7"/>
  <c r="V97" i="7"/>
  <c r="AD94" i="7"/>
  <c r="N92" i="7"/>
  <c r="V89" i="7"/>
  <c r="AD86" i="7"/>
  <c r="N84" i="7"/>
  <c r="V81" i="7"/>
  <c r="AD78" i="7"/>
  <c r="N76" i="7"/>
  <c r="V73" i="7"/>
  <c r="AD70" i="7"/>
  <c r="N68" i="7"/>
  <c r="V65" i="7"/>
  <c r="AD62" i="7"/>
  <c r="N60" i="7"/>
  <c r="V57" i="7"/>
  <c r="AD54" i="7"/>
  <c r="N52" i="7"/>
  <c r="V49" i="7"/>
  <c r="N44" i="7"/>
  <c r="V41" i="7"/>
  <c r="AD38" i="7"/>
  <c r="V33" i="7"/>
  <c r="N20" i="7"/>
  <c r="EV28" i="57"/>
  <c r="FJ28" i="57"/>
  <c r="EH26" i="57"/>
  <c r="EV26" i="57"/>
  <c r="EV25" i="57"/>
  <c r="AM25" i="57"/>
  <c r="AN25" i="57"/>
  <c r="EH24" i="57"/>
  <c r="BR23" i="57"/>
  <c r="BO23" i="57"/>
  <c r="BP23" i="57"/>
  <c r="K23" i="57"/>
  <c r="L23" i="57" s="1"/>
  <c r="CU20" i="57"/>
  <c r="EV20" i="57"/>
  <c r="AQ20" i="57"/>
  <c r="FJ20" i="57"/>
  <c r="DI18" i="57"/>
  <c r="EH18" i="57"/>
  <c r="AC18" i="57"/>
  <c r="EV18" i="57"/>
  <c r="EV17" i="57"/>
  <c r="CT17" i="57"/>
  <c r="CQ17" i="57"/>
  <c r="EU17" i="57"/>
  <c r="DH15" i="57"/>
  <c r="EG15" i="57"/>
  <c r="DE15" i="57"/>
  <c r="DF15" i="57"/>
  <c r="M14" i="57"/>
  <c r="AP13" i="57"/>
  <c r="AM13" i="57"/>
  <c r="AN13" i="57"/>
  <c r="EH12" i="57"/>
  <c r="BR11" i="57"/>
  <c r="BO11" i="57"/>
  <c r="BP11" i="57"/>
  <c r="K11" i="57"/>
  <c r="EU3" i="57"/>
  <c r="P1" i="7" s="1"/>
  <c r="R6" i="57"/>
  <c r="EP6" i="57"/>
  <c r="E7" i="57"/>
  <c r="Y31" i="57"/>
  <c r="AA31" i="57" s="1"/>
  <c r="Y33" i="57"/>
  <c r="Y38" i="57"/>
  <c r="AA38" i="57" s="1"/>
  <c r="BO39" i="57"/>
  <c r="BP39" i="57" s="1"/>
  <c r="AO39" i="57"/>
  <c r="Y40" i="57"/>
  <c r="AA40" i="57" s="1"/>
  <c r="BO41" i="57"/>
  <c r="BP41" i="57" s="1"/>
  <c r="AM42" i="57"/>
  <c r="AN42" i="57"/>
  <c r="AM44" i="57"/>
  <c r="AN44" i="57" s="1"/>
  <c r="AO44" i="57"/>
  <c r="Y48" i="57"/>
  <c r="AA48" i="57"/>
  <c r="BO49" i="57"/>
  <c r="BP49" i="57"/>
  <c r="Y51" i="57"/>
  <c r="Z51" i="57"/>
  <c r="AA51" i="57"/>
  <c r="AM54" i="57"/>
  <c r="AN54" i="57" s="1"/>
  <c r="BO60" i="57"/>
  <c r="AM66" i="57"/>
  <c r="AN66" i="57"/>
  <c r="BO70" i="57"/>
  <c r="BP70" i="57" s="1"/>
  <c r="AM72" i="57"/>
  <c r="AN72" i="57" s="1"/>
  <c r="BR76" i="57"/>
  <c r="BO76" i="57"/>
  <c r="BP76" i="57" s="1"/>
  <c r="BS77" i="57"/>
  <c r="DW78" i="57"/>
  <c r="AQ79" i="57"/>
  <c r="AP82" i="57"/>
  <c r="AM82" i="57"/>
  <c r="AN82" i="57"/>
  <c r="DW84" i="57"/>
  <c r="AQ85" i="57"/>
  <c r="BR86" i="57"/>
  <c r="BO86" i="57"/>
  <c r="BP86" i="57" s="1"/>
  <c r="DW88" i="57"/>
  <c r="Y89" i="57"/>
  <c r="Z89" i="57" s="1"/>
  <c r="DW92" i="57"/>
  <c r="Y93" i="57"/>
  <c r="Z93" i="57"/>
  <c r="DW96" i="57"/>
  <c r="Y97" i="57"/>
  <c r="AA97" i="57" s="1"/>
  <c r="DW100" i="57"/>
  <c r="Y101" i="57"/>
  <c r="Z101" i="57" s="1"/>
  <c r="DW104" i="57"/>
  <c r="Y105" i="57"/>
  <c r="Z105" i="57"/>
  <c r="CG15" i="57"/>
  <c r="FX15" i="57"/>
  <c r="CG23" i="57"/>
  <c r="FX23" i="57"/>
  <c r="BE110" i="56"/>
  <c r="EH110" i="56"/>
  <c r="AY100" i="7" s="1"/>
  <c r="BA110" i="56"/>
  <c r="BB110" i="56" s="1"/>
  <c r="BC110" i="56"/>
  <c r="N108" i="56"/>
  <c r="EG108" i="56"/>
  <c r="AX98" i="7"/>
  <c r="L108" i="56"/>
  <c r="BE102" i="56"/>
  <c r="EH102" i="56"/>
  <c r="AY92" i="7"/>
  <c r="BA102" i="56"/>
  <c r="BN13" i="7"/>
  <c r="M18" i="55" s="1"/>
  <c r="FJ1" i="56"/>
  <c r="CQ18" i="56"/>
  <c r="CR18" i="56" s="1"/>
  <c r="DH24" i="56"/>
  <c r="DE24" i="56"/>
  <c r="DG24" i="56" s="1"/>
  <c r="FW24" i="56"/>
  <c r="FX26" i="56"/>
  <c r="DE41" i="56"/>
  <c r="CQ50" i="56"/>
  <c r="CR50" i="56" s="1"/>
  <c r="DE56" i="56"/>
  <c r="DG56" i="56" s="1"/>
  <c r="FW56" i="56"/>
  <c r="BV46" i="7" s="1"/>
  <c r="FX58" i="56"/>
  <c r="BW48" i="7" s="1"/>
  <c r="CF109" i="57"/>
  <c r="CF110" i="57"/>
  <c r="AO67" i="56"/>
  <c r="AO83" i="56"/>
  <c r="AO99" i="56"/>
  <c r="AN17" i="56"/>
  <c r="AO19" i="56"/>
  <c r="BO106" i="56"/>
  <c r="BP106" i="56"/>
  <c r="EU38" i="56"/>
  <c r="BF28" i="7" s="1"/>
  <c r="EU70" i="56"/>
  <c r="BF60" i="7" s="1"/>
  <c r="AB86" i="56"/>
  <c r="EU86" i="56"/>
  <c r="BF76" i="7" s="1"/>
  <c r="EU88" i="56"/>
  <c r="BF78" i="7" s="1"/>
  <c r="AB102" i="56"/>
  <c r="EU102" i="56"/>
  <c r="BF92" i="7" s="1"/>
  <c r="EU104" i="56"/>
  <c r="BF94" i="7" s="1"/>
  <c r="AB17" i="56"/>
  <c r="EU17" i="56"/>
  <c r="EU19" i="56"/>
  <c r="FI33" i="56"/>
  <c r="BN23" i="7" s="1"/>
  <c r="FI37" i="56"/>
  <c r="BN27" i="7"/>
  <c r="FI41" i="56"/>
  <c r="BN31" i="7" s="1"/>
  <c r="FI45" i="56"/>
  <c r="BN35" i="7" s="1"/>
  <c r="FI49" i="56"/>
  <c r="BN39" i="7" s="1"/>
  <c r="FI53" i="56"/>
  <c r="BN43" i="7"/>
  <c r="FI57" i="56"/>
  <c r="BN47" i="7" s="1"/>
  <c r="DV109" i="56"/>
  <c r="AP108" i="56"/>
  <c r="AN108" i="56"/>
  <c r="AP10" i="56"/>
  <c r="AN10" i="56"/>
  <c r="AP14" i="56"/>
  <c r="AN14" i="56"/>
  <c r="AP18" i="56"/>
  <c r="AN18" i="56"/>
  <c r="AP22" i="56"/>
  <c r="AN22" i="56"/>
  <c r="EV34" i="56"/>
  <c r="BG24" i="7"/>
  <c r="EV42" i="56"/>
  <c r="BG32" i="7" s="1"/>
  <c r="EV58" i="56"/>
  <c r="BG48" i="7" s="1"/>
  <c r="EV66" i="56"/>
  <c r="BG56" i="7"/>
  <c r="EV74" i="56"/>
  <c r="BG64" i="7" s="1"/>
  <c r="AC75" i="56"/>
  <c r="BS82" i="56"/>
  <c r="EV82" i="56"/>
  <c r="BG72" i="7" s="1"/>
  <c r="BS90" i="56"/>
  <c r="EV90" i="56"/>
  <c r="BG80" i="7" s="1"/>
  <c r="BS98" i="56"/>
  <c r="EV98" i="56"/>
  <c r="BG88" i="7" s="1"/>
  <c r="AC99" i="56"/>
  <c r="BS110" i="56"/>
  <c r="EV110" i="56"/>
  <c r="BG100" i="7" s="1"/>
  <c r="AC109" i="56"/>
  <c r="AA109" i="56"/>
  <c r="BS13" i="56"/>
  <c r="EV13" i="56"/>
  <c r="AC14" i="56"/>
  <c r="BS21" i="56"/>
  <c r="EV21" i="56"/>
  <c r="AC22" i="56"/>
  <c r="DU48" i="56"/>
  <c r="DU64" i="56"/>
  <c r="DW76" i="56"/>
  <c r="DW80" i="56"/>
  <c r="DW84" i="56"/>
  <c r="DW88" i="56"/>
  <c r="DU88" i="56"/>
  <c r="DW92" i="56"/>
  <c r="DW96" i="56"/>
  <c r="DW100" i="56"/>
  <c r="DU100" i="56"/>
  <c r="DW106" i="56"/>
  <c r="DS106" i="56"/>
  <c r="DT106" i="56" s="1"/>
  <c r="FJ106" i="56"/>
  <c r="BO96" i="7"/>
  <c r="O10" i="56"/>
  <c r="EH10" i="56"/>
  <c r="AY130" i="7" s="1"/>
  <c r="AQ10" i="56"/>
  <c r="DW13" i="56"/>
  <c r="DS13" i="56"/>
  <c r="DU13" i="56" s="1"/>
  <c r="FJ13" i="56"/>
  <c r="O14" i="56"/>
  <c r="EH14" i="56"/>
  <c r="AQ14" i="56"/>
  <c r="DW17" i="56"/>
  <c r="O18" i="56"/>
  <c r="EH18" i="56"/>
  <c r="AQ18" i="56"/>
  <c r="DW21" i="56"/>
  <c r="DS21" i="56"/>
  <c r="DT21" i="56" s="1"/>
  <c r="FJ21" i="56"/>
  <c r="EH22" i="56"/>
  <c r="AQ22" i="56"/>
  <c r="K25" i="56"/>
  <c r="L25" i="56" s="1"/>
  <c r="DS25" i="56"/>
  <c r="DT25" i="56" s="1"/>
  <c r="FJ25" i="56"/>
  <c r="EH26" i="56"/>
  <c r="FJ29" i="56"/>
  <c r="BA32" i="56"/>
  <c r="BB32" i="56" s="1"/>
  <c r="GK32" i="56"/>
  <c r="CD22" i="7" s="1"/>
  <c r="GL33" i="56"/>
  <c r="CE23" i="7" s="1"/>
  <c r="CC37" i="56"/>
  <c r="CD37" i="56" s="1"/>
  <c r="BA40" i="56"/>
  <c r="BB40" i="56"/>
  <c r="GK40" i="56"/>
  <c r="CD30" i="7" s="1"/>
  <c r="GL41" i="56"/>
  <c r="CE31" i="7" s="1"/>
  <c r="BC42" i="56"/>
  <c r="CC47" i="56"/>
  <c r="CD47" i="56" s="1"/>
  <c r="CE47" i="56"/>
  <c r="GL49" i="56"/>
  <c r="CE39" i="7" s="1"/>
  <c r="BC52" i="56"/>
  <c r="CC53" i="56"/>
  <c r="GL53" i="56"/>
  <c r="CE43" i="7" s="1"/>
  <c r="BA56" i="56"/>
  <c r="CE62" i="56"/>
  <c r="CC63" i="56"/>
  <c r="GK63" i="56"/>
  <c r="CD53" i="7" s="1"/>
  <c r="BA68" i="56"/>
  <c r="BB68" i="56" s="1"/>
  <c r="CC73" i="56"/>
  <c r="GL73" i="56"/>
  <c r="CE63" i="7"/>
  <c r="CF75" i="56"/>
  <c r="CC75" i="56"/>
  <c r="CD75" i="56" s="1"/>
  <c r="GK75" i="56"/>
  <c r="CD65" i="7" s="1"/>
  <c r="CG85" i="56"/>
  <c r="CC85" i="56"/>
  <c r="GL85" i="56"/>
  <c r="CE75" i="7" s="1"/>
  <c r="BA88" i="56"/>
  <c r="CF95" i="56"/>
  <c r="CC95" i="56"/>
  <c r="GK95" i="56"/>
  <c r="CD85" i="7" s="1"/>
  <c r="CE99" i="56"/>
  <c r="BA100" i="56"/>
  <c r="CG105" i="56"/>
  <c r="CC105" i="56"/>
  <c r="GL105" i="56"/>
  <c r="CE95" i="7" s="1"/>
  <c r="CG107" i="56"/>
  <c r="GL107" i="56"/>
  <c r="CE97" i="7" s="1"/>
  <c r="CC107" i="56"/>
  <c r="CE107" i="56" s="1"/>
  <c r="BA106" i="56"/>
  <c r="BB106" i="56" s="1"/>
  <c r="BE13" i="56"/>
  <c r="BA13" i="56"/>
  <c r="BD15" i="56"/>
  <c r="BA15" i="56"/>
  <c r="BC15" i="56" s="1"/>
  <c r="GK15" i="56"/>
  <c r="CE16" i="56"/>
  <c r="BE21" i="56"/>
  <c r="BA21" i="56"/>
  <c r="BD23" i="56"/>
  <c r="BA23" i="56"/>
  <c r="GK23" i="56"/>
  <c r="BA29" i="56"/>
  <c r="AM29" i="57"/>
  <c r="DG27" i="57"/>
  <c r="EU27" i="57"/>
  <c r="Y27" i="57"/>
  <c r="AA27" i="57" s="1"/>
  <c r="CQ25" i="57"/>
  <c r="CR25" i="57"/>
  <c r="EU25" i="57"/>
  <c r="X8" i="57"/>
  <c r="Y8" i="57" s="1"/>
  <c r="DH23" i="57"/>
  <c r="EG23" i="57"/>
  <c r="DE23" i="57"/>
  <c r="DF23" i="57" s="1"/>
  <c r="AB19" i="57"/>
  <c r="EU19" i="57"/>
  <c r="Y19" i="57"/>
  <c r="Z19" i="57" s="1"/>
  <c r="AO17" i="57"/>
  <c r="CU16" i="57"/>
  <c r="EV16" i="57"/>
  <c r="AQ16" i="57"/>
  <c r="FJ16" i="57"/>
  <c r="DI14" i="57"/>
  <c r="EH14" i="57"/>
  <c r="AC14" i="57"/>
  <c r="EV14" i="57"/>
  <c r="EV13" i="57"/>
  <c r="CT13" i="57"/>
  <c r="CQ13" i="57"/>
  <c r="CR13" i="57"/>
  <c r="EU13" i="57"/>
  <c r="DH11" i="57"/>
  <c r="EG11" i="57"/>
  <c r="DE11" i="57"/>
  <c r="DF11" i="57" s="1"/>
  <c r="FJ3" i="57"/>
  <c r="BX6" i="57"/>
  <c r="BY6" i="57"/>
  <c r="BZ6" i="57" s="1"/>
  <c r="CA6" i="57" s="1"/>
  <c r="CB6" i="57" s="1"/>
  <c r="CC6" i="57" s="1"/>
  <c r="CD6" i="57" s="1"/>
  <c r="CE6" i="57" s="1"/>
  <c r="CF6" i="57" s="1"/>
  <c r="CG6" i="57" s="1"/>
  <c r="BW7" i="57"/>
  <c r="CL6" i="57"/>
  <c r="FS6" i="57"/>
  <c r="AU6" i="57"/>
  <c r="CP9" i="57"/>
  <c r="CQ9" i="57"/>
  <c r="CU9" i="57" s="1"/>
  <c r="Y34" i="57"/>
  <c r="AA34" i="57"/>
  <c r="BO35" i="57"/>
  <c r="BP35" i="57"/>
  <c r="Y36" i="57"/>
  <c r="Z36" i="57" s="1"/>
  <c r="AA36" i="57"/>
  <c r="BO37" i="57"/>
  <c r="BP37" i="57" s="1"/>
  <c r="AM38" i="57"/>
  <c r="AO38" i="57" s="1"/>
  <c r="AM40" i="57"/>
  <c r="AN40" i="57" s="1"/>
  <c r="Y43" i="57"/>
  <c r="Z43" i="57" s="1"/>
  <c r="Y45" i="57"/>
  <c r="AA45" i="57" s="1"/>
  <c r="Z45" i="57"/>
  <c r="Y46" i="57"/>
  <c r="BO47" i="57"/>
  <c r="BP47" i="57" s="1"/>
  <c r="AM48" i="57"/>
  <c r="AN48" i="57" s="1"/>
  <c r="AA52" i="57"/>
  <c r="BO53" i="57"/>
  <c r="BP53" i="57"/>
  <c r="Y55" i="57"/>
  <c r="AA55" i="57" s="1"/>
  <c r="BO58" i="57"/>
  <c r="BP58" i="57" s="1"/>
  <c r="AM60" i="57"/>
  <c r="AN60" i="57" s="1"/>
  <c r="BO64" i="57"/>
  <c r="BP64" i="57"/>
  <c r="AM70" i="57"/>
  <c r="AN70" i="57" s="1"/>
  <c r="BO74" i="57"/>
  <c r="BP74" i="57" s="1"/>
  <c r="BS75" i="57"/>
  <c r="AP76" i="57"/>
  <c r="AM76" i="57"/>
  <c r="AN76" i="57" s="1"/>
  <c r="BR80" i="57"/>
  <c r="BO80" i="57"/>
  <c r="BP80" i="57" s="1"/>
  <c r="BS81" i="57"/>
  <c r="DW82" i="57"/>
  <c r="AQ83" i="57"/>
  <c r="N76" i="56"/>
  <c r="EG76" i="56"/>
  <c r="AX66" i="7"/>
  <c r="EH70" i="56"/>
  <c r="AY60" i="7"/>
  <c r="BA70" i="56"/>
  <c r="EG68" i="56"/>
  <c r="AX58" i="7" s="1"/>
  <c r="EH62" i="56"/>
  <c r="AY52" i="7" s="1"/>
  <c r="BA62" i="56"/>
  <c r="EG60" i="56"/>
  <c r="AX50" i="7" s="1"/>
  <c r="EH54" i="56"/>
  <c r="AY44" i="7" s="1"/>
  <c r="BA54" i="56"/>
  <c r="EG52" i="56"/>
  <c r="AX42" i="7" s="1"/>
  <c r="EH45" i="56"/>
  <c r="AY35" i="7" s="1"/>
  <c r="BC45" i="56"/>
  <c r="GL45" i="56"/>
  <c r="CE35" i="7" s="1"/>
  <c r="CQ33" i="56"/>
  <c r="CR33" i="56" s="1"/>
  <c r="FW33" i="56"/>
  <c r="BV23" i="7" s="1"/>
  <c r="FX43" i="56"/>
  <c r="BW33" i="7" s="1"/>
  <c r="CQ65" i="56"/>
  <c r="CR65" i="56" s="1"/>
  <c r="CS65" i="56"/>
  <c r="FW65" i="56"/>
  <c r="BV55" i="7"/>
  <c r="FX71" i="56"/>
  <c r="BW61" i="7"/>
  <c r="CU83" i="56"/>
  <c r="FX83" i="56"/>
  <c r="BW73" i="7" s="1"/>
  <c r="DH84" i="56"/>
  <c r="DE84" i="56"/>
  <c r="DG84" i="56" s="1"/>
  <c r="FW84" i="56"/>
  <c r="BV74" i="7" s="1"/>
  <c r="CT93" i="56"/>
  <c r="CQ93" i="56"/>
  <c r="CS93" i="56" s="1"/>
  <c r="CR93" i="56"/>
  <c r="EG93" i="56"/>
  <c r="AX83" i="7"/>
  <c r="FW93" i="56"/>
  <c r="BV83" i="7"/>
  <c r="DU24" i="56"/>
  <c r="EU34" i="56"/>
  <c r="BF24" i="7" s="1"/>
  <c r="EU50" i="56"/>
  <c r="BF40" i="7" s="1"/>
  <c r="EU66" i="56"/>
  <c r="BF56" i="7" s="1"/>
  <c r="AB82" i="56"/>
  <c r="EU82" i="56"/>
  <c r="BF72" i="7"/>
  <c r="AB98" i="56"/>
  <c r="EU98" i="56"/>
  <c r="BF88" i="7" s="1"/>
  <c r="AB13" i="56"/>
  <c r="EU13" i="56"/>
  <c r="EU29" i="56"/>
  <c r="FI32" i="56"/>
  <c r="BN22" i="7" s="1"/>
  <c r="FI36" i="56"/>
  <c r="BN26" i="7" s="1"/>
  <c r="FI40" i="56"/>
  <c r="BN30" i="7" s="1"/>
  <c r="AM40" i="56"/>
  <c r="FI44" i="56"/>
  <c r="BN34" i="7" s="1"/>
  <c r="AM44" i="56"/>
  <c r="FI48" i="56"/>
  <c r="BN38" i="7"/>
  <c r="AM48" i="56"/>
  <c r="AN48" i="56" s="1"/>
  <c r="AO48" i="56"/>
  <c r="FI52" i="56"/>
  <c r="BN42" i="7"/>
  <c r="AM52" i="56"/>
  <c r="AO52" i="56" s="1"/>
  <c r="AN52" i="56"/>
  <c r="BS76" i="56"/>
  <c r="AC77" i="56"/>
  <c r="BS84" i="56"/>
  <c r="AC85" i="56"/>
  <c r="BS92" i="56"/>
  <c r="AC93" i="56"/>
  <c r="BS100" i="56"/>
  <c r="AC101" i="56"/>
  <c r="BS108" i="56"/>
  <c r="BS15" i="56"/>
  <c r="AC16" i="56"/>
  <c r="BS23" i="56"/>
  <c r="AC24" i="56"/>
  <c r="N10" i="56"/>
  <c r="EG10" i="56"/>
  <c r="AX130" i="7"/>
  <c r="N14" i="56"/>
  <c r="EG14" i="56"/>
  <c r="N18" i="56"/>
  <c r="EG18" i="56"/>
  <c r="N22" i="56"/>
  <c r="EG22" i="56"/>
  <c r="EG26" i="56"/>
  <c r="CC31" i="56"/>
  <c r="GK34" i="56"/>
  <c r="CD24" i="7" s="1"/>
  <c r="BA34" i="56"/>
  <c r="GL35" i="56"/>
  <c r="CE25" i="7"/>
  <c r="BC37" i="56"/>
  <c r="CC39" i="56"/>
  <c r="CC43" i="56"/>
  <c r="BC49" i="56"/>
  <c r="BB49" i="56"/>
  <c r="GL51" i="56"/>
  <c r="CE41" i="7"/>
  <c r="CC61" i="56"/>
  <c r="GL61" i="56"/>
  <c r="CE51" i="7" s="1"/>
  <c r="BA64" i="56"/>
  <c r="CC71" i="56"/>
  <c r="CE71" i="56"/>
  <c r="GK71" i="56"/>
  <c r="CD61" i="7"/>
  <c r="BA76" i="56"/>
  <c r="BB76" i="56"/>
  <c r="CG81" i="56"/>
  <c r="CC81" i="56"/>
  <c r="GL81" i="56"/>
  <c r="CE71" i="7"/>
  <c r="CF83" i="56"/>
  <c r="CC83" i="56"/>
  <c r="CD83" i="56" s="1"/>
  <c r="GK83" i="56"/>
  <c r="CD73" i="7"/>
  <c r="CG93" i="56"/>
  <c r="CC93" i="56"/>
  <c r="GL93" i="56"/>
  <c r="CE83" i="7"/>
  <c r="BA96" i="56"/>
  <c r="BB96" i="56"/>
  <c r="BC96" i="56"/>
  <c r="CF103" i="56"/>
  <c r="CC103" i="56"/>
  <c r="CE103" i="56"/>
  <c r="GK103" i="56"/>
  <c r="CD93" i="7" s="1"/>
  <c r="CF109" i="56"/>
  <c r="CC109" i="56"/>
  <c r="CE109" i="56"/>
  <c r="FI109" i="56"/>
  <c r="BN99" i="7" s="1"/>
  <c r="CF12" i="56"/>
  <c r="CC12" i="56"/>
  <c r="CD12" i="56" s="1"/>
  <c r="CE12" i="56"/>
  <c r="CG14" i="56"/>
  <c r="CC14" i="56"/>
  <c r="GL14" i="56"/>
  <c r="CF20" i="56"/>
  <c r="CC20" i="56"/>
  <c r="CD20" i="56" s="1"/>
  <c r="CE20" i="56"/>
  <c r="CG22" i="56"/>
  <c r="CC22" i="56"/>
  <c r="GL22" i="56"/>
  <c r="CC28" i="56"/>
  <c r="CD28" i="56" s="1"/>
  <c r="CQ29" i="57"/>
  <c r="CR29" i="57"/>
  <c r="BO27" i="57"/>
  <c r="K27" i="57"/>
  <c r="L27" i="57" s="1"/>
  <c r="BN8" i="57"/>
  <c r="BO8" i="57" s="1"/>
  <c r="CU24" i="57"/>
  <c r="EV24" i="57"/>
  <c r="AQ24" i="57"/>
  <c r="FJ24" i="57"/>
  <c r="BQ23" i="57"/>
  <c r="DI22" i="57"/>
  <c r="EH22" i="57"/>
  <c r="AC22" i="57"/>
  <c r="EV22" i="57"/>
  <c r="AP21" i="57"/>
  <c r="AM21" i="57"/>
  <c r="AN21" i="57" s="1"/>
  <c r="BR19" i="57"/>
  <c r="BO19" i="57"/>
  <c r="BP19" i="57"/>
  <c r="K19" i="57"/>
  <c r="L19" i="57" s="1"/>
  <c r="DG15" i="57"/>
  <c r="AB15" i="57"/>
  <c r="EU15" i="57"/>
  <c r="Y15" i="57"/>
  <c r="Z15" i="57"/>
  <c r="AO13" i="57"/>
  <c r="CU12" i="57"/>
  <c r="EV12" i="57"/>
  <c r="AQ12" i="57"/>
  <c r="FJ12" i="57"/>
  <c r="EW8" i="57"/>
  <c r="EX8" i="57" s="1"/>
  <c r="EY8" i="57" s="1"/>
  <c r="AH6" i="57"/>
  <c r="AG7" i="57"/>
  <c r="BO31" i="57"/>
  <c r="BP31" i="57" s="1"/>
  <c r="BO33" i="57"/>
  <c r="BP33" i="57" s="1"/>
  <c r="AM34" i="57"/>
  <c r="AN34" i="57" s="1"/>
  <c r="AM36" i="57"/>
  <c r="AO36" i="57" s="1"/>
  <c r="Y39" i="57"/>
  <c r="AA39" i="57" s="1"/>
  <c r="Y41" i="57"/>
  <c r="Z41" i="57" s="1"/>
  <c r="AA41" i="57"/>
  <c r="AM46" i="57"/>
  <c r="Y49" i="57"/>
  <c r="AA49" i="57" s="1"/>
  <c r="BO51" i="57"/>
  <c r="BP51" i="57"/>
  <c r="AM52" i="57"/>
  <c r="AN52" i="57" s="1"/>
  <c r="AM58" i="57"/>
  <c r="AN58" i="57" s="1"/>
  <c r="BO62" i="57"/>
  <c r="BP62" i="57" s="1"/>
  <c r="AM64" i="57"/>
  <c r="AN64" i="57" s="1"/>
  <c r="BO68" i="57"/>
  <c r="BP68" i="57" s="1"/>
  <c r="AM74" i="57"/>
  <c r="AN74" i="57" s="1"/>
  <c r="DW76" i="57"/>
  <c r="AQ77" i="57"/>
  <c r="BR78" i="57"/>
  <c r="BO78" i="57"/>
  <c r="BP78" i="57" s="1"/>
  <c r="BS79" i="57"/>
  <c r="AP80" i="57"/>
  <c r="AM80" i="57"/>
  <c r="AN80" i="57" s="1"/>
  <c r="BR84" i="57"/>
  <c r="BO84" i="57"/>
  <c r="BP84" i="57"/>
  <c r="BS85" i="57"/>
  <c r="DW86" i="57"/>
  <c r="Y87" i="57"/>
  <c r="Z87" i="57" s="1"/>
  <c r="AA87" i="57"/>
  <c r="DW90" i="57"/>
  <c r="Y91" i="57"/>
  <c r="Z91" i="57"/>
  <c r="DW94" i="57"/>
  <c r="Y95" i="57"/>
  <c r="Z95" i="57" s="1"/>
  <c r="DW98" i="57"/>
  <c r="Y99" i="57"/>
  <c r="Z99" i="57" s="1"/>
  <c r="DW102" i="57"/>
  <c r="Y103" i="57"/>
  <c r="AA103" i="57" s="1"/>
  <c r="DW10" i="57"/>
  <c r="GH6" i="56"/>
  <c r="AV6" i="56"/>
  <c r="BA11" i="57"/>
  <c r="BB11" i="57" s="1"/>
  <c r="CF17" i="57"/>
  <c r="CC17" i="57"/>
  <c r="CE17" i="57"/>
  <c r="FW17" i="57"/>
  <c r="BA19" i="57"/>
  <c r="BB19" i="57" s="1"/>
  <c r="CC25" i="57"/>
  <c r="CE25" i="57" s="1"/>
  <c r="FW25" i="57"/>
  <c r="BA27" i="57"/>
  <c r="BB27" i="57" s="1"/>
  <c r="N92" i="56"/>
  <c r="EG92" i="56"/>
  <c r="AX82" i="7"/>
  <c r="BE86" i="56"/>
  <c r="EH86" i="56"/>
  <c r="AY76" i="7" s="1"/>
  <c r="BA86" i="56"/>
  <c r="N84" i="56"/>
  <c r="EG84" i="56"/>
  <c r="AX74" i="7" s="1"/>
  <c r="BE78" i="56"/>
  <c r="EH78" i="56"/>
  <c r="AY68" i="7" s="1"/>
  <c r="BA78" i="56"/>
  <c r="AX13" i="7"/>
  <c r="M16" i="55" s="1"/>
  <c r="EH1" i="56"/>
  <c r="CD13" i="7"/>
  <c r="M20" i="55" s="1"/>
  <c r="GL1" i="56"/>
  <c r="DI10" i="56"/>
  <c r="FX10" i="56"/>
  <c r="BW130" i="7"/>
  <c r="DE10" i="56"/>
  <c r="DG10" i="56"/>
  <c r="DD8" i="56"/>
  <c r="DE25" i="56"/>
  <c r="DF25" i="56" s="1"/>
  <c r="CQ34" i="56"/>
  <c r="CR34" i="56" s="1"/>
  <c r="DE40" i="56"/>
  <c r="FW40" i="56"/>
  <c r="BV30" i="7" s="1"/>
  <c r="FX42" i="56"/>
  <c r="BW32" i="7" s="1"/>
  <c r="DE57" i="56"/>
  <c r="DF57" i="56"/>
  <c r="DG57" i="56"/>
  <c r="CQ66" i="56"/>
  <c r="CR66" i="56" s="1"/>
  <c r="CS66" i="56"/>
  <c r="FX70" i="56"/>
  <c r="BW60" i="7" s="1"/>
  <c r="DI82" i="56"/>
  <c r="FX82" i="56"/>
  <c r="BW72" i="7"/>
  <c r="CT101" i="56"/>
  <c r="CQ101" i="56"/>
  <c r="EG101" i="56"/>
  <c r="AX91" i="7"/>
  <c r="BD10" i="57"/>
  <c r="FW10" i="57"/>
  <c r="AF130" i="7" s="1"/>
  <c r="BS75" i="56"/>
  <c r="AC76" i="56"/>
  <c r="BS79" i="56"/>
  <c r="AC80" i="56"/>
  <c r="BS83" i="56"/>
  <c r="AC84" i="56"/>
  <c r="BS87" i="56"/>
  <c r="AC88" i="56"/>
  <c r="BS91" i="56"/>
  <c r="AC92" i="56"/>
  <c r="BS95" i="56"/>
  <c r="AC96" i="56"/>
  <c r="BS99" i="56"/>
  <c r="AC100" i="56"/>
  <c r="BS103" i="56"/>
  <c r="AC104" i="56"/>
  <c r="BS109" i="56"/>
  <c r="AC108" i="56"/>
  <c r="BS10" i="56"/>
  <c r="AC11" i="56"/>
  <c r="BS14" i="56"/>
  <c r="AC15" i="56"/>
  <c r="BS18" i="56"/>
  <c r="AC19" i="56"/>
  <c r="BS22" i="56"/>
  <c r="AC23" i="56"/>
  <c r="K30" i="56"/>
  <c r="AQ75" i="56"/>
  <c r="AQ76" i="56"/>
  <c r="AQ77" i="56"/>
  <c r="AQ78" i="56"/>
  <c r="AQ79" i="56"/>
  <c r="AQ80" i="56"/>
  <c r="AQ81" i="56"/>
  <c r="AQ82" i="56"/>
  <c r="AQ83" i="56"/>
  <c r="AQ84" i="56"/>
  <c r="AQ85" i="56"/>
  <c r="AQ87" i="56"/>
  <c r="AQ88" i="56"/>
  <c r="AQ89" i="56"/>
  <c r="AQ90" i="56"/>
  <c r="AQ91" i="56"/>
  <c r="AQ92" i="56"/>
  <c r="AQ93" i="56"/>
  <c r="AQ94" i="56"/>
  <c r="AQ95" i="56"/>
  <c r="AQ96" i="56"/>
  <c r="AQ97" i="56"/>
  <c r="AQ98" i="56"/>
  <c r="AQ99" i="56"/>
  <c r="AQ100" i="56"/>
  <c r="AQ101" i="56"/>
  <c r="AQ102" i="56"/>
  <c r="AQ103" i="56"/>
  <c r="AQ104" i="56"/>
  <c r="AQ105" i="56"/>
  <c r="AQ108" i="56"/>
  <c r="DW10" i="56"/>
  <c r="AQ11" i="56"/>
  <c r="O13" i="56"/>
  <c r="DW14" i="56"/>
  <c r="AQ15" i="56"/>
  <c r="O17" i="56"/>
  <c r="AQ19" i="56"/>
  <c r="O21" i="56"/>
  <c r="DW22" i="56"/>
  <c r="AQ23" i="56"/>
  <c r="CG76" i="56"/>
  <c r="CG80" i="56"/>
  <c r="CG84" i="56"/>
  <c r="CG88" i="56"/>
  <c r="CG92" i="56"/>
  <c r="CG96" i="56"/>
  <c r="CG100" i="56"/>
  <c r="CG104" i="56"/>
  <c r="CG110" i="56"/>
  <c r="CG106" i="56"/>
  <c r="BE10" i="56"/>
  <c r="CG11" i="56"/>
  <c r="BE14" i="56"/>
  <c r="CG15" i="56"/>
  <c r="BE18" i="56"/>
  <c r="CG19" i="56"/>
  <c r="BE22" i="56"/>
  <c r="CG23" i="56"/>
  <c r="DW23" i="57"/>
  <c r="CU23" i="57"/>
  <c r="AQ23" i="57"/>
  <c r="DI21" i="57"/>
  <c r="BS21" i="57"/>
  <c r="AC21" i="57"/>
  <c r="DW19" i="57"/>
  <c r="CU19" i="57"/>
  <c r="AQ19" i="57"/>
  <c r="DI17" i="57"/>
  <c r="BS17" i="57"/>
  <c r="AC17" i="57"/>
  <c r="DW15" i="57"/>
  <c r="CU15" i="57"/>
  <c r="AQ15" i="57"/>
  <c r="DI13" i="57"/>
  <c r="BS13" i="57"/>
  <c r="AC13" i="57"/>
  <c r="DW11" i="57"/>
  <c r="CU11" i="57"/>
  <c r="AQ11" i="57"/>
  <c r="FR6" i="57"/>
  <c r="Z34" i="57"/>
  <c r="Z38" i="57"/>
  <c r="Z40" i="57"/>
  <c r="FJ40" i="57"/>
  <c r="Y30" i="7" s="1"/>
  <c r="Z48" i="57"/>
  <c r="Z52" i="57"/>
  <c r="BE12" i="57"/>
  <c r="FX12" i="57"/>
  <c r="CC14" i="57"/>
  <c r="CD14" i="57"/>
  <c r="BD18" i="57"/>
  <c r="BA18" i="57"/>
  <c r="BC18" i="57" s="1"/>
  <c r="BE20" i="57"/>
  <c r="FX20" i="57"/>
  <c r="CC22" i="57"/>
  <c r="CD22" i="57" s="1"/>
  <c r="BA26" i="57"/>
  <c r="BB26" i="57" s="1"/>
  <c r="FX28" i="57"/>
  <c r="CC31" i="57"/>
  <c r="CE31" i="57"/>
  <c r="CC32" i="57"/>
  <c r="CD32" i="57"/>
  <c r="CC35" i="57"/>
  <c r="CE35" i="57"/>
  <c r="CC36" i="57"/>
  <c r="CD36" i="57"/>
  <c r="CC39" i="57"/>
  <c r="CE39" i="57"/>
  <c r="CC40" i="57"/>
  <c r="CD40" i="57"/>
  <c r="CC43" i="57"/>
  <c r="CE43" i="57"/>
  <c r="CC44" i="57"/>
  <c r="CD44" i="57"/>
  <c r="CC47" i="57"/>
  <c r="CD47" i="57" s="1"/>
  <c r="CE47" i="57"/>
  <c r="CC48" i="57"/>
  <c r="CD48" i="57" s="1"/>
  <c r="CC51" i="57"/>
  <c r="CE51" i="57" s="1"/>
  <c r="CC52" i="57"/>
  <c r="CD52" i="57"/>
  <c r="CC55" i="57"/>
  <c r="CE55" i="57" s="1"/>
  <c r="CC56" i="57"/>
  <c r="CD56" i="57" s="1"/>
  <c r="CC59" i="57"/>
  <c r="CC60" i="57"/>
  <c r="CD60" i="57"/>
  <c r="CC63" i="57"/>
  <c r="CE63" i="57" s="1"/>
  <c r="CC64" i="57"/>
  <c r="CD64" i="57" s="1"/>
  <c r="CC67" i="57"/>
  <c r="CE67" i="57" s="1"/>
  <c r="CC68" i="57"/>
  <c r="CD68" i="57" s="1"/>
  <c r="CC71" i="57"/>
  <c r="CE71" i="57" s="1"/>
  <c r="CC72" i="57"/>
  <c r="CD72" i="57"/>
  <c r="CF75" i="57"/>
  <c r="CC75" i="57"/>
  <c r="CE75" i="57" s="1"/>
  <c r="CC76" i="57"/>
  <c r="CD76" i="57" s="1"/>
  <c r="CF79" i="57"/>
  <c r="CC79" i="57"/>
  <c r="CE79" i="57"/>
  <c r="CC80" i="57"/>
  <c r="CD80" i="57" s="1"/>
  <c r="CF83" i="57"/>
  <c r="CC83" i="57"/>
  <c r="CE83" i="57"/>
  <c r="CC84" i="57"/>
  <c r="CD84" i="57"/>
  <c r="CF87" i="57"/>
  <c r="CC87" i="57"/>
  <c r="CE87" i="57" s="1"/>
  <c r="CC88" i="57"/>
  <c r="CD88" i="57" s="1"/>
  <c r="CF91" i="57"/>
  <c r="CC91" i="57"/>
  <c r="CE91" i="57"/>
  <c r="CC92" i="57"/>
  <c r="CD92" i="57"/>
  <c r="CF95" i="57"/>
  <c r="CC95" i="57"/>
  <c r="CC96" i="57"/>
  <c r="CD96" i="57" s="1"/>
  <c r="CF99" i="57"/>
  <c r="CC99" i="57"/>
  <c r="CC100" i="57"/>
  <c r="CD100" i="57" s="1"/>
  <c r="CF103" i="57"/>
  <c r="CC103" i="57"/>
  <c r="CE103" i="57" s="1"/>
  <c r="CC104" i="57"/>
  <c r="CD104" i="57" s="1"/>
  <c r="FV106" i="57"/>
  <c r="AL96" i="7" s="1"/>
  <c r="FV107" i="57"/>
  <c r="AL97" i="7"/>
  <c r="FV108" i="57"/>
  <c r="AL98" i="7" s="1"/>
  <c r="FV109" i="57"/>
  <c r="AL99" i="7" s="1"/>
  <c r="FV110" i="57"/>
  <c r="AL100" i="7" s="1"/>
  <c r="FV104" i="57"/>
  <c r="FV100" i="57"/>
  <c r="AL90" i="7"/>
  <c r="FV96" i="57"/>
  <c r="FV92" i="57"/>
  <c r="AL82" i="7" s="1"/>
  <c r="FV88" i="57"/>
  <c r="FV84" i="57"/>
  <c r="AL74" i="7" s="1"/>
  <c r="FV80" i="57"/>
  <c r="FV76" i="57"/>
  <c r="FV72" i="57"/>
  <c r="FV68" i="57"/>
  <c r="AL58" i="7" s="1"/>
  <c r="FV64" i="57"/>
  <c r="FV60" i="57"/>
  <c r="FV56" i="57"/>
  <c r="FV52" i="57"/>
  <c r="AL42" i="7" s="1"/>
  <c r="FV48" i="57"/>
  <c r="FV44" i="57"/>
  <c r="FV40" i="57"/>
  <c r="FV36" i="57"/>
  <c r="AL26" i="7" s="1"/>
  <c r="FV32" i="57"/>
  <c r="FV26" i="57"/>
  <c r="FV22" i="57"/>
  <c r="FV18" i="57"/>
  <c r="FV14" i="57"/>
  <c r="FV105" i="57"/>
  <c r="AL95" i="7"/>
  <c r="FV101" i="57"/>
  <c r="AL91" i="7"/>
  <c r="FV97" i="57"/>
  <c r="AL87" i="7" s="1"/>
  <c r="FV93" i="57"/>
  <c r="AL83" i="7" s="1"/>
  <c r="FV89" i="57"/>
  <c r="AL79" i="7" s="1"/>
  <c r="FV85" i="57"/>
  <c r="AL75" i="7"/>
  <c r="FV81" i="57"/>
  <c r="AL71" i="7" s="1"/>
  <c r="FV77" i="57"/>
  <c r="AL67" i="7" s="1"/>
  <c r="FV73" i="57"/>
  <c r="AL63" i="7" s="1"/>
  <c r="FV69" i="57"/>
  <c r="AL59" i="7" s="1"/>
  <c r="FV65" i="57"/>
  <c r="AL55" i="7"/>
  <c r="FV61" i="57"/>
  <c r="AL51" i="7"/>
  <c r="FV57" i="57"/>
  <c r="AL47" i="7"/>
  <c r="FV53" i="57"/>
  <c r="AL43" i="7" s="1"/>
  <c r="FV49" i="57"/>
  <c r="AL39" i="7"/>
  <c r="FV45" i="57"/>
  <c r="AL35" i="7"/>
  <c r="FV41" i="57"/>
  <c r="AL31" i="7"/>
  <c r="FV37" i="57"/>
  <c r="AL27" i="7"/>
  <c r="FV33" i="57"/>
  <c r="AL23" i="7" s="1"/>
  <c r="FV27" i="57"/>
  <c r="FV23" i="57"/>
  <c r="FV19" i="57"/>
  <c r="FV15" i="57"/>
  <c r="FV11" i="57"/>
  <c r="FV102" i="57"/>
  <c r="AL92" i="7" s="1"/>
  <c r="FV98" i="57"/>
  <c r="AL88" i="7" s="1"/>
  <c r="FV94" i="57"/>
  <c r="AL84" i="7" s="1"/>
  <c r="FV90" i="57"/>
  <c r="AL80" i="7" s="1"/>
  <c r="FV86" i="57"/>
  <c r="AL76" i="7"/>
  <c r="FV82" i="57"/>
  <c r="AL72" i="7"/>
  <c r="FV78" i="57"/>
  <c r="AL68" i="7" s="1"/>
  <c r="FV74" i="57"/>
  <c r="AL64" i="7" s="1"/>
  <c r="FV70" i="57"/>
  <c r="AL60" i="7"/>
  <c r="FV66" i="57"/>
  <c r="AL56" i="7" s="1"/>
  <c r="FV62" i="57"/>
  <c r="AL52" i="7"/>
  <c r="FV58" i="57"/>
  <c r="AL48" i="7" s="1"/>
  <c r="FV54" i="57"/>
  <c r="AL44" i="7" s="1"/>
  <c r="FV50" i="57"/>
  <c r="AL40" i="7" s="1"/>
  <c r="FV46" i="57"/>
  <c r="AL36" i="7" s="1"/>
  <c r="FV42" i="57"/>
  <c r="AL32" i="7" s="1"/>
  <c r="FV38" i="57"/>
  <c r="AL28" i="7" s="1"/>
  <c r="FV34" i="57"/>
  <c r="AL24" i="7" s="1"/>
  <c r="FV30" i="57"/>
  <c r="AL20" i="7" s="1"/>
  <c r="FV28" i="57"/>
  <c r="FV24" i="57"/>
  <c r="FV20" i="57"/>
  <c r="FV16" i="57"/>
  <c r="FV12" i="57"/>
  <c r="FV10" i="57"/>
  <c r="AL130" i="7" s="1"/>
  <c r="O12" i="57"/>
  <c r="O14" i="57"/>
  <c r="O16" i="57"/>
  <c r="O18" i="57"/>
  <c r="O20" i="57"/>
  <c r="O22" i="57"/>
  <c r="O24" i="57"/>
  <c r="EH44" i="56"/>
  <c r="AY34" i="7" s="1"/>
  <c r="EG42" i="56"/>
  <c r="AX32" i="7" s="1"/>
  <c r="M109" i="56"/>
  <c r="BE108" i="56"/>
  <c r="EH108" i="56"/>
  <c r="AY98" i="7" s="1"/>
  <c r="N106" i="56"/>
  <c r="L106" i="56"/>
  <c r="EG106" i="56"/>
  <c r="AX96" i="7" s="1"/>
  <c r="BE100" i="56"/>
  <c r="EH100" i="56"/>
  <c r="AY90" i="7" s="1"/>
  <c r="N98" i="56"/>
  <c r="EG98" i="56"/>
  <c r="AX88" i="7" s="1"/>
  <c r="BE92" i="56"/>
  <c r="EH92" i="56"/>
  <c r="AY82" i="7"/>
  <c r="N90" i="56"/>
  <c r="EG90" i="56"/>
  <c r="AX80" i="7" s="1"/>
  <c r="BE84" i="56"/>
  <c r="EH84" i="56"/>
  <c r="AY74" i="7" s="1"/>
  <c r="N82" i="56"/>
  <c r="EG82" i="56"/>
  <c r="AX72" i="7" s="1"/>
  <c r="BE76" i="56"/>
  <c r="EH76" i="56"/>
  <c r="AY66" i="7"/>
  <c r="EG74" i="56"/>
  <c r="AX64" i="7" s="1"/>
  <c r="EH68" i="56"/>
  <c r="AY58" i="7" s="1"/>
  <c r="EG66" i="56"/>
  <c r="AX56" i="7" s="1"/>
  <c r="EH60" i="56"/>
  <c r="AY50" i="7"/>
  <c r="EG58" i="56"/>
  <c r="AX48" i="7" s="1"/>
  <c r="EH52" i="56"/>
  <c r="AY42" i="7" s="1"/>
  <c r="EG49" i="56"/>
  <c r="AX39" i="7" s="1"/>
  <c r="EG50" i="56"/>
  <c r="AX40" i="7"/>
  <c r="CT10" i="56"/>
  <c r="FW10" i="56"/>
  <c r="BV130" i="7" s="1"/>
  <c r="CQ10" i="56"/>
  <c r="CU15" i="56"/>
  <c r="FX15" i="56"/>
  <c r="CT21" i="56"/>
  <c r="CQ21" i="56"/>
  <c r="CS21" i="56" s="1"/>
  <c r="CQ22" i="56"/>
  <c r="CR22" i="56"/>
  <c r="DE28" i="56"/>
  <c r="DG28" i="56" s="1"/>
  <c r="FW28" i="56"/>
  <c r="DE29" i="56"/>
  <c r="FX31" i="56"/>
  <c r="BW21" i="7" s="1"/>
  <c r="CQ37" i="56"/>
  <c r="CS37" i="56"/>
  <c r="CQ38" i="56"/>
  <c r="CR38" i="56" s="1"/>
  <c r="DE44" i="56"/>
  <c r="DG44" i="56" s="1"/>
  <c r="FW44" i="56"/>
  <c r="BV34" i="7" s="1"/>
  <c r="DE45" i="56"/>
  <c r="DG45" i="56" s="1"/>
  <c r="DF45" i="56"/>
  <c r="FX47" i="56"/>
  <c r="BW37" i="7" s="1"/>
  <c r="CQ53" i="56"/>
  <c r="CS53" i="56" s="1"/>
  <c r="CQ54" i="56"/>
  <c r="CR54" i="56" s="1"/>
  <c r="DE60" i="56"/>
  <c r="DG60" i="56"/>
  <c r="FW60" i="56"/>
  <c r="BV50" i="7" s="1"/>
  <c r="DE61" i="56"/>
  <c r="DF61" i="56" s="1"/>
  <c r="FX63" i="56"/>
  <c r="BW53" i="7" s="1"/>
  <c r="CQ69" i="56"/>
  <c r="CS69" i="56" s="1"/>
  <c r="DE72" i="56"/>
  <c r="DG72" i="56" s="1"/>
  <c r="FW72" i="56"/>
  <c r="BV62" i="7" s="1"/>
  <c r="CT81" i="56"/>
  <c r="CQ81" i="56"/>
  <c r="CS81" i="56" s="1"/>
  <c r="CU87" i="56"/>
  <c r="FX87" i="56"/>
  <c r="BW77" i="7" s="1"/>
  <c r="DH88" i="56"/>
  <c r="DE88" i="56"/>
  <c r="DG88" i="56" s="1"/>
  <c r="DF88" i="56"/>
  <c r="FW88" i="56"/>
  <c r="BV78" i="7"/>
  <c r="DI98" i="56"/>
  <c r="DE98" i="56"/>
  <c r="CU99" i="56"/>
  <c r="FX99" i="56"/>
  <c r="BW89" i="7" s="1"/>
  <c r="CQ99" i="56"/>
  <c r="CR99" i="56"/>
  <c r="DH100" i="56"/>
  <c r="DE100" i="56"/>
  <c r="DF100" i="56" s="1"/>
  <c r="FW100" i="56"/>
  <c r="BV90" i="7" s="1"/>
  <c r="DI106" i="56"/>
  <c r="DE106" i="56"/>
  <c r="DF106" i="56"/>
  <c r="DG108" i="56"/>
  <c r="AP106" i="57"/>
  <c r="FW46" i="57"/>
  <c r="AF36" i="7"/>
  <c r="BD99" i="57"/>
  <c r="FW99" i="57"/>
  <c r="AF89" i="7" s="1"/>
  <c r="BD91" i="57"/>
  <c r="FW91" i="57"/>
  <c r="AF81" i="7" s="1"/>
  <c r="BD83" i="57"/>
  <c r="FW83" i="57"/>
  <c r="AF73" i="7" s="1"/>
  <c r="BD75" i="57"/>
  <c r="FW75" i="57"/>
  <c r="AF65" i="7"/>
  <c r="GL56" i="56"/>
  <c r="CE46" i="7" s="1"/>
  <c r="GL60" i="56"/>
  <c r="CE50" i="7" s="1"/>
  <c r="CC60" i="56"/>
  <c r="CD60" i="56" s="1"/>
  <c r="GL64" i="56"/>
  <c r="CE54" i="7" s="1"/>
  <c r="CC64" i="56"/>
  <c r="CE64" i="56" s="1"/>
  <c r="GL68" i="56"/>
  <c r="CE58" i="7" s="1"/>
  <c r="CC68" i="56"/>
  <c r="CD68" i="56" s="1"/>
  <c r="GL72" i="56"/>
  <c r="CE62" i="7" s="1"/>
  <c r="CC72" i="56"/>
  <c r="CD72" i="56" s="1"/>
  <c r="GO72" i="56" s="1"/>
  <c r="CF62" i="7" s="1"/>
  <c r="CG75" i="56"/>
  <c r="GL76" i="56"/>
  <c r="CE66" i="7" s="1"/>
  <c r="CC76" i="56"/>
  <c r="CD76" i="56" s="1"/>
  <c r="CG79" i="56"/>
  <c r="GL80" i="56"/>
  <c r="CE70" i="7"/>
  <c r="CC80" i="56"/>
  <c r="GL84" i="56"/>
  <c r="CE74" i="7" s="1"/>
  <c r="CC84" i="56"/>
  <c r="CD84" i="56" s="1"/>
  <c r="CG87" i="56"/>
  <c r="GL88" i="56"/>
  <c r="CE78" i="7" s="1"/>
  <c r="CC88" i="56"/>
  <c r="CD88" i="56" s="1"/>
  <c r="CG91" i="56"/>
  <c r="GL92" i="56"/>
  <c r="CE82" i="7"/>
  <c r="CC92" i="56"/>
  <c r="CD92" i="56" s="1"/>
  <c r="CG95" i="56"/>
  <c r="GL96" i="56"/>
  <c r="CE86" i="7"/>
  <c r="CC96" i="56"/>
  <c r="CD96" i="56"/>
  <c r="CG99" i="56"/>
  <c r="GL100" i="56"/>
  <c r="CE90" i="7" s="1"/>
  <c r="CC100" i="56"/>
  <c r="CD100" i="56" s="1"/>
  <c r="CG103" i="56"/>
  <c r="GL104" i="56"/>
  <c r="CE94" i="7" s="1"/>
  <c r="CC104" i="56"/>
  <c r="CD104" i="56" s="1"/>
  <c r="CC110" i="56"/>
  <c r="CG109" i="56"/>
  <c r="CC106" i="56"/>
  <c r="CD106" i="56" s="1"/>
  <c r="BA10" i="56"/>
  <c r="GL11" i="56"/>
  <c r="CC11" i="56"/>
  <c r="BE11" i="56"/>
  <c r="GK12" i="56"/>
  <c r="CG12" i="56"/>
  <c r="BA14" i="56"/>
  <c r="BB14" i="56" s="1"/>
  <c r="GL15" i="56"/>
  <c r="CC15" i="56"/>
  <c r="CD15" i="56"/>
  <c r="BE15" i="56"/>
  <c r="GK16" i="56"/>
  <c r="CG16" i="56"/>
  <c r="BA18" i="56"/>
  <c r="BB18" i="56" s="1"/>
  <c r="GL19" i="56"/>
  <c r="CC19" i="56"/>
  <c r="CD19" i="56" s="1"/>
  <c r="GO19" i="56" s="1"/>
  <c r="BE19" i="56"/>
  <c r="GK20" i="56"/>
  <c r="CG20" i="56"/>
  <c r="BA22" i="56"/>
  <c r="BB22" i="56"/>
  <c r="GL23" i="56"/>
  <c r="CC23" i="56"/>
  <c r="CD23" i="56"/>
  <c r="BE23" i="56"/>
  <c r="GK24" i="56"/>
  <c r="CG24" i="56"/>
  <c r="CB8" i="56"/>
  <c r="BA26" i="56"/>
  <c r="BB26" i="56" s="1"/>
  <c r="GL27" i="56"/>
  <c r="CC27" i="56"/>
  <c r="CD27" i="56" s="1"/>
  <c r="GK28" i="56"/>
  <c r="EU28" i="57"/>
  <c r="CQ28" i="57"/>
  <c r="AM28" i="57"/>
  <c r="EV27" i="57"/>
  <c r="DE26" i="57"/>
  <c r="BO26" i="57"/>
  <c r="Y26" i="57"/>
  <c r="DR8" i="57"/>
  <c r="DS8" i="57" s="1"/>
  <c r="CP8" i="57"/>
  <c r="CQ8" i="57" s="1"/>
  <c r="AL8" i="57"/>
  <c r="AM8" i="57" s="1"/>
  <c r="J8" i="57"/>
  <c r="EU24" i="57"/>
  <c r="DI24" i="57"/>
  <c r="CQ24" i="57"/>
  <c r="CR24" i="57" s="1"/>
  <c r="BS24" i="57"/>
  <c r="AM24" i="57"/>
  <c r="AN24" i="57"/>
  <c r="AC24" i="57"/>
  <c r="EV23" i="57"/>
  <c r="DW22" i="57"/>
  <c r="DE22" i="57"/>
  <c r="DF22" i="57" s="1"/>
  <c r="CU22" i="57"/>
  <c r="BO22" i="57"/>
  <c r="BQ22" i="57" s="1"/>
  <c r="AQ22" i="57"/>
  <c r="Y22" i="57"/>
  <c r="Z22" i="57" s="1"/>
  <c r="EU20" i="57"/>
  <c r="DI20" i="57"/>
  <c r="CQ20" i="57"/>
  <c r="BS20" i="57"/>
  <c r="AM20" i="57"/>
  <c r="AC20" i="57"/>
  <c r="EV19" i="57"/>
  <c r="DW18" i="57"/>
  <c r="DE18" i="57"/>
  <c r="CU18" i="57"/>
  <c r="BO18" i="57"/>
  <c r="AQ18" i="57"/>
  <c r="Y18" i="57"/>
  <c r="ET17" i="57"/>
  <c r="EU16" i="57"/>
  <c r="DI16" i="57"/>
  <c r="CQ16" i="57"/>
  <c r="BS16" i="57"/>
  <c r="AM16" i="57"/>
  <c r="AC16" i="57"/>
  <c r="EV15" i="57"/>
  <c r="DW14" i="57"/>
  <c r="DE14" i="57"/>
  <c r="CU14" i="57"/>
  <c r="BO14" i="57"/>
  <c r="AQ14" i="57"/>
  <c r="Y14" i="57"/>
  <c r="ET13" i="57"/>
  <c r="EU12" i="57"/>
  <c r="DI12" i="57"/>
  <c r="CQ12" i="57"/>
  <c r="CS12" i="57" s="1"/>
  <c r="BS12" i="57"/>
  <c r="AM12" i="57"/>
  <c r="AN12" i="57" s="1"/>
  <c r="AC12" i="57"/>
  <c r="EV11" i="57"/>
  <c r="DD9" i="57"/>
  <c r="DE9" i="57" s="1"/>
  <c r="BN9" i="57"/>
  <c r="BO9" i="57" s="1"/>
  <c r="BR9" i="57" s="1"/>
  <c r="BO57" i="57"/>
  <c r="BQ57" i="57" s="1"/>
  <c r="AM57" i="57"/>
  <c r="AO57" i="57" s="1"/>
  <c r="BO59" i="57"/>
  <c r="BP59" i="57" s="1"/>
  <c r="AM59" i="57"/>
  <c r="AN59" i="57" s="1"/>
  <c r="BO61" i="57"/>
  <c r="BQ61" i="57" s="1"/>
  <c r="AM61" i="57"/>
  <c r="AO61" i="57" s="1"/>
  <c r="BO63" i="57"/>
  <c r="BP63" i="57" s="1"/>
  <c r="AM63" i="57"/>
  <c r="BO65" i="57"/>
  <c r="BQ65" i="57" s="1"/>
  <c r="AM65" i="57"/>
  <c r="AO65" i="57" s="1"/>
  <c r="BO67" i="57"/>
  <c r="BP67" i="57" s="1"/>
  <c r="AM67" i="57"/>
  <c r="BO69" i="57"/>
  <c r="BQ69" i="57" s="1"/>
  <c r="AM69" i="57"/>
  <c r="BO71" i="57"/>
  <c r="BP71" i="57" s="1"/>
  <c r="AM71" i="57"/>
  <c r="AN71" i="57"/>
  <c r="BO73" i="57"/>
  <c r="AM73" i="57"/>
  <c r="AO73" i="57" s="1"/>
  <c r="BR75" i="57"/>
  <c r="BO75" i="57"/>
  <c r="BP75" i="57" s="1"/>
  <c r="AP75" i="57"/>
  <c r="AM75" i="57"/>
  <c r="AO75" i="57" s="1"/>
  <c r="BS76" i="57"/>
  <c r="BR77" i="57"/>
  <c r="BO77" i="57"/>
  <c r="BQ77" i="57" s="1"/>
  <c r="AP77" i="57"/>
  <c r="AM77" i="57"/>
  <c r="AN77" i="57"/>
  <c r="BS78" i="57"/>
  <c r="BR79" i="57"/>
  <c r="BO79" i="57"/>
  <c r="BQ79" i="57" s="1"/>
  <c r="AP79" i="57"/>
  <c r="AM79" i="57"/>
  <c r="AO79" i="57"/>
  <c r="BS80" i="57"/>
  <c r="BR81" i="57"/>
  <c r="BO81" i="57"/>
  <c r="BQ81" i="57"/>
  <c r="AP81" i="57"/>
  <c r="AM81" i="57"/>
  <c r="AO81" i="57" s="1"/>
  <c r="BS82" i="57"/>
  <c r="BR83" i="57"/>
  <c r="BO83" i="57"/>
  <c r="BP83" i="57"/>
  <c r="AP83" i="57"/>
  <c r="AM83" i="57"/>
  <c r="AN83" i="57" s="1"/>
  <c r="BS84" i="57"/>
  <c r="BR85" i="57"/>
  <c r="BO85" i="57"/>
  <c r="BP85" i="57" s="1"/>
  <c r="BQ85" i="57"/>
  <c r="AP85" i="57"/>
  <c r="AM85" i="57"/>
  <c r="AN85" i="57" s="1"/>
  <c r="BS86" i="57"/>
  <c r="BS87" i="57"/>
  <c r="AP87" i="57"/>
  <c r="AM87" i="57"/>
  <c r="AO87" i="57" s="1"/>
  <c r="BR88" i="57"/>
  <c r="BO88" i="57"/>
  <c r="BQ88" i="57"/>
  <c r="BS89" i="57"/>
  <c r="AP89" i="57"/>
  <c r="AM89" i="57"/>
  <c r="AN89" i="57" s="1"/>
  <c r="AO89" i="57"/>
  <c r="BR90" i="57"/>
  <c r="BO90" i="57"/>
  <c r="BQ90" i="57"/>
  <c r="BS91" i="57"/>
  <c r="AP91" i="57"/>
  <c r="AM91" i="57"/>
  <c r="AO91" i="57" s="1"/>
  <c r="AN91" i="57"/>
  <c r="BR92" i="57"/>
  <c r="BO92" i="57"/>
  <c r="BQ92" i="57" s="1"/>
  <c r="BS93" i="57"/>
  <c r="AP93" i="57"/>
  <c r="AM93" i="57"/>
  <c r="AN93" i="57" s="1"/>
  <c r="AO93" i="57"/>
  <c r="BR94" i="57"/>
  <c r="BO94" i="57"/>
  <c r="BQ94" i="57" s="1"/>
  <c r="BS95" i="57"/>
  <c r="AP95" i="57"/>
  <c r="AM95" i="57"/>
  <c r="BR96" i="57"/>
  <c r="BO96" i="57"/>
  <c r="BQ96" i="57" s="1"/>
  <c r="BS97" i="57"/>
  <c r="AP97" i="57"/>
  <c r="AM97" i="57"/>
  <c r="BR98" i="57"/>
  <c r="BO98" i="57"/>
  <c r="BQ98" i="57"/>
  <c r="BS99" i="57"/>
  <c r="AP99" i="57"/>
  <c r="AM99" i="57"/>
  <c r="AN99" i="57" s="1"/>
  <c r="AO99" i="57"/>
  <c r="BR100" i="57"/>
  <c r="BO100" i="57"/>
  <c r="BQ100" i="57"/>
  <c r="BS101" i="57"/>
  <c r="AP101" i="57"/>
  <c r="AM101" i="57"/>
  <c r="AN101" i="57" s="1"/>
  <c r="AO101" i="57"/>
  <c r="BR102" i="57"/>
  <c r="BO102" i="57"/>
  <c r="BQ102" i="57" s="1"/>
  <c r="BS103" i="57"/>
  <c r="AP103" i="57"/>
  <c r="AM103" i="57"/>
  <c r="AO103" i="57" s="1"/>
  <c r="BR104" i="57"/>
  <c r="BO104" i="57"/>
  <c r="BS105" i="57"/>
  <c r="AP105" i="57"/>
  <c r="AM105" i="57"/>
  <c r="AO105" i="57" s="1"/>
  <c r="BR10" i="57"/>
  <c r="BO10" i="57"/>
  <c r="BQ10" i="57" s="1"/>
  <c r="CF13" i="57"/>
  <c r="CC13" i="57"/>
  <c r="CE13" i="57" s="1"/>
  <c r="FW13" i="57"/>
  <c r="BA15" i="57"/>
  <c r="BB15" i="57" s="1"/>
  <c r="CF21" i="57"/>
  <c r="CC21" i="57"/>
  <c r="CE21" i="57"/>
  <c r="FW21" i="57"/>
  <c r="BA23" i="57"/>
  <c r="BB23" i="57"/>
  <c r="CC29" i="57"/>
  <c r="FW29" i="57"/>
  <c r="AL22" i="7"/>
  <c r="AL30" i="7"/>
  <c r="AL34" i="7"/>
  <c r="AL38" i="7"/>
  <c r="AL46" i="7"/>
  <c r="AL50" i="7"/>
  <c r="AL54" i="7"/>
  <c r="AL62" i="7"/>
  <c r="AL66" i="7"/>
  <c r="AL70" i="7"/>
  <c r="AL78" i="7"/>
  <c r="CG89" i="57"/>
  <c r="CG93" i="57"/>
  <c r="AL86" i="7"/>
  <c r="CG97" i="57"/>
  <c r="CG101" i="57"/>
  <c r="FV103" i="57"/>
  <c r="AL93" i="7" s="1"/>
  <c r="AL94" i="7"/>
  <c r="CG105" i="57"/>
  <c r="EH43" i="56"/>
  <c r="AY33" i="7" s="1"/>
  <c r="EH42" i="56"/>
  <c r="AY32" i="7" s="1"/>
  <c r="EH107" i="56"/>
  <c r="AY97" i="7" s="1"/>
  <c r="BE106" i="56"/>
  <c r="EH106" i="56"/>
  <c r="AY96" i="7"/>
  <c r="N104" i="56"/>
  <c r="EG104" i="56"/>
  <c r="AX94" i="7" s="1"/>
  <c r="BE98" i="56"/>
  <c r="EH98" i="56"/>
  <c r="AY88" i="7" s="1"/>
  <c r="N96" i="56"/>
  <c r="EG96" i="56"/>
  <c r="AX86" i="7" s="1"/>
  <c r="BE90" i="56"/>
  <c r="EH90" i="56"/>
  <c r="AY80" i="7"/>
  <c r="N88" i="56"/>
  <c r="EG88" i="56"/>
  <c r="AX78" i="7" s="1"/>
  <c r="EH83" i="56"/>
  <c r="AY73" i="7" s="1"/>
  <c r="BE82" i="56"/>
  <c r="EH82" i="56"/>
  <c r="AY72" i="7"/>
  <c r="N80" i="56"/>
  <c r="EG80" i="56"/>
  <c r="AX70" i="7" s="1"/>
  <c r="EH74" i="56"/>
  <c r="AY64" i="7" s="1"/>
  <c r="EG72" i="56"/>
  <c r="AX62" i="7" s="1"/>
  <c r="EH66" i="56"/>
  <c r="AY56" i="7" s="1"/>
  <c r="EG64" i="56"/>
  <c r="AX54" i="7" s="1"/>
  <c r="EH59" i="56"/>
  <c r="AY49" i="7" s="1"/>
  <c r="EH58" i="56"/>
  <c r="AY48" i="7" s="1"/>
  <c r="EG56" i="56"/>
  <c r="AX46" i="7" s="1"/>
  <c r="EH49" i="56"/>
  <c r="AY39" i="7" s="1"/>
  <c r="EG47" i="56"/>
  <c r="AX37" i="7" s="1"/>
  <c r="BV13" i="7"/>
  <c r="M19" i="55" s="1"/>
  <c r="FX1" i="56"/>
  <c r="CU11" i="56"/>
  <c r="FX11" i="56"/>
  <c r="DH16" i="56"/>
  <c r="DE16" i="56"/>
  <c r="DG16" i="56"/>
  <c r="DF16" i="56"/>
  <c r="FW16" i="56"/>
  <c r="DE17" i="56"/>
  <c r="CU19" i="56"/>
  <c r="FX19" i="56"/>
  <c r="CQ25" i="56"/>
  <c r="CS25" i="56" s="1"/>
  <c r="CR25" i="56"/>
  <c r="GA25" i="56" s="1"/>
  <c r="DE26" i="56"/>
  <c r="DG26" i="56"/>
  <c r="CQ26" i="56"/>
  <c r="CR26" i="56"/>
  <c r="CQ27" i="56"/>
  <c r="CS27" i="56"/>
  <c r="CS28" i="56"/>
  <c r="DE32" i="56"/>
  <c r="DF32" i="56" s="1"/>
  <c r="DG32" i="56"/>
  <c r="FW32" i="56"/>
  <c r="BV22" i="7" s="1"/>
  <c r="DE33" i="56"/>
  <c r="DF33" i="56"/>
  <c r="GA33" i="56" s="1"/>
  <c r="FX35" i="56"/>
  <c r="BW25" i="7" s="1"/>
  <c r="CQ41" i="56"/>
  <c r="CS41" i="56"/>
  <c r="DE42" i="56"/>
  <c r="DG42" i="56" s="1"/>
  <c r="CQ42" i="56"/>
  <c r="CS42" i="56" s="1"/>
  <c r="CR42" i="56"/>
  <c r="CQ43" i="56"/>
  <c r="CS43" i="56" s="1"/>
  <c r="CS44" i="56"/>
  <c r="DE48" i="56"/>
  <c r="DG48" i="56"/>
  <c r="FW48" i="56"/>
  <c r="BV38" i="7" s="1"/>
  <c r="DE49" i="56"/>
  <c r="DG49" i="56"/>
  <c r="DF49" i="56"/>
  <c r="FX51" i="56"/>
  <c r="BW41" i="7" s="1"/>
  <c r="CQ57" i="56"/>
  <c r="DE58" i="56"/>
  <c r="DG58" i="56" s="1"/>
  <c r="GB58" i="56" s="1"/>
  <c r="BY48" i="7" s="1"/>
  <c r="CQ58" i="56"/>
  <c r="CR58" i="56"/>
  <c r="CQ59" i="56"/>
  <c r="CR59" i="56" s="1"/>
  <c r="DE64" i="56"/>
  <c r="DG64" i="56" s="1"/>
  <c r="DF64" i="56"/>
  <c r="FW64" i="56"/>
  <c r="BV54" i="7"/>
  <c r="DE65" i="56"/>
  <c r="DF65" i="56"/>
  <c r="FX67" i="56"/>
  <c r="BW57" i="7"/>
  <c r="DE70" i="56"/>
  <c r="DF70" i="56"/>
  <c r="GA70" i="56" s="1"/>
  <c r="CQ70" i="56"/>
  <c r="CR70" i="56"/>
  <c r="CQ71" i="56"/>
  <c r="CR71" i="56" s="1"/>
  <c r="CS71" i="56"/>
  <c r="CU75" i="56"/>
  <c r="FX75" i="56"/>
  <c r="BW65" i="7" s="1"/>
  <c r="DH76" i="56"/>
  <c r="DE76" i="56"/>
  <c r="DG76" i="56" s="1"/>
  <c r="FW76" i="56"/>
  <c r="BV66" i="7"/>
  <c r="CT85" i="56"/>
  <c r="CQ85" i="56"/>
  <c r="CS85" i="56" s="1"/>
  <c r="CU91" i="56"/>
  <c r="FX91" i="56"/>
  <c r="BW81" i="7"/>
  <c r="DH92" i="56"/>
  <c r="DE92" i="56"/>
  <c r="DG92" i="56" s="1"/>
  <c r="DF92" i="56"/>
  <c r="FW92" i="56"/>
  <c r="BV82" i="7" s="1"/>
  <c r="CT97" i="56"/>
  <c r="CQ97" i="56"/>
  <c r="CS97" i="56" s="1"/>
  <c r="CS99" i="56"/>
  <c r="DG100" i="56"/>
  <c r="CT105" i="56"/>
  <c r="CQ105" i="56"/>
  <c r="CR105" i="56"/>
  <c r="FX106" i="56"/>
  <c r="BW96" i="7"/>
  <c r="GB8" i="56"/>
  <c r="GA3" i="56"/>
  <c r="BX1" i="7" s="1"/>
  <c r="GB8" i="57"/>
  <c r="GA3" i="57"/>
  <c r="BR109" i="57"/>
  <c r="BO109" i="57"/>
  <c r="BP109" i="57"/>
  <c r="BR108" i="57"/>
  <c r="BO108" i="57"/>
  <c r="BR107" i="57"/>
  <c r="BR106" i="57"/>
  <c r="BO106" i="57"/>
  <c r="BP106" i="57" s="1"/>
  <c r="BR110" i="57"/>
  <c r="FW43" i="57"/>
  <c r="AF33" i="7"/>
  <c r="FW39" i="57"/>
  <c r="AF29" i="7"/>
  <c r="FW35" i="57"/>
  <c r="AF25" i="7"/>
  <c r="FW31" i="57"/>
  <c r="AF21" i="7"/>
  <c r="AN58" i="56"/>
  <c r="AM60" i="56"/>
  <c r="AM64" i="56"/>
  <c r="AN64" i="56" s="1"/>
  <c r="AM68" i="56"/>
  <c r="AO68" i="56"/>
  <c r="AN68" i="56"/>
  <c r="AM72" i="56"/>
  <c r="AM76" i="56"/>
  <c r="AL8" i="56"/>
  <c r="AM8" i="56" s="1"/>
  <c r="AP8" i="56" s="1"/>
  <c r="DS108" i="56"/>
  <c r="FI58" i="56"/>
  <c r="BN48" i="7"/>
  <c r="FI59" i="56"/>
  <c r="BN49" i="7"/>
  <c r="FI60" i="56"/>
  <c r="BN50" i="7"/>
  <c r="FI61" i="56"/>
  <c r="BN51" i="7"/>
  <c r="FI62" i="56"/>
  <c r="BN52" i="7"/>
  <c r="FI63" i="56"/>
  <c r="BN53" i="7"/>
  <c r="FI64" i="56"/>
  <c r="BN54" i="7"/>
  <c r="FI65" i="56"/>
  <c r="BN55" i="7"/>
  <c r="FI66" i="56"/>
  <c r="BN56" i="7"/>
  <c r="FI67" i="56"/>
  <c r="BN57" i="7"/>
  <c r="FI68" i="56"/>
  <c r="BN58" i="7"/>
  <c r="FI69" i="56"/>
  <c r="BN59" i="7"/>
  <c r="FI70" i="56"/>
  <c r="BN60" i="7"/>
  <c r="FI71" i="56"/>
  <c r="BN61" i="7"/>
  <c r="FI72" i="56"/>
  <c r="BN62" i="7"/>
  <c r="FI73" i="56"/>
  <c r="BN63" i="7"/>
  <c r="FI74" i="56"/>
  <c r="BN64" i="7"/>
  <c r="FI75" i="56"/>
  <c r="BN65" i="7"/>
  <c r="FI76" i="56"/>
  <c r="BN66" i="7"/>
  <c r="FI77" i="56"/>
  <c r="BN67" i="7"/>
  <c r="FI78" i="56"/>
  <c r="BN68" i="7"/>
  <c r="FI79" i="56"/>
  <c r="BN69" i="7" s="1"/>
  <c r="FI80" i="56"/>
  <c r="BN70" i="7"/>
  <c r="FI81" i="56"/>
  <c r="BN71" i="7" s="1"/>
  <c r="FI82" i="56"/>
  <c r="BN72" i="7"/>
  <c r="FI83" i="56"/>
  <c r="BN73" i="7" s="1"/>
  <c r="FI84" i="56"/>
  <c r="BN74" i="7"/>
  <c r="FI85" i="56"/>
  <c r="BN75" i="7" s="1"/>
  <c r="FI86" i="56"/>
  <c r="BN76" i="7"/>
  <c r="FI87" i="56"/>
  <c r="BN77" i="7" s="1"/>
  <c r="FI88" i="56"/>
  <c r="BN78" i="7"/>
  <c r="FI90" i="56"/>
  <c r="BN80" i="7" s="1"/>
  <c r="FI91" i="56"/>
  <c r="BN81" i="7"/>
  <c r="FI92" i="56"/>
  <c r="BN82" i="7" s="1"/>
  <c r="FI93" i="56"/>
  <c r="BN83" i="7"/>
  <c r="FI94" i="56"/>
  <c r="BN84" i="7" s="1"/>
  <c r="FI95" i="56"/>
  <c r="BN85" i="7"/>
  <c r="FI96" i="56"/>
  <c r="BN86" i="7" s="1"/>
  <c r="FI97" i="56"/>
  <c r="BN87" i="7"/>
  <c r="FI98" i="56"/>
  <c r="BN88" i="7" s="1"/>
  <c r="FI99" i="56"/>
  <c r="BN89" i="7"/>
  <c r="FI100" i="56"/>
  <c r="BN90" i="7" s="1"/>
  <c r="FI101" i="56"/>
  <c r="BN91" i="7"/>
  <c r="FI102" i="56"/>
  <c r="BN92" i="7" s="1"/>
  <c r="FI103" i="56"/>
  <c r="BN93" i="7"/>
  <c r="FI104" i="56"/>
  <c r="BN94" i="7" s="1"/>
  <c r="FI105" i="56"/>
  <c r="BN95" i="7"/>
  <c r="FI107" i="56"/>
  <c r="BN97" i="7" s="1"/>
  <c r="EV32" i="56"/>
  <c r="BG22" i="7"/>
  <c r="EV36" i="56"/>
  <c r="BG26" i="7" s="1"/>
  <c r="EV40" i="56"/>
  <c r="BG30" i="7" s="1"/>
  <c r="EV44" i="56"/>
  <c r="BG34" i="7" s="1"/>
  <c r="EV48" i="56"/>
  <c r="BG38" i="7" s="1"/>
  <c r="EV52" i="56"/>
  <c r="BG42" i="7" s="1"/>
  <c r="EV56" i="56"/>
  <c r="BG46" i="7" s="1"/>
  <c r="EV64" i="56"/>
  <c r="BG54" i="7" s="1"/>
  <c r="EV68" i="56"/>
  <c r="BG58" i="7" s="1"/>
  <c r="EV72" i="56"/>
  <c r="BG62" i="7" s="1"/>
  <c r="EV76" i="56"/>
  <c r="BG66" i="7" s="1"/>
  <c r="BS77" i="56"/>
  <c r="AC78" i="56"/>
  <c r="EV80" i="56"/>
  <c r="BG70" i="7" s="1"/>
  <c r="BS81" i="56"/>
  <c r="AC82" i="56"/>
  <c r="EV84" i="56"/>
  <c r="BG74" i="7" s="1"/>
  <c r="BS85" i="56"/>
  <c r="AC86" i="56"/>
  <c r="EV88" i="56"/>
  <c r="BG78" i="7" s="1"/>
  <c r="BS89" i="56"/>
  <c r="AC90" i="56"/>
  <c r="EV92" i="56"/>
  <c r="BG82" i="7" s="1"/>
  <c r="BS93" i="56"/>
  <c r="AC94" i="56"/>
  <c r="EV96" i="56"/>
  <c r="BG86" i="7" s="1"/>
  <c r="BS97" i="56"/>
  <c r="AC98" i="56"/>
  <c r="EV100" i="56"/>
  <c r="BG90" i="7" s="1"/>
  <c r="BS101" i="56"/>
  <c r="AC102" i="56"/>
  <c r="EV104" i="56"/>
  <c r="BG94" i="7" s="1"/>
  <c r="BS105" i="56"/>
  <c r="AC110" i="56"/>
  <c r="EV108" i="56"/>
  <c r="BG98" i="7" s="1"/>
  <c r="BS107" i="56"/>
  <c r="AC106" i="56"/>
  <c r="EV11" i="56"/>
  <c r="BS12" i="56"/>
  <c r="AC13" i="56"/>
  <c r="EV15" i="56"/>
  <c r="BS16" i="56"/>
  <c r="AC17" i="56"/>
  <c r="EV19" i="56"/>
  <c r="BS20" i="56"/>
  <c r="AC21" i="56"/>
  <c r="EV23" i="56"/>
  <c r="BS24" i="56"/>
  <c r="EV27" i="56"/>
  <c r="FJ30" i="56"/>
  <c r="BO20" i="7" s="1"/>
  <c r="FJ31" i="56"/>
  <c r="BO21" i="7" s="1"/>
  <c r="FJ32" i="56"/>
  <c r="BO22" i="7" s="1"/>
  <c r="FJ34" i="56"/>
  <c r="BO24" i="7" s="1"/>
  <c r="FJ35" i="56"/>
  <c r="BO25" i="7" s="1"/>
  <c r="FJ36" i="56"/>
  <c r="BO26" i="7" s="1"/>
  <c r="FJ37" i="56"/>
  <c r="BO27" i="7" s="1"/>
  <c r="FJ38" i="56"/>
  <c r="BO28" i="7" s="1"/>
  <c r="FJ39" i="56"/>
  <c r="BO29" i="7" s="1"/>
  <c r="FJ40" i="56"/>
  <c r="BO30" i="7" s="1"/>
  <c r="FJ41" i="56"/>
  <c r="BO31" i="7" s="1"/>
  <c r="FJ42" i="56"/>
  <c r="BO32" i="7" s="1"/>
  <c r="FJ43" i="56"/>
  <c r="BO33" i="7" s="1"/>
  <c r="FJ44" i="56"/>
  <c r="BO34" i="7" s="1"/>
  <c r="FJ45" i="56"/>
  <c r="BO35" i="7" s="1"/>
  <c r="FJ46" i="56"/>
  <c r="BO36" i="7" s="1"/>
  <c r="FJ47" i="56"/>
  <c r="BO37" i="7" s="1"/>
  <c r="FJ48" i="56"/>
  <c r="BO38" i="7" s="1"/>
  <c r="FJ49" i="56"/>
  <c r="BO39" i="7" s="1"/>
  <c r="FJ50" i="56"/>
  <c r="BO40" i="7" s="1"/>
  <c r="FJ51" i="56"/>
  <c r="BO41" i="7" s="1"/>
  <c r="FJ52" i="56"/>
  <c r="BO42" i="7" s="1"/>
  <c r="FJ53" i="56"/>
  <c r="BO43" i="7" s="1"/>
  <c r="FJ54" i="56"/>
  <c r="BO44" i="7" s="1"/>
  <c r="FJ55" i="56"/>
  <c r="BO45" i="7" s="1"/>
  <c r="FJ56" i="56"/>
  <c r="BO46" i="7" s="1"/>
  <c r="FJ57" i="56"/>
  <c r="BO47" i="7" s="1"/>
  <c r="FJ58" i="56"/>
  <c r="BO48" i="7" s="1"/>
  <c r="FJ59" i="56"/>
  <c r="BO49" i="7" s="1"/>
  <c r="FJ60" i="56"/>
  <c r="BO50" i="7" s="1"/>
  <c r="FJ61" i="56"/>
  <c r="BO51" i="7" s="1"/>
  <c r="FJ62" i="56"/>
  <c r="BO52" i="7" s="1"/>
  <c r="FJ63" i="56"/>
  <c r="BO53" i="7" s="1"/>
  <c r="FJ64" i="56"/>
  <c r="BO54" i="7" s="1"/>
  <c r="FJ65" i="56"/>
  <c r="BO55" i="7" s="1"/>
  <c r="FJ66" i="56"/>
  <c r="BO56" i="7" s="1"/>
  <c r="FJ67" i="56"/>
  <c r="BO57" i="7" s="1"/>
  <c r="FJ68" i="56"/>
  <c r="BO58" i="7" s="1"/>
  <c r="FJ69" i="56"/>
  <c r="BO59" i="7" s="1"/>
  <c r="FJ70" i="56"/>
  <c r="BO60" i="7" s="1"/>
  <c r="FJ71" i="56"/>
  <c r="BO61" i="7" s="1"/>
  <c r="FJ72" i="56"/>
  <c r="BO62" i="7" s="1"/>
  <c r="FJ73" i="56"/>
  <c r="BO63" i="7" s="1"/>
  <c r="FJ74" i="56"/>
  <c r="BO64" i="7" s="1"/>
  <c r="FJ75" i="56"/>
  <c r="BO65" i="7" s="1"/>
  <c r="FJ76" i="56"/>
  <c r="BO66" i="7" s="1"/>
  <c r="FJ77" i="56"/>
  <c r="BO67" i="7" s="1"/>
  <c r="FJ78" i="56"/>
  <c r="BO68" i="7" s="1"/>
  <c r="FJ79" i="56"/>
  <c r="BO69" i="7" s="1"/>
  <c r="FJ80" i="56"/>
  <c r="BO70" i="7" s="1"/>
  <c r="FJ81" i="56"/>
  <c r="BO71" i="7" s="1"/>
  <c r="FJ82" i="56"/>
  <c r="BO72" i="7" s="1"/>
  <c r="FJ83" i="56"/>
  <c r="BO73" i="7" s="1"/>
  <c r="FJ84" i="56"/>
  <c r="BO74" i="7" s="1"/>
  <c r="FJ85" i="56"/>
  <c r="BO75" i="7" s="1"/>
  <c r="FJ86" i="56"/>
  <c r="BO76" i="7" s="1"/>
  <c r="FJ87" i="56"/>
  <c r="BO77" i="7" s="1"/>
  <c r="FJ88" i="56"/>
  <c r="BO78" i="7" s="1"/>
  <c r="FJ89" i="56"/>
  <c r="BO79" i="7" s="1"/>
  <c r="FJ90" i="56"/>
  <c r="BO80" i="7" s="1"/>
  <c r="FJ91" i="56"/>
  <c r="BO81" i="7" s="1"/>
  <c r="FJ92" i="56"/>
  <c r="BO82" i="7" s="1"/>
  <c r="FJ93" i="56"/>
  <c r="BO83" i="7" s="1"/>
  <c r="FJ94" i="56"/>
  <c r="BO84" i="7" s="1"/>
  <c r="FJ95" i="56"/>
  <c r="BO85" i="7" s="1"/>
  <c r="FJ96" i="56"/>
  <c r="BO86" i="7" s="1"/>
  <c r="FJ97" i="56"/>
  <c r="BO87" i="7" s="1"/>
  <c r="FJ98" i="56"/>
  <c r="BO88" i="7" s="1"/>
  <c r="FJ99" i="56"/>
  <c r="BO89" i="7" s="1"/>
  <c r="FJ100" i="56"/>
  <c r="BO90" i="7" s="1"/>
  <c r="FJ101" i="56"/>
  <c r="BO91" i="7" s="1"/>
  <c r="FJ102" i="56"/>
  <c r="BO92" i="7" s="1"/>
  <c r="FJ103" i="56"/>
  <c r="BO93" i="7" s="1"/>
  <c r="FJ104" i="56"/>
  <c r="BO94" i="7" s="1"/>
  <c r="FJ105" i="56"/>
  <c r="BO95" i="7" s="1"/>
  <c r="AQ110" i="56"/>
  <c r="FJ108" i="56"/>
  <c r="BO98" i="7" s="1"/>
  <c r="DW107" i="56"/>
  <c r="AQ106" i="56"/>
  <c r="O11" i="56"/>
  <c r="FJ11" i="56"/>
  <c r="DW12" i="56"/>
  <c r="M13" i="56"/>
  <c r="AQ13" i="56"/>
  <c r="O15" i="56"/>
  <c r="FJ15" i="56"/>
  <c r="DW16" i="56"/>
  <c r="M17" i="56"/>
  <c r="AQ17" i="56"/>
  <c r="O19" i="56"/>
  <c r="FJ19" i="56"/>
  <c r="DW20" i="56"/>
  <c r="M21" i="56"/>
  <c r="AQ21" i="56"/>
  <c r="O23" i="56"/>
  <c r="FJ23" i="56"/>
  <c r="DW24" i="56"/>
  <c r="M25" i="56"/>
  <c r="FJ27" i="56"/>
  <c r="M29" i="56"/>
  <c r="AZ9" i="56"/>
  <c r="CD34" i="56"/>
  <c r="BB37" i="56"/>
  <c r="GK42" i="56"/>
  <c r="CD32" i="7" s="1"/>
  <c r="GK46" i="56"/>
  <c r="CD36" i="7" s="1"/>
  <c r="GK50" i="56"/>
  <c r="CD40" i="7"/>
  <c r="GK54" i="56"/>
  <c r="CD44" i="7" s="1"/>
  <c r="CD54" i="56"/>
  <c r="GL55" i="56"/>
  <c r="CE45" i="7"/>
  <c r="GK58" i="56"/>
  <c r="CD48" i="7" s="1"/>
  <c r="GL59" i="56"/>
  <c r="CE49" i="7" s="1"/>
  <c r="GK62" i="56"/>
  <c r="CD52" i="7" s="1"/>
  <c r="CD62" i="56"/>
  <c r="GL63" i="56"/>
  <c r="CE53" i="7" s="1"/>
  <c r="GK66" i="56"/>
  <c r="CD56" i="7" s="1"/>
  <c r="GL67" i="56"/>
  <c r="CE57" i="7" s="1"/>
  <c r="GK70" i="56"/>
  <c r="CD60" i="7" s="1"/>
  <c r="GL71" i="56"/>
  <c r="CE61" i="7"/>
  <c r="GK74" i="56"/>
  <c r="CD64" i="7" s="1"/>
  <c r="GL75" i="56"/>
  <c r="CE65" i="7" s="1"/>
  <c r="GK78" i="56"/>
  <c r="CD68" i="7" s="1"/>
  <c r="CD78" i="56"/>
  <c r="CG78" i="56"/>
  <c r="GL79" i="56"/>
  <c r="CE69" i="7" s="1"/>
  <c r="GK82" i="56"/>
  <c r="CD72" i="7" s="1"/>
  <c r="CG82" i="56"/>
  <c r="GL83" i="56"/>
  <c r="CE73" i="7" s="1"/>
  <c r="GK86" i="56"/>
  <c r="CD76" i="7" s="1"/>
  <c r="CG86" i="56"/>
  <c r="GL87" i="56"/>
  <c r="CE77" i="7" s="1"/>
  <c r="GK90" i="56"/>
  <c r="CD80" i="7" s="1"/>
  <c r="CD90" i="56"/>
  <c r="CG90" i="56"/>
  <c r="GL91" i="56"/>
  <c r="CE81" i="7" s="1"/>
  <c r="GK94" i="56"/>
  <c r="CD84" i="7" s="1"/>
  <c r="CG94" i="56"/>
  <c r="GL95" i="56"/>
  <c r="CE85" i="7" s="1"/>
  <c r="GK98" i="56"/>
  <c r="CD88" i="7" s="1"/>
  <c r="CD98" i="56"/>
  <c r="CG98" i="56"/>
  <c r="GL99" i="56"/>
  <c r="CE89" i="7" s="1"/>
  <c r="GK102" i="56"/>
  <c r="CD92" i="7" s="1"/>
  <c r="CG102" i="56"/>
  <c r="GL103" i="56"/>
  <c r="CE93" i="7" s="1"/>
  <c r="CD107" i="56"/>
  <c r="CG108" i="56"/>
  <c r="GL12" i="56"/>
  <c r="BE12" i="56"/>
  <c r="GK13" i="56"/>
  <c r="CD13" i="56"/>
  <c r="CG13" i="56"/>
  <c r="GL16" i="56"/>
  <c r="BE16" i="56"/>
  <c r="GK17" i="56"/>
  <c r="CD17" i="56"/>
  <c r="CG17" i="56"/>
  <c r="GL20" i="56"/>
  <c r="BE20" i="56"/>
  <c r="GK21" i="56"/>
  <c r="CG21" i="56"/>
  <c r="GL24" i="56"/>
  <c r="BE24" i="56"/>
  <c r="GK25" i="56"/>
  <c r="AZ8" i="56"/>
  <c r="BA8" i="56" s="1"/>
  <c r="GL28" i="56"/>
  <c r="BB28" i="56"/>
  <c r="GK29" i="56"/>
  <c r="EH29" i="57"/>
  <c r="DE29" i="57"/>
  <c r="DF29" i="57" s="1"/>
  <c r="BO29" i="57"/>
  <c r="BP29" i="57" s="1"/>
  <c r="Y29" i="57"/>
  <c r="AA29" i="57" s="1"/>
  <c r="FJ27" i="57"/>
  <c r="CQ27" i="57"/>
  <c r="CS27" i="57" s="1"/>
  <c r="AM27" i="57"/>
  <c r="EG26" i="57"/>
  <c r="EH25" i="57"/>
  <c r="DE25" i="57"/>
  <c r="DF25" i="57" s="1"/>
  <c r="GO25" i="57" s="1"/>
  <c r="CS25" i="57"/>
  <c r="BO25" i="57"/>
  <c r="AO25" i="57"/>
  <c r="Y25" i="57"/>
  <c r="AA25" i="57" s="1"/>
  <c r="M25" i="57"/>
  <c r="ET24" i="57"/>
  <c r="FJ23" i="57"/>
  <c r="DI23" i="57"/>
  <c r="CQ23" i="57"/>
  <c r="CS23" i="57" s="1"/>
  <c r="BS23" i="57"/>
  <c r="AM23" i="57"/>
  <c r="AC23" i="57"/>
  <c r="EG22" i="57"/>
  <c r="EH21" i="57"/>
  <c r="DW21" i="57"/>
  <c r="DE21" i="57"/>
  <c r="DF21" i="57" s="1"/>
  <c r="CU21" i="57"/>
  <c r="BO21" i="57"/>
  <c r="AQ21" i="57"/>
  <c r="Y21" i="57"/>
  <c r="AA21" i="57" s="1"/>
  <c r="ET20" i="57"/>
  <c r="FJ19" i="57"/>
  <c r="DI19" i="57"/>
  <c r="CQ19" i="57"/>
  <c r="BS19" i="57"/>
  <c r="AM19" i="57"/>
  <c r="AN19" i="57"/>
  <c r="AC19" i="57"/>
  <c r="EG18" i="57"/>
  <c r="EH17" i="57"/>
  <c r="DW17" i="57"/>
  <c r="DE17" i="57"/>
  <c r="DF17" i="57" s="1"/>
  <c r="CU17" i="57"/>
  <c r="BO17" i="57"/>
  <c r="BP17" i="57" s="1"/>
  <c r="AQ17" i="57"/>
  <c r="Y17" i="57"/>
  <c r="AA17" i="57" s="1"/>
  <c r="ET16" i="57"/>
  <c r="FJ15" i="57"/>
  <c r="DI15" i="57"/>
  <c r="CQ15" i="57"/>
  <c r="CR15" i="57" s="1"/>
  <c r="BS15" i="57"/>
  <c r="AM15" i="57"/>
  <c r="AO15" i="57"/>
  <c r="AC15" i="57"/>
  <c r="EG14" i="57"/>
  <c r="DW13" i="57"/>
  <c r="DE13" i="57"/>
  <c r="DF13" i="57" s="1"/>
  <c r="CU13" i="57"/>
  <c r="BO13" i="57"/>
  <c r="BP13" i="57" s="1"/>
  <c r="AQ13" i="57"/>
  <c r="Y13" i="57"/>
  <c r="ET12" i="57"/>
  <c r="FJ11" i="57"/>
  <c r="DI11" i="57"/>
  <c r="CQ11" i="57"/>
  <c r="CR11" i="57" s="1"/>
  <c r="BS11" i="57"/>
  <c r="AM11" i="57"/>
  <c r="AN11" i="57" s="1"/>
  <c r="AC11" i="57"/>
  <c r="EB6" i="57"/>
  <c r="J9" i="57"/>
  <c r="K9" i="57" s="1"/>
  <c r="X9" i="57"/>
  <c r="Y9" i="57"/>
  <c r="BQ58" i="57"/>
  <c r="Y58" i="57"/>
  <c r="Z58" i="57" s="1"/>
  <c r="AO58" i="57"/>
  <c r="Y60" i="57"/>
  <c r="Z60" i="57" s="1"/>
  <c r="BQ62" i="57"/>
  <c r="Y62" i="57"/>
  <c r="AA62" i="57" s="1"/>
  <c r="AO62" i="57"/>
  <c r="AA63" i="57"/>
  <c r="Y64" i="57"/>
  <c r="Z64" i="57" s="1"/>
  <c r="AO64" i="57"/>
  <c r="BQ66" i="57"/>
  <c r="Y66" i="57"/>
  <c r="Z66" i="57" s="1"/>
  <c r="BQ68" i="57"/>
  <c r="Y68" i="57"/>
  <c r="AO68" i="57"/>
  <c r="BQ70" i="57"/>
  <c r="Y70" i="57"/>
  <c r="AA70" i="57" s="1"/>
  <c r="AO70" i="57"/>
  <c r="Y72" i="57"/>
  <c r="Z72" i="57" s="1"/>
  <c r="AO72" i="57"/>
  <c r="BQ74" i="57"/>
  <c r="Y74" i="57"/>
  <c r="Z74" i="57" s="1"/>
  <c r="AO74" i="57"/>
  <c r="BQ76" i="57"/>
  <c r="Y76" i="57"/>
  <c r="Z76" i="57" s="1"/>
  <c r="AO76" i="57"/>
  <c r="AA77" i="57"/>
  <c r="BQ78" i="57"/>
  <c r="Y78" i="57"/>
  <c r="Z78" i="57" s="1"/>
  <c r="AO78" i="57"/>
  <c r="BQ80" i="57"/>
  <c r="Y80" i="57"/>
  <c r="AA80" i="57" s="1"/>
  <c r="AO80" i="57"/>
  <c r="AA81" i="57"/>
  <c r="BQ82" i="57"/>
  <c r="Y82" i="57"/>
  <c r="Z82" i="57" s="1"/>
  <c r="AO82" i="57"/>
  <c r="BQ84" i="57"/>
  <c r="Y84" i="57"/>
  <c r="Z84" i="57" s="1"/>
  <c r="AO84" i="57"/>
  <c r="BQ86" i="57"/>
  <c r="Y86" i="57"/>
  <c r="Z86" i="57" s="1"/>
  <c r="AA92" i="57"/>
  <c r="AA96" i="57"/>
  <c r="AA98" i="57"/>
  <c r="FJ10" i="57"/>
  <c r="Y130" i="7" s="1"/>
  <c r="BD14" i="57"/>
  <c r="BA14" i="57"/>
  <c r="BE16" i="57"/>
  <c r="FX16" i="57"/>
  <c r="FW18" i="57"/>
  <c r="CC18" i="57"/>
  <c r="CD18" i="57" s="1"/>
  <c r="BD22" i="57"/>
  <c r="BA22" i="57"/>
  <c r="BC22" i="57" s="1"/>
  <c r="BE24" i="57"/>
  <c r="FX24" i="57"/>
  <c r="FW26" i="57"/>
  <c r="CC26" i="57"/>
  <c r="CE26" i="57" s="1"/>
  <c r="BA28" i="57"/>
  <c r="FV29" i="57"/>
  <c r="CE45" i="57"/>
  <c r="CE57" i="57"/>
  <c r="CE61" i="57"/>
  <c r="CE65" i="57"/>
  <c r="CE73" i="57"/>
  <c r="N110" i="56"/>
  <c r="L110" i="56"/>
  <c r="EG110" i="56"/>
  <c r="AX100" i="7" s="1"/>
  <c r="BE104" i="56"/>
  <c r="EH104" i="56"/>
  <c r="AY94" i="7" s="1"/>
  <c r="N102" i="56"/>
  <c r="EG102" i="56"/>
  <c r="AX92" i="7"/>
  <c r="BE96" i="56"/>
  <c r="EH96" i="56"/>
  <c r="AY86" i="7" s="1"/>
  <c r="N94" i="56"/>
  <c r="EG94" i="56"/>
  <c r="AX84" i="7" s="1"/>
  <c r="BE88" i="56"/>
  <c r="EH88" i="56"/>
  <c r="AY78" i="7" s="1"/>
  <c r="N86" i="56"/>
  <c r="EG86" i="56"/>
  <c r="AX76" i="7" s="1"/>
  <c r="BE80" i="56"/>
  <c r="EH80" i="56"/>
  <c r="AY70" i="7" s="1"/>
  <c r="N78" i="56"/>
  <c r="EG78" i="56"/>
  <c r="AX68" i="7" s="1"/>
  <c r="EH72" i="56"/>
  <c r="AY62" i="7" s="1"/>
  <c r="EG70" i="56"/>
  <c r="AX60" i="7" s="1"/>
  <c r="EH64" i="56"/>
  <c r="AY54" i="7" s="1"/>
  <c r="EG62" i="56"/>
  <c r="AX52" i="7" s="1"/>
  <c r="EH56" i="56"/>
  <c r="AY46" i="7" s="1"/>
  <c r="EG54" i="56"/>
  <c r="AX44" i="7" s="1"/>
  <c r="EH47" i="56"/>
  <c r="AY37" i="7" s="1"/>
  <c r="EG45" i="56"/>
  <c r="AX35" i="7" s="1"/>
  <c r="DH12" i="56"/>
  <c r="DE12" i="56"/>
  <c r="DG12" i="56" s="1"/>
  <c r="FW12" i="56"/>
  <c r="CT13" i="56"/>
  <c r="CQ13" i="56"/>
  <c r="CS13" i="56" s="1"/>
  <c r="CQ14" i="56"/>
  <c r="FX18" i="56"/>
  <c r="DH20" i="56"/>
  <c r="DE20" i="56"/>
  <c r="DG20" i="56" s="1"/>
  <c r="DF20" i="56"/>
  <c r="FW20" i="56"/>
  <c r="DE21" i="56"/>
  <c r="DF21" i="56"/>
  <c r="CU23" i="56"/>
  <c r="FX23" i="56"/>
  <c r="FW25" i="56"/>
  <c r="CQ29" i="56"/>
  <c r="CS29" i="56" s="1"/>
  <c r="DE30" i="56"/>
  <c r="CP9" i="56"/>
  <c r="CQ30" i="56"/>
  <c r="CR30" i="56"/>
  <c r="CQ31" i="56"/>
  <c r="CS31" i="56" s="1"/>
  <c r="CS32" i="56"/>
  <c r="FX34" i="56"/>
  <c r="BW24" i="7" s="1"/>
  <c r="DE36" i="56"/>
  <c r="DG36" i="56" s="1"/>
  <c r="FW36" i="56"/>
  <c r="BV26" i="7" s="1"/>
  <c r="DE37" i="56"/>
  <c r="DF37" i="56" s="1"/>
  <c r="FX39" i="56"/>
  <c r="BW29" i="7"/>
  <c r="FW41" i="56"/>
  <c r="BV31" i="7" s="1"/>
  <c r="CQ45" i="56"/>
  <c r="CS45" i="56"/>
  <c r="DE46" i="56"/>
  <c r="DG46" i="56" s="1"/>
  <c r="CQ46" i="56"/>
  <c r="CR46" i="56"/>
  <c r="CS46" i="56"/>
  <c r="CQ47" i="56"/>
  <c r="CS48" i="56"/>
  <c r="GB48" i="56" s="1"/>
  <c r="BY38" i="7"/>
  <c r="FX50" i="56"/>
  <c r="BW40" i="7" s="1"/>
  <c r="DE52" i="56"/>
  <c r="DG52" i="56" s="1"/>
  <c r="FW52" i="56"/>
  <c r="BV42" i="7" s="1"/>
  <c r="DE53" i="56"/>
  <c r="DF53" i="56" s="1"/>
  <c r="FX55" i="56"/>
  <c r="BW45" i="7" s="1"/>
  <c r="FW57" i="56"/>
  <c r="BV47" i="7" s="1"/>
  <c r="CQ61" i="56"/>
  <c r="CS61" i="56" s="1"/>
  <c r="DE62" i="56"/>
  <c r="DG62" i="56" s="1"/>
  <c r="CQ62" i="56"/>
  <c r="CQ63" i="56"/>
  <c r="CS63" i="56" s="1"/>
  <c r="CS64" i="56"/>
  <c r="GB64" i="56" s="1"/>
  <c r="BY54" i="7" s="1"/>
  <c r="FX66" i="56"/>
  <c r="BW56" i="7" s="1"/>
  <c r="CS67" i="56"/>
  <c r="DE68" i="56"/>
  <c r="DG68" i="56" s="1"/>
  <c r="FW68" i="56"/>
  <c r="BV58" i="7"/>
  <c r="DE69" i="56"/>
  <c r="DF69" i="56" s="1"/>
  <c r="CQ73" i="56"/>
  <c r="CS73" i="56" s="1"/>
  <c r="FX74" i="56"/>
  <c r="BW64" i="7" s="1"/>
  <c r="CQ74" i="56"/>
  <c r="CR74" i="56" s="1"/>
  <c r="CU79" i="56"/>
  <c r="FX79" i="56"/>
  <c r="BW69" i="7" s="1"/>
  <c r="DH80" i="56"/>
  <c r="DE80" i="56"/>
  <c r="DG80" i="56"/>
  <c r="FW80" i="56"/>
  <c r="BV70" i="7" s="1"/>
  <c r="FW85" i="56"/>
  <c r="BV75" i="7"/>
  <c r="CT89" i="56"/>
  <c r="CQ89" i="56"/>
  <c r="FX90" i="56"/>
  <c r="BW80" i="7"/>
  <c r="CU95" i="56"/>
  <c r="FX95" i="56"/>
  <c r="BW85" i="7" s="1"/>
  <c r="DH96" i="56"/>
  <c r="DE96" i="56"/>
  <c r="DG96" i="56" s="1"/>
  <c r="FW96" i="56"/>
  <c r="BV86" i="7" s="1"/>
  <c r="DI102" i="56"/>
  <c r="DE102" i="56"/>
  <c r="CU103" i="56"/>
  <c r="FX103" i="56"/>
  <c r="BW93" i="7"/>
  <c r="CQ103" i="56"/>
  <c r="DH104" i="56"/>
  <c r="DE104" i="56"/>
  <c r="DF104" i="56"/>
  <c r="FW104" i="56"/>
  <c r="BV94" i="7" s="1"/>
  <c r="CT109" i="56"/>
  <c r="CQ109" i="56"/>
  <c r="CS109" i="56" s="1"/>
  <c r="BQ109" i="57"/>
  <c r="AC75" i="57"/>
  <c r="AC77" i="57"/>
  <c r="AC79" i="57"/>
  <c r="AC81" i="57"/>
  <c r="AC83" i="57"/>
  <c r="AC85" i="57"/>
  <c r="AM86" i="57"/>
  <c r="AO86" i="57" s="1"/>
  <c r="BO87" i="57"/>
  <c r="BQ87" i="57"/>
  <c r="AC87" i="57"/>
  <c r="AM88" i="57"/>
  <c r="BO89" i="57"/>
  <c r="BQ89" i="57" s="1"/>
  <c r="AC89" i="57"/>
  <c r="AM90" i="57"/>
  <c r="AN90" i="57" s="1"/>
  <c r="BO91" i="57"/>
  <c r="AC91" i="57"/>
  <c r="AM92" i="57"/>
  <c r="AN92" i="57" s="1"/>
  <c r="BO93" i="57"/>
  <c r="BQ93" i="57" s="1"/>
  <c r="AC93" i="57"/>
  <c r="AM94" i="57"/>
  <c r="BO95" i="57"/>
  <c r="BQ95" i="57" s="1"/>
  <c r="AC95" i="57"/>
  <c r="AM96" i="57"/>
  <c r="AN96" i="57" s="1"/>
  <c r="BO97" i="57"/>
  <c r="AC97" i="57"/>
  <c r="AM98" i="57"/>
  <c r="BO99" i="57"/>
  <c r="BQ99" i="57" s="1"/>
  <c r="AC99" i="57"/>
  <c r="AM100" i="57"/>
  <c r="AN100" i="57"/>
  <c r="BO101" i="57"/>
  <c r="BQ101" i="57" s="1"/>
  <c r="AC101" i="57"/>
  <c r="AM102" i="57"/>
  <c r="AN102" i="57" s="1"/>
  <c r="BO103" i="57"/>
  <c r="AC103" i="57"/>
  <c r="AM104" i="57"/>
  <c r="AN104" i="57" s="1"/>
  <c r="BO105" i="57"/>
  <c r="AC105" i="57"/>
  <c r="AM10" i="57"/>
  <c r="GG6" i="56"/>
  <c r="CC11" i="57"/>
  <c r="BE11" i="57"/>
  <c r="BA12" i="57"/>
  <c r="FX14" i="57"/>
  <c r="CG14" i="57"/>
  <c r="CC15" i="57"/>
  <c r="CD15" i="57" s="1"/>
  <c r="BE15" i="57"/>
  <c r="BA16" i="57"/>
  <c r="BC16" i="57"/>
  <c r="FX18" i="57"/>
  <c r="CG18" i="57"/>
  <c r="CC19" i="57"/>
  <c r="CE19" i="57"/>
  <c r="BE19" i="57"/>
  <c r="BA20" i="57"/>
  <c r="BC20" i="57" s="1"/>
  <c r="FX22" i="57"/>
  <c r="CG22" i="57"/>
  <c r="CC23" i="57"/>
  <c r="BE23" i="57"/>
  <c r="BA24" i="57"/>
  <c r="CB8" i="57"/>
  <c r="CC8" i="57" s="1"/>
  <c r="CD45" i="57"/>
  <c r="CD57" i="57"/>
  <c r="CD61" i="57"/>
  <c r="CD65" i="57"/>
  <c r="CD73" i="57"/>
  <c r="CG76" i="57"/>
  <c r="CC77" i="57"/>
  <c r="CD77" i="57" s="1"/>
  <c r="CG80" i="57"/>
  <c r="CC81" i="57"/>
  <c r="CE81" i="57"/>
  <c r="CG84" i="57"/>
  <c r="CC85" i="57"/>
  <c r="CG88" i="57"/>
  <c r="CC89" i="57"/>
  <c r="CD89" i="57" s="1"/>
  <c r="CG92" i="57"/>
  <c r="CC93" i="57"/>
  <c r="CE93" i="57" s="1"/>
  <c r="CG96" i="57"/>
  <c r="CC97" i="57"/>
  <c r="CE97" i="57" s="1"/>
  <c r="CG100" i="57"/>
  <c r="CC101" i="57"/>
  <c r="CE101" i="57" s="1"/>
  <c r="CG104" i="57"/>
  <c r="CC105" i="57"/>
  <c r="O110" i="56"/>
  <c r="EH109" i="56"/>
  <c r="AY99" i="7" s="1"/>
  <c r="O108" i="56"/>
  <c r="O106" i="56"/>
  <c r="O104" i="56"/>
  <c r="O102" i="56"/>
  <c r="O100" i="56"/>
  <c r="O98" i="56"/>
  <c r="O96" i="56"/>
  <c r="O94" i="56"/>
  <c r="O92" i="56"/>
  <c r="O90" i="56"/>
  <c r="O88" i="56"/>
  <c r="O86" i="56"/>
  <c r="O84" i="56"/>
  <c r="O82" i="56"/>
  <c r="O80" i="56"/>
  <c r="O78" i="56"/>
  <c r="O76" i="56"/>
  <c r="DF10" i="56"/>
  <c r="CU10" i="56"/>
  <c r="CQ11" i="56"/>
  <c r="CR11" i="56" s="1"/>
  <c r="FX13" i="56"/>
  <c r="DI13" i="56"/>
  <c r="DE14" i="56"/>
  <c r="DG14" i="56" s="1"/>
  <c r="CU14" i="56"/>
  <c r="CR15" i="56"/>
  <c r="CQ15" i="56"/>
  <c r="CS15" i="56" s="1"/>
  <c r="FX17" i="56"/>
  <c r="DI17" i="56"/>
  <c r="DE18" i="56"/>
  <c r="CU18" i="56"/>
  <c r="CQ19" i="56"/>
  <c r="CR19" i="56" s="1"/>
  <c r="FX21" i="56"/>
  <c r="DI21" i="56"/>
  <c r="DE22" i="56"/>
  <c r="CU22" i="56"/>
  <c r="CQ23" i="56"/>
  <c r="CP8" i="56"/>
  <c r="DF26" i="56"/>
  <c r="CR27" i="56"/>
  <c r="DF42" i="56"/>
  <c r="CR43" i="56"/>
  <c r="CR55" i="56"/>
  <c r="DF58" i="56"/>
  <c r="GA58" i="56" s="1"/>
  <c r="BX48" i="7" s="1"/>
  <c r="CR63" i="56"/>
  <c r="CR67" i="56"/>
  <c r="CQ75" i="56"/>
  <c r="CS75" i="56" s="1"/>
  <c r="FX77" i="56"/>
  <c r="BW67" i="7" s="1"/>
  <c r="DI77" i="56"/>
  <c r="DE78" i="56"/>
  <c r="DF78" i="56" s="1"/>
  <c r="CU78" i="56"/>
  <c r="CQ79" i="56"/>
  <c r="CS79" i="56" s="1"/>
  <c r="FX81" i="56"/>
  <c r="BW71" i="7" s="1"/>
  <c r="DI81" i="56"/>
  <c r="DE82" i="56"/>
  <c r="DF82" i="56" s="1"/>
  <c r="CU82" i="56"/>
  <c r="CQ83" i="56"/>
  <c r="CS83" i="56" s="1"/>
  <c r="CR83" i="56"/>
  <c r="FX85" i="56"/>
  <c r="BW75" i="7" s="1"/>
  <c r="DI85" i="56"/>
  <c r="DF86" i="56"/>
  <c r="DE86" i="56"/>
  <c r="DG86" i="56" s="1"/>
  <c r="CU86" i="56"/>
  <c r="CQ87" i="56"/>
  <c r="CS87" i="56" s="1"/>
  <c r="FX89" i="56"/>
  <c r="BW79" i="7" s="1"/>
  <c r="DI89" i="56"/>
  <c r="DE90" i="56"/>
  <c r="DG90" i="56" s="1"/>
  <c r="CU90" i="56"/>
  <c r="CQ91" i="56"/>
  <c r="CS91" i="56" s="1"/>
  <c r="FX93" i="56"/>
  <c r="BW83" i="7"/>
  <c r="DI93" i="56"/>
  <c r="DF94" i="56"/>
  <c r="DE94" i="56"/>
  <c r="DG94" i="56"/>
  <c r="CU94" i="56"/>
  <c r="CQ95" i="56"/>
  <c r="DI97" i="56"/>
  <c r="CU98" i="56"/>
  <c r="DI101" i="56"/>
  <c r="CU102" i="56"/>
  <c r="DI105" i="56"/>
  <c r="CU106" i="56"/>
  <c r="DI109" i="56"/>
  <c r="DI110" i="56"/>
  <c r="M110" i="56"/>
  <c r="DW109" i="57"/>
  <c r="CF108" i="57"/>
  <c r="AZ8" i="57"/>
  <c r="BA8" i="57" s="1"/>
  <c r="CB9" i="57"/>
  <c r="CC9" i="57" s="1"/>
  <c r="CF9" i="57" s="1"/>
  <c r="AZ9" i="57"/>
  <c r="BA9" i="57" s="1"/>
  <c r="O11" i="57"/>
  <c r="O13" i="57"/>
  <c r="O15" i="57"/>
  <c r="O17" i="57"/>
  <c r="O19" i="57"/>
  <c r="O21" i="57"/>
  <c r="O23" i="57"/>
  <c r="BE109" i="56"/>
  <c r="BE107" i="56"/>
  <c r="BE105" i="56"/>
  <c r="BE103" i="56"/>
  <c r="BE101" i="56"/>
  <c r="BE99" i="56"/>
  <c r="BE97" i="56"/>
  <c r="BE95" i="56"/>
  <c r="BE93" i="56"/>
  <c r="BE91" i="56"/>
  <c r="BE89" i="56"/>
  <c r="BE87" i="56"/>
  <c r="BE85" i="56"/>
  <c r="BE83" i="56"/>
  <c r="BE81" i="56"/>
  <c r="BE79" i="56"/>
  <c r="BE77" i="56"/>
  <c r="BE75" i="56"/>
  <c r="FX76" i="56"/>
  <c r="BW66" i="7" s="1"/>
  <c r="DE77" i="56"/>
  <c r="DG77" i="56" s="1"/>
  <c r="CR78" i="56"/>
  <c r="EY78" i="56" s="1"/>
  <c r="BH68" i="7" s="1"/>
  <c r="CQ78" i="56"/>
  <c r="CS78" i="56"/>
  <c r="FX80" i="56"/>
  <c r="BW70" i="7"/>
  <c r="DE81" i="56"/>
  <c r="CQ82" i="56"/>
  <c r="CR82" i="56" s="1"/>
  <c r="FX84" i="56"/>
  <c r="BW74" i="7" s="1"/>
  <c r="DE85" i="56"/>
  <c r="DF85" i="56"/>
  <c r="CQ86" i="56"/>
  <c r="CR86" i="56" s="1"/>
  <c r="FX88" i="56"/>
  <c r="BW78" i="7" s="1"/>
  <c r="DE89" i="56"/>
  <c r="DG89" i="56" s="1"/>
  <c r="CQ90" i="56"/>
  <c r="CS90" i="56" s="1"/>
  <c r="FX92" i="56"/>
  <c r="BW82" i="7" s="1"/>
  <c r="DE93" i="56"/>
  <c r="CQ94" i="56"/>
  <c r="CR94" i="56" s="1"/>
  <c r="GA94" i="56" s="1"/>
  <c r="BX84" i="7" s="1"/>
  <c r="FX96" i="56"/>
  <c r="BW86" i="7" s="1"/>
  <c r="DE97" i="56"/>
  <c r="CQ98" i="56"/>
  <c r="FX100" i="56"/>
  <c r="BW90" i="7" s="1"/>
  <c r="DI100" i="56"/>
  <c r="DE101" i="56"/>
  <c r="DF101" i="56" s="1"/>
  <c r="DG101" i="56"/>
  <c r="CU101" i="56"/>
  <c r="CQ102" i="56"/>
  <c r="CR102" i="56" s="1"/>
  <c r="FX104" i="56"/>
  <c r="BW94" i="7"/>
  <c r="DI104" i="56"/>
  <c r="DE105" i="56"/>
  <c r="DF105" i="56" s="1"/>
  <c r="CU105" i="56"/>
  <c r="CQ106" i="56"/>
  <c r="CR106" i="56"/>
  <c r="GA106" i="56" s="1"/>
  <c r="BX96" i="7" s="1"/>
  <c r="FW107" i="56"/>
  <c r="BV97" i="7"/>
  <c r="FX108" i="56"/>
  <c r="BW98" i="7"/>
  <c r="DI108" i="56"/>
  <c r="DE109" i="56"/>
  <c r="DG109" i="56" s="1"/>
  <c r="CU109" i="56"/>
  <c r="DE110" i="56"/>
  <c r="DF110" i="56"/>
  <c r="L109" i="56"/>
  <c r="M106" i="56"/>
  <c r="CF107" i="57"/>
  <c r="BS109" i="57"/>
  <c r="BS108" i="57"/>
  <c r="BS106" i="57"/>
  <c r="BD103" i="57"/>
  <c r="FW103" i="57"/>
  <c r="AF93" i="7" s="1"/>
  <c r="BD95" i="57"/>
  <c r="FW95" i="57"/>
  <c r="AF85" i="7"/>
  <c r="BD87" i="57"/>
  <c r="FW87" i="57"/>
  <c r="AF77" i="7" s="1"/>
  <c r="BD79" i="57"/>
  <c r="FW79" i="57"/>
  <c r="AF69" i="7" s="1"/>
  <c r="FW71" i="57"/>
  <c r="AF61" i="7" s="1"/>
  <c r="AC76" i="57"/>
  <c r="AC78" i="57"/>
  <c r="AC80" i="57"/>
  <c r="AC82" i="57"/>
  <c r="AC84" i="57"/>
  <c r="AC86" i="57"/>
  <c r="AC88" i="57"/>
  <c r="AC90" i="57"/>
  <c r="AC92" i="57"/>
  <c r="AC94" i="57"/>
  <c r="AC96" i="57"/>
  <c r="AC98" i="57"/>
  <c r="AC100" i="57"/>
  <c r="AC102" i="57"/>
  <c r="AC104" i="57"/>
  <c r="AC10" i="57"/>
  <c r="CG10" i="57"/>
  <c r="FW11" i="57"/>
  <c r="CG12" i="57"/>
  <c r="BE13" i="57"/>
  <c r="FW15" i="57"/>
  <c r="CG16" i="57"/>
  <c r="BE17" i="57"/>
  <c r="FW19" i="57"/>
  <c r="CG20" i="57"/>
  <c r="BE21" i="57"/>
  <c r="FW23" i="57"/>
  <c r="CG24" i="57"/>
  <c r="FW27" i="57"/>
  <c r="CG78" i="57"/>
  <c r="CG82" i="57"/>
  <c r="CG86" i="57"/>
  <c r="CG90" i="57"/>
  <c r="CG94" i="57"/>
  <c r="CG98" i="57"/>
  <c r="CG102" i="57"/>
  <c r="O109" i="56"/>
  <c r="O107" i="56"/>
  <c r="O105" i="56"/>
  <c r="O103" i="56"/>
  <c r="O101" i="56"/>
  <c r="O99" i="56"/>
  <c r="O97" i="56"/>
  <c r="O95" i="56"/>
  <c r="O93" i="56"/>
  <c r="O91" i="56"/>
  <c r="O89" i="56"/>
  <c r="O87" i="56"/>
  <c r="O85" i="56"/>
  <c r="O83" i="56"/>
  <c r="O81" i="56"/>
  <c r="O79" i="56"/>
  <c r="O77" i="56"/>
  <c r="O75" i="56"/>
  <c r="EH50" i="56"/>
  <c r="AY40" i="7" s="1"/>
  <c r="DI11" i="56"/>
  <c r="CU12" i="56"/>
  <c r="FW14" i="56"/>
  <c r="DI15" i="56"/>
  <c r="CU16" i="56"/>
  <c r="FW18" i="56"/>
  <c r="DI19" i="56"/>
  <c r="CU20" i="56"/>
  <c r="FW22" i="56"/>
  <c r="DI23" i="56"/>
  <c r="CU24" i="56"/>
  <c r="FW26" i="56"/>
  <c r="FW30" i="56"/>
  <c r="BV20" i="7" s="1"/>
  <c r="DD9" i="56"/>
  <c r="FW34" i="56"/>
  <c r="BV24" i="7"/>
  <c r="FW38" i="56"/>
  <c r="BV28" i="7"/>
  <c r="FW42" i="56"/>
  <c r="BV32" i="7"/>
  <c r="FW46" i="56"/>
  <c r="BV36" i="7"/>
  <c r="FW50" i="56"/>
  <c r="BV40" i="7"/>
  <c r="FW54" i="56"/>
  <c r="BV44" i="7"/>
  <c r="FW58" i="56"/>
  <c r="BV48" i="7"/>
  <c r="FW62" i="56"/>
  <c r="BV52" i="7"/>
  <c r="FW66" i="56"/>
  <c r="BV56" i="7"/>
  <c r="M107" i="56"/>
  <c r="CF106" i="57"/>
  <c r="O10" i="57"/>
  <c r="FW49" i="57"/>
  <c r="AF39" i="7" s="1"/>
  <c r="FW45" i="57"/>
  <c r="AF35" i="7" s="1"/>
  <c r="BD102" i="57"/>
  <c r="FW102" i="57"/>
  <c r="AF92" i="7" s="1"/>
  <c r="BD98" i="57"/>
  <c r="FW98" i="57"/>
  <c r="AF88" i="7"/>
  <c r="BD94" i="57"/>
  <c r="FW94" i="57"/>
  <c r="AF84" i="7" s="1"/>
  <c r="BD90" i="57"/>
  <c r="FW90" i="57"/>
  <c r="AF80" i="7" s="1"/>
  <c r="BD86" i="57"/>
  <c r="FW86" i="57"/>
  <c r="AF76" i="7"/>
  <c r="BD82" i="57"/>
  <c r="FW82" i="57"/>
  <c r="AF72" i="7" s="1"/>
  <c r="BD78" i="57"/>
  <c r="FW78" i="57"/>
  <c r="AF68" i="7" s="1"/>
  <c r="FW74" i="57"/>
  <c r="AF64" i="7" s="1"/>
  <c r="FW70" i="57"/>
  <c r="AF60" i="7" s="1"/>
  <c r="FW66" i="57"/>
  <c r="AF56" i="7" s="1"/>
  <c r="FW62" i="57"/>
  <c r="AF52" i="7" s="1"/>
  <c r="FW58" i="57"/>
  <c r="AF48" i="7" s="1"/>
  <c r="FW54" i="57"/>
  <c r="AF44" i="7" s="1"/>
  <c r="FW48" i="57"/>
  <c r="AF38" i="7"/>
  <c r="BD105" i="57"/>
  <c r="FW105" i="57"/>
  <c r="AF95" i="7" s="1"/>
  <c r="BD101" i="57"/>
  <c r="FW101" i="57"/>
  <c r="AF91" i="7" s="1"/>
  <c r="BD97" i="57"/>
  <c r="FW97" i="57"/>
  <c r="AF87" i="7"/>
  <c r="BD93" i="57"/>
  <c r="FW93" i="57"/>
  <c r="AF83" i="7" s="1"/>
  <c r="BD89" i="57"/>
  <c r="FW89" i="57"/>
  <c r="AF79" i="7" s="1"/>
  <c r="BD85" i="57"/>
  <c r="FW85" i="57"/>
  <c r="AF75" i="7" s="1"/>
  <c r="BD81" i="57"/>
  <c r="FW81" i="57"/>
  <c r="AF71" i="7"/>
  <c r="BD77" i="57"/>
  <c r="FW77" i="57"/>
  <c r="AF67" i="7" s="1"/>
  <c r="FW73" i="57"/>
  <c r="AF63" i="7" s="1"/>
  <c r="FW69" i="57"/>
  <c r="AF59" i="7" s="1"/>
  <c r="FW65" i="57"/>
  <c r="AF55" i="7" s="1"/>
  <c r="FW53" i="57"/>
  <c r="AF43" i="7" s="1"/>
  <c r="H106" i="57"/>
  <c r="H108" i="57"/>
  <c r="H50" i="57"/>
  <c r="H51" i="57"/>
  <c r="H52" i="57"/>
  <c r="H53" i="57"/>
  <c r="H54" i="57"/>
  <c r="H55" i="57"/>
  <c r="H56" i="57"/>
  <c r="H57" i="57"/>
  <c r="H58" i="57"/>
  <c r="H59" i="57"/>
  <c r="H60" i="57"/>
  <c r="H61" i="57"/>
  <c r="H62" i="57"/>
  <c r="H63" i="57"/>
  <c r="H64" i="57"/>
  <c r="H65" i="57"/>
  <c r="H66" i="57"/>
  <c r="H67" i="57"/>
  <c r="H68" i="57"/>
  <c r="H69" i="57"/>
  <c r="H70" i="57"/>
  <c r="H71" i="57"/>
  <c r="H72" i="57"/>
  <c r="H73" i="57"/>
  <c r="H74" i="57"/>
  <c r="H75" i="57"/>
  <c r="H76" i="57"/>
  <c r="H77" i="57"/>
  <c r="H78" i="57"/>
  <c r="H79" i="57"/>
  <c r="H80" i="57"/>
  <c r="N80" i="57" s="1"/>
  <c r="H81" i="57"/>
  <c r="H82" i="57"/>
  <c r="K82" i="57" s="1"/>
  <c r="M82" i="57" s="1"/>
  <c r="H83" i="57"/>
  <c r="H84" i="57"/>
  <c r="H85" i="57"/>
  <c r="H86" i="57"/>
  <c r="H87" i="57"/>
  <c r="H88" i="57"/>
  <c r="N88" i="57" s="1"/>
  <c r="H89" i="57"/>
  <c r="H90" i="57"/>
  <c r="H91" i="57"/>
  <c r="H92" i="57"/>
  <c r="H93" i="57"/>
  <c r="H94" i="57"/>
  <c r="N94" i="57" s="1"/>
  <c r="H95" i="57"/>
  <c r="H96" i="57"/>
  <c r="H97" i="57"/>
  <c r="H98" i="57"/>
  <c r="H99" i="57"/>
  <c r="H100" i="57"/>
  <c r="H101" i="57"/>
  <c r="H102" i="57"/>
  <c r="H103" i="57"/>
  <c r="H104" i="57"/>
  <c r="H105" i="57"/>
  <c r="H45" i="57"/>
  <c r="H46" i="57"/>
  <c r="H47" i="57"/>
  <c r="H48" i="57"/>
  <c r="H49" i="57"/>
  <c r="FW47" i="57"/>
  <c r="AF37" i="7"/>
  <c r="BD104" i="57"/>
  <c r="FW104" i="57"/>
  <c r="AF94" i="7" s="1"/>
  <c r="BD100" i="57"/>
  <c r="FW100" i="57"/>
  <c r="AF90" i="7" s="1"/>
  <c r="BD96" i="57"/>
  <c r="FW96" i="57"/>
  <c r="AF86" i="7" s="1"/>
  <c r="BD92" i="57"/>
  <c r="FW92" i="57"/>
  <c r="AF82" i="7"/>
  <c r="BD88" i="57"/>
  <c r="FW88" i="57"/>
  <c r="AF78" i="7" s="1"/>
  <c r="BD84" i="57"/>
  <c r="FW84" i="57"/>
  <c r="AF74" i="7" s="1"/>
  <c r="BD80" i="57"/>
  <c r="FW80" i="57"/>
  <c r="AF70" i="7" s="1"/>
  <c r="BD76" i="57"/>
  <c r="FW76" i="57"/>
  <c r="AF66" i="7"/>
  <c r="FW72" i="57"/>
  <c r="AF62" i="7"/>
  <c r="FW68" i="57"/>
  <c r="AF58" i="7"/>
  <c r="O102" i="57"/>
  <c r="O87" i="57"/>
  <c r="O86" i="57"/>
  <c r="O83" i="57"/>
  <c r="O82" i="57"/>
  <c r="O79" i="57"/>
  <c r="O78" i="57"/>
  <c r="O75" i="57"/>
  <c r="DI108" i="57"/>
  <c r="DI105" i="57"/>
  <c r="DI104" i="57"/>
  <c r="DI103" i="57"/>
  <c r="DI100" i="57"/>
  <c r="DI99" i="57"/>
  <c r="DI98" i="57"/>
  <c r="DI96" i="57"/>
  <c r="DI91" i="57"/>
  <c r="DI90" i="57"/>
  <c r="DI89" i="57"/>
  <c r="DI88" i="57"/>
  <c r="DI85" i="57"/>
  <c r="DI84" i="57"/>
  <c r="DI80" i="57"/>
  <c r="DI77" i="57"/>
  <c r="DI76" i="57"/>
  <c r="DI109" i="57"/>
  <c r="DI107" i="57"/>
  <c r="CC8" i="56"/>
  <c r="CQ8" i="56"/>
  <c r="CT8" i="56" s="1"/>
  <c r="DE8" i="56"/>
  <c r="DI8" i="56" s="1"/>
  <c r="BA9" i="56"/>
  <c r="BE9" i="56" s="1"/>
  <c r="CQ9" i="56"/>
  <c r="DE9" i="56"/>
  <c r="K8" i="57"/>
  <c r="O8" i="57" s="1"/>
  <c r="AQ8" i="56"/>
  <c r="DW9" i="57"/>
  <c r="DV9" i="57"/>
  <c r="N100" i="57"/>
  <c r="AO71" i="57"/>
  <c r="CD93" i="56"/>
  <c r="CE93" i="56"/>
  <c r="BQ75" i="57"/>
  <c r="CE105" i="56"/>
  <c r="CD105" i="56"/>
  <c r="CD51" i="56"/>
  <c r="GO51" i="56" s="1"/>
  <c r="CF41" i="7"/>
  <c r="CE51" i="56"/>
  <c r="CS59" i="56"/>
  <c r="CU8" i="56"/>
  <c r="N103" i="57"/>
  <c r="N95" i="57"/>
  <c r="N91" i="57"/>
  <c r="N87" i="57"/>
  <c r="K87" i="57"/>
  <c r="M87" i="57" s="1"/>
  <c r="L87" i="57"/>
  <c r="K83" i="57"/>
  <c r="M83" i="57"/>
  <c r="N79" i="57"/>
  <c r="K79" i="57"/>
  <c r="L79" i="57" s="1"/>
  <c r="N75" i="57"/>
  <c r="K75" i="57"/>
  <c r="M75" i="57" s="1"/>
  <c r="K71" i="57"/>
  <c r="L71" i="57" s="1"/>
  <c r="DF109" i="56"/>
  <c r="CR90" i="56"/>
  <c r="DF77" i="56"/>
  <c r="GA77" i="56"/>
  <c r="BX67" i="7" s="1"/>
  <c r="CR31" i="56"/>
  <c r="DF14" i="56"/>
  <c r="CD97" i="57"/>
  <c r="CD81" i="57"/>
  <c r="BB20" i="57"/>
  <c r="BB16" i="57"/>
  <c r="BP99" i="57"/>
  <c r="AN86" i="57"/>
  <c r="BQ106" i="57"/>
  <c r="CS106" i="56"/>
  <c r="CR45" i="56"/>
  <c r="DF36" i="56"/>
  <c r="CS30" i="56"/>
  <c r="CR29" i="56"/>
  <c r="DG21" i="56"/>
  <c r="GB21" i="56" s="1"/>
  <c r="CR13" i="56"/>
  <c r="DF12" i="56"/>
  <c r="CE89" i="57"/>
  <c r="AO104" i="57"/>
  <c r="AO102" i="57"/>
  <c r="AO96" i="57"/>
  <c r="CD42" i="56"/>
  <c r="GO42" i="56"/>
  <c r="CF32" i="7" s="1"/>
  <c r="AN76" i="56"/>
  <c r="AO76" i="56"/>
  <c r="GC8" i="57"/>
  <c r="GB3" i="57"/>
  <c r="AI1" i="7" s="1"/>
  <c r="DG106" i="56"/>
  <c r="DG65" i="56"/>
  <c r="CS58" i="56"/>
  <c r="GB28" i="56"/>
  <c r="BP100" i="57"/>
  <c r="BP96" i="57"/>
  <c r="BP92" i="57"/>
  <c r="BP88" i="57"/>
  <c r="AN81" i="57"/>
  <c r="BP79" i="57"/>
  <c r="AN73" i="57"/>
  <c r="BP69" i="57"/>
  <c r="AN65" i="57"/>
  <c r="BP65" i="57"/>
  <c r="AN61" i="57"/>
  <c r="BP61" i="57"/>
  <c r="AN57" i="57"/>
  <c r="BP57" i="57"/>
  <c r="BP14" i="57"/>
  <c r="BQ14" i="57"/>
  <c r="AN20" i="57"/>
  <c r="AO20" i="57"/>
  <c r="AN28" i="57"/>
  <c r="AO28" i="57"/>
  <c r="DF60" i="56"/>
  <c r="CS54" i="56"/>
  <c r="DF44" i="56"/>
  <c r="CS38" i="56"/>
  <c r="DF28" i="56"/>
  <c r="GA28" i="56" s="1"/>
  <c r="CS22" i="56"/>
  <c r="CD103" i="57"/>
  <c r="CE100" i="57"/>
  <c r="CE92" i="57"/>
  <c r="CD87" i="57"/>
  <c r="CE84" i="57"/>
  <c r="CD79" i="57"/>
  <c r="CE76" i="57"/>
  <c r="CD71" i="57"/>
  <c r="CE68" i="57"/>
  <c r="CD63" i="57"/>
  <c r="CE60" i="57"/>
  <c r="CD55" i="57"/>
  <c r="CE52" i="57"/>
  <c r="CD43" i="57"/>
  <c r="CE40" i="57"/>
  <c r="CD35" i="57"/>
  <c r="CE32" i="57"/>
  <c r="CE22" i="57"/>
  <c r="AA82" i="57"/>
  <c r="CE13" i="7"/>
  <c r="GM1" i="56"/>
  <c r="BC19" i="57"/>
  <c r="AA91" i="57"/>
  <c r="AO77" i="57"/>
  <c r="Z49" i="57"/>
  <c r="BQ33" i="57"/>
  <c r="BQ13" i="57"/>
  <c r="GO96" i="56"/>
  <c r="CF86" i="7" s="1"/>
  <c r="CD81" i="56"/>
  <c r="GO81" i="56" s="1"/>
  <c r="CF71" i="7"/>
  <c r="CE81" i="56"/>
  <c r="CD71" i="56"/>
  <c r="CS74" i="56"/>
  <c r="BQ17" i="57"/>
  <c r="AA23" i="57"/>
  <c r="AB8" i="57"/>
  <c r="AC8" i="57"/>
  <c r="CE27" i="56"/>
  <c r="GP27" i="56" s="1"/>
  <c r="BC13" i="56"/>
  <c r="GP13" i="56"/>
  <c r="BB13" i="56"/>
  <c r="GO13" i="56" s="1"/>
  <c r="GO106" i="56"/>
  <c r="CF96" i="7" s="1"/>
  <c r="CE72" i="56"/>
  <c r="GP72" i="56" s="1"/>
  <c r="CG62" i="7" s="1"/>
  <c r="BO13" i="7"/>
  <c r="FK1" i="56"/>
  <c r="AO85" i="57"/>
  <c r="BQ71" i="57"/>
  <c r="S6" i="57"/>
  <c r="EQ6" i="57"/>
  <c r="BQ19" i="57"/>
  <c r="BC22" i="56"/>
  <c r="CE18" i="56"/>
  <c r="CD18" i="56"/>
  <c r="GO18" i="56" s="1"/>
  <c r="CE97" i="56"/>
  <c r="CD97" i="56"/>
  <c r="CE65" i="56"/>
  <c r="CD65" i="56"/>
  <c r="GO65" i="56"/>
  <c r="CF55" i="7" s="1"/>
  <c r="CD45" i="56"/>
  <c r="GO45" i="56" s="1"/>
  <c r="CF35" i="7" s="1"/>
  <c r="CE45" i="56"/>
  <c r="BB38" i="56"/>
  <c r="BC38" i="56"/>
  <c r="CD35" i="56"/>
  <c r="CE35" i="56"/>
  <c r="EL49" i="56"/>
  <c r="BA39" i="7" s="1"/>
  <c r="AP9" i="57"/>
  <c r="AQ9" i="57"/>
  <c r="BQ29" i="57"/>
  <c r="GO99" i="56"/>
  <c r="CF89" i="7"/>
  <c r="BQ106" i="56"/>
  <c r="DU82" i="56"/>
  <c r="DT82" i="56"/>
  <c r="FM4" i="56"/>
  <c r="FM2" i="56" s="1"/>
  <c r="BP14" i="7" s="1"/>
  <c r="DU21" i="56"/>
  <c r="AO47" i="56"/>
  <c r="DI8" i="57"/>
  <c r="DH8" i="57"/>
  <c r="CE68" i="56"/>
  <c r="M19" i="56"/>
  <c r="GO90" i="56"/>
  <c r="CF80" i="7" s="1"/>
  <c r="AA22" i="56"/>
  <c r="AA85" i="56"/>
  <c r="DG85" i="56"/>
  <c r="GB49" i="56"/>
  <c r="BY39" i="7" s="1"/>
  <c r="CE100" i="56"/>
  <c r="BC31" i="56"/>
  <c r="AO11" i="56"/>
  <c r="CS13" i="57"/>
  <c r="DT70" i="56"/>
  <c r="AO27" i="56"/>
  <c r="N104" i="57"/>
  <c r="N96" i="57"/>
  <c r="N84" i="57"/>
  <c r="N106" i="57"/>
  <c r="AH1" i="7"/>
  <c r="GA4" i="57"/>
  <c r="GC8" i="56"/>
  <c r="GC101" i="56" s="1"/>
  <c r="BZ91" i="7" s="1"/>
  <c r="GB3" i="56"/>
  <c r="GB4" i="56" s="1"/>
  <c r="GB2" i="56" s="1"/>
  <c r="BY14" i="7" s="1"/>
  <c r="DI9" i="57"/>
  <c r="DH9" i="57"/>
  <c r="AN16" i="57"/>
  <c r="AO16" i="57"/>
  <c r="Z18" i="57"/>
  <c r="AA18" i="57"/>
  <c r="DF18" i="57"/>
  <c r="DG18" i="57"/>
  <c r="BP26" i="57"/>
  <c r="BQ26" i="57"/>
  <c r="AA58" i="57"/>
  <c r="M30" i="56"/>
  <c r="L30" i="56"/>
  <c r="AI6" i="57"/>
  <c r="CD61" i="56"/>
  <c r="CE61" i="56"/>
  <c r="CE39" i="56"/>
  <c r="CD39" i="56"/>
  <c r="BC70" i="56"/>
  <c r="BB70" i="56"/>
  <c r="CT9" i="57"/>
  <c r="BC21" i="56"/>
  <c r="BB21" i="56"/>
  <c r="CE96" i="56"/>
  <c r="GP96" i="56"/>
  <c r="CG86" i="7" s="1"/>
  <c r="AO59" i="57"/>
  <c r="DG13" i="57"/>
  <c r="GC84" i="57"/>
  <c r="AJ74" i="7" s="1"/>
  <c r="N98" i="57"/>
  <c r="N82" i="57"/>
  <c r="K78" i="57"/>
  <c r="M78" i="57" s="1"/>
  <c r="GC109" i="56"/>
  <c r="BZ99" i="7" s="1"/>
  <c r="CS105" i="56"/>
  <c r="DF102" i="56"/>
  <c r="DG102" i="56"/>
  <c r="GB45" i="56"/>
  <c r="BY35" i="7" s="1"/>
  <c r="BQ64" i="57"/>
  <c r="AO60" i="57"/>
  <c r="GO37" i="56"/>
  <c r="CF27" i="7" s="1"/>
  <c r="CS82" i="56"/>
  <c r="CR16" i="57"/>
  <c r="CS16" i="57"/>
  <c r="BP18" i="57"/>
  <c r="BQ18" i="57"/>
  <c r="Z26" i="57"/>
  <c r="AA26" i="57"/>
  <c r="DF26" i="57"/>
  <c r="DG26" i="57"/>
  <c r="CS102" i="56"/>
  <c r="GC81" i="56"/>
  <c r="BZ71" i="7" s="1"/>
  <c r="AA84" i="57"/>
  <c r="AA76" i="57"/>
  <c r="AA72" i="57"/>
  <c r="AA64" i="57"/>
  <c r="AA60" i="57"/>
  <c r="DG70" i="56"/>
  <c r="BC86" i="56"/>
  <c r="BB86" i="56"/>
  <c r="BQ63" i="57"/>
  <c r="BQ11" i="57"/>
  <c r="DG17" i="57"/>
  <c r="BS8" i="57"/>
  <c r="BR8" i="57"/>
  <c r="CD22" i="56"/>
  <c r="GO22" i="56"/>
  <c r="CE22" i="56"/>
  <c r="CD14" i="56"/>
  <c r="CE14" i="56"/>
  <c r="BC34" i="56"/>
  <c r="BB34" i="56"/>
  <c r="CE31" i="56"/>
  <c r="CD31" i="56"/>
  <c r="FM31" i="56" s="1"/>
  <c r="BP21" i="7" s="1"/>
  <c r="AO56" i="56"/>
  <c r="AN56" i="56"/>
  <c r="AN44" i="56"/>
  <c r="AO44" i="56"/>
  <c r="AO40" i="56"/>
  <c r="AN40" i="56"/>
  <c r="GB72" i="56"/>
  <c r="BY62" i="7" s="1"/>
  <c r="BX23" i="7"/>
  <c r="BC54" i="56"/>
  <c r="BB54" i="56"/>
  <c r="BQ59" i="57"/>
  <c r="AA11" i="57"/>
  <c r="BQ15" i="57"/>
  <c r="DG21" i="57"/>
  <c r="CE19" i="56"/>
  <c r="CE73" i="56"/>
  <c r="CD73" i="56"/>
  <c r="CE53" i="56"/>
  <c r="CD53" i="56"/>
  <c r="CS29" i="57"/>
  <c r="BC14" i="56"/>
  <c r="CE10" i="56"/>
  <c r="CD10" i="56"/>
  <c r="GP99" i="56"/>
  <c r="CG89" i="7" s="1"/>
  <c r="CE76" i="56"/>
  <c r="CZ6" i="57"/>
  <c r="DA6" i="57"/>
  <c r="DB6" i="57" s="1"/>
  <c r="DC6" i="57" s="1"/>
  <c r="DD6" i="57" s="1"/>
  <c r="DE6" i="57" s="1"/>
  <c r="DF6" i="57" s="1"/>
  <c r="DG6" i="57" s="1"/>
  <c r="DH6" i="57" s="1"/>
  <c r="DI6" i="57" s="1"/>
  <c r="CY7" i="57"/>
  <c r="AO19" i="57"/>
  <c r="BC25" i="56"/>
  <c r="CE106" i="56"/>
  <c r="DT11" i="56"/>
  <c r="DU11" i="56"/>
  <c r="AO79" i="56"/>
  <c r="BQ83" i="57"/>
  <c r="AA35" i="56"/>
  <c r="AA22" i="57"/>
  <c r="EM8" i="56"/>
  <c r="EM102" i="56" s="1"/>
  <c r="EL3" i="56"/>
  <c r="EL4" i="56" s="1"/>
  <c r="EL2" i="56" s="1"/>
  <c r="BA14" i="7" s="1"/>
  <c r="BC17" i="56"/>
  <c r="GP17" i="56"/>
  <c r="GO57" i="56"/>
  <c r="CF47" i="7" s="1"/>
  <c r="BC40" i="56"/>
  <c r="DT91" i="56"/>
  <c r="DU91" i="56"/>
  <c r="DT75" i="56"/>
  <c r="DU75" i="56"/>
  <c r="DT43" i="56"/>
  <c r="DU43" i="56"/>
  <c r="FA8" i="56"/>
  <c r="FA84" i="56"/>
  <c r="BJ74" i="7" s="1"/>
  <c r="EZ3" i="56"/>
  <c r="BI1" i="7" s="1"/>
  <c r="CE15" i="56"/>
  <c r="GP15" i="56" s="1"/>
  <c r="AA71" i="56"/>
  <c r="AN20" i="56"/>
  <c r="AA25" i="56"/>
  <c r="AA59" i="56"/>
  <c r="AA43" i="56"/>
  <c r="K47" i="57"/>
  <c r="M47" i="57" s="1"/>
  <c r="N92" i="57"/>
  <c r="N76" i="57"/>
  <c r="GC87" i="57"/>
  <c r="AJ77" i="7" s="1"/>
  <c r="BW13" i="7"/>
  <c r="FY1" i="56"/>
  <c r="AA74" i="57"/>
  <c r="AA66" i="57"/>
  <c r="GC10" i="57"/>
  <c r="AJ130" i="7" s="1"/>
  <c r="EM76" i="56"/>
  <c r="BB66" i="7" s="1"/>
  <c r="CE85" i="56"/>
  <c r="CD85" i="56"/>
  <c r="CE26" i="56"/>
  <c r="GP26" i="56" s="1"/>
  <c r="CD26" i="56"/>
  <c r="GO26" i="56"/>
  <c r="FM106" i="56"/>
  <c r="BP96" i="7" s="1"/>
  <c r="BQ67" i="57"/>
  <c r="H6" i="56"/>
  <c r="GO17" i="56"/>
  <c r="CE37" i="56"/>
  <c r="GQ8" i="56"/>
  <c r="GP3" i="56"/>
  <c r="CG1" i="7" s="1"/>
  <c r="BD9" i="56"/>
  <c r="CG8" i="56"/>
  <c r="CG26" i="56" s="1"/>
  <c r="CF8" i="56"/>
  <c r="CU9" i="56"/>
  <c r="CT9" i="56"/>
  <c r="GC88" i="57"/>
  <c r="AJ78" i="7" s="1"/>
  <c r="GC104" i="57"/>
  <c r="AJ94" i="7" s="1"/>
  <c r="K48" i="57"/>
  <c r="M48" i="57" s="1"/>
  <c r="N105" i="57"/>
  <c r="N101" i="57"/>
  <c r="N97" i="57"/>
  <c r="N93" i="57"/>
  <c r="N89" i="57"/>
  <c r="N85" i="57"/>
  <c r="N81" i="57"/>
  <c r="N77" i="57"/>
  <c r="K69" i="57"/>
  <c r="L69" i="57" s="1"/>
  <c r="K57" i="57"/>
  <c r="M57" i="57"/>
  <c r="N108" i="57"/>
  <c r="GC81" i="57"/>
  <c r="AJ71" i="7" s="1"/>
  <c r="GC97" i="57"/>
  <c r="AJ87" i="7" s="1"/>
  <c r="CR95" i="56"/>
  <c r="CS95" i="56"/>
  <c r="CR91" i="56"/>
  <c r="CR79" i="56"/>
  <c r="DF46" i="56"/>
  <c r="GA46" i="56" s="1"/>
  <c r="BX36" i="7" s="1"/>
  <c r="CR103" i="56"/>
  <c r="CS103" i="56"/>
  <c r="DF80" i="56"/>
  <c r="DF68" i="56"/>
  <c r="DG53" i="56"/>
  <c r="GB32" i="56"/>
  <c r="BY22" i="7" s="1"/>
  <c r="EM78" i="56"/>
  <c r="BB68" i="7" s="1"/>
  <c r="BB92" i="7"/>
  <c r="GB22" i="57"/>
  <c r="CE18" i="57"/>
  <c r="GB18" i="57" s="1"/>
  <c r="GC14" i="57"/>
  <c r="AO66" i="57"/>
  <c r="DU108" i="56"/>
  <c r="DT108" i="56"/>
  <c r="AO72" i="56"/>
  <c r="AN72" i="56"/>
  <c r="CR97" i="56"/>
  <c r="CR85" i="56"/>
  <c r="EY85" i="56"/>
  <c r="BH75" i="7" s="1"/>
  <c r="DF76" i="56"/>
  <c r="BX60" i="7"/>
  <c r="DF48" i="56"/>
  <c r="CR41" i="56"/>
  <c r="DG33" i="56"/>
  <c r="CS26" i="56"/>
  <c r="BC23" i="57"/>
  <c r="CD21" i="57"/>
  <c r="BC15" i="57"/>
  <c r="CD13" i="57"/>
  <c r="BP10" i="57"/>
  <c r="BP102" i="57"/>
  <c r="BP98" i="57"/>
  <c r="BP94" i="57"/>
  <c r="BP90" i="57"/>
  <c r="BS9" i="57"/>
  <c r="BS47" i="57" s="1"/>
  <c r="Z14" i="57"/>
  <c r="AA14" i="57"/>
  <c r="DF14" i="57"/>
  <c r="DG14" i="57"/>
  <c r="CR20" i="57"/>
  <c r="CS20" i="57"/>
  <c r="CU8" i="57"/>
  <c r="CT8" i="57"/>
  <c r="CR28" i="57"/>
  <c r="CS28" i="57"/>
  <c r="GO14" i="56"/>
  <c r="GC83" i="57"/>
  <c r="AJ73" i="7" s="1"/>
  <c r="GC99" i="57"/>
  <c r="AJ89" i="7" s="1"/>
  <c r="DF98" i="56"/>
  <c r="DG98" i="56"/>
  <c r="CR69" i="56"/>
  <c r="CR53" i="56"/>
  <c r="CR37" i="56"/>
  <c r="EK37" i="56" s="1"/>
  <c r="AZ27" i="7"/>
  <c r="CR21" i="56"/>
  <c r="GA21" i="56"/>
  <c r="CE104" i="57"/>
  <c r="CE96" i="57"/>
  <c r="CD91" i="57"/>
  <c r="CE88" i="57"/>
  <c r="CD83" i="57"/>
  <c r="CE80" i="57"/>
  <c r="CD75" i="57"/>
  <c r="CE72" i="57"/>
  <c r="CD67" i="57"/>
  <c r="CE64" i="57"/>
  <c r="CE56" i="57"/>
  <c r="CD51" i="57"/>
  <c r="CE44" i="57"/>
  <c r="CD39" i="57"/>
  <c r="CE36" i="57"/>
  <c r="CD31" i="57"/>
  <c r="AA86" i="57"/>
  <c r="AA78" i="57"/>
  <c r="AY13" i="7"/>
  <c r="EI1" i="56"/>
  <c r="BD13" i="7" s="1"/>
  <c r="BC27" i="57"/>
  <c r="BC11" i="57"/>
  <c r="AA99" i="57"/>
  <c r="AO52" i="57"/>
  <c r="BQ51" i="57"/>
  <c r="Z39" i="57"/>
  <c r="AO34" i="57"/>
  <c r="CS11" i="57"/>
  <c r="BC26" i="56"/>
  <c r="BC18" i="56"/>
  <c r="GP18" i="56" s="1"/>
  <c r="CD109" i="56"/>
  <c r="CE92" i="56"/>
  <c r="GO76" i="56"/>
  <c r="CF66" i="7"/>
  <c r="CE60" i="56"/>
  <c r="FA10" i="56"/>
  <c r="BJ130" i="7" s="1"/>
  <c r="GC93" i="56"/>
  <c r="BZ83" i="7"/>
  <c r="BB62" i="56"/>
  <c r="BC62" i="56"/>
  <c r="AO48" i="57"/>
  <c r="AO40" i="57"/>
  <c r="AO11" i="57"/>
  <c r="CS15" i="57"/>
  <c r="BC29" i="56"/>
  <c r="BB29" i="56"/>
  <c r="CE104" i="56"/>
  <c r="CE84" i="56"/>
  <c r="BC68" i="56"/>
  <c r="EK25" i="56"/>
  <c r="DU25" i="56"/>
  <c r="CS18" i="56"/>
  <c r="BC102" i="56"/>
  <c r="BB102" i="56"/>
  <c r="AA93" i="57"/>
  <c r="AO42" i="57"/>
  <c r="BQ41" i="57"/>
  <c r="BQ39" i="57"/>
  <c r="Z31" i="57"/>
  <c r="AA15" i="57"/>
  <c r="AO21" i="57"/>
  <c r="DG29" i="57"/>
  <c r="GO92" i="56"/>
  <c r="CF82" i="7" s="1"/>
  <c r="CE77" i="56"/>
  <c r="CD77" i="56"/>
  <c r="GO60" i="56"/>
  <c r="CF50" i="7" s="1"/>
  <c r="GP51" i="56"/>
  <c r="CG41" i="7"/>
  <c r="BB30" i="56"/>
  <c r="BC30" i="56"/>
  <c r="DT101" i="56"/>
  <c r="DT85" i="56"/>
  <c r="DT69" i="56"/>
  <c r="FA21" i="56"/>
  <c r="AO56" i="57"/>
  <c r="AO32" i="57"/>
  <c r="DG11" i="57"/>
  <c r="BC104" i="56"/>
  <c r="BC84" i="56"/>
  <c r="GP84" i="56" s="1"/>
  <c r="BC32" i="56"/>
  <c r="DU87" i="56"/>
  <c r="DT98" i="56"/>
  <c r="DU50" i="56"/>
  <c r="DT50" i="56"/>
  <c r="AJ6" i="56"/>
  <c r="AO95" i="56"/>
  <c r="CS10" i="57"/>
  <c r="DG22" i="57"/>
  <c r="CE88" i="56"/>
  <c r="CE57" i="56"/>
  <c r="X6" i="56"/>
  <c r="AO32" i="56"/>
  <c r="AA13" i="56"/>
  <c r="AA81" i="56"/>
  <c r="AA61" i="56"/>
  <c r="AA19" i="57"/>
  <c r="DG23" i="57"/>
  <c r="CE23" i="56"/>
  <c r="CE69" i="56"/>
  <c r="EL28" i="56"/>
  <c r="AA29" i="56"/>
  <c r="AA26" i="56"/>
  <c r="AA10" i="56"/>
  <c r="AA63" i="56"/>
  <c r="AA47" i="56"/>
  <c r="FA75" i="56"/>
  <c r="BJ65" i="7" s="1"/>
  <c r="DU106" i="56"/>
  <c r="AO36" i="56"/>
  <c r="AA24" i="56"/>
  <c r="AA12" i="56"/>
  <c r="AA102" i="56"/>
  <c r="AA98" i="56"/>
  <c r="AA76" i="56"/>
  <c r="AA72" i="56"/>
  <c r="AA68" i="56"/>
  <c r="AA64" i="56"/>
  <c r="AA42" i="56"/>
  <c r="AA18" i="56"/>
  <c r="AA103" i="56"/>
  <c r="AO96" i="56"/>
  <c r="AO64" i="56"/>
  <c r="FN64" i="56" s="1"/>
  <c r="BQ54" i="7" s="1"/>
  <c r="AA17" i="56"/>
  <c r="AA97" i="56"/>
  <c r="Z53" i="57"/>
  <c r="AO12" i="57"/>
  <c r="CS24" i="57"/>
  <c r="DU110" i="56"/>
  <c r="EY106" i="56"/>
  <c r="BH96" i="7" s="1"/>
  <c r="AO24" i="57"/>
  <c r="DT38" i="56"/>
  <c r="AA53" i="56"/>
  <c r="AN24" i="56"/>
  <c r="EJ1" i="56"/>
  <c r="EK1" i="56" s="1"/>
  <c r="BR60" i="57"/>
  <c r="BR70" i="57"/>
  <c r="BR30" i="57"/>
  <c r="BR34" i="57"/>
  <c r="BR36" i="57"/>
  <c r="BR38" i="57"/>
  <c r="BR42" i="57"/>
  <c r="BR44" i="57"/>
  <c r="BR46" i="57"/>
  <c r="BR50" i="57"/>
  <c r="BR52" i="57"/>
  <c r="BR54" i="57"/>
  <c r="BR57" i="57"/>
  <c r="BR33" i="57"/>
  <c r="BR41" i="57"/>
  <c r="BR58" i="57"/>
  <c r="BR61" i="57"/>
  <c r="BR35" i="57"/>
  <c r="BR74" i="57"/>
  <c r="BR59" i="57"/>
  <c r="BR63" i="57"/>
  <c r="BR71" i="57"/>
  <c r="BR31" i="57"/>
  <c r="BR39" i="57"/>
  <c r="BR55" i="57"/>
  <c r="BR66" i="57"/>
  <c r="BR69" i="57"/>
  <c r="BR37" i="57"/>
  <c r="BR45" i="57"/>
  <c r="BR53" i="57"/>
  <c r="BR68" i="57"/>
  <c r="BR65" i="57"/>
  <c r="BR73" i="57"/>
  <c r="CG27" i="56"/>
  <c r="CG28" i="56"/>
  <c r="CG25" i="56"/>
  <c r="CG29" i="56"/>
  <c r="BE33" i="56"/>
  <c r="BE54" i="56"/>
  <c r="GR8" i="56"/>
  <c r="GQ12" i="56"/>
  <c r="GQ14" i="56"/>
  <c r="GQ108" i="56"/>
  <c r="CH98" i="7"/>
  <c r="GQ104" i="56"/>
  <c r="CH94" i="7"/>
  <c r="GQ100" i="56"/>
  <c r="CH90" i="7"/>
  <c r="GQ96" i="56"/>
  <c r="CH86" i="7"/>
  <c r="GQ92" i="56"/>
  <c r="CH82" i="7"/>
  <c r="GQ88" i="56"/>
  <c r="CH78" i="7"/>
  <c r="GQ103" i="56"/>
  <c r="CH93" i="7" s="1"/>
  <c r="GQ10" i="56"/>
  <c r="CH130" i="7" s="1"/>
  <c r="GQ101" i="56"/>
  <c r="CH91" i="7" s="1"/>
  <c r="GQ97" i="56"/>
  <c r="CH87" i="7" s="1"/>
  <c r="GQ85" i="56"/>
  <c r="CH75" i="7"/>
  <c r="GQ13" i="56"/>
  <c r="GQ99" i="56"/>
  <c r="CH89" i="7"/>
  <c r="GQ17" i="56"/>
  <c r="GQ110" i="56"/>
  <c r="CH100" i="7" s="1"/>
  <c r="GQ106" i="56"/>
  <c r="CH96" i="7"/>
  <c r="GQ98" i="56"/>
  <c r="CH88" i="7"/>
  <c r="GQ94" i="56"/>
  <c r="CH84" i="7" s="1"/>
  <c r="GQ90" i="56"/>
  <c r="CH80" i="7" s="1"/>
  <c r="GQ86" i="56"/>
  <c r="CH76" i="7" s="1"/>
  <c r="GQ82" i="56"/>
  <c r="CH72" i="7"/>
  <c r="GQ78" i="56"/>
  <c r="CH68" i="7" s="1"/>
  <c r="BR28" i="57"/>
  <c r="BR26" i="57"/>
  <c r="BR25" i="57"/>
  <c r="BR29" i="57"/>
  <c r="BR27" i="57"/>
  <c r="AB27" i="57"/>
  <c r="AB29" i="57"/>
  <c r="AB28" i="57"/>
  <c r="AB25" i="57"/>
  <c r="AB26" i="57"/>
  <c r="GC21" i="56"/>
  <c r="CT29" i="56"/>
  <c r="CT27" i="56"/>
  <c r="CT26" i="56"/>
  <c r="CT25" i="56"/>
  <c r="CT28" i="56"/>
  <c r="GQ11" i="56"/>
  <c r="CG74" i="7"/>
  <c r="GO77" i="56"/>
  <c r="CF67" i="7"/>
  <c r="GP19" i="56"/>
  <c r="GP68" i="56"/>
  <c r="CG58" i="7"/>
  <c r="GO62" i="56"/>
  <c r="CF52" i="7"/>
  <c r="BS31" i="57"/>
  <c r="BS39" i="57"/>
  <c r="BS63" i="57"/>
  <c r="BS67" i="57"/>
  <c r="BS65" i="57"/>
  <c r="BS59" i="57"/>
  <c r="EN8" i="56"/>
  <c r="EN24" i="56" s="1"/>
  <c r="EM103" i="56"/>
  <c r="BB93" i="7" s="1"/>
  <c r="EM17" i="56"/>
  <c r="EM93" i="56"/>
  <c r="BB83" i="7" s="1"/>
  <c r="EM77" i="56"/>
  <c r="BB67" i="7" s="1"/>
  <c r="EM101" i="56"/>
  <c r="BB91" i="7" s="1"/>
  <c r="EM85" i="56"/>
  <c r="BB75" i="7" s="1"/>
  <c r="GP54" i="56"/>
  <c r="CG44" i="7" s="1"/>
  <c r="GB65" i="56"/>
  <c r="BY55" i="7" s="1"/>
  <c r="BS29" i="57"/>
  <c r="BS25" i="57"/>
  <c r="BS28" i="57"/>
  <c r="BS26" i="57"/>
  <c r="BS27" i="57"/>
  <c r="I6" i="57"/>
  <c r="FA78" i="56"/>
  <c r="BJ68" i="7"/>
  <c r="GP31" i="56"/>
  <c r="CG21" i="7"/>
  <c r="AP62" i="57"/>
  <c r="AP68" i="57"/>
  <c r="AP58" i="57"/>
  <c r="AP74" i="57"/>
  <c r="AP57" i="57"/>
  <c r="AP61" i="57"/>
  <c r="AP65" i="57"/>
  <c r="AP69" i="57"/>
  <c r="AP73" i="57"/>
  <c r="AP30" i="57"/>
  <c r="AP38" i="57"/>
  <c r="AP46" i="57"/>
  <c r="AP54" i="57"/>
  <c r="AP72" i="57"/>
  <c r="AP32" i="57"/>
  <c r="AP36" i="57"/>
  <c r="AP44" i="57"/>
  <c r="AP52" i="57"/>
  <c r="AP56" i="57"/>
  <c r="AP66" i="57"/>
  <c r="AP60" i="57"/>
  <c r="AP64" i="57"/>
  <c r="AP31" i="57"/>
  <c r="AP33" i="57"/>
  <c r="AP35" i="57"/>
  <c r="AP37" i="57"/>
  <c r="AP39" i="57"/>
  <c r="AP41" i="57"/>
  <c r="AP43" i="57"/>
  <c r="AP45" i="57"/>
  <c r="AP47" i="57"/>
  <c r="AP49" i="57"/>
  <c r="AP51" i="57"/>
  <c r="AP53" i="57"/>
  <c r="AP55" i="57"/>
  <c r="AP59" i="57"/>
  <c r="AP63" i="57"/>
  <c r="AP67" i="57"/>
  <c r="AP71" i="57"/>
  <c r="AP34" i="57"/>
  <c r="AP42" i="57"/>
  <c r="AP50" i="57"/>
  <c r="AP70" i="57"/>
  <c r="AP40" i="57"/>
  <c r="AP48" i="57"/>
  <c r="EM12" i="56"/>
  <c r="FA17" i="56"/>
  <c r="EM84" i="56"/>
  <c r="BB74" i="7" s="1"/>
  <c r="GC85" i="56"/>
  <c r="BZ75" i="7" s="1"/>
  <c r="GC17" i="56"/>
  <c r="GC22" i="57"/>
  <c r="GC94" i="57"/>
  <c r="AJ84" i="7" s="1"/>
  <c r="AP26" i="56"/>
  <c r="AP29" i="56"/>
  <c r="AP25" i="56"/>
  <c r="AP28" i="56"/>
  <c r="AP27" i="56"/>
  <c r="GP62" i="56"/>
  <c r="CG52" i="7" s="1"/>
  <c r="GO54" i="56"/>
  <c r="CF44" i="7"/>
  <c r="GP34" i="56"/>
  <c r="CG24" i="7"/>
  <c r="AQ57" i="57"/>
  <c r="AQ67" i="57"/>
  <c r="AQ61" i="57"/>
  <c r="AQ58" i="57"/>
  <c r="AQ62" i="57"/>
  <c r="AQ66" i="57"/>
  <c r="AQ70" i="57"/>
  <c r="AQ74" i="57"/>
  <c r="AQ31" i="57"/>
  <c r="AQ39" i="57"/>
  <c r="AQ47" i="57"/>
  <c r="AQ55" i="57"/>
  <c r="AQ30" i="57"/>
  <c r="AQ36" i="57"/>
  <c r="AQ40" i="57"/>
  <c r="AQ46" i="57"/>
  <c r="AQ52" i="57"/>
  <c r="AQ59" i="57"/>
  <c r="AQ69" i="57"/>
  <c r="AQ71" i="57"/>
  <c r="AQ37" i="57"/>
  <c r="AQ45" i="57"/>
  <c r="AQ53" i="57"/>
  <c r="AQ32" i="57"/>
  <c r="AQ38" i="57"/>
  <c r="AQ44" i="57"/>
  <c r="AQ50" i="57"/>
  <c r="AQ54" i="57"/>
  <c r="AQ41" i="57"/>
  <c r="AQ49" i="57"/>
  <c r="AQ65" i="57"/>
  <c r="AQ63" i="57"/>
  <c r="AQ73" i="57"/>
  <c r="AQ56" i="57"/>
  <c r="AQ60" i="57"/>
  <c r="AQ64" i="57"/>
  <c r="AQ68" i="57"/>
  <c r="AQ72" i="57"/>
  <c r="AQ35" i="57"/>
  <c r="AQ43" i="57"/>
  <c r="AQ51" i="57"/>
  <c r="AQ34" i="57"/>
  <c r="AQ42" i="57"/>
  <c r="AQ48" i="57"/>
  <c r="AQ33" i="57"/>
  <c r="GA44" i="56"/>
  <c r="BX34" i="7" s="1"/>
  <c r="GQ24" i="56"/>
  <c r="Y6" i="56"/>
  <c r="GP104" i="56"/>
  <c r="CG94" i="7"/>
  <c r="GC10" i="56"/>
  <c r="BZ130" i="7" s="1"/>
  <c r="CT65" i="56"/>
  <c r="CT45" i="56"/>
  <c r="CT32" i="56"/>
  <c r="CT40" i="56"/>
  <c r="CT48" i="56"/>
  <c r="CT56" i="56"/>
  <c r="CT64" i="56"/>
  <c r="CT72" i="56"/>
  <c r="CT31" i="56"/>
  <c r="CT35" i="56"/>
  <c r="CT39" i="56"/>
  <c r="CT43" i="56"/>
  <c r="CT47" i="56"/>
  <c r="CT51" i="56"/>
  <c r="CT55" i="56"/>
  <c r="CT59" i="56"/>
  <c r="CT63" i="56"/>
  <c r="CT67" i="56"/>
  <c r="CT71" i="56"/>
  <c r="CT38" i="56"/>
  <c r="CT54" i="56"/>
  <c r="CT61" i="56"/>
  <c r="CT66" i="56"/>
  <c r="CT74" i="56"/>
  <c r="CT49" i="56"/>
  <c r="CT57" i="56"/>
  <c r="CT73" i="56"/>
  <c r="CT42" i="56"/>
  <c r="CT58" i="56"/>
  <c r="CT33" i="56"/>
  <c r="CT50" i="56"/>
  <c r="CT70" i="56"/>
  <c r="CT37" i="56"/>
  <c r="CT53" i="56"/>
  <c r="CT69" i="56"/>
  <c r="CT41" i="56"/>
  <c r="CT36" i="56"/>
  <c r="CT44" i="56"/>
  <c r="CT52" i="56"/>
  <c r="CT60" i="56"/>
  <c r="CT68" i="56"/>
  <c r="CT30" i="56"/>
  <c r="CT46" i="56"/>
  <c r="CT62" i="56"/>
  <c r="CT34" i="56"/>
  <c r="GQ19" i="56"/>
  <c r="FB8" i="56"/>
  <c r="FA79" i="56"/>
  <c r="BJ69" i="7" s="1"/>
  <c r="FA20" i="56"/>
  <c r="FA12" i="56"/>
  <c r="FA100" i="56"/>
  <c r="BJ90" i="7" s="1"/>
  <c r="FA81" i="56"/>
  <c r="BJ71" i="7" s="1"/>
  <c r="FA83" i="56"/>
  <c r="BJ73" i="7" s="1"/>
  <c r="FA18" i="56"/>
  <c r="FA88" i="56"/>
  <c r="BJ78" i="7" s="1"/>
  <c r="FA103" i="56"/>
  <c r="BJ93" i="7" s="1"/>
  <c r="FA93" i="56"/>
  <c r="BJ83" i="7" s="1"/>
  <c r="FA105" i="56"/>
  <c r="BJ95" i="7" s="1"/>
  <c r="FA92" i="56"/>
  <c r="BJ82" i="7" s="1"/>
  <c r="GP92" i="56"/>
  <c r="CG82" i="7"/>
  <c r="GP14" i="56"/>
  <c r="EM92" i="56"/>
  <c r="BB82" i="7" s="1"/>
  <c r="GC77" i="56"/>
  <c r="BZ67" i="7" s="1"/>
  <c r="EK21" i="56"/>
  <c r="DI43" i="57"/>
  <c r="DI39" i="57"/>
  <c r="DI37" i="57"/>
  <c r="DI33" i="57"/>
  <c r="DI31" i="57"/>
  <c r="DI46" i="57"/>
  <c r="DI63" i="57"/>
  <c r="DI59" i="57"/>
  <c r="DI55" i="57"/>
  <c r="DI73" i="57"/>
  <c r="DI61" i="57"/>
  <c r="DI53" i="57"/>
  <c r="DI70" i="57"/>
  <c r="DI64" i="57"/>
  <c r="DI58" i="57"/>
  <c r="DI42" i="57"/>
  <c r="DI38" i="57"/>
  <c r="DI36" i="57"/>
  <c r="DI34" i="57"/>
  <c r="DI32" i="57"/>
  <c r="DI49" i="57"/>
  <c r="DI72" i="57"/>
  <c r="DI66" i="57"/>
  <c r="DI60" i="57"/>
  <c r="GP45" i="56"/>
  <c r="CG35" i="7" s="1"/>
  <c r="EM88" i="56"/>
  <c r="BB78" i="7"/>
  <c r="GD8" i="57"/>
  <c r="GD14" i="57" s="1"/>
  <c r="GC13" i="57"/>
  <c r="GC17" i="57"/>
  <c r="GC21" i="57"/>
  <c r="GC12" i="57"/>
  <c r="GC24" i="57"/>
  <c r="GC11" i="57"/>
  <c r="GC15" i="57"/>
  <c r="GC19" i="57"/>
  <c r="GC23" i="57"/>
  <c r="GC16" i="57"/>
  <c r="GB106" i="56"/>
  <c r="BY96" i="7"/>
  <c r="GC96" i="57"/>
  <c r="AJ86" i="7" s="1"/>
  <c r="O26" i="57"/>
  <c r="O25" i="57"/>
  <c r="O29" i="57"/>
  <c r="O28" i="57"/>
  <c r="O27" i="57"/>
  <c r="GC103" i="57"/>
  <c r="AJ93" i="7"/>
  <c r="AQ27" i="56"/>
  <c r="GA37" i="56"/>
  <c r="BX27" i="7" s="1"/>
  <c r="I6" i="56"/>
  <c r="J6" i="56" s="1"/>
  <c r="K6" i="56" s="1"/>
  <c r="L6" i="56" s="1"/>
  <c r="M6" i="56" s="1"/>
  <c r="CT68" i="57"/>
  <c r="GD8" i="56"/>
  <c r="GC75" i="56"/>
  <c r="BZ65" i="7"/>
  <c r="GC79" i="56"/>
  <c r="BZ69" i="7"/>
  <c r="GC15" i="56"/>
  <c r="GC78" i="56"/>
  <c r="BZ68" i="7"/>
  <c r="GC102" i="56"/>
  <c r="BZ92" i="7"/>
  <c r="GC12" i="56"/>
  <c r="GC16" i="56"/>
  <c r="GC76" i="56"/>
  <c r="BZ66" i="7"/>
  <c r="GC84" i="56"/>
  <c r="BZ74" i="7"/>
  <c r="GC88" i="56"/>
  <c r="BZ78" i="7"/>
  <c r="GC92" i="56"/>
  <c r="BZ82" i="7"/>
  <c r="GC108" i="56"/>
  <c r="BZ98" i="7"/>
  <c r="GC83" i="56"/>
  <c r="BZ73" i="7"/>
  <c r="GC103" i="56"/>
  <c r="BZ93" i="7"/>
  <c r="GC20" i="56"/>
  <c r="GC14" i="56"/>
  <c r="GC18" i="56"/>
  <c r="GC22" i="56"/>
  <c r="DI26" i="57"/>
  <c r="GP22" i="56"/>
  <c r="BT13" i="7"/>
  <c r="FL1" i="56"/>
  <c r="FM1" i="56" s="1"/>
  <c r="CJ13" i="7"/>
  <c r="GN1" i="56"/>
  <c r="GO1" i="56" s="1"/>
  <c r="GQ15" i="56"/>
  <c r="GQ23" i="56"/>
  <c r="CT29" i="57"/>
  <c r="CT25" i="57"/>
  <c r="CT27" i="57"/>
  <c r="CT28" i="57"/>
  <c r="CT26" i="57"/>
  <c r="AK6" i="56"/>
  <c r="AL6" i="56" s="1"/>
  <c r="AM6" i="56" s="1"/>
  <c r="CU27" i="57"/>
  <c r="CU26" i="57"/>
  <c r="CU29" i="57"/>
  <c r="CU25" i="57"/>
  <c r="CU28" i="57"/>
  <c r="GA85" i="56"/>
  <c r="BX75" i="7"/>
  <c r="GC13" i="56"/>
  <c r="L57" i="57"/>
  <c r="CU43" i="56"/>
  <c r="CU67" i="56"/>
  <c r="CU32" i="56"/>
  <c r="CU48" i="56"/>
  <c r="CU64" i="56"/>
  <c r="CU31" i="56"/>
  <c r="CU74" i="56"/>
  <c r="CU44" i="56"/>
  <c r="CU59" i="56"/>
  <c r="CU71" i="56"/>
  <c r="CU51" i="56"/>
  <c r="CU30" i="56"/>
  <c r="CU38" i="56"/>
  <c r="CU46" i="56"/>
  <c r="CU54" i="56"/>
  <c r="CU62" i="56"/>
  <c r="CU70" i="56"/>
  <c r="CU36" i="56"/>
  <c r="CU52" i="56"/>
  <c r="CU68" i="56"/>
  <c r="CU72" i="56"/>
  <c r="CU47" i="56"/>
  <c r="CU34" i="56"/>
  <c r="CU42" i="56"/>
  <c r="CU60" i="56"/>
  <c r="CU35" i="56"/>
  <c r="CU55" i="56"/>
  <c r="CU33" i="56"/>
  <c r="CU37" i="56"/>
  <c r="CU41" i="56"/>
  <c r="CU45" i="56"/>
  <c r="CU49" i="56"/>
  <c r="CU53" i="56"/>
  <c r="CU57" i="56"/>
  <c r="CU61" i="56"/>
  <c r="CU65" i="56"/>
  <c r="CU69" i="56"/>
  <c r="CU73" i="56"/>
  <c r="CU40" i="56"/>
  <c r="CU56" i="56"/>
  <c r="CU63" i="56"/>
  <c r="CU39" i="56"/>
  <c r="CU50" i="56"/>
  <c r="CU58" i="56"/>
  <c r="CU66" i="56"/>
  <c r="CF27" i="56"/>
  <c r="CF28" i="56"/>
  <c r="CF25" i="56"/>
  <c r="CF29" i="56"/>
  <c r="CF26" i="56"/>
  <c r="BD56" i="56"/>
  <c r="BD58" i="56"/>
  <c r="FA101" i="56"/>
  <c r="BJ91" i="7"/>
  <c r="L47" i="57"/>
  <c r="EM100" i="56"/>
  <c r="BB90" i="7" s="1"/>
  <c r="EM10" i="56"/>
  <c r="BB130" i="7" s="1"/>
  <c r="GO34" i="56"/>
  <c r="CF24" i="7" s="1"/>
  <c r="GB102" i="56"/>
  <c r="BY92" i="7" s="1"/>
  <c r="EM108" i="56"/>
  <c r="BB98" i="7" s="1"/>
  <c r="CU40" i="57"/>
  <c r="AJ6" i="57"/>
  <c r="EZ85" i="56"/>
  <c r="BI75" i="7" s="1"/>
  <c r="DH26" i="57"/>
  <c r="DH29" i="57"/>
  <c r="DH27" i="57"/>
  <c r="DH25" i="57"/>
  <c r="DH28" i="57"/>
  <c r="T6" i="57"/>
  <c r="ER6" i="57"/>
  <c r="S7" i="57"/>
  <c r="AC26" i="57"/>
  <c r="AC27" i="57"/>
  <c r="AC29" i="57"/>
  <c r="AC25" i="57"/>
  <c r="AC28" i="57"/>
  <c r="GC105" i="56"/>
  <c r="BZ95" i="7"/>
  <c r="GA45" i="56"/>
  <c r="BX35" i="7"/>
  <c r="GC98" i="57"/>
  <c r="AJ88" i="7"/>
  <c r="CU26" i="56"/>
  <c r="CU27" i="56"/>
  <c r="CU25" i="56"/>
  <c r="CU29" i="56"/>
  <c r="CU28" i="56"/>
  <c r="GC89" i="56"/>
  <c r="BZ79" i="7" s="1"/>
  <c r="GC101" i="57"/>
  <c r="AJ91" i="7"/>
  <c r="DW64" i="57"/>
  <c r="DW62" i="57"/>
  <c r="DW72" i="57"/>
  <c r="DW37" i="57"/>
  <c r="DW45" i="57"/>
  <c r="DW53" i="57"/>
  <c r="DW57" i="57"/>
  <c r="DW65" i="57"/>
  <c r="DW69" i="57"/>
  <c r="DW73" i="57"/>
  <c r="DW39" i="57"/>
  <c r="DW47" i="57"/>
  <c r="DW58" i="57"/>
  <c r="DW56" i="57"/>
  <c r="DW59" i="57"/>
  <c r="DW63" i="57"/>
  <c r="DW67" i="57"/>
  <c r="DW71" i="57"/>
  <c r="DW35" i="57"/>
  <c r="DW43" i="57"/>
  <c r="DW51" i="57"/>
  <c r="DW68" i="57"/>
  <c r="DW70" i="57"/>
  <c r="DW61" i="57"/>
  <c r="DW74" i="57"/>
  <c r="DW66" i="57"/>
  <c r="DW60" i="57"/>
  <c r="DW30" i="57"/>
  <c r="DW32" i="57"/>
  <c r="DW34" i="57"/>
  <c r="DW36" i="57"/>
  <c r="DW38" i="57"/>
  <c r="DW40" i="57"/>
  <c r="DW42" i="57"/>
  <c r="DW44" i="57"/>
  <c r="DW46" i="57"/>
  <c r="DW48" i="57"/>
  <c r="DW50" i="57"/>
  <c r="DW52" i="57"/>
  <c r="DW54" i="57"/>
  <c r="DW33" i="57"/>
  <c r="DW41" i="57"/>
  <c r="DW49" i="57"/>
  <c r="DW31" i="57"/>
  <c r="DW55" i="57"/>
  <c r="J6" i="57"/>
  <c r="K6" i="57" s="1"/>
  <c r="L6" i="57" s="1"/>
  <c r="M6" i="57" s="1"/>
  <c r="N6" i="57" s="1"/>
  <c r="O6" i="57" s="1"/>
  <c r="Z6" i="56"/>
  <c r="U6" i="57"/>
  <c r="V6" i="57" s="1"/>
  <c r="ES6" i="57"/>
  <c r="GD18" i="57"/>
  <c r="GD19" i="57"/>
  <c r="GD23" i="57"/>
  <c r="GD16" i="57"/>
  <c r="GD15" i="57"/>
  <c r="GD13" i="57"/>
  <c r="GD20" i="57"/>
  <c r="GR77" i="56"/>
  <c r="CI67" i="7" s="1"/>
  <c r="GR93" i="56"/>
  <c r="CI83" i="7" s="1"/>
  <c r="GR109" i="56"/>
  <c r="CI99" i="7" s="1"/>
  <c r="GR80" i="56"/>
  <c r="CI70" i="7" s="1"/>
  <c r="GR20" i="56"/>
  <c r="GR21" i="56"/>
  <c r="GR102" i="56"/>
  <c r="CI92" i="7" s="1"/>
  <c r="GR82" i="56"/>
  <c r="CI72" i="7" s="1"/>
  <c r="GR76" i="56"/>
  <c r="CI66" i="7" s="1"/>
  <c r="GR75" i="56"/>
  <c r="CI65" i="7" s="1"/>
  <c r="GR91" i="56"/>
  <c r="CI81" i="7" s="1"/>
  <c r="GR107" i="56"/>
  <c r="CI97" i="7" s="1"/>
  <c r="GR106" i="56"/>
  <c r="CI96" i="7" s="1"/>
  <c r="GR78" i="56"/>
  <c r="CI68" i="7" s="1"/>
  <c r="GR22" i="56"/>
  <c r="GR89" i="56"/>
  <c r="CI79" i="7" s="1"/>
  <c r="GR105" i="56"/>
  <c r="CI95" i="7" s="1"/>
  <c r="GR14" i="56"/>
  <c r="GR103" i="56"/>
  <c r="CI93" i="7" s="1"/>
  <c r="GR16" i="56"/>
  <c r="GR86" i="56"/>
  <c r="CI76" i="7" s="1"/>
  <c r="GR81" i="56"/>
  <c r="CI71" i="7" s="1"/>
  <c r="GR97" i="56"/>
  <c r="CI87" i="7" s="1"/>
  <c r="GR88" i="56"/>
  <c r="CI78" i="7" s="1"/>
  <c r="GR84" i="56"/>
  <c r="CI74" i="7" s="1"/>
  <c r="GR13" i="56"/>
  <c r="GR79" i="56"/>
  <c r="CI69" i="7" s="1"/>
  <c r="GR95" i="56"/>
  <c r="CI85" i="7" s="1"/>
  <c r="GR11" i="56"/>
  <c r="GR18" i="56"/>
  <c r="GR94" i="56"/>
  <c r="CI84" i="7" s="1"/>
  <c r="GR10" i="56"/>
  <c r="CI130" i="7" s="1"/>
  <c r="GR17" i="56"/>
  <c r="GR87" i="56"/>
  <c r="CI77" i="7" s="1"/>
  <c r="GR110" i="56"/>
  <c r="CI100" i="7" s="1"/>
  <c r="GR85" i="56"/>
  <c r="CI75" i="7" s="1"/>
  <c r="GR101" i="56"/>
  <c r="CI91" i="7" s="1"/>
  <c r="GR96" i="56"/>
  <c r="CI86" i="7" s="1"/>
  <c r="GR15" i="56"/>
  <c r="GR24" i="56"/>
  <c r="GR92" i="56"/>
  <c r="CI82" i="7" s="1"/>
  <c r="GR99" i="56"/>
  <c r="CI89" i="7" s="1"/>
  <c r="GR12" i="56"/>
  <c r="GR90" i="56"/>
  <c r="CI80" i="7" s="1"/>
  <c r="GR108" i="56"/>
  <c r="CI98" i="7" s="1"/>
  <c r="GR104" i="56"/>
  <c r="CI94" i="7" s="1"/>
  <c r="GR19" i="56"/>
  <c r="GR23" i="56"/>
  <c r="GR100" i="56"/>
  <c r="CI90" i="7" s="1"/>
  <c r="GR98" i="56"/>
  <c r="CI88" i="7" s="1"/>
  <c r="AK6" i="57"/>
  <c r="GD77" i="56"/>
  <c r="CA67" i="7"/>
  <c r="GD110" i="56"/>
  <c r="CA100" i="7"/>
  <c r="GD17" i="56"/>
  <c r="GD80" i="56"/>
  <c r="CA70" i="7"/>
  <c r="GD19" i="56"/>
  <c r="GD106" i="56"/>
  <c r="CA96" i="7"/>
  <c r="GD82" i="56"/>
  <c r="CA72" i="7"/>
  <c r="GD75" i="56"/>
  <c r="CA65" i="7"/>
  <c r="GD90" i="56"/>
  <c r="CA80" i="7"/>
  <c r="GD101" i="56"/>
  <c r="CA91" i="7"/>
  <c r="GD105" i="56"/>
  <c r="CA95" i="7" s="1"/>
  <c r="GD24" i="56"/>
  <c r="GD14" i="56"/>
  <c r="GD86" i="56"/>
  <c r="CA76" i="7" s="1"/>
  <c r="GD109" i="56"/>
  <c r="CA99" i="7"/>
  <c r="FB110" i="56"/>
  <c r="BK100" i="7" s="1"/>
  <c r="FB22" i="56"/>
  <c r="FB75" i="56"/>
  <c r="BK65" i="7" s="1"/>
  <c r="FB78" i="56"/>
  <c r="BK68" i="7" s="1"/>
  <c r="FB23" i="56"/>
  <c r="FB15" i="56"/>
  <c r="FB101" i="56"/>
  <c r="BK91" i="7" s="1"/>
  <c r="FB86" i="56"/>
  <c r="BK76" i="7" s="1"/>
  <c r="FB14" i="56"/>
  <c r="FB81" i="56"/>
  <c r="BK71" i="7" s="1"/>
  <c r="FB11" i="56"/>
  <c r="FB80" i="56"/>
  <c r="BK70" i="7" s="1"/>
  <c r="FB89" i="56"/>
  <c r="BK79" i="7" s="1"/>
  <c r="FB98" i="56"/>
  <c r="BK88" i="7" s="1"/>
  <c r="FB109" i="56"/>
  <c r="BK99" i="7" s="1"/>
  <c r="FB17" i="56"/>
  <c r="FB106" i="56"/>
  <c r="BK96" i="7" s="1"/>
  <c r="FB24" i="56"/>
  <c r="FB10" i="56"/>
  <c r="BK130" i="7" s="1"/>
  <c r="FB82" i="56"/>
  <c r="BK72" i="7"/>
  <c r="FB93" i="56"/>
  <c r="BK83" i="7" s="1"/>
  <c r="FB77" i="56"/>
  <c r="BK67" i="7" s="1"/>
  <c r="EN11" i="56"/>
  <c r="EN106" i="56"/>
  <c r="BC96" i="7" s="1"/>
  <c r="EN17" i="56"/>
  <c r="EN82" i="56"/>
  <c r="BC72" i="7"/>
  <c r="EN10" i="56"/>
  <c r="BC130" i="7"/>
  <c r="EN91" i="56"/>
  <c r="BC81" i="7" s="1"/>
  <c r="EN86" i="56"/>
  <c r="BC76" i="7" s="1"/>
  <c r="EN110" i="56"/>
  <c r="BC100" i="7"/>
  <c r="AZ13" i="7"/>
  <c r="EL1" i="56"/>
  <c r="EM1" i="56" s="1"/>
  <c r="AA6" i="56"/>
  <c r="AB6" i="56" s="1"/>
  <c r="AL6" i="57"/>
  <c r="AM6" i="57" s="1"/>
  <c r="AN6" i="57" s="1"/>
  <c r="AO6" i="57" s="1"/>
  <c r="AP6" i="57" s="1"/>
  <c r="AQ6" i="57" s="1"/>
  <c r="W6" i="57"/>
  <c r="X6" i="57" s="1"/>
  <c r="Y6" i="57" s="1"/>
  <c r="DA12" i="41"/>
  <c r="DB12" i="41" s="1"/>
  <c r="DC12" i="41" s="1"/>
  <c r="DD12" i="41" s="1"/>
  <c r="DE12" i="41" s="1"/>
  <c r="DF12" i="41" s="1"/>
  <c r="CH12" i="41"/>
  <c r="J13" i="7"/>
  <c r="N13" i="7" s="1"/>
  <c r="M69" i="57"/>
  <c r="L75" i="57"/>
  <c r="CE11" i="57"/>
  <c r="GB11" i="57" s="1"/>
  <c r="CD11" i="57"/>
  <c r="GA11" i="57" s="1"/>
  <c r="BQ97" i="57"/>
  <c r="BP97" i="57"/>
  <c r="BQ105" i="57"/>
  <c r="BP105" i="57"/>
  <c r="AO98" i="57"/>
  <c r="AN98" i="57"/>
  <c r="N99" i="57"/>
  <c r="N83" i="57"/>
  <c r="L83" i="57"/>
  <c r="CE23" i="57"/>
  <c r="GB23" i="57" s="1"/>
  <c r="CD23" i="57"/>
  <c r="GA23" i="57" s="1"/>
  <c r="BQ21" i="57"/>
  <c r="BP21" i="57"/>
  <c r="CE15" i="57"/>
  <c r="GB15" i="57"/>
  <c r="CR23" i="57"/>
  <c r="GO23" i="57" s="1"/>
  <c r="Z25" i="57"/>
  <c r="BP93" i="57"/>
  <c r="AN103" i="57"/>
  <c r="AO95" i="57"/>
  <c r="AN95" i="57"/>
  <c r="CE14" i="57"/>
  <c r="CD17" i="57"/>
  <c r="BQ47" i="57"/>
  <c r="AA43" i="57"/>
  <c r="GO13" i="57"/>
  <c r="AD99" i="7"/>
  <c r="N99" i="7"/>
  <c r="V98" i="7"/>
  <c r="AD97" i="7"/>
  <c r="N96" i="7"/>
  <c r="N95" i="7"/>
  <c r="V93" i="7"/>
  <c r="AD87" i="7"/>
  <c r="AD79" i="7"/>
  <c r="N78" i="7"/>
  <c r="V77" i="7"/>
  <c r="AD76" i="7"/>
  <c r="V74" i="7"/>
  <c r="AD72" i="7"/>
  <c r="N72" i="7"/>
  <c r="V71" i="7"/>
  <c r="AD67" i="7"/>
  <c r="N67" i="7"/>
  <c r="V66" i="7"/>
  <c r="AD65" i="7"/>
  <c r="AD58" i="7"/>
  <c r="V56" i="7"/>
  <c r="V54" i="7"/>
  <c r="V53" i="7"/>
  <c r="V50" i="7"/>
  <c r="V45" i="7"/>
  <c r="N42" i="7"/>
  <c r="AD34" i="7"/>
  <c r="AD26" i="7"/>
  <c r="EH28" i="57"/>
  <c r="GL28" i="57"/>
  <c r="K28" i="57"/>
  <c r="M28" i="57"/>
  <c r="CQ26" i="57"/>
  <c r="CS26" i="57" s="1"/>
  <c r="GK26" i="57"/>
  <c r="GK24" i="57"/>
  <c r="CT24" i="57"/>
  <c r="M24" i="57"/>
  <c r="FJ22" i="57"/>
  <c r="K21" i="57"/>
  <c r="L21" i="57" s="1"/>
  <c r="EG20" i="57"/>
  <c r="GL19" i="57"/>
  <c r="EG16" i="57"/>
  <c r="FH15" i="57"/>
  <c r="FH12" i="57"/>
  <c r="ET15" i="57"/>
  <c r="ET21" i="57"/>
  <c r="ET27" i="57"/>
  <c r="ET30" i="57"/>
  <c r="V20" i="7" s="1"/>
  <c r="ET33" i="57"/>
  <c r="V23" i="7" s="1"/>
  <c r="ET36" i="57"/>
  <c r="ET37" i="57"/>
  <c r="V27" i="7" s="1"/>
  <c r="FX3" i="57"/>
  <c r="FX4" i="57" s="1"/>
  <c r="L38" i="57"/>
  <c r="M38" i="57"/>
  <c r="AN87" i="57"/>
  <c r="BP81" i="57"/>
  <c r="CE48" i="57"/>
  <c r="BB18" i="57"/>
  <c r="GA18" i="57" s="1"/>
  <c r="AA95" i="57"/>
  <c r="BQ31" i="57"/>
  <c r="AN38" i="57"/>
  <c r="BQ35" i="57"/>
  <c r="AA101" i="57"/>
  <c r="AA89" i="57"/>
  <c r="M23" i="57"/>
  <c r="V26" i="7"/>
  <c r="M29" i="57"/>
  <c r="L29" i="57"/>
  <c r="GK20" i="57"/>
  <c r="GK16" i="57"/>
  <c r="CQ14" i="57"/>
  <c r="FJ14" i="57"/>
  <c r="AB14" i="57"/>
  <c r="EU14" i="57"/>
  <c r="EH13" i="57"/>
  <c r="BP52" i="57"/>
  <c r="BQ52" i="57"/>
  <c r="AO83" i="57"/>
  <c r="GO29" i="57"/>
  <c r="BQ53" i="57"/>
  <c r="AA105" i="57"/>
  <c r="AO54" i="57"/>
  <c r="BP43" i="57"/>
  <c r="Z37" i="57"/>
  <c r="V99" i="7"/>
  <c r="V96" i="7"/>
  <c r="N89" i="7"/>
  <c r="N88" i="7"/>
  <c r="V85" i="7"/>
  <c r="V84" i="7"/>
  <c r="V78" i="7"/>
  <c r="AD77" i="7"/>
  <c r="N77" i="7"/>
  <c r="V76" i="7"/>
  <c r="AD75" i="7"/>
  <c r="AD74" i="7"/>
  <c r="N73" i="7"/>
  <c r="V72" i="7"/>
  <c r="AD71" i="7"/>
  <c r="N71" i="7"/>
  <c r="V67" i="7"/>
  <c r="AD66" i="7"/>
  <c r="N66" i="7"/>
  <c r="V58" i="7"/>
  <c r="AD56" i="7"/>
  <c r="N56" i="7"/>
  <c r="V55" i="7"/>
  <c r="N53" i="7"/>
  <c r="V51" i="7"/>
  <c r="AD50" i="7"/>
  <c r="N50" i="7"/>
  <c r="V46" i="7"/>
  <c r="N45" i="7"/>
  <c r="AD41" i="7"/>
  <c r="N41" i="7"/>
  <c r="N38" i="7"/>
  <c r="V36" i="7"/>
  <c r="AD35" i="7"/>
  <c r="V34" i="7"/>
  <c r="N22" i="7"/>
  <c r="FJ29" i="57"/>
  <c r="GL29" i="57"/>
  <c r="DE28" i="57"/>
  <c r="DF28" i="57" s="1"/>
  <c r="GO28" i="57" s="1"/>
  <c r="DE24" i="57"/>
  <c r="DF24" i="57" s="1"/>
  <c r="CT23" i="57"/>
  <c r="GK23" i="57"/>
  <c r="DE20" i="57"/>
  <c r="DF20" i="57" s="1"/>
  <c r="GO20" i="57" s="1"/>
  <c r="GL18" i="57"/>
  <c r="EG17" i="57"/>
  <c r="FJ17" i="57"/>
  <c r="EG12" i="57"/>
  <c r="CT12" i="57"/>
  <c r="CT11" i="57"/>
  <c r="FH10" i="57"/>
  <c r="AD130" i="7" s="1"/>
  <c r="FH11" i="57"/>
  <c r="FH13" i="57"/>
  <c r="FH18" i="57"/>
  <c r="FH23" i="57"/>
  <c r="FH26" i="57"/>
  <c r="FH29" i="57"/>
  <c r="FH33" i="57"/>
  <c r="AD23" i="7" s="1"/>
  <c r="FH34" i="57"/>
  <c r="AD24" i="7"/>
  <c r="FH35" i="57"/>
  <c r="AD25" i="7" s="1"/>
  <c r="CM6" i="57"/>
  <c r="GI6" i="57"/>
  <c r="N93" i="7"/>
  <c r="AD90" i="7"/>
  <c r="V86" i="7"/>
  <c r="V70" i="7"/>
  <c r="EG29" i="57"/>
  <c r="GK29" i="57"/>
  <c r="EG24" i="57"/>
  <c r="K20" i="57"/>
  <c r="FJ13" i="57"/>
  <c r="DH12" i="57"/>
  <c r="DF12" i="57"/>
  <c r="V130" i="7"/>
  <c r="CK7" i="57"/>
  <c r="BO30" i="57"/>
  <c r="AQ78" i="57"/>
  <c r="DW87" i="57"/>
  <c r="BS92" i="57"/>
  <c r="BS102" i="57"/>
  <c r="Y104" i="57"/>
  <c r="AQ104" i="57"/>
  <c r="BS10" i="57"/>
  <c r="FW12" i="57"/>
  <c r="CG17" i="57"/>
  <c r="GD17" i="57"/>
  <c r="BA21" i="57"/>
  <c r="BA29" i="57"/>
  <c r="BC29" i="57" s="1"/>
  <c r="AL25" i="7"/>
  <c r="CC49" i="57"/>
  <c r="AL61" i="7"/>
  <c r="CC74" i="57"/>
  <c r="CG75" i="57"/>
  <c r="V30" i="7"/>
  <c r="V22" i="7"/>
  <c r="EF29" i="57"/>
  <c r="EV29" i="57"/>
  <c r="GL27" i="57"/>
  <c r="AM26" i="57"/>
  <c r="AN26" i="57" s="1"/>
  <c r="GK25" i="57"/>
  <c r="Y24" i="57"/>
  <c r="Z24" i="57" s="1"/>
  <c r="GL23" i="57"/>
  <c r="CT22" i="57"/>
  <c r="GK22" i="57"/>
  <c r="GK21" i="57"/>
  <c r="GL20" i="57"/>
  <c r="GK19" i="57"/>
  <c r="GL17" i="57"/>
  <c r="DE16" i="57"/>
  <c r="GL16" i="57"/>
  <c r="BO16" i="57"/>
  <c r="BQ16" i="57" s="1"/>
  <c r="EH15" i="57"/>
  <c r="GL15" i="57"/>
  <c r="GL3" i="57"/>
  <c r="GL4" i="57" s="1"/>
  <c r="AO14" i="7" s="1"/>
  <c r="Y30" i="57"/>
  <c r="AM31" i="57"/>
  <c r="AN31" i="57" s="1"/>
  <c r="L32" i="57"/>
  <c r="BO34" i="57"/>
  <c r="AM37" i="57"/>
  <c r="AM49" i="57"/>
  <c r="BQ50" i="57"/>
  <c r="Y69" i="57"/>
  <c r="AQ84" i="57"/>
  <c r="AQ96" i="57"/>
  <c r="Z98" i="57"/>
  <c r="DW99" i="57"/>
  <c r="Y100" i="57"/>
  <c r="AQ100" i="57"/>
  <c r="CC12" i="57"/>
  <c r="BA17" i="57"/>
  <c r="BC17" i="57"/>
  <c r="GB17" i="57" s="1"/>
  <c r="FW22" i="57"/>
  <c r="CC27" i="57"/>
  <c r="CC41" i="57"/>
  <c r="CC53" i="57"/>
  <c r="CC66" i="57"/>
  <c r="CG85" i="57"/>
  <c r="CC86" i="57"/>
  <c r="CE86" i="57" s="1"/>
  <c r="BO42" i="57"/>
  <c r="BO54" i="57"/>
  <c r="BP54" i="57" s="1"/>
  <c r="BQ54" i="57"/>
  <c r="Y71" i="57"/>
  <c r="AQ76" i="57"/>
  <c r="DW81" i="57"/>
  <c r="Y83" i="57"/>
  <c r="DW83" i="57"/>
  <c r="AB88" i="57"/>
  <c r="AQ88" i="57"/>
  <c r="Z92" i="57"/>
  <c r="DW93" i="57"/>
  <c r="Y94" i="57"/>
  <c r="AQ94" i="57"/>
  <c r="AB96" i="57"/>
  <c r="AQ97" i="57"/>
  <c r="AP100" i="57"/>
  <c r="AQ103" i="57"/>
  <c r="AQ105" i="57"/>
  <c r="CC10" i="57"/>
  <c r="CE10" i="57" s="1"/>
  <c r="BA13" i="57"/>
  <c r="FX13" i="57"/>
  <c r="FX21" i="57"/>
  <c r="BE22" i="57"/>
  <c r="GD22" i="57"/>
  <c r="FX26" i="57"/>
  <c r="CC28" i="57"/>
  <c r="CC58" i="57"/>
  <c r="CC69" i="57"/>
  <c r="CE69" i="57" s="1"/>
  <c r="CG77" i="57"/>
  <c r="CC78" i="57"/>
  <c r="CE78" i="57" s="1"/>
  <c r="CC94" i="57"/>
  <c r="CD94" i="57" s="1"/>
  <c r="CT94" i="57"/>
  <c r="DW12" i="57"/>
  <c r="EH11" i="57"/>
  <c r="FI3" i="57"/>
  <c r="X1" i="7" s="1"/>
  <c r="AC108" i="57"/>
  <c r="CT103" i="57"/>
  <c r="CT95" i="57"/>
  <c r="CT93" i="57"/>
  <c r="GJ110" i="57"/>
  <c r="AT100" i="7"/>
  <c r="GJ109" i="57"/>
  <c r="AT99" i="7"/>
  <c r="GJ108" i="57"/>
  <c r="GJ107" i="57"/>
  <c r="AT97" i="7" s="1"/>
  <c r="GJ106" i="57"/>
  <c r="GJ105" i="57"/>
  <c r="AT95" i="7"/>
  <c r="GJ104" i="57"/>
  <c r="GJ103" i="57"/>
  <c r="AT93" i="7" s="1"/>
  <c r="GJ102" i="57"/>
  <c r="AT92" i="7" s="1"/>
  <c r="GJ101" i="57"/>
  <c r="AT91" i="7"/>
  <c r="GJ100" i="57"/>
  <c r="AT90" i="7" s="1"/>
  <c r="GJ99" i="57"/>
  <c r="AT89" i="7" s="1"/>
  <c r="GJ98" i="57"/>
  <c r="AT88" i="7" s="1"/>
  <c r="GJ97" i="57"/>
  <c r="AT87" i="7" s="1"/>
  <c r="GJ96" i="57"/>
  <c r="GJ95" i="57"/>
  <c r="AT85" i="7"/>
  <c r="GJ94" i="57"/>
  <c r="AT84" i="7" s="1"/>
  <c r="GJ93" i="57"/>
  <c r="AT83" i="7" s="1"/>
  <c r="GJ92" i="57"/>
  <c r="GJ91" i="57"/>
  <c r="AT81" i="7"/>
  <c r="GJ90" i="57"/>
  <c r="GJ89" i="57"/>
  <c r="AT79" i="7" s="1"/>
  <c r="GJ88" i="57"/>
  <c r="GJ87" i="57"/>
  <c r="AT77" i="7"/>
  <c r="GJ86" i="57"/>
  <c r="AT76" i="7"/>
  <c r="GJ85" i="57"/>
  <c r="AT75" i="7" s="1"/>
  <c r="GJ84" i="57"/>
  <c r="GJ83" i="57"/>
  <c r="AT73" i="7" s="1"/>
  <c r="GJ82" i="57"/>
  <c r="AT72" i="7" s="1"/>
  <c r="GJ81" i="57"/>
  <c r="AT71" i="7" s="1"/>
  <c r="GJ80" i="57"/>
  <c r="GJ79" i="57"/>
  <c r="GJ78" i="57"/>
  <c r="AT68" i="7" s="1"/>
  <c r="GJ77" i="57"/>
  <c r="AT67" i="7"/>
  <c r="GJ76" i="57"/>
  <c r="AT66" i="7"/>
  <c r="GJ75" i="57"/>
  <c r="GJ74" i="57"/>
  <c r="AT64" i="7" s="1"/>
  <c r="GJ73" i="57"/>
  <c r="AT63" i="7" s="1"/>
  <c r="GJ72" i="57"/>
  <c r="GJ71" i="57"/>
  <c r="AT61" i="7" s="1"/>
  <c r="GJ70" i="57"/>
  <c r="GJ69" i="57"/>
  <c r="AT59" i="7" s="1"/>
  <c r="GJ68" i="57"/>
  <c r="GJ67" i="57"/>
  <c r="AT57" i="7" s="1"/>
  <c r="GJ66" i="57"/>
  <c r="GJ65" i="57"/>
  <c r="AT55" i="7" s="1"/>
  <c r="GJ64" i="57"/>
  <c r="AT54" i="7" s="1"/>
  <c r="GJ63" i="57"/>
  <c r="AT53" i="7" s="1"/>
  <c r="GJ62" i="57"/>
  <c r="GJ61" i="57"/>
  <c r="AT51" i="7" s="1"/>
  <c r="GJ60" i="57"/>
  <c r="AT50" i="7" s="1"/>
  <c r="GJ59" i="57"/>
  <c r="AT49" i="7" s="1"/>
  <c r="GJ58" i="57"/>
  <c r="GJ57" i="57"/>
  <c r="AT47" i="7" s="1"/>
  <c r="GJ56" i="57"/>
  <c r="AT46" i="7" s="1"/>
  <c r="GJ55" i="57"/>
  <c r="AT45" i="7" s="1"/>
  <c r="GJ54" i="57"/>
  <c r="GJ53" i="57"/>
  <c r="AT43" i="7" s="1"/>
  <c r="GJ52" i="57"/>
  <c r="AT42" i="7" s="1"/>
  <c r="GJ51" i="57"/>
  <c r="AT41" i="7" s="1"/>
  <c r="GJ50" i="57"/>
  <c r="AT40" i="7"/>
  <c r="GJ49" i="57"/>
  <c r="AT39" i="7" s="1"/>
  <c r="GJ48" i="57"/>
  <c r="AT38" i="7" s="1"/>
  <c r="GJ47" i="57"/>
  <c r="AT37" i="7" s="1"/>
  <c r="GJ46" i="57"/>
  <c r="AT36" i="7" s="1"/>
  <c r="GJ45" i="57"/>
  <c r="AT35" i="7" s="1"/>
  <c r="GJ44" i="57"/>
  <c r="AT34" i="7" s="1"/>
  <c r="GJ43" i="57"/>
  <c r="AT33" i="7"/>
  <c r="GJ42" i="57"/>
  <c r="AT32" i="7" s="1"/>
  <c r="GJ41" i="57"/>
  <c r="AT31" i="7" s="1"/>
  <c r="GJ40" i="57"/>
  <c r="AT30" i="7" s="1"/>
  <c r="GJ39" i="57"/>
  <c r="AT29" i="7" s="1"/>
  <c r="GJ38" i="57"/>
  <c r="AT28" i="7"/>
  <c r="GJ37" i="57"/>
  <c r="AT27" i="7"/>
  <c r="GJ36" i="57"/>
  <c r="AT26" i="7" s="1"/>
  <c r="GJ35" i="57"/>
  <c r="AT25" i="7" s="1"/>
  <c r="GJ34" i="57"/>
  <c r="AT24" i="7"/>
  <c r="GJ33" i="57"/>
  <c r="AT23" i="7" s="1"/>
  <c r="AT65" i="7"/>
  <c r="AT69" i="7"/>
  <c r="AT44" i="7"/>
  <c r="AT48" i="7"/>
  <c r="AT52" i="7"/>
  <c r="AT56" i="7"/>
  <c r="AT58" i="7"/>
  <c r="AT60" i="7"/>
  <c r="AT62" i="7"/>
  <c r="AT70" i="7"/>
  <c r="AT74" i="7"/>
  <c r="AT78" i="7"/>
  <c r="AT80" i="7"/>
  <c r="AT82" i="7"/>
  <c r="AT86" i="7"/>
  <c r="AT94" i="7"/>
  <c r="AT96" i="7"/>
  <c r="AT98" i="7"/>
  <c r="GP8" i="57"/>
  <c r="CG9" i="57"/>
  <c r="GC80" i="57"/>
  <c r="AJ70" i="7" s="1"/>
  <c r="CD19" i="57"/>
  <c r="BP101" i="57"/>
  <c r="AN79" i="57"/>
  <c r="BQ73" i="57"/>
  <c r="BP73" i="57"/>
  <c r="GC75" i="57"/>
  <c r="AJ65" i="7" s="1"/>
  <c r="GC82" i="57"/>
  <c r="AJ72" i="7" s="1"/>
  <c r="AO100" i="57"/>
  <c r="BP95" i="57"/>
  <c r="BP89" i="57"/>
  <c r="BP87" i="57"/>
  <c r="BB22" i="57"/>
  <c r="GA22" i="57" s="1"/>
  <c r="AN15" i="57"/>
  <c r="Z17" i="57"/>
  <c r="Z21" i="57"/>
  <c r="Z29" i="57"/>
  <c r="EY29" i="57" s="1"/>
  <c r="BP77" i="57"/>
  <c r="AN75" i="57"/>
  <c r="GC92" i="57"/>
  <c r="AJ82" i="7" s="1"/>
  <c r="CD101" i="57"/>
  <c r="CE77" i="57"/>
  <c r="AO90" i="57"/>
  <c r="Z80" i="57"/>
  <c r="Z70" i="57"/>
  <c r="Z62" i="57"/>
  <c r="CR27" i="57"/>
  <c r="GO27" i="57" s="1"/>
  <c r="AO69" i="57"/>
  <c r="AN69" i="57"/>
  <c r="CR12" i="57"/>
  <c r="GO12" i="57" s="1"/>
  <c r="EY23" i="57"/>
  <c r="BP22" i="57"/>
  <c r="M19" i="57"/>
  <c r="BQ49" i="57"/>
  <c r="Z47" i="57"/>
  <c r="BQ45" i="57"/>
  <c r="M15" i="57"/>
  <c r="N97" i="7"/>
  <c r="Y28" i="57"/>
  <c r="AA28" i="57" s="1"/>
  <c r="M27" i="57"/>
  <c r="Z55" i="57"/>
  <c r="BQ37" i="57"/>
  <c r="Z27" i="57"/>
  <c r="AN29" i="57"/>
  <c r="L22" i="57"/>
  <c r="M22" i="57"/>
  <c r="CR26" i="57"/>
  <c r="GO26" i="57"/>
  <c r="BR24" i="57"/>
  <c r="BO24" i="57"/>
  <c r="BP24" i="57" s="1"/>
  <c r="CT18" i="57"/>
  <c r="CQ18" i="57"/>
  <c r="CR18" i="57"/>
  <c r="K17" i="57"/>
  <c r="L17" i="57"/>
  <c r="AM14" i="57"/>
  <c r="AO14" i="57"/>
  <c r="EF10" i="57"/>
  <c r="N130" i="7"/>
  <c r="EF11" i="57"/>
  <c r="EF19" i="57"/>
  <c r="EF22" i="57"/>
  <c r="Y32" i="57"/>
  <c r="Z32" i="57" s="1"/>
  <c r="M35" i="57"/>
  <c r="L35" i="57"/>
  <c r="K40" i="57"/>
  <c r="BO40" i="57"/>
  <c r="Y54" i="57"/>
  <c r="EG28" i="57"/>
  <c r="AO26" i="57"/>
  <c r="FJ26" i="57"/>
  <c r="EU22" i="57"/>
  <c r="CQ22" i="57"/>
  <c r="CS22" i="57" s="1"/>
  <c r="AM22" i="57"/>
  <c r="AO22" i="57" s="1"/>
  <c r="Y20" i="57"/>
  <c r="AA20" i="57" s="1"/>
  <c r="FJ18" i="57"/>
  <c r="EH16" i="57"/>
  <c r="CT15" i="57"/>
  <c r="EG13" i="57"/>
  <c r="Y12" i="57"/>
  <c r="AA12" i="57" s="1"/>
  <c r="EG3" i="57"/>
  <c r="EG4" i="57" s="1"/>
  <c r="BP32" i="57"/>
  <c r="AA32" i="57"/>
  <c r="AN43" i="57"/>
  <c r="AP18" i="57"/>
  <c r="AM18" i="57"/>
  <c r="AN18" i="57"/>
  <c r="FK8" i="57"/>
  <c r="EV3" i="57"/>
  <c r="EV4" i="57" s="1"/>
  <c r="BO38" i="57"/>
  <c r="BQ38" i="57" s="1"/>
  <c r="AM53" i="57"/>
  <c r="Y75" i="57"/>
  <c r="AA75" i="57"/>
  <c r="AB75" i="57"/>
  <c r="DG28" i="57"/>
  <c r="BO28" i="57"/>
  <c r="BP28" i="57"/>
  <c r="M26" i="57"/>
  <c r="DW24" i="57"/>
  <c r="AA24" i="57"/>
  <c r="EV21" i="57"/>
  <c r="DG20" i="57"/>
  <c r="GP20" i="57" s="1"/>
  <c r="EH20" i="57"/>
  <c r="BO20" i="57"/>
  <c r="BP20" i="57" s="1"/>
  <c r="EU18" i="57"/>
  <c r="K18" i="57"/>
  <c r="L18" i="57"/>
  <c r="BR16" i="57"/>
  <c r="BP16" i="57"/>
  <c r="EF13" i="57"/>
  <c r="DG12" i="57"/>
  <c r="BO12" i="57"/>
  <c r="BP12" i="57" s="1"/>
  <c r="ET3" i="57"/>
  <c r="ET11" i="57"/>
  <c r="ET14" i="57"/>
  <c r="ET19" i="57"/>
  <c r="ET25" i="57"/>
  <c r="EI8" i="57"/>
  <c r="EJ8" i="57"/>
  <c r="EF3" i="57"/>
  <c r="EH3" i="57"/>
  <c r="M30" i="57"/>
  <c r="BQ32" i="57"/>
  <c r="AM33" i="57"/>
  <c r="AN33" i="57"/>
  <c r="AM41" i="57"/>
  <c r="AO41" i="57" s="1"/>
  <c r="AO43" i="57"/>
  <c r="Y44" i="57"/>
  <c r="Z44" i="57" s="1"/>
  <c r="BO46" i="57"/>
  <c r="Y50" i="57"/>
  <c r="Z50" i="57"/>
  <c r="Y59" i="57"/>
  <c r="AA59" i="57" s="1"/>
  <c r="Y65" i="57"/>
  <c r="Y42" i="57"/>
  <c r="Z42" i="57" s="1"/>
  <c r="AM45" i="57"/>
  <c r="BO48" i="57"/>
  <c r="BP50" i="57"/>
  <c r="Y61" i="57"/>
  <c r="Z63" i="57"/>
  <c r="AB79" i="57"/>
  <c r="AB85" i="57"/>
  <c r="AB77" i="57"/>
  <c r="Z77" i="57"/>
  <c r="AB92" i="57"/>
  <c r="AB98" i="57"/>
  <c r="FW16" i="57"/>
  <c r="FW20" i="57"/>
  <c r="Y102" i="57"/>
  <c r="CD10" i="57"/>
  <c r="Y10" i="57"/>
  <c r="AA10" i="57"/>
  <c r="FX11" i="57"/>
  <c r="CC16" i="57"/>
  <c r="CE16" i="57" s="1"/>
  <c r="CC20" i="57"/>
  <c r="CE20" i="57" s="1"/>
  <c r="CF20" i="57"/>
  <c r="BB29" i="57"/>
  <c r="CC34" i="57"/>
  <c r="CD34" i="57" s="1"/>
  <c r="CE34" i="57"/>
  <c r="CC42" i="57"/>
  <c r="CE42" i="57"/>
  <c r="CC54" i="57"/>
  <c r="CE54" i="57"/>
  <c r="CC62" i="57"/>
  <c r="CC70" i="57"/>
  <c r="CE70" i="57" s="1"/>
  <c r="CF78" i="57"/>
  <c r="CF86" i="57"/>
  <c r="FX25" i="57"/>
  <c r="CC30" i="57"/>
  <c r="CC38" i="57"/>
  <c r="CF102" i="57"/>
  <c r="AX67" i="57"/>
  <c r="I66" i="57"/>
  <c r="AX63" i="57"/>
  <c r="I62" i="57"/>
  <c r="CN61" i="57"/>
  <c r="AX59" i="57"/>
  <c r="I58" i="57"/>
  <c r="CN57" i="57"/>
  <c r="AX55" i="57"/>
  <c r="I54" i="57"/>
  <c r="CN53" i="57"/>
  <c r="AX51" i="57"/>
  <c r="AX50" i="57"/>
  <c r="CC98" i="57"/>
  <c r="CE98" i="57"/>
  <c r="I67" i="57"/>
  <c r="K67" i="57" s="1"/>
  <c r="L67" i="57" s="1"/>
  <c r="AX64" i="57"/>
  <c r="I63" i="57"/>
  <c r="CN62" i="57"/>
  <c r="AX60" i="57"/>
  <c r="I59" i="57"/>
  <c r="CN58" i="57"/>
  <c r="AX56" i="57"/>
  <c r="I55" i="57"/>
  <c r="CN54" i="57"/>
  <c r="AX52" i="57"/>
  <c r="I51" i="57"/>
  <c r="I109" i="57"/>
  <c r="O109" i="57" s="1"/>
  <c r="I108" i="57"/>
  <c r="I107" i="57"/>
  <c r="I106" i="57"/>
  <c r="I110" i="57"/>
  <c r="O110" i="57" s="1"/>
  <c r="CN109" i="57"/>
  <c r="AX109" i="57"/>
  <c r="CN108" i="57"/>
  <c r="AX108" i="57"/>
  <c r="BD108" i="57" s="1"/>
  <c r="CN107" i="57"/>
  <c r="AX107" i="57"/>
  <c r="CN106" i="57"/>
  <c r="AX106" i="57"/>
  <c r="FW106" i="57" s="1"/>
  <c r="AF96" i="7" s="1"/>
  <c r="CN110" i="57"/>
  <c r="AX110" i="57"/>
  <c r="I50" i="57"/>
  <c r="I64" i="57"/>
  <c r="AX61" i="57"/>
  <c r="I60" i="57"/>
  <c r="CN59" i="57"/>
  <c r="AX57" i="57"/>
  <c r="I56" i="57"/>
  <c r="CN55" i="57"/>
  <c r="CN51" i="57"/>
  <c r="R13" i="7"/>
  <c r="T6" i="70"/>
  <c r="ER6" i="70"/>
  <c r="EQ6" i="70"/>
  <c r="J9" i="70"/>
  <c r="K9" i="70" s="1"/>
  <c r="N10" i="70"/>
  <c r="AP10" i="70"/>
  <c r="FW11" i="70"/>
  <c r="FJ15" i="70"/>
  <c r="BA15" i="70"/>
  <c r="L17" i="70"/>
  <c r="EU18" i="70"/>
  <c r="GK18" i="70"/>
  <c r="L30" i="70"/>
  <c r="L33" i="70"/>
  <c r="EU33" i="70"/>
  <c r="CV23" i="7"/>
  <c r="Y36" i="70"/>
  <c r="CC36" i="70"/>
  <c r="FW38" i="70"/>
  <c r="DL28" i="7"/>
  <c r="DE38" i="70"/>
  <c r="DG38" i="70"/>
  <c r="FW40" i="70"/>
  <c r="DL30" i="7"/>
  <c r="GK41" i="70"/>
  <c r="DT31" i="7"/>
  <c r="M44" i="70"/>
  <c r="GK45" i="70"/>
  <c r="DT35" i="7" s="1"/>
  <c r="EG47" i="70"/>
  <c r="CN37" i="7"/>
  <c r="BO47" i="70"/>
  <c r="EU47" i="70"/>
  <c r="CV37" i="7" s="1"/>
  <c r="BO48" i="70"/>
  <c r="EG50" i="70"/>
  <c r="CN40" i="7" s="1"/>
  <c r="FI51" i="70"/>
  <c r="DD41" i="7" s="1"/>
  <c r="BA51" i="70"/>
  <c r="BC51" i="70" s="1"/>
  <c r="DE51" i="70"/>
  <c r="L56" i="70"/>
  <c r="FI57" i="70"/>
  <c r="DD47" i="7"/>
  <c r="Y60" i="70"/>
  <c r="CQ61" i="70"/>
  <c r="CS61" i="70" s="1"/>
  <c r="BO66" i="70"/>
  <c r="BQ66" i="70" s="1"/>
  <c r="DE66" i="70"/>
  <c r="GK68" i="70"/>
  <c r="DT58" i="7" s="1"/>
  <c r="DE69" i="70"/>
  <c r="DG69" i="70" s="1"/>
  <c r="DS70" i="70"/>
  <c r="AC75" i="70"/>
  <c r="BA75" i="70"/>
  <c r="BB75" i="70" s="1"/>
  <c r="BS75" i="70"/>
  <c r="DS75" i="70"/>
  <c r="BA76" i="70"/>
  <c r="BC76" i="70" s="1"/>
  <c r="BS77" i="70"/>
  <c r="AM78" i="70"/>
  <c r="AO78" i="70" s="1"/>
  <c r="CQ78" i="70"/>
  <c r="CS78" i="70" s="1"/>
  <c r="Y79" i="70"/>
  <c r="FW79" i="70"/>
  <c r="DL69" i="7"/>
  <c r="FI81" i="70"/>
  <c r="DD71" i="7" s="1"/>
  <c r="EG12" i="70"/>
  <c r="N12" i="70"/>
  <c r="AB12" i="70"/>
  <c r="EU12" i="70"/>
  <c r="Y12" i="70"/>
  <c r="AP12" i="70"/>
  <c r="AM12" i="70"/>
  <c r="AO12" i="70" s="1"/>
  <c r="GK12" i="70"/>
  <c r="BD12" i="70"/>
  <c r="BA12" i="70"/>
  <c r="BR12" i="70"/>
  <c r="BO12" i="70"/>
  <c r="BP12" i="70"/>
  <c r="CF12" i="70"/>
  <c r="CC12" i="70"/>
  <c r="CD12" i="70" s="1"/>
  <c r="CT12" i="70"/>
  <c r="FW12" i="70"/>
  <c r="CQ12" i="70"/>
  <c r="CR12" i="70"/>
  <c r="DH12" i="70"/>
  <c r="DE12" i="70"/>
  <c r="DG12" i="70" s="1"/>
  <c r="DV12" i="70"/>
  <c r="DS12" i="70"/>
  <c r="DT12" i="70"/>
  <c r="EH20" i="70"/>
  <c r="O20" i="70"/>
  <c r="BS20" i="70"/>
  <c r="BO20" i="70"/>
  <c r="BQ20" i="70" s="1"/>
  <c r="DW20" i="70"/>
  <c r="DS20" i="70"/>
  <c r="L57" i="70"/>
  <c r="CG83" i="70"/>
  <c r="CC83" i="70"/>
  <c r="GK95" i="70"/>
  <c r="DT85" i="7"/>
  <c r="BD95" i="70"/>
  <c r="CC103" i="70"/>
  <c r="CG103" i="70"/>
  <c r="CE12" i="70"/>
  <c r="DU12" i="70"/>
  <c r="AC20" i="70"/>
  <c r="Y20" i="70"/>
  <c r="EV20" i="70"/>
  <c r="CG20" i="70"/>
  <c r="CC20" i="70"/>
  <c r="CD20" i="70" s="1"/>
  <c r="AU6" i="70"/>
  <c r="BW6" i="70"/>
  <c r="BX6" i="70"/>
  <c r="EC6" i="70"/>
  <c r="M10" i="70"/>
  <c r="L13" i="70"/>
  <c r="L15" i="70"/>
  <c r="N15" i="70"/>
  <c r="FJ16" i="70"/>
  <c r="DI16" i="70"/>
  <c r="M19" i="70"/>
  <c r="DE19" i="70"/>
  <c r="DG19" i="70" s="1"/>
  <c r="M31" i="70"/>
  <c r="EG31" i="70"/>
  <c r="CN21" i="7"/>
  <c r="CC33" i="70"/>
  <c r="CD33" i="70" s="1"/>
  <c r="K34" i="70"/>
  <c r="L34" i="70" s="1"/>
  <c r="EG34" i="70"/>
  <c r="CN24" i="7" s="1"/>
  <c r="DS34" i="70"/>
  <c r="DU34" i="70" s="1"/>
  <c r="CQ35" i="70"/>
  <c r="K38" i="70"/>
  <c r="EG38" i="70"/>
  <c r="CN28" i="7" s="1"/>
  <c r="FW44" i="70"/>
  <c r="DL34" i="7" s="1"/>
  <c r="Y46" i="70"/>
  <c r="CC47" i="70"/>
  <c r="EG48" i="70"/>
  <c r="CN38" i="7" s="1"/>
  <c r="FI54" i="70"/>
  <c r="DD44" i="7" s="1"/>
  <c r="FW54" i="70"/>
  <c r="DL44" i="7" s="1"/>
  <c r="CQ55" i="70"/>
  <c r="M57" i="70"/>
  <c r="FW58" i="70"/>
  <c r="DL48" i="7" s="1"/>
  <c r="BA60" i="70"/>
  <c r="DE60" i="70"/>
  <c r="DG60" i="70" s="1"/>
  <c r="L64" i="70"/>
  <c r="L68" i="70"/>
  <c r="EU70" i="70"/>
  <c r="CV60" i="7" s="1"/>
  <c r="FW70" i="70"/>
  <c r="DL60" i="7" s="1"/>
  <c r="DE70" i="70"/>
  <c r="M73" i="70"/>
  <c r="CU75" i="70"/>
  <c r="CU78" i="70"/>
  <c r="CT81" i="70"/>
  <c r="Y83" i="70"/>
  <c r="DI84" i="70"/>
  <c r="DI85" i="70"/>
  <c r="N91" i="70"/>
  <c r="FW95" i="70"/>
  <c r="DL85" i="7" s="1"/>
  <c r="CT95" i="70"/>
  <c r="CU97" i="70"/>
  <c r="CQ97" i="70"/>
  <c r="FW109" i="70"/>
  <c r="DL99" i="7" s="1"/>
  <c r="CQ109" i="70"/>
  <c r="FI12" i="70"/>
  <c r="M20" i="70"/>
  <c r="AQ20" i="70"/>
  <c r="AM20" i="70"/>
  <c r="AO20" i="70" s="1"/>
  <c r="CU20" i="70"/>
  <c r="CQ20" i="70"/>
  <c r="CR20" i="70" s="1"/>
  <c r="FX20" i="70"/>
  <c r="DU20" i="70"/>
  <c r="FJ20" i="70"/>
  <c r="O21" i="70"/>
  <c r="K21" i="70"/>
  <c r="M21" i="70" s="1"/>
  <c r="AC21" i="70"/>
  <c r="Y21" i="70"/>
  <c r="AA21" i="70" s="1"/>
  <c r="Z21" i="70"/>
  <c r="AQ21" i="70"/>
  <c r="AM21" i="70"/>
  <c r="BE21" i="70"/>
  <c r="BA21" i="70"/>
  <c r="BC21" i="70" s="1"/>
  <c r="BS21" i="70"/>
  <c r="BO21" i="70"/>
  <c r="BP21" i="70" s="1"/>
  <c r="CG21" i="70"/>
  <c r="CC21" i="70"/>
  <c r="CD21" i="70"/>
  <c r="CU21" i="70"/>
  <c r="CQ21" i="70"/>
  <c r="CS21" i="70" s="1"/>
  <c r="DI21" i="70"/>
  <c r="DE21" i="70"/>
  <c r="DG21" i="70"/>
  <c r="DF21" i="70"/>
  <c r="DW21" i="70"/>
  <c r="DS21" i="70"/>
  <c r="DT21" i="70"/>
  <c r="L22" i="70"/>
  <c r="X9" i="70"/>
  <c r="N11" i="70"/>
  <c r="Y11" i="70"/>
  <c r="M13" i="70"/>
  <c r="M15" i="70"/>
  <c r="DS33" i="70"/>
  <c r="BO37" i="70"/>
  <c r="L44" i="70"/>
  <c r="CQ47" i="70"/>
  <c r="DS48" i="70"/>
  <c r="FI58" i="70"/>
  <c r="DD48" i="7"/>
  <c r="Y63" i="70"/>
  <c r="GK63" i="70"/>
  <c r="DT53" i="7" s="1"/>
  <c r="M64" i="70"/>
  <c r="EG65" i="70"/>
  <c r="CN55" i="7"/>
  <c r="GK66" i="70"/>
  <c r="DT56" i="7"/>
  <c r="M68" i="70"/>
  <c r="BA71" i="70"/>
  <c r="BO77" i="70"/>
  <c r="BQ77" i="70"/>
  <c r="EG79" i="70"/>
  <c r="CN69" i="7"/>
  <c r="N81" i="70"/>
  <c r="L20" i="70"/>
  <c r="GL20" i="70"/>
  <c r="BE20" i="70"/>
  <c r="BA20" i="70"/>
  <c r="BC20" i="70" s="1"/>
  <c r="BP20" i="70"/>
  <c r="CE20" i="70"/>
  <c r="DI20" i="70"/>
  <c r="DE20" i="70"/>
  <c r="DG20" i="70"/>
  <c r="DT20" i="70"/>
  <c r="M22" i="70"/>
  <c r="GK81" i="70"/>
  <c r="DT71" i="7"/>
  <c r="CG84" i="70"/>
  <c r="M85" i="70"/>
  <c r="BO86" i="70"/>
  <c r="BQ86" i="70"/>
  <c r="GK87" i="70"/>
  <c r="DT77" i="7" s="1"/>
  <c r="N93" i="70"/>
  <c r="AM93" i="70"/>
  <c r="CQ96" i="70"/>
  <c r="CS96" i="70" s="1"/>
  <c r="O98" i="70"/>
  <c r="CG98" i="70"/>
  <c r="DE98" i="70"/>
  <c r="M104" i="70"/>
  <c r="AM105" i="70"/>
  <c r="DE106" i="70"/>
  <c r="DG106" i="70" s="1"/>
  <c r="M107" i="70"/>
  <c r="DI107" i="70"/>
  <c r="AC108" i="70"/>
  <c r="EG109" i="70"/>
  <c r="CN99" i="7"/>
  <c r="BO109" i="70"/>
  <c r="DI110" i="70"/>
  <c r="O12" i="70"/>
  <c r="AC12" i="70"/>
  <c r="AQ12" i="70"/>
  <c r="BE12" i="70"/>
  <c r="BS12" i="70"/>
  <c r="CG12" i="70"/>
  <c r="CU12" i="70"/>
  <c r="DI12" i="70"/>
  <c r="DW12" i="70"/>
  <c r="EH12" i="70"/>
  <c r="GL12" i="70"/>
  <c r="AN20" i="70"/>
  <c r="AO21" i="70"/>
  <c r="FW21" i="70"/>
  <c r="N22" i="70"/>
  <c r="AB22" i="70"/>
  <c r="AP22" i="70"/>
  <c r="BD22" i="70"/>
  <c r="BR22" i="70"/>
  <c r="CF22" i="70"/>
  <c r="CT22" i="70"/>
  <c r="DH22" i="70"/>
  <c r="DV22" i="70"/>
  <c r="EG22" i="70"/>
  <c r="FX22" i="70"/>
  <c r="GK22" i="70"/>
  <c r="O23" i="70"/>
  <c r="Y23" i="70"/>
  <c r="AA23" i="70"/>
  <c r="AC23" i="70"/>
  <c r="AM23" i="70"/>
  <c r="AN23" i="70" s="1"/>
  <c r="AQ23" i="70"/>
  <c r="BA23" i="70"/>
  <c r="BB23" i="70"/>
  <c r="BE23" i="70"/>
  <c r="BO23" i="70"/>
  <c r="BS23" i="70"/>
  <c r="CC23" i="70"/>
  <c r="CE23" i="70" s="1"/>
  <c r="CG23" i="70"/>
  <c r="CQ23" i="70"/>
  <c r="CR23" i="70" s="1"/>
  <c r="CU23" i="70"/>
  <c r="DE23" i="70"/>
  <c r="DG23" i="70" s="1"/>
  <c r="DI23" i="70"/>
  <c r="DS23" i="70"/>
  <c r="DT23" i="70" s="1"/>
  <c r="DU23" i="70"/>
  <c r="DW23" i="70"/>
  <c r="EH23" i="70"/>
  <c r="EU23" i="70"/>
  <c r="FI23" i="70"/>
  <c r="AC24" i="70"/>
  <c r="AM24" i="70"/>
  <c r="AO24" i="70" s="1"/>
  <c r="BO24" i="70"/>
  <c r="BP24" i="70" s="1"/>
  <c r="CQ24" i="70"/>
  <c r="DS24" i="70"/>
  <c r="DT24" i="70" s="1"/>
  <c r="FW24" i="70"/>
  <c r="BA26" i="70"/>
  <c r="BA27" i="70"/>
  <c r="BC27" i="70" s="1"/>
  <c r="GK27" i="70"/>
  <c r="DE27" i="70"/>
  <c r="DG27" i="70"/>
  <c r="L23" i="70"/>
  <c r="Z23" i="70"/>
  <c r="CD23" i="70"/>
  <c r="DF23" i="70"/>
  <c r="GK23" i="70"/>
  <c r="EG24" i="70"/>
  <c r="N24" i="70"/>
  <c r="EH25" i="70"/>
  <c r="M25" i="70"/>
  <c r="Y26" i="70"/>
  <c r="Z26" i="70"/>
  <c r="AM27" i="70"/>
  <c r="AO27" i="70" s="1"/>
  <c r="AN27" i="70"/>
  <c r="FI27" i="70"/>
  <c r="CQ27" i="70"/>
  <c r="CR27" i="70"/>
  <c r="FW27" i="70"/>
  <c r="DS86" i="70"/>
  <c r="DU86" i="70"/>
  <c r="O93" i="70"/>
  <c r="AQ93" i="70"/>
  <c r="CU93" i="70"/>
  <c r="BO94" i="70"/>
  <c r="DI98" i="70"/>
  <c r="DS99" i="70"/>
  <c r="FW105" i="70"/>
  <c r="DL95" i="7"/>
  <c r="DE105" i="70"/>
  <c r="L108" i="70"/>
  <c r="N108" i="70"/>
  <c r="GK109" i="70"/>
  <c r="DT99" i="7" s="1"/>
  <c r="CS12" i="70"/>
  <c r="BC23" i="70"/>
  <c r="CS23" i="70"/>
  <c r="AQ24" i="70"/>
  <c r="BQ24" i="70"/>
  <c r="CU24" i="70"/>
  <c r="EV25" i="70"/>
  <c r="DE26" i="70"/>
  <c r="EU27" i="70"/>
  <c r="Y27" i="70"/>
  <c r="Z27" i="70"/>
  <c r="CC27" i="70"/>
  <c r="CD27" i="70"/>
  <c r="FI83" i="70"/>
  <c r="DD73" i="7" s="1"/>
  <c r="BO83" i="70"/>
  <c r="DE83" i="70"/>
  <c r="DG83" i="70" s="1"/>
  <c r="L86" i="70"/>
  <c r="DE86" i="70"/>
  <c r="O87" i="70"/>
  <c r="AQ87" i="70"/>
  <c r="M88" i="70"/>
  <c r="DI88" i="70"/>
  <c r="M89" i="70"/>
  <c r="BD89" i="70"/>
  <c r="CT89" i="70"/>
  <c r="CC90" i="70"/>
  <c r="DW90" i="70"/>
  <c r="BS91" i="70"/>
  <c r="CT91" i="70"/>
  <c r="GK93" i="70"/>
  <c r="DT83" i="7"/>
  <c r="M97" i="70"/>
  <c r="FI97" i="70"/>
  <c r="DD87" i="7" s="1"/>
  <c r="CG97" i="70"/>
  <c r="GK101" i="70"/>
  <c r="DT91" i="7" s="1"/>
  <c r="CQ103" i="70"/>
  <c r="Y107" i="70"/>
  <c r="AA107" i="70"/>
  <c r="GK107" i="70"/>
  <c r="DT97" i="7" s="1"/>
  <c r="M108" i="70"/>
  <c r="BS110" i="70"/>
  <c r="X8" i="70"/>
  <c r="Y8" i="70" s="1"/>
  <c r="AB8" i="70" s="1"/>
  <c r="AN21" i="70"/>
  <c r="N23" i="70"/>
  <c r="CT23" i="70"/>
  <c r="AB24" i="70"/>
  <c r="Y24" i="70"/>
  <c r="GK24" i="70"/>
  <c r="BD24" i="70"/>
  <c r="CF24" i="70"/>
  <c r="CC24" i="70"/>
  <c r="EU24" i="70"/>
  <c r="FX25" i="70"/>
  <c r="L26" i="70"/>
  <c r="CC26" i="70"/>
  <c r="CD26" i="70" s="1"/>
  <c r="DT26" i="70"/>
  <c r="BO27" i="70"/>
  <c r="DS27" i="70"/>
  <c r="DU27" i="70" s="1"/>
  <c r="DT27" i="70"/>
  <c r="EV28" i="70"/>
  <c r="GL28" i="70"/>
  <c r="FX28" i="70"/>
  <c r="FJ28" i="70"/>
  <c r="EV42" i="70"/>
  <c r="CW32" i="7" s="1"/>
  <c r="M26" i="70"/>
  <c r="DU26" i="70"/>
  <c r="CE27" i="70"/>
  <c r="CS27" i="70"/>
  <c r="BB26" i="70"/>
  <c r="FI42" i="70"/>
  <c r="DD32" i="7"/>
  <c r="AM42" i="70"/>
  <c r="AO42" i="70" s="1"/>
  <c r="AN24" i="70"/>
  <c r="EU25" i="70"/>
  <c r="Y25" i="70"/>
  <c r="Z25" i="70" s="1"/>
  <c r="GL25" i="70"/>
  <c r="AA26" i="70"/>
  <c r="BC26" i="70"/>
  <c r="EG27" i="70"/>
  <c r="L27" i="70"/>
  <c r="EH28" i="70"/>
  <c r="GK32" i="70"/>
  <c r="DT22" i="7"/>
  <c r="BA32" i="70"/>
  <c r="DE32" i="70"/>
  <c r="DF32" i="70"/>
  <c r="AM25" i="70"/>
  <c r="AO25" i="70" s="1"/>
  <c r="BA25" i="70"/>
  <c r="BB25" i="70" s="1"/>
  <c r="BO25" i="70"/>
  <c r="BQ25" i="70" s="1"/>
  <c r="CC25" i="70"/>
  <c r="CE25" i="70" s="1"/>
  <c r="CQ25" i="70"/>
  <c r="CR25" i="70" s="1"/>
  <c r="DE25" i="70"/>
  <c r="DG25" i="70"/>
  <c r="DS25" i="70"/>
  <c r="DU25" i="70" s="1"/>
  <c r="EV26" i="70"/>
  <c r="EG28" i="70"/>
  <c r="GK28" i="70"/>
  <c r="Y29" i="70"/>
  <c r="Z29" i="70"/>
  <c r="AM29" i="70"/>
  <c r="BA29" i="70"/>
  <c r="BB29" i="70"/>
  <c r="BO29" i="70"/>
  <c r="BP29" i="70" s="1"/>
  <c r="CC29" i="70"/>
  <c r="CD29" i="70" s="1"/>
  <c r="CQ29" i="70"/>
  <c r="CR29" i="70" s="1"/>
  <c r="DE29" i="70"/>
  <c r="DF29" i="70" s="1"/>
  <c r="DS29" i="70"/>
  <c r="DT29" i="70" s="1"/>
  <c r="EH29" i="70"/>
  <c r="EU29" i="70"/>
  <c r="GL29" i="70"/>
  <c r="EG32" i="70"/>
  <c r="CN22" i="7"/>
  <c r="L32" i="70"/>
  <c r="CC32" i="70"/>
  <c r="CD32" i="70"/>
  <c r="FW32" i="70"/>
  <c r="DL22" i="7" s="1"/>
  <c r="EG42" i="70"/>
  <c r="CN32" i="7"/>
  <c r="L42" i="70"/>
  <c r="BA42" i="70"/>
  <c r="BB42" i="70"/>
  <c r="GK42" i="70"/>
  <c r="DT32" i="7" s="1"/>
  <c r="FJ42" i="70"/>
  <c r="DE32" i="7" s="1"/>
  <c r="Z52" i="70"/>
  <c r="CD52" i="70"/>
  <c r="Y28" i="70"/>
  <c r="AA28" i="70" s="1"/>
  <c r="AM28" i="70"/>
  <c r="AO28" i="70"/>
  <c r="BA28" i="70"/>
  <c r="BB28" i="70" s="1"/>
  <c r="BO28" i="70"/>
  <c r="BP28" i="70"/>
  <c r="CC28" i="70"/>
  <c r="CE28" i="70" s="1"/>
  <c r="CQ28" i="70"/>
  <c r="CS28" i="70"/>
  <c r="DE28" i="70"/>
  <c r="DF28" i="70" s="1"/>
  <c r="DS28" i="70"/>
  <c r="DT28" i="70" s="1"/>
  <c r="EU28" i="70"/>
  <c r="EV29" i="70"/>
  <c r="M32" i="70"/>
  <c r="FJ32" i="70"/>
  <c r="DE22" i="7" s="1"/>
  <c r="BO32" i="70"/>
  <c r="BQ32" i="70" s="1"/>
  <c r="EH42" i="70"/>
  <c r="CO32" i="7" s="1"/>
  <c r="M42" i="70"/>
  <c r="GL42" i="70"/>
  <c r="DU32" i="7" s="1"/>
  <c r="BO42" i="70"/>
  <c r="BQ42" i="70" s="1"/>
  <c r="FJ52" i="70"/>
  <c r="DE42" i="7" s="1"/>
  <c r="AM52" i="70"/>
  <c r="AO52" i="70" s="1"/>
  <c r="FX52" i="70"/>
  <c r="DM42" i="7"/>
  <c r="CQ52" i="70"/>
  <c r="CR52" i="70" s="1"/>
  <c r="CS52" i="70"/>
  <c r="CE32" i="70"/>
  <c r="EU42" i="70"/>
  <c r="CV32" i="7" s="1"/>
  <c r="Y42" i="70"/>
  <c r="AA42" i="70" s="1"/>
  <c r="CC42" i="70"/>
  <c r="FW42" i="70"/>
  <c r="DL32" i="7"/>
  <c r="CQ42" i="70"/>
  <c r="DE42" i="70"/>
  <c r="DS42" i="70"/>
  <c r="DT42" i="70"/>
  <c r="DE52" i="70"/>
  <c r="DG52" i="70" s="1"/>
  <c r="M62" i="70"/>
  <c r="AM62" i="70"/>
  <c r="AO62" i="70"/>
  <c r="GK62" i="70"/>
  <c r="DT52" i="7"/>
  <c r="BQ62" i="70"/>
  <c r="DU62" i="70"/>
  <c r="GL72" i="70"/>
  <c r="DU62" i="7"/>
  <c r="CC72" i="70"/>
  <c r="CE72" i="70"/>
  <c r="EV72" i="70"/>
  <c r="CW62" i="7"/>
  <c r="M82" i="70"/>
  <c r="FJ82" i="70"/>
  <c r="DE72" i="7" s="1"/>
  <c r="AM82" i="70"/>
  <c r="AO82" i="70"/>
  <c r="AQ82" i="70"/>
  <c r="Y62" i="70"/>
  <c r="Z62" i="70" s="1"/>
  <c r="EU62" i="70"/>
  <c r="CV52" i="7" s="1"/>
  <c r="DE72" i="70"/>
  <c r="GL82" i="70"/>
  <c r="DU72" i="7"/>
  <c r="BE82" i="70"/>
  <c r="BA82" i="70"/>
  <c r="BC82" i="70" s="1"/>
  <c r="BS82" i="70"/>
  <c r="BO82" i="70"/>
  <c r="BP82" i="70"/>
  <c r="EU72" i="70"/>
  <c r="CV62" i="7" s="1"/>
  <c r="Y72" i="70"/>
  <c r="L52" i="70"/>
  <c r="EV52" i="70"/>
  <c r="CW42" i="7" s="1"/>
  <c r="L62" i="70"/>
  <c r="BP62" i="70"/>
  <c r="FW62" i="70"/>
  <c r="DL52" i="7"/>
  <c r="DT62" i="70"/>
  <c r="BA72" i="70"/>
  <c r="BC72" i="70"/>
  <c r="GK72" i="70"/>
  <c r="DT62" i="7" s="1"/>
  <c r="FW72" i="70"/>
  <c r="DL62" i="7" s="1"/>
  <c r="DW82" i="70"/>
  <c r="DS82" i="70"/>
  <c r="DU82" i="70" s="1"/>
  <c r="DT82" i="70"/>
  <c r="AN52" i="70"/>
  <c r="AM72" i="70"/>
  <c r="AN72" i="70"/>
  <c r="BO72" i="70"/>
  <c r="BP72" i="70"/>
  <c r="CQ72" i="70"/>
  <c r="CR72" i="70"/>
  <c r="DS72" i="70"/>
  <c r="DT72" i="70"/>
  <c r="L82" i="70"/>
  <c r="EV82" i="70"/>
  <c r="CW72" i="7" s="1"/>
  <c r="CG82" i="70"/>
  <c r="CC82" i="70"/>
  <c r="CE82" i="70" s="1"/>
  <c r="EH72" i="70"/>
  <c r="CO62" i="7" s="1"/>
  <c r="EH82" i="70"/>
  <c r="CO72" i="7"/>
  <c r="BB82" i="70"/>
  <c r="CU82" i="70"/>
  <c r="CQ82" i="70"/>
  <c r="CS82" i="70" s="1"/>
  <c r="FX82" i="70"/>
  <c r="DM72" i="7" s="1"/>
  <c r="DI82" i="70"/>
  <c r="DE82" i="70"/>
  <c r="O92" i="70"/>
  <c r="K92" i="70"/>
  <c r="L92" i="70" s="1"/>
  <c r="Y92" i="70"/>
  <c r="Z92" i="70" s="1"/>
  <c r="AM92" i="70"/>
  <c r="AO92" i="70" s="1"/>
  <c r="BA92" i="70"/>
  <c r="BC92" i="70" s="1"/>
  <c r="BO92" i="70"/>
  <c r="BQ92" i="70" s="1"/>
  <c r="CC92" i="70"/>
  <c r="CD92" i="70" s="1"/>
  <c r="CQ92" i="70"/>
  <c r="CR92" i="70"/>
  <c r="DE92" i="70"/>
  <c r="DS92" i="70"/>
  <c r="DU92" i="70" s="1"/>
  <c r="EU92" i="70"/>
  <c r="CV82" i="7" s="1"/>
  <c r="L102" i="70"/>
  <c r="EV102" i="70"/>
  <c r="CW92" i="7" s="1"/>
  <c r="FI102" i="70"/>
  <c r="DD92" i="7" s="1"/>
  <c r="AN92" i="70"/>
  <c r="N102" i="70"/>
  <c r="BD102" i="70"/>
  <c r="FI18" i="70"/>
  <c r="DU33" i="70"/>
  <c r="DS37" i="70"/>
  <c r="FI44" i="70"/>
  <c r="DD34" i="7" s="1"/>
  <c r="DS49" i="70"/>
  <c r="FI70" i="70"/>
  <c r="DD60" i="7"/>
  <c r="DS77" i="70"/>
  <c r="DU77" i="70"/>
  <c r="DW81" i="70"/>
  <c r="DW87" i="70"/>
  <c r="DS96" i="70"/>
  <c r="DU96" i="70"/>
  <c r="DW104" i="70"/>
  <c r="DS109" i="70"/>
  <c r="DU109" i="70" s="1"/>
  <c r="DT11" i="70"/>
  <c r="DV11" i="70"/>
  <c r="DT48" i="70"/>
  <c r="DV105" i="70"/>
  <c r="DU11" i="70"/>
  <c r="DW11" i="70"/>
  <c r="DV15" i="70"/>
  <c r="DS47" i="70"/>
  <c r="DS76" i="70"/>
  <c r="DU76" i="70" s="1"/>
  <c r="DW80" i="70"/>
  <c r="FI88" i="70"/>
  <c r="DD78" i="7" s="1"/>
  <c r="DW93" i="70"/>
  <c r="DW105" i="70"/>
  <c r="DW15" i="70"/>
  <c r="FI17" i="70"/>
  <c r="DT33" i="70"/>
  <c r="DS39" i="70"/>
  <c r="FI40" i="70"/>
  <c r="DD30" i="7" s="1"/>
  <c r="FI45" i="70"/>
  <c r="DD35" i="7" s="1"/>
  <c r="DU51" i="70"/>
  <c r="DU60" i="70"/>
  <c r="DS61" i="70"/>
  <c r="DU61" i="70" s="1"/>
  <c r="FI67" i="70"/>
  <c r="DD57" i="7" s="1"/>
  <c r="DT75" i="70"/>
  <c r="DS84" i="70"/>
  <c r="DS88" i="70"/>
  <c r="DU88" i="70" s="1"/>
  <c r="DW91" i="70"/>
  <c r="DW94" i="70"/>
  <c r="DW100" i="70"/>
  <c r="FI108" i="70"/>
  <c r="DD98" i="7"/>
  <c r="DH15" i="70"/>
  <c r="DI105" i="70"/>
  <c r="DI109" i="70"/>
  <c r="FW10" i="70"/>
  <c r="DL130" i="7" s="1"/>
  <c r="DI15" i="70"/>
  <c r="EG51" i="70"/>
  <c r="CN41" i="7"/>
  <c r="FW57" i="70"/>
  <c r="DL47" i="7"/>
  <c r="FW63" i="70"/>
  <c r="DL53" i="7"/>
  <c r="FW65" i="70"/>
  <c r="DL55" i="7" s="1"/>
  <c r="FW74" i="70"/>
  <c r="DL64" i="7" s="1"/>
  <c r="DE78" i="70"/>
  <c r="DI80" i="70"/>
  <c r="DG86" i="70"/>
  <c r="DI87" i="70"/>
  <c r="FW94" i="70"/>
  <c r="DL84" i="7" s="1"/>
  <c r="DI94" i="70"/>
  <c r="DE100" i="70"/>
  <c r="DF100" i="70" s="1"/>
  <c r="DI104" i="70"/>
  <c r="FX10" i="70"/>
  <c r="DM130" i="7"/>
  <c r="DF11" i="70"/>
  <c r="DH11" i="70"/>
  <c r="FW13" i="70"/>
  <c r="DF66" i="70"/>
  <c r="DE76" i="70"/>
  <c r="DG76" i="70" s="1"/>
  <c r="DF83" i="70"/>
  <c r="EU83" i="70"/>
  <c r="CV73" i="7" s="1"/>
  <c r="DE97" i="70"/>
  <c r="DG97" i="70" s="1"/>
  <c r="DF98" i="70"/>
  <c r="DH98" i="70"/>
  <c r="DG11" i="70"/>
  <c r="DI11" i="70"/>
  <c r="DE15" i="70"/>
  <c r="DF15" i="70" s="1"/>
  <c r="EG19" i="70"/>
  <c r="DE33" i="70"/>
  <c r="DF33" i="70" s="1"/>
  <c r="EU51" i="70"/>
  <c r="CV41" i="7" s="1"/>
  <c r="FW59" i="70"/>
  <c r="DL49" i="7" s="1"/>
  <c r="EU66" i="70"/>
  <c r="CV56" i="7"/>
  <c r="DG66" i="70"/>
  <c r="EU68" i="70"/>
  <c r="CV58" i="7" s="1"/>
  <c r="DF71" i="70"/>
  <c r="FW75" i="70"/>
  <c r="DL65" i="7" s="1"/>
  <c r="DI76" i="70"/>
  <c r="EU78" i="70"/>
  <c r="CV68" i="7"/>
  <c r="DI79" i="70"/>
  <c r="DI81" i="70"/>
  <c r="FW83" i="70"/>
  <c r="DL73" i="7"/>
  <c r="EG95" i="70"/>
  <c r="CN85" i="7" s="1"/>
  <c r="FW98" i="70"/>
  <c r="DL88" i="7" s="1"/>
  <c r="DE101" i="70"/>
  <c r="EG104" i="70"/>
  <c r="CN94" i="7" s="1"/>
  <c r="DF105" i="70"/>
  <c r="DH105" i="70"/>
  <c r="DH109" i="70"/>
  <c r="EG15" i="70"/>
  <c r="EV18" i="70"/>
  <c r="FI33" i="70"/>
  <c r="DD23" i="7" s="1"/>
  <c r="CQ34" i="70"/>
  <c r="EU38" i="70"/>
  <c r="CV28" i="7" s="1"/>
  <c r="CS51" i="70"/>
  <c r="FW51" i="70"/>
  <c r="DL41" i="7"/>
  <c r="FW66" i="70"/>
  <c r="DL56" i="7" s="1"/>
  <c r="EG74" i="70"/>
  <c r="CN64" i="7" s="1"/>
  <c r="CT78" i="70"/>
  <c r="EG11" i="70"/>
  <c r="CT14" i="70"/>
  <c r="CT15" i="70"/>
  <c r="CQ18" i="70"/>
  <c r="CR33" i="70"/>
  <c r="EG35" i="70"/>
  <c r="CN25" i="7" s="1"/>
  <c r="CQ36" i="70"/>
  <c r="CS48" i="70"/>
  <c r="CS55" i="70"/>
  <c r="EG55" i="70"/>
  <c r="CN45" i="7" s="1"/>
  <c r="FW55" i="70"/>
  <c r="DL45" i="7"/>
  <c r="EG61" i="70"/>
  <c r="CN51" i="7" s="1"/>
  <c r="EG71" i="70"/>
  <c r="CN61" i="7" s="1"/>
  <c r="EU71" i="70"/>
  <c r="CV61" i="7" s="1"/>
  <c r="CQ77" i="70"/>
  <c r="CS77" i="70" s="1"/>
  <c r="EU94" i="70"/>
  <c r="CV84" i="7" s="1"/>
  <c r="CT97" i="70"/>
  <c r="CU98" i="70"/>
  <c r="EG101" i="70"/>
  <c r="CN91" i="7" s="1"/>
  <c r="FW101" i="70"/>
  <c r="DL91" i="7"/>
  <c r="CQ105" i="70"/>
  <c r="CT109" i="70"/>
  <c r="CR11" i="70"/>
  <c r="CT11" i="70"/>
  <c r="FJ14" i="70"/>
  <c r="CU15" i="70"/>
  <c r="CS33" i="70"/>
  <c r="CQ38" i="70"/>
  <c r="EU44" i="70"/>
  <c r="CV34" i="7" s="1"/>
  <c r="EU55" i="70"/>
  <c r="CV45" i="7"/>
  <c r="EG78" i="70"/>
  <c r="CN68" i="7" s="1"/>
  <c r="FW78" i="70"/>
  <c r="DL68" i="7"/>
  <c r="CQ83" i="70"/>
  <c r="CS83" i="70" s="1"/>
  <c r="CQ86" i="70"/>
  <c r="CU87" i="70"/>
  <c r="FI89" i="70"/>
  <c r="DD79" i="7" s="1"/>
  <c r="EG91" i="70"/>
  <c r="CN81" i="7"/>
  <c r="FI91" i="70"/>
  <c r="DD81" i="7" s="1"/>
  <c r="CQ99" i="70"/>
  <c r="FI101" i="70"/>
  <c r="DD91" i="7" s="1"/>
  <c r="CT105" i="70"/>
  <c r="CS11" i="70"/>
  <c r="CU11" i="70"/>
  <c r="FW15" i="70"/>
  <c r="EG41" i="70"/>
  <c r="CN31" i="7" s="1"/>
  <c r="EG45" i="70"/>
  <c r="CN35" i="7" s="1"/>
  <c r="CQ49" i="70"/>
  <c r="FI55" i="70"/>
  <c r="DD45" i="7" s="1"/>
  <c r="CQ60" i="70"/>
  <c r="EU63" i="70"/>
  <c r="CV53" i="7" s="1"/>
  <c r="FI66" i="70"/>
  <c r="DD56" i="7" s="1"/>
  <c r="CQ66" i="70"/>
  <c r="CR66" i="70" s="1"/>
  <c r="EG70" i="70"/>
  <c r="CN60" i="7" s="1"/>
  <c r="FI71" i="70"/>
  <c r="DD61" i="7" s="1"/>
  <c r="FI75" i="70"/>
  <c r="DD65" i="7" s="1"/>
  <c r="FI79" i="70"/>
  <c r="DD69" i="7" s="1"/>
  <c r="CU79" i="70"/>
  <c r="CU83" i="70"/>
  <c r="CU84" i="70"/>
  <c r="FI86" i="70"/>
  <c r="DD76" i="7"/>
  <c r="CU86" i="70"/>
  <c r="EG86" i="70"/>
  <c r="CN76" i="7" s="1"/>
  <c r="CQ94" i="70"/>
  <c r="CS94" i="70" s="1"/>
  <c r="EU97" i="70"/>
  <c r="CV87" i="7" s="1"/>
  <c r="EG97" i="70"/>
  <c r="CN87" i="7" s="1"/>
  <c r="EU109" i="70"/>
  <c r="CV99" i="7" s="1"/>
  <c r="CU109" i="70"/>
  <c r="CF11" i="70"/>
  <c r="CF15" i="70"/>
  <c r="GK47" i="70"/>
  <c r="DT37" i="7"/>
  <c r="CF105" i="70"/>
  <c r="FJ10" i="70"/>
  <c r="DE130" i="7" s="1"/>
  <c r="CG11" i="70"/>
  <c r="FJ13" i="70"/>
  <c r="GK14" i="70"/>
  <c r="CG15" i="70"/>
  <c r="FJ17" i="70"/>
  <c r="CE36" i="70"/>
  <c r="FI41" i="70"/>
  <c r="DD31" i="7" s="1"/>
  <c r="FI68" i="70"/>
  <c r="DD58" i="7"/>
  <c r="CC70" i="70"/>
  <c r="CD71" i="70"/>
  <c r="CC73" i="70"/>
  <c r="CE73" i="70"/>
  <c r="GK77" i="70"/>
  <c r="DT67" i="7"/>
  <c r="GK78" i="70"/>
  <c r="DT68" i="7"/>
  <c r="CC84" i="70"/>
  <c r="CG87" i="70"/>
  <c r="GK91" i="70"/>
  <c r="DT81" i="7" s="1"/>
  <c r="CG91" i="70"/>
  <c r="CG93" i="70"/>
  <c r="CF97" i="70"/>
  <c r="CG100" i="70"/>
  <c r="FI109" i="70"/>
  <c r="DD99" i="7" s="1"/>
  <c r="CC8" i="70"/>
  <c r="FI14" i="70"/>
  <c r="GK15" i="70"/>
  <c r="FI16" i="70"/>
  <c r="FI38" i="70"/>
  <c r="DD28" i="7" s="1"/>
  <c r="CC39" i="70"/>
  <c r="CD39" i="70" s="1"/>
  <c r="GK46" i="70"/>
  <c r="DT36" i="7" s="1"/>
  <c r="GK50" i="70"/>
  <c r="DT40" i="7" s="1"/>
  <c r="GK65" i="70"/>
  <c r="DT55" i="7" s="1"/>
  <c r="CC69" i="70"/>
  <c r="CE69" i="70" s="1"/>
  <c r="CE71" i="70"/>
  <c r="GK74" i="70"/>
  <c r="DT64" i="7" s="1"/>
  <c r="FI78" i="70"/>
  <c r="DD68" i="7" s="1"/>
  <c r="CC78" i="70"/>
  <c r="CD98" i="70"/>
  <c r="CF98" i="70"/>
  <c r="CC101" i="70"/>
  <c r="CE101" i="70"/>
  <c r="GK105" i="70"/>
  <c r="DT95" i="7"/>
  <c r="CC106" i="70"/>
  <c r="CE106" i="70"/>
  <c r="CF109" i="70"/>
  <c r="FI11" i="70"/>
  <c r="CC11" i="70"/>
  <c r="CD11" i="70"/>
  <c r="FI15" i="70"/>
  <c r="CC15" i="70"/>
  <c r="CE15" i="70" s="1"/>
  <c r="FJ18" i="70"/>
  <c r="FI30" i="70"/>
  <c r="DD20" i="7"/>
  <c r="FI31" i="70"/>
  <c r="DD21" i="7" s="1"/>
  <c r="GK33" i="70"/>
  <c r="DT23" i="7" s="1"/>
  <c r="CE33" i="70"/>
  <c r="FI34" i="70"/>
  <c r="DD24" i="7"/>
  <c r="FI47" i="70"/>
  <c r="DD37" i="7"/>
  <c r="FI50" i="70"/>
  <c r="DD40" i="7"/>
  <c r="FI56" i="70"/>
  <c r="DD46" i="7" s="1"/>
  <c r="CC59" i="70"/>
  <c r="CD59" i="70"/>
  <c r="CC60" i="70"/>
  <c r="FI64" i="70"/>
  <c r="DD54" i="7" s="1"/>
  <c r="FI65" i="70"/>
  <c r="DD55" i="7" s="1"/>
  <c r="FI74" i="70"/>
  <c r="DD64" i="7"/>
  <c r="CC75" i="70"/>
  <c r="CG79" i="70"/>
  <c r="CE84" i="70"/>
  <c r="CG85" i="70"/>
  <c r="CC87" i="70"/>
  <c r="CE87" i="70"/>
  <c r="CF91" i="70"/>
  <c r="CC97" i="70"/>
  <c r="CE97" i="70" s="1"/>
  <c r="CE98" i="70"/>
  <c r="CD100" i="70"/>
  <c r="FI105" i="70"/>
  <c r="DD95" i="7"/>
  <c r="CG109" i="70"/>
  <c r="BR11" i="70"/>
  <c r="BR15" i="70"/>
  <c r="EU34" i="70"/>
  <c r="CV24" i="7" s="1"/>
  <c r="BO38" i="70"/>
  <c r="BP48" i="70"/>
  <c r="BO49" i="70"/>
  <c r="BQ49" i="70" s="1"/>
  <c r="BO55" i="70"/>
  <c r="BO76" i="70"/>
  <c r="BQ76" i="70"/>
  <c r="BR78" i="70"/>
  <c r="BQ83" i="70"/>
  <c r="BO84" i="70"/>
  <c r="EU86" i="70"/>
  <c r="CV76" i="7" s="1"/>
  <c r="BS94" i="70"/>
  <c r="BR97" i="70"/>
  <c r="BR105" i="70"/>
  <c r="BS11" i="70"/>
  <c r="BS15" i="70"/>
  <c r="BS105" i="70"/>
  <c r="BS109" i="70"/>
  <c r="BP33" i="70"/>
  <c r="BO34" i="70"/>
  <c r="BQ34" i="70" s="1"/>
  <c r="BO79" i="70"/>
  <c r="BQ84" i="70"/>
  <c r="BO93" i="70"/>
  <c r="BQ93" i="70" s="1"/>
  <c r="BO99" i="70"/>
  <c r="BO11" i="70"/>
  <c r="BQ11" i="70"/>
  <c r="BO15" i="70"/>
  <c r="BQ15" i="70"/>
  <c r="BQ33" i="70"/>
  <c r="EU40" i="70"/>
  <c r="CV30" i="7" s="1"/>
  <c r="BO51" i="70"/>
  <c r="BQ51" i="70"/>
  <c r="BP66" i="70"/>
  <c r="EU74" i="70"/>
  <c r="CV64" i="7" s="1"/>
  <c r="BP83" i="70"/>
  <c r="BS83" i="70"/>
  <c r="EU88" i="70"/>
  <c r="CV78" i="7"/>
  <c r="BR93" i="70"/>
  <c r="EU105" i="70"/>
  <c r="CV95" i="7" s="1"/>
  <c r="BO105" i="70"/>
  <c r="BQ105" i="70" s="1"/>
  <c r="BR109" i="70"/>
  <c r="EG10" i="70"/>
  <c r="CN130" i="7"/>
  <c r="GK10" i="70"/>
  <c r="DT130" i="7" s="1"/>
  <c r="BD11" i="70"/>
  <c r="BC15" i="70"/>
  <c r="BE15" i="70"/>
  <c r="GK51" i="70"/>
  <c r="DT41" i="7"/>
  <c r="GK55" i="70"/>
  <c r="DT45" i="7"/>
  <c r="EG63" i="70"/>
  <c r="CN53" i="7"/>
  <c r="BA66" i="70"/>
  <c r="BB66" i="70"/>
  <c r="BA73" i="70"/>
  <c r="BC73" i="70"/>
  <c r="BE84" i="70"/>
  <c r="BE86" i="70"/>
  <c r="GK86" i="70"/>
  <c r="DT76" i="7"/>
  <c r="EG87" i="70"/>
  <c r="CN77" i="7"/>
  <c r="BE94" i="70"/>
  <c r="BE98" i="70"/>
  <c r="BA101" i="70"/>
  <c r="BA103" i="70"/>
  <c r="BB103" i="70" s="1"/>
  <c r="BD104" i="70"/>
  <c r="GK104" i="70"/>
  <c r="DT94" i="7" s="1"/>
  <c r="EG108" i="70"/>
  <c r="CN98" i="7" s="1"/>
  <c r="BE109" i="70"/>
  <c r="BE11" i="70"/>
  <c r="EG37" i="70"/>
  <c r="CN27" i="7" s="1"/>
  <c r="GK38" i="70"/>
  <c r="DT28" i="7" s="1"/>
  <c r="EG66" i="70"/>
  <c r="CN56" i="7"/>
  <c r="BA83" i="70"/>
  <c r="BC83" i="70"/>
  <c r="BA97" i="70"/>
  <c r="BD98" i="70"/>
  <c r="BA105" i="70"/>
  <c r="BB105" i="70" s="1"/>
  <c r="BA8" i="70"/>
  <c r="BA11" i="70"/>
  <c r="BC11" i="70" s="1"/>
  <c r="GK11" i="70"/>
  <c r="BD14" i="70"/>
  <c r="BB15" i="70"/>
  <c r="BD15" i="70"/>
  <c r="BA19" i="70"/>
  <c r="BC19" i="70" s="1"/>
  <c r="BA55" i="70"/>
  <c r="BB55" i="70" s="1"/>
  <c r="BA69" i="70"/>
  <c r="BC69" i="70" s="1"/>
  <c r="BB71" i="70"/>
  <c r="BA84" i="70"/>
  <c r="EG85" i="70"/>
  <c r="CN75" i="7" s="1"/>
  <c r="EG89" i="70"/>
  <c r="CN79" i="7" s="1"/>
  <c r="EG96" i="70"/>
  <c r="CN86" i="7" s="1"/>
  <c r="GK98" i="70"/>
  <c r="DT88" i="7" s="1"/>
  <c r="BA99" i="70"/>
  <c r="BD105" i="70"/>
  <c r="EG105" i="70"/>
  <c r="CN95" i="7" s="1"/>
  <c r="BA106" i="70"/>
  <c r="BC106" i="70" s="1"/>
  <c r="BD109" i="70"/>
  <c r="AQ11" i="70"/>
  <c r="AM34" i="70"/>
  <c r="FI46" i="70"/>
  <c r="DD36" i="7" s="1"/>
  <c r="AM47" i="70"/>
  <c r="AO47" i="70" s="1"/>
  <c r="AQ78" i="70"/>
  <c r="AM83" i="70"/>
  <c r="AM86" i="70"/>
  <c r="AQ88" i="70"/>
  <c r="AP89" i="70"/>
  <c r="AM97" i="70"/>
  <c r="AP105" i="70"/>
  <c r="AM109" i="70"/>
  <c r="AO109" i="70" s="1"/>
  <c r="AP14" i="70"/>
  <c r="AM15" i="70"/>
  <c r="AN15" i="70" s="1"/>
  <c r="AM36" i="70"/>
  <c r="AM37" i="70"/>
  <c r="AM38" i="70"/>
  <c r="FI53" i="70"/>
  <c r="DD43" i="7" s="1"/>
  <c r="AM61" i="70"/>
  <c r="AM75" i="70"/>
  <c r="AM77" i="70"/>
  <c r="AO77" i="70" s="1"/>
  <c r="AM85" i="70"/>
  <c r="AN85" i="70" s="1"/>
  <c r="AM87" i="70"/>
  <c r="AN93" i="70"/>
  <c r="AP93" i="70"/>
  <c r="AP97" i="70"/>
  <c r="AM99" i="70"/>
  <c r="AQ105" i="70"/>
  <c r="AP109" i="70"/>
  <c r="AM11" i="70"/>
  <c r="AP15" i="70"/>
  <c r="AQ16" i="70"/>
  <c r="FI48" i="70"/>
  <c r="DD38" i="7"/>
  <c r="AM66" i="70"/>
  <c r="AQ77" i="70"/>
  <c r="AP78" i="70"/>
  <c r="AQ79" i="70"/>
  <c r="AP86" i="70"/>
  <c r="AM88" i="70"/>
  <c r="AO88" i="70" s="1"/>
  <c r="AQ89" i="70"/>
  <c r="AM94" i="70"/>
  <c r="AM96" i="70"/>
  <c r="AO96" i="70" s="1"/>
  <c r="AQ97" i="70"/>
  <c r="AM108" i="70"/>
  <c r="AP11" i="70"/>
  <c r="AQ15" i="70"/>
  <c r="AO85" i="70"/>
  <c r="AP108" i="70"/>
  <c r="Z11" i="70"/>
  <c r="AB11" i="70"/>
  <c r="AB15" i="70"/>
  <c r="Z63" i="70"/>
  <c r="Y66" i="70"/>
  <c r="Z66" i="70" s="1"/>
  <c r="AA66" i="70"/>
  <c r="Z79" i="70"/>
  <c r="AC91" i="70"/>
  <c r="Y93" i="70"/>
  <c r="AA93" i="70" s="1"/>
  <c r="AC101" i="70"/>
  <c r="EU101" i="70"/>
  <c r="CV91" i="7"/>
  <c r="AC105" i="70"/>
  <c r="AC109" i="70"/>
  <c r="Y9" i="70"/>
  <c r="AB9" i="70" s="1"/>
  <c r="AA11" i="70"/>
  <c r="AC11" i="70"/>
  <c r="AC15" i="70"/>
  <c r="EU35" i="70"/>
  <c r="CV25" i="7"/>
  <c r="EU59" i="70"/>
  <c r="CV49" i="7"/>
  <c r="Y70" i="70"/>
  <c r="AA70" i="70"/>
  <c r="Y84" i="70"/>
  <c r="AC90" i="70"/>
  <c r="Y97" i="70"/>
  <c r="Z98" i="70"/>
  <c r="AB98" i="70"/>
  <c r="Y103" i="70"/>
  <c r="Y105" i="70"/>
  <c r="AA98" i="70"/>
  <c r="AB105" i="70"/>
  <c r="EU11" i="70"/>
  <c r="Y15" i="70"/>
  <c r="Z15" i="70"/>
  <c r="EU15" i="70"/>
  <c r="Y78" i="70"/>
  <c r="Y80" i="70"/>
  <c r="Y90" i="70"/>
  <c r="AC98" i="70"/>
  <c r="AC103" i="70"/>
  <c r="AB109" i="70"/>
  <c r="Y110" i="70"/>
  <c r="AI6" i="70"/>
  <c r="CM6" i="70"/>
  <c r="FU6" i="70"/>
  <c r="DV8" i="70"/>
  <c r="DW8" i="70"/>
  <c r="DW27" i="70" s="1"/>
  <c r="EY3" i="70"/>
  <c r="EZ8" i="70"/>
  <c r="BE8" i="70"/>
  <c r="BE27" i="70"/>
  <c r="BD8" i="70"/>
  <c r="AC9" i="70"/>
  <c r="AC32" i="70"/>
  <c r="U6" i="70"/>
  <c r="ES6" i="70"/>
  <c r="AC8" i="70"/>
  <c r="CG8" i="70"/>
  <c r="CG27" i="70" s="1"/>
  <c r="CF8" i="70"/>
  <c r="L14" i="70"/>
  <c r="FH3" i="70"/>
  <c r="O10" i="70"/>
  <c r="Y10" i="70"/>
  <c r="Z10" i="70" s="1"/>
  <c r="AC10" i="70"/>
  <c r="AM10" i="70"/>
  <c r="AN10" i="70" s="1"/>
  <c r="AQ10" i="70"/>
  <c r="BA10" i="70"/>
  <c r="BB10" i="70"/>
  <c r="BE10" i="70"/>
  <c r="BO10" i="70"/>
  <c r="BP10" i="70" s="1"/>
  <c r="BS10" i="70"/>
  <c r="CC10" i="70"/>
  <c r="CE10" i="70"/>
  <c r="CG10" i="70"/>
  <c r="CQ10" i="70"/>
  <c r="CR10" i="70"/>
  <c r="CU10" i="70"/>
  <c r="DE10" i="70"/>
  <c r="DF10" i="70" s="1"/>
  <c r="DI10" i="70"/>
  <c r="DS10" i="70"/>
  <c r="DT10" i="70" s="1"/>
  <c r="DW10" i="70"/>
  <c r="EH10" i="70"/>
  <c r="CO130" i="7"/>
  <c r="EU10" i="70"/>
  <c r="CV130" i="7" s="1"/>
  <c r="FH10" i="70"/>
  <c r="DJ130" i="7"/>
  <c r="GL10" i="70"/>
  <c r="DU130" i="7" s="1"/>
  <c r="AN11" i="70"/>
  <c r="EV11" i="70"/>
  <c r="FV11" i="70"/>
  <c r="N13" i="70"/>
  <c r="AB13" i="70"/>
  <c r="AP13" i="70"/>
  <c r="BD13" i="70"/>
  <c r="BR13" i="70"/>
  <c r="CF13" i="70"/>
  <c r="CT13" i="70"/>
  <c r="DH13" i="70"/>
  <c r="DV13" i="70"/>
  <c r="EG13" i="70"/>
  <c r="ET13" i="70"/>
  <c r="FX13" i="70"/>
  <c r="GK13" i="70"/>
  <c r="O14" i="70"/>
  <c r="Y14" i="70"/>
  <c r="Z14" i="70" s="1"/>
  <c r="AC14" i="70"/>
  <c r="AM14" i="70"/>
  <c r="AQ14" i="70"/>
  <c r="BA14" i="70"/>
  <c r="BB14" i="70"/>
  <c r="BE14" i="70"/>
  <c r="BO14" i="70"/>
  <c r="BP14" i="70" s="1"/>
  <c r="BS14" i="70"/>
  <c r="CC14" i="70"/>
  <c r="CE14" i="70" s="1"/>
  <c r="CG14" i="70"/>
  <c r="CQ14" i="70"/>
  <c r="CR14" i="70"/>
  <c r="CU14" i="70"/>
  <c r="DE14" i="70"/>
  <c r="DF14" i="70" s="1"/>
  <c r="DI14" i="70"/>
  <c r="DS14" i="70"/>
  <c r="DT14" i="70" s="1"/>
  <c r="DW14" i="70"/>
  <c r="EH14" i="70"/>
  <c r="EU14" i="70"/>
  <c r="FH14" i="70"/>
  <c r="GL14" i="70"/>
  <c r="EV15" i="70"/>
  <c r="EF16" i="70"/>
  <c r="FW16" i="70"/>
  <c r="GJ16" i="70"/>
  <c r="N17" i="70"/>
  <c r="AB17" i="70"/>
  <c r="AP17" i="70"/>
  <c r="BD17" i="70"/>
  <c r="BR17" i="70"/>
  <c r="CF17" i="70"/>
  <c r="CT17" i="70"/>
  <c r="DH17" i="70"/>
  <c r="DV17" i="70"/>
  <c r="EG17" i="70"/>
  <c r="ET17" i="70"/>
  <c r="FX17" i="70"/>
  <c r="GK17" i="70"/>
  <c r="O18" i="70"/>
  <c r="Y18" i="70"/>
  <c r="Z18" i="70" s="1"/>
  <c r="AC18" i="70"/>
  <c r="AM18" i="70"/>
  <c r="AO18" i="70" s="1"/>
  <c r="AQ18" i="70"/>
  <c r="BA18" i="70"/>
  <c r="BE18" i="70"/>
  <c r="BO18" i="70"/>
  <c r="BP18" i="70"/>
  <c r="BS18" i="70"/>
  <c r="CC18" i="70"/>
  <c r="CE18" i="70" s="1"/>
  <c r="CR18" i="70"/>
  <c r="DW18" i="70"/>
  <c r="FH18" i="70"/>
  <c r="FW18" i="70"/>
  <c r="L19" i="70"/>
  <c r="AC19" i="70"/>
  <c r="AB19" i="70"/>
  <c r="GL19" i="70"/>
  <c r="BE19" i="70"/>
  <c r="BD19" i="70"/>
  <c r="CG19" i="70"/>
  <c r="CF19" i="70"/>
  <c r="DI19" i="70"/>
  <c r="DH19" i="70"/>
  <c r="EF19" i="70"/>
  <c r="EV19" i="70"/>
  <c r="GJ19" i="70"/>
  <c r="FJ33" i="70"/>
  <c r="DE23" i="7" s="1"/>
  <c r="FT6" i="70"/>
  <c r="EF109" i="70"/>
  <c r="EF110" i="70"/>
  <c r="EF108" i="70"/>
  <c r="EF107" i="70"/>
  <c r="EF105" i="70"/>
  <c r="CT95" i="7" s="1"/>
  <c r="EF106" i="70"/>
  <c r="EF101" i="70"/>
  <c r="EF100" i="70"/>
  <c r="CT90" i="7"/>
  <c r="EF103" i="70"/>
  <c r="CT93" i="7" s="1"/>
  <c r="EF104" i="70"/>
  <c r="EF98" i="70"/>
  <c r="CT88" i="7" s="1"/>
  <c r="EF97" i="70"/>
  <c r="EF96" i="70"/>
  <c r="EF95" i="70"/>
  <c r="EF99" i="70"/>
  <c r="CT89" i="7" s="1"/>
  <c r="EF93" i="70"/>
  <c r="EF94" i="70"/>
  <c r="EF91" i="70"/>
  <c r="CT81" i="7"/>
  <c r="EF89" i="70"/>
  <c r="EF90" i="70"/>
  <c r="CT80" i="7" s="1"/>
  <c r="EF87" i="70"/>
  <c r="EF88" i="70"/>
  <c r="EF86" i="70"/>
  <c r="CT76" i="7" s="1"/>
  <c r="EF85" i="70"/>
  <c r="EF84" i="70"/>
  <c r="CT74" i="7" s="1"/>
  <c r="EF83" i="70"/>
  <c r="EF79" i="70"/>
  <c r="CT69" i="7" s="1"/>
  <c r="EF75" i="70"/>
  <c r="CT65" i="7"/>
  <c r="EF76" i="70"/>
  <c r="CT66" i="7" s="1"/>
  <c r="EF80" i="70"/>
  <c r="CT70" i="7"/>
  <c r="EF81" i="70"/>
  <c r="CT71" i="7" s="1"/>
  <c r="EF78" i="70"/>
  <c r="EF77" i="70"/>
  <c r="CT67" i="7" s="1"/>
  <c r="EF74" i="70"/>
  <c r="EF71" i="70"/>
  <c r="CT61" i="7" s="1"/>
  <c r="EF68" i="70"/>
  <c r="EF65" i="70"/>
  <c r="EF73" i="70"/>
  <c r="EF66" i="70"/>
  <c r="EF70" i="70"/>
  <c r="EF69" i="70"/>
  <c r="EF67" i="70"/>
  <c r="EF63" i="70"/>
  <c r="CT53" i="7" s="1"/>
  <c r="EF59" i="70"/>
  <c r="CT49" i="7" s="1"/>
  <c r="EF64" i="70"/>
  <c r="EF57" i="70"/>
  <c r="EF61" i="70"/>
  <c r="CT51" i="7" s="1"/>
  <c r="EF58" i="70"/>
  <c r="EF55" i="70"/>
  <c r="EF51" i="70"/>
  <c r="EF60" i="70"/>
  <c r="CT50" i="7" s="1"/>
  <c r="EF56" i="70"/>
  <c r="EF48" i="70"/>
  <c r="EF54" i="70"/>
  <c r="EF49" i="70"/>
  <c r="CT39" i="7" s="1"/>
  <c r="EF44" i="70"/>
  <c r="EF45" i="70"/>
  <c r="CT35" i="7" s="1"/>
  <c r="EF41" i="70"/>
  <c r="EF50" i="70"/>
  <c r="EF47" i="70"/>
  <c r="EF46" i="70"/>
  <c r="CT36" i="7" s="1"/>
  <c r="EF53" i="70"/>
  <c r="EF43" i="70"/>
  <c r="CT33" i="7" s="1"/>
  <c r="EF39" i="70"/>
  <c r="EF35" i="70"/>
  <c r="CT25" i="7" s="1"/>
  <c r="EF30" i="70"/>
  <c r="EF38" i="70"/>
  <c r="EF37" i="70"/>
  <c r="EF34" i="70"/>
  <c r="EF31" i="70"/>
  <c r="EF40" i="70"/>
  <c r="EF36" i="70"/>
  <c r="CT26" i="7"/>
  <c r="EF33" i="70"/>
  <c r="ET110" i="70"/>
  <c r="ET109" i="70"/>
  <c r="DB99" i="7" s="1"/>
  <c r="ET107" i="70"/>
  <c r="DB97" i="7" s="1"/>
  <c r="ET106" i="70"/>
  <c r="DB96" i="7" s="1"/>
  <c r="ET105" i="70"/>
  <c r="ET108" i="70"/>
  <c r="ET103" i="70"/>
  <c r="DB93" i="7"/>
  <c r="ET101" i="70"/>
  <c r="ET100" i="70"/>
  <c r="ET104" i="70"/>
  <c r="DB94" i="7" s="1"/>
  <c r="ET99" i="70"/>
  <c r="ET95" i="70"/>
  <c r="ET97" i="70"/>
  <c r="DB87" i="7"/>
  <c r="ET96" i="70"/>
  <c r="DB86" i="7" s="1"/>
  <c r="ET98" i="70"/>
  <c r="ET94" i="70"/>
  <c r="DB84" i="7" s="1"/>
  <c r="ET90" i="70"/>
  <c r="ET91" i="70"/>
  <c r="ET93" i="70"/>
  <c r="ET88" i="70"/>
  <c r="ET84" i="70"/>
  <c r="ET87" i="70"/>
  <c r="ET81" i="70"/>
  <c r="ET89" i="70"/>
  <c r="ET86" i="70"/>
  <c r="DB76" i="7"/>
  <c r="ET85" i="70"/>
  <c r="DB75" i="7" s="1"/>
  <c r="ET83" i="70"/>
  <c r="ET80" i="70"/>
  <c r="DB70" i="7" s="1"/>
  <c r="ET76" i="70"/>
  <c r="ET79" i="70"/>
  <c r="ET75" i="70"/>
  <c r="ET78" i="70"/>
  <c r="DB68" i="7" s="1"/>
  <c r="ET77" i="70"/>
  <c r="DB67" i="7"/>
  <c r="ET70" i="70"/>
  <c r="DB60" i="7"/>
  <c r="ET69" i="70"/>
  <c r="DB59" i="7" s="1"/>
  <c r="ET73" i="70"/>
  <c r="DB63" i="7" s="1"/>
  <c r="ET71" i="70"/>
  <c r="ET66" i="70"/>
  <c r="DB56" i="7" s="1"/>
  <c r="ET74" i="70"/>
  <c r="ET67" i="70"/>
  <c r="ET68" i="70"/>
  <c r="ET64" i="70"/>
  <c r="DB54" i="7" s="1"/>
  <c r="ET60" i="70"/>
  <c r="ET58" i="70"/>
  <c r="ET55" i="70"/>
  <c r="ET65" i="70"/>
  <c r="ET61" i="70"/>
  <c r="DB51" i="7" s="1"/>
  <c r="ET56" i="70"/>
  <c r="ET63" i="70"/>
  <c r="ET59" i="70"/>
  <c r="DB49" i="7" s="1"/>
  <c r="ET57" i="70"/>
  <c r="ET53" i="70"/>
  <c r="DB43" i="7" s="1"/>
  <c r="ET49" i="70"/>
  <c r="ET48" i="70"/>
  <c r="ET45" i="70"/>
  <c r="ET51" i="70"/>
  <c r="DB41" i="7" s="1"/>
  <c r="ET50" i="70"/>
  <c r="DB40" i="7"/>
  <c r="ET43" i="70"/>
  <c r="ET39" i="70"/>
  <c r="ET54" i="70"/>
  <c r="ET47" i="70"/>
  <c r="ET46" i="70"/>
  <c r="ET44" i="70"/>
  <c r="ET40" i="70"/>
  <c r="ET36" i="70"/>
  <c r="DB26" i="7" s="1"/>
  <c r="ET41" i="70"/>
  <c r="ET31" i="70"/>
  <c r="ET38" i="70"/>
  <c r="DB28" i="7" s="1"/>
  <c r="ET37" i="70"/>
  <c r="DB27" i="7"/>
  <c r="ET34" i="70"/>
  <c r="DB24" i="7" s="1"/>
  <c r="ET33" i="70"/>
  <c r="DB23" i="7"/>
  <c r="ET35" i="70"/>
  <c r="ET30" i="70"/>
  <c r="DB20" i="7" s="1"/>
  <c r="ET18" i="70"/>
  <c r="FH107" i="70"/>
  <c r="DJ97" i="7"/>
  <c r="FH108" i="70"/>
  <c r="DJ98" i="7" s="1"/>
  <c r="FH110" i="70"/>
  <c r="FH109" i="70"/>
  <c r="DJ99" i="7" s="1"/>
  <c r="FH106" i="70"/>
  <c r="FH105" i="70"/>
  <c r="FH104" i="70"/>
  <c r="DJ94" i="7"/>
  <c r="FH100" i="70"/>
  <c r="DJ90" i="7" s="1"/>
  <c r="FH103" i="70"/>
  <c r="FH101" i="70"/>
  <c r="DJ91" i="7" s="1"/>
  <c r="FH96" i="70"/>
  <c r="FH98" i="70"/>
  <c r="DJ88" i="7" s="1"/>
  <c r="FH93" i="70"/>
  <c r="DJ83" i="7"/>
  <c r="FH99" i="70"/>
  <c r="FH97" i="70"/>
  <c r="FH95" i="70"/>
  <c r="DJ85" i="7" s="1"/>
  <c r="FH91" i="70"/>
  <c r="DJ81" i="7" s="1"/>
  <c r="FH90" i="70"/>
  <c r="FH87" i="70"/>
  <c r="DJ77" i="7" s="1"/>
  <c r="FH94" i="70"/>
  <c r="FH89" i="70"/>
  <c r="FH85" i="70"/>
  <c r="DJ75" i="7"/>
  <c r="FH84" i="70"/>
  <c r="FH83" i="70"/>
  <c r="FH80" i="70"/>
  <c r="FH88" i="70"/>
  <c r="FH86" i="70"/>
  <c r="DJ76" i="7" s="1"/>
  <c r="FH81" i="70"/>
  <c r="DJ71" i="7" s="1"/>
  <c r="FH77" i="70"/>
  <c r="FH78" i="70"/>
  <c r="FH74" i="70"/>
  <c r="DJ64" i="7" s="1"/>
  <c r="FH79" i="70"/>
  <c r="FH75" i="70"/>
  <c r="FH76" i="70"/>
  <c r="FH73" i="70"/>
  <c r="FH69" i="70"/>
  <c r="FH66" i="70"/>
  <c r="FH70" i="70"/>
  <c r="FH67" i="70"/>
  <c r="FH71" i="70"/>
  <c r="DJ61" i="7" s="1"/>
  <c r="FH64" i="70"/>
  <c r="FH68" i="70"/>
  <c r="FH65" i="70"/>
  <c r="FH61" i="70"/>
  <c r="DJ51" i="7" s="1"/>
  <c r="FH63" i="70"/>
  <c r="FH59" i="70"/>
  <c r="FH55" i="70"/>
  <c r="FH60" i="70"/>
  <c r="FH56" i="70"/>
  <c r="FH57" i="70"/>
  <c r="FH53" i="70"/>
  <c r="FH58" i="70"/>
  <c r="FH54" i="70"/>
  <c r="DJ44" i="7"/>
  <c r="FH50" i="70"/>
  <c r="DJ40" i="7" s="1"/>
  <c r="FH46" i="70"/>
  <c r="DJ36" i="7"/>
  <c r="FH51" i="70"/>
  <c r="FH47" i="70"/>
  <c r="DJ37" i="7"/>
  <c r="FH48" i="70"/>
  <c r="DJ38" i="7" s="1"/>
  <c r="FH43" i="70"/>
  <c r="FH39" i="70"/>
  <c r="FH49" i="70"/>
  <c r="FH44" i="70"/>
  <c r="DJ34" i="7" s="1"/>
  <c r="FH40" i="70"/>
  <c r="FH45" i="70"/>
  <c r="FH41" i="70"/>
  <c r="DJ31" i="7"/>
  <c r="FH37" i="70"/>
  <c r="DJ27" i="7"/>
  <c r="FH35" i="70"/>
  <c r="FH36" i="70"/>
  <c r="FH33" i="70"/>
  <c r="FH30" i="70"/>
  <c r="FH38" i="70"/>
  <c r="DJ28" i="7" s="1"/>
  <c r="FH34" i="70"/>
  <c r="DJ24" i="7" s="1"/>
  <c r="FH31" i="70"/>
  <c r="DJ21" i="7" s="1"/>
  <c r="FH19" i="70"/>
  <c r="FV108" i="70"/>
  <c r="FV109" i="70"/>
  <c r="DR99" i="7" s="1"/>
  <c r="FV110" i="70"/>
  <c r="FV105" i="70"/>
  <c r="FV107" i="70"/>
  <c r="FV106" i="70"/>
  <c r="DR96" i="7" s="1"/>
  <c r="FV104" i="70"/>
  <c r="FV101" i="70"/>
  <c r="DR91" i="7" s="1"/>
  <c r="FV103" i="70"/>
  <c r="FV100" i="70"/>
  <c r="FV97" i="70"/>
  <c r="DR87" i="7"/>
  <c r="FV96" i="70"/>
  <c r="FV98" i="70"/>
  <c r="FV94" i="70"/>
  <c r="DR84" i="7" s="1"/>
  <c r="FV99" i="70"/>
  <c r="DR89" i="7" s="1"/>
  <c r="FV95" i="70"/>
  <c r="FV89" i="70"/>
  <c r="DR79" i="7"/>
  <c r="FV93" i="70"/>
  <c r="FV90" i="70"/>
  <c r="FV88" i="70"/>
  <c r="FV91" i="70"/>
  <c r="FV86" i="70"/>
  <c r="FV85" i="70"/>
  <c r="FV83" i="70"/>
  <c r="DR73" i="7" s="1"/>
  <c r="FV87" i="70"/>
  <c r="FV84" i="70"/>
  <c r="DR74" i="7"/>
  <c r="FV81" i="70"/>
  <c r="FV78" i="70"/>
  <c r="FV77" i="70"/>
  <c r="FV80" i="70"/>
  <c r="FV79" i="70"/>
  <c r="DR69" i="7" s="1"/>
  <c r="FV75" i="70"/>
  <c r="DR65" i="7" s="1"/>
  <c r="FV73" i="70"/>
  <c r="FV76" i="70"/>
  <c r="DR66" i="7" s="1"/>
  <c r="FV74" i="70"/>
  <c r="FV70" i="70"/>
  <c r="DR60" i="7" s="1"/>
  <c r="FV68" i="70"/>
  <c r="DR58" i="7" s="1"/>
  <c r="FV67" i="70"/>
  <c r="FV64" i="70"/>
  <c r="FV69" i="70"/>
  <c r="FV65" i="70"/>
  <c r="FV71" i="70"/>
  <c r="FV66" i="70"/>
  <c r="FV61" i="70"/>
  <c r="FV56" i="70"/>
  <c r="FV63" i="70"/>
  <c r="DR53" i="7" s="1"/>
  <c r="FV59" i="70"/>
  <c r="FV57" i="70"/>
  <c r="FV60" i="70"/>
  <c r="DR50" i="7"/>
  <c r="FV58" i="70"/>
  <c r="FV54" i="70"/>
  <c r="FV50" i="70"/>
  <c r="FV55" i="70"/>
  <c r="FV51" i="70"/>
  <c r="FV47" i="70"/>
  <c r="FV53" i="70"/>
  <c r="DR43" i="7" s="1"/>
  <c r="FV43" i="70"/>
  <c r="FV46" i="70"/>
  <c r="FV44" i="70"/>
  <c r="FV40" i="70"/>
  <c r="FV48" i="70"/>
  <c r="DR38" i="7" s="1"/>
  <c r="FV45" i="70"/>
  <c r="FV41" i="70"/>
  <c r="FV49" i="70"/>
  <c r="FV38" i="70"/>
  <c r="DR28" i="7" s="1"/>
  <c r="FV34" i="70"/>
  <c r="DR24" i="7" s="1"/>
  <c r="FV37" i="70"/>
  <c r="FV33" i="70"/>
  <c r="DR23" i="7" s="1"/>
  <c r="FV35" i="70"/>
  <c r="DR25" i="7"/>
  <c r="FV30" i="70"/>
  <c r="DR20" i="7" s="1"/>
  <c r="FV39" i="70"/>
  <c r="DR29" i="7" s="1"/>
  <c r="FV36" i="70"/>
  <c r="DR26" i="7" s="1"/>
  <c r="FV31" i="70"/>
  <c r="DR21" i="7" s="1"/>
  <c r="GJ109" i="70"/>
  <c r="DZ99" i="7" s="1"/>
  <c r="GJ110" i="70"/>
  <c r="GJ107" i="70"/>
  <c r="GJ105" i="70"/>
  <c r="GJ108" i="70"/>
  <c r="DZ98" i="7" s="1"/>
  <c r="GJ106" i="70"/>
  <c r="GJ101" i="70"/>
  <c r="GJ100" i="70"/>
  <c r="DZ90" i="7"/>
  <c r="GJ99" i="70"/>
  <c r="GJ103" i="70"/>
  <c r="DZ93" i="7" s="1"/>
  <c r="GJ104" i="70"/>
  <c r="GJ98" i="70"/>
  <c r="DZ88" i="7"/>
  <c r="GJ97" i="70"/>
  <c r="GJ96" i="70"/>
  <c r="GJ95" i="70"/>
  <c r="GJ93" i="70"/>
  <c r="GJ89" i="70"/>
  <c r="GJ94" i="70"/>
  <c r="GJ91" i="70"/>
  <c r="DZ81" i="7" s="1"/>
  <c r="GJ90" i="70"/>
  <c r="DZ80" i="7" s="1"/>
  <c r="GJ87" i="70"/>
  <c r="GJ83" i="70"/>
  <c r="DZ73" i="7"/>
  <c r="GJ86" i="70"/>
  <c r="GJ85" i="70"/>
  <c r="GJ88" i="70"/>
  <c r="DZ78" i="7" s="1"/>
  <c r="GJ84" i="70"/>
  <c r="DZ74" i="7" s="1"/>
  <c r="GJ79" i="70"/>
  <c r="DZ69" i="7" s="1"/>
  <c r="GJ75" i="70"/>
  <c r="DZ65" i="7" s="1"/>
  <c r="GJ76" i="70"/>
  <c r="GJ80" i="70"/>
  <c r="DZ70" i="7"/>
  <c r="GJ81" i="70"/>
  <c r="GJ78" i="70"/>
  <c r="GJ77" i="70"/>
  <c r="DZ67" i="7" s="1"/>
  <c r="GJ74" i="70"/>
  <c r="GJ71" i="70"/>
  <c r="DZ61" i="7" s="1"/>
  <c r="GJ68" i="70"/>
  <c r="GJ65" i="70"/>
  <c r="DZ55" i="7" s="1"/>
  <c r="GJ73" i="70"/>
  <c r="GJ66" i="70"/>
  <c r="GJ70" i="70"/>
  <c r="GJ69" i="70"/>
  <c r="GJ67" i="70"/>
  <c r="GJ63" i="70"/>
  <c r="DZ53" i="7"/>
  <c r="GJ59" i="70"/>
  <c r="DZ49" i="7" s="1"/>
  <c r="GJ64" i="70"/>
  <c r="DZ54" i="7" s="1"/>
  <c r="GJ57" i="70"/>
  <c r="GJ61" i="70"/>
  <c r="GJ58" i="70"/>
  <c r="GJ54" i="70"/>
  <c r="GJ55" i="70"/>
  <c r="GJ51" i="70"/>
  <c r="GJ60" i="70"/>
  <c r="GJ56" i="70"/>
  <c r="GJ48" i="70"/>
  <c r="GJ49" i="70"/>
  <c r="DZ39" i="7"/>
  <c r="GJ44" i="70"/>
  <c r="GJ45" i="70"/>
  <c r="GJ41" i="70"/>
  <c r="GJ50" i="70"/>
  <c r="DZ40" i="7" s="1"/>
  <c r="GJ47" i="70"/>
  <c r="GJ46" i="70"/>
  <c r="DZ36" i="7"/>
  <c r="GJ53" i="70"/>
  <c r="GJ43" i="70"/>
  <c r="GJ39" i="70"/>
  <c r="GJ35" i="70"/>
  <c r="DZ25" i="7" s="1"/>
  <c r="GJ30" i="70"/>
  <c r="DZ20" i="7" s="1"/>
  <c r="GJ37" i="70"/>
  <c r="DZ27" i="7" s="1"/>
  <c r="GJ34" i="70"/>
  <c r="GJ33" i="70"/>
  <c r="DZ23" i="7" s="1"/>
  <c r="GJ31" i="70"/>
  <c r="GJ40" i="70"/>
  <c r="DZ30" i="7" s="1"/>
  <c r="GJ38" i="70"/>
  <c r="GJ36" i="70"/>
  <c r="DZ26" i="7" s="1"/>
  <c r="EV10" i="70"/>
  <c r="CW130" i="7"/>
  <c r="FV10" i="70"/>
  <c r="DR130" i="7" s="1"/>
  <c r="AO11" i="70"/>
  <c r="EF11" i="70"/>
  <c r="GJ11" i="70"/>
  <c r="O13" i="70"/>
  <c r="Y13" i="70"/>
  <c r="AA13" i="70"/>
  <c r="AC13" i="70"/>
  <c r="AM13" i="70"/>
  <c r="AO13" i="70" s="1"/>
  <c r="AQ13" i="70"/>
  <c r="BA13" i="70"/>
  <c r="BB13" i="70"/>
  <c r="BE13" i="70"/>
  <c r="BO13" i="70"/>
  <c r="BP13" i="70" s="1"/>
  <c r="BS13" i="70"/>
  <c r="CC13" i="70"/>
  <c r="CD13" i="70" s="1"/>
  <c r="CG13" i="70"/>
  <c r="CQ13" i="70"/>
  <c r="CS13" i="70"/>
  <c r="CU13" i="70"/>
  <c r="DE13" i="70"/>
  <c r="DF13" i="70" s="1"/>
  <c r="DI13" i="70"/>
  <c r="DS13" i="70"/>
  <c r="DT13" i="70" s="1"/>
  <c r="DW13" i="70"/>
  <c r="EH13" i="70"/>
  <c r="EU13" i="70"/>
  <c r="FH13" i="70"/>
  <c r="GL13" i="70"/>
  <c r="AN14" i="70"/>
  <c r="EV14" i="70"/>
  <c r="FV14" i="70"/>
  <c r="AO15" i="70"/>
  <c r="EF15" i="70"/>
  <c r="GJ15" i="70"/>
  <c r="N16" i="70"/>
  <c r="AB16" i="70"/>
  <c r="AP16" i="70"/>
  <c r="BD16" i="70"/>
  <c r="BR16" i="70"/>
  <c r="CF16" i="70"/>
  <c r="CT16" i="70"/>
  <c r="DH16" i="70"/>
  <c r="DV16" i="70"/>
  <c r="EG16" i="70"/>
  <c r="ET16" i="70"/>
  <c r="GK16" i="70"/>
  <c r="O17" i="70"/>
  <c r="Y17" i="70"/>
  <c r="AA17" i="70"/>
  <c r="AC17" i="70"/>
  <c r="AM17" i="70"/>
  <c r="AQ17" i="70"/>
  <c r="BA17" i="70"/>
  <c r="BC17" i="70" s="1"/>
  <c r="BE17" i="70"/>
  <c r="BO17" i="70"/>
  <c r="BQ17" i="70"/>
  <c r="BS17" i="70"/>
  <c r="CC17" i="70"/>
  <c r="CD17" i="70" s="1"/>
  <c r="CG17" i="70"/>
  <c r="CQ17" i="70"/>
  <c r="CS17" i="70" s="1"/>
  <c r="CU17" i="70"/>
  <c r="DE17" i="70"/>
  <c r="DF17" i="70"/>
  <c r="DI17" i="70"/>
  <c r="DS17" i="70"/>
  <c r="DT17" i="70" s="1"/>
  <c r="DW17" i="70"/>
  <c r="EH17" i="70"/>
  <c r="EU17" i="70"/>
  <c r="FH17" i="70"/>
  <c r="GL17" i="70"/>
  <c r="EG18" i="70"/>
  <c r="AN18" i="70"/>
  <c r="CD18" i="70"/>
  <c r="FX18" i="70"/>
  <c r="CS18" i="70"/>
  <c r="DS18" i="70"/>
  <c r="DU18" i="70" s="1"/>
  <c r="AM19" i="70"/>
  <c r="AN19" i="70"/>
  <c r="BO19" i="70"/>
  <c r="BP19" i="70" s="1"/>
  <c r="CQ19" i="70"/>
  <c r="CR19" i="70" s="1"/>
  <c r="DS19" i="70"/>
  <c r="DT19" i="70" s="1"/>
  <c r="FV19" i="70"/>
  <c r="GK19" i="70"/>
  <c r="FJ30" i="70"/>
  <c r="DE20" i="7" s="1"/>
  <c r="CT20" i="7"/>
  <c r="FJ31" i="70"/>
  <c r="DE21" i="7" s="1"/>
  <c r="FX31" i="70"/>
  <c r="DM21" i="7" s="1"/>
  <c r="CT21" i="7"/>
  <c r="GL34" i="70"/>
  <c r="DU24" i="7" s="1"/>
  <c r="EH38" i="70"/>
  <c r="CO28" i="7" s="1"/>
  <c r="FJ38" i="70"/>
  <c r="DE28" i="7"/>
  <c r="F6" i="70"/>
  <c r="AV6" i="70"/>
  <c r="EH110" i="70"/>
  <c r="CO100" i="7" s="1"/>
  <c r="EH109" i="70"/>
  <c r="CO99" i="7" s="1"/>
  <c r="EH105" i="70"/>
  <c r="CO95" i="7" s="1"/>
  <c r="EH98" i="70"/>
  <c r="CO88" i="7" s="1"/>
  <c r="EH93" i="70"/>
  <c r="CO83" i="7" s="1"/>
  <c r="EH87" i="70"/>
  <c r="CO77" i="7" s="1"/>
  <c r="EH83" i="70"/>
  <c r="CO73" i="7" s="1"/>
  <c r="EH79" i="70"/>
  <c r="CO69" i="7" s="1"/>
  <c r="EH75" i="70"/>
  <c r="CO65" i="7" s="1"/>
  <c r="EH66" i="70"/>
  <c r="CO56" i="7" s="1"/>
  <c r="EH67" i="70"/>
  <c r="CO57" i="7" s="1"/>
  <c r="EH71" i="70"/>
  <c r="CO61" i="7" s="1"/>
  <c r="EH55" i="70"/>
  <c r="CO45" i="7" s="1"/>
  <c r="EH63" i="70"/>
  <c r="CO53" i="7" s="1"/>
  <c r="EH59" i="70"/>
  <c r="CO49" i="7" s="1"/>
  <c r="EH56" i="70"/>
  <c r="CO46" i="7" s="1"/>
  <c r="EH51" i="70"/>
  <c r="CO41" i="7" s="1"/>
  <c r="EH43" i="70"/>
  <c r="CO33" i="7" s="1"/>
  <c r="EH39" i="70"/>
  <c r="CO29" i="7" s="1"/>
  <c r="EH48" i="70"/>
  <c r="CO38" i="7" s="1"/>
  <c r="EH35" i="70"/>
  <c r="CO25" i="7" s="1"/>
  <c r="EH33" i="70"/>
  <c r="CO23" i="7" s="1"/>
  <c r="EV109" i="70"/>
  <c r="CW99" i="7" s="1"/>
  <c r="EV110" i="70"/>
  <c r="CW100" i="7" s="1"/>
  <c r="EV98" i="70"/>
  <c r="CW88" i="7" s="1"/>
  <c r="EV95" i="70"/>
  <c r="CW85" i="7" s="1"/>
  <c r="EV93" i="70"/>
  <c r="CW83" i="7" s="1"/>
  <c r="EV89" i="70"/>
  <c r="CW79" i="7" s="1"/>
  <c r="EV83" i="70"/>
  <c r="CW73" i="7" s="1"/>
  <c r="EV87" i="70"/>
  <c r="CW77" i="7" s="1"/>
  <c r="EV79" i="70"/>
  <c r="CW69" i="7" s="1"/>
  <c r="EV75" i="70"/>
  <c r="CW65" i="7" s="1"/>
  <c r="EV67" i="70"/>
  <c r="CW57" i="7" s="1"/>
  <c r="EV71" i="70"/>
  <c r="CW61" i="7" s="1"/>
  <c r="EV56" i="70"/>
  <c r="CW46" i="7" s="1"/>
  <c r="EV63" i="70"/>
  <c r="CW53" i="7" s="1"/>
  <c r="EV59" i="70"/>
  <c r="CW49" i="7" s="1"/>
  <c r="EV43" i="70"/>
  <c r="CW33" i="7" s="1"/>
  <c r="EV48" i="70"/>
  <c r="CW38" i="7" s="1"/>
  <c r="EV45" i="70"/>
  <c r="CW35" i="7" s="1"/>
  <c r="EV41" i="70"/>
  <c r="CW31" i="7" s="1"/>
  <c r="EV39" i="70"/>
  <c r="CW29" i="7" s="1"/>
  <c r="EV33" i="70"/>
  <c r="CW23" i="7" s="1"/>
  <c r="EV35" i="70"/>
  <c r="CW25" i="7" s="1"/>
  <c r="EV30" i="70"/>
  <c r="CW20" i="7" s="1"/>
  <c r="FJ96" i="70"/>
  <c r="DE86" i="7" s="1"/>
  <c r="FJ69" i="70"/>
  <c r="DE59" i="7" s="1"/>
  <c r="FJ53" i="70"/>
  <c r="DE43" i="7" s="1"/>
  <c r="FJ50" i="70"/>
  <c r="DE40" i="7" s="1"/>
  <c r="FJ40" i="70"/>
  <c r="DE30" i="7" s="1"/>
  <c r="FX109" i="70"/>
  <c r="DM99" i="7" s="1"/>
  <c r="FX108" i="70"/>
  <c r="DM98" i="7" s="1"/>
  <c r="FX107" i="70"/>
  <c r="DM97" i="7" s="1"/>
  <c r="FX106" i="70"/>
  <c r="DM96" i="7" s="1"/>
  <c r="FX98" i="70"/>
  <c r="DM88" i="7" s="1"/>
  <c r="FX95" i="70"/>
  <c r="DM85" i="7" s="1"/>
  <c r="FX96" i="70"/>
  <c r="DM86" i="7" s="1"/>
  <c r="FX93" i="70"/>
  <c r="DM83" i="7" s="1"/>
  <c r="FX83" i="70"/>
  <c r="DM73" i="7" s="1"/>
  <c r="FX87" i="70"/>
  <c r="DM77" i="7" s="1"/>
  <c r="FX85" i="70"/>
  <c r="DM75" i="7" s="1"/>
  <c r="FX78" i="70"/>
  <c r="DM68" i="7" s="1"/>
  <c r="FX79" i="70"/>
  <c r="DM69" i="7" s="1"/>
  <c r="FX75" i="70"/>
  <c r="DM65" i="7" s="1"/>
  <c r="FX69" i="70"/>
  <c r="DM59" i="7" s="1"/>
  <c r="FX74" i="70"/>
  <c r="DM64" i="7" s="1"/>
  <c r="FX71" i="70"/>
  <c r="DM61" i="7" s="1"/>
  <c r="FX67" i="70"/>
  <c r="DM57" i="7" s="1"/>
  <c r="FX63" i="70"/>
  <c r="DM53" i="7" s="1"/>
  <c r="FX65" i="70"/>
  <c r="DM55" i="7" s="1"/>
  <c r="FX59" i="70"/>
  <c r="DM49" i="7" s="1"/>
  <c r="FX58" i="70"/>
  <c r="DM48" i="7" s="1"/>
  <c r="FX55" i="70"/>
  <c r="DM45" i="7" s="1"/>
  <c r="FX61" i="70"/>
  <c r="DM51" i="7" s="1"/>
  <c r="FX56" i="70"/>
  <c r="DM46" i="7" s="1"/>
  <c r="FX54" i="70"/>
  <c r="DM44" i="7" s="1"/>
  <c r="FX47" i="70"/>
  <c r="DM37" i="7" s="1"/>
  <c r="FX45" i="70"/>
  <c r="DM35" i="7" s="1"/>
  <c r="FX48" i="70"/>
  <c r="DM38" i="7" s="1"/>
  <c r="FX51" i="70"/>
  <c r="DM41" i="7" s="1"/>
  <c r="FX50" i="70"/>
  <c r="DM40" i="7" s="1"/>
  <c r="FX43" i="70"/>
  <c r="DM33" i="7" s="1"/>
  <c r="FX39" i="70"/>
  <c r="DM29" i="7" s="1"/>
  <c r="FX35" i="70"/>
  <c r="DM25" i="7" s="1"/>
  <c r="FX41" i="70"/>
  <c r="DM31" i="7" s="1"/>
  <c r="FX37" i="70"/>
  <c r="DM27" i="7" s="1"/>
  <c r="FX33" i="70"/>
  <c r="DM23" i="7" s="1"/>
  <c r="GL110" i="70"/>
  <c r="DU100" i="7" s="1"/>
  <c r="GL109" i="70"/>
  <c r="DU99" i="7" s="1"/>
  <c r="GL105" i="70"/>
  <c r="DU95" i="7" s="1"/>
  <c r="GL98" i="70"/>
  <c r="DU88" i="7" s="1"/>
  <c r="GL93" i="70"/>
  <c r="DU83" i="7" s="1"/>
  <c r="GL89" i="70"/>
  <c r="DU79" i="7" s="1"/>
  <c r="GL87" i="70"/>
  <c r="DU77" i="7" s="1"/>
  <c r="GL83" i="70"/>
  <c r="DU73" i="7" s="1"/>
  <c r="GL79" i="70"/>
  <c r="DU69" i="7" s="1"/>
  <c r="GL75" i="70"/>
  <c r="DU65" i="7" s="1"/>
  <c r="GL67" i="70"/>
  <c r="DU57" i="7" s="1"/>
  <c r="GL63" i="70"/>
  <c r="DU53" i="7" s="1"/>
  <c r="GL71" i="70"/>
  <c r="DU61" i="7" s="1"/>
  <c r="GL55" i="70"/>
  <c r="DU45" i="7" s="1"/>
  <c r="GL59" i="70"/>
  <c r="DU49" i="7" s="1"/>
  <c r="GL56" i="70"/>
  <c r="DU46" i="7" s="1"/>
  <c r="GL51" i="70"/>
  <c r="DU41" i="7" s="1"/>
  <c r="GL43" i="70"/>
  <c r="DU33" i="7" s="1"/>
  <c r="GL39" i="70"/>
  <c r="DU29" i="7" s="1"/>
  <c r="GL48" i="70"/>
  <c r="DU38" i="7" s="1"/>
  <c r="GL35" i="70"/>
  <c r="DU25" i="7" s="1"/>
  <c r="AO10" i="70"/>
  <c r="EF10" i="70"/>
  <c r="CT130" i="7" s="1"/>
  <c r="GJ10" i="70"/>
  <c r="DZ130" i="7" s="1"/>
  <c r="ET11" i="70"/>
  <c r="FX11" i="70"/>
  <c r="EV13" i="70"/>
  <c r="FV13" i="70"/>
  <c r="AO14" i="70"/>
  <c r="EF14" i="70"/>
  <c r="GJ14" i="70"/>
  <c r="ET15" i="70"/>
  <c r="FX15" i="70"/>
  <c r="Y16" i="70"/>
  <c r="Z16" i="70" s="1"/>
  <c r="AM16" i="70"/>
  <c r="AO16" i="70" s="1"/>
  <c r="BA16" i="70"/>
  <c r="BB16" i="70" s="1"/>
  <c r="BO16" i="70"/>
  <c r="BQ16" i="70"/>
  <c r="CC16" i="70"/>
  <c r="CE16" i="70" s="1"/>
  <c r="CQ16" i="70"/>
  <c r="CR16" i="70" s="1"/>
  <c r="DE16" i="70"/>
  <c r="DF16" i="70" s="1"/>
  <c r="DS16" i="70"/>
  <c r="DU16" i="70"/>
  <c r="EH16" i="70"/>
  <c r="EU16" i="70"/>
  <c r="FH16" i="70"/>
  <c r="GL16" i="70"/>
  <c r="AN17" i="70"/>
  <c r="EV17" i="70"/>
  <c r="FV17" i="70"/>
  <c r="AA18" i="70"/>
  <c r="DE18" i="70"/>
  <c r="EF18" i="70"/>
  <c r="GJ18" i="70"/>
  <c r="EH19" i="70"/>
  <c r="O19" i="70"/>
  <c r="AQ19" i="70"/>
  <c r="BB19" i="70"/>
  <c r="BS19" i="70"/>
  <c r="CU19" i="70"/>
  <c r="DF19" i="70"/>
  <c r="DW19" i="70"/>
  <c r="FI19" i="70"/>
  <c r="FW19" i="70"/>
  <c r="DJ23" i="7"/>
  <c r="EH34" i="70"/>
  <c r="CO24" i="7" s="1"/>
  <c r="FJ34" i="70"/>
  <c r="DE24" i="7"/>
  <c r="FJ37" i="70"/>
  <c r="DE27" i="7" s="1"/>
  <c r="FX38" i="70"/>
  <c r="DM28" i="7" s="1"/>
  <c r="DB30" i="7"/>
  <c r="EG3" i="70"/>
  <c r="EH11" i="70"/>
  <c r="FH11" i="70"/>
  <c r="GL11" i="70"/>
  <c r="EF13" i="70"/>
  <c r="GJ13" i="70"/>
  <c r="ET14" i="70"/>
  <c r="FX14" i="70"/>
  <c r="EH15" i="70"/>
  <c r="FH15" i="70"/>
  <c r="GL15" i="70"/>
  <c r="AN16" i="70"/>
  <c r="EV16" i="70"/>
  <c r="FV16" i="70"/>
  <c r="AO17" i="70"/>
  <c r="EF17" i="70"/>
  <c r="GJ17" i="70"/>
  <c r="EH18" i="70"/>
  <c r="FV18" i="70"/>
  <c r="GL18" i="70"/>
  <c r="EU19" i="70"/>
  <c r="Y19" i="70"/>
  <c r="AA19" i="70" s="1"/>
  <c r="EZ19" i="70" s="1"/>
  <c r="ET19" i="70"/>
  <c r="FJ19" i="70"/>
  <c r="FX19" i="70"/>
  <c r="DJ20" i="7"/>
  <c r="DB21" i="7"/>
  <c r="DZ21" i="7"/>
  <c r="CT23" i="7"/>
  <c r="FX34" i="70"/>
  <c r="DM24" i="7" s="1"/>
  <c r="Z35" i="70"/>
  <c r="DJ25" i="7"/>
  <c r="EH36" i="70"/>
  <c r="CO26" i="7" s="1"/>
  <c r="EV36" i="70"/>
  <c r="CW26" i="7" s="1"/>
  <c r="AO36" i="70"/>
  <c r="CT27" i="7"/>
  <c r="GL38" i="70"/>
  <c r="DU28" i="7" s="1"/>
  <c r="CT29" i="7"/>
  <c r="DZ29" i="7"/>
  <c r="EG30" i="70"/>
  <c r="CN20" i="7" s="1"/>
  <c r="FX30" i="70"/>
  <c r="DM20" i="7"/>
  <c r="GK30" i="70"/>
  <c r="DT20" i="7" s="1"/>
  <c r="Y31" i="70"/>
  <c r="AA31" i="70"/>
  <c r="AC31" i="70"/>
  <c r="AM31" i="70"/>
  <c r="BA31" i="70"/>
  <c r="BC31" i="70"/>
  <c r="BO31" i="70"/>
  <c r="BQ31" i="70" s="1"/>
  <c r="EZ31" i="70" s="1"/>
  <c r="CY21" i="7" s="1"/>
  <c r="CC31" i="70"/>
  <c r="CE31" i="70" s="1"/>
  <c r="CQ31" i="70"/>
  <c r="CS31" i="70" s="1"/>
  <c r="DE31" i="70"/>
  <c r="DG31" i="70" s="1"/>
  <c r="DS31" i="70"/>
  <c r="DT31" i="70"/>
  <c r="EH31" i="70"/>
  <c r="CO21" i="7" s="1"/>
  <c r="EU31" i="70"/>
  <c r="CV21" i="7" s="1"/>
  <c r="GL31" i="70"/>
  <c r="DU21" i="7" s="1"/>
  <c r="GL33" i="70"/>
  <c r="DU23" i="7"/>
  <c r="BC33" i="70"/>
  <c r="FW33" i="70"/>
  <c r="DL23" i="7" s="1"/>
  <c r="Y34" i="70"/>
  <c r="AA34" i="70"/>
  <c r="AO34" i="70"/>
  <c r="CC34" i="70"/>
  <c r="CD34" i="70" s="1"/>
  <c r="CR34" i="70"/>
  <c r="CS34" i="70"/>
  <c r="K35" i="70"/>
  <c r="M35" i="70" s="1"/>
  <c r="FJ35" i="70"/>
  <c r="DE25" i="7"/>
  <c r="BO35" i="70"/>
  <c r="BQ35" i="70" s="1"/>
  <c r="CS35" i="70"/>
  <c r="DS35" i="70"/>
  <c r="DT35" i="70" s="1"/>
  <c r="FI35" i="70"/>
  <c r="DD25" i="7" s="1"/>
  <c r="EG36" i="70"/>
  <c r="CN26" i="7"/>
  <c r="L36" i="70"/>
  <c r="AA36" i="70"/>
  <c r="FJ36" i="70"/>
  <c r="DE26" i="7" s="1"/>
  <c r="EH37" i="70"/>
  <c r="CO27" i="7" s="1"/>
  <c r="FI37" i="70"/>
  <c r="DD27" i="7" s="1"/>
  <c r="FW37" i="70"/>
  <c r="DL27" i="7" s="1"/>
  <c r="Y38" i="70"/>
  <c r="AA38" i="70"/>
  <c r="AO38" i="70"/>
  <c r="CC38" i="70"/>
  <c r="CD38" i="70" s="1"/>
  <c r="CR38" i="70"/>
  <c r="CS38" i="70"/>
  <c r="DZ28" i="7"/>
  <c r="K39" i="70"/>
  <c r="AM39" i="70"/>
  <c r="CE39" i="70"/>
  <c r="CQ39" i="70"/>
  <c r="CR39" i="70" s="1"/>
  <c r="FW39" i="70"/>
  <c r="DL29" i="7"/>
  <c r="EV40" i="70"/>
  <c r="CW30" i="7" s="1"/>
  <c r="AC40" i="70"/>
  <c r="Y40" i="70"/>
  <c r="AA40" i="70"/>
  <c r="AM40" i="70"/>
  <c r="AO40" i="70" s="1"/>
  <c r="GL40" i="70"/>
  <c r="DU30" i="7"/>
  <c r="BA40" i="70"/>
  <c r="BC40" i="70" s="1"/>
  <c r="BO40" i="70"/>
  <c r="CC40" i="70"/>
  <c r="CD40" i="70" s="1"/>
  <c r="CQ40" i="70"/>
  <c r="FX40" i="70"/>
  <c r="DM30" i="7" s="1"/>
  <c r="DE40" i="70"/>
  <c r="DG40" i="70" s="1"/>
  <c r="DS40" i="70"/>
  <c r="DU40" i="70"/>
  <c r="M41" i="70"/>
  <c r="FJ41" i="70"/>
  <c r="DE31" i="7" s="1"/>
  <c r="DR31" i="7"/>
  <c r="EG43" i="70"/>
  <c r="CN33" i="7" s="1"/>
  <c r="EU43" i="70"/>
  <c r="CV33" i="7"/>
  <c r="Y43" i="70"/>
  <c r="FI43" i="70"/>
  <c r="DD33" i="7"/>
  <c r="AM43" i="70"/>
  <c r="AN43" i="70" s="1"/>
  <c r="DR33" i="7"/>
  <c r="DZ34" i="7"/>
  <c r="L45" i="70"/>
  <c r="DZ35" i="7"/>
  <c r="DB36" i="7"/>
  <c r="DR37" i="7"/>
  <c r="EH49" i="70"/>
  <c r="CO39" i="7" s="1"/>
  <c r="EV49" i="70"/>
  <c r="CW39" i="7" s="1"/>
  <c r="DR39" i="7"/>
  <c r="DR41" i="7"/>
  <c r="CT43" i="7"/>
  <c r="DZ43" i="7"/>
  <c r="Y30" i="70"/>
  <c r="AA30" i="70" s="1"/>
  <c r="AC30" i="70"/>
  <c r="AM30" i="70"/>
  <c r="AN30" i="70" s="1"/>
  <c r="BA30" i="70"/>
  <c r="BB30" i="70" s="1"/>
  <c r="BO30" i="70"/>
  <c r="BP30" i="70" s="1"/>
  <c r="CC30" i="70"/>
  <c r="CE30" i="70"/>
  <c r="CQ30" i="70"/>
  <c r="CS30" i="70"/>
  <c r="DE30" i="70"/>
  <c r="DG30" i="70"/>
  <c r="DS30" i="70"/>
  <c r="DU30" i="70"/>
  <c r="EH30" i="70"/>
  <c r="CO20" i="7"/>
  <c r="EU30" i="70"/>
  <c r="CV20" i="7"/>
  <c r="GL30" i="70"/>
  <c r="DU20" i="7"/>
  <c r="AN31" i="70"/>
  <c r="EV31" i="70"/>
  <c r="CW21" i="7" s="1"/>
  <c r="EG33" i="70"/>
  <c r="CN23" i="7" s="1"/>
  <c r="CE34" i="70"/>
  <c r="CT24" i="7"/>
  <c r="DZ24" i="7"/>
  <c r="L35" i="70"/>
  <c r="AA35" i="70"/>
  <c r="BA35" i="70"/>
  <c r="BB35" i="70"/>
  <c r="DE35" i="70"/>
  <c r="DF35" i="70" s="1"/>
  <c r="GK35" i="70"/>
  <c r="DT25" i="7" s="1"/>
  <c r="M36" i="70"/>
  <c r="GK36" i="70"/>
  <c r="DT26" i="7"/>
  <c r="DJ26" i="7"/>
  <c r="GL36" i="70"/>
  <c r="DU26" i="7"/>
  <c r="EU37" i="70"/>
  <c r="CV27" i="7"/>
  <c r="Y37" i="70"/>
  <c r="AA37" i="70"/>
  <c r="BA37" i="70"/>
  <c r="BC37" i="70"/>
  <c r="CC37" i="70"/>
  <c r="CE37" i="70"/>
  <c r="DE37" i="70"/>
  <c r="DG37" i="70"/>
  <c r="Z38" i="70"/>
  <c r="CE38" i="70"/>
  <c r="CT28" i="7"/>
  <c r="L39" i="70"/>
  <c r="AC39" i="70"/>
  <c r="FJ39" i="70"/>
  <c r="DE29" i="7"/>
  <c r="BA39" i="70"/>
  <c r="BC39" i="70" s="1"/>
  <c r="BB39" i="70"/>
  <c r="GK39" i="70"/>
  <c r="DT29" i="7"/>
  <c r="CS39" i="70"/>
  <c r="DE39" i="70"/>
  <c r="DF39" i="70"/>
  <c r="DT39" i="70"/>
  <c r="DJ29" i="7"/>
  <c r="DR30" i="7"/>
  <c r="FJ43" i="70"/>
  <c r="DE33" i="7"/>
  <c r="DZ33" i="7"/>
  <c r="M45" i="70"/>
  <c r="DB35" i="7"/>
  <c r="GL47" i="70"/>
  <c r="DU37" i="7"/>
  <c r="DB37" i="7"/>
  <c r="AC48" i="70"/>
  <c r="FJ49" i="70"/>
  <c r="DE39" i="7" s="1"/>
  <c r="FJ54" i="70"/>
  <c r="DE44" i="7"/>
  <c r="AO31" i="70"/>
  <c r="EV34" i="70"/>
  <c r="CW24" i="7" s="1"/>
  <c r="BP34" i="70"/>
  <c r="DT34" i="70"/>
  <c r="AC35" i="70"/>
  <c r="DU35" i="70"/>
  <c r="AN36" i="70"/>
  <c r="CR36" i="70"/>
  <c r="FW36" i="70"/>
  <c r="DL26" i="7" s="1"/>
  <c r="AC37" i="70"/>
  <c r="GL37" i="70"/>
  <c r="DU27" i="7"/>
  <c r="EV37" i="70"/>
  <c r="CW27" i="7"/>
  <c r="DR27" i="7"/>
  <c r="EV38" i="70"/>
  <c r="CW28" i="7"/>
  <c r="DB29" i="7"/>
  <c r="FI39" i="70"/>
  <c r="DD29" i="7"/>
  <c r="DJ30" i="7"/>
  <c r="DB31" i="7"/>
  <c r="AC43" i="70"/>
  <c r="DB33" i="7"/>
  <c r="FJ44" i="70"/>
  <c r="DE34" i="7" s="1"/>
  <c r="CT34" i="7"/>
  <c r="DR34" i="7"/>
  <c r="DJ35" i="7"/>
  <c r="EV46" i="70"/>
  <c r="CW36" i="7" s="1"/>
  <c r="FJ47" i="70"/>
  <c r="DE37" i="7" s="1"/>
  <c r="DB39" i="7"/>
  <c r="DB44" i="7"/>
  <c r="BB33" i="70"/>
  <c r="AC34" i="70"/>
  <c r="FW35" i="70"/>
  <c r="DL25" i="7" s="1"/>
  <c r="CR35" i="70"/>
  <c r="DG35" i="70"/>
  <c r="DB25" i="7"/>
  <c r="Z36" i="70"/>
  <c r="CD36" i="70"/>
  <c r="FX36" i="70"/>
  <c r="DM26" i="7" s="1"/>
  <c r="CS36" i="70"/>
  <c r="EU36" i="70"/>
  <c r="CV26" i="7"/>
  <c r="FI36" i="70"/>
  <c r="DD26" i="7" s="1"/>
  <c r="GK37" i="70"/>
  <c r="DT27" i="7"/>
  <c r="AC38" i="70"/>
  <c r="DF38" i="70"/>
  <c r="M39" i="70"/>
  <c r="EU39" i="70"/>
  <c r="CV29" i="7"/>
  <c r="Y39" i="70"/>
  <c r="Z39" i="70" s="1"/>
  <c r="DU39" i="70"/>
  <c r="EH40" i="70"/>
  <c r="CO30" i="7" s="1"/>
  <c r="Z40" i="70"/>
  <c r="BB40" i="70"/>
  <c r="DT40" i="70"/>
  <c r="CT30" i="7"/>
  <c r="L41" i="70"/>
  <c r="CT31" i="7"/>
  <c r="DZ31" i="7"/>
  <c r="DJ33" i="7"/>
  <c r="DB34" i="7"/>
  <c r="FJ45" i="70"/>
  <c r="DE35" i="7" s="1"/>
  <c r="DR35" i="7"/>
  <c r="CT38" i="7"/>
  <c r="DZ38" i="7"/>
  <c r="DU49" i="70"/>
  <c r="DJ41" i="7"/>
  <c r="AN34" i="70"/>
  <c r="AN38" i="70"/>
  <c r="EG40" i="70"/>
  <c r="CN30" i="7" s="1"/>
  <c r="GK40" i="70"/>
  <c r="DT30" i="7" s="1"/>
  <c r="Y41" i="70"/>
  <c r="Z41" i="70"/>
  <c r="AC41" i="70"/>
  <c r="AM41" i="70"/>
  <c r="AN41" i="70" s="1"/>
  <c r="BA41" i="70"/>
  <c r="BC41" i="70"/>
  <c r="BO41" i="70"/>
  <c r="BQ41" i="70" s="1"/>
  <c r="EZ41" i="70" s="1"/>
  <c r="CY31" i="7" s="1"/>
  <c r="CC41" i="70"/>
  <c r="CE41" i="70" s="1"/>
  <c r="CQ41" i="70"/>
  <c r="CS41" i="70" s="1"/>
  <c r="DE41" i="70"/>
  <c r="DF41" i="70" s="1"/>
  <c r="DS41" i="70"/>
  <c r="DT41" i="70"/>
  <c r="EH41" i="70"/>
  <c r="CO31" i="7" s="1"/>
  <c r="EU41" i="70"/>
  <c r="CV31" i="7" s="1"/>
  <c r="GL41" i="70"/>
  <c r="DU31" i="7" s="1"/>
  <c r="FW43" i="70"/>
  <c r="DL33" i="7" s="1"/>
  <c r="EG44" i="70"/>
  <c r="CN34" i="7" s="1"/>
  <c r="FX44" i="70"/>
  <c r="DM34" i="7" s="1"/>
  <c r="GK44" i="70"/>
  <c r="DT34" i="7" s="1"/>
  <c r="Y45" i="70"/>
  <c r="AA45" i="70" s="1"/>
  <c r="AC45" i="70"/>
  <c r="AM45" i="70"/>
  <c r="AN45" i="70"/>
  <c r="BA45" i="70"/>
  <c r="BC45" i="70" s="1"/>
  <c r="BO45" i="70"/>
  <c r="BP45" i="70"/>
  <c r="CC45" i="70"/>
  <c r="CD45" i="70" s="1"/>
  <c r="CQ45" i="70"/>
  <c r="DE45" i="70"/>
  <c r="DF45" i="70"/>
  <c r="DS45" i="70"/>
  <c r="DU45" i="70" s="1"/>
  <c r="EH45" i="70"/>
  <c r="CO35" i="7" s="1"/>
  <c r="EU45" i="70"/>
  <c r="CV35" i="7" s="1"/>
  <c r="GL45" i="70"/>
  <c r="DU35" i="7" s="1"/>
  <c r="EU46" i="70"/>
  <c r="CV36" i="7"/>
  <c r="Z46" i="70"/>
  <c r="BA46" i="70"/>
  <c r="BB46" i="70"/>
  <c r="CC46" i="70"/>
  <c r="CD46" i="70" s="1"/>
  <c r="DE46" i="70"/>
  <c r="DF46" i="70"/>
  <c r="FJ46" i="70"/>
  <c r="DE36" i="7" s="1"/>
  <c r="FX46" i="70"/>
  <c r="DM36" i="7"/>
  <c r="K47" i="70"/>
  <c r="M47" i="70" s="1"/>
  <c r="CD47" i="70"/>
  <c r="CE47" i="70"/>
  <c r="CT37" i="7"/>
  <c r="DZ37" i="7"/>
  <c r="L48" i="70"/>
  <c r="BA48" i="70"/>
  <c r="BC48" i="70" s="1"/>
  <c r="DE48" i="70"/>
  <c r="DG48" i="70" s="1"/>
  <c r="DF48" i="70"/>
  <c r="EU48" i="70"/>
  <c r="CV38" i="7" s="1"/>
  <c r="GK48" i="70"/>
  <c r="DT38" i="7" s="1"/>
  <c r="M49" i="70"/>
  <c r="AC49" i="70"/>
  <c r="GK49" i="70"/>
  <c r="DT39" i="7" s="1"/>
  <c r="DJ39" i="7"/>
  <c r="GL49" i="70"/>
  <c r="DU39" i="7"/>
  <c r="EU50" i="70"/>
  <c r="CV40" i="7" s="1"/>
  <c r="Y50" i="70"/>
  <c r="AA50" i="70"/>
  <c r="AB50" i="70"/>
  <c r="CT40" i="7"/>
  <c r="BB51" i="70"/>
  <c r="DF51" i="70"/>
  <c r="CT41" i="7"/>
  <c r="AC53" i="70"/>
  <c r="AM53" i="70"/>
  <c r="AN53" i="70"/>
  <c r="CQ53" i="70"/>
  <c r="CR53" i="70" s="1"/>
  <c r="FW53" i="70"/>
  <c r="DL43" i="7" s="1"/>
  <c r="L55" i="70"/>
  <c r="BC55" i="70"/>
  <c r="BP55" i="70"/>
  <c r="DR45" i="7"/>
  <c r="DB46" i="7"/>
  <c r="FJ57" i="70"/>
  <c r="DE47" i="7"/>
  <c r="CT47" i="7"/>
  <c r="FJ58" i="70"/>
  <c r="DE48" i="7"/>
  <c r="CT48" i="7"/>
  <c r="DR48" i="7"/>
  <c r="DR49" i="7"/>
  <c r="EH60" i="70"/>
  <c r="CO50" i="7"/>
  <c r="EV60" i="70"/>
  <c r="CW50" i="7" s="1"/>
  <c r="DJ53" i="7"/>
  <c r="CR41" i="70"/>
  <c r="GK43" i="70"/>
  <c r="DT33" i="7"/>
  <c r="Y44" i="70"/>
  <c r="Z44" i="70" s="1"/>
  <c r="AC44" i="70"/>
  <c r="AM44" i="70"/>
  <c r="AO44" i="70"/>
  <c r="BA44" i="70"/>
  <c r="BC44" i="70" s="1"/>
  <c r="BO44" i="70"/>
  <c r="BQ44" i="70" s="1"/>
  <c r="CC44" i="70"/>
  <c r="CE44" i="70"/>
  <c r="CQ44" i="70"/>
  <c r="CS44" i="70" s="1"/>
  <c r="DE44" i="70"/>
  <c r="DF44" i="70"/>
  <c r="DS44" i="70"/>
  <c r="DU44" i="70" s="1"/>
  <c r="EH44" i="70"/>
  <c r="CO34" i="7"/>
  <c r="GL44" i="70"/>
  <c r="DU34" i="7" s="1"/>
  <c r="EH46" i="70"/>
  <c r="CO36" i="7"/>
  <c r="M46" i="70"/>
  <c r="AA46" i="70"/>
  <c r="GL46" i="70"/>
  <c r="DU36" i="7"/>
  <c r="DR36" i="7"/>
  <c r="L47" i="70"/>
  <c r="EV47" i="70"/>
  <c r="CW37" i="7" s="1"/>
  <c r="BA47" i="70"/>
  <c r="BB47" i="70"/>
  <c r="DE47" i="70"/>
  <c r="DG47" i="70" s="1"/>
  <c r="DT47" i="70"/>
  <c r="DU47" i="70"/>
  <c r="M48" i="70"/>
  <c r="BQ48" i="70"/>
  <c r="DU48" i="70"/>
  <c r="Y49" i="70"/>
  <c r="AA49" i="70" s="1"/>
  <c r="CC49" i="70"/>
  <c r="CD49" i="70" s="1"/>
  <c r="CR49" i="70"/>
  <c r="FW49" i="70"/>
  <c r="DL39" i="7" s="1"/>
  <c r="EV50" i="70"/>
  <c r="CW40" i="7"/>
  <c r="AC50" i="70"/>
  <c r="DG51" i="70"/>
  <c r="DZ41" i="7"/>
  <c r="EG53" i="70"/>
  <c r="CN43" i="7" s="1"/>
  <c r="L53" i="70"/>
  <c r="BA53" i="70"/>
  <c r="BC53" i="70" s="1"/>
  <c r="GK53" i="70"/>
  <c r="DT43" i="7" s="1"/>
  <c r="FX53" i="70"/>
  <c r="DM43" i="7" s="1"/>
  <c r="DE53" i="70"/>
  <c r="DG53" i="70"/>
  <c r="EV53" i="70"/>
  <c r="CW43" i="7" s="1"/>
  <c r="DJ43" i="7"/>
  <c r="L54" i="70"/>
  <c r="GL54" i="70"/>
  <c r="DU44" i="7" s="1"/>
  <c r="DR44" i="7"/>
  <c r="DZ44" i="7"/>
  <c r="M55" i="70"/>
  <c r="BQ55" i="70"/>
  <c r="DB45" i="7"/>
  <c r="DJ46" i="7"/>
  <c r="DB47" i="7"/>
  <c r="DZ47" i="7"/>
  <c r="L58" i="70"/>
  <c r="AC59" i="70"/>
  <c r="DZ50" i="7"/>
  <c r="DZ51" i="7"/>
  <c r="K43" i="70"/>
  <c r="L43" i="70"/>
  <c r="BA43" i="70"/>
  <c r="BC43" i="70" s="1"/>
  <c r="BO43" i="70"/>
  <c r="BQ43" i="70"/>
  <c r="CC43" i="70"/>
  <c r="CE43" i="70" s="1"/>
  <c r="CQ43" i="70"/>
  <c r="CS43" i="70"/>
  <c r="DE43" i="70"/>
  <c r="DF43" i="70" s="1"/>
  <c r="DS43" i="70"/>
  <c r="DT43" i="70"/>
  <c r="AN44" i="70"/>
  <c r="EV44" i="70"/>
  <c r="CW34" i="7" s="1"/>
  <c r="AO45" i="70"/>
  <c r="BO46" i="70"/>
  <c r="BP46" i="70" s="1"/>
  <c r="EY46" i="70" s="1"/>
  <c r="CX36" i="7" s="1"/>
  <c r="CQ46" i="70"/>
  <c r="CR46" i="70"/>
  <c r="DS46" i="70"/>
  <c r="DT46" i="70"/>
  <c r="EG46" i="70"/>
  <c r="CN36" i="7" s="1"/>
  <c r="AC47" i="70"/>
  <c r="Y48" i="70"/>
  <c r="AA48" i="70"/>
  <c r="CC48" i="70"/>
  <c r="CE48" i="70" s="1"/>
  <c r="FW48" i="70"/>
  <c r="DL38" i="7"/>
  <c r="CR48" i="70"/>
  <c r="DB38" i="7"/>
  <c r="AB49" i="70"/>
  <c r="FX49" i="70"/>
  <c r="DM39" i="7" s="1"/>
  <c r="CS49" i="70"/>
  <c r="EU49" i="70"/>
  <c r="CV39" i="7" s="1"/>
  <c r="FI49" i="70"/>
  <c r="DD39" i="7" s="1"/>
  <c r="BP51" i="70"/>
  <c r="CR51" i="70"/>
  <c r="DT51" i="70"/>
  <c r="EH53" i="70"/>
  <c r="CO43" i="7" s="1"/>
  <c r="M53" i="70"/>
  <c r="GL53" i="70"/>
  <c r="DU43" i="7" s="1"/>
  <c r="BO53" i="70"/>
  <c r="BP53" i="70" s="1"/>
  <c r="EY53" i="70" s="1"/>
  <c r="CX43" i="7" s="1"/>
  <c r="DS53" i="70"/>
  <c r="DT53" i="70"/>
  <c r="EH54" i="70"/>
  <c r="CO44" i="7" s="1"/>
  <c r="CT44" i="7"/>
  <c r="CR55" i="70"/>
  <c r="DZ45" i="7"/>
  <c r="DR46" i="7"/>
  <c r="DJ47" i="7"/>
  <c r="M58" i="70"/>
  <c r="DB48" i="7"/>
  <c r="DZ48" i="7"/>
  <c r="BC60" i="70"/>
  <c r="DB50" i="7"/>
  <c r="FJ61" i="70"/>
  <c r="DE51" i="7"/>
  <c r="AC63" i="70"/>
  <c r="DJ55" i="7"/>
  <c r="EH47" i="70"/>
  <c r="CO37" i="7" s="1"/>
  <c r="FJ48" i="70"/>
  <c r="DE38" i="7"/>
  <c r="EG49" i="70"/>
  <c r="CN39" i="7" s="1"/>
  <c r="L49" i="70"/>
  <c r="BP49" i="70"/>
  <c r="DT49" i="70"/>
  <c r="EH50" i="70"/>
  <c r="CO40" i="7" s="1"/>
  <c r="GL50" i="70"/>
  <c r="DU40" i="7" s="1"/>
  <c r="DR40" i="7"/>
  <c r="FJ51" i="70"/>
  <c r="DE41" i="7" s="1"/>
  <c r="EU53" i="70"/>
  <c r="CV43" i="7" s="1"/>
  <c r="Y53" i="70"/>
  <c r="AA53" i="70" s="1"/>
  <c r="CC53" i="70"/>
  <c r="CE53" i="70" s="1"/>
  <c r="EV54" i="70"/>
  <c r="CW44" i="7" s="1"/>
  <c r="AC54" i="70"/>
  <c r="FJ55" i="70"/>
  <c r="DE45" i="7"/>
  <c r="CT45" i="7"/>
  <c r="DJ45" i="7"/>
  <c r="FJ56" i="70"/>
  <c r="DE46" i="7" s="1"/>
  <c r="CT46" i="7"/>
  <c r="DZ46" i="7"/>
  <c r="DR47" i="7"/>
  <c r="DJ48" i="7"/>
  <c r="DJ49" i="7"/>
  <c r="FJ64" i="70"/>
  <c r="DE54" i="7" s="1"/>
  <c r="AN47" i="70"/>
  <c r="AM50" i="70"/>
  <c r="AO50" i="70" s="1"/>
  <c r="BA50" i="70"/>
  <c r="BC50" i="70" s="1"/>
  <c r="BO50" i="70"/>
  <c r="BP50" i="70" s="1"/>
  <c r="CC50" i="70"/>
  <c r="CE50" i="70" s="1"/>
  <c r="CQ50" i="70"/>
  <c r="CS50" i="70" s="1"/>
  <c r="DE50" i="70"/>
  <c r="DG50" i="70"/>
  <c r="DS50" i="70"/>
  <c r="DU50" i="70" s="1"/>
  <c r="AN51" i="70"/>
  <c r="EV51" i="70"/>
  <c r="CW41" i="7"/>
  <c r="Y54" i="70"/>
  <c r="AA54" i="70" s="1"/>
  <c r="AM54" i="70"/>
  <c r="AO54" i="70"/>
  <c r="BA54" i="70"/>
  <c r="BC54" i="70" s="1"/>
  <c r="BO54" i="70"/>
  <c r="BP54" i="70"/>
  <c r="CC54" i="70"/>
  <c r="CE54" i="70" s="1"/>
  <c r="CQ54" i="70"/>
  <c r="CS54" i="70"/>
  <c r="DE54" i="70"/>
  <c r="DG54" i="70" s="1"/>
  <c r="DS54" i="70"/>
  <c r="DU54" i="70"/>
  <c r="EU54" i="70"/>
  <c r="CV44" i="7" s="1"/>
  <c r="EV55" i="70"/>
  <c r="CW45" i="7" s="1"/>
  <c r="FW56" i="70"/>
  <c r="DL46" i="7" s="1"/>
  <c r="EG57" i="70"/>
  <c r="CN47" i="7" s="1"/>
  <c r="FX57" i="70"/>
  <c r="DM47" i="7" s="1"/>
  <c r="GK57" i="70"/>
  <c r="DT47" i="7"/>
  <c r="Y58" i="70"/>
  <c r="Z58" i="70" s="1"/>
  <c r="AC58" i="70"/>
  <c r="AM58" i="70"/>
  <c r="BA58" i="70"/>
  <c r="BB58" i="70" s="1"/>
  <c r="BO58" i="70"/>
  <c r="BP58" i="70" s="1"/>
  <c r="CC58" i="70"/>
  <c r="CD58" i="70" s="1"/>
  <c r="CQ58" i="70"/>
  <c r="CR58" i="70"/>
  <c r="DE58" i="70"/>
  <c r="DF58" i="70" s="1"/>
  <c r="DS58" i="70"/>
  <c r="DU58" i="70"/>
  <c r="EH58" i="70"/>
  <c r="CO48" i="7" s="1"/>
  <c r="EU58" i="70"/>
  <c r="CV48" i="7" s="1"/>
  <c r="GL58" i="70"/>
  <c r="DU48" i="7"/>
  <c r="FJ59" i="70"/>
  <c r="DE49" i="7" s="1"/>
  <c r="BO59" i="70"/>
  <c r="BQ59" i="70" s="1"/>
  <c r="DS59" i="70"/>
  <c r="DT59" i="70"/>
  <c r="FI59" i="70"/>
  <c r="DD49" i="7" s="1"/>
  <c r="EG60" i="70"/>
  <c r="CN50" i="7"/>
  <c r="L60" i="70"/>
  <c r="AA60" i="70"/>
  <c r="DT60" i="70"/>
  <c r="FJ60" i="70"/>
  <c r="DE50" i="7" s="1"/>
  <c r="EH61" i="70"/>
  <c r="CO51" i="7"/>
  <c r="FI61" i="70"/>
  <c r="DD51" i="7"/>
  <c r="FW61" i="70"/>
  <c r="DL51" i="7" s="1"/>
  <c r="K63" i="70"/>
  <c r="FJ63" i="70"/>
  <c r="DE53" i="7"/>
  <c r="BO63" i="70"/>
  <c r="BP63" i="70"/>
  <c r="DS63" i="70"/>
  <c r="DU63" i="70" s="1"/>
  <c r="DT63" i="70"/>
  <c r="FI63" i="70"/>
  <c r="DD53" i="7"/>
  <c r="DJ54" i="7"/>
  <c r="DB55" i="7"/>
  <c r="L66" i="70"/>
  <c r="DZ56" i="7"/>
  <c r="FJ67" i="70"/>
  <c r="DE57" i="7"/>
  <c r="CT57" i="7"/>
  <c r="DZ57" i="7"/>
  <c r="GL68" i="70"/>
  <c r="DU58" i="7"/>
  <c r="EH70" i="70"/>
  <c r="CO60" i="7"/>
  <c r="FX70" i="70"/>
  <c r="DM60" i="7"/>
  <c r="AO51" i="70"/>
  <c r="AN54" i="70"/>
  <c r="EG56" i="70"/>
  <c r="CN46" i="7"/>
  <c r="GK56" i="70"/>
  <c r="DT46" i="7"/>
  <c r="Y57" i="70"/>
  <c r="AA57" i="70" s="1"/>
  <c r="AC57" i="70"/>
  <c r="AM57" i="70"/>
  <c r="AO57" i="70"/>
  <c r="BA57" i="70"/>
  <c r="BC57" i="70"/>
  <c r="BO57" i="70"/>
  <c r="BP57" i="70" s="1"/>
  <c r="CC57" i="70"/>
  <c r="CD57" i="70" s="1"/>
  <c r="CQ57" i="70"/>
  <c r="CR57" i="70"/>
  <c r="DE57" i="70"/>
  <c r="DF57" i="70" s="1"/>
  <c r="DS57" i="70"/>
  <c r="DT57" i="70"/>
  <c r="EH57" i="70"/>
  <c r="CO47" i="7" s="1"/>
  <c r="EU57" i="70"/>
  <c r="CV47" i="7" s="1"/>
  <c r="GL57" i="70"/>
  <c r="DU47" i="7" s="1"/>
  <c r="EV58" i="70"/>
  <c r="CW48" i="7" s="1"/>
  <c r="BA59" i="70"/>
  <c r="BC59" i="70" s="1"/>
  <c r="BP59" i="70"/>
  <c r="CE59" i="70"/>
  <c r="DE59" i="70"/>
  <c r="DF59" i="70" s="1"/>
  <c r="EG59" i="70"/>
  <c r="CN49" i="7" s="1"/>
  <c r="GK59" i="70"/>
  <c r="DT49" i="7"/>
  <c r="M60" i="70"/>
  <c r="GK60" i="70"/>
  <c r="DT50" i="7" s="1"/>
  <c r="BB60" i="70"/>
  <c r="DF60" i="70"/>
  <c r="DJ50" i="7"/>
  <c r="GL60" i="70"/>
  <c r="DU50" i="7" s="1"/>
  <c r="EU61" i="70"/>
  <c r="CV51" i="7" s="1"/>
  <c r="Y61" i="70"/>
  <c r="Z61" i="70" s="1"/>
  <c r="BA61" i="70"/>
  <c r="BC61" i="70" s="1"/>
  <c r="CC61" i="70"/>
  <c r="CE61" i="70" s="1"/>
  <c r="CD61" i="70"/>
  <c r="DE61" i="70"/>
  <c r="DF61" i="70" s="1"/>
  <c r="L63" i="70"/>
  <c r="AA63" i="70"/>
  <c r="BA63" i="70"/>
  <c r="DE63" i="70"/>
  <c r="L65" i="70"/>
  <c r="CT55" i="7"/>
  <c r="M66" i="70"/>
  <c r="CT56" i="7"/>
  <c r="DJ56" i="7"/>
  <c r="DB57" i="7"/>
  <c r="CT58" i="7"/>
  <c r="DJ59" i="7"/>
  <c r="DJ60" i="7"/>
  <c r="DJ63" i="7"/>
  <c r="Y56" i="70"/>
  <c r="AA56" i="70"/>
  <c r="AM56" i="70"/>
  <c r="AO56" i="70" s="1"/>
  <c r="AN56" i="70"/>
  <c r="BA56" i="70"/>
  <c r="BC56" i="70"/>
  <c r="BO56" i="70"/>
  <c r="BQ56" i="70" s="1"/>
  <c r="CC56" i="70"/>
  <c r="CD56" i="70" s="1"/>
  <c r="CQ56" i="70"/>
  <c r="CS56" i="70" s="1"/>
  <c r="DE56" i="70"/>
  <c r="DG56" i="70"/>
  <c r="DS56" i="70"/>
  <c r="DT56" i="70" s="1"/>
  <c r="EU56" i="70"/>
  <c r="CV46" i="7" s="1"/>
  <c r="EV57" i="70"/>
  <c r="CW47" i="7" s="1"/>
  <c r="AM59" i="70"/>
  <c r="AN59" i="70"/>
  <c r="CQ59" i="70"/>
  <c r="CS59" i="70"/>
  <c r="FW60" i="70"/>
  <c r="DL50" i="7" s="1"/>
  <c r="L61" i="70"/>
  <c r="AC61" i="70"/>
  <c r="GL61" i="70"/>
  <c r="DU51" i="7" s="1"/>
  <c r="CR61" i="70"/>
  <c r="DT61" i="70"/>
  <c r="EV61" i="70"/>
  <c r="CW51" i="7"/>
  <c r="DR51" i="7"/>
  <c r="M63" i="70"/>
  <c r="AM63" i="70"/>
  <c r="AN63" i="70"/>
  <c r="CQ63" i="70"/>
  <c r="CS63" i="70"/>
  <c r="EH64" i="70"/>
  <c r="CO54" i="7" s="1"/>
  <c r="CT54" i="7"/>
  <c r="M65" i="70"/>
  <c r="FJ65" i="70"/>
  <c r="DE55" i="7" s="1"/>
  <c r="DR55" i="7"/>
  <c r="FJ66" i="70"/>
  <c r="DE56" i="7" s="1"/>
  <c r="GL66" i="70"/>
  <c r="DU56" i="7" s="1"/>
  <c r="FX66" i="70"/>
  <c r="DM56" i="7" s="1"/>
  <c r="DR56" i="7"/>
  <c r="AC67" i="70"/>
  <c r="DJ57" i="7"/>
  <c r="DB58" i="7"/>
  <c r="GL70" i="70"/>
  <c r="DU60" i="7" s="1"/>
  <c r="AC71" i="70"/>
  <c r="AB60" i="70"/>
  <c r="Z60" i="70"/>
  <c r="FX60" i="70"/>
  <c r="DM50" i="7"/>
  <c r="EU60" i="70"/>
  <c r="CV50" i="7" s="1"/>
  <c r="FI60" i="70"/>
  <c r="DD50" i="7" s="1"/>
  <c r="CR63" i="70"/>
  <c r="DB53" i="7"/>
  <c r="EV64" i="70"/>
  <c r="CW54" i="7" s="1"/>
  <c r="AC64" i="70"/>
  <c r="GL64" i="70"/>
  <c r="DU54" i="7"/>
  <c r="FX64" i="70"/>
  <c r="DM54" i="7"/>
  <c r="DR54" i="7"/>
  <c r="DR57" i="7"/>
  <c r="DZ58" i="7"/>
  <c r="CT59" i="7"/>
  <c r="DZ59" i="7"/>
  <c r="FJ70" i="70"/>
  <c r="DE60" i="7"/>
  <c r="DR61" i="7"/>
  <c r="FX73" i="70"/>
  <c r="DM63" i="7" s="1"/>
  <c r="AO63" i="70"/>
  <c r="EG64" i="70"/>
  <c r="CN54" i="7" s="1"/>
  <c r="GK64" i="70"/>
  <c r="DT54" i="7" s="1"/>
  <c r="Y65" i="70"/>
  <c r="Z65" i="70"/>
  <c r="AC65" i="70"/>
  <c r="AM65" i="70"/>
  <c r="AN65" i="70" s="1"/>
  <c r="BA65" i="70"/>
  <c r="BC65" i="70"/>
  <c r="BO65" i="70"/>
  <c r="BP65" i="70"/>
  <c r="CC65" i="70"/>
  <c r="CD65" i="70"/>
  <c r="CQ65" i="70"/>
  <c r="CS65" i="70"/>
  <c r="DE65" i="70"/>
  <c r="DG65" i="70" s="1"/>
  <c r="EZ65" i="70" s="1"/>
  <c r="CY55" i="7" s="1"/>
  <c r="DS65" i="70"/>
  <c r="DU65" i="70" s="1"/>
  <c r="EH65" i="70"/>
  <c r="CO55" i="7" s="1"/>
  <c r="EU65" i="70"/>
  <c r="CV55" i="7" s="1"/>
  <c r="GL65" i="70"/>
  <c r="DU55" i="7" s="1"/>
  <c r="AN66" i="70"/>
  <c r="EV66" i="70"/>
  <c r="CW56" i="7"/>
  <c r="FW67" i="70"/>
  <c r="DL57" i="7" s="1"/>
  <c r="EG68" i="70"/>
  <c r="CN58" i="7" s="1"/>
  <c r="FW68" i="70"/>
  <c r="DL58" i="7" s="1"/>
  <c r="L69" i="70"/>
  <c r="AC69" i="70"/>
  <c r="GL69" i="70"/>
  <c r="DU59" i="7" s="1"/>
  <c r="EV69" i="70"/>
  <c r="CW59" i="7"/>
  <c r="DR59" i="7"/>
  <c r="L70" i="70"/>
  <c r="M70" i="70"/>
  <c r="EV70" i="70"/>
  <c r="CW60" i="7" s="1"/>
  <c r="BA70" i="70"/>
  <c r="BB70" i="70" s="1"/>
  <c r="DT70" i="70"/>
  <c r="DU70" i="70"/>
  <c r="M71" i="70"/>
  <c r="AM71" i="70"/>
  <c r="AN71" i="70"/>
  <c r="CQ71" i="70"/>
  <c r="CR71" i="70" s="1"/>
  <c r="L73" i="70"/>
  <c r="EV73" i="70"/>
  <c r="CW63" i="7"/>
  <c r="AC73" i="70"/>
  <c r="GL73" i="70"/>
  <c r="DU63" i="7" s="1"/>
  <c r="CT63" i="7"/>
  <c r="DZ63" i="7"/>
  <c r="DB64" i="7"/>
  <c r="DJ65" i="7"/>
  <c r="EV76" i="70"/>
  <c r="CW66" i="7" s="1"/>
  <c r="DB66" i="7"/>
  <c r="DR68" i="7"/>
  <c r="DJ69" i="7"/>
  <c r="EV80" i="70"/>
  <c r="CW70" i="7" s="1"/>
  <c r="Y64" i="70"/>
  <c r="Z64" i="70" s="1"/>
  <c r="AM64" i="70"/>
  <c r="AO64" i="70"/>
  <c r="BA64" i="70"/>
  <c r="BB64" i="70" s="1"/>
  <c r="BO64" i="70"/>
  <c r="BQ64" i="70" s="1"/>
  <c r="EZ64" i="70" s="1"/>
  <c r="CY54" i="7" s="1"/>
  <c r="CC64" i="70"/>
  <c r="CQ64" i="70"/>
  <c r="CR64" i="70"/>
  <c r="DE64" i="70"/>
  <c r="DG64" i="70" s="1"/>
  <c r="DS64" i="70"/>
  <c r="DU64" i="70" s="1"/>
  <c r="EU64" i="70"/>
  <c r="CV54" i="7" s="1"/>
  <c r="EV65" i="70"/>
  <c r="CW55" i="7" s="1"/>
  <c r="AO66" i="70"/>
  <c r="BC66" i="70"/>
  <c r="CS66" i="70"/>
  <c r="EG67" i="70"/>
  <c r="CN57" i="7" s="1"/>
  <c r="GK67" i="70"/>
  <c r="DT57" i="7" s="1"/>
  <c r="Y68" i="70"/>
  <c r="Z68" i="70" s="1"/>
  <c r="AC68" i="70"/>
  <c r="AM68" i="70"/>
  <c r="AO68" i="70" s="1"/>
  <c r="BA68" i="70"/>
  <c r="BB68" i="70" s="1"/>
  <c r="BO68" i="70"/>
  <c r="BQ68" i="70"/>
  <c r="CC68" i="70"/>
  <c r="CQ68" i="70"/>
  <c r="CR68" i="70" s="1"/>
  <c r="DE68" i="70"/>
  <c r="DG68" i="70" s="1"/>
  <c r="DS68" i="70"/>
  <c r="DT68" i="70"/>
  <c r="EH68" i="70"/>
  <c r="CO58" i="7"/>
  <c r="M69" i="70"/>
  <c r="AM69" i="70"/>
  <c r="AO69" i="70" s="1"/>
  <c r="BO69" i="70"/>
  <c r="BQ69" i="70" s="1"/>
  <c r="EZ69" i="70" s="1"/>
  <c r="CY59" i="7" s="1"/>
  <c r="CQ69" i="70"/>
  <c r="CR69" i="70" s="1"/>
  <c r="DS69" i="70"/>
  <c r="DU69" i="70" s="1"/>
  <c r="EG69" i="70"/>
  <c r="CN59" i="7" s="1"/>
  <c r="GK69" i="70"/>
  <c r="DT59" i="7" s="1"/>
  <c r="AC70" i="70"/>
  <c r="AM70" i="70"/>
  <c r="AN70" i="70"/>
  <c r="BC70" i="70"/>
  <c r="CQ70" i="70"/>
  <c r="CR70" i="70" s="1"/>
  <c r="DF70" i="70"/>
  <c r="DG70" i="70"/>
  <c r="BC71" i="70"/>
  <c r="DG71" i="70"/>
  <c r="DB61" i="7"/>
  <c r="FI73" i="70"/>
  <c r="DD63" i="7"/>
  <c r="AM73" i="70"/>
  <c r="AN73" i="70" s="1"/>
  <c r="BO73" i="70"/>
  <c r="BP73" i="70" s="1"/>
  <c r="CQ73" i="70"/>
  <c r="CS73" i="70" s="1"/>
  <c r="CT64" i="7"/>
  <c r="DJ67" i="7"/>
  <c r="DB71" i="7"/>
  <c r="AO65" i="70"/>
  <c r="K67" i="70"/>
  <c r="L67" i="70"/>
  <c r="Y67" i="70"/>
  <c r="AA67" i="70"/>
  <c r="AM67" i="70"/>
  <c r="AO67" i="70"/>
  <c r="BA67" i="70"/>
  <c r="BC67" i="70"/>
  <c r="BO67" i="70"/>
  <c r="BQ67" i="70"/>
  <c r="CC67" i="70"/>
  <c r="CE67" i="70"/>
  <c r="CQ67" i="70"/>
  <c r="CR67" i="70"/>
  <c r="DE67" i="70"/>
  <c r="DG67" i="70"/>
  <c r="DS67" i="70"/>
  <c r="DT67" i="70"/>
  <c r="EU67" i="70"/>
  <c r="CV57" i="7"/>
  <c r="EV68" i="70"/>
  <c r="CW58" i="7"/>
  <c r="FJ68" i="70"/>
  <c r="DE58" i="7"/>
  <c r="EH69" i="70"/>
  <c r="CO59" i="7"/>
  <c r="BB69" i="70"/>
  <c r="CD69" i="70"/>
  <c r="DF69" i="70"/>
  <c r="FI69" i="70"/>
  <c r="DD59" i="7" s="1"/>
  <c r="FW69" i="70"/>
  <c r="DL59" i="7" s="1"/>
  <c r="AO70" i="70"/>
  <c r="FJ71" i="70"/>
  <c r="DE61" i="7"/>
  <c r="BO71" i="70"/>
  <c r="BQ71" i="70"/>
  <c r="DS71" i="70"/>
  <c r="DT71" i="70"/>
  <c r="EH73" i="70"/>
  <c r="CO63" i="7"/>
  <c r="BB73" i="70"/>
  <c r="CD73" i="70"/>
  <c r="GK73" i="70"/>
  <c r="DT63" i="7"/>
  <c r="EH74" i="70"/>
  <c r="CO64" i="7"/>
  <c r="FJ74" i="70"/>
  <c r="DE64" i="7"/>
  <c r="GL74" i="70"/>
  <c r="DU64" i="7"/>
  <c r="EH78" i="70"/>
  <c r="CO68" i="7" s="1"/>
  <c r="AA78" i="70"/>
  <c r="FJ78" i="70"/>
  <c r="DE68" i="7" s="1"/>
  <c r="FX68" i="70"/>
  <c r="DM58" i="7" s="1"/>
  <c r="CS68" i="70"/>
  <c r="DJ58" i="7"/>
  <c r="EU69" i="70"/>
  <c r="CV59" i="7" s="1"/>
  <c r="Y69" i="70"/>
  <c r="AA69" i="70" s="1"/>
  <c r="Z70" i="70"/>
  <c r="CT60" i="7"/>
  <c r="DZ60" i="7"/>
  <c r="L71" i="70"/>
  <c r="EU73" i="70"/>
  <c r="CV63" i="7" s="1"/>
  <c r="Y73" i="70"/>
  <c r="AA73" i="70" s="1"/>
  <c r="EZ73" i="70" s="1"/>
  <c r="CY63" i="7" s="1"/>
  <c r="FJ73" i="70"/>
  <c r="DE63" i="7" s="1"/>
  <c r="DR63" i="7"/>
  <c r="K74" i="70"/>
  <c r="L74" i="70"/>
  <c r="AC74" i="70"/>
  <c r="Y74" i="70"/>
  <c r="AA74" i="70" s="1"/>
  <c r="AM74" i="70"/>
  <c r="BA74" i="70"/>
  <c r="BB74" i="70"/>
  <c r="BO74" i="70"/>
  <c r="BP74" i="70"/>
  <c r="CC74" i="70"/>
  <c r="CE74" i="70" s="1"/>
  <c r="CQ74" i="70"/>
  <c r="CR74" i="70" s="1"/>
  <c r="DE74" i="70"/>
  <c r="DF74" i="70" s="1"/>
  <c r="DS74" i="70"/>
  <c r="DR64" i="7"/>
  <c r="DZ64" i="7"/>
  <c r="EH76" i="70"/>
  <c r="CO66" i="7" s="1"/>
  <c r="FJ76" i="70"/>
  <c r="DE66" i="7" s="1"/>
  <c r="DZ66" i="7"/>
  <c r="GL78" i="70"/>
  <c r="DU68" i="7" s="1"/>
  <c r="DJ68" i="7"/>
  <c r="BP79" i="70"/>
  <c r="AO71" i="70"/>
  <c r="DE73" i="70"/>
  <c r="DF73" i="70" s="1"/>
  <c r="DS73" i="70"/>
  <c r="DT73" i="70" s="1"/>
  <c r="EV74" i="70"/>
  <c r="CW64" i="7" s="1"/>
  <c r="FJ75" i="70"/>
  <c r="DE65" i="7"/>
  <c r="AO75" i="70"/>
  <c r="CF75" i="70"/>
  <c r="DE75" i="70"/>
  <c r="DG75" i="70" s="1"/>
  <c r="DF75" i="70"/>
  <c r="EG75" i="70"/>
  <c r="CN65" i="7"/>
  <c r="EU75" i="70"/>
  <c r="CV65" i="7"/>
  <c r="GK75" i="70"/>
  <c r="DT65" i="7"/>
  <c r="M76" i="70"/>
  <c r="AC76" i="70"/>
  <c r="AM76" i="70"/>
  <c r="AN76" i="70"/>
  <c r="GK76" i="70"/>
  <c r="DT66" i="7"/>
  <c r="BD76" i="70"/>
  <c r="BB76" i="70"/>
  <c r="CG76" i="70"/>
  <c r="CQ76" i="70"/>
  <c r="CS76" i="70" s="1"/>
  <c r="DF76" i="70"/>
  <c r="DJ66" i="7"/>
  <c r="GL76" i="70"/>
  <c r="DU66" i="7"/>
  <c r="EU77" i="70"/>
  <c r="CV67" i="7"/>
  <c r="Y77" i="70"/>
  <c r="Z77" i="70"/>
  <c r="BA77" i="70"/>
  <c r="BB77" i="70"/>
  <c r="CC77" i="70"/>
  <c r="CD77" i="70"/>
  <c r="DE77" i="70"/>
  <c r="DF77" i="70"/>
  <c r="FJ77" i="70"/>
  <c r="DE67" i="7"/>
  <c r="FX77" i="70"/>
  <c r="DM67" i="7"/>
  <c r="Z78" i="70"/>
  <c r="BE78" i="70"/>
  <c r="BO78" i="70"/>
  <c r="BQ78" i="70"/>
  <c r="DI78" i="70"/>
  <c r="DS78" i="70"/>
  <c r="DU78" i="70" s="1"/>
  <c r="CT68" i="7"/>
  <c r="DZ68" i="7"/>
  <c r="L79" i="70"/>
  <c r="AA79" i="70"/>
  <c r="AB79" i="70"/>
  <c r="BA79" i="70"/>
  <c r="BB79" i="70" s="1"/>
  <c r="CF79" i="70"/>
  <c r="DE79" i="70"/>
  <c r="DF79" i="70" s="1"/>
  <c r="EU79" i="70"/>
  <c r="CV69" i="7"/>
  <c r="GK79" i="70"/>
  <c r="DT69" i="7" s="1"/>
  <c r="EH80" i="70"/>
  <c r="CO70" i="7" s="1"/>
  <c r="M80" i="70"/>
  <c r="AC80" i="70"/>
  <c r="AM80" i="70"/>
  <c r="AO80" i="70" s="1"/>
  <c r="GL80" i="70"/>
  <c r="DU70" i="7" s="1"/>
  <c r="BE80" i="70"/>
  <c r="BO80" i="70"/>
  <c r="BQ80" i="70" s="1"/>
  <c r="BR80" i="70"/>
  <c r="DS80" i="70"/>
  <c r="DT80" i="70"/>
  <c r="DV80" i="70"/>
  <c r="FI80" i="70"/>
  <c r="DD70" i="7" s="1"/>
  <c r="DR70" i="7"/>
  <c r="EH81" i="70"/>
  <c r="CO71" i="7"/>
  <c r="O81" i="70"/>
  <c r="DZ71" i="7"/>
  <c r="DB73" i="7"/>
  <c r="EH86" i="70"/>
  <c r="CO76" i="7" s="1"/>
  <c r="DR76" i="7"/>
  <c r="CT77" i="7"/>
  <c r="DZ77" i="7"/>
  <c r="BC74" i="70"/>
  <c r="N75" i="70"/>
  <c r="AB75" i="70"/>
  <c r="AP75" i="70"/>
  <c r="BD75" i="70"/>
  <c r="BR75" i="70"/>
  <c r="CQ75" i="70"/>
  <c r="CR75" i="70" s="1"/>
  <c r="DU75" i="70"/>
  <c r="Y76" i="70"/>
  <c r="Z76" i="70" s="1"/>
  <c r="CC76" i="70"/>
  <c r="CE76" i="70" s="1"/>
  <c r="FW76" i="70"/>
  <c r="DL66" i="7" s="1"/>
  <c r="AC77" i="70"/>
  <c r="AN77" i="70"/>
  <c r="GL77" i="70"/>
  <c r="DU67" i="7"/>
  <c r="BE77" i="70"/>
  <c r="BP77" i="70"/>
  <c r="CG77" i="70"/>
  <c r="CR77" i="70"/>
  <c r="DI77" i="70"/>
  <c r="DT77" i="70"/>
  <c r="EV77" i="70"/>
  <c r="CW67" i="7"/>
  <c r="DR67" i="7"/>
  <c r="L78" i="70"/>
  <c r="M78" i="70"/>
  <c r="EV78" i="70"/>
  <c r="CW68" i="7"/>
  <c r="BA78" i="70"/>
  <c r="BC78" i="70"/>
  <c r="M79" i="70"/>
  <c r="AM79" i="70"/>
  <c r="AO79" i="70" s="1"/>
  <c r="BQ79" i="70"/>
  <c r="CQ79" i="70"/>
  <c r="CS79" i="70" s="1"/>
  <c r="CC80" i="70"/>
  <c r="CD80" i="70" s="1"/>
  <c r="CF80" i="70"/>
  <c r="FJ80" i="70"/>
  <c r="DE70" i="7" s="1"/>
  <c r="EV81" i="70"/>
  <c r="CW71" i="7" s="1"/>
  <c r="AC81" i="70"/>
  <c r="DR71" i="7"/>
  <c r="FJ83" i="70"/>
  <c r="DE73" i="7"/>
  <c r="DW75" i="70"/>
  <c r="DB65" i="7"/>
  <c r="FX76" i="70"/>
  <c r="DM66" i="7" s="1"/>
  <c r="EU76" i="70"/>
  <c r="CV66" i="7" s="1"/>
  <c r="FI76" i="70"/>
  <c r="DD66" i="7" s="1"/>
  <c r="EG77" i="70"/>
  <c r="CN67" i="7" s="1"/>
  <c r="AC78" i="70"/>
  <c r="CG78" i="70"/>
  <c r="O79" i="70"/>
  <c r="BS79" i="70"/>
  <c r="DW79" i="70"/>
  <c r="DB69" i="7"/>
  <c r="EU80" i="70"/>
  <c r="CV70" i="7" s="1"/>
  <c r="AB80" i="70"/>
  <c r="Z80" i="70"/>
  <c r="CQ80" i="70"/>
  <c r="CS80" i="70" s="1"/>
  <c r="CT80" i="70"/>
  <c r="FW80" i="70"/>
  <c r="DL70" i="7"/>
  <c r="FX81" i="70"/>
  <c r="DM71" i="7"/>
  <c r="CU81" i="70"/>
  <c r="DJ73" i="7"/>
  <c r="EH84" i="70"/>
  <c r="CO74" i="7"/>
  <c r="GL86" i="70"/>
  <c r="DU76" i="7" s="1"/>
  <c r="AN75" i="70"/>
  <c r="CT75" i="70"/>
  <c r="EG76" i="70"/>
  <c r="CN66" i="7"/>
  <c r="N76" i="70"/>
  <c r="L76" i="70"/>
  <c r="AQ76" i="70"/>
  <c r="BP76" i="70"/>
  <c r="CU76" i="70"/>
  <c r="DT76" i="70"/>
  <c r="EH77" i="70"/>
  <c r="CO67" i="7"/>
  <c r="O77" i="70"/>
  <c r="AP77" i="70"/>
  <c r="BR77" i="70"/>
  <c r="CT77" i="70"/>
  <c r="DV77" i="70"/>
  <c r="FI77" i="70"/>
  <c r="DD67" i="7" s="1"/>
  <c r="FW77" i="70"/>
  <c r="DL67" i="7" s="1"/>
  <c r="O78" i="70"/>
  <c r="CR78" i="70"/>
  <c r="FJ79" i="70"/>
  <c r="DE69" i="7"/>
  <c r="AP79" i="70"/>
  <c r="CT79" i="70"/>
  <c r="EG80" i="70"/>
  <c r="CN70" i="7"/>
  <c r="N80" i="70"/>
  <c r="L80" i="70"/>
  <c r="AA80" i="70"/>
  <c r="BA80" i="70"/>
  <c r="GK80" i="70"/>
  <c r="DT70" i="7"/>
  <c r="BD80" i="70"/>
  <c r="CU80" i="70"/>
  <c r="FX80" i="70"/>
  <c r="DM70" i="7"/>
  <c r="DE80" i="70"/>
  <c r="DH80" i="70"/>
  <c r="DJ70" i="7"/>
  <c r="GL81" i="70"/>
  <c r="DU71" i="7"/>
  <c r="BE81" i="70"/>
  <c r="FJ81" i="70"/>
  <c r="DE71" i="7" s="1"/>
  <c r="CT73" i="7"/>
  <c r="EV84" i="70"/>
  <c r="CW74" i="7" s="1"/>
  <c r="DB74" i="7"/>
  <c r="CT75" i="7"/>
  <c r="DZ75" i="7"/>
  <c r="DB78" i="7"/>
  <c r="AN78" i="70"/>
  <c r="Y81" i="70"/>
  <c r="AA81" i="70"/>
  <c r="AM81" i="70"/>
  <c r="AO81" i="70"/>
  <c r="BA81" i="70"/>
  <c r="BC81" i="70"/>
  <c r="BO81" i="70"/>
  <c r="BQ81" i="70"/>
  <c r="CC81" i="70"/>
  <c r="CE81" i="70"/>
  <c r="CQ81" i="70"/>
  <c r="CS81" i="70"/>
  <c r="DE81" i="70"/>
  <c r="DG81" i="70"/>
  <c r="DS81" i="70"/>
  <c r="DU81" i="70"/>
  <c r="EU81" i="70"/>
  <c r="CV71" i="7"/>
  <c r="AO83" i="70"/>
  <c r="EG84" i="70"/>
  <c r="CN74" i="7" s="1"/>
  <c r="N84" i="70"/>
  <c r="L84" i="70"/>
  <c r="AA84" i="70"/>
  <c r="AQ84" i="70"/>
  <c r="BP84" i="70"/>
  <c r="DE84" i="70"/>
  <c r="DG84" i="70"/>
  <c r="FJ84" i="70"/>
  <c r="DE74" i="7" s="1"/>
  <c r="EH85" i="70"/>
  <c r="CO75" i="7" s="1"/>
  <c r="O85" i="70"/>
  <c r="N85" i="70"/>
  <c r="AQ85" i="70"/>
  <c r="AP85" i="70"/>
  <c r="BS85" i="70"/>
  <c r="CU85" i="70"/>
  <c r="CT85" i="70"/>
  <c r="DW85" i="70"/>
  <c r="FI85" i="70"/>
  <c r="DD75" i="7" s="1"/>
  <c r="O86" i="70"/>
  <c r="Y86" i="70"/>
  <c r="AA86" i="70" s="1"/>
  <c r="EZ86" i="70" s="1"/>
  <c r="CY76" i="7" s="1"/>
  <c r="AO86" i="70"/>
  <c r="BS86" i="70"/>
  <c r="CC86" i="70"/>
  <c r="CE86" i="70" s="1"/>
  <c r="CR86" i="70"/>
  <c r="CS86" i="70"/>
  <c r="DW86" i="70"/>
  <c r="FX86" i="70"/>
  <c r="DM76" i="7"/>
  <c r="K87" i="70"/>
  <c r="M87" i="70" s="1"/>
  <c r="EU87" i="70"/>
  <c r="CV77" i="7" s="1"/>
  <c r="BO87" i="70"/>
  <c r="BP87" i="70" s="1"/>
  <c r="BR87" i="70"/>
  <c r="CD87" i="70"/>
  <c r="DS87" i="70"/>
  <c r="DT87" i="70" s="1"/>
  <c r="DV87" i="70"/>
  <c r="FI87" i="70"/>
  <c r="DD77" i="7"/>
  <c r="DR77" i="7"/>
  <c r="Y88" i="70"/>
  <c r="AA88" i="70"/>
  <c r="BA88" i="70"/>
  <c r="BC88" i="70"/>
  <c r="CC88" i="70"/>
  <c r="CE88" i="70"/>
  <c r="FX88" i="70"/>
  <c r="DM78" i="7"/>
  <c r="CU88" i="70"/>
  <c r="DE88" i="70"/>
  <c r="DG88" i="70" s="1"/>
  <c r="DR78" i="7"/>
  <c r="DJ79" i="7"/>
  <c r="EH90" i="70"/>
  <c r="CO80" i="7" s="1"/>
  <c r="DB81" i="7"/>
  <c r="CT83" i="7"/>
  <c r="DZ83" i="7"/>
  <c r="N83" i="70"/>
  <c r="AB83" i="70"/>
  <c r="AP83" i="70"/>
  <c r="BD83" i="70"/>
  <c r="BR83" i="70"/>
  <c r="CF83" i="70"/>
  <c r="CT83" i="70"/>
  <c r="DH83" i="70"/>
  <c r="DV83" i="70"/>
  <c r="EG83" i="70"/>
  <c r="CN73" i="7"/>
  <c r="GK83" i="70"/>
  <c r="DT73" i="7" s="1"/>
  <c r="M84" i="70"/>
  <c r="AM84" i="70"/>
  <c r="AO84" i="70"/>
  <c r="GK84" i="70"/>
  <c r="DT74" i="7"/>
  <c r="BD84" i="70"/>
  <c r="BB84" i="70"/>
  <c r="CQ84" i="70"/>
  <c r="CS84" i="70"/>
  <c r="DJ74" i="7"/>
  <c r="GL84" i="70"/>
  <c r="DU74" i="7"/>
  <c r="EU85" i="70"/>
  <c r="CV75" i="7"/>
  <c r="Y85" i="70"/>
  <c r="Z85" i="70"/>
  <c r="BA85" i="70"/>
  <c r="BB85" i="70"/>
  <c r="CC85" i="70"/>
  <c r="CD85" i="70"/>
  <c r="CE85" i="70"/>
  <c r="DE85" i="70"/>
  <c r="DG85" i="70" s="1"/>
  <c r="FJ85" i="70"/>
  <c r="DE75" i="7"/>
  <c r="Z86" i="70"/>
  <c r="DI86" i="70"/>
  <c r="FJ86" i="70"/>
  <c r="DE76" i="7" s="1"/>
  <c r="DZ76" i="7"/>
  <c r="L87" i="70"/>
  <c r="AN87" i="70"/>
  <c r="CF87" i="70"/>
  <c r="Z88" i="70"/>
  <c r="CT78" i="7"/>
  <c r="FJ88" i="70"/>
  <c r="DE78" i="7"/>
  <c r="DB79" i="7"/>
  <c r="DR80" i="7"/>
  <c r="BC84" i="70"/>
  <c r="FW84" i="70"/>
  <c r="DL74" i="7"/>
  <c r="GL85" i="70"/>
  <c r="DU75" i="7"/>
  <c r="BE85" i="70"/>
  <c r="EV85" i="70"/>
  <c r="CW75" i="7" s="1"/>
  <c r="DR75" i="7"/>
  <c r="EV86" i="70"/>
  <c r="CW76" i="7"/>
  <c r="BP86" i="70"/>
  <c r="DT86" i="70"/>
  <c r="AP87" i="70"/>
  <c r="CQ87" i="70"/>
  <c r="CR87" i="70" s="1"/>
  <c r="FW87" i="70"/>
  <c r="DL77" i="7" s="1"/>
  <c r="CT87" i="70"/>
  <c r="DB77" i="7"/>
  <c r="EV88" i="70"/>
  <c r="CW78" i="7" s="1"/>
  <c r="AC88" i="70"/>
  <c r="GL88" i="70"/>
  <c r="DU78" i="7"/>
  <c r="BE88" i="70"/>
  <c r="CT79" i="7"/>
  <c r="DZ79" i="7"/>
  <c r="FJ94" i="70"/>
  <c r="DE84" i="7" s="1"/>
  <c r="AN83" i="70"/>
  <c r="CR83" i="70"/>
  <c r="Z84" i="70"/>
  <c r="CD84" i="70"/>
  <c r="FX84" i="70"/>
  <c r="DM74" i="7" s="1"/>
  <c r="EU84" i="70"/>
  <c r="CV74" i="7" s="1"/>
  <c r="FI84" i="70"/>
  <c r="DD74" i="7" s="1"/>
  <c r="BO85" i="70"/>
  <c r="BP85" i="70"/>
  <c r="CQ85" i="70"/>
  <c r="CR85" i="70" s="1"/>
  <c r="DS85" i="70"/>
  <c r="DT85" i="70" s="1"/>
  <c r="GK85" i="70"/>
  <c r="DT75" i="7" s="1"/>
  <c r="AC86" i="70"/>
  <c r="DF86" i="70"/>
  <c r="Y87" i="70"/>
  <c r="Z87" i="70" s="1"/>
  <c r="FJ87" i="70"/>
  <c r="DE77" i="7" s="1"/>
  <c r="BA87" i="70"/>
  <c r="BB87" i="70" s="1"/>
  <c r="BD87" i="70"/>
  <c r="DE87" i="70"/>
  <c r="DF87" i="70" s="1"/>
  <c r="DH87" i="70"/>
  <c r="L88" i="70"/>
  <c r="EH88" i="70"/>
  <c r="CO78" i="7" s="1"/>
  <c r="DJ78" i="7"/>
  <c r="DB80" i="7"/>
  <c r="AN86" i="70"/>
  <c r="AO87" i="70"/>
  <c r="N88" i="70"/>
  <c r="AB88" i="70"/>
  <c r="AP88" i="70"/>
  <c r="BD88" i="70"/>
  <c r="BR88" i="70"/>
  <c r="CF88" i="70"/>
  <c r="CT88" i="70"/>
  <c r="DH88" i="70"/>
  <c r="DV88" i="70"/>
  <c r="EG88" i="70"/>
  <c r="CN78" i="7"/>
  <c r="GK88" i="70"/>
  <c r="DT78" i="7"/>
  <c r="O89" i="70"/>
  <c r="Y89" i="70"/>
  <c r="AC89" i="70"/>
  <c r="AM89" i="70"/>
  <c r="AO89" i="70" s="1"/>
  <c r="BA89" i="70"/>
  <c r="BC89" i="70" s="1"/>
  <c r="BE89" i="70"/>
  <c r="BO89" i="70"/>
  <c r="BQ89" i="70" s="1"/>
  <c r="BS89" i="70"/>
  <c r="CC89" i="70"/>
  <c r="CD89" i="70"/>
  <c r="CG89" i="70"/>
  <c r="CQ89" i="70"/>
  <c r="CS89" i="70" s="1"/>
  <c r="CU89" i="70"/>
  <c r="DE89" i="70"/>
  <c r="DF89" i="70" s="1"/>
  <c r="DI89" i="70"/>
  <c r="DS89" i="70"/>
  <c r="DT89" i="70" s="1"/>
  <c r="DW89" i="70"/>
  <c r="EH89" i="70"/>
  <c r="CO79" i="7"/>
  <c r="EU89" i="70"/>
  <c r="CV79" i="7"/>
  <c r="FX89" i="70"/>
  <c r="DM79" i="7"/>
  <c r="BE90" i="70"/>
  <c r="BO90" i="70"/>
  <c r="BQ90" i="70" s="1"/>
  <c r="CD90" i="70"/>
  <c r="FX90" i="70"/>
  <c r="DM80" i="7" s="1"/>
  <c r="DI90" i="70"/>
  <c r="DS90" i="70"/>
  <c r="DU90" i="70"/>
  <c r="EU90" i="70"/>
  <c r="CV80" i="7"/>
  <c r="FI90" i="70"/>
  <c r="DD80" i="7"/>
  <c r="AM91" i="70"/>
  <c r="AO91" i="70" s="1"/>
  <c r="AN91" i="70"/>
  <c r="BO91" i="70"/>
  <c r="BP91" i="70" s="1"/>
  <c r="CQ91" i="70"/>
  <c r="CR91" i="70" s="1"/>
  <c r="DS91" i="70"/>
  <c r="DT91" i="70" s="1"/>
  <c r="BD93" i="70"/>
  <c r="CC93" i="70"/>
  <c r="CD93" i="70"/>
  <c r="DE93" i="70"/>
  <c r="DF93" i="70"/>
  <c r="DH93" i="70"/>
  <c r="AO94" i="70"/>
  <c r="CR94" i="70"/>
  <c r="DT94" i="70"/>
  <c r="DU94" i="70"/>
  <c r="EH94" i="70"/>
  <c r="CO84" i="7" s="1"/>
  <c r="DJ84" i="7"/>
  <c r="GL94" i="70"/>
  <c r="DU84" i="7" s="1"/>
  <c r="M95" i="70"/>
  <c r="EU95" i="70"/>
  <c r="CV85" i="7" s="1"/>
  <c r="Y95" i="70"/>
  <c r="Z95" i="70" s="1"/>
  <c r="AB95" i="70"/>
  <c r="DR85" i="7"/>
  <c r="DJ86" i="7"/>
  <c r="DR88" i="7"/>
  <c r="EV99" i="70"/>
  <c r="CW89" i="7" s="1"/>
  <c r="GL99" i="70"/>
  <c r="DU89" i="7" s="1"/>
  <c r="CR89" i="70"/>
  <c r="EG90" i="70"/>
  <c r="CN80" i="7"/>
  <c r="N90" i="70"/>
  <c r="L90" i="70"/>
  <c r="BA90" i="70"/>
  <c r="BC90" i="70" s="1"/>
  <c r="CE90" i="70"/>
  <c r="DE90" i="70"/>
  <c r="DG90" i="70"/>
  <c r="EV90" i="70"/>
  <c r="CW80" i="7"/>
  <c r="FJ90" i="70"/>
  <c r="DE80" i="7"/>
  <c r="EH91" i="70"/>
  <c r="CO81" i="7"/>
  <c r="O91" i="70"/>
  <c r="EU93" i="70"/>
  <c r="CV83" i="7" s="1"/>
  <c r="Z93" i="70"/>
  <c r="FJ93" i="70"/>
  <c r="DE83" i="7" s="1"/>
  <c r="DS93" i="70"/>
  <c r="DT93" i="70" s="1"/>
  <c r="DV93" i="70"/>
  <c r="FI93" i="70"/>
  <c r="DD83" i="7" s="1"/>
  <c r="DR83" i="7"/>
  <c r="Y94" i="70"/>
  <c r="AA94" i="70" s="1"/>
  <c r="AQ94" i="70"/>
  <c r="BA94" i="70"/>
  <c r="BC94" i="70"/>
  <c r="CC94" i="70"/>
  <c r="CE94" i="70"/>
  <c r="FX94" i="70"/>
  <c r="DM84" i="7"/>
  <c r="CU94" i="70"/>
  <c r="DE94" i="70"/>
  <c r="DG94" i="70" s="1"/>
  <c r="FI95" i="70"/>
  <c r="DD85" i="7" s="1"/>
  <c r="AM95" i="70"/>
  <c r="CT85" i="7"/>
  <c r="DZ85" i="7"/>
  <c r="DZ89" i="7"/>
  <c r="AN88" i="70"/>
  <c r="FJ89" i="70"/>
  <c r="DE79" i="7"/>
  <c r="M90" i="70"/>
  <c r="AM90" i="70"/>
  <c r="AO90" i="70" s="1"/>
  <c r="GK90" i="70"/>
  <c r="DT80" i="7" s="1"/>
  <c r="BD90" i="70"/>
  <c r="BB90" i="70"/>
  <c r="CQ90" i="70"/>
  <c r="CS90" i="70" s="1"/>
  <c r="DF90" i="70"/>
  <c r="DJ80" i="7"/>
  <c r="GL90" i="70"/>
  <c r="DU80" i="7" s="1"/>
  <c r="EU91" i="70"/>
  <c r="CV81" i="7" s="1"/>
  <c r="Y91" i="70"/>
  <c r="Z91" i="70" s="1"/>
  <c r="BA91" i="70"/>
  <c r="BB91" i="70" s="1"/>
  <c r="CC91" i="70"/>
  <c r="CD91" i="70" s="1"/>
  <c r="DE91" i="70"/>
  <c r="FJ91" i="70"/>
  <c r="DE81" i="7" s="1"/>
  <c r="FX91" i="70"/>
  <c r="DM81" i="7" s="1"/>
  <c r="AB93" i="70"/>
  <c r="BA93" i="70"/>
  <c r="BC93" i="70" s="1"/>
  <c r="CE93" i="70"/>
  <c r="Z94" i="70"/>
  <c r="BB94" i="70"/>
  <c r="CT84" i="7"/>
  <c r="DZ84" i="7"/>
  <c r="L95" i="70"/>
  <c r="FJ95" i="70"/>
  <c r="DE85" i="7" s="1"/>
  <c r="DB85" i="7"/>
  <c r="CT86" i="7"/>
  <c r="DZ86" i="7"/>
  <c r="GL97" i="70"/>
  <c r="DU87" i="7" s="1"/>
  <c r="DJ87" i="7"/>
  <c r="FW90" i="70"/>
  <c r="DL80" i="7" s="1"/>
  <c r="GL91" i="70"/>
  <c r="DU81" i="7" s="1"/>
  <c r="BE91" i="70"/>
  <c r="EV91" i="70"/>
  <c r="CW81" i="7"/>
  <c r="DR81" i="7"/>
  <c r="CQ93" i="70"/>
  <c r="CR93" i="70"/>
  <c r="FW93" i="70"/>
  <c r="DL83" i="7"/>
  <c r="CT93" i="70"/>
  <c r="EG93" i="70"/>
  <c r="CN83" i="7" s="1"/>
  <c r="DB83" i="7"/>
  <c r="EV94" i="70"/>
  <c r="CW84" i="7" s="1"/>
  <c r="AC94" i="70"/>
  <c r="N95" i="70"/>
  <c r="AO93" i="70"/>
  <c r="N94" i="70"/>
  <c r="AB94" i="70"/>
  <c r="AP94" i="70"/>
  <c r="BD94" i="70"/>
  <c r="BR94" i="70"/>
  <c r="CF94" i="70"/>
  <c r="CT94" i="70"/>
  <c r="DH94" i="70"/>
  <c r="DV94" i="70"/>
  <c r="EG94" i="70"/>
  <c r="CN84" i="7" s="1"/>
  <c r="GK94" i="70"/>
  <c r="DT84" i="7" s="1"/>
  <c r="O95" i="70"/>
  <c r="AC95" i="70"/>
  <c r="AQ95" i="70"/>
  <c r="BA95" i="70"/>
  <c r="BC95" i="70" s="1"/>
  <c r="BE95" i="70"/>
  <c r="BO95" i="70"/>
  <c r="BP95" i="70" s="1"/>
  <c r="BS95" i="70"/>
  <c r="CC95" i="70"/>
  <c r="CE95" i="70"/>
  <c r="CG95" i="70"/>
  <c r="CQ95" i="70"/>
  <c r="CS95" i="70" s="1"/>
  <c r="CU95" i="70"/>
  <c r="DE95" i="70"/>
  <c r="DF95" i="70" s="1"/>
  <c r="DI95" i="70"/>
  <c r="DS95" i="70"/>
  <c r="DW95" i="70"/>
  <c r="EH95" i="70"/>
  <c r="CO85" i="7"/>
  <c r="GL95" i="70"/>
  <c r="DU85" i="7"/>
  <c r="EH96" i="70"/>
  <c r="CO86" i="7"/>
  <c r="O96" i="70"/>
  <c r="N96" i="70"/>
  <c r="AQ96" i="70"/>
  <c r="AP96" i="70"/>
  <c r="BS96" i="70"/>
  <c r="BR96" i="70"/>
  <c r="CU96" i="70"/>
  <c r="CT96" i="70"/>
  <c r="DW96" i="70"/>
  <c r="DV96" i="70"/>
  <c r="FI96" i="70"/>
  <c r="DD86" i="7"/>
  <c r="FW96" i="70"/>
  <c r="DL86" i="7"/>
  <c r="O97" i="70"/>
  <c r="AO97" i="70"/>
  <c r="BS97" i="70"/>
  <c r="DW97" i="70"/>
  <c r="EH97" i="70"/>
  <c r="CO87" i="7"/>
  <c r="FX97" i="70"/>
  <c r="DM87" i="7"/>
  <c r="K98" i="70"/>
  <c r="L98" i="70"/>
  <c r="FJ98" i="70"/>
  <c r="DE88" i="7"/>
  <c r="AP98" i="70"/>
  <c r="BO98" i="70"/>
  <c r="BP98" i="70" s="1"/>
  <c r="CT98" i="70"/>
  <c r="DS98" i="70"/>
  <c r="DU98" i="70" s="1"/>
  <c r="FI98" i="70"/>
  <c r="DD88" i="7" s="1"/>
  <c r="EG99" i="70"/>
  <c r="CN89" i="7" s="1"/>
  <c r="N99" i="70"/>
  <c r="BP99" i="70"/>
  <c r="DE99" i="70"/>
  <c r="DG99" i="70" s="1"/>
  <c r="EZ99" i="70" s="1"/>
  <c r="CY89" i="7" s="1"/>
  <c r="DT99" i="70"/>
  <c r="EV100" i="70"/>
  <c r="CW90" i="7" s="1"/>
  <c r="AC100" i="70"/>
  <c r="FJ100" i="70"/>
  <c r="DE90" i="7"/>
  <c r="BS100" i="70"/>
  <c r="CU100" i="70"/>
  <c r="FX100" i="70"/>
  <c r="DM90" i="7"/>
  <c r="DB90" i="7"/>
  <c r="EU96" i="70"/>
  <c r="CV86" i="7"/>
  <c r="Y96" i="70"/>
  <c r="AA96" i="70"/>
  <c r="BA96" i="70"/>
  <c r="BC96" i="70"/>
  <c r="CC96" i="70"/>
  <c r="CE96" i="70"/>
  <c r="DE96" i="70"/>
  <c r="DG96" i="70"/>
  <c r="Z97" i="70"/>
  <c r="AA97" i="70"/>
  <c r="BE97" i="70"/>
  <c r="BO97" i="70"/>
  <c r="BQ97" i="70" s="1"/>
  <c r="CD97" i="70"/>
  <c r="DI97" i="70"/>
  <c r="DS97" i="70"/>
  <c r="DU97" i="70"/>
  <c r="CT87" i="7"/>
  <c r="FJ97" i="70"/>
  <c r="DE87" i="7"/>
  <c r="DZ87" i="7"/>
  <c r="EG98" i="70"/>
  <c r="CN88" i="7" s="1"/>
  <c r="EU98" i="70"/>
  <c r="CV88" i="7" s="1"/>
  <c r="GK99" i="70"/>
  <c r="DT89" i="7" s="1"/>
  <c r="BD99" i="70"/>
  <c r="BB99" i="70"/>
  <c r="BQ99" i="70"/>
  <c r="DU99" i="70"/>
  <c r="EH99" i="70"/>
  <c r="CO89" i="7" s="1"/>
  <c r="FI99" i="70"/>
  <c r="DD89" i="7" s="1"/>
  <c r="DR93" i="7"/>
  <c r="AN94" i="70"/>
  <c r="L96" i="70"/>
  <c r="AC96" i="70"/>
  <c r="AB96" i="70"/>
  <c r="AN96" i="70"/>
  <c r="GL96" i="70"/>
  <c r="DU86" i="7" s="1"/>
  <c r="BE96" i="70"/>
  <c r="BD96" i="70"/>
  <c r="CG96" i="70"/>
  <c r="CF96" i="70"/>
  <c r="CR96" i="70"/>
  <c r="DI96" i="70"/>
  <c r="DH96" i="70"/>
  <c r="DT96" i="70"/>
  <c r="EV96" i="70"/>
  <c r="CW86" i="7" s="1"/>
  <c r="DR86" i="7"/>
  <c r="L97" i="70"/>
  <c r="EV97" i="70"/>
  <c r="CW87" i="7"/>
  <c r="M98" i="70"/>
  <c r="AM98" i="70"/>
  <c r="AN98" i="70"/>
  <c r="CQ98" i="70"/>
  <c r="CR98" i="70"/>
  <c r="Y99" i="70"/>
  <c r="AA99" i="70"/>
  <c r="AN99" i="70"/>
  <c r="BC99" i="70"/>
  <c r="BS99" i="70"/>
  <c r="CC99" i="70"/>
  <c r="FW99" i="70"/>
  <c r="DL89" i="7" s="1"/>
  <c r="CT99" i="70"/>
  <c r="CR99" i="70"/>
  <c r="DW99" i="70"/>
  <c r="DB89" i="7"/>
  <c r="N100" i="70"/>
  <c r="EG100" i="70"/>
  <c r="CN90" i="7" s="1"/>
  <c r="BC103" i="70"/>
  <c r="GK96" i="70"/>
  <c r="DT86" i="7" s="1"/>
  <c r="DF97" i="70"/>
  <c r="DG98" i="70"/>
  <c r="DB88" i="7"/>
  <c r="FJ99" i="70"/>
  <c r="DE89" i="7"/>
  <c r="AO99" i="70"/>
  <c r="FX99" i="70"/>
  <c r="DM89" i="7" s="1"/>
  <c r="CS99" i="70"/>
  <c r="EU99" i="70"/>
  <c r="CV89" i="7" s="1"/>
  <c r="DJ89" i="7"/>
  <c r="EH100" i="70"/>
  <c r="CO90" i="7" s="1"/>
  <c r="O100" i="70"/>
  <c r="EU100" i="70"/>
  <c r="CV90" i="7" s="1"/>
  <c r="AB100" i="70"/>
  <c r="Y100" i="70"/>
  <c r="Z100" i="70"/>
  <c r="AP100" i="70"/>
  <c r="FI100" i="70"/>
  <c r="DD90" i="7" s="1"/>
  <c r="AM100" i="70"/>
  <c r="AN100" i="70" s="1"/>
  <c r="BD100" i="70"/>
  <c r="GK100" i="70"/>
  <c r="DT90" i="7"/>
  <c r="BA100" i="70"/>
  <c r="BB100" i="70"/>
  <c r="DB91" i="7"/>
  <c r="FX104" i="70"/>
  <c r="DM94" i="7"/>
  <c r="AN97" i="70"/>
  <c r="AQ100" i="70"/>
  <c r="BO100" i="70"/>
  <c r="BP100" i="70"/>
  <c r="CQ100" i="70"/>
  <c r="CR100" i="70"/>
  <c r="DS100" i="70"/>
  <c r="DT100" i="70"/>
  <c r="AM101" i="70"/>
  <c r="AO101" i="70"/>
  <c r="BB101" i="70"/>
  <c r="BC101" i="70"/>
  <c r="CQ101" i="70"/>
  <c r="CS101" i="70"/>
  <c r="DF101" i="70"/>
  <c r="DG101" i="70"/>
  <c r="Z103" i="70"/>
  <c r="BE103" i="70"/>
  <c r="BO103" i="70"/>
  <c r="BP103" i="70" s="1"/>
  <c r="FX103" i="70"/>
  <c r="DM93" i="7" s="1"/>
  <c r="CS103" i="70"/>
  <c r="DI103" i="70"/>
  <c r="DS103" i="70"/>
  <c r="DT103" i="70" s="1"/>
  <c r="EU103" i="70"/>
  <c r="CV93" i="7" s="1"/>
  <c r="FI103" i="70"/>
  <c r="DD93" i="7" s="1"/>
  <c r="CG104" i="70"/>
  <c r="AA105" i="70"/>
  <c r="BC105" i="70"/>
  <c r="CE105" i="70"/>
  <c r="DG105" i="70"/>
  <c r="DR95" i="7"/>
  <c r="DJ96" i="7"/>
  <c r="FW100" i="70"/>
  <c r="DL90" i="7"/>
  <c r="O101" i="70"/>
  <c r="BS101" i="70"/>
  <c r="DW101" i="70"/>
  <c r="EH101" i="70"/>
  <c r="CO91" i="7" s="1"/>
  <c r="FX101" i="70"/>
  <c r="DM91" i="7" s="1"/>
  <c r="GL101" i="70"/>
  <c r="DU91" i="7" s="1"/>
  <c r="EG103" i="70"/>
  <c r="CN93" i="7" s="1"/>
  <c r="N103" i="70"/>
  <c r="L103" i="70"/>
  <c r="AA103" i="70"/>
  <c r="DE103" i="70"/>
  <c r="EV103" i="70"/>
  <c r="CW93" i="7" s="1"/>
  <c r="FJ103" i="70"/>
  <c r="DE93" i="7" s="1"/>
  <c r="EH104" i="70"/>
  <c r="CO94" i="7" s="1"/>
  <c r="O104" i="70"/>
  <c r="AQ104" i="70"/>
  <c r="CU104" i="70"/>
  <c r="L105" i="70"/>
  <c r="DB95" i="7"/>
  <c r="DZ95" i="7"/>
  <c r="GL100" i="70"/>
  <c r="DU90" i="7" s="1"/>
  <c r="BE100" i="70"/>
  <c r="K101" i="70"/>
  <c r="M101" i="70"/>
  <c r="BE101" i="70"/>
  <c r="BO101" i="70"/>
  <c r="BQ101" i="70"/>
  <c r="CD101" i="70"/>
  <c r="DI101" i="70"/>
  <c r="DS101" i="70"/>
  <c r="DU101" i="70"/>
  <c r="CT91" i="7"/>
  <c r="FJ101" i="70"/>
  <c r="DE91" i="7"/>
  <c r="DZ91" i="7"/>
  <c r="M103" i="70"/>
  <c r="GK103" i="70"/>
  <c r="DT93" i="7" s="1"/>
  <c r="BD103" i="70"/>
  <c r="EH103" i="70"/>
  <c r="CO93" i="7" s="1"/>
  <c r="DJ93" i="7"/>
  <c r="GL103" i="70"/>
  <c r="DU93" i="7" s="1"/>
  <c r="EU104" i="70"/>
  <c r="CV94" i="7" s="1"/>
  <c r="Y104" i="70"/>
  <c r="AA104" i="70" s="1"/>
  <c r="GL104" i="70"/>
  <c r="DU94" i="7" s="1"/>
  <c r="BE104" i="70"/>
  <c r="FJ104" i="70"/>
  <c r="DE94" i="7" s="1"/>
  <c r="DR94" i="7"/>
  <c r="M105" i="70"/>
  <c r="FJ105" i="70"/>
  <c r="DE95" i="7" s="1"/>
  <c r="CT96" i="7"/>
  <c r="DZ96" i="7"/>
  <c r="CF100" i="70"/>
  <c r="DH100" i="70"/>
  <c r="DR90" i="7"/>
  <c r="L101" i="70"/>
  <c r="EV101" i="70"/>
  <c r="CW91" i="7" s="1"/>
  <c r="DT101" i="70"/>
  <c r="CR103" i="70"/>
  <c r="FW103" i="70"/>
  <c r="DL93" i="7" s="1"/>
  <c r="EV104" i="70"/>
  <c r="CW94" i="7" s="1"/>
  <c r="AC104" i="70"/>
  <c r="AB104" i="70"/>
  <c r="CT94" i="7"/>
  <c r="DZ94" i="7"/>
  <c r="Z105" i="70"/>
  <c r="CD105" i="70"/>
  <c r="DJ95" i="7"/>
  <c r="AM104" i="70"/>
  <c r="AO104" i="70"/>
  <c r="BA104" i="70"/>
  <c r="BC104" i="70"/>
  <c r="BO104" i="70"/>
  <c r="BP104" i="70"/>
  <c r="CC104" i="70"/>
  <c r="CE104" i="70"/>
  <c r="CQ104" i="70"/>
  <c r="CS104" i="70"/>
  <c r="DE104" i="70"/>
  <c r="DG104" i="70"/>
  <c r="DS104" i="70"/>
  <c r="DT104" i="70"/>
  <c r="CR105" i="70"/>
  <c r="EV105" i="70"/>
  <c r="CW95" i="7" s="1"/>
  <c r="AC106" i="70"/>
  <c r="AB106" i="70"/>
  <c r="GL106" i="70"/>
  <c r="DU96" i="7" s="1"/>
  <c r="BE106" i="70"/>
  <c r="BD106" i="70"/>
  <c r="CG106" i="70"/>
  <c r="CF106" i="70"/>
  <c r="DI106" i="70"/>
  <c r="DH106" i="70"/>
  <c r="EV106" i="70"/>
  <c r="CW96" i="7" s="1"/>
  <c r="L107" i="70"/>
  <c r="AC107" i="70"/>
  <c r="CC107" i="70"/>
  <c r="CE107" i="70" s="1"/>
  <c r="CF107" i="70"/>
  <c r="CT97" i="7"/>
  <c r="EV107" i="70"/>
  <c r="CW97" i="7" s="1"/>
  <c r="EV108" i="70"/>
  <c r="CW98" i="7" s="1"/>
  <c r="Y108" i="70"/>
  <c r="Z108" i="70" s="1"/>
  <c r="EY108" i="70" s="1"/>
  <c r="CX98" i="7" s="1"/>
  <c r="FX105" i="70"/>
  <c r="DM95" i="7" s="1"/>
  <c r="CS105" i="70"/>
  <c r="AM106" i="70"/>
  <c r="AN106" i="70" s="1"/>
  <c r="BO106" i="70"/>
  <c r="BQ106" i="70" s="1"/>
  <c r="EZ106" i="70" s="1"/>
  <c r="CY96" i="7" s="1"/>
  <c r="CQ106" i="70"/>
  <c r="CR106" i="70" s="1"/>
  <c r="DS106" i="70"/>
  <c r="DT106" i="70" s="1"/>
  <c r="GK106" i="70"/>
  <c r="DT96" i="7" s="1"/>
  <c r="EH107" i="70"/>
  <c r="CO97" i="7" s="1"/>
  <c r="AM107" i="70"/>
  <c r="AN107" i="70" s="1"/>
  <c r="FI107" i="70"/>
  <c r="DD97" i="7" s="1"/>
  <c r="AP107" i="70"/>
  <c r="CG107" i="70"/>
  <c r="CQ107" i="70"/>
  <c r="CR107" i="70" s="1"/>
  <c r="FW107" i="70"/>
  <c r="DL97" i="7" s="1"/>
  <c r="CT107" i="70"/>
  <c r="FJ107" i="70"/>
  <c r="DE97" i="7" s="1"/>
  <c r="DR97" i="7"/>
  <c r="FJ108" i="70"/>
  <c r="DE98" i="7" s="1"/>
  <c r="CG108" i="70"/>
  <c r="CC108" i="70"/>
  <c r="CE108" i="70"/>
  <c r="CU108" i="70"/>
  <c r="CQ108" i="70"/>
  <c r="CR108" i="70" s="1"/>
  <c r="EH106" i="70"/>
  <c r="CO96" i="7" s="1"/>
  <c r="O106" i="70"/>
  <c r="AQ106" i="70"/>
  <c r="BB106" i="70"/>
  <c r="BS106" i="70"/>
  <c r="CD106" i="70"/>
  <c r="CU106" i="70"/>
  <c r="DF106" i="70"/>
  <c r="DW106" i="70"/>
  <c r="FI106" i="70"/>
  <c r="DD96" i="7" s="1"/>
  <c r="FW106" i="70"/>
  <c r="DL96" i="7" s="1"/>
  <c r="BA107" i="70"/>
  <c r="BC107" i="70" s="1"/>
  <c r="BD107" i="70"/>
  <c r="DE107" i="70"/>
  <c r="DG107" i="70" s="1"/>
  <c r="EZ107" i="70" s="1"/>
  <c r="CY97" i="7" s="1"/>
  <c r="DH107" i="70"/>
  <c r="EG107" i="70"/>
  <c r="CN97" i="7" s="1"/>
  <c r="DZ97" i="7"/>
  <c r="EH108" i="70"/>
  <c r="CO98" i="7" s="1"/>
  <c r="O108" i="70"/>
  <c r="EU106" i="70"/>
  <c r="CV96" i="7"/>
  <c r="Y106" i="70"/>
  <c r="AA106" i="70"/>
  <c r="FJ106" i="70"/>
  <c r="DE96" i="7"/>
  <c r="GL107" i="70"/>
  <c r="DU97" i="7"/>
  <c r="BE107" i="70"/>
  <c r="BO107" i="70"/>
  <c r="BQ107" i="70" s="1"/>
  <c r="BR107" i="70"/>
  <c r="DS107" i="70"/>
  <c r="DU107" i="70" s="1"/>
  <c r="DV107" i="70"/>
  <c r="DB98" i="7"/>
  <c r="CT100" i="7"/>
  <c r="EU107" i="70"/>
  <c r="CV97" i="7" s="1"/>
  <c r="Z107" i="70"/>
  <c r="AQ107" i="70"/>
  <c r="BS107" i="70"/>
  <c r="CU107" i="70"/>
  <c r="DW107" i="70"/>
  <c r="AO108" i="70"/>
  <c r="GL108" i="70"/>
  <c r="DU98" i="7" s="1"/>
  <c r="BE108" i="70"/>
  <c r="BA108" i="70"/>
  <c r="BC108" i="70" s="1"/>
  <c r="DI108" i="70"/>
  <c r="DE108" i="70"/>
  <c r="DG108" i="70" s="1"/>
  <c r="L109" i="70"/>
  <c r="DT109" i="70"/>
  <c r="M110" i="70"/>
  <c r="FJ110" i="70"/>
  <c r="DE100" i="7"/>
  <c r="CT110" i="70"/>
  <c r="FW110" i="70"/>
  <c r="DL100" i="7" s="1"/>
  <c r="CQ110" i="70"/>
  <c r="CR110" i="70" s="1"/>
  <c r="BS108" i="70"/>
  <c r="BO108" i="70"/>
  <c r="BQ108" i="70"/>
  <c r="CD108" i="70"/>
  <c r="DW108" i="70"/>
  <c r="DS108" i="70"/>
  <c r="DU108" i="70"/>
  <c r="CT98" i="7"/>
  <c r="DR98" i="7"/>
  <c r="M109" i="70"/>
  <c r="FJ109" i="70"/>
  <c r="DE99" i="7"/>
  <c r="CS109" i="70"/>
  <c r="DW109" i="70"/>
  <c r="AB110" i="70"/>
  <c r="EU110" i="70"/>
  <c r="CV100" i="7" s="1"/>
  <c r="Z110" i="70"/>
  <c r="GK110" i="70"/>
  <c r="DT100" i="7"/>
  <c r="BD110" i="70"/>
  <c r="BA110" i="70"/>
  <c r="BB110" i="70" s="1"/>
  <c r="FX110" i="70"/>
  <c r="DM100" i="7"/>
  <c r="DH110" i="70"/>
  <c r="DE110" i="70"/>
  <c r="DG110" i="70" s="1"/>
  <c r="DJ100" i="7"/>
  <c r="CT99" i="7"/>
  <c r="AA110" i="70"/>
  <c r="BR110" i="70"/>
  <c r="BO110" i="70"/>
  <c r="BP110" i="70"/>
  <c r="DV110" i="70"/>
  <c r="DS110" i="70"/>
  <c r="DB100" i="7"/>
  <c r="DR100" i="7"/>
  <c r="EG110" i="70"/>
  <c r="CN100" i="7" s="1"/>
  <c r="N110" i="70"/>
  <c r="L110" i="70"/>
  <c r="AP110" i="70"/>
  <c r="FI110" i="70"/>
  <c r="DD100" i="7" s="1"/>
  <c r="CF110" i="70"/>
  <c r="CC110" i="70"/>
  <c r="CD110" i="70" s="1"/>
  <c r="DZ100" i="7"/>
  <c r="AN109" i="70"/>
  <c r="CR109" i="70"/>
  <c r="AN108" i="70"/>
  <c r="CD54" i="57"/>
  <c r="Z12" i="57"/>
  <c r="EY12" i="57" s="1"/>
  <c r="GP26" i="57"/>
  <c r="CD69" i="57"/>
  <c r="Z71" i="57"/>
  <c r="AA71" i="57"/>
  <c r="CD66" i="57"/>
  <c r="CE66" i="57"/>
  <c r="CD41" i="57"/>
  <c r="CE41" i="57"/>
  <c r="Z69" i="57"/>
  <c r="AA69" i="57"/>
  <c r="CD74" i="57"/>
  <c r="CE74" i="57"/>
  <c r="Z104" i="57"/>
  <c r="AA104" i="57"/>
  <c r="BP30" i="57"/>
  <c r="BQ30" i="57"/>
  <c r="DG24" i="57"/>
  <c r="GP24" i="57" s="1"/>
  <c r="CR14" i="57"/>
  <c r="CS14" i="57"/>
  <c r="GP23" i="57"/>
  <c r="GP27" i="57"/>
  <c r="GP13" i="57"/>
  <c r="CE94" i="57"/>
  <c r="CD58" i="57"/>
  <c r="CE58" i="57"/>
  <c r="Z94" i="57"/>
  <c r="AA94" i="57"/>
  <c r="Z100" i="57"/>
  <c r="AA100" i="57"/>
  <c r="AN49" i="57"/>
  <c r="AO49" i="57"/>
  <c r="BB21" i="57"/>
  <c r="GA21" i="57"/>
  <c r="BC21" i="57"/>
  <c r="GB21" i="57" s="1"/>
  <c r="GP29" i="57"/>
  <c r="GP15" i="57"/>
  <c r="GP11" i="57"/>
  <c r="CD78" i="57"/>
  <c r="AN14" i="57"/>
  <c r="AO18" i="57"/>
  <c r="FI4" i="57"/>
  <c r="BP42" i="57"/>
  <c r="BQ42" i="57"/>
  <c r="CD53" i="57"/>
  <c r="CE53" i="57"/>
  <c r="BB17" i="57"/>
  <c r="GA17" i="57" s="1"/>
  <c r="AN37" i="57"/>
  <c r="AO37" i="57"/>
  <c r="DF16" i="57"/>
  <c r="GO16" i="57" s="1"/>
  <c r="DG16" i="57"/>
  <c r="CN6" i="57"/>
  <c r="GJ6" i="57"/>
  <c r="ET6" i="57"/>
  <c r="GP12" i="57"/>
  <c r="AG1" i="7"/>
  <c r="M21" i="57"/>
  <c r="GP16" i="57"/>
  <c r="AO31" i="57"/>
  <c r="Z75" i="57"/>
  <c r="GP28" i="57"/>
  <c r="GQ8" i="57"/>
  <c r="GQ22" i="57" s="1"/>
  <c r="CT51" i="57"/>
  <c r="CT59" i="57"/>
  <c r="BD106" i="57"/>
  <c r="FW108" i="57"/>
  <c r="AF98" i="7" s="1"/>
  <c r="K55" i="57"/>
  <c r="L55" i="57" s="1"/>
  <c r="K54" i="57"/>
  <c r="L54" i="57"/>
  <c r="FW59" i="57"/>
  <c r="AF49" i="7" s="1"/>
  <c r="K66" i="57"/>
  <c r="L66" i="57" s="1"/>
  <c r="GC78" i="57"/>
  <c r="AJ68" i="7" s="1"/>
  <c r="GC20" i="57"/>
  <c r="AA50" i="57"/>
  <c r="AN22" i="57"/>
  <c r="BQ28" i="57"/>
  <c r="K50" i="57"/>
  <c r="L50" i="57" s="1"/>
  <c r="CT106" i="57"/>
  <c r="CT108" i="57"/>
  <c r="O106" i="57"/>
  <c r="K106" i="57"/>
  <c r="L106" i="57" s="1"/>
  <c r="K51" i="57"/>
  <c r="L51" i="57" s="1"/>
  <c r="FW56" i="57"/>
  <c r="AF46" i="7" s="1"/>
  <c r="CT62" i="57"/>
  <c r="FW55" i="57"/>
  <c r="AF45" i="7" s="1"/>
  <c r="FW67" i="57"/>
  <c r="AF57" i="7" s="1"/>
  <c r="GC102" i="57"/>
  <c r="AJ92" i="7"/>
  <c r="CD30" i="57"/>
  <c r="CE30" i="57"/>
  <c r="GC86" i="57"/>
  <c r="AJ76" i="7"/>
  <c r="CD70" i="57"/>
  <c r="CD20" i="57"/>
  <c r="FL8" i="57"/>
  <c r="AA54" i="57"/>
  <c r="Z54" i="57"/>
  <c r="M18" i="57"/>
  <c r="CR22" i="57"/>
  <c r="GA19" i="57"/>
  <c r="CF46" i="57"/>
  <c r="CF48" i="57"/>
  <c r="CF54" i="57"/>
  <c r="CF43" i="57"/>
  <c r="CF57" i="57"/>
  <c r="CF39" i="57"/>
  <c r="CF41" i="57"/>
  <c r="CF36" i="57"/>
  <c r="CF66" i="57"/>
  <c r="CF59" i="57"/>
  <c r="CF32" i="57"/>
  <c r="Z6" i="57"/>
  <c r="K56" i="57"/>
  <c r="L56" i="57" s="1"/>
  <c r="FW61" i="57"/>
  <c r="AF51" i="7"/>
  <c r="BD110" i="57"/>
  <c r="FW110" i="57"/>
  <c r="AF100" i="7"/>
  <c r="BD107" i="57"/>
  <c r="FW107" i="57"/>
  <c r="AF97" i="7" s="1"/>
  <c r="BD109" i="57"/>
  <c r="FW109" i="57"/>
  <c r="AF99" i="7" s="1"/>
  <c r="O107" i="57"/>
  <c r="FW52" i="57"/>
  <c r="AF42" i="7" s="1"/>
  <c r="CT58" i="57"/>
  <c r="K63" i="57"/>
  <c r="FW51" i="57"/>
  <c r="AF41" i="7" s="1"/>
  <c r="CT57" i="57"/>
  <c r="K62" i="57"/>
  <c r="L62" i="57" s="1"/>
  <c r="GB16" i="57"/>
  <c r="BP38" i="57"/>
  <c r="AA42" i="57"/>
  <c r="EY26" i="57"/>
  <c r="CS18" i="57"/>
  <c r="BQ12" i="57"/>
  <c r="BQ24" i="57"/>
  <c r="CG65" i="57"/>
  <c r="CG31" i="57"/>
  <c r="CG63" i="57"/>
  <c r="CG46" i="57"/>
  <c r="CG69" i="57"/>
  <c r="CG61" i="57"/>
  <c r="CG37" i="57"/>
  <c r="CG73" i="57"/>
  <c r="CG43" i="57"/>
  <c r="CG34" i="57"/>
  <c r="CG66" i="57"/>
  <c r="CG36" i="57"/>
  <c r="CG39" i="57"/>
  <c r="CG71" i="57"/>
  <c r="CG54" i="57"/>
  <c r="CG40" i="57"/>
  <c r="CG32" i="57"/>
  <c r="CG72" i="57"/>
  <c r="CG44" i="57"/>
  <c r="CG51" i="57"/>
  <c r="CG42" i="57"/>
  <c r="CG74" i="57"/>
  <c r="CG33" i="57"/>
  <c r="CG52" i="57"/>
  <c r="CG47" i="57"/>
  <c r="CG30" i="57"/>
  <c r="CG62" i="57"/>
  <c r="CG56" i="57"/>
  <c r="CG48" i="57"/>
  <c r="CG41" i="57"/>
  <c r="CG60" i="57"/>
  <c r="CG59" i="57"/>
  <c r="CG50" i="57"/>
  <c r="CG53" i="57"/>
  <c r="CG49" i="57"/>
  <c r="CG68" i="57"/>
  <c r="CG55" i="57"/>
  <c r="CG38" i="57"/>
  <c r="CG70" i="57"/>
  <c r="CG45" i="57"/>
  <c r="CG64" i="57"/>
  <c r="CG57" i="57"/>
  <c r="CG35" i="57"/>
  <c r="CG67" i="57"/>
  <c r="CG58" i="57"/>
  <c r="FW57" i="57"/>
  <c r="AF47" i="7"/>
  <c r="K64" i="57"/>
  <c r="L64" i="57" s="1"/>
  <c r="CT110" i="57"/>
  <c r="CT107" i="57"/>
  <c r="CT109" i="57"/>
  <c r="O108" i="57"/>
  <c r="K108" i="57"/>
  <c r="CT54" i="57"/>
  <c r="K59" i="57"/>
  <c r="L59" i="57" s="1"/>
  <c r="FW64" i="57"/>
  <c r="AF54" i="7" s="1"/>
  <c r="CT53" i="57"/>
  <c r="K58" i="57"/>
  <c r="L58" i="57" s="1"/>
  <c r="FW63" i="57"/>
  <c r="AF53" i="7" s="1"/>
  <c r="CD98" i="57"/>
  <c r="CD16" i="57"/>
  <c r="Z10" i="57"/>
  <c r="BP48" i="57"/>
  <c r="BQ48" i="57"/>
  <c r="Z65" i="57"/>
  <c r="AA65" i="57"/>
  <c r="Z59" i="57"/>
  <c r="BQ46" i="57"/>
  <c r="BP46" i="57"/>
  <c r="EK8" i="57"/>
  <c r="AO33" i="57"/>
  <c r="AA44" i="57"/>
  <c r="BP40" i="57"/>
  <c r="BQ40" i="57"/>
  <c r="BQ20" i="57"/>
  <c r="GB20" i="57"/>
  <c r="S13" i="7"/>
  <c r="T13" i="7" s="1"/>
  <c r="U13" i="7" s="1"/>
  <c r="DU104" i="70"/>
  <c r="AN101" i="70"/>
  <c r="CS106" i="70"/>
  <c r="CR95" i="70"/>
  <c r="DU93" i="70"/>
  <c r="CD86" i="70"/>
  <c r="AA76" i="70"/>
  <c r="EZ76" i="70" s="1"/>
  <c r="BC79" i="70"/>
  <c r="BB78" i="70"/>
  <c r="CE49" i="70"/>
  <c r="Z49" i="70"/>
  <c r="BC47" i="70"/>
  <c r="CR30" i="70"/>
  <c r="CF26" i="70"/>
  <c r="CF29" i="70"/>
  <c r="CF25" i="70"/>
  <c r="BD26" i="70"/>
  <c r="BD25" i="70"/>
  <c r="BB83" i="70"/>
  <c r="AN82" i="70"/>
  <c r="BP92" i="70"/>
  <c r="DU72" i="70"/>
  <c r="BQ82" i="70"/>
  <c r="CD72" i="70"/>
  <c r="AO72" i="70"/>
  <c r="AC62" i="70"/>
  <c r="CG29" i="70"/>
  <c r="BE29" i="70"/>
  <c r="CF28" i="70"/>
  <c r="AB28" i="70"/>
  <c r="BC42" i="70"/>
  <c r="BP32" i="70"/>
  <c r="CR28" i="70"/>
  <c r="Z28" i="70"/>
  <c r="BP25" i="70"/>
  <c r="BP42" i="70"/>
  <c r="CE29" i="70"/>
  <c r="DU28" i="70"/>
  <c r="BQ28" i="70"/>
  <c r="AA27" i="70"/>
  <c r="AC42" i="70"/>
  <c r="CE24" i="70"/>
  <c r="CD24" i="70"/>
  <c r="CD25" i="70"/>
  <c r="AC26" i="70"/>
  <c r="BD27" i="70"/>
  <c r="BC25" i="70"/>
  <c r="GH6" i="70"/>
  <c r="DU21" i="70"/>
  <c r="BQ21" i="70"/>
  <c r="BQ12" i="70"/>
  <c r="CR21" i="70"/>
  <c r="DF96" i="70"/>
  <c r="AB52" i="70"/>
  <c r="AB32" i="70"/>
  <c r="DV25" i="70"/>
  <c r="DV26" i="70"/>
  <c r="AA15" i="70"/>
  <c r="CE11" i="70"/>
  <c r="AA92" i="70"/>
  <c r="DT92" i="70"/>
  <c r="CR82" i="70"/>
  <c r="AC72" i="70"/>
  <c r="AC52" i="70"/>
  <c r="AB62" i="70"/>
  <c r="DU42" i="70"/>
  <c r="Z42" i="70"/>
  <c r="CD28" i="70"/>
  <c r="DT25" i="70"/>
  <c r="BE25" i="70"/>
  <c r="AN42" i="70"/>
  <c r="DU29" i="70"/>
  <c r="BQ29" i="70"/>
  <c r="DG28" i="70"/>
  <c r="BC28" i="70"/>
  <c r="DW26" i="70"/>
  <c r="BE28" i="70"/>
  <c r="AA24" i="70"/>
  <c r="Z24" i="70"/>
  <c r="CF27" i="70"/>
  <c r="L21" i="70"/>
  <c r="DT97" i="70"/>
  <c r="DT90" i="70"/>
  <c r="DG89" i="70"/>
  <c r="DF88" i="70"/>
  <c r="CD76" i="70"/>
  <c r="Z54" i="70"/>
  <c r="AB26" i="70"/>
  <c r="AB29" i="70"/>
  <c r="CE92" i="70"/>
  <c r="CS72" i="70"/>
  <c r="BQ72" i="70"/>
  <c r="DF52" i="70"/>
  <c r="DW29" i="70"/>
  <c r="DG29" i="70"/>
  <c r="BC29" i="70"/>
  <c r="DW25" i="70"/>
  <c r="AA25" i="70"/>
  <c r="BE26" i="70"/>
  <c r="DF20" i="70"/>
  <c r="AA108" i="70"/>
  <c r="BP93" i="70"/>
  <c r="AB72" i="70"/>
  <c r="CD82" i="70"/>
  <c r="CS29" i="70"/>
  <c r="AA29" i="70"/>
  <c r="CG25" i="70"/>
  <c r="DW28" i="70"/>
  <c r="CG28" i="70"/>
  <c r="DV27" i="70"/>
  <c r="CG26" i="70"/>
  <c r="DF25" i="70"/>
  <c r="EY25" i="70" s="1"/>
  <c r="AC25" i="70"/>
  <c r="BB20" i="70"/>
  <c r="ED6" i="70"/>
  <c r="DT107" i="70"/>
  <c r="DU103" i="70"/>
  <c r="DT64" i="70"/>
  <c r="DU100" i="70"/>
  <c r="DT88" i="70"/>
  <c r="DU37" i="70"/>
  <c r="DT37" i="70"/>
  <c r="DT108" i="70"/>
  <c r="DU71" i="70"/>
  <c r="DF110" i="70"/>
  <c r="DF94" i="70"/>
  <c r="DG100" i="70"/>
  <c r="DG15" i="70"/>
  <c r="DF107" i="70"/>
  <c r="DF108" i="70"/>
  <c r="DF104" i="70"/>
  <c r="DF99" i="70"/>
  <c r="DG79" i="70"/>
  <c r="DF68" i="70"/>
  <c r="DG59" i="70"/>
  <c r="DG39" i="70"/>
  <c r="DG33" i="70"/>
  <c r="DG87" i="70"/>
  <c r="EY66" i="70"/>
  <c r="CX56" i="7" s="1"/>
  <c r="CS91" i="70"/>
  <c r="CY66" i="7"/>
  <c r="CS70" i="70"/>
  <c r="CR65" i="70"/>
  <c r="CS93" i="70"/>
  <c r="CR84" i="70"/>
  <c r="CS74" i="70"/>
  <c r="CE110" i="70"/>
  <c r="CD15" i="70"/>
  <c r="CE80" i="70"/>
  <c r="CD54" i="70"/>
  <c r="BQ103" i="70"/>
  <c r="BQ104" i="70"/>
  <c r="BQ95" i="70"/>
  <c r="BP81" i="70"/>
  <c r="EZ48" i="70"/>
  <c r="CY38" i="7" s="1"/>
  <c r="BP15" i="70"/>
  <c r="BP101" i="70"/>
  <c r="BP108" i="70"/>
  <c r="BP105" i="70"/>
  <c r="EY105" i="70" s="1"/>
  <c r="CX95" i="7" s="1"/>
  <c r="BP71" i="70"/>
  <c r="BP64" i="70"/>
  <c r="BP11" i="70"/>
  <c r="EY11" i="70"/>
  <c r="BB107" i="70"/>
  <c r="BB95" i="70"/>
  <c r="BB89" i="70"/>
  <c r="BB11" i="70"/>
  <c r="BB104" i="70"/>
  <c r="BC77" i="70"/>
  <c r="BC68" i="70"/>
  <c r="BC100" i="70"/>
  <c r="AO100" i="70"/>
  <c r="AN57" i="70"/>
  <c r="AO43" i="70"/>
  <c r="AO30" i="70"/>
  <c r="AN84" i="70"/>
  <c r="AN81" i="70"/>
  <c r="AN79" i="70"/>
  <c r="AN67" i="70"/>
  <c r="AO37" i="70"/>
  <c r="AN37" i="70"/>
  <c r="AA87" i="70"/>
  <c r="Z34" i="70"/>
  <c r="Z99" i="70"/>
  <c r="AA85" i="70"/>
  <c r="EY14" i="70"/>
  <c r="EY10" i="70"/>
  <c r="CX130" i="7" s="1"/>
  <c r="EZ56" i="70"/>
  <c r="CY46" i="7" s="1"/>
  <c r="BQ110" i="70"/>
  <c r="BB108" i="70"/>
  <c r="AO106" i="70"/>
  <c r="BP106" i="70"/>
  <c r="BC110" i="70"/>
  <c r="AN104" i="70"/>
  <c r="BP107" i="70"/>
  <c r="CD104" i="70"/>
  <c r="CR104" i="70"/>
  <c r="AO107" i="70"/>
  <c r="DU106" i="70"/>
  <c r="CR101" i="70"/>
  <c r="EZ105" i="70"/>
  <c r="CY95" i="7" s="1"/>
  <c r="AO98" i="70"/>
  <c r="AN90" i="70"/>
  <c r="Z96" i="70"/>
  <c r="AA91" i="70"/>
  <c r="CD95" i="70"/>
  <c r="BB96" i="70"/>
  <c r="CE89" i="70"/>
  <c r="BP89" i="70"/>
  <c r="BB88" i="70"/>
  <c r="BQ87" i="70"/>
  <c r="CS85" i="70"/>
  <c r="DT81" i="70"/>
  <c r="DG80" i="70"/>
  <c r="DF80" i="70"/>
  <c r="DU85" i="70"/>
  <c r="DF81" i="70"/>
  <c r="DT78" i="70"/>
  <c r="M74" i="70"/>
  <c r="DF85" i="70"/>
  <c r="CR80" i="70"/>
  <c r="BQ74" i="70"/>
  <c r="AN64" i="70"/>
  <c r="Z74" i="70"/>
  <c r="CR73" i="70"/>
  <c r="AO59" i="70"/>
  <c r="CR59" i="70"/>
  <c r="DU73" i="70"/>
  <c r="AN69" i="70"/>
  <c r="BP68" i="70"/>
  <c r="DU67" i="70"/>
  <c r="BB67" i="70"/>
  <c r="EZ66" i="70"/>
  <c r="CY56" i="7"/>
  <c r="DU59" i="70"/>
  <c r="BP67" i="70"/>
  <c r="DT65" i="70"/>
  <c r="BB65" i="70"/>
  <c r="AN50" i="70"/>
  <c r="DT69" i="70"/>
  <c r="AN68" i="70"/>
  <c r="CS67" i="70"/>
  <c r="Z67" i="70"/>
  <c r="DG58" i="70"/>
  <c r="CR54" i="70"/>
  <c r="BC64" i="70"/>
  <c r="BQ57" i="70"/>
  <c r="CR56" i="70"/>
  <c r="CD53" i="70"/>
  <c r="DF50" i="70"/>
  <c r="DT58" i="70"/>
  <c r="CE57" i="70"/>
  <c r="BB56" i="70"/>
  <c r="DT54" i="70"/>
  <c r="CR50" i="70"/>
  <c r="AA64" i="70"/>
  <c r="CS58" i="70"/>
  <c r="Z57" i="70"/>
  <c r="CE56" i="70"/>
  <c r="BB54" i="70"/>
  <c r="Z50" i="70"/>
  <c r="Z45" i="70"/>
  <c r="BP44" i="70"/>
  <c r="DU43" i="70"/>
  <c r="BB43" i="70"/>
  <c r="CD41" i="70"/>
  <c r="DF53" i="70"/>
  <c r="DG46" i="70"/>
  <c r="CD44" i="70"/>
  <c r="BP43" i="70"/>
  <c r="BQ45" i="70"/>
  <c r="CD43" i="70"/>
  <c r="M43" i="70"/>
  <c r="Z53" i="70"/>
  <c r="DT45" i="70"/>
  <c r="DG43" i="70"/>
  <c r="AA41" i="70"/>
  <c r="AA39" i="70"/>
  <c r="Z37" i="70"/>
  <c r="BB31" i="70"/>
  <c r="DF30" i="70"/>
  <c r="BP31" i="70"/>
  <c r="DT30" i="70"/>
  <c r="CD37" i="70"/>
  <c r="Z31" i="70"/>
  <c r="CD30" i="70"/>
  <c r="BC30" i="70"/>
  <c r="BP17" i="70"/>
  <c r="CD14" i="70"/>
  <c r="CE13" i="70"/>
  <c r="Z17" i="70"/>
  <c r="DG16" i="70"/>
  <c r="BC16" i="70"/>
  <c r="Z13" i="70"/>
  <c r="DU10" i="70"/>
  <c r="BQ10" i="70"/>
  <c r="DG17" i="70"/>
  <c r="EZ17" i="70"/>
  <c r="CD16" i="70"/>
  <c r="CR13" i="70"/>
  <c r="CD10" i="70"/>
  <c r="AB71" i="70"/>
  <c r="AB66" i="70"/>
  <c r="AB74" i="70"/>
  <c r="AB70" i="70"/>
  <c r="AB58" i="70"/>
  <c r="AB61" i="70"/>
  <c r="AB55" i="70"/>
  <c r="AB63" i="70"/>
  <c r="AB59" i="70"/>
  <c r="AB65" i="70"/>
  <c r="AB45" i="70"/>
  <c r="AB54" i="70"/>
  <c r="AB46" i="70"/>
  <c r="AB47" i="70"/>
  <c r="AB51" i="70"/>
  <c r="AB31" i="70"/>
  <c r="AB41" i="70"/>
  <c r="AB38" i="70"/>
  <c r="AB37" i="70"/>
  <c r="AB34" i="70"/>
  <c r="AB35" i="70"/>
  <c r="BQ18" i="70"/>
  <c r="BB17" i="70"/>
  <c r="DU14" i="70"/>
  <c r="BQ14" i="70"/>
  <c r="BQ13" i="70"/>
  <c r="AJ6" i="70"/>
  <c r="CS108" i="70"/>
  <c r="Z104" i="70"/>
  <c r="EY104" i="70"/>
  <c r="CX94" i="7" s="1"/>
  <c r="BQ98" i="70"/>
  <c r="BQ100" i="70"/>
  <c r="AA100" i="70"/>
  <c r="BB93" i="70"/>
  <c r="CE91" i="70"/>
  <c r="AA95" i="70"/>
  <c r="DG93" i="70"/>
  <c r="EZ93" i="70" s="1"/>
  <c r="CY83" i="7" s="1"/>
  <c r="DU91" i="70"/>
  <c r="BQ91" i="70"/>
  <c r="DU89" i="70"/>
  <c r="CS87" i="70"/>
  <c r="BC91" i="70"/>
  <c r="BC85" i="70"/>
  <c r="BC80" i="70"/>
  <c r="BB80" i="70"/>
  <c r="CR81" i="70"/>
  <c r="BQ85" i="70"/>
  <c r="EY77" i="70"/>
  <c r="CX67" i="7" s="1"/>
  <c r="CE77" i="70"/>
  <c r="DG74" i="70"/>
  <c r="CD74" i="70"/>
  <c r="DU68" i="70"/>
  <c r="DG73" i="70"/>
  <c r="AA68" i="70"/>
  <c r="EZ68" i="70" s="1"/>
  <c r="CY58" i="7" s="1"/>
  <c r="DF67" i="70"/>
  <c r="CE65" i="70"/>
  <c r="AA65" i="70"/>
  <c r="DF65" i="70"/>
  <c r="CS69" i="70"/>
  <c r="CD67" i="70"/>
  <c r="DG57" i="70"/>
  <c r="Z56" i="70"/>
  <c r="DT50" i="70"/>
  <c r="AA61" i="70"/>
  <c r="BQ58" i="70"/>
  <c r="BB57" i="70"/>
  <c r="CE58" i="70"/>
  <c r="DU56" i="70"/>
  <c r="DG61" i="70"/>
  <c r="CS57" i="70"/>
  <c r="BP56" i="70"/>
  <c r="Z48" i="70"/>
  <c r="EY48" i="70" s="1"/>
  <c r="CX38" i="7" s="1"/>
  <c r="CS46" i="70"/>
  <c r="AA44" i="70"/>
  <c r="BP41" i="70"/>
  <c r="EY41" i="70" s="1"/>
  <c r="CX31" i="7" s="1"/>
  <c r="BQ54" i="70"/>
  <c r="BQ53" i="70"/>
  <c r="BC46" i="70"/>
  <c r="DU46" i="70"/>
  <c r="BB45" i="70"/>
  <c r="DG44" i="70"/>
  <c r="EZ35" i="70"/>
  <c r="CY25" i="7" s="1"/>
  <c r="BQ50" i="70"/>
  <c r="EZ50" i="70" s="1"/>
  <c r="CE45" i="70"/>
  <c r="BB44" i="70"/>
  <c r="CR43" i="70"/>
  <c r="DU41" i="70"/>
  <c r="DU31" i="70"/>
  <c r="BQ30" i="70"/>
  <c r="EZ30" i="70" s="1"/>
  <c r="CY20" i="7" s="1"/>
  <c r="GI6" i="70"/>
  <c r="AW6" i="70"/>
  <c r="DF37" i="70"/>
  <c r="BQ19" i="70"/>
  <c r="CS19" i="70"/>
  <c r="CS16" i="70"/>
  <c r="AA16" i="70"/>
  <c r="DG10" i="70"/>
  <c r="BC10" i="70"/>
  <c r="ET6" i="70"/>
  <c r="V6" i="70"/>
  <c r="DU19" i="70"/>
  <c r="CR17" i="70"/>
  <c r="DT16" i="70"/>
  <c r="BP16" i="70"/>
  <c r="EY16" i="70"/>
  <c r="BC13" i="70"/>
  <c r="AO19" i="70"/>
  <c r="DU17" i="70"/>
  <c r="DG14" i="70"/>
  <c r="BC14" i="70"/>
  <c r="FA8" i="70"/>
  <c r="FA22" i="70" s="1"/>
  <c r="FA110" i="70"/>
  <c r="CZ100" i="7" s="1"/>
  <c r="EZ3" i="70"/>
  <c r="FA100" i="70"/>
  <c r="CZ90" i="7" s="1"/>
  <c r="FA96" i="70"/>
  <c r="CZ86" i="7" s="1"/>
  <c r="CS100" i="70"/>
  <c r="FA94" i="70"/>
  <c r="CZ84" i="7" s="1"/>
  <c r="CD96" i="70"/>
  <c r="EY93" i="70"/>
  <c r="CX83" i="7" s="1"/>
  <c r="EY86" i="70"/>
  <c r="CX76" i="7" s="1"/>
  <c r="EZ85" i="70"/>
  <c r="CY75" i="7" s="1"/>
  <c r="BC87" i="70"/>
  <c r="Z81" i="70"/>
  <c r="EZ79" i="70"/>
  <c r="CY69" i="7" s="1"/>
  <c r="AA77" i="70"/>
  <c r="AO73" i="70"/>
  <c r="M67" i="70"/>
  <c r="BQ65" i="70"/>
  <c r="DF64" i="70"/>
  <c r="BQ73" i="70"/>
  <c r="BP69" i="70"/>
  <c r="CS64" i="70"/>
  <c r="BC58" i="70"/>
  <c r="DU57" i="70"/>
  <c r="BB50" i="70"/>
  <c r="DF56" i="70"/>
  <c r="DF54" i="70"/>
  <c r="EY54" i="70" s="1"/>
  <c r="CX44" i="7" s="1"/>
  <c r="CY40" i="7"/>
  <c r="DT44" i="70"/>
  <c r="BB41" i="70"/>
  <c r="BB53" i="70"/>
  <c r="DG45" i="70"/>
  <c r="BQ46" i="70"/>
  <c r="CR44" i="70"/>
  <c r="CS53" i="70"/>
  <c r="CE46" i="70"/>
  <c r="DG41" i="70"/>
  <c r="DF31" i="70"/>
  <c r="BB37" i="70"/>
  <c r="EE6" i="70"/>
  <c r="G6" i="70"/>
  <c r="CD31" i="70"/>
  <c r="Z30" i="70"/>
  <c r="EY30" i="70" s="1"/>
  <c r="CX20" i="7"/>
  <c r="FA13" i="70"/>
  <c r="CS10" i="70"/>
  <c r="AA10" i="70"/>
  <c r="Z19" i="70"/>
  <c r="EY19" i="70" s="1"/>
  <c r="CS14" i="70"/>
  <c r="AA14" i="70"/>
  <c r="DU13" i="70"/>
  <c r="FV6" i="70"/>
  <c r="CN6" i="70"/>
  <c r="CS107" i="70"/>
  <c r="Z106" i="70"/>
  <c r="DG95" i="70"/>
  <c r="FA93" i="70"/>
  <c r="CZ83" i="7" s="1"/>
  <c r="CD88" i="70"/>
  <c r="EZ84" i="70"/>
  <c r="CY74" i="7"/>
  <c r="FA85" i="70"/>
  <c r="CZ75" i="7"/>
  <c r="CD81" i="70"/>
  <c r="DU80" i="70"/>
  <c r="DG77" i="70"/>
  <c r="Z73" i="70"/>
  <c r="Z69" i="70"/>
  <c r="BB61" i="70"/>
  <c r="AA58" i="70"/>
  <c r="EZ58" i="70"/>
  <c r="CY48" i="7" s="1"/>
  <c r="EZ46" i="70"/>
  <c r="CY36" i="7" s="1"/>
  <c r="CD50" i="70"/>
  <c r="DU53" i="70"/>
  <c r="AO53" i="70"/>
  <c r="CE17" i="70"/>
  <c r="DG13" i="70"/>
  <c r="AC66" i="70"/>
  <c r="AC56" i="70"/>
  <c r="AC60" i="70"/>
  <c r="AC46" i="70"/>
  <c r="AC55" i="70"/>
  <c r="AC51" i="70"/>
  <c r="AC33" i="70"/>
  <c r="AC36" i="70"/>
  <c r="M62" i="57"/>
  <c r="GQ15" i="57"/>
  <c r="M67" i="57"/>
  <c r="GP14" i="57"/>
  <c r="GQ23" i="57"/>
  <c r="EY22" i="57"/>
  <c r="GO22" i="57"/>
  <c r="CO6" i="57"/>
  <c r="GK6" i="57"/>
  <c r="AN6" i="7" s="1"/>
  <c r="EU6" i="57"/>
  <c r="P6" i="7" s="1"/>
  <c r="GQ24" i="57"/>
  <c r="GO14" i="57"/>
  <c r="EY14" i="57"/>
  <c r="GP18" i="57"/>
  <c r="GQ16" i="57"/>
  <c r="GQ17" i="57"/>
  <c r="GQ19" i="57"/>
  <c r="GQ14" i="57"/>
  <c r="GQ26" i="57"/>
  <c r="GQ28" i="57"/>
  <c r="GQ27" i="57"/>
  <c r="GQ13" i="57"/>
  <c r="GQ29" i="57"/>
  <c r="GQ9" i="57"/>
  <c r="GQ25" i="57"/>
  <c r="GQ20" i="57"/>
  <c r="GQ11" i="57"/>
  <c r="GQ18" i="57"/>
  <c r="GR8" i="57"/>
  <c r="GC110" i="57"/>
  <c r="AJ100" i="7" s="1"/>
  <c r="M66" i="57"/>
  <c r="M55" i="57"/>
  <c r="M58" i="57"/>
  <c r="EK26" i="57"/>
  <c r="EK22" i="57"/>
  <c r="FM8" i="57"/>
  <c r="M51" i="57"/>
  <c r="M106" i="57"/>
  <c r="EK18" i="57"/>
  <c r="M54" i="57"/>
  <c r="EK3" i="57"/>
  <c r="EK4" i="57" s="1"/>
  <c r="EL8" i="57"/>
  <c r="EK23" i="57"/>
  <c r="EK15" i="57"/>
  <c r="M64" i="57"/>
  <c r="EK27" i="57"/>
  <c r="GC109" i="57"/>
  <c r="AJ99" i="7" s="1"/>
  <c r="GC108" i="57"/>
  <c r="AJ98" i="7" s="1"/>
  <c r="GA16" i="57"/>
  <c r="M59" i="57"/>
  <c r="EK29" i="57"/>
  <c r="GC107" i="57"/>
  <c r="AJ97" i="7" s="1"/>
  <c r="M56" i="57"/>
  <c r="AA6" i="57"/>
  <c r="GA20" i="57"/>
  <c r="GC106" i="57"/>
  <c r="AJ96" i="7"/>
  <c r="V13" i="7"/>
  <c r="EZ29" i="70"/>
  <c r="EY28" i="70"/>
  <c r="EY21" i="70"/>
  <c r="EY99" i="70"/>
  <c r="CX89" i="7" s="1"/>
  <c r="EZ13" i="70"/>
  <c r="EZ10" i="70"/>
  <c r="CY130" i="7" s="1"/>
  <c r="EY81" i="70"/>
  <c r="CX71" i="7" s="1"/>
  <c r="EZ87" i="70"/>
  <c r="CY77" i="7" s="1"/>
  <c r="EY44" i="70"/>
  <c r="CX34" i="7" s="1"/>
  <c r="EZ57" i="70"/>
  <c r="CY47" i="7" s="1"/>
  <c r="EU6" i="70"/>
  <c r="CV6" i="7" s="1"/>
  <c r="W6" i="70"/>
  <c r="FA79" i="70"/>
  <c r="CZ69" i="7"/>
  <c r="EZ108" i="70"/>
  <c r="CY98" i="7"/>
  <c r="AK6" i="70"/>
  <c r="EY50" i="70"/>
  <c r="CX40" i="7" s="1"/>
  <c r="FA107" i="70"/>
  <c r="CZ97" i="7" s="1"/>
  <c r="EY85" i="70"/>
  <c r="CX75" i="7" s="1"/>
  <c r="EY65" i="70"/>
  <c r="CX55" i="7" s="1"/>
  <c r="EY64" i="70"/>
  <c r="CX54" i="7" s="1"/>
  <c r="EZ14" i="70"/>
  <c r="EF6" i="70"/>
  <c r="H6" i="70"/>
  <c r="FB8" i="70"/>
  <c r="FA10" i="70"/>
  <c r="CZ130" i="7" s="1"/>
  <c r="FA14" i="70"/>
  <c r="FA18" i="70"/>
  <c r="FA90" i="70"/>
  <c r="CZ80" i="7" s="1"/>
  <c r="FA105" i="70"/>
  <c r="CZ95" i="7" s="1"/>
  <c r="FA109" i="70"/>
  <c r="CZ99" i="7" s="1"/>
  <c r="FA89" i="70"/>
  <c r="CZ79" i="7" s="1"/>
  <c r="FA91" i="70"/>
  <c r="CZ81" i="7" s="1"/>
  <c r="FA97" i="70"/>
  <c r="CZ87" i="7" s="1"/>
  <c r="FA11" i="70"/>
  <c r="FA15" i="70"/>
  <c r="FA81" i="70"/>
  <c r="CZ71" i="7" s="1"/>
  <c r="FA87" i="70"/>
  <c r="CZ77" i="7" s="1"/>
  <c r="FA98" i="70"/>
  <c r="CZ88" i="7" s="1"/>
  <c r="FA76" i="70"/>
  <c r="CZ66" i="7" s="1"/>
  <c r="FA78" i="70"/>
  <c r="CZ68" i="7" s="1"/>
  <c r="FA84" i="70"/>
  <c r="CZ74" i="7" s="1"/>
  <c r="FA103" i="70"/>
  <c r="CZ93" i="7" s="1"/>
  <c r="FA101" i="70"/>
  <c r="CZ91" i="7" s="1"/>
  <c r="FA17" i="70"/>
  <c r="AX6" i="70"/>
  <c r="EZ53" i="70"/>
  <c r="CY43" i="7" s="1"/>
  <c r="EZ95" i="70"/>
  <c r="CY85" i="7" s="1"/>
  <c r="EZ100" i="70"/>
  <c r="CY90" i="7" s="1"/>
  <c r="FA19" i="70"/>
  <c r="EY67" i="70"/>
  <c r="CX57" i="7" s="1"/>
  <c r="FA75" i="70"/>
  <c r="CZ65" i="7" s="1"/>
  <c r="FA80" i="70"/>
  <c r="CZ70" i="7" s="1"/>
  <c r="EZ77" i="70"/>
  <c r="CY67" i="7" s="1"/>
  <c r="EY56" i="70"/>
  <c r="CX46" i="7" s="1"/>
  <c r="FA95" i="70"/>
  <c r="CZ85" i="7" s="1"/>
  <c r="EY17" i="70"/>
  <c r="FA83" i="70"/>
  <c r="CZ73" i="7" s="1"/>
  <c r="FA99" i="70"/>
  <c r="CZ89" i="7" s="1"/>
  <c r="EZ67" i="70"/>
  <c r="CY57" i="7" s="1"/>
  <c r="FA77" i="70"/>
  <c r="CZ67" i="7" s="1"/>
  <c r="CO6" i="70"/>
  <c r="FW6" i="70"/>
  <c r="DL6" i="7" s="1"/>
  <c r="FA88" i="70"/>
  <c r="CZ78" i="7" s="1"/>
  <c r="EY13" i="70"/>
  <c r="FA16" i="70"/>
  <c r="FA106" i="70"/>
  <c r="CZ96" i="7" s="1"/>
  <c r="CP6" i="57"/>
  <c r="CQ6" i="57" s="1"/>
  <c r="CR6" i="57" s="1"/>
  <c r="GL6" i="57"/>
  <c r="EV6" i="57"/>
  <c r="GR17" i="57"/>
  <c r="GR14" i="57"/>
  <c r="GR26" i="57"/>
  <c r="GR13" i="57"/>
  <c r="GR18" i="57"/>
  <c r="GR12" i="57"/>
  <c r="GR16" i="57"/>
  <c r="GR20" i="57"/>
  <c r="GR9" i="57"/>
  <c r="GR22" i="57"/>
  <c r="GR11" i="57"/>
  <c r="GR15" i="57"/>
  <c r="AB6" i="57"/>
  <c r="AC6" i="57" s="1"/>
  <c r="FM3" i="57"/>
  <c r="FM4" i="57" s="1"/>
  <c r="FN8" i="57"/>
  <c r="EL18" i="57"/>
  <c r="EL3" i="57"/>
  <c r="EL4" i="57" s="1"/>
  <c r="EM8" i="57"/>
  <c r="EL23" i="57"/>
  <c r="EL29" i="57"/>
  <c r="EL27" i="57"/>
  <c r="EL15" i="57"/>
  <c r="EL22" i="57"/>
  <c r="EG6" i="70"/>
  <c r="CN6" i="7" s="1"/>
  <c r="I6" i="70"/>
  <c r="AL6" i="70"/>
  <c r="AM6" i="70" s="1"/>
  <c r="AN6" i="70" s="1"/>
  <c r="AO6" i="70" s="1"/>
  <c r="AP6" i="70" s="1"/>
  <c r="AQ6" i="70" s="1"/>
  <c r="CP6" i="70"/>
  <c r="CQ6" i="70" s="1"/>
  <c r="FX6" i="70"/>
  <c r="AY6" i="70"/>
  <c r="X6" i="70"/>
  <c r="Y6" i="70" s="1"/>
  <c r="Z6" i="70" s="1"/>
  <c r="EN8" i="57"/>
  <c r="EN21" i="57" s="1"/>
  <c r="EM23" i="57"/>
  <c r="EM19" i="57"/>
  <c r="EM13" i="57"/>
  <c r="EM24" i="57"/>
  <c r="EM22" i="57"/>
  <c r="EM20" i="57"/>
  <c r="EM14" i="57"/>
  <c r="EM17" i="57"/>
  <c r="EM11" i="57"/>
  <c r="EM15" i="57"/>
  <c r="EM18" i="57"/>
  <c r="FN3" i="57"/>
  <c r="FN4" i="57" s="1"/>
  <c r="AZ6" i="70"/>
  <c r="BA6" i="70" s="1"/>
  <c r="BB6" i="70" s="1"/>
  <c r="BC6" i="70" s="1"/>
  <c r="BD6" i="70" s="1"/>
  <c r="BE6" i="70" s="1"/>
  <c r="J6" i="70"/>
  <c r="K6" i="70" s="1"/>
  <c r="L6" i="70" s="1"/>
  <c r="M6" i="70" s="1"/>
  <c r="N6" i="70" s="1"/>
  <c r="O6" i="70" s="1"/>
  <c r="EN13" i="57"/>
  <c r="EN18" i="57"/>
  <c r="EN15" i="57"/>
  <c r="EN14" i="57"/>
  <c r="EN12" i="57"/>
  <c r="CR6" i="70"/>
  <c r="CS6" i="70" s="1"/>
  <c r="CT6" i="70" s="1"/>
  <c r="FB82" i="70"/>
  <c r="DA72" i="7" s="1"/>
  <c r="EY29" i="70"/>
  <c r="BY6" i="70"/>
  <c r="EY100" i="70"/>
  <c r="CX90" i="7" s="1"/>
  <c r="FB23" i="70"/>
  <c r="FB20" i="70"/>
  <c r="FB12" i="70"/>
  <c r="M108" i="57"/>
  <c r="L108" i="57"/>
  <c r="GO24" i="57"/>
  <c r="EY24" i="57"/>
  <c r="FB21" i="70"/>
  <c r="EY18" i="57"/>
  <c r="GO18" i="57"/>
  <c r="FA24" i="70"/>
  <c r="FA12" i="70"/>
  <c r="FA23" i="70"/>
  <c r="M50" i="57"/>
  <c r="CS110" i="70"/>
  <c r="BP78" i="70"/>
  <c r="DF47" i="70"/>
  <c r="AN62" i="70"/>
  <c r="BB21" i="70"/>
  <c r="AN41" i="57"/>
  <c r="Z28" i="57"/>
  <c r="EY28" i="57" s="1"/>
  <c r="L28" i="57"/>
  <c r="N6" i="56"/>
  <c r="CS98" i="70"/>
  <c r="CR90" i="70"/>
  <c r="CD94" i="70"/>
  <c r="DU87" i="70"/>
  <c r="AO76" i="70"/>
  <c r="CS71" i="70"/>
  <c r="BQ63" i="70"/>
  <c r="CD48" i="70"/>
  <c r="DF40" i="70"/>
  <c r="BC35" i="70"/>
  <c r="CE40" i="70"/>
  <c r="DT18" i="70"/>
  <c r="AN13" i="70"/>
  <c r="EY4" i="70"/>
  <c r="EY2" i="70" s="1"/>
  <c r="CS92" i="70"/>
  <c r="BB92" i="70"/>
  <c r="BB72" i="70"/>
  <c r="AN28" i="70"/>
  <c r="AN25" i="70"/>
  <c r="CS25" i="70"/>
  <c r="EZ25" i="70" s="1"/>
  <c r="DF27" i="70"/>
  <c r="CS20" i="70"/>
  <c r="M34" i="70"/>
  <c r="CD42" i="57"/>
  <c r="M17" i="57"/>
  <c r="GP3" i="57"/>
  <c r="GP4" i="57" s="1"/>
  <c r="AQ14" i="7" s="1"/>
  <c r="GP1" i="56"/>
  <c r="CF13" i="7"/>
  <c r="BB13" i="7"/>
  <c r="EN1" i="56"/>
  <c r="BC13" i="7" s="1"/>
  <c r="BP90" i="70"/>
  <c r="DF84" i="70"/>
  <c r="EY84" i="70" s="1"/>
  <c r="CX74" i="7" s="1"/>
  <c r="BB81" i="70"/>
  <c r="CR76" i="70"/>
  <c r="AO41" i="70"/>
  <c r="DG32" i="70"/>
  <c r="CE21" i="70"/>
  <c r="Z20" i="57"/>
  <c r="EY20" i="57" s="1"/>
  <c r="AO1" i="7"/>
  <c r="FN1" i="56"/>
  <c r="BP13" i="7"/>
  <c r="AN6" i="56"/>
  <c r="BA13" i="7"/>
  <c r="GB109" i="56"/>
  <c r="BY99" i="7" s="1"/>
  <c r="GA86" i="56"/>
  <c r="BX76" i="7" s="1"/>
  <c r="GA82" i="56"/>
  <c r="BX72" i="7" s="1"/>
  <c r="GA78" i="56"/>
  <c r="BX68" i="7" s="1"/>
  <c r="AC6" i="56"/>
  <c r="GB90" i="56"/>
  <c r="BY80" i="7" s="1"/>
  <c r="GA53" i="56"/>
  <c r="BX43" i="7" s="1"/>
  <c r="EK53" i="56"/>
  <c r="AZ43" i="7" s="1"/>
  <c r="GB46" i="56"/>
  <c r="BY36" i="7" s="1"/>
  <c r="FN31" i="56"/>
  <c r="BQ21" i="7" s="1"/>
  <c r="AC9" i="57"/>
  <c r="AB9" i="57"/>
  <c r="FA85" i="56"/>
  <c r="BJ75" i="7" s="1"/>
  <c r="GO53" i="56"/>
  <c r="CF43" i="7" s="1"/>
  <c r="L82" i="57"/>
  <c r="M79" i="57"/>
  <c r="CS86" i="56"/>
  <c r="CR75" i="56"/>
  <c r="CS19" i="56"/>
  <c r="DG104" i="56"/>
  <c r="CR73" i="56"/>
  <c r="DG69" i="56"/>
  <c r="GB69" i="56" s="1"/>
  <c r="BY59" i="7" s="1"/>
  <c r="CR61" i="56"/>
  <c r="CS11" i="56"/>
  <c r="CD26" i="57"/>
  <c r="DG25" i="57"/>
  <c r="CS70" i="56"/>
  <c r="GB70" i="56" s="1"/>
  <c r="BY60" i="7" s="1"/>
  <c r="EK58" i="56"/>
  <c r="AZ48" i="7" s="1"/>
  <c r="EK42" i="56"/>
  <c r="AZ32" i="7" s="1"/>
  <c r="AN105" i="57"/>
  <c r="CE110" i="56"/>
  <c r="GP110" i="56" s="1"/>
  <c r="CG100" i="7" s="1"/>
  <c r="CD110" i="56"/>
  <c r="GO110" i="56" s="1"/>
  <c r="CF100" i="7" s="1"/>
  <c r="GO27" i="56"/>
  <c r="AA32" i="56"/>
  <c r="Z32" i="56"/>
  <c r="Z38" i="56"/>
  <c r="AA38" i="56"/>
  <c r="BP51" i="56"/>
  <c r="BQ51" i="56"/>
  <c r="BP64" i="56"/>
  <c r="BQ64" i="56"/>
  <c r="EZ64" i="56" s="1"/>
  <c r="BI54" i="7" s="1"/>
  <c r="BP81" i="56"/>
  <c r="BQ81" i="56"/>
  <c r="BP83" i="56"/>
  <c r="BQ83" i="56"/>
  <c r="BQ90" i="56"/>
  <c r="EZ90" i="56" s="1"/>
  <c r="BI80" i="7" s="1"/>
  <c r="BP90" i="56"/>
  <c r="BP92" i="56"/>
  <c r="BQ92" i="56"/>
  <c r="BP96" i="56"/>
  <c r="BQ96" i="56"/>
  <c r="BQ17" i="56"/>
  <c r="BP17" i="56"/>
  <c r="AO41" i="56"/>
  <c r="AN41" i="56"/>
  <c r="DU52" i="56"/>
  <c r="DT52" i="56"/>
  <c r="DU80" i="56"/>
  <c r="DT80" i="56"/>
  <c r="GB26" i="56"/>
  <c r="FA15" i="56"/>
  <c r="GC91" i="57"/>
  <c r="AJ81" i="7" s="1"/>
  <c r="EM104" i="56"/>
  <c r="BB94" i="7" s="1"/>
  <c r="EM14" i="56"/>
  <c r="DG110" i="56"/>
  <c r="DG82" i="56"/>
  <c r="GB82" i="56" s="1"/>
  <c r="BY72" i="7" s="1"/>
  <c r="AO92" i="57"/>
  <c r="GA26" i="56"/>
  <c r="AA30" i="56"/>
  <c r="Z30" i="56"/>
  <c r="BP36" i="56"/>
  <c r="BQ36" i="56"/>
  <c r="AA37" i="56"/>
  <c r="Z37" i="56"/>
  <c r="BQ41" i="56"/>
  <c r="BP41" i="56"/>
  <c r="BQ69" i="56"/>
  <c r="EZ69" i="56" s="1"/>
  <c r="BI59" i="7" s="1"/>
  <c r="BP69" i="56"/>
  <c r="EY69" i="56" s="1"/>
  <c r="BH59" i="7" s="1"/>
  <c r="BQ103" i="56"/>
  <c r="BP103" i="56"/>
  <c r="BP11" i="56"/>
  <c r="BQ11" i="56"/>
  <c r="BP27" i="56"/>
  <c r="BQ27" i="56"/>
  <c r="DU68" i="56"/>
  <c r="DT68" i="56"/>
  <c r="GO104" i="56"/>
  <c r="CF94" i="7" s="1"/>
  <c r="AA34" i="56"/>
  <c r="Z34" i="56"/>
  <c r="Z36" i="56"/>
  <c r="AA36" i="56"/>
  <c r="BP59" i="56"/>
  <c r="BQ59" i="56"/>
  <c r="BQ93" i="56"/>
  <c r="BP93" i="56"/>
  <c r="BP16" i="56"/>
  <c r="BQ16" i="56"/>
  <c r="BP18" i="56"/>
  <c r="BQ18" i="56"/>
  <c r="DT36" i="56"/>
  <c r="DU36" i="56"/>
  <c r="DU51" i="56"/>
  <c r="DT51" i="56"/>
  <c r="FA16" i="56"/>
  <c r="DF89" i="56"/>
  <c r="GO68" i="56"/>
  <c r="CF58" i="7" s="1"/>
  <c r="GO84" i="56"/>
  <c r="CF74" i="7" s="1"/>
  <c r="EY25" i="56"/>
  <c r="Z33" i="56"/>
  <c r="AA33" i="56"/>
  <c r="BP35" i="56"/>
  <c r="BQ35" i="56"/>
  <c r="BQ70" i="56"/>
  <c r="BP70" i="56"/>
  <c r="EY70" i="56" s="1"/>
  <c r="BH60" i="7" s="1"/>
  <c r="BP100" i="56"/>
  <c r="BQ100" i="56"/>
  <c r="BP10" i="56"/>
  <c r="BQ10" i="56"/>
  <c r="DU32" i="56"/>
  <c r="DT32" i="56"/>
  <c r="DU56" i="56"/>
  <c r="DT56" i="56"/>
  <c r="DU62" i="56"/>
  <c r="DT62" i="56"/>
  <c r="DU83" i="56"/>
  <c r="DT83" i="56"/>
  <c r="FM83" i="56"/>
  <c r="BP73" i="7" s="1"/>
  <c r="AO57" i="56"/>
  <c r="AN57" i="56"/>
  <c r="AO73" i="56"/>
  <c r="FN73" i="56" s="1"/>
  <c r="BQ63" i="7" s="1"/>
  <c r="AN73" i="56"/>
  <c r="FM73" i="56"/>
  <c r="BP63" i="7" s="1"/>
  <c r="DG61" i="56"/>
  <c r="DG25" i="56"/>
  <c r="CD25" i="57"/>
  <c r="AN36" i="57"/>
  <c r="BC76" i="56"/>
  <c r="DF84" i="56"/>
  <c r="CS50" i="56"/>
  <c r="DF24" i="56"/>
  <c r="BC60" i="56"/>
  <c r="DT105" i="56"/>
  <c r="DT41" i="56"/>
  <c r="CE101" i="56"/>
  <c r="DU55" i="56"/>
  <c r="DT34" i="56"/>
  <c r="FM34" i="56" s="1"/>
  <c r="BP24" i="7" s="1"/>
  <c r="AA87" i="56"/>
  <c r="AA23" i="56"/>
  <c r="DU19" i="56"/>
  <c r="AO94" i="56"/>
  <c r="AO78" i="56"/>
  <c r="AA100" i="56"/>
  <c r="AA70" i="56"/>
  <c r="EZ70" i="56" s="1"/>
  <c r="BI60" i="7" s="1"/>
  <c r="AA54" i="56"/>
  <c r="AA40" i="56"/>
  <c r="AA99" i="56"/>
  <c r="AA65" i="56"/>
  <c r="EZ65" i="56" s="1"/>
  <c r="BI55" i="7" s="1"/>
  <c r="CR17" i="56"/>
  <c r="AA89" i="56"/>
  <c r="AA51" i="56"/>
  <c r="AA45" i="56"/>
  <c r="AO33" i="56"/>
  <c r="AO34" i="56"/>
  <c r="DT35" i="56"/>
  <c r="DU46" i="56"/>
  <c r="DU47" i="56"/>
  <c r="AO77" i="56"/>
  <c r="AO82" i="56"/>
  <c r="DW95" i="56"/>
  <c r="BR96" i="56"/>
  <c r="EU96" i="56"/>
  <c r="BF86" i="7" s="1"/>
  <c r="BR99" i="56"/>
  <c r="EU99" i="56"/>
  <c r="BF89" i="7" s="1"/>
  <c r="BR11" i="56"/>
  <c r="EU11" i="56"/>
  <c r="BR14" i="56"/>
  <c r="FA14" i="56" s="1"/>
  <c r="EU14" i="56"/>
  <c r="DS28" i="56"/>
  <c r="AC107" i="56"/>
  <c r="FB107" i="56" s="1"/>
  <c r="BK97" i="7" s="1"/>
  <c r="BB44" i="56"/>
  <c r="BC44" i="56"/>
  <c r="BC73" i="56"/>
  <c r="BB73" i="56"/>
  <c r="CD64" i="56"/>
  <c r="CD103" i="56"/>
  <c r="FM103" i="56" s="1"/>
  <c r="BP93" i="7" s="1"/>
  <c r="CE75" i="56"/>
  <c r="BB15" i="56"/>
  <c r="DT13" i="56"/>
  <c r="FM13" i="56" s="1"/>
  <c r="CD24" i="56"/>
  <c r="DT49" i="56"/>
  <c r="BC39" i="56"/>
  <c r="GP39" i="56"/>
  <c r="CG29" i="7" s="1"/>
  <c r="AO63" i="56"/>
  <c r="DU20" i="56"/>
  <c r="DU102" i="56"/>
  <c r="AM38" i="56"/>
  <c r="AN38" i="56" s="1"/>
  <c r="DS79" i="56"/>
  <c r="DT79" i="56" s="1"/>
  <c r="FM79" i="56" s="1"/>
  <c r="BP69" i="7" s="1"/>
  <c r="DU90" i="56"/>
  <c r="AO104" i="56"/>
  <c r="AO25" i="56"/>
  <c r="AO110" i="56"/>
  <c r="EU48" i="56"/>
  <c r="BF38" i="7" s="1"/>
  <c r="DV96" i="56"/>
  <c r="DS96" i="56"/>
  <c r="AP99" i="56"/>
  <c r="AN99" i="56"/>
  <c r="DV12" i="56"/>
  <c r="DS12" i="56"/>
  <c r="DW79" i="56"/>
  <c r="DW90" i="56"/>
  <c r="DW98" i="56"/>
  <c r="BB85" i="56"/>
  <c r="BC85" i="56"/>
  <c r="AN39" i="57"/>
  <c r="Z96" i="57"/>
  <c r="BR77" i="56"/>
  <c r="FA77" i="56" s="1"/>
  <c r="BJ67" i="7" s="1"/>
  <c r="EU77" i="56"/>
  <c r="BF67" i="7" s="1"/>
  <c r="AB108" i="56"/>
  <c r="Y108" i="56"/>
  <c r="DW78" i="56"/>
  <c r="DW97" i="56"/>
  <c r="BC71" i="56"/>
  <c r="BB71" i="56"/>
  <c r="BC75" i="56"/>
  <c r="BB75" i="56"/>
  <c r="BB82" i="56"/>
  <c r="BC82" i="56"/>
  <c r="DU14" i="56"/>
  <c r="AO18" i="56"/>
  <c r="AO22" i="56"/>
  <c r="AO108" i="56"/>
  <c r="BR87" i="56"/>
  <c r="EU87" i="56"/>
  <c r="BF77" i="7" s="1"/>
  <c r="EU24" i="56"/>
  <c r="AP89" i="56"/>
  <c r="AN89" i="56"/>
  <c r="DV95" i="56"/>
  <c r="DS95" i="56"/>
  <c r="DT95" i="56" s="1"/>
  <c r="AP98" i="56"/>
  <c r="AN98" i="56"/>
  <c r="AP100" i="56"/>
  <c r="AN100" i="56"/>
  <c r="DV104" i="56"/>
  <c r="DS104" i="56"/>
  <c r="DV11" i="56"/>
  <c r="FI11" i="56"/>
  <c r="BB43" i="56"/>
  <c r="BC43" i="56"/>
  <c r="BB108" i="56"/>
  <c r="BC108" i="56"/>
  <c r="Y90" i="57"/>
  <c r="AA90" i="57" s="1"/>
  <c r="CC90" i="57"/>
  <c r="CF90" i="57"/>
  <c r="BD107" i="56"/>
  <c r="EG107" i="56"/>
  <c r="AX97" i="7" s="1"/>
  <c r="AM15" i="56"/>
  <c r="AM23" i="56"/>
  <c r="M35" i="56"/>
  <c r="M37" i="56"/>
  <c r="M14" i="56"/>
  <c r="M18" i="56"/>
  <c r="FH29" i="56"/>
  <c r="BC58" i="56"/>
  <c r="CF81" i="56"/>
  <c r="GK89" i="56"/>
  <c r="CD79" i="7" s="1"/>
  <c r="CF93" i="56"/>
  <c r="GK97" i="56"/>
  <c r="CD87" i="7" s="1"/>
  <c r="GK105" i="56"/>
  <c r="CD95" i="7" s="1"/>
  <c r="FH30" i="57"/>
  <c r="AD20" i="7" s="1"/>
  <c r="EH27" i="57"/>
  <c r="ET26" i="57"/>
  <c r="FH25" i="57"/>
  <c r="EF25" i="57"/>
  <c r="ET23" i="57"/>
  <c r="FH21" i="57"/>
  <c r="EF18" i="57"/>
  <c r="FH17" i="57"/>
  <c r="FH16" i="57"/>
  <c r="EF16" i="57"/>
  <c r="AB90" i="57"/>
  <c r="FW37" i="57"/>
  <c r="AF27" i="7" s="1"/>
  <c r="EH105" i="56"/>
  <c r="AY95" i="7" s="1"/>
  <c r="EH89" i="56"/>
  <c r="AY79" i="7" s="1"/>
  <c r="EH77" i="56"/>
  <c r="AY67" i="7" s="1"/>
  <c r="BF13" i="7"/>
  <c r="M17" i="55" s="1"/>
  <c r="EV1" i="56"/>
  <c r="FI19" i="56"/>
  <c r="M32" i="56"/>
  <c r="EL32" i="56" s="1"/>
  <c r="BA22" i="7" s="1"/>
  <c r="M34" i="56"/>
  <c r="M40" i="56"/>
  <c r="M42" i="56"/>
  <c r="EL42" i="56" s="1"/>
  <c r="BA32" i="7" s="1"/>
  <c r="M46" i="56"/>
  <c r="EL46" i="56" s="1"/>
  <c r="BA36" i="7" s="1"/>
  <c r="M50" i="56"/>
  <c r="M54" i="56"/>
  <c r="M58" i="56"/>
  <c r="EL58" i="56" s="1"/>
  <c r="BA48" i="7" s="1"/>
  <c r="M62" i="56"/>
  <c r="M66" i="56"/>
  <c r="M70" i="56"/>
  <c r="EL70" i="56" s="1"/>
  <c r="BA60" i="7" s="1"/>
  <c r="M74" i="56"/>
  <c r="M78" i="56"/>
  <c r="M80" i="56"/>
  <c r="M88" i="56"/>
  <c r="M91" i="56"/>
  <c r="M97" i="56"/>
  <c r="M99" i="56"/>
  <c r="EG13" i="56"/>
  <c r="CD36" i="56"/>
  <c r="BA47" i="56"/>
  <c r="BB47" i="56" s="1"/>
  <c r="BC53" i="56"/>
  <c r="BC57" i="56"/>
  <c r="GL58" i="56"/>
  <c r="CE48" i="7" s="1"/>
  <c r="BA59" i="56"/>
  <c r="BB59" i="56"/>
  <c r="BC65" i="56"/>
  <c r="GL66" i="56"/>
  <c r="CE56" i="7" s="1"/>
  <c r="BC69" i="56"/>
  <c r="BC74" i="56"/>
  <c r="BC77" i="56"/>
  <c r="GL78" i="56"/>
  <c r="CE68" i="7" s="1"/>
  <c r="CE78" i="56"/>
  <c r="GK88" i="56"/>
  <c r="CD78" i="7" s="1"/>
  <c r="BB89" i="56"/>
  <c r="BA95" i="56"/>
  <c r="BB95" i="56" s="1"/>
  <c r="GK96" i="56"/>
  <c r="CD86" i="7"/>
  <c r="BC101" i="56"/>
  <c r="GL102" i="56"/>
  <c r="CE92" i="7"/>
  <c r="BA103" i="56"/>
  <c r="BB103" i="56" s="1"/>
  <c r="GK104" i="56"/>
  <c r="CD94" i="7" s="1"/>
  <c r="BB105" i="56"/>
  <c r="FJ25" i="57"/>
  <c r="L107" i="56"/>
  <c r="BD91" i="56"/>
  <c r="EG91" i="56"/>
  <c r="AX81" i="7" s="1"/>
  <c r="BD79" i="56"/>
  <c r="EG79" i="56"/>
  <c r="AX69" i="7" s="1"/>
  <c r="M31" i="56"/>
  <c r="M33" i="56"/>
  <c r="M39" i="56"/>
  <c r="M41" i="56"/>
  <c r="FH16" i="56"/>
  <c r="FH17" i="56"/>
  <c r="FH18" i="56"/>
  <c r="FH19" i="56"/>
  <c r="FH20" i="56"/>
  <c r="FH21" i="56"/>
  <c r="FH22" i="56"/>
  <c r="FH23" i="56"/>
  <c r="FH24" i="56"/>
  <c r="FH25" i="56"/>
  <c r="FH26" i="56"/>
  <c r="FH27" i="56"/>
  <c r="GK44" i="56"/>
  <c r="CD34" i="7"/>
  <c r="GK107" i="56"/>
  <c r="CD97" i="7" s="1"/>
  <c r="FJ21" i="57"/>
  <c r="EH19" i="57"/>
  <c r="EG99" i="56"/>
  <c r="AX89" i="7" s="1"/>
  <c r="BD95" i="56"/>
  <c r="EG95" i="56"/>
  <c r="AX85" i="7" s="1"/>
  <c r="BD75" i="56"/>
  <c r="EG75" i="56"/>
  <c r="AX65" i="7" s="1"/>
  <c r="DG63" i="56"/>
  <c r="BD89" i="56"/>
  <c r="DE11" i="56"/>
  <c r="DG11" i="56" s="1"/>
  <c r="DE19" i="56"/>
  <c r="DG19" i="56" s="1"/>
  <c r="CR20" i="56"/>
  <c r="CS20" i="56"/>
  <c r="FW21" i="56"/>
  <c r="FW35" i="56"/>
  <c r="BV25" i="7" s="1"/>
  <c r="FW51" i="56"/>
  <c r="BV41" i="7"/>
  <c r="FW67" i="56"/>
  <c r="BV57" i="7" s="1"/>
  <c r="FW75" i="56"/>
  <c r="BV65" i="7"/>
  <c r="DE83" i="56"/>
  <c r="CQ84" i="56"/>
  <c r="FW89" i="56"/>
  <c r="BV79" i="7" s="1"/>
  <c r="CQ96" i="56"/>
  <c r="CT96" i="56"/>
  <c r="FW97" i="56"/>
  <c r="BV87" i="7" s="1"/>
  <c r="DH97" i="56"/>
  <c r="FV107" i="56"/>
  <c r="CB97" i="7" s="1"/>
  <c r="AY44" i="57"/>
  <c r="AY42" i="57"/>
  <c r="DB97" i="57"/>
  <c r="AY96" i="57"/>
  <c r="DB81" i="57"/>
  <c r="AY80" i="57"/>
  <c r="DB74" i="57"/>
  <c r="DB65" i="57"/>
  <c r="DB61" i="57"/>
  <c r="AY54" i="57"/>
  <c r="CN13" i="7"/>
  <c r="M21" i="55" s="1"/>
  <c r="EH1" i="70"/>
  <c r="CV13" i="7"/>
  <c r="M22" i="55" s="1"/>
  <c r="EV1" i="70"/>
  <c r="DD13" i="7"/>
  <c r="M23" i="55" s="1"/>
  <c r="FJ1" i="70"/>
  <c r="DL13" i="7"/>
  <c r="M24" i="55" s="1"/>
  <c r="FX1" i="70"/>
  <c r="DT13" i="7"/>
  <c r="M25" i="55" s="1"/>
  <c r="GL1" i="70"/>
  <c r="EH3" i="70"/>
  <c r="GL3" i="70"/>
  <c r="DU1" i="7" s="1"/>
  <c r="ET62" i="70"/>
  <c r="DB52" i="7" s="1"/>
  <c r="ET27" i="70"/>
  <c r="ET102" i="70"/>
  <c r="DB92" i="7" s="1"/>
  <c r="ET92" i="70"/>
  <c r="DB82" i="7" s="1"/>
  <c r="ET52" i="70"/>
  <c r="DB42" i="7" s="1"/>
  <c r="ET32" i="70"/>
  <c r="ET29" i="70"/>
  <c r="ET25" i="70"/>
  <c r="ET22" i="70"/>
  <c r="ET82" i="70"/>
  <c r="ET72" i="70"/>
  <c r="DB62" i="7" s="1"/>
  <c r="ET26" i="70"/>
  <c r="ET24" i="70"/>
  <c r="ET28" i="70"/>
  <c r="ET23" i="70"/>
  <c r="ET21" i="70"/>
  <c r="ET12" i="70"/>
  <c r="ET10" i="70"/>
  <c r="DB130" i="7" s="1"/>
  <c r="ET20" i="70"/>
  <c r="CP9" i="70"/>
  <c r="CQ9" i="70" s="1"/>
  <c r="AL9" i="70"/>
  <c r="AM9" i="70" s="1"/>
  <c r="GK34" i="70"/>
  <c r="DT24" i="7" s="1"/>
  <c r="DS36" i="70"/>
  <c r="BO39" i="70"/>
  <c r="L46" i="70"/>
  <c r="DS55" i="70"/>
  <c r="CC66" i="70"/>
  <c r="Y71" i="70"/>
  <c r="L91" i="70"/>
  <c r="CC109" i="70"/>
  <c r="EV12" i="70"/>
  <c r="FX12" i="70"/>
  <c r="EH22" i="70"/>
  <c r="ET42" i="70"/>
  <c r="DB32" i="7"/>
  <c r="M108" i="56"/>
  <c r="CK6" i="56"/>
  <c r="DH11" i="56"/>
  <c r="DH19" i="56"/>
  <c r="FX24" i="56"/>
  <c r="DE27" i="56"/>
  <c r="DG27" i="56" s="1"/>
  <c r="CR32" i="56"/>
  <c r="GA32" i="56" s="1"/>
  <c r="BX22" i="7" s="1"/>
  <c r="FX38" i="56"/>
  <c r="BW28" i="7" s="1"/>
  <c r="DE39" i="56"/>
  <c r="DG39" i="56" s="1"/>
  <c r="DE43" i="56"/>
  <c r="DG43" i="56" s="1"/>
  <c r="GB43" i="56" s="1"/>
  <c r="BY33" i="7" s="1"/>
  <c r="CR48" i="56"/>
  <c r="FX54" i="56"/>
  <c r="BW44" i="7" s="1"/>
  <c r="DE55" i="56"/>
  <c r="DG55" i="56" s="1"/>
  <c r="DE59" i="56"/>
  <c r="DG59" i="56" s="1"/>
  <c r="GB59" i="56" s="1"/>
  <c r="BY49" i="7" s="1"/>
  <c r="CR64" i="56"/>
  <c r="CR68" i="56"/>
  <c r="FW78" i="56"/>
  <c r="BV68" i="7" s="1"/>
  <c r="FV86" i="56"/>
  <c r="CB76" i="7" s="1"/>
  <c r="FV88" i="56"/>
  <c r="CB78" i="7" s="1"/>
  <c r="FV89" i="56"/>
  <c r="CB79" i="7" s="1"/>
  <c r="FV90" i="56"/>
  <c r="FV91" i="56"/>
  <c r="CB81" i="7" s="1"/>
  <c r="DH91" i="56"/>
  <c r="GC91" i="56"/>
  <c r="BZ81" i="7" s="1"/>
  <c r="FW91" i="56"/>
  <c r="BV81" i="7" s="1"/>
  <c r="FW95" i="56"/>
  <c r="BV85" i="7" s="1"/>
  <c r="DH95" i="56"/>
  <c r="CU97" i="56"/>
  <c r="DI99" i="56"/>
  <c r="FW103" i="56"/>
  <c r="BV93" i="7" s="1"/>
  <c r="H43" i="57"/>
  <c r="H41" i="57"/>
  <c r="H37" i="57"/>
  <c r="DB105" i="57"/>
  <c r="AY104" i="57"/>
  <c r="CN56" i="57"/>
  <c r="CN64" i="57"/>
  <c r="CN66" i="57"/>
  <c r="CN81" i="57"/>
  <c r="CN82" i="57"/>
  <c r="CN89" i="57"/>
  <c r="CN90" i="57"/>
  <c r="CN97" i="57"/>
  <c r="CN101" i="57"/>
  <c r="CN105" i="57"/>
  <c r="CN45" i="57"/>
  <c r="CN60" i="57"/>
  <c r="CN69" i="57"/>
  <c r="CN70" i="57"/>
  <c r="CN75" i="57"/>
  <c r="CN76" i="57"/>
  <c r="CN83" i="57"/>
  <c r="CN84" i="57"/>
  <c r="CN91" i="57"/>
  <c r="CN92" i="57"/>
  <c r="CN98" i="57"/>
  <c r="CN102" i="57"/>
  <c r="CN48" i="57"/>
  <c r="CN30" i="57"/>
  <c r="CN31" i="57"/>
  <c r="CN32" i="57"/>
  <c r="CN33" i="57"/>
  <c r="CN34" i="57"/>
  <c r="CN35" i="57"/>
  <c r="CN36" i="57"/>
  <c r="CN37" i="57"/>
  <c r="CN38" i="57"/>
  <c r="CN39" i="57"/>
  <c r="CN40" i="57"/>
  <c r="CN41" i="57"/>
  <c r="CN43" i="57"/>
  <c r="CN50" i="57"/>
  <c r="CN65" i="57"/>
  <c r="CN72" i="57"/>
  <c r="CN73" i="57"/>
  <c r="CN74" i="57"/>
  <c r="CN79" i="57"/>
  <c r="CN80" i="57"/>
  <c r="CN87" i="57"/>
  <c r="CN88" i="57"/>
  <c r="CN96" i="57"/>
  <c r="CN100" i="57"/>
  <c r="CN104" i="57"/>
  <c r="CN46" i="57"/>
  <c r="CN42" i="57"/>
  <c r="CN44" i="57"/>
  <c r="DQ110" i="57"/>
  <c r="DQ106" i="57"/>
  <c r="DQ108" i="57"/>
  <c r="O11" i="70"/>
  <c r="M11" i="70"/>
  <c r="CQ15" i="70"/>
  <c r="CB9" i="70"/>
  <c r="CC9" i="70" s="1"/>
  <c r="CF9" i="70" s="1"/>
  <c r="DE34" i="70"/>
  <c r="DF34" i="70" s="1"/>
  <c r="DE36" i="70"/>
  <c r="M37" i="70"/>
  <c r="L50" i="70"/>
  <c r="DE55" i="70"/>
  <c r="DS79" i="70"/>
  <c r="AQ83" i="70"/>
  <c r="BS84" i="70"/>
  <c r="FB84" i="70" s="1"/>
  <c r="DA74" i="7" s="1"/>
  <c r="M86" i="70"/>
  <c r="CT86" i="70"/>
  <c r="FW86" i="70"/>
  <c r="DL76" i="7" s="1"/>
  <c r="AC87" i="70"/>
  <c r="FB87" i="70" s="1"/>
  <c r="DA77" i="7" s="1"/>
  <c r="M91" i="70"/>
  <c r="GK97" i="70"/>
  <c r="DT87" i="7" s="1"/>
  <c r="BD97" i="70"/>
  <c r="BS98" i="70"/>
  <c r="FB98" i="70"/>
  <c r="DA88" i="7" s="1"/>
  <c r="FW104" i="70"/>
  <c r="DL94" i="7" s="1"/>
  <c r="DH104" i="70"/>
  <c r="EU108" i="70"/>
  <c r="CV98" i="7"/>
  <c r="AB108" i="70"/>
  <c r="DW110" i="70"/>
  <c r="L12" i="70"/>
  <c r="FJ12" i="70"/>
  <c r="AP20" i="70"/>
  <c r="FI20" i="70"/>
  <c r="AB21" i="70"/>
  <c r="EU21" i="70"/>
  <c r="BS22" i="70"/>
  <c r="DI102" i="70"/>
  <c r="FX73" i="56"/>
  <c r="BW63" i="7" s="1"/>
  <c r="CB80" i="7"/>
  <c r="CT99" i="56"/>
  <c r="FW99" i="56"/>
  <c r="BV89" i="7"/>
  <c r="V110" i="57"/>
  <c r="V106" i="57"/>
  <c r="V107" i="57"/>
  <c r="V108" i="57"/>
  <c r="V109" i="57"/>
  <c r="AK110" i="57"/>
  <c r="AK106" i="57"/>
  <c r="AK107" i="57"/>
  <c r="AK108" i="57"/>
  <c r="AY50" i="57"/>
  <c r="AY107" i="57"/>
  <c r="AY108" i="57"/>
  <c r="AY61" i="57"/>
  <c r="AY63" i="57"/>
  <c r="AY67" i="57"/>
  <c r="AY68" i="57"/>
  <c r="AY70" i="57"/>
  <c r="AY76" i="57"/>
  <c r="AY77" i="57"/>
  <c r="AY84" i="57"/>
  <c r="AY85" i="57"/>
  <c r="AY92" i="57"/>
  <c r="AY93" i="57"/>
  <c r="AY94" i="57"/>
  <c r="AY95" i="57"/>
  <c r="AY98" i="57"/>
  <c r="AY99" i="57"/>
  <c r="AY102" i="57"/>
  <c r="AY103" i="57"/>
  <c r="AY47" i="57"/>
  <c r="AY48" i="57"/>
  <c r="AY49" i="57"/>
  <c r="AY41" i="57"/>
  <c r="AY43" i="57"/>
  <c r="AY110" i="57"/>
  <c r="AY106" i="57"/>
  <c r="AY51" i="57"/>
  <c r="AY53" i="57"/>
  <c r="AY58" i="57"/>
  <c r="AY59" i="57"/>
  <c r="AY62" i="57"/>
  <c r="AY64" i="57"/>
  <c r="AY71" i="57"/>
  <c r="AY72" i="57"/>
  <c r="AY73" i="57"/>
  <c r="AY78" i="57"/>
  <c r="AY79" i="57"/>
  <c r="AY86" i="57"/>
  <c r="AY87" i="57"/>
  <c r="AY46" i="57"/>
  <c r="AY10" i="57"/>
  <c r="AY109" i="57"/>
  <c r="AY52" i="57"/>
  <c r="AY55" i="57"/>
  <c r="AY57" i="57"/>
  <c r="AY69" i="57"/>
  <c r="AY75" i="57"/>
  <c r="AY82" i="57"/>
  <c r="AY83" i="57"/>
  <c r="AY90" i="57"/>
  <c r="AY91" i="57"/>
  <c r="AY30" i="57"/>
  <c r="AY31" i="57"/>
  <c r="AY32" i="57"/>
  <c r="AY33" i="57"/>
  <c r="AY34" i="57"/>
  <c r="AY35" i="57"/>
  <c r="AY36" i="57"/>
  <c r="AY37" i="57"/>
  <c r="AY38" i="57"/>
  <c r="AY39" i="57"/>
  <c r="AY40" i="57"/>
  <c r="CB107" i="57"/>
  <c r="CB109" i="57"/>
  <c r="CB106" i="57"/>
  <c r="CB108" i="57"/>
  <c r="CB110" i="57"/>
  <c r="DB51" i="57"/>
  <c r="DB58" i="57"/>
  <c r="DB59" i="57"/>
  <c r="DB60" i="57"/>
  <c r="DB62" i="57"/>
  <c r="GK62" i="57" s="1"/>
  <c r="AN52" i="7" s="1"/>
  <c r="DB69" i="57"/>
  <c r="DB70" i="57"/>
  <c r="EG70" i="57" s="1"/>
  <c r="DB77" i="57"/>
  <c r="DB78" i="57"/>
  <c r="DB85" i="57"/>
  <c r="DB86" i="57"/>
  <c r="DB93" i="57"/>
  <c r="DB94" i="57"/>
  <c r="DB95" i="57"/>
  <c r="DB99" i="57"/>
  <c r="DB103" i="57"/>
  <c r="DB48" i="57"/>
  <c r="DB10" i="57"/>
  <c r="DB30" i="57"/>
  <c r="DB31" i="57"/>
  <c r="DB32" i="57"/>
  <c r="DB33" i="57"/>
  <c r="DB34" i="57"/>
  <c r="EU34" i="57" s="1"/>
  <c r="P24" i="7" s="1"/>
  <c r="DB35" i="57"/>
  <c r="DB36" i="57"/>
  <c r="DB37" i="57"/>
  <c r="DB38" i="57"/>
  <c r="DB39" i="57"/>
  <c r="DB40" i="57"/>
  <c r="DB41" i="57"/>
  <c r="DB43" i="57"/>
  <c r="DB106" i="57"/>
  <c r="DB107" i="57"/>
  <c r="GK107" i="57" s="1"/>
  <c r="AN97" i="7" s="1"/>
  <c r="DB52" i="57"/>
  <c r="DB54" i="57"/>
  <c r="DB57" i="57"/>
  <c r="DB63" i="57"/>
  <c r="DB67" i="57"/>
  <c r="GK67" i="57" s="1"/>
  <c r="AN57" i="7" s="1"/>
  <c r="DB68" i="57"/>
  <c r="DB71" i="57"/>
  <c r="DB79" i="57"/>
  <c r="EU79" i="57" s="1"/>
  <c r="P69" i="7" s="1"/>
  <c r="DB80" i="57"/>
  <c r="DB87" i="57"/>
  <c r="DB88" i="57"/>
  <c r="DB96" i="57"/>
  <c r="GK96" i="57" s="1"/>
  <c r="AN86" i="7" s="1"/>
  <c r="DB100" i="57"/>
  <c r="DB104" i="57"/>
  <c r="DB47" i="57"/>
  <c r="DB49" i="57"/>
  <c r="DB50" i="57"/>
  <c r="DB110" i="57"/>
  <c r="DB108" i="57"/>
  <c r="DB109" i="57"/>
  <c r="GK109" i="57" s="1"/>
  <c r="AN99" i="7" s="1"/>
  <c r="DB53" i="57"/>
  <c r="DB56" i="57"/>
  <c r="DB64" i="57"/>
  <c r="DB66" i="57"/>
  <c r="DB75" i="57"/>
  <c r="DB76" i="57"/>
  <c r="DB83" i="57"/>
  <c r="DB84" i="57"/>
  <c r="DB91" i="57"/>
  <c r="DB92" i="57"/>
  <c r="DB98" i="57"/>
  <c r="DB102" i="57"/>
  <c r="DB45" i="57"/>
  <c r="N14" i="70"/>
  <c r="EG14" i="70"/>
  <c r="O16" i="70"/>
  <c r="K16" i="70"/>
  <c r="M16" i="70" s="1"/>
  <c r="O75" i="70"/>
  <c r="K75" i="70"/>
  <c r="L104" i="70"/>
  <c r="N104" i="70"/>
  <c r="M12" i="70"/>
  <c r="FA20" i="70"/>
  <c r="EH24" i="70"/>
  <c r="FI52" i="70"/>
  <c r="DD42" i="7"/>
  <c r="FW52" i="70"/>
  <c r="DL42" i="7"/>
  <c r="DE75" i="56"/>
  <c r="CQ76" i="56"/>
  <c r="DE79" i="56"/>
  <c r="CQ80" i="56"/>
  <c r="CS80" i="56" s="1"/>
  <c r="EL80" i="56" s="1"/>
  <c r="BA70" i="7" s="1"/>
  <c r="DH90" i="56"/>
  <c r="EM90" i="56"/>
  <c r="BB80" i="7" s="1"/>
  <c r="FW90" i="56"/>
  <c r="BV80" i="7" s="1"/>
  <c r="DI92" i="56"/>
  <c r="DI96" i="56"/>
  <c r="FW102" i="56"/>
  <c r="BV92" i="7" s="1"/>
  <c r="CU108" i="56"/>
  <c r="CQ108" i="56"/>
  <c r="CR108" i="56" s="1"/>
  <c r="FV106" i="56"/>
  <c r="CB96" i="7" s="1"/>
  <c r="FV99" i="56"/>
  <c r="CB89" i="7" s="1"/>
  <c r="FV98" i="56"/>
  <c r="CB88" i="7"/>
  <c r="FV109" i="56"/>
  <c r="CB99" i="7" s="1"/>
  <c r="FV105" i="56"/>
  <c r="CB95" i="7" s="1"/>
  <c r="FV104" i="56"/>
  <c r="CB94" i="7" s="1"/>
  <c r="FV101" i="56"/>
  <c r="CB91" i="7"/>
  <c r="FV100" i="56"/>
  <c r="CB90" i="7" s="1"/>
  <c r="FV110" i="56"/>
  <c r="CB100" i="7" s="1"/>
  <c r="FV103" i="56"/>
  <c r="CB93" i="7" s="1"/>
  <c r="FV102" i="56"/>
  <c r="CB92" i="7"/>
  <c r="FV97" i="56"/>
  <c r="CB87" i="7" s="1"/>
  <c r="FV94" i="56"/>
  <c r="CB84" i="7" s="1"/>
  <c r="CQ110" i="56"/>
  <c r="CR110" i="56" s="1"/>
  <c r="CT110" i="56"/>
  <c r="AK109" i="57"/>
  <c r="AY105" i="57"/>
  <c r="AY97" i="57"/>
  <c r="DB89" i="57"/>
  <c r="AY88" i="57"/>
  <c r="DB82" i="57"/>
  <c r="AY81" i="57"/>
  <c r="AY74" i="57"/>
  <c r="AY66" i="57"/>
  <c r="AY65" i="57"/>
  <c r="AY60" i="57"/>
  <c r="H42" i="57"/>
  <c r="H44" i="57"/>
  <c r="H110" i="57"/>
  <c r="H109" i="57"/>
  <c r="H10" i="57"/>
  <c r="H107" i="57"/>
  <c r="FE6" i="70"/>
  <c r="DM6" i="70"/>
  <c r="EH52" i="70"/>
  <c r="CO42" i="7"/>
  <c r="EI8" i="70"/>
  <c r="M59" i="70"/>
  <c r="K59" i="70"/>
  <c r="L59" i="70"/>
  <c r="EG73" i="70"/>
  <c r="CN63" i="7"/>
  <c r="EG81" i="70"/>
  <c r="CN71" i="7"/>
  <c r="FW81" i="70"/>
  <c r="DL71" i="7"/>
  <c r="K93" i="70"/>
  <c r="L93" i="70"/>
  <c r="BO96" i="70"/>
  <c r="BQ96" i="70" s="1"/>
  <c r="EZ96" i="70" s="1"/>
  <c r="CY86" i="7" s="1"/>
  <c r="BP96" i="70"/>
  <c r="EY96" i="70" s="1"/>
  <c r="CX86" i="7" s="1"/>
  <c r="O99" i="70"/>
  <c r="K99" i="70"/>
  <c r="FW108" i="70"/>
  <c r="DL98" i="7" s="1"/>
  <c r="DH108" i="70"/>
  <c r="AM110" i="70"/>
  <c r="AQ110" i="70"/>
  <c r="EH21" i="70"/>
  <c r="FW101" i="56"/>
  <c r="BV91" i="7" s="1"/>
  <c r="FW105" i="56"/>
  <c r="BV95" i="7" s="1"/>
  <c r="I99" i="57"/>
  <c r="I98" i="57"/>
  <c r="I95" i="57"/>
  <c r="I94" i="57"/>
  <c r="I93" i="57"/>
  <c r="I92" i="57"/>
  <c r="I85" i="57"/>
  <c r="I84" i="57"/>
  <c r="K84" i="57" s="1"/>
  <c r="L84" i="57" s="1"/>
  <c r="I77" i="57"/>
  <c r="I76" i="57"/>
  <c r="I70" i="57"/>
  <c r="I68" i="57"/>
  <c r="I61" i="57"/>
  <c r="DC56" i="57"/>
  <c r="CO53" i="57"/>
  <c r="CO51" i="57"/>
  <c r="CO106" i="57"/>
  <c r="EF62" i="70"/>
  <c r="CT52" i="7" s="1"/>
  <c r="EF29" i="70"/>
  <c r="EF28" i="70"/>
  <c r="EF27" i="70"/>
  <c r="EF26" i="70"/>
  <c r="EF25" i="70"/>
  <c r="EF102" i="70"/>
  <c r="CT92" i="7" s="1"/>
  <c r="EF92" i="70"/>
  <c r="EF52" i="70"/>
  <c r="EF42" i="70"/>
  <c r="EF32" i="70"/>
  <c r="EF23" i="70"/>
  <c r="EF22" i="70"/>
  <c r="EF82" i="70"/>
  <c r="EF24" i="70"/>
  <c r="FV82" i="70"/>
  <c r="DR72" i="7"/>
  <c r="FV72" i="70"/>
  <c r="DR62" i="7" s="1"/>
  <c r="FV42" i="70"/>
  <c r="DR32" i="7" s="1"/>
  <c r="FV26" i="70"/>
  <c r="FV32" i="70"/>
  <c r="DR22" i="7"/>
  <c r="FV22" i="70"/>
  <c r="FV29" i="70"/>
  <c r="FV28" i="70"/>
  <c r="FV25" i="70"/>
  <c r="FV24" i="70"/>
  <c r="FV23" i="70"/>
  <c r="FW88" i="70"/>
  <c r="DL78" i="7" s="1"/>
  <c r="FV12" i="70"/>
  <c r="EF20" i="70"/>
  <c r="FW20" i="70"/>
  <c r="AQ22" i="70"/>
  <c r="BA22" i="70"/>
  <c r="BC22" i="70" s="1"/>
  <c r="CG22" i="70"/>
  <c r="FJ25" i="70"/>
  <c r="GK29" i="70"/>
  <c r="EH32" i="70"/>
  <c r="CO22" i="7"/>
  <c r="EV32" i="70"/>
  <c r="CW22" i="7"/>
  <c r="GL32" i="70"/>
  <c r="DU22" i="7"/>
  <c r="CE52" i="70"/>
  <c r="FI62" i="70"/>
  <c r="DD52" i="7"/>
  <c r="EF72" i="70"/>
  <c r="CT62" i="7"/>
  <c r="FJ72" i="70"/>
  <c r="DE62" i="7" s="1"/>
  <c r="DB72" i="7"/>
  <c r="AP92" i="70"/>
  <c r="FI92" i="70"/>
  <c r="DD82" i="7" s="1"/>
  <c r="EG92" i="70"/>
  <c r="CN82" i="7" s="1"/>
  <c r="BD92" i="70"/>
  <c r="GK92" i="70"/>
  <c r="DT82" i="7" s="1"/>
  <c r="EV92" i="70"/>
  <c r="CW82" i="7" s="1"/>
  <c r="BS92" i="70"/>
  <c r="FX92" i="70"/>
  <c r="DM82" i="7" s="1"/>
  <c r="FV92" i="70"/>
  <c r="DR82" i="7" s="1"/>
  <c r="EH102" i="70"/>
  <c r="CO92" i="7" s="1"/>
  <c r="FX102" i="70"/>
  <c r="DM92" i="7" s="1"/>
  <c r="DE102" i="70"/>
  <c r="DF102" i="70" s="1"/>
  <c r="DS102" i="70"/>
  <c r="DE99" i="56"/>
  <c r="DF99" i="56"/>
  <c r="DE103" i="56"/>
  <c r="I101" i="57"/>
  <c r="I100" i="57"/>
  <c r="I97" i="57"/>
  <c r="I96" i="57"/>
  <c r="I89" i="57"/>
  <c r="I88" i="57"/>
  <c r="I81" i="57"/>
  <c r="I80" i="57"/>
  <c r="I74" i="57"/>
  <c r="I65" i="57"/>
  <c r="FH72" i="70"/>
  <c r="DJ62" i="7" s="1"/>
  <c r="FH27" i="70"/>
  <c r="FH102" i="70"/>
  <c r="DJ92" i="7"/>
  <c r="FH62" i="70"/>
  <c r="DJ52" i="7" s="1"/>
  <c r="FH24" i="70"/>
  <c r="FH82" i="70"/>
  <c r="FH42" i="70"/>
  <c r="DJ32" i="7" s="1"/>
  <c r="FH32" i="70"/>
  <c r="DJ22" i="7"/>
  <c r="FH26" i="70"/>
  <c r="FH23" i="70"/>
  <c r="FK8" i="70"/>
  <c r="FL8" i="70" s="1"/>
  <c r="FM8" i="70" s="1"/>
  <c r="GJ42" i="70"/>
  <c r="DZ32" i="7" s="1"/>
  <c r="GJ102" i="70"/>
  <c r="DZ92" i="7" s="1"/>
  <c r="GJ82" i="70"/>
  <c r="DZ72" i="7" s="1"/>
  <c r="GJ72" i="70"/>
  <c r="DZ62" i="7" s="1"/>
  <c r="GJ32" i="70"/>
  <c r="DZ22" i="7" s="1"/>
  <c r="GJ23" i="70"/>
  <c r="GJ62" i="70"/>
  <c r="DZ52" i="7" s="1"/>
  <c r="GJ28" i="70"/>
  <c r="GJ27" i="70"/>
  <c r="GJ26" i="70"/>
  <c r="GJ25" i="70"/>
  <c r="GJ24" i="70"/>
  <c r="GM8" i="70"/>
  <c r="GN8" i="70" s="1"/>
  <c r="GO8" i="70" s="1"/>
  <c r="GO82" i="70" s="1"/>
  <c r="DV72" i="7" s="1"/>
  <c r="FI104" i="70"/>
  <c r="DD94" i="7" s="1"/>
  <c r="FH12" i="70"/>
  <c r="GJ12" i="70"/>
  <c r="EU20" i="70"/>
  <c r="GJ20" i="70"/>
  <c r="CF21" i="70"/>
  <c r="EF21" i="70"/>
  <c r="FV21" i="70"/>
  <c r="GJ21" i="70"/>
  <c r="O22" i="70"/>
  <c r="AM22" i="70"/>
  <c r="GL22" i="70"/>
  <c r="BO22" i="70"/>
  <c r="BP22" i="70" s="1"/>
  <c r="FH22" i="70"/>
  <c r="GJ22" i="70"/>
  <c r="EV24" i="70"/>
  <c r="FJ24" i="70"/>
  <c r="FJ27" i="70"/>
  <c r="FX27" i="70"/>
  <c r="FJ29" i="70"/>
  <c r="FX29" i="70"/>
  <c r="FH29" i="70"/>
  <c r="GJ29" i="70"/>
  <c r="Y32" i="70"/>
  <c r="CT22" i="7"/>
  <c r="M52" i="70"/>
  <c r="EG52" i="70"/>
  <c r="CN42" i="7" s="1"/>
  <c r="EU52" i="70"/>
  <c r="CV42" i="7" s="1"/>
  <c r="CT42" i="7"/>
  <c r="EG62" i="70"/>
  <c r="CN52" i="7"/>
  <c r="EV62" i="70"/>
  <c r="CW52" i="7" s="1"/>
  <c r="FX62" i="70"/>
  <c r="DM52" i="7" s="1"/>
  <c r="CT72" i="7"/>
  <c r="DJ72" i="7"/>
  <c r="FH92" i="70"/>
  <c r="DJ82" i="7" s="1"/>
  <c r="GJ92" i="70"/>
  <c r="DZ82" i="7" s="1"/>
  <c r="DW102" i="70"/>
  <c r="GL92" i="70"/>
  <c r="DU82" i="7" s="1"/>
  <c r="GL52" i="70"/>
  <c r="DU42" i="7" s="1"/>
  <c r="EF12" i="70"/>
  <c r="FH20" i="70"/>
  <c r="FV20" i="70"/>
  <c r="CT21" i="70"/>
  <c r="FH21" i="70"/>
  <c r="FX21" i="70"/>
  <c r="Y22" i="70"/>
  <c r="Z22" i="70" s="1"/>
  <c r="FJ22" i="70"/>
  <c r="DI22" i="70"/>
  <c r="EV23" i="70"/>
  <c r="FJ23" i="70"/>
  <c r="GL23" i="70"/>
  <c r="FX23" i="70"/>
  <c r="FX24" i="70"/>
  <c r="DE24" i="70"/>
  <c r="DI24" i="70"/>
  <c r="EH27" i="70"/>
  <c r="M27" i="70"/>
  <c r="EV27" i="70"/>
  <c r="GL27" i="70"/>
  <c r="FI32" i="70"/>
  <c r="DD22" i="7" s="1"/>
  <c r="DB22" i="7"/>
  <c r="FX42" i="70"/>
  <c r="DM32" i="7" s="1"/>
  <c r="CT32" i="7"/>
  <c r="DS52" i="70"/>
  <c r="DT52" i="70" s="1"/>
  <c r="FV52" i="70"/>
  <c r="DR42" i="7" s="1"/>
  <c r="EH62" i="70"/>
  <c r="CO52" i="7"/>
  <c r="GL62" i="70"/>
  <c r="DU52" i="7" s="1"/>
  <c r="GK82" i="70"/>
  <c r="DT72" i="7" s="1"/>
  <c r="CF82" i="70"/>
  <c r="EH92" i="70"/>
  <c r="CO82" i="7" s="1"/>
  <c r="CT82" i="7"/>
  <c r="BS102" i="70"/>
  <c r="FB102" i="70" s="1"/>
  <c r="DA92" i="7" s="1"/>
  <c r="GL102" i="70"/>
  <c r="DU92" i="7" s="1"/>
  <c r="FV102" i="70"/>
  <c r="DR92" i="7"/>
  <c r="AC22" i="70"/>
  <c r="CQ26" i="70"/>
  <c r="CQ102" i="70"/>
  <c r="BE22" i="70"/>
  <c r="GK52" i="70"/>
  <c r="DT42" i="7" s="1"/>
  <c r="FI82" i="70"/>
  <c r="DD72" i="7" s="1"/>
  <c r="CU92" i="70"/>
  <c r="M102" i="70"/>
  <c r="FJ102" i="70"/>
  <c r="DE92" i="7"/>
  <c r="BR102" i="70"/>
  <c r="CG102" i="70"/>
  <c r="DH102" i="70"/>
  <c r="BO52" i="70"/>
  <c r="BP52" i="70" s="1"/>
  <c r="EY52" i="70" s="1"/>
  <c r="CX42" i="7" s="1"/>
  <c r="O102" i="70"/>
  <c r="BO102" i="70"/>
  <c r="BP102" i="70" s="1"/>
  <c r="AP1" i="7"/>
  <c r="GJ32" i="57"/>
  <c r="AT22" i="7"/>
  <c r="GJ30" i="57"/>
  <c r="AT20" i="7"/>
  <c r="GJ28" i="57"/>
  <c r="GJ26" i="57"/>
  <c r="GJ24" i="57"/>
  <c r="GJ22" i="57"/>
  <c r="GJ20" i="57"/>
  <c r="GJ18" i="57"/>
  <c r="GJ16" i="57"/>
  <c r="GJ3" i="57"/>
  <c r="GJ31" i="57"/>
  <c r="AT21" i="7" s="1"/>
  <c r="GJ29" i="57"/>
  <c r="GJ27" i="57"/>
  <c r="GJ25" i="57"/>
  <c r="GJ23" i="57"/>
  <c r="GJ21" i="57"/>
  <c r="GJ19" i="57"/>
  <c r="GJ17" i="57"/>
  <c r="GJ15" i="57"/>
  <c r="AT130" i="7"/>
  <c r="DG24" i="70"/>
  <c r="DF24" i="70"/>
  <c r="O97" i="57"/>
  <c r="CQ51" i="57"/>
  <c r="CR51" i="57" s="1"/>
  <c r="O84" i="57"/>
  <c r="K94" i="57"/>
  <c r="L94" i="57" s="1"/>
  <c r="EJ8" i="70"/>
  <c r="EI6" i="70"/>
  <c r="N107" i="57"/>
  <c r="EG107" i="57"/>
  <c r="H97" i="7" s="1"/>
  <c r="K107" i="57"/>
  <c r="M107" i="57" s="1"/>
  <c r="L107" i="57"/>
  <c r="K44" i="57"/>
  <c r="FX66" i="57"/>
  <c r="AG56" i="7" s="1"/>
  <c r="BA66" i="57"/>
  <c r="BB66" i="57"/>
  <c r="BC66" i="57"/>
  <c r="BA81" i="57"/>
  <c r="BB81" i="57" s="1"/>
  <c r="GA81" i="57" s="1"/>
  <c r="AH71" i="7" s="1"/>
  <c r="BE81" i="57"/>
  <c r="BA97" i="57"/>
  <c r="BB97" i="57" s="1"/>
  <c r="GA97" i="57" s="1"/>
  <c r="AH87" i="7" s="1"/>
  <c r="BE97" i="57"/>
  <c r="GD97" i="57" s="1"/>
  <c r="AK87" i="7" s="1"/>
  <c r="CS110" i="56"/>
  <c r="FN110" i="56" s="1"/>
  <c r="BQ100" i="7" s="1"/>
  <c r="CS108" i="56"/>
  <c r="GB108" i="56" s="1"/>
  <c r="BY98" i="7"/>
  <c r="DH98" i="57"/>
  <c r="DE98" i="57"/>
  <c r="DG98" i="57" s="1"/>
  <c r="DH83" i="57"/>
  <c r="DE64" i="57"/>
  <c r="DG64" i="57" s="1"/>
  <c r="DH64" i="57"/>
  <c r="DH108" i="57"/>
  <c r="DE108" i="57"/>
  <c r="DG108" i="57" s="1"/>
  <c r="GK108" i="57"/>
  <c r="AN98" i="7" s="1"/>
  <c r="EG108" i="57"/>
  <c r="H98" i="7" s="1"/>
  <c r="DH47" i="57"/>
  <c r="DH88" i="57"/>
  <c r="DE88" i="57"/>
  <c r="DH71" i="57"/>
  <c r="DH57" i="57"/>
  <c r="EG57" i="57"/>
  <c r="H47" i="7"/>
  <c r="GK57" i="57"/>
  <c r="AN47" i="7"/>
  <c r="EU57" i="57"/>
  <c r="P47" i="7" s="1"/>
  <c r="DH106" i="57"/>
  <c r="EG106" i="57"/>
  <c r="H96" i="7"/>
  <c r="GK106" i="57"/>
  <c r="AN96" i="7" s="1"/>
  <c r="DE39" i="57"/>
  <c r="DG39" i="57" s="1"/>
  <c r="DH39" i="57"/>
  <c r="DH35" i="57"/>
  <c r="DE31" i="57"/>
  <c r="DG31" i="57" s="1"/>
  <c r="DH31" i="57"/>
  <c r="DH103" i="57"/>
  <c r="DE103" i="57"/>
  <c r="DG103" i="57" s="1"/>
  <c r="DF103" i="57"/>
  <c r="EU103" i="57"/>
  <c r="P93" i="7" s="1"/>
  <c r="EG103" i="57"/>
  <c r="H93" i="7" s="1"/>
  <c r="GK103" i="57"/>
  <c r="AN93" i="7" s="1"/>
  <c r="DH93" i="57"/>
  <c r="EU93" i="57"/>
  <c r="P83" i="7" s="1"/>
  <c r="EG93" i="57"/>
  <c r="H83" i="7" s="1"/>
  <c r="GK93" i="57"/>
  <c r="AN83" i="7" s="1"/>
  <c r="DH77" i="57"/>
  <c r="DE77" i="57"/>
  <c r="DG77" i="57" s="1"/>
  <c r="DE60" i="57"/>
  <c r="DG60" i="57" s="1"/>
  <c r="DH60" i="57"/>
  <c r="CG107" i="57"/>
  <c r="CC107" i="57"/>
  <c r="CD107" i="57" s="1"/>
  <c r="BA37" i="57"/>
  <c r="FX37" i="57"/>
  <c r="AG27" i="7" s="1"/>
  <c r="FX33" i="57"/>
  <c r="AG23" i="7" s="1"/>
  <c r="BA33" i="57"/>
  <c r="BB33" i="57" s="1"/>
  <c r="FX91" i="57"/>
  <c r="AG81" i="7" s="1"/>
  <c r="BE91" i="57"/>
  <c r="BA91" i="57"/>
  <c r="BB91" i="57" s="1"/>
  <c r="BA75" i="57"/>
  <c r="FX75" i="57"/>
  <c r="AG65" i="7" s="1"/>
  <c r="BE75" i="57"/>
  <c r="FX52" i="57"/>
  <c r="AG42" i="7" s="1"/>
  <c r="BA52" i="57"/>
  <c r="BB52" i="57" s="1"/>
  <c r="BA87" i="57"/>
  <c r="FX87" i="57"/>
  <c r="AG77" i="7" s="1"/>
  <c r="BE87" i="57"/>
  <c r="BA73" i="57"/>
  <c r="BB73" i="57" s="1"/>
  <c r="FX73" i="57"/>
  <c r="AG63" i="7" s="1"/>
  <c r="BA62" i="57"/>
  <c r="BB62" i="57"/>
  <c r="FX62" i="57"/>
  <c r="AG52" i="7" s="1"/>
  <c r="FX51" i="57"/>
  <c r="AG41" i="7" s="1"/>
  <c r="BA51" i="57"/>
  <c r="BB51" i="57" s="1"/>
  <c r="BC51" i="57"/>
  <c r="BA41" i="57"/>
  <c r="BB41" i="57" s="1"/>
  <c r="GA41" i="57"/>
  <c r="AH31" i="7" s="1"/>
  <c r="FX41" i="57"/>
  <c r="AG31" i="7" s="1"/>
  <c r="BA103" i="57"/>
  <c r="BB103" i="57" s="1"/>
  <c r="FX103" i="57"/>
  <c r="AG93" i="7" s="1"/>
  <c r="BE103" i="57"/>
  <c r="BA95" i="57"/>
  <c r="BB95" i="57" s="1"/>
  <c r="FX95" i="57"/>
  <c r="AG85" i="7" s="1"/>
  <c r="BE95" i="57"/>
  <c r="BA85" i="57"/>
  <c r="BB85" i="57" s="1"/>
  <c r="BE85" i="57"/>
  <c r="GD85" i="57" s="1"/>
  <c r="AK75" i="7"/>
  <c r="FX85" i="57"/>
  <c r="AG75" i="7" s="1"/>
  <c r="BA70" i="57"/>
  <c r="BB70" i="57" s="1"/>
  <c r="GA70" i="57" s="1"/>
  <c r="AH60" i="7" s="1"/>
  <c r="FX70" i="57"/>
  <c r="AG60" i="7" s="1"/>
  <c r="FX61" i="57"/>
  <c r="AG51" i="7" s="1"/>
  <c r="BA61" i="57"/>
  <c r="BB61" i="57" s="1"/>
  <c r="GA61" i="57" s="1"/>
  <c r="AH51" i="7"/>
  <c r="AM108" i="57"/>
  <c r="AN108" i="57"/>
  <c r="AQ108" i="57"/>
  <c r="AB109" i="57"/>
  <c r="AB110" i="57"/>
  <c r="Y110" i="57"/>
  <c r="AA110" i="57" s="1"/>
  <c r="EU110" i="57"/>
  <c r="P100" i="7" s="1"/>
  <c r="BQ22" i="70"/>
  <c r="FA21" i="70"/>
  <c r="FA108" i="70"/>
  <c r="CZ98" i="7" s="1"/>
  <c r="CT42" i="57"/>
  <c r="CT96" i="57"/>
  <c r="EG79" i="57"/>
  <c r="H69" i="7" s="1"/>
  <c r="CT79" i="57"/>
  <c r="GK65" i="57"/>
  <c r="AN55" i="7" s="1"/>
  <c r="EU65" i="57"/>
  <c r="P55" i="7" s="1"/>
  <c r="EG65" i="57"/>
  <c r="H55" i="7"/>
  <c r="CT65" i="57"/>
  <c r="CQ40" i="57"/>
  <c r="CS40" i="57" s="1"/>
  <c r="EG40" i="57"/>
  <c r="H30" i="7"/>
  <c r="CT40" i="57"/>
  <c r="GK40" i="57"/>
  <c r="AN30" i="7" s="1"/>
  <c r="EG36" i="57"/>
  <c r="H26" i="7" s="1"/>
  <c r="CT36" i="57"/>
  <c r="GK36" i="57"/>
  <c r="AN26" i="7" s="1"/>
  <c r="EU36" i="57"/>
  <c r="P26" i="7" s="1"/>
  <c r="EG32" i="57"/>
  <c r="H22" i="7" s="1"/>
  <c r="CT32" i="57"/>
  <c r="GK32" i="57"/>
  <c r="AN22" i="7" s="1"/>
  <c r="EU32" i="57"/>
  <c r="P22" i="7" s="1"/>
  <c r="GK102" i="57"/>
  <c r="AN92" i="7" s="1"/>
  <c r="EU102" i="57"/>
  <c r="P92" i="7" s="1"/>
  <c r="EG102" i="57"/>
  <c r="H92" i="7" s="1"/>
  <c r="CT102" i="57"/>
  <c r="GK84" i="57"/>
  <c r="AN74" i="7" s="1"/>
  <c r="EU84" i="57"/>
  <c r="P74" i="7" s="1"/>
  <c r="EG84" i="57"/>
  <c r="H74" i="7" s="1"/>
  <c r="CT84" i="57"/>
  <c r="GK70" i="57"/>
  <c r="AN60" i="7" s="1"/>
  <c r="EU70" i="57"/>
  <c r="P60" i="7" s="1"/>
  <c r="H60" i="7"/>
  <c r="CT70" i="57"/>
  <c r="EG105" i="57"/>
  <c r="H95" i="7" s="1"/>
  <c r="EU105" i="57"/>
  <c r="P95" i="7" s="1"/>
  <c r="GK105" i="57"/>
  <c r="AN95" i="7" s="1"/>
  <c r="CT105" i="57"/>
  <c r="EU89" i="57"/>
  <c r="P79" i="7" s="1"/>
  <c r="EG89" i="57"/>
  <c r="H79" i="7" s="1"/>
  <c r="CT89" i="57"/>
  <c r="GK89" i="57"/>
  <c r="AN79" i="7" s="1"/>
  <c r="EU64" i="57"/>
  <c r="P54" i="7" s="1"/>
  <c r="CT64" i="57"/>
  <c r="GK64" i="57"/>
  <c r="AN54" i="7"/>
  <c r="EG64" i="57"/>
  <c r="H54" i="7" s="1"/>
  <c r="EG37" i="57"/>
  <c r="H27" i="7" s="1"/>
  <c r="EZ55" i="56"/>
  <c r="BI45" i="7" s="1"/>
  <c r="GB55" i="56"/>
  <c r="BY45" i="7" s="1"/>
  <c r="EM11" i="56"/>
  <c r="GC11" i="56"/>
  <c r="Z71" i="70"/>
  <c r="EY71" i="70" s="1"/>
  <c r="CX61" i="7" s="1"/>
  <c r="AA71" i="70"/>
  <c r="EZ71" i="70" s="1"/>
  <c r="CY61" i="7" s="1"/>
  <c r="BP39" i="70"/>
  <c r="EY39" i="70" s="1"/>
  <c r="CX29" i="7" s="1"/>
  <c r="BQ39" i="70"/>
  <c r="EZ39" i="70" s="1"/>
  <c r="CY29" i="7" s="1"/>
  <c r="BE96" i="57"/>
  <c r="GD96" i="57" s="1"/>
  <c r="AK86" i="7" s="1"/>
  <c r="FX96" i="57"/>
  <c r="AG86" i="7" s="1"/>
  <c r="BA96" i="57"/>
  <c r="BC96" i="57" s="1"/>
  <c r="GB96" i="57" s="1"/>
  <c r="AI86" i="7" s="1"/>
  <c r="BB96" i="57"/>
  <c r="GA96" i="57" s="1"/>
  <c r="AH86" i="7" s="1"/>
  <c r="EM96" i="56"/>
  <c r="BB86" i="7" s="1"/>
  <c r="GC96" i="56"/>
  <c r="BZ86" i="7" s="1"/>
  <c r="DF43" i="56"/>
  <c r="EK105" i="56"/>
  <c r="AZ95" i="7"/>
  <c r="GO105" i="56"/>
  <c r="CF95" i="7" s="1"/>
  <c r="GP57" i="56"/>
  <c r="CG47" i="7" s="1"/>
  <c r="DG99" i="56"/>
  <c r="GB99" i="56"/>
  <c r="BY89" i="7" s="1"/>
  <c r="AO23" i="56"/>
  <c r="AN23" i="56"/>
  <c r="GC90" i="57"/>
  <c r="AJ80" i="7" s="1"/>
  <c r="BC59" i="56"/>
  <c r="DT104" i="56"/>
  <c r="DU104" i="56"/>
  <c r="EK82" i="56"/>
  <c r="AZ72" i="7" s="1"/>
  <c r="GP71" i="56"/>
  <c r="CG61" i="7" s="1"/>
  <c r="EU40" i="57"/>
  <c r="P30" i="7" s="1"/>
  <c r="GP85" i="56"/>
  <c r="CG75" i="7" s="1"/>
  <c r="EL85" i="56"/>
  <c r="BA75" i="7"/>
  <c r="FM64" i="56"/>
  <c r="BP54" i="7"/>
  <c r="GP60" i="56"/>
  <c r="CG50" i="7" s="1"/>
  <c r="EZ25" i="56"/>
  <c r="GB25" i="56"/>
  <c r="DU79" i="56"/>
  <c r="FN79" i="56"/>
  <c r="BQ69" i="7" s="1"/>
  <c r="EK32" i="56"/>
  <c r="AZ22" i="7" s="1"/>
  <c r="EY64" i="56"/>
  <c r="BH54" i="7" s="1"/>
  <c r="GP25" i="57"/>
  <c r="AB47" i="57"/>
  <c r="AB61" i="57"/>
  <c r="AB37" i="57"/>
  <c r="AB60" i="57"/>
  <c r="AB45" i="57"/>
  <c r="AB38" i="57"/>
  <c r="AB54" i="57"/>
  <c r="AB70" i="57"/>
  <c r="AB53" i="57"/>
  <c r="AB59" i="57"/>
  <c r="AB32" i="57"/>
  <c r="AB68" i="57"/>
  <c r="AB51" i="57"/>
  <c r="AB65" i="57"/>
  <c r="AB36" i="57"/>
  <c r="AB72" i="57"/>
  <c r="AB41" i="57"/>
  <c r="AB42" i="57"/>
  <c r="AB58" i="57"/>
  <c r="AB74" i="57"/>
  <c r="AB31" i="57"/>
  <c r="AB63" i="57"/>
  <c r="AB40" i="57"/>
  <c r="AB49" i="57"/>
  <c r="AB69" i="57"/>
  <c r="AB44" i="57"/>
  <c r="AB35" i="57"/>
  <c r="AB30" i="57"/>
  <c r="AB46" i="57"/>
  <c r="AB62" i="57"/>
  <c r="AB55" i="57"/>
  <c r="AB33" i="57"/>
  <c r="AB67" i="57"/>
  <c r="AB48" i="57"/>
  <c r="AB57" i="57"/>
  <c r="AB73" i="57"/>
  <c r="AB52" i="57"/>
  <c r="AB43" i="57"/>
  <c r="AB34" i="57"/>
  <c r="AB50" i="57"/>
  <c r="AB66" i="57"/>
  <c r="AB64" i="57"/>
  <c r="AB39" i="57"/>
  <c r="AB71" i="57"/>
  <c r="AB56" i="57"/>
  <c r="GB61" i="56"/>
  <c r="BY51" i="7" s="1"/>
  <c r="EL25" i="56"/>
  <c r="FM25" i="70"/>
  <c r="FM27" i="70"/>
  <c r="GO46" i="70"/>
  <c r="DV36" i="7" s="1"/>
  <c r="GO41" i="70"/>
  <c r="DV31" i="7" s="1"/>
  <c r="GO16" i="70"/>
  <c r="CR102" i="70"/>
  <c r="CS102" i="70"/>
  <c r="AO22" i="70"/>
  <c r="AN22" i="70"/>
  <c r="GO71" i="70"/>
  <c r="DV61" i="7"/>
  <c r="GO58" i="70"/>
  <c r="DV48" i="7"/>
  <c r="GO69" i="70"/>
  <c r="DV59" i="7"/>
  <c r="GO40" i="70"/>
  <c r="DV30" i="7"/>
  <c r="GO43" i="70"/>
  <c r="DV33" i="7"/>
  <c r="GO101" i="70"/>
  <c r="DV91" i="7"/>
  <c r="GO73" i="70"/>
  <c r="DV63" i="7"/>
  <c r="GO65" i="70"/>
  <c r="DV55" i="7"/>
  <c r="GO95" i="70"/>
  <c r="DV85" i="7"/>
  <c r="GO11" i="70"/>
  <c r="GO88" i="70"/>
  <c r="DV78" i="7"/>
  <c r="GO96" i="70"/>
  <c r="DV86" i="7"/>
  <c r="GO56" i="70"/>
  <c r="DV46" i="7"/>
  <c r="GO23" i="70"/>
  <c r="GO105" i="70"/>
  <c r="DV95" i="7"/>
  <c r="GO17" i="70"/>
  <c r="GO44" i="70"/>
  <c r="DV34" i="7"/>
  <c r="GO110" i="70"/>
  <c r="DV100" i="7"/>
  <c r="GO77" i="70"/>
  <c r="DV67" i="7"/>
  <c r="GO91" i="70"/>
  <c r="DV81" i="7" s="1"/>
  <c r="GO14" i="70"/>
  <c r="GO37" i="70"/>
  <c r="DV27" i="7" s="1"/>
  <c r="GO93" i="70"/>
  <c r="DV83" i="7" s="1"/>
  <c r="K65" i="57"/>
  <c r="L65" i="57"/>
  <c r="O88" i="57"/>
  <c r="K100" i="57"/>
  <c r="L100" i="57"/>
  <c r="O100" i="57"/>
  <c r="EV53" i="57"/>
  <c r="Q43" i="7" s="1"/>
  <c r="FJ53" i="57"/>
  <c r="Y43" i="7" s="1"/>
  <c r="CU53" i="57"/>
  <c r="GL53" i="57"/>
  <c r="AO43" i="7" s="1"/>
  <c r="CQ53" i="57"/>
  <c r="CS53" i="57" s="1"/>
  <c r="K70" i="57"/>
  <c r="M70" i="57" s="1"/>
  <c r="K85" i="57"/>
  <c r="L85" i="57"/>
  <c r="O85" i="57"/>
  <c r="K95" i="57"/>
  <c r="M95" i="57" s="1"/>
  <c r="O95" i="57"/>
  <c r="L99" i="70"/>
  <c r="M99" i="70"/>
  <c r="N10" i="57"/>
  <c r="K10" i="57"/>
  <c r="M10" i="57" s="1"/>
  <c r="EG10" i="57"/>
  <c r="H130" i="7" s="1"/>
  <c r="L10" i="57"/>
  <c r="K42" i="57"/>
  <c r="M42" i="57" s="1"/>
  <c r="DH82" i="57"/>
  <c r="BE105" i="57"/>
  <c r="FX105" i="57"/>
  <c r="AG95" i="7" s="1"/>
  <c r="BA105" i="57"/>
  <c r="BB105" i="57" s="1"/>
  <c r="BC105" i="57"/>
  <c r="DG79" i="56"/>
  <c r="DF79" i="56"/>
  <c r="DH92" i="57"/>
  <c r="DH76" i="57"/>
  <c r="DE76" i="57"/>
  <c r="DG76" i="57" s="1"/>
  <c r="DH56" i="57"/>
  <c r="DE56" i="57"/>
  <c r="DF56" i="57"/>
  <c r="DH110" i="57"/>
  <c r="GQ110" i="57"/>
  <c r="AR100" i="7" s="1"/>
  <c r="DH104" i="57"/>
  <c r="DE104" i="57"/>
  <c r="DG104" i="57" s="1"/>
  <c r="DH87" i="57"/>
  <c r="EU68" i="57"/>
  <c r="P58" i="7" s="1"/>
  <c r="EG68" i="57"/>
  <c r="H58" i="7" s="1"/>
  <c r="DH68" i="57"/>
  <c r="GK68" i="57"/>
  <c r="AN58" i="7" s="1"/>
  <c r="DH54" i="57"/>
  <c r="GK54" i="57"/>
  <c r="AN44" i="7"/>
  <c r="EG54" i="57"/>
  <c r="H44" i="7"/>
  <c r="EU54" i="57"/>
  <c r="P44" i="7"/>
  <c r="DE43" i="57"/>
  <c r="DF43" i="57" s="1"/>
  <c r="DG43" i="57"/>
  <c r="DH43" i="57"/>
  <c r="DE38" i="57"/>
  <c r="DF38" i="57" s="1"/>
  <c r="DH38" i="57"/>
  <c r="DE34" i="57"/>
  <c r="DG34" i="57"/>
  <c r="DH34" i="57"/>
  <c r="DH30" i="57"/>
  <c r="DH99" i="57"/>
  <c r="DE99" i="57"/>
  <c r="DG99" i="57" s="1"/>
  <c r="DH86" i="57"/>
  <c r="DE70" i="57"/>
  <c r="DG70" i="57" s="1"/>
  <c r="DH70" i="57"/>
  <c r="DE59" i="57"/>
  <c r="DF59" i="57" s="1"/>
  <c r="DH59" i="57"/>
  <c r="EG59" i="57"/>
  <c r="H49" i="7" s="1"/>
  <c r="GK59" i="57"/>
  <c r="AN49" i="7" s="1"/>
  <c r="EU59" i="57"/>
  <c r="P49" i="7" s="1"/>
  <c r="CG108" i="57"/>
  <c r="CC108" i="57"/>
  <c r="CD108" i="57" s="1"/>
  <c r="FX40" i="57"/>
  <c r="AG30" i="7" s="1"/>
  <c r="BA40" i="57"/>
  <c r="BB40" i="57" s="1"/>
  <c r="GA40" i="57" s="1"/>
  <c r="AH30" i="7" s="1"/>
  <c r="FX36" i="57"/>
  <c r="AG26" i="7"/>
  <c r="BA36" i="57"/>
  <c r="BC36" i="57" s="1"/>
  <c r="GB36" i="57" s="1"/>
  <c r="AI26" i="7" s="1"/>
  <c r="FX32" i="57"/>
  <c r="AG22" i="7"/>
  <c r="BA32" i="57"/>
  <c r="BB32" i="57"/>
  <c r="BC32" i="57"/>
  <c r="BE90" i="57"/>
  <c r="FX90" i="57"/>
  <c r="AG80" i="7" s="1"/>
  <c r="BA90" i="57"/>
  <c r="BB90" i="57" s="1"/>
  <c r="BC90" i="57"/>
  <c r="BA69" i="57"/>
  <c r="BB69" i="57"/>
  <c r="FX69" i="57"/>
  <c r="AG59" i="7"/>
  <c r="BC69" i="57"/>
  <c r="BE109" i="57"/>
  <c r="BA109" i="57"/>
  <c r="BB109" i="57" s="1"/>
  <c r="BA86" i="57"/>
  <c r="BB86" i="57" s="1"/>
  <c r="BE86" i="57"/>
  <c r="FX86" i="57"/>
  <c r="AG76" i="7"/>
  <c r="BA72" i="57"/>
  <c r="BB72" i="57" s="1"/>
  <c r="GA72" i="57" s="1"/>
  <c r="AH62" i="7" s="1"/>
  <c r="FX72" i="57"/>
  <c r="AG62" i="7" s="1"/>
  <c r="FX59" i="57"/>
  <c r="AG49" i="7" s="1"/>
  <c r="BA59" i="57"/>
  <c r="BC59" i="57" s="1"/>
  <c r="BE106" i="57"/>
  <c r="FX106" i="57"/>
  <c r="AG96" i="7"/>
  <c r="BA106" i="57"/>
  <c r="BC106" i="57" s="1"/>
  <c r="BA49" i="57"/>
  <c r="BC49" i="57" s="1"/>
  <c r="FX49" i="57"/>
  <c r="AG39" i="7" s="1"/>
  <c r="BA102" i="57"/>
  <c r="BC102" i="57" s="1"/>
  <c r="BE102" i="57"/>
  <c r="FX102" i="57"/>
  <c r="AG92" i="7"/>
  <c r="BA94" i="57"/>
  <c r="BB94" i="57" s="1"/>
  <c r="BE94" i="57"/>
  <c r="GD94" i="57" s="1"/>
  <c r="AK84" i="7" s="1"/>
  <c r="FX94" i="57"/>
  <c r="AG84" i="7"/>
  <c r="BE84" i="57"/>
  <c r="GD84" i="57" s="1"/>
  <c r="AK74" i="7" s="1"/>
  <c r="FX84" i="57"/>
  <c r="AG74" i="7" s="1"/>
  <c r="BA84" i="57"/>
  <c r="BB84" i="57" s="1"/>
  <c r="GA84" i="57" s="1"/>
  <c r="AH74" i="7" s="1"/>
  <c r="FX68" i="57"/>
  <c r="AG58" i="7" s="1"/>
  <c r="BA68" i="57"/>
  <c r="BB68" i="57" s="1"/>
  <c r="GA68" i="57" s="1"/>
  <c r="AH58" i="7" s="1"/>
  <c r="FX108" i="57"/>
  <c r="AG98" i="7"/>
  <c r="BE108" i="57"/>
  <c r="BC108" i="57"/>
  <c r="BA108" i="57"/>
  <c r="BB108" i="57"/>
  <c r="AQ107" i="57"/>
  <c r="AO107" i="57"/>
  <c r="AM107" i="57"/>
  <c r="AN107" i="57"/>
  <c r="AB108" i="57"/>
  <c r="EU108" i="57"/>
  <c r="P98" i="7" s="1"/>
  <c r="Y108" i="57"/>
  <c r="Z108" i="57" s="1"/>
  <c r="EM99" i="56"/>
  <c r="BB89" i="7" s="1"/>
  <c r="GC99" i="56"/>
  <c r="BZ89" i="7" s="1"/>
  <c r="DG102" i="70"/>
  <c r="AA22" i="70"/>
  <c r="CT46" i="57"/>
  <c r="GK88" i="57"/>
  <c r="AN78" i="7" s="1"/>
  <c r="EU88" i="57"/>
  <c r="P78" i="7" s="1"/>
  <c r="EG88" i="57"/>
  <c r="H78" i="7" s="1"/>
  <c r="CT88" i="57"/>
  <c r="GK74" i="57"/>
  <c r="AN64" i="7" s="1"/>
  <c r="EU74" i="57"/>
  <c r="P64" i="7" s="1"/>
  <c r="EG74" i="57"/>
  <c r="H64" i="7" s="1"/>
  <c r="CT74" i="57"/>
  <c r="CT50" i="57"/>
  <c r="EU50" i="57"/>
  <c r="P40" i="7"/>
  <c r="GK50" i="57"/>
  <c r="AN40" i="7"/>
  <c r="EG50" i="57"/>
  <c r="H40" i="7"/>
  <c r="EU39" i="57"/>
  <c r="P29" i="7"/>
  <c r="CT39" i="57"/>
  <c r="GK39" i="57"/>
  <c r="AN29" i="7" s="1"/>
  <c r="EG35" i="57"/>
  <c r="H25" i="7" s="1"/>
  <c r="EU35" i="57"/>
  <c r="P25" i="7" s="1"/>
  <c r="CT35" i="57"/>
  <c r="GK35" i="57"/>
  <c r="AN25" i="7" s="1"/>
  <c r="EG31" i="57"/>
  <c r="H21" i="7" s="1"/>
  <c r="CT31" i="57"/>
  <c r="GK31" i="57"/>
  <c r="AN21" i="7" s="1"/>
  <c r="EU31" i="57"/>
  <c r="P21" i="7" s="1"/>
  <c r="GK98" i="57"/>
  <c r="AN88" i="7" s="1"/>
  <c r="EU98" i="57"/>
  <c r="P88" i="7" s="1"/>
  <c r="EG98" i="57"/>
  <c r="H88" i="7" s="1"/>
  <c r="CT98" i="57"/>
  <c r="EU83" i="57"/>
  <c r="P73" i="7" s="1"/>
  <c r="EG83" i="57"/>
  <c r="H73" i="7" s="1"/>
  <c r="GK83" i="57"/>
  <c r="AN73" i="7" s="1"/>
  <c r="CT83" i="57"/>
  <c r="EU69" i="57"/>
  <c r="P59" i="7" s="1"/>
  <c r="EG69" i="57"/>
  <c r="H59" i="7" s="1"/>
  <c r="CT69" i="57"/>
  <c r="GK69" i="57"/>
  <c r="AN59" i="7" s="1"/>
  <c r="CT101" i="57"/>
  <c r="GK82" i="57"/>
  <c r="AN72" i="7" s="1"/>
  <c r="EU82" i="57"/>
  <c r="P72" i="7" s="1"/>
  <c r="EG82" i="57"/>
  <c r="H72" i="7" s="1"/>
  <c r="CT82" i="57"/>
  <c r="GK56" i="57"/>
  <c r="AN46" i="7"/>
  <c r="CT56" i="57"/>
  <c r="EG56" i="57"/>
  <c r="H46" i="7" s="1"/>
  <c r="K41" i="57"/>
  <c r="L41" i="57" s="1"/>
  <c r="EG41" i="57"/>
  <c r="H31" i="7" s="1"/>
  <c r="EN99" i="56"/>
  <c r="BC89" i="7" s="1"/>
  <c r="GD99" i="56"/>
  <c r="CA89" i="7" s="1"/>
  <c r="FB99" i="56"/>
  <c r="BK89" i="7" s="1"/>
  <c r="EK68" i="56"/>
  <c r="AZ58" i="7" s="1"/>
  <c r="FM68" i="56"/>
  <c r="BP58" i="7" s="1"/>
  <c r="GA68" i="56"/>
  <c r="BX58" i="7" s="1"/>
  <c r="GB27" i="56"/>
  <c r="FF6" i="56"/>
  <c r="ED6" i="56"/>
  <c r="CL6" i="56"/>
  <c r="FT6" i="56"/>
  <c r="CD66" i="70"/>
  <c r="CE66" i="70"/>
  <c r="AQ9" i="70"/>
  <c r="AP9" i="70"/>
  <c r="DU13" i="7"/>
  <c r="GM1" i="70"/>
  <c r="FK1" i="70"/>
  <c r="DE13" i="7"/>
  <c r="CO13" i="7"/>
  <c r="EI1" i="70"/>
  <c r="BA54" i="57"/>
  <c r="BB54" i="57" s="1"/>
  <c r="FX54" i="57"/>
  <c r="AG44" i="7" s="1"/>
  <c r="DH74" i="57"/>
  <c r="DH97" i="57"/>
  <c r="CS96" i="56"/>
  <c r="CR96" i="56"/>
  <c r="CS84" i="56"/>
  <c r="CR84" i="56"/>
  <c r="DF59" i="56"/>
  <c r="GA59" i="56" s="1"/>
  <c r="BX49" i="7" s="1"/>
  <c r="DF39" i="56"/>
  <c r="FN20" i="56"/>
  <c r="GB20" i="56"/>
  <c r="GQ75" i="56"/>
  <c r="CH65" i="7"/>
  <c r="EM75" i="56"/>
  <c r="BB65" i="7"/>
  <c r="GQ91" i="56"/>
  <c r="CH81" i="7"/>
  <c r="EM91" i="56"/>
  <c r="BB81" i="7"/>
  <c r="GP101" i="56"/>
  <c r="CG91" i="7"/>
  <c r="GP77" i="56"/>
  <c r="CG67" i="7"/>
  <c r="GP65" i="56"/>
  <c r="CG55" i="7"/>
  <c r="GP53" i="56"/>
  <c r="CG43" i="7"/>
  <c r="EL99" i="56"/>
  <c r="BA89" i="7"/>
  <c r="DF19" i="56"/>
  <c r="AO15" i="56"/>
  <c r="AN15" i="56"/>
  <c r="CE90" i="57"/>
  <c r="CD90" i="57"/>
  <c r="BC103" i="56"/>
  <c r="GO75" i="56"/>
  <c r="CF65" i="7"/>
  <c r="BC47" i="56"/>
  <c r="GO85" i="56"/>
  <c r="CF75" i="7" s="1"/>
  <c r="EK85" i="56"/>
  <c r="AZ75" i="7" s="1"/>
  <c r="DT12" i="56"/>
  <c r="DU12" i="56"/>
  <c r="DT96" i="56"/>
  <c r="DU96" i="56"/>
  <c r="GO15" i="56"/>
  <c r="GO73" i="56"/>
  <c r="CF63" i="7" s="1"/>
  <c r="DT28" i="56"/>
  <c r="DU28" i="56"/>
  <c r="FA96" i="56"/>
  <c r="BJ86" i="7" s="1"/>
  <c r="GP76" i="56"/>
  <c r="CG66" i="7" s="1"/>
  <c r="EZ27" i="56"/>
  <c r="GO36" i="56"/>
  <c r="CF26" i="7" s="1"/>
  <c r="GA26" i="57"/>
  <c r="GB86" i="56"/>
  <c r="BY76" i="7" s="1"/>
  <c r="EL86" i="56"/>
  <c r="BA76" i="7" s="1"/>
  <c r="AC48" i="57"/>
  <c r="AC45" i="57"/>
  <c r="AC61" i="57"/>
  <c r="AC52" i="57"/>
  <c r="AC40" i="57"/>
  <c r="AC70" i="57"/>
  <c r="AC36" i="57"/>
  <c r="AC38" i="57"/>
  <c r="AC43" i="57"/>
  <c r="AC59" i="57"/>
  <c r="AC46" i="57"/>
  <c r="AC33" i="57"/>
  <c r="AC49" i="57"/>
  <c r="AC65" i="57"/>
  <c r="AC34" i="57"/>
  <c r="AC58" i="57"/>
  <c r="AC74" i="57"/>
  <c r="AC30" i="57"/>
  <c r="AC31" i="57"/>
  <c r="AC47" i="57"/>
  <c r="AC63" i="57"/>
  <c r="AC54" i="57"/>
  <c r="AC37" i="57"/>
  <c r="AC53" i="57"/>
  <c r="AC69" i="57"/>
  <c r="AC42" i="57"/>
  <c r="AC62" i="57"/>
  <c r="AC60" i="57"/>
  <c r="AC32" i="57"/>
  <c r="AC35" i="57"/>
  <c r="AC51" i="57"/>
  <c r="AC67" i="57"/>
  <c r="AC64" i="57"/>
  <c r="AC50" i="57"/>
  <c r="AC41" i="57"/>
  <c r="AC57" i="57"/>
  <c r="AC73" i="57"/>
  <c r="AC44" i="57"/>
  <c r="AC66" i="57"/>
  <c r="AC68" i="57"/>
  <c r="AC56" i="57"/>
  <c r="AC39" i="57"/>
  <c r="AC55" i="57"/>
  <c r="AC71" i="57"/>
  <c r="AC72" i="57"/>
  <c r="AO6" i="56"/>
  <c r="FM28" i="70"/>
  <c r="GO47" i="70"/>
  <c r="DV37" i="7" s="1"/>
  <c r="GO90" i="70"/>
  <c r="DV80" i="7" s="1"/>
  <c r="BZ6" i="70"/>
  <c r="GJ6" i="70"/>
  <c r="FM20" i="70"/>
  <c r="FN98" i="70"/>
  <c r="DG88" i="7" s="1"/>
  <c r="GO74" i="70"/>
  <c r="DV64" i="7" s="1"/>
  <c r="GO54" i="70"/>
  <c r="DV44" i="7" s="1"/>
  <c r="GO61" i="70"/>
  <c r="DV51" i="7" s="1"/>
  <c r="CR26" i="70"/>
  <c r="CS26" i="70"/>
  <c r="BQ52" i="70"/>
  <c r="FM52" i="70"/>
  <c r="DF42" i="7"/>
  <c r="FN8" i="70"/>
  <c r="FM3" i="70"/>
  <c r="FM23" i="70"/>
  <c r="FM11" i="70"/>
  <c r="FM85" i="70"/>
  <c r="DF75" i="7"/>
  <c r="FM86" i="70"/>
  <c r="DF76" i="7"/>
  <c r="FM16" i="70"/>
  <c r="FM65" i="70"/>
  <c r="DF55" i="7"/>
  <c r="FM41" i="70"/>
  <c r="DF31" i="7"/>
  <c r="FM82" i="70"/>
  <c r="DF72" i="7"/>
  <c r="FM43" i="70"/>
  <c r="DF33" i="7"/>
  <c r="FM17" i="70"/>
  <c r="FM101" i="70"/>
  <c r="DF91" i="7"/>
  <c r="FM34" i="70"/>
  <c r="DF24" i="7"/>
  <c r="FM18" i="70"/>
  <c r="FM56" i="70"/>
  <c r="DF46" i="7"/>
  <c r="FM57" i="70"/>
  <c r="DF47" i="7"/>
  <c r="FM53" i="70"/>
  <c r="DF43" i="7"/>
  <c r="FM106" i="70"/>
  <c r="DF96" i="7"/>
  <c r="FM92" i="70"/>
  <c r="DF82" i="7"/>
  <c r="FM93" i="70"/>
  <c r="DF83" i="7"/>
  <c r="FM77" i="70"/>
  <c r="DF67" i="7"/>
  <c r="FM104" i="70"/>
  <c r="DF94" i="7"/>
  <c r="FM50" i="70"/>
  <c r="DF40" i="7"/>
  <c r="FM21" i="70"/>
  <c r="FM72" i="70"/>
  <c r="DF62" i="7"/>
  <c r="FM100" i="70"/>
  <c r="DF90" i="7"/>
  <c r="FM91" i="70"/>
  <c r="DF81" i="7"/>
  <c r="FM87" i="70"/>
  <c r="DF77" i="7"/>
  <c r="FM71" i="70"/>
  <c r="DF61" i="7"/>
  <c r="FM67" i="70"/>
  <c r="DF57" i="7"/>
  <c r="FM54" i="70"/>
  <c r="DF44" i="7"/>
  <c r="FM108" i="70"/>
  <c r="DF98" i="7"/>
  <c r="FM69" i="70"/>
  <c r="DF59" i="7"/>
  <c r="FM81" i="70"/>
  <c r="DF71" i="7"/>
  <c r="FM73" i="70"/>
  <c r="DF63" i="7"/>
  <c r="FM59" i="70"/>
  <c r="DF49" i="7"/>
  <c r="K74" i="57"/>
  <c r="M74" i="57" s="1"/>
  <c r="L74" i="57"/>
  <c r="O89" i="57"/>
  <c r="K89" i="57"/>
  <c r="L89" i="57" s="1"/>
  <c r="K101" i="57"/>
  <c r="L101" i="57" s="1"/>
  <c r="O101" i="57"/>
  <c r="DI56" i="57"/>
  <c r="DG56" i="57"/>
  <c r="K76" i="57"/>
  <c r="M76" i="57" s="1"/>
  <c r="O76" i="57"/>
  <c r="O92" i="57"/>
  <c r="K92" i="57"/>
  <c r="L92" i="57" s="1"/>
  <c r="O98" i="57"/>
  <c r="K98" i="57"/>
  <c r="L98" i="57" s="1"/>
  <c r="AN110" i="70"/>
  <c r="AO110" i="70"/>
  <c r="M93" i="70"/>
  <c r="DN6" i="70"/>
  <c r="FF6" i="70"/>
  <c r="N109" i="57"/>
  <c r="K109" i="57"/>
  <c r="M109" i="57" s="1"/>
  <c r="L109" i="57"/>
  <c r="EG109" i="57"/>
  <c r="H99" i="7" s="1"/>
  <c r="FX60" i="57"/>
  <c r="AG50" i="7" s="1"/>
  <c r="BA60" i="57"/>
  <c r="BC60" i="57" s="1"/>
  <c r="GB60" i="57" s="1"/>
  <c r="AI50" i="7" s="1"/>
  <c r="FX74" i="57"/>
  <c r="AG64" i="7" s="1"/>
  <c r="BA74" i="57"/>
  <c r="BB74" i="57" s="1"/>
  <c r="GA74" i="57" s="1"/>
  <c r="AH64" i="7" s="1"/>
  <c r="BE88" i="57"/>
  <c r="GD88" i="57" s="1"/>
  <c r="AK78" i="7" s="1"/>
  <c r="FX88" i="57"/>
  <c r="AG78" i="7"/>
  <c r="BA88" i="57"/>
  <c r="BC88" i="57" s="1"/>
  <c r="GB88" i="57" s="1"/>
  <c r="AI78" i="7" s="1"/>
  <c r="BB88" i="57"/>
  <c r="GA88" i="57" s="1"/>
  <c r="AH78" i="7" s="1"/>
  <c r="AQ109" i="57"/>
  <c r="AM109" i="57"/>
  <c r="AN109" i="57" s="1"/>
  <c r="CS76" i="56"/>
  <c r="CR76" i="56"/>
  <c r="DH45" i="57"/>
  <c r="DH91" i="57"/>
  <c r="DE91" i="57"/>
  <c r="DG91" i="57" s="1"/>
  <c r="DH75" i="57"/>
  <c r="DE53" i="57"/>
  <c r="DG53" i="57" s="1"/>
  <c r="DH53" i="57"/>
  <c r="GK53" i="57"/>
  <c r="AN43" i="7" s="1"/>
  <c r="EG53" i="57"/>
  <c r="H43" i="7" s="1"/>
  <c r="EU53" i="57"/>
  <c r="P43" i="7" s="1"/>
  <c r="DH50" i="57"/>
  <c r="DH100" i="57"/>
  <c r="DE100" i="57"/>
  <c r="DF100" i="57" s="1"/>
  <c r="DH80" i="57"/>
  <c r="DE80" i="57"/>
  <c r="DF80" i="57" s="1"/>
  <c r="DG80" i="57"/>
  <c r="EU67" i="57"/>
  <c r="P57" i="7" s="1"/>
  <c r="DH67" i="57"/>
  <c r="EG67" i="57"/>
  <c r="H57" i="7"/>
  <c r="EU52" i="57"/>
  <c r="P42" i="7" s="1"/>
  <c r="DH52" i="57"/>
  <c r="GK52" i="57"/>
  <c r="AN42" i="7"/>
  <c r="EG52" i="57"/>
  <c r="H42" i="7"/>
  <c r="DH41" i="57"/>
  <c r="DE37" i="57"/>
  <c r="DF37" i="57" s="1"/>
  <c r="DH37" i="57"/>
  <c r="DE33" i="57"/>
  <c r="DG33" i="57" s="1"/>
  <c r="DH33" i="57"/>
  <c r="DH10" i="57"/>
  <c r="EU10" i="57"/>
  <c r="P130" i="7" s="1"/>
  <c r="AN130" i="7"/>
  <c r="DH95" i="57"/>
  <c r="EU95" i="57"/>
  <c r="P85" i="7" s="1"/>
  <c r="EG95" i="57"/>
  <c r="H85" i="7" s="1"/>
  <c r="GK95" i="57"/>
  <c r="AN85" i="7"/>
  <c r="DH85" i="57"/>
  <c r="DE85" i="57"/>
  <c r="DG85" i="57" s="1"/>
  <c r="DH69" i="57"/>
  <c r="DE58" i="57"/>
  <c r="DF58" i="57" s="1"/>
  <c r="DG58" i="57"/>
  <c r="DH58" i="57"/>
  <c r="EU58" i="57"/>
  <c r="P48" i="7" s="1"/>
  <c r="EG58" i="57"/>
  <c r="H48" i="7" s="1"/>
  <c r="CG106" i="57"/>
  <c r="CC106" i="57"/>
  <c r="CD106" i="57" s="1"/>
  <c r="CE106" i="57"/>
  <c r="FX39" i="57"/>
  <c r="AG29" i="7"/>
  <c r="BA39" i="57"/>
  <c r="BB39" i="57"/>
  <c r="FX35" i="57"/>
  <c r="AG25" i="7" s="1"/>
  <c r="BA35" i="57"/>
  <c r="BC35" i="57" s="1"/>
  <c r="BA31" i="57"/>
  <c r="BB31" i="57" s="1"/>
  <c r="GA31" i="57" s="1"/>
  <c r="AH21" i="7" s="1"/>
  <c r="FX31" i="57"/>
  <c r="AG21" i="7"/>
  <c r="BA83" i="57"/>
  <c r="BB83" i="57" s="1"/>
  <c r="FX83" i="57"/>
  <c r="AG73" i="7"/>
  <c r="BE83" i="57"/>
  <c r="FX57" i="57"/>
  <c r="AG47" i="7" s="1"/>
  <c r="BA57" i="57"/>
  <c r="BC57" i="57" s="1"/>
  <c r="BA10" i="57"/>
  <c r="BB10" i="57" s="1"/>
  <c r="BE10" i="57"/>
  <c r="FX10" i="57"/>
  <c r="AG130" i="7" s="1"/>
  <c r="BA79" i="57"/>
  <c r="BB79" i="57" s="1"/>
  <c r="FX79" i="57"/>
  <c r="AG69" i="7" s="1"/>
  <c r="BE79" i="57"/>
  <c r="FX71" i="57"/>
  <c r="AG61" i="7" s="1"/>
  <c r="BA71" i="57"/>
  <c r="BC71" i="57" s="1"/>
  <c r="GB71" i="57" s="1"/>
  <c r="AI61" i="7" s="1"/>
  <c r="BB71" i="57"/>
  <c r="FX58" i="57"/>
  <c r="AG48" i="7" s="1"/>
  <c r="BA58" i="57"/>
  <c r="BB58" i="57" s="1"/>
  <c r="GA58" i="57" s="1"/>
  <c r="AH48" i="7" s="1"/>
  <c r="BE110" i="57"/>
  <c r="BA110" i="57"/>
  <c r="BB110" i="57" s="1"/>
  <c r="BA48" i="57"/>
  <c r="BC48" i="57" s="1"/>
  <c r="FX48" i="57"/>
  <c r="AG38" i="7" s="1"/>
  <c r="BA99" i="57"/>
  <c r="BB99" i="57" s="1"/>
  <c r="FX99" i="57"/>
  <c r="AG89" i="7" s="1"/>
  <c r="BE99" i="57"/>
  <c r="BA93" i="57"/>
  <c r="BB93" i="57" s="1"/>
  <c r="BE93" i="57"/>
  <c r="GD93" i="57" s="1"/>
  <c r="AK83" i="7" s="1"/>
  <c r="FX93" i="57"/>
  <c r="AG83" i="7"/>
  <c r="BA77" i="57"/>
  <c r="BC77" i="57" s="1"/>
  <c r="GB77" i="57" s="1"/>
  <c r="AI67" i="7" s="1"/>
  <c r="BB77" i="57"/>
  <c r="GA77" i="57" s="1"/>
  <c r="AH67" i="7" s="1"/>
  <c r="BE77" i="57"/>
  <c r="GD77" i="57" s="1"/>
  <c r="AK67" i="7" s="1"/>
  <c r="FX77" i="57"/>
  <c r="AG67" i="7" s="1"/>
  <c r="FX67" i="57"/>
  <c r="AG57" i="7" s="1"/>
  <c r="BA67" i="57"/>
  <c r="BB67" i="57" s="1"/>
  <c r="BC67" i="57"/>
  <c r="BE107" i="57"/>
  <c r="FX107" i="57"/>
  <c r="AG97" i="7" s="1"/>
  <c r="BA107" i="57"/>
  <c r="BB107" i="57" s="1"/>
  <c r="BC107" i="57"/>
  <c r="AM106" i="57"/>
  <c r="AN106" i="57"/>
  <c r="FJ106" i="57"/>
  <c r="Y96" i="7"/>
  <c r="AQ106" i="57"/>
  <c r="AB107" i="57"/>
  <c r="Y107" i="57"/>
  <c r="AA107" i="57"/>
  <c r="Z107" i="57"/>
  <c r="EU107" i="57"/>
  <c r="P97" i="7" s="1"/>
  <c r="FA104" i="70"/>
  <c r="CZ94" i="7" s="1"/>
  <c r="FA86" i="70"/>
  <c r="CZ76" i="7" s="1"/>
  <c r="DU79" i="70"/>
  <c r="DT79" i="70"/>
  <c r="DF36" i="70"/>
  <c r="DG36" i="70"/>
  <c r="CS15" i="70"/>
  <c r="CR15" i="70"/>
  <c r="DW110" i="57"/>
  <c r="GK104" i="57"/>
  <c r="AN94" i="7" s="1"/>
  <c r="EU104" i="57"/>
  <c r="P94" i="7" s="1"/>
  <c r="EG104" i="57"/>
  <c r="H94" i="7" s="1"/>
  <c r="CT104" i="57"/>
  <c r="EG87" i="57"/>
  <c r="H77" i="7" s="1"/>
  <c r="EU87" i="57"/>
  <c r="P77" i="7" s="1"/>
  <c r="CT87" i="57"/>
  <c r="GK87" i="57"/>
  <c r="AN77" i="7"/>
  <c r="CT73" i="57"/>
  <c r="GK43" i="57"/>
  <c r="AN33" i="7" s="1"/>
  <c r="CT43" i="57"/>
  <c r="EU43" i="57"/>
  <c r="P33" i="7"/>
  <c r="EG38" i="57"/>
  <c r="H28" i="7" s="1"/>
  <c r="CT38" i="57"/>
  <c r="GK38" i="57"/>
  <c r="AN28" i="7" s="1"/>
  <c r="EU38" i="57"/>
  <c r="P28" i="7" s="1"/>
  <c r="CT34" i="57"/>
  <c r="GK34" i="57"/>
  <c r="AN24" i="7" s="1"/>
  <c r="EG30" i="57"/>
  <c r="H20" i="7"/>
  <c r="CT30" i="57"/>
  <c r="GK30" i="57"/>
  <c r="AN20" i="7" s="1"/>
  <c r="GK92" i="57"/>
  <c r="AN82" i="7" s="1"/>
  <c r="EU92" i="57"/>
  <c r="P82" i="7"/>
  <c r="EG92" i="57"/>
  <c r="H82" i="7"/>
  <c r="CT92" i="57"/>
  <c r="GK76" i="57"/>
  <c r="AN66" i="7" s="1"/>
  <c r="EU76" i="57"/>
  <c r="P66" i="7"/>
  <c r="EG76" i="57"/>
  <c r="H66" i="7"/>
  <c r="CT76" i="57"/>
  <c r="EU60" i="57"/>
  <c r="P50" i="7" s="1"/>
  <c r="CT60" i="57"/>
  <c r="GK60" i="57"/>
  <c r="AN50" i="7" s="1"/>
  <c r="EG60" i="57"/>
  <c r="H50" i="7" s="1"/>
  <c r="EG97" i="57"/>
  <c r="H87" i="7" s="1"/>
  <c r="EU97" i="57"/>
  <c r="P87" i="7" s="1"/>
  <c r="GK97" i="57"/>
  <c r="AN87" i="7" s="1"/>
  <c r="CT97" i="57"/>
  <c r="EU81" i="57"/>
  <c r="P71" i="7" s="1"/>
  <c r="EG81" i="57"/>
  <c r="H71" i="7" s="1"/>
  <c r="CT81" i="57"/>
  <c r="GK81" i="57"/>
  <c r="AN71" i="7" s="1"/>
  <c r="BE104" i="57"/>
  <c r="FX104" i="57"/>
  <c r="AG94" i="7" s="1"/>
  <c r="BA104" i="57"/>
  <c r="BC104" i="57" s="1"/>
  <c r="GB104" i="57" s="1"/>
  <c r="AI94" i="7" s="1"/>
  <c r="EG43" i="57"/>
  <c r="H33" i="7"/>
  <c r="FB97" i="56"/>
  <c r="BK87" i="7" s="1"/>
  <c r="EN97" i="56"/>
  <c r="BC87" i="7" s="1"/>
  <c r="GD97" i="56"/>
  <c r="CA87" i="7" s="1"/>
  <c r="GA64" i="56"/>
  <c r="BX54" i="7" s="1"/>
  <c r="EL108" i="56"/>
  <c r="BA98" i="7" s="1"/>
  <c r="CE109" i="70"/>
  <c r="CD109" i="70"/>
  <c r="DT55" i="70"/>
  <c r="DU55" i="70"/>
  <c r="DU36" i="70"/>
  <c r="DT36" i="70"/>
  <c r="FM36" i="70" s="1"/>
  <c r="DF26" i="7" s="1"/>
  <c r="DE61" i="57"/>
  <c r="DG61" i="57" s="1"/>
  <c r="DH61" i="57"/>
  <c r="EU61" i="57"/>
  <c r="P51" i="7" s="1"/>
  <c r="GK61" i="57"/>
  <c r="AN51" i="7" s="1"/>
  <c r="EG61" i="57"/>
  <c r="H51" i="7" s="1"/>
  <c r="BE80" i="57"/>
  <c r="GD80" i="57" s="1"/>
  <c r="AK70" i="7" s="1"/>
  <c r="FX80" i="57"/>
  <c r="AG70" i="7" s="1"/>
  <c r="BA80" i="57"/>
  <c r="BB80" i="57" s="1"/>
  <c r="GA80" i="57" s="1"/>
  <c r="AH70" i="7" s="1"/>
  <c r="FX42" i="57"/>
  <c r="AG32" i="7" s="1"/>
  <c r="BA42" i="57"/>
  <c r="BB42" i="57" s="1"/>
  <c r="EM97" i="56"/>
  <c r="BB87" i="7"/>
  <c r="GC97" i="56"/>
  <c r="BZ87" i="7"/>
  <c r="FA97" i="56"/>
  <c r="BJ87" i="7"/>
  <c r="DG83" i="56"/>
  <c r="DF83" i="56"/>
  <c r="DF55" i="56"/>
  <c r="FM20" i="56"/>
  <c r="GA20" i="56"/>
  <c r="GO103" i="56"/>
  <c r="CF93" i="7" s="1"/>
  <c r="GO47" i="56"/>
  <c r="CF37" i="7" s="1"/>
  <c r="BG13" i="7"/>
  <c r="EW1" i="56"/>
  <c r="GQ93" i="56"/>
  <c r="CH83" i="7" s="1"/>
  <c r="EU56" i="57"/>
  <c r="P46" i="7" s="1"/>
  <c r="EU30" i="57"/>
  <c r="P20" i="7" s="1"/>
  <c r="BC95" i="56"/>
  <c r="GP75" i="56"/>
  <c r="CG65" i="7" s="1"/>
  <c r="GP73" i="56"/>
  <c r="CG63" i="7" s="1"/>
  <c r="EZ59" i="56"/>
  <c r="BI49" i="7" s="1"/>
  <c r="AO38" i="56"/>
  <c r="GB63" i="56"/>
  <c r="BY53" i="7" s="1"/>
  <c r="K88" i="57"/>
  <c r="L88" i="57" s="1"/>
  <c r="FO1" i="56"/>
  <c r="BQ13" i="7"/>
  <c r="FN41" i="70"/>
  <c r="DG31" i="7" s="1"/>
  <c r="GO72" i="70"/>
  <c r="DV62" i="7" s="1"/>
  <c r="GO94" i="70"/>
  <c r="DV84" i="7" s="1"/>
  <c r="FM94" i="70"/>
  <c r="DF84" i="7" s="1"/>
  <c r="O6" i="56"/>
  <c r="GK58" i="57"/>
  <c r="AN48" i="7" s="1"/>
  <c r="GO106" i="70"/>
  <c r="DV96" i="7" s="1"/>
  <c r="FM10" i="70"/>
  <c r="DF130" i="7" s="1"/>
  <c r="GO10" i="70"/>
  <c r="DV130" i="7" s="1"/>
  <c r="GO53" i="70"/>
  <c r="DV43" i="7" s="1"/>
  <c r="FM30" i="70"/>
  <c r="DF20" i="7" s="1"/>
  <c r="GO45" i="70"/>
  <c r="DV35" i="7" s="1"/>
  <c r="EZ98" i="70"/>
  <c r="CY88" i="7" s="1"/>
  <c r="AA32" i="70"/>
  <c r="Z32" i="70"/>
  <c r="K80" i="57"/>
  <c r="L80" i="57" s="1"/>
  <c r="O80" i="57"/>
  <c r="K96" i="57"/>
  <c r="L96" i="57" s="1"/>
  <c r="O96" i="57"/>
  <c r="DG103" i="56"/>
  <c r="GB103" i="56" s="1"/>
  <c r="BY93" i="7" s="1"/>
  <c r="DF103" i="56"/>
  <c r="GA103" i="56" s="1"/>
  <c r="BX93" i="7" s="1"/>
  <c r="DU52" i="70"/>
  <c r="BB22" i="70"/>
  <c r="CU106" i="57"/>
  <c r="CQ106" i="57"/>
  <c r="CR106" i="57"/>
  <c r="K61" i="57"/>
  <c r="M61" i="57" s="1"/>
  <c r="L61" i="57"/>
  <c r="K77" i="57"/>
  <c r="L77" i="57"/>
  <c r="O77" i="57"/>
  <c r="M77" i="57"/>
  <c r="K93" i="57"/>
  <c r="L93" i="57"/>
  <c r="O93" i="57"/>
  <c r="M93" i="57"/>
  <c r="K99" i="57"/>
  <c r="L99" i="57"/>
  <c r="O99" i="57"/>
  <c r="M99" i="57"/>
  <c r="N110" i="57"/>
  <c r="EM110" i="57"/>
  <c r="L100" i="7" s="1"/>
  <c r="K110" i="57"/>
  <c r="M110" i="57" s="1"/>
  <c r="L110" i="57"/>
  <c r="EG110" i="57"/>
  <c r="H100" i="7"/>
  <c r="BA65" i="57"/>
  <c r="BB65" i="57"/>
  <c r="GA65" i="57" s="1"/>
  <c r="AH55" i="7" s="1"/>
  <c r="FX65" i="57"/>
  <c r="AG55" i="7"/>
  <c r="DH89" i="57"/>
  <c r="DE89" i="57"/>
  <c r="DF89" i="57" s="1"/>
  <c r="EM110" i="56"/>
  <c r="BB100" i="7" s="1"/>
  <c r="FA110" i="56"/>
  <c r="BJ100" i="7" s="1"/>
  <c r="GC110" i="56"/>
  <c r="BZ100" i="7" s="1"/>
  <c r="FB108" i="56"/>
  <c r="BK98" i="7" s="1"/>
  <c r="EN108" i="56"/>
  <c r="BC98" i="7" s="1"/>
  <c r="GD108" i="56"/>
  <c r="CA98" i="7" s="1"/>
  <c r="GD96" i="56"/>
  <c r="CA86" i="7" s="1"/>
  <c r="FB96" i="56"/>
  <c r="BK86" i="7" s="1"/>
  <c r="EN96" i="56"/>
  <c r="BC86" i="7" s="1"/>
  <c r="FA90" i="56"/>
  <c r="BJ80" i="7" s="1"/>
  <c r="GC90" i="56"/>
  <c r="BZ80" i="7" s="1"/>
  <c r="DG75" i="56"/>
  <c r="DF75" i="56"/>
  <c r="M75" i="70"/>
  <c r="L75" i="70"/>
  <c r="DH102" i="57"/>
  <c r="DH84" i="57"/>
  <c r="DE84" i="57"/>
  <c r="DG84" i="57" s="1"/>
  <c r="DH66" i="57"/>
  <c r="DE66" i="57"/>
  <c r="DF66" i="57" s="1"/>
  <c r="DG66" i="57"/>
  <c r="DH109" i="57"/>
  <c r="GQ109" i="57" s="1"/>
  <c r="AR99" i="7" s="1"/>
  <c r="DE109" i="57"/>
  <c r="DG109" i="57" s="1"/>
  <c r="DF109" i="57"/>
  <c r="DE49" i="57"/>
  <c r="DG49" i="57" s="1"/>
  <c r="EG49" i="57"/>
  <c r="H39" i="7" s="1"/>
  <c r="DH49" i="57"/>
  <c r="EU49" i="57"/>
  <c r="P39" i="7" s="1"/>
  <c r="GK49" i="57"/>
  <c r="AN39" i="7" s="1"/>
  <c r="DH96" i="57"/>
  <c r="DE96" i="57"/>
  <c r="DG96" i="57" s="1"/>
  <c r="DH79" i="57"/>
  <c r="DH63" i="57"/>
  <c r="DE63" i="57"/>
  <c r="DG63" i="57" s="1"/>
  <c r="DE107" i="57"/>
  <c r="DG107" i="57"/>
  <c r="DH107" i="57"/>
  <c r="GQ107" i="57"/>
  <c r="AR97" i="7" s="1"/>
  <c r="DF107" i="57"/>
  <c r="DH40" i="57"/>
  <c r="DE36" i="57"/>
  <c r="DG36" i="57" s="1"/>
  <c r="DF36" i="57"/>
  <c r="DH36" i="57"/>
  <c r="DE32" i="57"/>
  <c r="DG32" i="57" s="1"/>
  <c r="DH32" i="57"/>
  <c r="DH48" i="57"/>
  <c r="DH94" i="57"/>
  <c r="EU94" i="57"/>
  <c r="P84" i="7" s="1"/>
  <c r="EG94" i="57"/>
  <c r="H84" i="7" s="1"/>
  <c r="GK94" i="57"/>
  <c r="AN84" i="7" s="1"/>
  <c r="DH78" i="57"/>
  <c r="DH62" i="57"/>
  <c r="EU62" i="57"/>
  <c r="P52" i="7" s="1"/>
  <c r="EG62" i="57"/>
  <c r="H52" i="7" s="1"/>
  <c r="DH51" i="57"/>
  <c r="GK51" i="57"/>
  <c r="AN41" i="7" s="1"/>
  <c r="EG51" i="57"/>
  <c r="H41" i="7" s="1"/>
  <c r="EU51" i="57"/>
  <c r="P41" i="7" s="1"/>
  <c r="FX38" i="57"/>
  <c r="AG28" i="7" s="1"/>
  <c r="BA38" i="57"/>
  <c r="BB38" i="57" s="1"/>
  <c r="BA34" i="57"/>
  <c r="BC34" i="57" s="1"/>
  <c r="GB34" i="57" s="1"/>
  <c r="AI24" i="7" s="1"/>
  <c r="FX34" i="57"/>
  <c r="AG24" i="7" s="1"/>
  <c r="FX30" i="57"/>
  <c r="AG20" i="7" s="1"/>
  <c r="BA30" i="57"/>
  <c r="BB30" i="57"/>
  <c r="BC30" i="57"/>
  <c r="FX82" i="57"/>
  <c r="AG72" i="7" s="1"/>
  <c r="BE82" i="57"/>
  <c r="BA82" i="57"/>
  <c r="BB82" i="57" s="1"/>
  <c r="BC82" i="57"/>
  <c r="FX55" i="57"/>
  <c r="AG45" i="7" s="1"/>
  <c r="BA55" i="57"/>
  <c r="BC55" i="57" s="1"/>
  <c r="BB55" i="57"/>
  <c r="BA46" i="57"/>
  <c r="BB46" i="57" s="1"/>
  <c r="FX46" i="57"/>
  <c r="AG36" i="7" s="1"/>
  <c r="BA78" i="57"/>
  <c r="BB78" i="57" s="1"/>
  <c r="GA78" i="57" s="1"/>
  <c r="AH68" i="7" s="1"/>
  <c r="FX78" i="57"/>
  <c r="AG68" i="7" s="1"/>
  <c r="BE78" i="57"/>
  <c r="FX64" i="57"/>
  <c r="AG54" i="7" s="1"/>
  <c r="BA64" i="57"/>
  <c r="BB64" i="57" s="1"/>
  <c r="GA64" i="57" s="1"/>
  <c r="AH54" i="7" s="1"/>
  <c r="BC64" i="57"/>
  <c r="BA53" i="57"/>
  <c r="BB53" i="57" s="1"/>
  <c r="GA53" i="57" s="1"/>
  <c r="AH43" i="7" s="1"/>
  <c r="FX53" i="57"/>
  <c r="AG43" i="7" s="1"/>
  <c r="FX43" i="57"/>
  <c r="AG33" i="7" s="1"/>
  <c r="BA43" i="57"/>
  <c r="BB43" i="57" s="1"/>
  <c r="GA43" i="57" s="1"/>
  <c r="AH33" i="7" s="1"/>
  <c r="BC43" i="57"/>
  <c r="GB43" i="57" s="1"/>
  <c r="AI33" i="7" s="1"/>
  <c r="BA47" i="57"/>
  <c r="BB47" i="57" s="1"/>
  <c r="FX47" i="57"/>
  <c r="AG37" i="7" s="1"/>
  <c r="BE98" i="57"/>
  <c r="GD98" i="57" s="1"/>
  <c r="AK88" i="7" s="1"/>
  <c r="FX98" i="57"/>
  <c r="AG88" i="7" s="1"/>
  <c r="BA98" i="57"/>
  <c r="BB98" i="57" s="1"/>
  <c r="GA98" i="57" s="1"/>
  <c r="AH88" i="7" s="1"/>
  <c r="BE92" i="57"/>
  <c r="GD92" i="57" s="1"/>
  <c r="AK82" i="7" s="1"/>
  <c r="FX92" i="57"/>
  <c r="AG82" i="7"/>
  <c r="BA92" i="57"/>
  <c r="BC92" i="57" s="1"/>
  <c r="GB92" i="57" s="1"/>
  <c r="AI82" i="7" s="1"/>
  <c r="BB92" i="57"/>
  <c r="GA92" i="57" s="1"/>
  <c r="AH82" i="7" s="1"/>
  <c r="BE76" i="57"/>
  <c r="GD76" i="57" s="1"/>
  <c r="AK66" i="7" s="1"/>
  <c r="FX76" i="57"/>
  <c r="AG66" i="7" s="1"/>
  <c r="BA76" i="57"/>
  <c r="BB76" i="57" s="1"/>
  <c r="GA76" i="57" s="1"/>
  <c r="AH66" i="7" s="1"/>
  <c r="BC76" i="57"/>
  <c r="GB76" i="57" s="1"/>
  <c r="AI66" i="7" s="1"/>
  <c r="FX63" i="57"/>
  <c r="AG53" i="7" s="1"/>
  <c r="BA63" i="57"/>
  <c r="BB63" i="57" s="1"/>
  <c r="GA63" i="57" s="1"/>
  <c r="AH53" i="7" s="1"/>
  <c r="FX50" i="57"/>
  <c r="AG40" i="7" s="1"/>
  <c r="BA50" i="57"/>
  <c r="BB50" i="57" s="1"/>
  <c r="AQ110" i="57"/>
  <c r="AM110" i="57"/>
  <c r="AN110" i="57" s="1"/>
  <c r="AB106" i="57"/>
  <c r="EU106" i="57"/>
  <c r="P96" i="7"/>
  <c r="DG55" i="70"/>
  <c r="DF55" i="70"/>
  <c r="CT44" i="57"/>
  <c r="GK100" i="57"/>
  <c r="AN90" i="7" s="1"/>
  <c r="EU100" i="57"/>
  <c r="P90" i="7" s="1"/>
  <c r="EG100" i="57"/>
  <c r="H90" i="7" s="1"/>
  <c r="CT100" i="57"/>
  <c r="GK80" i="57"/>
  <c r="AN70" i="7" s="1"/>
  <c r="EU80" i="57"/>
  <c r="P70" i="7" s="1"/>
  <c r="EG80" i="57"/>
  <c r="H70" i="7" s="1"/>
  <c r="CT80" i="57"/>
  <c r="GQ80" i="57" s="1"/>
  <c r="AR70" i="7" s="1"/>
  <c r="CT72" i="57"/>
  <c r="GK41" i="57"/>
  <c r="AN31" i="7" s="1"/>
  <c r="CT41" i="57"/>
  <c r="EU37" i="57"/>
  <c r="P27" i="7" s="1"/>
  <c r="CT37" i="57"/>
  <c r="GK37" i="57"/>
  <c r="AN27" i="7" s="1"/>
  <c r="EU33" i="57"/>
  <c r="P23" i="7" s="1"/>
  <c r="CT33" i="57"/>
  <c r="GK33" i="57"/>
  <c r="AN23" i="7"/>
  <c r="GK48" i="57"/>
  <c r="AN38" i="7"/>
  <c r="EG48" i="57"/>
  <c r="H38" i="7" s="1"/>
  <c r="CT48" i="57"/>
  <c r="EU48" i="57"/>
  <c r="P38" i="7"/>
  <c r="EU91" i="57"/>
  <c r="P81" i="7"/>
  <c r="EG91" i="57"/>
  <c r="H81" i="7"/>
  <c r="GK91" i="57"/>
  <c r="AN81" i="7"/>
  <c r="CT91" i="57"/>
  <c r="EU75" i="57"/>
  <c r="P65" i="7"/>
  <c r="EG75" i="57"/>
  <c r="H65" i="7"/>
  <c r="GK75" i="57"/>
  <c r="AN65" i="7"/>
  <c r="CT75" i="57"/>
  <c r="EU45" i="57"/>
  <c r="P35" i="7" s="1"/>
  <c r="EG45" i="57"/>
  <c r="H35" i="7" s="1"/>
  <c r="CT45" i="57"/>
  <c r="GK45" i="57"/>
  <c r="AN35" i="7" s="1"/>
  <c r="CT90" i="57"/>
  <c r="GK66" i="57"/>
  <c r="AN56" i="7"/>
  <c r="EU66" i="57"/>
  <c r="P56" i="7"/>
  <c r="EG66" i="57"/>
  <c r="H56" i="7"/>
  <c r="CT66" i="57"/>
  <c r="DH105" i="57"/>
  <c r="DE105" i="57"/>
  <c r="DF105" i="57" s="1"/>
  <c r="DG105" i="57"/>
  <c r="GC95" i="56"/>
  <c r="BZ85" i="7" s="1"/>
  <c r="EK48" i="56"/>
  <c r="AZ38" i="7" s="1"/>
  <c r="GA48" i="56"/>
  <c r="BX38" i="7" s="1"/>
  <c r="L16" i="70"/>
  <c r="DM13" i="7"/>
  <c r="FY1" i="70"/>
  <c r="CW13" i="7"/>
  <c r="EW1" i="70"/>
  <c r="DH65" i="57"/>
  <c r="DH81" i="57"/>
  <c r="FX44" i="57"/>
  <c r="AG34" i="7" s="1"/>
  <c r="BA44" i="57"/>
  <c r="BB44" i="57" s="1"/>
  <c r="GA44" i="57" s="1"/>
  <c r="AH34" i="7" s="1"/>
  <c r="DF27" i="56"/>
  <c r="EY27" i="56"/>
  <c r="DF11" i="56"/>
  <c r="GA11" i="56" s="1"/>
  <c r="GQ95" i="56"/>
  <c r="CH85" i="7" s="1"/>
  <c r="EM95" i="56"/>
  <c r="BB85" i="7" s="1"/>
  <c r="GQ79" i="56"/>
  <c r="CH69" i="7" s="1"/>
  <c r="EM79" i="56"/>
  <c r="BB69" i="7" s="1"/>
  <c r="GP69" i="56"/>
  <c r="CG59" i="7" s="1"/>
  <c r="GQ107" i="56"/>
  <c r="CH97" i="7" s="1"/>
  <c r="EL82" i="56"/>
  <c r="BA72" i="7" s="1"/>
  <c r="GO71" i="56"/>
  <c r="CF61" i="7" s="1"/>
  <c r="Z108" i="56"/>
  <c r="AA108" i="56"/>
  <c r="EZ108" i="56" s="1"/>
  <c r="BI98" i="7" s="1"/>
  <c r="EU41" i="57"/>
  <c r="P31" i="7" s="1"/>
  <c r="EL44" i="56"/>
  <c r="BA34" i="7" s="1"/>
  <c r="FA99" i="56"/>
  <c r="BJ89" i="7" s="1"/>
  <c r="DU95" i="56"/>
  <c r="EY59" i="56"/>
  <c r="BH49" i="7" s="1"/>
  <c r="EY103" i="56"/>
  <c r="BH93" i="7" s="1"/>
  <c r="EZ96" i="56"/>
  <c r="BI86" i="7" s="1"/>
  <c r="GA61" i="56"/>
  <c r="BX51" i="7" s="1"/>
  <c r="FM61" i="56"/>
  <c r="BP51" i="7" s="1"/>
  <c r="FA91" i="56"/>
  <c r="BJ81" i="7" s="1"/>
  <c r="FN21" i="70"/>
  <c r="FM76" i="70"/>
  <c r="DF66" i="7" s="1"/>
  <c r="EY76" i="70"/>
  <c r="CX66" i="7" s="1"/>
  <c r="GQ1" i="56"/>
  <c r="CH13" i="7" s="1"/>
  <c r="CG13" i="7"/>
  <c r="FN25" i="70"/>
  <c r="GO92" i="70"/>
  <c r="DV82" i="7" s="1"/>
  <c r="FM13" i="70"/>
  <c r="FN71" i="70"/>
  <c r="DG61" i="7" s="1"/>
  <c r="GO21" i="70"/>
  <c r="EZ110" i="70"/>
  <c r="CY100" i="7" s="1"/>
  <c r="GK110" i="57"/>
  <c r="AN100" i="7" s="1"/>
  <c r="GO15" i="70"/>
  <c r="GO80" i="70"/>
  <c r="DV70" i="7" s="1"/>
  <c r="FM44" i="70"/>
  <c r="DF34" i="7" s="1"/>
  <c r="FM14" i="70"/>
  <c r="GR1" i="56"/>
  <c r="CI13" i="7" s="1"/>
  <c r="GQ45" i="57"/>
  <c r="AR35" i="7"/>
  <c r="GQ91" i="57"/>
  <c r="AR81" i="7" s="1"/>
  <c r="EM91" i="57"/>
  <c r="L81" i="7" s="1"/>
  <c r="GQ48" i="57"/>
  <c r="AR38" i="7" s="1"/>
  <c r="GQ100" i="57"/>
  <c r="AR90" i="7" s="1"/>
  <c r="EM100" i="57"/>
  <c r="L90" i="7" s="1"/>
  <c r="GQ62" i="57"/>
  <c r="AR52" i="7" s="1"/>
  <c r="DF49" i="57"/>
  <c r="DF84" i="57"/>
  <c r="BC65" i="57"/>
  <c r="GB65" i="57"/>
  <c r="AI55" i="7" s="1"/>
  <c r="BC80" i="57"/>
  <c r="GB80" i="57" s="1"/>
  <c r="AI70" i="7" s="1"/>
  <c r="GQ81" i="57"/>
  <c r="AR71" i="7" s="1"/>
  <c r="EM81" i="57"/>
  <c r="L71" i="7" s="1"/>
  <c r="GQ76" i="57"/>
  <c r="AR66" i="7"/>
  <c r="EM76" i="57"/>
  <c r="L66" i="7"/>
  <c r="GQ30" i="57"/>
  <c r="AR20" i="7"/>
  <c r="BC99" i="57"/>
  <c r="GA71" i="57"/>
  <c r="AH61" i="7" s="1"/>
  <c r="BC39" i="57"/>
  <c r="GQ58" i="57"/>
  <c r="AR48" i="7" s="1"/>
  <c r="DF33" i="57"/>
  <c r="DF53" i="57"/>
  <c r="M92" i="57"/>
  <c r="M101" i="57"/>
  <c r="M89" i="57"/>
  <c r="FN27" i="70"/>
  <c r="FN28" i="70"/>
  <c r="FN90" i="70"/>
  <c r="DG80" i="7" s="1"/>
  <c r="FN93" i="70"/>
  <c r="DG83" i="7" s="1"/>
  <c r="FN94" i="70"/>
  <c r="DG84" i="7" s="1"/>
  <c r="FN31" i="70"/>
  <c r="DG21" i="7" s="1"/>
  <c r="FN80" i="70"/>
  <c r="DG70" i="7" s="1"/>
  <c r="FN36" i="70"/>
  <c r="DG26" i="7" s="1"/>
  <c r="FN72" i="70"/>
  <c r="DG62" i="7" s="1"/>
  <c r="FN16" i="70"/>
  <c r="FN107" i="70"/>
  <c r="DG97" i="7" s="1"/>
  <c r="FN82" i="70"/>
  <c r="DG72" i="7" s="1"/>
  <c r="FN104" i="70"/>
  <c r="DG94" i="7" s="1"/>
  <c r="FN54" i="70"/>
  <c r="DG44" i="7" s="1"/>
  <c r="FN77" i="70"/>
  <c r="DG67" i="7" s="1"/>
  <c r="FO8" i="70"/>
  <c r="FN57" i="70"/>
  <c r="DG47" i="7" s="1"/>
  <c r="FN87" i="70"/>
  <c r="DG77" i="7" s="1"/>
  <c r="FN10" i="70"/>
  <c r="DG130" i="7" s="1"/>
  <c r="FN106" i="70"/>
  <c r="DG96" i="7" s="1"/>
  <c r="FN108" i="70"/>
  <c r="DG98" i="7" s="1"/>
  <c r="FN85" i="70"/>
  <c r="DG75" i="7" s="1"/>
  <c r="FN81" i="70"/>
  <c r="DG71" i="7" s="1"/>
  <c r="FN30" i="70"/>
  <c r="DG20" i="7" s="1"/>
  <c r="FN101" i="70"/>
  <c r="DG91" i="7" s="1"/>
  <c r="FN86" i="70"/>
  <c r="DG76" i="7" s="1"/>
  <c r="FN3" i="70"/>
  <c r="FN13" i="70"/>
  <c r="FN91" i="70"/>
  <c r="DG81" i="7" s="1"/>
  <c r="FN65" i="70"/>
  <c r="DG55" i="7" s="1"/>
  <c r="FN18" i="70"/>
  <c r="FN56" i="70"/>
  <c r="DG46" i="7" s="1"/>
  <c r="FN14" i="70"/>
  <c r="FN59" i="70"/>
  <c r="DG49" i="7" s="1"/>
  <c r="FN69" i="70"/>
  <c r="DG59" i="7" s="1"/>
  <c r="FN67" i="70"/>
  <c r="DG57" i="7" s="1"/>
  <c r="FN12" i="70"/>
  <c r="FN11" i="70"/>
  <c r="FN50" i="70"/>
  <c r="DG40" i="7" s="1"/>
  <c r="FN34" i="70"/>
  <c r="DG24" i="7" s="1"/>
  <c r="FN89" i="70"/>
  <c r="DG79" i="7" s="1"/>
  <c r="FN44" i="70"/>
  <c r="DG34" i="7" s="1"/>
  <c r="FN43" i="70"/>
  <c r="DG33" i="7" s="1"/>
  <c r="FN53" i="70"/>
  <c r="DG43" i="7" s="1"/>
  <c r="FN17" i="70"/>
  <c r="FN96" i="70"/>
  <c r="DG86" i="7" s="1"/>
  <c r="FN73" i="70"/>
  <c r="DG63" i="7" s="1"/>
  <c r="AP6" i="56"/>
  <c r="GB96" i="56"/>
  <c r="BY86" i="7" s="1"/>
  <c r="EL96" i="56"/>
  <c r="BA86" i="7" s="1"/>
  <c r="FN96" i="56"/>
  <c r="BQ86" i="7" s="1"/>
  <c r="BC54" i="57"/>
  <c r="CT13" i="7"/>
  <c r="EJ1" i="70"/>
  <c r="EK1" i="70" s="1"/>
  <c r="DZ13" i="7"/>
  <c r="GN1" i="70"/>
  <c r="GO1" i="70"/>
  <c r="GQ69" i="57"/>
  <c r="AR59" i="7"/>
  <c r="GQ50" i="57"/>
  <c r="AR40" i="7" s="1"/>
  <c r="BC68" i="57"/>
  <c r="GB68" i="57" s="1"/>
  <c r="AI58" i="7" s="1"/>
  <c r="GD102" i="57"/>
  <c r="AK92" i="7" s="1"/>
  <c r="GD86" i="57"/>
  <c r="AK76" i="7" s="1"/>
  <c r="BC109" i="57"/>
  <c r="GB69" i="57"/>
  <c r="AI59" i="7"/>
  <c r="GA69" i="57"/>
  <c r="AH59" i="7"/>
  <c r="GD90" i="57"/>
  <c r="AK80" i="7"/>
  <c r="GA32" i="57"/>
  <c r="AH22" i="7"/>
  <c r="BC40" i="57"/>
  <c r="DF34" i="57"/>
  <c r="DF76" i="57"/>
  <c r="L42" i="57"/>
  <c r="M85" i="57"/>
  <c r="M100" i="57"/>
  <c r="FN76" i="70"/>
  <c r="DG66" i="7" s="1"/>
  <c r="FN92" i="70"/>
  <c r="DG82" i="7" s="1"/>
  <c r="GQ84" i="57"/>
  <c r="AR74" i="7"/>
  <c r="EM84" i="57"/>
  <c r="L74" i="7"/>
  <c r="GQ36" i="57"/>
  <c r="AR26" i="7" s="1"/>
  <c r="CR40" i="57"/>
  <c r="Z110" i="57"/>
  <c r="BC61" i="57"/>
  <c r="GB61" i="57"/>
  <c r="AI51" i="7" s="1"/>
  <c r="GA91" i="57"/>
  <c r="AH81" i="7" s="1"/>
  <c r="DF60" i="57"/>
  <c r="GQ103" i="57"/>
  <c r="AR93" i="7" s="1"/>
  <c r="EM103" i="57"/>
  <c r="L93" i="7" s="1"/>
  <c r="DF39" i="57"/>
  <c r="EM106" i="57"/>
  <c r="L96" i="7" s="1"/>
  <c r="GQ106" i="57"/>
  <c r="AR96" i="7" s="1"/>
  <c r="GQ57" i="57"/>
  <c r="AR47" i="7" s="1"/>
  <c r="GB110" i="56"/>
  <c r="BY100" i="7"/>
  <c r="EL110" i="56"/>
  <c r="BA100" i="7"/>
  <c r="M94" i="57"/>
  <c r="M84" i="57"/>
  <c r="CS51" i="57"/>
  <c r="DR13" i="7"/>
  <c r="FZ1" i="70"/>
  <c r="GA1" i="70" s="1"/>
  <c r="GQ75" i="57"/>
  <c r="AR65" i="7" s="1"/>
  <c r="EM75" i="57"/>
  <c r="L65" i="7" s="1"/>
  <c r="GQ37" i="57"/>
  <c r="AR27" i="7" s="1"/>
  <c r="EM80" i="57"/>
  <c r="L70" i="7" s="1"/>
  <c r="GB64" i="57"/>
  <c r="AI54" i="7" s="1"/>
  <c r="GQ94" i="57"/>
  <c r="AR84" i="7" s="1"/>
  <c r="EM94" i="57"/>
  <c r="L84" i="7" s="1"/>
  <c r="GB75" i="56"/>
  <c r="BY65" i="7" s="1"/>
  <c r="BR13" i="7"/>
  <c r="FP1" i="56"/>
  <c r="BS13" i="7" s="1"/>
  <c r="GA55" i="56"/>
  <c r="BX45" i="7" s="1"/>
  <c r="GQ38" i="57"/>
  <c r="AR28" i="7"/>
  <c r="GD79" i="57"/>
  <c r="AK69" i="7"/>
  <c r="GA39" i="57"/>
  <c r="AH29" i="7"/>
  <c r="GQ95" i="57"/>
  <c r="AR85" i="7"/>
  <c r="EM95" i="57"/>
  <c r="L85" i="7"/>
  <c r="GA76" i="56"/>
  <c r="BX66" i="7"/>
  <c r="EK76" i="56"/>
  <c r="AZ66" i="7"/>
  <c r="EM109" i="57"/>
  <c r="L99" i="7"/>
  <c r="GP103" i="56"/>
  <c r="CG93" i="7"/>
  <c r="EY84" i="56"/>
  <c r="BH74" i="7"/>
  <c r="GA84" i="56"/>
  <c r="BX74" i="7"/>
  <c r="EK84" i="56"/>
  <c r="AZ74" i="7"/>
  <c r="GO66" i="70"/>
  <c r="DV56" i="7" s="1"/>
  <c r="GQ82" i="57"/>
  <c r="AR72" i="7" s="1"/>
  <c r="EM82" i="57"/>
  <c r="L72" i="7" s="1"/>
  <c r="GQ83" i="57"/>
  <c r="AR73" i="7" s="1"/>
  <c r="EM83" i="57"/>
  <c r="L73" i="7" s="1"/>
  <c r="GQ98" i="57"/>
  <c r="AR88" i="7" s="1"/>
  <c r="EM98" i="57"/>
  <c r="L88" i="7" s="1"/>
  <c r="GQ31" i="57"/>
  <c r="AR21" i="7" s="1"/>
  <c r="GQ74" i="57"/>
  <c r="AR64" i="7" s="1"/>
  <c r="EM88" i="57"/>
  <c r="L78" i="7" s="1"/>
  <c r="GQ88" i="57"/>
  <c r="AR78" i="7" s="1"/>
  <c r="GB90" i="57"/>
  <c r="AI80" i="7" s="1"/>
  <c r="GA79" i="56"/>
  <c r="BX69" i="7" s="1"/>
  <c r="EK79" i="56"/>
  <c r="AZ69" i="7" s="1"/>
  <c r="GD105" i="57"/>
  <c r="AK95" i="7" s="1"/>
  <c r="EM10" i="57"/>
  <c r="L130" i="7" s="1"/>
  <c r="M88" i="57"/>
  <c r="GA75" i="56"/>
  <c r="BX65" i="7" s="1"/>
  <c r="GQ89" i="57"/>
  <c r="AR79" i="7" s="1"/>
  <c r="EM89" i="57"/>
  <c r="L79" i="7" s="1"/>
  <c r="GQ102" i="57"/>
  <c r="AR92" i="7" s="1"/>
  <c r="GQ32" i="57"/>
  <c r="AR22" i="7" s="1"/>
  <c r="BC85" i="57"/>
  <c r="GB51" i="57"/>
  <c r="AI41" i="7" s="1"/>
  <c r="GD87" i="57"/>
  <c r="AK77" i="7" s="1"/>
  <c r="GA52" i="57"/>
  <c r="AH42" i="7" s="1"/>
  <c r="DF108" i="57"/>
  <c r="DF64" i="57"/>
  <c r="GB80" i="56"/>
  <c r="BY70" i="7"/>
  <c r="EM107" i="57"/>
  <c r="L97" i="7"/>
  <c r="GQ33" i="57"/>
  <c r="AR23" i="7" s="1"/>
  <c r="GQ41" i="57"/>
  <c r="AR31" i="7"/>
  <c r="BC63" i="57"/>
  <c r="GA55" i="57"/>
  <c r="AH45" i="7" s="1"/>
  <c r="GB30" i="57"/>
  <c r="AI20" i="7" s="1"/>
  <c r="M80" i="57"/>
  <c r="GA83" i="56"/>
  <c r="BX73" i="7" s="1"/>
  <c r="FM109" i="70"/>
  <c r="DF99" i="7" s="1"/>
  <c r="GD104" i="57"/>
  <c r="AK94" i="7" s="1"/>
  <c r="GQ97" i="57"/>
  <c r="AR87" i="7" s="1"/>
  <c r="EM97" i="57"/>
  <c r="L87" i="7" s="1"/>
  <c r="GQ34" i="57"/>
  <c r="AR24" i="7" s="1"/>
  <c r="GQ43" i="57"/>
  <c r="AR33" i="7" s="1"/>
  <c r="AO106" i="57"/>
  <c r="GD107" i="57"/>
  <c r="AK97" i="7" s="1"/>
  <c r="GD10" i="57"/>
  <c r="AK130" i="7" s="1"/>
  <c r="GQ10" i="57"/>
  <c r="AR130" i="7" s="1"/>
  <c r="GB76" i="56"/>
  <c r="BY66" i="7" s="1"/>
  <c r="AO109" i="57"/>
  <c r="M98" i="57"/>
  <c r="CA6" i="70"/>
  <c r="GL6" i="70" s="1"/>
  <c r="GK6" i="70"/>
  <c r="DT6" i="7"/>
  <c r="GP47" i="56"/>
  <c r="CG37" i="7"/>
  <c r="GA19" i="56"/>
  <c r="EK19" i="56"/>
  <c r="GB84" i="56"/>
  <c r="BY74" i="7"/>
  <c r="AP30" i="70"/>
  <c r="AP37" i="70"/>
  <c r="AP49" i="70"/>
  <c r="AP63" i="70"/>
  <c r="AP60" i="70"/>
  <c r="AP69" i="70"/>
  <c r="AP39" i="70"/>
  <c r="AP44" i="70"/>
  <c r="AP53" i="70"/>
  <c r="AP59" i="70"/>
  <c r="AP61" i="70"/>
  <c r="AP33" i="70"/>
  <c r="AP36" i="70"/>
  <c r="AP40" i="70"/>
  <c r="AP57" i="70"/>
  <c r="AP56" i="70"/>
  <c r="AP64" i="70"/>
  <c r="AP73" i="70"/>
  <c r="AP35" i="70"/>
  <c r="AP43" i="70"/>
  <c r="AP68" i="70"/>
  <c r="AP67" i="70"/>
  <c r="AP71" i="70"/>
  <c r="AP62" i="70"/>
  <c r="AP66" i="70"/>
  <c r="AP58" i="70"/>
  <c r="AP65" i="70"/>
  <c r="AP48" i="70"/>
  <c r="AP51" i="70"/>
  <c r="AP32" i="70"/>
  <c r="AP46" i="70"/>
  <c r="AP47" i="70"/>
  <c r="AP41" i="70"/>
  <c r="AP34" i="70"/>
  <c r="AP52" i="70"/>
  <c r="AP70" i="70"/>
  <c r="AP74" i="70"/>
  <c r="AP55" i="70"/>
  <c r="AP54" i="70"/>
  <c r="AP45" i="70"/>
  <c r="AP72" i="70"/>
  <c r="AP42" i="70"/>
  <c r="AP50" i="70"/>
  <c r="AP31" i="70"/>
  <c r="AP38" i="70"/>
  <c r="GQ56" i="57"/>
  <c r="AR46" i="7" s="1"/>
  <c r="GQ39" i="57"/>
  <c r="AR29" i="7" s="1"/>
  <c r="GB32" i="57"/>
  <c r="AI22" i="7"/>
  <c r="CE108" i="57"/>
  <c r="GB108" i="57" s="1"/>
  <c r="AI98" i="7" s="1"/>
  <c r="GB79" i="56"/>
  <c r="BY69" i="7" s="1"/>
  <c r="GP59" i="56"/>
  <c r="CG49" i="7"/>
  <c r="GQ64" i="57"/>
  <c r="AR54" i="7"/>
  <c r="GQ105" i="57"/>
  <c r="AR95" i="7"/>
  <c r="EM105" i="57"/>
  <c r="L95" i="7"/>
  <c r="GQ40" i="57"/>
  <c r="AR30" i="7"/>
  <c r="GQ79" i="57"/>
  <c r="AR69" i="7"/>
  <c r="EM79" i="57"/>
  <c r="L69" i="7"/>
  <c r="GQ96" i="57"/>
  <c r="AR86" i="7"/>
  <c r="EM96" i="57"/>
  <c r="L86" i="7"/>
  <c r="GA103" i="57"/>
  <c r="AH93" i="7"/>
  <c r="GA73" i="57"/>
  <c r="AH63" i="7"/>
  <c r="GQ93" i="57"/>
  <c r="AR83" i="7"/>
  <c r="EM93" i="57"/>
  <c r="L83" i="7"/>
  <c r="GB66" i="57"/>
  <c r="AI56" i="7"/>
  <c r="GA27" i="56"/>
  <c r="EK27" i="56"/>
  <c r="DB13" i="7"/>
  <c r="EX1" i="70"/>
  <c r="EY1" i="70" s="1"/>
  <c r="GQ66" i="57"/>
  <c r="AR56" i="7" s="1"/>
  <c r="GD78" i="57"/>
  <c r="AK68" i="7" s="1"/>
  <c r="GD82" i="57"/>
  <c r="AK72" i="7" s="1"/>
  <c r="GA30" i="57"/>
  <c r="AH20" i="7" s="1"/>
  <c r="GQ51" i="57"/>
  <c r="AR41" i="7" s="1"/>
  <c r="DF32" i="57"/>
  <c r="CS106" i="57"/>
  <c r="M96" i="57"/>
  <c r="BL13" i="7"/>
  <c r="EX1" i="56"/>
  <c r="EY1" i="56" s="1"/>
  <c r="GB83" i="56"/>
  <c r="BY73" i="7" s="1"/>
  <c r="BC42" i="57"/>
  <c r="GB42" i="57" s="1"/>
  <c r="AI32" i="7" s="1"/>
  <c r="DF61" i="57"/>
  <c r="FN109" i="70"/>
  <c r="DG99" i="7"/>
  <c r="GQ60" i="57"/>
  <c r="AR50" i="7"/>
  <c r="EM92" i="57"/>
  <c r="L82" i="7" s="1"/>
  <c r="GQ92" i="57"/>
  <c r="AR82" i="7" s="1"/>
  <c r="GQ87" i="57"/>
  <c r="AR77" i="7" s="1"/>
  <c r="EM87" i="57"/>
  <c r="L77" i="7" s="1"/>
  <c r="GQ104" i="57"/>
  <c r="AR94" i="7" s="1"/>
  <c r="EM104" i="57"/>
  <c r="L94" i="7" s="1"/>
  <c r="EY15" i="70"/>
  <c r="GB67" i="57"/>
  <c r="AI57" i="7" s="1"/>
  <c r="BC110" i="57"/>
  <c r="GQ53" i="57"/>
  <c r="AR43" i="7" s="1"/>
  <c r="DO6" i="70"/>
  <c r="FG6" i="70"/>
  <c r="FN20" i="70"/>
  <c r="EL76" i="56"/>
  <c r="BA66" i="7" s="1"/>
  <c r="EK75" i="56"/>
  <c r="AZ65" i="7" s="1"/>
  <c r="FM96" i="56"/>
  <c r="BP86" i="7" s="1"/>
  <c r="GA54" i="57"/>
  <c r="AH44" i="7" s="1"/>
  <c r="DJ13" i="7"/>
  <c r="FL1" i="70"/>
  <c r="FM1" i="70" s="1"/>
  <c r="DF13" i="7" s="1"/>
  <c r="AQ30" i="70"/>
  <c r="AQ41" i="70"/>
  <c r="AQ50" i="70"/>
  <c r="AQ61" i="70"/>
  <c r="AQ65" i="70"/>
  <c r="AQ74" i="70"/>
  <c r="AQ48" i="70"/>
  <c r="AQ45" i="70"/>
  <c r="AQ57" i="70"/>
  <c r="AQ73" i="70"/>
  <c r="AQ52" i="70"/>
  <c r="AQ36" i="70"/>
  <c r="AQ40" i="70"/>
  <c r="AQ34" i="70"/>
  <c r="AQ38" i="70"/>
  <c r="AQ44" i="70"/>
  <c r="AQ47" i="70"/>
  <c r="AQ53" i="70"/>
  <c r="AQ59" i="70"/>
  <c r="AQ58" i="70"/>
  <c r="AQ64" i="70"/>
  <c r="AQ68" i="70"/>
  <c r="AQ35" i="70"/>
  <c r="AQ31" i="70"/>
  <c r="AQ37" i="70"/>
  <c r="AQ39" i="70"/>
  <c r="AQ43" i="70"/>
  <c r="AQ54" i="70"/>
  <c r="AQ63" i="70"/>
  <c r="AQ60" i="70"/>
  <c r="AQ67" i="70"/>
  <c r="AQ71" i="70"/>
  <c r="AQ70" i="70"/>
  <c r="AQ69" i="70"/>
  <c r="AQ42" i="70"/>
  <c r="AQ56" i="70"/>
  <c r="AQ55" i="70"/>
  <c r="AQ62" i="70"/>
  <c r="AQ32" i="70"/>
  <c r="AQ51" i="70"/>
  <c r="AQ33" i="70"/>
  <c r="AQ72" i="70"/>
  <c r="AQ49" i="70"/>
  <c r="AQ66" i="70"/>
  <c r="AQ46" i="70"/>
  <c r="EE6" i="56"/>
  <c r="FU6" i="56"/>
  <c r="CM6" i="56"/>
  <c r="FH6" i="56" s="1"/>
  <c r="FG6" i="56"/>
  <c r="GQ35" i="57"/>
  <c r="AR25" i="7" s="1"/>
  <c r="CF44" i="70"/>
  <c r="CF40" i="70"/>
  <c r="CF42" i="70"/>
  <c r="CF68" i="70"/>
  <c r="CF69" i="70"/>
  <c r="CF55" i="70"/>
  <c r="CF52" i="70"/>
  <c r="CF46" i="70"/>
  <c r="CF72" i="70"/>
  <c r="CF51" i="70"/>
  <c r="CF59" i="70"/>
  <c r="GD108" i="57"/>
  <c r="AK98" i="7" s="1"/>
  <c r="GD106" i="57"/>
  <c r="AK96" i="7" s="1"/>
  <c r="GQ59" i="57"/>
  <c r="AR49" i="7" s="1"/>
  <c r="GQ54" i="57"/>
  <c r="AR44" i="7" s="1"/>
  <c r="GQ68" i="57"/>
  <c r="AR58" i="7" s="1"/>
  <c r="GR53" i="57"/>
  <c r="AS43" i="7" s="1"/>
  <c r="M65" i="57"/>
  <c r="GA43" i="56"/>
  <c r="BX33" i="7"/>
  <c r="GQ70" i="57"/>
  <c r="AR60" i="7"/>
  <c r="AO108" i="57"/>
  <c r="BC70" i="57"/>
  <c r="BC95" i="57"/>
  <c r="BC103" i="57"/>
  <c r="GA51" i="57"/>
  <c r="AH41" i="7" s="1"/>
  <c r="BC62" i="57"/>
  <c r="BC73" i="57"/>
  <c r="GB73" i="57" s="1"/>
  <c r="AI63" i="7" s="1"/>
  <c r="GD75" i="57"/>
  <c r="AK65" i="7"/>
  <c r="GQ108" i="57"/>
  <c r="AR98" i="7"/>
  <c r="EM108" i="57"/>
  <c r="L98" i="7"/>
  <c r="DF98" i="57"/>
  <c r="GA110" i="56"/>
  <c r="BX100" i="7" s="1"/>
  <c r="EK110" i="56"/>
  <c r="AZ100" i="7" s="1"/>
  <c r="FM110" i="56"/>
  <c r="BP100" i="7" s="1"/>
  <c r="EY110" i="56"/>
  <c r="BH100" i="7" s="1"/>
  <c r="GA66" i="57"/>
  <c r="AH56" i="7" s="1"/>
  <c r="EK8" i="70"/>
  <c r="EK75" i="70" s="1"/>
  <c r="CP65" i="7" s="1"/>
  <c r="EJ6" i="70"/>
  <c r="FN52" i="70"/>
  <c r="DG42" i="7" s="1"/>
  <c r="EZ103" i="56"/>
  <c r="BI93" i="7" s="1"/>
  <c r="GB103" i="57"/>
  <c r="AI93" i="7" s="1"/>
  <c r="DP6" i="70"/>
  <c r="FH6" i="70"/>
  <c r="CB6" i="70"/>
  <c r="GM6" i="70" s="1"/>
  <c r="GB40" i="57"/>
  <c r="AI30" i="7"/>
  <c r="AQ6" i="56"/>
  <c r="EL8" i="70"/>
  <c r="EK14" i="70"/>
  <c r="EK80" i="70"/>
  <c r="CP70" i="7" s="1"/>
  <c r="EK39" i="70"/>
  <c r="CP29" i="7" s="1"/>
  <c r="EK13" i="70"/>
  <c r="EK66" i="70"/>
  <c r="CP56" i="7" s="1"/>
  <c r="EK84" i="70"/>
  <c r="CP74" i="7" s="1"/>
  <c r="EK55" i="70"/>
  <c r="CP45" i="7" s="1"/>
  <c r="EK110" i="70"/>
  <c r="CP100" i="7" s="1"/>
  <c r="EK35" i="70"/>
  <c r="CP25" i="7" s="1"/>
  <c r="EK20" i="70"/>
  <c r="EK67" i="70"/>
  <c r="CP57" i="7" s="1"/>
  <c r="EK101" i="70"/>
  <c r="CP91" i="7" s="1"/>
  <c r="EK85" i="70"/>
  <c r="CP75" i="7" s="1"/>
  <c r="EK107" i="70"/>
  <c r="CP97" i="7" s="1"/>
  <c r="EK65" i="70"/>
  <c r="CP55" i="7" s="1"/>
  <c r="EK33" i="70"/>
  <c r="CP23" i="7" s="1"/>
  <c r="EK11" i="70"/>
  <c r="EK56" i="70"/>
  <c r="CP46" i="7" s="1"/>
  <c r="EK71" i="70"/>
  <c r="CP61" i="7" s="1"/>
  <c r="EK58" i="70"/>
  <c r="CP48" i="7" s="1"/>
  <c r="EK30" i="70"/>
  <c r="CP20" i="7" s="1"/>
  <c r="EK95" i="70"/>
  <c r="CP85" i="7" s="1"/>
  <c r="EK69" i="70"/>
  <c r="CP59" i="7" s="1"/>
  <c r="EK54" i="70"/>
  <c r="CP44" i="7" s="1"/>
  <c r="EK53" i="70"/>
  <c r="CP43" i="7" s="1"/>
  <c r="EK17" i="70"/>
  <c r="EK61" i="70"/>
  <c r="CP51" i="7" s="1"/>
  <c r="EK108" i="70"/>
  <c r="CP98" i="7" s="1"/>
  <c r="EK44" i="70"/>
  <c r="CP34" i="7" s="1"/>
  <c r="EK43" i="70"/>
  <c r="CP33" i="7" s="1"/>
  <c r="EK6" i="70"/>
  <c r="GB63" i="57"/>
  <c r="AI53" i="7" s="1"/>
  <c r="FO24" i="70"/>
  <c r="FO95" i="70"/>
  <c r="DH85" i="7" s="1"/>
  <c r="FO10" i="70"/>
  <c r="DH130" i="7" s="1"/>
  <c r="FO18" i="70"/>
  <c r="FO90" i="70"/>
  <c r="DH80" i="7" s="1"/>
  <c r="FO99" i="70"/>
  <c r="DH89" i="7" s="1"/>
  <c r="FO105" i="70"/>
  <c r="DH95" i="7" s="1"/>
  <c r="FO106" i="70"/>
  <c r="DH96" i="7" s="1"/>
  <c r="FO110" i="70"/>
  <c r="DH100" i="7" s="1"/>
  <c r="FO88" i="70"/>
  <c r="DH78" i="7" s="1"/>
  <c r="FO79" i="70"/>
  <c r="DH69" i="7" s="1"/>
  <c r="FO12" i="70"/>
  <c r="FO13" i="70"/>
  <c r="FO96" i="70"/>
  <c r="DH86" i="7" s="1"/>
  <c r="FO83" i="70"/>
  <c r="DH73" i="7" s="1"/>
  <c r="FO80" i="70"/>
  <c r="DH70" i="7" s="1"/>
  <c r="FO108" i="70"/>
  <c r="DH98" i="7" s="1"/>
  <c r="FO97" i="70"/>
  <c r="DH87" i="7" s="1"/>
  <c r="FO11" i="70"/>
  <c r="FO101" i="70"/>
  <c r="DH91" i="7" s="1"/>
  <c r="FO78" i="70"/>
  <c r="DH68" i="7" s="1"/>
  <c r="FO93" i="70"/>
  <c r="DH83" i="7" s="1"/>
  <c r="FO94" i="70"/>
  <c r="DH84" i="7" s="1"/>
  <c r="FO107" i="70"/>
  <c r="DH97" i="7" s="1"/>
  <c r="FO23" i="70"/>
  <c r="FO77" i="70"/>
  <c r="DH67" i="7" s="1"/>
  <c r="FO16" i="70"/>
  <c r="FO81" i="70"/>
  <c r="DH71" i="7" s="1"/>
  <c r="FO103" i="70"/>
  <c r="DH93" i="7" s="1"/>
  <c r="FO14" i="70"/>
  <c r="FO76" i="70"/>
  <c r="DH66" i="7" s="1"/>
  <c r="FO89" i="70"/>
  <c r="DH79" i="7" s="1"/>
  <c r="FO85" i="70"/>
  <c r="DH75" i="7" s="1"/>
  <c r="FO17" i="70"/>
  <c r="FO22" i="70"/>
  <c r="FO98" i="70"/>
  <c r="DH88" i="7" s="1"/>
  <c r="FO87" i="70"/>
  <c r="DH77" i="7" s="1"/>
  <c r="FO75" i="70"/>
  <c r="DH65" i="7" s="1"/>
  <c r="FP8" i="70"/>
  <c r="FP17" i="70" s="1"/>
  <c r="FO104" i="70"/>
  <c r="DH94" i="7" s="1"/>
  <c r="FO15" i="70"/>
  <c r="FO84" i="70"/>
  <c r="DH74" i="7"/>
  <c r="FO91" i="70"/>
  <c r="DH81" i="7" s="1"/>
  <c r="FO109" i="70"/>
  <c r="DH99" i="7" s="1"/>
  <c r="FO19" i="70"/>
  <c r="FO100" i="70"/>
  <c r="DH90" i="7" s="1"/>
  <c r="FO86" i="70"/>
  <c r="DH76" i="7" s="1"/>
  <c r="FO21" i="70"/>
  <c r="FO20" i="70"/>
  <c r="GB39" i="57"/>
  <c r="AI29" i="7" s="1"/>
  <c r="CN6" i="56"/>
  <c r="CO6" i="56" s="1"/>
  <c r="FX6" i="56" s="1"/>
  <c r="EK99" i="70"/>
  <c r="CP89" i="7" s="1"/>
  <c r="DV13" i="7"/>
  <c r="GP1" i="70"/>
  <c r="GB54" i="57"/>
  <c r="AI44" i="7"/>
  <c r="CC6" i="70"/>
  <c r="CD6" i="70" s="1"/>
  <c r="DQ6" i="70"/>
  <c r="FI6" i="70"/>
  <c r="DD6" i="7" s="1"/>
  <c r="FI6" i="56"/>
  <c r="BN6" i="7" s="1"/>
  <c r="FP75" i="70"/>
  <c r="DI65" i="7" s="1"/>
  <c r="FP80" i="70"/>
  <c r="DI70" i="7" s="1"/>
  <c r="FP12" i="70"/>
  <c r="FP21" i="70"/>
  <c r="FP79" i="70"/>
  <c r="DI69" i="7" s="1"/>
  <c r="FP98" i="70"/>
  <c r="DI88" i="7" s="1"/>
  <c r="FP10" i="70"/>
  <c r="DI130" i="7" s="1"/>
  <c r="FP13" i="70"/>
  <c r="FP20" i="70"/>
  <c r="FP104" i="70"/>
  <c r="DI94" i="7" s="1"/>
  <c r="FP14" i="70"/>
  <c r="FP77" i="70"/>
  <c r="DI67" i="7" s="1"/>
  <c r="FP85" i="70"/>
  <c r="DI75" i="7" s="1"/>
  <c r="FP86" i="70"/>
  <c r="DI76" i="7" s="1"/>
  <c r="FP87" i="70"/>
  <c r="DI77" i="7" s="1"/>
  <c r="FP96" i="70"/>
  <c r="DI86" i="7" s="1"/>
  <c r="FP100" i="70"/>
  <c r="DI90" i="7" s="1"/>
  <c r="FP94" i="70"/>
  <c r="DI84" i="7" s="1"/>
  <c r="FP83" i="70"/>
  <c r="DI73" i="7" s="1"/>
  <c r="EL105" i="70"/>
  <c r="CQ95" i="7" s="1"/>
  <c r="EL73" i="70"/>
  <c r="CQ63" i="7" s="1"/>
  <c r="EL70" i="70"/>
  <c r="CQ60" i="7" s="1"/>
  <c r="EL79" i="70"/>
  <c r="CQ69" i="7" s="1"/>
  <c r="EL10" i="70"/>
  <c r="CQ130" i="7" s="1"/>
  <c r="EL28" i="70"/>
  <c r="EL71" i="70"/>
  <c r="CQ61" i="7" s="1"/>
  <c r="GN6" i="70"/>
  <c r="FJ6" i="56"/>
  <c r="DE6" i="7" s="1"/>
  <c r="DM6" i="7"/>
  <c r="BQ21" i="38" l="1"/>
  <c r="DU69" i="76"/>
  <c r="CR40" i="76"/>
  <c r="DF71" i="76"/>
  <c r="AA42" i="76"/>
  <c r="AH39" i="4"/>
  <c r="AJ38" i="4"/>
  <c r="AG39" i="4"/>
  <c r="AI38" i="4"/>
  <c r="EG4" i="56"/>
  <c r="EG2" i="56" s="1"/>
  <c r="AX14" i="7" s="1"/>
  <c r="BC88" i="76"/>
  <c r="GP77" i="76"/>
  <c r="FM67" i="7" s="1"/>
  <c r="BB43" i="76"/>
  <c r="DG36" i="76"/>
  <c r="CR97" i="76"/>
  <c r="GP98" i="76"/>
  <c r="FM88" i="7" s="1"/>
  <c r="DT20" i="76"/>
  <c r="DU13" i="76"/>
  <c r="FN13" i="76" s="1"/>
  <c r="EW133" i="7" s="1"/>
  <c r="AO19" i="76"/>
  <c r="DF35" i="76"/>
  <c r="CD46" i="76"/>
  <c r="GO46" i="76" s="1"/>
  <c r="FL36" i="7" s="1"/>
  <c r="Z34" i="76"/>
  <c r="BQ110" i="76"/>
  <c r="CR93" i="76"/>
  <c r="DT82" i="76"/>
  <c r="CR69" i="76"/>
  <c r="AN56" i="76"/>
  <c r="GA25" i="76"/>
  <c r="FD145" i="7" s="1"/>
  <c r="DG27" i="76"/>
  <c r="Z21" i="76"/>
  <c r="BP28" i="76"/>
  <c r="FY101" i="7"/>
  <c r="DA19" i="41"/>
  <c r="GP4" i="56"/>
  <c r="GP2" i="56" s="1"/>
  <c r="CG14" i="7" s="1"/>
  <c r="GK4" i="57"/>
  <c r="AN14" i="7" s="1"/>
  <c r="AN15" i="7" s="1"/>
  <c r="Z1" i="7"/>
  <c r="EK4" i="56"/>
  <c r="EK2" i="56" s="1"/>
  <c r="AZ14" i="7" s="1"/>
  <c r="AZ15" i="7" s="1"/>
  <c r="AN92" i="76"/>
  <c r="FM92" i="76" s="1"/>
  <c r="EV82" i="7" s="1"/>
  <c r="AO73" i="76"/>
  <c r="BP94" i="76"/>
  <c r="CS88" i="76"/>
  <c r="FN88" i="76" s="1"/>
  <c r="EW78" i="7" s="1"/>
  <c r="AN88" i="76"/>
  <c r="M79" i="76"/>
  <c r="FV69" i="7" s="1"/>
  <c r="BC65" i="76"/>
  <c r="EL65" i="76" s="1"/>
  <c r="EG55" i="7" s="1"/>
  <c r="CD43" i="76"/>
  <c r="GO43" i="76" s="1"/>
  <c r="FL33" i="7" s="1"/>
  <c r="BQ20" i="76"/>
  <c r="BC35" i="76"/>
  <c r="CS73" i="76"/>
  <c r="CS60" i="76"/>
  <c r="DT57" i="76"/>
  <c r="DT51" i="76"/>
  <c r="CS50" i="76"/>
  <c r="GB50" i="76" s="1"/>
  <c r="FE40" i="7" s="1"/>
  <c r="CT101" i="7"/>
  <c r="CT102" i="7" s="1"/>
  <c r="CT103" i="7" s="1"/>
  <c r="CT104" i="7" s="1"/>
  <c r="CT105" i="7" s="1"/>
  <c r="CT106" i="7" s="1"/>
  <c r="CT107" i="7" s="1"/>
  <c r="CT108" i="7" s="1"/>
  <c r="CT109" i="7" s="1"/>
  <c r="CT110" i="7" s="1"/>
  <c r="CT111" i="7" s="1"/>
  <c r="CT112" i="7" s="1"/>
  <c r="CT113" i="7" s="1"/>
  <c r="CT114" i="7" s="1"/>
  <c r="CT115" i="7" s="1"/>
  <c r="CT116" i="7" s="1"/>
  <c r="CT117" i="7" s="1"/>
  <c r="CT118" i="7" s="1"/>
  <c r="CT119" i="7" s="1"/>
  <c r="CT120" i="7" s="1"/>
  <c r="DJ101" i="7"/>
  <c r="DJ102" i="7" s="1"/>
  <c r="DJ103" i="7" s="1"/>
  <c r="DJ104" i="7" s="1"/>
  <c r="DJ105" i="7" s="1"/>
  <c r="DJ106" i="7" s="1"/>
  <c r="DJ107" i="7" s="1"/>
  <c r="DJ108" i="7" s="1"/>
  <c r="DJ109" i="7" s="1"/>
  <c r="DJ110" i="7" s="1"/>
  <c r="DJ111" i="7" s="1"/>
  <c r="DJ112" i="7" s="1"/>
  <c r="DJ113" i="7" s="1"/>
  <c r="DJ114" i="7" s="1"/>
  <c r="DJ115" i="7" s="1"/>
  <c r="DJ116" i="7" s="1"/>
  <c r="DJ117" i="7" s="1"/>
  <c r="DJ118" i="7" s="1"/>
  <c r="DJ119" i="7" s="1"/>
  <c r="DJ120" i="7" s="1"/>
  <c r="BD101" i="7"/>
  <c r="BD102" i="7" s="1"/>
  <c r="BD103" i="7" s="1"/>
  <c r="BD104" i="7" s="1"/>
  <c r="BD105" i="7" s="1"/>
  <c r="BD106" i="7" s="1"/>
  <c r="BD107" i="7" s="1"/>
  <c r="BD108" i="7" s="1"/>
  <c r="BD109" i="7" s="1"/>
  <c r="BD110" i="7" s="1"/>
  <c r="BD111" i="7" s="1"/>
  <c r="BD112" i="7" s="1"/>
  <c r="BD113" i="7" s="1"/>
  <c r="BD114" i="7" s="1"/>
  <c r="BD115" i="7" s="1"/>
  <c r="BD116" i="7" s="1"/>
  <c r="BD117" i="7" s="1"/>
  <c r="BD118" i="7" s="1"/>
  <c r="BD119" i="7" s="1"/>
  <c r="BD120" i="7" s="1"/>
  <c r="AT101" i="7"/>
  <c r="AT102" i="7" s="1"/>
  <c r="AT103" i="7" s="1"/>
  <c r="AT104" i="7" s="1"/>
  <c r="AT105" i="7" s="1"/>
  <c r="AT106" i="7" s="1"/>
  <c r="AT107" i="7" s="1"/>
  <c r="AT108" i="7" s="1"/>
  <c r="AT109" i="7" s="1"/>
  <c r="DB101" i="7"/>
  <c r="DB102" i="7" s="1"/>
  <c r="DB103" i="7" s="1"/>
  <c r="DB104" i="7" s="1"/>
  <c r="DB105" i="7" s="1"/>
  <c r="DB106" i="7" s="1"/>
  <c r="DB107" i="7" s="1"/>
  <c r="DB108" i="7" s="1"/>
  <c r="DB109" i="7" s="1"/>
  <c r="DB110" i="7" s="1"/>
  <c r="DB111" i="7" s="1"/>
  <c r="DB112" i="7" s="1"/>
  <c r="DB113" i="7" s="1"/>
  <c r="DB114" i="7" s="1"/>
  <c r="DB115" i="7" s="1"/>
  <c r="DB116" i="7" s="1"/>
  <c r="DB117" i="7" s="1"/>
  <c r="DB118" i="7" s="1"/>
  <c r="DB119" i="7" s="1"/>
  <c r="DB120" i="7" s="1"/>
  <c r="AL101" i="7"/>
  <c r="AL102" i="7" s="1"/>
  <c r="AL103" i="7" s="1"/>
  <c r="AL104" i="7" s="1"/>
  <c r="AL105" i="7" s="1"/>
  <c r="AL106" i="7" s="1"/>
  <c r="AL107" i="7" s="1"/>
  <c r="AL108" i="7" s="1"/>
  <c r="AL109" i="7" s="1"/>
  <c r="AL110" i="7" s="1"/>
  <c r="AL111" i="7" s="1"/>
  <c r="AL112" i="7" s="1"/>
  <c r="AL113" i="7" s="1"/>
  <c r="AL114" i="7" s="1"/>
  <c r="AL115" i="7" s="1"/>
  <c r="AL116" i="7" s="1"/>
  <c r="AL117" i="7" s="1"/>
  <c r="AL118" i="7" s="1"/>
  <c r="AL119" i="7" s="1"/>
  <c r="AL120" i="7" s="1"/>
  <c r="DZ101" i="7"/>
  <c r="DZ102" i="7" s="1"/>
  <c r="DZ103" i="7" s="1"/>
  <c r="DZ104" i="7" s="1"/>
  <c r="DZ105" i="7" s="1"/>
  <c r="DZ106" i="7" s="1"/>
  <c r="DZ107" i="7" s="1"/>
  <c r="DZ108" i="7" s="1"/>
  <c r="DZ109" i="7" s="1"/>
  <c r="DZ110" i="7" s="1"/>
  <c r="DZ111" i="7" s="1"/>
  <c r="DZ112" i="7" s="1"/>
  <c r="DZ113" i="7" s="1"/>
  <c r="DZ114" i="7" s="1"/>
  <c r="DZ115" i="7" s="1"/>
  <c r="DZ116" i="7" s="1"/>
  <c r="DZ117" i="7" s="1"/>
  <c r="DZ118" i="7" s="1"/>
  <c r="DZ119" i="7" s="1"/>
  <c r="DZ120" i="7" s="1"/>
  <c r="DR101" i="7"/>
  <c r="DR102" i="7" s="1"/>
  <c r="DR103" i="7" s="1"/>
  <c r="DR104" i="7" s="1"/>
  <c r="DR105" i="7" s="1"/>
  <c r="DR106" i="7" s="1"/>
  <c r="DR107" i="7" s="1"/>
  <c r="DR108" i="7" s="1"/>
  <c r="DR109" i="7" s="1"/>
  <c r="DR110" i="7" s="1"/>
  <c r="DR111" i="7" s="1"/>
  <c r="DR112" i="7" s="1"/>
  <c r="DR113" i="7" s="1"/>
  <c r="DR114" i="7" s="1"/>
  <c r="DR115" i="7" s="1"/>
  <c r="DR116" i="7" s="1"/>
  <c r="DR117" i="7" s="1"/>
  <c r="DR118" i="7" s="1"/>
  <c r="DR119" i="7" s="1"/>
  <c r="DR120" i="7" s="1"/>
  <c r="Z27" i="76"/>
  <c r="GO108" i="7"/>
  <c r="BQ69" i="76"/>
  <c r="CE23" i="76"/>
  <c r="GM29" i="76"/>
  <c r="FP149" i="7" s="1"/>
  <c r="GM69" i="76"/>
  <c r="FP59" i="7" s="1"/>
  <c r="GM98" i="76"/>
  <c r="FP88" i="7" s="1"/>
  <c r="FY48" i="76"/>
  <c r="FH38" i="7" s="1"/>
  <c r="FY61" i="76"/>
  <c r="FH51" i="7" s="1"/>
  <c r="FY95" i="76"/>
  <c r="FH85" i="7" s="1"/>
  <c r="FK33" i="76"/>
  <c r="EZ23" i="7" s="1"/>
  <c r="FK69" i="76"/>
  <c r="EZ59" i="7" s="1"/>
  <c r="FK62" i="76"/>
  <c r="EZ52" i="7" s="1"/>
  <c r="FK105" i="76"/>
  <c r="EZ95" i="7" s="1"/>
  <c r="EW53" i="76"/>
  <c r="ER43" i="7" s="1"/>
  <c r="EW67" i="76"/>
  <c r="ER57" i="7" s="1"/>
  <c r="EW56" i="76"/>
  <c r="ER46" i="7" s="1"/>
  <c r="EW85" i="76"/>
  <c r="ER75" i="7" s="1"/>
  <c r="BQ47" i="76"/>
  <c r="BP47" i="76"/>
  <c r="CU8" i="76"/>
  <c r="CU25" i="76" s="1"/>
  <c r="CT8" i="76"/>
  <c r="CT28" i="76" s="1"/>
  <c r="EW80" i="76"/>
  <c r="ER70" i="7" s="1"/>
  <c r="EW92" i="76"/>
  <c r="ER82" i="7" s="1"/>
  <c r="FX101" i="7"/>
  <c r="FX102" i="7" s="1"/>
  <c r="FX103" i="7" s="1"/>
  <c r="FX104" i="7" s="1"/>
  <c r="FX105" i="7" s="1"/>
  <c r="FX106" i="7" s="1"/>
  <c r="FX107" i="7" s="1"/>
  <c r="FX108" i="7" s="1"/>
  <c r="FX109" i="7" s="1"/>
  <c r="FX110" i="7" s="1"/>
  <c r="FX111" i="7" s="1"/>
  <c r="FX112" i="7" s="1"/>
  <c r="FX113" i="7" s="1"/>
  <c r="FX114" i="7" s="1"/>
  <c r="FX115" i="7" s="1"/>
  <c r="FX116" i="7" s="1"/>
  <c r="FX117" i="7" s="1"/>
  <c r="FX118" i="7" s="1"/>
  <c r="FX119" i="7" s="1"/>
  <c r="FX120" i="7" s="1"/>
  <c r="CS94" i="76"/>
  <c r="AA60" i="76"/>
  <c r="EJ26" i="7"/>
  <c r="FP146" i="7"/>
  <c r="GM38" i="76"/>
  <c r="FP28" i="7" s="1"/>
  <c r="FP48" i="7"/>
  <c r="FP63" i="7"/>
  <c r="GM88" i="76"/>
  <c r="FP78" i="7" s="1"/>
  <c r="FY44" i="76"/>
  <c r="FH34" i="7" s="1"/>
  <c r="FY34" i="76"/>
  <c r="FH24" i="7" s="1"/>
  <c r="FY43" i="76"/>
  <c r="FH33" i="7" s="1"/>
  <c r="FY70" i="76"/>
  <c r="FH60" i="7" s="1"/>
  <c r="FH74" i="7"/>
  <c r="FY86" i="76"/>
  <c r="FH76" i="7" s="1"/>
  <c r="FY101" i="76"/>
  <c r="FH91" i="7" s="1"/>
  <c r="FY106" i="76"/>
  <c r="FH96" i="7" s="1"/>
  <c r="FK18" i="76"/>
  <c r="EZ138" i="7" s="1"/>
  <c r="FK87" i="76"/>
  <c r="EZ77" i="7" s="1"/>
  <c r="ER28" i="7"/>
  <c r="EW60" i="76"/>
  <c r="ER50" i="7" s="1"/>
  <c r="EW73" i="76"/>
  <c r="ER63" i="7" s="1"/>
  <c r="EW94" i="76"/>
  <c r="ER84" i="7" s="1"/>
  <c r="EW107" i="76"/>
  <c r="ER97" i="7" s="1"/>
  <c r="EI46" i="76"/>
  <c r="EJ36" i="7" s="1"/>
  <c r="EI69" i="76"/>
  <c r="EJ59" i="7" s="1"/>
  <c r="EI80" i="76"/>
  <c r="EJ70" i="7" s="1"/>
  <c r="EJ84" i="7"/>
  <c r="EI99" i="76"/>
  <c r="EJ89" i="7" s="1"/>
  <c r="EI107" i="76"/>
  <c r="EJ97" i="7" s="1"/>
  <c r="M105" i="76"/>
  <c r="FV95" i="7" s="1"/>
  <c r="CR103" i="76"/>
  <c r="FM103" i="76" s="1"/>
  <c r="EV93" i="7" s="1"/>
  <c r="BP93" i="76"/>
  <c r="BP73" i="76"/>
  <c r="CR75" i="76"/>
  <c r="CE74" i="76"/>
  <c r="FN74" i="76" s="1"/>
  <c r="EW64" i="7" s="1"/>
  <c r="BP46" i="76"/>
  <c r="CR45" i="76"/>
  <c r="EI52" i="76"/>
  <c r="EJ42" i="7" s="1"/>
  <c r="FY38" i="76"/>
  <c r="FH28" i="7" s="1"/>
  <c r="FH21" i="7"/>
  <c r="FH140" i="7"/>
  <c r="CE16" i="76"/>
  <c r="GM16" i="76"/>
  <c r="FP136" i="7" s="1"/>
  <c r="FP27" i="7"/>
  <c r="GM43" i="76"/>
  <c r="FP33" i="7" s="1"/>
  <c r="GM67" i="76"/>
  <c r="FP57" i="7" s="1"/>
  <c r="GM55" i="76"/>
  <c r="FP45" i="7" s="1"/>
  <c r="FP65" i="7"/>
  <c r="GM84" i="76"/>
  <c r="FP74" i="7" s="1"/>
  <c r="FP79" i="7"/>
  <c r="GM97" i="76"/>
  <c r="FP87" i="7" s="1"/>
  <c r="GM106" i="76"/>
  <c r="FP96" i="7" s="1"/>
  <c r="FY21" i="76"/>
  <c r="FH141" i="7" s="1"/>
  <c r="FH31" i="7"/>
  <c r="FY24" i="76"/>
  <c r="FH144" i="7" s="1"/>
  <c r="FY40" i="76"/>
  <c r="FH30" i="7" s="1"/>
  <c r="FY57" i="76"/>
  <c r="FH47" i="7" s="1"/>
  <c r="FY47" i="76"/>
  <c r="FH37" i="7" s="1"/>
  <c r="FY64" i="76"/>
  <c r="FH54" i="7" s="1"/>
  <c r="FH59" i="7"/>
  <c r="FY58" i="76"/>
  <c r="FH48" i="7" s="1"/>
  <c r="FY74" i="76"/>
  <c r="FH64" i="7" s="1"/>
  <c r="FY71" i="76"/>
  <c r="FH61" i="7" s="1"/>
  <c r="FH81" i="7"/>
  <c r="FY90" i="76"/>
  <c r="FH80" i="7" s="1"/>
  <c r="FY94" i="76"/>
  <c r="FH84" i="7" s="1"/>
  <c r="FH93" i="7"/>
  <c r="FY108" i="76"/>
  <c r="FH98" i="7" s="1"/>
  <c r="FY110" i="76"/>
  <c r="FH100" i="7" s="1"/>
  <c r="FK22" i="76"/>
  <c r="EZ142" i="7" s="1"/>
  <c r="EZ30" i="7"/>
  <c r="FK52" i="76"/>
  <c r="EZ42" i="7" s="1"/>
  <c r="EZ31" i="7"/>
  <c r="EZ35" i="7"/>
  <c r="FK73" i="76"/>
  <c r="EZ63" i="7" s="1"/>
  <c r="FK59" i="76"/>
  <c r="EZ49" i="7" s="1"/>
  <c r="FK74" i="76"/>
  <c r="EZ64" i="7" s="1"/>
  <c r="EZ83" i="7"/>
  <c r="FK91" i="76"/>
  <c r="EZ81" i="7" s="1"/>
  <c r="FK102" i="76"/>
  <c r="EZ92" i="7" s="1"/>
  <c r="FK106" i="76"/>
  <c r="EZ96" i="7" s="1"/>
  <c r="EZ97" i="7"/>
  <c r="EW41" i="76"/>
  <c r="ER31" i="7" s="1"/>
  <c r="EW23" i="76"/>
  <c r="ER143" i="7" s="1"/>
  <c r="EW26" i="76"/>
  <c r="ER146" i="7" s="1"/>
  <c r="ER32" i="7"/>
  <c r="EW45" i="76"/>
  <c r="ER35" i="7" s="1"/>
  <c r="ER48" i="7"/>
  <c r="EW48" i="76"/>
  <c r="ER38" i="7" s="1"/>
  <c r="ER54" i="7"/>
  <c r="ER76" i="7"/>
  <c r="EW78" i="76"/>
  <c r="ER68" i="7" s="1"/>
  <c r="EW84" i="76"/>
  <c r="ER74" i="7" s="1"/>
  <c r="EW103" i="76"/>
  <c r="ER93" i="7" s="1"/>
  <c r="EI40" i="76"/>
  <c r="EJ30" i="7" s="1"/>
  <c r="EJ35" i="7"/>
  <c r="EI35" i="76"/>
  <c r="EJ25" i="7" s="1"/>
  <c r="EI44" i="76"/>
  <c r="EJ34" i="7" s="1"/>
  <c r="EI48" i="76"/>
  <c r="EJ38" i="7" s="1"/>
  <c r="EI71" i="76"/>
  <c r="EJ61" i="7" s="1"/>
  <c r="EI57" i="76"/>
  <c r="EJ47" i="7" s="1"/>
  <c r="EI73" i="76"/>
  <c r="EJ63" i="7" s="1"/>
  <c r="EJ60" i="7"/>
  <c r="EJ72" i="7"/>
  <c r="EI85" i="76"/>
  <c r="EJ75" i="7" s="1"/>
  <c r="EJ88" i="7"/>
  <c r="EJ92" i="7"/>
  <c r="CR26" i="76"/>
  <c r="BP17" i="76"/>
  <c r="GM109" i="76"/>
  <c r="FP99" i="7" s="1"/>
  <c r="GM101" i="76"/>
  <c r="FP91" i="7" s="1"/>
  <c r="FK89" i="76"/>
  <c r="EZ79" i="7" s="1"/>
  <c r="FK81" i="76"/>
  <c r="EZ71" i="7" s="1"/>
  <c r="GM64" i="76"/>
  <c r="FP54" i="7" s="1"/>
  <c r="FK49" i="76"/>
  <c r="EZ39" i="7" s="1"/>
  <c r="EW109" i="76"/>
  <c r="ER99" i="7" s="1"/>
  <c r="FY88" i="76"/>
  <c r="FH78" i="7" s="1"/>
  <c r="GM72" i="76"/>
  <c r="FP62" i="7" s="1"/>
  <c r="GM68" i="76"/>
  <c r="FP58" i="7" s="1"/>
  <c r="FY46" i="76"/>
  <c r="FH36" i="7" s="1"/>
  <c r="FK64" i="76"/>
  <c r="EZ54" i="7" s="1"/>
  <c r="FK39" i="76"/>
  <c r="EZ29" i="7" s="1"/>
  <c r="GM32" i="76"/>
  <c r="FP22" i="7" s="1"/>
  <c r="FY97" i="76"/>
  <c r="FH87" i="7" s="1"/>
  <c r="EI88" i="76"/>
  <c r="EJ78" i="7" s="1"/>
  <c r="GM60" i="76"/>
  <c r="FP50" i="7" s="1"/>
  <c r="EW46" i="76"/>
  <c r="ER36" i="7" s="1"/>
  <c r="FK37" i="76"/>
  <c r="EZ27" i="7" s="1"/>
  <c r="EI20" i="76"/>
  <c r="EJ140" i="7" s="1"/>
  <c r="EW33" i="76"/>
  <c r="ER23" i="7" s="1"/>
  <c r="FY13" i="76"/>
  <c r="FH133" i="7" s="1"/>
  <c r="EW82" i="76"/>
  <c r="ER72" i="7" s="1"/>
  <c r="GM33" i="76"/>
  <c r="FP23" i="7" s="1"/>
  <c r="GM51" i="76"/>
  <c r="FP41" i="7" s="1"/>
  <c r="FY37" i="76"/>
  <c r="FH27" i="7" s="1"/>
  <c r="FK17" i="76"/>
  <c r="EZ137" i="7" s="1"/>
  <c r="GM45" i="76"/>
  <c r="FP35" i="7" s="1"/>
  <c r="FP44" i="7"/>
  <c r="GM35" i="76"/>
  <c r="FP25" i="7" s="1"/>
  <c r="GM53" i="76"/>
  <c r="FP43" i="7" s="1"/>
  <c r="FP60" i="7"/>
  <c r="GM80" i="76"/>
  <c r="FP70" i="7" s="1"/>
  <c r="GM108" i="76"/>
  <c r="FP98" i="7" s="1"/>
  <c r="FH32" i="7"/>
  <c r="FY27" i="76"/>
  <c r="FH147" i="7" s="1"/>
  <c r="FH22" i="7"/>
  <c r="FY51" i="76"/>
  <c r="FH41" i="7" s="1"/>
  <c r="FY77" i="76"/>
  <c r="FH67" i="7" s="1"/>
  <c r="FH56" i="7"/>
  <c r="FY82" i="76"/>
  <c r="FH72" i="7" s="1"/>
  <c r="FH90" i="7"/>
  <c r="FY105" i="76"/>
  <c r="FH95" i="7" s="1"/>
  <c r="FK48" i="76"/>
  <c r="EZ38" i="7" s="1"/>
  <c r="EZ58" i="7"/>
  <c r="EZ48" i="7"/>
  <c r="FK51" i="76"/>
  <c r="EZ41" i="7" s="1"/>
  <c r="FK83" i="76"/>
  <c r="EZ73" i="7" s="1"/>
  <c r="EW15" i="76"/>
  <c r="ER135" i="7" s="1"/>
  <c r="EW55" i="76"/>
  <c r="ER45" i="7" s="1"/>
  <c r="EW34" i="76"/>
  <c r="ER24" i="7" s="1"/>
  <c r="EW69" i="76"/>
  <c r="ER59" i="7" s="1"/>
  <c r="ER65" i="7"/>
  <c r="ER71" i="7"/>
  <c r="ER87" i="7"/>
  <c r="FP26" i="7"/>
  <c r="EI34" i="76"/>
  <c r="EJ24" i="7" s="1"/>
  <c r="BS8" i="76"/>
  <c r="BS26" i="76" s="1"/>
  <c r="BR8" i="76"/>
  <c r="BR27" i="76" s="1"/>
  <c r="GM107" i="76"/>
  <c r="FP97" i="7" s="1"/>
  <c r="GM103" i="76"/>
  <c r="FP93" i="7" s="1"/>
  <c r="FY92" i="76"/>
  <c r="FH82" i="7" s="1"/>
  <c r="EW65" i="76"/>
  <c r="ER55" i="7" s="1"/>
  <c r="FY50" i="76"/>
  <c r="FH40" i="7" s="1"/>
  <c r="AO102" i="76"/>
  <c r="DF68" i="76"/>
  <c r="GA68" i="76" s="1"/>
  <c r="FD58" i="7" s="1"/>
  <c r="CR53" i="76"/>
  <c r="EW37" i="76"/>
  <c r="ER27" i="7" s="1"/>
  <c r="EI14" i="76"/>
  <c r="EJ134" i="7" s="1"/>
  <c r="FK11" i="76"/>
  <c r="EZ131" i="7" s="1"/>
  <c r="GM57" i="76"/>
  <c r="FP47" i="7" s="1"/>
  <c r="GM74" i="76"/>
  <c r="FP64" i="7" s="1"/>
  <c r="GM82" i="76"/>
  <c r="FP72" i="7" s="1"/>
  <c r="GM100" i="76"/>
  <c r="FP90" i="7" s="1"/>
  <c r="FH58" i="7"/>
  <c r="FY54" i="76"/>
  <c r="FH44" i="7" s="1"/>
  <c r="FY89" i="76"/>
  <c r="FH79" i="7" s="1"/>
  <c r="FK32" i="76"/>
  <c r="EZ22" i="7" s="1"/>
  <c r="FK66" i="76"/>
  <c r="EZ56" i="7" s="1"/>
  <c r="FK92" i="76"/>
  <c r="EZ82" i="7" s="1"/>
  <c r="FK98" i="76"/>
  <c r="EZ88" i="7" s="1"/>
  <c r="EW35" i="76"/>
  <c r="ER25" i="7" s="1"/>
  <c r="EW74" i="76"/>
  <c r="ER64" i="7" s="1"/>
  <c r="EW66" i="76"/>
  <c r="ER56" i="7" s="1"/>
  <c r="EW79" i="76"/>
  <c r="ER69" i="7" s="1"/>
  <c r="EW95" i="76"/>
  <c r="ER85" i="7" s="1"/>
  <c r="EW104" i="76"/>
  <c r="ER94" i="7" s="1"/>
  <c r="EI38" i="76"/>
  <c r="EJ28" i="7" s="1"/>
  <c r="EJ56" i="7"/>
  <c r="EJ43" i="7"/>
  <c r="EJ76" i="7"/>
  <c r="EJ69" i="7"/>
  <c r="EJ85" i="7"/>
  <c r="EI103" i="76"/>
  <c r="EJ93" i="7" s="1"/>
  <c r="GM34" i="76"/>
  <c r="FP24" i="7" s="1"/>
  <c r="DT12" i="76"/>
  <c r="DH8" i="76"/>
  <c r="DH29" i="76" s="1"/>
  <c r="BC89" i="76"/>
  <c r="FK110" i="76"/>
  <c r="EZ100" i="7" s="1"/>
  <c r="FK90" i="76"/>
  <c r="EZ80" i="7" s="1"/>
  <c r="FK82" i="76"/>
  <c r="EZ72" i="7" s="1"/>
  <c r="EW77" i="76"/>
  <c r="ER67" i="7" s="1"/>
  <c r="FY83" i="76"/>
  <c r="FH73" i="7" s="1"/>
  <c r="FK57" i="76"/>
  <c r="EZ47" i="7" s="1"/>
  <c r="FY49" i="76"/>
  <c r="FH39" i="7" s="1"/>
  <c r="FK67" i="76"/>
  <c r="EZ57" i="7" s="1"/>
  <c r="FY59" i="76"/>
  <c r="FH49" i="7" s="1"/>
  <c r="GM52" i="76"/>
  <c r="FP42" i="7" s="1"/>
  <c r="GM48" i="76"/>
  <c r="FP38" i="7" s="1"/>
  <c r="GM44" i="76"/>
  <c r="FP34" i="7" s="1"/>
  <c r="EW27" i="76"/>
  <c r="ER147" i="7" s="1"/>
  <c r="EI37" i="76"/>
  <c r="EJ27" i="7" s="1"/>
  <c r="FY17" i="76"/>
  <c r="FH137" i="7" s="1"/>
  <c r="GM96" i="76"/>
  <c r="FP86" i="7" s="1"/>
  <c r="EW83" i="76"/>
  <c r="ER73" i="7" s="1"/>
  <c r="EI33" i="76"/>
  <c r="EJ23" i="7" s="1"/>
  <c r="GM93" i="76"/>
  <c r="FP83" i="7" s="1"/>
  <c r="GM85" i="76"/>
  <c r="FP75" i="7" s="1"/>
  <c r="GM81" i="76"/>
  <c r="FP71" i="7" s="1"/>
  <c r="EI62" i="76"/>
  <c r="EJ52" i="7" s="1"/>
  <c r="EI54" i="76"/>
  <c r="EJ44" i="7" s="1"/>
  <c r="EI31" i="76"/>
  <c r="EJ21" i="7" s="1"/>
  <c r="EW21" i="76"/>
  <c r="ER141" i="7" s="1"/>
  <c r="FK14" i="76"/>
  <c r="EZ134" i="7" s="1"/>
  <c r="EW70" i="76"/>
  <c r="ER60" i="7" s="1"/>
  <c r="EW36" i="76"/>
  <c r="ER26" i="7" s="1"/>
  <c r="FY102" i="76"/>
  <c r="FH92" i="7" s="1"/>
  <c r="EW19" i="76"/>
  <c r="ER139" i="7" s="1"/>
  <c r="M94" i="76"/>
  <c r="FV84" i="7" s="1"/>
  <c r="CR56" i="76"/>
  <c r="DG49" i="76"/>
  <c r="AN32" i="76"/>
  <c r="FM32" i="76" s="1"/>
  <c r="EV22" i="7" s="1"/>
  <c r="ER51" i="7"/>
  <c r="EZ25" i="7"/>
  <c r="EI28" i="76"/>
  <c r="EJ148" i="7" s="1"/>
  <c r="GM23" i="76"/>
  <c r="FP143" i="7" s="1"/>
  <c r="FY18" i="76"/>
  <c r="FH138" i="7" s="1"/>
  <c r="EZ135" i="7"/>
  <c r="ER132" i="7"/>
  <c r="GM63" i="76"/>
  <c r="FP53" i="7" s="1"/>
  <c r="GM20" i="76"/>
  <c r="FP140" i="7" s="1"/>
  <c r="GM47" i="76"/>
  <c r="FP37" i="7" s="1"/>
  <c r="GM31" i="76"/>
  <c r="FP21" i="7" s="1"/>
  <c r="FP46" i="7"/>
  <c r="FP52" i="7"/>
  <c r="GM49" i="76"/>
  <c r="FP39" i="7" s="1"/>
  <c r="GM65" i="76"/>
  <c r="FP55" i="7" s="1"/>
  <c r="GM90" i="76"/>
  <c r="FP80" i="7" s="1"/>
  <c r="GM78" i="76"/>
  <c r="FP68" i="7" s="1"/>
  <c r="GM94" i="76"/>
  <c r="FP84" i="7" s="1"/>
  <c r="GM95" i="76"/>
  <c r="FP85" i="7" s="1"/>
  <c r="FP89" i="7"/>
  <c r="GM102" i="76"/>
  <c r="FP92" i="7" s="1"/>
  <c r="FP95" i="7"/>
  <c r="FY35" i="76"/>
  <c r="FH25" i="7" s="1"/>
  <c r="FH145" i="7"/>
  <c r="FH46" i="7"/>
  <c r="FH50" i="7"/>
  <c r="FY52" i="76"/>
  <c r="FH42" i="7" s="1"/>
  <c r="FY78" i="76"/>
  <c r="FH68" i="7" s="1"/>
  <c r="FH66" i="7"/>
  <c r="FY85" i="76"/>
  <c r="FH75" i="7" s="1"/>
  <c r="FH70" i="7"/>
  <c r="FY99" i="76"/>
  <c r="FH89" i="7" s="1"/>
  <c r="EZ43" i="7"/>
  <c r="EZ144" i="7"/>
  <c r="FK43" i="76"/>
  <c r="EZ33" i="7" s="1"/>
  <c r="EZ44" i="7"/>
  <c r="FK27" i="76"/>
  <c r="EZ147" i="7" s="1"/>
  <c r="FY22" i="76"/>
  <c r="FH142" i="7" s="1"/>
  <c r="DT79" i="76"/>
  <c r="DU31" i="76"/>
  <c r="DT31" i="76"/>
  <c r="DU24" i="76"/>
  <c r="DT24" i="76"/>
  <c r="FM24" i="76" s="1"/>
  <c r="EV144" i="7" s="1"/>
  <c r="BP13" i="76"/>
  <c r="BQ13" i="76"/>
  <c r="FK94" i="76"/>
  <c r="EZ84" i="7" s="1"/>
  <c r="FK86" i="76"/>
  <c r="EZ76" i="7" s="1"/>
  <c r="GM79" i="76"/>
  <c r="FP69" i="7" s="1"/>
  <c r="GM66" i="76"/>
  <c r="FP56" i="7" s="1"/>
  <c r="EW54" i="76"/>
  <c r="ER44" i="7" s="1"/>
  <c r="FK46" i="76"/>
  <c r="EZ36" i="7" s="1"/>
  <c r="EW106" i="76"/>
  <c r="ER96" i="7" s="1"/>
  <c r="EW98" i="76"/>
  <c r="ER88" i="7" s="1"/>
  <c r="FY87" i="76"/>
  <c r="FH77" i="7" s="1"/>
  <c r="EI72" i="76"/>
  <c r="EJ62" i="7" s="1"/>
  <c r="EI68" i="76"/>
  <c r="EJ58" i="7" s="1"/>
  <c r="FK61" i="76"/>
  <c r="EZ51" i="7" s="1"/>
  <c r="FY45" i="76"/>
  <c r="FH35" i="7" s="1"/>
  <c r="FK71" i="76"/>
  <c r="EZ61" i="7" s="1"/>
  <c r="FY55" i="76"/>
  <c r="FH45" i="7" s="1"/>
  <c r="GM50" i="76"/>
  <c r="FP40" i="7" s="1"/>
  <c r="GM46" i="76"/>
  <c r="FP36" i="7" s="1"/>
  <c r="GM42" i="76"/>
  <c r="FP32" i="7" s="1"/>
  <c r="EI24" i="76"/>
  <c r="EJ144" i="7" s="1"/>
  <c r="GM14" i="76"/>
  <c r="FP134" i="7" s="1"/>
  <c r="FY10" i="76"/>
  <c r="FH130" i="7" s="1"/>
  <c r="EW72" i="76"/>
  <c r="ER62" i="7" s="1"/>
  <c r="GM27" i="76"/>
  <c r="FP147" i="7" s="1"/>
  <c r="FY104" i="76"/>
  <c r="FH94" i="7" s="1"/>
  <c r="EW87" i="76"/>
  <c r="ER77" i="7" s="1"/>
  <c r="GM76" i="76"/>
  <c r="FP66" i="7" s="1"/>
  <c r="FK108" i="76"/>
  <c r="EZ98" i="7" s="1"/>
  <c r="FK100" i="76"/>
  <c r="EZ90" i="7" s="1"/>
  <c r="GM91" i="76"/>
  <c r="FP81" i="7" s="1"/>
  <c r="GM87" i="76"/>
  <c r="FP77" i="7" s="1"/>
  <c r="GM83" i="76"/>
  <c r="FP73" i="7" s="1"/>
  <c r="FY65" i="76"/>
  <c r="FH55" i="7" s="1"/>
  <c r="EI56" i="76"/>
  <c r="EJ46" i="7" s="1"/>
  <c r="EW50" i="76"/>
  <c r="ER40" i="7" s="1"/>
  <c r="FY33" i="76"/>
  <c r="FH23" i="7" s="1"/>
  <c r="FK25" i="76"/>
  <c r="EZ145" i="7" s="1"/>
  <c r="EI23" i="76"/>
  <c r="EJ143" i="7" s="1"/>
  <c r="FY79" i="76"/>
  <c r="FH69" i="7" s="1"/>
  <c r="FY39" i="76"/>
  <c r="FH29" i="7" s="1"/>
  <c r="FK31" i="76"/>
  <c r="EZ21" i="7" s="1"/>
  <c r="FY109" i="76"/>
  <c r="FH99" i="7" s="1"/>
  <c r="FK80" i="76"/>
  <c r="EZ70" i="7" s="1"/>
  <c r="EW31" i="76"/>
  <c r="ER21" i="7" s="1"/>
  <c r="EI25" i="76"/>
  <c r="EJ145" i="7" s="1"/>
  <c r="EZ53" i="7"/>
  <c r="EZ62" i="7"/>
  <c r="EZ87" i="7"/>
  <c r="EZ85" i="7"/>
  <c r="EZ94" i="7"/>
  <c r="EZ93" i="7"/>
  <c r="ER148" i="7"/>
  <c r="ER37" i="7"/>
  <c r="ER47" i="7"/>
  <c r="ER41" i="7"/>
  <c r="ER52" i="7"/>
  <c r="ER61" i="7"/>
  <c r="ER81" i="7"/>
  <c r="EJ37" i="7"/>
  <c r="EJ48" i="7"/>
  <c r="EJ41" i="7"/>
  <c r="EJ50" i="7"/>
  <c r="EJ65" i="7"/>
  <c r="EJ64" i="7"/>
  <c r="EJ74" i="7"/>
  <c r="EJ86" i="7"/>
  <c r="EJ87" i="7"/>
  <c r="EJ90" i="7"/>
  <c r="EJ96" i="7"/>
  <c r="ER149" i="7"/>
  <c r="BB13" i="76"/>
  <c r="EI109" i="76"/>
  <c r="EJ99" i="7" s="1"/>
  <c r="FK88" i="76"/>
  <c r="EZ78" i="7" s="1"/>
  <c r="FK84" i="76"/>
  <c r="EZ74" i="7" s="1"/>
  <c r="FK75" i="76"/>
  <c r="EZ65" i="7" s="1"/>
  <c r="EW108" i="76"/>
  <c r="ER98" i="7" s="1"/>
  <c r="EW100" i="76"/>
  <c r="ER90" i="7" s="1"/>
  <c r="FK96" i="76"/>
  <c r="EZ86" i="7" s="1"/>
  <c r="FK60" i="76"/>
  <c r="EZ50" i="7" s="1"/>
  <c r="FK56" i="76"/>
  <c r="EZ46" i="7" s="1"/>
  <c r="FK70" i="76"/>
  <c r="EZ60" i="7" s="1"/>
  <c r="EI50" i="76"/>
  <c r="EJ40" i="7" s="1"/>
  <c r="EI42" i="76"/>
  <c r="EJ32" i="7" s="1"/>
  <c r="FK29" i="76"/>
  <c r="EZ149" i="7" s="1"/>
  <c r="FK79" i="76"/>
  <c r="EZ69" i="7" s="1"/>
  <c r="EI89" i="76"/>
  <c r="EJ79" i="7" s="1"/>
  <c r="EI81" i="76"/>
  <c r="EJ71" i="7" s="1"/>
  <c r="EI39" i="76"/>
  <c r="EJ29" i="7" s="1"/>
  <c r="EW90" i="76"/>
  <c r="ER80" i="7" s="1"/>
  <c r="ER86" i="7"/>
  <c r="ER92" i="7"/>
  <c r="ER100" i="7"/>
  <c r="EJ149" i="7"/>
  <c r="EJ22" i="7"/>
  <c r="EJ147" i="7"/>
  <c r="EJ33" i="7"/>
  <c r="EJ54" i="7"/>
  <c r="EJ39" i="7"/>
  <c r="EJ81" i="7"/>
  <c r="EJ77" i="7"/>
  <c r="EJ82" i="7"/>
  <c r="EJ83" i="7"/>
  <c r="EJ98" i="7"/>
  <c r="EJ91" i="7"/>
  <c r="EJ95" i="7"/>
  <c r="EI78" i="76"/>
  <c r="EJ68" i="7" s="1"/>
  <c r="EI67" i="76"/>
  <c r="EJ57" i="7" s="1"/>
  <c r="EI65" i="76"/>
  <c r="EJ55" i="7" s="1"/>
  <c r="EW59" i="76"/>
  <c r="ER49" i="7" s="1"/>
  <c r="FK47" i="76"/>
  <c r="EZ37" i="7" s="1"/>
  <c r="EW99" i="76"/>
  <c r="ER89" i="7" s="1"/>
  <c r="EW88" i="76"/>
  <c r="ER78" i="7" s="1"/>
  <c r="EI61" i="76"/>
  <c r="EJ51" i="7" s="1"/>
  <c r="EI59" i="76"/>
  <c r="EJ49" i="7" s="1"/>
  <c r="EI55" i="76"/>
  <c r="EJ45" i="7" s="1"/>
  <c r="EW44" i="76"/>
  <c r="ER34" i="7" s="1"/>
  <c r="EW40" i="76"/>
  <c r="ER30" i="7" s="1"/>
  <c r="EI77" i="76"/>
  <c r="EJ67" i="7" s="1"/>
  <c r="EW68" i="76"/>
  <c r="ER58" i="7" s="1"/>
  <c r="EI16" i="76"/>
  <c r="EJ136" i="7" s="1"/>
  <c r="EW89" i="76"/>
  <c r="ER79" i="7" s="1"/>
  <c r="EI76" i="76"/>
  <c r="EJ66" i="7" s="1"/>
  <c r="FK21" i="76"/>
  <c r="EZ141" i="7" s="1"/>
  <c r="AN110" i="7"/>
  <c r="DG110" i="57"/>
  <c r="DF110" i="57"/>
  <c r="FS102" i="7"/>
  <c r="FY102" i="7" s="1"/>
  <c r="EY4" i="76"/>
  <c r="EY2" i="76" s="1"/>
  <c r="EN14" i="7" s="1"/>
  <c r="EN1" i="7"/>
  <c r="ED150" i="7"/>
  <c r="ED20" i="7"/>
  <c r="FB20" i="7"/>
  <c r="FB150" i="7"/>
  <c r="ET150" i="7"/>
  <c r="ET20" i="7"/>
  <c r="EK4" i="76"/>
  <c r="EK2" i="76" s="1"/>
  <c r="EF14" i="7" s="1"/>
  <c r="EF1" i="7"/>
  <c r="FW101" i="7"/>
  <c r="FW102" i="7" s="1"/>
  <c r="FW103" i="7" s="1"/>
  <c r="FW104" i="7" s="1"/>
  <c r="FW105" i="7" s="1"/>
  <c r="FW106" i="7" s="1"/>
  <c r="FW107" i="7" s="1"/>
  <c r="FW108" i="7" s="1"/>
  <c r="FW109" i="7" s="1"/>
  <c r="FW110" i="7" s="1"/>
  <c r="FW111" i="7" s="1"/>
  <c r="FW112" i="7" s="1"/>
  <c r="FW113" i="7" s="1"/>
  <c r="FW114" i="7" s="1"/>
  <c r="FW115" i="7" s="1"/>
  <c r="FW116" i="7" s="1"/>
  <c r="FW117" i="7" s="1"/>
  <c r="FW118" i="7" s="1"/>
  <c r="FW119" i="7" s="1"/>
  <c r="FW120" i="7" s="1"/>
  <c r="FV150" i="7"/>
  <c r="FV20" i="7"/>
  <c r="BP104" i="76"/>
  <c r="CS102" i="76"/>
  <c r="GB102" i="76" s="1"/>
  <c r="FE92" i="7" s="1"/>
  <c r="AA85" i="76"/>
  <c r="BP86" i="76"/>
  <c r="AO49" i="76"/>
  <c r="CR61" i="76"/>
  <c r="BB68" i="76"/>
  <c r="CR49" i="76"/>
  <c r="EK49" i="76" s="1"/>
  <c r="EF39" i="7" s="1"/>
  <c r="AN70" i="76"/>
  <c r="BQ52" i="76"/>
  <c r="BQ50" i="76"/>
  <c r="EZ50" i="76" s="1"/>
  <c r="EO40" i="7" s="1"/>
  <c r="AN28" i="76"/>
  <c r="CS57" i="76"/>
  <c r="Z46" i="76"/>
  <c r="AO44" i="76"/>
  <c r="BP38" i="76"/>
  <c r="FJ150" i="7"/>
  <c r="FJ20" i="7"/>
  <c r="CS15" i="76"/>
  <c r="EL150" i="7"/>
  <c r="EL20" i="7"/>
  <c r="AO26" i="76"/>
  <c r="ER150" i="7"/>
  <c r="ER20" i="7"/>
  <c r="EJ150" i="7"/>
  <c r="EJ20" i="7"/>
  <c r="CD35" i="76"/>
  <c r="GO35" i="76" s="1"/>
  <c r="FL25" i="7" s="1"/>
  <c r="CR19" i="76"/>
  <c r="GA19" i="76" s="1"/>
  <c r="FD139" i="7" s="1"/>
  <c r="EG4" i="76"/>
  <c r="EG2" i="76" s="1"/>
  <c r="ED14" i="7" s="1"/>
  <c r="ED1" i="7"/>
  <c r="DT29" i="76"/>
  <c r="BQ101" i="76"/>
  <c r="DG80" i="76"/>
  <c r="GA107" i="7"/>
  <c r="GG107" i="7" s="1"/>
  <c r="CS100" i="76"/>
  <c r="AO89" i="76"/>
  <c r="EU150" i="7"/>
  <c r="EU20" i="7"/>
  <c r="EE150" i="7"/>
  <c r="EE20" i="7"/>
  <c r="FP150" i="7"/>
  <c r="FP20" i="7"/>
  <c r="EZ150" i="7"/>
  <c r="EZ20" i="7"/>
  <c r="GO4" i="76"/>
  <c r="GO2" i="76" s="1"/>
  <c r="FL14" i="7" s="1"/>
  <c r="FL1" i="7"/>
  <c r="GA4" i="76"/>
  <c r="GA2" i="76" s="1"/>
  <c r="FD14" i="7" s="1"/>
  <c r="FD1" i="7"/>
  <c r="AN39" i="76"/>
  <c r="FM39" i="76" s="1"/>
  <c r="EV29" i="7" s="1"/>
  <c r="BC93" i="76"/>
  <c r="GP93" i="76" s="1"/>
  <c r="FM83" i="7" s="1"/>
  <c r="CD53" i="76"/>
  <c r="GO53" i="76" s="1"/>
  <c r="FL43" i="7" s="1"/>
  <c r="FK20" i="7"/>
  <c r="FK150" i="7"/>
  <c r="M110" i="76"/>
  <c r="FV100" i="7" s="1"/>
  <c r="FV101" i="7" s="1"/>
  <c r="FV102" i="7" s="1"/>
  <c r="FV103" i="7" s="1"/>
  <c r="FV104" i="7" s="1"/>
  <c r="FV105" i="7" s="1"/>
  <c r="FV106" i="7" s="1"/>
  <c r="FV107" i="7" s="1"/>
  <c r="FV108" i="7" s="1"/>
  <c r="FV109" i="7" s="1"/>
  <c r="FV110" i="7" s="1"/>
  <c r="FV111" i="7" s="1"/>
  <c r="FV112" i="7" s="1"/>
  <c r="FV113" i="7" s="1"/>
  <c r="FV114" i="7" s="1"/>
  <c r="FV115" i="7" s="1"/>
  <c r="FV116" i="7" s="1"/>
  <c r="FV117" i="7" s="1"/>
  <c r="FV118" i="7" s="1"/>
  <c r="FV119" i="7" s="1"/>
  <c r="FV120" i="7" s="1"/>
  <c r="AN84" i="76"/>
  <c r="DT80" i="76"/>
  <c r="BC79" i="76"/>
  <c r="AN45" i="76"/>
  <c r="FM45" i="76" s="1"/>
  <c r="EV35" i="7" s="1"/>
  <c r="AO60" i="76"/>
  <c r="BP49" i="76"/>
  <c r="EY49" i="76" s="1"/>
  <c r="EN39" i="7" s="1"/>
  <c r="CR38" i="76"/>
  <c r="FU150" i="7"/>
  <c r="FU20" i="7"/>
  <c r="FC150" i="7"/>
  <c r="FC20" i="7"/>
  <c r="AO34" i="76"/>
  <c r="FH150" i="7"/>
  <c r="FH20" i="7"/>
  <c r="EM150" i="7"/>
  <c r="EM20" i="7"/>
  <c r="BB12" i="76"/>
  <c r="EK12" i="76" s="1"/>
  <c r="EF132" i="7" s="1"/>
  <c r="CS21" i="76"/>
  <c r="GB21" i="76" s="1"/>
  <c r="FE141" i="7" s="1"/>
  <c r="FM4" i="76"/>
  <c r="FM2" i="76" s="1"/>
  <c r="EV14" i="7" s="1"/>
  <c r="EV1" i="7"/>
  <c r="GI109" i="7"/>
  <c r="AO15" i="7"/>
  <c r="Q15" i="7"/>
  <c r="K13" i="7"/>
  <c r="L13" i="7" s="1"/>
  <c r="M13" i="7" s="1"/>
  <c r="M15" i="7" s="1"/>
  <c r="GM1" i="76"/>
  <c r="FK13" i="7"/>
  <c r="EI1" i="76"/>
  <c r="EE13" i="7"/>
  <c r="FK1" i="76"/>
  <c r="EU13" i="7"/>
  <c r="FY1" i="76"/>
  <c r="FC13" i="7"/>
  <c r="EW1" i="76"/>
  <c r="EM13" i="7"/>
  <c r="GB4" i="57"/>
  <c r="BW1" i="7"/>
  <c r="BY1" i="7"/>
  <c r="EH4" i="70"/>
  <c r="EH2" i="70" s="1"/>
  <c r="EV4" i="70"/>
  <c r="EV2" i="70" s="1"/>
  <c r="CT1" i="7"/>
  <c r="GK4" i="56"/>
  <c r="GK2" i="56" s="1"/>
  <c r="CD14" i="7" s="1"/>
  <c r="CD15" i="7" s="1"/>
  <c r="BN1" i="7"/>
  <c r="CX14" i="7"/>
  <c r="CY1" i="7"/>
  <c r="CN1" i="7"/>
  <c r="DT1" i="7"/>
  <c r="DJ1" i="7"/>
  <c r="DZ1" i="7"/>
  <c r="FI4" i="70"/>
  <c r="FI2" i="70" s="1"/>
  <c r="FN4" i="70"/>
  <c r="FN2" i="70" s="1"/>
  <c r="FM4" i="70"/>
  <c r="FM2" i="70" s="1"/>
  <c r="GL4" i="70"/>
  <c r="GL2" i="70" s="1"/>
  <c r="EH4" i="56"/>
  <c r="EH2" i="56" s="1"/>
  <c r="AY14" i="7" s="1"/>
  <c r="AY15" i="7" s="1"/>
  <c r="CX1" i="7"/>
  <c r="CF1" i="7"/>
  <c r="DR14" i="7"/>
  <c r="DR15" i="7" s="1"/>
  <c r="AP15" i="7"/>
  <c r="AA15" i="7"/>
  <c r="AQ15" i="7"/>
  <c r="AB13" i="7"/>
  <c r="AC13" i="7" s="1"/>
  <c r="AC15" i="7" s="1"/>
  <c r="CJ15" i="7"/>
  <c r="Y15" i="7"/>
  <c r="R15" i="7"/>
  <c r="K15" i="7"/>
  <c r="E15" i="7"/>
  <c r="AD15" i="7"/>
  <c r="BW15" i="7"/>
  <c r="AX15" i="7"/>
  <c r="AG15" i="7"/>
  <c r="N15" i="7"/>
  <c r="BA15" i="7"/>
  <c r="BN15" i="7"/>
  <c r="DU92" i="76"/>
  <c r="DG47" i="76"/>
  <c r="GB47" i="76" s="1"/>
  <c r="FE37" i="7" s="1"/>
  <c r="DF58" i="76"/>
  <c r="DG96" i="76"/>
  <c r="DF93" i="76"/>
  <c r="GA93" i="76" s="1"/>
  <c r="FD83" i="7" s="1"/>
  <c r="DG13" i="76"/>
  <c r="GB13" i="76" s="1"/>
  <c r="FE133" i="7" s="1"/>
  <c r="CR13" i="76"/>
  <c r="CS92" i="76"/>
  <c r="CS109" i="76"/>
  <c r="CS58" i="76"/>
  <c r="GB58" i="76" s="1"/>
  <c r="FE48" i="7" s="1"/>
  <c r="CE65" i="76"/>
  <c r="CD107" i="76"/>
  <c r="GO107" i="76" s="1"/>
  <c r="FL97" i="7" s="1"/>
  <c r="CE89" i="76"/>
  <c r="GP89" i="76" s="1"/>
  <c r="FM79" i="7" s="1"/>
  <c r="CD20" i="76"/>
  <c r="GO20" i="76" s="1"/>
  <c r="FL140" i="7" s="1"/>
  <c r="CD12" i="76"/>
  <c r="CF8" i="76"/>
  <c r="CF28" i="76" s="1"/>
  <c r="CD50" i="76"/>
  <c r="FM50" i="76" s="1"/>
  <c r="EV40" i="7" s="1"/>
  <c r="CD54" i="76"/>
  <c r="CE19" i="76"/>
  <c r="GP19" i="76" s="1"/>
  <c r="FM139" i="7" s="1"/>
  <c r="BQ109" i="76"/>
  <c r="BP71" i="76"/>
  <c r="BP40" i="76"/>
  <c r="BQ43" i="76"/>
  <c r="BP74" i="76"/>
  <c r="BD8" i="76"/>
  <c r="BD25" i="76" s="1"/>
  <c r="BE8" i="76"/>
  <c r="BE25" i="76" s="1"/>
  <c r="BB75" i="76"/>
  <c r="EK75" i="76" s="1"/>
  <c r="EF65" i="7" s="1"/>
  <c r="BC27" i="76"/>
  <c r="GP27" i="76" s="1"/>
  <c r="FM147" i="7" s="1"/>
  <c r="BB90" i="76"/>
  <c r="BB56" i="76"/>
  <c r="AN36" i="76"/>
  <c r="AO50" i="76"/>
  <c r="FN50" i="76" s="1"/>
  <c r="EW40" i="7" s="1"/>
  <c r="Z66" i="76"/>
  <c r="AA68" i="76"/>
  <c r="AA48" i="76"/>
  <c r="AB8" i="76"/>
  <c r="AB29" i="76" s="1"/>
  <c r="DU100" i="76"/>
  <c r="DT30" i="76"/>
  <c r="DT36" i="76"/>
  <c r="DT105" i="76"/>
  <c r="DT89" i="76"/>
  <c r="DF31" i="76"/>
  <c r="DF40" i="76"/>
  <c r="GB40" i="76"/>
  <c r="FE30" i="7" s="1"/>
  <c r="GB75" i="76"/>
  <c r="FE65" i="7" s="1"/>
  <c r="DF69" i="76"/>
  <c r="DF108" i="76"/>
  <c r="GA108" i="76" s="1"/>
  <c r="FD98" i="7" s="1"/>
  <c r="DF84" i="76"/>
  <c r="GB110" i="76"/>
  <c r="FE100" i="7" s="1"/>
  <c r="DG86" i="76"/>
  <c r="GB67" i="76"/>
  <c r="FE57" i="7" s="1"/>
  <c r="DF107" i="76"/>
  <c r="DF91" i="76"/>
  <c r="GA91" i="76" s="1"/>
  <c r="FD81" i="7" s="1"/>
  <c r="CU9" i="76"/>
  <c r="CU60" i="76" s="1"/>
  <c r="CT9" i="76"/>
  <c r="CT56" i="76" s="1"/>
  <c r="GB105" i="76"/>
  <c r="FE95" i="7" s="1"/>
  <c r="CR105" i="76"/>
  <c r="EL77" i="76"/>
  <c r="EG67" i="7" s="1"/>
  <c r="CR20" i="76"/>
  <c r="GA20" i="76" s="1"/>
  <c r="FD140" i="7" s="1"/>
  <c r="GB56" i="76"/>
  <c r="FE46" i="7" s="1"/>
  <c r="CS80" i="76"/>
  <c r="GB80" i="76" s="1"/>
  <c r="FE70" i="7" s="1"/>
  <c r="GB82" i="76"/>
  <c r="FE72" i="7" s="1"/>
  <c r="CR47" i="76"/>
  <c r="EK47" i="76" s="1"/>
  <c r="EF37" i="7" s="1"/>
  <c r="CD75" i="76"/>
  <c r="CD73" i="76"/>
  <c r="GO73" i="76" s="1"/>
  <c r="FL63" i="7" s="1"/>
  <c r="CE60" i="76"/>
  <c r="GP60" i="76" s="1"/>
  <c r="FM50" i="7" s="1"/>
  <c r="CE42" i="76"/>
  <c r="GO11" i="76"/>
  <c r="FL131" i="7" s="1"/>
  <c r="CE68" i="76"/>
  <c r="GP68" i="76" s="1"/>
  <c r="FM58" i="7" s="1"/>
  <c r="CD64" i="76"/>
  <c r="CD28" i="76"/>
  <c r="CE100" i="76"/>
  <c r="BP61" i="76"/>
  <c r="BP27" i="76"/>
  <c r="BP105" i="76"/>
  <c r="BQ65" i="76"/>
  <c r="EZ65" i="76" s="1"/>
  <c r="EO55" i="7" s="1"/>
  <c r="BQ79" i="76"/>
  <c r="BB108" i="76"/>
  <c r="EK108" i="76" s="1"/>
  <c r="EF98" i="7" s="1"/>
  <c r="BB86" i="76"/>
  <c r="EK86" i="76" s="1"/>
  <c r="EF76" i="7" s="1"/>
  <c r="BB50" i="76"/>
  <c r="BB69" i="76"/>
  <c r="GO69" i="76" s="1"/>
  <c r="FL59" i="7" s="1"/>
  <c r="BB96" i="76"/>
  <c r="EK96" i="76" s="1"/>
  <c r="EF86" i="7" s="1"/>
  <c r="BB77" i="76"/>
  <c r="GP35" i="76"/>
  <c r="FM25" i="7" s="1"/>
  <c r="AO108" i="76"/>
  <c r="AO65" i="76"/>
  <c r="AN21" i="76"/>
  <c r="AO24" i="76"/>
  <c r="AO40" i="76"/>
  <c r="AC27" i="76"/>
  <c r="AC25" i="76"/>
  <c r="AC28" i="76"/>
  <c r="AC29" i="76"/>
  <c r="AC26" i="76"/>
  <c r="Z64" i="76"/>
  <c r="EY64" i="76" s="1"/>
  <c r="EN54" i="7" s="1"/>
  <c r="Z23" i="76"/>
  <c r="Z89" i="76"/>
  <c r="Z28" i="76"/>
  <c r="Z53" i="76"/>
  <c r="DW31" i="76"/>
  <c r="DW33" i="76"/>
  <c r="DW39" i="76"/>
  <c r="DW37" i="76"/>
  <c r="DW62" i="76"/>
  <c r="DW69" i="76"/>
  <c r="DW48" i="76"/>
  <c r="DW50" i="76"/>
  <c r="DW38" i="76"/>
  <c r="DW49" i="76"/>
  <c r="DW30" i="76"/>
  <c r="DW32" i="76"/>
  <c r="DW41" i="76"/>
  <c r="DW53" i="76"/>
  <c r="DW55" i="76"/>
  <c r="DW40" i="76"/>
  <c r="DW42" i="76"/>
  <c r="DW47" i="76"/>
  <c r="DW56" i="76"/>
  <c r="DW71" i="76"/>
  <c r="DW63" i="76"/>
  <c r="DU94" i="76"/>
  <c r="FN94" i="76" s="1"/>
  <c r="EW84" i="7" s="1"/>
  <c r="DU61" i="76"/>
  <c r="DU110" i="76"/>
  <c r="FN110" i="76" s="1"/>
  <c r="EW100" i="7" s="1"/>
  <c r="DT104" i="76"/>
  <c r="FM104" i="76" s="1"/>
  <c r="EV94" i="7" s="1"/>
  <c r="DU97" i="76"/>
  <c r="DU96" i="76"/>
  <c r="DT86" i="76"/>
  <c r="FM86" i="76" s="1"/>
  <c r="EV76" i="7" s="1"/>
  <c r="DT60" i="76"/>
  <c r="FM60" i="76" s="1"/>
  <c r="EV50" i="7" s="1"/>
  <c r="DV9" i="76"/>
  <c r="DV48" i="76" s="1"/>
  <c r="DT47" i="76"/>
  <c r="DU91" i="76"/>
  <c r="DU52" i="76"/>
  <c r="DT62" i="76"/>
  <c r="DU27" i="76"/>
  <c r="DT38" i="76"/>
  <c r="FM38" i="76" s="1"/>
  <c r="EV28" i="7" s="1"/>
  <c r="DU39" i="76"/>
  <c r="DT35" i="76"/>
  <c r="DT54" i="76"/>
  <c r="GB69" i="76"/>
  <c r="FE59" i="7" s="1"/>
  <c r="DF24" i="76"/>
  <c r="GA24" i="76" s="1"/>
  <c r="FD144" i="7" s="1"/>
  <c r="DF101" i="76"/>
  <c r="EY101" i="76" s="1"/>
  <c r="EN91" i="7" s="1"/>
  <c r="DF54" i="76"/>
  <c r="DF90" i="76"/>
  <c r="EY90" i="76" s="1"/>
  <c r="EN80" i="7" s="1"/>
  <c r="DG100" i="76"/>
  <c r="GA85" i="76"/>
  <c r="FD75" i="7" s="1"/>
  <c r="DF50" i="76"/>
  <c r="GA50" i="76" s="1"/>
  <c r="FD40" i="7" s="1"/>
  <c r="DF28" i="76"/>
  <c r="DG17" i="76"/>
  <c r="GA100" i="76"/>
  <c r="FD90" i="7" s="1"/>
  <c r="DF82" i="76"/>
  <c r="DF56" i="76"/>
  <c r="EK56" i="76" s="1"/>
  <c r="EF46" i="7" s="1"/>
  <c r="DG12" i="76"/>
  <c r="GB12" i="76" s="1"/>
  <c r="FE132" i="7" s="1"/>
  <c r="DG15" i="76"/>
  <c r="DG106" i="76"/>
  <c r="DF77" i="76"/>
  <c r="CR23" i="76"/>
  <c r="CS79" i="76"/>
  <c r="CS68" i="76"/>
  <c r="CT53" i="76"/>
  <c r="CS48" i="76"/>
  <c r="CT46" i="76"/>
  <c r="CS34" i="76"/>
  <c r="GB31" i="76"/>
  <c r="FE21" i="7" s="1"/>
  <c r="CS101" i="76"/>
  <c r="GB101" i="76" s="1"/>
  <c r="FE91" i="7" s="1"/>
  <c r="CT38" i="76"/>
  <c r="CR31" i="76"/>
  <c r="CT42" i="76"/>
  <c r="CR51" i="76"/>
  <c r="GA51" i="76" s="1"/>
  <c r="FD41" i="7" s="1"/>
  <c r="CS32" i="76"/>
  <c r="EL32" i="76" s="1"/>
  <c r="EG22" i="7" s="1"/>
  <c r="CD63" i="76"/>
  <c r="GO63" i="76" s="1"/>
  <c r="FL53" i="7" s="1"/>
  <c r="CE69" i="76"/>
  <c r="FN69" i="76" s="1"/>
  <c r="EW59" i="7" s="1"/>
  <c r="CE86" i="76"/>
  <c r="GP86" i="76" s="1"/>
  <c r="FM76" i="7" s="1"/>
  <c r="GO23" i="76"/>
  <c r="FL143" i="7" s="1"/>
  <c r="CD110" i="76"/>
  <c r="GO110" i="76" s="1"/>
  <c r="FL100" i="7" s="1"/>
  <c r="CD85" i="76"/>
  <c r="CE30" i="76"/>
  <c r="GP30" i="76" s="1"/>
  <c r="BS9" i="76"/>
  <c r="BS40" i="76" s="1"/>
  <c r="BR9" i="76"/>
  <c r="BR60" i="76" s="1"/>
  <c r="BQ103" i="76"/>
  <c r="BQ97" i="76"/>
  <c r="BP30" i="76"/>
  <c r="BP60" i="76"/>
  <c r="EY60" i="76" s="1"/>
  <c r="EN50" i="7" s="1"/>
  <c r="BP54" i="76"/>
  <c r="BE9" i="76"/>
  <c r="BE73" i="76" s="1"/>
  <c r="BD9" i="76"/>
  <c r="BD62" i="76" s="1"/>
  <c r="BB37" i="76"/>
  <c r="BB74" i="76"/>
  <c r="GO74" i="76" s="1"/>
  <c r="FL64" i="7" s="1"/>
  <c r="BC36" i="76"/>
  <c r="GP36" i="76" s="1"/>
  <c r="FM26" i="7" s="1"/>
  <c r="BB17" i="76"/>
  <c r="GO17" i="76" s="1"/>
  <c r="FL137" i="7" s="1"/>
  <c r="GO100" i="76"/>
  <c r="FL90" i="7" s="1"/>
  <c r="GP58" i="76"/>
  <c r="FM48" i="7" s="1"/>
  <c r="BB28" i="76"/>
  <c r="BB31" i="76"/>
  <c r="GO31" i="76" s="1"/>
  <c r="FL21" i="7" s="1"/>
  <c r="BC20" i="76"/>
  <c r="GP20" i="76" s="1"/>
  <c r="FM140" i="7" s="1"/>
  <c r="BC15" i="76"/>
  <c r="GP15" i="76" s="1"/>
  <c r="FM135" i="7" s="1"/>
  <c r="AP56" i="76"/>
  <c r="AP67" i="76"/>
  <c r="AP64" i="76"/>
  <c r="AP60" i="76"/>
  <c r="AP68" i="76"/>
  <c r="AN77" i="76"/>
  <c r="AQ9" i="76"/>
  <c r="AQ67" i="76" s="1"/>
  <c r="AO43" i="76"/>
  <c r="AO106" i="76"/>
  <c r="AO97" i="76"/>
  <c r="AN48" i="76"/>
  <c r="FM48" i="76" s="1"/>
  <c r="EV38" i="7" s="1"/>
  <c r="AN13" i="76"/>
  <c r="Z110" i="76"/>
  <c r="Z75" i="76"/>
  <c r="Z94" i="76"/>
  <c r="AA97" i="76"/>
  <c r="AA92" i="76"/>
  <c r="AA79" i="76"/>
  <c r="AA70" i="76"/>
  <c r="AA54" i="76"/>
  <c r="AA49" i="76"/>
  <c r="EZ49" i="76" s="1"/>
  <c r="EO39" i="7" s="1"/>
  <c r="AA59" i="76"/>
  <c r="AA88" i="76"/>
  <c r="AA91" i="76"/>
  <c r="Z37" i="76"/>
  <c r="L85" i="76"/>
  <c r="FU75" i="7" s="1"/>
  <c r="L53" i="76"/>
  <c r="FU43" i="7" s="1"/>
  <c r="L82" i="76"/>
  <c r="FU72" i="7" s="1"/>
  <c r="M97" i="76"/>
  <c r="FV87" i="7" s="1"/>
  <c r="L71" i="76"/>
  <c r="FU61" i="7" s="1"/>
  <c r="L89" i="76"/>
  <c r="FU79" i="7" s="1"/>
  <c r="L57" i="76"/>
  <c r="N8" i="76"/>
  <c r="N28" i="76" s="1"/>
  <c r="FW148" i="7" s="1"/>
  <c r="BA1" i="7"/>
  <c r="GA4" i="56"/>
  <c r="GA2" i="56" s="1"/>
  <c r="BX14" i="7" s="1"/>
  <c r="EZ4" i="56"/>
  <c r="EZ2" i="56" s="1"/>
  <c r="BI14" i="7" s="1"/>
  <c r="CG15" i="7"/>
  <c r="EY4" i="56"/>
  <c r="EY2" i="56" s="1"/>
  <c r="BH14" i="7" s="1"/>
  <c r="CF15" i="7"/>
  <c r="BP15" i="7"/>
  <c r="EU4" i="56"/>
  <c r="EU2" i="56" s="1"/>
  <c r="BF14" i="7" s="1"/>
  <c r="BF15" i="7" s="1"/>
  <c r="AQ1" i="7"/>
  <c r="K1" i="7"/>
  <c r="EU4" i="57"/>
  <c r="Q1" i="7"/>
  <c r="H1" i="7"/>
  <c r="J1" i="7"/>
  <c r="DF1" i="7"/>
  <c r="DD1" i="7"/>
  <c r="CW1" i="7"/>
  <c r="GK4" i="70"/>
  <c r="GK2" i="70" s="1"/>
  <c r="EG4" i="70"/>
  <c r="EG2" i="70" s="1"/>
  <c r="DG1" i="7"/>
  <c r="EZ4" i="70"/>
  <c r="EZ2" i="70" s="1"/>
  <c r="CO1" i="7"/>
  <c r="M13" i="10"/>
  <c r="L13" i="10"/>
  <c r="K13" i="10"/>
  <c r="D1" i="45"/>
  <c r="A1" i="45"/>
  <c r="D1" i="38"/>
  <c r="A1" i="38"/>
  <c r="D1" i="46"/>
  <c r="A1" i="46"/>
  <c r="EO11" i="38"/>
  <c r="CD13" i="41" s="1"/>
  <c r="CQ18" i="38"/>
  <c r="CP18" i="38"/>
  <c r="AI22" i="55"/>
  <c r="J129" i="45"/>
  <c r="N16" i="7"/>
  <c r="DT11" i="38"/>
  <c r="BA13" i="38"/>
  <c r="BA15" i="38" s="1"/>
  <c r="CI14" i="38"/>
  <c r="AV13" i="46"/>
  <c r="AV15" i="46" s="1"/>
  <c r="BF13" i="46"/>
  <c r="BF15" i="46" s="1"/>
  <c r="GM3" i="56"/>
  <c r="CJ1" i="7" s="1"/>
  <c r="FY2" i="56"/>
  <c r="CB14" i="7" s="1"/>
  <c r="EW11" i="38"/>
  <c r="FB11" i="38" s="1"/>
  <c r="GQ3" i="57"/>
  <c r="AR1" i="7" s="1"/>
  <c r="DF19" i="41"/>
  <c r="DC19" i="41"/>
  <c r="DJ16" i="7"/>
  <c r="DE19" i="41"/>
  <c r="CY19" i="41"/>
  <c r="CO14" i="38"/>
  <c r="EC11" i="38"/>
  <c r="BD16" i="7"/>
  <c r="EF11" i="38"/>
  <c r="AD16" i="7"/>
  <c r="CY16" i="7"/>
  <c r="CZ16" i="7" s="1"/>
  <c r="DA16" i="7" s="1"/>
  <c r="GQ3" i="56"/>
  <c r="GQ4" i="56" s="1"/>
  <c r="GQ2" i="56" s="1"/>
  <c r="CH14" i="7" s="1"/>
  <c r="CH15" i="7" s="1"/>
  <c r="CJ16" i="7"/>
  <c r="S16" i="7"/>
  <c r="T16" i="7" s="1"/>
  <c r="U16" i="7" s="1"/>
  <c r="BL16" i="7"/>
  <c r="FO3" i="70"/>
  <c r="BT16" i="7"/>
  <c r="AI16" i="7"/>
  <c r="AJ16" i="7" s="1"/>
  <c r="AK16" i="7" s="1"/>
  <c r="J15" i="7"/>
  <c r="BF13" i="38"/>
  <c r="BF15" i="38" s="1"/>
  <c r="EM3" i="57"/>
  <c r="L1" i="7" s="1"/>
  <c r="GD3" i="57"/>
  <c r="AK1" i="7" s="1"/>
  <c r="EM3" i="56"/>
  <c r="BB1" i="7" s="1"/>
  <c r="BA13" i="46"/>
  <c r="BA15" i="46" s="1"/>
  <c r="CB16" i="7"/>
  <c r="DS11" i="38"/>
  <c r="Z15" i="7"/>
  <c r="DO16" i="7"/>
  <c r="DP16" i="7" s="1"/>
  <c r="DQ16" i="7" s="1"/>
  <c r="ED11" i="38"/>
  <c r="EE11" i="38"/>
  <c r="FB3" i="56"/>
  <c r="GC3" i="57"/>
  <c r="GC3" i="56"/>
  <c r="GC4" i="56" s="1"/>
  <c r="GC2" i="56" s="1"/>
  <c r="BZ14" i="7" s="1"/>
  <c r="S15" i="7"/>
  <c r="EI3" i="56"/>
  <c r="BD1" i="7" s="1"/>
  <c r="U15" i="7"/>
  <c r="V15" i="7"/>
  <c r="DV7" i="38"/>
  <c r="GR4" i="57"/>
  <c r="AS14" i="7" s="1"/>
  <c r="AS15" i="7" s="1"/>
  <c r="EN3" i="56"/>
  <c r="EN4" i="56" s="1"/>
  <c r="EN2" i="56" s="1"/>
  <c r="BC14" i="7" s="1"/>
  <c r="BC15" i="7" s="1"/>
  <c r="GR3" i="56"/>
  <c r="EX11" i="38"/>
  <c r="FC11" i="38" s="1"/>
  <c r="FC9" i="38"/>
  <c r="CR14" i="38"/>
  <c r="AB22" i="55"/>
  <c r="K72" i="55"/>
  <c r="GT17" i="46" s="1"/>
  <c r="AJ10" i="55"/>
  <c r="AC123" i="41"/>
  <c r="AA131" i="41"/>
  <c r="Y123" i="41"/>
  <c r="CL14" i="38"/>
  <c r="A22" i="55"/>
  <c r="A22" i="45" s="1"/>
  <c r="A21" i="6"/>
  <c r="A21" i="7"/>
  <c r="A21" i="46"/>
  <c r="A21" i="4"/>
  <c r="A21" i="45"/>
  <c r="AV13" i="38"/>
  <c r="AV15" i="38" s="1"/>
  <c r="FA3" i="56"/>
  <c r="FA4" i="56" s="1"/>
  <c r="FA2" i="56" s="1"/>
  <c r="BJ14" i="7" s="1"/>
  <c r="FK2" i="70"/>
  <c r="FA3" i="70"/>
  <c r="FB3" i="70"/>
  <c r="BL15" i="7"/>
  <c r="DD19" i="41"/>
  <c r="T15" i="7"/>
  <c r="DB19" i="41"/>
  <c r="DT2" i="38"/>
  <c r="EW3" i="56"/>
  <c r="BL1" i="7" s="1"/>
  <c r="I15" i="7"/>
  <c r="AF10" i="55"/>
  <c r="J68" i="55"/>
  <c r="AX13" i="41" s="1"/>
  <c r="J72" i="55"/>
  <c r="AG22" i="55"/>
  <c r="AK10" i="55"/>
  <c r="AL15" i="41" s="1"/>
  <c r="Y22" i="55"/>
  <c r="Z22" i="55"/>
  <c r="AL10" i="55"/>
  <c r="AF22" i="55"/>
  <c r="AG10" i="55"/>
  <c r="X22" i="55"/>
  <c r="AH22" i="55"/>
  <c r="AI10" i="55"/>
  <c r="K68" i="55"/>
  <c r="AE22" i="55"/>
  <c r="AC22" i="55"/>
  <c r="AH10" i="55"/>
  <c r="AD22" i="55"/>
  <c r="DW26" i="76"/>
  <c r="DW25" i="76"/>
  <c r="DW29" i="76"/>
  <c r="DT78" i="76"/>
  <c r="DW72" i="76"/>
  <c r="DW67" i="76"/>
  <c r="DW73" i="76"/>
  <c r="DW74" i="76"/>
  <c r="DW66" i="76"/>
  <c r="DW58" i="76"/>
  <c r="DW57" i="76"/>
  <c r="DW44" i="76"/>
  <c r="DW51" i="76"/>
  <c r="DW36" i="76"/>
  <c r="DV8" i="76"/>
  <c r="DV29" i="76" s="1"/>
  <c r="DT73" i="76"/>
  <c r="DT66" i="76"/>
  <c r="DW59" i="76"/>
  <c r="DW61" i="76"/>
  <c r="DU43" i="76"/>
  <c r="DW54" i="76"/>
  <c r="DU16" i="76"/>
  <c r="DT90" i="76"/>
  <c r="DT85" i="76"/>
  <c r="DU84" i="76"/>
  <c r="DU22" i="76"/>
  <c r="DT65" i="76"/>
  <c r="DU101" i="76"/>
  <c r="DT74" i="76"/>
  <c r="DU48" i="76"/>
  <c r="DU32" i="76"/>
  <c r="DU109" i="76"/>
  <c r="DT107" i="76"/>
  <c r="DU77" i="76"/>
  <c r="FN77" i="76" s="1"/>
  <c r="EW67" i="7" s="1"/>
  <c r="DU72" i="76"/>
  <c r="DU42" i="76"/>
  <c r="DT71" i="76"/>
  <c r="DT49" i="76"/>
  <c r="DT28" i="76"/>
  <c r="DU87" i="76"/>
  <c r="DT58" i="76"/>
  <c r="DU56" i="76"/>
  <c r="FN56" i="76" s="1"/>
  <c r="EW46" i="7" s="1"/>
  <c r="DT21" i="76"/>
  <c r="DT23" i="76"/>
  <c r="DT10" i="76"/>
  <c r="FM10" i="76" s="1"/>
  <c r="EV130" i="7" s="1"/>
  <c r="DT75" i="76"/>
  <c r="DT102" i="76"/>
  <c r="FM102" i="76" s="1"/>
  <c r="EV92" i="7" s="1"/>
  <c r="DU70" i="76"/>
  <c r="FN70" i="76" s="1"/>
  <c r="EW60" i="7" s="1"/>
  <c r="DU63" i="76"/>
  <c r="FN63" i="76" s="1"/>
  <c r="EW53" i="7" s="1"/>
  <c r="DU45" i="76"/>
  <c r="DT53" i="76"/>
  <c r="DT55" i="76"/>
  <c r="DI69" i="76"/>
  <c r="DI63" i="76"/>
  <c r="DI35" i="76"/>
  <c r="DI33" i="76"/>
  <c r="DI57" i="76"/>
  <c r="DI49" i="76"/>
  <c r="DI70" i="76"/>
  <c r="DI43" i="76"/>
  <c r="DI52" i="76"/>
  <c r="DI66" i="76"/>
  <c r="DI28" i="76"/>
  <c r="DI27" i="76"/>
  <c r="DI26" i="76"/>
  <c r="DI25" i="76"/>
  <c r="DI29" i="76"/>
  <c r="GA45" i="76"/>
  <c r="FD35" i="7" s="1"/>
  <c r="GA73" i="76"/>
  <c r="FD63" i="7" s="1"/>
  <c r="DG39" i="76"/>
  <c r="GB39" i="76" s="1"/>
  <c r="FE29" i="7" s="1"/>
  <c r="GB77" i="76"/>
  <c r="FE67" i="7" s="1"/>
  <c r="DH9" i="76"/>
  <c r="DH61" i="76" s="1"/>
  <c r="DF97" i="76"/>
  <c r="GA97" i="76" s="1"/>
  <c r="FD87" i="7" s="1"/>
  <c r="DG73" i="76"/>
  <c r="GB73" i="76" s="1"/>
  <c r="FE63" i="7" s="1"/>
  <c r="DF46" i="76"/>
  <c r="EK46" i="76" s="1"/>
  <c r="EF36" i="7" s="1"/>
  <c r="DF110" i="76"/>
  <c r="GA110" i="76" s="1"/>
  <c r="FD100" i="7" s="1"/>
  <c r="DG88" i="76"/>
  <c r="DF66" i="76"/>
  <c r="DG57" i="76"/>
  <c r="GB57" i="76" s="1"/>
  <c r="FE47" i="7" s="1"/>
  <c r="DF104" i="76"/>
  <c r="GA104" i="76" s="1"/>
  <c r="FD94" i="7" s="1"/>
  <c r="GB61" i="76"/>
  <c r="FE51" i="7" s="1"/>
  <c r="DF52" i="76"/>
  <c r="GA52" i="76" s="1"/>
  <c r="FD42" i="7" s="1"/>
  <c r="GB65" i="76"/>
  <c r="FE55" i="7" s="1"/>
  <c r="DG85" i="76"/>
  <c r="DF61" i="76"/>
  <c r="DG64" i="76"/>
  <c r="GA64" i="76"/>
  <c r="FD54" i="7" s="1"/>
  <c r="GA35" i="76"/>
  <c r="FD25" i="7" s="1"/>
  <c r="GA96" i="76"/>
  <c r="FD86" i="7" s="1"/>
  <c r="GB93" i="76"/>
  <c r="FE83" i="7" s="1"/>
  <c r="GB108" i="76"/>
  <c r="FE98" i="7" s="1"/>
  <c r="DF70" i="76"/>
  <c r="GB45" i="76"/>
  <c r="FE35" i="7" s="1"/>
  <c r="DF18" i="76"/>
  <c r="DF102" i="76"/>
  <c r="GA102" i="76" s="1"/>
  <c r="FD92" i="7" s="1"/>
  <c r="DF105" i="76"/>
  <c r="GA26" i="76"/>
  <c r="FD146" i="7" s="1"/>
  <c r="DG43" i="76"/>
  <c r="DF30" i="76"/>
  <c r="GA88" i="76"/>
  <c r="FD78" i="7" s="1"/>
  <c r="DG89" i="76"/>
  <c r="GB49" i="76"/>
  <c r="FE39" i="7" s="1"/>
  <c r="GA33" i="76"/>
  <c r="FD23" i="7" s="1"/>
  <c r="DG33" i="76"/>
  <c r="DG92" i="76"/>
  <c r="DG74" i="76"/>
  <c r="GB74" i="76" s="1"/>
  <c r="FE64" i="7" s="1"/>
  <c r="GA75" i="76"/>
  <c r="FD65" i="7" s="1"/>
  <c r="GB71" i="76"/>
  <c r="FE61" i="7" s="1"/>
  <c r="DF59" i="76"/>
  <c r="DF67" i="76"/>
  <c r="GB26" i="76"/>
  <c r="FE146" i="7" s="1"/>
  <c r="DF23" i="76"/>
  <c r="DF37" i="76"/>
  <c r="DF32" i="76"/>
  <c r="GA32" i="76" s="1"/>
  <c r="FD22" i="7" s="1"/>
  <c r="GA80" i="76"/>
  <c r="FD70" i="7" s="1"/>
  <c r="DF21" i="76"/>
  <c r="GA21" i="76" s="1"/>
  <c r="FD141" i="7" s="1"/>
  <c r="CS64" i="76"/>
  <c r="CR29" i="76"/>
  <c r="CS36" i="76"/>
  <c r="GB36" i="76" s="1"/>
  <c r="FE26" i="7" s="1"/>
  <c r="CR84" i="76"/>
  <c r="CS46" i="76"/>
  <c r="GB46" i="76" s="1"/>
  <c r="FE36" i="7" s="1"/>
  <c r="CS35" i="76"/>
  <c r="GB35" i="76" s="1"/>
  <c r="FE25" i="7" s="1"/>
  <c r="CR95" i="76"/>
  <c r="CS96" i="76"/>
  <c r="CS76" i="76"/>
  <c r="CS28" i="76"/>
  <c r="EL28" i="76" s="1"/>
  <c r="EG148" i="7" s="1"/>
  <c r="CR65" i="76"/>
  <c r="GA65" i="76" s="1"/>
  <c r="FD55" i="7" s="1"/>
  <c r="CS11" i="76"/>
  <c r="CR37" i="76"/>
  <c r="CR66" i="76"/>
  <c r="CS86" i="76"/>
  <c r="CS104" i="76"/>
  <c r="GB104" i="76" s="1"/>
  <c r="FE94" i="7" s="1"/>
  <c r="CR82" i="76"/>
  <c r="CR74" i="76"/>
  <c r="GA74" i="76" s="1"/>
  <c r="FD64" i="7" s="1"/>
  <c r="CS90" i="76"/>
  <c r="EL90" i="76" s="1"/>
  <c r="EG80" i="7" s="1"/>
  <c r="CS87" i="76"/>
  <c r="CS24" i="76"/>
  <c r="GB24" i="76" s="1"/>
  <c r="FE144" i="7" s="1"/>
  <c r="CR30" i="76"/>
  <c r="FN23" i="76"/>
  <c r="EW143" i="7" s="1"/>
  <c r="EL29" i="76"/>
  <c r="EG149" i="7" s="1"/>
  <c r="CS55" i="76"/>
  <c r="CR77" i="76"/>
  <c r="CR83" i="76"/>
  <c r="GA83" i="76" s="1"/>
  <c r="FD73" i="7" s="1"/>
  <c r="CR71" i="76"/>
  <c r="GA71" i="76" s="1"/>
  <c r="FD61" i="7" s="1"/>
  <c r="CR63" i="76"/>
  <c r="GA63" i="76" s="1"/>
  <c r="FD53" i="7" s="1"/>
  <c r="CE104" i="76"/>
  <c r="GP104" i="76" s="1"/>
  <c r="FM94" i="7" s="1"/>
  <c r="CE101" i="76"/>
  <c r="GP101" i="76" s="1"/>
  <c r="FM91" i="7" s="1"/>
  <c r="CD93" i="76"/>
  <c r="FM93" i="76" s="1"/>
  <c r="EV83" i="7" s="1"/>
  <c r="CE92" i="76"/>
  <c r="CE48" i="76"/>
  <c r="GP48" i="76" s="1"/>
  <c r="FM38" i="7" s="1"/>
  <c r="GO27" i="76"/>
  <c r="FL147" i="7" s="1"/>
  <c r="GO41" i="76"/>
  <c r="FL31" i="7" s="1"/>
  <c r="CE51" i="76"/>
  <c r="FM79" i="76"/>
  <c r="EV69" i="7" s="1"/>
  <c r="CE39" i="76"/>
  <c r="FN39" i="76" s="1"/>
  <c r="EW29" i="7" s="1"/>
  <c r="GO33" i="76"/>
  <c r="FL23" i="7" s="1"/>
  <c r="CD34" i="76"/>
  <c r="FM34" i="76" s="1"/>
  <c r="EV24" i="7" s="1"/>
  <c r="CE31" i="76"/>
  <c r="GO57" i="76"/>
  <c r="FL47" i="7" s="1"/>
  <c r="CD21" i="76"/>
  <c r="GO38" i="76"/>
  <c r="FL28" i="7" s="1"/>
  <c r="CD13" i="76"/>
  <c r="GO103" i="76"/>
  <c r="FL93" i="7" s="1"/>
  <c r="CE95" i="76"/>
  <c r="CD56" i="76"/>
  <c r="GO14" i="76"/>
  <c r="FL134" i="7" s="1"/>
  <c r="CD82" i="76"/>
  <c r="CD70" i="76"/>
  <c r="CE57" i="76"/>
  <c r="FN57" i="76" s="1"/>
  <c r="EW47" i="7" s="1"/>
  <c r="CD66" i="76"/>
  <c r="CD18" i="76"/>
  <c r="GO16" i="76"/>
  <c r="FL136" i="7" s="1"/>
  <c r="GO95" i="76"/>
  <c r="FL85" i="7" s="1"/>
  <c r="CE61" i="76"/>
  <c r="CD80" i="76"/>
  <c r="FM80" i="76" s="1"/>
  <c r="EV70" i="7" s="1"/>
  <c r="CE108" i="76"/>
  <c r="GP108" i="76" s="1"/>
  <c r="FM98" i="7" s="1"/>
  <c r="CE38" i="76"/>
  <c r="CE41" i="76"/>
  <c r="FN47" i="76"/>
  <c r="EW37" i="7" s="1"/>
  <c r="CE102" i="76"/>
  <c r="GP72" i="76"/>
  <c r="FM62" i="7" s="1"/>
  <c r="GP62" i="76"/>
  <c r="FM52" i="7" s="1"/>
  <c r="CD62" i="76"/>
  <c r="CD36" i="76"/>
  <c r="FM36" i="76" s="1"/>
  <c r="EV26" i="7" s="1"/>
  <c r="CE45" i="76"/>
  <c r="GP45" i="76" s="1"/>
  <c r="FM35" i="7" s="1"/>
  <c r="CD106" i="76"/>
  <c r="CD87" i="76"/>
  <c r="GO49" i="76"/>
  <c r="FL39" i="7" s="1"/>
  <c r="CE24" i="76"/>
  <c r="GP24" i="76" s="1"/>
  <c r="FM144" i="7" s="1"/>
  <c r="CE103" i="76"/>
  <c r="CD97" i="76"/>
  <c r="FM97" i="76" s="1"/>
  <c r="EV87" i="7" s="1"/>
  <c r="GO79" i="76"/>
  <c r="FL69" i="7" s="1"/>
  <c r="CD77" i="76"/>
  <c r="CE78" i="76"/>
  <c r="FN78" i="76" s="1"/>
  <c r="EW68" i="7" s="1"/>
  <c r="CE49" i="76"/>
  <c r="GP49" i="76" s="1"/>
  <c r="FM39" i="7" s="1"/>
  <c r="CE32" i="76"/>
  <c r="GP32" i="76" s="1"/>
  <c r="FM22" i="7" s="1"/>
  <c r="CD29" i="76"/>
  <c r="CE17" i="76"/>
  <c r="GP17" i="76" s="1"/>
  <c r="FM137" i="7" s="1"/>
  <c r="GP74" i="76"/>
  <c r="FM64" i="7" s="1"/>
  <c r="CD94" i="76"/>
  <c r="BS30" i="76"/>
  <c r="BP32" i="76"/>
  <c r="BP98" i="76"/>
  <c r="BQ95" i="76"/>
  <c r="BQ107" i="76"/>
  <c r="BP31" i="76"/>
  <c r="BP82" i="76"/>
  <c r="BQ100" i="76"/>
  <c r="BP77" i="76"/>
  <c r="EY73" i="76"/>
  <c r="EN63" i="7" s="1"/>
  <c r="BQ64" i="76"/>
  <c r="BP29" i="76"/>
  <c r="EZ93" i="76"/>
  <c r="EO83" i="7" s="1"/>
  <c r="BP92" i="76"/>
  <c r="EY92" i="76" s="1"/>
  <c r="EN82" i="7" s="1"/>
  <c r="BP88" i="76"/>
  <c r="EY88" i="76" s="1"/>
  <c r="EN78" i="7" s="1"/>
  <c r="BQ81" i="76"/>
  <c r="BQ62" i="76"/>
  <c r="BQ23" i="76"/>
  <c r="EZ23" i="76" s="1"/>
  <c r="EO143" i="7" s="1"/>
  <c r="EZ110" i="76"/>
  <c r="EO100" i="7" s="1"/>
  <c r="BQ59" i="76"/>
  <c r="BQ15" i="76"/>
  <c r="BP106" i="76"/>
  <c r="BQ80" i="76"/>
  <c r="BP58" i="76"/>
  <c r="BP102" i="76"/>
  <c r="BQ90" i="76"/>
  <c r="BQ84" i="76"/>
  <c r="EZ84" i="76" s="1"/>
  <c r="EO74" i="7" s="1"/>
  <c r="BQ56" i="76"/>
  <c r="BQ67" i="76"/>
  <c r="BQ45" i="76"/>
  <c r="BP42" i="76"/>
  <c r="EY39" i="76"/>
  <c r="EN29" i="7" s="1"/>
  <c r="BP36" i="76"/>
  <c r="EY36" i="76" s="1"/>
  <c r="EN26" i="7" s="1"/>
  <c r="BP10" i="76"/>
  <c r="BB24" i="76"/>
  <c r="EK24" i="76" s="1"/>
  <c r="EF144" i="7" s="1"/>
  <c r="BC105" i="76"/>
  <c r="EL105" i="76" s="1"/>
  <c r="EG95" i="7" s="1"/>
  <c r="BB101" i="76"/>
  <c r="EK100" i="76"/>
  <c r="EF90" i="7" s="1"/>
  <c r="EK73" i="76"/>
  <c r="EF63" i="7" s="1"/>
  <c r="BC53" i="76"/>
  <c r="GP53" i="76" s="1"/>
  <c r="FM43" i="7" s="1"/>
  <c r="BB45" i="76"/>
  <c r="GO45" i="76" s="1"/>
  <c r="FL35" i="7" s="1"/>
  <c r="BB21" i="76"/>
  <c r="BB84" i="76"/>
  <c r="BB104" i="76"/>
  <c r="GO104" i="76" s="1"/>
  <c r="FL94" i="7" s="1"/>
  <c r="BB82" i="76"/>
  <c r="BC95" i="76"/>
  <c r="BB70" i="76"/>
  <c r="BC46" i="76"/>
  <c r="GP46" i="76" s="1"/>
  <c r="FM36" i="7" s="1"/>
  <c r="BC100" i="76"/>
  <c r="BB94" i="76"/>
  <c r="BB76" i="76"/>
  <c r="BB18" i="76"/>
  <c r="EK18" i="76" s="1"/>
  <c r="EF138" i="7" s="1"/>
  <c r="BB61" i="76"/>
  <c r="GO61" i="76" s="1"/>
  <c r="FL51" i="7" s="1"/>
  <c r="BB58" i="76"/>
  <c r="BC97" i="76"/>
  <c r="EL97" i="76" s="1"/>
  <c r="EG87" i="7" s="1"/>
  <c r="GP96" i="76"/>
  <c r="FM86" i="7" s="1"/>
  <c r="EL66" i="76"/>
  <c r="EG56" i="7" s="1"/>
  <c r="EK79" i="76"/>
  <c r="EF69" i="7" s="1"/>
  <c r="BB72" i="76"/>
  <c r="GO89" i="76"/>
  <c r="FL79" i="7" s="1"/>
  <c r="BC73" i="76"/>
  <c r="GP73" i="76" s="1"/>
  <c r="FM63" i="7" s="1"/>
  <c r="BB64" i="76"/>
  <c r="EK64" i="76" s="1"/>
  <c r="EF54" i="7" s="1"/>
  <c r="BC39" i="76"/>
  <c r="BE29" i="76"/>
  <c r="BB26" i="76"/>
  <c r="EL37" i="76"/>
  <c r="EG27" i="7" s="1"/>
  <c r="BC38" i="76"/>
  <c r="BB52" i="76"/>
  <c r="EL50" i="76"/>
  <c r="EG40" i="7" s="1"/>
  <c r="EK35" i="76"/>
  <c r="EF25" i="7" s="1"/>
  <c r="BB32" i="76"/>
  <c r="GO32" i="76" s="1"/>
  <c r="FL22" i="7" s="1"/>
  <c r="GP75" i="76"/>
  <c r="FM65" i="7" s="1"/>
  <c r="BB66" i="76"/>
  <c r="GO66" i="76" s="1"/>
  <c r="FL56" i="7" s="1"/>
  <c r="BC51" i="76"/>
  <c r="BC44" i="76"/>
  <c r="BB29" i="76"/>
  <c r="BE26" i="76"/>
  <c r="AN78" i="76"/>
  <c r="AN71" i="76"/>
  <c r="AQ72" i="76"/>
  <c r="AO38" i="76"/>
  <c r="AQ59" i="76"/>
  <c r="AO46" i="76"/>
  <c r="AQ40" i="76"/>
  <c r="AQ56" i="76"/>
  <c r="AO12" i="76"/>
  <c r="FN12" i="76" s="1"/>
  <c r="EW132" i="7" s="1"/>
  <c r="AN96" i="76"/>
  <c r="AO75" i="76"/>
  <c r="FN75" i="76" s="1"/>
  <c r="EW65" i="7" s="1"/>
  <c r="AN69" i="76"/>
  <c r="FM69" i="76" s="1"/>
  <c r="EV59" i="7" s="1"/>
  <c r="AN67" i="76"/>
  <c r="AN55" i="76"/>
  <c r="AO16" i="76"/>
  <c r="AN23" i="76"/>
  <c r="AN14" i="76"/>
  <c r="AO101" i="76"/>
  <c r="AN94" i="76"/>
  <c r="AO100" i="76"/>
  <c r="AO33" i="76"/>
  <c r="AO90" i="76"/>
  <c r="AO86" i="76"/>
  <c r="AN61" i="76"/>
  <c r="AO66" i="76"/>
  <c r="FN66" i="76" s="1"/>
  <c r="EW56" i="7" s="1"/>
  <c r="AO35" i="76"/>
  <c r="AO58" i="76"/>
  <c r="AN57" i="76"/>
  <c r="FM57" i="76" s="1"/>
  <c r="EV47" i="7" s="1"/>
  <c r="AN105" i="76"/>
  <c r="AO93" i="76"/>
  <c r="FN93" i="76" s="1"/>
  <c r="EW83" i="7" s="1"/>
  <c r="AO85" i="76"/>
  <c r="AN31" i="76"/>
  <c r="AO107" i="76"/>
  <c r="AN68" i="76"/>
  <c r="AN63" i="76"/>
  <c r="AN29" i="76"/>
  <c r="Z109" i="76"/>
  <c r="EY109" i="76" s="1"/>
  <c r="EN99" i="7" s="1"/>
  <c r="Z80" i="76"/>
  <c r="EY80" i="76" s="1"/>
  <c r="EN70" i="7" s="1"/>
  <c r="AA69" i="76"/>
  <c r="Z104" i="76"/>
  <c r="AA43" i="76"/>
  <c r="Z93" i="76"/>
  <c r="AA16" i="76"/>
  <c r="Z106" i="76"/>
  <c r="Z87" i="76"/>
  <c r="AA105" i="76"/>
  <c r="EZ105" i="76" s="1"/>
  <c r="EO95" i="7" s="1"/>
  <c r="AA108" i="76"/>
  <c r="AA107" i="76"/>
  <c r="Z99" i="76"/>
  <c r="AA101" i="76"/>
  <c r="AA67" i="76"/>
  <c r="Z58" i="76"/>
  <c r="AA17" i="76"/>
  <c r="AA32" i="76"/>
  <c r="Z20" i="76"/>
  <c r="EY20" i="76" s="1"/>
  <c r="EN140" i="7" s="1"/>
  <c r="Z50" i="76"/>
  <c r="Z71" i="76"/>
  <c r="Z19" i="76"/>
  <c r="Z98" i="76"/>
  <c r="Z100" i="76"/>
  <c r="EY100" i="76" s="1"/>
  <c r="EN90" i="7" s="1"/>
  <c r="AA90" i="76"/>
  <c r="Z84" i="76"/>
  <c r="Z82" i="76"/>
  <c r="AA74" i="76"/>
  <c r="Z76" i="76"/>
  <c r="AA45" i="76"/>
  <c r="AA10" i="76"/>
  <c r="AA26" i="76"/>
  <c r="AA81" i="76"/>
  <c r="AA30" i="76"/>
  <c r="EZ30" i="76" s="1"/>
  <c r="AA78" i="76"/>
  <c r="Z86" i="76"/>
  <c r="AA57" i="76"/>
  <c r="AA51" i="76"/>
  <c r="Z47" i="76"/>
  <c r="AA39" i="76"/>
  <c r="AA40" i="76"/>
  <c r="EZ40" i="76" s="1"/>
  <c r="EO30" i="7" s="1"/>
  <c r="Z12" i="76"/>
  <c r="O33" i="76"/>
  <c r="FX23" i="7" s="1"/>
  <c r="O36" i="76"/>
  <c r="FX26" i="7" s="1"/>
  <c r="O40" i="76"/>
  <c r="FX30" i="7" s="1"/>
  <c r="O54" i="76"/>
  <c r="FX44" i="7" s="1"/>
  <c r="O57" i="76"/>
  <c r="FX47" i="7" s="1"/>
  <c r="O50" i="76"/>
  <c r="FX40" i="7" s="1"/>
  <c r="O67" i="76"/>
  <c r="FX57" i="7" s="1"/>
  <c r="O48" i="76"/>
  <c r="FX38" i="7" s="1"/>
  <c r="O55" i="76"/>
  <c r="FX45" i="7" s="1"/>
  <c r="O38" i="76"/>
  <c r="FX28" i="7" s="1"/>
  <c r="O53" i="76"/>
  <c r="FX43" i="7" s="1"/>
  <c r="O62" i="76"/>
  <c r="FX52" i="7" s="1"/>
  <c r="O61" i="76"/>
  <c r="FX51" i="7" s="1"/>
  <c r="O49" i="76"/>
  <c r="FX39" i="7" s="1"/>
  <c r="O63" i="76"/>
  <c r="FX53" i="7" s="1"/>
  <c r="O66" i="76"/>
  <c r="FX56" i="7" s="1"/>
  <c r="O59" i="76"/>
  <c r="FX49" i="7" s="1"/>
  <c r="O71" i="76"/>
  <c r="FX61" i="7" s="1"/>
  <c r="O69" i="76"/>
  <c r="FX59" i="7" s="1"/>
  <c r="O30" i="76"/>
  <c r="O39" i="76"/>
  <c r="FX29" i="7" s="1"/>
  <c r="O73" i="76"/>
  <c r="FX63" i="7" s="1"/>
  <c r="O31" i="76"/>
  <c r="FX21" i="7" s="1"/>
  <c r="O41" i="76"/>
  <c r="FX31" i="7" s="1"/>
  <c r="O44" i="76"/>
  <c r="FX34" i="7" s="1"/>
  <c r="O58" i="76"/>
  <c r="FX48" i="7" s="1"/>
  <c r="O37" i="76"/>
  <c r="FX27" i="7" s="1"/>
  <c r="O47" i="76"/>
  <c r="FX37" i="7" s="1"/>
  <c r="O56" i="76"/>
  <c r="FX46" i="7" s="1"/>
  <c r="O74" i="76"/>
  <c r="FX64" i="7" s="1"/>
  <c r="O70" i="76"/>
  <c r="FX60" i="7" s="1"/>
  <c r="O32" i="76"/>
  <c r="FX22" i="7" s="1"/>
  <c r="O51" i="76"/>
  <c r="FX41" i="7" s="1"/>
  <c r="O72" i="76"/>
  <c r="FX62" i="7" s="1"/>
  <c r="L109" i="76"/>
  <c r="FU99" i="7" s="1"/>
  <c r="FU101" i="7" s="1"/>
  <c r="FU102" i="7" s="1"/>
  <c r="FU103" i="7" s="1"/>
  <c r="FU104" i="7" s="1"/>
  <c r="FU105" i="7" s="1"/>
  <c r="FU106" i="7" s="1"/>
  <c r="FU107" i="7" s="1"/>
  <c r="FU108" i="7" s="1"/>
  <c r="FU109" i="7" s="1"/>
  <c r="FU110" i="7" s="1"/>
  <c r="FU111" i="7" s="1"/>
  <c r="FU112" i="7" s="1"/>
  <c r="FU113" i="7" s="1"/>
  <c r="FU114" i="7" s="1"/>
  <c r="FU115" i="7" s="1"/>
  <c r="FU116" i="7" s="1"/>
  <c r="FU117" i="7" s="1"/>
  <c r="FU118" i="7" s="1"/>
  <c r="FU119" i="7" s="1"/>
  <c r="FU120" i="7" s="1"/>
  <c r="O29" i="76"/>
  <c r="FX149" i="7" s="1"/>
  <c r="M93" i="76"/>
  <c r="N9" i="76"/>
  <c r="N71" i="76" s="1"/>
  <c r="FW61" i="7" s="1"/>
  <c r="DT15" i="76"/>
  <c r="DT17" i="76"/>
  <c r="DG16" i="76"/>
  <c r="GA12" i="76"/>
  <c r="FD132" i="7" s="1"/>
  <c r="DG19" i="76"/>
  <c r="EL19" i="76" s="1"/>
  <c r="EG139" i="7" s="1"/>
  <c r="DG20" i="76"/>
  <c r="GB20" i="76" s="1"/>
  <c r="FE140" i="7" s="1"/>
  <c r="EK20" i="76"/>
  <c r="EF140" i="7" s="1"/>
  <c r="CR14" i="76"/>
  <c r="GA14" i="76" s="1"/>
  <c r="FD134" i="7" s="1"/>
  <c r="CD15" i="76"/>
  <c r="GO15" i="76" s="1"/>
  <c r="FL135" i="7" s="1"/>
  <c r="GP12" i="76"/>
  <c r="FM132" i="7" s="1"/>
  <c r="BP12" i="76"/>
  <c r="BP16" i="76"/>
  <c r="AN11" i="76"/>
  <c r="FM11" i="76" s="1"/>
  <c r="EV131" i="7" s="1"/>
  <c r="AA13" i="76"/>
  <c r="FO100" i="76"/>
  <c r="EX90" i="7" s="1"/>
  <c r="AA103" i="76"/>
  <c r="AO82" i="76"/>
  <c r="FN82" i="76" s="1"/>
  <c r="EW72" i="7" s="1"/>
  <c r="AN82" i="76"/>
  <c r="CR81" i="76"/>
  <c r="GA81" i="76" s="1"/>
  <c r="FD71" i="7" s="1"/>
  <c r="CS81" i="76"/>
  <c r="BQ68" i="76"/>
  <c r="BP68" i="76"/>
  <c r="BP63" i="76"/>
  <c r="BQ63" i="76"/>
  <c r="CS62" i="76"/>
  <c r="GB62" i="76" s="1"/>
  <c r="FE52" i="7" s="1"/>
  <c r="CR62" i="76"/>
  <c r="DG55" i="76"/>
  <c r="DF55" i="76"/>
  <c r="GA55" i="76" s="1"/>
  <c r="FD45" i="7" s="1"/>
  <c r="CE40" i="76"/>
  <c r="CD40" i="76"/>
  <c r="GO40" i="76" s="1"/>
  <c r="FL30" i="7" s="1"/>
  <c r="CX19" i="41"/>
  <c r="CZ19" i="41"/>
  <c r="DF103" i="76"/>
  <c r="DG103" i="76"/>
  <c r="GB103" i="76" s="1"/>
  <c r="FE93" i="7" s="1"/>
  <c r="AN87" i="76"/>
  <c r="AO87" i="76"/>
  <c r="FA89" i="76"/>
  <c r="EP79" i="7" s="1"/>
  <c r="BQ87" i="76"/>
  <c r="CD90" i="76"/>
  <c r="CE90" i="76"/>
  <c r="GP90" i="76" s="1"/>
  <c r="FM80" i="7" s="1"/>
  <c r="GQ84" i="76"/>
  <c r="FN74" i="7" s="1"/>
  <c r="BB85" i="76"/>
  <c r="BC85" i="76"/>
  <c r="GP85" i="76" s="1"/>
  <c r="FM75" i="7" s="1"/>
  <c r="DG83" i="76"/>
  <c r="GB83" i="76" s="1"/>
  <c r="FE73" i="7" s="1"/>
  <c r="DF78" i="76"/>
  <c r="DG78" i="76"/>
  <c r="GB78" i="76" s="1"/>
  <c r="FE68" i="7" s="1"/>
  <c r="BB78" i="76"/>
  <c r="GO78" i="76" s="1"/>
  <c r="FL68" i="7" s="1"/>
  <c r="BC78" i="76"/>
  <c r="BP83" i="76"/>
  <c r="BQ83" i="76"/>
  <c r="BQ75" i="76"/>
  <c r="EZ75" i="76" s="1"/>
  <c r="EO65" i="7" s="1"/>
  <c r="BP75" i="76"/>
  <c r="CR59" i="76"/>
  <c r="CS59" i="76"/>
  <c r="GB59" i="76" s="1"/>
  <c r="FE49" i="7" s="1"/>
  <c r="GA58" i="76"/>
  <c r="FD48" i="7" s="1"/>
  <c r="DG72" i="76"/>
  <c r="DF72" i="76"/>
  <c r="GP54" i="76"/>
  <c r="FM44" i="7" s="1"/>
  <c r="BC67" i="76"/>
  <c r="BB67" i="76"/>
  <c r="GB70" i="76"/>
  <c r="FE60" i="7" s="1"/>
  <c r="BP41" i="76"/>
  <c r="BQ41" i="76"/>
  <c r="Z33" i="76"/>
  <c r="AA33" i="76"/>
  <c r="DF53" i="76"/>
  <c r="DG53" i="76"/>
  <c r="GB53" i="76" s="1"/>
  <c r="FE43" i="7" s="1"/>
  <c r="DU40" i="76"/>
  <c r="DT40" i="76"/>
  <c r="EL30" i="76"/>
  <c r="CS27" i="76"/>
  <c r="GB27" i="76" s="1"/>
  <c r="FE147" i="7" s="1"/>
  <c r="CR27" i="76"/>
  <c r="GA27" i="76" s="1"/>
  <c r="FD147" i="7" s="1"/>
  <c r="BQ21" i="76"/>
  <c r="BP21" i="76"/>
  <c r="BQ19" i="76"/>
  <c r="BP19" i="76"/>
  <c r="DT18" i="76"/>
  <c r="DU18" i="76"/>
  <c r="Z15" i="76"/>
  <c r="EY15" i="76" s="1"/>
  <c r="EN135" i="7" s="1"/>
  <c r="AA15" i="76"/>
  <c r="FA14" i="76"/>
  <c r="EP134" i="7" s="1"/>
  <c r="DF11" i="76"/>
  <c r="GA11" i="76" s="1"/>
  <c r="FD131" i="7" s="1"/>
  <c r="DG11" i="76"/>
  <c r="Z11" i="76"/>
  <c r="AA11" i="76"/>
  <c r="AP8" i="76"/>
  <c r="AQ8" i="76"/>
  <c r="AA63" i="76"/>
  <c r="BC42" i="76"/>
  <c r="BB42" i="76"/>
  <c r="GO42" i="76" s="1"/>
  <c r="FL32" i="7" s="1"/>
  <c r="CE37" i="76"/>
  <c r="FN37" i="76" s="1"/>
  <c r="EW27" i="7" s="1"/>
  <c r="CD37" i="76"/>
  <c r="BC34" i="76"/>
  <c r="GP34" i="76" s="1"/>
  <c r="FM24" i="7" s="1"/>
  <c r="BB34" i="76"/>
  <c r="GB30" i="76"/>
  <c r="Z22" i="76"/>
  <c r="A19" i="46"/>
  <c r="A19" i="45"/>
  <c r="CB18" i="38"/>
  <c r="CJ18" i="38"/>
  <c r="AO11" i="45"/>
  <c r="AO11" i="46"/>
  <c r="AU13" i="41" s="1"/>
  <c r="FM109" i="76"/>
  <c r="EV99" i="7" s="1"/>
  <c r="CR107" i="76"/>
  <c r="CS107" i="76"/>
  <c r="GB107" i="76" s="1"/>
  <c r="FE97" i="7" s="1"/>
  <c r="BB99" i="76"/>
  <c r="BC99" i="76"/>
  <c r="GP99" i="76" s="1"/>
  <c r="FM89" i="7" s="1"/>
  <c r="AN98" i="76"/>
  <c r="DG87" i="76"/>
  <c r="DF87" i="76"/>
  <c r="GA87" i="76" s="1"/>
  <c r="FD77" i="7" s="1"/>
  <c r="BB83" i="76"/>
  <c r="BC83" i="76"/>
  <c r="BB81" i="76"/>
  <c r="BC81" i="76"/>
  <c r="BP89" i="76"/>
  <c r="BQ89" i="76"/>
  <c r="CE76" i="76"/>
  <c r="GP76" i="76" s="1"/>
  <c r="FM66" i="7" s="1"/>
  <c r="CD76" i="76"/>
  <c r="BP72" i="76"/>
  <c r="BQ72" i="76"/>
  <c r="Z77" i="76"/>
  <c r="AA77" i="76"/>
  <c r="EZ77" i="76" s="1"/>
  <c r="EO67" i="7" s="1"/>
  <c r="CD55" i="76"/>
  <c r="CE55" i="76"/>
  <c r="GP55" i="76" s="1"/>
  <c r="FM45" i="7" s="1"/>
  <c r="BC59" i="76"/>
  <c r="BB59" i="76"/>
  <c r="DT14" i="76"/>
  <c r="DU14" i="76"/>
  <c r="BQ57" i="76"/>
  <c r="BP57" i="76"/>
  <c r="EY57" i="76" s="1"/>
  <c r="EN47" i="7" s="1"/>
  <c r="FA11" i="76"/>
  <c r="EP131" i="7" s="1"/>
  <c r="ES6" i="76"/>
  <c r="U6" i="76"/>
  <c r="BP35" i="76"/>
  <c r="EY35" i="76" s="1"/>
  <c r="EN25" i="7" s="1"/>
  <c r="BQ35" i="76"/>
  <c r="AA29" i="76"/>
  <c r="EZ29" i="76" s="1"/>
  <c r="EO149" i="7" s="1"/>
  <c r="Z29" i="76"/>
  <c r="BC25" i="76"/>
  <c r="BB25" i="76"/>
  <c r="AN30" i="76"/>
  <c r="AO30" i="76"/>
  <c r="Z14" i="76"/>
  <c r="AA14" i="76"/>
  <c r="AO15" i="76"/>
  <c r="DW16" i="7"/>
  <c r="DX16" i="7" s="1"/>
  <c r="DY16" i="7" s="1"/>
  <c r="CQ16" i="7"/>
  <c r="CR16" i="7" s="1"/>
  <c r="CS16" i="7" s="1"/>
  <c r="AT15" i="7"/>
  <c r="A19" i="38"/>
  <c r="AN11" i="38"/>
  <c r="CJ11" i="38" s="1"/>
  <c r="CC18" i="38"/>
  <c r="CK18" i="38"/>
  <c r="FK2" i="56"/>
  <c r="BT14" i="7" s="1"/>
  <c r="BT15" i="7" s="1"/>
  <c r="FK3" i="56"/>
  <c r="BT1" i="7" s="1"/>
  <c r="BB109" i="76"/>
  <c r="GO109" i="76" s="1"/>
  <c r="FL99" i="7" s="1"/>
  <c r="BC109" i="76"/>
  <c r="GP109" i="76" s="1"/>
  <c r="FM99" i="7" s="1"/>
  <c r="DT108" i="76"/>
  <c r="FM108" i="76" s="1"/>
  <c r="EV98" i="7" s="1"/>
  <c r="BC107" i="76"/>
  <c r="GP107" i="76" s="1"/>
  <c r="FM97" i="7" s="1"/>
  <c r="BP99" i="76"/>
  <c r="CD99" i="76"/>
  <c r="DF99" i="76"/>
  <c r="GA99" i="76" s="1"/>
  <c r="FD89" i="7" s="1"/>
  <c r="DG99" i="76"/>
  <c r="GB99" i="76" s="1"/>
  <c r="FE89" i="7" s="1"/>
  <c r="CS98" i="76"/>
  <c r="Z95" i="76"/>
  <c r="AA95" i="76"/>
  <c r="DG94" i="76"/>
  <c r="DF94" i="76"/>
  <c r="GA94" i="76" s="1"/>
  <c r="FD84" i="7" s="1"/>
  <c r="BP91" i="76"/>
  <c r="BQ91" i="76"/>
  <c r="GP82" i="76"/>
  <c r="FM72" i="7" s="1"/>
  <c r="EL82" i="76"/>
  <c r="EG72" i="7" s="1"/>
  <c r="CE84" i="76"/>
  <c r="CD84" i="76"/>
  <c r="GQ91" i="76"/>
  <c r="FN81" i="7" s="1"/>
  <c r="BC87" i="76"/>
  <c r="GP87" i="76" s="1"/>
  <c r="FM77" i="7" s="1"/>
  <c r="BB87" i="76"/>
  <c r="BC80" i="76"/>
  <c r="GP80" i="76" s="1"/>
  <c r="FM70" i="7" s="1"/>
  <c r="BB80" i="76"/>
  <c r="FO83" i="76"/>
  <c r="EX73" i="7" s="1"/>
  <c r="BP76" i="76"/>
  <c r="BQ76" i="76"/>
  <c r="CS72" i="76"/>
  <c r="BQ70" i="76"/>
  <c r="BP70" i="76"/>
  <c r="BP66" i="76"/>
  <c r="AO62" i="76"/>
  <c r="AN62" i="76"/>
  <c r="CD58" i="76"/>
  <c r="GO65" i="76"/>
  <c r="FL55" i="7" s="1"/>
  <c r="EL49" i="76"/>
  <c r="EG39" i="7" s="1"/>
  <c r="BP78" i="76"/>
  <c r="BQ78" i="76"/>
  <c r="DT64" i="76"/>
  <c r="DU64" i="76"/>
  <c r="Z56" i="76"/>
  <c r="AA56" i="76"/>
  <c r="GA47" i="76"/>
  <c r="FD37" i="7" s="1"/>
  <c r="BQ48" i="76"/>
  <c r="BP48" i="76"/>
  <c r="GP47" i="76"/>
  <c r="FM37" i="7" s="1"/>
  <c r="CD44" i="76"/>
  <c r="GO44" i="76" s="1"/>
  <c r="FL34" i="7" s="1"/>
  <c r="CE44" i="76"/>
  <c r="CD67" i="76"/>
  <c r="CD52" i="76"/>
  <c r="FM52" i="76" s="1"/>
  <c r="EV42" i="7" s="1"/>
  <c r="DG48" i="76"/>
  <c r="DF48" i="76"/>
  <c r="GA48" i="76" s="1"/>
  <c r="FD38" i="7" s="1"/>
  <c r="AO20" i="76"/>
  <c r="FN20" i="76" s="1"/>
  <c r="EW140" i="7" s="1"/>
  <c r="DG60" i="76"/>
  <c r="CR43" i="76"/>
  <c r="GA43" i="76" s="1"/>
  <c r="FD33" i="7" s="1"/>
  <c r="CS43" i="76"/>
  <c r="DF41" i="76"/>
  <c r="EK41" i="76" s="1"/>
  <c r="EF31" i="7" s="1"/>
  <c r="DG41" i="76"/>
  <c r="BQ55" i="76"/>
  <c r="BP55" i="76"/>
  <c r="GP52" i="76"/>
  <c r="FM42" i="7" s="1"/>
  <c r="CD25" i="76"/>
  <c r="FM25" i="76" s="1"/>
  <c r="EV145" i="7" s="1"/>
  <c r="CE25" i="76"/>
  <c r="DT19" i="76"/>
  <c r="CR16" i="76"/>
  <c r="GA16" i="76" s="1"/>
  <c r="FD136" i="7" s="1"/>
  <c r="CS16" i="76"/>
  <c r="BP14" i="76"/>
  <c r="BQ14" i="76"/>
  <c r="CE26" i="76"/>
  <c r="GP26" i="76" s="1"/>
  <c r="FM146" i="7" s="1"/>
  <c r="CD26" i="76"/>
  <c r="CS25" i="76"/>
  <c r="CF9" i="76"/>
  <c r="CG9" i="76"/>
  <c r="GO10" i="76"/>
  <c r="FL130" i="7" s="1"/>
  <c r="CD71" i="76"/>
  <c r="GO71" i="76" s="1"/>
  <c r="FL61" i="7" s="1"/>
  <c r="CE71" i="76"/>
  <c r="FN71" i="76" s="1"/>
  <c r="EW61" i="7" s="1"/>
  <c r="GQ19" i="76"/>
  <c r="FN139" i="7" s="1"/>
  <c r="AA18" i="76"/>
  <c r="Z18" i="76"/>
  <c r="CS42" i="76"/>
  <c r="GB23" i="76"/>
  <c r="FE143" i="7" s="1"/>
  <c r="CR17" i="76"/>
  <c r="CS17" i="76"/>
  <c r="BB19" i="76"/>
  <c r="GO19" i="76" s="1"/>
  <c r="FL139" i="7" s="1"/>
  <c r="GP3" i="76"/>
  <c r="GQ8" i="76"/>
  <c r="GQ105" i="76" s="1"/>
  <c r="FN95" i="7" s="1"/>
  <c r="GP13" i="76"/>
  <c r="FM133" i="7" s="1"/>
  <c r="GP18" i="76"/>
  <c r="FM138" i="7" s="1"/>
  <c r="CG25" i="76"/>
  <c r="CG28" i="76"/>
  <c r="CG27" i="76"/>
  <c r="CG26" i="76"/>
  <c r="CG29" i="76"/>
  <c r="AP72" i="76"/>
  <c r="AP71" i="76"/>
  <c r="AP69" i="76"/>
  <c r="AP59" i="76"/>
  <c r="AP58" i="76"/>
  <c r="AP62" i="76"/>
  <c r="AP70" i="76"/>
  <c r="AP65" i="76"/>
  <c r="AP66" i="76"/>
  <c r="AP61" i="76"/>
  <c r="AP50" i="76"/>
  <c r="AP51" i="76"/>
  <c r="AP49" i="76"/>
  <c r="AP47" i="76"/>
  <c r="AP54" i="76"/>
  <c r="AP36" i="76"/>
  <c r="AP74" i="76"/>
  <c r="AP41" i="76"/>
  <c r="AP40" i="76"/>
  <c r="AP31" i="76"/>
  <c r="AP33" i="76"/>
  <c r="AP39" i="76"/>
  <c r="AP32" i="76"/>
  <c r="AP35" i="76"/>
  <c r="AP38" i="76"/>
  <c r="AP57" i="76"/>
  <c r="AP45" i="76"/>
  <c r="AP42" i="76"/>
  <c r="AP43" i="76"/>
  <c r="AP48" i="76"/>
  <c r="AP63" i="76"/>
  <c r="AP73" i="76"/>
  <c r="AP34" i="76"/>
  <c r="AP37" i="76"/>
  <c r="AP44" i="76"/>
  <c r="AP30" i="76"/>
  <c r="AP46" i="76"/>
  <c r="AP52" i="76"/>
  <c r="AP53" i="76"/>
  <c r="AP55" i="76"/>
  <c r="CT26" i="76"/>
  <c r="BR71" i="76"/>
  <c r="BR57" i="76"/>
  <c r="BR49" i="76"/>
  <c r="BR30" i="76"/>
  <c r="BR35" i="76"/>
  <c r="BR29" i="76"/>
  <c r="AN11" i="46"/>
  <c r="AQ13" i="41" s="1"/>
  <c r="BC110" i="76"/>
  <c r="GP110" i="76" s="1"/>
  <c r="FM100" i="7" s="1"/>
  <c r="CD105" i="76"/>
  <c r="GO105" i="76" s="1"/>
  <c r="FL95" i="7" s="1"/>
  <c r="CE105" i="76"/>
  <c r="FN105" i="76" s="1"/>
  <c r="EW95" i="7" s="1"/>
  <c r="CS106" i="76"/>
  <c r="CR106" i="76"/>
  <c r="GA106" i="76" s="1"/>
  <c r="FD96" i="7" s="1"/>
  <c r="BC102" i="76"/>
  <c r="BB102" i="76"/>
  <c r="GO102" i="76" s="1"/>
  <c r="FL92" i="7" s="1"/>
  <c r="BQ108" i="76"/>
  <c r="BP108" i="76"/>
  <c r="FM100" i="76"/>
  <c r="EV90" i="7" s="1"/>
  <c r="DU99" i="76"/>
  <c r="FN99" i="76" s="1"/>
  <c r="EW89" i="7" s="1"/>
  <c r="DT99" i="76"/>
  <c r="BB98" i="76"/>
  <c r="Z96" i="76"/>
  <c r="EY96" i="76" s="1"/>
  <c r="EN86" i="7" s="1"/>
  <c r="AA96" i="76"/>
  <c r="AA102" i="76"/>
  <c r="DF95" i="76"/>
  <c r="DG95" i="76"/>
  <c r="GB95" i="76" s="1"/>
  <c r="FE85" i="7" s="1"/>
  <c r="GA92" i="76"/>
  <c r="FD82" i="7" s="1"/>
  <c r="DT95" i="76"/>
  <c r="AN91" i="76"/>
  <c r="AO91" i="76"/>
  <c r="GB84" i="76"/>
  <c r="FE74" i="7" s="1"/>
  <c r="GQ83" i="76"/>
  <c r="FN73" i="7" s="1"/>
  <c r="CD81" i="76"/>
  <c r="CE81" i="76"/>
  <c r="BC92" i="76"/>
  <c r="BB92" i="76"/>
  <c r="GO92" i="76" s="1"/>
  <c r="FL82" i="7" s="1"/>
  <c r="DT81" i="76"/>
  <c r="DU81" i="76"/>
  <c r="DT83" i="76"/>
  <c r="DU83" i="76"/>
  <c r="EM79" i="76"/>
  <c r="EH69" i="7" s="1"/>
  <c r="DG76" i="76"/>
  <c r="DF76" i="76"/>
  <c r="GA76" i="76" s="1"/>
  <c r="FD66" i="7" s="1"/>
  <c r="BQ85" i="76"/>
  <c r="BP85" i="76"/>
  <c r="EY85" i="76" s="1"/>
  <c r="EN75" i="7" s="1"/>
  <c r="DT76" i="76"/>
  <c r="DU76" i="76"/>
  <c r="AN76" i="76"/>
  <c r="AO76" i="76"/>
  <c r="DF62" i="76"/>
  <c r="CR89" i="76"/>
  <c r="GA89" i="76" s="1"/>
  <c r="FD79" i="7" s="1"/>
  <c r="CS89" i="76"/>
  <c r="AN74" i="76"/>
  <c r="GP70" i="76"/>
  <c r="FM60" i="7" s="1"/>
  <c r="EL70" i="76"/>
  <c r="EG60" i="7" s="1"/>
  <c r="AA62" i="76"/>
  <c r="Z62" i="76"/>
  <c r="EZ71" i="76"/>
  <c r="EO61" i="7" s="1"/>
  <c r="DT68" i="76"/>
  <c r="EZ61" i="76"/>
  <c r="EO51" i="7" s="1"/>
  <c r="EZ66" i="76"/>
  <c r="EO56" i="7" s="1"/>
  <c r="Z55" i="76"/>
  <c r="AA55" i="76"/>
  <c r="CS54" i="76"/>
  <c r="GB54" i="76" s="1"/>
  <c r="FE44" i="7" s="1"/>
  <c r="CR54" i="76"/>
  <c r="AO54" i="76"/>
  <c r="AN54" i="76"/>
  <c r="DT41" i="76"/>
  <c r="FM41" i="76" s="1"/>
  <c r="EV31" i="7" s="1"/>
  <c r="DU41" i="76"/>
  <c r="BP33" i="76"/>
  <c r="BQ33" i="76"/>
  <c r="DG42" i="76"/>
  <c r="DF42" i="76"/>
  <c r="GA42" i="76" s="1"/>
  <c r="FD32" i="7" s="1"/>
  <c r="BQ34" i="76"/>
  <c r="BP34" i="76"/>
  <c r="GP28" i="76"/>
  <c r="FM148" i="7" s="1"/>
  <c r="AO17" i="76"/>
  <c r="GA15" i="76"/>
  <c r="FD135" i="7" s="1"/>
  <c r="EK15" i="76"/>
  <c r="EF135" i="7" s="1"/>
  <c r="AC9" i="76"/>
  <c r="AB9" i="76"/>
  <c r="BP53" i="76"/>
  <c r="FM42" i="76"/>
  <c r="EV32" i="7" s="1"/>
  <c r="GO39" i="76"/>
  <c r="FL29" i="7" s="1"/>
  <c r="GP21" i="76"/>
  <c r="FM141" i="7" s="1"/>
  <c r="DI68" i="76"/>
  <c r="DI64" i="76"/>
  <c r="DI61" i="76"/>
  <c r="DI56" i="76"/>
  <c r="DI45" i="76"/>
  <c r="DI74" i="76"/>
  <c r="DI30" i="76"/>
  <c r="DI50" i="76"/>
  <c r="DI39" i="76"/>
  <c r="DI38" i="76"/>
  <c r="DI31" i="76"/>
  <c r="DI36" i="76"/>
  <c r="DI40" i="76"/>
  <c r="DI47" i="76"/>
  <c r="DI54" i="76"/>
  <c r="DI71" i="76"/>
  <c r="DI48" i="76"/>
  <c r="DI46" i="76"/>
  <c r="DI60" i="76"/>
  <c r="DI37" i="76"/>
  <c r="DI59" i="76"/>
  <c r="DI62" i="76"/>
  <c r="DI44" i="76"/>
  <c r="DI65" i="76"/>
  <c r="DI72" i="76"/>
  <c r="DI32" i="76"/>
  <c r="DI41" i="76"/>
  <c r="DI34" i="76"/>
  <c r="DI42" i="76"/>
  <c r="DI51" i="76"/>
  <c r="DI53" i="76"/>
  <c r="DI58" i="76"/>
  <c r="DI55" i="76"/>
  <c r="DI67" i="76"/>
  <c r="DI73" i="76"/>
  <c r="DG34" i="76"/>
  <c r="GB34" i="76" s="1"/>
  <c r="FE24" i="7" s="1"/>
  <c r="CD22" i="76"/>
  <c r="GO22" i="76" s="1"/>
  <c r="FL142" i="7" s="1"/>
  <c r="CE10" i="76"/>
  <c r="BQ22" i="76"/>
  <c r="FN73" i="76"/>
  <c r="EW63" i="7" s="1"/>
  <c r="EL61" i="76"/>
  <c r="EG51" i="7" s="1"/>
  <c r="GP56" i="76"/>
  <c r="FM46" i="7" s="1"/>
  <c r="DU46" i="76"/>
  <c r="Z61" i="76"/>
  <c r="GA38" i="76"/>
  <c r="FD28" i="7" s="1"/>
  <c r="EK33" i="76"/>
  <c r="EF23" i="7" s="1"/>
  <c r="AO83" i="76"/>
  <c r="EL31" i="76"/>
  <c r="EG21" i="7" s="1"/>
  <c r="FA12" i="76"/>
  <c r="EP132" i="7" s="1"/>
  <c r="AI6" i="76"/>
  <c r="FG6" i="76"/>
  <c r="GB29" i="76"/>
  <c r="FE149" i="7" s="1"/>
  <c r="AO42" i="76"/>
  <c r="DG38" i="76"/>
  <c r="DU33" i="76"/>
  <c r="EL26" i="76"/>
  <c r="EG146" i="7" s="1"/>
  <c r="GQ18" i="76"/>
  <c r="FN138" i="7" s="1"/>
  <c r="CS22" i="76"/>
  <c r="GB22" i="76" s="1"/>
  <c r="FE142" i="7" s="1"/>
  <c r="DG14" i="76"/>
  <c r="GB14" i="76" s="1"/>
  <c r="FE134" i="7" s="1"/>
  <c r="BP11" i="76"/>
  <c r="EZ3" i="76"/>
  <c r="FA8" i="76"/>
  <c r="FA108" i="76" s="1"/>
  <c r="EP98" i="7" s="1"/>
  <c r="BB30" i="76"/>
  <c r="GO30" i="76" s="1"/>
  <c r="CS10" i="76"/>
  <c r="GB10" i="76" s="1"/>
  <c r="FE130" i="7" s="1"/>
  <c r="CU73" i="76"/>
  <c r="CU47" i="76"/>
  <c r="FN3" i="76"/>
  <c r="FO8" i="76"/>
  <c r="FO107" i="76" s="1"/>
  <c r="EX97" i="7" s="1"/>
  <c r="O28" i="76"/>
  <c r="FX148" i="7" s="1"/>
  <c r="O27" i="76"/>
  <c r="FX147" i="7" s="1"/>
  <c r="DF22" i="76"/>
  <c r="EK22" i="76" s="1"/>
  <c r="EF142" i="7" s="1"/>
  <c r="CE14" i="76"/>
  <c r="BD15" i="7"/>
  <c r="GA109" i="76"/>
  <c r="FD99" i="7" s="1"/>
  <c r="GP106" i="76"/>
  <c r="FM96" i="7" s="1"/>
  <c r="GQ104" i="76"/>
  <c r="FN94" i="7" s="1"/>
  <c r="BB106" i="76"/>
  <c r="EL108" i="76"/>
  <c r="EG98" i="7" s="1"/>
  <c r="DG109" i="76"/>
  <c r="BC103" i="76"/>
  <c r="DU103" i="76"/>
  <c r="DU98" i="76"/>
  <c r="CD96" i="76"/>
  <c r="GQ99" i="76"/>
  <c r="FN89" i="7" s="1"/>
  <c r="DG98" i="76"/>
  <c r="DF98" i="76"/>
  <c r="GA98" i="76" s="1"/>
  <c r="FD88" i="7" s="1"/>
  <c r="AO95" i="76"/>
  <c r="GA86" i="76"/>
  <c r="FD76" i="7" s="1"/>
  <c r="GP88" i="76"/>
  <c r="FM78" i="7" s="1"/>
  <c r="CS85" i="76"/>
  <c r="EZ82" i="76"/>
  <c r="EO72" i="7" s="1"/>
  <c r="DG79" i="76"/>
  <c r="EM78" i="76"/>
  <c r="EH68" i="7" s="1"/>
  <c r="CD91" i="76"/>
  <c r="M91" i="76"/>
  <c r="FV81" i="7" s="1"/>
  <c r="FO84" i="76"/>
  <c r="EX74" i="7" s="1"/>
  <c r="BB91" i="76"/>
  <c r="GQ87" i="76"/>
  <c r="FN77" i="7" s="1"/>
  <c r="EL84" i="76"/>
  <c r="EG74" i="7" s="1"/>
  <c r="AA83" i="76"/>
  <c r="Z83" i="76"/>
  <c r="CE79" i="76"/>
  <c r="GP79" i="76" s="1"/>
  <c r="FM69" i="7" s="1"/>
  <c r="FA92" i="76"/>
  <c r="EP82" i="7" s="1"/>
  <c r="DT88" i="76"/>
  <c r="AO81" i="76"/>
  <c r="GQ78" i="76"/>
  <c r="FN68" i="7" s="1"/>
  <c r="EL71" i="76"/>
  <c r="EG61" i="7" s="1"/>
  <c r="AO64" i="76"/>
  <c r="EL75" i="76"/>
  <c r="EG65" i="7" s="1"/>
  <c r="CR67" i="76"/>
  <c r="GP66" i="76"/>
  <c r="FM56" i="7" s="1"/>
  <c r="FA91" i="76"/>
  <c r="EP81" i="7" s="1"/>
  <c r="CD72" i="76"/>
  <c r="BB54" i="76"/>
  <c r="GO51" i="76"/>
  <c r="FL41" i="7" s="1"/>
  <c r="AN47" i="76"/>
  <c r="Z72" i="76"/>
  <c r="M69" i="76"/>
  <c r="GP64" i="76"/>
  <c r="FM54" i="7" s="1"/>
  <c r="DU67" i="76"/>
  <c r="FN67" i="76" s="1"/>
  <c r="EW57" i="7" s="1"/>
  <c r="BB60" i="76"/>
  <c r="GO60" i="76" s="1"/>
  <c r="FL50" i="7" s="1"/>
  <c r="GA57" i="76"/>
  <c r="FD47" i="7" s="1"/>
  <c r="DG63" i="76"/>
  <c r="GB63" i="76" s="1"/>
  <c r="FE53" i="7" s="1"/>
  <c r="CD59" i="76"/>
  <c r="BC57" i="76"/>
  <c r="AO52" i="76"/>
  <c r="AO72" i="76"/>
  <c r="BC63" i="76"/>
  <c r="GP63" i="76" s="1"/>
  <c r="FM53" i="7" s="1"/>
  <c r="CD47" i="76"/>
  <c r="GO47" i="76" s="1"/>
  <c r="FL37" i="7" s="1"/>
  <c r="DT44" i="76"/>
  <c r="CS41" i="76"/>
  <c r="AO41" i="76"/>
  <c r="GA40" i="76"/>
  <c r="FD30" i="7" s="1"/>
  <c r="EK39" i="76"/>
  <c r="EF29" i="7" s="1"/>
  <c r="AA24" i="76"/>
  <c r="BB48" i="76"/>
  <c r="GO48" i="76" s="1"/>
  <c r="FL38" i="7" s="1"/>
  <c r="EY45" i="76"/>
  <c r="EN35" i="7" s="1"/>
  <c r="BP44" i="76"/>
  <c r="AA44" i="76"/>
  <c r="AA38" i="76"/>
  <c r="FM33" i="76"/>
  <c r="EV23" i="7" s="1"/>
  <c r="AA31" i="76"/>
  <c r="EZ31" i="76" s="1"/>
  <c r="EO21" i="7" s="1"/>
  <c r="DU59" i="76"/>
  <c r="GA36" i="76"/>
  <c r="FD26" i="7" s="1"/>
  <c r="CS33" i="76"/>
  <c r="BQ25" i="76"/>
  <c r="BC22" i="76"/>
  <c r="GP22" i="76" s="1"/>
  <c r="FM142" i="7" s="1"/>
  <c r="CE33" i="76"/>
  <c r="GA18" i="76"/>
  <c r="FD138" i="7" s="1"/>
  <c r="GQ14" i="76"/>
  <c r="FN134" i="7" s="1"/>
  <c r="EE6" i="76"/>
  <c r="G6" i="76"/>
  <c r="DU34" i="76"/>
  <c r="BC33" i="76"/>
  <c r="GP29" i="76"/>
  <c r="FM149" i="7" s="1"/>
  <c r="AO25" i="76"/>
  <c r="FO20" i="76"/>
  <c r="EX140" i="7" s="1"/>
  <c r="CE11" i="76"/>
  <c r="CS52" i="76"/>
  <c r="GB52" i="76" s="1"/>
  <c r="FE42" i="7" s="1"/>
  <c r="AA41" i="76"/>
  <c r="DT37" i="76"/>
  <c r="GB37" i="76"/>
  <c r="FE27" i="7" s="1"/>
  <c r="AN37" i="76"/>
  <c r="EZ37" i="76"/>
  <c r="EO27" i="7" s="1"/>
  <c r="EK36" i="76"/>
  <c r="EF26" i="7" s="1"/>
  <c r="GA34" i="76"/>
  <c r="FD24" i="7" s="1"/>
  <c r="DU25" i="76"/>
  <c r="AA25" i="76"/>
  <c r="Z25" i="76"/>
  <c r="EY25" i="76" s="1"/>
  <c r="EN145" i="7" s="1"/>
  <c r="FN29" i="76"/>
  <c r="EW149" i="7" s="1"/>
  <c r="BC16" i="76"/>
  <c r="GP16" i="76" s="1"/>
  <c r="FM136" i="7" s="1"/>
  <c r="BC11" i="76"/>
  <c r="CN6" i="76"/>
  <c r="FV6" i="76"/>
  <c r="AO18" i="76"/>
  <c r="DV66" i="76"/>
  <c r="DV50" i="76"/>
  <c r="AQ65" i="76"/>
  <c r="AQ61" i="76"/>
  <c r="AQ34" i="76"/>
  <c r="DW27" i="76"/>
  <c r="DW28" i="76"/>
  <c r="AO22" i="76"/>
  <c r="BC14" i="76"/>
  <c r="BC10" i="76"/>
  <c r="O64" i="76"/>
  <c r="FX54" i="7" s="1"/>
  <c r="O52" i="76"/>
  <c r="FX42" i="7" s="1"/>
  <c r="O45" i="76"/>
  <c r="FX35" i="7" s="1"/>
  <c r="O68" i="76"/>
  <c r="FX58" i="7" s="1"/>
  <c r="O65" i="76"/>
  <c r="FX55" i="7" s="1"/>
  <c r="O60" i="76"/>
  <c r="FX50" i="7" s="1"/>
  <c r="O42" i="76"/>
  <c r="FX32" i="7" s="1"/>
  <c r="O34" i="76"/>
  <c r="FX24" i="7" s="1"/>
  <c r="O46" i="76"/>
  <c r="FX36" i="7" s="1"/>
  <c r="O35" i="76"/>
  <c r="FX25" i="7" s="1"/>
  <c r="O43" i="76"/>
  <c r="FX33" i="7" s="1"/>
  <c r="O26" i="76"/>
  <c r="FX146" i="7" s="1"/>
  <c r="CS18" i="76"/>
  <c r="DF10" i="76"/>
  <c r="EK10" i="76" s="1"/>
  <c r="EF130" i="7" s="1"/>
  <c r="GC8" i="76"/>
  <c r="GC91" i="76" s="1"/>
  <c r="FF81" i="7" s="1"/>
  <c r="GB3" i="76"/>
  <c r="FO108" i="76"/>
  <c r="EX98" i="7" s="1"/>
  <c r="FN108" i="76"/>
  <c r="EW98" i="7" s="1"/>
  <c r="FM101" i="76"/>
  <c r="EV91" i="7" s="1"/>
  <c r="AO104" i="76"/>
  <c r="FA95" i="76"/>
  <c r="EP85" i="7" s="1"/>
  <c r="GP94" i="76"/>
  <c r="FM84" i="7" s="1"/>
  <c r="GB97" i="76"/>
  <c r="FE87" i="7" s="1"/>
  <c r="BQ96" i="76"/>
  <c r="GO88" i="76"/>
  <c r="FL78" i="7" s="1"/>
  <c r="EK88" i="76"/>
  <c r="EF78" i="7" s="1"/>
  <c r="GA79" i="76"/>
  <c r="FD69" i="7" s="1"/>
  <c r="FA84" i="76"/>
  <c r="EP74" i="7" s="1"/>
  <c r="CD98" i="76"/>
  <c r="CS91" i="76"/>
  <c r="GB91" i="76" s="1"/>
  <c r="FE81" i="7" s="1"/>
  <c r="GP91" i="76"/>
  <c r="FM81" i="7" s="1"/>
  <c r="CE83" i="76"/>
  <c r="CD83" i="76"/>
  <c r="FO85" i="76"/>
  <c r="EX75" i="7" s="1"/>
  <c r="DG81" i="76"/>
  <c r="CR70" i="76"/>
  <c r="FN53" i="76"/>
  <c r="EW43" i="7" s="1"/>
  <c r="EY79" i="76"/>
  <c r="EN69" i="7" s="1"/>
  <c r="BB62" i="76"/>
  <c r="GA60" i="76"/>
  <c r="FD50" i="7" s="1"/>
  <c r="BB55" i="76"/>
  <c r="AO51" i="76"/>
  <c r="AO59" i="76"/>
  <c r="EL56" i="76"/>
  <c r="EG46" i="7" s="1"/>
  <c r="EL45" i="76"/>
  <c r="EG35" i="7" s="1"/>
  <c r="AO27" i="76"/>
  <c r="GB66" i="76"/>
  <c r="FE56" i="7" s="1"/>
  <c r="Z52" i="76"/>
  <c r="DG51" i="76"/>
  <c r="FM46" i="76"/>
  <c r="EV36" i="7" s="1"/>
  <c r="GA39" i="76"/>
  <c r="FD29" i="7" s="1"/>
  <c r="EK38" i="76"/>
  <c r="EF28" i="7" s="1"/>
  <c r="BQ51" i="76"/>
  <c r="DG44" i="76"/>
  <c r="GB44" i="76" s="1"/>
  <c r="FE34" i="7" s="1"/>
  <c r="GP43" i="76"/>
  <c r="FM33" i="7" s="1"/>
  <c r="EL23" i="76"/>
  <c r="EG143" i="7" s="1"/>
  <c r="CR44" i="76"/>
  <c r="EL40" i="76"/>
  <c r="EG30" i="7" s="1"/>
  <c r="GC12" i="76"/>
  <c r="FF132" i="7" s="1"/>
  <c r="FO12" i="76"/>
  <c r="EX132" i="7" s="1"/>
  <c r="GQ15" i="76"/>
  <c r="FN135" i="7" s="1"/>
  <c r="GQ11" i="76"/>
  <c r="FN131" i="7" s="1"/>
  <c r="GI6" i="76"/>
  <c r="AW6" i="76"/>
  <c r="DF29" i="76"/>
  <c r="DU11" i="76"/>
  <c r="BC41" i="76"/>
  <c r="BP37" i="76"/>
  <c r="GB28" i="76"/>
  <c r="FE148" i="7" s="1"/>
  <c r="DT26" i="76"/>
  <c r="DU26" i="76"/>
  <c r="BQ26" i="76"/>
  <c r="BP26" i="76"/>
  <c r="FA20" i="76"/>
  <c r="EP140" i="7" s="1"/>
  <c r="FO16" i="76"/>
  <c r="EX136" i="7" s="1"/>
  <c r="GP23" i="76"/>
  <c r="FM143" i="7" s="1"/>
  <c r="EM16" i="76"/>
  <c r="EH136" i="7" s="1"/>
  <c r="EL3" i="76"/>
  <c r="EM8" i="76"/>
  <c r="EM22" i="76" s="1"/>
  <c r="EH142" i="7" s="1"/>
  <c r="DG25" i="76"/>
  <c r="DW64" i="76"/>
  <c r="DW70" i="76"/>
  <c r="DW52" i="76"/>
  <c r="DW45" i="76"/>
  <c r="DW68" i="76"/>
  <c r="DW65" i="76"/>
  <c r="DW34" i="76"/>
  <c r="DW60" i="76"/>
  <c r="DW46" i="76"/>
  <c r="DW35" i="76"/>
  <c r="DW43" i="76"/>
  <c r="BQ18" i="76"/>
  <c r="CT72" i="76"/>
  <c r="CT69" i="76"/>
  <c r="CT58" i="76"/>
  <c r="CT70" i="76"/>
  <c r="CT61" i="76"/>
  <c r="CT57" i="76"/>
  <c r="CT47" i="76"/>
  <c r="CT36" i="76"/>
  <c r="CT54" i="76"/>
  <c r="CT41" i="76"/>
  <c r="CT31" i="76"/>
  <c r="CT32" i="76"/>
  <c r="CT39" i="76"/>
  <c r="BD71" i="76"/>
  <c r="BD35" i="76"/>
  <c r="FN21" i="38"/>
  <c r="CW21" i="41" s="1"/>
  <c r="EZ1" i="56"/>
  <c r="BH13" i="7"/>
  <c r="CP13" i="7"/>
  <c r="EL1" i="70"/>
  <c r="GB19" i="56"/>
  <c r="EL19" i="56"/>
  <c r="GP53" i="57"/>
  <c r="AQ43" i="7" s="1"/>
  <c r="GB11" i="56"/>
  <c r="EZ11" i="56"/>
  <c r="EL11" i="56"/>
  <c r="CT9" i="70"/>
  <c r="CU9" i="70"/>
  <c r="CE6" i="70"/>
  <c r="CF6" i="70" s="1"/>
  <c r="GO6" i="70"/>
  <c r="GA108" i="56"/>
  <c r="BX98" i="7" s="1"/>
  <c r="EK108" i="56"/>
  <c r="AZ98" i="7" s="1"/>
  <c r="BC98" i="57"/>
  <c r="GB98" i="57" s="1"/>
  <c r="AI88" i="7" s="1"/>
  <c r="BC84" i="57"/>
  <c r="GB84" i="57" s="1"/>
  <c r="AI74" i="7" s="1"/>
  <c r="FB92" i="70"/>
  <c r="DA82" i="7" s="1"/>
  <c r="EY110" i="70"/>
  <c r="CX100" i="7" s="1"/>
  <c r="EZ80" i="70"/>
  <c r="CY70" i="7" s="1"/>
  <c r="CP6" i="56"/>
  <c r="CQ6" i="56" s="1"/>
  <c r="FP22" i="70"/>
  <c r="FP11" i="70"/>
  <c r="FP3" i="70"/>
  <c r="FP106" i="70"/>
  <c r="DI96" i="7" s="1"/>
  <c r="FP97" i="70"/>
  <c r="DI87" i="7" s="1"/>
  <c r="FP108" i="70"/>
  <c r="DI98" i="7" s="1"/>
  <c r="FP89" i="70"/>
  <c r="DI79" i="7" s="1"/>
  <c r="FP15" i="70"/>
  <c r="FP23" i="70"/>
  <c r="FP93" i="70"/>
  <c r="DI83" i="7" s="1"/>
  <c r="FP99" i="70"/>
  <c r="DI89" i="7" s="1"/>
  <c r="FP82" i="70"/>
  <c r="DI72" i="7" s="1"/>
  <c r="BC47" i="57"/>
  <c r="GB47" i="57" s="1"/>
  <c r="AI37" i="7" s="1"/>
  <c r="BB48" i="57"/>
  <c r="GA48" i="57" s="1"/>
  <c r="AH38" i="7" s="1"/>
  <c r="BC10" i="57"/>
  <c r="GB10" i="57" s="1"/>
  <c r="AI130" i="7" s="1"/>
  <c r="DG37" i="57"/>
  <c r="DG100" i="57"/>
  <c r="M41" i="57"/>
  <c r="AA108" i="57"/>
  <c r="BB59" i="57"/>
  <c r="GA90" i="57"/>
  <c r="AH80" i="7" s="1"/>
  <c r="DF70" i="57"/>
  <c r="DG38" i="57"/>
  <c r="L95" i="57"/>
  <c r="CR53" i="57"/>
  <c r="BC52" i="57"/>
  <c r="GB52" i="57" s="1"/>
  <c r="AI42" i="7" s="1"/>
  <c r="CS6" i="57"/>
  <c r="GO6" i="57"/>
  <c r="EY6" i="57"/>
  <c r="GO53" i="57"/>
  <c r="AP43" i="7" s="1"/>
  <c r="BC58" i="57"/>
  <c r="GB58" i="57" s="1"/>
  <c r="AI48" i="7" s="1"/>
  <c r="BC74" i="57"/>
  <c r="GB74" i="57" s="1"/>
  <c r="AI64" i="7" s="1"/>
  <c r="FN19" i="56"/>
  <c r="FP102" i="70"/>
  <c r="DI92" i="7" s="1"/>
  <c r="FP76" i="70"/>
  <c r="DI66" i="7" s="1"/>
  <c r="FP84" i="70"/>
  <c r="DI74" i="7" s="1"/>
  <c r="FP103" i="70"/>
  <c r="DI93" i="7" s="1"/>
  <c r="FP78" i="70"/>
  <c r="DI68" i="7" s="1"/>
  <c r="FP95" i="70"/>
  <c r="DI85" i="7" s="1"/>
  <c r="FP19" i="70"/>
  <c r="FP107" i="70"/>
  <c r="DI97" i="7" s="1"/>
  <c r="FP90" i="70"/>
  <c r="DI80" i="7" s="1"/>
  <c r="FW6" i="56"/>
  <c r="BV6" i="7" s="1"/>
  <c r="DG89" i="57"/>
  <c r="BB57" i="57"/>
  <c r="GA57" i="57" s="1"/>
  <c r="AH47" i="7" s="1"/>
  <c r="BB35" i="57"/>
  <c r="GA35" i="57" s="1"/>
  <c r="AH25" i="7" s="1"/>
  <c r="DF85" i="57"/>
  <c r="BB60" i="57"/>
  <c r="GA60" i="57" s="1"/>
  <c r="AH50" i="7" s="1"/>
  <c r="L76" i="57"/>
  <c r="L70" i="57"/>
  <c r="BC33" i="57"/>
  <c r="BQ102" i="70"/>
  <c r="FB22" i="70"/>
  <c r="EY95" i="70"/>
  <c r="CX85" i="7" s="1"/>
  <c r="EY69" i="70"/>
  <c r="CX59" i="7" s="1"/>
  <c r="EN3" i="57"/>
  <c r="EY73" i="70"/>
  <c r="CX63" i="7" s="1"/>
  <c r="EY74" i="70"/>
  <c r="CX64" i="7" s="1"/>
  <c r="CD107" i="70"/>
  <c r="FM107" i="70" s="1"/>
  <c r="DF97" i="7" s="1"/>
  <c r="DT98" i="70"/>
  <c r="FM98" i="70" s="1"/>
  <c r="DF88" i="7" s="1"/>
  <c r="AN89" i="70"/>
  <c r="FM89" i="70" s="1"/>
  <c r="DF79" i="7" s="1"/>
  <c r="CS75" i="70"/>
  <c r="EV6" i="70"/>
  <c r="EY106" i="70"/>
  <c r="CX96" i="7" s="1"/>
  <c r="EZ54" i="70"/>
  <c r="CY44" i="7" s="1"/>
  <c r="EZ44" i="70"/>
  <c r="CY34" i="7" s="1"/>
  <c r="EY68" i="70"/>
  <c r="CX58" i="7" s="1"/>
  <c r="BP35" i="70"/>
  <c r="EY35" i="70" s="1"/>
  <c r="CX25" i="7" s="1"/>
  <c r="EN24" i="57"/>
  <c r="EZ28" i="70"/>
  <c r="BP97" i="70"/>
  <c r="AN80" i="70"/>
  <c r="FM80" i="70" s="1"/>
  <c r="DF70" i="7" s="1"/>
  <c r="BP80" i="70"/>
  <c r="EY80" i="70" s="1"/>
  <c r="CX70" i="7" s="1"/>
  <c r="BB59" i="70"/>
  <c r="CR31" i="70"/>
  <c r="EY57" i="70"/>
  <c r="CX47" i="7" s="1"/>
  <c r="EZ11" i="70"/>
  <c r="AA62" i="70"/>
  <c r="BB27" i="70"/>
  <c r="AO23" i="70"/>
  <c r="FN23" i="70" s="1"/>
  <c r="AN12" i="70"/>
  <c r="FM12" i="70" s="1"/>
  <c r="BD9" i="57"/>
  <c r="BD67" i="57" s="1"/>
  <c r="BE9" i="57"/>
  <c r="GO11" i="57"/>
  <c r="EY11" i="57"/>
  <c r="Z102" i="57"/>
  <c r="AA102" i="57"/>
  <c r="DI27" i="56"/>
  <c r="DI25" i="56"/>
  <c r="DI29" i="56"/>
  <c r="DI26" i="56"/>
  <c r="DI28" i="56"/>
  <c r="CG8" i="57"/>
  <c r="CF8" i="57"/>
  <c r="DF12" i="70"/>
  <c r="M20" i="57"/>
  <c r="EL20" i="57" s="1"/>
  <c r="L20" i="57"/>
  <c r="EK20" i="57" s="1"/>
  <c r="BE8" i="57"/>
  <c r="BD8" i="57"/>
  <c r="BD27" i="57" s="1"/>
  <c r="CE26" i="70"/>
  <c r="EK69" i="56"/>
  <c r="AZ59" i="7" s="1"/>
  <c r="GA69" i="56"/>
  <c r="BX59" i="7" s="1"/>
  <c r="N9" i="57"/>
  <c r="O9" i="57"/>
  <c r="GO15" i="57"/>
  <c r="EY15" i="57"/>
  <c r="GD27" i="56"/>
  <c r="GA102" i="56"/>
  <c r="BX92" i="7" s="1"/>
  <c r="FB90" i="56"/>
  <c r="BK80" i="7" s="1"/>
  <c r="EK86" i="56"/>
  <c r="AZ76" i="7" s="1"/>
  <c r="GB19" i="57"/>
  <c r="GA42" i="56"/>
  <c r="BX32" i="7" s="1"/>
  <c r="O55" i="57"/>
  <c r="GD26" i="56"/>
  <c r="EL102" i="56"/>
  <c r="BA92" i="7" s="1"/>
  <c r="GC89" i="57"/>
  <c r="AJ79" i="7" s="1"/>
  <c r="FB19" i="56"/>
  <c r="CD93" i="57"/>
  <c r="DF52" i="56"/>
  <c r="GB42" i="56"/>
  <c r="BY32" i="7" s="1"/>
  <c r="GD29" i="56"/>
  <c r="M71" i="57"/>
  <c r="DF96" i="56"/>
  <c r="DG37" i="56"/>
  <c r="GB85" i="56"/>
  <c r="BY75" i="7" s="1"/>
  <c r="GB44" i="56"/>
  <c r="BY34" i="7" s="1"/>
  <c r="AO97" i="57"/>
  <c r="AN97" i="57"/>
  <c r="GD25" i="56"/>
  <c r="N8" i="57"/>
  <c r="DH8" i="56"/>
  <c r="DG105" i="56"/>
  <c r="GB105" i="56" s="1"/>
  <c r="BY95" i="7" s="1"/>
  <c r="CS94" i="56"/>
  <c r="GB94" i="56" s="1"/>
  <c r="BY84" i="7" s="1"/>
  <c r="CR109" i="56"/>
  <c r="CE29" i="57"/>
  <c r="GB29" i="57" s="1"/>
  <c r="CD29" i="57"/>
  <c r="GA29" i="57" s="1"/>
  <c r="DF72" i="56"/>
  <c r="Z103" i="57"/>
  <c r="FA13" i="56"/>
  <c r="Z97" i="57"/>
  <c r="DU45" i="56"/>
  <c r="BQ107" i="56"/>
  <c r="CD52" i="56"/>
  <c r="DU37" i="56"/>
  <c r="CR107" i="56"/>
  <c r="CD59" i="56"/>
  <c r="GO59" i="56" s="1"/>
  <c r="CF49" i="7" s="1"/>
  <c r="AN51" i="56"/>
  <c r="Z90" i="56"/>
  <c r="Z86" i="56"/>
  <c r="AA74" i="56"/>
  <c r="AA60" i="56"/>
  <c r="Z56" i="56"/>
  <c r="Z44" i="56"/>
  <c r="BQ24" i="56"/>
  <c r="BP24" i="56"/>
  <c r="CR81" i="56"/>
  <c r="BC106" i="56"/>
  <c r="DF56" i="56"/>
  <c r="CE41" i="56"/>
  <c r="FN41" i="56" s="1"/>
  <c r="BQ31" i="7" s="1"/>
  <c r="CD41" i="56"/>
  <c r="FM41" i="56" s="1"/>
  <c r="BP31" i="7" s="1"/>
  <c r="HK60" i="56"/>
  <c r="HJ60" i="56"/>
  <c r="BQ86" i="56"/>
  <c r="EZ86" i="56" s="1"/>
  <c r="BI76" i="7" s="1"/>
  <c r="BP86" i="56"/>
  <c r="DT42" i="56"/>
  <c r="DU42" i="56"/>
  <c r="M71" i="56"/>
  <c r="L71" i="56"/>
  <c r="GC100" i="56"/>
  <c r="BZ90" i="7" s="1"/>
  <c r="GB53" i="56"/>
  <c r="BY43" i="7" s="1"/>
  <c r="EK106" i="56"/>
  <c r="AZ96" i="7" s="1"/>
  <c r="BC26" i="57"/>
  <c r="GC18" i="57"/>
  <c r="GD12" i="57"/>
  <c r="CE28" i="56"/>
  <c r="GP28" i="56" s="1"/>
  <c r="CS33" i="56"/>
  <c r="GB33" i="56" s="1"/>
  <c r="BY23" i="7" s="1"/>
  <c r="DU93" i="56"/>
  <c r="CS77" i="56"/>
  <c r="GB77" i="56" s="1"/>
  <c r="BY67" i="7" s="1"/>
  <c r="CR49" i="56"/>
  <c r="BC48" i="56"/>
  <c r="GO28" i="56"/>
  <c r="GP42" i="56"/>
  <c r="CG32" i="7" s="1"/>
  <c r="GO39" i="56"/>
  <c r="CF29" i="7" s="1"/>
  <c r="AA41" i="56"/>
  <c r="Z41" i="56"/>
  <c r="Z77" i="56"/>
  <c r="EY77" i="56" s="1"/>
  <c r="BH67" i="7" s="1"/>
  <c r="AA77" i="56"/>
  <c r="HK28" i="56"/>
  <c r="HJ28" i="56"/>
  <c r="HK92" i="56"/>
  <c r="HJ92" i="56"/>
  <c r="BO43" i="56"/>
  <c r="BQ43" i="56" s="1"/>
  <c r="EZ43" i="56" s="1"/>
  <c r="BI33" i="7" s="1"/>
  <c r="AM35" i="56"/>
  <c r="AN35" i="56" s="1"/>
  <c r="DS44" i="56"/>
  <c r="A21" i="41"/>
  <c r="HK10" i="56"/>
  <c r="HK40" i="56"/>
  <c r="HK42" i="56"/>
  <c r="HK72" i="56"/>
  <c r="HK74" i="56"/>
  <c r="HK104" i="56"/>
  <c r="HK106" i="56"/>
  <c r="AA73" i="56"/>
  <c r="AA82" i="56"/>
  <c r="FJ3" i="56"/>
  <c r="EU31" i="56"/>
  <c r="BF21" i="7" s="1"/>
  <c r="BO37" i="56"/>
  <c r="BQ37" i="56" s="1"/>
  <c r="EZ37" i="56" s="1"/>
  <c r="BI27" i="7" s="1"/>
  <c r="EU40" i="56"/>
  <c r="BF30" i="7" s="1"/>
  <c r="EU64" i="56"/>
  <c r="BF54" i="7" s="1"/>
  <c r="DS39" i="56"/>
  <c r="DT39" i="56" s="1"/>
  <c r="AM62" i="56"/>
  <c r="DT14" i="56"/>
  <c r="FI27" i="56"/>
  <c r="EV43" i="56"/>
  <c r="BG33" i="7" s="1"/>
  <c r="EV109" i="56"/>
  <c r="BG99" i="7" s="1"/>
  <c r="AM37" i="56"/>
  <c r="DS66" i="56"/>
  <c r="AM69" i="56"/>
  <c r="M73" i="56"/>
  <c r="M75" i="56"/>
  <c r="EL75" i="56" s="1"/>
  <c r="BA65" i="7" s="1"/>
  <c r="BL21" i="7"/>
  <c r="BT20" i="7"/>
  <c r="BT22" i="7"/>
  <c r="BT24" i="7"/>
  <c r="BT26" i="7"/>
  <c r="BT28" i="7"/>
  <c r="BT30" i="7"/>
  <c r="BT32" i="7"/>
  <c r="BT34" i="7"/>
  <c r="BT36" i="7"/>
  <c r="BT38" i="7"/>
  <c r="BT40" i="7"/>
  <c r="BT42" i="7"/>
  <c r="BT44" i="7"/>
  <c r="BT46" i="7"/>
  <c r="BT48" i="7"/>
  <c r="BT50" i="7"/>
  <c r="BT52" i="7"/>
  <c r="BT54" i="7"/>
  <c r="BT56" i="7"/>
  <c r="BT58" i="7"/>
  <c r="HJ10" i="56"/>
  <c r="HJ12" i="56"/>
  <c r="HK32" i="56"/>
  <c r="HK34" i="56"/>
  <c r="HJ40" i="56"/>
  <c r="HJ42" i="56"/>
  <c r="HJ44" i="56"/>
  <c r="HK64" i="56"/>
  <c r="HK66" i="56"/>
  <c r="HJ72" i="56"/>
  <c r="HJ74" i="56"/>
  <c r="HJ76" i="56"/>
  <c r="HK96" i="56"/>
  <c r="HK98" i="56"/>
  <c r="HJ104" i="56"/>
  <c r="HJ106" i="56"/>
  <c r="HJ108" i="56"/>
  <c r="AA46" i="56"/>
  <c r="EZ46" i="56" s="1"/>
  <c r="BI36" i="7" s="1"/>
  <c r="Z31" i="56"/>
  <c r="BP44" i="56"/>
  <c r="BO87" i="56"/>
  <c r="BO15" i="56"/>
  <c r="BO28" i="56"/>
  <c r="AM43" i="56"/>
  <c r="AO43" i="56" s="1"/>
  <c r="AM49" i="56"/>
  <c r="AM53" i="56"/>
  <c r="AN53" i="56" s="1"/>
  <c r="AM74" i="56"/>
  <c r="AM105" i="56"/>
  <c r="AN105" i="56" s="1"/>
  <c r="FM105" i="56" s="1"/>
  <c r="BP95" i="7" s="1"/>
  <c r="FI10" i="56"/>
  <c r="BN130" i="7" s="1"/>
  <c r="FI18" i="56"/>
  <c r="FI22" i="56"/>
  <c r="BO40" i="56"/>
  <c r="EV45" i="56"/>
  <c r="BG35" i="7" s="1"/>
  <c r="EV59" i="56"/>
  <c r="BG49" i="7" s="1"/>
  <c r="EV81" i="56"/>
  <c r="BG71" i="7" s="1"/>
  <c r="EV85" i="56"/>
  <c r="BG75" i="7" s="1"/>
  <c r="EV91" i="56"/>
  <c r="BG81" i="7" s="1"/>
  <c r="EV16" i="56"/>
  <c r="EV20" i="56"/>
  <c r="EV24" i="56"/>
  <c r="K55" i="56"/>
  <c r="L55" i="56" s="1"/>
  <c r="EK55" i="56" s="1"/>
  <c r="AZ45" i="7" s="1"/>
  <c r="K65" i="56"/>
  <c r="L65" i="56" s="1"/>
  <c r="EK65" i="56" s="1"/>
  <c r="AZ55" i="7" s="1"/>
  <c r="DS76" i="56"/>
  <c r="K92" i="56"/>
  <c r="L92" i="56" s="1"/>
  <c r="FJ109" i="56"/>
  <c r="BO99" i="7" s="1"/>
  <c r="FJ10" i="56"/>
  <c r="BO130" i="7" s="1"/>
  <c r="M20" i="56"/>
  <c r="N23" i="56"/>
  <c r="GO91" i="56"/>
  <c r="CF81" i="7" s="1"/>
  <c r="Z127" i="41"/>
  <c r="HK24" i="56"/>
  <c r="HK26" i="56"/>
  <c r="HK56" i="56"/>
  <c r="HK58" i="56"/>
  <c r="HK88" i="56"/>
  <c r="HK90" i="56"/>
  <c r="EK70" i="56"/>
  <c r="AZ60" i="7" s="1"/>
  <c r="BQ45" i="56"/>
  <c r="EZ45" i="56" s="1"/>
  <c r="BI35" i="7" s="1"/>
  <c r="BN8" i="56"/>
  <c r="BO8" i="56" s="1"/>
  <c r="EU51" i="56"/>
  <c r="BF41" i="7" s="1"/>
  <c r="BO61" i="56"/>
  <c r="EU63" i="56"/>
  <c r="BF53" i="7" s="1"/>
  <c r="BO71" i="56"/>
  <c r="BO73" i="56"/>
  <c r="EU85" i="56"/>
  <c r="BF75" i="7" s="1"/>
  <c r="DV110" i="56"/>
  <c r="EV33" i="56"/>
  <c r="BG23" i="7" s="1"/>
  <c r="EV49" i="56"/>
  <c r="BG39" i="7" s="1"/>
  <c r="EV65" i="56"/>
  <c r="BG55" i="7" s="1"/>
  <c r="EV69" i="56"/>
  <c r="BG59" i="7" s="1"/>
  <c r="EV83" i="56"/>
  <c r="BG73" i="7" s="1"/>
  <c r="EV97" i="56"/>
  <c r="BG87" i="7" s="1"/>
  <c r="AO50" i="56"/>
  <c r="M53" i="56"/>
  <c r="EL53" i="56" s="1"/>
  <c r="BA43" i="7" s="1"/>
  <c r="M89" i="56"/>
  <c r="M90" i="56"/>
  <c r="DS22" i="56"/>
  <c r="DT22" i="56" s="1"/>
  <c r="FM22" i="56" s="1"/>
  <c r="BL85" i="7"/>
  <c r="BT21" i="7"/>
  <c r="BT23" i="7"/>
  <c r="BT25" i="7"/>
  <c r="BT27" i="7"/>
  <c r="BT29" i="7"/>
  <c r="BT31" i="7"/>
  <c r="BT33" i="7"/>
  <c r="BT35" i="7"/>
  <c r="BT37" i="7"/>
  <c r="BT39" i="7"/>
  <c r="BT41" i="7"/>
  <c r="BT43" i="7"/>
  <c r="BT45" i="7"/>
  <c r="BT47" i="7"/>
  <c r="BT49" i="7"/>
  <c r="BT51" i="7"/>
  <c r="BT53" i="7"/>
  <c r="BT55" i="7"/>
  <c r="BT57" i="7"/>
  <c r="BT59" i="7"/>
  <c r="BT60" i="7"/>
  <c r="BT62" i="7"/>
  <c r="BT64" i="7"/>
  <c r="BT66" i="7"/>
  <c r="BT68" i="7"/>
  <c r="BT70" i="7"/>
  <c r="BT72" i="7"/>
  <c r="BT74" i="7"/>
  <c r="BT76" i="7"/>
  <c r="BT78" i="7"/>
  <c r="BT80" i="7"/>
  <c r="BT82" i="7"/>
  <c r="BT84" i="7"/>
  <c r="BT86" i="7"/>
  <c r="BT88" i="7"/>
  <c r="BT90" i="7"/>
  <c r="BT92" i="7"/>
  <c r="BT94" i="7"/>
  <c r="BT96" i="7"/>
  <c r="BT98" i="7"/>
  <c r="BT100" i="7"/>
  <c r="GL34" i="56"/>
  <c r="CE24" i="7" s="1"/>
  <c r="CJ24" i="7"/>
  <c r="BA35" i="56"/>
  <c r="CJ34" i="7"/>
  <c r="CJ40" i="7"/>
  <c r="CC58" i="56"/>
  <c r="CD58" i="56" s="1"/>
  <c r="CJ49" i="7"/>
  <c r="CJ58" i="7"/>
  <c r="CC74" i="56"/>
  <c r="BC79" i="56"/>
  <c r="GP79" i="56" s="1"/>
  <c r="CG69" i="7" s="1"/>
  <c r="CF80" i="56"/>
  <c r="GQ80" i="56" s="1"/>
  <c r="CH70" i="7" s="1"/>
  <c r="BC81" i="56"/>
  <c r="GP81" i="56" s="1"/>
  <c r="CG71" i="7" s="1"/>
  <c r="CJ76" i="7"/>
  <c r="BC89" i="56"/>
  <c r="BA107" i="56"/>
  <c r="BB107" i="56" s="1"/>
  <c r="CJ100" i="7"/>
  <c r="CJ101" i="7" s="1"/>
  <c r="CJ102" i="7" s="1"/>
  <c r="CJ103" i="7" s="1"/>
  <c r="CJ104" i="7" s="1"/>
  <c r="CJ105" i="7" s="1"/>
  <c r="CJ106" i="7" s="1"/>
  <c r="CJ107" i="7" s="1"/>
  <c r="CJ108" i="7" s="1"/>
  <c r="CJ109" i="7" s="1"/>
  <c r="CJ110" i="7" s="1"/>
  <c r="CJ111" i="7" s="1"/>
  <c r="CJ112" i="7" s="1"/>
  <c r="CJ113" i="7" s="1"/>
  <c r="CJ114" i="7" s="1"/>
  <c r="CJ115" i="7" s="1"/>
  <c r="CJ116" i="7" s="1"/>
  <c r="CJ117" i="7" s="1"/>
  <c r="CJ118" i="7" s="1"/>
  <c r="CJ119" i="7" s="1"/>
  <c r="CJ120" i="7" s="1"/>
  <c r="GK10" i="56"/>
  <c r="CD130" i="7" s="1"/>
  <c r="BA20" i="56"/>
  <c r="GL3" i="56"/>
  <c r="N98" i="7"/>
  <c r="V95" i="7"/>
  <c r="N94" i="7"/>
  <c r="N90" i="7"/>
  <c r="AD88" i="7"/>
  <c r="N86" i="7"/>
  <c r="AD64" i="7"/>
  <c r="N64" i="7"/>
  <c r="EG39" i="56"/>
  <c r="AX29" i="7" s="1"/>
  <c r="BT61" i="7"/>
  <c r="BT63" i="7"/>
  <c r="BT65" i="7"/>
  <c r="BT67" i="7"/>
  <c r="BT69" i="7"/>
  <c r="BT71" i="7"/>
  <c r="BT73" i="7"/>
  <c r="BT75" i="7"/>
  <c r="BT77" i="7"/>
  <c r="BT79" i="7"/>
  <c r="BT81" i="7"/>
  <c r="BT83" i="7"/>
  <c r="BT85" i="7"/>
  <c r="BT87" i="7"/>
  <c r="BT89" i="7"/>
  <c r="BT91" i="7"/>
  <c r="BT93" i="7"/>
  <c r="BT95" i="7"/>
  <c r="BT97" i="7"/>
  <c r="BT99" i="7"/>
  <c r="BT130" i="7"/>
  <c r="CC30" i="56"/>
  <c r="CC32" i="56"/>
  <c r="GK37" i="56"/>
  <c r="CD27" i="7" s="1"/>
  <c r="CD48" i="56"/>
  <c r="GO48" i="56" s="1"/>
  <c r="CF38" i="7" s="1"/>
  <c r="CJ46" i="7"/>
  <c r="CC66" i="56"/>
  <c r="CJ56" i="7"/>
  <c r="CC70" i="56"/>
  <c r="CJ65" i="7"/>
  <c r="CF77" i="56"/>
  <c r="GQ77" i="56" s="1"/>
  <c r="CH67" i="7" s="1"/>
  <c r="CJ70" i="7"/>
  <c r="GK85" i="56"/>
  <c r="CD75" i="7" s="1"/>
  <c r="CJ79" i="7"/>
  <c r="CJ81" i="7"/>
  <c r="CJ91" i="7"/>
  <c r="CJ95" i="7"/>
  <c r="GK106" i="56"/>
  <c r="CD96" i="7" s="1"/>
  <c r="BA24" i="56"/>
  <c r="AD84" i="7"/>
  <c r="V82" i="7"/>
  <c r="V60" i="7"/>
  <c r="V43" i="7"/>
  <c r="N37" i="7"/>
  <c r="AD33" i="7"/>
  <c r="GL24" i="57"/>
  <c r="BA33" i="56"/>
  <c r="CC38" i="56"/>
  <c r="CC40" i="56"/>
  <c r="CB9" i="56"/>
  <c r="CC9" i="56" s="1"/>
  <c r="CJ72" i="7"/>
  <c r="CJ77" i="7"/>
  <c r="GO98" i="56"/>
  <c r="CF88" i="7" s="1"/>
  <c r="BD20" i="56"/>
  <c r="GL21" i="56"/>
  <c r="V100" i="7"/>
  <c r="AD92" i="7"/>
  <c r="FH20" i="57"/>
  <c r="FH19" i="57"/>
  <c r="AM47" i="57"/>
  <c r="Y88" i="57"/>
  <c r="K13" i="57"/>
  <c r="L13" i="57" s="1"/>
  <c r="EG103" i="56"/>
  <c r="AX93" i="7" s="1"/>
  <c r="EG97" i="56"/>
  <c r="AX87" i="7" s="1"/>
  <c r="EH91" i="56"/>
  <c r="AY81" i="7" s="1"/>
  <c r="EH87" i="56"/>
  <c r="AY77" i="7" s="1"/>
  <c r="BD38" i="7"/>
  <c r="BD36" i="7"/>
  <c r="BD34" i="7"/>
  <c r="BD32" i="7"/>
  <c r="BD30" i="7"/>
  <c r="BD28" i="7"/>
  <c r="BD26" i="7"/>
  <c r="BD24" i="7"/>
  <c r="BD22" i="7"/>
  <c r="DE34" i="56"/>
  <c r="DE50" i="56"/>
  <c r="FW53" i="56"/>
  <c r="BV43" i="7" s="1"/>
  <c r="DE54" i="56"/>
  <c r="DF54" i="56" s="1"/>
  <c r="CB52" i="7"/>
  <c r="DH107" i="56"/>
  <c r="DE107" i="56"/>
  <c r="FV77" i="56"/>
  <c r="CB67" i="7" s="1"/>
  <c r="FV75" i="56"/>
  <c r="FV74" i="56"/>
  <c r="FV71" i="56"/>
  <c r="FV70" i="56"/>
  <c r="CB60" i="7" s="1"/>
  <c r="FV63" i="56"/>
  <c r="FV62" i="56"/>
  <c r="FV54" i="56"/>
  <c r="FV51" i="56"/>
  <c r="CB41" i="7" s="1"/>
  <c r="FV46" i="56"/>
  <c r="CB36" i="7" s="1"/>
  <c r="FV42" i="56"/>
  <c r="CB32" i="7" s="1"/>
  <c r="FV39" i="56"/>
  <c r="FV93" i="56"/>
  <c r="FV95" i="56"/>
  <c r="FV85" i="56"/>
  <c r="FV82" i="56"/>
  <c r="FV81" i="56"/>
  <c r="FV79" i="56"/>
  <c r="FV78" i="56"/>
  <c r="CB68" i="7" s="1"/>
  <c r="FV67" i="56"/>
  <c r="CB57" i="7" s="1"/>
  <c r="FV66" i="56"/>
  <c r="FV65" i="56"/>
  <c r="FV64" i="56"/>
  <c r="FV60" i="56"/>
  <c r="FV52" i="56"/>
  <c r="CB42" i="7" s="1"/>
  <c r="FV48" i="56"/>
  <c r="FV37" i="56"/>
  <c r="FV36" i="56"/>
  <c r="FV87" i="56"/>
  <c r="CB77" i="7" s="1"/>
  <c r="FV72" i="56"/>
  <c r="FV68" i="56"/>
  <c r="CB58" i="7" s="1"/>
  <c r="AY101" i="57"/>
  <c r="AY56" i="57"/>
  <c r="AY45" i="57"/>
  <c r="AY100" i="57"/>
  <c r="DB72" i="57"/>
  <c r="DB42" i="57"/>
  <c r="CO62" i="57"/>
  <c r="CO65" i="57"/>
  <c r="CO67" i="57"/>
  <c r="CO54" i="57"/>
  <c r="CO57" i="57"/>
  <c r="CO50" i="57"/>
  <c r="CO74" i="57"/>
  <c r="CO82" i="57"/>
  <c r="CO92" i="57"/>
  <c r="CO48" i="57"/>
  <c r="CO41" i="57"/>
  <c r="CO68" i="57"/>
  <c r="CO71" i="57"/>
  <c r="CO78" i="57"/>
  <c r="CO86" i="57"/>
  <c r="CO94" i="57"/>
  <c r="CO101" i="57"/>
  <c r="CO30" i="57"/>
  <c r="CO31" i="57"/>
  <c r="CO35" i="57"/>
  <c r="CO36" i="57"/>
  <c r="CO38" i="57"/>
  <c r="CO52" i="57"/>
  <c r="CO75" i="57"/>
  <c r="CO83" i="57"/>
  <c r="CO93" i="57"/>
  <c r="CO45" i="57"/>
  <c r="CO32" i="57"/>
  <c r="CO33" i="57"/>
  <c r="CO43" i="57"/>
  <c r="CO44" i="57"/>
  <c r="DR106" i="57"/>
  <c r="DW106" i="57" s="1"/>
  <c r="DR107" i="57"/>
  <c r="DW107" i="57" s="1"/>
  <c r="DR108" i="57"/>
  <c r="DW108" i="57" s="1"/>
  <c r="CC94" i="56"/>
  <c r="CJ85" i="7"/>
  <c r="CJ92" i="7"/>
  <c r="CJ94" i="7"/>
  <c r="CC29" i="56"/>
  <c r="FH110" i="57"/>
  <c r="AD100" i="7" s="1"/>
  <c r="FH108" i="57"/>
  <c r="AD98" i="7" s="1"/>
  <c r="FH105" i="57"/>
  <c r="AD95" i="7" s="1"/>
  <c r="V94" i="7"/>
  <c r="FH103" i="57"/>
  <c r="AD93" i="7" s="1"/>
  <c r="V92" i="7"/>
  <c r="FH101" i="57"/>
  <c r="AD91" i="7" s="1"/>
  <c r="EF97" i="57"/>
  <c r="N87" i="7" s="1"/>
  <c r="FH95" i="57"/>
  <c r="AD85" i="7" s="1"/>
  <c r="EF95" i="57"/>
  <c r="N85" i="7" s="1"/>
  <c r="FH93" i="57"/>
  <c r="AD83" i="7" s="1"/>
  <c r="FH92" i="57"/>
  <c r="AD82" i="7" s="1"/>
  <c r="EF89" i="57"/>
  <c r="N79" i="7" s="1"/>
  <c r="FH83" i="57"/>
  <c r="AD73" i="7" s="1"/>
  <c r="EF79" i="57"/>
  <c r="N69" i="7" s="1"/>
  <c r="V64" i="7"/>
  <c r="FH73" i="57"/>
  <c r="AD63" i="7" s="1"/>
  <c r="EF72" i="57"/>
  <c r="N62" i="7" s="1"/>
  <c r="FH70" i="57"/>
  <c r="AD60" i="7" s="1"/>
  <c r="FH69" i="57"/>
  <c r="AD59" i="7" s="1"/>
  <c r="EF69" i="57"/>
  <c r="N59" i="7" s="1"/>
  <c r="FH67" i="57"/>
  <c r="AD57" i="7" s="1"/>
  <c r="EF67" i="57"/>
  <c r="N57" i="7" s="1"/>
  <c r="FH65" i="57"/>
  <c r="AD55" i="7" s="1"/>
  <c r="EF65" i="57"/>
  <c r="N55" i="7" s="1"/>
  <c r="EF64" i="57"/>
  <c r="N54" i="7" s="1"/>
  <c r="FH62" i="57"/>
  <c r="AD52" i="7" s="1"/>
  <c r="FH61" i="57"/>
  <c r="AD51" i="7" s="1"/>
  <c r="EF61" i="57"/>
  <c r="N51" i="7" s="1"/>
  <c r="FH59" i="57"/>
  <c r="AD49" i="7" s="1"/>
  <c r="EF59" i="57"/>
  <c r="N49" i="7" s="1"/>
  <c r="FH57" i="57"/>
  <c r="AD47" i="7" s="1"/>
  <c r="FH56" i="57"/>
  <c r="AD46" i="7" s="1"/>
  <c r="EF56" i="57"/>
  <c r="N46" i="7" s="1"/>
  <c r="FH47" i="57"/>
  <c r="AD37" i="7" s="1"/>
  <c r="FH46" i="57"/>
  <c r="AD36" i="7" s="1"/>
  <c r="EF46" i="57"/>
  <c r="N36" i="7" s="1"/>
  <c r="FH42" i="57"/>
  <c r="AD32" i="7" s="1"/>
  <c r="EF42" i="57"/>
  <c r="N32" i="7" s="1"/>
  <c r="V31" i="7"/>
  <c r="FH40" i="57"/>
  <c r="AD30" i="7" s="1"/>
  <c r="EF40" i="57"/>
  <c r="FH38" i="57"/>
  <c r="EF38" i="57"/>
  <c r="N28" i="7" s="1"/>
  <c r="EF36" i="57"/>
  <c r="N26" i="7" s="1"/>
  <c r="EF35" i="57"/>
  <c r="FH31" i="57"/>
  <c r="AD21" i="7" s="1"/>
  <c r="EF27" i="57"/>
  <c r="EF26" i="57"/>
  <c r="EF24" i="57"/>
  <c r="EF23" i="57"/>
  <c r="EH23" i="57"/>
  <c r="FH22" i="57"/>
  <c r="DW20" i="57"/>
  <c r="BS18" i="57"/>
  <c r="Y16" i="57"/>
  <c r="EF15" i="57"/>
  <c r="FH14" i="57"/>
  <c r="FH3" i="57"/>
  <c r="V21" i="7"/>
  <c r="BO44" i="57"/>
  <c r="Y56" i="57"/>
  <c r="Y57" i="57"/>
  <c r="CQ67" i="57"/>
  <c r="CR67" i="57" s="1"/>
  <c r="AQ82" i="57"/>
  <c r="AQ89" i="57"/>
  <c r="DW91" i="57"/>
  <c r="DW95" i="57"/>
  <c r="CB20" i="7"/>
  <c r="CB29" i="7"/>
  <c r="CQ39" i="56"/>
  <c r="CR39" i="56" s="1"/>
  <c r="FW39" i="56"/>
  <c r="BV29" i="7" s="1"/>
  <c r="CQ60" i="56"/>
  <c r="CB56" i="7"/>
  <c r="DH98" i="56"/>
  <c r="FW98" i="56"/>
  <c r="BV88" i="7" s="1"/>
  <c r="DB44" i="57"/>
  <c r="CO37" i="57"/>
  <c r="CO47" i="57"/>
  <c r="DB46" i="57"/>
  <c r="CO97" i="57"/>
  <c r="CO95" i="57"/>
  <c r="CC33" i="57"/>
  <c r="CG81" i="57"/>
  <c r="GD81" i="57" s="1"/>
  <c r="AK71" i="7" s="1"/>
  <c r="CC82" i="57"/>
  <c r="CG83" i="57"/>
  <c r="GD83" i="57" s="1"/>
  <c r="AK73" i="7" s="1"/>
  <c r="CG91" i="57"/>
  <c r="GD91" i="57" s="1"/>
  <c r="AK81" i="7" s="1"/>
  <c r="CG103" i="57"/>
  <c r="GD103" i="57" s="1"/>
  <c r="AK93" i="7" s="1"/>
  <c r="EH99" i="56"/>
  <c r="AY89" i="7" s="1"/>
  <c r="EH95" i="56"/>
  <c r="AY85" i="7" s="1"/>
  <c r="EH79" i="56"/>
  <c r="AY69" i="7" s="1"/>
  <c r="EH75" i="56"/>
  <c r="AY65" i="7" s="1"/>
  <c r="CB27" i="7"/>
  <c r="CB38" i="7"/>
  <c r="DG54" i="56"/>
  <c r="EL54" i="56" s="1"/>
  <c r="BA44" i="7" s="1"/>
  <c r="CB55" i="7"/>
  <c r="CB72" i="7"/>
  <c r="CB85" i="7"/>
  <c r="AY89" i="57"/>
  <c r="BA89" i="57" s="1"/>
  <c r="BB89" i="57" s="1"/>
  <c r="GA89" i="57" s="1"/>
  <c r="AH79" i="7" s="1"/>
  <c r="CO87" i="57"/>
  <c r="N33" i="7"/>
  <c r="V32" i="7"/>
  <c r="AD31" i="7"/>
  <c r="N31" i="7"/>
  <c r="FH39" i="57"/>
  <c r="N29" i="7"/>
  <c r="FH37" i="57"/>
  <c r="AD27" i="7" s="1"/>
  <c r="N25" i="7"/>
  <c r="FH32" i="57"/>
  <c r="AD22" i="7" s="1"/>
  <c r="GK28" i="57"/>
  <c r="AM51" i="57"/>
  <c r="Y73" i="57"/>
  <c r="DW85" i="57"/>
  <c r="AQ86" i="57"/>
  <c r="AQ92" i="57"/>
  <c r="BS94" i="57"/>
  <c r="BS100" i="57"/>
  <c r="FW28" i="57"/>
  <c r="CG95" i="57"/>
  <c r="GD95" i="57" s="1"/>
  <c r="AK85" i="7" s="1"/>
  <c r="CC102" i="57"/>
  <c r="BD49" i="7"/>
  <c r="BD46" i="7"/>
  <c r="BD41" i="7"/>
  <c r="CQ12" i="56"/>
  <c r="CU13" i="56"/>
  <c r="DI16" i="56"/>
  <c r="FB16" i="56" s="1"/>
  <c r="DI18" i="56"/>
  <c r="FB18" i="56" s="1"/>
  <c r="CB24" i="7"/>
  <c r="CB26" i="7"/>
  <c r="CQ36" i="56"/>
  <c r="CR36" i="56" s="1"/>
  <c r="CQ51" i="56"/>
  <c r="CQ52" i="56"/>
  <c r="CB44" i="7"/>
  <c r="CB54" i="7"/>
  <c r="CB62" i="7"/>
  <c r="CB69" i="7"/>
  <c r="CB71" i="7"/>
  <c r="CO102" i="57"/>
  <c r="CO81" i="57"/>
  <c r="CO79" i="57"/>
  <c r="CO69" i="57"/>
  <c r="GJ52" i="70"/>
  <c r="GJ3" i="70"/>
  <c r="CB53" i="7"/>
  <c r="CB61" i="7"/>
  <c r="CB64" i="7"/>
  <c r="CB65" i="7"/>
  <c r="EW3" i="70"/>
  <c r="EW2" i="70"/>
  <c r="GG6" i="70"/>
  <c r="AM33" i="70"/>
  <c r="FX30" i="56"/>
  <c r="BW20" i="7" s="1"/>
  <c r="CB25" i="7"/>
  <c r="CB45" i="7"/>
  <c r="CB46" i="7"/>
  <c r="CQ56" i="56"/>
  <c r="FX60" i="56"/>
  <c r="BW50" i="7" s="1"/>
  <c r="FW61" i="56"/>
  <c r="BV51" i="7" s="1"/>
  <c r="FW69" i="56"/>
  <c r="BV59" i="7" s="1"/>
  <c r="FW70" i="56"/>
  <c r="BV60" i="7" s="1"/>
  <c r="DE73" i="56"/>
  <c r="CU76" i="56"/>
  <c r="DI83" i="56"/>
  <c r="DI84" i="56"/>
  <c r="CU85" i="56"/>
  <c r="FW86" i="56"/>
  <c r="BV76" i="7" s="1"/>
  <c r="DI87" i="56"/>
  <c r="FB87" i="56" s="1"/>
  <c r="BK77" i="7" s="1"/>
  <c r="DI88" i="56"/>
  <c r="DI95" i="56"/>
  <c r="FW109" i="56"/>
  <c r="BV99" i="7" s="1"/>
  <c r="FW110" i="56"/>
  <c r="BV100" i="7" s="1"/>
  <c r="GL43" i="57"/>
  <c r="AO33" i="7" s="1"/>
  <c r="Y33" i="70"/>
  <c r="AM49" i="70"/>
  <c r="CQ35" i="56"/>
  <c r="FW37" i="56"/>
  <c r="BV27" i="7" s="1"/>
  <c r="CB30" i="7"/>
  <c r="FX41" i="56"/>
  <c r="BW31" i="7" s="1"/>
  <c r="FW45" i="56"/>
  <c r="BV35" i="7" s="1"/>
  <c r="FX46" i="56"/>
  <c r="BW36" i="7" s="1"/>
  <c r="CB43" i="7"/>
  <c r="FW59" i="56"/>
  <c r="BV49" i="7" s="1"/>
  <c r="FX61" i="56"/>
  <c r="BW51" i="7" s="1"/>
  <c r="FX62" i="56"/>
  <c r="BW52" i="7" s="1"/>
  <c r="DE66" i="56"/>
  <c r="DE67" i="56"/>
  <c r="DG67" i="56" s="1"/>
  <c r="GB67" i="56" s="1"/>
  <c r="BY57" i="7" s="1"/>
  <c r="FX69" i="56"/>
  <c r="BW59" i="7" s="1"/>
  <c r="FW73" i="56"/>
  <c r="BV63" i="7" s="1"/>
  <c r="DE74" i="56"/>
  <c r="FX78" i="56"/>
  <c r="BW68" i="7" s="1"/>
  <c r="CB70" i="7"/>
  <c r="CU88" i="56"/>
  <c r="CB82" i="7"/>
  <c r="CB83" i="7"/>
  <c r="DI94" i="56"/>
  <c r="EN94" i="56" s="1"/>
  <c r="BC84" i="7" s="1"/>
  <c r="DE95" i="56"/>
  <c r="FX98" i="56"/>
  <c r="BW88" i="7" s="1"/>
  <c r="EH101" i="56"/>
  <c r="AY91" i="7" s="1"/>
  <c r="DI103" i="56"/>
  <c r="CB98" i="7"/>
  <c r="CB101" i="7" s="1"/>
  <c r="CB102" i="7" s="1"/>
  <c r="CB103" i="7" s="1"/>
  <c r="CB104" i="7" s="1"/>
  <c r="CB105" i="7" s="1"/>
  <c r="CB106" i="7" s="1"/>
  <c r="CB107" i="7" s="1"/>
  <c r="CB108" i="7" s="1"/>
  <c r="CB109" i="7" s="1"/>
  <c r="CB110" i="7" s="1"/>
  <c r="CB111" i="7" s="1"/>
  <c r="CB112" i="7" s="1"/>
  <c r="CB113" i="7" s="1"/>
  <c r="CB114" i="7" s="1"/>
  <c r="CB115" i="7" s="1"/>
  <c r="CB116" i="7" s="1"/>
  <c r="CB117" i="7" s="1"/>
  <c r="CB118" i="7" s="1"/>
  <c r="CB119" i="7" s="1"/>
  <c r="CB120" i="7" s="1"/>
  <c r="CU18" i="70"/>
  <c r="K24" i="70"/>
  <c r="O24" i="70"/>
  <c r="CT92" i="70"/>
  <c r="FW92" i="70"/>
  <c r="DL82" i="7" s="1"/>
  <c r="FX16" i="70"/>
  <c r="FY8" i="70"/>
  <c r="AC16" i="70"/>
  <c r="BS16" i="70"/>
  <c r="BA34" i="70"/>
  <c r="CC35" i="70"/>
  <c r="Y55" i="70"/>
  <c r="AM60" i="70"/>
  <c r="BO60" i="70"/>
  <c r="CC63" i="70"/>
  <c r="BE75" i="70"/>
  <c r="DI75" i="70"/>
  <c r="CU101" i="70"/>
  <c r="BS104" i="70"/>
  <c r="O109" i="70"/>
  <c r="AQ109" i="70"/>
  <c r="FP109" i="70" s="1"/>
  <c r="DI99" i="7" s="1"/>
  <c r="DE8" i="70"/>
  <c r="DS22" i="70"/>
  <c r="EG23" i="70"/>
  <c r="BS24" i="70"/>
  <c r="FB24" i="70" s="1"/>
  <c r="BN8" i="70"/>
  <c r="BO8" i="70" s="1"/>
  <c r="M29" i="70"/>
  <c r="CT102" i="70"/>
  <c r="FW102" i="70"/>
  <c r="DL92" i="7" s="1"/>
  <c r="FW3" i="70"/>
  <c r="FS6" i="70"/>
  <c r="FJ11" i="70"/>
  <c r="FI13" i="70"/>
  <c r="CU16" i="70"/>
  <c r="FW30" i="70"/>
  <c r="DL20" i="7" s="1"/>
  <c r="BO36" i="70"/>
  <c r="L37" i="70"/>
  <c r="L40" i="70"/>
  <c r="AM46" i="70"/>
  <c r="FW47" i="70"/>
  <c r="DL37" i="7" s="1"/>
  <c r="AM48" i="70"/>
  <c r="BA49" i="70"/>
  <c r="DE49" i="70"/>
  <c r="Y51" i="70"/>
  <c r="CC51" i="70"/>
  <c r="M54" i="70"/>
  <c r="Y75" i="70"/>
  <c r="CC79" i="70"/>
  <c r="AQ81" i="70"/>
  <c r="CG81" i="70"/>
  <c r="BE83" i="70"/>
  <c r="DS83" i="70"/>
  <c r="BA86" i="70"/>
  <c r="BE93" i="70"/>
  <c r="BE99" i="70"/>
  <c r="Y101" i="70"/>
  <c r="Z101" i="70" s="1"/>
  <c r="EY101" i="70" s="1"/>
  <c r="CX91" i="7" s="1"/>
  <c r="BA109" i="70"/>
  <c r="DE22" i="70"/>
  <c r="EG82" i="70"/>
  <c r="CN72" i="7" s="1"/>
  <c r="DI110" i="57"/>
  <c r="FX72" i="70"/>
  <c r="DM62" i="7" s="1"/>
  <c r="AZ9" i="70"/>
  <c r="BA9" i="70" s="1"/>
  <c r="M33" i="70"/>
  <c r="AM35" i="70"/>
  <c r="BA36" i="70"/>
  <c r="M40" i="70"/>
  <c r="Y47" i="70"/>
  <c r="AM55" i="70"/>
  <c r="O76" i="70"/>
  <c r="EG106" i="70"/>
  <c r="CN96" i="7" s="1"/>
  <c r="L28" i="70"/>
  <c r="EK28" i="70" s="1"/>
  <c r="DS32" i="70"/>
  <c r="CC62" i="70"/>
  <c r="CQ32" i="70"/>
  <c r="BA52" i="70"/>
  <c r="BA62" i="70"/>
  <c r="DE62" i="70"/>
  <c r="EG102" i="70"/>
  <c r="CN92" i="7" s="1"/>
  <c r="EU102" i="70"/>
  <c r="CV92" i="7" s="1"/>
  <c r="BA102" i="70"/>
  <c r="BB102" i="70" s="1"/>
  <c r="CC55" i="70"/>
  <c r="M56" i="70"/>
  <c r="EG58" i="70"/>
  <c r="CN48" i="7" s="1"/>
  <c r="M61" i="70"/>
  <c r="BO61" i="70"/>
  <c r="BP61" i="70" s="1"/>
  <c r="EY61" i="70" s="1"/>
  <c r="CX51" i="7" s="1"/>
  <c r="BO70" i="70"/>
  <c r="BO75" i="70"/>
  <c r="BE76" i="70"/>
  <c r="BS76" i="70"/>
  <c r="AC83" i="70"/>
  <c r="AC85" i="70"/>
  <c r="O88" i="70"/>
  <c r="DW88" i="70"/>
  <c r="FP88" i="70" s="1"/>
  <c r="DI78" i="7" s="1"/>
  <c r="AC93" i="70"/>
  <c r="FI94" i="70"/>
  <c r="DD84" i="7" s="1"/>
  <c r="BA98" i="70"/>
  <c r="BS103" i="70"/>
  <c r="DS105" i="70"/>
  <c r="K8" i="70"/>
  <c r="L25" i="70"/>
  <c r="EK25" i="70" s="1"/>
  <c r="BO26" i="70"/>
  <c r="FI28" i="70"/>
  <c r="CQ62" i="70"/>
  <c r="O82" i="70"/>
  <c r="AM102" i="70"/>
  <c r="DW13" i="7"/>
  <c r="GQ1" i="70"/>
  <c r="CG6" i="70"/>
  <c r="EM8" i="70"/>
  <c r="EL57" i="70"/>
  <c r="CQ47" i="7" s="1"/>
  <c r="EL13" i="70"/>
  <c r="EL56" i="70"/>
  <c r="CQ46" i="7" s="1"/>
  <c r="EL33" i="70"/>
  <c r="CQ23" i="7" s="1"/>
  <c r="EL69" i="70"/>
  <c r="CQ59" i="7" s="1"/>
  <c r="EL65" i="70"/>
  <c r="CQ55" i="7" s="1"/>
  <c r="EL29" i="70"/>
  <c r="EL17" i="70"/>
  <c r="EL46" i="70"/>
  <c r="CQ36" i="7" s="1"/>
  <c r="EL6" i="70"/>
  <c r="EL74" i="70"/>
  <c r="CQ64" i="7" s="1"/>
  <c r="EL64" i="70"/>
  <c r="CQ54" i="7" s="1"/>
  <c r="EL67" i="70"/>
  <c r="CQ57" i="7" s="1"/>
  <c r="EL90" i="70"/>
  <c r="CQ80" i="7" s="1"/>
  <c r="EL3" i="70"/>
  <c r="EL95" i="70"/>
  <c r="CQ85" i="7" s="1"/>
  <c r="EL68" i="70"/>
  <c r="CQ58" i="7" s="1"/>
  <c r="EL19" i="70"/>
  <c r="EL35" i="70"/>
  <c r="CQ25" i="7" s="1"/>
  <c r="EL55" i="70"/>
  <c r="CQ45" i="7" s="1"/>
  <c r="EL58" i="70"/>
  <c r="CQ48" i="7" s="1"/>
  <c r="EL21" i="70"/>
  <c r="EL89" i="70"/>
  <c r="CQ79" i="7" s="1"/>
  <c r="EL84" i="70"/>
  <c r="CQ74" i="7" s="1"/>
  <c r="EL54" i="70"/>
  <c r="CQ44" i="7" s="1"/>
  <c r="EL14" i="70"/>
  <c r="EL76" i="70"/>
  <c r="CQ66" i="7" s="1"/>
  <c r="EL61" i="70"/>
  <c r="CQ51" i="7" s="1"/>
  <c r="EL66" i="70"/>
  <c r="CQ56" i="7" s="1"/>
  <c r="EL80" i="70"/>
  <c r="CQ70" i="7" s="1"/>
  <c r="EL23" i="70"/>
  <c r="EL16" i="70"/>
  <c r="EL27" i="70"/>
  <c r="EL93" i="70"/>
  <c r="CQ83" i="7" s="1"/>
  <c r="EL99" i="70"/>
  <c r="CQ89" i="7" s="1"/>
  <c r="EL101" i="70"/>
  <c r="CQ91" i="7" s="1"/>
  <c r="EL53" i="70"/>
  <c r="CQ43" i="7" s="1"/>
  <c r="EL108" i="70"/>
  <c r="CQ98" i="7" s="1"/>
  <c r="EL44" i="70"/>
  <c r="CQ34" i="7" s="1"/>
  <c r="EL85" i="70"/>
  <c r="CQ75" i="7" s="1"/>
  <c r="EL39" i="70"/>
  <c r="CQ29" i="7" s="1"/>
  <c r="EL43" i="70"/>
  <c r="CQ33" i="7" s="1"/>
  <c r="EL48" i="70"/>
  <c r="CQ38" i="7" s="1"/>
  <c r="EL107" i="70"/>
  <c r="CQ97" i="7" s="1"/>
  <c r="EL20" i="70"/>
  <c r="EL59" i="70"/>
  <c r="CQ49" i="7" s="1"/>
  <c r="EL11" i="70"/>
  <c r="EL15" i="70"/>
  <c r="GB1" i="70"/>
  <c r="DN13" i="7"/>
  <c r="GA42" i="57"/>
  <c r="AH32" i="7" s="1"/>
  <c r="GA107" i="57"/>
  <c r="AH97" i="7" s="1"/>
  <c r="GA67" i="57"/>
  <c r="AH57" i="7" s="1"/>
  <c r="GA108" i="57"/>
  <c r="AH98" i="7" s="1"/>
  <c r="EL110" i="70"/>
  <c r="CQ100" i="7" s="1"/>
  <c r="EL87" i="70"/>
  <c r="CQ77" i="7" s="1"/>
  <c r="EL31" i="70"/>
  <c r="CQ21" i="7" s="1"/>
  <c r="EL30" i="70"/>
  <c r="CQ20" i="7" s="1"/>
  <c r="FJ6" i="70"/>
  <c r="DR6" i="70"/>
  <c r="GB70" i="57"/>
  <c r="AI60" i="7" s="1"/>
  <c r="FY6" i="56"/>
  <c r="DR6" i="7" s="1"/>
  <c r="EL25" i="70"/>
  <c r="EL50" i="70"/>
  <c r="CQ40" i="7" s="1"/>
  <c r="EL104" i="70"/>
  <c r="CQ94" i="7" s="1"/>
  <c r="EL41" i="70"/>
  <c r="CQ31" i="7" s="1"/>
  <c r="EK105" i="70"/>
  <c r="CP95" i="7" s="1"/>
  <c r="EK16" i="70"/>
  <c r="EK3" i="70"/>
  <c r="EK21" i="70"/>
  <c r="EK93" i="70"/>
  <c r="CP83" i="7" s="1"/>
  <c r="EK104" i="70"/>
  <c r="CP94" i="7" s="1"/>
  <c r="EK15" i="70"/>
  <c r="EK102" i="70"/>
  <c r="CP92" i="7" s="1"/>
  <c r="EK96" i="70"/>
  <c r="CP86" i="7" s="1"/>
  <c r="EK76" i="70"/>
  <c r="CP66" i="7" s="1"/>
  <c r="EK90" i="70"/>
  <c r="CP80" i="7" s="1"/>
  <c r="EK46" i="70"/>
  <c r="CP36" i="7" s="1"/>
  <c r="EK50" i="70"/>
  <c r="CP40" i="7" s="1"/>
  <c r="EK59" i="70"/>
  <c r="CP49" i="7" s="1"/>
  <c r="EK29" i="70"/>
  <c r="EK74" i="70"/>
  <c r="CP64" i="7" s="1"/>
  <c r="EK19" i="70"/>
  <c r="EK68" i="70"/>
  <c r="CP58" i="7" s="1"/>
  <c r="EK70" i="70"/>
  <c r="CP60" i="7" s="1"/>
  <c r="EK73" i="70"/>
  <c r="CP63" i="7" s="1"/>
  <c r="EK23" i="70"/>
  <c r="EK87" i="70"/>
  <c r="CP77" i="7" s="1"/>
  <c r="EK57" i="70"/>
  <c r="CP47" i="7" s="1"/>
  <c r="EK41" i="70"/>
  <c r="CP31" i="7" s="1"/>
  <c r="EK64" i="70"/>
  <c r="CP54" i="7" s="1"/>
  <c r="EZ1" i="70"/>
  <c r="CX13" i="7"/>
  <c r="GA47" i="57"/>
  <c r="AH37" i="7" s="1"/>
  <c r="GB48" i="57"/>
  <c r="AI38" i="7" s="1"/>
  <c r="GA79" i="57"/>
  <c r="AH69" i="7" s="1"/>
  <c r="GA10" i="57"/>
  <c r="AH130" i="7" s="1"/>
  <c r="GA83" i="57"/>
  <c r="AH73" i="7" s="1"/>
  <c r="CF39" i="70"/>
  <c r="CF36" i="70"/>
  <c r="CF64" i="70"/>
  <c r="CF60" i="70"/>
  <c r="CF53" i="70"/>
  <c r="CF70" i="70"/>
  <c r="CF62" i="70"/>
  <c r="CF65" i="70"/>
  <c r="CF32" i="70"/>
  <c r="CF45" i="70"/>
  <c r="CF74" i="70"/>
  <c r="CF37" i="70"/>
  <c r="CF33" i="70"/>
  <c r="CF56" i="70"/>
  <c r="CF49" i="70"/>
  <c r="CF30" i="70"/>
  <c r="CF71" i="70"/>
  <c r="CF31" i="70"/>
  <c r="CF63" i="70"/>
  <c r="CF34" i="70"/>
  <c r="CF61" i="70"/>
  <c r="CF35" i="70"/>
  <c r="CF50" i="70"/>
  <c r="CF43" i="70"/>
  <c r="CF57" i="70"/>
  <c r="CF48" i="70"/>
  <c r="CF67" i="70"/>
  <c r="CF73" i="70"/>
  <c r="CF47" i="70"/>
  <c r="CF58" i="70"/>
  <c r="CF41" i="70"/>
  <c r="CF66" i="70"/>
  <c r="CF38" i="70"/>
  <c r="CF54" i="70"/>
  <c r="FV6" i="56"/>
  <c r="FN1" i="70"/>
  <c r="GB57" i="57"/>
  <c r="AI47" i="7" s="1"/>
  <c r="GB35" i="57"/>
  <c r="AI25" i="7" s="1"/>
  <c r="GB55" i="57"/>
  <c r="AI45" i="7" s="1"/>
  <c r="GA93" i="57"/>
  <c r="AH83" i="7" s="1"/>
  <c r="GA94" i="57"/>
  <c r="AH84" i="7" s="1"/>
  <c r="GB106" i="57"/>
  <c r="AI96" i="7" s="1"/>
  <c r="BB75" i="57"/>
  <c r="BC75" i="57"/>
  <c r="EY6" i="70"/>
  <c r="AA6" i="70"/>
  <c r="GQ65" i="57"/>
  <c r="AR55" i="7" s="1"/>
  <c r="EY53" i="57"/>
  <c r="R43" i="7" s="1"/>
  <c r="BC93" i="57"/>
  <c r="EZ15" i="70"/>
  <c r="EK11" i="56"/>
  <c r="BC78" i="57"/>
  <c r="BB34" i="57"/>
  <c r="GA34" i="57" s="1"/>
  <c r="AH24" i="7" s="1"/>
  <c r="BC79" i="57"/>
  <c r="BC94" i="57"/>
  <c r="BB102" i="57"/>
  <c r="BB49" i="57"/>
  <c r="BC72" i="57"/>
  <c r="GB72" i="57" s="1"/>
  <c r="AI62" i="7" s="1"/>
  <c r="BC86" i="57"/>
  <c r="GB86" i="57" s="1"/>
  <c r="AI76" i="7" s="1"/>
  <c r="DG59" i="57"/>
  <c r="M44" i="57"/>
  <c r="L44" i="57"/>
  <c r="GP8" i="70"/>
  <c r="GO20" i="70"/>
  <c r="GO39" i="70"/>
  <c r="DV29" i="7" s="1"/>
  <c r="GO59" i="70"/>
  <c r="DV49" i="7" s="1"/>
  <c r="GO76" i="70"/>
  <c r="DV66" i="7" s="1"/>
  <c r="GO84" i="70"/>
  <c r="DV74" i="7" s="1"/>
  <c r="GO104" i="70"/>
  <c r="DV94" i="7" s="1"/>
  <c r="GO50" i="70"/>
  <c r="DV40" i="7" s="1"/>
  <c r="GO87" i="70"/>
  <c r="DV77" i="7" s="1"/>
  <c r="GO25" i="70"/>
  <c r="GO28" i="70"/>
  <c r="GO85" i="70"/>
  <c r="DV75" i="7" s="1"/>
  <c r="GO89" i="70"/>
  <c r="DV79" i="7" s="1"/>
  <c r="GO67" i="70"/>
  <c r="DV57" i="7" s="1"/>
  <c r="GO31" i="70"/>
  <c r="DV21" i="7" s="1"/>
  <c r="GO30" i="70"/>
  <c r="DV20" i="7" s="1"/>
  <c r="GO100" i="70"/>
  <c r="DV90" i="7" s="1"/>
  <c r="GO57" i="70"/>
  <c r="DV47" i="7" s="1"/>
  <c r="GO108" i="70"/>
  <c r="DV98" i="7" s="1"/>
  <c r="GO29" i="70"/>
  <c r="GO26" i="70"/>
  <c r="GO13" i="70"/>
  <c r="GO81" i="70"/>
  <c r="DV71" i="7" s="1"/>
  <c r="GO33" i="70"/>
  <c r="DV23" i="7" s="1"/>
  <c r="GO107" i="70"/>
  <c r="DV97" i="7" s="1"/>
  <c r="GO3" i="70"/>
  <c r="O81" i="57"/>
  <c r="K81" i="57"/>
  <c r="L81" i="57" s="1"/>
  <c r="K97" i="57"/>
  <c r="L97" i="57" s="1"/>
  <c r="GA99" i="56"/>
  <c r="BX89" i="7" s="1"/>
  <c r="EK99" i="56"/>
  <c r="AZ89" i="7" s="1"/>
  <c r="DT102" i="70"/>
  <c r="DU102" i="70"/>
  <c r="BC38" i="57"/>
  <c r="BC50" i="57"/>
  <c r="BC46" i="57"/>
  <c r="DF63" i="57"/>
  <c r="DF96" i="57"/>
  <c r="BC83" i="57"/>
  <c r="BC31" i="57"/>
  <c r="GB31" i="57" s="1"/>
  <c r="AI21" i="7" s="1"/>
  <c r="DF91" i="57"/>
  <c r="CG9" i="70"/>
  <c r="DF99" i="57"/>
  <c r="DF104" i="57"/>
  <c r="BC81" i="57"/>
  <c r="GB81" i="57" s="1"/>
  <c r="AI71" i="7" s="1"/>
  <c r="BC97" i="57"/>
  <c r="GB97" i="57" s="1"/>
  <c r="AI87" i="7" s="1"/>
  <c r="BC44" i="57"/>
  <c r="GB44" i="57" s="1"/>
  <c r="AI34" i="7" s="1"/>
  <c r="AO110" i="57"/>
  <c r="BC53" i="57"/>
  <c r="GB53" i="57" s="1"/>
  <c r="AI43" i="7" s="1"/>
  <c r="BB104" i="57"/>
  <c r="GA104" i="57" s="1"/>
  <c r="AH94" i="7" s="1"/>
  <c r="BB106" i="57"/>
  <c r="BB36" i="57"/>
  <c r="GA36" i="57" s="1"/>
  <c r="AH26" i="7" s="1"/>
  <c r="BB87" i="57"/>
  <c r="BC87" i="57"/>
  <c r="BB37" i="57"/>
  <c r="BC37" i="57"/>
  <c r="DG88" i="57"/>
  <c r="DF88" i="57"/>
  <c r="FM96" i="70"/>
  <c r="DF86" i="7" s="1"/>
  <c r="EY34" i="70"/>
  <c r="CX24" i="7" s="1"/>
  <c r="FM90" i="70"/>
  <c r="DF80" i="7" s="1"/>
  <c r="CU6" i="70"/>
  <c r="GK79" i="57"/>
  <c r="AN69" i="7" s="1"/>
  <c r="EG96" i="57"/>
  <c r="H86" i="7" s="1"/>
  <c r="BC41" i="57"/>
  <c r="BC91" i="57"/>
  <c r="GB91" i="57" s="1"/>
  <c r="AI81" i="7" s="1"/>
  <c r="CE107" i="57"/>
  <c r="GB107" i="57" s="1"/>
  <c r="AI97" i="7" s="1"/>
  <c r="DF77" i="57"/>
  <c r="DF31" i="57"/>
  <c r="FX97" i="57"/>
  <c r="AG87" i="7" s="1"/>
  <c r="FX81" i="57"/>
  <c r="AG71" i="7" s="1"/>
  <c r="O94" i="57"/>
  <c r="O68" i="57"/>
  <c r="CU51" i="57"/>
  <c r="Z90" i="57"/>
  <c r="FV18" i="45"/>
  <c r="EH6" i="70"/>
  <c r="FO8" i="57"/>
  <c r="CR80" i="56"/>
  <c r="K68" i="57"/>
  <c r="DG34" i="70"/>
  <c r="EU96" i="57"/>
  <c r="P86" i="7" s="1"/>
  <c r="EU109" i="57"/>
  <c r="P99" i="7" s="1"/>
  <c r="FJ51" i="57"/>
  <c r="Y41" i="7" s="1"/>
  <c r="DG12" i="41"/>
  <c r="AA1" i="7"/>
  <c r="EN11" i="57"/>
  <c r="EN16" i="57"/>
  <c r="EN20" i="57"/>
  <c r="EN17" i="57"/>
  <c r="EN19" i="57"/>
  <c r="EN22" i="57"/>
  <c r="EN23" i="57"/>
  <c r="EN9" i="57"/>
  <c r="M19" i="7" s="1"/>
  <c r="FB13" i="70"/>
  <c r="FB77" i="70"/>
  <c r="DA67" i="7" s="1"/>
  <c r="FB94" i="70"/>
  <c r="DA84" i="7" s="1"/>
  <c r="FB86" i="70"/>
  <c r="DA76" i="7" s="1"/>
  <c r="FB96" i="70"/>
  <c r="DA86" i="7" s="1"/>
  <c r="FB106" i="70"/>
  <c r="DA96" i="7" s="1"/>
  <c r="FB108" i="70"/>
  <c r="DA98" i="7" s="1"/>
  <c r="FB101" i="70"/>
  <c r="DA91" i="7" s="1"/>
  <c r="FB81" i="70"/>
  <c r="DA71" i="7" s="1"/>
  <c r="FB100" i="70"/>
  <c r="DA90" i="7" s="1"/>
  <c r="FB95" i="70"/>
  <c r="DA85" i="7" s="1"/>
  <c r="FB107" i="70"/>
  <c r="DA97" i="7" s="1"/>
  <c r="FB11" i="70"/>
  <c r="FB90" i="70"/>
  <c r="DA80" i="7" s="1"/>
  <c r="FB83" i="70"/>
  <c r="DA73" i="7" s="1"/>
  <c r="FB109" i="70"/>
  <c r="DA99" i="7" s="1"/>
  <c r="FB91" i="70"/>
  <c r="DA81" i="7" s="1"/>
  <c r="GR24" i="57"/>
  <c r="GR19" i="57"/>
  <c r="GR21" i="57"/>
  <c r="EZ16" i="70"/>
  <c r="FB17" i="70"/>
  <c r="FB19" i="70"/>
  <c r="FB89" i="70"/>
  <c r="DA79" i="7" s="1"/>
  <c r="FB18" i="70"/>
  <c r="FB76" i="70"/>
  <c r="DA66" i="7" s="1"/>
  <c r="FB14" i="70"/>
  <c r="FB79" i="70"/>
  <c r="DA69" i="7" s="1"/>
  <c r="FB10" i="70"/>
  <c r="DA130" i="7" s="1"/>
  <c r="FB80" i="70"/>
  <c r="DA70" i="7" s="1"/>
  <c r="FB99" i="70"/>
  <c r="DA89" i="7" s="1"/>
  <c r="FB104" i="70"/>
  <c r="DA94" i="7" s="1"/>
  <c r="FB110" i="70"/>
  <c r="DA100" i="7" s="1"/>
  <c r="FB16" i="70"/>
  <c r="FB15" i="70"/>
  <c r="FB85" i="70"/>
  <c r="DA75" i="7" s="1"/>
  <c r="FB75" i="70"/>
  <c r="DA65" i="7" s="1"/>
  <c r="FB103" i="70"/>
  <c r="DA93" i="7" s="1"/>
  <c r="GR23" i="57"/>
  <c r="EZ74" i="70"/>
  <c r="CY64" i="7" s="1"/>
  <c r="CE99" i="70"/>
  <c r="CD99" i="70"/>
  <c r="DT95" i="70"/>
  <c r="DU95" i="70"/>
  <c r="DF91" i="70"/>
  <c r="DG91" i="70"/>
  <c r="EZ81" i="70"/>
  <c r="CY71" i="7" s="1"/>
  <c r="DT74" i="70"/>
  <c r="DU74" i="70"/>
  <c r="AN58" i="70"/>
  <c r="FM58" i="70" s="1"/>
  <c r="DF48" i="7" s="1"/>
  <c r="AO58" i="70"/>
  <c r="FN58" i="70" s="1"/>
  <c r="DG48" i="7" s="1"/>
  <c r="AN40" i="70"/>
  <c r="BB48" i="70"/>
  <c r="Z43" i="70"/>
  <c r="EY43" i="70" s="1"/>
  <c r="CX33" i="7" s="1"/>
  <c r="AA43" i="70"/>
  <c r="EZ43" i="70" s="1"/>
  <c r="CY33" i="7" s="1"/>
  <c r="CR40" i="70"/>
  <c r="CS40" i="70"/>
  <c r="AN39" i="70"/>
  <c r="FM39" i="70" s="1"/>
  <c r="DF29" i="7" s="1"/>
  <c r="AO39" i="70"/>
  <c r="FN39" i="70" s="1"/>
  <c r="DG29" i="7" s="1"/>
  <c r="DF18" i="70"/>
  <c r="DG18" i="70"/>
  <c r="CE60" i="70"/>
  <c r="CD60" i="70"/>
  <c r="CR42" i="70"/>
  <c r="CS42" i="70"/>
  <c r="AN29" i="70"/>
  <c r="FM29" i="70" s="1"/>
  <c r="AO29" i="70"/>
  <c r="FN29" i="70" s="1"/>
  <c r="BB32" i="70"/>
  <c r="BC32" i="70"/>
  <c r="BP27" i="70"/>
  <c r="EY27" i="70" s="1"/>
  <c r="BQ27" i="70"/>
  <c r="EZ27" i="70" s="1"/>
  <c r="CS47" i="70"/>
  <c r="CR47" i="70"/>
  <c r="Z12" i="70"/>
  <c r="EY12" i="70" s="1"/>
  <c r="AA12" i="70"/>
  <c r="EZ12" i="70" s="1"/>
  <c r="N9" i="70"/>
  <c r="O9" i="70"/>
  <c r="DT110" i="70"/>
  <c r="FM110" i="70" s="1"/>
  <c r="DF100" i="7" s="1"/>
  <c r="DU110" i="70"/>
  <c r="FN110" i="70" s="1"/>
  <c r="DG100" i="7" s="1"/>
  <c r="Z89" i="70"/>
  <c r="EY89" i="70" s="1"/>
  <c r="CX79" i="7" s="1"/>
  <c r="AA89" i="70"/>
  <c r="EZ89" i="70" s="1"/>
  <c r="CY79" i="7" s="1"/>
  <c r="EY87" i="70"/>
  <c r="CX77" i="7" s="1"/>
  <c r="CE68" i="70"/>
  <c r="CD68" i="70"/>
  <c r="CE64" i="70"/>
  <c r="CD64" i="70"/>
  <c r="DF63" i="70"/>
  <c r="DG63" i="70"/>
  <c r="BD29" i="70"/>
  <c r="BD28" i="70"/>
  <c r="DV29" i="70"/>
  <c r="DV28" i="70"/>
  <c r="EY98" i="70"/>
  <c r="CX88" i="7" s="1"/>
  <c r="BP38" i="70"/>
  <c r="EY38" i="70" s="1"/>
  <c r="CX28" i="7" s="1"/>
  <c r="BQ38" i="70"/>
  <c r="EZ38" i="70" s="1"/>
  <c r="CY28" i="7" s="1"/>
  <c r="CE78" i="70"/>
  <c r="CD78" i="70"/>
  <c r="CD70" i="70"/>
  <c r="CE70" i="70"/>
  <c r="AA72" i="70"/>
  <c r="Z72" i="70"/>
  <c r="CS24" i="70"/>
  <c r="CR24" i="70"/>
  <c r="EZ21" i="70"/>
  <c r="CE38" i="57"/>
  <c r="CD38" i="57"/>
  <c r="AC27" i="70"/>
  <c r="AC29" i="70"/>
  <c r="AC28" i="70"/>
  <c r="AB33" i="70"/>
  <c r="AB40" i="70"/>
  <c r="AB44" i="70"/>
  <c r="AB48" i="70"/>
  <c r="AB68" i="70"/>
  <c r="AB67" i="70"/>
  <c r="AB36" i="70"/>
  <c r="AB39" i="70"/>
  <c r="AB57" i="70"/>
  <c r="AB64" i="70"/>
  <c r="AB73" i="70"/>
  <c r="AB42" i="70"/>
  <c r="AB30" i="70"/>
  <c r="AB43" i="70"/>
  <c r="AB53" i="70"/>
  <c r="AB56" i="70"/>
  <c r="AB69" i="70"/>
  <c r="AO61" i="70"/>
  <c r="FN61" i="70" s="1"/>
  <c r="DG51" i="7" s="1"/>
  <c r="AN61" i="70"/>
  <c r="FM61" i="70" s="1"/>
  <c r="DF51" i="7" s="1"/>
  <c r="BC75" i="70"/>
  <c r="CD75" i="70"/>
  <c r="CE75" i="70"/>
  <c r="FN75" i="70" s="1"/>
  <c r="DG65" i="7" s="1"/>
  <c r="AB27" i="70"/>
  <c r="AB25" i="70"/>
  <c r="DG26" i="70"/>
  <c r="EL26" i="70" s="1"/>
  <c r="DF26" i="70"/>
  <c r="BP94" i="70"/>
  <c r="EY94" i="70" s="1"/>
  <c r="CX84" i="7" s="1"/>
  <c r="BQ94" i="70"/>
  <c r="EZ94" i="70" s="1"/>
  <c r="CY84" i="7" s="1"/>
  <c r="BP23" i="70"/>
  <c r="EY23" i="70" s="1"/>
  <c r="BQ23" i="70"/>
  <c r="EZ23" i="70" s="1"/>
  <c r="BP109" i="70"/>
  <c r="BQ109" i="70"/>
  <c r="AN105" i="70"/>
  <c r="AO105" i="70"/>
  <c r="BP37" i="70"/>
  <c r="BQ37" i="70"/>
  <c r="Z83" i="70"/>
  <c r="EY83" i="70" s="1"/>
  <c r="CX73" i="7" s="1"/>
  <c r="AA83" i="70"/>
  <c r="EZ83" i="70" s="1"/>
  <c r="CY73" i="7" s="1"/>
  <c r="CD103" i="70"/>
  <c r="GO103" i="70" s="1"/>
  <c r="DV93" i="7" s="1"/>
  <c r="CE103" i="70"/>
  <c r="GP103" i="70" s="1"/>
  <c r="DW93" i="7" s="1"/>
  <c r="CD83" i="70"/>
  <c r="CE83" i="70"/>
  <c r="CT55" i="57"/>
  <c r="K60" i="57"/>
  <c r="O60" i="57"/>
  <c r="M63" i="57"/>
  <c r="L63" i="57"/>
  <c r="EY107" i="70"/>
  <c r="CX97" i="7" s="1"/>
  <c r="EZ104" i="70"/>
  <c r="CY94" i="7" s="1"/>
  <c r="DG103" i="70"/>
  <c r="EZ103" i="70" s="1"/>
  <c r="CY93" i="7" s="1"/>
  <c r="DF103" i="70"/>
  <c r="EY103" i="70" s="1"/>
  <c r="CX93" i="7" s="1"/>
  <c r="AN95" i="70"/>
  <c r="FM95" i="70" s="1"/>
  <c r="DF85" i="7" s="1"/>
  <c r="AO95" i="70"/>
  <c r="FN95" i="70" s="1"/>
  <c r="DG85" i="7" s="1"/>
  <c r="AO74" i="70"/>
  <c r="FN74" i="70" s="1"/>
  <c r="DG64" i="7" s="1"/>
  <c r="AN74" i="70"/>
  <c r="FM74" i="70" s="1"/>
  <c r="DF64" i="7" s="1"/>
  <c r="BB63" i="70"/>
  <c r="BC63" i="70"/>
  <c r="EY58" i="70"/>
  <c r="CX48" i="7" s="1"/>
  <c r="CS45" i="70"/>
  <c r="CR45" i="70"/>
  <c r="BQ40" i="70"/>
  <c r="EZ40" i="70" s="1"/>
  <c r="CY30" i="7" s="1"/>
  <c r="BP40" i="70"/>
  <c r="EY40" i="70" s="1"/>
  <c r="CX30" i="7" s="1"/>
  <c r="BB18" i="70"/>
  <c r="GO18" i="70" s="1"/>
  <c r="BC18" i="70"/>
  <c r="GP18" i="70" s="1"/>
  <c r="Z90" i="70"/>
  <c r="EY90" i="70" s="1"/>
  <c r="CX80" i="7" s="1"/>
  <c r="AA90" i="70"/>
  <c r="EZ90" i="70" s="1"/>
  <c r="CY80" i="7" s="1"/>
  <c r="BB97" i="70"/>
  <c r="BC97" i="70"/>
  <c r="CR60" i="70"/>
  <c r="CS60" i="70"/>
  <c r="DF78" i="70"/>
  <c r="EY78" i="70" s="1"/>
  <c r="CX68" i="7" s="1"/>
  <c r="DG78" i="70"/>
  <c r="EL78" i="70" s="1"/>
  <c r="CQ68" i="7" s="1"/>
  <c r="DT84" i="70"/>
  <c r="FM84" i="70" s="1"/>
  <c r="DF74" i="7" s="1"/>
  <c r="DU84" i="70"/>
  <c r="FN84" i="70" s="1"/>
  <c r="DG74" i="7" s="1"/>
  <c r="DF92" i="70"/>
  <c r="DG92" i="70"/>
  <c r="DF82" i="70"/>
  <c r="EK82" i="70" s="1"/>
  <c r="CP72" i="7" s="1"/>
  <c r="DG82" i="70"/>
  <c r="DG72" i="70"/>
  <c r="DF72" i="70"/>
  <c r="DF42" i="70"/>
  <c r="DG42" i="70"/>
  <c r="CE42" i="70"/>
  <c r="CD42" i="70"/>
  <c r="CS97" i="70"/>
  <c r="CR97" i="70"/>
  <c r="M38" i="70"/>
  <c r="L38" i="70"/>
  <c r="Z20" i="70"/>
  <c r="EY20" i="70" s="1"/>
  <c r="AA20" i="70"/>
  <c r="EZ20" i="70" s="1"/>
  <c r="BC12" i="70"/>
  <c r="BB12" i="70"/>
  <c r="BP47" i="70"/>
  <c r="BQ47" i="70"/>
  <c r="AO53" i="57"/>
  <c r="AN53" i="57"/>
  <c r="CD12" i="57"/>
  <c r="CE12" i="57"/>
  <c r="AA30" i="57"/>
  <c r="Z30" i="57"/>
  <c r="GQ12" i="57"/>
  <c r="CD85" i="57"/>
  <c r="CE85" i="57"/>
  <c r="BC12" i="57"/>
  <c r="GB12" i="57" s="1"/>
  <c r="BB12" i="57"/>
  <c r="AO10" i="57"/>
  <c r="AN10" i="57"/>
  <c r="AO63" i="57"/>
  <c r="AN63" i="57"/>
  <c r="FW50" i="57"/>
  <c r="AF40" i="7" s="1"/>
  <c r="BD50" i="57"/>
  <c r="BD55" i="57"/>
  <c r="CT61" i="57"/>
  <c r="CD28" i="57"/>
  <c r="CE28" i="57"/>
  <c r="AA83" i="57"/>
  <c r="Z83" i="57"/>
  <c r="BP34" i="57"/>
  <c r="BQ34" i="57"/>
  <c r="FZ1" i="56"/>
  <c r="GA1" i="56" s="1"/>
  <c r="CB13" i="7"/>
  <c r="FW60" i="57"/>
  <c r="AF50" i="7" s="1"/>
  <c r="BD60" i="57"/>
  <c r="CE62" i="57"/>
  <c r="CD62" i="57"/>
  <c r="AO45" i="57"/>
  <c r="AN45" i="57"/>
  <c r="I1" i="7"/>
  <c r="EH4" i="57"/>
  <c r="L40" i="57"/>
  <c r="M40" i="57"/>
  <c r="CF55" i="57"/>
  <c r="CF65" i="57"/>
  <c r="CF51" i="57"/>
  <c r="CF62" i="57"/>
  <c r="CF74" i="57"/>
  <c r="CF53" i="57"/>
  <c r="CF71" i="57"/>
  <c r="CF70" i="57"/>
  <c r="CF31" i="57"/>
  <c r="CF50" i="57"/>
  <c r="CF58" i="57"/>
  <c r="CF68" i="57"/>
  <c r="GC9" i="57"/>
  <c r="AJ19" i="7" s="1"/>
  <c r="CF47" i="57"/>
  <c r="CF34" i="57"/>
  <c r="CF61" i="57"/>
  <c r="CF30" i="57"/>
  <c r="CF40" i="57"/>
  <c r="CF38" i="57"/>
  <c r="CF56" i="57"/>
  <c r="CF49" i="57"/>
  <c r="CF42" i="57"/>
  <c r="CF44" i="57"/>
  <c r="CF37" i="57"/>
  <c r="CF33" i="57"/>
  <c r="CF69" i="57"/>
  <c r="CF63" i="57"/>
  <c r="CF60" i="57"/>
  <c r="CF72" i="57"/>
  <c r="CF45" i="57"/>
  <c r="CF52" i="57"/>
  <c r="CF64" i="57"/>
  <c r="CF73" i="57"/>
  <c r="CF35" i="57"/>
  <c r="CF67" i="57"/>
  <c r="BD38" i="56"/>
  <c r="BD60" i="56"/>
  <c r="BD67" i="56"/>
  <c r="BD31" i="56"/>
  <c r="BD69" i="56"/>
  <c r="BD42" i="56"/>
  <c r="BD51" i="56"/>
  <c r="BD41" i="56"/>
  <c r="BD62" i="56"/>
  <c r="BD54" i="56"/>
  <c r="BD71" i="56"/>
  <c r="BD68" i="56"/>
  <c r="BD52" i="56"/>
  <c r="BD40" i="56"/>
  <c r="BD43" i="56"/>
  <c r="BD61" i="56"/>
  <c r="BD53" i="56"/>
  <c r="BD34" i="56"/>
  <c r="BD33" i="56"/>
  <c r="BD70" i="56"/>
  <c r="BD45" i="56"/>
  <c r="BD46" i="56"/>
  <c r="BD36" i="56"/>
  <c r="BD64" i="56"/>
  <c r="BD47" i="56"/>
  <c r="BD50" i="56"/>
  <c r="BD73" i="56"/>
  <c r="BD57" i="56"/>
  <c r="BD48" i="56"/>
  <c r="BD63" i="56"/>
  <c r="BD37" i="56"/>
  <c r="BD66" i="56"/>
  <c r="BD35" i="56"/>
  <c r="BD44" i="56"/>
  <c r="BD72" i="56"/>
  <c r="BD65" i="56"/>
  <c r="BD74" i="56"/>
  <c r="BD55" i="56"/>
  <c r="BD32" i="56"/>
  <c r="BD49" i="56"/>
  <c r="BD39" i="56"/>
  <c r="BD30" i="56"/>
  <c r="BD59" i="56"/>
  <c r="HI54" i="56"/>
  <c r="HJ54" i="56" s="1"/>
  <c r="DP107" i="57"/>
  <c r="DP108" i="57"/>
  <c r="DP109" i="57"/>
  <c r="DP110" i="57"/>
  <c r="DP97" i="57"/>
  <c r="DP95" i="57"/>
  <c r="DP94" i="57"/>
  <c r="DP93" i="57"/>
  <c r="DP88" i="57"/>
  <c r="DP85" i="57"/>
  <c r="DP84" i="57"/>
  <c r="DP83" i="57"/>
  <c r="DP80" i="57"/>
  <c r="DP70" i="57"/>
  <c r="DP66" i="57"/>
  <c r="DP60" i="57"/>
  <c r="DP55" i="57"/>
  <c r="DP53" i="57"/>
  <c r="DP51" i="57"/>
  <c r="DP13" i="57"/>
  <c r="DP23" i="57"/>
  <c r="DP105" i="57"/>
  <c r="DP100" i="57"/>
  <c r="DP92" i="57"/>
  <c r="DP78" i="57"/>
  <c r="DP75" i="57"/>
  <c r="DP69" i="57"/>
  <c r="DP67" i="57"/>
  <c r="DP65" i="57"/>
  <c r="DP59" i="57"/>
  <c r="DP52" i="57"/>
  <c r="DP50" i="57"/>
  <c r="DP47" i="57"/>
  <c r="DP46" i="57"/>
  <c r="DP45" i="57"/>
  <c r="DP44" i="57"/>
  <c r="DP43" i="57"/>
  <c r="DP41" i="57"/>
  <c r="DP35" i="57"/>
  <c r="DP34" i="57"/>
  <c r="DP32" i="57"/>
  <c r="DP30" i="57"/>
  <c r="DP104" i="57"/>
  <c r="DP79" i="57"/>
  <c r="DP77" i="57"/>
  <c r="DP76" i="57"/>
  <c r="DP61" i="57"/>
  <c r="DP36" i="57"/>
  <c r="DP33" i="57"/>
  <c r="DP31" i="57"/>
  <c r="DP29" i="57"/>
  <c r="DP103" i="57"/>
  <c r="DP91" i="57"/>
  <c r="FI91" i="57" s="1"/>
  <c r="X81" i="7" s="1"/>
  <c r="DP87" i="57"/>
  <c r="DP73" i="57"/>
  <c r="DP72" i="57"/>
  <c r="FI72" i="57" s="1"/>
  <c r="X62" i="7" s="1"/>
  <c r="DP71" i="57"/>
  <c r="DP64" i="57"/>
  <c r="DP57" i="57"/>
  <c r="DP38" i="57"/>
  <c r="DP12" i="57"/>
  <c r="DP18" i="57"/>
  <c r="DP19" i="57"/>
  <c r="DP22" i="57"/>
  <c r="DP25" i="57"/>
  <c r="DP28" i="57"/>
  <c r="DP10" i="57"/>
  <c r="DP102" i="57"/>
  <c r="DP101" i="57"/>
  <c r="DP99" i="57"/>
  <c r="DP82" i="57"/>
  <c r="DP81" i="57"/>
  <c r="DP74" i="57"/>
  <c r="DP58" i="57"/>
  <c r="DP56" i="57"/>
  <c r="DP54" i="57"/>
  <c r="DP49" i="57"/>
  <c r="DP48" i="57"/>
  <c r="DP40" i="57"/>
  <c r="DP39" i="57"/>
  <c r="DP11" i="57"/>
  <c r="DP14" i="57"/>
  <c r="DP17" i="57"/>
  <c r="DP20" i="57"/>
  <c r="DP24" i="57"/>
  <c r="DP26" i="57"/>
  <c r="DP106" i="57"/>
  <c r="DP96" i="57"/>
  <c r="DP90" i="57"/>
  <c r="DP68" i="57"/>
  <c r="DP98" i="57"/>
  <c r="DP37" i="57"/>
  <c r="DP89" i="57"/>
  <c r="DP86" i="57"/>
  <c r="DP63" i="57"/>
  <c r="DP62" i="57"/>
  <c r="DP15" i="57"/>
  <c r="DP16" i="57"/>
  <c r="DP21" i="57"/>
  <c r="DP27" i="57"/>
  <c r="DP42" i="57"/>
  <c r="FQ18" i="46"/>
  <c r="FO15" i="45"/>
  <c r="BA13" i="45"/>
  <c r="BA15" i="45" s="1"/>
  <c r="BF13" i="45"/>
  <c r="BF15" i="45" s="1"/>
  <c r="AV13" i="45"/>
  <c r="AV15" i="45" s="1"/>
  <c r="AH15" i="7"/>
  <c r="AI13" i="7"/>
  <c r="AA61" i="57"/>
  <c r="Z61" i="57"/>
  <c r="GP22" i="57"/>
  <c r="BB13" i="57"/>
  <c r="BC13" i="57"/>
  <c r="GB13" i="57" s="1"/>
  <c r="CE27" i="57"/>
  <c r="GB27" i="57" s="1"/>
  <c r="CD27" i="57"/>
  <c r="GA27" i="57" s="1"/>
  <c r="CE49" i="57"/>
  <c r="CD49" i="57"/>
  <c r="BE45" i="56"/>
  <c r="BE42" i="56"/>
  <c r="BE71" i="56"/>
  <c r="BE55" i="56"/>
  <c r="BE36" i="56"/>
  <c r="BE60" i="56"/>
  <c r="BE50" i="56"/>
  <c r="BE58" i="56"/>
  <c r="BE64" i="56"/>
  <c r="BE69" i="56"/>
  <c r="BE53" i="56"/>
  <c r="BE40" i="56"/>
  <c r="BE39" i="56"/>
  <c r="BE67" i="56"/>
  <c r="BE46" i="56"/>
  <c r="BE68" i="56"/>
  <c r="BE32" i="56"/>
  <c r="BE37" i="56"/>
  <c r="BE73" i="56"/>
  <c r="BE48" i="56"/>
  <c r="BE31" i="56"/>
  <c r="BE41" i="56"/>
  <c r="BE59" i="56"/>
  <c r="BE70" i="56"/>
  <c r="BE74" i="56"/>
  <c r="BE62" i="56"/>
  <c r="BE56" i="56"/>
  <c r="BE61" i="56"/>
  <c r="BE35" i="56"/>
  <c r="BE43" i="56"/>
  <c r="BE51" i="56"/>
  <c r="BE38" i="56"/>
  <c r="BE66" i="56"/>
  <c r="BE49" i="56"/>
  <c r="BE47" i="56"/>
  <c r="BE57" i="56"/>
  <c r="BE34" i="56"/>
  <c r="BE52" i="56"/>
  <c r="BE30" i="56"/>
  <c r="BE63" i="56"/>
  <c r="BE72" i="56"/>
  <c r="BE44" i="56"/>
  <c r="BE65" i="56"/>
  <c r="Y1" i="7"/>
  <c r="FJ4" i="57"/>
  <c r="CR79" i="70"/>
  <c r="M92" i="70"/>
  <c r="EL92" i="70" s="1"/>
  <c r="CQ82" i="7" s="1"/>
  <c r="BS48" i="57"/>
  <c r="BS55" i="57"/>
  <c r="DF81" i="56"/>
  <c r="DG81" i="56"/>
  <c r="EZ81" i="56" s="1"/>
  <c r="BI71" i="7" s="1"/>
  <c r="BP91" i="57"/>
  <c r="BQ91" i="57"/>
  <c r="AO88" i="57"/>
  <c r="AN88" i="57"/>
  <c r="GC104" i="56"/>
  <c r="BZ94" i="7" s="1"/>
  <c r="FA104" i="56"/>
  <c r="BJ94" i="7" s="1"/>
  <c r="FB103" i="56"/>
  <c r="BK93" i="7" s="1"/>
  <c r="CS89" i="56"/>
  <c r="GB89" i="56" s="1"/>
  <c r="BY79" i="7" s="1"/>
  <c r="CR89" i="56"/>
  <c r="GC80" i="56"/>
  <c r="BZ70" i="7" s="1"/>
  <c r="EM80" i="56"/>
  <c r="BB70" i="7" s="1"/>
  <c r="CR62" i="56"/>
  <c r="CS62" i="56"/>
  <c r="CR47" i="56"/>
  <c r="CS47" i="56"/>
  <c r="CR14" i="56"/>
  <c r="CS14" i="56"/>
  <c r="Z68" i="57"/>
  <c r="AA68" i="57"/>
  <c r="DF17" i="56"/>
  <c r="DG17" i="56"/>
  <c r="GB81" i="56"/>
  <c r="BY71" i="7" s="1"/>
  <c r="DF29" i="56"/>
  <c r="DG29" i="56"/>
  <c r="EL29" i="56" s="1"/>
  <c r="CE99" i="57"/>
  <c r="CD99" i="57"/>
  <c r="GA99" i="57" s="1"/>
  <c r="AH89" i="7" s="1"/>
  <c r="AO46" i="57"/>
  <c r="AN46" i="57"/>
  <c r="BP27" i="57"/>
  <c r="EY27" i="57" s="1"/>
  <c r="BQ27" i="57"/>
  <c r="CD63" i="56"/>
  <c r="FM63" i="56" s="1"/>
  <c r="BP53" i="7" s="1"/>
  <c r="CE63" i="56"/>
  <c r="DG41" i="56"/>
  <c r="DF41" i="56"/>
  <c r="EY41" i="56" s="1"/>
  <c r="BH31" i="7" s="1"/>
  <c r="M11" i="57"/>
  <c r="EL11" i="57" s="1"/>
  <c r="L11" i="57"/>
  <c r="EK11" i="57" s="1"/>
  <c r="EZ44" i="56"/>
  <c r="BI34" i="7" s="1"/>
  <c r="HI83" i="56"/>
  <c r="HK83" i="56" s="1"/>
  <c r="DU24" i="70"/>
  <c r="CD86" i="57"/>
  <c r="GA86" i="57" s="1"/>
  <c r="AH76" i="7" s="1"/>
  <c r="EN93" i="56"/>
  <c r="BC83" i="7" s="1"/>
  <c r="EN90" i="56"/>
  <c r="BC80" i="7" s="1"/>
  <c r="EN23" i="56"/>
  <c r="EN95" i="56"/>
  <c r="BC85" i="7" s="1"/>
  <c r="GD28" i="56"/>
  <c r="GD3" i="56"/>
  <c r="GD93" i="56"/>
  <c r="CA83" i="7" s="1"/>
  <c r="GD84" i="56"/>
  <c r="CA74" i="7" s="1"/>
  <c r="GD89" i="56"/>
  <c r="CA79" i="7" s="1"/>
  <c r="GD81" i="56"/>
  <c r="CA71" i="7" s="1"/>
  <c r="GD85" i="56"/>
  <c r="CA75" i="7" s="1"/>
  <c r="GD88" i="56"/>
  <c r="CA78" i="7" s="1"/>
  <c r="GD16" i="56"/>
  <c r="GD83" i="56"/>
  <c r="CA73" i="7" s="1"/>
  <c r="GD22" i="56"/>
  <c r="GD20" i="56"/>
  <c r="GD91" i="56"/>
  <c r="CA81" i="7" s="1"/>
  <c r="GD107" i="56"/>
  <c r="CA97" i="7" s="1"/>
  <c r="GD11" i="56"/>
  <c r="GD18" i="56"/>
  <c r="GD94" i="56"/>
  <c r="CA84" i="7" s="1"/>
  <c r="GD78" i="56"/>
  <c r="CA68" i="7" s="1"/>
  <c r="GD23" i="56"/>
  <c r="GD87" i="56"/>
  <c r="CA77" i="7" s="1"/>
  <c r="GD102" i="56"/>
  <c r="CA92" i="7" s="1"/>
  <c r="GD15" i="56"/>
  <c r="GD10" i="56"/>
  <c r="CA130" i="7" s="1"/>
  <c r="BS36" i="57"/>
  <c r="BS72" i="57"/>
  <c r="GA41" i="56"/>
  <c r="BX31" i="7" s="1"/>
  <c r="CR87" i="56"/>
  <c r="CT52" i="57"/>
  <c r="CT67" i="57"/>
  <c r="CT49" i="57"/>
  <c r="DI27" i="57"/>
  <c r="DI28" i="57"/>
  <c r="DI29" i="57"/>
  <c r="GR29" i="57" s="1"/>
  <c r="DI25" i="57"/>
  <c r="GR25" i="57" s="1"/>
  <c r="EN109" i="56"/>
  <c r="BC99" i="7" s="1"/>
  <c r="FB105" i="56"/>
  <c r="BK95" i="7" s="1"/>
  <c r="EN105" i="56"/>
  <c r="BC95" i="7" s="1"/>
  <c r="AN94" i="57"/>
  <c r="AO94" i="57"/>
  <c r="AQ8" i="57"/>
  <c r="AP8" i="57"/>
  <c r="DV8" i="57"/>
  <c r="DW8" i="57"/>
  <c r="CD11" i="56"/>
  <c r="CE11" i="56"/>
  <c r="BP60" i="57"/>
  <c r="BQ60" i="57"/>
  <c r="BB94" i="56"/>
  <c r="BC94" i="56"/>
  <c r="DT107" i="56"/>
  <c r="DU107" i="56"/>
  <c r="FN3" i="56"/>
  <c r="FN48" i="56"/>
  <c r="BQ38" i="7" s="1"/>
  <c r="FN61" i="56"/>
  <c r="BQ51" i="7" s="1"/>
  <c r="FO8" i="56"/>
  <c r="FO98" i="56" s="1"/>
  <c r="BR88" i="7" s="1"/>
  <c r="FN106" i="56"/>
  <c r="BQ96" i="7" s="1"/>
  <c r="EN83" i="56"/>
  <c r="BC73" i="7" s="1"/>
  <c r="EN78" i="56"/>
  <c r="BC68" i="7" s="1"/>
  <c r="EN101" i="56"/>
  <c r="BC91" i="7" s="1"/>
  <c r="EN80" i="56"/>
  <c r="BC70" i="7" s="1"/>
  <c r="EN15" i="56"/>
  <c r="EN77" i="56"/>
  <c r="BC67" i="7" s="1"/>
  <c r="EN18" i="56"/>
  <c r="EN87" i="56"/>
  <c r="BC77" i="7" s="1"/>
  <c r="EN81" i="56"/>
  <c r="BC71" i="7" s="1"/>
  <c r="EN89" i="56"/>
  <c r="BC79" i="7" s="1"/>
  <c r="EN13" i="56"/>
  <c r="EN75" i="56"/>
  <c r="BC65" i="7" s="1"/>
  <c r="EN107" i="56"/>
  <c r="BC97" i="7" s="1"/>
  <c r="EN16" i="56"/>
  <c r="EN102" i="56"/>
  <c r="BC92" i="7" s="1"/>
  <c r="EN14" i="56"/>
  <c r="EN20" i="56"/>
  <c r="EN19" i="56"/>
  <c r="EK102" i="56"/>
  <c r="AZ92" i="7" s="1"/>
  <c r="BS71" i="57"/>
  <c r="BS37" i="57"/>
  <c r="BS45" i="57"/>
  <c r="BS53" i="57"/>
  <c r="BS50" i="57"/>
  <c r="BS73" i="57"/>
  <c r="BS68" i="57"/>
  <c r="BS40" i="57"/>
  <c r="BS74" i="57"/>
  <c r="BS54" i="57"/>
  <c r="BS70" i="57"/>
  <c r="BS57" i="57"/>
  <c r="BS33" i="57"/>
  <c r="BS41" i="57"/>
  <c r="BS49" i="57"/>
  <c r="BS34" i="57"/>
  <c r="BS69" i="57"/>
  <c r="BS60" i="57"/>
  <c r="BS30" i="57"/>
  <c r="BS56" i="57"/>
  <c r="BS38" i="57"/>
  <c r="BS58" i="57"/>
  <c r="BS52" i="57"/>
  <c r="BS61" i="57"/>
  <c r="BS35" i="57"/>
  <c r="BS43" i="57"/>
  <c r="BS51" i="57"/>
  <c r="BS42" i="57"/>
  <c r="BS44" i="57"/>
  <c r="BS64" i="57"/>
  <c r="BS32" i="57"/>
  <c r="BS66" i="57"/>
  <c r="BS46" i="57"/>
  <c r="BS62" i="57"/>
  <c r="BD28" i="57"/>
  <c r="BD26" i="57"/>
  <c r="BD29" i="57"/>
  <c r="BD25" i="57"/>
  <c r="AQ29" i="56"/>
  <c r="AQ25" i="56"/>
  <c r="AQ26" i="56"/>
  <c r="AQ28" i="56"/>
  <c r="GD98" i="56"/>
  <c r="CA88" i="7" s="1"/>
  <c r="EN98" i="56"/>
  <c r="BC88" i="7" s="1"/>
  <c r="AA13" i="57"/>
  <c r="Z13" i="57"/>
  <c r="EY13" i="57" s="1"/>
  <c r="CR19" i="57"/>
  <c r="CS19" i="57"/>
  <c r="EZ8" i="57"/>
  <c r="EY3" i="57"/>
  <c r="BB64" i="56"/>
  <c r="BC64" i="56"/>
  <c r="CE43" i="56"/>
  <c r="CD43" i="56"/>
  <c r="GO43" i="56" s="1"/>
  <c r="CF33" i="7" s="1"/>
  <c r="AN30" i="57"/>
  <c r="AO30" i="57"/>
  <c r="HI19" i="56"/>
  <c r="HK19" i="56" s="1"/>
  <c r="EK94" i="56"/>
  <c r="AZ84" i="7" s="1"/>
  <c r="DF97" i="56"/>
  <c r="GA97" i="56" s="1"/>
  <c r="BX87" i="7" s="1"/>
  <c r="DG97" i="56"/>
  <c r="DG18" i="56"/>
  <c r="GB18" i="56" s="1"/>
  <c r="DF18" i="56"/>
  <c r="GA18" i="56" s="1"/>
  <c r="CE105" i="57"/>
  <c r="GB105" i="57" s="1"/>
  <c r="AI95" i="7" s="1"/>
  <c r="CD105" i="57"/>
  <c r="BQ103" i="57"/>
  <c r="BP103" i="57"/>
  <c r="DG30" i="56"/>
  <c r="EL30" i="56" s="1"/>
  <c r="BA20" i="7" s="1"/>
  <c r="DF30" i="56"/>
  <c r="BC14" i="57"/>
  <c r="BB14" i="57"/>
  <c r="AO23" i="57"/>
  <c r="AN23" i="57"/>
  <c r="BQ25" i="57"/>
  <c r="BP25" i="57"/>
  <c r="EY25" i="57" s="1"/>
  <c r="BD8" i="56"/>
  <c r="BE8" i="56"/>
  <c r="AO60" i="56"/>
  <c r="AN60" i="56"/>
  <c r="GB97" i="56"/>
  <c r="BY87" i="7" s="1"/>
  <c r="CR57" i="56"/>
  <c r="GA57" i="56" s="1"/>
  <c r="BX47" i="7" s="1"/>
  <c r="CS57" i="56"/>
  <c r="GB57" i="56" s="1"/>
  <c r="BY47" i="7" s="1"/>
  <c r="AN67" i="57"/>
  <c r="AO67" i="57"/>
  <c r="EK18" i="56"/>
  <c r="CR10" i="56"/>
  <c r="CS10" i="56"/>
  <c r="GB10" i="56" s="1"/>
  <c r="BY130" i="7" s="1"/>
  <c r="GA65" i="56"/>
  <c r="BX55" i="7" s="1"/>
  <c r="EY65" i="56"/>
  <c r="BH55" i="7" s="1"/>
  <c r="Z46" i="57"/>
  <c r="AA46" i="57"/>
  <c r="AA33" i="57"/>
  <c r="Z33" i="57"/>
  <c r="CD67" i="56"/>
  <c r="CE67" i="56"/>
  <c r="BP72" i="57"/>
  <c r="BQ72" i="57"/>
  <c r="CE49" i="56"/>
  <c r="GP49" i="56" s="1"/>
  <c r="CG39" i="7" s="1"/>
  <c r="CD49" i="56"/>
  <c r="GO49" i="56" s="1"/>
  <c r="CF39" i="7" s="1"/>
  <c r="GO31" i="56"/>
  <c r="CF21" i="7" s="1"/>
  <c r="DU27" i="56"/>
  <c r="FN27" i="56" s="1"/>
  <c r="DT27" i="56"/>
  <c r="FM27" i="56" s="1"/>
  <c r="A132" i="55"/>
  <c r="A131" i="38"/>
  <c r="A131" i="45"/>
  <c r="A131" i="46"/>
  <c r="HI22" i="56"/>
  <c r="HJ22" i="56" s="1"/>
  <c r="HI51" i="56"/>
  <c r="HK51" i="56" s="1"/>
  <c r="HI86" i="56"/>
  <c r="HJ86" i="56" s="1"/>
  <c r="AC20" i="56"/>
  <c r="FB20" i="56" s="1"/>
  <c r="Y20" i="56"/>
  <c r="AA20" i="56" s="1"/>
  <c r="DS77" i="56"/>
  <c r="DT77" i="56" s="1"/>
  <c r="DW77" i="56"/>
  <c r="BO52" i="56"/>
  <c r="BP52" i="56" s="1"/>
  <c r="EU54" i="56"/>
  <c r="BF44" i="7" s="1"/>
  <c r="BO54" i="56"/>
  <c r="BQ54" i="56" s="1"/>
  <c r="EZ54" i="56" s="1"/>
  <c r="BI44" i="7" s="1"/>
  <c r="GD21" i="57"/>
  <c r="GD24" i="57"/>
  <c r="EK46" i="56"/>
  <c r="AZ36" i="7" s="1"/>
  <c r="EZ53" i="56"/>
  <c r="BI43" i="7" s="1"/>
  <c r="EM15" i="56"/>
  <c r="GP37" i="56"/>
  <c r="CG27" i="7" s="1"/>
  <c r="FM53" i="56"/>
  <c r="BP43" i="7" s="1"/>
  <c r="EL21" i="56"/>
  <c r="GC77" i="57"/>
  <c r="AJ67" i="7" s="1"/>
  <c r="GC79" i="57"/>
  <c r="AJ69" i="7" s="1"/>
  <c r="GC105" i="57"/>
  <c r="AJ95" i="7" s="1"/>
  <c r="GC85" i="57"/>
  <c r="AJ75" i="7" s="1"/>
  <c r="GC93" i="57"/>
  <c r="AJ83" i="7" s="1"/>
  <c r="GC100" i="57"/>
  <c r="AJ90" i="7" s="1"/>
  <c r="GC76" i="57"/>
  <c r="AJ66" i="7" s="1"/>
  <c r="N102" i="57"/>
  <c r="EM102" i="57" s="1"/>
  <c r="L92" i="7" s="1"/>
  <c r="K102" i="57"/>
  <c r="M102" i="57" s="1"/>
  <c r="N90" i="57"/>
  <c r="L86" i="57"/>
  <c r="N86" i="57"/>
  <c r="K86" i="57"/>
  <c r="M86" i="57" s="1"/>
  <c r="N78" i="57"/>
  <c r="L78" i="57"/>
  <c r="GC95" i="57"/>
  <c r="AJ85" i="7" s="1"/>
  <c r="DF93" i="56"/>
  <c r="DG93" i="56"/>
  <c r="GB93" i="56" s="1"/>
  <c r="BY83" i="7" s="1"/>
  <c r="DG22" i="56"/>
  <c r="GB22" i="56" s="1"/>
  <c r="DF22" i="56"/>
  <c r="GA22" i="56" s="1"/>
  <c r="BC24" i="57"/>
  <c r="BB24" i="57"/>
  <c r="GB29" i="56"/>
  <c r="BR72" i="57"/>
  <c r="BR32" i="57"/>
  <c r="BR40" i="57"/>
  <c r="BR48" i="57"/>
  <c r="BR56" i="57"/>
  <c r="BR49" i="57"/>
  <c r="BR51" i="57"/>
  <c r="BR67" i="57"/>
  <c r="BR47" i="57"/>
  <c r="BR64" i="57"/>
  <c r="BR62" i="57"/>
  <c r="BR43" i="57"/>
  <c r="BB10" i="56"/>
  <c r="BC10" i="56"/>
  <c r="CD80" i="56"/>
  <c r="GO80" i="56" s="1"/>
  <c r="CF70" i="7" s="1"/>
  <c r="CE80" i="56"/>
  <c r="GP80" i="56" s="1"/>
  <c r="CG70" i="7" s="1"/>
  <c r="CD95" i="57"/>
  <c r="GA95" i="57" s="1"/>
  <c r="AH85" i="7" s="1"/>
  <c r="CE95" i="57"/>
  <c r="CS101" i="56"/>
  <c r="GB101" i="56" s="1"/>
  <c r="BY91" i="7" s="1"/>
  <c r="CR101" i="56"/>
  <c r="GA101" i="56" s="1"/>
  <c r="BX91" i="7" s="1"/>
  <c r="BC78" i="56"/>
  <c r="GP78" i="56" s="1"/>
  <c r="CG68" i="7" s="1"/>
  <c r="BB78" i="56"/>
  <c r="GA93" i="56"/>
  <c r="BX83" i="7" s="1"/>
  <c r="AU7" i="57"/>
  <c r="FT6" i="57"/>
  <c r="ED6" i="57"/>
  <c r="AV6" i="57"/>
  <c r="BC100" i="56"/>
  <c r="GP100" i="56" s="1"/>
  <c r="CG90" i="7" s="1"/>
  <c r="BB100" i="56"/>
  <c r="GO100" i="56" s="1"/>
  <c r="CF90" i="7" s="1"/>
  <c r="CS17" i="57"/>
  <c r="EZ17" i="57" s="1"/>
  <c r="CR17" i="57"/>
  <c r="DF19" i="57"/>
  <c r="DG19" i="57"/>
  <c r="HI35" i="56"/>
  <c r="HK35" i="56" s="1"/>
  <c r="HI70" i="56"/>
  <c r="HJ70" i="56" s="1"/>
  <c r="HI99" i="56"/>
  <c r="HK99" i="56" s="1"/>
  <c r="L48" i="57"/>
  <c r="DI9" i="56"/>
  <c r="DH9" i="56"/>
  <c r="CS98" i="56"/>
  <c r="CR98" i="56"/>
  <c r="DG78" i="56"/>
  <c r="CR23" i="56"/>
  <c r="FM23" i="56" s="1"/>
  <c r="CS23" i="56"/>
  <c r="GA109" i="56"/>
  <c r="BX99" i="7" s="1"/>
  <c r="FN13" i="56"/>
  <c r="BC28" i="57"/>
  <c r="BB28" i="57"/>
  <c r="GA28" i="57" s="1"/>
  <c r="AN27" i="57"/>
  <c r="AO27" i="57"/>
  <c r="BQ108" i="57"/>
  <c r="BP108" i="57"/>
  <c r="GA105" i="56"/>
  <c r="BX95" i="7" s="1"/>
  <c r="GA15" i="57"/>
  <c r="BQ104" i="57"/>
  <c r="BP104" i="57"/>
  <c r="CE59" i="57"/>
  <c r="GB59" i="57" s="1"/>
  <c r="AI49" i="7" s="1"/>
  <c r="CD59" i="57"/>
  <c r="DF40" i="56"/>
  <c r="DG40" i="56"/>
  <c r="AW6" i="56"/>
  <c r="GI6" i="56"/>
  <c r="BB23" i="56"/>
  <c r="BC23" i="56"/>
  <c r="BC88" i="56"/>
  <c r="BB88" i="56"/>
  <c r="DT89" i="56"/>
  <c r="DU89" i="56"/>
  <c r="AN12" i="56"/>
  <c r="AO12" i="56"/>
  <c r="Z93" i="56"/>
  <c r="EY93" i="56" s="1"/>
  <c r="BH83" i="7" s="1"/>
  <c r="AA93" i="56"/>
  <c r="DT59" i="56"/>
  <c r="DU59" i="56"/>
  <c r="AA16" i="56"/>
  <c r="Z16" i="56"/>
  <c r="EZ106" i="56"/>
  <c r="BI96" i="7" s="1"/>
  <c r="HI38" i="56"/>
  <c r="HJ38" i="56" s="1"/>
  <c r="HI67" i="56"/>
  <c r="HK67" i="56" s="1"/>
  <c r="HI102" i="56"/>
  <c r="HJ102" i="56" s="1"/>
  <c r="AP109" i="56"/>
  <c r="FO109" i="56" s="1"/>
  <c r="BR99" i="7" s="1"/>
  <c r="AM109" i="56"/>
  <c r="BO60" i="56"/>
  <c r="EV60" i="56"/>
  <c r="BG50" i="7" s="1"/>
  <c r="DS33" i="56"/>
  <c r="FJ33" i="56"/>
  <c r="BO23" i="7" s="1"/>
  <c r="EG36" i="56"/>
  <c r="AX26" i="7" s="1"/>
  <c r="L100" i="56"/>
  <c r="M100" i="56"/>
  <c r="CC55" i="56"/>
  <c r="CE55" i="56" s="1"/>
  <c r="GK55" i="56"/>
  <c r="CD45" i="7" s="1"/>
  <c r="FI55" i="56"/>
  <c r="BN45" i="7" s="1"/>
  <c r="GK56" i="56"/>
  <c r="CD46" i="7" s="1"/>
  <c r="CC56" i="56"/>
  <c r="FI56" i="56"/>
  <c r="BN46" i="7" s="1"/>
  <c r="BB87" i="56"/>
  <c r="BC87" i="56"/>
  <c r="CF89" i="56"/>
  <c r="CC89" i="56"/>
  <c r="CE89" i="56" s="1"/>
  <c r="GP89" i="56" s="1"/>
  <c r="CG79" i="7" s="1"/>
  <c r="FI89" i="56"/>
  <c r="BN79" i="7" s="1"/>
  <c r="EL89" i="56"/>
  <c r="BA79" i="7" s="1"/>
  <c r="BA97" i="56"/>
  <c r="BB97" i="56" s="1"/>
  <c r="BB56" i="56"/>
  <c r="BC56" i="56"/>
  <c r="CD87" i="56"/>
  <c r="CE87" i="56"/>
  <c r="DT71" i="56"/>
  <c r="FM71" i="56" s="1"/>
  <c r="BP61" i="7" s="1"/>
  <c r="DU71" i="56"/>
  <c r="FN71" i="56" s="1"/>
  <c r="BQ61" i="7" s="1"/>
  <c r="Z105" i="56"/>
  <c r="AA105" i="56"/>
  <c r="AA88" i="56"/>
  <c r="Z88" i="56"/>
  <c r="Z58" i="56"/>
  <c r="AA58" i="56"/>
  <c r="CE14" i="38"/>
  <c r="HI11" i="56"/>
  <c r="HK11" i="56" s="1"/>
  <c r="HI27" i="56"/>
  <c r="HK27" i="56" s="1"/>
  <c r="HI43" i="56"/>
  <c r="HK43" i="56" s="1"/>
  <c r="HI59" i="56"/>
  <c r="HK59" i="56" s="1"/>
  <c r="HI75" i="56"/>
  <c r="HK75" i="56" s="1"/>
  <c r="HI91" i="56"/>
  <c r="HK91" i="56" s="1"/>
  <c r="HI107" i="56"/>
  <c r="HK107" i="56" s="1"/>
  <c r="HK110" i="56"/>
  <c r="AA31" i="56"/>
  <c r="BQ56" i="56"/>
  <c r="BO94" i="56"/>
  <c r="BS94" i="56"/>
  <c r="FB94" i="56" s="1"/>
  <c r="BK84" i="7" s="1"/>
  <c r="X8" i="56"/>
  <c r="Y8" i="56" s="1"/>
  <c r="DU35" i="56"/>
  <c r="AL9" i="56"/>
  <c r="AM9" i="56" s="1"/>
  <c r="AM42" i="56"/>
  <c r="AN42" i="56" s="1"/>
  <c r="FM42" i="56" s="1"/>
  <c r="BP32" i="7" s="1"/>
  <c r="DS54" i="56"/>
  <c r="DT54" i="56" s="1"/>
  <c r="FM54" i="56" s="1"/>
  <c r="BP44" i="7" s="1"/>
  <c r="DW85" i="56"/>
  <c r="DU85" i="56"/>
  <c r="DS99" i="56"/>
  <c r="DW99" i="56"/>
  <c r="DU103" i="56"/>
  <c r="FN103" i="56" s="1"/>
  <c r="BQ93" i="7" s="1"/>
  <c r="BR76" i="56"/>
  <c r="FA76" i="56" s="1"/>
  <c r="BJ66" i="7" s="1"/>
  <c r="EU76" i="56"/>
  <c r="BF66" i="7" s="1"/>
  <c r="BO76" i="56"/>
  <c r="BQ76" i="56" s="1"/>
  <c r="EZ76" i="56" s="1"/>
  <c r="BI66" i="7" s="1"/>
  <c r="BR89" i="56"/>
  <c r="FA89" i="56" s="1"/>
  <c r="BJ79" i="7" s="1"/>
  <c r="BO89" i="56"/>
  <c r="BP89" i="56" s="1"/>
  <c r="EY89" i="56" s="1"/>
  <c r="BH79" i="7" s="1"/>
  <c r="EU89" i="56"/>
  <c r="BF79" i="7" s="1"/>
  <c r="AB95" i="56"/>
  <c r="FA95" i="56" s="1"/>
  <c r="BJ85" i="7" s="1"/>
  <c r="Y95" i="56"/>
  <c r="BO97" i="56"/>
  <c r="BP97" i="56" s="1"/>
  <c r="EY97" i="56" s="1"/>
  <c r="BH87" i="7" s="1"/>
  <c r="EU97" i="56"/>
  <c r="BF87" i="7" s="1"/>
  <c r="BR102" i="56"/>
  <c r="FA102" i="56" s="1"/>
  <c r="BJ92" i="7" s="1"/>
  <c r="BO102" i="56"/>
  <c r="AN47" i="56"/>
  <c r="FM47" i="56" s="1"/>
  <c r="BP37" i="7" s="1"/>
  <c r="AN49" i="56"/>
  <c r="FM49" i="56" s="1"/>
  <c r="BP39" i="7" s="1"/>
  <c r="AO49" i="56"/>
  <c r="FN49" i="56" s="1"/>
  <c r="BQ39" i="7" s="1"/>
  <c r="EV31" i="56"/>
  <c r="BG21" i="7" s="1"/>
  <c r="BO31" i="56"/>
  <c r="BO38" i="56"/>
  <c r="BP38" i="56" s="1"/>
  <c r="EV38" i="56"/>
  <c r="BG28" i="7" s="1"/>
  <c r="BQ89" i="56"/>
  <c r="EZ89" i="56" s="1"/>
  <c r="BI79" i="7" s="1"/>
  <c r="BS102" i="56"/>
  <c r="FB102" i="56" s="1"/>
  <c r="BK92" i="7" s="1"/>
  <c r="EV102" i="56"/>
  <c r="BG92" i="7" s="1"/>
  <c r="BO104" i="56"/>
  <c r="BS104" i="56"/>
  <c r="L57" i="56"/>
  <c r="EK57" i="56" s="1"/>
  <c r="AZ47" i="7" s="1"/>
  <c r="M57" i="56"/>
  <c r="EL57" i="56" s="1"/>
  <c r="BA47" i="7" s="1"/>
  <c r="DS17" i="56"/>
  <c r="FJ17" i="56"/>
  <c r="DS18" i="56"/>
  <c r="DW18" i="56"/>
  <c r="K22" i="56"/>
  <c r="L22" i="56" s="1"/>
  <c r="EK22" i="56" s="1"/>
  <c r="O22" i="56"/>
  <c r="EN22" i="56" s="1"/>
  <c r="K26" i="56"/>
  <c r="L26" i="56" s="1"/>
  <c r="EK26" i="56" s="1"/>
  <c r="J8" i="56"/>
  <c r="K8" i="56" s="1"/>
  <c r="M27" i="56"/>
  <c r="EL27" i="56" s="1"/>
  <c r="L28" i="56"/>
  <c r="EK28" i="56" s="1"/>
  <c r="EG28" i="56"/>
  <c r="DF90" i="56"/>
  <c r="EY90" i="56" s="1"/>
  <c r="BH80" i="7" s="1"/>
  <c r="DF62" i="56"/>
  <c r="L15" i="56"/>
  <c r="M15" i="56"/>
  <c r="Z80" i="56"/>
  <c r="EY80" i="56" s="1"/>
  <c r="BH70" i="7" s="1"/>
  <c r="AA80" i="56"/>
  <c r="EZ80" i="56" s="1"/>
  <c r="BI70" i="7" s="1"/>
  <c r="AA52" i="56"/>
  <c r="Z52" i="56"/>
  <c r="Z19" i="56"/>
  <c r="AA19" i="56"/>
  <c r="HI14" i="56"/>
  <c r="HJ14" i="56" s="1"/>
  <c r="HI30" i="56"/>
  <c r="HJ30" i="56" s="1"/>
  <c r="HI46" i="56"/>
  <c r="HJ46" i="56" s="1"/>
  <c r="HI62" i="56"/>
  <c r="HJ62" i="56" s="1"/>
  <c r="HI78" i="56"/>
  <c r="HJ78" i="56" s="1"/>
  <c r="HI94" i="56"/>
  <c r="HJ94" i="56" s="1"/>
  <c r="BQ42" i="56"/>
  <c r="EZ42" i="56" s="1"/>
  <c r="BI32" i="7" s="1"/>
  <c r="BO42" i="56"/>
  <c r="BP42" i="56" s="1"/>
  <c r="EY42" i="56" s="1"/>
  <c r="BH32" i="7" s="1"/>
  <c r="Y50" i="56"/>
  <c r="Z50" i="56" s="1"/>
  <c r="Y91" i="56"/>
  <c r="AC91" i="56"/>
  <c r="FB91" i="56" s="1"/>
  <c r="BK81" i="7" s="1"/>
  <c r="AA94" i="56"/>
  <c r="BO98" i="56"/>
  <c r="BP98" i="56" s="1"/>
  <c r="EY98" i="56" s="1"/>
  <c r="BH88" i="7" s="1"/>
  <c r="DS30" i="56"/>
  <c r="DR9" i="56"/>
  <c r="DS9" i="56" s="1"/>
  <c r="DS78" i="56"/>
  <c r="DT78" i="56" s="1"/>
  <c r="FM78" i="56" s="1"/>
  <c r="BP68" i="7" s="1"/>
  <c r="AM26" i="56"/>
  <c r="AN26" i="56" s="1"/>
  <c r="FM26" i="56" s="1"/>
  <c r="AO26" i="56"/>
  <c r="FN26" i="56" s="1"/>
  <c r="BI6" i="56"/>
  <c r="EQ6" i="56"/>
  <c r="BP33" i="56"/>
  <c r="EY33" i="56" s="1"/>
  <c r="BH23" i="7" s="1"/>
  <c r="BO57" i="56"/>
  <c r="BP57" i="56" s="1"/>
  <c r="EY57" i="56" s="1"/>
  <c r="BH47" i="7" s="1"/>
  <c r="BO67" i="56"/>
  <c r="BQ67" i="56" s="1"/>
  <c r="EZ67" i="56" s="1"/>
  <c r="BI57" i="7" s="1"/>
  <c r="BO99" i="56"/>
  <c r="M43" i="56"/>
  <c r="EL43" i="56" s="1"/>
  <c r="BA33" i="7" s="1"/>
  <c r="L43" i="56"/>
  <c r="EK43" i="56" s="1"/>
  <c r="AZ33" i="7" s="1"/>
  <c r="K56" i="56"/>
  <c r="L56" i="56" s="1"/>
  <c r="J9" i="56"/>
  <c r="K9" i="56" s="1"/>
  <c r="M101" i="56"/>
  <c r="EL101" i="56" s="1"/>
  <c r="BA91" i="7" s="1"/>
  <c r="L101" i="56"/>
  <c r="EK101" i="56" s="1"/>
  <c r="AZ91" i="7" s="1"/>
  <c r="GO63" i="56"/>
  <c r="CF53" i="7" s="1"/>
  <c r="AO29" i="57"/>
  <c r="EU29" i="57"/>
  <c r="CT21" i="57"/>
  <c r="EG21" i="57"/>
  <c r="FI21" i="57"/>
  <c r="CQ21" i="57"/>
  <c r="CS34" i="56"/>
  <c r="CD95" i="56"/>
  <c r="FM95" i="56" s="1"/>
  <c r="BP85" i="7" s="1"/>
  <c r="CE95" i="56"/>
  <c r="AO50" i="57"/>
  <c r="AN50" i="57"/>
  <c r="AN28" i="56"/>
  <c r="FM28" i="56" s="1"/>
  <c r="AO28" i="56"/>
  <c r="FN28" i="56" s="1"/>
  <c r="AA35" i="57"/>
  <c r="Z35" i="57"/>
  <c r="AA21" i="56"/>
  <c r="EZ21" i="56" s="1"/>
  <c r="Z21" i="56"/>
  <c r="BQ34" i="56"/>
  <c r="BP34" i="56"/>
  <c r="X9" i="56"/>
  <c r="Y9" i="56" s="1"/>
  <c r="Y39" i="56"/>
  <c r="AA83" i="56"/>
  <c r="EZ83" i="56" s="1"/>
  <c r="BI73" i="7" s="1"/>
  <c r="AC83" i="56"/>
  <c r="FB83" i="56" s="1"/>
  <c r="BK73" i="7" s="1"/>
  <c r="BQ97" i="56"/>
  <c r="EZ97" i="56" s="1"/>
  <c r="BI87" i="7" s="1"/>
  <c r="AA14" i="56"/>
  <c r="AA28" i="56"/>
  <c r="EU30" i="56"/>
  <c r="BF20" i="7" s="1"/>
  <c r="BO30" i="56"/>
  <c r="EU47" i="56"/>
  <c r="BF37" i="7" s="1"/>
  <c r="BO47" i="56"/>
  <c r="BQ47" i="56" s="1"/>
  <c r="BR22" i="56"/>
  <c r="FA22" i="56" s="1"/>
  <c r="BO22" i="56"/>
  <c r="BP22" i="56" s="1"/>
  <c r="EY22" i="56" s="1"/>
  <c r="EU22" i="56"/>
  <c r="EU26" i="56"/>
  <c r="BO26" i="56"/>
  <c r="AM66" i="56"/>
  <c r="AN66" i="56" s="1"/>
  <c r="AM70" i="56"/>
  <c r="AN70" i="56" s="1"/>
  <c r="DS74" i="56"/>
  <c r="DU74" i="56" s="1"/>
  <c r="AM92" i="56"/>
  <c r="AO92" i="56" s="1"/>
  <c r="AP94" i="56"/>
  <c r="AN94" i="56"/>
  <c r="AM97" i="56"/>
  <c r="BO50" i="56"/>
  <c r="EV50" i="56"/>
  <c r="BG40" i="7" s="1"/>
  <c r="EV14" i="56"/>
  <c r="BO14" i="56"/>
  <c r="BP14" i="56" s="1"/>
  <c r="EY14" i="56" s="1"/>
  <c r="M59" i="56"/>
  <c r="EL59" i="56" s="1"/>
  <c r="BA49" i="7" s="1"/>
  <c r="L59" i="56"/>
  <c r="EK59" i="56" s="1"/>
  <c r="AZ49" i="7" s="1"/>
  <c r="DS65" i="56"/>
  <c r="DT65" i="56" s="1"/>
  <c r="FM65" i="56" s="1"/>
  <c r="BP55" i="7" s="1"/>
  <c r="K72" i="56"/>
  <c r="L72" i="56" s="1"/>
  <c r="AM81" i="56"/>
  <c r="M87" i="56"/>
  <c r="K87" i="56"/>
  <c r="L87" i="56" s="1"/>
  <c r="AM91" i="56"/>
  <c r="AN91" i="56" s="1"/>
  <c r="FM91" i="56" s="1"/>
  <c r="BP81" i="7" s="1"/>
  <c r="DS92" i="56"/>
  <c r="DT92" i="56" s="1"/>
  <c r="CE83" i="56"/>
  <c r="FN83" i="56" s="1"/>
  <c r="BQ73" i="7" s="1"/>
  <c r="CG83" i="56"/>
  <c r="BQ84" i="56"/>
  <c r="EZ84" i="56" s="1"/>
  <c r="BI74" i="7" s="1"/>
  <c r="HI15" i="56"/>
  <c r="HJ15" i="56" s="1"/>
  <c r="HI23" i="56"/>
  <c r="HJ23" i="56" s="1"/>
  <c r="HI31" i="56"/>
  <c r="HJ31" i="56" s="1"/>
  <c r="HI39" i="56"/>
  <c r="HJ39" i="56" s="1"/>
  <c r="HI47" i="56"/>
  <c r="HJ47" i="56" s="1"/>
  <c r="HI55" i="56"/>
  <c r="HJ55" i="56" s="1"/>
  <c r="HI63" i="56"/>
  <c r="HJ63" i="56" s="1"/>
  <c r="HI71" i="56"/>
  <c r="HJ71" i="56" s="1"/>
  <c r="HI79" i="56"/>
  <c r="HJ79" i="56" s="1"/>
  <c r="HI87" i="56"/>
  <c r="HJ87" i="56" s="1"/>
  <c r="HI95" i="56"/>
  <c r="HJ95" i="56" s="1"/>
  <c r="HI103" i="56"/>
  <c r="HJ103" i="56" s="1"/>
  <c r="BP37" i="56"/>
  <c r="EY37" i="56" s="1"/>
  <c r="BH27" i="7" s="1"/>
  <c r="BQ48" i="56"/>
  <c r="EZ48" i="56" s="1"/>
  <c r="BI38" i="7" s="1"/>
  <c r="BO75" i="56"/>
  <c r="AA15" i="56"/>
  <c r="BO20" i="56"/>
  <c r="AO35" i="56"/>
  <c r="DU38" i="56"/>
  <c r="AO89" i="56"/>
  <c r="FN89" i="56" s="1"/>
  <c r="BQ79" i="7" s="1"/>
  <c r="BO32" i="56"/>
  <c r="BP32" i="56" s="1"/>
  <c r="EY32" i="56" s="1"/>
  <c r="BH22" i="7" s="1"/>
  <c r="EU35" i="56"/>
  <c r="BF25" i="7" s="1"/>
  <c r="BO39" i="56"/>
  <c r="BP46" i="56"/>
  <c r="EY46" i="56" s="1"/>
  <c r="BH36" i="7" s="1"/>
  <c r="BP53" i="56"/>
  <c r="EY53" i="56" s="1"/>
  <c r="BH43" i="7" s="1"/>
  <c r="BP56" i="56"/>
  <c r="EU57" i="56"/>
  <c r="BF47" i="7" s="1"/>
  <c r="EU61" i="56"/>
  <c r="BF51" i="7" s="1"/>
  <c r="EU71" i="56"/>
  <c r="BF61" i="7" s="1"/>
  <c r="EU73" i="56"/>
  <c r="BF63" i="7" s="1"/>
  <c r="BR80" i="56"/>
  <c r="FA80" i="56" s="1"/>
  <c r="BJ70" i="7" s="1"/>
  <c r="EU80" i="56"/>
  <c r="BF70" i="7" s="1"/>
  <c r="BO101" i="56"/>
  <c r="AB11" i="56"/>
  <c r="FA11" i="56" s="1"/>
  <c r="Z11" i="56"/>
  <c r="EY11" i="56" s="1"/>
  <c r="DS40" i="56"/>
  <c r="DT46" i="56"/>
  <c r="DT48" i="56"/>
  <c r="FM48" i="56" s="1"/>
  <c r="BP38" i="7" s="1"/>
  <c r="AP93" i="56"/>
  <c r="FO93" i="56" s="1"/>
  <c r="BR83" i="7" s="1"/>
  <c r="AM93" i="56"/>
  <c r="DV100" i="56"/>
  <c r="DT100" i="56"/>
  <c r="AM107" i="56"/>
  <c r="EV35" i="56"/>
  <c r="BG25" i="7" s="1"/>
  <c r="BQ88" i="56"/>
  <c r="EV99" i="56"/>
  <c r="BG89" i="7" s="1"/>
  <c r="EV22" i="56"/>
  <c r="EV28" i="56"/>
  <c r="AO54" i="56"/>
  <c r="M63" i="56"/>
  <c r="K67" i="56"/>
  <c r="L67" i="56" s="1"/>
  <c r="M68" i="56"/>
  <c r="M69" i="56"/>
  <c r="EL69" i="56" s="1"/>
  <c r="BA59" i="7" s="1"/>
  <c r="M79" i="56"/>
  <c r="EL79" i="56" s="1"/>
  <c r="BA69" i="7" s="1"/>
  <c r="M81" i="56"/>
  <c r="EL81" i="56" s="1"/>
  <c r="BA71" i="7" s="1"/>
  <c r="DW86" i="56"/>
  <c r="DS86" i="56"/>
  <c r="K93" i="56"/>
  <c r="L93" i="56" s="1"/>
  <c r="M94" i="56"/>
  <c r="EL94" i="56" s="1"/>
  <c r="BA84" i="7" s="1"/>
  <c r="M95" i="56"/>
  <c r="N13" i="56"/>
  <c r="EM13" i="56" s="1"/>
  <c r="L13" i="56"/>
  <c r="GL38" i="56"/>
  <c r="CE28" i="7" s="1"/>
  <c r="BA61" i="56"/>
  <c r="BB61" i="56" s="1"/>
  <c r="GO61" i="56" s="1"/>
  <c r="CF51" i="7" s="1"/>
  <c r="CJ69" i="7"/>
  <c r="CJ71" i="7"/>
  <c r="GL82" i="56"/>
  <c r="CE72" i="7" s="1"/>
  <c r="CC82" i="56"/>
  <c r="BA83" i="56"/>
  <c r="BB83" i="56" s="1"/>
  <c r="GO83" i="56" s="1"/>
  <c r="CF73" i="7" s="1"/>
  <c r="BP21" i="56"/>
  <c r="Y79" i="56"/>
  <c r="AN43" i="56"/>
  <c r="FM43" i="56" s="1"/>
  <c r="BP33" i="7" s="1"/>
  <c r="Z20" i="56"/>
  <c r="Z99" i="56"/>
  <c r="HI13" i="56"/>
  <c r="HI21" i="56"/>
  <c r="HI29" i="56"/>
  <c r="HI37" i="56"/>
  <c r="HI45" i="56"/>
  <c r="HI53" i="56"/>
  <c r="HI61" i="56"/>
  <c r="HI69" i="56"/>
  <c r="HI77" i="56"/>
  <c r="HI85" i="56"/>
  <c r="HI93" i="56"/>
  <c r="HI101" i="56"/>
  <c r="HI109" i="56"/>
  <c r="BN9" i="56"/>
  <c r="BO9" i="56" s="1"/>
  <c r="BO63" i="56"/>
  <c r="BQ74" i="56"/>
  <c r="AM101" i="56"/>
  <c r="AN101" i="56" s="1"/>
  <c r="FM101" i="56" s="1"/>
  <c r="BP91" i="7" s="1"/>
  <c r="DR8" i="56"/>
  <c r="DS8" i="56" s="1"/>
  <c r="BQ110" i="56"/>
  <c r="EZ110" i="56" s="1"/>
  <c r="BI100" i="7" s="1"/>
  <c r="EU32" i="56"/>
  <c r="BF22" i="7" s="1"/>
  <c r="BP45" i="56"/>
  <c r="EY45" i="56" s="1"/>
  <c r="BH35" i="7" s="1"/>
  <c r="BP48" i="56"/>
  <c r="EY48" i="56" s="1"/>
  <c r="BH38" i="7" s="1"/>
  <c r="BP55" i="56"/>
  <c r="EY55" i="56" s="1"/>
  <c r="BH45" i="7" s="1"/>
  <c r="EU56" i="56"/>
  <c r="BF46" i="7" s="1"/>
  <c r="BO58" i="56"/>
  <c r="BO62" i="56"/>
  <c r="BP66" i="56"/>
  <c r="BO68" i="56"/>
  <c r="BO72" i="56"/>
  <c r="BO105" i="56"/>
  <c r="BR108" i="56"/>
  <c r="FA108" i="56" s="1"/>
  <c r="BJ98" i="7" s="1"/>
  <c r="BP108" i="56"/>
  <c r="EY108" i="56" s="1"/>
  <c r="BH98" i="7" s="1"/>
  <c r="BP13" i="56"/>
  <c r="EU18" i="56"/>
  <c r="BO29" i="56"/>
  <c r="AN30" i="56"/>
  <c r="AN77" i="56"/>
  <c r="FM77" i="56" s="1"/>
  <c r="BP67" i="7" s="1"/>
  <c r="AP77" i="56"/>
  <c r="FO77" i="56" s="1"/>
  <c r="BR67" i="7" s="1"/>
  <c r="AM86" i="56"/>
  <c r="AN86" i="56" s="1"/>
  <c r="AP86" i="56"/>
  <c r="AP88" i="56"/>
  <c r="FO88" i="56" s="1"/>
  <c r="BR78" i="7" s="1"/>
  <c r="AN88" i="56"/>
  <c r="DS109" i="56"/>
  <c r="DS15" i="56"/>
  <c r="DV15" i="56"/>
  <c r="FI15" i="56"/>
  <c r="FI23" i="56"/>
  <c r="EH30" i="56"/>
  <c r="AY20" i="7" s="1"/>
  <c r="EH31" i="56"/>
  <c r="AY21" i="7" s="1"/>
  <c r="M45" i="56"/>
  <c r="EL45" i="56" s="1"/>
  <c r="BA35" i="7" s="1"/>
  <c r="K45" i="56"/>
  <c r="L45" i="56" s="1"/>
  <c r="EK45" i="56" s="1"/>
  <c r="AZ35" i="7" s="1"/>
  <c r="AO53" i="56"/>
  <c r="FN53" i="56" s="1"/>
  <c r="BQ43" i="7" s="1"/>
  <c r="K61" i="56"/>
  <c r="L61" i="56" s="1"/>
  <c r="EK61" i="56" s="1"/>
  <c r="AZ51" i="7" s="1"/>
  <c r="DU63" i="56"/>
  <c r="K77" i="56"/>
  <c r="L77" i="56" s="1"/>
  <c r="EK77" i="56" s="1"/>
  <c r="AZ67" i="7" s="1"/>
  <c r="DW82" i="56"/>
  <c r="DW94" i="56"/>
  <c r="K103" i="56"/>
  <c r="L103" i="56" s="1"/>
  <c r="EK103" i="56" s="1"/>
  <c r="AZ93" i="7" s="1"/>
  <c r="M104" i="56"/>
  <c r="M105" i="56"/>
  <c r="M22" i="56"/>
  <c r="EL22" i="56" s="1"/>
  <c r="AM29" i="56"/>
  <c r="GL74" i="56"/>
  <c r="CE64" i="7" s="1"/>
  <c r="HI17" i="56"/>
  <c r="HJ17" i="56" s="1"/>
  <c r="HI25" i="56"/>
  <c r="HJ25" i="56" s="1"/>
  <c r="HI33" i="56"/>
  <c r="HJ33" i="56" s="1"/>
  <c r="HI41" i="56"/>
  <c r="HJ41" i="56" s="1"/>
  <c r="HI49" i="56"/>
  <c r="HJ49" i="56" s="1"/>
  <c r="HI57" i="56"/>
  <c r="HJ57" i="56" s="1"/>
  <c r="HI65" i="56"/>
  <c r="HJ65" i="56" s="1"/>
  <c r="HI73" i="56"/>
  <c r="HJ73" i="56" s="1"/>
  <c r="HI81" i="56"/>
  <c r="HJ81" i="56" s="1"/>
  <c r="HI89" i="56"/>
  <c r="HJ89" i="56" s="1"/>
  <c r="HI97" i="56"/>
  <c r="HJ97" i="56" s="1"/>
  <c r="HI105" i="56"/>
  <c r="HJ105" i="56" s="1"/>
  <c r="EV3" i="56"/>
  <c r="AA49" i="56"/>
  <c r="DU94" i="56"/>
  <c r="BP43" i="56"/>
  <c r="EY43" i="56" s="1"/>
  <c r="BH33" i="7" s="1"/>
  <c r="BO49" i="56"/>
  <c r="BP67" i="56"/>
  <c r="EU67" i="56"/>
  <c r="BF57" i="7" s="1"/>
  <c r="BR109" i="56"/>
  <c r="FA109" i="56" s="1"/>
  <c r="BJ99" i="7" s="1"/>
  <c r="BO109" i="56"/>
  <c r="AM45" i="56"/>
  <c r="AN45" i="56" s="1"/>
  <c r="FM45" i="56" s="1"/>
  <c r="BP35" i="7" s="1"/>
  <c r="AN55" i="56"/>
  <c r="DS67" i="56"/>
  <c r="AM75" i="56"/>
  <c r="AP80" i="56"/>
  <c r="FO80" i="56" s="1"/>
  <c r="BR70" i="7" s="1"/>
  <c r="AM80" i="56"/>
  <c r="DV84" i="56"/>
  <c r="DT84" i="56"/>
  <c r="AM85" i="56"/>
  <c r="AM87" i="56"/>
  <c r="AO87" i="56" s="1"/>
  <c r="FN87" i="56" s="1"/>
  <c r="BQ77" i="7" s="1"/>
  <c r="AP87" i="56"/>
  <c r="DV108" i="56"/>
  <c r="FI108" i="56"/>
  <c r="BN98" i="7" s="1"/>
  <c r="DS16" i="56"/>
  <c r="DU16" i="56" s="1"/>
  <c r="DV16" i="56"/>
  <c r="DV20" i="56"/>
  <c r="FI20" i="56"/>
  <c r="BO82" i="56"/>
  <c r="EV89" i="56"/>
  <c r="BG79" i="7" s="1"/>
  <c r="EV12" i="56"/>
  <c r="BQ22" i="56"/>
  <c r="EZ22" i="56" s="1"/>
  <c r="K36" i="56"/>
  <c r="L36" i="56" s="1"/>
  <c r="EK36" i="56" s="1"/>
  <c r="AZ26" i="7" s="1"/>
  <c r="M51" i="56"/>
  <c r="K51" i="56"/>
  <c r="L51" i="56" s="1"/>
  <c r="M52" i="56"/>
  <c r="DS60" i="56"/>
  <c r="DS72" i="56"/>
  <c r="K83" i="56"/>
  <c r="L83" i="56" s="1"/>
  <c r="M84" i="56"/>
  <c r="EL84" i="56" s="1"/>
  <c r="BA74" i="7" s="1"/>
  <c r="AM90" i="56"/>
  <c r="AN90" i="56" s="1"/>
  <c r="FM90" i="56" s="1"/>
  <c r="BP80" i="7" s="1"/>
  <c r="K98" i="56"/>
  <c r="L98" i="56" s="1"/>
  <c r="EK98" i="56" s="1"/>
  <c r="AZ88" i="7" s="1"/>
  <c r="FJ18" i="56"/>
  <c r="N21" i="56"/>
  <c r="EM21" i="56" s="1"/>
  <c r="EG21" i="56"/>
  <c r="DU22" i="56"/>
  <c r="FN22" i="56" s="1"/>
  <c r="FJ22" i="56"/>
  <c r="CE58" i="56"/>
  <c r="FN58" i="56" s="1"/>
  <c r="BQ48" i="7" s="1"/>
  <c r="CF76" i="56"/>
  <c r="GK76" i="56"/>
  <c r="CD66" i="7" s="1"/>
  <c r="BB93" i="56"/>
  <c r="GO93" i="56" s="1"/>
  <c r="CF83" i="7" s="1"/>
  <c r="BC93" i="56"/>
  <c r="GP93" i="56" s="1"/>
  <c r="CG83" i="7" s="1"/>
  <c r="BL66" i="7"/>
  <c r="BL53" i="7"/>
  <c r="BL130" i="7"/>
  <c r="CJ22" i="7"/>
  <c r="CJ28" i="7"/>
  <c r="CC46" i="56"/>
  <c r="CJ41" i="7"/>
  <c r="CJ53" i="7"/>
  <c r="CC102" i="56"/>
  <c r="BA25" i="57"/>
  <c r="BC25" i="57" s="1"/>
  <c r="EG25" i="57"/>
  <c r="FI95" i="57"/>
  <c r="X85" i="7" s="1"/>
  <c r="DE38" i="56"/>
  <c r="DF38" i="56" s="1"/>
  <c r="EK38" i="56" s="1"/>
  <c r="AZ28" i="7" s="1"/>
  <c r="DE47" i="56"/>
  <c r="DG47" i="56" s="1"/>
  <c r="Z83" i="56"/>
  <c r="EY83" i="56" s="1"/>
  <c r="BH73" i="7" s="1"/>
  <c r="L44" i="56"/>
  <c r="EK44" i="56" s="1"/>
  <c r="AZ34" i="7" s="1"/>
  <c r="BO91" i="56"/>
  <c r="BO95" i="56"/>
  <c r="BO19" i="56"/>
  <c r="AM59" i="56"/>
  <c r="AN59" i="56" s="1"/>
  <c r="FM59" i="56" s="1"/>
  <c r="BP49" i="7" s="1"/>
  <c r="AN82" i="56"/>
  <c r="AM84" i="56"/>
  <c r="DT88" i="56"/>
  <c r="AN92" i="56"/>
  <c r="AN19" i="56"/>
  <c r="FM19" i="56" s="1"/>
  <c r="Y107" i="56"/>
  <c r="EU83" i="56"/>
  <c r="BF73" i="7" s="1"/>
  <c r="EU107" i="56"/>
  <c r="BF97" i="7" s="1"/>
  <c r="ET30" i="56"/>
  <c r="BL20" i="7" s="1"/>
  <c r="ET105" i="56"/>
  <c r="BL95" i="7" s="1"/>
  <c r="ET103" i="56"/>
  <c r="BL93" i="7" s="1"/>
  <c r="ET102" i="56"/>
  <c r="BL92" i="7" s="1"/>
  <c r="ET101" i="56"/>
  <c r="BL91" i="7" s="1"/>
  <c r="ET100" i="56"/>
  <c r="BL90" i="7" s="1"/>
  <c r="ET99" i="56"/>
  <c r="BL89" i="7" s="1"/>
  <c r="ET88" i="56"/>
  <c r="BL78" i="7" s="1"/>
  <c r="ET79" i="56"/>
  <c r="BL63" i="7"/>
  <c r="BL50" i="7"/>
  <c r="BL37" i="7"/>
  <c r="ET41" i="56"/>
  <c r="ET108" i="56"/>
  <c r="BL98" i="7" s="1"/>
  <c r="ET29" i="56"/>
  <c r="CJ21" i="7"/>
  <c r="CJ35" i="7"/>
  <c r="CC50" i="56"/>
  <c r="CJ44" i="7"/>
  <c r="BC91" i="56"/>
  <c r="GP91" i="56" s="1"/>
  <c r="CG81" i="7" s="1"/>
  <c r="CJ87" i="7"/>
  <c r="CC21" i="56"/>
  <c r="CF21" i="56"/>
  <c r="BD22" i="56"/>
  <c r="GK22" i="56"/>
  <c r="CC25" i="56"/>
  <c r="BA45" i="57"/>
  <c r="BB45" i="57" s="1"/>
  <c r="GA45" i="57" s="1"/>
  <c r="AH35" i="7" s="1"/>
  <c r="BC63" i="56"/>
  <c r="GP63" i="56" s="1"/>
  <c r="CG53" i="7" s="1"/>
  <c r="M38" i="56"/>
  <c r="BL69" i="7"/>
  <c r="BL31" i="7"/>
  <c r="ET11" i="56"/>
  <c r="ET12" i="56"/>
  <c r="ET15" i="56"/>
  <c r="ET16" i="56"/>
  <c r="ET18" i="56"/>
  <c r="ET21" i="56"/>
  <c r="ET22" i="56"/>
  <c r="ET25" i="56"/>
  <c r="ET27" i="56"/>
  <c r="ET28" i="56"/>
  <c r="ET106" i="56"/>
  <c r="BL96" i="7" s="1"/>
  <c r="ET107" i="56"/>
  <c r="BL97" i="7" s="1"/>
  <c r="ET109" i="56"/>
  <c r="BL99" i="7" s="1"/>
  <c r="ET110" i="56"/>
  <c r="BL100" i="7" s="1"/>
  <c r="ET32" i="56"/>
  <c r="BL22" i="7" s="1"/>
  <c r="ET33" i="56"/>
  <c r="BL23" i="7" s="1"/>
  <c r="ET34" i="56"/>
  <c r="BL24" i="7" s="1"/>
  <c r="ET35" i="56"/>
  <c r="BL25" i="7" s="1"/>
  <c r="ET36" i="56"/>
  <c r="BL26" i="7" s="1"/>
  <c r="ET37" i="56"/>
  <c r="BL27" i="7" s="1"/>
  <c r="ET38" i="56"/>
  <c r="BL28" i="7" s="1"/>
  <c r="ET39" i="56"/>
  <c r="BL29" i="7" s="1"/>
  <c r="ET42" i="56"/>
  <c r="BL32" i="7" s="1"/>
  <c r="ET43" i="56"/>
  <c r="BL33" i="7" s="1"/>
  <c r="ET45" i="56"/>
  <c r="BL35" i="7" s="1"/>
  <c r="ET46" i="56"/>
  <c r="BL36" i="7" s="1"/>
  <c r="ET48" i="56"/>
  <c r="BL38" i="7" s="1"/>
  <c r="ET49" i="56"/>
  <c r="BL39" i="7" s="1"/>
  <c r="ET50" i="56"/>
  <c r="BL40" i="7" s="1"/>
  <c r="ET51" i="56"/>
  <c r="BL41" i="7" s="1"/>
  <c r="ET52" i="56"/>
  <c r="BL42" i="7" s="1"/>
  <c r="ET53" i="56"/>
  <c r="BL43" i="7" s="1"/>
  <c r="ET54" i="56"/>
  <c r="BL44" i="7" s="1"/>
  <c r="ET55" i="56"/>
  <c r="BL45" i="7" s="1"/>
  <c r="ET57" i="56"/>
  <c r="BL47" i="7" s="1"/>
  <c r="ET58" i="56"/>
  <c r="BL48" i="7" s="1"/>
  <c r="ET59" i="56"/>
  <c r="BL49" i="7" s="1"/>
  <c r="ET61" i="56"/>
  <c r="BL51" i="7" s="1"/>
  <c r="ET62" i="56"/>
  <c r="BL52" i="7" s="1"/>
  <c r="ET64" i="56"/>
  <c r="BL54" i="7" s="1"/>
  <c r="ET65" i="56"/>
  <c r="BL55" i="7" s="1"/>
  <c r="ET66" i="56"/>
  <c r="BL56" i="7" s="1"/>
  <c r="ET67" i="56"/>
  <c r="BL57" i="7" s="1"/>
  <c r="ET68" i="56"/>
  <c r="BL58" i="7" s="1"/>
  <c r="ET69" i="56"/>
  <c r="BL59" i="7" s="1"/>
  <c r="ET70" i="56"/>
  <c r="BL60" i="7" s="1"/>
  <c r="ET71" i="56"/>
  <c r="BL61" i="7" s="1"/>
  <c r="ET74" i="56"/>
  <c r="BL64" i="7" s="1"/>
  <c r="ET75" i="56"/>
  <c r="BL65" i="7" s="1"/>
  <c r="ET77" i="56"/>
  <c r="BL67" i="7" s="1"/>
  <c r="ET78" i="56"/>
  <c r="BL68" i="7" s="1"/>
  <c r="ET80" i="56"/>
  <c r="BL70" i="7" s="1"/>
  <c r="ET81" i="56"/>
  <c r="BL71" i="7" s="1"/>
  <c r="ET82" i="56"/>
  <c r="BL72" i="7" s="1"/>
  <c r="ET83" i="56"/>
  <c r="BL73" i="7" s="1"/>
  <c r="ET84" i="56"/>
  <c r="BL74" i="7" s="1"/>
  <c r="ET85" i="56"/>
  <c r="BL75" i="7" s="1"/>
  <c r="ET86" i="56"/>
  <c r="BL76" i="7" s="1"/>
  <c r="ET87" i="56"/>
  <c r="BL77" i="7" s="1"/>
  <c r="ET89" i="56"/>
  <c r="BL79" i="7" s="1"/>
  <c r="ET90" i="56"/>
  <c r="BL80" i="7" s="1"/>
  <c r="ET91" i="56"/>
  <c r="BL81" i="7" s="1"/>
  <c r="ET92" i="56"/>
  <c r="BL82" i="7" s="1"/>
  <c r="ET93" i="56"/>
  <c r="BL83" i="7" s="1"/>
  <c r="ET94" i="56"/>
  <c r="BL84" i="7" s="1"/>
  <c r="ET96" i="56"/>
  <c r="BL86" i="7" s="1"/>
  <c r="ET97" i="56"/>
  <c r="BL87" i="7" s="1"/>
  <c r="ET98" i="56"/>
  <c r="BL88" i="7" s="1"/>
  <c r="BA41" i="56"/>
  <c r="CC44" i="56"/>
  <c r="CE44" i="56" s="1"/>
  <c r="CJ36" i="7"/>
  <c r="BC50" i="56"/>
  <c r="CJ50" i="7"/>
  <c r="CJ62" i="7"/>
  <c r="CF84" i="56"/>
  <c r="CC86" i="56"/>
  <c r="BC90" i="56"/>
  <c r="BC98" i="56"/>
  <c r="GP98" i="56" s="1"/>
  <c r="CG88" i="7" s="1"/>
  <c r="CF102" i="56"/>
  <c r="CC108" i="56"/>
  <c r="CE108" i="56" s="1"/>
  <c r="BA12" i="56"/>
  <c r="BD16" i="56"/>
  <c r="BA16" i="56"/>
  <c r="BD18" i="56"/>
  <c r="GK18" i="56"/>
  <c r="FD6" i="57"/>
  <c r="DL6" i="57"/>
  <c r="BA109" i="56"/>
  <c r="BB109" i="56" s="1"/>
  <c r="GL109" i="56"/>
  <c r="CE99" i="7" s="1"/>
  <c r="BC105" i="56"/>
  <c r="GP105" i="56" s="1"/>
  <c r="CG95" i="7" s="1"/>
  <c r="CD108" i="56"/>
  <c r="N30" i="7"/>
  <c r="AD28" i="7"/>
  <c r="DW16" i="57"/>
  <c r="M13" i="57"/>
  <c r="EL13" i="57" s="1"/>
  <c r="AM35" i="57"/>
  <c r="AN55" i="57"/>
  <c r="AM55" i="57"/>
  <c r="AO55" i="57" s="1"/>
  <c r="Y79" i="57"/>
  <c r="Y85" i="57"/>
  <c r="CC46" i="57"/>
  <c r="CE46" i="57" s="1"/>
  <c r="AL73" i="7"/>
  <c r="K12" i="57"/>
  <c r="M12" i="57" s="1"/>
  <c r="EL12" i="57" s="1"/>
  <c r="BD109" i="56"/>
  <c r="EG109" i="56"/>
  <c r="AX99" i="7" s="1"/>
  <c r="EG105" i="56"/>
  <c r="AX95" i="7" s="1"/>
  <c r="BD105" i="56"/>
  <c r="EH97" i="56"/>
  <c r="AY87" i="7" s="1"/>
  <c r="N89" i="56"/>
  <c r="EM89" i="56" s="1"/>
  <c r="BB79" i="7" s="1"/>
  <c r="EG89" i="56"/>
  <c r="AX79" i="7" s="1"/>
  <c r="FW4" i="56"/>
  <c r="FW2" i="56" s="1"/>
  <c r="BV14" i="7" s="1"/>
  <c r="BV15" i="7" s="1"/>
  <c r="BV1" i="7"/>
  <c r="GL26" i="57"/>
  <c r="BO36" i="57"/>
  <c r="BO56" i="57"/>
  <c r="BP56" i="57" s="1"/>
  <c r="Y67" i="57"/>
  <c r="AA67" i="57" s="1"/>
  <c r="BS96" i="57"/>
  <c r="AQ98" i="57"/>
  <c r="CG11" i="57"/>
  <c r="CC24" i="57"/>
  <c r="AL37" i="7"/>
  <c r="CC50" i="57"/>
  <c r="AL85" i="7"/>
  <c r="K16" i="57"/>
  <c r="M16" i="57" s="1"/>
  <c r="EL16" i="57" s="1"/>
  <c r="FW47" i="56"/>
  <c r="BV37" i="7" s="1"/>
  <c r="AD29" i="7"/>
  <c r="V28" i="7"/>
  <c r="V24" i="7"/>
  <c r="FI27" i="57"/>
  <c r="ET22" i="57"/>
  <c r="ET28" i="57"/>
  <c r="ET35" i="57"/>
  <c r="V25" i="7" s="1"/>
  <c r="DW97" i="57"/>
  <c r="AQ99" i="57"/>
  <c r="AQ10" i="57"/>
  <c r="CC37" i="57"/>
  <c r="AL49" i="7"/>
  <c r="CG99" i="57"/>
  <c r="GD99" i="57" s="1"/>
  <c r="AK89" i="7" s="1"/>
  <c r="L12" i="57"/>
  <c r="EK12" i="57" s="1"/>
  <c r="BD81" i="56"/>
  <c r="EG81" i="56"/>
  <c r="AX71" i="7" s="1"/>
  <c r="EH71" i="56"/>
  <c r="AY61" i="7" s="1"/>
  <c r="EH67" i="56"/>
  <c r="AY57" i="7" s="1"/>
  <c r="EH63" i="56"/>
  <c r="AY53" i="7" s="1"/>
  <c r="N12" i="57"/>
  <c r="EM12" i="57" s="1"/>
  <c r="N16" i="57"/>
  <c r="EM16" i="57" s="1"/>
  <c r="EH103" i="56"/>
  <c r="AY93" i="7" s="1"/>
  <c r="EH93" i="56"/>
  <c r="AY83" i="7" s="1"/>
  <c r="EG85" i="56"/>
  <c r="AX75" i="7" s="1"/>
  <c r="BD83" i="56"/>
  <c r="BD40" i="7"/>
  <c r="DE13" i="56"/>
  <c r="DF13" i="56" s="1"/>
  <c r="GA13" i="56" s="1"/>
  <c r="CT19" i="56"/>
  <c r="FW19" i="56"/>
  <c r="CU21" i="56"/>
  <c r="CB50" i="7"/>
  <c r="CS68" i="56"/>
  <c r="FX72" i="56"/>
  <c r="BW62" i="7" s="1"/>
  <c r="CU100" i="56"/>
  <c r="CQ100" i="56"/>
  <c r="CR100" i="56" s="1"/>
  <c r="CT106" i="56"/>
  <c r="FW106" i="56"/>
  <c r="BV96" i="7" s="1"/>
  <c r="BD20" i="7"/>
  <c r="DE15" i="56"/>
  <c r="DF15" i="56" s="1"/>
  <c r="FX16" i="56"/>
  <c r="FX22" i="56"/>
  <c r="DH23" i="56"/>
  <c r="DE23" i="56"/>
  <c r="DG23" i="56" s="1"/>
  <c r="FW23" i="56"/>
  <c r="CT24" i="56"/>
  <c r="CQ24" i="56"/>
  <c r="CR24" i="56" s="1"/>
  <c r="DF31" i="56"/>
  <c r="EK31" i="56" s="1"/>
  <c r="AZ21" i="7" s="1"/>
  <c r="DE31" i="56"/>
  <c r="DG31" i="56" s="1"/>
  <c r="GB31" i="56" s="1"/>
  <c r="BY21" i="7" s="1"/>
  <c r="FW31" i="56"/>
  <c r="BV21" i="7" s="1"/>
  <c r="CS39" i="56"/>
  <c r="CQ40" i="56"/>
  <c r="CT82" i="56"/>
  <c r="FW82" i="56"/>
  <c r="BV72" i="7" s="1"/>
  <c r="CQ104" i="56"/>
  <c r="CR104" i="56" s="1"/>
  <c r="EG43" i="56"/>
  <c r="AX33" i="7" s="1"/>
  <c r="BD87" i="56"/>
  <c r="EH81" i="56"/>
  <c r="AY71" i="7" s="1"/>
  <c r="EG71" i="56"/>
  <c r="AX61" i="7" s="1"/>
  <c r="EG67" i="56"/>
  <c r="AX57" i="7" s="1"/>
  <c r="EG63" i="56"/>
  <c r="AX53" i="7" s="1"/>
  <c r="FX12" i="56"/>
  <c r="DI12" i="56"/>
  <c r="CQ16" i="56"/>
  <c r="CS16" i="56" s="1"/>
  <c r="GB16" i="56" s="1"/>
  <c r="CB34" i="7"/>
  <c r="DE51" i="56"/>
  <c r="DF51" i="56" s="1"/>
  <c r="DF63" i="56"/>
  <c r="FX64" i="56"/>
  <c r="BW54" i="7" s="1"/>
  <c r="DF71" i="56"/>
  <c r="DE71" i="56"/>
  <c r="DG71" i="56" s="1"/>
  <c r="EL71" i="56" s="1"/>
  <c r="BA61" i="7" s="1"/>
  <c r="CR72" i="56"/>
  <c r="DI79" i="56"/>
  <c r="EN79" i="56" s="1"/>
  <c r="BC69" i="7" s="1"/>
  <c r="CT87" i="56"/>
  <c r="GC87" i="56" s="1"/>
  <c r="BZ77" i="7" s="1"/>
  <c r="FW87" i="56"/>
  <c r="BV77" i="7" s="1"/>
  <c r="FW94" i="56"/>
  <c r="BV84" i="7" s="1"/>
  <c r="CT94" i="56"/>
  <c r="EM94" i="56" s="1"/>
  <c r="BB84" i="7" s="1"/>
  <c r="CU104" i="56"/>
  <c r="H33" i="57"/>
  <c r="H34" i="57"/>
  <c r="H39" i="57"/>
  <c r="DB55" i="57"/>
  <c r="GK55" i="57" s="1"/>
  <c r="AN45" i="7" s="1"/>
  <c r="DB73" i="57"/>
  <c r="DB90" i="57"/>
  <c r="DB101" i="57"/>
  <c r="CO110" i="57"/>
  <c r="CO109" i="57"/>
  <c r="CO59" i="57"/>
  <c r="CO70" i="57"/>
  <c r="CO72" i="57"/>
  <c r="CO84" i="57"/>
  <c r="EH84" i="57" s="1"/>
  <c r="I74" i="7" s="1"/>
  <c r="CO85" i="57"/>
  <c r="CO88" i="57"/>
  <c r="CO89" i="57"/>
  <c r="CO100" i="57"/>
  <c r="CO103" i="57"/>
  <c r="CO107" i="57"/>
  <c r="CO108" i="57"/>
  <c r="CO55" i="57"/>
  <c r="CQ55" i="57" s="1"/>
  <c r="CR55" i="57" s="1"/>
  <c r="CO56" i="57"/>
  <c r="CO58" i="57"/>
  <c r="CO60" i="57"/>
  <c r="CO61" i="57"/>
  <c r="CO63" i="57"/>
  <c r="CO64" i="57"/>
  <c r="CO66" i="57"/>
  <c r="CO73" i="57"/>
  <c r="CO76" i="57"/>
  <c r="CO77" i="57"/>
  <c r="CO80" i="57"/>
  <c r="CO90" i="57"/>
  <c r="CO91" i="57"/>
  <c r="CO96" i="57"/>
  <c r="CO98" i="57"/>
  <c r="CO99" i="57"/>
  <c r="CO104" i="57"/>
  <c r="CO105" i="57"/>
  <c r="CO46" i="57"/>
  <c r="CO49" i="57"/>
  <c r="CO34" i="57"/>
  <c r="CO39" i="57"/>
  <c r="CO42" i="57"/>
  <c r="DE87" i="56"/>
  <c r="CQ92" i="56"/>
  <c r="CR92" i="56" s="1"/>
  <c r="GA92" i="56" s="1"/>
  <c r="BX82" i="7" s="1"/>
  <c r="FV96" i="56"/>
  <c r="CB86" i="7" s="1"/>
  <c r="FV84" i="56"/>
  <c r="CB74" i="7" s="1"/>
  <c r="I72" i="57"/>
  <c r="I90" i="57"/>
  <c r="I91" i="57"/>
  <c r="I104" i="57"/>
  <c r="I105" i="57"/>
  <c r="I46" i="57"/>
  <c r="I49" i="57"/>
  <c r="I52" i="57"/>
  <c r="I53" i="57"/>
  <c r="I73" i="57"/>
  <c r="I103" i="57"/>
  <c r="I45" i="57"/>
  <c r="K45" i="57" s="1"/>
  <c r="L45" i="57" s="1"/>
  <c r="I31" i="57"/>
  <c r="I36" i="57"/>
  <c r="I37" i="57"/>
  <c r="I43" i="57"/>
  <c r="X106" i="57"/>
  <c r="X109" i="57"/>
  <c r="DC54" i="57"/>
  <c r="GL54" i="57" s="1"/>
  <c r="AO44" i="7" s="1"/>
  <c r="DC50" i="57"/>
  <c r="DC106" i="57"/>
  <c r="DC51" i="57"/>
  <c r="GL51" i="57" s="1"/>
  <c r="AO41" i="7" s="1"/>
  <c r="DC57" i="57"/>
  <c r="GL57" i="57" s="1"/>
  <c r="AO47" i="7" s="1"/>
  <c r="DC62" i="57"/>
  <c r="GL62" i="57" s="1"/>
  <c r="AO52" i="7" s="1"/>
  <c r="DC65" i="57"/>
  <c r="GL65" i="57" s="1"/>
  <c r="AO55" i="7" s="1"/>
  <c r="DC67" i="57"/>
  <c r="DC74" i="57"/>
  <c r="GL74" i="57" s="1"/>
  <c r="AO64" i="7" s="1"/>
  <c r="DC81" i="57"/>
  <c r="EH81" i="57" s="1"/>
  <c r="I71" i="7" s="1"/>
  <c r="DC82" i="57"/>
  <c r="DC83" i="57"/>
  <c r="DC86" i="57"/>
  <c r="DC87" i="57"/>
  <c r="DC92" i="57"/>
  <c r="DC93" i="57"/>
  <c r="DC94" i="57"/>
  <c r="DC95" i="57"/>
  <c r="GL95" i="57" s="1"/>
  <c r="AO85" i="7" s="1"/>
  <c r="DC97" i="57"/>
  <c r="EH97" i="57" s="1"/>
  <c r="I87" i="7" s="1"/>
  <c r="DC101" i="57"/>
  <c r="DC45" i="57"/>
  <c r="DC52" i="57"/>
  <c r="DC68" i="57"/>
  <c r="EH68" i="57" s="1"/>
  <c r="I58" i="7" s="1"/>
  <c r="DC69" i="57"/>
  <c r="DC71" i="57"/>
  <c r="DC75" i="57"/>
  <c r="DC78" i="57"/>
  <c r="DC79" i="57"/>
  <c r="DC102" i="57"/>
  <c r="DC47" i="57"/>
  <c r="DC48" i="57"/>
  <c r="DC10" i="57"/>
  <c r="DC30" i="57"/>
  <c r="DC35" i="57"/>
  <c r="DC40" i="57"/>
  <c r="DC41" i="57"/>
  <c r="DC44" i="57"/>
  <c r="FW11" i="56"/>
  <c r="FW15" i="56"/>
  <c r="DE35" i="56"/>
  <c r="DF35" i="56" s="1"/>
  <c r="FW83" i="56"/>
  <c r="BV73" i="7" s="1"/>
  <c r="CB75" i="7"/>
  <c r="CT86" i="56"/>
  <c r="CQ88" i="56"/>
  <c r="DE91" i="56"/>
  <c r="DG91" i="56" s="1"/>
  <c r="GB91" i="56" s="1"/>
  <c r="BY81" i="7" s="1"/>
  <c r="CU92" i="56"/>
  <c r="FX102" i="56"/>
  <c r="BW92" i="7" s="1"/>
  <c r="GL48" i="57"/>
  <c r="AO38" i="7" s="1"/>
  <c r="CA110" i="57"/>
  <c r="CA109" i="57"/>
  <c r="BN110" i="57"/>
  <c r="BN107" i="57"/>
  <c r="CN63" i="57"/>
  <c r="CN71" i="57"/>
  <c r="CN77" i="57"/>
  <c r="CN78" i="57"/>
  <c r="CN99" i="57"/>
  <c r="FI99" i="57" s="1"/>
  <c r="X89" i="7" s="1"/>
  <c r="CN47" i="57"/>
  <c r="CN85" i="57"/>
  <c r="CN86" i="57"/>
  <c r="FN20" i="38"/>
  <c r="BQ20" i="38"/>
  <c r="EI2" i="70"/>
  <c r="FJ3" i="70"/>
  <c r="FH52" i="70"/>
  <c r="DJ42" i="7" s="1"/>
  <c r="FH28" i="70"/>
  <c r="FV62" i="70"/>
  <c r="DR52" i="7" s="1"/>
  <c r="FV27" i="70"/>
  <c r="FV3" i="70"/>
  <c r="L10" i="70"/>
  <c r="EK10" i="70" s="1"/>
  <c r="CP130" i="7" s="1"/>
  <c r="FI10" i="70"/>
  <c r="DD130" i="7" s="1"/>
  <c r="L31" i="70"/>
  <c r="EK31" i="70" s="1"/>
  <c r="CP21" i="7" s="1"/>
  <c r="GK54" i="70"/>
  <c r="DT44" i="7" s="1"/>
  <c r="EG54" i="70"/>
  <c r="CN44" i="7" s="1"/>
  <c r="CQ88" i="70"/>
  <c r="CR88" i="70" s="1"/>
  <c r="AM103" i="70"/>
  <c r="BD20" i="70"/>
  <c r="GK20" i="70"/>
  <c r="EU3" i="70"/>
  <c r="FX3" i="70"/>
  <c r="FY3" i="70"/>
  <c r="GL26" i="70"/>
  <c r="GL21" i="70"/>
  <c r="O15" i="70"/>
  <c r="DS15" i="70"/>
  <c r="BN9" i="70"/>
  <c r="BO9" i="70" s="1"/>
  <c r="DR9" i="70"/>
  <c r="DS9" i="70" s="1"/>
  <c r="CQ37" i="70"/>
  <c r="BA38" i="70"/>
  <c r="BB38" i="70" s="1"/>
  <c r="GO38" i="70" s="1"/>
  <c r="DV28" i="7" s="1"/>
  <c r="M81" i="70"/>
  <c r="EL81" i="70" s="1"/>
  <c r="CQ71" i="7" s="1"/>
  <c r="K81" i="70"/>
  <c r="L81" i="70" s="1"/>
  <c r="EK81" i="70" s="1"/>
  <c r="CP71" i="7" s="1"/>
  <c r="K18" i="70"/>
  <c r="L18" i="70" s="1"/>
  <c r="EK18" i="70" s="1"/>
  <c r="CC19" i="70"/>
  <c r="CD19" i="70" s="1"/>
  <c r="K51" i="70"/>
  <c r="L51" i="70" s="1"/>
  <c r="EK51" i="70" s="1"/>
  <c r="CP41" i="7" s="1"/>
  <c r="BE24" i="70"/>
  <c r="GL24" i="70"/>
  <c r="AM26" i="70"/>
  <c r="FJ26" i="70"/>
  <c r="GM2" i="70"/>
  <c r="EV22" i="70"/>
  <c r="EV21" i="70"/>
  <c r="FH25" i="70"/>
  <c r="FV15" i="70"/>
  <c r="DD9" i="70"/>
  <c r="DE9" i="70" s="1"/>
  <c r="DS38" i="70"/>
  <c r="O83" i="70"/>
  <c r="K83" i="70"/>
  <c r="BO88" i="70"/>
  <c r="BS88" i="70"/>
  <c r="FB88" i="70" s="1"/>
  <c r="DA78" i="7" s="1"/>
  <c r="K106" i="70"/>
  <c r="L106" i="70" s="1"/>
  <c r="EK106" i="70" s="1"/>
  <c r="CP96" i="7" s="1"/>
  <c r="EG20" i="70"/>
  <c r="GK21" i="70"/>
  <c r="BD21" i="70"/>
  <c r="CQ22" i="70"/>
  <c r="FW22" i="70"/>
  <c r="AA52" i="70"/>
  <c r="EZ52" i="70" s="1"/>
  <c r="CY42" i="7" s="1"/>
  <c r="DZ42" i="7"/>
  <c r="EU82" i="70"/>
  <c r="CV72" i="7" s="1"/>
  <c r="Y82" i="70"/>
  <c r="AB82" i="70"/>
  <c r="BQ61" i="70"/>
  <c r="EZ61" i="70" s="1"/>
  <c r="CY51" i="7" s="1"/>
  <c r="DS66" i="70"/>
  <c r="BS78" i="70"/>
  <c r="FB78" i="70" s="1"/>
  <c r="DA68" i="7" s="1"/>
  <c r="AQ91" i="70"/>
  <c r="FP91" i="70" s="1"/>
  <c r="DI81" i="7" s="1"/>
  <c r="M100" i="70"/>
  <c r="EL100" i="70" s="1"/>
  <c r="CQ90" i="7" s="1"/>
  <c r="K100" i="70"/>
  <c r="L100" i="70" s="1"/>
  <c r="EK100" i="70" s="1"/>
  <c r="CP90" i="7" s="1"/>
  <c r="CG110" i="70"/>
  <c r="FJ21" i="70"/>
  <c r="EG21" i="70"/>
  <c r="CC22" i="70"/>
  <c r="BA24" i="70"/>
  <c r="FI25" i="70"/>
  <c r="AM32" i="70"/>
  <c r="FJ62" i="70"/>
  <c r="DE52" i="7" s="1"/>
  <c r="Y59" i="70"/>
  <c r="K77" i="70"/>
  <c r="L77" i="70" s="1"/>
  <c r="EK77" i="70" s="1"/>
  <c r="CP67" i="7" s="1"/>
  <c r="N89" i="70"/>
  <c r="EM89" i="70" s="1"/>
  <c r="CR79" i="7" s="1"/>
  <c r="L89" i="70"/>
  <c r="EK89" i="70" s="1"/>
  <c r="CP79" i="7" s="1"/>
  <c r="DI93" i="70"/>
  <c r="K94" i="70"/>
  <c r="O94" i="70"/>
  <c r="M96" i="70"/>
  <c r="EL96" i="70" s="1"/>
  <c r="CQ86" i="7" s="1"/>
  <c r="AC97" i="70"/>
  <c r="FB97" i="70" s="1"/>
  <c r="DA87" i="7" s="1"/>
  <c r="CE100" i="70"/>
  <c r="BD108" i="70"/>
  <c r="GK108" i="70"/>
  <c r="DT98" i="7" s="1"/>
  <c r="FI22" i="70"/>
  <c r="GK26" i="70"/>
  <c r="FI26" i="70"/>
  <c r="CP8" i="70"/>
  <c r="CQ8" i="70" s="1"/>
  <c r="CU105" i="70"/>
  <c r="EU22" i="70"/>
  <c r="DU22" i="70"/>
  <c r="DW24" i="70"/>
  <c r="FP24" i="70" s="1"/>
  <c r="EU26" i="70"/>
  <c r="EG29" i="70"/>
  <c r="FX32" i="70"/>
  <c r="DM22" i="7" s="1"/>
  <c r="M72" i="70"/>
  <c r="EL72" i="70" s="1"/>
  <c r="CQ62" i="7" s="1"/>
  <c r="CT82" i="70"/>
  <c r="FW82" i="70"/>
  <c r="DL72" i="7" s="1"/>
  <c r="CG92" i="70"/>
  <c r="FJ92" i="70"/>
  <c r="DE82" i="7" s="1"/>
  <c r="BC102" i="70"/>
  <c r="CG105" i="70"/>
  <c r="Y109" i="70"/>
  <c r="DE109" i="70"/>
  <c r="FI24" i="70"/>
  <c r="EG25" i="70"/>
  <c r="EU32" i="70"/>
  <c r="CV22" i="7" s="1"/>
  <c r="N106" i="70"/>
  <c r="EM106" i="70" s="1"/>
  <c r="CR96" i="7" s="1"/>
  <c r="DT22" i="70"/>
  <c r="FW23" i="70"/>
  <c r="AL8" i="70"/>
  <c r="AM8" i="70" s="1"/>
  <c r="L72" i="70"/>
  <c r="EK72" i="70" s="1"/>
  <c r="CP62" i="7" s="1"/>
  <c r="CC102" i="70"/>
  <c r="CF102" i="70"/>
  <c r="N20" i="70"/>
  <c r="Y102" i="70"/>
  <c r="GK102" i="70"/>
  <c r="DT92" i="7" s="1"/>
  <c r="CY3" i="38" l="1"/>
  <c r="DA3" i="38"/>
  <c r="CW3" i="38"/>
  <c r="CZ3" i="38"/>
  <c r="FM87" i="76"/>
  <c r="EV77" i="7" s="1"/>
  <c r="BE67" i="76"/>
  <c r="EY65" i="76"/>
  <c r="EN55" i="7" s="1"/>
  <c r="GA69" i="76"/>
  <c r="FD59" i="7" s="1"/>
  <c r="AG40" i="4"/>
  <c r="AI39" i="4"/>
  <c r="AH40" i="4"/>
  <c r="AJ39" i="4"/>
  <c r="BS72" i="76"/>
  <c r="GO24" i="76"/>
  <c r="FL144" i="7" s="1"/>
  <c r="EY34" i="76"/>
  <c r="EN24" i="7" s="1"/>
  <c r="N45" i="76"/>
  <c r="FW35" i="7" s="1"/>
  <c r="GP42" i="76"/>
  <c r="FM32" i="7" s="1"/>
  <c r="EZ21" i="76"/>
  <c r="EO141" i="7" s="1"/>
  <c r="BE27" i="76"/>
  <c r="BS55" i="76"/>
  <c r="GO56" i="76"/>
  <c r="FL46" i="7" s="1"/>
  <c r="FM75" i="76"/>
  <c r="EV65" i="7" s="1"/>
  <c r="FM49" i="76"/>
  <c r="EV39" i="7" s="1"/>
  <c r="FM61" i="76"/>
  <c r="EV51" i="7" s="1"/>
  <c r="BD40" i="76"/>
  <c r="FM19" i="76"/>
  <c r="EV139" i="7" s="1"/>
  <c r="EL94" i="76"/>
  <c r="EG84" i="7" s="1"/>
  <c r="EK68" i="76"/>
  <c r="EF58" i="7" s="1"/>
  <c r="BD44" i="76"/>
  <c r="BS42" i="76"/>
  <c r="DH50" i="76"/>
  <c r="GB32" i="76"/>
  <c r="FE22" i="7" s="1"/>
  <c r="BD36" i="76"/>
  <c r="BD65" i="76"/>
  <c r="GA49" i="76"/>
  <c r="FD39" i="7" s="1"/>
  <c r="BS28" i="76"/>
  <c r="FM88" i="76"/>
  <c r="EV78" i="7" s="1"/>
  <c r="GP103" i="76"/>
  <c r="FM93" i="7" s="1"/>
  <c r="BE30" i="76"/>
  <c r="N49" i="76"/>
  <c r="FW39" i="7" s="1"/>
  <c r="EY75" i="76"/>
  <c r="EN65" i="7" s="1"/>
  <c r="BE28" i="76"/>
  <c r="BS57" i="76"/>
  <c r="FM20" i="76"/>
  <c r="EV140" i="7" s="1"/>
  <c r="GA31" i="76"/>
  <c r="FD21" i="7" s="1"/>
  <c r="CT51" i="76"/>
  <c r="CT52" i="76"/>
  <c r="BS25" i="76"/>
  <c r="EY69" i="76"/>
  <c r="EN59" i="7" s="1"/>
  <c r="EY40" i="76"/>
  <c r="EN30" i="7" s="1"/>
  <c r="FM12" i="76"/>
  <c r="EV132" i="7" s="1"/>
  <c r="BS60" i="76"/>
  <c r="CU58" i="76"/>
  <c r="BR25" i="76"/>
  <c r="GO86" i="76"/>
  <c r="FL76" i="7" s="1"/>
  <c r="GA53" i="76"/>
  <c r="FD43" i="7" s="1"/>
  <c r="GO90" i="76"/>
  <c r="FL80" i="7" s="1"/>
  <c r="BE46" i="76"/>
  <c r="BS63" i="76"/>
  <c r="BS62" i="76"/>
  <c r="FN68" i="76"/>
  <c r="EW58" i="7" s="1"/>
  <c r="DH25" i="76"/>
  <c r="N25" i="76"/>
  <c r="FW145" i="7" s="1"/>
  <c r="BS45" i="76"/>
  <c r="CU68" i="76"/>
  <c r="BR28" i="76"/>
  <c r="FM17" i="76"/>
  <c r="EV137" i="7" s="1"/>
  <c r="EL60" i="76"/>
  <c r="EG50" i="7" s="1"/>
  <c r="FM31" i="76"/>
  <c r="EV21" i="7" s="1"/>
  <c r="BS73" i="76"/>
  <c r="BS48" i="76"/>
  <c r="BS69" i="76"/>
  <c r="BS41" i="76"/>
  <c r="BS31" i="76"/>
  <c r="GA90" i="76"/>
  <c r="FD80" i="7" s="1"/>
  <c r="GB88" i="76"/>
  <c r="FE78" i="7" s="1"/>
  <c r="CU28" i="76"/>
  <c r="BS51" i="76"/>
  <c r="BS58" i="76"/>
  <c r="EY28" i="76"/>
  <c r="EN148" i="7" s="1"/>
  <c r="CU29" i="76"/>
  <c r="GB92" i="76"/>
  <c r="FE82" i="7" s="1"/>
  <c r="DH28" i="76"/>
  <c r="GC28" i="76" s="1"/>
  <c r="FF148" i="7" s="1"/>
  <c r="GO68" i="76"/>
  <c r="FL58" i="7" s="1"/>
  <c r="BS27" i="76"/>
  <c r="BS46" i="76"/>
  <c r="BS65" i="76"/>
  <c r="CU26" i="76"/>
  <c r="CU49" i="76"/>
  <c r="BR26" i="76"/>
  <c r="EY68" i="76"/>
  <c r="EN58" i="7" s="1"/>
  <c r="EY47" i="76"/>
  <c r="EN37" i="7" s="1"/>
  <c r="EZ69" i="76"/>
  <c r="EO59" i="7" s="1"/>
  <c r="BS54" i="76"/>
  <c r="BS39" i="76"/>
  <c r="BS47" i="76"/>
  <c r="BS67" i="76"/>
  <c r="GO93" i="76"/>
  <c r="FL83" i="7" s="1"/>
  <c r="GO13" i="76"/>
  <c r="FL133" i="7" s="1"/>
  <c r="GA77" i="76"/>
  <c r="FD67" i="7" s="1"/>
  <c r="BS29" i="76"/>
  <c r="BL101" i="7"/>
  <c r="BL102" i="7" s="1"/>
  <c r="BL103" i="7" s="1"/>
  <c r="BL104" i="7" s="1"/>
  <c r="BL105" i="7" s="1"/>
  <c r="BL106" i="7" s="1"/>
  <c r="BL107" i="7" s="1"/>
  <c r="BL108" i="7" s="1"/>
  <c r="BL109" i="7" s="1"/>
  <c r="BL110" i="7" s="1"/>
  <c r="BL111" i="7" s="1"/>
  <c r="BL112" i="7" s="1"/>
  <c r="BL113" i="7" s="1"/>
  <c r="BL114" i="7" s="1"/>
  <c r="BL115" i="7" s="1"/>
  <c r="BL116" i="7" s="1"/>
  <c r="BL117" i="7" s="1"/>
  <c r="BL118" i="7" s="1"/>
  <c r="BL119" i="7" s="1"/>
  <c r="BL120" i="7" s="1"/>
  <c r="BT101" i="7"/>
  <c r="BT102" i="7" s="1"/>
  <c r="BT103" i="7" s="1"/>
  <c r="BT104" i="7" s="1"/>
  <c r="BT105" i="7" s="1"/>
  <c r="BT106" i="7" s="1"/>
  <c r="BT107" i="7" s="1"/>
  <c r="BT108" i="7" s="1"/>
  <c r="BT109" i="7" s="1"/>
  <c r="BT110" i="7" s="1"/>
  <c r="BT111" i="7" s="1"/>
  <c r="BT112" i="7" s="1"/>
  <c r="BT113" i="7" s="1"/>
  <c r="BT114" i="7" s="1"/>
  <c r="BT115" i="7" s="1"/>
  <c r="BT116" i="7" s="1"/>
  <c r="BT117" i="7" s="1"/>
  <c r="BT118" i="7" s="1"/>
  <c r="BT119" i="7" s="1"/>
  <c r="BT120" i="7" s="1"/>
  <c r="GO109" i="7"/>
  <c r="EL35" i="76"/>
  <c r="EG25" i="7" s="1"/>
  <c r="EZ28" i="76"/>
  <c r="EO148" i="7" s="1"/>
  <c r="EZ102" i="76"/>
  <c r="EO92" i="7" s="1"/>
  <c r="EY63" i="76"/>
  <c r="EN53" i="7" s="1"/>
  <c r="CF26" i="76"/>
  <c r="EK51" i="76"/>
  <c r="EF41" i="7" s="1"/>
  <c r="GA61" i="76"/>
  <c r="FD51" i="7" s="1"/>
  <c r="FN45" i="76"/>
  <c r="EW35" i="7" s="1"/>
  <c r="EZ73" i="76"/>
  <c r="EO63" i="7" s="1"/>
  <c r="AB27" i="76"/>
  <c r="CF25" i="76"/>
  <c r="GQ25" i="76" s="1"/>
  <c r="FN145" i="7" s="1"/>
  <c r="EZ35" i="76"/>
  <c r="EO25" i="7" s="1"/>
  <c r="FN31" i="76"/>
  <c r="EW21" i="7" s="1"/>
  <c r="EK13" i="76"/>
  <c r="EF133" i="7" s="1"/>
  <c r="FN28" i="76"/>
  <c r="EW148" i="7" s="1"/>
  <c r="FN35" i="76"/>
  <c r="EW25" i="7" s="1"/>
  <c r="FM53" i="76"/>
  <c r="EV43" i="7" s="1"/>
  <c r="GB100" i="76"/>
  <c r="FE90" i="7" s="1"/>
  <c r="EZ80" i="76"/>
  <c r="EO70" i="7" s="1"/>
  <c r="FN102" i="76"/>
  <c r="EW92" i="7" s="1"/>
  <c r="GO108" i="76"/>
  <c r="FL98" i="7" s="1"/>
  <c r="GB15" i="76"/>
  <c r="FE135" i="7" s="1"/>
  <c r="DH27" i="76"/>
  <c r="BD27" i="76"/>
  <c r="CU27" i="76"/>
  <c r="AQ42" i="76"/>
  <c r="DV49" i="76"/>
  <c r="GB85" i="76"/>
  <c r="FE75" i="7" s="1"/>
  <c r="FM56" i="76"/>
  <c r="EV46" i="7" s="1"/>
  <c r="EY108" i="76"/>
  <c r="EN98" i="7" s="1"/>
  <c r="CT29" i="76"/>
  <c r="FA29" i="76" s="1"/>
  <c r="EP149" i="7" s="1"/>
  <c r="N52" i="76"/>
  <c r="FW42" i="7" s="1"/>
  <c r="N72" i="76"/>
  <c r="FW62" i="7" s="1"/>
  <c r="FN44" i="76"/>
  <c r="EW34" i="7" s="1"/>
  <c r="GB11" i="76"/>
  <c r="FE131" i="7" s="1"/>
  <c r="EY103" i="76"/>
  <c r="EN93" i="7" s="1"/>
  <c r="AQ51" i="76"/>
  <c r="FN46" i="76"/>
  <c r="EW36" i="7" s="1"/>
  <c r="AQ54" i="76"/>
  <c r="EK26" i="76"/>
  <c r="EF146" i="7" s="1"/>
  <c r="FN92" i="76"/>
  <c r="EW82" i="7" s="1"/>
  <c r="DV30" i="76"/>
  <c r="GO28" i="76"/>
  <c r="FL148" i="7" s="1"/>
  <c r="EY38" i="76"/>
  <c r="EN28" i="7" s="1"/>
  <c r="EY86" i="76"/>
  <c r="EN76" i="7" s="1"/>
  <c r="GA82" i="76"/>
  <c r="FD72" i="7" s="1"/>
  <c r="CT25" i="76"/>
  <c r="EZ56" i="76"/>
  <c r="EO46" i="7" s="1"/>
  <c r="FN15" i="76"/>
  <c r="EW135" i="7" s="1"/>
  <c r="FN107" i="76"/>
  <c r="EW97" i="7" s="1"/>
  <c r="EY46" i="76"/>
  <c r="EN36" i="7" s="1"/>
  <c r="EY26" i="76"/>
  <c r="EN146" i="7" s="1"/>
  <c r="GP31" i="76"/>
  <c r="FM21" i="7" s="1"/>
  <c r="AQ36" i="76"/>
  <c r="AQ60" i="76"/>
  <c r="EL38" i="76"/>
  <c r="EG28" i="7" s="1"/>
  <c r="EK43" i="76"/>
  <c r="EF33" i="7" s="1"/>
  <c r="CT27" i="76"/>
  <c r="N62" i="76"/>
  <c r="FW52" i="7" s="1"/>
  <c r="EZ70" i="76"/>
  <c r="EO60" i="7" s="1"/>
  <c r="EK83" i="76"/>
  <c r="EF73" i="7" s="1"/>
  <c r="AQ47" i="76"/>
  <c r="AQ71" i="76"/>
  <c r="AQ57" i="76"/>
  <c r="GA105" i="76"/>
  <c r="FD95" i="7" s="1"/>
  <c r="DH26" i="76"/>
  <c r="GC26" i="76" s="1"/>
  <c r="FF146" i="7" s="1"/>
  <c r="EY13" i="76"/>
  <c r="EN133" i="7" s="1"/>
  <c r="AN111" i="7"/>
  <c r="AT110" i="7"/>
  <c r="GB4" i="76"/>
  <c r="GB2" i="76" s="1"/>
  <c r="FE14" i="7" s="1"/>
  <c r="FE1" i="7"/>
  <c r="FN4" i="76"/>
  <c r="FN2" i="76" s="1"/>
  <c r="EW14" i="7" s="1"/>
  <c r="EW1" i="7"/>
  <c r="FL150" i="7"/>
  <c r="FL20" i="7"/>
  <c r="FE150" i="7"/>
  <c r="FE20" i="7"/>
  <c r="FM150" i="7"/>
  <c r="FM20" i="7"/>
  <c r="CT33" i="76"/>
  <c r="CT43" i="76"/>
  <c r="CT66" i="76"/>
  <c r="CT50" i="76"/>
  <c r="CT62" i="76"/>
  <c r="CT71" i="76"/>
  <c r="BD28" i="76"/>
  <c r="GQ28" i="76" s="1"/>
  <c r="FN148" i="7" s="1"/>
  <c r="EL21" i="76"/>
  <c r="EG141" i="7" s="1"/>
  <c r="EY51" i="76"/>
  <c r="EN41" i="7" s="1"/>
  <c r="GQ85" i="76"/>
  <c r="FN75" i="7" s="1"/>
  <c r="GQ109" i="76"/>
  <c r="FN99" i="7" s="1"/>
  <c r="AQ43" i="76"/>
  <c r="AQ49" i="76"/>
  <c r="AQ64" i="76"/>
  <c r="GQ100" i="76"/>
  <c r="FN90" i="7" s="1"/>
  <c r="BE74" i="76"/>
  <c r="GQ23" i="76"/>
  <c r="FN143" i="7" s="1"/>
  <c r="EY74" i="76"/>
  <c r="EN64" i="7" s="1"/>
  <c r="GA54" i="76"/>
  <c r="FD44" i="7" s="1"/>
  <c r="EZ60" i="76"/>
  <c r="EO50" i="7" s="1"/>
  <c r="GQ79" i="76"/>
  <c r="FN69" i="7" s="1"/>
  <c r="BR33" i="76"/>
  <c r="BR70" i="76"/>
  <c r="DV27" i="76"/>
  <c r="EZ27" i="76"/>
  <c r="EO147" i="7" s="1"/>
  <c r="GQ20" i="76"/>
  <c r="FN140" i="7" s="1"/>
  <c r="GA107" i="76"/>
  <c r="FD97" i="7" s="1"/>
  <c r="EG150" i="7"/>
  <c r="EG20" i="7"/>
  <c r="AQ53" i="76"/>
  <c r="AQ41" i="76"/>
  <c r="AQ74" i="76"/>
  <c r="AQ31" i="76"/>
  <c r="AQ55" i="76"/>
  <c r="BE58" i="76"/>
  <c r="EK58" i="76"/>
  <c r="EF48" i="7" s="1"/>
  <c r="FN61" i="76"/>
  <c r="EW51" i="7" s="1"/>
  <c r="EK69" i="76"/>
  <c r="EF59" i="7" s="1"/>
  <c r="GB86" i="76"/>
  <c r="FE76" i="7" s="1"/>
  <c r="FN96" i="76"/>
  <c r="EW86" i="7" s="1"/>
  <c r="GA84" i="76"/>
  <c r="FD74" i="7" s="1"/>
  <c r="GA13" i="76"/>
  <c r="FD133" i="7" s="1"/>
  <c r="EK57" i="76"/>
  <c r="EF47" i="7" s="1"/>
  <c r="FU47" i="7"/>
  <c r="EZ54" i="76"/>
  <c r="EO44" i="7" s="1"/>
  <c r="BD26" i="76"/>
  <c r="GQ26" i="76" s="1"/>
  <c r="FN146" i="7" s="1"/>
  <c r="CT30" i="76"/>
  <c r="CT64" i="76"/>
  <c r="CT48" i="76"/>
  <c r="FM35" i="76"/>
  <c r="EV25" i="7" s="1"/>
  <c r="GA108" i="7"/>
  <c r="GG108" i="7" s="1"/>
  <c r="EM23" i="76"/>
  <c r="EH143" i="7" s="1"/>
  <c r="EZ4" i="76"/>
  <c r="EZ2" i="76" s="1"/>
  <c r="EO14" i="7" s="1"/>
  <c r="EO1" i="7"/>
  <c r="EL93" i="76"/>
  <c r="EG83" i="7" s="1"/>
  <c r="FV83" i="7"/>
  <c r="BD29" i="76"/>
  <c r="FN65" i="76"/>
  <c r="EW55" i="7" s="1"/>
  <c r="CT44" i="76"/>
  <c r="CT40" i="76"/>
  <c r="CT74" i="76"/>
  <c r="CT49" i="76"/>
  <c r="CT65" i="76"/>
  <c r="CT59" i="76"/>
  <c r="EL4" i="76"/>
  <c r="EL2" i="76" s="1"/>
  <c r="EG14" i="7" s="1"/>
  <c r="EG1" i="7"/>
  <c r="GP41" i="76"/>
  <c r="FM31" i="7" s="1"/>
  <c r="EK40" i="76"/>
  <c r="EF30" i="7" s="1"/>
  <c r="AQ45" i="76"/>
  <c r="AQ68" i="76"/>
  <c r="AQ73" i="76"/>
  <c r="GQ12" i="76"/>
  <c r="FN132" i="7" s="1"/>
  <c r="EL69" i="76"/>
  <c r="EG59" i="7" s="1"/>
  <c r="FV59" i="7"/>
  <c r="GQ92" i="76"/>
  <c r="FN82" i="7" s="1"/>
  <c r="EK93" i="76"/>
  <c r="EF83" i="7" s="1"/>
  <c r="EY97" i="76"/>
  <c r="EN87" i="7" s="1"/>
  <c r="FA102" i="76"/>
  <c r="EP92" i="7" s="1"/>
  <c r="FO22" i="76"/>
  <c r="EX142" i="7" s="1"/>
  <c r="GB68" i="76"/>
  <c r="FE58" i="7" s="1"/>
  <c r="GQ96" i="76"/>
  <c r="FN86" i="7" s="1"/>
  <c r="BR37" i="76"/>
  <c r="BR50" i="76"/>
  <c r="GP4" i="76"/>
  <c r="GP2" i="76" s="1"/>
  <c r="FM14" i="7" s="1"/>
  <c r="FM1" i="7"/>
  <c r="FA104" i="76"/>
  <c r="EP94" i="7" s="1"/>
  <c r="FN21" i="76"/>
  <c r="EW141" i="7" s="1"/>
  <c r="GO37" i="76"/>
  <c r="FL27" i="7" s="1"/>
  <c r="GP65" i="76"/>
  <c r="FM55" i="7" s="1"/>
  <c r="EK97" i="76"/>
  <c r="EF87" i="7" s="1"/>
  <c r="FX150" i="7"/>
  <c r="FX20" i="7"/>
  <c r="EO150" i="7"/>
  <c r="EO20" i="7"/>
  <c r="EZ45" i="76"/>
  <c r="EO35" i="7" s="1"/>
  <c r="EY93" i="76"/>
  <c r="EN83" i="7" s="1"/>
  <c r="AQ38" i="76"/>
  <c r="AQ52" i="76"/>
  <c r="AQ58" i="76"/>
  <c r="AQ66" i="76"/>
  <c r="AQ37" i="76"/>
  <c r="BE40" i="76"/>
  <c r="GP95" i="76"/>
  <c r="FM85" i="7" s="1"/>
  <c r="FM51" i="76"/>
  <c r="EV41" i="7" s="1"/>
  <c r="FM110" i="76"/>
  <c r="EV100" i="7" s="1"/>
  <c r="FM28" i="76"/>
  <c r="EV148" i="7" s="1"/>
  <c r="FS103" i="7"/>
  <c r="FY103" i="7" s="1"/>
  <c r="GI110" i="7"/>
  <c r="AB15" i="7"/>
  <c r="L15" i="7"/>
  <c r="FZ1" i="76"/>
  <c r="GA1" i="76" s="1"/>
  <c r="FH13" i="7"/>
  <c r="FH15" i="7" s="1"/>
  <c r="EJ1" i="76"/>
  <c r="EK1" i="76" s="1"/>
  <c r="EJ13" i="7"/>
  <c r="EJ15" i="7" s="1"/>
  <c r="EX1" i="76"/>
  <c r="EY1" i="76" s="1"/>
  <c r="ER13" i="7"/>
  <c r="ER15" i="7" s="1"/>
  <c r="FL1" i="76"/>
  <c r="FM1" i="76" s="1"/>
  <c r="EZ13" i="7"/>
  <c r="EZ15" i="7" s="1"/>
  <c r="GN1" i="76"/>
  <c r="GO1" i="76" s="1"/>
  <c r="FP13" i="7"/>
  <c r="FP15" i="7" s="1"/>
  <c r="CX15" i="7"/>
  <c r="DR1" i="7"/>
  <c r="DA1" i="7"/>
  <c r="FA4" i="70"/>
  <c r="FA2" i="70" s="1"/>
  <c r="FO4" i="70"/>
  <c r="FO2" i="70" s="1"/>
  <c r="DU14" i="7"/>
  <c r="DU15" i="7" s="1"/>
  <c r="FK15" i="7"/>
  <c r="DG14" i="7"/>
  <c r="CW14" i="7"/>
  <c r="CW15" i="7" s="1"/>
  <c r="EM15" i="7"/>
  <c r="DZ14" i="7"/>
  <c r="DZ15" i="7" s="1"/>
  <c r="CT14" i="7"/>
  <c r="CT15" i="7" s="1"/>
  <c r="DB14" i="7"/>
  <c r="DB15" i="7" s="1"/>
  <c r="DJ14" i="7"/>
  <c r="DJ15" i="7" s="1"/>
  <c r="CN14" i="7"/>
  <c r="CN15" i="7" s="1"/>
  <c r="ED15" i="7"/>
  <c r="DB1" i="7"/>
  <c r="CY14" i="7"/>
  <c r="DT14" i="7"/>
  <c r="DT15" i="7" s="1"/>
  <c r="FJ15" i="7"/>
  <c r="DF14" i="7"/>
  <c r="DF15" i="7" s="1"/>
  <c r="DD14" i="7"/>
  <c r="DD15" i="7" s="1"/>
  <c r="ET15" i="7"/>
  <c r="CO14" i="7"/>
  <c r="CO15" i="7" s="1"/>
  <c r="EE15" i="7"/>
  <c r="BH15" i="7"/>
  <c r="DH65" i="76"/>
  <c r="EK90" i="76"/>
  <c r="EF80" i="7" s="1"/>
  <c r="EZ13" i="76"/>
  <c r="EO133" i="7" s="1"/>
  <c r="EZ109" i="76"/>
  <c r="EO99" i="7" s="1"/>
  <c r="EZ47" i="76"/>
  <c r="EO37" i="7" s="1"/>
  <c r="EL47" i="76"/>
  <c r="EG37" i="7" s="1"/>
  <c r="EY91" i="76"/>
  <c r="EN81" i="7" s="1"/>
  <c r="DH36" i="76"/>
  <c r="GA56" i="76"/>
  <c r="FD46" i="7" s="1"/>
  <c r="EL13" i="76"/>
  <c r="EG133" i="7" s="1"/>
  <c r="FN36" i="76"/>
  <c r="EW26" i="7" s="1"/>
  <c r="EZ58" i="76"/>
  <c r="EO48" i="7" s="1"/>
  <c r="EL58" i="76"/>
  <c r="EG48" i="7" s="1"/>
  <c r="FM95" i="76"/>
  <c r="EV85" i="7" s="1"/>
  <c r="FM84" i="76"/>
  <c r="EV74" i="7" s="1"/>
  <c r="FN80" i="76"/>
  <c r="EW70" i="7" s="1"/>
  <c r="EL101" i="76"/>
  <c r="EG91" i="7" s="1"/>
  <c r="EL27" i="76"/>
  <c r="EG147" i="7" s="1"/>
  <c r="FN27" i="76"/>
  <c r="EW147" i="7" s="1"/>
  <c r="EZ98" i="76"/>
  <c r="EO88" i="7" s="1"/>
  <c r="GB109" i="76"/>
  <c r="FE99" i="7" s="1"/>
  <c r="FN58" i="76"/>
  <c r="EW48" i="7" s="1"/>
  <c r="EZ36" i="76"/>
  <c r="EO26" i="7" s="1"/>
  <c r="FN109" i="76"/>
  <c r="EW99" i="7" s="1"/>
  <c r="GO84" i="76"/>
  <c r="FL74" i="7" s="1"/>
  <c r="GO36" i="76"/>
  <c r="FL26" i="7" s="1"/>
  <c r="GO12" i="76"/>
  <c r="FL132" i="7" s="1"/>
  <c r="GP37" i="76"/>
  <c r="FM27" i="7" s="1"/>
  <c r="GO80" i="76"/>
  <c r="FL70" i="7" s="1"/>
  <c r="FN30" i="76"/>
  <c r="FN100" i="76"/>
  <c r="EW90" i="7" s="1"/>
  <c r="GP100" i="76"/>
  <c r="FM90" i="7" s="1"/>
  <c r="GO82" i="76"/>
  <c r="FL72" i="7" s="1"/>
  <c r="FN19" i="76"/>
  <c r="EW139" i="7" s="1"/>
  <c r="FM22" i="76"/>
  <c r="EV142" i="7" s="1"/>
  <c r="FN60" i="76"/>
  <c r="EW50" i="7" s="1"/>
  <c r="GP57" i="76"/>
  <c r="FM47" i="7" s="1"/>
  <c r="GO52" i="76"/>
  <c r="FL42" i="7" s="1"/>
  <c r="GP51" i="76"/>
  <c r="FM41" i="7" s="1"/>
  <c r="GO50" i="76"/>
  <c r="FL40" i="7" s="1"/>
  <c r="CF29" i="76"/>
  <c r="CF27" i="76"/>
  <c r="BR43" i="76"/>
  <c r="BR74" i="76"/>
  <c r="BR39" i="76"/>
  <c r="BR61" i="76"/>
  <c r="BR66" i="76"/>
  <c r="EY71" i="76"/>
  <c r="EN61" i="7" s="1"/>
  <c r="BR55" i="76"/>
  <c r="BR31" i="76"/>
  <c r="BR46" i="76"/>
  <c r="BR65" i="76"/>
  <c r="BR67" i="76"/>
  <c r="BD46" i="76"/>
  <c r="BD41" i="76"/>
  <c r="BD50" i="76"/>
  <c r="BD47" i="76"/>
  <c r="BD66" i="76"/>
  <c r="BD74" i="76"/>
  <c r="EK28" i="76"/>
  <c r="EF148" i="7" s="1"/>
  <c r="BD51" i="76"/>
  <c r="BD59" i="76"/>
  <c r="BD70" i="76"/>
  <c r="BD54" i="76"/>
  <c r="BD61" i="76"/>
  <c r="BE45" i="76"/>
  <c r="GQ9" i="76"/>
  <c r="BE71" i="76"/>
  <c r="BE54" i="76"/>
  <c r="BE55" i="76"/>
  <c r="BE50" i="76"/>
  <c r="BE62" i="76"/>
  <c r="GO75" i="76"/>
  <c r="FL65" i="7" s="1"/>
  <c r="GO77" i="76"/>
  <c r="FL67" i="7" s="1"/>
  <c r="BD33" i="76"/>
  <c r="BD32" i="76"/>
  <c r="BD69" i="76"/>
  <c r="BD58" i="76"/>
  <c r="BE31" i="76"/>
  <c r="BE64" i="76"/>
  <c r="GO58" i="76"/>
  <c r="FL48" i="7" s="1"/>
  <c r="BE52" i="76"/>
  <c r="BE53" i="76"/>
  <c r="BE72" i="76"/>
  <c r="BE34" i="76"/>
  <c r="BE70" i="76"/>
  <c r="EL36" i="76"/>
  <c r="EG26" i="7" s="1"/>
  <c r="FN38" i="76"/>
  <c r="EW28" i="7" s="1"/>
  <c r="EZ68" i="76"/>
  <c r="EO58" i="7" s="1"/>
  <c r="EY12" i="76"/>
  <c r="EN132" i="7" s="1"/>
  <c r="AB28" i="76"/>
  <c r="AB26" i="76"/>
  <c r="EY19" i="76"/>
  <c r="EN139" i="7" s="1"/>
  <c r="AB25" i="76"/>
  <c r="DV41" i="76"/>
  <c r="DV71" i="76"/>
  <c r="FN84" i="76"/>
  <c r="EW74" i="7" s="1"/>
  <c r="DV38" i="76"/>
  <c r="DV68" i="76"/>
  <c r="DV73" i="76"/>
  <c r="DV31" i="76"/>
  <c r="DV36" i="76"/>
  <c r="DV62" i="76"/>
  <c r="DV72" i="76"/>
  <c r="DV60" i="76"/>
  <c r="DV37" i="76"/>
  <c r="DV44" i="76"/>
  <c r="DV67" i="76"/>
  <c r="DV43" i="76"/>
  <c r="DV28" i="76"/>
  <c r="DV74" i="76"/>
  <c r="DV33" i="76"/>
  <c r="DV61" i="76"/>
  <c r="DV54" i="76"/>
  <c r="DV26" i="76"/>
  <c r="DV52" i="76"/>
  <c r="FM73" i="76"/>
  <c r="EV63" i="7" s="1"/>
  <c r="DH41" i="76"/>
  <c r="GC41" i="76" s="1"/>
  <c r="FF31" i="7" s="1"/>
  <c r="DH71" i="76"/>
  <c r="GC71" i="76" s="1"/>
  <c r="FF61" i="7" s="1"/>
  <c r="GB89" i="76"/>
  <c r="FE79" i="7" s="1"/>
  <c r="EL12" i="76"/>
  <c r="EG132" i="7" s="1"/>
  <c r="DH51" i="76"/>
  <c r="EY56" i="76"/>
  <c r="EN46" i="7" s="1"/>
  <c r="EY24" i="76"/>
  <c r="EN144" i="7" s="1"/>
  <c r="GB17" i="76"/>
  <c r="FE137" i="7" s="1"/>
  <c r="EY18" i="76"/>
  <c r="EN138" i="7" s="1"/>
  <c r="EL43" i="76"/>
  <c r="EG33" i="7" s="1"/>
  <c r="EZ43" i="76"/>
  <c r="EO33" i="7" s="1"/>
  <c r="EY42" i="76"/>
  <c r="EN32" i="7" s="1"/>
  <c r="GB64" i="76"/>
  <c r="FE54" i="7" s="1"/>
  <c r="EZ88" i="76"/>
  <c r="EO78" i="7" s="1"/>
  <c r="GA28" i="76"/>
  <c r="FD148" i="7" s="1"/>
  <c r="GB106" i="76"/>
  <c r="FE96" i="7" s="1"/>
  <c r="EZ99" i="76"/>
  <c r="EO89" i="7" s="1"/>
  <c r="EZ12" i="76"/>
  <c r="EO132" i="7" s="1"/>
  <c r="GB87" i="76"/>
  <c r="FE77" i="7" s="1"/>
  <c r="EL88" i="76"/>
  <c r="EG78" i="7" s="1"/>
  <c r="EZ92" i="76"/>
  <c r="EO82" i="7" s="1"/>
  <c r="EY104" i="76"/>
  <c r="EN94" i="7" s="1"/>
  <c r="CU42" i="76"/>
  <c r="CU38" i="76"/>
  <c r="CU33" i="76"/>
  <c r="CU41" i="76"/>
  <c r="CU40" i="76"/>
  <c r="CU66" i="76"/>
  <c r="CU59" i="76"/>
  <c r="CU32" i="76"/>
  <c r="CU53" i="76"/>
  <c r="CU43" i="76"/>
  <c r="CU56" i="76"/>
  <c r="CU74" i="76"/>
  <c r="CU31" i="76"/>
  <c r="CU69" i="76"/>
  <c r="CU39" i="76"/>
  <c r="CU30" i="76"/>
  <c r="CU37" i="76"/>
  <c r="CU44" i="76"/>
  <c r="CU48" i="76"/>
  <c r="CU55" i="76"/>
  <c r="CU67" i="76"/>
  <c r="CU51" i="76"/>
  <c r="CU54" i="76"/>
  <c r="CU50" i="76"/>
  <c r="CU52" i="76"/>
  <c r="CU35" i="76"/>
  <c r="CU46" i="76"/>
  <c r="CU57" i="76"/>
  <c r="CU61" i="76"/>
  <c r="CU70" i="76"/>
  <c r="CU63" i="76"/>
  <c r="CU62" i="76"/>
  <c r="CU72" i="76"/>
  <c r="FM16" i="76"/>
  <c r="EV136" i="7" s="1"/>
  <c r="EK16" i="76"/>
  <c r="EF136" i="7" s="1"/>
  <c r="CU36" i="76"/>
  <c r="CU65" i="76"/>
  <c r="CU71" i="76"/>
  <c r="EY17" i="76"/>
  <c r="EN137" i="7" s="1"/>
  <c r="EL68" i="76"/>
  <c r="EG58" i="7" s="1"/>
  <c r="EK65" i="76"/>
  <c r="EF55" i="7" s="1"/>
  <c r="GB90" i="76"/>
  <c r="FE80" i="7" s="1"/>
  <c r="EZ101" i="76"/>
  <c r="EO91" i="7" s="1"/>
  <c r="FN101" i="76"/>
  <c r="EW91" i="7" s="1"/>
  <c r="EZ46" i="76"/>
  <c r="EO36" i="7" s="1"/>
  <c r="GA23" i="76"/>
  <c r="FD143" i="7" s="1"/>
  <c r="EL64" i="76"/>
  <c r="EG54" i="7" s="1"/>
  <c r="FM59" i="76"/>
  <c r="EV49" i="7" s="1"/>
  <c r="EL86" i="76"/>
  <c r="EG76" i="7" s="1"/>
  <c r="CU34" i="76"/>
  <c r="CU45" i="76"/>
  <c r="CU64" i="76"/>
  <c r="EZ42" i="76"/>
  <c r="EO32" i="7" s="1"/>
  <c r="EL96" i="76"/>
  <c r="EG86" i="7" s="1"/>
  <c r="GB96" i="76"/>
  <c r="FE86" i="7" s="1"/>
  <c r="FN86" i="76"/>
  <c r="EW76" i="7" s="1"/>
  <c r="GA66" i="76"/>
  <c r="FD56" i="7" s="1"/>
  <c r="CT34" i="76"/>
  <c r="CT35" i="76"/>
  <c r="CT60" i="76"/>
  <c r="CT37" i="76"/>
  <c r="CT63" i="76"/>
  <c r="CT55" i="76"/>
  <c r="CT73" i="76"/>
  <c r="CT45" i="76"/>
  <c r="CT67" i="76"/>
  <c r="CT68" i="76"/>
  <c r="FN51" i="76"/>
  <c r="EW41" i="7" s="1"/>
  <c r="GO97" i="76"/>
  <c r="FL87" i="7" s="1"/>
  <c r="GO85" i="76"/>
  <c r="FL75" i="7" s="1"/>
  <c r="FN48" i="76"/>
  <c r="EW38" i="7" s="1"/>
  <c r="GO106" i="76"/>
  <c r="FL96" i="7" s="1"/>
  <c r="GP69" i="76"/>
  <c r="FM59" i="7" s="1"/>
  <c r="GP102" i="76"/>
  <c r="FM92" i="7" s="1"/>
  <c r="FM64" i="76"/>
  <c r="EV54" i="7" s="1"/>
  <c r="GO34" i="76"/>
  <c r="FL24" i="7" s="1"/>
  <c r="GO29" i="76"/>
  <c r="FL149" i="7" s="1"/>
  <c r="BS35" i="76"/>
  <c r="BS43" i="76"/>
  <c r="BS52" i="76"/>
  <c r="BS71" i="76"/>
  <c r="BS70" i="76"/>
  <c r="BS37" i="76"/>
  <c r="BS74" i="76"/>
  <c r="BS53" i="76"/>
  <c r="BS59" i="76"/>
  <c r="BS38" i="76"/>
  <c r="BS49" i="76"/>
  <c r="BS33" i="76"/>
  <c r="BS34" i="76"/>
  <c r="BS68" i="76"/>
  <c r="BS64" i="76"/>
  <c r="BS32" i="76"/>
  <c r="BS50" i="76"/>
  <c r="BS44" i="76"/>
  <c r="BS61" i="76"/>
  <c r="BS36" i="76"/>
  <c r="BS56" i="76"/>
  <c r="BS66" i="76"/>
  <c r="GO64" i="76"/>
  <c r="FL54" i="7" s="1"/>
  <c r="EL107" i="76"/>
  <c r="EG97" i="7" s="1"/>
  <c r="EK61" i="76"/>
  <c r="EF51" i="7" s="1"/>
  <c r="BE38" i="76"/>
  <c r="BE61" i="76"/>
  <c r="BE68" i="76"/>
  <c r="BE33" i="76"/>
  <c r="BE57" i="76"/>
  <c r="BE59" i="76"/>
  <c r="BE42" i="76"/>
  <c r="BE63" i="76"/>
  <c r="BE36" i="76"/>
  <c r="BE44" i="76"/>
  <c r="GP38" i="76"/>
  <c r="FM28" i="7" s="1"/>
  <c r="EK104" i="76"/>
  <c r="EF94" i="7" s="1"/>
  <c r="EL39" i="76"/>
  <c r="EG29" i="7" s="1"/>
  <c r="EL51" i="76"/>
  <c r="EG41" i="7" s="1"/>
  <c r="EK85" i="76"/>
  <c r="EF75" i="7" s="1"/>
  <c r="GO72" i="76"/>
  <c r="FL62" i="7" s="1"/>
  <c r="BE43" i="76"/>
  <c r="BE56" i="76"/>
  <c r="GP105" i="76"/>
  <c r="FM95" i="7" s="1"/>
  <c r="GO76" i="76"/>
  <c r="FL66" i="7" s="1"/>
  <c r="EK72" i="76"/>
  <c r="EF62" i="7" s="1"/>
  <c r="BE47" i="76"/>
  <c r="BE48" i="76"/>
  <c r="BE49" i="76"/>
  <c r="BE65" i="76"/>
  <c r="BE69" i="76"/>
  <c r="FM96" i="76"/>
  <c r="EV86" i="7" s="1"/>
  <c r="FN97" i="76"/>
  <c r="EW87" i="7" s="1"/>
  <c r="EZ17" i="76"/>
  <c r="EO137" i="7" s="1"/>
  <c r="DV40" i="76"/>
  <c r="DV39" i="76"/>
  <c r="DV46" i="76"/>
  <c r="DV58" i="76"/>
  <c r="DV65" i="76"/>
  <c r="DV69" i="76"/>
  <c r="DV25" i="76"/>
  <c r="FM68" i="76"/>
  <c r="EV58" i="7" s="1"/>
  <c r="DV56" i="76"/>
  <c r="FM85" i="76"/>
  <c r="EV75" i="7" s="1"/>
  <c r="DV45" i="76"/>
  <c r="DV35" i="76"/>
  <c r="DV64" i="76"/>
  <c r="DV34" i="76"/>
  <c r="DV32" i="76"/>
  <c r="DV51" i="76"/>
  <c r="DV47" i="76"/>
  <c r="DV57" i="76"/>
  <c r="DV59" i="76"/>
  <c r="DV70" i="76"/>
  <c r="FM66" i="76"/>
  <c r="EV56" i="7" s="1"/>
  <c r="DV55" i="76"/>
  <c r="DV42" i="76"/>
  <c r="DV63" i="76"/>
  <c r="DV53" i="76"/>
  <c r="EZ53" i="76"/>
  <c r="EO43" i="7" s="1"/>
  <c r="EK103" i="76"/>
  <c r="EF93" i="7" s="1"/>
  <c r="EL15" i="76"/>
  <c r="EG135" i="7" s="1"/>
  <c r="GB41" i="76"/>
  <c r="FE31" i="7" s="1"/>
  <c r="EY21" i="76"/>
  <c r="EN141" i="7" s="1"/>
  <c r="GA67" i="76"/>
  <c r="FD57" i="7" s="1"/>
  <c r="GA101" i="76"/>
  <c r="FD91" i="7" s="1"/>
  <c r="EZ39" i="76"/>
  <c r="EO29" i="7" s="1"/>
  <c r="EL73" i="76"/>
  <c r="EG63" i="7" s="1"/>
  <c r="EK101" i="76"/>
  <c r="EF91" i="7" s="1"/>
  <c r="GB60" i="76"/>
  <c r="FE50" i="7" s="1"/>
  <c r="EK50" i="76"/>
  <c r="EF40" i="7" s="1"/>
  <c r="GB94" i="76"/>
  <c r="FE84" i="7" s="1"/>
  <c r="EZ94" i="76"/>
  <c r="EO84" i="7" s="1"/>
  <c r="EY50" i="76"/>
  <c r="EN40" i="7" s="1"/>
  <c r="EL53" i="76"/>
  <c r="EG43" i="7" s="1"/>
  <c r="EY102" i="76"/>
  <c r="EN92" i="7" s="1"/>
  <c r="EZ64" i="76"/>
  <c r="EO54" i="7" s="1"/>
  <c r="EZ100" i="76"/>
  <c r="EO90" i="7" s="1"/>
  <c r="EY32" i="76"/>
  <c r="EN22" i="7" s="1"/>
  <c r="EK77" i="76"/>
  <c r="EF67" i="7" s="1"/>
  <c r="FM77" i="76"/>
  <c r="EV67" i="7" s="1"/>
  <c r="EK31" i="76"/>
  <c r="EF21" i="7" s="1"/>
  <c r="EL52" i="76"/>
  <c r="EG42" i="7" s="1"/>
  <c r="FN104" i="76"/>
  <c r="EW94" i="7" s="1"/>
  <c r="EK84" i="76"/>
  <c r="EF74" i="7" s="1"/>
  <c r="EL79" i="76"/>
  <c r="EG69" i="7" s="1"/>
  <c r="EY27" i="76"/>
  <c r="EN147" i="7" s="1"/>
  <c r="EZ32" i="76"/>
  <c r="EO22" i="7" s="1"/>
  <c r="EY84" i="76"/>
  <c r="EN74" i="7" s="1"/>
  <c r="FM63" i="76"/>
  <c r="EV53" i="7" s="1"/>
  <c r="EL104" i="76"/>
  <c r="EG94" i="7" s="1"/>
  <c r="EY31" i="76"/>
  <c r="EN21" i="7" s="1"/>
  <c r="EK14" i="76"/>
  <c r="EF134" i="7" s="1"/>
  <c r="FN34" i="76"/>
  <c r="EW24" i="7" s="1"/>
  <c r="EK27" i="76"/>
  <c r="EF147" i="7" s="1"/>
  <c r="EZ24" i="76"/>
  <c r="EO144" i="7" s="1"/>
  <c r="EL24" i="76"/>
  <c r="EG144" i="7" s="1"/>
  <c r="GB76" i="76"/>
  <c r="FE66" i="7" s="1"/>
  <c r="EK95" i="76"/>
  <c r="EF85" i="7" s="1"/>
  <c r="FM27" i="76"/>
  <c r="EV147" i="7" s="1"/>
  <c r="EL48" i="76"/>
  <c r="EG38" i="7" s="1"/>
  <c r="FM65" i="76"/>
  <c r="EV55" i="7" s="1"/>
  <c r="FN95" i="76"/>
  <c r="EW85" i="7" s="1"/>
  <c r="FN49" i="76"/>
  <c r="EW39" i="7" s="1"/>
  <c r="FM13" i="76"/>
  <c r="EV133" i="7" s="1"/>
  <c r="FM40" i="76"/>
  <c r="EV30" i="7" s="1"/>
  <c r="FM15" i="76"/>
  <c r="EV135" i="7" s="1"/>
  <c r="FN24" i="76"/>
  <c r="EW144" i="7" s="1"/>
  <c r="GP61" i="76"/>
  <c r="FM51" i="7" s="1"/>
  <c r="GP78" i="76"/>
  <c r="FM68" i="7" s="1"/>
  <c r="GO94" i="76"/>
  <c r="FL84" i="7" s="1"/>
  <c r="GO21" i="76"/>
  <c r="FL141" i="7" s="1"/>
  <c r="FM21" i="76"/>
  <c r="EV141" i="7" s="1"/>
  <c r="FM90" i="76"/>
  <c r="EV80" i="7" s="1"/>
  <c r="BR53" i="76"/>
  <c r="BR73" i="76"/>
  <c r="BR63" i="76"/>
  <c r="BR56" i="76"/>
  <c r="BR32" i="76"/>
  <c r="BR36" i="76"/>
  <c r="BR58" i="76"/>
  <c r="BR62" i="76"/>
  <c r="BR59" i="76"/>
  <c r="BR72" i="76"/>
  <c r="EZ97" i="76"/>
  <c r="EO87" i="7" s="1"/>
  <c r="BR42" i="76"/>
  <c r="BR52" i="76"/>
  <c r="BR64" i="76"/>
  <c r="BR48" i="76"/>
  <c r="BR38" i="76"/>
  <c r="BR45" i="76"/>
  <c r="BR34" i="76"/>
  <c r="BR68" i="76"/>
  <c r="BR40" i="76"/>
  <c r="BR41" i="76"/>
  <c r="BR47" i="76"/>
  <c r="BR51" i="76"/>
  <c r="BR54" i="76"/>
  <c r="BR69" i="76"/>
  <c r="EY77" i="76"/>
  <c r="EN67" i="7" s="1"/>
  <c r="BR44" i="76"/>
  <c r="EK74" i="76"/>
  <c r="EF64" i="7" s="1"/>
  <c r="EK48" i="76"/>
  <c r="EF38" i="7" s="1"/>
  <c r="GP97" i="76"/>
  <c r="FM87" i="7" s="1"/>
  <c r="BE32" i="76"/>
  <c r="BE60" i="76"/>
  <c r="BE35" i="76"/>
  <c r="BE39" i="76"/>
  <c r="BE41" i="76"/>
  <c r="BE37" i="76"/>
  <c r="BE51" i="76"/>
  <c r="BE66" i="76"/>
  <c r="GO101" i="76"/>
  <c r="FL91" i="7" s="1"/>
  <c r="BD57" i="76"/>
  <c r="BD55" i="76"/>
  <c r="BD49" i="76"/>
  <c r="BD63" i="76"/>
  <c r="BD72" i="76"/>
  <c r="BD38" i="76"/>
  <c r="BD34" i="76"/>
  <c r="BD43" i="76"/>
  <c r="BD60" i="76"/>
  <c r="BD67" i="76"/>
  <c r="BD37" i="76"/>
  <c r="BD53" i="76"/>
  <c r="BD42" i="76"/>
  <c r="BD52" i="76"/>
  <c r="BD68" i="76"/>
  <c r="BD39" i="76"/>
  <c r="BD31" i="76"/>
  <c r="BD30" i="76"/>
  <c r="BD48" i="76"/>
  <c r="BD45" i="76"/>
  <c r="BD56" i="76"/>
  <c r="BD73" i="76"/>
  <c r="BD64" i="76"/>
  <c r="AQ35" i="76"/>
  <c r="AQ39" i="76"/>
  <c r="AQ62" i="76"/>
  <c r="AQ63" i="76"/>
  <c r="AQ69" i="76"/>
  <c r="AQ44" i="76"/>
  <c r="AQ50" i="76"/>
  <c r="AQ33" i="76"/>
  <c r="AQ30" i="76"/>
  <c r="AQ46" i="76"/>
  <c r="AQ32" i="76"/>
  <c r="AQ48" i="76"/>
  <c r="AQ70" i="76"/>
  <c r="FM29" i="76"/>
  <c r="EV149" i="7" s="1"/>
  <c r="N34" i="76"/>
  <c r="FW24" i="7" s="1"/>
  <c r="N48" i="76"/>
  <c r="FW38" i="7" s="1"/>
  <c r="N56" i="76"/>
  <c r="FW46" i="7" s="1"/>
  <c r="N51" i="76"/>
  <c r="FW41" i="7" s="1"/>
  <c r="N54" i="76"/>
  <c r="FW44" i="7" s="1"/>
  <c r="N42" i="76"/>
  <c r="FW32" i="7" s="1"/>
  <c r="N61" i="76"/>
  <c r="FW51" i="7" s="1"/>
  <c r="N39" i="76"/>
  <c r="FW29" i="7" s="1"/>
  <c r="N50" i="76"/>
  <c r="FW40" i="7" s="1"/>
  <c r="N69" i="76"/>
  <c r="FW59" i="7" s="1"/>
  <c r="EK53" i="76"/>
  <c r="EF43" i="7" s="1"/>
  <c r="EK82" i="76"/>
  <c r="EF72" i="7" s="1"/>
  <c r="N31" i="76"/>
  <c r="FW21" i="7" s="1"/>
  <c r="N55" i="76"/>
  <c r="FW45" i="7" s="1"/>
  <c r="N68" i="76"/>
  <c r="FW58" i="7" s="1"/>
  <c r="N33" i="76"/>
  <c r="FW23" i="7" s="1"/>
  <c r="N46" i="76"/>
  <c r="FW36" i="7" s="1"/>
  <c r="N59" i="76"/>
  <c r="FW49" i="7" s="1"/>
  <c r="N38" i="76"/>
  <c r="FW28" i="7" s="1"/>
  <c r="N30" i="76"/>
  <c r="N64" i="76"/>
  <c r="FW54" i="7" s="1"/>
  <c r="N35" i="76"/>
  <c r="FW25" i="7" s="1"/>
  <c r="N32" i="76"/>
  <c r="FW22" i="7" s="1"/>
  <c r="N36" i="76"/>
  <c r="N47" i="76"/>
  <c r="FW37" i="7" s="1"/>
  <c r="N65" i="76"/>
  <c r="N66" i="76"/>
  <c r="FW56" i="7" s="1"/>
  <c r="N44" i="76"/>
  <c r="FW34" i="7" s="1"/>
  <c r="N37" i="76"/>
  <c r="FW27" i="7" s="1"/>
  <c r="N60" i="76"/>
  <c r="FW50" i="7" s="1"/>
  <c r="N53" i="76"/>
  <c r="FW43" i="7" s="1"/>
  <c r="N40" i="76"/>
  <c r="FW30" i="7" s="1"/>
  <c r="N41" i="76"/>
  <c r="FW31" i="7" s="1"/>
  <c r="N58" i="76"/>
  <c r="FW48" i="7" s="1"/>
  <c r="N57" i="76"/>
  <c r="FW47" i="7" s="1"/>
  <c r="N70" i="76"/>
  <c r="FW60" i="7" s="1"/>
  <c r="N26" i="76"/>
  <c r="N29" i="76"/>
  <c r="N27" i="76"/>
  <c r="R12" i="46"/>
  <c r="O10" i="46"/>
  <c r="O131" i="46" s="1"/>
  <c r="R10" i="46"/>
  <c r="O12" i="46"/>
  <c r="D4" i="46" s="1"/>
  <c r="F4" i="41" s="1"/>
  <c r="R10" i="45"/>
  <c r="O10" i="45"/>
  <c r="O131" i="45" s="1"/>
  <c r="R12" i="45"/>
  <c r="O12" i="45"/>
  <c r="R10" i="38"/>
  <c r="O10" i="38"/>
  <c r="O131" i="38" s="1"/>
  <c r="C12" i="38"/>
  <c r="O12" i="38"/>
  <c r="C12" i="46"/>
  <c r="C12" i="45"/>
  <c r="AH5" i="38"/>
  <c r="AH6" i="38"/>
  <c r="AH5" i="46"/>
  <c r="AH6" i="46"/>
  <c r="AH5" i="45"/>
  <c r="AH6" i="45"/>
  <c r="H10" i="38"/>
  <c r="AX15" i="46"/>
  <c r="BB15" i="46" s="1"/>
  <c r="H10" i="45"/>
  <c r="D3" i="46"/>
  <c r="F3" i="41" s="1"/>
  <c r="H10" i="46"/>
  <c r="H15" i="46"/>
  <c r="I15" i="46" s="1"/>
  <c r="J15" i="46" s="1"/>
  <c r="I10" i="46"/>
  <c r="AN12" i="45"/>
  <c r="AP14" i="41" s="1"/>
  <c r="AQ3" i="41" s="1"/>
  <c r="I10" i="45"/>
  <c r="B17" i="38"/>
  <c r="I10" i="38"/>
  <c r="AF11" i="45"/>
  <c r="AF12" i="45" s="1"/>
  <c r="AI2" i="41" s="1"/>
  <c r="AY15" i="46"/>
  <c r="AY16" i="46" s="1"/>
  <c r="F12" i="45"/>
  <c r="AR15" i="45"/>
  <c r="F15" i="46"/>
  <c r="D6" i="46" s="1"/>
  <c r="F6" i="41" s="1"/>
  <c r="AB12" i="45"/>
  <c r="FP12" i="45"/>
  <c r="FU6" i="45" s="1"/>
  <c r="J12" i="46"/>
  <c r="D2" i="45"/>
  <c r="A2" i="45" s="1"/>
  <c r="G15" i="46"/>
  <c r="D7" i="46" s="1"/>
  <c r="F7" i="41" s="1"/>
  <c r="H15" i="45"/>
  <c r="I15" i="45" s="1"/>
  <c r="J15" i="45" s="1"/>
  <c r="B17" i="45"/>
  <c r="R17" i="45" s="1"/>
  <c r="AY15" i="45"/>
  <c r="AY16" i="45" s="1"/>
  <c r="M12" i="46"/>
  <c r="AX15" i="45"/>
  <c r="BB15" i="45" s="1"/>
  <c r="BF18" i="46"/>
  <c r="A15" i="45"/>
  <c r="E1" i="41" s="1"/>
  <c r="CJ1" i="41" s="1"/>
  <c r="G15" i="45"/>
  <c r="D7" i="45" s="1"/>
  <c r="E7" i="41" s="1"/>
  <c r="CJ7" i="41" s="1"/>
  <c r="BC15" i="45"/>
  <c r="BG15" i="45" s="1"/>
  <c r="D2" i="46"/>
  <c r="F2" i="41" s="1"/>
  <c r="AJ6" i="41" s="1"/>
  <c r="AF11" i="46"/>
  <c r="AF12" i="46" s="1"/>
  <c r="AJ2" i="41" s="1"/>
  <c r="FP12" i="46"/>
  <c r="FP6" i="46" s="1"/>
  <c r="D9" i="46"/>
  <c r="F9" i="41" s="1"/>
  <c r="AJ7" i="41" s="1"/>
  <c r="BD15" i="45"/>
  <c r="J12" i="45"/>
  <c r="AC12" i="45"/>
  <c r="A15" i="46"/>
  <c r="AS15" i="45"/>
  <c r="AW15" i="45" s="1"/>
  <c r="AB12" i="46"/>
  <c r="AC12" i="46"/>
  <c r="AT15" i="46"/>
  <c r="AT16" i="46" s="1"/>
  <c r="L12" i="46"/>
  <c r="BA18" i="46"/>
  <c r="AS15" i="46"/>
  <c r="AW15" i="46" s="1"/>
  <c r="J129" i="46"/>
  <c r="L12" i="45"/>
  <c r="B17" i="46"/>
  <c r="R17" i="46" s="1"/>
  <c r="FB15" i="38"/>
  <c r="M12" i="45"/>
  <c r="BC15" i="46"/>
  <c r="BG15" i="46" s="1"/>
  <c r="F15" i="45"/>
  <c r="D6" i="45" s="1"/>
  <c r="E6" i="41" s="1"/>
  <c r="CJ6" i="41" s="1"/>
  <c r="S12" i="45"/>
  <c r="D5" i="45" s="1"/>
  <c r="E5" i="41" s="1"/>
  <c r="CJ5" i="41" s="1"/>
  <c r="D3" i="45"/>
  <c r="E3" i="41" s="1"/>
  <c r="CJ3" i="41" s="1"/>
  <c r="AV18" i="46"/>
  <c r="S12" i="46"/>
  <c r="D5" i="46" s="1"/>
  <c r="F5" i="41" s="1"/>
  <c r="F12" i="46"/>
  <c r="AN12" i="46"/>
  <c r="AN7" i="46" s="1"/>
  <c r="AB130" i="41" s="1"/>
  <c r="AF130" i="41" s="1"/>
  <c r="AR15" i="46"/>
  <c r="AO12" i="46"/>
  <c r="AO7" i="46" s="1"/>
  <c r="AO12" i="45"/>
  <c r="AO14" i="45" s="1"/>
  <c r="EO14" i="38" s="1"/>
  <c r="CD18" i="41" s="1"/>
  <c r="AT15" i="45"/>
  <c r="AT16" i="45" s="1"/>
  <c r="BD15" i="46"/>
  <c r="D9" i="45"/>
  <c r="E9" i="41" s="1"/>
  <c r="D2" i="38"/>
  <c r="A2" i="38" s="1"/>
  <c r="AY15" i="38"/>
  <c r="AY16" i="38" s="1"/>
  <c r="BC15" i="38"/>
  <c r="BG15" i="38" s="1"/>
  <c r="AN12" i="38"/>
  <c r="CJ12" i="38" s="1"/>
  <c r="D9" i="38"/>
  <c r="D9" i="41" s="1"/>
  <c r="J129" i="38"/>
  <c r="EV15" i="38"/>
  <c r="AT15" i="38"/>
  <c r="AT16" i="38" s="1"/>
  <c r="J12" i="38"/>
  <c r="AS15" i="38"/>
  <c r="AW15" i="38" s="1"/>
  <c r="AX15" i="38"/>
  <c r="BB15" i="38" s="1"/>
  <c r="AO12" i="38"/>
  <c r="EX15" i="38"/>
  <c r="F15" i="38"/>
  <c r="D6" i="38" s="1"/>
  <c r="D6" i="41" s="1"/>
  <c r="CK6" i="41" s="1"/>
  <c r="AF11" i="38"/>
  <c r="AF12" i="38" s="1"/>
  <c r="AH2" i="41" s="1"/>
  <c r="DT5" i="38"/>
  <c r="EO12" i="38" s="1"/>
  <c r="CD14" i="41" s="1"/>
  <c r="CD3" i="41" s="1"/>
  <c r="A15" i="38"/>
  <c r="D1" i="41" s="1"/>
  <c r="AR15" i="38"/>
  <c r="M12" i="38"/>
  <c r="S12" i="38"/>
  <c r="CB19" i="38" s="1"/>
  <c r="FS12" i="38"/>
  <c r="AB12" i="38"/>
  <c r="L12" i="38"/>
  <c r="R12" i="38"/>
  <c r="EW15" i="38"/>
  <c r="G15" i="38"/>
  <c r="D7" i="38" s="1"/>
  <c r="D7" i="41" s="1"/>
  <c r="G7" i="41" s="1"/>
  <c r="FC15" i="38"/>
  <c r="BD15" i="38"/>
  <c r="F12" i="38"/>
  <c r="H15" i="38"/>
  <c r="I15" i="38" s="1"/>
  <c r="J15" i="38" s="1"/>
  <c r="AC12" i="38"/>
  <c r="AJ15" i="41"/>
  <c r="AI15" i="41"/>
  <c r="AH15" i="41"/>
  <c r="GS17" i="46"/>
  <c r="JJ17" i="46"/>
  <c r="IS17" i="45"/>
  <c r="IR17" i="45"/>
  <c r="GE17" i="45"/>
  <c r="IU17" i="46"/>
  <c r="HL17" i="46"/>
  <c r="JL17" i="46"/>
  <c r="GS17" i="45"/>
  <c r="GQ4" i="57"/>
  <c r="AR14" i="7" s="1"/>
  <c r="AR15" i="7" s="1"/>
  <c r="CB15" i="7"/>
  <c r="DH1" i="7"/>
  <c r="GD4" i="57"/>
  <c r="CH1" i="7"/>
  <c r="IP17" i="45"/>
  <c r="HK17" i="46"/>
  <c r="FX17" i="45"/>
  <c r="GP17" i="46"/>
  <c r="GP17" i="45"/>
  <c r="HE17" i="46"/>
  <c r="IM17" i="45"/>
  <c r="HQ17" i="45"/>
  <c r="IJ17" i="45"/>
  <c r="IJ17" i="46"/>
  <c r="JB17" i="45"/>
  <c r="JC17" i="46"/>
  <c r="A22" i="6"/>
  <c r="IN17" i="45"/>
  <c r="GG17" i="45"/>
  <c r="GZ17" i="45"/>
  <c r="IX17" i="46"/>
  <c r="GZ17" i="46"/>
  <c r="GH17" i="45"/>
  <c r="IC17" i="46"/>
  <c r="GI17" i="46"/>
  <c r="IY17" i="45"/>
  <c r="GX17" i="46"/>
  <c r="HJ17" i="45"/>
  <c r="FT17" i="45"/>
  <c r="HY17" i="46"/>
  <c r="HR17" i="46"/>
  <c r="GE17" i="46"/>
  <c r="IW17" i="45"/>
  <c r="HK17" i="45"/>
  <c r="GW17" i="46"/>
  <c r="HY17" i="45"/>
  <c r="HS17" i="45"/>
  <c r="FY17" i="46"/>
  <c r="IR17" i="46"/>
  <c r="HM17" i="45"/>
  <c r="GA17" i="45"/>
  <c r="JL17" i="45"/>
  <c r="IF17" i="46"/>
  <c r="IT17" i="45"/>
  <c r="HD17" i="45"/>
  <c r="JI17" i="46"/>
  <c r="JB17" i="46"/>
  <c r="HO17" i="46"/>
  <c r="FX17" i="46"/>
  <c r="HV17" i="45"/>
  <c r="GF17" i="45"/>
  <c r="ID17" i="46"/>
  <c r="GQ17" i="46"/>
  <c r="GF17" i="46"/>
  <c r="GL17" i="45"/>
  <c r="FY17" i="45"/>
  <c r="EM4" i="57"/>
  <c r="GI17" i="45"/>
  <c r="HJ17" i="46"/>
  <c r="HE17" i="45"/>
  <c r="BJ1" i="7"/>
  <c r="GD17" i="45"/>
  <c r="HG17" i="45"/>
  <c r="IF17" i="45"/>
  <c r="JE17" i="46"/>
  <c r="GL17" i="46"/>
  <c r="IQ17" i="46"/>
  <c r="FT17" i="46"/>
  <c r="GK17" i="45"/>
  <c r="HN17" i="45"/>
  <c r="IQ17" i="45"/>
  <c r="FQ17" i="46"/>
  <c r="HV17" i="46"/>
  <c r="HD17" i="46"/>
  <c r="JE17" i="45"/>
  <c r="GM17" i="45"/>
  <c r="HL17" i="45"/>
  <c r="IK17" i="46"/>
  <c r="FR17" i="46"/>
  <c r="HW17" i="46"/>
  <c r="IW17" i="46"/>
  <c r="BC1" i="7"/>
  <c r="FB4" i="70"/>
  <c r="FB2" i="70" s="1"/>
  <c r="EM4" i="56"/>
  <c r="EM2" i="56" s="1"/>
  <c r="BB14" i="7" s="1"/>
  <c r="BB15" i="7" s="1"/>
  <c r="BU11" i="38"/>
  <c r="IG17" i="46"/>
  <c r="FU17" i="46"/>
  <c r="CQ11" i="38"/>
  <c r="BV11" i="38"/>
  <c r="AO13" i="41"/>
  <c r="AO3" i="41" s="1"/>
  <c r="CH11" i="38"/>
  <c r="BW11" i="38"/>
  <c r="BX11" i="38"/>
  <c r="A22" i="7"/>
  <c r="A23" i="55"/>
  <c r="A23" i="4" s="1"/>
  <c r="CZ1" i="7"/>
  <c r="AJ1" i="7"/>
  <c r="GC4" i="57"/>
  <c r="A22" i="46"/>
  <c r="FK22" i="46" s="1"/>
  <c r="A22" i="41"/>
  <c r="BR11" i="38"/>
  <c r="CI11" i="38"/>
  <c r="BQ13" i="41" s="1"/>
  <c r="BZ1" i="7"/>
  <c r="AY13" i="41"/>
  <c r="BK1" i="7"/>
  <c r="FB4" i="56"/>
  <c r="FB2" i="56" s="1"/>
  <c r="BK14" i="7" s="1"/>
  <c r="FK21" i="46"/>
  <c r="D3" i="38"/>
  <c r="D3" i="41" s="1"/>
  <c r="CK3" i="41" s="1"/>
  <c r="BA18" i="38"/>
  <c r="BF18" i="38"/>
  <c r="AV18" i="38"/>
  <c r="CP11" i="38"/>
  <c r="CF11" i="38"/>
  <c r="CE11" i="38"/>
  <c r="CC11" i="38"/>
  <c r="CB11" i="38"/>
  <c r="BL13" i="41" s="1"/>
  <c r="FQ17" i="45"/>
  <c r="IC17" i="45"/>
  <c r="GT17" i="45"/>
  <c r="JF17" i="45"/>
  <c r="HW17" i="45"/>
  <c r="GJ17" i="45"/>
  <c r="IV17" i="45"/>
  <c r="HI17" i="46"/>
  <c r="HB17" i="46"/>
  <c r="GU17" i="46"/>
  <c r="JG17" i="46"/>
  <c r="GJ17" i="46"/>
  <c r="IV17" i="46"/>
  <c r="HA17" i="45"/>
  <c r="FR17" i="45"/>
  <c r="ID17" i="45"/>
  <c r="GU17" i="45"/>
  <c r="JG17" i="45"/>
  <c r="HT17" i="45"/>
  <c r="GG17" i="46"/>
  <c r="IS17" i="46"/>
  <c r="FZ17" i="46"/>
  <c r="IL17" i="46"/>
  <c r="FS17" i="46"/>
  <c r="IE17" i="46"/>
  <c r="HT17" i="46"/>
  <c r="HI17" i="45"/>
  <c r="FZ17" i="45"/>
  <c r="IL17" i="45"/>
  <c r="HC17" i="45"/>
  <c r="FP17" i="45"/>
  <c r="IB17" i="45"/>
  <c r="GO17" i="46"/>
  <c r="JA17" i="46"/>
  <c r="GH17" i="46"/>
  <c r="IT17" i="46"/>
  <c r="GA17" i="46"/>
  <c r="IM17" i="46"/>
  <c r="FP17" i="46"/>
  <c r="IB17" i="46"/>
  <c r="GD17" i="46"/>
  <c r="JA17" i="45"/>
  <c r="GR17" i="46"/>
  <c r="IE17" i="45"/>
  <c r="FK21" i="45"/>
  <c r="HA17" i="46"/>
  <c r="HX17" i="45"/>
  <c r="JF17" i="46"/>
  <c r="FV17" i="45"/>
  <c r="IN17" i="46"/>
  <c r="GM17" i="46"/>
  <c r="GY17" i="45"/>
  <c r="IH17" i="45"/>
  <c r="IY17" i="46"/>
  <c r="JD17" i="45"/>
  <c r="IK17" i="45"/>
  <c r="IX17" i="45"/>
  <c r="HQ17" i="46"/>
  <c r="HR17" i="45"/>
  <c r="GK17" i="46"/>
  <c r="IP17" i="46"/>
  <c r="JK17" i="45"/>
  <c r="HB17" i="45"/>
  <c r="HH17" i="46"/>
  <c r="GR17" i="45"/>
  <c r="HS17" i="46"/>
  <c r="HU17" i="45"/>
  <c r="GB17" i="45"/>
  <c r="HC17" i="46"/>
  <c r="JD17" i="46"/>
  <c r="GO17" i="45"/>
  <c r="IU17" i="45"/>
  <c r="FW17" i="46"/>
  <c r="HX17" i="46"/>
  <c r="BF18" i="45"/>
  <c r="BA18" i="45"/>
  <c r="AV18" i="45"/>
  <c r="BT11" i="38"/>
  <c r="BG13" i="41" s="1"/>
  <c r="CR11" i="38"/>
  <c r="CL11" i="38"/>
  <c r="GW17" i="45"/>
  <c r="JI17" i="45"/>
  <c r="HZ17" i="45"/>
  <c r="GQ17" i="45"/>
  <c r="JC17" i="45"/>
  <c r="HP17" i="45"/>
  <c r="GC17" i="46"/>
  <c r="IO17" i="46"/>
  <c r="FV17" i="46"/>
  <c r="IH17" i="46"/>
  <c r="IA17" i="46"/>
  <c r="HP17" i="46"/>
  <c r="FU17" i="45"/>
  <c r="IG17" i="45"/>
  <c r="GX17" i="45"/>
  <c r="JJ17" i="45"/>
  <c r="IA17" i="45"/>
  <c r="GN17" i="45"/>
  <c r="IZ17" i="45"/>
  <c r="HM17" i="46"/>
  <c r="HF17" i="46"/>
  <c r="GY17" i="46"/>
  <c r="JK17" i="46"/>
  <c r="GN17" i="46"/>
  <c r="IZ17" i="46"/>
  <c r="GC17" i="45"/>
  <c r="IO17" i="45"/>
  <c r="HF17" i="45"/>
  <c r="FW17" i="45"/>
  <c r="II17" i="45"/>
  <c r="GV17" i="45"/>
  <c r="JH17" i="45"/>
  <c r="HU17" i="46"/>
  <c r="HN17" i="46"/>
  <c r="HG17" i="46"/>
  <c r="GV17" i="46"/>
  <c r="JH17" i="46"/>
  <c r="II17" i="46"/>
  <c r="HH17" i="45"/>
  <c r="HO17" i="45"/>
  <c r="FS17" i="45"/>
  <c r="HZ17" i="46"/>
  <c r="GB17" i="46"/>
  <c r="A22" i="4"/>
  <c r="A22" i="38"/>
  <c r="CV22" i="38" s="1"/>
  <c r="CI1" i="7"/>
  <c r="GR4" i="56"/>
  <c r="GR2" i="56" s="1"/>
  <c r="CI14" i="7" s="1"/>
  <c r="CI15" i="7" s="1"/>
  <c r="AW13" i="41"/>
  <c r="BB13" i="41"/>
  <c r="BC13" i="41"/>
  <c r="BA13" i="41"/>
  <c r="FM78" i="76"/>
  <c r="EV68" i="7" s="1"/>
  <c r="FM44" i="76"/>
  <c r="EV34" i="7" s="1"/>
  <c r="FN22" i="76"/>
  <c r="EW142" i="7" s="1"/>
  <c r="FN64" i="76"/>
  <c r="EW54" i="7" s="1"/>
  <c r="FN14" i="76"/>
  <c r="EW134" i="7" s="1"/>
  <c r="FM55" i="76"/>
  <c r="EV45" i="7" s="1"/>
  <c r="FM74" i="76"/>
  <c r="EV64" i="7" s="1"/>
  <c r="FN25" i="76"/>
  <c r="EW145" i="7" s="1"/>
  <c r="FM26" i="76"/>
  <c r="EV146" i="7" s="1"/>
  <c r="FM23" i="76"/>
  <c r="EV143" i="7" s="1"/>
  <c r="FN98" i="76"/>
  <c r="EW88" i="7" s="1"/>
  <c r="FN87" i="76"/>
  <c r="EW77" i="7" s="1"/>
  <c r="DH43" i="76"/>
  <c r="DH54" i="76"/>
  <c r="GC54" i="76" s="1"/>
  <c r="FF44" i="7" s="1"/>
  <c r="DH66" i="76"/>
  <c r="EZ57" i="76"/>
  <c r="EO47" i="7" s="1"/>
  <c r="EK52" i="76"/>
  <c r="EF42" i="7" s="1"/>
  <c r="GA46" i="76"/>
  <c r="FD36" i="7" s="1"/>
  <c r="EY52" i="76"/>
  <c r="EN42" i="7" s="1"/>
  <c r="DH33" i="76"/>
  <c r="DH32" i="76"/>
  <c r="GC32" i="76" s="1"/>
  <c r="FF22" i="7" s="1"/>
  <c r="DH44" i="76"/>
  <c r="DH70" i="76"/>
  <c r="GC70" i="76" s="1"/>
  <c r="FF60" i="7" s="1"/>
  <c r="EK32" i="76"/>
  <c r="EF22" i="7" s="1"/>
  <c r="EY110" i="76"/>
  <c r="EN100" i="7" s="1"/>
  <c r="GA103" i="76"/>
  <c r="FD93" i="7" s="1"/>
  <c r="EK110" i="76"/>
  <c r="EF100" i="7" s="1"/>
  <c r="GC61" i="76"/>
  <c r="FF51" i="7" s="1"/>
  <c r="DH30" i="76"/>
  <c r="DH53" i="76"/>
  <c r="GC53" i="76" s="1"/>
  <c r="FF43" i="7" s="1"/>
  <c r="DH59" i="76"/>
  <c r="DH39" i="76"/>
  <c r="DH45" i="76"/>
  <c r="DH49" i="76"/>
  <c r="DH63" i="76"/>
  <c r="DH37" i="76"/>
  <c r="DH38" i="76"/>
  <c r="GC38" i="76" s="1"/>
  <c r="FF28" i="7" s="1"/>
  <c r="DH57" i="76"/>
  <c r="DH42" i="76"/>
  <c r="GC42" i="76" s="1"/>
  <c r="FF32" i="7" s="1"/>
  <c r="DH34" i="76"/>
  <c r="DH48" i="76"/>
  <c r="DH68" i="76"/>
  <c r="GC68" i="76" s="1"/>
  <c r="FF58" i="7" s="1"/>
  <c r="DH55" i="76"/>
  <c r="DH60" i="76"/>
  <c r="DH67" i="76"/>
  <c r="DH56" i="76"/>
  <c r="GC56" i="76" s="1"/>
  <c r="FF46" i="7" s="1"/>
  <c r="DH72" i="76"/>
  <c r="DH52" i="76"/>
  <c r="DH64" i="76"/>
  <c r="DH31" i="76"/>
  <c r="GC31" i="76" s="1"/>
  <c r="FF21" i="7" s="1"/>
  <c r="DH73" i="76"/>
  <c r="DH46" i="76"/>
  <c r="GC46" i="76" s="1"/>
  <c r="FF36" i="7" s="1"/>
  <c r="DH69" i="76"/>
  <c r="GC69" i="76" s="1"/>
  <c r="FF59" i="7" s="1"/>
  <c r="DH74" i="76"/>
  <c r="GC74" i="76" s="1"/>
  <c r="FF64" i="7" s="1"/>
  <c r="EK94" i="76"/>
  <c r="EF84" i="7" s="1"/>
  <c r="DH35" i="76"/>
  <c r="DH40" i="76"/>
  <c r="DH47" i="76"/>
  <c r="DH58" i="76"/>
  <c r="DH62" i="76"/>
  <c r="EY66" i="76"/>
  <c r="EN56" i="7" s="1"/>
  <c r="EL83" i="76"/>
  <c r="EG73" i="7" s="1"/>
  <c r="EZ41" i="76"/>
  <c r="EO31" i="7" s="1"/>
  <c r="EL76" i="76"/>
  <c r="EG66" i="7" s="1"/>
  <c r="GA22" i="76"/>
  <c r="FD142" i="7" s="1"/>
  <c r="GB16" i="76"/>
  <c r="FE136" i="7" s="1"/>
  <c r="EK23" i="76"/>
  <c r="EF143" i="7" s="1"/>
  <c r="EY23" i="76"/>
  <c r="EN143" i="7" s="1"/>
  <c r="EZ34" i="76"/>
  <c r="EO24" i="7" s="1"/>
  <c r="GB33" i="76"/>
  <c r="FE23" i="7" s="1"/>
  <c r="EY61" i="76"/>
  <c r="EN51" i="7" s="1"/>
  <c r="EY53" i="76"/>
  <c r="EN43" i="7" s="1"/>
  <c r="GB25" i="76"/>
  <c r="FE145" i="7" s="1"/>
  <c r="EY105" i="76"/>
  <c r="EN95" i="7" s="1"/>
  <c r="GB81" i="76"/>
  <c r="FE71" i="7" s="1"/>
  <c r="GA30" i="76"/>
  <c r="EK98" i="76"/>
  <c r="EF88" i="7" s="1"/>
  <c r="GB51" i="76"/>
  <c r="FE41" i="7" s="1"/>
  <c r="GA70" i="76"/>
  <c r="FD60" i="7" s="1"/>
  <c r="EL42" i="76"/>
  <c r="EG32" i="7" s="1"/>
  <c r="EY48" i="76"/>
  <c r="EN38" i="7" s="1"/>
  <c r="EK105" i="76"/>
  <c r="EF95" i="7" s="1"/>
  <c r="GB79" i="76"/>
  <c r="FE69" i="7" s="1"/>
  <c r="GA95" i="76"/>
  <c r="FD85" i="7" s="1"/>
  <c r="GA59" i="76"/>
  <c r="FD49" i="7" s="1"/>
  <c r="EZ44" i="76"/>
  <c r="EO34" i="7" s="1"/>
  <c r="EL74" i="76"/>
  <c r="EG64" i="7" s="1"/>
  <c r="EZ20" i="76"/>
  <c r="EO140" i="7" s="1"/>
  <c r="EK21" i="76"/>
  <c r="EF141" i="7" s="1"/>
  <c r="EK76" i="76"/>
  <c r="EF66" i="7" s="1"/>
  <c r="GA37" i="76"/>
  <c r="FD27" i="7" s="1"/>
  <c r="GA41" i="76"/>
  <c r="FD31" i="7" s="1"/>
  <c r="EL98" i="76"/>
  <c r="EG88" i="7" s="1"/>
  <c r="EL20" i="76"/>
  <c r="EG140" i="7" s="1"/>
  <c r="GB38" i="76"/>
  <c r="FE28" i="7" s="1"/>
  <c r="EK11" i="76"/>
  <c r="EF131" i="7" s="1"/>
  <c r="EY62" i="76"/>
  <c r="EN52" i="7" s="1"/>
  <c r="GA72" i="76"/>
  <c r="FD62" i="7" s="1"/>
  <c r="EZ76" i="76"/>
  <c r="EO66" i="7" s="1"/>
  <c r="EY41" i="76"/>
  <c r="EN31" i="7" s="1"/>
  <c r="EZ74" i="76"/>
  <c r="EO64" i="7" s="1"/>
  <c r="FM67" i="76"/>
  <c r="EV57" i="7" s="1"/>
  <c r="EY59" i="76"/>
  <c r="EN49" i="7" s="1"/>
  <c r="EY37" i="76"/>
  <c r="EN27" i="7" s="1"/>
  <c r="EZ86" i="76"/>
  <c r="EO76" i="7" s="1"/>
  <c r="FN90" i="76"/>
  <c r="EW80" i="7" s="1"/>
  <c r="FM30" i="76"/>
  <c r="FM43" i="76"/>
  <c r="EV33" i="7" s="1"/>
  <c r="EK37" i="76"/>
  <c r="EF27" i="7" s="1"/>
  <c r="EK63" i="76"/>
  <c r="EF53" i="7" s="1"/>
  <c r="FM83" i="76"/>
  <c r="EV73" i="7" s="1"/>
  <c r="EY30" i="76"/>
  <c r="EY44" i="76"/>
  <c r="EN34" i="7" s="1"/>
  <c r="FN54" i="76"/>
  <c r="EW44" i="7" s="1"/>
  <c r="EL91" i="76"/>
  <c r="EG81" i="7" s="1"/>
  <c r="EZ22" i="76"/>
  <c r="EO142" i="7" s="1"/>
  <c r="EL16" i="76"/>
  <c r="EG136" i="7" s="1"/>
  <c r="FN59" i="76"/>
  <c r="EW49" i="7" s="1"/>
  <c r="FN33" i="76"/>
  <c r="EW23" i="7" s="1"/>
  <c r="EY81" i="76"/>
  <c r="EN71" i="7" s="1"/>
  <c r="EZ59" i="76"/>
  <c r="EO49" i="7" s="1"/>
  <c r="EL62" i="76"/>
  <c r="EG52" i="7" s="1"/>
  <c r="FN10" i="76"/>
  <c r="EW130" i="7" s="1"/>
  <c r="EY70" i="76"/>
  <c r="EN60" i="7" s="1"/>
  <c r="EK71" i="76"/>
  <c r="EF61" i="7" s="1"/>
  <c r="FM14" i="76"/>
  <c r="EV134" i="7" s="1"/>
  <c r="EZ89" i="76"/>
  <c r="EO79" i="7" s="1"/>
  <c r="EL81" i="76"/>
  <c r="EG71" i="7" s="1"/>
  <c r="EZ87" i="76"/>
  <c r="EO77" i="7" s="1"/>
  <c r="EL55" i="76"/>
  <c r="EG45" i="7" s="1"/>
  <c r="EZ107" i="76"/>
  <c r="EO97" i="7" s="1"/>
  <c r="FM82" i="76"/>
  <c r="EV72" i="7" s="1"/>
  <c r="FN72" i="76"/>
  <c r="EW62" i="7" s="1"/>
  <c r="FN42" i="76"/>
  <c r="EW32" i="7" s="1"/>
  <c r="EZ62" i="76"/>
  <c r="EO52" i="7" s="1"/>
  <c r="FM81" i="76"/>
  <c r="EV71" i="7" s="1"/>
  <c r="FN62" i="76"/>
  <c r="EW52" i="7" s="1"/>
  <c r="EZ91" i="76"/>
  <c r="EO81" i="7" s="1"/>
  <c r="FM107" i="76"/>
  <c r="EV97" i="7" s="1"/>
  <c r="EZ72" i="76"/>
  <c r="EO62" i="7" s="1"/>
  <c r="EY89" i="76"/>
  <c r="EN79" i="7" s="1"/>
  <c r="EZ104" i="76"/>
  <c r="EO94" i="7" s="1"/>
  <c r="EZ16" i="76"/>
  <c r="EO136" i="7" s="1"/>
  <c r="FN16" i="76"/>
  <c r="EW136" i="7" s="1"/>
  <c r="GP33" i="76"/>
  <c r="FM23" i="7" s="1"/>
  <c r="FN41" i="76"/>
  <c r="EW31" i="7" s="1"/>
  <c r="FM105" i="76"/>
  <c r="EV95" i="7" s="1"/>
  <c r="GP25" i="76"/>
  <c r="FM145" i="7" s="1"/>
  <c r="FN103" i="76"/>
  <c r="EW93" i="7" s="1"/>
  <c r="GP39" i="76"/>
  <c r="FM29" i="7" s="1"/>
  <c r="FM47" i="76"/>
  <c r="EV37" i="7" s="1"/>
  <c r="FM18" i="76"/>
  <c r="EV138" i="7" s="1"/>
  <c r="FM62" i="76"/>
  <c r="EV52" i="7" s="1"/>
  <c r="FM37" i="76"/>
  <c r="EV27" i="7" s="1"/>
  <c r="FN26" i="76"/>
  <c r="EW146" i="7" s="1"/>
  <c r="FM76" i="76"/>
  <c r="EV66" i="7" s="1"/>
  <c r="GO70" i="76"/>
  <c r="FL60" i="7" s="1"/>
  <c r="FN17" i="76"/>
  <c r="EW137" i="7" s="1"/>
  <c r="GO83" i="76"/>
  <c r="FL73" i="7" s="1"/>
  <c r="GO91" i="76"/>
  <c r="FL81" i="7" s="1"/>
  <c r="FN79" i="76"/>
  <c r="EW69" i="7" s="1"/>
  <c r="FM58" i="76"/>
  <c r="EV48" i="7" s="1"/>
  <c r="FM99" i="76"/>
  <c r="EV89" i="7" s="1"/>
  <c r="FM94" i="76"/>
  <c r="EV84" i="7" s="1"/>
  <c r="FM71" i="76"/>
  <c r="EV61" i="7" s="1"/>
  <c r="FN55" i="76"/>
  <c r="EW45" i="7" s="1"/>
  <c r="FN32" i="76"/>
  <c r="EW22" i="7" s="1"/>
  <c r="GP71" i="76"/>
  <c r="FM61" i="7" s="1"/>
  <c r="FM72" i="76"/>
  <c r="EV62" i="7" s="1"/>
  <c r="FN81" i="76"/>
  <c r="EW71" i="7" s="1"/>
  <c r="GP44" i="76"/>
  <c r="FM34" i="7" s="1"/>
  <c r="EZ83" i="76"/>
  <c r="EO73" i="7" s="1"/>
  <c r="EY82" i="76"/>
  <c r="EN72" i="7" s="1"/>
  <c r="EZ67" i="76"/>
  <c r="EO57" i="7" s="1"/>
  <c r="EY83" i="76"/>
  <c r="EN73" i="7" s="1"/>
  <c r="EZ25" i="76"/>
  <c r="EO145" i="7" s="1"/>
  <c r="EZ90" i="76"/>
  <c r="EO80" i="7" s="1"/>
  <c r="EY72" i="76"/>
  <c r="EN62" i="7" s="1"/>
  <c r="EZ15" i="76"/>
  <c r="EO135" i="7" s="1"/>
  <c r="EY78" i="76"/>
  <c r="EN68" i="7" s="1"/>
  <c r="EZ78" i="76"/>
  <c r="EO68" i="7" s="1"/>
  <c r="EY58" i="76"/>
  <c r="EN48" i="7" s="1"/>
  <c r="EK45" i="76"/>
  <c r="EF35" i="7" s="1"/>
  <c r="EL46" i="76"/>
  <c r="EG36" i="7" s="1"/>
  <c r="EK29" i="76"/>
  <c r="EF149" i="7" s="1"/>
  <c r="EL100" i="76"/>
  <c r="EG90" i="7" s="1"/>
  <c r="EK19" i="76"/>
  <c r="EF139" i="7" s="1"/>
  <c r="EL110" i="76"/>
  <c r="EG100" i="7" s="1"/>
  <c r="EK66" i="76"/>
  <c r="EF56" i="7" s="1"/>
  <c r="GO26" i="76"/>
  <c r="FL146" i="7" s="1"/>
  <c r="GO18" i="76"/>
  <c r="FL138" i="7" s="1"/>
  <c r="EK102" i="76"/>
  <c r="EF92" i="7" s="1"/>
  <c r="EL41" i="76"/>
  <c r="EG31" i="7" s="1"/>
  <c r="EK42" i="76"/>
  <c r="EF32" i="7" s="1"/>
  <c r="EK92" i="76"/>
  <c r="EF82" i="7" s="1"/>
  <c r="EL87" i="76"/>
  <c r="EG77" i="7" s="1"/>
  <c r="EK34" i="76"/>
  <c r="EF24" i="7" s="1"/>
  <c r="EK30" i="76"/>
  <c r="EY76" i="76"/>
  <c r="EN66" i="7" s="1"/>
  <c r="EY87" i="76"/>
  <c r="EN77" i="7" s="1"/>
  <c r="EZ26" i="76"/>
  <c r="EO146" i="7" s="1"/>
  <c r="EY99" i="76"/>
  <c r="EN89" i="7" s="1"/>
  <c r="EZ108" i="76"/>
  <c r="EO98" i="7" s="1"/>
  <c r="EZ51" i="76"/>
  <c r="EO41" i="7" s="1"/>
  <c r="N43" i="76"/>
  <c r="FW33" i="7" s="1"/>
  <c r="N74" i="76"/>
  <c r="FW64" i="7" s="1"/>
  <c r="N73" i="76"/>
  <c r="FW63" i="7" s="1"/>
  <c r="N63" i="76"/>
  <c r="FW53" i="7" s="1"/>
  <c r="N67" i="76"/>
  <c r="FW57" i="7" s="1"/>
  <c r="FN11" i="76"/>
  <c r="EW131" i="7" s="1"/>
  <c r="EZ19" i="76"/>
  <c r="EO139" i="7" s="1"/>
  <c r="GB19" i="76"/>
  <c r="FE139" i="7" s="1"/>
  <c r="GP14" i="76"/>
  <c r="FM134" i="7" s="1"/>
  <c r="GC22" i="76"/>
  <c r="FF142" i="7" s="1"/>
  <c r="AP28" i="76"/>
  <c r="AP25" i="76"/>
  <c r="AP26" i="76"/>
  <c r="AP27" i="76"/>
  <c r="AP29" i="76"/>
  <c r="EM101" i="76"/>
  <c r="EH91" i="7" s="1"/>
  <c r="EN8" i="76"/>
  <c r="EM3" i="76"/>
  <c r="EM24" i="76"/>
  <c r="EH144" i="7" s="1"/>
  <c r="EM80" i="76"/>
  <c r="EH70" i="7" s="1"/>
  <c r="EM87" i="76"/>
  <c r="EH77" i="7" s="1"/>
  <c r="EM97" i="76"/>
  <c r="EH87" i="7" s="1"/>
  <c r="EM100" i="76"/>
  <c r="EH90" i="7" s="1"/>
  <c r="EM110" i="76"/>
  <c r="EH100" i="7" s="1"/>
  <c r="EM86" i="76"/>
  <c r="EH76" i="7" s="1"/>
  <c r="EM102" i="76"/>
  <c r="EH92" i="7" s="1"/>
  <c r="EM20" i="76"/>
  <c r="EH140" i="7" s="1"/>
  <c r="EM10" i="76"/>
  <c r="EH130" i="7" s="1"/>
  <c r="EM17" i="76"/>
  <c r="EH137" i="7" s="1"/>
  <c r="EM82" i="76"/>
  <c r="EH72" i="7" s="1"/>
  <c r="EM18" i="76"/>
  <c r="EH138" i="7" s="1"/>
  <c r="EM75" i="76"/>
  <c r="EH65" i="7" s="1"/>
  <c r="EM81" i="76"/>
  <c r="EH71" i="7" s="1"/>
  <c r="EM13" i="76"/>
  <c r="EH133" i="7" s="1"/>
  <c r="EM94" i="76"/>
  <c r="EH84" i="7" s="1"/>
  <c r="EM89" i="76"/>
  <c r="EH79" i="7" s="1"/>
  <c r="EM21" i="76"/>
  <c r="EH141" i="7" s="1"/>
  <c r="EM77" i="76"/>
  <c r="EH67" i="7" s="1"/>
  <c r="EM93" i="76"/>
  <c r="EH83" i="7" s="1"/>
  <c r="EM98" i="76"/>
  <c r="EH88" i="7" s="1"/>
  <c r="EM106" i="76"/>
  <c r="EH96" i="7" s="1"/>
  <c r="EM90" i="76"/>
  <c r="EH80" i="7" s="1"/>
  <c r="EM103" i="76"/>
  <c r="EH93" i="7" s="1"/>
  <c r="GC16" i="76"/>
  <c r="FF136" i="7" s="1"/>
  <c r="GB55" i="76"/>
  <c r="FE45" i="7" s="1"/>
  <c r="GO55" i="76"/>
  <c r="FL45" i="7" s="1"/>
  <c r="GO62" i="76"/>
  <c r="FL52" i="7" s="1"/>
  <c r="EK62" i="76"/>
  <c r="EF52" i="7" s="1"/>
  <c r="EM76" i="76"/>
  <c r="EH66" i="7" s="1"/>
  <c r="EM84" i="76"/>
  <c r="EH74" i="7" s="1"/>
  <c r="GB18" i="76"/>
  <c r="FE138" i="7" s="1"/>
  <c r="EL18" i="76"/>
  <c r="EG138" i="7" s="1"/>
  <c r="FW6" i="76"/>
  <c r="FB6" i="7" s="1"/>
  <c r="CO6" i="76"/>
  <c r="GP11" i="76"/>
  <c r="FM131" i="7" s="1"/>
  <c r="EK55" i="76"/>
  <c r="EF45" i="7" s="1"/>
  <c r="GO54" i="76"/>
  <c r="FL44" i="7" s="1"/>
  <c r="EK54" i="76"/>
  <c r="EF44" i="7" s="1"/>
  <c r="EK60" i="76"/>
  <c r="EF50" i="7" s="1"/>
  <c r="GA78" i="76"/>
  <c r="FD68" i="7" s="1"/>
  <c r="FN85" i="76"/>
  <c r="EW75" i="7" s="1"/>
  <c r="EM104" i="76"/>
  <c r="EH94" i="7" s="1"/>
  <c r="GC107" i="76"/>
  <c r="FF97" i="7" s="1"/>
  <c r="AJ6" i="76"/>
  <c r="FH6" i="76"/>
  <c r="FA16" i="76"/>
  <c r="EP136" i="7" s="1"/>
  <c r="FN83" i="76"/>
  <c r="EW73" i="7" s="1"/>
  <c r="GA29" i="76"/>
  <c r="FD149" i="7" s="1"/>
  <c r="AB70" i="76"/>
  <c r="AB71" i="76"/>
  <c r="AB65" i="76"/>
  <c r="AB50" i="76"/>
  <c r="AB66" i="76"/>
  <c r="AB46" i="76"/>
  <c r="AB44" i="76"/>
  <c r="AB69" i="76"/>
  <c r="AB58" i="76"/>
  <c r="AB51" i="76"/>
  <c r="AB62" i="76"/>
  <c r="AB54" i="76"/>
  <c r="AB47" i="76"/>
  <c r="AB32" i="76"/>
  <c r="AB40" i="76"/>
  <c r="AB41" i="76"/>
  <c r="AB36" i="76"/>
  <c r="FA9" i="76"/>
  <c r="AB53" i="76"/>
  <c r="AB35" i="76"/>
  <c r="AB33" i="76"/>
  <c r="AB30" i="76"/>
  <c r="AB45" i="76"/>
  <c r="AB57" i="76"/>
  <c r="AB43" i="76"/>
  <c r="AB49" i="76"/>
  <c r="AB60" i="76"/>
  <c r="AB68" i="76"/>
  <c r="AB64" i="76"/>
  <c r="AB34" i="76"/>
  <c r="AB56" i="76"/>
  <c r="AB61" i="76"/>
  <c r="AB74" i="76"/>
  <c r="AB73" i="76"/>
  <c r="AB48" i="76"/>
  <c r="AB52" i="76"/>
  <c r="AB59" i="76"/>
  <c r="AB55" i="76"/>
  <c r="AB63" i="76"/>
  <c r="AB39" i="76"/>
  <c r="AB67" i="76"/>
  <c r="AB38" i="76"/>
  <c r="AB42" i="76"/>
  <c r="AB37" i="76"/>
  <c r="AB31" i="76"/>
  <c r="AB72" i="76"/>
  <c r="EL44" i="76"/>
  <c r="EG34" i="7" s="1"/>
  <c r="EZ96" i="76"/>
  <c r="EO86" i="7" s="1"/>
  <c r="EL102" i="76"/>
  <c r="EG92" i="7" s="1"/>
  <c r="FM106" i="76"/>
  <c r="EV96" i="7" s="1"/>
  <c r="GB42" i="76"/>
  <c r="FE32" i="7" s="1"/>
  <c r="GA10" i="76"/>
  <c r="FD130" i="7" s="1"/>
  <c r="FA22" i="76"/>
  <c r="EP142" i="7" s="1"/>
  <c r="GB43" i="76"/>
  <c r="FE33" i="7" s="1"/>
  <c r="FN43" i="76"/>
  <c r="EW33" i="7" s="1"/>
  <c r="FA76" i="76"/>
  <c r="EP66" i="7" s="1"/>
  <c r="GO87" i="76"/>
  <c r="FL77" i="7" s="1"/>
  <c r="EK87" i="76"/>
  <c r="EF77" i="7" s="1"/>
  <c r="EM95" i="76"/>
  <c r="EH85" i="7" s="1"/>
  <c r="EK89" i="76"/>
  <c r="EF79" i="7" s="1"/>
  <c r="EY94" i="76"/>
  <c r="EN84" i="7" s="1"/>
  <c r="GO96" i="76"/>
  <c r="FL86" i="7" s="1"/>
  <c r="EZ106" i="76"/>
  <c r="EO96" i="7" s="1"/>
  <c r="GQ108" i="76"/>
  <c r="FN98" i="7" s="1"/>
  <c r="CK11" i="38"/>
  <c r="CN11" i="38"/>
  <c r="CO11" i="38"/>
  <c r="BV13" i="41" s="1"/>
  <c r="BS11" i="38"/>
  <c r="AO11" i="38"/>
  <c r="CD11" i="38"/>
  <c r="EZ10" i="76"/>
  <c r="EO130" i="7" s="1"/>
  <c r="EY14" i="76"/>
  <c r="EN134" i="7" s="1"/>
  <c r="EY29" i="76"/>
  <c r="EN149" i="7" s="1"/>
  <c r="V6" i="76"/>
  <c r="ET6" i="76"/>
  <c r="EM19" i="76"/>
  <c r="EH139" i="7" s="1"/>
  <c r="GP81" i="76"/>
  <c r="FM71" i="7" s="1"/>
  <c r="FO91" i="76"/>
  <c r="EX81" i="7" s="1"/>
  <c r="GC104" i="76"/>
  <c r="FF94" i="7" s="1"/>
  <c r="FN106" i="76"/>
  <c r="EW96" i="7" s="1"/>
  <c r="AT13" i="41"/>
  <c r="DS4" i="38"/>
  <c r="EY22" i="76"/>
  <c r="EN142" i="7" s="1"/>
  <c r="FA24" i="76"/>
  <c r="EP144" i="7" s="1"/>
  <c r="EY33" i="76"/>
  <c r="EN23" i="7" s="1"/>
  <c r="GP67" i="76"/>
  <c r="FM57" i="7" s="1"/>
  <c r="EL67" i="76"/>
  <c r="EG57" i="7" s="1"/>
  <c r="EL78" i="76"/>
  <c r="EG68" i="7" s="1"/>
  <c r="FO89" i="76"/>
  <c r="EX79" i="7" s="1"/>
  <c r="EK78" i="76"/>
  <c r="EF68" i="7" s="1"/>
  <c r="GQ95" i="76"/>
  <c r="FN85" i="7" s="1"/>
  <c r="EM105" i="76"/>
  <c r="EH95" i="7" s="1"/>
  <c r="FO104" i="76"/>
  <c r="EX94" i="7" s="1"/>
  <c r="GA62" i="76"/>
  <c r="FD52" i="7" s="1"/>
  <c r="EY98" i="76"/>
  <c r="EN88" i="7" s="1"/>
  <c r="EY10" i="76"/>
  <c r="EN130" i="7" s="1"/>
  <c r="EZ14" i="76"/>
  <c r="EO134" i="7" s="1"/>
  <c r="EK99" i="76"/>
  <c r="EF89" i="7" s="1"/>
  <c r="EZ33" i="76"/>
  <c r="EO23" i="7" s="1"/>
  <c r="GO67" i="76"/>
  <c r="FL57" i="7" s="1"/>
  <c r="EK67" i="76"/>
  <c r="EF57" i="7" s="1"/>
  <c r="EZ103" i="76"/>
  <c r="EO93" i="7" s="1"/>
  <c r="GC9" i="76"/>
  <c r="GC36" i="76"/>
  <c r="FF26" i="7" s="1"/>
  <c r="EL22" i="76"/>
  <c r="EG142" i="7" s="1"/>
  <c r="EM15" i="76"/>
  <c r="EH135" i="7" s="1"/>
  <c r="GJ6" i="76"/>
  <c r="AX6" i="76"/>
  <c r="GA44" i="76"/>
  <c r="FD34" i="7" s="1"/>
  <c r="EK44" i="76"/>
  <c r="EF34" i="7" s="1"/>
  <c r="EY67" i="76"/>
  <c r="EN57" i="7" s="1"/>
  <c r="EZ79" i="76"/>
  <c r="EO69" i="7" s="1"/>
  <c r="EM92" i="76"/>
  <c r="EH82" i="7" s="1"/>
  <c r="GP10" i="76"/>
  <c r="FM130" i="7" s="1"/>
  <c r="EL10" i="76"/>
  <c r="EG130" i="7" s="1"/>
  <c r="EM14" i="76"/>
  <c r="EH134" i="7" s="1"/>
  <c r="EM11" i="76"/>
  <c r="EH131" i="7" s="1"/>
  <c r="EZ38" i="76"/>
  <c r="EO28" i="7" s="1"/>
  <c r="FN52" i="76"/>
  <c r="EW42" i="7" s="1"/>
  <c r="FM70" i="76"/>
  <c r="EV60" i="7" s="1"/>
  <c r="EZ48" i="76"/>
  <c r="EO38" i="7" s="1"/>
  <c r="GC89" i="76"/>
  <c r="FF79" i="7" s="1"/>
  <c r="EK70" i="76"/>
  <c r="EF60" i="7" s="1"/>
  <c r="EZ85" i="76"/>
  <c r="EO75" i="7" s="1"/>
  <c r="EM99" i="76"/>
  <c r="EH89" i="7" s="1"/>
  <c r="EL103" i="76"/>
  <c r="EG93" i="7" s="1"/>
  <c r="GC103" i="76"/>
  <c r="FF93" i="7" s="1"/>
  <c r="FO101" i="76"/>
  <c r="EX91" i="7" s="1"/>
  <c r="FP8" i="76"/>
  <c r="FO3" i="76"/>
  <c r="FO21" i="76"/>
  <c r="EX141" i="7" s="1"/>
  <c r="FO19" i="76"/>
  <c r="EX139" i="7" s="1"/>
  <c r="FO17" i="76"/>
  <c r="EX137" i="7" s="1"/>
  <c r="FO79" i="76"/>
  <c r="EX69" i="7" s="1"/>
  <c r="FO86" i="76"/>
  <c r="EX76" i="7" s="1"/>
  <c r="FO97" i="76"/>
  <c r="EX87" i="7" s="1"/>
  <c r="FO106" i="76"/>
  <c r="EX96" i="7" s="1"/>
  <c r="FO15" i="76"/>
  <c r="EX135" i="7" s="1"/>
  <c r="FO10" i="76"/>
  <c r="EX130" i="7" s="1"/>
  <c r="FO24" i="76"/>
  <c r="EX144" i="7" s="1"/>
  <c r="FO82" i="76"/>
  <c r="EX72" i="7" s="1"/>
  <c r="FO98" i="76"/>
  <c r="EX88" i="7" s="1"/>
  <c r="FO77" i="76"/>
  <c r="EX67" i="7" s="1"/>
  <c r="FO90" i="76"/>
  <c r="EX80" i="7" s="1"/>
  <c r="FO94" i="76"/>
  <c r="EX84" i="7" s="1"/>
  <c r="FO23" i="76"/>
  <c r="EX143" i="7" s="1"/>
  <c r="FO13" i="76"/>
  <c r="EX133" i="7" s="1"/>
  <c r="FO80" i="76"/>
  <c r="EX70" i="7" s="1"/>
  <c r="FO96" i="76"/>
  <c r="EX86" i="7" s="1"/>
  <c r="FO99" i="76"/>
  <c r="EX89" i="7" s="1"/>
  <c r="FO109" i="76"/>
  <c r="EX99" i="7" s="1"/>
  <c r="FO81" i="76"/>
  <c r="EX71" i="7" s="1"/>
  <c r="FO93" i="76"/>
  <c r="EX83" i="7" s="1"/>
  <c r="FO75" i="76"/>
  <c r="EX65" i="7" s="1"/>
  <c r="FO92" i="76"/>
  <c r="EX82" i="7" s="1"/>
  <c r="FO102" i="76"/>
  <c r="EX92" i="7" s="1"/>
  <c r="FO14" i="76"/>
  <c r="EX134" i="7" s="1"/>
  <c r="FO95" i="76"/>
  <c r="EX85" i="7" s="1"/>
  <c r="FO110" i="76"/>
  <c r="EX100" i="7" s="1"/>
  <c r="FO105" i="76"/>
  <c r="EX95" i="7" s="1"/>
  <c r="FO88" i="76"/>
  <c r="EX78" i="7" s="1"/>
  <c r="EL33" i="76"/>
  <c r="EG23" i="7" s="1"/>
  <c r="FO11" i="76"/>
  <c r="EX131" i="7" s="1"/>
  <c r="FO78" i="76"/>
  <c r="EX68" i="7" s="1"/>
  <c r="AC68" i="76"/>
  <c r="AC73" i="76"/>
  <c r="AC64" i="76"/>
  <c r="AC60" i="76"/>
  <c r="AC48" i="76"/>
  <c r="AC50" i="76"/>
  <c r="AC43" i="76"/>
  <c r="AC39" i="76"/>
  <c r="AC32" i="76"/>
  <c r="FB9" i="76"/>
  <c r="AC38" i="76"/>
  <c r="AC30" i="76"/>
  <c r="AC31" i="76"/>
  <c r="AC41" i="76"/>
  <c r="AC63" i="76"/>
  <c r="AC46" i="76"/>
  <c r="AC67" i="76"/>
  <c r="AC40" i="76"/>
  <c r="AC36" i="76"/>
  <c r="AC37" i="76"/>
  <c r="AC49" i="76"/>
  <c r="AC57" i="76"/>
  <c r="AC44" i="76"/>
  <c r="AC51" i="76"/>
  <c r="AC62" i="76"/>
  <c r="AC72" i="76"/>
  <c r="AC45" i="76"/>
  <c r="AC35" i="76"/>
  <c r="AC53" i="76"/>
  <c r="AC61" i="76"/>
  <c r="AC54" i="76"/>
  <c r="AC65" i="76"/>
  <c r="AC69" i="76"/>
  <c r="AC66" i="76"/>
  <c r="AC70" i="76"/>
  <c r="AC71" i="76"/>
  <c r="AC74" i="76"/>
  <c r="AC55" i="76"/>
  <c r="AC59" i="76"/>
  <c r="AC34" i="76"/>
  <c r="AC42" i="76"/>
  <c r="AC52" i="76"/>
  <c r="AC33" i="76"/>
  <c r="AC56" i="76"/>
  <c r="AC47" i="76"/>
  <c r="AC58" i="76"/>
  <c r="FM54" i="76"/>
  <c r="EV44" i="7" s="1"/>
  <c r="EZ55" i="76"/>
  <c r="EO45" i="7" s="1"/>
  <c r="FN76" i="76"/>
  <c r="EW66" i="7" s="1"/>
  <c r="GP92" i="76"/>
  <c r="FM82" i="7" s="1"/>
  <c r="EL92" i="76"/>
  <c r="EG82" i="7" s="1"/>
  <c r="FN91" i="76"/>
  <c r="EW81" i="7" s="1"/>
  <c r="FA107" i="76"/>
  <c r="EP97" i="7" s="1"/>
  <c r="FA105" i="76"/>
  <c r="EP95" i="7" s="1"/>
  <c r="EK106" i="76"/>
  <c r="EF96" i="7" s="1"/>
  <c r="CG68" i="76"/>
  <c r="CG73" i="76"/>
  <c r="CG64" i="76"/>
  <c r="CG60" i="76"/>
  <c r="CG48" i="76"/>
  <c r="CG39" i="76"/>
  <c r="CG32" i="76"/>
  <c r="CG38" i="76"/>
  <c r="CG30" i="76"/>
  <c r="CG50" i="76"/>
  <c r="CG45" i="76"/>
  <c r="CG33" i="76"/>
  <c r="CG47" i="76"/>
  <c r="CG42" i="76"/>
  <c r="CG49" i="76"/>
  <c r="CG37" i="76"/>
  <c r="CG56" i="76"/>
  <c r="FP56" i="76" s="1"/>
  <c r="EY46" i="7" s="1"/>
  <c r="CG66" i="76"/>
  <c r="CG44" i="76"/>
  <c r="CG59" i="76"/>
  <c r="CG72" i="76"/>
  <c r="CG41" i="76"/>
  <c r="CG52" i="76"/>
  <c r="CG51" i="76"/>
  <c r="CG43" i="76"/>
  <c r="CG53" i="76"/>
  <c r="CG69" i="76"/>
  <c r="CG65" i="76"/>
  <c r="CG63" i="76"/>
  <c r="CG34" i="76"/>
  <c r="CG71" i="76"/>
  <c r="CG36" i="76"/>
  <c r="CG61" i="76"/>
  <c r="CG46" i="76"/>
  <c r="CG57" i="76"/>
  <c r="CG67" i="76"/>
  <c r="CG62" i="76"/>
  <c r="CG74" i="76"/>
  <c r="CG40" i="76"/>
  <c r="CG35" i="76"/>
  <c r="CG54" i="76"/>
  <c r="CG70" i="76"/>
  <c r="CG31" i="76"/>
  <c r="CG58" i="76"/>
  <c r="CG55" i="76"/>
  <c r="FM89" i="76"/>
  <c r="EV79" i="7" s="1"/>
  <c r="EL80" i="76"/>
  <c r="EG70" i="7" s="1"/>
  <c r="EL89" i="76"/>
  <c r="EG79" i="7" s="1"/>
  <c r="GP84" i="76"/>
  <c r="FM74" i="7" s="1"/>
  <c r="EZ95" i="76"/>
  <c r="EO85" i="7" s="1"/>
  <c r="GB98" i="76"/>
  <c r="FE88" i="7" s="1"/>
  <c r="EY107" i="76"/>
  <c r="EN97" i="7" s="1"/>
  <c r="EL11" i="76"/>
  <c r="EG131" i="7" s="1"/>
  <c r="EL17" i="76"/>
  <c r="EG137" i="7" s="1"/>
  <c r="GO59" i="76"/>
  <c r="FL49" i="7" s="1"/>
  <c r="EK59" i="76"/>
  <c r="EF49" i="7" s="1"/>
  <c r="EZ52" i="76"/>
  <c r="EO42" i="7" s="1"/>
  <c r="FA79" i="76"/>
  <c r="EP69" i="7" s="1"/>
  <c r="FO76" i="76"/>
  <c r="EX66" i="7" s="1"/>
  <c r="GO81" i="76"/>
  <c r="FL71" i="7" s="1"/>
  <c r="EK81" i="76"/>
  <c r="EF71" i="7" s="1"/>
  <c r="GO99" i="76"/>
  <c r="FL89" i="7" s="1"/>
  <c r="EY106" i="76"/>
  <c r="EN96" i="7" s="1"/>
  <c r="EM107" i="76"/>
  <c r="EH97" i="7" s="1"/>
  <c r="EY16" i="76"/>
  <c r="EN136" i="7" s="1"/>
  <c r="EZ63" i="76"/>
  <c r="EO53" i="7" s="1"/>
  <c r="EZ11" i="76"/>
  <c r="EO131" i="7" s="1"/>
  <c r="EL34" i="76"/>
  <c r="EG24" i="7" s="1"/>
  <c r="EL57" i="76"/>
  <c r="EG47" i="7" s="1"/>
  <c r="EL85" i="76"/>
  <c r="EG75" i="7" s="1"/>
  <c r="EL95" i="76"/>
  <c r="EG85" i="7" s="1"/>
  <c r="EK107" i="76"/>
  <c r="EF97" i="7" s="1"/>
  <c r="EL106" i="76"/>
  <c r="EG96" i="7" s="1"/>
  <c r="EY43" i="76"/>
  <c r="EN33" i="7" s="1"/>
  <c r="EM85" i="76"/>
  <c r="EH75" i="7" s="1"/>
  <c r="EM88" i="76"/>
  <c r="EH78" i="7" s="1"/>
  <c r="GC105" i="76"/>
  <c r="FF95" i="7" s="1"/>
  <c r="GC93" i="76"/>
  <c r="FF83" i="7" s="1"/>
  <c r="GC90" i="76"/>
  <c r="FF80" i="7" s="1"/>
  <c r="GC102" i="76"/>
  <c r="FF92" i="7" s="1"/>
  <c r="GC75" i="76"/>
  <c r="FF65" i="7" s="1"/>
  <c r="GC79" i="76"/>
  <c r="FF69" i="7" s="1"/>
  <c r="GD8" i="76"/>
  <c r="GC21" i="76"/>
  <c r="FF141" i="7" s="1"/>
  <c r="GC14" i="76"/>
  <c r="FF134" i="7" s="1"/>
  <c r="GC13" i="76"/>
  <c r="FF133" i="7" s="1"/>
  <c r="GC3" i="76"/>
  <c r="GC77" i="76"/>
  <c r="FF67" i="7" s="1"/>
  <c r="GC78" i="76"/>
  <c r="FF68" i="7" s="1"/>
  <c r="GC95" i="76"/>
  <c r="FF85" i="7" s="1"/>
  <c r="GC86" i="76"/>
  <c r="FF76" i="7" s="1"/>
  <c r="GC19" i="76"/>
  <c r="FF139" i="7" s="1"/>
  <c r="GC23" i="76"/>
  <c r="FF143" i="7" s="1"/>
  <c r="GC15" i="76"/>
  <c r="FF135" i="7" s="1"/>
  <c r="GC80" i="76"/>
  <c r="FF70" i="7" s="1"/>
  <c r="GC81" i="76"/>
  <c r="FF71" i="7" s="1"/>
  <c r="GC97" i="76"/>
  <c r="FF87" i="7" s="1"/>
  <c r="GC84" i="76"/>
  <c r="FF74" i="7" s="1"/>
  <c r="GC100" i="76"/>
  <c r="FF90" i="7" s="1"/>
  <c r="GC98" i="76"/>
  <c r="FF88" i="7" s="1"/>
  <c r="GC96" i="76"/>
  <c r="FF86" i="7" s="1"/>
  <c r="GC106" i="76"/>
  <c r="FF96" i="7" s="1"/>
  <c r="GC109" i="76"/>
  <c r="FF99" i="7" s="1"/>
  <c r="GC17" i="76"/>
  <c r="FF137" i="7" s="1"/>
  <c r="GC20" i="76"/>
  <c r="FF140" i="7" s="1"/>
  <c r="GC10" i="76"/>
  <c r="FF130" i="7" s="1"/>
  <c r="GC24" i="76"/>
  <c r="FF144" i="7" s="1"/>
  <c r="GC87" i="76"/>
  <c r="FF77" i="7" s="1"/>
  <c r="GC110" i="76"/>
  <c r="FF100" i="7" s="1"/>
  <c r="GC18" i="76"/>
  <c r="FF138" i="7" s="1"/>
  <c r="GC88" i="76"/>
  <c r="FF78" i="7" s="1"/>
  <c r="GC99" i="76"/>
  <c r="FF89" i="7" s="1"/>
  <c r="GC108" i="76"/>
  <c r="FF98" i="7" s="1"/>
  <c r="GC82" i="76"/>
  <c r="FF72" i="7" s="1"/>
  <c r="GC94" i="76"/>
  <c r="FF84" i="7" s="1"/>
  <c r="GC101" i="76"/>
  <c r="FF91" i="7" s="1"/>
  <c r="GC92" i="76"/>
  <c r="FF82" i="7" s="1"/>
  <c r="GD73" i="76"/>
  <c r="FG63" i="7" s="1"/>
  <c r="GA17" i="76"/>
  <c r="FD137" i="7" s="1"/>
  <c r="EK17" i="76"/>
  <c r="EF137" i="7" s="1"/>
  <c r="GC39" i="76"/>
  <c r="FF29" i="7" s="1"/>
  <c r="GB48" i="76"/>
  <c r="FE38" i="7" s="1"/>
  <c r="EK91" i="76"/>
  <c r="EF81" i="7" s="1"/>
  <c r="FN18" i="76"/>
  <c r="EW138" i="7" s="1"/>
  <c r="EF6" i="76"/>
  <c r="H6" i="76"/>
  <c r="GC11" i="76"/>
  <c r="FF131" i="7" s="1"/>
  <c r="FA77" i="76"/>
  <c r="EP67" i="7" s="1"/>
  <c r="FB8" i="76"/>
  <c r="FA23" i="76"/>
  <c r="EP143" i="7" s="1"/>
  <c r="FA18" i="76"/>
  <c r="EP138" i="7" s="1"/>
  <c r="FA10" i="76"/>
  <c r="EP130" i="7" s="1"/>
  <c r="FA98" i="76"/>
  <c r="EP88" i="7" s="1"/>
  <c r="FA75" i="76"/>
  <c r="EP65" i="7" s="1"/>
  <c r="FA88" i="76"/>
  <c r="EP78" i="7" s="1"/>
  <c r="FA106" i="76"/>
  <c r="EP96" i="7" s="1"/>
  <c r="FA110" i="76"/>
  <c r="EP100" i="7" s="1"/>
  <c r="FA15" i="76"/>
  <c r="EP135" i="7" s="1"/>
  <c r="FA81" i="76"/>
  <c r="EP71" i="7" s="1"/>
  <c r="FA80" i="76"/>
  <c r="EP70" i="7" s="1"/>
  <c r="FA93" i="76"/>
  <c r="EP83" i="7" s="1"/>
  <c r="FA103" i="76"/>
  <c r="EP93" i="7" s="1"/>
  <c r="FA19" i="76"/>
  <c r="EP139" i="7" s="1"/>
  <c r="FA17" i="76"/>
  <c r="EP137" i="7" s="1"/>
  <c r="FA13" i="76"/>
  <c r="EP133" i="7" s="1"/>
  <c r="FA82" i="76"/>
  <c r="EP72" i="7" s="1"/>
  <c r="FA90" i="76"/>
  <c r="EP80" i="7" s="1"/>
  <c r="FA3" i="76"/>
  <c r="FA21" i="76"/>
  <c r="EP141" i="7" s="1"/>
  <c r="FA96" i="76"/>
  <c r="EP86" i="7" s="1"/>
  <c r="FA94" i="76"/>
  <c r="EP84" i="7" s="1"/>
  <c r="FA99" i="76"/>
  <c r="EP89" i="7" s="1"/>
  <c r="FA109" i="76"/>
  <c r="EP99" i="7" s="1"/>
  <c r="FA97" i="76"/>
  <c r="EP87" i="7" s="1"/>
  <c r="FA101" i="76"/>
  <c r="EP91" i="7" s="1"/>
  <c r="FA86" i="76"/>
  <c r="EP76" i="7" s="1"/>
  <c r="EL25" i="76"/>
  <c r="EG145" i="7" s="1"/>
  <c r="EL14" i="76"/>
  <c r="EG134" i="7" s="1"/>
  <c r="EY54" i="76"/>
  <c r="EN44" i="7" s="1"/>
  <c r="EY55" i="76"/>
  <c r="EN45" i="7" s="1"/>
  <c r="EL63" i="76"/>
  <c r="EG53" i="7" s="1"/>
  <c r="EM83" i="76"/>
  <c r="EH73" i="7" s="1"/>
  <c r="FM91" i="76"/>
  <c r="EV81" i="7" s="1"/>
  <c r="EM96" i="76"/>
  <c r="EH86" i="7" s="1"/>
  <c r="GO98" i="76"/>
  <c r="FL88" i="7" s="1"/>
  <c r="EM9" i="76"/>
  <c r="EM71" i="76"/>
  <c r="EH61" i="7" s="1"/>
  <c r="FO9" i="76"/>
  <c r="GQ106" i="76"/>
  <c r="FN96" i="7" s="1"/>
  <c r="GQ102" i="76"/>
  <c r="FN92" i="7" s="1"/>
  <c r="GQ101" i="76"/>
  <c r="FN91" i="7" s="1"/>
  <c r="GQ80" i="76"/>
  <c r="FN70" i="7" s="1"/>
  <c r="GQ75" i="76"/>
  <c r="FN65" i="7" s="1"/>
  <c r="GR8" i="76"/>
  <c r="GQ21" i="76"/>
  <c r="FN141" i="7" s="1"/>
  <c r="GQ82" i="76"/>
  <c r="FN72" i="7" s="1"/>
  <c r="GQ89" i="76"/>
  <c r="FN79" i="7" s="1"/>
  <c r="GQ77" i="76"/>
  <c r="FN67" i="7" s="1"/>
  <c r="GQ98" i="76"/>
  <c r="FN88" i="7" s="1"/>
  <c r="GQ13" i="76"/>
  <c r="FN133" i="7" s="1"/>
  <c r="GQ16" i="76"/>
  <c r="FN136" i="7" s="1"/>
  <c r="GQ3" i="76"/>
  <c r="GQ81" i="76"/>
  <c r="FN71" i="7" s="1"/>
  <c r="GQ93" i="76"/>
  <c r="FN83" i="7" s="1"/>
  <c r="GQ110" i="76"/>
  <c r="FN100" i="7" s="1"/>
  <c r="GQ24" i="76"/>
  <c r="FN144" i="7" s="1"/>
  <c r="GQ10" i="76"/>
  <c r="FN130" i="7" s="1"/>
  <c r="GQ86" i="76"/>
  <c r="FN76" i="7" s="1"/>
  <c r="GQ97" i="76"/>
  <c r="FN87" i="7" s="1"/>
  <c r="GQ94" i="76"/>
  <c r="FN84" i="7" s="1"/>
  <c r="GQ17" i="76"/>
  <c r="FN137" i="7" s="1"/>
  <c r="GQ22" i="76"/>
  <c r="FN142" i="7" s="1"/>
  <c r="GQ103" i="76"/>
  <c r="FN93" i="7" s="1"/>
  <c r="GQ90" i="76"/>
  <c r="FN80" i="7" s="1"/>
  <c r="GQ76" i="76"/>
  <c r="FN66" i="7" s="1"/>
  <c r="EZ18" i="76"/>
  <c r="EO138" i="7" s="1"/>
  <c r="CF71" i="76"/>
  <c r="GQ71" i="76" s="1"/>
  <c r="FN61" i="7" s="1"/>
  <c r="CF70" i="76"/>
  <c r="CF61" i="76"/>
  <c r="CF65" i="76"/>
  <c r="CF50" i="76"/>
  <c r="CF66" i="76"/>
  <c r="CF46" i="76"/>
  <c r="CF44" i="76"/>
  <c r="CF69" i="76"/>
  <c r="CF58" i="76"/>
  <c r="CF43" i="76"/>
  <c r="CF62" i="76"/>
  <c r="GQ62" i="76" s="1"/>
  <c r="FN52" i="7" s="1"/>
  <c r="CF54" i="76"/>
  <c r="CF51" i="76"/>
  <c r="CF32" i="76"/>
  <c r="CF53" i="76"/>
  <c r="CF40" i="76"/>
  <c r="GQ40" i="76" s="1"/>
  <c r="FN30" i="7" s="1"/>
  <c r="CF47" i="76"/>
  <c r="CF41" i="76"/>
  <c r="CF36" i="76"/>
  <c r="CF35" i="76"/>
  <c r="CF33" i="76"/>
  <c r="CF30" i="76"/>
  <c r="CF39" i="76"/>
  <c r="CF45" i="76"/>
  <c r="CF57" i="76"/>
  <c r="CF31" i="76"/>
  <c r="CF42" i="76"/>
  <c r="CF52" i="76"/>
  <c r="CF49" i="76"/>
  <c r="CF68" i="76"/>
  <c r="CF64" i="76"/>
  <c r="CF37" i="76"/>
  <c r="CF48" i="76"/>
  <c r="CF34" i="76"/>
  <c r="CF55" i="76"/>
  <c r="CF56" i="76"/>
  <c r="CF74" i="76"/>
  <c r="CF63" i="76"/>
  <c r="CF60" i="76"/>
  <c r="CF73" i="76"/>
  <c r="CF59" i="76"/>
  <c r="CF72" i="76"/>
  <c r="CF67" i="76"/>
  <c r="CF38" i="76"/>
  <c r="GB72" i="76"/>
  <c r="FE62" i="7" s="1"/>
  <c r="EZ81" i="76"/>
  <c r="EO71" i="7" s="1"/>
  <c r="FA87" i="76"/>
  <c r="EP77" i="7" s="1"/>
  <c r="EM91" i="76"/>
  <c r="EH81" i="7" s="1"/>
  <c r="EK80" i="76"/>
  <c r="EF70" i="7" s="1"/>
  <c r="EY95" i="76"/>
  <c r="EN85" i="7" s="1"/>
  <c r="FA100" i="76"/>
  <c r="EP90" i="7" s="1"/>
  <c r="EK109" i="76"/>
  <c r="EF99" i="7" s="1"/>
  <c r="FO18" i="76"/>
  <c r="EX138" i="7" s="1"/>
  <c r="GO25" i="76"/>
  <c r="FL145" i="7" s="1"/>
  <c r="EK25" i="76"/>
  <c r="EF145" i="7" s="1"/>
  <c r="GP59" i="76"/>
  <c r="FM49" i="7" s="1"/>
  <c r="EL59" i="76"/>
  <c r="EG49" i="7" s="1"/>
  <c r="EL72" i="76"/>
  <c r="EG62" i="7" s="1"/>
  <c r="FA78" i="76"/>
  <c r="EP68" i="7" s="1"/>
  <c r="GC76" i="76"/>
  <c r="FF66" i="7" s="1"/>
  <c r="GP83" i="76"/>
  <c r="FM73" i="7" s="1"/>
  <c r="GQ88" i="76"/>
  <c r="FN78" i="7" s="1"/>
  <c r="FM98" i="76"/>
  <c r="EV88" i="7" s="1"/>
  <c r="FN89" i="76"/>
  <c r="EW79" i="7" s="1"/>
  <c r="FO103" i="76"/>
  <c r="EX93" i="7" s="1"/>
  <c r="GQ107" i="76"/>
  <c r="FN97" i="7" s="1"/>
  <c r="EM108" i="76"/>
  <c r="EH98" i="7" s="1"/>
  <c r="AQ26" i="76"/>
  <c r="AQ27" i="76"/>
  <c r="FP27" i="76" s="1"/>
  <c r="EY147" i="7" s="1"/>
  <c r="AQ25" i="76"/>
  <c r="FP25" i="76" s="1"/>
  <c r="EY145" i="7" s="1"/>
  <c r="AQ29" i="76"/>
  <c r="FP29" i="76" s="1"/>
  <c r="EY149" i="7" s="1"/>
  <c r="AQ28" i="76"/>
  <c r="FP28" i="76" s="1"/>
  <c r="EY148" i="7" s="1"/>
  <c r="EY11" i="76"/>
  <c r="EN131" i="7" s="1"/>
  <c r="EM12" i="76"/>
  <c r="EH132" i="7" s="1"/>
  <c r="EL54" i="76"/>
  <c r="EG44" i="7" s="1"/>
  <c r="FA83" i="76"/>
  <c r="EP73" i="7" s="1"/>
  <c r="GC83" i="76"/>
  <c r="FF73" i="7" s="1"/>
  <c r="FA85" i="76"/>
  <c r="EP75" i="7" s="1"/>
  <c r="EL99" i="76"/>
  <c r="EG89" i="7" s="1"/>
  <c r="EL109" i="76"/>
  <c r="EG99" i="7" s="1"/>
  <c r="EM109" i="76"/>
  <c r="EH99" i="7" s="1"/>
  <c r="GP40" i="76"/>
  <c r="FM30" i="7" s="1"/>
  <c r="FN40" i="76"/>
  <c r="EW30" i="7" s="1"/>
  <c r="GC85" i="76"/>
  <c r="FF75" i="7" s="1"/>
  <c r="FO87" i="76"/>
  <c r="EX77" i="7" s="1"/>
  <c r="FK22" i="45"/>
  <c r="A23" i="45"/>
  <c r="A23" i="46"/>
  <c r="A23" i="38"/>
  <c r="CV23" i="38" s="1"/>
  <c r="A24" i="55"/>
  <c r="BR8" i="70"/>
  <c r="BS8" i="70"/>
  <c r="BC38" i="70"/>
  <c r="GP38" i="70" s="1"/>
  <c r="DW28" i="7" s="1"/>
  <c r="Z67" i="57"/>
  <c r="BC45" i="57"/>
  <c r="GB45" i="57" s="1"/>
  <c r="AI35" i="7" s="1"/>
  <c r="AO101" i="56"/>
  <c r="FN101" i="56" s="1"/>
  <c r="BQ91" i="7" s="1"/>
  <c r="FO94" i="56"/>
  <c r="BR84" i="7" s="1"/>
  <c r="AO66" i="56"/>
  <c r="HK31" i="56"/>
  <c r="HK103" i="56"/>
  <c r="BQ38" i="56"/>
  <c r="AO59" i="56"/>
  <c r="FN59" i="56" s="1"/>
  <c r="BQ49" i="7" s="1"/>
  <c r="HK94" i="56"/>
  <c r="GP87" i="56"/>
  <c r="CG77" i="7" s="1"/>
  <c r="BP54" i="56"/>
  <c r="EY54" i="56" s="1"/>
  <c r="BH44" i="7" s="1"/>
  <c r="FN63" i="56"/>
  <c r="BQ53" i="7" s="1"/>
  <c r="AN102" i="70"/>
  <c r="AO102" i="70"/>
  <c r="BQ26" i="70"/>
  <c r="BP26" i="70"/>
  <c r="CE55" i="70"/>
  <c r="CD55" i="70"/>
  <c r="GO55" i="70" s="1"/>
  <c r="DV45" i="7" s="1"/>
  <c r="CS32" i="70"/>
  <c r="CR32" i="70"/>
  <c r="BD9" i="70"/>
  <c r="BE9" i="70"/>
  <c r="DF22" i="70"/>
  <c r="DG22" i="70"/>
  <c r="BC49" i="70"/>
  <c r="BB49" i="70"/>
  <c r="FP16" i="70"/>
  <c r="FW4" i="70"/>
  <c r="FW2" i="70" s="1"/>
  <c r="DL1" i="7"/>
  <c r="DI8" i="70"/>
  <c r="DH8" i="70"/>
  <c r="FP101" i="70"/>
  <c r="DI91" i="7" s="1"/>
  <c r="BQ60" i="70"/>
  <c r="BP60" i="70"/>
  <c r="BB34" i="70"/>
  <c r="BC34" i="70"/>
  <c r="L24" i="70"/>
  <c r="M24" i="70"/>
  <c r="AA101" i="70"/>
  <c r="EZ101" i="70" s="1"/>
  <c r="CY91" i="7" s="1"/>
  <c r="DF67" i="56"/>
  <c r="GA67" i="56" s="1"/>
  <c r="BX57" i="7" s="1"/>
  <c r="FJ69" i="57"/>
  <c r="Y59" i="7" s="1"/>
  <c r="CU69" i="57"/>
  <c r="CQ69" i="57"/>
  <c r="GD13" i="56"/>
  <c r="FB13" i="56"/>
  <c r="CE82" i="57"/>
  <c r="GB82" i="57" s="1"/>
  <c r="AI72" i="7" s="1"/>
  <c r="CD82" i="57"/>
  <c r="GA82" i="57" s="1"/>
  <c r="AH72" i="7" s="1"/>
  <c r="CU47" i="57"/>
  <c r="FJ47" i="57"/>
  <c r="Y37" i="7" s="1"/>
  <c r="EM98" i="56"/>
  <c r="BB88" i="7" s="1"/>
  <c r="GC98" i="56"/>
  <c r="BZ88" i="7" s="1"/>
  <c r="FA98" i="56"/>
  <c r="BJ88" i="7" s="1"/>
  <c r="EK39" i="56"/>
  <c r="AZ29" i="7" s="1"/>
  <c r="GA39" i="56"/>
  <c r="BX29" i="7" s="1"/>
  <c r="BP44" i="57"/>
  <c r="BQ44" i="57"/>
  <c r="EV43" i="57"/>
  <c r="Q33" i="7" s="1"/>
  <c r="CU43" i="57"/>
  <c r="GR43" i="57" s="1"/>
  <c r="AS33" i="7" s="1"/>
  <c r="FJ43" i="57"/>
  <c r="Y33" i="7" s="1"/>
  <c r="CQ43" i="57"/>
  <c r="CR43" i="57" s="1"/>
  <c r="CQ93" i="57"/>
  <c r="CR93" i="57" s="1"/>
  <c r="CS93" i="57"/>
  <c r="CU93" i="57"/>
  <c r="FJ93" i="57"/>
  <c r="Y83" i="7" s="1"/>
  <c r="FJ38" i="57"/>
  <c r="Y28" i="7" s="1"/>
  <c r="GL38" i="57"/>
  <c r="AO28" i="7" s="1"/>
  <c r="EV38" i="57"/>
  <c r="Q28" i="7" s="1"/>
  <c r="CU38" i="57"/>
  <c r="GR38" i="57" s="1"/>
  <c r="AS28" i="7" s="1"/>
  <c r="CQ38" i="57"/>
  <c r="CR38" i="57" s="1"/>
  <c r="CS38" i="57"/>
  <c r="GP38" i="57" s="1"/>
  <c r="AQ28" i="7" s="1"/>
  <c r="EH38" i="57"/>
  <c r="I28" i="7" s="1"/>
  <c r="FJ30" i="57"/>
  <c r="Y20" i="7" s="1"/>
  <c r="CU30" i="57"/>
  <c r="CQ30" i="57"/>
  <c r="FJ78" i="57"/>
  <c r="Y68" i="7" s="1"/>
  <c r="CU78" i="57"/>
  <c r="FJ48" i="57"/>
  <c r="Y38" i="7" s="1"/>
  <c r="CU48" i="57"/>
  <c r="CQ48" i="57"/>
  <c r="CR48" i="57" s="1"/>
  <c r="FJ50" i="57"/>
  <c r="Y40" i="7" s="1"/>
  <c r="CU50" i="57"/>
  <c r="CS50" i="57"/>
  <c r="CQ50" i="57"/>
  <c r="CR50" i="57" s="1"/>
  <c r="FJ65" i="57"/>
  <c r="Y55" i="7" s="1"/>
  <c r="CU65" i="57"/>
  <c r="CQ65" i="57"/>
  <c r="FX100" i="57"/>
  <c r="AG90" i="7" s="1"/>
  <c r="BA100" i="57"/>
  <c r="BB100" i="57" s="1"/>
  <c r="GA100" i="57" s="1"/>
  <c r="AH90" i="7" s="1"/>
  <c r="BE100" i="57"/>
  <c r="GD100" i="57" s="1"/>
  <c r="AK90" i="7" s="1"/>
  <c r="BC100" i="57"/>
  <c r="GB100" i="57" s="1"/>
  <c r="AI90" i="7" s="1"/>
  <c r="FA107" i="56"/>
  <c r="BJ97" i="7" s="1"/>
  <c r="GC107" i="56"/>
  <c r="BZ97" i="7" s="1"/>
  <c r="EM107" i="56"/>
  <c r="BB97" i="7" s="1"/>
  <c r="CE38" i="56"/>
  <c r="GP38" i="56" s="1"/>
  <c r="CG28" i="7" s="1"/>
  <c r="CD38" i="56"/>
  <c r="CE66" i="56"/>
  <c r="GP66" i="56" s="1"/>
  <c r="CG56" i="7" s="1"/>
  <c r="CD66" i="56"/>
  <c r="GO66" i="56" s="1"/>
  <c r="CF56" i="7" s="1"/>
  <c r="CD32" i="56"/>
  <c r="CE32" i="56"/>
  <c r="BB20" i="56"/>
  <c r="BC20" i="56"/>
  <c r="GP20" i="56" s="1"/>
  <c r="GO58" i="56"/>
  <c r="CF48" i="7" s="1"/>
  <c r="FM58" i="56"/>
  <c r="BP48" i="7" s="1"/>
  <c r="BP61" i="56"/>
  <c r="EY61" i="56" s="1"/>
  <c r="BH51" i="7" s="1"/>
  <c r="BQ61" i="56"/>
  <c r="EZ61" i="56" s="1"/>
  <c r="BI51" i="7" s="1"/>
  <c r="BP87" i="56"/>
  <c r="BQ87" i="56"/>
  <c r="AO62" i="56"/>
  <c r="AN62" i="56"/>
  <c r="M92" i="56"/>
  <c r="M65" i="56"/>
  <c r="EL65" i="56" s="1"/>
  <c r="BA55" i="7" s="1"/>
  <c r="GO52" i="56"/>
  <c r="CF42" i="7" s="1"/>
  <c r="DH28" i="56"/>
  <c r="GC28" i="56" s="1"/>
  <c r="DH29" i="56"/>
  <c r="GC29" i="56" s="1"/>
  <c r="DH27" i="56"/>
  <c r="GC27" i="56" s="1"/>
  <c r="DH26" i="56"/>
  <c r="GC26" i="56" s="1"/>
  <c r="DH25" i="56"/>
  <c r="GC25" i="56" s="1"/>
  <c r="GB54" i="56"/>
  <c r="BY44" i="7" s="1"/>
  <c r="N67" i="57"/>
  <c r="N63" i="57"/>
  <c r="N70" i="57"/>
  <c r="N56" i="57"/>
  <c r="N36" i="57"/>
  <c r="N54" i="57"/>
  <c r="N35" i="57"/>
  <c r="N58" i="57"/>
  <c r="N32" i="57"/>
  <c r="N59" i="57"/>
  <c r="N55" i="57"/>
  <c r="N31" i="57"/>
  <c r="N65" i="57"/>
  <c r="N52" i="57"/>
  <c r="N62" i="57"/>
  <c r="N64" i="57"/>
  <c r="N66" i="57"/>
  <c r="N47" i="57"/>
  <c r="EM9" i="57"/>
  <c r="L19" i="7" s="1"/>
  <c r="N72" i="57"/>
  <c r="N51" i="57"/>
  <c r="N61" i="57"/>
  <c r="N38" i="57"/>
  <c r="N50" i="57"/>
  <c r="N53" i="57"/>
  <c r="N45" i="57"/>
  <c r="N57" i="57"/>
  <c r="N49" i="57"/>
  <c r="N68" i="57"/>
  <c r="N46" i="57"/>
  <c r="N71" i="57"/>
  <c r="N48" i="57"/>
  <c r="N30" i="57"/>
  <c r="N74" i="57"/>
  <c r="N69" i="57"/>
  <c r="N60" i="57"/>
  <c r="N73" i="57"/>
  <c r="N40" i="57"/>
  <c r="N37" i="57"/>
  <c r="N41" i="57"/>
  <c r="N43" i="57"/>
  <c r="N42" i="57"/>
  <c r="N44" i="57"/>
  <c r="CG27" i="57"/>
  <c r="CG25" i="57"/>
  <c r="CG26" i="57"/>
  <c r="CG29" i="57"/>
  <c r="CG28" i="57"/>
  <c r="GD9" i="57"/>
  <c r="AK19" i="7" s="1"/>
  <c r="BE37" i="57"/>
  <c r="GD37" i="57" s="1"/>
  <c r="AK27" i="7" s="1"/>
  <c r="BE69" i="57"/>
  <c r="GD69" i="57" s="1"/>
  <c r="AK59" i="7" s="1"/>
  <c r="BE59" i="57"/>
  <c r="GD59" i="57" s="1"/>
  <c r="AK49" i="7" s="1"/>
  <c r="BE54" i="57"/>
  <c r="GD54" i="57" s="1"/>
  <c r="AK44" i="7" s="1"/>
  <c r="BE39" i="57"/>
  <c r="GD39" i="57" s="1"/>
  <c r="AK29" i="7" s="1"/>
  <c r="BE31" i="57"/>
  <c r="GD31" i="57" s="1"/>
  <c r="AK21" i="7" s="1"/>
  <c r="BE48" i="57"/>
  <c r="GD48" i="57" s="1"/>
  <c r="AK38" i="7" s="1"/>
  <c r="BE65" i="57"/>
  <c r="GD65" i="57" s="1"/>
  <c r="AK55" i="7" s="1"/>
  <c r="BE64" i="57"/>
  <c r="GD64" i="57" s="1"/>
  <c r="AK54" i="7" s="1"/>
  <c r="BE43" i="57"/>
  <c r="GD43" i="57" s="1"/>
  <c r="AK33" i="7" s="1"/>
  <c r="BE63" i="57"/>
  <c r="GD63" i="57" s="1"/>
  <c r="AK53" i="7" s="1"/>
  <c r="BE66" i="57"/>
  <c r="GD66" i="57" s="1"/>
  <c r="AK56" i="7" s="1"/>
  <c r="BE52" i="57"/>
  <c r="GD52" i="57" s="1"/>
  <c r="AK42" i="7" s="1"/>
  <c r="BE73" i="57"/>
  <c r="GD73" i="57" s="1"/>
  <c r="AK63" i="7" s="1"/>
  <c r="BE62" i="57"/>
  <c r="GD62" i="57" s="1"/>
  <c r="AK52" i="7" s="1"/>
  <c r="BE41" i="57"/>
  <c r="GD41" i="57" s="1"/>
  <c r="AK31" i="7" s="1"/>
  <c r="BE70" i="57"/>
  <c r="GD70" i="57" s="1"/>
  <c r="AK60" i="7" s="1"/>
  <c r="BE49" i="57"/>
  <c r="GD49" i="57" s="1"/>
  <c r="AK39" i="7" s="1"/>
  <c r="BE71" i="57"/>
  <c r="GD71" i="57" s="1"/>
  <c r="AK61" i="7" s="1"/>
  <c r="BE42" i="57"/>
  <c r="GD42" i="57" s="1"/>
  <c r="AK32" i="7" s="1"/>
  <c r="BE38" i="57"/>
  <c r="GD38" i="57" s="1"/>
  <c r="AK28" i="7" s="1"/>
  <c r="BE34" i="57"/>
  <c r="GD34" i="57" s="1"/>
  <c r="AK24" i="7" s="1"/>
  <c r="BE55" i="57"/>
  <c r="GD55" i="57" s="1"/>
  <c r="AK45" i="7" s="1"/>
  <c r="BE47" i="57"/>
  <c r="GD47" i="57" s="1"/>
  <c r="AK37" i="7" s="1"/>
  <c r="BE50" i="57"/>
  <c r="GD50" i="57" s="1"/>
  <c r="AK40" i="7" s="1"/>
  <c r="BE32" i="57"/>
  <c r="GD32" i="57" s="1"/>
  <c r="AK22" i="7" s="1"/>
  <c r="BE72" i="57"/>
  <c r="GD72" i="57" s="1"/>
  <c r="AK62" i="7" s="1"/>
  <c r="BE60" i="57"/>
  <c r="GD60" i="57" s="1"/>
  <c r="AK50" i="7" s="1"/>
  <c r="BE74" i="57"/>
  <c r="GD74" i="57" s="1"/>
  <c r="AK64" i="7" s="1"/>
  <c r="BE35" i="57"/>
  <c r="GD35" i="57" s="1"/>
  <c r="AK25" i="7" s="1"/>
  <c r="BE57" i="57"/>
  <c r="GD57" i="57" s="1"/>
  <c r="AK47" i="7" s="1"/>
  <c r="BE58" i="57"/>
  <c r="GD58" i="57" s="1"/>
  <c r="AK48" i="7" s="1"/>
  <c r="BE53" i="57"/>
  <c r="GD53" i="57" s="1"/>
  <c r="AK43" i="7" s="1"/>
  <c r="BE33" i="57"/>
  <c r="GD33" i="57" s="1"/>
  <c r="AK23" i="7" s="1"/>
  <c r="BE51" i="57"/>
  <c r="GD51" i="57" s="1"/>
  <c r="AK41" i="7" s="1"/>
  <c r="BE61" i="57"/>
  <c r="GD61" i="57" s="1"/>
  <c r="AK51" i="7" s="1"/>
  <c r="BE40" i="57"/>
  <c r="GD40" i="57" s="1"/>
  <c r="AK30" i="7" s="1"/>
  <c r="BE36" i="57"/>
  <c r="GD36" i="57" s="1"/>
  <c r="AK26" i="7" s="1"/>
  <c r="BE68" i="57"/>
  <c r="GD68" i="57" s="1"/>
  <c r="AK58" i="7" s="1"/>
  <c r="BE67" i="57"/>
  <c r="GD67" i="57" s="1"/>
  <c r="AK57" i="7" s="1"/>
  <c r="BE30" i="57"/>
  <c r="GD30" i="57" s="1"/>
  <c r="AK20" i="7" s="1"/>
  <c r="BE46" i="57"/>
  <c r="GD46" i="57" s="1"/>
  <c r="AK36" i="7" s="1"/>
  <c r="BE44" i="57"/>
  <c r="GD44" i="57" s="1"/>
  <c r="AK34" i="7" s="1"/>
  <c r="M1" i="7"/>
  <c r="EN4" i="57"/>
  <c r="FZ6" i="56"/>
  <c r="CR6" i="56"/>
  <c r="CT44" i="70"/>
  <c r="CT61" i="70"/>
  <c r="CT40" i="70"/>
  <c r="CT64" i="70"/>
  <c r="CT59" i="70"/>
  <c r="CT71" i="70"/>
  <c r="CT31" i="70"/>
  <c r="CT51" i="70"/>
  <c r="CT58" i="70"/>
  <c r="CT52" i="70"/>
  <c r="CT46" i="70"/>
  <c r="CT53" i="70"/>
  <c r="CT35" i="70"/>
  <c r="CT57" i="70"/>
  <c r="CT73" i="70"/>
  <c r="CT63" i="70"/>
  <c r="CT66" i="70"/>
  <c r="CT72" i="70"/>
  <c r="CT41" i="70"/>
  <c r="CT48" i="70"/>
  <c r="CT42" i="70"/>
  <c r="CT47" i="70"/>
  <c r="CT30" i="70"/>
  <c r="CT43" i="70"/>
  <c r="CT33" i="70"/>
  <c r="CT56" i="70"/>
  <c r="CT69" i="70"/>
  <c r="CT68" i="70"/>
  <c r="CT65" i="70"/>
  <c r="CT74" i="70"/>
  <c r="CT32" i="70"/>
  <c r="CT50" i="70"/>
  <c r="CT70" i="70"/>
  <c r="CT34" i="70"/>
  <c r="CT37" i="70"/>
  <c r="CT49" i="70"/>
  <c r="CT36" i="70"/>
  <c r="CT60" i="70"/>
  <c r="CT39" i="70"/>
  <c r="CT67" i="70"/>
  <c r="CT45" i="70"/>
  <c r="CT54" i="70"/>
  <c r="CT62" i="70"/>
  <c r="CT38" i="70"/>
  <c r="CT55" i="70"/>
  <c r="L16" i="57"/>
  <c r="EK16" i="57" s="1"/>
  <c r="CD44" i="56"/>
  <c r="EY67" i="56"/>
  <c r="BH57" i="7" s="1"/>
  <c r="AO86" i="56"/>
  <c r="BC61" i="56"/>
  <c r="GP61" i="56" s="1"/>
  <c r="CG51" i="7" s="1"/>
  <c r="EL68" i="56"/>
  <c r="BA58" i="7" s="1"/>
  <c r="M72" i="56"/>
  <c r="EL72" i="56" s="1"/>
  <c r="BA62" i="7" s="1"/>
  <c r="BP47" i="56"/>
  <c r="M56" i="56"/>
  <c r="AA50" i="56"/>
  <c r="EK92" i="56"/>
  <c r="AZ82" i="7" s="1"/>
  <c r="BP76" i="56"/>
  <c r="EY76" i="56" s="1"/>
  <c r="BH66" i="7" s="1"/>
  <c r="HK38" i="56"/>
  <c r="HK22" i="56"/>
  <c r="HJ19" i="56"/>
  <c r="BB98" i="70"/>
  <c r="BC98" i="70"/>
  <c r="EL98" i="70" s="1"/>
  <c r="CQ88" i="7" s="1"/>
  <c r="DF62" i="70"/>
  <c r="DG62" i="70"/>
  <c r="CD62" i="70"/>
  <c r="CE62" i="70"/>
  <c r="BB36" i="70"/>
  <c r="BC36" i="70"/>
  <c r="EL36" i="70" s="1"/>
  <c r="CQ26" i="7" s="1"/>
  <c r="BC109" i="70"/>
  <c r="BB109" i="70"/>
  <c r="GO109" i="70" s="1"/>
  <c r="DV99" i="7" s="1"/>
  <c r="BC86" i="70"/>
  <c r="EL86" i="70" s="1"/>
  <c r="CQ76" i="7" s="1"/>
  <c r="BB86" i="70"/>
  <c r="FP81" i="70"/>
  <c r="DI71" i="7" s="1"/>
  <c r="CD51" i="70"/>
  <c r="CE51" i="70"/>
  <c r="FN51" i="70" s="1"/>
  <c r="DG41" i="7" s="1"/>
  <c r="AN48" i="70"/>
  <c r="FM48" i="70" s="1"/>
  <c r="DF38" i="7" s="1"/>
  <c r="AO48" i="70"/>
  <c r="FN48" i="70" s="1"/>
  <c r="DG38" i="7" s="1"/>
  <c r="AO60" i="70"/>
  <c r="AN60" i="70"/>
  <c r="FP18" i="70"/>
  <c r="DG74" i="56"/>
  <c r="DF74" i="56"/>
  <c r="DG66" i="56"/>
  <c r="DF66" i="56"/>
  <c r="AN49" i="70"/>
  <c r="FM49" i="70" s="1"/>
  <c r="DF39" i="7" s="1"/>
  <c r="AO49" i="70"/>
  <c r="FN49" i="70" s="1"/>
  <c r="DG39" i="7" s="1"/>
  <c r="GD76" i="56"/>
  <c r="CA66" i="7" s="1"/>
  <c r="EN76" i="56"/>
  <c r="BC66" i="7" s="1"/>
  <c r="FB76" i="56"/>
  <c r="BK66" i="7" s="1"/>
  <c r="AO33" i="70"/>
  <c r="FN33" i="70" s="1"/>
  <c r="DG23" i="7" s="1"/>
  <c r="AN33" i="70"/>
  <c r="FM33" i="70" s="1"/>
  <c r="DF23" i="7" s="1"/>
  <c r="FJ79" i="57"/>
  <c r="Y69" i="7" s="1"/>
  <c r="CU79" i="57"/>
  <c r="CQ79" i="57"/>
  <c r="CS52" i="56"/>
  <c r="EL52" i="56" s="1"/>
  <c r="BA42" i="7" s="1"/>
  <c r="CR52" i="56"/>
  <c r="CS12" i="56"/>
  <c r="FN12" i="56" s="1"/>
  <c r="CR12" i="56"/>
  <c r="CD102" i="57"/>
  <c r="CE102" i="57"/>
  <c r="GB102" i="57" s="1"/>
  <c r="AI92" i="7" s="1"/>
  <c r="AA73" i="57"/>
  <c r="Z73" i="57"/>
  <c r="FJ87" i="57"/>
  <c r="Y77" i="7" s="1"/>
  <c r="CU87" i="57"/>
  <c r="CQ87" i="57"/>
  <c r="CR87" i="57" s="1"/>
  <c r="CQ95" i="57"/>
  <c r="CR95" i="57" s="1"/>
  <c r="CS95" i="57"/>
  <c r="FJ95" i="57"/>
  <c r="Y85" i="7" s="1"/>
  <c r="CU95" i="57"/>
  <c r="EV37" i="57"/>
  <c r="Q27" i="7" s="1"/>
  <c r="CU37" i="57"/>
  <c r="GR37" i="57" s="1"/>
  <c r="AS27" i="7" s="1"/>
  <c r="FJ37" i="57"/>
  <c r="Y27" i="7" s="1"/>
  <c r="GL37" i="57"/>
  <c r="AO27" i="7" s="1"/>
  <c r="CQ37" i="57"/>
  <c r="CR37" i="57" s="1"/>
  <c r="CS37" i="57"/>
  <c r="GP37" i="57" s="1"/>
  <c r="AQ27" i="7" s="1"/>
  <c r="AA16" i="57"/>
  <c r="Z16" i="57"/>
  <c r="EY16" i="57" s="1"/>
  <c r="CE29" i="56"/>
  <c r="GP29" i="56" s="1"/>
  <c r="CD29" i="56"/>
  <c r="GO29" i="56" s="1"/>
  <c r="EV33" i="57"/>
  <c r="Q23" i="7" s="1"/>
  <c r="CU33" i="57"/>
  <c r="GR33" i="57" s="1"/>
  <c r="AS23" i="7" s="1"/>
  <c r="FJ33" i="57"/>
  <c r="Y23" i="7" s="1"/>
  <c r="GL33" i="57"/>
  <c r="AO23" i="7" s="1"/>
  <c r="EH33" i="57"/>
  <c r="I23" i="7" s="1"/>
  <c r="CQ33" i="57"/>
  <c r="FJ83" i="57"/>
  <c r="Y73" i="7" s="1"/>
  <c r="CU83" i="57"/>
  <c r="CQ83" i="57"/>
  <c r="EV36" i="57"/>
  <c r="Q26" i="7" s="1"/>
  <c r="FJ36" i="57"/>
  <c r="Y26" i="7" s="1"/>
  <c r="CU36" i="57"/>
  <c r="GR36" i="57" s="1"/>
  <c r="AS26" i="7" s="1"/>
  <c r="GL36" i="57"/>
  <c r="AO26" i="7" s="1"/>
  <c r="CQ36" i="57"/>
  <c r="CU101" i="57"/>
  <c r="FJ101" i="57"/>
  <c r="Y91" i="7" s="1"/>
  <c r="CQ101" i="57"/>
  <c r="CR101" i="57" s="1"/>
  <c r="FJ71" i="57"/>
  <c r="Y61" i="7" s="1"/>
  <c r="CU71" i="57"/>
  <c r="FJ92" i="57"/>
  <c r="Y82" i="7" s="1"/>
  <c r="CU92" i="57"/>
  <c r="CQ92" i="57"/>
  <c r="FJ57" i="57"/>
  <c r="Y47" i="7" s="1"/>
  <c r="CU57" i="57"/>
  <c r="CQ57" i="57"/>
  <c r="CR57" i="57" s="1"/>
  <c r="CU62" i="57"/>
  <c r="FJ62" i="57"/>
  <c r="Y52" i="7" s="1"/>
  <c r="CQ62" i="57"/>
  <c r="FX45" i="57"/>
  <c r="AG35" i="7" s="1"/>
  <c r="BE45" i="57"/>
  <c r="GD45" i="57" s="1"/>
  <c r="AK35" i="7" s="1"/>
  <c r="DF50" i="56"/>
  <c r="DG50" i="56"/>
  <c r="GB50" i="56" s="1"/>
  <c r="BY40" i="7" s="1"/>
  <c r="AA88" i="57"/>
  <c r="Z88" i="57"/>
  <c r="GQ20" i="56"/>
  <c r="EM20" i="56"/>
  <c r="BC33" i="56"/>
  <c r="BB33" i="56"/>
  <c r="CE30" i="56"/>
  <c r="GP30" i="56" s="1"/>
  <c r="CG20" i="7" s="1"/>
  <c r="CD30" i="56"/>
  <c r="GO30" i="56" s="1"/>
  <c r="CF20" i="7" s="1"/>
  <c r="CE74" i="56"/>
  <c r="GP74" i="56" s="1"/>
  <c r="CG64" i="7" s="1"/>
  <c r="CD74" i="56"/>
  <c r="GO74" i="56" s="1"/>
  <c r="CF64" i="7" s="1"/>
  <c r="BP73" i="56"/>
  <c r="EY73" i="56" s="1"/>
  <c r="BH63" i="7" s="1"/>
  <c r="BQ73" i="56"/>
  <c r="BC107" i="56"/>
  <c r="BP40" i="56"/>
  <c r="BQ40" i="56"/>
  <c r="AN69" i="56"/>
  <c r="FM69" i="56" s="1"/>
  <c r="BP59" i="7" s="1"/>
  <c r="AO69" i="56"/>
  <c r="FN69" i="56" s="1"/>
  <c r="BQ59" i="7" s="1"/>
  <c r="DU44" i="56"/>
  <c r="DT44" i="56"/>
  <c r="FM44" i="56" s="1"/>
  <c r="BP34" i="7" s="1"/>
  <c r="EZ77" i="56"/>
  <c r="BI67" i="7" s="1"/>
  <c r="AO105" i="56"/>
  <c r="FN105" i="56" s="1"/>
  <c r="BQ95" i="7" s="1"/>
  <c r="GP106" i="56"/>
  <c r="CG96" i="7" s="1"/>
  <c r="EL106" i="56"/>
  <c r="BA96" i="7" s="1"/>
  <c r="N25" i="57"/>
  <c r="N28" i="57"/>
  <c r="N26" i="57"/>
  <c r="N29" i="57"/>
  <c r="EM29" i="57" s="1"/>
  <c r="N27" i="57"/>
  <c r="EM27" i="57" s="1"/>
  <c r="BD45" i="57"/>
  <c r="BD72" i="57"/>
  <c r="BD53" i="57"/>
  <c r="BD38" i="57"/>
  <c r="BD30" i="57"/>
  <c r="BD68" i="57"/>
  <c r="BD69" i="57"/>
  <c r="BD41" i="57"/>
  <c r="GC41" i="57" s="1"/>
  <c r="AJ31" i="7" s="1"/>
  <c r="BD74" i="57"/>
  <c r="BD43" i="57"/>
  <c r="GC43" i="57" s="1"/>
  <c r="AJ33" i="7" s="1"/>
  <c r="BD44" i="57"/>
  <c r="BD36" i="57"/>
  <c r="GC36" i="57" s="1"/>
  <c r="AJ26" i="7" s="1"/>
  <c r="BD70" i="57"/>
  <c r="BD39" i="57"/>
  <c r="GC39" i="57" s="1"/>
  <c r="AJ29" i="7" s="1"/>
  <c r="BD47" i="57"/>
  <c r="BD35" i="57"/>
  <c r="GC35" i="57" s="1"/>
  <c r="AJ25" i="7" s="1"/>
  <c r="BD58" i="57"/>
  <c r="BD37" i="57"/>
  <c r="BD42" i="57"/>
  <c r="BD34" i="57"/>
  <c r="GC34" i="57" s="1"/>
  <c r="AJ24" i="7" s="1"/>
  <c r="BD54" i="57"/>
  <c r="GC54" i="57" s="1"/>
  <c r="AJ44" i="7" s="1"/>
  <c r="BD31" i="57"/>
  <c r="BD66" i="57"/>
  <c r="GC66" i="57" s="1"/>
  <c r="AJ56" i="7" s="1"/>
  <c r="BD49" i="57"/>
  <c r="EM49" i="57" s="1"/>
  <c r="L39" i="7" s="1"/>
  <c r="BD46" i="57"/>
  <c r="GC46" i="57" s="1"/>
  <c r="AJ36" i="7" s="1"/>
  <c r="BD65" i="57"/>
  <c r="BD33" i="57"/>
  <c r="BD40" i="57"/>
  <c r="GC40" i="57" s="1"/>
  <c r="AJ30" i="7" s="1"/>
  <c r="BD32" i="57"/>
  <c r="GC32" i="57" s="1"/>
  <c r="AJ22" i="7" s="1"/>
  <c r="BD48" i="57"/>
  <c r="GC48" i="57" s="1"/>
  <c r="AJ38" i="7" s="1"/>
  <c r="BD71" i="57"/>
  <c r="BD73" i="57"/>
  <c r="BD62" i="57"/>
  <c r="BD63" i="57"/>
  <c r="BD56" i="57"/>
  <c r="BD52" i="57"/>
  <c r="EM52" i="57" s="1"/>
  <c r="L42" i="7" s="1"/>
  <c r="BD64" i="57"/>
  <c r="BD59" i="57"/>
  <c r="GC59" i="57" s="1"/>
  <c r="AJ49" i="7" s="1"/>
  <c r="BD61" i="57"/>
  <c r="BD51" i="57"/>
  <c r="GC51" i="57" s="1"/>
  <c r="AJ41" i="7" s="1"/>
  <c r="BD57" i="57"/>
  <c r="GC57" i="57" s="1"/>
  <c r="AJ47" i="7" s="1"/>
  <c r="GO27" i="70"/>
  <c r="EK27" i="70"/>
  <c r="CT6" i="57"/>
  <c r="GP6" i="57"/>
  <c r="DI1" i="7"/>
  <c r="FP4" i="70"/>
  <c r="FP2" i="70" s="1"/>
  <c r="FA1" i="56"/>
  <c r="BI13" i="7"/>
  <c r="BI15" i="7" s="1"/>
  <c r="CS92" i="56"/>
  <c r="EY15" i="56"/>
  <c r="M103" i="56"/>
  <c r="EL103" i="56" s="1"/>
  <c r="BA93" i="7" s="1"/>
  <c r="EZ74" i="56"/>
  <c r="BI64" i="7" s="1"/>
  <c r="EK13" i="56"/>
  <c r="EK67" i="56"/>
  <c r="AZ57" i="7" s="1"/>
  <c r="FN38" i="56"/>
  <c r="BQ28" i="7" s="1"/>
  <c r="DT74" i="56"/>
  <c r="HK95" i="56"/>
  <c r="EK56" i="56"/>
  <c r="AZ46" i="7" s="1"/>
  <c r="HK39" i="56"/>
  <c r="HK78" i="56"/>
  <c r="CD55" i="56"/>
  <c r="GO55" i="56" s="1"/>
  <c r="CF45" i="7" s="1"/>
  <c r="FM12" i="56"/>
  <c r="CS62" i="70"/>
  <c r="CR62" i="70"/>
  <c r="N8" i="70"/>
  <c r="O8" i="70"/>
  <c r="BQ75" i="70"/>
  <c r="BP75" i="70"/>
  <c r="BB62" i="70"/>
  <c r="BC62" i="70"/>
  <c r="EL62" i="70" s="1"/>
  <c r="CQ52" i="7" s="1"/>
  <c r="DT32" i="70"/>
  <c r="DU32" i="70"/>
  <c r="AN55" i="70"/>
  <c r="FM55" i="70" s="1"/>
  <c r="DF45" i="7" s="1"/>
  <c r="AO55" i="70"/>
  <c r="FN55" i="70" s="1"/>
  <c r="DG45" i="7" s="1"/>
  <c r="AN35" i="70"/>
  <c r="AO35" i="70"/>
  <c r="DU83" i="70"/>
  <c r="DT83" i="70"/>
  <c r="CD79" i="70"/>
  <c r="GO79" i="70" s="1"/>
  <c r="DV69" i="7" s="1"/>
  <c r="CE79" i="70"/>
  <c r="FN79" i="70" s="1"/>
  <c r="DG69" i="7" s="1"/>
  <c r="AA51" i="70"/>
  <c r="EZ51" i="70" s="1"/>
  <c r="CY41" i="7" s="1"/>
  <c r="Z51" i="70"/>
  <c r="EY51" i="70" s="1"/>
  <c r="CX41" i="7" s="1"/>
  <c r="BQ36" i="70"/>
  <c r="EZ36" i="70" s="1"/>
  <c r="CY26" i="7" s="1"/>
  <c r="BP36" i="70"/>
  <c r="EY36" i="70" s="1"/>
  <c r="CX26" i="7" s="1"/>
  <c r="AA55" i="70"/>
  <c r="EZ55" i="70" s="1"/>
  <c r="CY45" i="7" s="1"/>
  <c r="Z55" i="70"/>
  <c r="EY55" i="70" s="1"/>
  <c r="CX45" i="7" s="1"/>
  <c r="FA92" i="70"/>
  <c r="CZ82" i="7" s="1"/>
  <c r="FO92" i="70"/>
  <c r="DH82" i="7" s="1"/>
  <c r="DG95" i="56"/>
  <c r="GB95" i="56" s="1"/>
  <c r="BY85" i="7" s="1"/>
  <c r="DF95" i="56"/>
  <c r="FB88" i="56"/>
  <c r="BK78" i="7" s="1"/>
  <c r="EN88" i="56"/>
  <c r="BC78" i="7" s="1"/>
  <c r="AA33" i="70"/>
  <c r="EZ33" i="70" s="1"/>
  <c r="CY23" i="7" s="1"/>
  <c r="Z33" i="70"/>
  <c r="EY33" i="70" s="1"/>
  <c r="CX23" i="7" s="1"/>
  <c r="GD95" i="56"/>
  <c r="CA85" i="7" s="1"/>
  <c r="FB95" i="56"/>
  <c r="BK85" i="7" s="1"/>
  <c r="EN85" i="56"/>
  <c r="BC75" i="7" s="1"/>
  <c r="FB85" i="56"/>
  <c r="BK75" i="7" s="1"/>
  <c r="DF73" i="56"/>
  <c r="DG73" i="56"/>
  <c r="GB73" i="56" s="1"/>
  <c r="BY63" i="7" s="1"/>
  <c r="FJ81" i="57"/>
  <c r="Y71" i="7" s="1"/>
  <c r="CU81" i="57"/>
  <c r="CQ81" i="57"/>
  <c r="CR81" i="57" s="1"/>
  <c r="CR51" i="56"/>
  <c r="FM51" i="56" s="1"/>
  <c r="BP41" i="7" s="1"/>
  <c r="CS51" i="56"/>
  <c r="FN51" i="56" s="1"/>
  <c r="BQ41" i="7" s="1"/>
  <c r="AN51" i="57"/>
  <c r="AO51" i="57"/>
  <c r="BE89" i="57"/>
  <c r="GD89" i="57" s="1"/>
  <c r="AK79" i="7" s="1"/>
  <c r="FX89" i="57"/>
  <c r="AG79" i="7" s="1"/>
  <c r="BC89" i="57"/>
  <c r="GB89" i="57" s="1"/>
  <c r="AI79" i="7" s="1"/>
  <c r="CD33" i="57"/>
  <c r="GA33" i="57" s="1"/>
  <c r="AH23" i="7" s="1"/>
  <c r="CE33" i="57"/>
  <c r="GB33" i="57" s="1"/>
  <c r="AI23" i="7" s="1"/>
  <c r="CU97" i="57"/>
  <c r="FJ97" i="57"/>
  <c r="Y87" i="7" s="1"/>
  <c r="CQ97" i="57"/>
  <c r="CR97" i="57" s="1"/>
  <c r="CS97" i="57"/>
  <c r="EZ97" i="57" s="1"/>
  <c r="S87" i="7" s="1"/>
  <c r="DH44" i="57"/>
  <c r="GQ44" i="57" s="1"/>
  <c r="AR34" i="7" s="1"/>
  <c r="GK44" i="57"/>
  <c r="AN34" i="7" s="1"/>
  <c r="EU44" i="57"/>
  <c r="P34" i="7" s="1"/>
  <c r="CR60" i="56"/>
  <c r="CS60" i="56"/>
  <c r="CS36" i="56"/>
  <c r="Z57" i="57"/>
  <c r="AA57" i="57"/>
  <c r="EV32" i="57"/>
  <c r="Q22" i="7" s="1"/>
  <c r="FJ32" i="57"/>
  <c r="Y22" i="7" s="1"/>
  <c r="CU32" i="57"/>
  <c r="GR32" i="57" s="1"/>
  <c r="AS22" i="7" s="1"/>
  <c r="GL32" i="57"/>
  <c r="AO22" i="7" s="1"/>
  <c r="CQ32" i="57"/>
  <c r="EH32" i="57"/>
  <c r="I22" i="7" s="1"/>
  <c r="FJ75" i="57"/>
  <c r="Y65" i="7" s="1"/>
  <c r="CU75" i="57"/>
  <c r="CQ75" i="57"/>
  <c r="FJ35" i="57"/>
  <c r="Y25" i="7" s="1"/>
  <c r="CU35" i="57"/>
  <c r="CQ35" i="57"/>
  <c r="CS94" i="57"/>
  <c r="CQ94" i="57"/>
  <c r="CR94" i="57" s="1"/>
  <c r="FJ94" i="57"/>
  <c r="Y84" i="7" s="1"/>
  <c r="CU94" i="57"/>
  <c r="CU68" i="57"/>
  <c r="CQ68" i="57"/>
  <c r="CR68" i="57" s="1"/>
  <c r="FJ68" i="57"/>
  <c r="Y58" i="7" s="1"/>
  <c r="CS68" i="57"/>
  <c r="EZ68" i="57" s="1"/>
  <c r="S58" i="7" s="1"/>
  <c r="FJ82" i="57"/>
  <c r="Y72" i="7" s="1"/>
  <c r="CU82" i="57"/>
  <c r="CQ82" i="57"/>
  <c r="FJ54" i="57"/>
  <c r="Y44" i="7" s="1"/>
  <c r="CU54" i="57"/>
  <c r="CQ54" i="57"/>
  <c r="DE42" i="57"/>
  <c r="DH42" i="57"/>
  <c r="GQ42" i="57" s="1"/>
  <c r="AR32" i="7" s="1"/>
  <c r="GK42" i="57"/>
  <c r="AN32" i="7" s="1"/>
  <c r="EG42" i="57"/>
  <c r="H32" i="7" s="1"/>
  <c r="EU42" i="57"/>
  <c r="P32" i="7" s="1"/>
  <c r="BE56" i="57"/>
  <c r="GD56" i="57" s="1"/>
  <c r="AK46" i="7" s="1"/>
  <c r="FX56" i="57"/>
  <c r="AG46" i="7" s="1"/>
  <c r="BA56" i="57"/>
  <c r="BB56" i="57" s="1"/>
  <c r="GA56" i="57" s="1"/>
  <c r="AH46" i="7" s="1"/>
  <c r="BC56" i="57"/>
  <c r="GB56" i="57" s="1"/>
  <c r="AI46" i="7" s="1"/>
  <c r="DG34" i="56"/>
  <c r="EZ34" i="56" s="1"/>
  <c r="BI24" i="7" s="1"/>
  <c r="DF34" i="56"/>
  <c r="AO47" i="57"/>
  <c r="AN47" i="57"/>
  <c r="CG9" i="56"/>
  <c r="CF9" i="56"/>
  <c r="BC24" i="56"/>
  <c r="GP24" i="56" s="1"/>
  <c r="BB24" i="56"/>
  <c r="GO24" i="56" s="1"/>
  <c r="CD70" i="56"/>
  <c r="GO70" i="56" s="1"/>
  <c r="CF60" i="7" s="1"/>
  <c r="CE70" i="56"/>
  <c r="GP70" i="56" s="1"/>
  <c r="CG60" i="7" s="1"/>
  <c r="BQ71" i="56"/>
  <c r="BP71" i="56"/>
  <c r="BS8" i="56"/>
  <c r="BR8" i="56"/>
  <c r="DU76" i="56"/>
  <c r="FN76" i="56" s="1"/>
  <c r="BQ66" i="7" s="1"/>
  <c r="DT76" i="56"/>
  <c r="FM76" i="56" s="1"/>
  <c r="BP66" i="7" s="1"/>
  <c r="AO74" i="56"/>
  <c r="FN74" i="56" s="1"/>
  <c r="BQ64" i="7" s="1"/>
  <c r="AN74" i="56"/>
  <c r="BQ28" i="56"/>
  <c r="EZ28" i="56" s="1"/>
  <c r="BP28" i="56"/>
  <c r="EY28" i="56" s="1"/>
  <c r="DU66" i="56"/>
  <c r="DT66" i="56"/>
  <c r="FM66" i="56" s="1"/>
  <c r="BP56" i="7" s="1"/>
  <c r="DU39" i="56"/>
  <c r="EL48" i="56"/>
  <c r="BA38" i="7" s="1"/>
  <c r="GP48" i="56"/>
  <c r="CG38" i="7" s="1"/>
  <c r="GB26" i="57"/>
  <c r="EL26" i="57"/>
  <c r="EY44" i="56"/>
  <c r="BH34" i="7" s="1"/>
  <c r="EY86" i="56"/>
  <c r="BH76" i="7" s="1"/>
  <c r="GB37" i="56"/>
  <c r="BY27" i="7" s="1"/>
  <c r="EL37" i="56"/>
  <c r="BA27" i="7" s="1"/>
  <c r="GC27" i="57"/>
  <c r="FM39" i="56"/>
  <c r="BP29" i="7" s="1"/>
  <c r="EZ62" i="70"/>
  <c r="CY52" i="7" s="1"/>
  <c r="EZ33" i="56"/>
  <c r="BI23" i="7" s="1"/>
  <c r="EG44" i="57"/>
  <c r="H34" i="7" s="1"/>
  <c r="EM1" i="70"/>
  <c r="CQ13" i="7"/>
  <c r="CE19" i="70"/>
  <c r="GA51" i="56"/>
  <c r="BX41" i="7" s="1"/>
  <c r="DG13" i="56"/>
  <c r="GB13" i="56" s="1"/>
  <c r="CS24" i="56"/>
  <c r="EY66" i="56"/>
  <c r="BH56" i="7" s="1"/>
  <c r="EY56" i="56"/>
  <c r="BH46" i="7" s="1"/>
  <c r="HK63" i="56"/>
  <c r="HK71" i="56"/>
  <c r="EY38" i="56"/>
  <c r="BH28" i="7" s="1"/>
  <c r="BC97" i="56"/>
  <c r="GP97" i="56" s="1"/>
  <c r="CG87" i="7" s="1"/>
  <c r="HJ99" i="56"/>
  <c r="EZ25" i="57"/>
  <c r="HK54" i="56"/>
  <c r="GA102" i="57"/>
  <c r="AH92" i="7" s="1"/>
  <c r="DT105" i="70"/>
  <c r="FM105" i="70" s="1"/>
  <c r="DF95" i="7" s="1"/>
  <c r="DU105" i="70"/>
  <c r="FN105" i="70" s="1"/>
  <c r="DG95" i="7" s="1"/>
  <c r="BP70" i="70"/>
  <c r="EY70" i="70" s="1"/>
  <c r="CX60" i="7" s="1"/>
  <c r="BQ70" i="70"/>
  <c r="EZ70" i="70" s="1"/>
  <c r="CY60" i="7" s="1"/>
  <c r="BB52" i="70"/>
  <c r="BC52" i="70"/>
  <c r="EL52" i="70" s="1"/>
  <c r="CQ42" i="7" s="1"/>
  <c r="AA47" i="70"/>
  <c r="EZ47" i="70" s="1"/>
  <c r="CY37" i="7" s="1"/>
  <c r="Z47" i="70"/>
  <c r="EY47" i="70" s="1"/>
  <c r="CX37" i="7" s="1"/>
  <c r="Z75" i="70"/>
  <c r="EY75" i="70" s="1"/>
  <c r="CX65" i="7" s="1"/>
  <c r="AA75" i="70"/>
  <c r="EZ75" i="70" s="1"/>
  <c r="CY65" i="7" s="1"/>
  <c r="DF49" i="70"/>
  <c r="DG49" i="70"/>
  <c r="EZ49" i="70" s="1"/>
  <c r="CY39" i="7" s="1"/>
  <c r="AN46" i="70"/>
  <c r="FM46" i="70" s="1"/>
  <c r="DF36" i="7" s="1"/>
  <c r="AO46" i="70"/>
  <c r="FN46" i="70" s="1"/>
  <c r="DG36" i="7" s="1"/>
  <c r="CD63" i="70"/>
  <c r="FM63" i="70" s="1"/>
  <c r="DF53" i="7" s="1"/>
  <c r="CE63" i="70"/>
  <c r="FN63" i="70" s="1"/>
  <c r="DG53" i="7" s="1"/>
  <c r="CD35" i="70"/>
  <c r="GO35" i="70" s="1"/>
  <c r="DV25" i="7" s="1"/>
  <c r="CE35" i="70"/>
  <c r="FZ8" i="70"/>
  <c r="FY6" i="70"/>
  <c r="GD103" i="56"/>
  <c r="CA93" i="7" s="1"/>
  <c r="EN103" i="56"/>
  <c r="BC93" i="7" s="1"/>
  <c r="CR35" i="56"/>
  <c r="EY35" i="56" s="1"/>
  <c r="BH25" i="7" s="1"/>
  <c r="CS35" i="56"/>
  <c r="FN35" i="56" s="1"/>
  <c r="BQ25" i="7" s="1"/>
  <c r="FB84" i="56"/>
  <c r="BK74" i="7" s="1"/>
  <c r="EN84" i="56"/>
  <c r="BC74" i="7" s="1"/>
  <c r="CR56" i="56"/>
  <c r="GA56" i="56" s="1"/>
  <c r="BX46" i="7" s="1"/>
  <c r="CS56" i="56"/>
  <c r="GB56" i="56" s="1"/>
  <c r="BY46" i="7" s="1"/>
  <c r="FJ102" i="57"/>
  <c r="Y92" i="7" s="1"/>
  <c r="CU102" i="57"/>
  <c r="CQ102" i="57"/>
  <c r="CR102" i="57" s="1"/>
  <c r="CS102" i="57"/>
  <c r="EY36" i="56"/>
  <c r="BH26" i="7" s="1"/>
  <c r="GA36" i="56"/>
  <c r="BX26" i="7" s="1"/>
  <c r="DH46" i="57"/>
  <c r="GQ46" i="57" s="1"/>
  <c r="AR36" i="7" s="1"/>
  <c r="GK46" i="57"/>
  <c r="AN36" i="7" s="1"/>
  <c r="EG46" i="57"/>
  <c r="H36" i="7" s="1"/>
  <c r="EU46" i="57"/>
  <c r="P36" i="7" s="1"/>
  <c r="AA56" i="57"/>
  <c r="Z56" i="57"/>
  <c r="CE94" i="56"/>
  <c r="FN94" i="56" s="1"/>
  <c r="BQ84" i="7" s="1"/>
  <c r="CD94" i="56"/>
  <c r="GO94" i="56" s="1"/>
  <c r="CF84" i="7" s="1"/>
  <c r="FJ44" i="57"/>
  <c r="Y34" i="7" s="1"/>
  <c r="CU44" i="57"/>
  <c r="CQ44" i="57"/>
  <c r="CR44" i="57" s="1"/>
  <c r="CS44" i="57"/>
  <c r="FJ45" i="57"/>
  <c r="Y35" i="7" s="1"/>
  <c r="CU45" i="57"/>
  <c r="CQ45" i="57"/>
  <c r="CQ52" i="57"/>
  <c r="CR52" i="57" s="1"/>
  <c r="FJ52" i="57"/>
  <c r="Y42" i="7" s="1"/>
  <c r="CU52" i="57"/>
  <c r="EV31" i="57"/>
  <c r="Q21" i="7" s="1"/>
  <c r="FJ31" i="57"/>
  <c r="Y21" i="7" s="1"/>
  <c r="CU31" i="57"/>
  <c r="GR31" i="57" s="1"/>
  <c r="AS21" i="7" s="1"/>
  <c r="GL31" i="57"/>
  <c r="AO21" i="7" s="1"/>
  <c r="CQ31" i="57"/>
  <c r="FJ86" i="57"/>
  <c r="Y76" i="7" s="1"/>
  <c r="CU86" i="57"/>
  <c r="FJ41" i="57"/>
  <c r="Y31" i="7" s="1"/>
  <c r="CU41" i="57"/>
  <c r="CQ41" i="57"/>
  <c r="FJ74" i="57"/>
  <c r="Y64" i="7" s="1"/>
  <c r="CU74" i="57"/>
  <c r="CQ74" i="57"/>
  <c r="FJ67" i="57"/>
  <c r="Y57" i="7" s="1"/>
  <c r="CU67" i="57"/>
  <c r="CS67" i="57"/>
  <c r="DE72" i="57"/>
  <c r="DG72" i="57" s="1"/>
  <c r="DF72" i="57"/>
  <c r="DH72" i="57"/>
  <c r="GQ72" i="57" s="1"/>
  <c r="AR62" i="7" s="1"/>
  <c r="EU72" i="57"/>
  <c r="P62" i="7" s="1"/>
  <c r="GK72" i="57"/>
  <c r="AN62" i="7" s="1"/>
  <c r="EG72" i="57"/>
  <c r="H62" i="7" s="1"/>
  <c r="BA101" i="57"/>
  <c r="BB101" i="57" s="1"/>
  <c r="GA101" i="57" s="1"/>
  <c r="AH91" i="7" s="1"/>
  <c r="FX101" i="57"/>
  <c r="AG91" i="7" s="1"/>
  <c r="BE101" i="57"/>
  <c r="GD101" i="57" s="1"/>
  <c r="AK91" i="7" s="1"/>
  <c r="BC101" i="57"/>
  <c r="GB101" i="57" s="1"/>
  <c r="AI91" i="7" s="1"/>
  <c r="DF107" i="56"/>
  <c r="GA107" i="56" s="1"/>
  <c r="BX97" i="7" s="1"/>
  <c r="DG107" i="56"/>
  <c r="GB107" i="56" s="1"/>
  <c r="BY97" i="7" s="1"/>
  <c r="EK54" i="56"/>
  <c r="AZ44" i="7" s="1"/>
  <c r="GA54" i="56"/>
  <c r="BX44" i="7" s="1"/>
  <c r="DE46" i="57"/>
  <c r="DG46" i="57" s="1"/>
  <c r="CE40" i="56"/>
  <c r="GP40" i="56" s="1"/>
  <c r="CG30" i="7" s="1"/>
  <c r="CD40" i="56"/>
  <c r="GO40" i="56" s="1"/>
  <c r="CF30" i="7" s="1"/>
  <c r="GL4" i="56"/>
  <c r="GL2" i="56" s="1"/>
  <c r="CE14" i="7" s="1"/>
  <c r="CE15" i="7" s="1"/>
  <c r="CE1" i="7"/>
  <c r="GO107" i="56"/>
  <c r="CF97" i="7" s="1"/>
  <c r="EK107" i="56"/>
  <c r="AZ97" i="7" s="1"/>
  <c r="BB35" i="56"/>
  <c r="GO35" i="56" s="1"/>
  <c r="CF25" i="7" s="1"/>
  <c r="BC35" i="56"/>
  <c r="GP35" i="56" s="1"/>
  <c r="CG25" i="7" s="1"/>
  <c r="BP15" i="56"/>
  <c r="BQ15" i="56"/>
  <c r="AN37" i="56"/>
  <c r="FM37" i="56" s="1"/>
  <c r="BP27" i="7" s="1"/>
  <c r="AO37" i="56"/>
  <c r="FN37" i="56" s="1"/>
  <c r="BQ27" i="7" s="1"/>
  <c r="BO1" i="7"/>
  <c r="FJ4" i="56"/>
  <c r="FJ2" i="56" s="1"/>
  <c r="BO14" i="7" s="1"/>
  <c r="BO15" i="7" s="1"/>
  <c r="GA49" i="56"/>
  <c r="BX39" i="7" s="1"/>
  <c r="EK49" i="56"/>
  <c r="AZ39" i="7" s="1"/>
  <c r="M55" i="56"/>
  <c r="EL55" i="56" s="1"/>
  <c r="BA45" i="7" s="1"/>
  <c r="EK96" i="56"/>
  <c r="AZ86" i="7" s="1"/>
  <c r="EY96" i="56"/>
  <c r="BH86" i="7" s="1"/>
  <c r="GA96" i="56"/>
  <c r="BX86" i="7" s="1"/>
  <c r="O56" i="57"/>
  <c r="O62" i="57"/>
  <c r="O33" i="57"/>
  <c r="EN33" i="57" s="1"/>
  <c r="M23" i="7" s="1"/>
  <c r="O35" i="57"/>
  <c r="O38" i="57"/>
  <c r="EN38" i="57" s="1"/>
  <c r="M28" i="7" s="1"/>
  <c r="O39" i="57"/>
  <c r="O59" i="57"/>
  <c r="O54" i="57"/>
  <c r="O51" i="57"/>
  <c r="O63" i="57"/>
  <c r="O42" i="57"/>
  <c r="O40" i="57"/>
  <c r="O30" i="57"/>
  <c r="O44" i="57"/>
  <c r="O58" i="57"/>
  <c r="O67" i="57"/>
  <c r="O66" i="57"/>
  <c r="O34" i="57"/>
  <c r="O32" i="57"/>
  <c r="EN32" i="57" s="1"/>
  <c r="M22" i="7" s="1"/>
  <c r="O57" i="57"/>
  <c r="O41" i="57"/>
  <c r="O64" i="57"/>
  <c r="O50" i="57"/>
  <c r="O47" i="57"/>
  <c r="O71" i="57"/>
  <c r="O69" i="57"/>
  <c r="O48" i="57"/>
  <c r="O65" i="57"/>
  <c r="O74" i="57"/>
  <c r="O70" i="57"/>
  <c r="O61" i="57"/>
  <c r="BE26" i="57"/>
  <c r="BE27" i="57"/>
  <c r="GD27" i="57" s="1"/>
  <c r="BE29" i="57"/>
  <c r="GD29" i="57" s="1"/>
  <c r="BE25" i="57"/>
  <c r="BE28" i="57"/>
  <c r="GD28" i="57" s="1"/>
  <c r="CF28" i="57"/>
  <c r="CF26" i="57"/>
  <c r="CF25" i="57"/>
  <c r="GC25" i="57" s="1"/>
  <c r="CF29" i="57"/>
  <c r="CF27" i="57"/>
  <c r="EY31" i="70"/>
  <c r="CX21" i="7" s="1"/>
  <c r="FM31" i="70"/>
  <c r="DF21" i="7" s="1"/>
  <c r="FA102" i="70"/>
  <c r="CZ92" i="7" s="1"/>
  <c r="FM36" i="56"/>
  <c r="BP26" i="7" s="1"/>
  <c r="CU30" i="70"/>
  <c r="CU41" i="70"/>
  <c r="CU61" i="70"/>
  <c r="CU74" i="70"/>
  <c r="CU50" i="70"/>
  <c r="CU48" i="70"/>
  <c r="CU58" i="70"/>
  <c r="CU37" i="70"/>
  <c r="CU64" i="70"/>
  <c r="CU33" i="70"/>
  <c r="CU42" i="70"/>
  <c r="CU34" i="70"/>
  <c r="CU54" i="70"/>
  <c r="CU67" i="70"/>
  <c r="CU62" i="70"/>
  <c r="CU57" i="70"/>
  <c r="CU44" i="70"/>
  <c r="CU71" i="70"/>
  <c r="CU40" i="70"/>
  <c r="CU73" i="70"/>
  <c r="CU52" i="70"/>
  <c r="CU49" i="70"/>
  <c r="CU38" i="70"/>
  <c r="CU47" i="70"/>
  <c r="CU65" i="70"/>
  <c r="CU45" i="70"/>
  <c r="CU69" i="70"/>
  <c r="CU59" i="70"/>
  <c r="CU68" i="70"/>
  <c r="CU39" i="70"/>
  <c r="CU72" i="70"/>
  <c r="CU32" i="70"/>
  <c r="CU66" i="70"/>
  <c r="CU36" i="70"/>
  <c r="CU43" i="70"/>
  <c r="CU46" i="70"/>
  <c r="CU70" i="70"/>
  <c r="CU60" i="70"/>
  <c r="CU35" i="70"/>
  <c r="CU63" i="70"/>
  <c r="CU31" i="70"/>
  <c r="CU53" i="70"/>
  <c r="CU56" i="70"/>
  <c r="CU51" i="70"/>
  <c r="CU55" i="70"/>
  <c r="AQ8" i="70"/>
  <c r="AP8" i="70"/>
  <c r="GA24" i="56"/>
  <c r="EY24" i="56"/>
  <c r="FM24" i="56"/>
  <c r="EK24" i="56"/>
  <c r="HK62" i="56"/>
  <c r="HK46" i="56"/>
  <c r="HK30" i="56"/>
  <c r="HK14" i="56"/>
  <c r="GP55" i="56"/>
  <c r="CG45" i="7" s="1"/>
  <c r="FN55" i="56"/>
  <c r="BQ45" i="7" s="1"/>
  <c r="GO23" i="56"/>
  <c r="GB78" i="56"/>
  <c r="BY68" i="7" s="1"/>
  <c r="EZ78" i="56"/>
  <c r="BI68" i="7" s="1"/>
  <c r="DI70" i="56"/>
  <c r="GD70" i="56" s="1"/>
  <c r="CA60" i="7" s="1"/>
  <c r="DI67" i="56"/>
  <c r="GD67" i="56" s="1"/>
  <c r="CA57" i="7" s="1"/>
  <c r="DI45" i="56"/>
  <c r="GD45" i="56" s="1"/>
  <c r="CA35" i="7" s="1"/>
  <c r="DI42" i="56"/>
  <c r="GD42" i="56" s="1"/>
  <c r="CA32" i="7" s="1"/>
  <c r="DI41" i="56"/>
  <c r="GD41" i="56" s="1"/>
  <c r="CA31" i="7" s="1"/>
  <c r="DI73" i="56"/>
  <c r="GD73" i="56" s="1"/>
  <c r="CA63" i="7" s="1"/>
  <c r="DI44" i="56"/>
  <c r="GD44" i="56" s="1"/>
  <c r="CA34" i="7" s="1"/>
  <c r="DI60" i="56"/>
  <c r="GD60" i="56" s="1"/>
  <c r="CA50" i="7" s="1"/>
  <c r="DI39" i="56"/>
  <c r="GD39" i="56" s="1"/>
  <c r="CA29" i="7" s="1"/>
  <c r="DI69" i="56"/>
  <c r="GD69" i="56" s="1"/>
  <c r="CA59" i="7" s="1"/>
  <c r="DI38" i="56"/>
  <c r="GD38" i="56" s="1"/>
  <c r="CA28" i="7" s="1"/>
  <c r="DI63" i="56"/>
  <c r="GD63" i="56" s="1"/>
  <c r="CA53" i="7" s="1"/>
  <c r="DI35" i="56"/>
  <c r="GD35" i="56" s="1"/>
  <c r="CA25" i="7" s="1"/>
  <c r="DI74" i="56"/>
  <c r="GD74" i="56" s="1"/>
  <c r="CA64" i="7" s="1"/>
  <c r="DI31" i="56"/>
  <c r="GD31" i="56" s="1"/>
  <c r="CA21" i="7" s="1"/>
  <c r="DI54" i="56"/>
  <c r="GD54" i="56" s="1"/>
  <c r="CA44" i="7" s="1"/>
  <c r="DI57" i="56"/>
  <c r="GD57" i="56" s="1"/>
  <c r="CA47" i="7" s="1"/>
  <c r="DI36" i="56"/>
  <c r="GD36" i="56" s="1"/>
  <c r="CA26" i="7" s="1"/>
  <c r="DI52" i="56"/>
  <c r="GD52" i="56" s="1"/>
  <c r="CA42" i="7" s="1"/>
  <c r="DI68" i="56"/>
  <c r="GD68" i="56" s="1"/>
  <c r="CA58" i="7" s="1"/>
  <c r="DI66" i="56"/>
  <c r="GD66" i="56" s="1"/>
  <c r="CA56" i="7" s="1"/>
  <c r="DI46" i="56"/>
  <c r="GD46" i="56" s="1"/>
  <c r="CA36" i="7" s="1"/>
  <c r="DI59" i="56"/>
  <c r="GD59" i="56" s="1"/>
  <c r="CA49" i="7" s="1"/>
  <c r="DI51" i="56"/>
  <c r="GD51" i="56" s="1"/>
  <c r="CA41" i="7" s="1"/>
  <c r="DI37" i="56"/>
  <c r="GD37" i="56" s="1"/>
  <c r="CA27" i="7" s="1"/>
  <c r="DI58" i="56"/>
  <c r="GD58" i="56" s="1"/>
  <c r="CA48" i="7" s="1"/>
  <c r="DI33" i="56"/>
  <c r="GD33" i="56" s="1"/>
  <c r="CA23" i="7" s="1"/>
  <c r="DI65" i="56"/>
  <c r="GD65" i="56" s="1"/>
  <c r="CA55" i="7" s="1"/>
  <c r="DI40" i="56"/>
  <c r="GD40" i="56" s="1"/>
  <c r="CA30" i="7" s="1"/>
  <c r="DI56" i="56"/>
  <c r="GD56" i="56" s="1"/>
  <c r="CA46" i="7" s="1"/>
  <c r="DI72" i="56"/>
  <c r="GD72" i="56" s="1"/>
  <c r="CA62" i="7" s="1"/>
  <c r="DI53" i="56"/>
  <c r="GD53" i="56" s="1"/>
  <c r="CA43" i="7" s="1"/>
  <c r="DI62" i="56"/>
  <c r="GD62" i="56" s="1"/>
  <c r="CA52" i="7" s="1"/>
  <c r="DI47" i="56"/>
  <c r="GD47" i="56" s="1"/>
  <c r="CA37" i="7" s="1"/>
  <c r="DI50" i="56"/>
  <c r="GD50" i="56" s="1"/>
  <c r="CA40" i="7" s="1"/>
  <c r="DI49" i="56"/>
  <c r="GD49" i="56" s="1"/>
  <c r="CA39" i="7" s="1"/>
  <c r="DI55" i="56"/>
  <c r="GD55" i="56" s="1"/>
  <c r="CA45" i="7" s="1"/>
  <c r="DI61" i="56"/>
  <c r="GD61" i="56" s="1"/>
  <c r="CA51" i="7" s="1"/>
  <c r="DI48" i="56"/>
  <c r="GD48" i="56" s="1"/>
  <c r="CA38" i="7" s="1"/>
  <c r="DI43" i="56"/>
  <c r="GD43" i="56" s="1"/>
  <c r="CA33" i="7" s="1"/>
  <c r="DI34" i="56"/>
  <c r="GD34" i="56" s="1"/>
  <c r="CA24" i="7" s="1"/>
  <c r="DI64" i="56"/>
  <c r="GD64" i="56" s="1"/>
  <c r="CA54" i="7" s="1"/>
  <c r="DI30" i="56"/>
  <c r="GD30" i="56" s="1"/>
  <c r="CA20" i="7" s="1"/>
  <c r="DI71" i="56"/>
  <c r="GD71" i="56" s="1"/>
  <c r="CA61" i="7" s="1"/>
  <c r="DI32" i="56"/>
  <c r="GD32" i="56" s="1"/>
  <c r="CA22" i="7" s="1"/>
  <c r="HK57" i="56"/>
  <c r="EK10" i="56"/>
  <c r="AZ130" i="7" s="1"/>
  <c r="GO10" i="56"/>
  <c r="CF130" i="7" s="1"/>
  <c r="EK24" i="57"/>
  <c r="L102" i="57"/>
  <c r="GA31" i="56"/>
  <c r="BX21" i="7" s="1"/>
  <c r="DU77" i="56"/>
  <c r="FN77" i="56" s="1"/>
  <c r="BQ67" i="7" s="1"/>
  <c r="AO45" i="56"/>
  <c r="FN45" i="56" s="1"/>
  <c r="BQ35" i="7" s="1"/>
  <c r="BQ57" i="56"/>
  <c r="EZ57" i="56" s="1"/>
  <c r="BI47" i="7" s="1"/>
  <c r="HK73" i="56"/>
  <c r="GO67" i="56"/>
  <c r="CF57" i="7" s="1"/>
  <c r="BD26" i="56"/>
  <c r="GQ26" i="56" s="1"/>
  <c r="BD29" i="56"/>
  <c r="GQ29" i="56" s="1"/>
  <c r="BD28" i="56"/>
  <c r="GQ28" i="56" s="1"/>
  <c r="BD25" i="56"/>
  <c r="GQ25" i="56" s="1"/>
  <c r="BD27" i="56"/>
  <c r="GQ27" i="56" s="1"/>
  <c r="EK30" i="56"/>
  <c r="AZ20" i="7" s="1"/>
  <c r="GA30" i="56"/>
  <c r="BX20" i="7" s="1"/>
  <c r="FN10" i="56"/>
  <c r="BQ130" i="7" s="1"/>
  <c r="EL64" i="56"/>
  <c r="BA54" i="7" s="1"/>
  <c r="GP64" i="56"/>
  <c r="CG54" i="7" s="1"/>
  <c r="GP19" i="57"/>
  <c r="EL19" i="57"/>
  <c r="GC29" i="57"/>
  <c r="BQ1" i="7"/>
  <c r="FN4" i="56"/>
  <c r="FN2" i="56" s="1"/>
  <c r="BQ14" i="7" s="1"/>
  <c r="BQ15" i="7" s="1"/>
  <c r="GP11" i="56"/>
  <c r="FN11" i="56"/>
  <c r="AP26" i="57"/>
  <c r="AP25" i="57"/>
  <c r="AP28" i="57"/>
  <c r="AP27" i="57"/>
  <c r="AP29" i="57"/>
  <c r="GQ49" i="57"/>
  <c r="AR39" i="7" s="1"/>
  <c r="EZ19" i="57"/>
  <c r="GD9" i="56"/>
  <c r="CA19" i="7" s="1"/>
  <c r="FN47" i="56"/>
  <c r="BQ37" i="7" s="1"/>
  <c r="GB47" i="56"/>
  <c r="BY37" i="7" s="1"/>
  <c r="EL47" i="56"/>
  <c r="BA37" i="7" s="1"/>
  <c r="EZ22" i="57"/>
  <c r="DV21" i="57"/>
  <c r="DS21" i="57"/>
  <c r="DU21" i="57" s="1"/>
  <c r="DS63" i="57"/>
  <c r="DU63" i="57" s="1"/>
  <c r="DV63" i="57"/>
  <c r="DV98" i="57"/>
  <c r="DS98" i="57"/>
  <c r="DU98" i="57" s="1"/>
  <c r="DT98" i="57"/>
  <c r="FI98" i="57"/>
  <c r="X88" i="7" s="1"/>
  <c r="DV106" i="57"/>
  <c r="FI106" i="57"/>
  <c r="X96" i="7" s="1"/>
  <c r="DS106" i="57"/>
  <c r="DU106" i="57" s="1"/>
  <c r="FN106" i="57" s="1"/>
  <c r="AA96" i="7" s="1"/>
  <c r="FI17" i="57"/>
  <c r="DS17" i="57"/>
  <c r="DU17" i="57" s="1"/>
  <c r="DV17" i="57"/>
  <c r="DT17" i="57"/>
  <c r="DS40" i="57"/>
  <c r="DU40" i="57" s="1"/>
  <c r="FN40" i="57" s="1"/>
  <c r="AA30" i="7" s="1"/>
  <c r="DV40" i="57"/>
  <c r="FI40" i="57"/>
  <c r="X30" i="7" s="1"/>
  <c r="DV56" i="57"/>
  <c r="FO56" i="57" s="1"/>
  <c r="AB46" i="7" s="1"/>
  <c r="DS56" i="57"/>
  <c r="DU56" i="57" s="1"/>
  <c r="FI56" i="57"/>
  <c r="X46" i="7" s="1"/>
  <c r="DV82" i="57"/>
  <c r="DS82" i="57"/>
  <c r="DU82" i="57" s="1"/>
  <c r="FI82" i="57"/>
  <c r="X72" i="7" s="1"/>
  <c r="DV10" i="57"/>
  <c r="DS10" i="57"/>
  <c r="DU10" i="57" s="1"/>
  <c r="FN10" i="57" s="1"/>
  <c r="AA130" i="7" s="1"/>
  <c r="FI10" i="57"/>
  <c r="X130" i="7" s="1"/>
  <c r="DV19" i="57"/>
  <c r="DS19" i="57"/>
  <c r="DU19" i="57" s="1"/>
  <c r="FN19" i="57" s="1"/>
  <c r="DT19" i="57"/>
  <c r="FM19" i="57" s="1"/>
  <c r="FI19" i="57"/>
  <c r="DS57" i="57"/>
  <c r="DU57" i="57" s="1"/>
  <c r="DV57" i="57"/>
  <c r="FI57" i="57"/>
  <c r="X47" i="7" s="1"/>
  <c r="DS73" i="57"/>
  <c r="DU73" i="57" s="1"/>
  <c r="DV73" i="57"/>
  <c r="FI73" i="57"/>
  <c r="X63" i="7" s="1"/>
  <c r="DT29" i="57"/>
  <c r="FM29" i="57" s="1"/>
  <c r="FI29" i="57"/>
  <c r="DV29" i="57"/>
  <c r="DS29" i="57"/>
  <c r="DU29" i="57" s="1"/>
  <c r="DT61" i="57"/>
  <c r="DS61" i="57"/>
  <c r="DU61" i="57" s="1"/>
  <c r="DV61" i="57"/>
  <c r="DV104" i="57"/>
  <c r="DT104" i="57"/>
  <c r="DS104" i="57"/>
  <c r="DU104" i="57" s="1"/>
  <c r="FI104" i="57"/>
  <c r="X94" i="7" s="1"/>
  <c r="DS35" i="57"/>
  <c r="DU35" i="57" s="1"/>
  <c r="DV35" i="57"/>
  <c r="FO35" i="57" s="1"/>
  <c r="AB25" i="7" s="1"/>
  <c r="FI35" i="57"/>
  <c r="X25" i="7" s="1"/>
  <c r="DS45" i="57"/>
  <c r="DU45" i="57" s="1"/>
  <c r="DV45" i="57"/>
  <c r="FI45" i="57"/>
  <c r="X35" i="7" s="1"/>
  <c r="DS52" i="57"/>
  <c r="DU52" i="57" s="1"/>
  <c r="DV52" i="57"/>
  <c r="FI52" i="57"/>
  <c r="X42" i="7" s="1"/>
  <c r="DS69" i="57"/>
  <c r="DU69" i="57" s="1"/>
  <c r="DV69" i="57"/>
  <c r="FI69" i="57"/>
  <c r="X59" i="7" s="1"/>
  <c r="DV100" i="57"/>
  <c r="DS100" i="57"/>
  <c r="DU100" i="57" s="1"/>
  <c r="FI100" i="57"/>
  <c r="X90" i="7" s="1"/>
  <c r="DS51" i="57"/>
  <c r="DU51" i="57" s="1"/>
  <c r="FN51" i="57" s="1"/>
  <c r="AA41" i="7" s="1"/>
  <c r="DT51" i="57"/>
  <c r="FM51" i="57" s="1"/>
  <c r="Z41" i="7" s="1"/>
  <c r="DV51" i="57"/>
  <c r="FO51" i="57" s="1"/>
  <c r="AB41" i="7" s="1"/>
  <c r="FI51" i="57"/>
  <c r="X41" i="7" s="1"/>
  <c r="DS66" i="57"/>
  <c r="DU66" i="57" s="1"/>
  <c r="DT66" i="57"/>
  <c r="DV66" i="57"/>
  <c r="FO66" i="57" s="1"/>
  <c r="AB56" i="7" s="1"/>
  <c r="DV84" i="57"/>
  <c r="DS84" i="57"/>
  <c r="DU84" i="57" s="1"/>
  <c r="FI84" i="57"/>
  <c r="X74" i="7" s="1"/>
  <c r="DV94" i="57"/>
  <c r="FO94" i="57" s="1"/>
  <c r="AB84" i="7" s="1"/>
  <c r="DS94" i="57"/>
  <c r="DU94" i="57" s="1"/>
  <c r="FI94" i="57"/>
  <c r="X84" i="7" s="1"/>
  <c r="DV109" i="57"/>
  <c r="FO109" i="57" s="1"/>
  <c r="AB99" i="7" s="1"/>
  <c r="DS109" i="57"/>
  <c r="DU109" i="57" s="1"/>
  <c r="FI109" i="57"/>
  <c r="X99" i="7" s="1"/>
  <c r="GB30" i="56"/>
  <c r="BY20" i="7" s="1"/>
  <c r="GC37" i="57"/>
  <c r="AJ27" i="7" s="1"/>
  <c r="GC56" i="57"/>
  <c r="AJ46" i="7" s="1"/>
  <c r="GC61" i="57"/>
  <c r="AJ51" i="7" s="1"/>
  <c r="FO61" i="57"/>
  <c r="AB51" i="7" s="1"/>
  <c r="GC68" i="57"/>
  <c r="AJ58" i="7" s="1"/>
  <c r="GC70" i="57"/>
  <c r="AJ60" i="7" s="1"/>
  <c r="GC62" i="57"/>
  <c r="AJ52" i="7" s="1"/>
  <c r="GC60" i="57"/>
  <c r="AJ50" i="7" s="1"/>
  <c r="EM60" i="57"/>
  <c r="L50" i="7" s="1"/>
  <c r="EM61" i="57"/>
  <c r="L51" i="7" s="1"/>
  <c r="GQ61" i="57"/>
  <c r="AR51" i="7" s="1"/>
  <c r="GC50" i="57"/>
  <c r="AJ40" i="7" s="1"/>
  <c r="EM50" i="57"/>
  <c r="L40" i="7" s="1"/>
  <c r="GA12" i="57"/>
  <c r="GA15" i="56"/>
  <c r="EK12" i="70"/>
  <c r="GO12" i="70"/>
  <c r="EZ97" i="70"/>
  <c r="CY87" i="7" s="1"/>
  <c r="FN97" i="70"/>
  <c r="DG87" i="7" s="1"/>
  <c r="EZ60" i="70"/>
  <c r="CY50" i="7" s="1"/>
  <c r="EL60" i="70"/>
  <c r="CQ50" i="7" s="1"/>
  <c r="GO75" i="70"/>
  <c r="DV65" i="7" s="1"/>
  <c r="FM75" i="70"/>
  <c r="DF65" i="7" s="1"/>
  <c r="EY72" i="70"/>
  <c r="CX62" i="7" s="1"/>
  <c r="GO78" i="70"/>
  <c r="DV68" i="7" s="1"/>
  <c r="FM78" i="70"/>
  <c r="DF68" i="7" s="1"/>
  <c r="FM64" i="70"/>
  <c r="DF54" i="7" s="1"/>
  <c r="GO64" i="70"/>
  <c r="DV54" i="7" s="1"/>
  <c r="N37" i="70"/>
  <c r="N49" i="70"/>
  <c r="N30" i="70"/>
  <c r="N43" i="70"/>
  <c r="N39" i="70"/>
  <c r="N60" i="70"/>
  <c r="N61" i="70"/>
  <c r="N56" i="70"/>
  <c r="N72" i="70"/>
  <c r="N42" i="70"/>
  <c r="N33" i="70"/>
  <c r="N40" i="70"/>
  <c r="N44" i="70"/>
  <c r="N68" i="70"/>
  <c r="N67" i="70"/>
  <c r="N73" i="70"/>
  <c r="N69" i="70"/>
  <c r="N52" i="70"/>
  <c r="N70" i="70"/>
  <c r="N59" i="70"/>
  <c r="N45" i="70"/>
  <c r="N54" i="70"/>
  <c r="N31" i="70"/>
  <c r="N36" i="70"/>
  <c r="N53" i="70"/>
  <c r="N32" i="70"/>
  <c r="N74" i="70"/>
  <c r="N55" i="70"/>
  <c r="N51" i="70"/>
  <c r="N48" i="70"/>
  <c r="N41" i="70"/>
  <c r="N62" i="70"/>
  <c r="N58" i="70"/>
  <c r="N65" i="70"/>
  <c r="N47" i="70"/>
  <c r="N38" i="70"/>
  <c r="N35" i="70"/>
  <c r="N57" i="70"/>
  <c r="N64" i="70"/>
  <c r="N71" i="70"/>
  <c r="N66" i="70"/>
  <c r="N63" i="70"/>
  <c r="N50" i="70"/>
  <c r="N46" i="70"/>
  <c r="N34" i="70"/>
  <c r="FN47" i="70"/>
  <c r="DG37" i="7" s="1"/>
  <c r="EL47" i="70"/>
  <c r="CQ37" i="7" s="1"/>
  <c r="GO32" i="70"/>
  <c r="DV22" i="7" s="1"/>
  <c r="EK32" i="70"/>
  <c r="CP22" i="7" s="1"/>
  <c r="EY42" i="70"/>
  <c r="CX32" i="7" s="1"/>
  <c r="EK42" i="70"/>
  <c r="CP32" i="7" s="1"/>
  <c r="EZ91" i="70"/>
  <c r="CY81" i="7" s="1"/>
  <c r="FM99" i="70"/>
  <c r="DF89" i="7" s="1"/>
  <c r="GO99" i="70"/>
  <c r="DV89" i="7" s="1"/>
  <c r="GR27" i="57"/>
  <c r="EN25" i="57"/>
  <c r="EZ34" i="70"/>
  <c r="CY24" i="7" s="1"/>
  <c r="FO9" i="57"/>
  <c r="AB19" i="7" s="1"/>
  <c r="FO106" i="57"/>
  <c r="AB96" i="7" s="1"/>
  <c r="FO57" i="57"/>
  <c r="AB47" i="7" s="1"/>
  <c r="FP8" i="57"/>
  <c r="FO17" i="57"/>
  <c r="FO3" i="57"/>
  <c r="FO10" i="57"/>
  <c r="AB130" i="7" s="1"/>
  <c r="FO19" i="57"/>
  <c r="FO84" i="57"/>
  <c r="AB74" i="7" s="1"/>
  <c r="FO98" i="57"/>
  <c r="AB88" i="7" s="1"/>
  <c r="FO100" i="57"/>
  <c r="AB90" i="7" s="1"/>
  <c r="FO82" i="57"/>
  <c r="AB72" i="7" s="1"/>
  <c r="FO104" i="57"/>
  <c r="AB94" i="7" s="1"/>
  <c r="EH51" i="57"/>
  <c r="I41" i="7" s="1"/>
  <c r="GB87" i="57"/>
  <c r="AI77" i="7" s="1"/>
  <c r="GO95" i="56"/>
  <c r="CF85" i="7" s="1"/>
  <c r="GB83" i="57"/>
  <c r="AI73" i="7" s="1"/>
  <c r="EL18" i="56"/>
  <c r="EL78" i="56"/>
  <c r="BA68" i="7" s="1"/>
  <c r="M81" i="57"/>
  <c r="GB93" i="57"/>
  <c r="AI83" i="7" s="1"/>
  <c r="EZ71" i="56"/>
  <c r="BI61" i="7" s="1"/>
  <c r="GA75" i="57"/>
  <c r="AH65" i="7" s="1"/>
  <c r="DG13" i="7"/>
  <c r="DG15" i="7" s="1"/>
  <c r="FO1" i="70"/>
  <c r="CY13" i="7"/>
  <c r="FA1" i="70"/>
  <c r="EK92" i="70"/>
  <c r="CP82" i="7" s="1"/>
  <c r="EK4" i="70"/>
  <c r="EK2" i="70" s="1"/>
  <c r="CP1" i="7"/>
  <c r="GC1" i="70"/>
  <c r="DO13" i="7"/>
  <c r="EM96" i="70"/>
  <c r="CR86" i="7" s="1"/>
  <c r="EN8" i="70"/>
  <c r="EM101" i="70"/>
  <c r="CR91" i="7" s="1"/>
  <c r="EM18" i="70"/>
  <c r="EM80" i="70"/>
  <c r="CR70" i="7" s="1"/>
  <c r="EM17" i="70"/>
  <c r="EM77" i="70"/>
  <c r="CR67" i="7" s="1"/>
  <c r="EM11" i="70"/>
  <c r="EM107" i="70"/>
  <c r="CR97" i="7" s="1"/>
  <c r="EM6" i="70"/>
  <c r="EM79" i="70"/>
  <c r="CR69" i="7" s="1"/>
  <c r="EM109" i="70"/>
  <c r="CR99" i="7" s="1"/>
  <c r="EM87" i="70"/>
  <c r="CR77" i="7" s="1"/>
  <c r="EM95" i="70"/>
  <c r="CR85" i="7" s="1"/>
  <c r="EM93" i="70"/>
  <c r="CR83" i="7" s="1"/>
  <c r="EM12" i="70"/>
  <c r="EM94" i="70"/>
  <c r="CR84" i="7" s="1"/>
  <c r="EM85" i="70"/>
  <c r="CR75" i="7" s="1"/>
  <c r="EM19" i="70"/>
  <c r="EM92" i="70"/>
  <c r="CR82" i="7" s="1"/>
  <c r="EM10" i="70"/>
  <c r="CR130" i="7" s="1"/>
  <c r="EM75" i="70"/>
  <c r="CR65" i="7" s="1"/>
  <c r="EM81" i="70"/>
  <c r="CR71" i="7" s="1"/>
  <c r="EM16" i="70"/>
  <c r="EM3" i="70"/>
  <c r="EM84" i="70"/>
  <c r="CR74" i="7" s="1"/>
  <c r="EM86" i="70"/>
  <c r="CR76" i="7" s="1"/>
  <c r="EM22" i="70"/>
  <c r="EM78" i="70"/>
  <c r="CR68" i="7" s="1"/>
  <c r="EM102" i="70"/>
  <c r="CR92" i="7" s="1"/>
  <c r="EM100" i="70"/>
  <c r="CR90" i="7" s="1"/>
  <c r="EM110" i="70"/>
  <c r="CR100" i="7" s="1"/>
  <c r="EM15" i="70"/>
  <c r="EM98" i="70"/>
  <c r="CR88" i="7" s="1"/>
  <c r="EM13" i="70"/>
  <c r="EM99" i="70"/>
  <c r="CR89" i="7" s="1"/>
  <c r="EM97" i="70"/>
  <c r="CR87" i="7" s="1"/>
  <c r="EM83" i="70"/>
  <c r="CR73" i="7" s="1"/>
  <c r="EM24" i="70"/>
  <c r="EM23" i="70"/>
  <c r="EM105" i="70"/>
  <c r="CR95" i="7" s="1"/>
  <c r="EM14" i="70"/>
  <c r="EM103" i="70"/>
  <c r="CR93" i="7" s="1"/>
  <c r="EM91" i="70"/>
  <c r="CR81" i="7" s="1"/>
  <c r="EM76" i="70"/>
  <c r="CR66" i="7" s="1"/>
  <c r="EM90" i="70"/>
  <c r="CR80" i="7" s="1"/>
  <c r="EM104" i="70"/>
  <c r="CR94" i="7" s="1"/>
  <c r="EM88" i="70"/>
  <c r="CR78" i="7" s="1"/>
  <c r="GP100" i="70"/>
  <c r="DW90" i="7" s="1"/>
  <c r="FN100" i="70"/>
  <c r="DG90" i="7" s="1"/>
  <c r="AN32" i="70"/>
  <c r="FM32" i="70" s="1"/>
  <c r="DF22" i="7" s="1"/>
  <c r="AO32" i="70"/>
  <c r="FN32" i="70" s="1"/>
  <c r="DG22" i="7" s="1"/>
  <c r="EN24" i="70"/>
  <c r="GP19" i="70"/>
  <c r="FN19" i="70"/>
  <c r="FM88" i="70"/>
  <c r="DF78" i="7" s="1"/>
  <c r="EK88" i="70"/>
  <c r="CP78" i="7" s="1"/>
  <c r="CT86" i="57"/>
  <c r="EM86" i="57" s="1"/>
  <c r="L76" i="7" s="1"/>
  <c r="CQ86" i="57"/>
  <c r="CS86" i="57" s="1"/>
  <c r="FI86" i="57"/>
  <c r="X76" i="7" s="1"/>
  <c r="EU86" i="57"/>
  <c r="P76" i="7" s="1"/>
  <c r="EG86" i="57"/>
  <c r="H76" i="7" s="1"/>
  <c r="GK86" i="57"/>
  <c r="AN76" i="7" s="1"/>
  <c r="GA35" i="56"/>
  <c r="BX25" i="7" s="1"/>
  <c r="EK35" i="56"/>
  <c r="AZ25" i="7" s="1"/>
  <c r="DI10" i="57"/>
  <c r="EV10" i="57"/>
  <c r="Q130" i="7" s="1"/>
  <c r="DE10" i="57"/>
  <c r="DF10" i="57" s="1"/>
  <c r="EH10" i="57"/>
  <c r="I130" i="7" s="1"/>
  <c r="EV101" i="57"/>
  <c r="Q91" i="7" s="1"/>
  <c r="DI101" i="57"/>
  <c r="EH101" i="57"/>
  <c r="I91" i="7" s="1"/>
  <c r="DI83" i="57"/>
  <c r="EV83" i="57"/>
  <c r="Q73" i="7" s="1"/>
  <c r="GL83" i="57"/>
  <c r="AO73" i="7" s="1"/>
  <c r="DE83" i="57"/>
  <c r="DF83" i="57" s="1"/>
  <c r="EH83" i="57"/>
  <c r="I73" i="7" s="1"/>
  <c r="AC109" i="57"/>
  <c r="Y109" i="57"/>
  <c r="Z109" i="57" s="1"/>
  <c r="K46" i="57"/>
  <c r="L46" i="57" s="1"/>
  <c r="O46" i="57"/>
  <c r="EH46" i="57"/>
  <c r="I36" i="7" s="1"/>
  <c r="O90" i="57"/>
  <c r="EH90" i="57"/>
  <c r="I80" i="7" s="1"/>
  <c r="EV34" i="57"/>
  <c r="Q24" i="7" s="1"/>
  <c r="FJ34" i="57"/>
  <c r="Y24" i="7" s="1"/>
  <c r="CU34" i="57"/>
  <c r="GL34" i="57"/>
  <c r="AO24" i="7" s="1"/>
  <c r="EH34" i="57"/>
  <c r="I24" i="7" s="1"/>
  <c r="CQ34" i="57"/>
  <c r="CR34" i="57" s="1"/>
  <c r="EY34" i="57" s="1"/>
  <c r="R24" i="7" s="1"/>
  <c r="FJ91" i="57"/>
  <c r="Y81" i="7" s="1"/>
  <c r="CU91" i="57"/>
  <c r="GL91" i="57"/>
  <c r="AO81" i="7" s="1"/>
  <c r="EV91" i="57"/>
  <c r="Q81" i="7" s="1"/>
  <c r="CQ91" i="57"/>
  <c r="CR91" i="57" s="1"/>
  <c r="CS91" i="57"/>
  <c r="CU56" i="57"/>
  <c r="EV56" i="57"/>
  <c r="Q46" i="7" s="1"/>
  <c r="EH56" i="57"/>
  <c r="I46" i="7" s="1"/>
  <c r="CQ56" i="57"/>
  <c r="CR56" i="57" s="1"/>
  <c r="EY56" i="57" s="1"/>
  <c r="R46" i="7" s="1"/>
  <c r="GL56" i="57"/>
  <c r="AO46" i="7" s="1"/>
  <c r="FJ59" i="57"/>
  <c r="Y49" i="7" s="1"/>
  <c r="EV59" i="57"/>
  <c r="Q49" i="7" s="1"/>
  <c r="CU59" i="57"/>
  <c r="CQ59" i="57"/>
  <c r="CR59" i="57" s="1"/>
  <c r="GL59" i="57"/>
  <c r="AO49" i="7" s="1"/>
  <c r="EH59" i="57"/>
  <c r="I49" i="7" s="1"/>
  <c r="N34" i="57"/>
  <c r="K34" i="57"/>
  <c r="M34" i="57" s="1"/>
  <c r="EG34" i="57"/>
  <c r="H24" i="7" s="1"/>
  <c r="GB92" i="56"/>
  <c r="BY82" i="7" s="1"/>
  <c r="EL92" i="56"/>
  <c r="BA82" i="7" s="1"/>
  <c r="EZ92" i="56"/>
  <c r="BI82" i="7" s="1"/>
  <c r="GC82" i="56"/>
  <c r="BZ72" i="7" s="1"/>
  <c r="EM82" i="56"/>
  <c r="BB72" i="7" s="1"/>
  <c r="FO82" i="56"/>
  <c r="BR72" i="7" s="1"/>
  <c r="FA82" i="56"/>
  <c r="BJ72" i="7" s="1"/>
  <c r="EM24" i="56"/>
  <c r="FO24" i="56"/>
  <c r="GC24" i="56"/>
  <c r="FA24" i="56"/>
  <c r="GD21" i="56"/>
  <c r="FB21" i="56"/>
  <c r="EN21" i="56"/>
  <c r="BC41" i="56"/>
  <c r="BB41" i="56"/>
  <c r="AN84" i="56"/>
  <c r="FM84" i="56" s="1"/>
  <c r="BP74" i="7" s="1"/>
  <c r="AO84" i="56"/>
  <c r="FN84" i="56" s="1"/>
  <c r="BQ74" i="7" s="1"/>
  <c r="GO44" i="56"/>
  <c r="CF34" i="7" s="1"/>
  <c r="BP105" i="56"/>
  <c r="BQ105" i="56"/>
  <c r="DW8" i="56"/>
  <c r="DV8" i="56"/>
  <c r="CS21" i="57"/>
  <c r="CR21" i="57"/>
  <c r="DW9" i="56"/>
  <c r="DV9" i="56"/>
  <c r="DT18" i="56"/>
  <c r="FM18" i="56" s="1"/>
  <c r="DU18" i="56"/>
  <c r="FN18" i="56" s="1"/>
  <c r="Z109" i="70"/>
  <c r="AA109" i="70"/>
  <c r="FP92" i="70"/>
  <c r="DI82" i="7" s="1"/>
  <c r="CT8" i="70"/>
  <c r="CU8" i="70"/>
  <c r="M94" i="70"/>
  <c r="EL94" i="70" s="1"/>
  <c r="CQ84" i="7" s="1"/>
  <c r="L94" i="70"/>
  <c r="EK94" i="70" s="1"/>
  <c r="CP84" i="7" s="1"/>
  <c r="FA82" i="70"/>
  <c r="CZ72" i="7" s="1"/>
  <c r="M77" i="70"/>
  <c r="EL77" i="70" s="1"/>
  <c r="CQ67" i="7" s="1"/>
  <c r="M51" i="70"/>
  <c r="EL51" i="70" s="1"/>
  <c r="CQ41" i="7" s="1"/>
  <c r="M18" i="70"/>
  <c r="EL18" i="70" s="1"/>
  <c r="BR9" i="70"/>
  <c r="BS9" i="70"/>
  <c r="CS88" i="70"/>
  <c r="CQ85" i="57"/>
  <c r="CR85" i="57" s="1"/>
  <c r="FI85" i="57"/>
  <c r="X75" i="7" s="1"/>
  <c r="CT85" i="57"/>
  <c r="EU85" i="57"/>
  <c r="P75" i="7" s="1"/>
  <c r="GK85" i="57"/>
  <c r="AN75" i="7" s="1"/>
  <c r="EG85" i="57"/>
  <c r="H75" i="7" s="1"/>
  <c r="CQ77" i="57"/>
  <c r="CR77" i="57" s="1"/>
  <c r="FI77" i="57"/>
  <c r="X67" i="7" s="1"/>
  <c r="CT77" i="57"/>
  <c r="EG77" i="57"/>
  <c r="H67" i="7" s="1"/>
  <c r="EU77" i="57"/>
  <c r="P67" i="7" s="1"/>
  <c r="GK77" i="57"/>
  <c r="AN67" i="7" s="1"/>
  <c r="BO110" i="57"/>
  <c r="BP110" i="57" s="1"/>
  <c r="BS110" i="57"/>
  <c r="EM86" i="56"/>
  <c r="BB76" i="7" s="1"/>
  <c r="FA86" i="56"/>
  <c r="BJ76" i="7" s="1"/>
  <c r="GC86" i="56"/>
  <c r="BZ76" i="7" s="1"/>
  <c r="DI40" i="57"/>
  <c r="GL40" i="57"/>
  <c r="AO30" i="7" s="1"/>
  <c r="EV40" i="57"/>
  <c r="Q30" i="7" s="1"/>
  <c r="DE40" i="57"/>
  <c r="DF40" i="57" s="1"/>
  <c r="EK40" i="57" s="1"/>
  <c r="J30" i="7" s="1"/>
  <c r="EH40" i="57"/>
  <c r="I30" i="7" s="1"/>
  <c r="DI48" i="57"/>
  <c r="EV48" i="57"/>
  <c r="Q38" i="7" s="1"/>
  <c r="DE48" i="57"/>
  <c r="DF48" i="57" s="1"/>
  <c r="EH48" i="57"/>
  <c r="I38" i="7" s="1"/>
  <c r="EV78" i="57"/>
  <c r="Q68" i="7" s="1"/>
  <c r="DI78" i="57"/>
  <c r="GL78" i="57"/>
  <c r="AO68" i="7" s="1"/>
  <c r="DE78" i="57"/>
  <c r="DF78" i="57" s="1"/>
  <c r="EH78" i="57"/>
  <c r="I68" i="7" s="1"/>
  <c r="EV68" i="57"/>
  <c r="Q58" i="7" s="1"/>
  <c r="DI68" i="57"/>
  <c r="GR68" i="57" s="1"/>
  <c r="AS58" i="7" s="1"/>
  <c r="GL68" i="57"/>
  <c r="AO58" i="7" s="1"/>
  <c r="DE68" i="57"/>
  <c r="DF68" i="57" s="1"/>
  <c r="GO68" i="57" s="1"/>
  <c r="AP58" i="7" s="1"/>
  <c r="DG68" i="57"/>
  <c r="GP68" i="57" s="1"/>
  <c r="AQ58" i="7" s="1"/>
  <c r="EV97" i="57"/>
  <c r="Q87" i="7" s="1"/>
  <c r="DI97" i="57"/>
  <c r="DE97" i="57"/>
  <c r="DF97" i="57" s="1"/>
  <c r="DG97" i="57"/>
  <c r="GP97" i="57" s="1"/>
  <c r="AQ87" i="7" s="1"/>
  <c r="DI92" i="57"/>
  <c r="EV92" i="57"/>
  <c r="Q82" i="7" s="1"/>
  <c r="GL92" i="57"/>
  <c r="AO82" i="7" s="1"/>
  <c r="DG92" i="57"/>
  <c r="DE92" i="57"/>
  <c r="DF92" i="57" s="1"/>
  <c r="EH92" i="57"/>
  <c r="I82" i="7" s="1"/>
  <c r="EV82" i="57"/>
  <c r="Q72" i="7" s="1"/>
  <c r="DI82" i="57"/>
  <c r="GL82" i="57"/>
  <c r="AO72" i="7" s="1"/>
  <c r="DE82" i="57"/>
  <c r="DF82" i="57" s="1"/>
  <c r="DG82" i="57"/>
  <c r="EH82" i="57"/>
  <c r="I72" i="7" s="1"/>
  <c r="EV65" i="57"/>
  <c r="Q55" i="7" s="1"/>
  <c r="DI65" i="57"/>
  <c r="DE65" i="57"/>
  <c r="DF65" i="57" s="1"/>
  <c r="DG65" i="57"/>
  <c r="EH65" i="57"/>
  <c r="I55" i="7" s="1"/>
  <c r="DI106" i="57"/>
  <c r="EH106" i="57"/>
  <c r="I96" i="7" s="1"/>
  <c r="DE106" i="57"/>
  <c r="DF106" i="57" s="1"/>
  <c r="GO106" i="57" s="1"/>
  <c r="AP96" i="7" s="1"/>
  <c r="GL106" i="57"/>
  <c r="AO96" i="7" s="1"/>
  <c r="EV106" i="57"/>
  <c r="Q96" i="7" s="1"/>
  <c r="AC106" i="57"/>
  <c r="Y106" i="57"/>
  <c r="Z106" i="57" s="1"/>
  <c r="EY106" i="57" s="1"/>
  <c r="R96" i="7" s="1"/>
  <c r="K31" i="57"/>
  <c r="L31" i="57" s="1"/>
  <c r="O31" i="57"/>
  <c r="EN31" i="57" s="1"/>
  <c r="M21" i="7" s="1"/>
  <c r="EH31" i="57"/>
  <c r="I21" i="7" s="1"/>
  <c r="K53" i="57"/>
  <c r="L53" i="57" s="1"/>
  <c r="EK53" i="57" s="1"/>
  <c r="J43" i="7" s="1"/>
  <c r="O53" i="57"/>
  <c r="EN53" i="57" s="1"/>
  <c r="M43" i="7" s="1"/>
  <c r="EH53" i="57"/>
  <c r="I43" i="7" s="1"/>
  <c r="O105" i="57"/>
  <c r="K105" i="57"/>
  <c r="L105" i="57" s="1"/>
  <c r="EH105" i="57"/>
  <c r="I95" i="7" s="1"/>
  <c r="K72" i="57"/>
  <c r="L72" i="57" s="1"/>
  <c r="O72" i="57"/>
  <c r="M72" i="57"/>
  <c r="EH72" i="57"/>
  <c r="I62" i="7" s="1"/>
  <c r="CR16" i="56"/>
  <c r="CQ49" i="57"/>
  <c r="CR49" i="57" s="1"/>
  <c r="FJ49" i="57"/>
  <c r="Y39" i="7" s="1"/>
  <c r="EV49" i="57"/>
  <c r="Q39" i="7" s="1"/>
  <c r="CU49" i="57"/>
  <c r="GL49" i="57"/>
  <c r="AO39" i="7" s="1"/>
  <c r="GL99" i="57"/>
  <c r="AO89" i="7" s="1"/>
  <c r="EV99" i="57"/>
  <c r="Q89" i="7" s="1"/>
  <c r="FJ99" i="57"/>
  <c r="Y89" i="7" s="1"/>
  <c r="CU99" i="57"/>
  <c r="FP99" i="57" s="1"/>
  <c r="AC89" i="7" s="1"/>
  <c r="EH99" i="57"/>
  <c r="I89" i="7" s="1"/>
  <c r="EV90" i="57"/>
  <c r="Q80" i="7" s="1"/>
  <c r="CU90" i="57"/>
  <c r="FJ90" i="57"/>
  <c r="Y80" i="7" s="1"/>
  <c r="GL90" i="57"/>
  <c r="AO80" i="7" s="1"/>
  <c r="CQ90" i="57"/>
  <c r="CR90" i="57" s="1"/>
  <c r="GL73" i="57"/>
  <c r="AO63" i="7" s="1"/>
  <c r="EV73" i="57"/>
  <c r="Q63" i="7" s="1"/>
  <c r="FJ73" i="57"/>
  <c r="Y63" i="7" s="1"/>
  <c r="CU73" i="57"/>
  <c r="CQ73" i="57"/>
  <c r="CR73" i="57" s="1"/>
  <c r="CS73" i="57"/>
  <c r="EV61" i="57"/>
  <c r="Q51" i="7" s="1"/>
  <c r="FJ61" i="57"/>
  <c r="Y51" i="7" s="1"/>
  <c r="GL61" i="57"/>
  <c r="AO51" i="7" s="1"/>
  <c r="CU61" i="57"/>
  <c r="EH61" i="57"/>
  <c r="I51" i="7" s="1"/>
  <c r="GL55" i="57"/>
  <c r="AO45" i="7" s="1"/>
  <c r="FJ55" i="57"/>
  <c r="Y45" i="7" s="1"/>
  <c r="CU55" i="57"/>
  <c r="EV55" i="57"/>
  <c r="Q45" i="7" s="1"/>
  <c r="CS55" i="57"/>
  <c r="EH55" i="57"/>
  <c r="I45" i="7" s="1"/>
  <c r="FJ100" i="57"/>
  <c r="Y90" i="7" s="1"/>
  <c r="EV100" i="57"/>
  <c r="Q90" i="7" s="1"/>
  <c r="CU100" i="57"/>
  <c r="GL100" i="57"/>
  <c r="AO90" i="7" s="1"/>
  <c r="CQ100" i="57"/>
  <c r="CR100" i="57" s="1"/>
  <c r="EH100" i="57"/>
  <c r="I90" i="7" s="1"/>
  <c r="CU84" i="57"/>
  <c r="EV84" i="57"/>
  <c r="Q74" i="7" s="1"/>
  <c r="FJ84" i="57"/>
  <c r="Y74" i="7" s="1"/>
  <c r="GL84" i="57"/>
  <c r="AO74" i="7" s="1"/>
  <c r="CQ84" i="57"/>
  <c r="CR84" i="57" s="1"/>
  <c r="GL109" i="57"/>
  <c r="AO99" i="7" s="1"/>
  <c r="EV109" i="57"/>
  <c r="Q99" i="7" s="1"/>
  <c r="CU109" i="57"/>
  <c r="CQ109" i="57"/>
  <c r="CR109" i="57" s="1"/>
  <c r="EH109" i="57"/>
  <c r="I99" i="7" s="1"/>
  <c r="DH73" i="57"/>
  <c r="DF73" i="57"/>
  <c r="DE73" i="57"/>
  <c r="DG73" i="57" s="1"/>
  <c r="GK73" i="57"/>
  <c r="AN63" i="7" s="1"/>
  <c r="EU73" i="57"/>
  <c r="P63" i="7" s="1"/>
  <c r="EG73" i="57"/>
  <c r="H63" i="7" s="1"/>
  <c r="K33" i="57"/>
  <c r="M33" i="57" s="1"/>
  <c r="N33" i="57"/>
  <c r="EM33" i="57" s="1"/>
  <c r="L23" i="7" s="1"/>
  <c r="EG33" i="57"/>
  <c r="H23" i="7" s="1"/>
  <c r="GL97" i="57"/>
  <c r="AO87" i="7" s="1"/>
  <c r="CS104" i="56"/>
  <c r="DG51" i="56"/>
  <c r="DF23" i="56"/>
  <c r="EK23" i="56" s="1"/>
  <c r="DG15" i="56"/>
  <c r="GB15" i="56" s="1"/>
  <c r="GC106" i="56"/>
  <c r="BZ96" i="7" s="1"/>
  <c r="FO106" i="56"/>
  <c r="BR96" i="7" s="1"/>
  <c r="FA106" i="56"/>
  <c r="BJ96" i="7" s="1"/>
  <c r="EM106" i="56"/>
  <c r="BB96" i="7" s="1"/>
  <c r="EM81" i="56"/>
  <c r="BB71" i="7" s="1"/>
  <c r="GQ81" i="56"/>
  <c r="CH71" i="7" s="1"/>
  <c r="CD37" i="57"/>
  <c r="CE37" i="57"/>
  <c r="FJ56" i="57"/>
  <c r="Y46" i="7" s="1"/>
  <c r="GD11" i="57"/>
  <c r="FP11" i="57"/>
  <c r="AA85" i="57"/>
  <c r="Z85" i="57"/>
  <c r="AO35" i="57"/>
  <c r="AN35" i="57"/>
  <c r="BQ56" i="57"/>
  <c r="GQ18" i="56"/>
  <c r="EM18" i="56"/>
  <c r="GP108" i="56"/>
  <c r="CG98" i="7" s="1"/>
  <c r="FN108" i="56"/>
  <c r="BQ98" i="7" s="1"/>
  <c r="CE86" i="56"/>
  <c r="GP86" i="56" s="1"/>
  <c r="CG76" i="7" s="1"/>
  <c r="CD86" i="56"/>
  <c r="GO86" i="56" s="1"/>
  <c r="CF76" i="7" s="1"/>
  <c r="GQ21" i="56"/>
  <c r="FO21" i="56"/>
  <c r="BQ91" i="56"/>
  <c r="BP91" i="56"/>
  <c r="DF47" i="56"/>
  <c r="BB25" i="57"/>
  <c r="M98" i="56"/>
  <c r="EL98" i="56" s="1"/>
  <c r="BA88" i="7" s="1"/>
  <c r="DU60" i="56"/>
  <c r="FN60" i="56" s="1"/>
  <c r="BQ50" i="7" s="1"/>
  <c r="DT60" i="56"/>
  <c r="M36" i="56"/>
  <c r="EL36" i="56" s="1"/>
  <c r="BA26" i="7" s="1"/>
  <c r="AN87" i="56"/>
  <c r="FM87" i="56" s="1"/>
  <c r="BP77" i="7" s="1"/>
  <c r="AO75" i="56"/>
  <c r="FN75" i="56" s="1"/>
  <c r="BQ65" i="7" s="1"/>
  <c r="AN75" i="56"/>
  <c r="FM75" i="56" s="1"/>
  <c r="BP65" i="7" s="1"/>
  <c r="BP109" i="56"/>
  <c r="EY109" i="56" s="1"/>
  <c r="BH99" i="7" s="1"/>
  <c r="BQ109" i="56"/>
  <c r="EZ109" i="56" s="1"/>
  <c r="BI99" i="7" s="1"/>
  <c r="M77" i="56"/>
  <c r="EL77" i="56" s="1"/>
  <c r="BA67" i="7" s="1"/>
  <c r="M61" i="56"/>
  <c r="EL61" i="56" s="1"/>
  <c r="BA51" i="7" s="1"/>
  <c r="EY13" i="56"/>
  <c r="BQ72" i="56"/>
  <c r="EZ72" i="56" s="1"/>
  <c r="BI62" i="7" s="1"/>
  <c r="BP72" i="56"/>
  <c r="EY72" i="56" s="1"/>
  <c r="BH62" i="7" s="1"/>
  <c r="BP58" i="56"/>
  <c r="BQ58" i="56"/>
  <c r="HJ109" i="56"/>
  <c r="HK109" i="56"/>
  <c r="HJ77" i="56"/>
  <c r="HK77" i="56"/>
  <c r="HJ45" i="56"/>
  <c r="HK45" i="56"/>
  <c r="HJ13" i="56"/>
  <c r="HK13" i="56"/>
  <c r="Z79" i="56"/>
  <c r="EY79" i="56" s="1"/>
  <c r="BH69" i="7" s="1"/>
  <c r="AA79" i="56"/>
  <c r="EZ79" i="56" s="1"/>
  <c r="BI69" i="7" s="1"/>
  <c r="CE82" i="56"/>
  <c r="CD82" i="56"/>
  <c r="GO82" i="56" s="1"/>
  <c r="CF72" i="7" s="1"/>
  <c r="M93" i="56"/>
  <c r="EL93" i="56" s="1"/>
  <c r="BA83" i="7" s="1"/>
  <c r="M67" i="56"/>
  <c r="EL67" i="56" s="1"/>
  <c r="BA57" i="7" s="1"/>
  <c r="AN93" i="56"/>
  <c r="FM93" i="56" s="1"/>
  <c r="BP83" i="7" s="1"/>
  <c r="AO93" i="56"/>
  <c r="FN93" i="56" s="1"/>
  <c r="BQ83" i="7" s="1"/>
  <c r="BP101" i="56"/>
  <c r="EY101" i="56" s="1"/>
  <c r="BH91" i="7" s="1"/>
  <c r="BQ101" i="56"/>
  <c r="EZ101" i="56" s="1"/>
  <c r="BI91" i="7" s="1"/>
  <c r="BP20" i="56"/>
  <c r="BQ20" i="56"/>
  <c r="AO91" i="56"/>
  <c r="FN91" i="56" s="1"/>
  <c r="BQ81" i="7" s="1"/>
  <c r="AN81" i="56"/>
  <c r="FM81" i="56" s="1"/>
  <c r="BP71" i="7" s="1"/>
  <c r="AO81" i="56"/>
  <c r="FN81" i="56" s="1"/>
  <c r="BQ71" i="7" s="1"/>
  <c r="DU65" i="56"/>
  <c r="FN65" i="56" s="1"/>
  <c r="BQ55" i="7" s="1"/>
  <c r="BQ14" i="56"/>
  <c r="DT16" i="56"/>
  <c r="EY47" i="56"/>
  <c r="BH37" i="7" s="1"/>
  <c r="HK47" i="56"/>
  <c r="EY21" i="56"/>
  <c r="GP95" i="56"/>
  <c r="CG85" i="7" s="1"/>
  <c r="FN95" i="56"/>
  <c r="BQ85" i="7" s="1"/>
  <c r="FN29" i="57"/>
  <c r="O9" i="56"/>
  <c r="N9" i="56"/>
  <c r="DU30" i="56"/>
  <c r="DT30" i="56"/>
  <c r="FB104" i="56"/>
  <c r="BK94" i="7" s="1"/>
  <c r="BP31" i="56"/>
  <c r="EY31" i="56" s="1"/>
  <c r="BH21" i="7" s="1"/>
  <c r="BQ31" i="56"/>
  <c r="DU99" i="56"/>
  <c r="FN99" i="56" s="1"/>
  <c r="BQ89" i="7" s="1"/>
  <c r="DT99" i="56"/>
  <c r="FM99" i="56" s="1"/>
  <c r="BP89" i="7" s="1"/>
  <c r="DU54" i="56"/>
  <c r="FN54" i="56" s="1"/>
  <c r="BQ44" i="7" s="1"/>
  <c r="AP9" i="56"/>
  <c r="AQ9" i="56"/>
  <c r="BQ94" i="56"/>
  <c r="EZ94" i="56" s="1"/>
  <c r="BI84" i="7" s="1"/>
  <c r="BP94" i="56"/>
  <c r="EY94" i="56" s="1"/>
  <c r="BH84" i="7" s="1"/>
  <c r="HJ107" i="56"/>
  <c r="HJ91" i="56"/>
  <c r="HJ75" i="56"/>
  <c r="HJ59" i="56"/>
  <c r="HJ43" i="56"/>
  <c r="HJ27" i="56"/>
  <c r="HJ11" i="56"/>
  <c r="EZ58" i="56"/>
  <c r="BI48" i="7" s="1"/>
  <c r="EZ105" i="56"/>
  <c r="BI95" i="7" s="1"/>
  <c r="EK97" i="56"/>
  <c r="AZ87" i="7" s="1"/>
  <c r="GO97" i="56"/>
  <c r="CF87" i="7" s="1"/>
  <c r="CD89" i="56"/>
  <c r="GO87" i="56"/>
  <c r="CF77" i="7" s="1"/>
  <c r="BP60" i="56"/>
  <c r="BQ60" i="56"/>
  <c r="EZ60" i="56" s="1"/>
  <c r="BI50" i="7" s="1"/>
  <c r="HK102" i="56"/>
  <c r="EY16" i="56"/>
  <c r="GO88" i="56"/>
  <c r="CF78" i="7" s="1"/>
  <c r="GA59" i="57"/>
  <c r="AH49" i="7" s="1"/>
  <c r="GA98" i="56"/>
  <c r="BX88" i="7" s="1"/>
  <c r="FM98" i="56"/>
  <c r="BP88" i="7" s="1"/>
  <c r="EK48" i="57"/>
  <c r="J38" i="7" s="1"/>
  <c r="HJ35" i="56"/>
  <c r="GO17" i="57"/>
  <c r="EY17" i="57"/>
  <c r="EK17" i="57"/>
  <c r="FM17" i="57"/>
  <c r="AW6" i="57"/>
  <c r="EE6" i="57"/>
  <c r="FU6" i="57"/>
  <c r="EL24" i="57"/>
  <c r="K90" i="57"/>
  <c r="L90" i="57" s="1"/>
  <c r="EZ20" i="56"/>
  <c r="BQ52" i="56"/>
  <c r="HJ51" i="56"/>
  <c r="A132" i="45"/>
  <c r="A133" i="55"/>
  <c r="A132" i="38"/>
  <c r="A132" i="46"/>
  <c r="O132" i="46" s="1"/>
  <c r="GA10" i="56"/>
  <c r="BX130" i="7" s="1"/>
  <c r="FM10" i="56"/>
  <c r="BP130" i="7" s="1"/>
  <c r="FM60" i="56"/>
  <c r="BP50" i="7" s="1"/>
  <c r="GA105" i="57"/>
  <c r="AH95" i="7" s="1"/>
  <c r="GO64" i="56"/>
  <c r="CF54" i="7" s="1"/>
  <c r="EK64" i="56"/>
  <c r="AZ54" i="7" s="1"/>
  <c r="EK19" i="57"/>
  <c r="EY19" i="57"/>
  <c r="GO19" i="57"/>
  <c r="GC26" i="57"/>
  <c r="EM26" i="57"/>
  <c r="EZ15" i="57"/>
  <c r="GO11" i="56"/>
  <c r="FM11" i="56"/>
  <c r="AQ26" i="57"/>
  <c r="AQ25" i="57"/>
  <c r="AQ27" i="57"/>
  <c r="AQ28" i="57"/>
  <c r="AQ29" i="57"/>
  <c r="GR28" i="57"/>
  <c r="EN28" i="57"/>
  <c r="GQ67" i="57"/>
  <c r="AR57" i="7" s="1"/>
  <c r="EM67" i="57"/>
  <c r="L57" i="7" s="1"/>
  <c r="HJ83" i="56"/>
  <c r="EL17" i="56"/>
  <c r="GB17" i="56"/>
  <c r="GA47" i="56"/>
  <c r="BX37" i="7" s="1"/>
  <c r="EK47" i="56"/>
  <c r="AZ37" i="7" s="1"/>
  <c r="GA81" i="56"/>
  <c r="BX71" i="7" s="1"/>
  <c r="EK81" i="56"/>
  <c r="AZ71" i="7" s="1"/>
  <c r="EY79" i="70"/>
  <c r="CX69" i="7" s="1"/>
  <c r="FM79" i="70"/>
  <c r="DF69" i="7" s="1"/>
  <c r="EK79" i="70"/>
  <c r="CP69" i="7" s="1"/>
  <c r="AJ13" i="7"/>
  <c r="AL13" i="7"/>
  <c r="AL15" i="7" s="1"/>
  <c r="AI15" i="7"/>
  <c r="FR18" i="46"/>
  <c r="DV16" i="57"/>
  <c r="FO16" i="57" s="1"/>
  <c r="DS16" i="57"/>
  <c r="DU16" i="57" s="1"/>
  <c r="FN16" i="57" s="1"/>
  <c r="FI16" i="57"/>
  <c r="DS86" i="57"/>
  <c r="DU86" i="57" s="1"/>
  <c r="DV86" i="57"/>
  <c r="FI68" i="57"/>
  <c r="X58" i="7" s="1"/>
  <c r="DS68" i="57"/>
  <c r="DU68" i="57" s="1"/>
  <c r="FN68" i="57" s="1"/>
  <c r="AA58" i="7" s="1"/>
  <c r="DV68" i="57"/>
  <c r="FO68" i="57" s="1"/>
  <c r="AB58" i="7" s="1"/>
  <c r="DS26" i="57"/>
  <c r="DU26" i="57" s="1"/>
  <c r="FN26" i="57" s="1"/>
  <c r="FI26" i="57"/>
  <c r="DT26" i="57"/>
  <c r="FM26" i="57" s="1"/>
  <c r="DV26" i="57"/>
  <c r="DV14" i="57"/>
  <c r="FO14" i="57" s="1"/>
  <c r="DS14" i="57"/>
  <c r="DU14" i="57" s="1"/>
  <c r="FN14" i="57" s="1"/>
  <c r="FI14" i="57"/>
  <c r="DS48" i="57"/>
  <c r="DU48" i="57" s="1"/>
  <c r="DV48" i="57"/>
  <c r="FO48" i="57" s="1"/>
  <c r="AB38" i="7" s="1"/>
  <c r="FI48" i="57"/>
  <c r="X38" i="7" s="1"/>
  <c r="DS58" i="57"/>
  <c r="DU58" i="57" s="1"/>
  <c r="DV58" i="57"/>
  <c r="FI58" i="57"/>
  <c r="X48" i="7" s="1"/>
  <c r="DV99" i="57"/>
  <c r="DS99" i="57"/>
  <c r="DU99" i="57" s="1"/>
  <c r="DT99" i="57"/>
  <c r="DS28" i="57"/>
  <c r="DU28" i="57" s="1"/>
  <c r="FN28" i="57" s="1"/>
  <c r="FI28" i="57"/>
  <c r="DV28" i="57"/>
  <c r="DS18" i="57"/>
  <c r="DU18" i="57" s="1"/>
  <c r="FN18" i="57" s="1"/>
  <c r="DV18" i="57"/>
  <c r="FO18" i="57" s="1"/>
  <c r="FI18" i="57"/>
  <c r="DS64" i="57"/>
  <c r="DU64" i="57" s="1"/>
  <c r="DV64" i="57"/>
  <c r="FO64" i="57" s="1"/>
  <c r="AB54" i="7" s="1"/>
  <c r="FI64" i="57"/>
  <c r="X54" i="7" s="1"/>
  <c r="DS87" i="57"/>
  <c r="DU87" i="57" s="1"/>
  <c r="DV87" i="57"/>
  <c r="FO87" i="57" s="1"/>
  <c r="AB77" i="7" s="1"/>
  <c r="FI87" i="57"/>
  <c r="X77" i="7" s="1"/>
  <c r="DS31" i="57"/>
  <c r="DU31" i="57" s="1"/>
  <c r="DV31" i="57"/>
  <c r="FI31" i="57"/>
  <c r="X21" i="7" s="1"/>
  <c r="DS76" i="57"/>
  <c r="DU76" i="57" s="1"/>
  <c r="DV76" i="57"/>
  <c r="FO76" i="57" s="1"/>
  <c r="AB66" i="7" s="1"/>
  <c r="FI76" i="57"/>
  <c r="X66" i="7" s="1"/>
  <c r="DS30" i="57"/>
  <c r="DU30" i="57" s="1"/>
  <c r="DV30" i="57"/>
  <c r="FI30" i="57"/>
  <c r="X20" i="7" s="1"/>
  <c r="DV41" i="57"/>
  <c r="FO41" i="57" s="1"/>
  <c r="AB31" i="7" s="1"/>
  <c r="DS41" i="57"/>
  <c r="DU41" i="57" s="1"/>
  <c r="FI41" i="57"/>
  <c r="X31" i="7" s="1"/>
  <c r="DT46" i="57"/>
  <c r="DS46" i="57"/>
  <c r="DU46" i="57" s="1"/>
  <c r="DV46" i="57"/>
  <c r="FO46" i="57" s="1"/>
  <c r="AB36" i="7" s="1"/>
  <c r="FI46" i="57"/>
  <c r="X36" i="7" s="1"/>
  <c r="DS59" i="57"/>
  <c r="DU59" i="57" s="1"/>
  <c r="DV59" i="57"/>
  <c r="FO59" i="57" s="1"/>
  <c r="AB49" i="7" s="1"/>
  <c r="FI59" i="57"/>
  <c r="X49" i="7" s="1"/>
  <c r="DV75" i="57"/>
  <c r="FO75" i="57" s="1"/>
  <c r="AB65" i="7" s="1"/>
  <c r="DS75" i="57"/>
  <c r="DU75" i="57" s="1"/>
  <c r="FI75" i="57"/>
  <c r="X65" i="7" s="1"/>
  <c r="DS105" i="57"/>
  <c r="DU105" i="57" s="1"/>
  <c r="DV105" i="57"/>
  <c r="FO105" i="57" s="1"/>
  <c r="AB95" i="7" s="1"/>
  <c r="FI105" i="57"/>
  <c r="X95" i="7" s="1"/>
  <c r="DV53" i="57"/>
  <c r="FI53" i="57"/>
  <c r="X43" i="7" s="1"/>
  <c r="DS53" i="57"/>
  <c r="DU53" i="57" s="1"/>
  <c r="FN53" i="57" s="1"/>
  <c r="AA43" i="7" s="1"/>
  <c r="DS70" i="57"/>
  <c r="DU70" i="57" s="1"/>
  <c r="DV70" i="57"/>
  <c r="FO70" i="57" s="1"/>
  <c r="AB60" i="7" s="1"/>
  <c r="FI70" i="57"/>
  <c r="X60" i="7" s="1"/>
  <c r="DT85" i="57"/>
  <c r="DS85" i="57"/>
  <c r="DU85" i="57" s="1"/>
  <c r="DV85" i="57"/>
  <c r="DS95" i="57"/>
  <c r="DU95" i="57" s="1"/>
  <c r="FN95" i="57" s="1"/>
  <c r="AA85" i="7" s="1"/>
  <c r="DV95" i="57"/>
  <c r="FO95" i="57" s="1"/>
  <c r="AB85" i="7" s="1"/>
  <c r="DV108" i="57"/>
  <c r="FO108" i="57" s="1"/>
  <c r="AB98" i="7" s="1"/>
  <c r="FI108" i="57"/>
  <c r="X98" i="7" s="1"/>
  <c r="DS108" i="57"/>
  <c r="DU108" i="57" s="1"/>
  <c r="HK41" i="56"/>
  <c r="GC67" i="57"/>
  <c r="AJ57" i="7" s="1"/>
  <c r="GC52" i="57"/>
  <c r="AJ42" i="7" s="1"/>
  <c r="FO52" i="57"/>
  <c r="AB42" i="7" s="1"/>
  <c r="GC63" i="57"/>
  <c r="AJ53" i="7" s="1"/>
  <c r="GC44" i="57"/>
  <c r="AJ34" i="7" s="1"/>
  <c r="GC38" i="57"/>
  <c r="AJ28" i="7" s="1"/>
  <c r="GC58" i="57"/>
  <c r="AJ48" i="7" s="1"/>
  <c r="FO58" i="57"/>
  <c r="AB48" i="7" s="1"/>
  <c r="GC71" i="57"/>
  <c r="AJ61" i="7" s="1"/>
  <c r="GB1" i="56"/>
  <c r="BX13" i="7"/>
  <c r="BX15" i="7" s="1"/>
  <c r="EZ28" i="57"/>
  <c r="CQ61" i="57"/>
  <c r="CR61" i="57" s="1"/>
  <c r="GP12" i="70"/>
  <c r="EL12" i="70"/>
  <c r="EK38" i="70"/>
  <c r="CP28" i="7" s="1"/>
  <c r="EY60" i="70"/>
  <c r="CX50" i="7" s="1"/>
  <c r="EK60" i="70"/>
  <c r="CP50" i="7" s="1"/>
  <c r="L60" i="57"/>
  <c r="M60" i="57"/>
  <c r="GP75" i="70"/>
  <c r="DW65" i="7" s="1"/>
  <c r="EL75" i="70"/>
  <c r="CQ65" i="7" s="1"/>
  <c r="FM24" i="70"/>
  <c r="EY24" i="70"/>
  <c r="EZ72" i="70"/>
  <c r="CY62" i="7" s="1"/>
  <c r="FN78" i="70"/>
  <c r="DG68" i="7" s="1"/>
  <c r="GP78" i="70"/>
  <c r="DW68" i="7" s="1"/>
  <c r="GP64" i="70"/>
  <c r="DW54" i="7" s="1"/>
  <c r="FN64" i="70"/>
  <c r="DG54" i="7" s="1"/>
  <c r="GO60" i="70"/>
  <c r="DV50" i="7" s="1"/>
  <c r="FM60" i="70"/>
  <c r="DF50" i="7" s="1"/>
  <c r="FN40" i="70"/>
  <c r="DG30" i="7" s="1"/>
  <c r="EL40" i="70"/>
  <c r="CQ30" i="7" s="1"/>
  <c r="GO48" i="70"/>
  <c r="DV38" i="7" s="1"/>
  <c r="EK48" i="70"/>
  <c r="CP38" i="7" s="1"/>
  <c r="EY91" i="70"/>
  <c r="CX81" i="7" s="1"/>
  <c r="FN99" i="70"/>
  <c r="DG89" i="7" s="1"/>
  <c r="GP99" i="70"/>
  <c r="DW89" i="7" s="1"/>
  <c r="EY92" i="70"/>
  <c r="CX82" i="7" s="1"/>
  <c r="EN29" i="57"/>
  <c r="DG19" i="41"/>
  <c r="DH12" i="41"/>
  <c r="L68" i="57"/>
  <c r="EK68" i="57" s="1"/>
  <c r="J58" i="7" s="1"/>
  <c r="M68" i="57"/>
  <c r="EV51" i="57"/>
  <c r="Q41" i="7" s="1"/>
  <c r="GB41" i="57"/>
  <c r="AI31" i="7" s="1"/>
  <c r="EY81" i="56"/>
  <c r="BH71" i="7" s="1"/>
  <c r="GA87" i="57"/>
  <c r="AH77" i="7" s="1"/>
  <c r="FN57" i="56"/>
  <c r="BQ47" i="7" s="1"/>
  <c r="EL38" i="57"/>
  <c r="K28" i="7" s="1"/>
  <c r="GB38" i="57"/>
  <c r="AI28" i="7" s="1"/>
  <c r="EY92" i="56"/>
  <c r="BH82" i="7" s="1"/>
  <c r="EY10" i="56"/>
  <c r="BH130" i="7" s="1"/>
  <c r="GP58" i="56"/>
  <c r="CG48" i="7" s="1"/>
  <c r="EL97" i="56"/>
  <c r="BA87" i="7" s="1"/>
  <c r="GO4" i="70"/>
  <c r="GO2" i="70" s="1"/>
  <c r="DV1" i="7"/>
  <c r="GA49" i="57"/>
  <c r="AH39" i="7" s="1"/>
  <c r="GB79" i="57"/>
  <c r="AI69" i="7" s="1"/>
  <c r="EZ6" i="70"/>
  <c r="AB6" i="70"/>
  <c r="EZ18" i="56"/>
  <c r="EL31" i="56"/>
  <c r="BA21" i="7" s="1"/>
  <c r="EL91" i="70"/>
  <c r="CQ81" i="7" s="1"/>
  <c r="EL34" i="70"/>
  <c r="CQ24" i="7" s="1"/>
  <c r="CQ1" i="7"/>
  <c r="EL4" i="70"/>
  <c r="EL2" i="70" s="1"/>
  <c r="EL103" i="70"/>
  <c r="CQ93" i="7" s="1"/>
  <c r="DF109" i="70"/>
  <c r="DG109" i="70"/>
  <c r="EN94" i="70"/>
  <c r="CS84" i="7" s="1"/>
  <c r="EM21" i="70"/>
  <c r="CV1" i="7"/>
  <c r="EU4" i="70"/>
  <c r="EU2" i="70" s="1"/>
  <c r="BO107" i="57"/>
  <c r="BP107" i="57" s="1"/>
  <c r="BS107" i="57"/>
  <c r="CR88" i="56"/>
  <c r="GA88" i="56" s="1"/>
  <c r="BX78" i="7" s="1"/>
  <c r="CS88" i="56"/>
  <c r="EL88" i="56" s="1"/>
  <c r="BA78" i="7" s="1"/>
  <c r="EV79" i="57"/>
  <c r="Q69" i="7" s="1"/>
  <c r="DI79" i="57"/>
  <c r="GL79" i="57"/>
  <c r="AO69" i="7" s="1"/>
  <c r="EH79" i="57"/>
  <c r="I69" i="7" s="1"/>
  <c r="DE79" i="57"/>
  <c r="DF79" i="57" s="1"/>
  <c r="EV67" i="57"/>
  <c r="Q57" i="7" s="1"/>
  <c r="DI67" i="57"/>
  <c r="DE67" i="57"/>
  <c r="DF67" i="57" s="1"/>
  <c r="EY67" i="57" s="1"/>
  <c r="R57" i="7" s="1"/>
  <c r="EH67" i="57"/>
  <c r="I57" i="7" s="1"/>
  <c r="K73" i="57"/>
  <c r="L73" i="57" s="1"/>
  <c r="EK73" i="57" s="1"/>
  <c r="J63" i="7" s="1"/>
  <c r="M73" i="57"/>
  <c r="O73" i="57"/>
  <c r="EN73" i="57" s="1"/>
  <c r="M63" i="7" s="1"/>
  <c r="EH73" i="57"/>
  <c r="I63" i="7" s="1"/>
  <c r="DF87" i="56"/>
  <c r="DG87" i="56"/>
  <c r="EV76" i="57"/>
  <c r="Q66" i="7" s="1"/>
  <c r="CU76" i="57"/>
  <c r="FJ76" i="57"/>
  <c r="Y66" i="7" s="1"/>
  <c r="GL76" i="57"/>
  <c r="AO66" i="7" s="1"/>
  <c r="EH76" i="57"/>
  <c r="I66" i="7" s="1"/>
  <c r="CQ76" i="57"/>
  <c r="CR76" i="57" s="1"/>
  <c r="FJ85" i="57"/>
  <c r="Y75" i="7" s="1"/>
  <c r="CU85" i="57"/>
  <c r="GL85" i="57"/>
  <c r="AO75" i="7" s="1"/>
  <c r="EV85" i="57"/>
  <c r="Q75" i="7" s="1"/>
  <c r="EH85" i="57"/>
  <c r="I75" i="7" s="1"/>
  <c r="GA72" i="56"/>
  <c r="BX62" i="7" s="1"/>
  <c r="GA63" i="56"/>
  <c r="BX53" i="7" s="1"/>
  <c r="EK63" i="56"/>
  <c r="AZ53" i="7" s="1"/>
  <c r="GC23" i="56"/>
  <c r="EM23" i="56"/>
  <c r="FA23" i="56"/>
  <c r="GB24" i="56"/>
  <c r="EL24" i="56"/>
  <c r="EZ24" i="56"/>
  <c r="EK109" i="56"/>
  <c r="AZ99" i="7" s="1"/>
  <c r="GO109" i="56"/>
  <c r="CF99" i="7" s="1"/>
  <c r="GP90" i="56"/>
  <c r="CG80" i="7" s="1"/>
  <c r="EL90" i="56"/>
  <c r="BA80" i="7" s="1"/>
  <c r="GQ22" i="56"/>
  <c r="EM22" i="56"/>
  <c r="BQ95" i="56"/>
  <c r="BP95" i="56"/>
  <c r="CD102" i="56"/>
  <c r="CE102" i="56"/>
  <c r="FM88" i="56"/>
  <c r="BP78" i="7" s="1"/>
  <c r="BQ62" i="56"/>
  <c r="EZ62" i="56" s="1"/>
  <c r="BI52" i="7" s="1"/>
  <c r="BP62" i="56"/>
  <c r="EY62" i="56" s="1"/>
  <c r="BH52" i="7" s="1"/>
  <c r="HJ85" i="56"/>
  <c r="HK85" i="56"/>
  <c r="BQ50" i="56"/>
  <c r="EZ50" i="56" s="1"/>
  <c r="BI40" i="7" s="1"/>
  <c r="BP50" i="56"/>
  <c r="FO102" i="70"/>
  <c r="DH92" i="7" s="1"/>
  <c r="BB24" i="70"/>
  <c r="BC24" i="70"/>
  <c r="FP110" i="70"/>
  <c r="DI100" i="7" s="1"/>
  <c r="Z82" i="70"/>
  <c r="EY82" i="70" s="1"/>
  <c r="CX72" i="7" s="1"/>
  <c r="AA82" i="70"/>
  <c r="EZ82" i="70" s="1"/>
  <c r="CY72" i="7" s="1"/>
  <c r="DT38" i="70"/>
  <c r="FM38" i="70" s="1"/>
  <c r="DF28" i="7" s="1"/>
  <c r="DU38" i="70"/>
  <c r="FN38" i="70" s="1"/>
  <c r="DG28" i="7" s="1"/>
  <c r="GD92" i="56"/>
  <c r="CA82" i="7" s="1"/>
  <c r="FB92" i="56"/>
  <c r="BK82" i="7" s="1"/>
  <c r="EN92" i="56"/>
  <c r="BC82" i="7" s="1"/>
  <c r="EV47" i="57"/>
  <c r="Q37" i="7" s="1"/>
  <c r="DI47" i="57"/>
  <c r="GL47" i="57"/>
  <c r="AO37" i="7" s="1"/>
  <c r="DE47" i="57"/>
  <c r="DF47" i="57" s="1"/>
  <c r="EH47" i="57"/>
  <c r="I37" i="7" s="1"/>
  <c r="DI95" i="57"/>
  <c r="EV95" i="57"/>
  <c r="Q85" i="7" s="1"/>
  <c r="EH95" i="57"/>
  <c r="I85" i="7" s="1"/>
  <c r="DG95" i="57"/>
  <c r="DE95" i="57"/>
  <c r="DF95" i="57" s="1"/>
  <c r="EV62" i="57"/>
  <c r="Q52" i="7" s="1"/>
  <c r="DI62" i="57"/>
  <c r="EH62" i="57"/>
  <c r="I52" i="7" s="1"/>
  <c r="DE62" i="57"/>
  <c r="DF62" i="57" s="1"/>
  <c r="DG62" i="57"/>
  <c r="EH45" i="57"/>
  <c r="I35" i="7" s="1"/>
  <c r="M45" i="57"/>
  <c r="O45" i="57"/>
  <c r="EV98" i="57"/>
  <c r="Q88" i="7" s="1"/>
  <c r="FJ98" i="57"/>
  <c r="Y88" i="7" s="1"/>
  <c r="CU98" i="57"/>
  <c r="GL98" i="57"/>
  <c r="AO88" i="7" s="1"/>
  <c r="CQ98" i="57"/>
  <c r="CR98" i="57" s="1"/>
  <c r="EH98" i="57"/>
  <c r="I88" i="7" s="1"/>
  <c r="FJ66" i="57"/>
  <c r="Y56" i="7" s="1"/>
  <c r="CU66" i="57"/>
  <c r="EV66" i="57"/>
  <c r="Q56" i="7" s="1"/>
  <c r="GL66" i="57"/>
  <c r="AO56" i="7" s="1"/>
  <c r="EH66" i="57"/>
  <c r="I56" i="7" s="1"/>
  <c r="CQ66" i="57"/>
  <c r="CR66" i="57" s="1"/>
  <c r="EV108" i="57"/>
  <c r="Q98" i="7" s="1"/>
  <c r="CU108" i="57"/>
  <c r="CQ108" i="57"/>
  <c r="CR108" i="57" s="1"/>
  <c r="GL108" i="57"/>
  <c r="AO98" i="7" s="1"/>
  <c r="FJ108" i="57"/>
  <c r="Y98" i="7" s="1"/>
  <c r="EH108" i="57"/>
  <c r="I98" i="7" s="1"/>
  <c r="CU110" i="57"/>
  <c r="EV110" i="57"/>
  <c r="Q100" i="7" s="1"/>
  <c r="CQ110" i="57"/>
  <c r="CR110" i="57" s="1"/>
  <c r="GL110" i="57"/>
  <c r="AO100" i="7" s="1"/>
  <c r="EH110" i="57"/>
  <c r="I100" i="7" s="1"/>
  <c r="GL101" i="57"/>
  <c r="AO91" i="7" s="1"/>
  <c r="GC94" i="56"/>
  <c r="BZ84" i="7" s="1"/>
  <c r="FA94" i="56"/>
  <c r="BJ84" i="7" s="1"/>
  <c r="GA71" i="56"/>
  <c r="BX61" i="7" s="1"/>
  <c r="EY71" i="56"/>
  <c r="BH61" i="7" s="1"/>
  <c r="EK71" i="56"/>
  <c r="AZ61" i="7" s="1"/>
  <c r="EM87" i="56"/>
  <c r="BB77" i="7" s="1"/>
  <c r="GQ87" i="56"/>
  <c r="CH77" i="7" s="1"/>
  <c r="EK104" i="56"/>
  <c r="AZ94" i="7" s="1"/>
  <c r="FM104" i="56"/>
  <c r="BP94" i="7" s="1"/>
  <c r="GA104" i="56"/>
  <c r="BX94" i="7" s="1"/>
  <c r="CS40" i="56"/>
  <c r="CR40" i="56"/>
  <c r="EY100" i="56"/>
  <c r="BH90" i="7" s="1"/>
  <c r="FM100" i="56"/>
  <c r="BP90" i="7" s="1"/>
  <c r="GA100" i="56"/>
  <c r="BX90" i="7" s="1"/>
  <c r="GB68" i="56"/>
  <c r="BY58" i="7" s="1"/>
  <c r="FN68" i="56"/>
  <c r="BQ58" i="7" s="1"/>
  <c r="FO19" i="56"/>
  <c r="FA19" i="56"/>
  <c r="EM19" i="56"/>
  <c r="GC19" i="56"/>
  <c r="EM83" i="56"/>
  <c r="BB73" i="7" s="1"/>
  <c r="GQ83" i="56"/>
  <c r="CH73" i="7" s="1"/>
  <c r="FP10" i="57"/>
  <c r="AC130" i="7" s="1"/>
  <c r="CE50" i="57"/>
  <c r="GB50" i="57" s="1"/>
  <c r="AI40" i="7" s="1"/>
  <c r="CD50" i="57"/>
  <c r="GA50" i="57" s="1"/>
  <c r="AH40" i="7" s="1"/>
  <c r="DG35" i="56"/>
  <c r="AA79" i="57"/>
  <c r="Z79" i="57"/>
  <c r="BC109" i="56"/>
  <c r="DM6" i="57"/>
  <c r="FE6" i="57"/>
  <c r="BC16" i="56"/>
  <c r="BB16" i="56"/>
  <c r="FO102" i="56"/>
  <c r="BR92" i="7" s="1"/>
  <c r="GQ102" i="56"/>
  <c r="CH92" i="7" s="1"/>
  <c r="GQ84" i="56"/>
  <c r="CH74" i="7" s="1"/>
  <c r="FO84" i="56"/>
  <c r="BR74" i="7" s="1"/>
  <c r="CE25" i="56"/>
  <c r="CD25" i="56"/>
  <c r="CE21" i="56"/>
  <c r="CD21" i="56"/>
  <c r="FM92" i="56"/>
  <c r="BP82" i="7" s="1"/>
  <c r="GQ76" i="56"/>
  <c r="CH66" i="7" s="1"/>
  <c r="FO76" i="56"/>
  <c r="BR66" i="7" s="1"/>
  <c r="EK83" i="56"/>
  <c r="AZ73" i="7" s="1"/>
  <c r="BP82" i="56"/>
  <c r="EY82" i="56" s="1"/>
  <c r="BH72" i="7" s="1"/>
  <c r="BQ82" i="56"/>
  <c r="EZ82" i="56" s="1"/>
  <c r="BI72" i="7" s="1"/>
  <c r="FO87" i="56"/>
  <c r="BR77" i="7" s="1"/>
  <c r="DU67" i="56"/>
  <c r="DT67" i="56"/>
  <c r="FM67" i="56" s="1"/>
  <c r="BP57" i="7" s="1"/>
  <c r="BQ49" i="56"/>
  <c r="EZ49" i="56" s="1"/>
  <c r="BI39" i="7" s="1"/>
  <c r="BP49" i="56"/>
  <c r="EY49" i="56" s="1"/>
  <c r="BH39" i="7" s="1"/>
  <c r="BG1" i="7"/>
  <c r="EV4" i="56"/>
  <c r="EV2" i="56" s="1"/>
  <c r="BG14" i="7" s="1"/>
  <c r="BG15" i="7" s="1"/>
  <c r="AN29" i="56"/>
  <c r="FM29" i="56" s="1"/>
  <c r="AO29" i="56"/>
  <c r="FN29" i="56" s="1"/>
  <c r="EL105" i="56"/>
  <c r="BA95" i="7" s="1"/>
  <c r="DT15" i="56"/>
  <c r="FM15" i="56" s="1"/>
  <c r="DU15" i="56"/>
  <c r="FN15" i="56" s="1"/>
  <c r="FO86" i="56"/>
  <c r="BR76" i="7" s="1"/>
  <c r="FM30" i="56"/>
  <c r="BP20" i="7" s="1"/>
  <c r="BP68" i="56"/>
  <c r="EY68" i="56" s="1"/>
  <c r="BH58" i="7" s="1"/>
  <c r="BQ68" i="56"/>
  <c r="EZ68" i="56" s="1"/>
  <c r="BI58" i="7" s="1"/>
  <c r="HJ101" i="56"/>
  <c r="HK101" i="56"/>
  <c r="HJ69" i="56"/>
  <c r="HK69" i="56"/>
  <c r="HJ37" i="56"/>
  <c r="HK37" i="56"/>
  <c r="EK93" i="56"/>
  <c r="AZ83" i="7" s="1"/>
  <c r="AN107" i="56"/>
  <c r="FM107" i="56" s="1"/>
  <c r="BP97" i="7" s="1"/>
  <c r="AO107" i="56"/>
  <c r="FN107" i="56" s="1"/>
  <c r="BQ97" i="7" s="1"/>
  <c r="DU40" i="56"/>
  <c r="DT40" i="56"/>
  <c r="EZ15" i="56"/>
  <c r="AN97" i="56"/>
  <c r="FM97" i="56" s="1"/>
  <c r="BP87" i="7" s="1"/>
  <c r="AO97" i="56"/>
  <c r="FN97" i="56" s="1"/>
  <c r="BQ87" i="7" s="1"/>
  <c r="BQ26" i="56"/>
  <c r="EZ26" i="56" s="1"/>
  <c r="BP26" i="56"/>
  <c r="EY26" i="56" s="1"/>
  <c r="BP30" i="56"/>
  <c r="EY30" i="56" s="1"/>
  <c r="BH20" i="7" s="1"/>
  <c r="BQ30" i="56"/>
  <c r="EZ30" i="56" s="1"/>
  <c r="BI20" i="7" s="1"/>
  <c r="EZ14" i="56"/>
  <c r="Z39" i="56"/>
  <c r="AA39" i="56"/>
  <c r="BP99" i="56"/>
  <c r="EY99" i="56" s="1"/>
  <c r="BH89" i="7" s="1"/>
  <c r="BQ99" i="56"/>
  <c r="EZ99" i="56" s="1"/>
  <c r="BI89" i="7" s="1"/>
  <c r="Z91" i="56"/>
  <c r="AA91" i="56"/>
  <c r="EZ91" i="56" s="1"/>
  <c r="BI81" i="7" s="1"/>
  <c r="HK87" i="56"/>
  <c r="HK55" i="56"/>
  <c r="HK23" i="56"/>
  <c r="EY52" i="56"/>
  <c r="BH42" i="7" s="1"/>
  <c r="EL15" i="56"/>
  <c r="DU17" i="56"/>
  <c r="FN17" i="56" s="1"/>
  <c r="DT17" i="56"/>
  <c r="FM17" i="56" s="1"/>
  <c r="BP104" i="56"/>
  <c r="EY104" i="56" s="1"/>
  <c r="BH94" i="7" s="1"/>
  <c r="BQ104" i="56"/>
  <c r="EZ104" i="56" s="1"/>
  <c r="BI94" i="7" s="1"/>
  <c r="BP102" i="56"/>
  <c r="EY102" i="56" s="1"/>
  <c r="BH92" i="7" s="1"/>
  <c r="BQ102" i="56"/>
  <c r="EZ102" i="56" s="1"/>
  <c r="BI92" i="7" s="1"/>
  <c r="Z95" i="56"/>
  <c r="AA95" i="56"/>
  <c r="EY58" i="56"/>
  <c r="BH48" i="7" s="1"/>
  <c r="EY105" i="56"/>
  <c r="BH95" i="7" s="1"/>
  <c r="AO109" i="56"/>
  <c r="AN109" i="56"/>
  <c r="HK89" i="56"/>
  <c r="EZ16" i="56"/>
  <c r="FN16" i="56"/>
  <c r="GP88" i="56"/>
  <c r="CG78" i="7" s="1"/>
  <c r="AX6" i="56"/>
  <c r="GJ6" i="56"/>
  <c r="EF6" i="56"/>
  <c r="GB71" i="56"/>
  <c r="BY61" i="7" s="1"/>
  <c r="GB28" i="57"/>
  <c r="EL28" i="57"/>
  <c r="GB23" i="56"/>
  <c r="GB98" i="56"/>
  <c r="BY88" i="7" s="1"/>
  <c r="FN98" i="56"/>
  <c r="BQ88" i="7" s="1"/>
  <c r="GP17" i="57"/>
  <c r="FN17" i="57"/>
  <c r="EL17" i="57"/>
  <c r="EK78" i="56"/>
  <c r="AZ68" i="7" s="1"/>
  <c r="GO78" i="56"/>
  <c r="CF68" i="7" s="1"/>
  <c r="GB95" i="57"/>
  <c r="AI85" i="7" s="1"/>
  <c r="GA14" i="57"/>
  <c r="EK14" i="57"/>
  <c r="R1" i="7"/>
  <c r="EY4" i="57"/>
  <c r="GC28" i="57"/>
  <c r="EM28" i="57"/>
  <c r="DW27" i="57"/>
  <c r="DW26" i="57"/>
  <c r="DW28" i="57"/>
  <c r="DW29" i="57"/>
  <c r="DW25" i="57"/>
  <c r="FN94" i="57"/>
  <c r="AA84" i="7" s="1"/>
  <c r="GQ52" i="57"/>
  <c r="AR42" i="7" s="1"/>
  <c r="CA1" i="7"/>
  <c r="GD4" i="56"/>
  <c r="GD2" i="56" s="1"/>
  <c r="CA14" i="7" s="1"/>
  <c r="GA29" i="56"/>
  <c r="EK29" i="56"/>
  <c r="EY17" i="56"/>
  <c r="EK17" i="56"/>
  <c r="GA17" i="56"/>
  <c r="GB14" i="56"/>
  <c r="FN14" i="56"/>
  <c r="GB62" i="56"/>
  <c r="BY52" i="7" s="1"/>
  <c r="FN62" i="56"/>
  <c r="BQ52" i="7" s="1"/>
  <c r="GA89" i="56"/>
  <c r="BX79" i="7" s="1"/>
  <c r="EK89" i="56"/>
  <c r="AZ79" i="7" s="1"/>
  <c r="EZ91" i="57"/>
  <c r="S81" i="7" s="1"/>
  <c r="EZ20" i="57"/>
  <c r="DS42" i="57"/>
  <c r="DU42" i="57" s="1"/>
  <c r="DV42" i="57"/>
  <c r="FI42" i="57"/>
  <c r="X32" i="7" s="1"/>
  <c r="DV15" i="57"/>
  <c r="FO15" i="57" s="1"/>
  <c r="DS15" i="57"/>
  <c r="DU15" i="57" s="1"/>
  <c r="FN15" i="57" s="1"/>
  <c r="FI15" i="57"/>
  <c r="DT15" i="57"/>
  <c r="FM15" i="57" s="1"/>
  <c r="DS89" i="57"/>
  <c r="DU89" i="57" s="1"/>
  <c r="DV89" i="57"/>
  <c r="FO89" i="57" s="1"/>
  <c r="AB79" i="7" s="1"/>
  <c r="DT89" i="57"/>
  <c r="FI89" i="57"/>
  <c r="X79" i="7" s="1"/>
  <c r="DV90" i="57"/>
  <c r="FO90" i="57" s="1"/>
  <c r="AB80" i="7" s="1"/>
  <c r="DS90" i="57"/>
  <c r="DU90" i="57" s="1"/>
  <c r="FI90" i="57"/>
  <c r="X80" i="7" s="1"/>
  <c r="DV24" i="57"/>
  <c r="FO24" i="57" s="1"/>
  <c r="DS24" i="57"/>
  <c r="DU24" i="57" s="1"/>
  <c r="FI24" i="57"/>
  <c r="DT24" i="57"/>
  <c r="DV11" i="57"/>
  <c r="FO11" i="57" s="1"/>
  <c r="FI11" i="57"/>
  <c r="DS11" i="57"/>
  <c r="DU11" i="57" s="1"/>
  <c r="FN11" i="57" s="1"/>
  <c r="DS49" i="57"/>
  <c r="DU49" i="57" s="1"/>
  <c r="DV49" i="57"/>
  <c r="FI49" i="57"/>
  <c r="X39" i="7" s="1"/>
  <c r="DS74" i="57"/>
  <c r="DU74" i="57" s="1"/>
  <c r="DT74" i="57"/>
  <c r="DV74" i="57"/>
  <c r="DS101" i="57"/>
  <c r="DU101" i="57" s="1"/>
  <c r="DV101" i="57"/>
  <c r="FO101" i="57" s="1"/>
  <c r="AB91" i="7" s="1"/>
  <c r="FI101" i="57"/>
  <c r="X91" i="7" s="1"/>
  <c r="FI25" i="57"/>
  <c r="DS25" i="57"/>
  <c r="DU25" i="57" s="1"/>
  <c r="FN25" i="57" s="1"/>
  <c r="DT25" i="57"/>
  <c r="FM25" i="57" s="1"/>
  <c r="DV25" i="57"/>
  <c r="DV12" i="57"/>
  <c r="FO12" i="57" s="1"/>
  <c r="FI12" i="57"/>
  <c r="DS12" i="57"/>
  <c r="DU12" i="57" s="1"/>
  <c r="FN12" i="57" s="1"/>
  <c r="DS71" i="57"/>
  <c r="DU71" i="57" s="1"/>
  <c r="DV71" i="57"/>
  <c r="DS91" i="57"/>
  <c r="DU91" i="57" s="1"/>
  <c r="DV91" i="57"/>
  <c r="FO91" i="57" s="1"/>
  <c r="AB81" i="7" s="1"/>
  <c r="DV33" i="57"/>
  <c r="FO33" i="57" s="1"/>
  <c r="AB23" i="7" s="1"/>
  <c r="DS33" i="57"/>
  <c r="DU33" i="57" s="1"/>
  <c r="FI33" i="57"/>
  <c r="X23" i="7" s="1"/>
  <c r="DV77" i="57"/>
  <c r="DS77" i="57"/>
  <c r="DU77" i="57" s="1"/>
  <c r="DS32" i="57"/>
  <c r="DU32" i="57" s="1"/>
  <c r="DT32" i="57"/>
  <c r="DV32" i="57"/>
  <c r="FO32" i="57" s="1"/>
  <c r="AB22" i="7" s="1"/>
  <c r="FI32" i="57"/>
  <c r="X22" i="7" s="1"/>
  <c r="DV43" i="57"/>
  <c r="FO43" i="57" s="1"/>
  <c r="AB33" i="7" s="1"/>
  <c r="DS43" i="57"/>
  <c r="DU43" i="57" s="1"/>
  <c r="FI43" i="57"/>
  <c r="X33" i="7" s="1"/>
  <c r="DS47" i="57"/>
  <c r="DU47" i="57" s="1"/>
  <c r="DV47" i="57"/>
  <c r="DT47" i="57"/>
  <c r="DT65" i="57"/>
  <c r="DS65" i="57"/>
  <c r="DU65" i="57" s="1"/>
  <c r="DV65" i="57"/>
  <c r="FI65" i="57"/>
  <c r="X55" i="7" s="1"/>
  <c r="DS78" i="57"/>
  <c r="DU78" i="57" s="1"/>
  <c r="DV78" i="57"/>
  <c r="DV23" i="57"/>
  <c r="FO23" i="57" s="1"/>
  <c r="DT23" i="57"/>
  <c r="FM23" i="57" s="1"/>
  <c r="DS23" i="57"/>
  <c r="DU23" i="57" s="1"/>
  <c r="FN23" i="57" s="1"/>
  <c r="FI23" i="57"/>
  <c r="DS55" i="57"/>
  <c r="DU55" i="57" s="1"/>
  <c r="DV55" i="57"/>
  <c r="FO55" i="57" s="1"/>
  <c r="AB45" i="7" s="1"/>
  <c r="DV80" i="57"/>
  <c r="DS80" i="57"/>
  <c r="DU80" i="57" s="1"/>
  <c r="DT80" i="57"/>
  <c r="FI80" i="57"/>
  <c r="X70" i="7" s="1"/>
  <c r="DS88" i="57"/>
  <c r="DU88" i="57" s="1"/>
  <c r="DV88" i="57"/>
  <c r="FO88" i="57" s="1"/>
  <c r="AB78" i="7" s="1"/>
  <c r="FI88" i="57"/>
  <c r="X78" i="7" s="1"/>
  <c r="DS97" i="57"/>
  <c r="DU97" i="57" s="1"/>
  <c r="FN97" i="57" s="1"/>
  <c r="AA87" i="7" s="1"/>
  <c r="DV97" i="57"/>
  <c r="FO97" i="57" s="1"/>
  <c r="AB87" i="7" s="1"/>
  <c r="FI97" i="57"/>
  <c r="X87" i="7" s="1"/>
  <c r="DV107" i="57"/>
  <c r="FO107" i="57" s="1"/>
  <c r="AB97" i="7" s="1"/>
  <c r="DS107" i="57"/>
  <c r="DU107" i="57" s="1"/>
  <c r="FI107" i="57"/>
  <c r="X97" i="7" s="1"/>
  <c r="FN24" i="56"/>
  <c r="GC45" i="57"/>
  <c r="AJ35" i="7" s="1"/>
  <c r="FO45" i="57"/>
  <c r="AB35" i="7" s="1"/>
  <c r="GC69" i="57"/>
  <c r="AJ59" i="7" s="1"/>
  <c r="FO69" i="57"/>
  <c r="AB59" i="7" s="1"/>
  <c r="GC42" i="57"/>
  <c r="AJ32" i="7" s="1"/>
  <c r="FO42" i="57"/>
  <c r="AB32" i="7" s="1"/>
  <c r="FO40" i="57"/>
  <c r="AB30" i="7" s="1"/>
  <c r="GC47" i="57"/>
  <c r="AJ37" i="7" s="1"/>
  <c r="GC53" i="57"/>
  <c r="AJ43" i="7" s="1"/>
  <c r="FO53" i="57"/>
  <c r="AB43" i="7" s="1"/>
  <c r="GC65" i="57"/>
  <c r="AJ55" i="7" s="1"/>
  <c r="FO65" i="57"/>
  <c r="AB55" i="7" s="1"/>
  <c r="GA62" i="57"/>
  <c r="AH52" i="7" s="1"/>
  <c r="EK90" i="56"/>
  <c r="AZ80" i="7" s="1"/>
  <c r="GC55" i="57"/>
  <c r="AJ45" i="7" s="1"/>
  <c r="GB85" i="57"/>
  <c r="AI75" i="7" s="1"/>
  <c r="EL38" i="70"/>
  <c r="CQ28" i="7" s="1"/>
  <c r="FM42" i="70"/>
  <c r="DF32" i="7" s="1"/>
  <c r="GO42" i="70"/>
  <c r="DV32" i="7" s="1"/>
  <c r="EZ92" i="70"/>
  <c r="CY82" i="7" s="1"/>
  <c r="EZ78" i="70"/>
  <c r="CY68" i="7" s="1"/>
  <c r="GP97" i="70"/>
  <c r="DW87" i="7" s="1"/>
  <c r="EL97" i="70"/>
  <c r="CQ87" i="7" s="1"/>
  <c r="FM45" i="70"/>
  <c r="DF35" i="7" s="1"/>
  <c r="EK45" i="70"/>
  <c r="CP35" i="7" s="1"/>
  <c r="EL63" i="70"/>
  <c r="CQ53" i="7" s="1"/>
  <c r="GP83" i="70"/>
  <c r="DW73" i="7" s="1"/>
  <c r="FN83" i="70"/>
  <c r="DG73" i="7" s="1"/>
  <c r="EY26" i="70"/>
  <c r="EZ24" i="70"/>
  <c r="FN24" i="70"/>
  <c r="FN70" i="70"/>
  <c r="DG60" i="7" s="1"/>
  <c r="GP70" i="70"/>
  <c r="DW60" i="7" s="1"/>
  <c r="EZ63" i="70"/>
  <c r="CY53" i="7" s="1"/>
  <c r="GO68" i="70"/>
  <c r="DV58" i="7" s="1"/>
  <c r="FM68" i="70"/>
  <c r="DF58" i="7" s="1"/>
  <c r="FN60" i="70"/>
  <c r="DG50" i="7" s="1"/>
  <c r="GP60" i="70"/>
  <c r="DW50" i="7" s="1"/>
  <c r="EY18" i="70"/>
  <c r="EK40" i="70"/>
  <c r="CP30" i="7" s="1"/>
  <c r="FM40" i="70"/>
  <c r="DF30" i="7" s="1"/>
  <c r="EY45" i="70"/>
  <c r="CX35" i="7" s="1"/>
  <c r="GA80" i="56"/>
  <c r="BX70" i="7" s="1"/>
  <c r="EK80" i="56"/>
  <c r="AZ70" i="7" s="1"/>
  <c r="FP51" i="57"/>
  <c r="AC41" i="7" s="1"/>
  <c r="EZ17" i="56"/>
  <c r="GB37" i="57"/>
  <c r="AI27" i="7" s="1"/>
  <c r="FN23" i="56"/>
  <c r="EK28" i="57"/>
  <c r="EZ23" i="56"/>
  <c r="EL14" i="56"/>
  <c r="FI74" i="57"/>
  <c r="X64" i="7" s="1"/>
  <c r="GB46" i="57"/>
  <c r="AI36" i="7" s="1"/>
  <c r="EZ37" i="57"/>
  <c r="S27" i="7" s="1"/>
  <c r="FM57" i="56"/>
  <c r="BP47" i="7" s="1"/>
  <c r="EL50" i="56"/>
  <c r="BA40" i="7" s="1"/>
  <c r="M97" i="57"/>
  <c r="EL97" i="57" s="1"/>
  <c r="K87" i="7" s="1"/>
  <c r="GP69" i="70"/>
  <c r="DW59" i="7" s="1"/>
  <c r="GP33" i="70"/>
  <c r="DW23" i="7" s="1"/>
  <c r="GP39" i="70"/>
  <c r="DW29" i="7" s="1"/>
  <c r="GP73" i="70"/>
  <c r="DW63" i="7" s="1"/>
  <c r="GP98" i="70"/>
  <c r="DW88" i="7" s="1"/>
  <c r="GP93" i="70"/>
  <c r="DW83" i="7" s="1"/>
  <c r="GP44" i="70"/>
  <c r="DW34" i="7" s="1"/>
  <c r="GP41" i="70"/>
  <c r="DW31" i="7" s="1"/>
  <c r="GP53" i="70"/>
  <c r="DW43" i="7" s="1"/>
  <c r="GP17" i="70"/>
  <c r="GP13" i="70"/>
  <c r="GP67" i="70"/>
  <c r="DW57" i="7" s="1"/>
  <c r="GP11" i="70"/>
  <c r="GP61" i="70"/>
  <c r="DW51" i="7" s="1"/>
  <c r="GP49" i="70"/>
  <c r="DW39" i="7" s="1"/>
  <c r="GP29" i="70"/>
  <c r="GP82" i="70"/>
  <c r="DW72" i="7" s="1"/>
  <c r="GP23" i="70"/>
  <c r="GP107" i="70"/>
  <c r="DW97" i="7" s="1"/>
  <c r="GP74" i="70"/>
  <c r="DW64" i="7" s="1"/>
  <c r="GP48" i="70"/>
  <c r="DW38" i="7" s="1"/>
  <c r="GP45" i="70"/>
  <c r="DW35" i="7" s="1"/>
  <c r="GP106" i="70"/>
  <c r="DW96" i="7" s="1"/>
  <c r="GP58" i="70"/>
  <c r="DW48" i="7" s="1"/>
  <c r="GP76" i="70"/>
  <c r="DW66" i="7" s="1"/>
  <c r="GP92" i="70"/>
  <c r="DW82" i="7" s="1"/>
  <c r="GP87" i="70"/>
  <c r="DW77" i="7" s="1"/>
  <c r="GP71" i="70"/>
  <c r="DW61" i="7" s="1"/>
  <c r="GP109" i="70"/>
  <c r="DW99" i="7" s="1"/>
  <c r="GP35" i="70"/>
  <c r="DW25" i="7" s="1"/>
  <c r="GP16" i="70"/>
  <c r="GP85" i="70"/>
  <c r="DW75" i="7" s="1"/>
  <c r="GP10" i="70"/>
  <c r="DW130" i="7" s="1"/>
  <c r="GP47" i="70"/>
  <c r="DW37" i="7" s="1"/>
  <c r="GP104" i="70"/>
  <c r="DW94" i="7" s="1"/>
  <c r="GP37" i="70"/>
  <c r="DW27" i="7" s="1"/>
  <c r="GP57" i="70"/>
  <c r="DW47" i="7" s="1"/>
  <c r="GP51" i="70"/>
  <c r="DW41" i="7" s="1"/>
  <c r="GP34" i="70"/>
  <c r="DW24" i="7" s="1"/>
  <c r="GP52" i="70"/>
  <c r="DW42" i="7" s="1"/>
  <c r="GP40" i="70"/>
  <c r="DW30" i="7" s="1"/>
  <c r="GP66" i="70"/>
  <c r="DW56" i="7" s="1"/>
  <c r="GP36" i="70"/>
  <c r="DW26" i="7" s="1"/>
  <c r="GP84" i="70"/>
  <c r="DW74" i="7" s="1"/>
  <c r="GP55" i="70"/>
  <c r="DW45" i="7" s="1"/>
  <c r="GP94" i="70"/>
  <c r="DW84" i="7" s="1"/>
  <c r="GP88" i="70"/>
  <c r="DW78" i="7" s="1"/>
  <c r="GP96" i="70"/>
  <c r="DW86" i="7" s="1"/>
  <c r="GP43" i="70"/>
  <c r="DW33" i="7" s="1"/>
  <c r="GQ8" i="70"/>
  <c r="GP56" i="70"/>
  <c r="DW46" i="7" s="1"/>
  <c r="GP46" i="70"/>
  <c r="DW36" i="7" s="1"/>
  <c r="GP50" i="70"/>
  <c r="DW40" i="7" s="1"/>
  <c r="GP105" i="70"/>
  <c r="DW95" i="7" s="1"/>
  <c r="GP28" i="70"/>
  <c r="GP72" i="70"/>
  <c r="DW62" i="7" s="1"/>
  <c r="GP20" i="70"/>
  <c r="GP95" i="70"/>
  <c r="DW85" i="7" s="1"/>
  <c r="GP79" i="70"/>
  <c r="DW69" i="7" s="1"/>
  <c r="GP89" i="70"/>
  <c r="DW79" i="7" s="1"/>
  <c r="GP54" i="70"/>
  <c r="DW44" i="7" s="1"/>
  <c r="GP77" i="70"/>
  <c r="DW67" i="7" s="1"/>
  <c r="GP80" i="70"/>
  <c r="DW70" i="7" s="1"/>
  <c r="GP59" i="70"/>
  <c r="DW49" i="7" s="1"/>
  <c r="GP101" i="70"/>
  <c r="DW91" i="7" s="1"/>
  <c r="GP86" i="70"/>
  <c r="DW76" i="7" s="1"/>
  <c r="GP27" i="70"/>
  <c r="GP25" i="70"/>
  <c r="GP21" i="70"/>
  <c r="GP108" i="70"/>
  <c r="DW98" i="7" s="1"/>
  <c r="GP90" i="70"/>
  <c r="DW80" i="7" s="1"/>
  <c r="GP30" i="70"/>
  <c r="DW20" i="7" s="1"/>
  <c r="GP14" i="70"/>
  <c r="GP91" i="70"/>
  <c r="DW81" i="7" s="1"/>
  <c r="GP26" i="70"/>
  <c r="GP15" i="70"/>
  <c r="GP81" i="70"/>
  <c r="DW71" i="7" s="1"/>
  <c r="GP31" i="70"/>
  <c r="DW21" i="7" s="1"/>
  <c r="GP110" i="70"/>
  <c r="DW100" i="7" s="1"/>
  <c r="GP65" i="70"/>
  <c r="DW55" i="7" s="1"/>
  <c r="GP3" i="70"/>
  <c r="GP6" i="70"/>
  <c r="EZ10" i="56"/>
  <c r="BI130" i="7" s="1"/>
  <c r="EK26" i="70"/>
  <c r="EW6" i="70"/>
  <c r="FK6" i="70"/>
  <c r="DS6" i="70"/>
  <c r="GB99" i="57"/>
  <c r="AI89" i="7" s="1"/>
  <c r="FB105" i="70"/>
  <c r="DA95" i="7" s="1"/>
  <c r="EN105" i="70"/>
  <c r="CS95" i="7" s="1"/>
  <c r="DV9" i="70"/>
  <c r="DW9" i="70"/>
  <c r="DE1" i="7"/>
  <c r="FJ4" i="70"/>
  <c r="FJ2" i="70" s="1"/>
  <c r="CR78" i="57"/>
  <c r="CQ78" i="57"/>
  <c r="CS78" i="57" s="1"/>
  <c r="FI78" i="57"/>
  <c r="X68" i="7" s="1"/>
  <c r="CT78" i="57"/>
  <c r="GK78" i="57"/>
  <c r="AN68" i="7" s="1"/>
  <c r="EU78" i="57"/>
  <c r="P68" i="7" s="1"/>
  <c r="EG78" i="57"/>
  <c r="H68" i="7" s="1"/>
  <c r="GL41" i="57"/>
  <c r="AO31" i="7" s="1"/>
  <c r="DI41" i="57"/>
  <c r="EV41" i="57"/>
  <c r="Q31" i="7" s="1"/>
  <c r="DE41" i="57"/>
  <c r="DF41" i="57" s="1"/>
  <c r="EH41" i="57"/>
  <c r="I31" i="7" s="1"/>
  <c r="EV69" i="57"/>
  <c r="Q59" i="7" s="1"/>
  <c r="DI69" i="57"/>
  <c r="DE69" i="57"/>
  <c r="DF69" i="57" s="1"/>
  <c r="EH69" i="57"/>
  <c r="I59" i="7" s="1"/>
  <c r="EV93" i="57"/>
  <c r="Q83" i="7" s="1"/>
  <c r="DI93" i="57"/>
  <c r="GL93" i="57"/>
  <c r="AO83" i="7" s="1"/>
  <c r="DE93" i="57"/>
  <c r="DF93" i="57" s="1"/>
  <c r="EH93" i="57"/>
  <c r="I83" i="7" s="1"/>
  <c r="DI51" i="57"/>
  <c r="GR51" i="57" s="1"/>
  <c r="AS41" i="7" s="1"/>
  <c r="DE51" i="57"/>
  <c r="DF51" i="57" s="1"/>
  <c r="K36" i="57"/>
  <c r="L36" i="57" s="1"/>
  <c r="O36" i="57"/>
  <c r="EN36" i="57" s="1"/>
  <c r="M26" i="7" s="1"/>
  <c r="EH36" i="57"/>
  <c r="I26" i="7" s="1"/>
  <c r="FJ104" i="57"/>
  <c r="Y94" i="7" s="1"/>
  <c r="CU104" i="57"/>
  <c r="EV104" i="57"/>
  <c r="Q94" i="7" s="1"/>
  <c r="GL104" i="57"/>
  <c r="AO94" i="7" s="1"/>
  <c r="CQ104" i="57"/>
  <c r="CR104" i="57" s="1"/>
  <c r="EY104" i="57" s="1"/>
  <c r="R94" i="7" s="1"/>
  <c r="EV63" i="57"/>
  <c r="Q53" i="7" s="1"/>
  <c r="FJ63" i="57"/>
  <c r="Y53" i="7" s="1"/>
  <c r="CU63" i="57"/>
  <c r="GL63" i="57"/>
  <c r="AO53" i="7" s="1"/>
  <c r="EH63" i="57"/>
  <c r="I53" i="7" s="1"/>
  <c r="GL103" i="57"/>
  <c r="AO93" i="7" s="1"/>
  <c r="CQ103" i="57"/>
  <c r="CR103" i="57" s="1"/>
  <c r="EY103" i="57" s="1"/>
  <c r="R93" i="7" s="1"/>
  <c r="FJ103" i="57"/>
  <c r="Y93" i="7" s="1"/>
  <c r="EV103" i="57"/>
  <c r="Q93" i="7" s="1"/>
  <c r="CU103" i="57"/>
  <c r="DH90" i="57"/>
  <c r="GQ90" i="57" s="1"/>
  <c r="AR80" i="7" s="1"/>
  <c r="DE90" i="57"/>
  <c r="DG90" i="57" s="1"/>
  <c r="EG90" i="57"/>
  <c r="H80" i="7" s="1"/>
  <c r="GK90" i="57"/>
  <c r="AN80" i="7" s="1"/>
  <c r="EU90" i="57"/>
  <c r="P80" i="7" s="1"/>
  <c r="EN104" i="56"/>
  <c r="BC94" i="7" s="1"/>
  <c r="GD104" i="56"/>
  <c r="CA94" i="7" s="1"/>
  <c r="GD12" i="56"/>
  <c r="EN12" i="56"/>
  <c r="FB12" i="56"/>
  <c r="FB100" i="56"/>
  <c r="BK90" i="7" s="1"/>
  <c r="EN100" i="56"/>
  <c r="BC90" i="7" s="1"/>
  <c r="GD100" i="56"/>
  <c r="CA90" i="7" s="1"/>
  <c r="EZ13" i="56"/>
  <c r="EL13" i="56"/>
  <c r="CE24" i="57"/>
  <c r="FN24" i="57" s="1"/>
  <c r="CD24" i="57"/>
  <c r="FM24" i="57" s="1"/>
  <c r="BQ36" i="57"/>
  <c r="BP36" i="57"/>
  <c r="EM105" i="56"/>
  <c r="BB95" i="7" s="1"/>
  <c r="GQ105" i="56"/>
  <c r="CH95" i="7" s="1"/>
  <c r="AO130" i="7"/>
  <c r="BB12" i="56"/>
  <c r="BC12" i="56"/>
  <c r="Z107" i="56"/>
  <c r="EY107" i="56" s="1"/>
  <c r="BH97" i="7" s="1"/>
  <c r="AA107" i="56"/>
  <c r="EZ107" i="56" s="1"/>
  <c r="BI97" i="7" s="1"/>
  <c r="DT72" i="56"/>
  <c r="FM72" i="56" s="1"/>
  <c r="BP62" i="7" s="1"/>
  <c r="DU72" i="56"/>
  <c r="FN72" i="56" s="1"/>
  <c r="BQ62" i="7" s="1"/>
  <c r="AN85" i="56"/>
  <c r="FM85" i="56" s="1"/>
  <c r="BP75" i="7" s="1"/>
  <c r="AO85" i="56"/>
  <c r="FN85" i="56" s="1"/>
  <c r="BQ75" i="7" s="1"/>
  <c r="BS9" i="56"/>
  <c r="BR9" i="56"/>
  <c r="HJ53" i="56"/>
  <c r="HK53" i="56"/>
  <c r="HJ21" i="56"/>
  <c r="HK21" i="56"/>
  <c r="Z102" i="70"/>
  <c r="EY102" i="70" s="1"/>
  <c r="CX92" i="7" s="1"/>
  <c r="AA102" i="70"/>
  <c r="EZ102" i="70" s="1"/>
  <c r="CY92" i="7" s="1"/>
  <c r="FP105" i="70"/>
  <c r="DI95" i="7" s="1"/>
  <c r="Z59" i="70"/>
  <c r="EY59" i="70" s="1"/>
  <c r="CX49" i="7" s="1"/>
  <c r="AA59" i="70"/>
  <c r="EZ59" i="70" s="1"/>
  <c r="CY49" i="7" s="1"/>
  <c r="BQ88" i="70"/>
  <c r="EZ88" i="70" s="1"/>
  <c r="CY78" i="7" s="1"/>
  <c r="BP88" i="70"/>
  <c r="EY88" i="70" s="1"/>
  <c r="CX78" i="7" s="1"/>
  <c r="AN26" i="70"/>
  <c r="FM26" i="70" s="1"/>
  <c r="AO26" i="70"/>
  <c r="FN26" i="70" s="1"/>
  <c r="DT15" i="70"/>
  <c r="FM15" i="70" s="1"/>
  <c r="DU15" i="70"/>
  <c r="FN15" i="70" s="1"/>
  <c r="GQ20" i="70"/>
  <c r="CQ47" i="57"/>
  <c r="CS47" i="57" s="1"/>
  <c r="CT47" i="57"/>
  <c r="FI47" i="57"/>
  <c r="X37" i="7" s="1"/>
  <c r="GK47" i="57"/>
  <c r="AN37" i="7" s="1"/>
  <c r="EG47" i="57"/>
  <c r="H37" i="7" s="1"/>
  <c r="EU47" i="57"/>
  <c r="P37" i="7" s="1"/>
  <c r="FI71" i="57"/>
  <c r="X61" i="7" s="1"/>
  <c r="CT71" i="57"/>
  <c r="CR71" i="57"/>
  <c r="CQ71" i="57"/>
  <c r="CS71" i="57" s="1"/>
  <c r="EU71" i="57"/>
  <c r="P61" i="7" s="1"/>
  <c r="EG71" i="57"/>
  <c r="H61" i="7" s="1"/>
  <c r="GK71" i="57"/>
  <c r="AN61" i="7" s="1"/>
  <c r="FJ109" i="57"/>
  <c r="Y99" i="7" s="1"/>
  <c r="FX109" i="57"/>
  <c r="AG99" i="7" s="1"/>
  <c r="CG109" i="57"/>
  <c r="CC109" i="57"/>
  <c r="CD109" i="57" s="1"/>
  <c r="DI35" i="57"/>
  <c r="EV35" i="57"/>
  <c r="Q25" i="7" s="1"/>
  <c r="GL35" i="57"/>
  <c r="AO25" i="7" s="1"/>
  <c r="DE35" i="57"/>
  <c r="DF35" i="57" s="1"/>
  <c r="EH35" i="57"/>
  <c r="I25" i="7" s="1"/>
  <c r="EV75" i="57"/>
  <c r="Q65" i="7" s="1"/>
  <c r="DI75" i="57"/>
  <c r="GL75" i="57"/>
  <c r="AO65" i="7" s="1"/>
  <c r="EH75" i="57"/>
  <c r="I65" i="7" s="1"/>
  <c r="DE75" i="57"/>
  <c r="DF75" i="57" s="1"/>
  <c r="EV52" i="57"/>
  <c r="Q42" i="7" s="1"/>
  <c r="DI52" i="57"/>
  <c r="GR52" i="57" s="1"/>
  <c r="AS42" i="7" s="1"/>
  <c r="DE52" i="57"/>
  <c r="DF52" i="57" s="1"/>
  <c r="EV87" i="57"/>
  <c r="Q77" i="7" s="1"/>
  <c r="DI87" i="57"/>
  <c r="GL87" i="57"/>
  <c r="AO77" i="7" s="1"/>
  <c r="EH87" i="57"/>
  <c r="I77" i="7" s="1"/>
  <c r="DE87" i="57"/>
  <c r="DF87" i="57" s="1"/>
  <c r="EV81" i="57"/>
  <c r="Q71" i="7" s="1"/>
  <c r="DI81" i="57"/>
  <c r="GR81" i="57" s="1"/>
  <c r="AS71" i="7" s="1"/>
  <c r="GL81" i="57"/>
  <c r="AO71" i="7" s="1"/>
  <c r="DE81" i="57"/>
  <c r="DF81" i="57" s="1"/>
  <c r="DI50" i="57"/>
  <c r="GL50" i="57"/>
  <c r="AO40" i="7" s="1"/>
  <c r="EV50" i="57"/>
  <c r="Q40" i="7" s="1"/>
  <c r="DE50" i="57"/>
  <c r="DF50" i="57" s="1"/>
  <c r="EH50" i="57"/>
  <c r="I40" i="7" s="1"/>
  <c r="O43" i="57"/>
  <c r="EN43" i="57" s="1"/>
  <c r="M33" i="7" s="1"/>
  <c r="K43" i="57"/>
  <c r="L43" i="57" s="1"/>
  <c r="EK43" i="57" s="1"/>
  <c r="J33" i="7" s="1"/>
  <c r="EH43" i="57"/>
  <c r="I33" i="7" s="1"/>
  <c r="K52" i="57"/>
  <c r="L52" i="57" s="1"/>
  <c r="O52" i="57"/>
  <c r="EH52" i="57"/>
  <c r="I42" i="7" s="1"/>
  <c r="K104" i="57"/>
  <c r="L104" i="57" s="1"/>
  <c r="O104" i="57"/>
  <c r="EN104" i="57" s="1"/>
  <c r="M94" i="7" s="1"/>
  <c r="EH104" i="57"/>
  <c r="I94" i="7" s="1"/>
  <c r="GL42" i="57"/>
  <c r="AO32" i="7" s="1"/>
  <c r="EV42" i="57"/>
  <c r="Q32" i="7" s="1"/>
  <c r="CU42" i="57"/>
  <c r="FJ42" i="57"/>
  <c r="Y32" i="7" s="1"/>
  <c r="CQ42" i="57"/>
  <c r="CR42" i="57" s="1"/>
  <c r="EH42" i="57"/>
  <c r="I32" i="7" s="1"/>
  <c r="EV46" i="57"/>
  <c r="Q36" i="7" s="1"/>
  <c r="CU46" i="57"/>
  <c r="GL46" i="57"/>
  <c r="AO36" i="7" s="1"/>
  <c r="FJ46" i="57"/>
  <c r="Y36" i="7" s="1"/>
  <c r="CQ46" i="57"/>
  <c r="CR46" i="57" s="1"/>
  <c r="CS46" i="57"/>
  <c r="GP46" i="57" s="1"/>
  <c r="AQ36" i="7" s="1"/>
  <c r="FJ80" i="57"/>
  <c r="Y70" i="7" s="1"/>
  <c r="CU80" i="57"/>
  <c r="EV80" i="57"/>
  <c r="Q70" i="7" s="1"/>
  <c r="GL80" i="57"/>
  <c r="AO70" i="7" s="1"/>
  <c r="EH80" i="57"/>
  <c r="I70" i="7" s="1"/>
  <c r="CQ80" i="57"/>
  <c r="CR80" i="57" s="1"/>
  <c r="GL60" i="57"/>
  <c r="AO50" i="7" s="1"/>
  <c r="EV60" i="57"/>
  <c r="Q50" i="7" s="1"/>
  <c r="CU60" i="57"/>
  <c r="FJ60" i="57"/>
  <c r="Y50" i="7" s="1"/>
  <c r="CQ60" i="57"/>
  <c r="CR60" i="57" s="1"/>
  <c r="EH60" i="57"/>
  <c r="I50" i="7" s="1"/>
  <c r="EV89" i="57"/>
  <c r="Q79" i="7" s="1"/>
  <c r="CU89" i="57"/>
  <c r="GL89" i="57"/>
  <c r="AO79" i="7" s="1"/>
  <c r="FJ89" i="57"/>
  <c r="Y79" i="7" s="1"/>
  <c r="CQ89" i="57"/>
  <c r="CR89" i="57" s="1"/>
  <c r="CS89" i="57"/>
  <c r="EH89" i="57"/>
  <c r="I79" i="7" s="1"/>
  <c r="GL72" i="57"/>
  <c r="AO62" i="7" s="1"/>
  <c r="EV72" i="57"/>
  <c r="Q62" i="7" s="1"/>
  <c r="CU72" i="57"/>
  <c r="FJ72" i="57"/>
  <c r="Y62" i="7" s="1"/>
  <c r="CQ72" i="57"/>
  <c r="CR72" i="57" s="1"/>
  <c r="DE55" i="57"/>
  <c r="DG55" i="57" s="1"/>
  <c r="DH55" i="57"/>
  <c r="EM55" i="57" s="1"/>
  <c r="L45" i="7" s="1"/>
  <c r="EU55" i="57"/>
  <c r="P45" i="7" s="1"/>
  <c r="EM20" i="70"/>
  <c r="CE102" i="70"/>
  <c r="FN102" i="70" s="1"/>
  <c r="DG92" i="7" s="1"/>
  <c r="CD102" i="70"/>
  <c r="EL102" i="70"/>
  <c r="CQ92" i="7" s="1"/>
  <c r="FO82" i="70"/>
  <c r="DH72" i="7" s="1"/>
  <c r="EM82" i="70"/>
  <c r="CR72" i="7" s="1"/>
  <c r="GQ108" i="70"/>
  <c r="DX98" i="7" s="1"/>
  <c r="EM108" i="70"/>
  <c r="CR98" i="7" s="1"/>
  <c r="CD22" i="70"/>
  <c r="CE22" i="70"/>
  <c r="DU66" i="70"/>
  <c r="FN66" i="70" s="1"/>
  <c r="DG56" i="7" s="1"/>
  <c r="DT66" i="70"/>
  <c r="FM66" i="70" s="1"/>
  <c r="DF56" i="7" s="1"/>
  <c r="CR22" i="70"/>
  <c r="CS22" i="70"/>
  <c r="M106" i="70"/>
  <c r="EL106" i="70" s="1"/>
  <c r="CQ96" i="7" s="1"/>
  <c r="L83" i="70"/>
  <c r="EK83" i="70" s="1"/>
  <c r="CP73" i="7" s="1"/>
  <c r="M83" i="70"/>
  <c r="EL83" i="70" s="1"/>
  <c r="CQ73" i="7" s="1"/>
  <c r="DH9" i="70"/>
  <c r="DI9" i="70"/>
  <c r="FM19" i="70"/>
  <c r="GO19" i="70"/>
  <c r="CS37" i="70"/>
  <c r="CR37" i="70"/>
  <c r="EY37" i="70" s="1"/>
  <c r="CX27" i="7" s="1"/>
  <c r="EN15" i="70"/>
  <c r="DM1" i="7"/>
  <c r="FX4" i="70"/>
  <c r="FX2" i="70" s="1"/>
  <c r="AN103" i="70"/>
  <c r="FM103" i="70" s="1"/>
  <c r="DF93" i="7" s="1"/>
  <c r="AO103" i="70"/>
  <c r="FN103" i="70" s="1"/>
  <c r="DG93" i="7" s="1"/>
  <c r="CW20" i="41"/>
  <c r="FS18" i="38"/>
  <c r="CR99" i="57"/>
  <c r="CQ99" i="57"/>
  <c r="CS99" i="57" s="1"/>
  <c r="CT99" i="57"/>
  <c r="EG99" i="57"/>
  <c r="H89" i="7" s="1"/>
  <c r="GK99" i="57"/>
  <c r="AN89" i="7" s="1"/>
  <c r="EU99" i="57"/>
  <c r="P89" i="7" s="1"/>
  <c r="CQ63" i="57"/>
  <c r="CS63" i="57" s="1"/>
  <c r="FI63" i="57"/>
  <c r="X53" i="7" s="1"/>
  <c r="CT63" i="57"/>
  <c r="FO63" i="57" s="1"/>
  <c r="AB53" i="7" s="1"/>
  <c r="CR63" i="57"/>
  <c r="EK63" i="57" s="1"/>
  <c r="J53" i="7" s="1"/>
  <c r="GK63" i="57"/>
  <c r="AN53" i="7" s="1"/>
  <c r="EU63" i="57"/>
  <c r="P53" i="7" s="1"/>
  <c r="EG63" i="57"/>
  <c r="H53" i="7" s="1"/>
  <c r="CC110" i="57"/>
  <c r="CD110" i="57" s="1"/>
  <c r="CG110" i="57"/>
  <c r="FX110" i="57"/>
  <c r="AG100" i="7" s="1"/>
  <c r="FJ110" i="57"/>
  <c r="Y100" i="7" s="1"/>
  <c r="GL44" i="57"/>
  <c r="AO34" i="7" s="1"/>
  <c r="DE44" i="57"/>
  <c r="DF44" i="57" s="1"/>
  <c r="DG44" i="57"/>
  <c r="GP44" i="57" s="1"/>
  <c r="AQ34" i="7" s="1"/>
  <c r="EV44" i="57"/>
  <c r="Q34" i="7" s="1"/>
  <c r="DI44" i="57"/>
  <c r="EH44" i="57"/>
  <c r="I34" i="7" s="1"/>
  <c r="EV30" i="57"/>
  <c r="Q20" i="7" s="1"/>
  <c r="DI30" i="57"/>
  <c r="GL30" i="57"/>
  <c r="AO20" i="7" s="1"/>
  <c r="DE30" i="57"/>
  <c r="DF30" i="57" s="1"/>
  <c r="DG30" i="57"/>
  <c r="EH30" i="57"/>
  <c r="I20" i="7" s="1"/>
  <c r="DI102" i="57"/>
  <c r="EV102" i="57"/>
  <c r="Q92" i="7" s="1"/>
  <c r="GL102" i="57"/>
  <c r="AO92" i="7" s="1"/>
  <c r="EH102" i="57"/>
  <c r="I92" i="7" s="1"/>
  <c r="DE102" i="57"/>
  <c r="DF102" i="57" s="1"/>
  <c r="GL71" i="57"/>
  <c r="AO61" i="7" s="1"/>
  <c r="EV71" i="57"/>
  <c r="Q61" i="7" s="1"/>
  <c r="DI71" i="57"/>
  <c r="DE71" i="57"/>
  <c r="DF71" i="57" s="1"/>
  <c r="DG71" i="57"/>
  <c r="EH71" i="57"/>
  <c r="I61" i="7" s="1"/>
  <c r="EV45" i="57"/>
  <c r="Q35" i="7" s="1"/>
  <c r="GL45" i="57"/>
  <c r="AO35" i="7" s="1"/>
  <c r="DI45" i="57"/>
  <c r="GR45" i="57" s="1"/>
  <c r="AS35" i="7" s="1"/>
  <c r="DE45" i="57"/>
  <c r="DF45" i="57" s="1"/>
  <c r="EV94" i="57"/>
  <c r="Q84" i="7" s="1"/>
  <c r="DI94" i="57"/>
  <c r="GL94" i="57"/>
  <c r="AO84" i="7" s="1"/>
  <c r="DE94" i="57"/>
  <c r="DF94" i="57" s="1"/>
  <c r="DI86" i="57"/>
  <c r="EV86" i="57"/>
  <c r="Q76" i="7" s="1"/>
  <c r="GL86" i="57"/>
  <c r="AO76" i="7" s="1"/>
  <c r="DE86" i="57"/>
  <c r="DF86" i="57" s="1"/>
  <c r="EH86" i="57"/>
  <c r="I76" i="7" s="1"/>
  <c r="DG86" i="57"/>
  <c r="EL86" i="57" s="1"/>
  <c r="K76" i="7" s="1"/>
  <c r="EV74" i="57"/>
  <c r="Q64" i="7" s="1"/>
  <c r="DI74" i="57"/>
  <c r="DE74" i="57"/>
  <c r="DF74" i="57" s="1"/>
  <c r="EH74" i="57"/>
  <c r="I64" i="7" s="1"/>
  <c r="EV57" i="57"/>
  <c r="Q47" i="7" s="1"/>
  <c r="DI57" i="57"/>
  <c r="DE57" i="57"/>
  <c r="DF57" i="57" s="1"/>
  <c r="EH57" i="57"/>
  <c r="I47" i="7" s="1"/>
  <c r="EV54" i="57"/>
  <c r="Q44" i="7" s="1"/>
  <c r="DI54" i="57"/>
  <c r="EH54" i="57"/>
  <c r="I44" i="7" s="1"/>
  <c r="DE54" i="57"/>
  <c r="DF54" i="57" s="1"/>
  <c r="O37" i="57"/>
  <c r="EN37" i="57" s="1"/>
  <c r="M27" i="7" s="1"/>
  <c r="EH37" i="57"/>
  <c r="I27" i="7" s="1"/>
  <c r="K37" i="57"/>
  <c r="L37" i="57" s="1"/>
  <c r="EK37" i="57" s="1"/>
  <c r="J27" i="7" s="1"/>
  <c r="M37" i="57"/>
  <c r="EL37" i="57" s="1"/>
  <c r="K27" i="7" s="1"/>
  <c r="O103" i="57"/>
  <c r="EN103" i="57" s="1"/>
  <c r="M93" i="7" s="1"/>
  <c r="K103" i="57"/>
  <c r="L103" i="57" s="1"/>
  <c r="EH103" i="57"/>
  <c r="I93" i="7" s="1"/>
  <c r="M49" i="57"/>
  <c r="K49" i="57"/>
  <c r="L49" i="57" s="1"/>
  <c r="O49" i="57"/>
  <c r="EN49" i="57" s="1"/>
  <c r="M39" i="7" s="1"/>
  <c r="EH49" i="57"/>
  <c r="I39" i="7" s="1"/>
  <c r="O91" i="57"/>
  <c r="EN91" i="57" s="1"/>
  <c r="M81" i="7" s="1"/>
  <c r="K91" i="57"/>
  <c r="L91" i="57" s="1"/>
  <c r="EK91" i="57" s="1"/>
  <c r="J81" i="7" s="1"/>
  <c r="EH91" i="57"/>
  <c r="I81" i="7" s="1"/>
  <c r="GL69" i="57"/>
  <c r="AO59" i="7" s="1"/>
  <c r="EV39" i="57"/>
  <c r="Q29" i="7" s="1"/>
  <c r="FJ39" i="57"/>
  <c r="Y29" i="7" s="1"/>
  <c r="CU39" i="57"/>
  <c r="GL39" i="57"/>
  <c r="AO29" i="7" s="1"/>
  <c r="CQ39" i="57"/>
  <c r="CR39" i="57" s="1"/>
  <c r="EH39" i="57"/>
  <c r="I29" i="7" s="1"/>
  <c r="GL105" i="57"/>
  <c r="AO95" i="7" s="1"/>
  <c r="EV105" i="57"/>
  <c r="Q95" i="7" s="1"/>
  <c r="FJ105" i="57"/>
  <c r="Y95" i="7" s="1"/>
  <c r="CU105" i="57"/>
  <c r="CQ105" i="57"/>
  <c r="CR105" i="57" s="1"/>
  <c r="EV96" i="57"/>
  <c r="Q86" i="7" s="1"/>
  <c r="CU96" i="57"/>
  <c r="FJ96" i="57"/>
  <c r="Y86" i="7" s="1"/>
  <c r="GL96" i="57"/>
  <c r="AO86" i="7" s="1"/>
  <c r="CQ96" i="57"/>
  <c r="CR96" i="57" s="1"/>
  <c r="EH96" i="57"/>
  <c r="I86" i="7" s="1"/>
  <c r="EV77" i="57"/>
  <c r="Q67" i="7" s="1"/>
  <c r="CU77" i="57"/>
  <c r="FJ77" i="57"/>
  <c r="Y67" i="7" s="1"/>
  <c r="GL77" i="57"/>
  <c r="AO67" i="7" s="1"/>
  <c r="CS77" i="57"/>
  <c r="EH77" i="57"/>
  <c r="I67" i="7" s="1"/>
  <c r="GL64" i="57"/>
  <c r="AO54" i="7" s="1"/>
  <c r="FJ64" i="57"/>
  <c r="Y54" i="7" s="1"/>
  <c r="EV64" i="57"/>
  <c r="Q54" i="7" s="1"/>
  <c r="CU64" i="57"/>
  <c r="EH64" i="57"/>
  <c r="I54" i="7" s="1"/>
  <c r="CQ64" i="57"/>
  <c r="CR64" i="57" s="1"/>
  <c r="FJ58" i="57"/>
  <c r="Y48" i="7" s="1"/>
  <c r="GL58" i="57"/>
  <c r="AO48" i="7" s="1"/>
  <c r="CU58" i="57"/>
  <c r="CQ58" i="57"/>
  <c r="CR58" i="57" s="1"/>
  <c r="EV58" i="57"/>
  <c r="Q48" i="7" s="1"/>
  <c r="EH58" i="57"/>
  <c r="I48" i="7" s="1"/>
  <c r="GL107" i="57"/>
  <c r="AO97" i="7" s="1"/>
  <c r="EV107" i="57"/>
  <c r="Q97" i="7" s="1"/>
  <c r="CU107" i="57"/>
  <c r="CQ107" i="57"/>
  <c r="CR107" i="57" s="1"/>
  <c r="FJ107" i="57"/>
  <c r="Y97" i="7" s="1"/>
  <c r="EH107" i="57"/>
  <c r="I97" i="7" s="1"/>
  <c r="CU88" i="57"/>
  <c r="EV88" i="57"/>
  <c r="Q78" i="7" s="1"/>
  <c r="FJ88" i="57"/>
  <c r="Y78" i="7" s="1"/>
  <c r="GL88" i="57"/>
  <c r="AO78" i="7" s="1"/>
  <c r="EH88" i="57"/>
  <c r="I78" i="7" s="1"/>
  <c r="CQ88" i="57"/>
  <c r="CR88" i="57" s="1"/>
  <c r="GL70" i="57"/>
  <c r="AO60" i="7" s="1"/>
  <c r="EV70" i="57"/>
  <c r="Q60" i="7" s="1"/>
  <c r="CU70" i="57"/>
  <c r="FJ70" i="57"/>
  <c r="Y60" i="7" s="1"/>
  <c r="CQ70" i="57"/>
  <c r="CR70" i="57" s="1"/>
  <c r="EH70" i="57"/>
  <c r="I60" i="7" s="1"/>
  <c r="DH101" i="57"/>
  <c r="DE101" i="57"/>
  <c r="DG101" i="57" s="1"/>
  <c r="EU101" i="57"/>
  <c r="P91" i="7" s="1"/>
  <c r="GK101" i="57"/>
  <c r="AN91" i="7" s="1"/>
  <c r="EG101" i="57"/>
  <c r="H91" i="7" s="1"/>
  <c r="K39" i="57"/>
  <c r="M39" i="57" s="1"/>
  <c r="N39" i="57"/>
  <c r="EM39" i="57" s="1"/>
  <c r="L29" i="7" s="1"/>
  <c r="EG39" i="57"/>
  <c r="H29" i="7" s="1"/>
  <c r="GL67" i="57"/>
  <c r="AO57" i="7" s="1"/>
  <c r="DF91" i="56"/>
  <c r="GD79" i="56"/>
  <c r="CA69" i="7" s="1"/>
  <c r="FB79" i="56"/>
  <c r="BK69" i="7" s="1"/>
  <c r="FN39" i="56"/>
  <c r="BQ29" i="7" s="1"/>
  <c r="GB39" i="56"/>
  <c r="BY29" i="7" s="1"/>
  <c r="EL39" i="56"/>
  <c r="BA29" i="7" s="1"/>
  <c r="GL52" i="57"/>
  <c r="AO42" i="7" s="1"/>
  <c r="CS100" i="56"/>
  <c r="FP98" i="57"/>
  <c r="AC88" i="7" s="1"/>
  <c r="GQ109" i="56"/>
  <c r="CH99" i="7" s="1"/>
  <c r="EM109" i="56"/>
  <c r="BB99" i="7" s="1"/>
  <c r="CD46" i="57"/>
  <c r="GA46" i="57" s="1"/>
  <c r="AH36" i="7" s="1"/>
  <c r="FN55" i="57"/>
  <c r="AA45" i="7" s="1"/>
  <c r="FM108" i="56"/>
  <c r="BP98" i="7" s="1"/>
  <c r="GO108" i="56"/>
  <c r="CF98" i="7" s="1"/>
  <c r="GQ16" i="56"/>
  <c r="EM16" i="56"/>
  <c r="FN44" i="56"/>
  <c r="BQ34" i="7" s="1"/>
  <c r="GP44" i="56"/>
  <c r="CG34" i="7" s="1"/>
  <c r="CE50" i="56"/>
  <c r="FN50" i="56" s="1"/>
  <c r="BQ40" i="7" s="1"/>
  <c r="CD50" i="56"/>
  <c r="BP19" i="56"/>
  <c r="EY19" i="56" s="1"/>
  <c r="BQ19" i="56"/>
  <c r="EZ19" i="56" s="1"/>
  <c r="DG38" i="56"/>
  <c r="GB38" i="56" s="1"/>
  <c r="BY28" i="7" s="1"/>
  <c r="GB25" i="57"/>
  <c r="EL25" i="57"/>
  <c r="CE46" i="56"/>
  <c r="CD46" i="56"/>
  <c r="AO90" i="56"/>
  <c r="FN90" i="56" s="1"/>
  <c r="BQ80" i="7" s="1"/>
  <c r="M83" i="56"/>
  <c r="AN80" i="56"/>
  <c r="FM80" i="56" s="1"/>
  <c r="BP70" i="7" s="1"/>
  <c r="AO80" i="56"/>
  <c r="FN80" i="56" s="1"/>
  <c r="BQ70" i="7" s="1"/>
  <c r="M26" i="56"/>
  <c r="EL26" i="56" s="1"/>
  <c r="EL104" i="56"/>
  <c r="BA94" i="7" s="1"/>
  <c r="DT109" i="56"/>
  <c r="DU109" i="56"/>
  <c r="BP29" i="56"/>
  <c r="EY29" i="56" s="1"/>
  <c r="BQ29" i="56"/>
  <c r="EZ29" i="56" s="1"/>
  <c r="BP63" i="56"/>
  <c r="EY63" i="56" s="1"/>
  <c r="BH53" i="7" s="1"/>
  <c r="BQ63" i="56"/>
  <c r="EZ63" i="56" s="1"/>
  <c r="BI53" i="7" s="1"/>
  <c r="HJ93" i="56"/>
  <c r="HK93" i="56"/>
  <c r="HJ61" i="56"/>
  <c r="HK61" i="56"/>
  <c r="HJ29" i="56"/>
  <c r="HK29" i="56"/>
  <c r="EY20" i="56"/>
  <c r="BC83" i="56"/>
  <c r="GP83" i="56" s="1"/>
  <c r="CG73" i="7" s="1"/>
  <c r="DU86" i="56"/>
  <c r="FN86" i="56" s="1"/>
  <c r="BQ76" i="7" s="1"/>
  <c r="DT86" i="56"/>
  <c r="EL63" i="56"/>
  <c r="BA53" i="7" s="1"/>
  <c r="BP39" i="56"/>
  <c r="BQ39" i="56"/>
  <c r="BP75" i="56"/>
  <c r="EY75" i="56" s="1"/>
  <c r="BH65" i="7" s="1"/>
  <c r="BQ75" i="56"/>
  <c r="EZ75" i="56" s="1"/>
  <c r="BI65" i="7" s="1"/>
  <c r="GR83" i="56"/>
  <c r="CI73" i="7" s="1"/>
  <c r="DU92" i="56"/>
  <c r="FN92" i="56" s="1"/>
  <c r="BQ82" i="7" s="1"/>
  <c r="EK87" i="56"/>
  <c r="AZ77" i="7" s="1"/>
  <c r="EK72" i="56"/>
  <c r="AZ62" i="7" s="1"/>
  <c r="EZ47" i="56"/>
  <c r="BI37" i="7" s="1"/>
  <c r="AC9" i="56"/>
  <c r="AB9" i="56"/>
  <c r="HK79" i="56"/>
  <c r="HK15" i="56"/>
  <c r="EL34" i="56"/>
  <c r="BA24" i="7" s="1"/>
  <c r="GQ21" i="57"/>
  <c r="EM21" i="57"/>
  <c r="FO21" i="57"/>
  <c r="BJ6" i="56"/>
  <c r="ER6" i="56"/>
  <c r="DU78" i="56"/>
  <c r="FN78" i="56" s="1"/>
  <c r="BQ68" i="7" s="1"/>
  <c r="BQ98" i="56"/>
  <c r="EZ98" i="56" s="1"/>
  <c r="BI88" i="7" s="1"/>
  <c r="EY50" i="56"/>
  <c r="BH40" i="7" s="1"/>
  <c r="BQ32" i="56"/>
  <c r="EZ32" i="56" s="1"/>
  <c r="BI22" i="7" s="1"/>
  <c r="EZ52" i="56"/>
  <c r="BI42" i="7" s="1"/>
  <c r="EK15" i="56"/>
  <c r="O8" i="56"/>
  <c r="N8" i="56"/>
  <c r="AO42" i="56"/>
  <c r="FN42" i="56" s="1"/>
  <c r="BQ32" i="7" s="1"/>
  <c r="AC8" i="56"/>
  <c r="AB8" i="56"/>
  <c r="EZ31" i="56"/>
  <c r="BI21" i="7" s="1"/>
  <c r="HK97" i="56"/>
  <c r="HK81" i="56"/>
  <c r="HK65" i="56"/>
  <c r="HK49" i="56"/>
  <c r="HK33" i="56"/>
  <c r="HK17" i="56"/>
  <c r="EY88" i="56"/>
  <c r="BH78" i="7" s="1"/>
  <c r="FO89" i="56"/>
  <c r="BR79" i="7" s="1"/>
  <c r="GQ89" i="56"/>
  <c r="CH79" i="7" s="1"/>
  <c r="CE56" i="56"/>
  <c r="CD56" i="56"/>
  <c r="FM56" i="56" s="1"/>
  <c r="BP46" i="7" s="1"/>
  <c r="EK100" i="56"/>
  <c r="AZ90" i="7" s="1"/>
  <c r="DT33" i="56"/>
  <c r="FM33" i="56" s="1"/>
  <c r="BP23" i="7" s="1"/>
  <c r="DU33" i="56"/>
  <c r="FN33" i="56" s="1"/>
  <c r="BQ23" i="7" s="1"/>
  <c r="HJ67" i="56"/>
  <c r="HK25" i="56"/>
  <c r="EZ93" i="56"/>
  <c r="BI83" i="7" s="1"/>
  <c r="EL23" i="56"/>
  <c r="GP23" i="56"/>
  <c r="EY23" i="56"/>
  <c r="GA23" i="56"/>
  <c r="DH60" i="56"/>
  <c r="GC60" i="56" s="1"/>
  <c r="BZ50" i="7" s="1"/>
  <c r="DH45" i="56"/>
  <c r="GC45" i="56" s="1"/>
  <c r="BZ35" i="7" s="1"/>
  <c r="DH34" i="56"/>
  <c r="GC34" i="56" s="1"/>
  <c r="BZ24" i="7" s="1"/>
  <c r="DH57" i="56"/>
  <c r="GC57" i="56" s="1"/>
  <c r="BZ47" i="7" s="1"/>
  <c r="DH43" i="56"/>
  <c r="GC43" i="56" s="1"/>
  <c r="BZ33" i="7" s="1"/>
  <c r="DH59" i="56"/>
  <c r="GC59" i="56" s="1"/>
  <c r="BZ49" i="7" s="1"/>
  <c r="DH33" i="56"/>
  <c r="GC33" i="56" s="1"/>
  <c r="BZ23" i="7" s="1"/>
  <c r="DH52" i="56"/>
  <c r="GC52" i="56" s="1"/>
  <c r="BZ42" i="7" s="1"/>
  <c r="DH53" i="56"/>
  <c r="GC53" i="56" s="1"/>
  <c r="BZ43" i="7" s="1"/>
  <c r="DH39" i="56"/>
  <c r="GC39" i="56" s="1"/>
  <c r="BZ29" i="7" s="1"/>
  <c r="DH54" i="56"/>
  <c r="GC54" i="56" s="1"/>
  <c r="BZ44" i="7" s="1"/>
  <c r="DH55" i="56"/>
  <c r="GC55" i="56" s="1"/>
  <c r="BZ45" i="7" s="1"/>
  <c r="DH58" i="56"/>
  <c r="GC58" i="56" s="1"/>
  <c r="BZ48" i="7" s="1"/>
  <c r="DH40" i="56"/>
  <c r="GC40" i="56" s="1"/>
  <c r="BZ30" i="7" s="1"/>
  <c r="DH64" i="56"/>
  <c r="GC64" i="56" s="1"/>
  <c r="BZ54" i="7" s="1"/>
  <c r="DH65" i="56"/>
  <c r="GC65" i="56" s="1"/>
  <c r="BZ55" i="7" s="1"/>
  <c r="DH38" i="56"/>
  <c r="GC38" i="56" s="1"/>
  <c r="BZ28" i="7" s="1"/>
  <c r="DH62" i="56"/>
  <c r="GC62" i="56" s="1"/>
  <c r="BZ52" i="7" s="1"/>
  <c r="DH41" i="56"/>
  <c r="GC41" i="56" s="1"/>
  <c r="BZ31" i="7" s="1"/>
  <c r="DH68" i="56"/>
  <c r="GC68" i="56" s="1"/>
  <c r="BZ58" i="7" s="1"/>
  <c r="DH73" i="56"/>
  <c r="GC73" i="56" s="1"/>
  <c r="BZ63" i="7" s="1"/>
  <c r="DH30" i="56"/>
  <c r="GC30" i="56" s="1"/>
  <c r="BZ20" i="7" s="1"/>
  <c r="DH44" i="56"/>
  <c r="GC44" i="56" s="1"/>
  <c r="BZ34" i="7" s="1"/>
  <c r="DH36" i="56"/>
  <c r="GC36" i="56" s="1"/>
  <c r="BZ26" i="7" s="1"/>
  <c r="DH71" i="56"/>
  <c r="GC71" i="56" s="1"/>
  <c r="BZ61" i="7" s="1"/>
  <c r="DH70" i="56"/>
  <c r="GC70" i="56" s="1"/>
  <c r="BZ60" i="7" s="1"/>
  <c r="DH35" i="56"/>
  <c r="GC35" i="56" s="1"/>
  <c r="BZ25" i="7" s="1"/>
  <c r="DH51" i="56"/>
  <c r="GC51" i="56" s="1"/>
  <c r="BZ41" i="7" s="1"/>
  <c r="DH67" i="56"/>
  <c r="GC67" i="56" s="1"/>
  <c r="BZ57" i="7" s="1"/>
  <c r="DH32" i="56"/>
  <c r="GC32" i="56" s="1"/>
  <c r="BZ22" i="7" s="1"/>
  <c r="DH37" i="56"/>
  <c r="GC37" i="56" s="1"/>
  <c r="BZ27" i="7" s="1"/>
  <c r="DH31" i="56"/>
  <c r="GC31" i="56" s="1"/>
  <c r="BZ21" i="7" s="1"/>
  <c r="DH42" i="56"/>
  <c r="GC42" i="56" s="1"/>
  <c r="BZ32" i="7" s="1"/>
  <c r="DH72" i="56"/>
  <c r="GC72" i="56" s="1"/>
  <c r="BZ62" i="7" s="1"/>
  <c r="DH63" i="56"/>
  <c r="GC63" i="56" s="1"/>
  <c r="BZ53" i="7" s="1"/>
  <c r="DH69" i="56"/>
  <c r="GC69" i="56" s="1"/>
  <c r="BZ59" i="7" s="1"/>
  <c r="DH46" i="56"/>
  <c r="GC46" i="56" s="1"/>
  <c r="BZ36" i="7" s="1"/>
  <c r="DH74" i="56"/>
  <c r="GC74" i="56" s="1"/>
  <c r="BZ64" i="7" s="1"/>
  <c r="DH66" i="56"/>
  <c r="GC66" i="56" s="1"/>
  <c r="BZ56" i="7" s="1"/>
  <c r="GC9" i="56"/>
  <c r="BZ19" i="7" s="1"/>
  <c r="DH56" i="56"/>
  <c r="GC56" i="56" s="1"/>
  <c r="BZ46" i="7" s="1"/>
  <c r="DH49" i="56"/>
  <c r="GC49" i="56" s="1"/>
  <c r="BZ39" i="7" s="1"/>
  <c r="DH48" i="56"/>
  <c r="GC48" i="56" s="1"/>
  <c r="BZ38" i="7" s="1"/>
  <c r="DH50" i="56"/>
  <c r="GC50" i="56" s="1"/>
  <c r="BZ40" i="7" s="1"/>
  <c r="DH47" i="56"/>
  <c r="GC47" i="56" s="1"/>
  <c r="BZ37" i="7" s="1"/>
  <c r="DH61" i="56"/>
  <c r="GC61" i="56" s="1"/>
  <c r="BZ51" i="7" s="1"/>
  <c r="HK70" i="56"/>
  <c r="GP10" i="56"/>
  <c r="CG130" i="7" s="1"/>
  <c r="EL10" i="56"/>
  <c r="BA130" i="7" s="1"/>
  <c r="EK78" i="57"/>
  <c r="J68" i="7" s="1"/>
  <c r="AO70" i="56"/>
  <c r="FN70" i="56" s="1"/>
  <c r="BQ60" i="7" s="1"/>
  <c r="HK86" i="56"/>
  <c r="GP67" i="56"/>
  <c r="CG57" i="7" s="1"/>
  <c r="FN67" i="56"/>
  <c r="BQ57" i="7" s="1"/>
  <c r="EZ46" i="57"/>
  <c r="S36" i="7" s="1"/>
  <c r="BE27" i="56"/>
  <c r="GR27" i="56" s="1"/>
  <c r="BE28" i="56"/>
  <c r="GR28" i="56" s="1"/>
  <c r="BE26" i="56"/>
  <c r="GR26" i="56" s="1"/>
  <c r="BE29" i="56"/>
  <c r="GR29" i="56" s="1"/>
  <c r="BE25" i="56"/>
  <c r="GR25" i="56" s="1"/>
  <c r="GB14" i="57"/>
  <c r="EL14" i="57"/>
  <c r="HK105" i="56"/>
  <c r="FN43" i="56"/>
  <c r="BQ33" i="7" s="1"/>
  <c r="GP43" i="56"/>
  <c r="CG33" i="7" s="1"/>
  <c r="FA8" i="57"/>
  <c r="FA67" i="57" s="1"/>
  <c r="T57" i="7" s="1"/>
  <c r="EZ11" i="57"/>
  <c r="EZ23" i="57"/>
  <c r="EZ29" i="57"/>
  <c r="EZ26" i="57"/>
  <c r="EZ3" i="57"/>
  <c r="EZ18" i="57"/>
  <c r="EZ14" i="57"/>
  <c r="EZ6" i="57"/>
  <c r="EZ95" i="57"/>
  <c r="S85" i="7" s="1"/>
  <c r="EZ53" i="57"/>
  <c r="S43" i="7" s="1"/>
  <c r="EZ44" i="57"/>
  <c r="S34" i="7" s="1"/>
  <c r="EZ38" i="57"/>
  <c r="S28" i="7" s="1"/>
  <c r="EZ13" i="57"/>
  <c r="EM25" i="57"/>
  <c r="EZ16" i="57"/>
  <c r="FO91" i="56"/>
  <c r="BR81" i="7" s="1"/>
  <c r="FO22" i="56"/>
  <c r="FO13" i="56"/>
  <c r="FO10" i="56"/>
  <c r="BR130" i="7" s="1"/>
  <c r="FP8" i="56"/>
  <c r="FO108" i="56"/>
  <c r="BR98" i="7" s="1"/>
  <c r="FO23" i="56"/>
  <c r="FO90" i="56"/>
  <c r="BR80" i="7" s="1"/>
  <c r="FO101" i="56"/>
  <c r="BR91" i="7" s="1"/>
  <c r="FO83" i="56"/>
  <c r="BR73" i="7" s="1"/>
  <c r="FO105" i="56"/>
  <c r="BR95" i="7" s="1"/>
  <c r="FO92" i="56"/>
  <c r="BR82" i="7" s="1"/>
  <c r="FO97" i="56"/>
  <c r="BR87" i="7" s="1"/>
  <c r="FO18" i="56"/>
  <c r="FO16" i="56"/>
  <c r="FO75" i="56"/>
  <c r="BR65" i="7" s="1"/>
  <c r="FO15" i="56"/>
  <c r="FO107" i="56"/>
  <c r="BR97" i="7" s="1"/>
  <c r="FO85" i="56"/>
  <c r="BR75" i="7" s="1"/>
  <c r="FO78" i="56"/>
  <c r="BR68" i="7" s="1"/>
  <c r="FO20" i="56"/>
  <c r="FO14" i="56"/>
  <c r="FO103" i="56"/>
  <c r="BR93" i="7" s="1"/>
  <c r="FO3" i="56"/>
  <c r="FO99" i="56"/>
  <c r="BR89" i="7" s="1"/>
  <c r="FO79" i="56"/>
  <c r="BR69" i="7" s="1"/>
  <c r="FO95" i="56"/>
  <c r="BR85" i="7" s="1"/>
  <c r="FO96" i="56"/>
  <c r="BR86" i="7" s="1"/>
  <c r="FO12" i="56"/>
  <c r="FO104" i="56"/>
  <c r="BR94" i="7" s="1"/>
  <c r="FO11" i="56"/>
  <c r="FO17" i="56"/>
  <c r="FO81" i="56"/>
  <c r="BR71" i="7" s="1"/>
  <c r="FO110" i="56"/>
  <c r="BR100" i="7" s="1"/>
  <c r="EY60" i="57"/>
  <c r="R50" i="7" s="1"/>
  <c r="EY87" i="56"/>
  <c r="BH77" i="7" s="1"/>
  <c r="GA87" i="56"/>
  <c r="BX77" i="7" s="1"/>
  <c r="GB41" i="56"/>
  <c r="BY31" i="7" s="1"/>
  <c r="EZ41" i="56"/>
  <c r="BI31" i="7" s="1"/>
  <c r="EZ27" i="57"/>
  <c r="FM99" i="57"/>
  <c r="Z89" i="7" s="1"/>
  <c r="GA38" i="56"/>
  <c r="BX28" i="7" s="1"/>
  <c r="FM14" i="56"/>
  <c r="GA14" i="56"/>
  <c r="EK14" i="56"/>
  <c r="GA62" i="56"/>
  <c r="BX52" i="7" s="1"/>
  <c r="FM62" i="56"/>
  <c r="BP52" i="7" s="1"/>
  <c r="EK62" i="56"/>
  <c r="AZ52" i="7" s="1"/>
  <c r="EY91" i="57"/>
  <c r="R81" i="7" s="1"/>
  <c r="GA13" i="57"/>
  <c r="EK13" i="57"/>
  <c r="EY61" i="57"/>
  <c r="R51" i="7" s="1"/>
  <c r="DS27" i="57"/>
  <c r="DU27" i="57" s="1"/>
  <c r="FN27" i="57" s="1"/>
  <c r="DV27" i="57"/>
  <c r="DS62" i="57"/>
  <c r="DU62" i="57" s="1"/>
  <c r="DV62" i="57"/>
  <c r="FO62" i="57" s="1"/>
  <c r="AB52" i="7" s="1"/>
  <c r="FI62" i="57"/>
  <c r="X52" i="7" s="1"/>
  <c r="DV37" i="57"/>
  <c r="FO37" i="57" s="1"/>
  <c r="AB27" i="7" s="1"/>
  <c r="DS37" i="57"/>
  <c r="DU37" i="57" s="1"/>
  <c r="DT37" i="57"/>
  <c r="FI37" i="57"/>
  <c r="X27" i="7" s="1"/>
  <c r="DS96" i="57"/>
  <c r="DU96" i="57" s="1"/>
  <c r="DT96" i="57"/>
  <c r="DV96" i="57"/>
  <c r="FO96" i="57" s="1"/>
  <c r="AB86" i="7" s="1"/>
  <c r="FI96" i="57"/>
  <c r="X86" i="7" s="1"/>
  <c r="DV20" i="57"/>
  <c r="FO20" i="57" s="1"/>
  <c r="FI20" i="57"/>
  <c r="DS20" i="57"/>
  <c r="DU20" i="57" s="1"/>
  <c r="FN20" i="57" s="1"/>
  <c r="DV39" i="57"/>
  <c r="FO39" i="57" s="1"/>
  <c r="AB29" i="7" s="1"/>
  <c r="DS39" i="57"/>
  <c r="DU39" i="57" s="1"/>
  <c r="DT39" i="57"/>
  <c r="FI39" i="57"/>
  <c r="X29" i="7" s="1"/>
  <c r="DS54" i="57"/>
  <c r="DU54" i="57" s="1"/>
  <c r="DT54" i="57"/>
  <c r="DV54" i="57"/>
  <c r="FO54" i="57" s="1"/>
  <c r="AB44" i="7" s="1"/>
  <c r="FI54" i="57"/>
  <c r="X44" i="7" s="1"/>
  <c r="DV81" i="57"/>
  <c r="FO81" i="57" s="1"/>
  <c r="AB71" i="7" s="1"/>
  <c r="DS81" i="57"/>
  <c r="DU81" i="57" s="1"/>
  <c r="DT81" i="57"/>
  <c r="FM81" i="57" s="1"/>
  <c r="Z71" i="7" s="1"/>
  <c r="FI81" i="57"/>
  <c r="X71" i="7" s="1"/>
  <c r="DV102" i="57"/>
  <c r="FO102" i="57" s="1"/>
  <c r="AB92" i="7" s="1"/>
  <c r="DS102" i="57"/>
  <c r="DU102" i="57" s="1"/>
  <c r="FI102" i="57"/>
  <c r="X92" i="7" s="1"/>
  <c r="DV22" i="57"/>
  <c r="FO22" i="57" s="1"/>
  <c r="DS22" i="57"/>
  <c r="DU22" i="57" s="1"/>
  <c r="FN22" i="57" s="1"/>
  <c r="DT22" i="57"/>
  <c r="FM22" i="57" s="1"/>
  <c r="FI22" i="57"/>
  <c r="DS38" i="57"/>
  <c r="DU38" i="57" s="1"/>
  <c r="FN38" i="57" s="1"/>
  <c r="AA28" i="7" s="1"/>
  <c r="DV38" i="57"/>
  <c r="FO38" i="57" s="1"/>
  <c r="AB28" i="7" s="1"/>
  <c r="FI38" i="57"/>
  <c r="X28" i="7" s="1"/>
  <c r="DS72" i="57"/>
  <c r="DU72" i="57" s="1"/>
  <c r="DT72" i="57"/>
  <c r="DV72" i="57"/>
  <c r="FI103" i="57"/>
  <c r="X93" i="7" s="1"/>
  <c r="DV103" i="57"/>
  <c r="FO103" i="57" s="1"/>
  <c r="AB93" i="7" s="1"/>
  <c r="DS103" i="57"/>
  <c r="DU103" i="57" s="1"/>
  <c r="DS36" i="57"/>
  <c r="DU36" i="57" s="1"/>
  <c r="DV36" i="57"/>
  <c r="FO36" i="57" s="1"/>
  <c r="AB26" i="7" s="1"/>
  <c r="FI36" i="57"/>
  <c r="X26" i="7" s="1"/>
  <c r="DS79" i="57"/>
  <c r="DU79" i="57" s="1"/>
  <c r="DV79" i="57"/>
  <c r="FO79" i="57" s="1"/>
  <c r="AB69" i="7" s="1"/>
  <c r="FI79" i="57"/>
  <c r="X69" i="7" s="1"/>
  <c r="DS34" i="57"/>
  <c r="DU34" i="57" s="1"/>
  <c r="DV34" i="57"/>
  <c r="FO34" i="57" s="1"/>
  <c r="AB24" i="7" s="1"/>
  <c r="FI34" i="57"/>
  <c r="X24" i="7" s="1"/>
  <c r="DS44" i="57"/>
  <c r="DU44" i="57" s="1"/>
  <c r="FN44" i="57" s="1"/>
  <c r="AA34" i="7" s="1"/>
  <c r="DV44" i="57"/>
  <c r="FO44" i="57" s="1"/>
  <c r="AB34" i="7" s="1"/>
  <c r="FI44" i="57"/>
  <c r="X34" i="7" s="1"/>
  <c r="DS50" i="57"/>
  <c r="DU50" i="57" s="1"/>
  <c r="FN50" i="57" s="1"/>
  <c r="AA40" i="7" s="1"/>
  <c r="DV50" i="57"/>
  <c r="FO50" i="57" s="1"/>
  <c r="AB40" i="7" s="1"/>
  <c r="FI50" i="57"/>
  <c r="X40" i="7" s="1"/>
  <c r="FI67" i="57"/>
  <c r="X57" i="7" s="1"/>
  <c r="DS67" i="57"/>
  <c r="DU67" i="57" s="1"/>
  <c r="FN67" i="57" s="1"/>
  <c r="AA57" i="7" s="1"/>
  <c r="DV67" i="57"/>
  <c r="FO67" i="57" s="1"/>
  <c r="AB57" i="7" s="1"/>
  <c r="DV92" i="57"/>
  <c r="FO92" i="57" s="1"/>
  <c r="AB82" i="7" s="1"/>
  <c r="DS92" i="57"/>
  <c r="DU92" i="57" s="1"/>
  <c r="DT92" i="57"/>
  <c r="FI92" i="57"/>
  <c r="X82" i="7" s="1"/>
  <c r="FI13" i="57"/>
  <c r="DV13" i="57"/>
  <c r="FO13" i="57" s="1"/>
  <c r="DS13" i="57"/>
  <c r="DU13" i="57" s="1"/>
  <c r="FN13" i="57" s="1"/>
  <c r="DS60" i="57"/>
  <c r="DU60" i="57" s="1"/>
  <c r="DV60" i="57"/>
  <c r="FO60" i="57" s="1"/>
  <c r="AB50" i="7" s="1"/>
  <c r="FI60" i="57"/>
  <c r="X50" i="7" s="1"/>
  <c r="DT83" i="57"/>
  <c r="DS83" i="57"/>
  <c r="DU83" i="57" s="1"/>
  <c r="DV83" i="57"/>
  <c r="FO83" i="57" s="1"/>
  <c r="AB73" i="7" s="1"/>
  <c r="FI83" i="57"/>
  <c r="X73" i="7" s="1"/>
  <c r="FI93" i="57"/>
  <c r="X83" i="7" s="1"/>
  <c r="DV93" i="57"/>
  <c r="FO93" i="57" s="1"/>
  <c r="AB83" i="7" s="1"/>
  <c r="DS93" i="57"/>
  <c r="DU93" i="57" s="1"/>
  <c r="FN93" i="57" s="1"/>
  <c r="AA83" i="7" s="1"/>
  <c r="DT93" i="57"/>
  <c r="FM93" i="57" s="1"/>
  <c r="Z83" i="7" s="1"/>
  <c r="DV110" i="57"/>
  <c r="FO110" i="57" s="1"/>
  <c r="AB100" i="7" s="1"/>
  <c r="FI110" i="57"/>
  <c r="X100" i="7" s="1"/>
  <c r="DS110" i="57"/>
  <c r="DU110" i="57" s="1"/>
  <c r="DT110" i="57"/>
  <c r="GC73" i="57"/>
  <c r="AJ63" i="7" s="1"/>
  <c r="FO73" i="57"/>
  <c r="AB63" i="7" s="1"/>
  <c r="GC72" i="57"/>
  <c r="AJ62" i="7" s="1"/>
  <c r="FO72" i="57"/>
  <c r="AB62" i="7" s="1"/>
  <c r="GC33" i="57"/>
  <c r="AJ23" i="7" s="1"/>
  <c r="FO49" i="57"/>
  <c r="AB39" i="7" s="1"/>
  <c r="GC30" i="57"/>
  <c r="AJ20" i="7" s="1"/>
  <c r="FO30" i="57"/>
  <c r="AB20" i="7" s="1"/>
  <c r="GC31" i="57"/>
  <c r="AJ21" i="7" s="1"/>
  <c r="FO31" i="57"/>
  <c r="AB21" i="7" s="1"/>
  <c r="GC74" i="57"/>
  <c r="AJ64" i="7" s="1"/>
  <c r="FO74" i="57"/>
  <c r="AB64" i="7" s="1"/>
  <c r="GB62" i="57"/>
  <c r="AI52" i="7" s="1"/>
  <c r="GA90" i="56"/>
  <c r="BX80" i="7" s="1"/>
  <c r="FI61" i="57"/>
  <c r="X51" i="7" s="1"/>
  <c r="EG55" i="57"/>
  <c r="H45" i="7" s="1"/>
  <c r="GA85" i="57"/>
  <c r="AH75" i="7" s="1"/>
  <c r="EY97" i="70"/>
  <c r="CX87" i="7" s="1"/>
  <c r="FM97" i="70"/>
  <c r="DF87" i="7" s="1"/>
  <c r="FN42" i="70"/>
  <c r="DG32" i="7" s="1"/>
  <c r="GP42" i="70"/>
  <c r="DW32" i="7" s="1"/>
  <c r="EK78" i="70"/>
  <c r="CP68" i="7" s="1"/>
  <c r="GO97" i="70"/>
  <c r="DV87" i="7" s="1"/>
  <c r="EK97" i="70"/>
  <c r="CP87" i="7" s="1"/>
  <c r="EZ45" i="70"/>
  <c r="CY35" i="7" s="1"/>
  <c r="FN45" i="70"/>
  <c r="DG35" i="7" s="1"/>
  <c r="EL45" i="70"/>
  <c r="CQ35" i="7" s="1"/>
  <c r="GO63" i="70"/>
  <c r="DV53" i="7" s="1"/>
  <c r="EK63" i="70"/>
  <c r="CP53" i="7" s="1"/>
  <c r="EZ24" i="57"/>
  <c r="FI55" i="57"/>
  <c r="X45" i="7" s="1"/>
  <c r="GO83" i="70"/>
  <c r="DV73" i="7" s="1"/>
  <c r="FM83" i="70"/>
  <c r="DF73" i="7" s="1"/>
  <c r="EZ26" i="70"/>
  <c r="GC64" i="57"/>
  <c r="AJ54" i="7" s="1"/>
  <c r="GO70" i="70"/>
  <c r="DV60" i="7" s="1"/>
  <c r="FM70" i="70"/>
  <c r="DF60" i="7" s="1"/>
  <c r="EY63" i="70"/>
  <c r="CX53" i="7" s="1"/>
  <c r="GP68" i="70"/>
  <c r="DW58" i="7" s="1"/>
  <c r="FN68" i="70"/>
  <c r="DG58" i="7" s="1"/>
  <c r="O30" i="70"/>
  <c r="O48" i="70"/>
  <c r="O40" i="70"/>
  <c r="O44" i="70"/>
  <c r="O50" i="70"/>
  <c r="O63" i="70"/>
  <c r="O57" i="70"/>
  <c r="O67" i="70"/>
  <c r="O69" i="70"/>
  <c r="O70" i="70"/>
  <c r="O35" i="70"/>
  <c r="O31" i="70"/>
  <c r="O43" i="70"/>
  <c r="O71" i="70"/>
  <c r="O73" i="70"/>
  <c r="O52" i="70"/>
  <c r="O32" i="70"/>
  <c r="O34" i="70"/>
  <c r="O37" i="70"/>
  <c r="O39" i="70"/>
  <c r="O47" i="70"/>
  <c r="O45" i="70"/>
  <c r="O53" i="70"/>
  <c r="O54" i="70"/>
  <c r="O64" i="70"/>
  <c r="O65" i="70"/>
  <c r="O74" i="70"/>
  <c r="O38" i="70"/>
  <c r="O61" i="70"/>
  <c r="O68" i="70"/>
  <c r="O42" i="70"/>
  <c r="O66" i="70"/>
  <c r="O55" i="70"/>
  <c r="O62" i="70"/>
  <c r="O41" i="70"/>
  <c r="O58" i="70"/>
  <c r="O72" i="70"/>
  <c r="O60" i="70"/>
  <c r="O46" i="70"/>
  <c r="O33" i="70"/>
  <c r="O51" i="70"/>
  <c r="O49" i="70"/>
  <c r="O59" i="70"/>
  <c r="O36" i="70"/>
  <c r="O56" i="70"/>
  <c r="EN9" i="70"/>
  <c r="CS19" i="7" s="1"/>
  <c r="FM47" i="70"/>
  <c r="DF37" i="7" s="1"/>
  <c r="EK47" i="70"/>
  <c r="CP37" i="7" s="1"/>
  <c r="GP32" i="70"/>
  <c r="DW22" i="7" s="1"/>
  <c r="EL32" i="70"/>
  <c r="CQ22" i="7" s="1"/>
  <c r="EZ42" i="70"/>
  <c r="CY32" i="7" s="1"/>
  <c r="EL42" i="70"/>
  <c r="CQ32" i="7" s="1"/>
  <c r="EZ12" i="57"/>
  <c r="EZ18" i="70"/>
  <c r="FB93" i="70"/>
  <c r="DA83" i="7" s="1"/>
  <c r="FW18" i="45"/>
  <c r="EN68" i="57"/>
  <c r="M58" i="7" s="1"/>
  <c r="EN6" i="70"/>
  <c r="FO100" i="56"/>
  <c r="BR90" i="7" s="1"/>
  <c r="GA37" i="57"/>
  <c r="AH27" i="7" s="1"/>
  <c r="EK106" i="57"/>
  <c r="J96" i="7" s="1"/>
  <c r="GA106" i="57"/>
  <c r="AH96" i="7" s="1"/>
  <c r="EL91" i="56"/>
  <c r="BA81" i="7" s="1"/>
  <c r="CG31" i="70"/>
  <c r="CG49" i="70"/>
  <c r="CG39" i="70"/>
  <c r="CG59" i="70"/>
  <c r="CG65" i="70"/>
  <c r="CG45" i="70"/>
  <c r="CG69" i="70"/>
  <c r="CG44" i="70"/>
  <c r="CG68" i="70"/>
  <c r="CG51" i="70"/>
  <c r="CG60" i="70"/>
  <c r="CG40" i="70"/>
  <c r="CG50" i="70"/>
  <c r="CG37" i="70"/>
  <c r="CG63" i="70"/>
  <c r="CG74" i="70"/>
  <c r="CG53" i="70"/>
  <c r="CG73" i="70"/>
  <c r="CG54" i="70"/>
  <c r="CG62" i="70"/>
  <c r="CG32" i="70"/>
  <c r="CG36" i="70"/>
  <c r="CG43" i="70"/>
  <c r="CG70" i="70"/>
  <c r="CG41" i="70"/>
  <c r="CG71" i="70"/>
  <c r="CG34" i="70"/>
  <c r="CG57" i="70"/>
  <c r="CG35" i="70"/>
  <c r="CG58" i="70"/>
  <c r="CG52" i="70"/>
  <c r="CG56" i="70"/>
  <c r="CG72" i="70"/>
  <c r="CG42" i="70"/>
  <c r="CG48" i="70"/>
  <c r="CG47" i="70"/>
  <c r="CG66" i="70"/>
  <c r="CG30" i="70"/>
  <c r="CG64" i="70"/>
  <c r="CG33" i="70"/>
  <c r="CG61" i="70"/>
  <c r="CG46" i="70"/>
  <c r="CG55" i="70"/>
  <c r="FP9" i="70"/>
  <c r="DI19" i="7" s="1"/>
  <c r="CG38" i="70"/>
  <c r="CG67" i="70"/>
  <c r="FO80" i="57"/>
  <c r="AB70" i="7" s="1"/>
  <c r="EY18" i="56"/>
  <c r="FN34" i="56"/>
  <c r="BQ24" i="7" s="1"/>
  <c r="EL62" i="56"/>
  <c r="BA52" i="7" s="1"/>
  <c r="EH94" i="57"/>
  <c r="I84" i="7" s="1"/>
  <c r="EK97" i="57"/>
  <c r="J87" i="7" s="1"/>
  <c r="EN81" i="57"/>
  <c r="M71" i="7" s="1"/>
  <c r="EK44" i="57"/>
  <c r="J34" i="7" s="1"/>
  <c r="GB94" i="57"/>
  <c r="AI84" i="7" s="1"/>
  <c r="GB78" i="57"/>
  <c r="AI68" i="7" s="1"/>
  <c r="FA87" i="56"/>
  <c r="BJ77" i="7" s="1"/>
  <c r="FI66" i="57"/>
  <c r="X56" i="7" s="1"/>
  <c r="GB75" i="57"/>
  <c r="AI65" i="7" s="1"/>
  <c r="GA38" i="57"/>
  <c r="AH28" i="7" s="1"/>
  <c r="GB49" i="57"/>
  <c r="AI39" i="7" s="1"/>
  <c r="EK103" i="70"/>
  <c r="CP93" i="7" s="1"/>
  <c r="EK91" i="70"/>
  <c r="CP81" i="7" s="1"/>
  <c r="EL82" i="70"/>
  <c r="CQ72" i="7" s="1"/>
  <c r="GR1" i="70"/>
  <c r="DY13" i="7" s="1"/>
  <c r="DX13" i="7"/>
  <c r="CW23" i="38" l="1"/>
  <c r="DB23" i="38" s="1"/>
  <c r="CX23" i="38"/>
  <c r="DC23" i="38" s="1"/>
  <c r="CY23" i="38"/>
  <c r="DD23" i="38" s="1"/>
  <c r="DA23" i="38"/>
  <c r="CZ23" i="38"/>
  <c r="DE23" i="38" s="1"/>
  <c r="CZ20" i="38"/>
  <c r="DE20" i="38" s="1"/>
  <c r="DA20" i="38"/>
  <c r="DA21" i="38"/>
  <c r="CZ21" i="38"/>
  <c r="DE21" i="38" s="1"/>
  <c r="DA22" i="38"/>
  <c r="CY22" i="38"/>
  <c r="DD22" i="38" s="1"/>
  <c r="CX22" i="38"/>
  <c r="DC22" i="38" s="1"/>
  <c r="CW22" i="38"/>
  <c r="DB22" i="38" s="1"/>
  <c r="CZ22" i="38"/>
  <c r="DE22" i="38" s="1"/>
  <c r="CW20" i="38"/>
  <c r="DB20" i="38" s="1"/>
  <c r="CW21" i="38"/>
  <c r="DB21" i="38" s="1"/>
  <c r="CX20" i="38"/>
  <c r="DC20" i="38" s="1"/>
  <c r="CY20" i="38"/>
  <c r="DD20" i="38" s="1"/>
  <c r="CY21" i="38"/>
  <c r="DD21" i="38" s="1"/>
  <c r="CX21" i="38"/>
  <c r="DC21" i="38" s="1"/>
  <c r="L4" i="38"/>
  <c r="DA17" i="38"/>
  <c r="CY17" i="38"/>
  <c r="DA4" i="38"/>
  <c r="AS13" i="41"/>
  <c r="AS14" i="41"/>
  <c r="GQ39" i="76"/>
  <c r="FN29" i="7" s="1"/>
  <c r="GQ53" i="76"/>
  <c r="FN43" i="7" s="1"/>
  <c r="GQ65" i="76"/>
  <c r="FN55" i="7" s="1"/>
  <c r="GC66" i="76"/>
  <c r="FF56" i="7" s="1"/>
  <c r="GC48" i="76"/>
  <c r="FF38" i="7" s="1"/>
  <c r="GQ27" i="76"/>
  <c r="FN147" i="7" s="1"/>
  <c r="GQ63" i="76"/>
  <c r="FN53" i="7" s="1"/>
  <c r="GQ43" i="76"/>
  <c r="FN33" i="7" s="1"/>
  <c r="EM57" i="76"/>
  <c r="EH47" i="7" s="1"/>
  <c r="GC51" i="76"/>
  <c r="FF41" i="7" s="1"/>
  <c r="EM25" i="76"/>
  <c r="EH145" i="7" s="1"/>
  <c r="FA26" i="76"/>
  <c r="EP146" i="7" s="1"/>
  <c r="AG41" i="4"/>
  <c r="AI40" i="4"/>
  <c r="AH41" i="4"/>
  <c r="AJ40" i="4"/>
  <c r="AJ8" i="41"/>
  <c r="AJ9" i="41" s="1"/>
  <c r="AH7" i="41"/>
  <c r="AI7" i="41"/>
  <c r="FA35" i="76"/>
  <c r="EP25" i="7" s="1"/>
  <c r="GO110" i="7"/>
  <c r="GD45" i="76"/>
  <c r="FG35" i="7" s="1"/>
  <c r="GR45" i="76"/>
  <c r="FO35" i="7" s="1"/>
  <c r="GC62" i="76"/>
  <c r="FF52" i="7" s="1"/>
  <c r="GC35" i="76"/>
  <c r="FF25" i="7" s="1"/>
  <c r="GC52" i="76"/>
  <c r="FF42" i="7" s="1"/>
  <c r="GC34" i="76"/>
  <c r="FF24" i="7" s="1"/>
  <c r="GC33" i="76"/>
  <c r="FF23" i="7" s="1"/>
  <c r="EN65" i="76"/>
  <c r="EI55" i="7" s="1"/>
  <c r="GC44" i="76"/>
  <c r="FF34" i="7" s="1"/>
  <c r="EN26" i="76"/>
  <c r="EI146" i="7" s="1"/>
  <c r="GQ29" i="76"/>
  <c r="FN149" i="7" s="1"/>
  <c r="FP60" i="76"/>
  <c r="EY50" i="7" s="1"/>
  <c r="FP26" i="76"/>
  <c r="EY146" i="7" s="1"/>
  <c r="GQ45" i="76"/>
  <c r="FN35" i="7" s="1"/>
  <c r="GQ69" i="76"/>
  <c r="FN59" i="7" s="1"/>
  <c r="GC55" i="76"/>
  <c r="FF45" i="7" s="1"/>
  <c r="GC29" i="76"/>
  <c r="FF149" i="7" s="1"/>
  <c r="FA28" i="76"/>
  <c r="EP148" i="7" s="1"/>
  <c r="FB58" i="76"/>
  <c r="EQ48" i="7" s="1"/>
  <c r="FB55" i="76"/>
  <c r="EQ45" i="7" s="1"/>
  <c r="FB72" i="76"/>
  <c r="EQ62" i="7" s="1"/>
  <c r="FB57" i="76"/>
  <c r="EQ47" i="7" s="1"/>
  <c r="FB40" i="76"/>
  <c r="EQ30" i="7" s="1"/>
  <c r="FB41" i="76"/>
  <c r="EQ31" i="7" s="1"/>
  <c r="FB73" i="76"/>
  <c r="EQ63" i="7" s="1"/>
  <c r="FA46" i="76"/>
  <c r="EP36" i="7" s="1"/>
  <c r="FA71" i="76"/>
  <c r="EP61" i="7" s="1"/>
  <c r="EM49" i="76"/>
  <c r="EH39" i="7" s="1"/>
  <c r="GC27" i="76"/>
  <c r="FF147" i="7" s="1"/>
  <c r="GQ55" i="76"/>
  <c r="FN45" i="7" s="1"/>
  <c r="FP42" i="76"/>
  <c r="EY32" i="7" s="1"/>
  <c r="FP73" i="76"/>
  <c r="EY63" i="7" s="1"/>
  <c r="EM28" i="76"/>
  <c r="EH148" i="7" s="1"/>
  <c r="EM61" i="76"/>
  <c r="EH51" i="7" s="1"/>
  <c r="GC65" i="76"/>
  <c r="FF55" i="7" s="1"/>
  <c r="EM47" i="76"/>
  <c r="EH37" i="7" s="1"/>
  <c r="FO33" i="76"/>
  <c r="EX23" i="7" s="1"/>
  <c r="FO47" i="76"/>
  <c r="EX37" i="7" s="1"/>
  <c r="FO66" i="76"/>
  <c r="EX56" i="7" s="1"/>
  <c r="FA58" i="76"/>
  <c r="EP48" i="7" s="1"/>
  <c r="EM45" i="76"/>
  <c r="EH35" i="7" s="1"/>
  <c r="GC30" i="76"/>
  <c r="FF150" i="7" s="1"/>
  <c r="EM41" i="76"/>
  <c r="EH31" i="7" s="1"/>
  <c r="GC49" i="76"/>
  <c r="FF39" i="7" s="1"/>
  <c r="EM50" i="76"/>
  <c r="EH40" i="7" s="1"/>
  <c r="GR61" i="76"/>
  <c r="FO51" i="7" s="1"/>
  <c r="FA25" i="76"/>
  <c r="EP145" i="7" s="1"/>
  <c r="GQ38" i="76"/>
  <c r="FN28" i="7" s="1"/>
  <c r="GQ73" i="76"/>
  <c r="FN63" i="7" s="1"/>
  <c r="GQ52" i="76"/>
  <c r="FN42" i="7" s="1"/>
  <c r="GQ54" i="76"/>
  <c r="FN44" i="7" s="1"/>
  <c r="FO50" i="76"/>
  <c r="EX40" i="7" s="1"/>
  <c r="GC25" i="76"/>
  <c r="FF145" i="7" s="1"/>
  <c r="FA27" i="76"/>
  <c r="EP147" i="7" s="1"/>
  <c r="FP31" i="76"/>
  <c r="EY21" i="7" s="1"/>
  <c r="FP64" i="76"/>
  <c r="EY54" i="7" s="1"/>
  <c r="FA37" i="76"/>
  <c r="EP27" i="7" s="1"/>
  <c r="FA39" i="76"/>
  <c r="EP29" i="7" s="1"/>
  <c r="FA50" i="76"/>
  <c r="EP40" i="7" s="1"/>
  <c r="EM46" i="76"/>
  <c r="EH36" i="7" s="1"/>
  <c r="GC37" i="76"/>
  <c r="FF27" i="7" s="1"/>
  <c r="EM39" i="76"/>
  <c r="EH29" i="7" s="1"/>
  <c r="AN112" i="7"/>
  <c r="AT111" i="7"/>
  <c r="EV150" i="7"/>
  <c r="EV20" i="7"/>
  <c r="FD150" i="7"/>
  <c r="FD20" i="7"/>
  <c r="EM29" i="76"/>
  <c r="EH149" i="7" s="1"/>
  <c r="FW149" i="7"/>
  <c r="EM65" i="76"/>
  <c r="EH55" i="7" s="1"/>
  <c r="FW55" i="7"/>
  <c r="EN42" i="76"/>
  <c r="EI32" i="7" s="1"/>
  <c r="GD71" i="76"/>
  <c r="FG61" i="7" s="1"/>
  <c r="GD65" i="76"/>
  <c r="FG55" i="7" s="1"/>
  <c r="GD47" i="76"/>
  <c r="FG37" i="7" s="1"/>
  <c r="FA59" i="76"/>
  <c r="EP49" i="7" s="1"/>
  <c r="FA36" i="76"/>
  <c r="EP26" i="7" s="1"/>
  <c r="FO29" i="76"/>
  <c r="EX149" i="7" s="1"/>
  <c r="GC73" i="76"/>
  <c r="FF63" i="7" s="1"/>
  <c r="GC59" i="76"/>
  <c r="FF49" i="7" s="1"/>
  <c r="EM26" i="76"/>
  <c r="EH146" i="7" s="1"/>
  <c r="FW146" i="7"/>
  <c r="FS104" i="7"/>
  <c r="FY104" i="7" s="1"/>
  <c r="FA4" i="76"/>
  <c r="FA2" i="76" s="1"/>
  <c r="EP14" i="7" s="1"/>
  <c r="EP1" i="7"/>
  <c r="GC4" i="76"/>
  <c r="GC2" i="76" s="1"/>
  <c r="FF14" i="7" s="1"/>
  <c r="FF1" i="7"/>
  <c r="FO4" i="76"/>
  <c r="FO2" i="76" s="1"/>
  <c r="EX14" i="7" s="1"/>
  <c r="EX1" i="7"/>
  <c r="EM36" i="76"/>
  <c r="EH26" i="7" s="1"/>
  <c r="FW26" i="7"/>
  <c r="FW150" i="7"/>
  <c r="FW20" i="7"/>
  <c r="EW150" i="7"/>
  <c r="EW20" i="7"/>
  <c r="GA109" i="7"/>
  <c r="GG109" i="7" s="1"/>
  <c r="FO59" i="76"/>
  <c r="EX49" i="7" s="1"/>
  <c r="GQ51" i="76"/>
  <c r="FN41" i="7" s="1"/>
  <c r="GQ58" i="76"/>
  <c r="FN48" i="7" s="1"/>
  <c r="GQ4" i="76"/>
  <c r="GQ2" i="76" s="1"/>
  <c r="FN14" i="7" s="1"/>
  <c r="FN1" i="7"/>
  <c r="GC50" i="76"/>
  <c r="FF40" i="7" s="1"/>
  <c r="FA65" i="76"/>
  <c r="EP55" i="7" s="1"/>
  <c r="EM4" i="76"/>
  <c r="EM2" i="76" s="1"/>
  <c r="EH14" i="7" s="1"/>
  <c r="EH1" i="7"/>
  <c r="EF150" i="7"/>
  <c r="EF20" i="7"/>
  <c r="EN150" i="7"/>
  <c r="EN20" i="7"/>
  <c r="GC40" i="76"/>
  <c r="FF30" i="7" s="1"/>
  <c r="GC64" i="76"/>
  <c r="FF54" i="7" s="1"/>
  <c r="GC43" i="76"/>
  <c r="FF33" i="7" s="1"/>
  <c r="EM27" i="76"/>
  <c r="EH147" i="7" s="1"/>
  <c r="FW147" i="7"/>
  <c r="GI111" i="7"/>
  <c r="GO111" i="7" s="1"/>
  <c r="FN1" i="76"/>
  <c r="EV13" i="7"/>
  <c r="EV15" i="7" s="1"/>
  <c r="EL1" i="76"/>
  <c r="EF13" i="7"/>
  <c r="EF15" i="7" s="1"/>
  <c r="GP1" i="76"/>
  <c r="FL13" i="7"/>
  <c r="EZ1" i="76"/>
  <c r="EN13" i="7"/>
  <c r="EN15" i="7" s="1"/>
  <c r="GB1" i="76"/>
  <c r="FD13" i="7"/>
  <c r="DM14" i="7"/>
  <c r="DM15" i="7" s="1"/>
  <c r="FC15" i="7"/>
  <c r="DV14" i="7"/>
  <c r="DV15" i="7" s="1"/>
  <c r="FL15" i="7"/>
  <c r="DA14" i="7"/>
  <c r="CV14" i="7"/>
  <c r="CV15" i="7" s="1"/>
  <c r="EL15" i="7"/>
  <c r="CP14" i="7"/>
  <c r="CP15" i="7" s="1"/>
  <c r="DI14" i="7"/>
  <c r="DL14" i="7"/>
  <c r="DL15" i="7" s="1"/>
  <c r="FB15" i="7"/>
  <c r="DE14" i="7"/>
  <c r="DE15" i="7" s="1"/>
  <c r="EU15" i="7"/>
  <c r="DH14" i="7"/>
  <c r="CQ14" i="7"/>
  <c r="CQ15" i="7" s="1"/>
  <c r="CY15" i="7"/>
  <c r="CZ14" i="7"/>
  <c r="FO74" i="76"/>
  <c r="EX64" i="7" s="1"/>
  <c r="EM51" i="76"/>
  <c r="EH41" i="7" s="1"/>
  <c r="GC67" i="76"/>
  <c r="FF57" i="7" s="1"/>
  <c r="FP43" i="76"/>
  <c r="EY33" i="7" s="1"/>
  <c r="FB66" i="76"/>
  <c r="EQ56" i="7" s="1"/>
  <c r="FO27" i="76"/>
  <c r="EX147" i="7" s="1"/>
  <c r="FA61" i="76"/>
  <c r="EP51" i="7" s="1"/>
  <c r="GQ37" i="76"/>
  <c r="FN27" i="7" s="1"/>
  <c r="GQ72" i="76"/>
  <c r="FN62" i="7" s="1"/>
  <c r="GQ31" i="76"/>
  <c r="FN21" i="7" s="1"/>
  <c r="GQ41" i="76"/>
  <c r="FN31" i="7" s="1"/>
  <c r="GQ61" i="76"/>
  <c r="FN51" i="7" s="1"/>
  <c r="GR68" i="76"/>
  <c r="FO58" i="7" s="1"/>
  <c r="FO35" i="76"/>
  <c r="EX25" i="7" s="1"/>
  <c r="FO36" i="76"/>
  <c r="EX26" i="7" s="1"/>
  <c r="FO44" i="76"/>
  <c r="EX34" i="7" s="1"/>
  <c r="FO25" i="76"/>
  <c r="EX145" i="7" s="1"/>
  <c r="FO26" i="76"/>
  <c r="EX146" i="7" s="1"/>
  <c r="FO32" i="76"/>
  <c r="EX22" i="7" s="1"/>
  <c r="FO46" i="76"/>
  <c r="EX36" i="7" s="1"/>
  <c r="FO28" i="76"/>
  <c r="EX148" i="7" s="1"/>
  <c r="EM53" i="76"/>
  <c r="EH43" i="7" s="1"/>
  <c r="EM54" i="76"/>
  <c r="EH44" i="7" s="1"/>
  <c r="EM52" i="76"/>
  <c r="EH42" i="7" s="1"/>
  <c r="FA33" i="76"/>
  <c r="EP23" i="7" s="1"/>
  <c r="EM62" i="76"/>
  <c r="EH52" i="7" s="1"/>
  <c r="GC45" i="76"/>
  <c r="FF35" i="7" s="1"/>
  <c r="FA30" i="76"/>
  <c r="EM32" i="76"/>
  <c r="EH22" i="7" s="1"/>
  <c r="FA64" i="76"/>
  <c r="EP54" i="7" s="1"/>
  <c r="FA43" i="76"/>
  <c r="EP33" i="7" s="1"/>
  <c r="EM33" i="76"/>
  <c r="EH23" i="7" s="1"/>
  <c r="GC60" i="76"/>
  <c r="FF50" i="7" s="1"/>
  <c r="FP36" i="76"/>
  <c r="EY26" i="7" s="1"/>
  <c r="FP38" i="76"/>
  <c r="EY28" i="7" s="1"/>
  <c r="FP74" i="76"/>
  <c r="EY64" i="7" s="1"/>
  <c r="FP34" i="76"/>
  <c r="EY24" i="7" s="1"/>
  <c r="FA67" i="76"/>
  <c r="EP57" i="7" s="1"/>
  <c r="FA52" i="76"/>
  <c r="EP42" i="7" s="1"/>
  <c r="FA41" i="76"/>
  <c r="EP31" i="7" s="1"/>
  <c r="FB52" i="76"/>
  <c r="EQ42" i="7" s="1"/>
  <c r="FB61" i="76"/>
  <c r="EQ51" i="7" s="1"/>
  <c r="FB50" i="76"/>
  <c r="EQ40" i="7" s="1"/>
  <c r="FA32" i="76"/>
  <c r="EP22" i="7" s="1"/>
  <c r="FA51" i="76"/>
  <c r="EP41" i="7" s="1"/>
  <c r="GQ42" i="76"/>
  <c r="FN32" i="7" s="1"/>
  <c r="GQ57" i="76"/>
  <c r="FN47" i="7" s="1"/>
  <c r="EM72" i="76"/>
  <c r="EH62" i="7" s="1"/>
  <c r="FP30" i="76"/>
  <c r="FO70" i="76"/>
  <c r="EX60" i="7" s="1"/>
  <c r="FA31" i="76"/>
  <c r="EP21" i="7" s="1"/>
  <c r="FA74" i="76"/>
  <c r="EP64" i="7" s="1"/>
  <c r="FA47" i="76"/>
  <c r="EP37" i="7" s="1"/>
  <c r="FA66" i="76"/>
  <c r="EP56" i="7" s="1"/>
  <c r="FA70" i="76"/>
  <c r="EP60" i="7" s="1"/>
  <c r="EM70" i="76"/>
  <c r="EH60" i="7" s="1"/>
  <c r="EM40" i="76"/>
  <c r="EH30" i="7" s="1"/>
  <c r="EM44" i="76"/>
  <c r="EH34" i="7" s="1"/>
  <c r="GC57" i="76"/>
  <c r="FF47" i="7" s="1"/>
  <c r="EM56" i="76"/>
  <c r="EH46" i="7" s="1"/>
  <c r="FA68" i="76"/>
  <c r="EP58" i="7" s="1"/>
  <c r="FA57" i="76"/>
  <c r="EP47" i="7" s="1"/>
  <c r="FA69" i="76"/>
  <c r="EP59" i="7" s="1"/>
  <c r="EM74" i="76"/>
  <c r="EH64" i="7" s="1"/>
  <c r="EM66" i="76"/>
  <c r="EH56" i="7" s="1"/>
  <c r="FA48" i="76"/>
  <c r="EP38" i="7" s="1"/>
  <c r="FA60" i="76"/>
  <c r="EP50" i="7" s="1"/>
  <c r="FA45" i="76"/>
  <c r="EP35" i="7" s="1"/>
  <c r="FA44" i="76"/>
  <c r="EP34" i="7" s="1"/>
  <c r="EM67" i="76"/>
  <c r="EH57" i="7" s="1"/>
  <c r="EM43" i="76"/>
  <c r="EH33" i="7" s="1"/>
  <c r="EM60" i="76"/>
  <c r="EH50" i="7" s="1"/>
  <c r="EM35" i="76"/>
  <c r="EH25" i="7" s="1"/>
  <c r="EM69" i="76"/>
  <c r="EH59" i="7" s="1"/>
  <c r="EM48" i="76"/>
  <c r="EH38" i="7" s="1"/>
  <c r="EM37" i="76"/>
  <c r="EH27" i="7" s="1"/>
  <c r="EM34" i="76"/>
  <c r="EH24" i="7" s="1"/>
  <c r="FO53" i="76"/>
  <c r="EX43" i="7" s="1"/>
  <c r="FA54" i="76"/>
  <c r="EP44" i="7" s="1"/>
  <c r="FA40" i="76"/>
  <c r="EP30" i="7" s="1"/>
  <c r="FA62" i="76"/>
  <c r="EP52" i="7" s="1"/>
  <c r="FA38" i="76"/>
  <c r="EP28" i="7" s="1"/>
  <c r="FA34" i="76"/>
  <c r="EP24" i="7" s="1"/>
  <c r="EM68" i="76"/>
  <c r="EH58" i="7" s="1"/>
  <c r="EM64" i="76"/>
  <c r="EH54" i="7" s="1"/>
  <c r="GQ48" i="76"/>
  <c r="FN38" i="7" s="1"/>
  <c r="GQ49" i="76"/>
  <c r="FN39" i="7" s="1"/>
  <c r="GQ34" i="76"/>
  <c r="FN24" i="7" s="1"/>
  <c r="GQ30" i="76"/>
  <c r="EM73" i="76"/>
  <c r="EH63" i="7" s="1"/>
  <c r="EM38" i="76"/>
  <c r="EH28" i="7" s="1"/>
  <c r="EM42" i="76"/>
  <c r="EH32" i="7" s="1"/>
  <c r="EM30" i="76"/>
  <c r="EM58" i="76"/>
  <c r="EH48" i="7" s="1"/>
  <c r="O132" i="38"/>
  <c r="O132" i="45"/>
  <c r="O130" i="38"/>
  <c r="O23" i="45"/>
  <c r="O22" i="45"/>
  <c r="O20" i="45"/>
  <c r="O21" i="45"/>
  <c r="D21" i="41" s="1"/>
  <c r="O130" i="45"/>
  <c r="O23" i="46"/>
  <c r="O20" i="46"/>
  <c r="R20" i="46" s="1"/>
  <c r="O22" i="46"/>
  <c r="E22" i="41" s="1"/>
  <c r="O21" i="46"/>
  <c r="E21" i="41" s="1"/>
  <c r="O130" i="46"/>
  <c r="O22" i="38"/>
  <c r="O20" i="38"/>
  <c r="R20" i="38" s="1"/>
  <c r="O21" i="38"/>
  <c r="C21" i="41" s="1"/>
  <c r="O23" i="38"/>
  <c r="V17" i="46"/>
  <c r="L1" i="46"/>
  <c r="L4" i="46"/>
  <c r="V17" i="45"/>
  <c r="L4" i="45"/>
  <c r="L1" i="45"/>
  <c r="JJ17" i="38"/>
  <c r="L1" i="38"/>
  <c r="AX16" i="46"/>
  <c r="AN7" i="45"/>
  <c r="AA126" i="41" s="1"/>
  <c r="AE126" i="41" s="1"/>
  <c r="AN14" i="45"/>
  <c r="CQ17" i="38"/>
  <c r="HS17" i="38"/>
  <c r="BB17" i="38"/>
  <c r="AY17" i="38"/>
  <c r="AY71" i="38" s="1"/>
  <c r="X17" i="38"/>
  <c r="DW6" i="38"/>
  <c r="IJ17" i="38"/>
  <c r="IC17" i="38"/>
  <c r="HV17" i="38"/>
  <c r="U17" i="38"/>
  <c r="J13" i="38"/>
  <c r="GI17" i="38"/>
  <c r="FB17" i="38"/>
  <c r="EH6" i="38"/>
  <c r="AA17" i="38"/>
  <c r="JC17" i="38"/>
  <c r="HT17" i="38"/>
  <c r="HM17" i="38"/>
  <c r="HF17" i="38"/>
  <c r="G17" i="38"/>
  <c r="AS17" i="38"/>
  <c r="EW17" i="38"/>
  <c r="GN17" i="38"/>
  <c r="IE17" i="38"/>
  <c r="IZ17" i="38"/>
  <c r="GG17" i="38"/>
  <c r="IS17" i="38"/>
  <c r="FZ17" i="38"/>
  <c r="IL17" i="38"/>
  <c r="H17" i="38"/>
  <c r="GB17" i="38"/>
  <c r="GU17" i="38"/>
  <c r="IQ17" i="38"/>
  <c r="HD17" i="38"/>
  <c r="AO17" i="38"/>
  <c r="GW17" i="38"/>
  <c r="JI17" i="38"/>
  <c r="GP17" i="38"/>
  <c r="JB17" i="38"/>
  <c r="AE17" i="38"/>
  <c r="Q17" i="38"/>
  <c r="AK17" i="38"/>
  <c r="Z17" i="38"/>
  <c r="W17" i="38"/>
  <c r="T17" i="38"/>
  <c r="CD17" i="38"/>
  <c r="FT17" i="38"/>
  <c r="HC17" i="38"/>
  <c r="JO17" i="38"/>
  <c r="BG17" i="38"/>
  <c r="GM17" i="38"/>
  <c r="IM17" i="38"/>
  <c r="AX17" i="38"/>
  <c r="GF17" i="38"/>
  <c r="IA17" i="38"/>
  <c r="AR17" i="38"/>
  <c r="GA17" i="38"/>
  <c r="HO17" i="38"/>
  <c r="GZ17" i="38"/>
  <c r="HP17" i="38"/>
  <c r="IF17" i="38"/>
  <c r="IV17" i="38"/>
  <c r="JL17" i="38"/>
  <c r="AT17" i="38"/>
  <c r="AT88" i="38" s="1"/>
  <c r="EM17" i="38"/>
  <c r="GC17" i="38"/>
  <c r="GS17" i="38"/>
  <c r="HI17" i="38"/>
  <c r="HY17" i="38"/>
  <c r="IO17" i="38"/>
  <c r="JE17" i="38"/>
  <c r="CK17" i="38"/>
  <c r="BF17" i="38"/>
  <c r="FV17" i="38"/>
  <c r="GL17" i="38"/>
  <c r="HB17" i="38"/>
  <c r="HR17" i="38"/>
  <c r="IH17" i="38"/>
  <c r="IX17" i="38"/>
  <c r="JN17" i="38"/>
  <c r="AD17" i="38"/>
  <c r="F17" i="38"/>
  <c r="Y17" i="38"/>
  <c r="L17" i="38"/>
  <c r="M17" i="38"/>
  <c r="J17" i="38"/>
  <c r="AB17" i="38"/>
  <c r="BC17" i="38"/>
  <c r="GJ17" i="38"/>
  <c r="II17" i="38"/>
  <c r="CI17" i="38"/>
  <c r="FW17" i="38"/>
  <c r="HG17" i="38"/>
  <c r="AN17" i="38"/>
  <c r="EX17" i="38"/>
  <c r="GV17" i="38"/>
  <c r="JG17" i="38"/>
  <c r="EL17" i="38"/>
  <c r="GQ17" i="38"/>
  <c r="IU17" i="38"/>
  <c r="HH17" i="38"/>
  <c r="HX17" i="38"/>
  <c r="IN17" i="38"/>
  <c r="JD17" i="38"/>
  <c r="CJ17" i="38"/>
  <c r="BD17" i="38"/>
  <c r="FU17" i="38"/>
  <c r="GK17" i="38"/>
  <c r="HA17" i="38"/>
  <c r="HQ17" i="38"/>
  <c r="IG17" i="38"/>
  <c r="IW17" i="38"/>
  <c r="JM17" i="38"/>
  <c r="AV17" i="38"/>
  <c r="EV17" i="38"/>
  <c r="GD17" i="38"/>
  <c r="GT17" i="38"/>
  <c r="HJ17" i="38"/>
  <c r="HZ17" i="38"/>
  <c r="IP17" i="38"/>
  <c r="JF17" i="38"/>
  <c r="V17" i="38"/>
  <c r="E2" i="41"/>
  <c r="D8" i="46"/>
  <c r="F8" i="41" s="1"/>
  <c r="K17" i="38"/>
  <c r="AC17" i="38"/>
  <c r="R17" i="38"/>
  <c r="S17" i="38"/>
  <c r="P17" i="38"/>
  <c r="AJ17" i="38"/>
  <c r="EN17" i="38"/>
  <c r="GR17" i="38"/>
  <c r="IY17" i="38"/>
  <c r="AW17" i="38"/>
  <c r="GE17" i="38"/>
  <c r="HW17" i="38"/>
  <c r="CO17" i="38"/>
  <c r="FX17" i="38"/>
  <c r="HK17" i="38"/>
  <c r="CC17" i="38"/>
  <c r="FS17" i="38"/>
  <c r="GY17" i="38"/>
  <c r="JK17" i="38"/>
  <c r="HL17" i="38"/>
  <c r="IB17" i="38"/>
  <c r="IR17" i="38"/>
  <c r="JH17" i="38"/>
  <c r="CP17" i="38"/>
  <c r="EA6" i="38"/>
  <c r="EA8" i="38" s="1"/>
  <c r="EA9" i="38" s="1"/>
  <c r="CD9" i="41" s="1"/>
  <c r="FY17" i="38"/>
  <c r="GO17" i="38"/>
  <c r="HE17" i="38"/>
  <c r="HU17" i="38"/>
  <c r="IK17" i="38"/>
  <c r="JA17" i="38"/>
  <c r="CB17" i="38"/>
  <c r="BA17" i="38"/>
  <c r="FC17" i="38"/>
  <c r="GH17" i="38"/>
  <c r="GX17" i="38"/>
  <c r="HN17" i="38"/>
  <c r="ID17" i="38"/>
  <c r="IT17" i="38"/>
  <c r="H12" i="46"/>
  <c r="I12" i="46"/>
  <c r="F16" i="46"/>
  <c r="D8" i="45"/>
  <c r="E8" i="41" s="1"/>
  <c r="CJ8" i="41" s="1"/>
  <c r="FT20" i="45"/>
  <c r="AO17" i="45"/>
  <c r="E20" i="41"/>
  <c r="M19" i="41" s="1"/>
  <c r="FR6" i="45"/>
  <c r="FP6" i="45"/>
  <c r="FT6" i="45"/>
  <c r="FR20" i="45"/>
  <c r="AO14" i="38"/>
  <c r="P17" i="45"/>
  <c r="D22" i="41"/>
  <c r="FV20" i="45"/>
  <c r="FV22" i="45"/>
  <c r="FS20" i="45"/>
  <c r="FS6" i="45"/>
  <c r="D4" i="45"/>
  <c r="FV6" i="45"/>
  <c r="FQ6" i="45"/>
  <c r="FQ20" i="45"/>
  <c r="FV21" i="45"/>
  <c r="FU20" i="45"/>
  <c r="G17" i="45"/>
  <c r="AC17" i="45"/>
  <c r="AS16" i="45"/>
  <c r="W17" i="45"/>
  <c r="BG17" i="45"/>
  <c r="F17" i="45"/>
  <c r="J17" i="45"/>
  <c r="AJ17" i="45"/>
  <c r="Z17" i="45"/>
  <c r="AV17" i="45"/>
  <c r="AS17" i="45"/>
  <c r="H17" i="45"/>
  <c r="AT17" i="45"/>
  <c r="AT74" i="45" s="1"/>
  <c r="BA17" i="45"/>
  <c r="U17" i="45"/>
  <c r="AA17" i="45"/>
  <c r="AB17" i="45"/>
  <c r="BC17" i="45"/>
  <c r="AD17" i="45"/>
  <c r="FQ20" i="46"/>
  <c r="FQ6" i="46"/>
  <c r="L17" i="45"/>
  <c r="Y17" i="45"/>
  <c r="AN17" i="45"/>
  <c r="AX17" i="45"/>
  <c r="AK17" i="45"/>
  <c r="AW17" i="45"/>
  <c r="X17" i="45"/>
  <c r="BD17" i="45"/>
  <c r="T17" i="45"/>
  <c r="AE17" i="45"/>
  <c r="AR17" i="45"/>
  <c r="S17" i="45"/>
  <c r="K17" i="45"/>
  <c r="BB17" i="45"/>
  <c r="Q17" i="45"/>
  <c r="BF17" i="45"/>
  <c r="AY17" i="45"/>
  <c r="AY95" i="45" s="1"/>
  <c r="M17" i="45"/>
  <c r="J13" i="45"/>
  <c r="CL6" i="41"/>
  <c r="CM6" i="41" s="1"/>
  <c r="AE17" i="46"/>
  <c r="O1" i="41"/>
  <c r="G16" i="45"/>
  <c r="Z17" i="46"/>
  <c r="A2" i="46"/>
  <c r="T1" i="41"/>
  <c r="AX16" i="45"/>
  <c r="AX17" i="46"/>
  <c r="F1" i="41"/>
  <c r="P1" i="41" s="1"/>
  <c r="G16" i="46"/>
  <c r="F16" i="45"/>
  <c r="AS16" i="46"/>
  <c r="AW17" i="46"/>
  <c r="BG17" i="46"/>
  <c r="AB17" i="46"/>
  <c r="AH16" i="41"/>
  <c r="Y17" i="46"/>
  <c r="L17" i="46"/>
  <c r="J13" i="46"/>
  <c r="J17" i="46"/>
  <c r="AC17" i="46"/>
  <c r="P17" i="46"/>
  <c r="BA17" i="46"/>
  <c r="F17" i="46"/>
  <c r="K17" i="46"/>
  <c r="M17" i="46"/>
  <c r="AR17" i="46"/>
  <c r="X17" i="46"/>
  <c r="S17" i="46"/>
  <c r="W17" i="46"/>
  <c r="AD17" i="46"/>
  <c r="AN14" i="46"/>
  <c r="AV17" i="46"/>
  <c r="H17" i="46"/>
  <c r="U17" i="46"/>
  <c r="AK17" i="46"/>
  <c r="G17" i="46"/>
  <c r="AT17" i="46"/>
  <c r="AT30" i="46" s="1"/>
  <c r="AA17" i="46"/>
  <c r="AO17" i="46"/>
  <c r="AS17" i="46"/>
  <c r="BB17" i="46"/>
  <c r="T17" i="46"/>
  <c r="AJ17" i="46"/>
  <c r="BF17" i="46"/>
  <c r="Q17" i="46"/>
  <c r="BD17" i="46"/>
  <c r="AN17" i="46"/>
  <c r="AY17" i="46"/>
  <c r="AY39" i="46" s="1"/>
  <c r="BC17" i="46"/>
  <c r="AO7" i="45"/>
  <c r="AT14" i="41"/>
  <c r="DS5" i="38"/>
  <c r="DU12" i="38" s="1"/>
  <c r="DU7" i="38" s="1"/>
  <c r="AU14" i="41"/>
  <c r="AO14" i="46"/>
  <c r="CD5" i="41"/>
  <c r="CL3" i="41"/>
  <c r="CN3" i="41" s="1"/>
  <c r="DS12" i="38"/>
  <c r="DS7" i="38" s="1"/>
  <c r="D2" i="41"/>
  <c r="AH6" i="41" s="1"/>
  <c r="DT12" i="38"/>
  <c r="DT7" i="38" s="1"/>
  <c r="AQ14" i="41"/>
  <c r="AR3" i="41" s="1"/>
  <c r="BR12" i="38"/>
  <c r="CQ12" i="38"/>
  <c r="BW12" i="38"/>
  <c r="BU12" i="38"/>
  <c r="CF12" i="38"/>
  <c r="BS12" i="38"/>
  <c r="EV4" i="38"/>
  <c r="CO12" i="38"/>
  <c r="BV14" i="41" s="1"/>
  <c r="BV15" i="41" s="1"/>
  <c r="CH12" i="38"/>
  <c r="CB12" i="38"/>
  <c r="BL14" i="41" s="1"/>
  <c r="BL15" i="41" s="1"/>
  <c r="CC12" i="38"/>
  <c r="AS16" i="38"/>
  <c r="CD4" i="41"/>
  <c r="AO7" i="38"/>
  <c r="CN14" i="38" s="1"/>
  <c r="ED12" i="38"/>
  <c r="ED7" i="38" s="1"/>
  <c r="EF12" i="38"/>
  <c r="EF7" i="38" s="1"/>
  <c r="BX12" i="38"/>
  <c r="BX20" i="38" s="1"/>
  <c r="BJ20" i="41" s="1"/>
  <c r="BV12" i="38"/>
  <c r="EE12" i="38"/>
  <c r="EE7" i="38" s="1"/>
  <c r="AN7" i="38"/>
  <c r="CH7" i="38" s="1"/>
  <c r="CK12" i="38"/>
  <c r="CL12" i="38"/>
  <c r="CN12" i="38"/>
  <c r="CR12" i="38"/>
  <c r="AO14" i="41"/>
  <c r="AP3" i="41" s="1"/>
  <c r="AS3" i="41" s="1"/>
  <c r="EC12" i="38"/>
  <c r="EC7" i="38" s="1"/>
  <c r="EL12" i="38"/>
  <c r="EL7" i="38" s="1"/>
  <c r="AN14" i="38"/>
  <c r="CF14" i="38" s="1"/>
  <c r="CE12" i="38"/>
  <c r="CD12" i="38"/>
  <c r="CI12" i="38"/>
  <c r="BQ14" i="41" s="1"/>
  <c r="BQ15" i="41" s="1"/>
  <c r="CP12" i="38"/>
  <c r="BT12" i="38"/>
  <c r="BG14" i="41" s="1"/>
  <c r="BG15" i="41" s="1"/>
  <c r="D4" i="38"/>
  <c r="D4" i="41" s="1"/>
  <c r="G4" i="41" s="1"/>
  <c r="H7" i="41"/>
  <c r="I7" i="41" s="1"/>
  <c r="CK19" i="38"/>
  <c r="F16" i="38"/>
  <c r="AX16" i="38"/>
  <c r="CJ19" i="38"/>
  <c r="CC19" i="38"/>
  <c r="G6" i="41"/>
  <c r="H6" i="41" s="1"/>
  <c r="P6" i="41" s="1"/>
  <c r="U6" i="41" s="1"/>
  <c r="G16" i="38"/>
  <c r="D8" i="38"/>
  <c r="D8" i="41" s="1"/>
  <c r="CK8" i="41" s="1"/>
  <c r="D5" i="38"/>
  <c r="D5" i="41" s="1"/>
  <c r="G5" i="41" s="1"/>
  <c r="CQ19" i="38"/>
  <c r="CP19" i="38"/>
  <c r="CK7" i="41"/>
  <c r="CL7" i="41" s="1"/>
  <c r="CM7" i="41" s="1"/>
  <c r="FR21" i="45"/>
  <c r="A23" i="41"/>
  <c r="A23" i="7"/>
  <c r="AD20" i="4"/>
  <c r="A23" i="6"/>
  <c r="P20" i="4"/>
  <c r="AE20" i="4"/>
  <c r="FU21" i="45"/>
  <c r="FT21" i="45"/>
  <c r="Q20" i="4"/>
  <c r="FS21" i="45"/>
  <c r="BQ22" i="38"/>
  <c r="FN22" i="38"/>
  <c r="CW22" i="41" s="1"/>
  <c r="EM63" i="76"/>
  <c r="EH53" i="7" s="1"/>
  <c r="GC58" i="76"/>
  <c r="FF48" i="7" s="1"/>
  <c r="EM55" i="76"/>
  <c r="EH45" i="7" s="1"/>
  <c r="GC47" i="76"/>
  <c r="FF37" i="7" s="1"/>
  <c r="GC63" i="76"/>
  <c r="FF53" i="7" s="1"/>
  <c r="EM59" i="76"/>
  <c r="EH49" i="7" s="1"/>
  <c r="FA72" i="76"/>
  <c r="EP62" i="7" s="1"/>
  <c r="FA55" i="76"/>
  <c r="EP45" i="7" s="1"/>
  <c r="FA73" i="76"/>
  <c r="EP63" i="7" s="1"/>
  <c r="FA49" i="76"/>
  <c r="EP39" i="7" s="1"/>
  <c r="GC72" i="76"/>
  <c r="FF62" i="7" s="1"/>
  <c r="EM31" i="76"/>
  <c r="EH21" i="7" s="1"/>
  <c r="FA42" i="76"/>
  <c r="EP32" i="7" s="1"/>
  <c r="FA63" i="76"/>
  <c r="EP53" i="7" s="1"/>
  <c r="FA56" i="76"/>
  <c r="EP46" i="7" s="1"/>
  <c r="FA53" i="76"/>
  <c r="EP43" i="7" s="1"/>
  <c r="FP45" i="76"/>
  <c r="EY35" i="7" s="1"/>
  <c r="GR64" i="76"/>
  <c r="FO54" i="7" s="1"/>
  <c r="FO57" i="76"/>
  <c r="EX47" i="7" s="1"/>
  <c r="GQ70" i="76"/>
  <c r="FN60" i="7" s="1"/>
  <c r="FO71" i="76"/>
  <c r="EX61" i="7" s="1"/>
  <c r="FO54" i="76"/>
  <c r="EX44" i="7" s="1"/>
  <c r="GQ74" i="76"/>
  <c r="FN64" i="7" s="1"/>
  <c r="FO69" i="76"/>
  <c r="EX59" i="7" s="1"/>
  <c r="FO49" i="76"/>
  <c r="EX39" i="7" s="1"/>
  <c r="FO65" i="76"/>
  <c r="EX55" i="7" s="1"/>
  <c r="FO52" i="76"/>
  <c r="EX42" i="7" s="1"/>
  <c r="FO45" i="76"/>
  <c r="EX35" i="7" s="1"/>
  <c r="GQ50" i="76"/>
  <c r="FN40" i="7" s="1"/>
  <c r="FO40" i="76"/>
  <c r="EX30" i="7" s="1"/>
  <c r="FO42" i="76"/>
  <c r="EX32" i="7" s="1"/>
  <c r="GQ35" i="76"/>
  <c r="FN25" i="7" s="1"/>
  <c r="GR62" i="76"/>
  <c r="FO52" i="7" s="1"/>
  <c r="FP62" i="76"/>
  <c r="EY52" i="7" s="1"/>
  <c r="FO34" i="76"/>
  <c r="EX24" i="7" s="1"/>
  <c r="EN99" i="76"/>
  <c r="EI89" i="7" s="1"/>
  <c r="EN92" i="76"/>
  <c r="EI82" i="7" s="1"/>
  <c r="EN12" i="76"/>
  <c r="EI132" i="7" s="1"/>
  <c r="EN3" i="76"/>
  <c r="EN13" i="76"/>
  <c r="EI133" i="7" s="1"/>
  <c r="EN79" i="76"/>
  <c r="EI69" i="7" s="1"/>
  <c r="EN94" i="76"/>
  <c r="EI84" i="7" s="1"/>
  <c r="EN105" i="76"/>
  <c r="EI95" i="7" s="1"/>
  <c r="EN15" i="76"/>
  <c r="EI135" i="7" s="1"/>
  <c r="EN93" i="76"/>
  <c r="EI83" i="7" s="1"/>
  <c r="EN20" i="76"/>
  <c r="EI140" i="7" s="1"/>
  <c r="EN96" i="76"/>
  <c r="EI86" i="7" s="1"/>
  <c r="EN100" i="76"/>
  <c r="EI90" i="7" s="1"/>
  <c r="EN110" i="76"/>
  <c r="EI100" i="7" s="1"/>
  <c r="EN82" i="76"/>
  <c r="EI72" i="7" s="1"/>
  <c r="EN109" i="76"/>
  <c r="EI99" i="7" s="1"/>
  <c r="EN107" i="76"/>
  <c r="EI97" i="7" s="1"/>
  <c r="EN76" i="76"/>
  <c r="EI66" i="7" s="1"/>
  <c r="EN84" i="76"/>
  <c r="EI74" i="7" s="1"/>
  <c r="EN97" i="76"/>
  <c r="EI87" i="7" s="1"/>
  <c r="EN24" i="76"/>
  <c r="EI144" i="7" s="1"/>
  <c r="EN59" i="76"/>
  <c r="EI49" i="7" s="1"/>
  <c r="EN23" i="76"/>
  <c r="EI143" i="7" s="1"/>
  <c r="EN104" i="76"/>
  <c r="EI94" i="7" s="1"/>
  <c r="EN98" i="76"/>
  <c r="EI88" i="7" s="1"/>
  <c r="EN56" i="76"/>
  <c r="EI46" i="7" s="1"/>
  <c r="EN102" i="76"/>
  <c r="EI92" i="7" s="1"/>
  <c r="EN71" i="76"/>
  <c r="EI61" i="7" s="1"/>
  <c r="EN81" i="76"/>
  <c r="EI71" i="7" s="1"/>
  <c r="EN48" i="76"/>
  <c r="EI38" i="7" s="1"/>
  <c r="EN38" i="76"/>
  <c r="EI28" i="7" s="1"/>
  <c r="EN22" i="76"/>
  <c r="EI142" i="7" s="1"/>
  <c r="EN86" i="76"/>
  <c r="EI76" i="7" s="1"/>
  <c r="EN80" i="76"/>
  <c r="EI70" i="7" s="1"/>
  <c r="EN77" i="76"/>
  <c r="EI67" i="7" s="1"/>
  <c r="EN63" i="76"/>
  <c r="EI53" i="7" s="1"/>
  <c r="EN55" i="76"/>
  <c r="EI45" i="7" s="1"/>
  <c r="EN17" i="76"/>
  <c r="EI137" i="7" s="1"/>
  <c r="EN39" i="76"/>
  <c r="EI29" i="7" s="1"/>
  <c r="EN19" i="76"/>
  <c r="EI139" i="7" s="1"/>
  <c r="EN29" i="76"/>
  <c r="EI149" i="7" s="1"/>
  <c r="EN30" i="76"/>
  <c r="EN78" i="76"/>
  <c r="EI68" i="7" s="1"/>
  <c r="EN31" i="76"/>
  <c r="EI21" i="7" s="1"/>
  <c r="EN103" i="76"/>
  <c r="EI93" i="7" s="1"/>
  <c r="EN108" i="76"/>
  <c r="EI98" i="7" s="1"/>
  <c r="EN83" i="76"/>
  <c r="EI73" i="7" s="1"/>
  <c r="EN25" i="76"/>
  <c r="EI145" i="7" s="1"/>
  <c r="EN66" i="76"/>
  <c r="EI56" i="7" s="1"/>
  <c r="EN18" i="76"/>
  <c r="EI138" i="7" s="1"/>
  <c r="EN9" i="76"/>
  <c r="EN90" i="76"/>
  <c r="EI80" i="7" s="1"/>
  <c r="EN32" i="76"/>
  <c r="EI22" i="7" s="1"/>
  <c r="EN16" i="76"/>
  <c r="EI136" i="7" s="1"/>
  <c r="EN62" i="76"/>
  <c r="EI52" i="7" s="1"/>
  <c r="EN95" i="76"/>
  <c r="EI85" i="7" s="1"/>
  <c r="EN74" i="76"/>
  <c r="EI64" i="7" s="1"/>
  <c r="EN89" i="76"/>
  <c r="EI79" i="7" s="1"/>
  <c r="EN101" i="76"/>
  <c r="EI91" i="7" s="1"/>
  <c r="EN51" i="76"/>
  <c r="EI41" i="7" s="1"/>
  <c r="EN41" i="76"/>
  <c r="EI31" i="7" s="1"/>
  <c r="EN87" i="76"/>
  <c r="EI77" i="7" s="1"/>
  <c r="EN72" i="76"/>
  <c r="EI62" i="7" s="1"/>
  <c r="EN69" i="76"/>
  <c r="EI59" i="7" s="1"/>
  <c r="EN53" i="76"/>
  <c r="EI43" i="7" s="1"/>
  <c r="EN33" i="76"/>
  <c r="EI23" i="7" s="1"/>
  <c r="EN50" i="76"/>
  <c r="EI40" i="7" s="1"/>
  <c r="EN40" i="76"/>
  <c r="EI30" i="7" s="1"/>
  <c r="EN106" i="76"/>
  <c r="EI96" i="7" s="1"/>
  <c r="EN85" i="76"/>
  <c r="EI75" i="7" s="1"/>
  <c r="EN37" i="76"/>
  <c r="EI27" i="7" s="1"/>
  <c r="EN11" i="76"/>
  <c r="EI131" i="7" s="1"/>
  <c r="EN10" i="76"/>
  <c r="EI130" i="7" s="1"/>
  <c r="EN91" i="76"/>
  <c r="EI81" i="7" s="1"/>
  <c r="EN88" i="76"/>
  <c r="EI78" i="7" s="1"/>
  <c r="EN70" i="76"/>
  <c r="EI60" i="7" s="1"/>
  <c r="EN44" i="76"/>
  <c r="EI34" i="7" s="1"/>
  <c r="EN21" i="76"/>
  <c r="EI141" i="7" s="1"/>
  <c r="EN14" i="76"/>
  <c r="EI134" i="7" s="1"/>
  <c r="EN67" i="76"/>
  <c r="EI57" i="7" s="1"/>
  <c r="EN57" i="76"/>
  <c r="EI47" i="7" s="1"/>
  <c r="EN75" i="76"/>
  <c r="EI65" i="7" s="1"/>
  <c r="EN49" i="76"/>
  <c r="EI39" i="7" s="1"/>
  <c r="EN54" i="76"/>
  <c r="EI44" i="7" s="1"/>
  <c r="GQ32" i="76"/>
  <c r="FN22" i="7" s="1"/>
  <c r="EN47" i="76"/>
  <c r="EI37" i="7" s="1"/>
  <c r="GR92" i="76"/>
  <c r="FO82" i="7" s="1"/>
  <c r="GR12" i="76"/>
  <c r="FO132" i="7" s="1"/>
  <c r="GR99" i="76"/>
  <c r="FO89" i="7" s="1"/>
  <c r="GR94" i="76"/>
  <c r="FO84" i="7" s="1"/>
  <c r="GR109" i="76"/>
  <c r="FO99" i="7" s="1"/>
  <c r="GR3" i="76"/>
  <c r="GR75" i="76"/>
  <c r="FO65" i="7" s="1"/>
  <c r="GR79" i="76"/>
  <c r="FO69" i="7" s="1"/>
  <c r="GR80" i="76"/>
  <c r="FO70" i="7" s="1"/>
  <c r="GR85" i="76"/>
  <c r="FO75" i="7" s="1"/>
  <c r="GR100" i="76"/>
  <c r="FO90" i="7" s="1"/>
  <c r="GR105" i="76"/>
  <c r="FO95" i="7" s="1"/>
  <c r="GR106" i="76"/>
  <c r="FO96" i="7" s="1"/>
  <c r="GR21" i="76"/>
  <c r="FO141" i="7" s="1"/>
  <c r="GR16" i="76"/>
  <c r="FO136" i="7" s="1"/>
  <c r="GR24" i="76"/>
  <c r="FO144" i="7" s="1"/>
  <c r="GR13" i="76"/>
  <c r="FO133" i="7" s="1"/>
  <c r="GR93" i="76"/>
  <c r="FO83" i="7" s="1"/>
  <c r="GR108" i="76"/>
  <c r="FO98" i="7" s="1"/>
  <c r="GR78" i="76"/>
  <c r="FO68" i="7" s="1"/>
  <c r="GR19" i="76"/>
  <c r="FO139" i="7" s="1"/>
  <c r="GR90" i="76"/>
  <c r="FO80" i="7" s="1"/>
  <c r="GR102" i="76"/>
  <c r="FO92" i="7" s="1"/>
  <c r="GR101" i="76"/>
  <c r="FO91" i="7" s="1"/>
  <c r="GR89" i="76"/>
  <c r="FO79" i="7" s="1"/>
  <c r="GR91" i="76"/>
  <c r="FO81" i="7" s="1"/>
  <c r="GR83" i="76"/>
  <c r="FO73" i="7" s="1"/>
  <c r="GR29" i="76"/>
  <c r="FO149" i="7" s="1"/>
  <c r="GR97" i="76"/>
  <c r="FO87" i="7" s="1"/>
  <c r="GR82" i="76"/>
  <c r="FO72" i="7" s="1"/>
  <c r="GR20" i="76"/>
  <c r="FO140" i="7" s="1"/>
  <c r="GR96" i="76"/>
  <c r="FO86" i="7" s="1"/>
  <c r="GR86" i="76"/>
  <c r="FO76" i="7" s="1"/>
  <c r="GR77" i="76"/>
  <c r="FO67" i="7" s="1"/>
  <c r="GR98" i="76"/>
  <c r="FO88" i="7" s="1"/>
  <c r="GR10" i="76"/>
  <c r="FO130" i="7" s="1"/>
  <c r="GR17" i="76"/>
  <c r="FO137" i="7" s="1"/>
  <c r="GR110" i="76"/>
  <c r="FO100" i="7" s="1"/>
  <c r="GR103" i="76"/>
  <c r="FO93" i="7" s="1"/>
  <c r="GR81" i="76"/>
  <c r="FO71" i="7" s="1"/>
  <c r="GR14" i="76"/>
  <c r="FO134" i="7" s="1"/>
  <c r="GR11" i="76"/>
  <c r="FO131" i="7" s="1"/>
  <c r="GR95" i="76"/>
  <c r="FO85" i="7" s="1"/>
  <c r="GR23" i="76"/>
  <c r="FO143" i="7" s="1"/>
  <c r="GR25" i="76"/>
  <c r="FO145" i="7" s="1"/>
  <c r="GR107" i="76"/>
  <c r="FO97" i="7" s="1"/>
  <c r="GR104" i="76"/>
  <c r="FO94" i="7" s="1"/>
  <c r="GR84" i="76"/>
  <c r="FO74" i="7" s="1"/>
  <c r="GR88" i="76"/>
  <c r="FO78" i="7" s="1"/>
  <c r="GR18" i="76"/>
  <c r="FO138" i="7" s="1"/>
  <c r="GR15" i="76"/>
  <c r="FO135" i="7" s="1"/>
  <c r="GR76" i="76"/>
  <c r="FO66" i="7" s="1"/>
  <c r="GR87" i="76"/>
  <c r="FO77" i="7" s="1"/>
  <c r="GR27" i="76"/>
  <c r="FO147" i="7" s="1"/>
  <c r="GR28" i="76"/>
  <c r="FO148" i="7" s="1"/>
  <c r="GR22" i="76"/>
  <c r="FO142" i="7" s="1"/>
  <c r="GR9" i="76"/>
  <c r="FO51" i="76"/>
  <c r="EX41" i="7" s="1"/>
  <c r="GR74" i="76"/>
  <c r="FO64" i="7" s="1"/>
  <c r="EG6" i="76"/>
  <c r="ED6" i="7" s="1"/>
  <c r="I6" i="76"/>
  <c r="FP61" i="76"/>
  <c r="EY51" i="7" s="1"/>
  <c r="EN43" i="76"/>
  <c r="EI33" i="7" s="1"/>
  <c r="GQ66" i="76"/>
  <c r="FN56" i="7" s="1"/>
  <c r="GQ46" i="76"/>
  <c r="FN36" i="7" s="1"/>
  <c r="GD20" i="76"/>
  <c r="FG140" i="7" s="1"/>
  <c r="GD12" i="76"/>
  <c r="FG132" i="7" s="1"/>
  <c r="GD21" i="76"/>
  <c r="FG141" i="7" s="1"/>
  <c r="GD89" i="76"/>
  <c r="FG79" i="7" s="1"/>
  <c r="GD77" i="76"/>
  <c r="FG67" i="7" s="1"/>
  <c r="GD97" i="76"/>
  <c r="FG87" i="7" s="1"/>
  <c r="GD108" i="76"/>
  <c r="FG98" i="7" s="1"/>
  <c r="GD110" i="76"/>
  <c r="FG100" i="7" s="1"/>
  <c r="GD17" i="76"/>
  <c r="FG137" i="7" s="1"/>
  <c r="GD13" i="76"/>
  <c r="FG133" i="7" s="1"/>
  <c r="GD3" i="76"/>
  <c r="GD75" i="76"/>
  <c r="FG65" i="7" s="1"/>
  <c r="GD88" i="76"/>
  <c r="FG78" i="7" s="1"/>
  <c r="GD93" i="76"/>
  <c r="FG83" i="7" s="1"/>
  <c r="GD96" i="76"/>
  <c r="FG86" i="7" s="1"/>
  <c r="GD101" i="76"/>
  <c r="FG91" i="7" s="1"/>
  <c r="GD11" i="76"/>
  <c r="FG131" i="7" s="1"/>
  <c r="GD16" i="76"/>
  <c r="FG136" i="7" s="1"/>
  <c r="GD15" i="76"/>
  <c r="FG135" i="7" s="1"/>
  <c r="GD99" i="76"/>
  <c r="FG89" i="7" s="1"/>
  <c r="GD109" i="76"/>
  <c r="FG99" i="7" s="1"/>
  <c r="GD100" i="76"/>
  <c r="FG90" i="7" s="1"/>
  <c r="GD92" i="76"/>
  <c r="FG82" i="7" s="1"/>
  <c r="GD19" i="76"/>
  <c r="FG139" i="7" s="1"/>
  <c r="GD79" i="76"/>
  <c r="FG69" i="7" s="1"/>
  <c r="GD85" i="76"/>
  <c r="FG75" i="7" s="1"/>
  <c r="GD86" i="76"/>
  <c r="FG76" i="7" s="1"/>
  <c r="GD105" i="76"/>
  <c r="FG95" i="7" s="1"/>
  <c r="GD14" i="76"/>
  <c r="FG134" i="7" s="1"/>
  <c r="GD23" i="76"/>
  <c r="FG143" i="7" s="1"/>
  <c r="GD90" i="76"/>
  <c r="FG80" i="7" s="1"/>
  <c r="GD30" i="76"/>
  <c r="GD67" i="76"/>
  <c r="FG57" i="7" s="1"/>
  <c r="GD33" i="76"/>
  <c r="FG23" i="7" s="1"/>
  <c r="GD98" i="76"/>
  <c r="FG88" i="7" s="1"/>
  <c r="GD84" i="76"/>
  <c r="FG74" i="7" s="1"/>
  <c r="GD87" i="76"/>
  <c r="FG77" i="7" s="1"/>
  <c r="GD62" i="76"/>
  <c r="FG52" i="7" s="1"/>
  <c r="GD55" i="76"/>
  <c r="FG45" i="7" s="1"/>
  <c r="GD53" i="76"/>
  <c r="FG43" i="7" s="1"/>
  <c r="GD69" i="76"/>
  <c r="FG59" i="7" s="1"/>
  <c r="GD103" i="76"/>
  <c r="FG93" i="7" s="1"/>
  <c r="GD94" i="76"/>
  <c r="FG84" i="7" s="1"/>
  <c r="GD57" i="76"/>
  <c r="FG47" i="7" s="1"/>
  <c r="GD40" i="76"/>
  <c r="FG30" i="7" s="1"/>
  <c r="GD37" i="76"/>
  <c r="FG27" i="7" s="1"/>
  <c r="GD39" i="76"/>
  <c r="FG29" i="7" s="1"/>
  <c r="GD63" i="76"/>
  <c r="FG53" i="7" s="1"/>
  <c r="GD18" i="76"/>
  <c r="FG138" i="7" s="1"/>
  <c r="GD42" i="76"/>
  <c r="FG32" i="7" s="1"/>
  <c r="GD22" i="76"/>
  <c r="FG142" i="7" s="1"/>
  <c r="GD24" i="76"/>
  <c r="FG144" i="7" s="1"/>
  <c r="GD70" i="76"/>
  <c r="FG60" i="7" s="1"/>
  <c r="GD50" i="76"/>
  <c r="FG40" i="7" s="1"/>
  <c r="GD54" i="76"/>
  <c r="FG44" i="7" s="1"/>
  <c r="GD9" i="76"/>
  <c r="GD106" i="76"/>
  <c r="FG96" i="7" s="1"/>
  <c r="GD95" i="76"/>
  <c r="FG85" i="7" s="1"/>
  <c r="GD91" i="76"/>
  <c r="FG81" i="7" s="1"/>
  <c r="GD83" i="76"/>
  <c r="FG73" i="7" s="1"/>
  <c r="GD25" i="76"/>
  <c r="FG145" i="7" s="1"/>
  <c r="GD78" i="76"/>
  <c r="FG68" i="7" s="1"/>
  <c r="GD52" i="76"/>
  <c r="FG42" i="7" s="1"/>
  <c r="GD41" i="76"/>
  <c r="FG31" i="7" s="1"/>
  <c r="GD35" i="76"/>
  <c r="FG25" i="7" s="1"/>
  <c r="GD107" i="76"/>
  <c r="FG97" i="7" s="1"/>
  <c r="GD104" i="76"/>
  <c r="FG94" i="7" s="1"/>
  <c r="GD31" i="76"/>
  <c r="FG21" i="7" s="1"/>
  <c r="GD43" i="76"/>
  <c r="FG33" i="7" s="1"/>
  <c r="GD59" i="76"/>
  <c r="FG49" i="7" s="1"/>
  <c r="GD82" i="76"/>
  <c r="FG72" i="7" s="1"/>
  <c r="GD28" i="76"/>
  <c r="FG148" i="7" s="1"/>
  <c r="GD72" i="76"/>
  <c r="FG62" i="7" s="1"/>
  <c r="GD44" i="76"/>
  <c r="FG34" i="7" s="1"/>
  <c r="GD81" i="76"/>
  <c r="FG71" i="7" s="1"/>
  <c r="GD29" i="76"/>
  <c r="FG149" i="7" s="1"/>
  <c r="GD48" i="76"/>
  <c r="FG38" i="7" s="1"/>
  <c r="GD32" i="76"/>
  <c r="FG22" i="7" s="1"/>
  <c r="GD10" i="76"/>
  <c r="FG130" i="7" s="1"/>
  <c r="GD102" i="76"/>
  <c r="FG92" i="7" s="1"/>
  <c r="GD80" i="76"/>
  <c r="FG70" i="7" s="1"/>
  <c r="GD56" i="76"/>
  <c r="FG46" i="7" s="1"/>
  <c r="GD51" i="76"/>
  <c r="FG41" i="7" s="1"/>
  <c r="GD61" i="76"/>
  <c r="FG51" i="7" s="1"/>
  <c r="GD38" i="76"/>
  <c r="FG28" i="7" s="1"/>
  <c r="GD46" i="76"/>
  <c r="FG36" i="7" s="1"/>
  <c r="GD76" i="76"/>
  <c r="FG66" i="7" s="1"/>
  <c r="GD74" i="76"/>
  <c r="FG64" i="7" s="1"/>
  <c r="GD66" i="76"/>
  <c r="FG56" i="7" s="1"/>
  <c r="FP58" i="76"/>
  <c r="EY48" i="7" s="1"/>
  <c r="GR58" i="76"/>
  <c r="FO48" i="7" s="1"/>
  <c r="FP35" i="76"/>
  <c r="EY25" i="7" s="1"/>
  <c r="GR35" i="76"/>
  <c r="FO25" i="7" s="1"/>
  <c r="FP67" i="76"/>
  <c r="EY57" i="7" s="1"/>
  <c r="GR67" i="76"/>
  <c r="FO57" i="7" s="1"/>
  <c r="GR36" i="76"/>
  <c r="FO26" i="7" s="1"/>
  <c r="GR65" i="76"/>
  <c r="FO55" i="7" s="1"/>
  <c r="GR51" i="76"/>
  <c r="FO41" i="7" s="1"/>
  <c r="FP51" i="76"/>
  <c r="EY41" i="7" s="1"/>
  <c r="FP59" i="76"/>
  <c r="EY49" i="7" s="1"/>
  <c r="GR59" i="76"/>
  <c r="FO49" i="7" s="1"/>
  <c r="FP37" i="76"/>
  <c r="EY27" i="7" s="1"/>
  <c r="GR37" i="76"/>
  <c r="FO27" i="7" s="1"/>
  <c r="FP33" i="76"/>
  <c r="EY23" i="7" s="1"/>
  <c r="GR33" i="76"/>
  <c r="FO23" i="7" s="1"/>
  <c r="GR60" i="76"/>
  <c r="FO50" i="7" s="1"/>
  <c r="FO72" i="76"/>
  <c r="EX62" i="7" s="1"/>
  <c r="FO73" i="76"/>
  <c r="EX63" i="7" s="1"/>
  <c r="FB47" i="76"/>
  <c r="EQ37" i="7" s="1"/>
  <c r="FB42" i="76"/>
  <c r="EQ32" i="7" s="1"/>
  <c r="FB74" i="76"/>
  <c r="EQ64" i="7" s="1"/>
  <c r="FB69" i="76"/>
  <c r="EQ59" i="7" s="1"/>
  <c r="FB53" i="76"/>
  <c r="EQ43" i="7" s="1"/>
  <c r="FB62" i="76"/>
  <c r="EQ52" i="7" s="1"/>
  <c r="FB49" i="76"/>
  <c r="EQ39" i="7" s="1"/>
  <c r="FB67" i="76"/>
  <c r="EQ57" i="7" s="1"/>
  <c r="FB31" i="76"/>
  <c r="EQ21" i="7" s="1"/>
  <c r="FB32" i="76"/>
  <c r="EQ22" i="7" s="1"/>
  <c r="FB48" i="76"/>
  <c r="EQ38" i="7" s="1"/>
  <c r="FB68" i="76"/>
  <c r="EQ58" i="7" s="1"/>
  <c r="GD60" i="76"/>
  <c r="FG50" i="7" s="1"/>
  <c r="GR56" i="76"/>
  <c r="FO46" i="7" s="1"/>
  <c r="GQ36" i="76"/>
  <c r="FN26" i="7" s="1"/>
  <c r="N1" i="41"/>
  <c r="G1" i="41"/>
  <c r="CK1" i="41"/>
  <c r="S1" i="41"/>
  <c r="FO48" i="76"/>
  <c r="EX38" i="7" s="1"/>
  <c r="GQ59" i="76"/>
  <c r="FN49" i="7" s="1"/>
  <c r="FO62" i="76"/>
  <c r="EX52" i="7" s="1"/>
  <c r="FO39" i="76"/>
  <c r="EX29" i="7" s="1"/>
  <c r="GD49" i="76"/>
  <c r="FG39" i="7" s="1"/>
  <c r="FP65" i="76"/>
  <c r="EY55" i="7" s="1"/>
  <c r="EN46" i="76"/>
  <c r="EI36" i="7" s="1"/>
  <c r="GQ33" i="76"/>
  <c r="FN23" i="7" s="1"/>
  <c r="GD68" i="76"/>
  <c r="FG58" i="7" s="1"/>
  <c r="EN35" i="76"/>
  <c r="EI25" i="7" s="1"/>
  <c r="GR26" i="76"/>
  <c r="FO146" i="7" s="1"/>
  <c r="FO68" i="76"/>
  <c r="EX58" i="7" s="1"/>
  <c r="GQ68" i="76"/>
  <c r="FN58" i="7" s="1"/>
  <c r="FP55" i="76"/>
  <c r="EY45" i="7" s="1"/>
  <c r="GR55" i="76"/>
  <c r="FO45" i="7" s="1"/>
  <c r="FP63" i="76"/>
  <c r="EY53" i="7" s="1"/>
  <c r="GR63" i="76"/>
  <c r="FO53" i="7" s="1"/>
  <c r="GR72" i="76"/>
  <c r="FO62" i="7" s="1"/>
  <c r="FP72" i="76"/>
  <c r="EY62" i="7" s="1"/>
  <c r="GR47" i="76"/>
  <c r="FO37" i="7" s="1"/>
  <c r="FP47" i="76"/>
  <c r="EY37" i="7" s="1"/>
  <c r="GR48" i="76"/>
  <c r="FO38" i="7" s="1"/>
  <c r="FP48" i="76"/>
  <c r="EY38" i="7" s="1"/>
  <c r="FO41" i="76"/>
  <c r="EX31" i="7" s="1"/>
  <c r="GR30" i="76"/>
  <c r="FP68" i="76"/>
  <c r="EY58" i="7" s="1"/>
  <c r="EN61" i="76"/>
  <c r="EI51" i="7" s="1"/>
  <c r="EN58" i="76"/>
  <c r="EI48" i="7" s="1"/>
  <c r="FO56" i="76"/>
  <c r="EX46" i="7" s="1"/>
  <c r="GQ56" i="76"/>
  <c r="FN46" i="7" s="1"/>
  <c r="FO63" i="76"/>
  <c r="EX53" i="7" s="1"/>
  <c r="FB17" i="76"/>
  <c r="EQ137" i="7" s="1"/>
  <c r="FB20" i="76"/>
  <c r="EQ140" i="7" s="1"/>
  <c r="FB89" i="76"/>
  <c r="EQ79" i="7" s="1"/>
  <c r="FB93" i="76"/>
  <c r="EQ83" i="7" s="1"/>
  <c r="FB92" i="76"/>
  <c r="EQ82" i="7" s="1"/>
  <c r="FB109" i="76"/>
  <c r="EQ99" i="7" s="1"/>
  <c r="FB19" i="76"/>
  <c r="EQ139" i="7" s="1"/>
  <c r="FB16" i="76"/>
  <c r="EQ136" i="7" s="1"/>
  <c r="FB97" i="76"/>
  <c r="EQ87" i="7" s="1"/>
  <c r="FB13" i="76"/>
  <c r="EQ133" i="7" s="1"/>
  <c r="FB87" i="76"/>
  <c r="EQ77" i="7" s="1"/>
  <c r="FB3" i="76"/>
  <c r="FB85" i="76"/>
  <c r="EQ75" i="7" s="1"/>
  <c r="FB105" i="76"/>
  <c r="EQ95" i="7" s="1"/>
  <c r="FB12" i="76"/>
  <c r="EQ132" i="7" s="1"/>
  <c r="FB15" i="76"/>
  <c r="EQ135" i="7" s="1"/>
  <c r="FB79" i="76"/>
  <c r="EQ69" i="7" s="1"/>
  <c r="FB84" i="76"/>
  <c r="EQ74" i="7" s="1"/>
  <c r="FB100" i="76"/>
  <c r="EQ90" i="7" s="1"/>
  <c r="FB108" i="76"/>
  <c r="EQ98" i="7" s="1"/>
  <c r="FB94" i="76"/>
  <c r="EQ84" i="7" s="1"/>
  <c r="FB10" i="76"/>
  <c r="EQ130" i="7" s="1"/>
  <c r="FB80" i="76"/>
  <c r="EQ70" i="7" s="1"/>
  <c r="FB78" i="76"/>
  <c r="EQ68" i="7" s="1"/>
  <c r="FB11" i="76"/>
  <c r="EQ131" i="7" s="1"/>
  <c r="FB88" i="76"/>
  <c r="EQ78" i="7" s="1"/>
  <c r="FB14" i="76"/>
  <c r="EQ134" i="7" s="1"/>
  <c r="FB98" i="76"/>
  <c r="EQ88" i="7" s="1"/>
  <c r="FB96" i="76"/>
  <c r="EQ86" i="7" s="1"/>
  <c r="FB22" i="76"/>
  <c r="EQ142" i="7" s="1"/>
  <c r="FB81" i="76"/>
  <c r="EQ71" i="7" s="1"/>
  <c r="FB29" i="76"/>
  <c r="EQ149" i="7" s="1"/>
  <c r="FB76" i="76"/>
  <c r="EQ66" i="7" s="1"/>
  <c r="FB106" i="76"/>
  <c r="EQ96" i="7" s="1"/>
  <c r="FB75" i="76"/>
  <c r="EQ65" i="7" s="1"/>
  <c r="FB107" i="76"/>
  <c r="EQ97" i="7" s="1"/>
  <c r="FB102" i="76"/>
  <c r="EQ92" i="7" s="1"/>
  <c r="FB23" i="76"/>
  <c r="EQ143" i="7" s="1"/>
  <c r="FB77" i="76"/>
  <c r="EQ67" i="7" s="1"/>
  <c r="FB25" i="76"/>
  <c r="EQ145" i="7" s="1"/>
  <c r="FB28" i="76"/>
  <c r="EQ148" i="7" s="1"/>
  <c r="FB95" i="76"/>
  <c r="EQ85" i="7" s="1"/>
  <c r="FB91" i="76"/>
  <c r="EQ81" i="7" s="1"/>
  <c r="FB103" i="76"/>
  <c r="EQ93" i="7" s="1"/>
  <c r="FB101" i="76"/>
  <c r="EQ91" i="7" s="1"/>
  <c r="FB26" i="76"/>
  <c r="EQ146" i="7" s="1"/>
  <c r="FB18" i="76"/>
  <c r="EQ138" i="7" s="1"/>
  <c r="FB86" i="76"/>
  <c r="EQ76" i="7" s="1"/>
  <c r="FB82" i="76"/>
  <c r="EQ72" i="7" s="1"/>
  <c r="FB21" i="76"/>
  <c r="EQ141" i="7" s="1"/>
  <c r="FB24" i="76"/>
  <c r="EQ144" i="7" s="1"/>
  <c r="FB110" i="76"/>
  <c r="EQ100" i="7" s="1"/>
  <c r="FB99" i="76"/>
  <c r="EQ89" i="7" s="1"/>
  <c r="FB83" i="76"/>
  <c r="EQ73" i="7" s="1"/>
  <c r="FB104" i="76"/>
  <c r="EQ94" i="7" s="1"/>
  <c r="FB90" i="76"/>
  <c r="EQ80" i="7" s="1"/>
  <c r="GD36" i="76"/>
  <c r="FG26" i="7" s="1"/>
  <c r="GR38" i="76"/>
  <c r="FO28" i="7" s="1"/>
  <c r="GQ47" i="76"/>
  <c r="FN37" i="7" s="1"/>
  <c r="EN27" i="76"/>
  <c r="EI147" i="7" s="1"/>
  <c r="GR40" i="76"/>
  <c r="FO30" i="7" s="1"/>
  <c r="FP40" i="76"/>
  <c r="EY30" i="7" s="1"/>
  <c r="GR57" i="76"/>
  <c r="FO47" i="7" s="1"/>
  <c r="FP57" i="76"/>
  <c r="EY47" i="7" s="1"/>
  <c r="GR71" i="76"/>
  <c r="FO61" i="7" s="1"/>
  <c r="FP71" i="76"/>
  <c r="EY61" i="7" s="1"/>
  <c r="FP69" i="76"/>
  <c r="EY59" i="7" s="1"/>
  <c r="GR69" i="76"/>
  <c r="FO59" i="7" s="1"/>
  <c r="FP52" i="76"/>
  <c r="EY42" i="7" s="1"/>
  <c r="GR52" i="76"/>
  <c r="FO42" i="7" s="1"/>
  <c r="GR44" i="76"/>
  <c r="FO34" i="7" s="1"/>
  <c r="FP44" i="76"/>
  <c r="EY34" i="7" s="1"/>
  <c r="GR49" i="76"/>
  <c r="FO39" i="7" s="1"/>
  <c r="GR32" i="76"/>
  <c r="FO22" i="7" s="1"/>
  <c r="FP32" i="76"/>
  <c r="EY22" i="7" s="1"/>
  <c r="FO58" i="76"/>
  <c r="EX48" i="7" s="1"/>
  <c r="FO30" i="76"/>
  <c r="FB56" i="76"/>
  <c r="EQ46" i="7" s="1"/>
  <c r="FB34" i="76"/>
  <c r="EQ24" i="7" s="1"/>
  <c r="FB71" i="76"/>
  <c r="EQ61" i="7" s="1"/>
  <c r="FB65" i="76"/>
  <c r="EQ55" i="7" s="1"/>
  <c r="FB35" i="76"/>
  <c r="EQ25" i="7" s="1"/>
  <c r="FB51" i="76"/>
  <c r="EQ41" i="7" s="1"/>
  <c r="FB37" i="76"/>
  <c r="EQ27" i="7" s="1"/>
  <c r="FB46" i="76"/>
  <c r="EQ36" i="7" s="1"/>
  <c r="FB30" i="76"/>
  <c r="FB39" i="76"/>
  <c r="EQ29" i="7" s="1"/>
  <c r="FB60" i="76"/>
  <c r="EQ50" i="7" s="1"/>
  <c r="GD58" i="76"/>
  <c r="FG48" i="7" s="1"/>
  <c r="GR43" i="76"/>
  <c r="FO33" i="7" s="1"/>
  <c r="FP49" i="76"/>
  <c r="EY39" i="7" s="1"/>
  <c r="EN68" i="76"/>
  <c r="EI58" i="7" s="1"/>
  <c r="GQ44" i="76"/>
  <c r="FN34" i="7" s="1"/>
  <c r="EN52" i="76"/>
  <c r="EI42" i="7" s="1"/>
  <c r="DU11" i="38"/>
  <c r="DY11" i="38"/>
  <c r="FO61" i="76"/>
  <c r="EX51" i="7" s="1"/>
  <c r="FO38" i="76"/>
  <c r="EX28" i="7" s="1"/>
  <c r="FI6" i="76"/>
  <c r="ET6" i="7" s="1"/>
  <c r="AK6" i="76"/>
  <c r="EN28" i="76"/>
  <c r="EI148" i="7" s="1"/>
  <c r="GD26" i="76"/>
  <c r="FG146" i="7" s="1"/>
  <c r="FO37" i="76"/>
  <c r="EX27" i="7" s="1"/>
  <c r="GD34" i="76"/>
  <c r="FG24" i="7" s="1"/>
  <c r="EN36" i="76"/>
  <c r="EI26" i="7" s="1"/>
  <c r="FP54" i="76"/>
  <c r="EY44" i="7" s="1"/>
  <c r="GR54" i="76"/>
  <c r="FO44" i="7" s="1"/>
  <c r="GK6" i="76"/>
  <c r="FJ6" i="7" s="1"/>
  <c r="AY6" i="76"/>
  <c r="FO67" i="76"/>
  <c r="EX57" i="7" s="1"/>
  <c r="GQ67" i="76"/>
  <c r="FN57" i="7" s="1"/>
  <c r="FO60" i="76"/>
  <c r="EX50" i="7" s="1"/>
  <c r="GQ60" i="76"/>
  <c r="FN50" i="7" s="1"/>
  <c r="GQ64" i="76"/>
  <c r="FN54" i="7" s="1"/>
  <c r="FO64" i="76"/>
  <c r="EX54" i="7" s="1"/>
  <c r="FO31" i="76"/>
  <c r="EX21" i="7" s="1"/>
  <c r="EN45" i="76"/>
  <c r="EI35" i="7" s="1"/>
  <c r="EN60" i="76"/>
  <c r="EI50" i="7" s="1"/>
  <c r="GR70" i="76"/>
  <c r="FO60" i="7" s="1"/>
  <c r="FP70" i="76"/>
  <c r="EY60" i="7" s="1"/>
  <c r="GR46" i="76"/>
  <c r="FO36" i="7" s="1"/>
  <c r="FP46" i="76"/>
  <c r="EY36" i="7" s="1"/>
  <c r="GR34" i="76"/>
  <c r="FO24" i="7" s="1"/>
  <c r="GR53" i="76"/>
  <c r="FO43" i="7" s="1"/>
  <c r="FP53" i="76"/>
  <c r="EY43" i="7" s="1"/>
  <c r="FP41" i="76"/>
  <c r="EY31" i="7" s="1"/>
  <c r="GR41" i="76"/>
  <c r="FO31" i="7" s="1"/>
  <c r="GR66" i="76"/>
  <c r="FO56" i="7" s="1"/>
  <c r="FP66" i="76"/>
  <c r="EY56" i="7" s="1"/>
  <c r="GR42" i="76"/>
  <c r="FO32" i="7" s="1"/>
  <c r="GR50" i="76"/>
  <c r="FO40" i="7" s="1"/>
  <c r="FP50" i="76"/>
  <c r="EY40" i="7" s="1"/>
  <c r="FP39" i="76"/>
  <c r="EY29" i="7" s="1"/>
  <c r="GR39" i="76"/>
  <c r="FO29" i="7" s="1"/>
  <c r="GR73" i="76"/>
  <c r="FO63" i="7" s="1"/>
  <c r="FO55" i="76"/>
  <c r="EX45" i="7" s="1"/>
  <c r="FB33" i="76"/>
  <c r="EQ23" i="7" s="1"/>
  <c r="FB59" i="76"/>
  <c r="EQ49" i="7" s="1"/>
  <c r="FB70" i="76"/>
  <c r="EQ60" i="7" s="1"/>
  <c r="FB54" i="76"/>
  <c r="EQ44" i="7" s="1"/>
  <c r="FB45" i="76"/>
  <c r="EQ35" i="7" s="1"/>
  <c r="FB44" i="76"/>
  <c r="EQ34" i="7" s="1"/>
  <c r="FB36" i="76"/>
  <c r="EQ26" i="7" s="1"/>
  <c r="FB63" i="76"/>
  <c r="EQ53" i="7" s="1"/>
  <c r="FB38" i="76"/>
  <c r="EQ28" i="7" s="1"/>
  <c r="FB43" i="76"/>
  <c r="EQ33" i="7" s="1"/>
  <c r="FB64" i="76"/>
  <c r="EQ54" i="7" s="1"/>
  <c r="FP75" i="76"/>
  <c r="EY65" i="7" s="1"/>
  <c r="FP100" i="76"/>
  <c r="EY90" i="7" s="1"/>
  <c r="FP15" i="76"/>
  <c r="EY135" i="7" s="1"/>
  <c r="FP19" i="76"/>
  <c r="EY139" i="7" s="1"/>
  <c r="FP77" i="76"/>
  <c r="EY67" i="7" s="1"/>
  <c r="FP109" i="76"/>
  <c r="EY99" i="7" s="1"/>
  <c r="FP12" i="76"/>
  <c r="EY132" i="7" s="1"/>
  <c r="FP13" i="76"/>
  <c r="EY133" i="7" s="1"/>
  <c r="FP79" i="76"/>
  <c r="EY69" i="7" s="1"/>
  <c r="FP16" i="76"/>
  <c r="EY136" i="7" s="1"/>
  <c r="FP3" i="76"/>
  <c r="FP93" i="76"/>
  <c r="EY83" i="7" s="1"/>
  <c r="FP92" i="76"/>
  <c r="EY82" i="7" s="1"/>
  <c r="FP11" i="76"/>
  <c r="EY131" i="7" s="1"/>
  <c r="FP20" i="76"/>
  <c r="EY140" i="7" s="1"/>
  <c r="FP99" i="76"/>
  <c r="EY89" i="7" s="1"/>
  <c r="FP105" i="76"/>
  <c r="EY95" i="7" s="1"/>
  <c r="FP21" i="76"/>
  <c r="EY141" i="7" s="1"/>
  <c r="FP90" i="76"/>
  <c r="EY80" i="7" s="1"/>
  <c r="FP101" i="76"/>
  <c r="EY91" i="7" s="1"/>
  <c r="FP110" i="76"/>
  <c r="EY100" i="7" s="1"/>
  <c r="FP89" i="76"/>
  <c r="EY79" i="7" s="1"/>
  <c r="FP85" i="76"/>
  <c r="EY75" i="7" s="1"/>
  <c r="FP108" i="76"/>
  <c r="EY98" i="7" s="1"/>
  <c r="FP76" i="76"/>
  <c r="EY66" i="7" s="1"/>
  <c r="FP95" i="76"/>
  <c r="EY85" i="7" s="1"/>
  <c r="FP18" i="76"/>
  <c r="EY138" i="7" s="1"/>
  <c r="FP10" i="76"/>
  <c r="EY130" i="7" s="1"/>
  <c r="FP98" i="76"/>
  <c r="EY88" i="7" s="1"/>
  <c r="FP80" i="76"/>
  <c r="EY70" i="7" s="1"/>
  <c r="FP102" i="76"/>
  <c r="EY92" i="7" s="1"/>
  <c r="FP97" i="76"/>
  <c r="EY87" i="7" s="1"/>
  <c r="FP82" i="76"/>
  <c r="EY72" i="7" s="1"/>
  <c r="FP103" i="76"/>
  <c r="EY93" i="7" s="1"/>
  <c r="FP14" i="76"/>
  <c r="EY134" i="7" s="1"/>
  <c r="FP78" i="76"/>
  <c r="EY68" i="7" s="1"/>
  <c r="FP104" i="76"/>
  <c r="EY94" i="7" s="1"/>
  <c r="FP88" i="76"/>
  <c r="EY78" i="7" s="1"/>
  <c r="FP94" i="76"/>
  <c r="EY84" i="7" s="1"/>
  <c r="FP23" i="76"/>
  <c r="EY143" i="7" s="1"/>
  <c r="FP96" i="76"/>
  <c r="EY86" i="7" s="1"/>
  <c r="FP81" i="76"/>
  <c r="EY71" i="7" s="1"/>
  <c r="FP22" i="76"/>
  <c r="EY142" i="7" s="1"/>
  <c r="FP86" i="76"/>
  <c r="EY76" i="7" s="1"/>
  <c r="FP17" i="76"/>
  <c r="EY137" i="7" s="1"/>
  <c r="FP91" i="76"/>
  <c r="EY81" i="7" s="1"/>
  <c r="FP83" i="76"/>
  <c r="EY73" i="7" s="1"/>
  <c r="FP9" i="76"/>
  <c r="FP106" i="76"/>
  <c r="EY96" i="7" s="1"/>
  <c r="FP84" i="76"/>
  <c r="EY74" i="7" s="1"/>
  <c r="FP24" i="76"/>
  <c r="EY144" i="7" s="1"/>
  <c r="FP87" i="76"/>
  <c r="EY77" i="7" s="1"/>
  <c r="FP107" i="76"/>
  <c r="EY97" i="7" s="1"/>
  <c r="GR31" i="76"/>
  <c r="FO21" i="7" s="1"/>
  <c r="EN34" i="76"/>
  <c r="EI24" i="7" s="1"/>
  <c r="GD27" i="76"/>
  <c r="FG147" i="7" s="1"/>
  <c r="EU6" i="76"/>
  <c r="EL6" i="7" s="1"/>
  <c r="W6" i="76"/>
  <c r="FO43" i="76"/>
  <c r="EX33" i="7" s="1"/>
  <c r="GD64" i="76"/>
  <c r="FG54" i="7" s="1"/>
  <c r="CP6" i="76"/>
  <c r="FX6" i="76"/>
  <c r="EN64" i="76"/>
  <c r="EI54" i="7" s="1"/>
  <c r="EN73" i="76"/>
  <c r="EI63" i="7" s="1"/>
  <c r="FB27" i="76"/>
  <c r="EQ147" i="7" s="1"/>
  <c r="FN23" i="38"/>
  <c r="CW23" i="41" s="1"/>
  <c r="BQ23" i="38"/>
  <c r="FK23" i="45"/>
  <c r="G20" i="4"/>
  <c r="AA20" i="4"/>
  <c r="U20" i="4"/>
  <c r="AB20" i="4"/>
  <c r="X20" i="4"/>
  <c r="K20" i="4"/>
  <c r="H20" i="4"/>
  <c r="Y20" i="4"/>
  <c r="V20" i="4"/>
  <c r="J20" i="4"/>
  <c r="M20" i="4"/>
  <c r="N20" i="4"/>
  <c r="A24" i="6"/>
  <c r="A24" i="4"/>
  <c r="A24" i="41"/>
  <c r="A24" i="45"/>
  <c r="O24" i="45" s="1"/>
  <c r="A24" i="46"/>
  <c r="O24" i="46" s="1"/>
  <c r="A24" i="7"/>
  <c r="A24" i="38"/>
  <c r="CV24" i="38" s="1"/>
  <c r="A25" i="55"/>
  <c r="FK23" i="46"/>
  <c r="FS22" i="45"/>
  <c r="FT22" i="45"/>
  <c r="FU22" i="45"/>
  <c r="CS41" i="57"/>
  <c r="CR41" i="57"/>
  <c r="EK41" i="57" s="1"/>
  <c r="J31" i="7" s="1"/>
  <c r="GC49" i="57"/>
  <c r="AJ39" i="7" s="1"/>
  <c r="DT67" i="57"/>
  <c r="FM67" i="57" s="1"/>
  <c r="Z57" i="7" s="1"/>
  <c r="FN102" i="57"/>
  <c r="AA92" i="7" s="1"/>
  <c r="FN56" i="56"/>
  <c r="BQ46" i="7" s="1"/>
  <c r="GB34" i="56"/>
  <c r="BY24" i="7" s="1"/>
  <c r="FM86" i="56"/>
  <c r="BP76" i="7" s="1"/>
  <c r="EK51" i="56"/>
  <c r="AZ41" i="7" s="1"/>
  <c r="EK52" i="57"/>
  <c r="J42" i="7" s="1"/>
  <c r="DG52" i="57"/>
  <c r="EY41" i="57"/>
  <c r="R31" i="7" s="1"/>
  <c r="GP62" i="70"/>
  <c r="DW52" i="7" s="1"/>
  <c r="DT43" i="57"/>
  <c r="FM43" i="57" s="1"/>
  <c r="Z33" i="7" s="1"/>
  <c r="EL73" i="57"/>
  <c r="K63" i="7" s="1"/>
  <c r="CS59" i="57"/>
  <c r="FN59" i="57" s="1"/>
  <c r="AA49" i="7" s="1"/>
  <c r="AA109" i="57"/>
  <c r="CR86" i="57"/>
  <c r="EK86" i="57" s="1"/>
  <c r="J76" i="7" s="1"/>
  <c r="DT56" i="57"/>
  <c r="CS74" i="57"/>
  <c r="FN74" i="57" s="1"/>
  <c r="AA64" i="7" s="1"/>
  <c r="CR74" i="57"/>
  <c r="FM74" i="57" s="1"/>
  <c r="Z64" i="7" s="1"/>
  <c r="CS31" i="57"/>
  <c r="CR31" i="57"/>
  <c r="DF46" i="57"/>
  <c r="GO46" i="57" s="1"/>
  <c r="AP36" i="7" s="1"/>
  <c r="GA8" i="70"/>
  <c r="GA49" i="70" s="1"/>
  <c r="DN39" i="7" s="1"/>
  <c r="FZ6" i="70"/>
  <c r="EY49" i="70"/>
  <c r="CX39" i="7" s="1"/>
  <c r="DF42" i="57"/>
  <c r="DG42" i="57"/>
  <c r="CS82" i="57"/>
  <c r="EZ82" i="57" s="1"/>
  <c r="S72" i="7" s="1"/>
  <c r="CR82" i="57"/>
  <c r="GO62" i="70"/>
  <c r="DV52" i="7" s="1"/>
  <c r="EK62" i="70"/>
  <c r="CP52" i="7" s="1"/>
  <c r="N29" i="70"/>
  <c r="N27" i="70"/>
  <c r="N26" i="70"/>
  <c r="N25" i="70"/>
  <c r="N28" i="70"/>
  <c r="GO33" i="56"/>
  <c r="CF23" i="7" s="1"/>
  <c r="EK33" i="56"/>
  <c r="AZ23" i="7" s="1"/>
  <c r="GA52" i="56"/>
  <c r="BX42" i="7" s="1"/>
  <c r="EK52" i="56"/>
  <c r="AZ42" i="7" s="1"/>
  <c r="GA66" i="56"/>
  <c r="BX56" i="7" s="1"/>
  <c r="EK66" i="56"/>
  <c r="AZ56" i="7" s="1"/>
  <c r="FM62" i="70"/>
  <c r="DF52" i="7" s="1"/>
  <c r="GO98" i="70"/>
  <c r="DV88" i="7" s="1"/>
  <c r="EK98" i="70"/>
  <c r="CP88" i="7" s="1"/>
  <c r="GP94" i="56"/>
  <c r="CG84" i="7" s="1"/>
  <c r="EL95" i="56"/>
  <c r="BA85" i="7" s="1"/>
  <c r="GD25" i="57"/>
  <c r="EM43" i="57"/>
  <c r="L33" i="7" s="1"/>
  <c r="EM30" i="57"/>
  <c r="L20" i="7" s="1"/>
  <c r="EM68" i="57"/>
  <c r="L58" i="7" s="1"/>
  <c r="EM53" i="57"/>
  <c r="L43" i="7" s="1"/>
  <c r="EM51" i="57"/>
  <c r="L41" i="7" s="1"/>
  <c r="EM66" i="57"/>
  <c r="L56" i="7" s="1"/>
  <c r="EM65" i="57"/>
  <c r="L55" i="7" s="1"/>
  <c r="EM32" i="57"/>
  <c r="L22" i="7" s="1"/>
  <c r="EM36" i="57"/>
  <c r="L26" i="7" s="1"/>
  <c r="GO20" i="56"/>
  <c r="EK20" i="56"/>
  <c r="GO38" i="57"/>
  <c r="AP28" i="7" s="1"/>
  <c r="EK38" i="57"/>
  <c r="J28" i="7" s="1"/>
  <c r="EY38" i="57"/>
  <c r="R28" i="7" s="1"/>
  <c r="DH27" i="70"/>
  <c r="DH25" i="70"/>
  <c r="DH29" i="70"/>
  <c r="DH28" i="70"/>
  <c r="DH26" i="70"/>
  <c r="GA32" i="70"/>
  <c r="DN22" i="7" s="1"/>
  <c r="EY32" i="70"/>
  <c r="CX22" i="7" s="1"/>
  <c r="FM70" i="56"/>
  <c r="BP60" i="7" s="1"/>
  <c r="FM55" i="56"/>
  <c r="BP45" i="7" s="1"/>
  <c r="DT44" i="57"/>
  <c r="FM44" i="57" s="1"/>
  <c r="Z34" i="7" s="1"/>
  <c r="DT20" i="57"/>
  <c r="FM20" i="57" s="1"/>
  <c r="BS29" i="56"/>
  <c r="BS28" i="56"/>
  <c r="BS25" i="56"/>
  <c r="BS26" i="56"/>
  <c r="BS27" i="56"/>
  <c r="CG41" i="56"/>
  <c r="GR41" i="56" s="1"/>
  <c r="CI31" i="7" s="1"/>
  <c r="CG45" i="56"/>
  <c r="GR45" i="56" s="1"/>
  <c r="CI35" i="7" s="1"/>
  <c r="CG60" i="56"/>
  <c r="GR60" i="56" s="1"/>
  <c r="CI50" i="7" s="1"/>
  <c r="CG74" i="56"/>
  <c r="GR74" i="56" s="1"/>
  <c r="CI64" i="7" s="1"/>
  <c r="CG37" i="56"/>
  <c r="GR37" i="56" s="1"/>
  <c r="CI27" i="7" s="1"/>
  <c r="CG31" i="56"/>
  <c r="GR31" i="56" s="1"/>
  <c r="CI21" i="7" s="1"/>
  <c r="CG40" i="56"/>
  <c r="GR40" i="56" s="1"/>
  <c r="CI30" i="7" s="1"/>
  <c r="CG46" i="56"/>
  <c r="GR46" i="56" s="1"/>
  <c r="CI36" i="7" s="1"/>
  <c r="CG48" i="56"/>
  <c r="GR48" i="56" s="1"/>
  <c r="CI38" i="7" s="1"/>
  <c r="CG55" i="56"/>
  <c r="GR55" i="56" s="1"/>
  <c r="CI45" i="7" s="1"/>
  <c r="CG71" i="56"/>
  <c r="GR71" i="56" s="1"/>
  <c r="CI61" i="7" s="1"/>
  <c r="CG50" i="56"/>
  <c r="GR50" i="56" s="1"/>
  <c r="CI40" i="7" s="1"/>
  <c r="CG49" i="56"/>
  <c r="GR49" i="56" s="1"/>
  <c r="CI39" i="7" s="1"/>
  <c r="CG51" i="56"/>
  <c r="GR51" i="56" s="1"/>
  <c r="CI41" i="7" s="1"/>
  <c r="CG68" i="56"/>
  <c r="GR68" i="56" s="1"/>
  <c r="CI58" i="7" s="1"/>
  <c r="CG42" i="56"/>
  <c r="GR42" i="56" s="1"/>
  <c r="CI32" i="7" s="1"/>
  <c r="CG69" i="56"/>
  <c r="GR69" i="56" s="1"/>
  <c r="CI59" i="7" s="1"/>
  <c r="CG65" i="56"/>
  <c r="GR65" i="56" s="1"/>
  <c r="CI55" i="7" s="1"/>
  <c r="CG62" i="56"/>
  <c r="GR62" i="56" s="1"/>
  <c r="CI52" i="7" s="1"/>
  <c r="CG33" i="56"/>
  <c r="GR33" i="56" s="1"/>
  <c r="CI23" i="7" s="1"/>
  <c r="CG56" i="56"/>
  <c r="GR56" i="56" s="1"/>
  <c r="CI46" i="7" s="1"/>
  <c r="CG59" i="56"/>
  <c r="GR59" i="56" s="1"/>
  <c r="CI49" i="7" s="1"/>
  <c r="CG34" i="56"/>
  <c r="GR34" i="56" s="1"/>
  <c r="CI24" i="7" s="1"/>
  <c r="CG53" i="56"/>
  <c r="GR53" i="56" s="1"/>
  <c r="CI43" i="7" s="1"/>
  <c r="CG44" i="56"/>
  <c r="GR44" i="56" s="1"/>
  <c r="CI34" i="7" s="1"/>
  <c r="CG38" i="56"/>
  <c r="GR38" i="56" s="1"/>
  <c r="CI28" i="7" s="1"/>
  <c r="CG54" i="56"/>
  <c r="GR54" i="56" s="1"/>
  <c r="CI44" i="7" s="1"/>
  <c r="CG47" i="56"/>
  <c r="GR47" i="56" s="1"/>
  <c r="CI37" i="7" s="1"/>
  <c r="CG32" i="56"/>
  <c r="GR32" i="56" s="1"/>
  <c r="CI22" i="7" s="1"/>
  <c r="CG39" i="56"/>
  <c r="GR39" i="56" s="1"/>
  <c r="CI29" i="7" s="1"/>
  <c r="CG35" i="56"/>
  <c r="GR35" i="56" s="1"/>
  <c r="CI25" i="7" s="1"/>
  <c r="CG64" i="56"/>
  <c r="GR64" i="56" s="1"/>
  <c r="CI54" i="7" s="1"/>
  <c r="CG63" i="56"/>
  <c r="GR63" i="56" s="1"/>
  <c r="CI53" i="7" s="1"/>
  <c r="CG66" i="56"/>
  <c r="GR66" i="56" s="1"/>
  <c r="CI56" i="7" s="1"/>
  <c r="CG73" i="56"/>
  <c r="GR73" i="56" s="1"/>
  <c r="CI63" i="7" s="1"/>
  <c r="CG52" i="56"/>
  <c r="GR52" i="56" s="1"/>
  <c r="CI42" i="7" s="1"/>
  <c r="CG58" i="56"/>
  <c r="GR58" i="56" s="1"/>
  <c r="CI48" i="7" s="1"/>
  <c r="CG70" i="56"/>
  <c r="GR70" i="56" s="1"/>
  <c r="CI60" i="7" s="1"/>
  <c r="CG57" i="56"/>
  <c r="GR57" i="56" s="1"/>
  <c r="CI47" i="7" s="1"/>
  <c r="CG36" i="56"/>
  <c r="GR36" i="56" s="1"/>
  <c r="CI26" i="7" s="1"/>
  <c r="CG30" i="56"/>
  <c r="GR30" i="56" s="1"/>
  <c r="CI20" i="7" s="1"/>
  <c r="CG61" i="56"/>
  <c r="GR61" i="56" s="1"/>
  <c r="CI51" i="7" s="1"/>
  <c r="CG72" i="56"/>
  <c r="GR72" i="56" s="1"/>
  <c r="CI62" i="7" s="1"/>
  <c r="CG67" i="56"/>
  <c r="GR67" i="56" s="1"/>
  <c r="CI57" i="7" s="1"/>
  <c r="CG43" i="56"/>
  <c r="GR43" i="56" s="1"/>
  <c r="CI33" i="7" s="1"/>
  <c r="GR9" i="56"/>
  <c r="CI19" i="7" s="1"/>
  <c r="CS35" i="57"/>
  <c r="FN35" i="57" s="1"/>
  <c r="AA25" i="7" s="1"/>
  <c r="CR35" i="57"/>
  <c r="EY35" i="57" s="1"/>
  <c r="R25" i="7" s="1"/>
  <c r="GA60" i="56"/>
  <c r="BX50" i="7" s="1"/>
  <c r="EK60" i="56"/>
  <c r="AZ50" i="7" s="1"/>
  <c r="O27" i="70"/>
  <c r="O26" i="70"/>
  <c r="O29" i="70"/>
  <c r="O25" i="70"/>
  <c r="O28" i="70"/>
  <c r="GA50" i="56"/>
  <c r="BX40" i="7" s="1"/>
  <c r="EK50" i="56"/>
  <c r="AZ40" i="7" s="1"/>
  <c r="CS83" i="57"/>
  <c r="CR83" i="57"/>
  <c r="FM83" i="57" s="1"/>
  <c r="Z73" i="7" s="1"/>
  <c r="FN83" i="57"/>
  <c r="AA73" i="7" s="1"/>
  <c r="DT103" i="57"/>
  <c r="CS107" i="57"/>
  <c r="CS39" i="57"/>
  <c r="EL39" i="57" s="1"/>
  <c r="K29" i="7" s="1"/>
  <c r="M103" i="57"/>
  <c r="EY74" i="57"/>
  <c r="R64" i="7" s="1"/>
  <c r="GR94" i="57"/>
  <c r="AS84" i="7" s="1"/>
  <c r="DG102" i="57"/>
  <c r="GP102" i="57" s="1"/>
  <c r="AQ92" i="7" s="1"/>
  <c r="EK104" i="57"/>
  <c r="J94" i="7" s="1"/>
  <c r="M52" i="57"/>
  <c r="DG75" i="57"/>
  <c r="DT107" i="57"/>
  <c r="DT97" i="57"/>
  <c r="FM97" i="57" s="1"/>
  <c r="Z87" i="7" s="1"/>
  <c r="DT33" i="57"/>
  <c r="DT49" i="57"/>
  <c r="FM49" i="57" s="1"/>
  <c r="Z39" i="7" s="1"/>
  <c r="EZ95" i="56"/>
  <c r="BI85" i="7" s="1"/>
  <c r="CS66" i="57"/>
  <c r="CS85" i="57"/>
  <c r="FN85" i="57" s="1"/>
  <c r="AA75" i="7" s="1"/>
  <c r="FN41" i="57"/>
  <c r="AA31" i="7" s="1"/>
  <c r="DT58" i="57"/>
  <c r="DT16" i="57"/>
  <c r="FM16" i="57" s="1"/>
  <c r="EY60" i="56"/>
  <c r="BH50" i="7" s="1"/>
  <c r="L33" i="57"/>
  <c r="M31" i="57"/>
  <c r="EL31" i="57" s="1"/>
  <c r="K21" i="7" s="1"/>
  <c r="DG40" i="57"/>
  <c r="EY51" i="56"/>
  <c r="BH41" i="7" s="1"/>
  <c r="DT109" i="57"/>
  <c r="DT94" i="57"/>
  <c r="FM94" i="57" s="1"/>
  <c r="Z84" i="7" s="1"/>
  <c r="CS45" i="57"/>
  <c r="FN45" i="57" s="1"/>
  <c r="AA35" i="7" s="1"/>
  <c r="CR45" i="57"/>
  <c r="EN27" i="57"/>
  <c r="FM94" i="56"/>
  <c r="BP84" i="7" s="1"/>
  <c r="CS54" i="57"/>
  <c r="FN54" i="57" s="1"/>
  <c r="AA44" i="7" s="1"/>
  <c r="CR54" i="57"/>
  <c r="FM54" i="57" s="1"/>
  <c r="Z44" i="7" s="1"/>
  <c r="GB36" i="56"/>
  <c r="BY26" i="7" s="1"/>
  <c r="EZ36" i="56"/>
  <c r="BI26" i="7" s="1"/>
  <c r="FN36" i="56"/>
  <c r="BQ26" i="7" s="1"/>
  <c r="CS81" i="57"/>
  <c r="FN81" i="57" s="1"/>
  <c r="AA71" i="7" s="1"/>
  <c r="EK73" i="56"/>
  <c r="AZ63" i="7" s="1"/>
  <c r="GA73" i="56"/>
  <c r="BX63" i="7" s="1"/>
  <c r="FN35" i="70"/>
  <c r="DG25" i="7" s="1"/>
  <c r="EY62" i="70"/>
  <c r="CX52" i="7" s="1"/>
  <c r="GA62" i="70"/>
  <c r="DN52" i="7" s="1"/>
  <c r="FM74" i="56"/>
  <c r="BP64" i="7" s="1"/>
  <c r="GP107" i="56"/>
  <c r="CG97" i="7" s="1"/>
  <c r="EL107" i="56"/>
  <c r="BA97" i="7" s="1"/>
  <c r="EL33" i="56"/>
  <c r="BA23" i="7" s="1"/>
  <c r="GP33" i="56"/>
  <c r="CG23" i="7" s="1"/>
  <c r="CS57" i="57"/>
  <c r="FN57" i="57" s="1"/>
  <c r="AA47" i="7" s="1"/>
  <c r="CS92" i="57"/>
  <c r="EZ92" i="57" s="1"/>
  <c r="S82" i="7" s="1"/>
  <c r="CR92" i="57"/>
  <c r="FM92" i="57" s="1"/>
  <c r="Z82" i="7" s="1"/>
  <c r="GO37" i="57"/>
  <c r="AP27" i="7" s="1"/>
  <c r="EY37" i="57"/>
  <c r="R27" i="7" s="1"/>
  <c r="GB52" i="56"/>
  <c r="BY42" i="7" s="1"/>
  <c r="FN52" i="56"/>
  <c r="BQ42" i="7" s="1"/>
  <c r="EZ66" i="56"/>
  <c r="BI56" i="7" s="1"/>
  <c r="GB66" i="56"/>
  <c r="BY56" i="7" s="1"/>
  <c r="EL66" i="56"/>
  <c r="BA56" i="7" s="1"/>
  <c r="EK86" i="70"/>
  <c r="CP76" i="7" s="1"/>
  <c r="GO86" i="70"/>
  <c r="DV76" i="7" s="1"/>
  <c r="EL56" i="56"/>
  <c r="BA46" i="7" s="1"/>
  <c r="CS6" i="56"/>
  <c r="GA6" i="56"/>
  <c r="DN6" i="7" s="1"/>
  <c r="FM6" i="56"/>
  <c r="DF6" i="7" s="1"/>
  <c r="EM41" i="57"/>
  <c r="L31" i="7" s="1"/>
  <c r="EM48" i="57"/>
  <c r="L38" i="7" s="1"/>
  <c r="EM72" i="57"/>
  <c r="L62" i="7" s="1"/>
  <c r="EM64" i="57"/>
  <c r="L54" i="7" s="1"/>
  <c r="EM31" i="57"/>
  <c r="L21" i="7" s="1"/>
  <c r="EM58" i="57"/>
  <c r="L48" i="7" s="1"/>
  <c r="EM56" i="57"/>
  <c r="L46" i="7" s="1"/>
  <c r="GP32" i="56"/>
  <c r="CG22" i="7" s="1"/>
  <c r="FN32" i="56"/>
  <c r="BQ22" i="7" s="1"/>
  <c r="GO38" i="56"/>
  <c r="CF28" i="7" s="1"/>
  <c r="FM38" i="56"/>
  <c r="BP28" i="7" s="1"/>
  <c r="CS48" i="57"/>
  <c r="FN48" i="57" s="1"/>
  <c r="AA38" i="7" s="1"/>
  <c r="CS43" i="57"/>
  <c r="DI27" i="70"/>
  <c r="DI29" i="70"/>
  <c r="DI28" i="70"/>
  <c r="DI26" i="70"/>
  <c r="DI25" i="70"/>
  <c r="EZ32" i="70"/>
  <c r="CY22" i="7" s="1"/>
  <c r="EZ56" i="56"/>
  <c r="BI46" i="7" s="1"/>
  <c r="CS58" i="57"/>
  <c r="CS64" i="57"/>
  <c r="CS96" i="57"/>
  <c r="EK49" i="57"/>
  <c r="J39" i="7" s="1"/>
  <c r="EK103" i="57"/>
  <c r="J93" i="7" s="1"/>
  <c r="DG94" i="57"/>
  <c r="CS80" i="57"/>
  <c r="CR47" i="57"/>
  <c r="CS104" i="57"/>
  <c r="EZ104" i="57" s="1"/>
  <c r="S94" i="7" s="1"/>
  <c r="DG41" i="57"/>
  <c r="GP41" i="57" s="1"/>
  <c r="AQ31" i="7" s="1"/>
  <c r="GP63" i="70"/>
  <c r="DW53" i="7" s="1"/>
  <c r="EY95" i="56"/>
  <c r="BH85" i="7" s="1"/>
  <c r="BQ107" i="57"/>
  <c r="EL68" i="57"/>
  <c r="K58" i="7" s="1"/>
  <c r="DT95" i="57"/>
  <c r="FM95" i="57" s="1"/>
  <c r="Z85" i="7" s="1"/>
  <c r="DT53" i="57"/>
  <c r="FM53" i="57" s="1"/>
  <c r="Z43" i="7" s="1"/>
  <c r="DT75" i="57"/>
  <c r="DT68" i="57"/>
  <c r="FM68" i="57" s="1"/>
  <c r="Z58" i="7" s="1"/>
  <c r="FN30" i="56"/>
  <c r="BQ20" i="7" s="1"/>
  <c r="EK31" i="57"/>
  <c r="J21" i="7" s="1"/>
  <c r="EM34" i="57"/>
  <c r="L24" i="7" s="1"/>
  <c r="DT82" i="57"/>
  <c r="FM82" i="57" s="1"/>
  <c r="Z72" i="7" s="1"/>
  <c r="GD26" i="57"/>
  <c r="EN26" i="57"/>
  <c r="CS52" i="57"/>
  <c r="EZ52" i="57" s="1"/>
  <c r="S42" i="7" s="1"/>
  <c r="EK52" i="70"/>
  <c r="CP42" i="7" s="1"/>
  <c r="GO52" i="70"/>
  <c r="DV42" i="7" s="1"/>
  <c r="CR13" i="7"/>
  <c r="EN1" i="70"/>
  <c r="CS13" i="7" s="1"/>
  <c r="BR29" i="56"/>
  <c r="BR25" i="56"/>
  <c r="BR27" i="56"/>
  <c r="BR26" i="56"/>
  <c r="BR28" i="56"/>
  <c r="CF71" i="56"/>
  <c r="GQ71" i="56" s="1"/>
  <c r="CH61" i="7" s="1"/>
  <c r="CF52" i="56"/>
  <c r="GQ52" i="56" s="1"/>
  <c r="CH42" i="7" s="1"/>
  <c r="CF34" i="56"/>
  <c r="GQ34" i="56" s="1"/>
  <c r="CH24" i="7" s="1"/>
  <c r="CF45" i="56"/>
  <c r="GQ45" i="56" s="1"/>
  <c r="CH35" i="7" s="1"/>
  <c r="CF46" i="56"/>
  <c r="GQ46" i="56" s="1"/>
  <c r="CH36" i="7" s="1"/>
  <c r="CF53" i="56"/>
  <c r="GQ53" i="56" s="1"/>
  <c r="CH43" i="7" s="1"/>
  <c r="CF69" i="56"/>
  <c r="GQ69" i="56" s="1"/>
  <c r="CH59" i="7" s="1"/>
  <c r="CF55" i="56"/>
  <c r="GQ55" i="56" s="1"/>
  <c r="CH45" i="7" s="1"/>
  <c r="CF51" i="56"/>
  <c r="GQ51" i="56" s="1"/>
  <c r="CH41" i="7" s="1"/>
  <c r="CF40" i="56"/>
  <c r="GQ40" i="56" s="1"/>
  <c r="CH30" i="7" s="1"/>
  <c r="CF30" i="56"/>
  <c r="GQ30" i="56" s="1"/>
  <c r="CH20" i="7" s="1"/>
  <c r="CF36" i="56"/>
  <c r="GQ36" i="56" s="1"/>
  <c r="CH26" i="7" s="1"/>
  <c r="CF68" i="56"/>
  <c r="GQ68" i="56" s="1"/>
  <c r="CH58" i="7" s="1"/>
  <c r="CF50" i="56"/>
  <c r="GQ50" i="56" s="1"/>
  <c r="CH40" i="7" s="1"/>
  <c r="CF67" i="56"/>
  <c r="GQ67" i="56" s="1"/>
  <c r="CH57" i="7" s="1"/>
  <c r="CF54" i="56"/>
  <c r="GQ54" i="56" s="1"/>
  <c r="CH44" i="7" s="1"/>
  <c r="CF57" i="56"/>
  <c r="GQ57" i="56" s="1"/>
  <c r="CH47" i="7" s="1"/>
  <c r="CF73" i="56"/>
  <c r="GQ73" i="56" s="1"/>
  <c r="CH63" i="7" s="1"/>
  <c r="CF38" i="56"/>
  <c r="GQ38" i="56" s="1"/>
  <c r="CH28" i="7" s="1"/>
  <c r="CF37" i="56"/>
  <c r="GQ37" i="56" s="1"/>
  <c r="CH27" i="7" s="1"/>
  <c r="CF60" i="56"/>
  <c r="GQ60" i="56" s="1"/>
  <c r="CH50" i="7" s="1"/>
  <c r="CF42" i="56"/>
  <c r="GQ42" i="56" s="1"/>
  <c r="CH32" i="7" s="1"/>
  <c r="CF41" i="56"/>
  <c r="GQ41" i="56" s="1"/>
  <c r="CH31" i="7" s="1"/>
  <c r="CF44" i="56"/>
  <c r="GQ44" i="56" s="1"/>
  <c r="CH34" i="7" s="1"/>
  <c r="CF49" i="56"/>
  <c r="GQ49" i="56" s="1"/>
  <c r="CH39" i="7" s="1"/>
  <c r="CF74" i="56"/>
  <c r="GQ74" i="56" s="1"/>
  <c r="CH64" i="7" s="1"/>
  <c r="CF47" i="56"/>
  <c r="GQ47" i="56" s="1"/>
  <c r="CH37" i="7" s="1"/>
  <c r="CF62" i="56"/>
  <c r="GQ62" i="56" s="1"/>
  <c r="CH52" i="7" s="1"/>
  <c r="CF61" i="56"/>
  <c r="GQ61" i="56" s="1"/>
  <c r="CH51" i="7" s="1"/>
  <c r="CF56" i="56"/>
  <c r="GQ56" i="56" s="1"/>
  <c r="CH46" i="7" s="1"/>
  <c r="CF58" i="56"/>
  <c r="GQ58" i="56" s="1"/>
  <c r="CH48" i="7" s="1"/>
  <c r="CF39" i="56"/>
  <c r="GQ39" i="56" s="1"/>
  <c r="CH29" i="7" s="1"/>
  <c r="CF59" i="56"/>
  <c r="GQ59" i="56" s="1"/>
  <c r="CH49" i="7" s="1"/>
  <c r="CF66" i="56"/>
  <c r="GQ66" i="56" s="1"/>
  <c r="CH56" i="7" s="1"/>
  <c r="CF31" i="56"/>
  <c r="GQ31" i="56" s="1"/>
  <c r="CH21" i="7" s="1"/>
  <c r="CF48" i="56"/>
  <c r="GQ48" i="56" s="1"/>
  <c r="CH38" i="7" s="1"/>
  <c r="CF33" i="56"/>
  <c r="GQ33" i="56" s="1"/>
  <c r="CH23" i="7" s="1"/>
  <c r="CF35" i="56"/>
  <c r="GQ35" i="56" s="1"/>
  <c r="CH25" i="7" s="1"/>
  <c r="CF43" i="56"/>
  <c r="GQ43" i="56" s="1"/>
  <c r="CH33" i="7" s="1"/>
  <c r="CF70" i="56"/>
  <c r="GQ70" i="56" s="1"/>
  <c r="CH60" i="7" s="1"/>
  <c r="CF65" i="56"/>
  <c r="GQ65" i="56" s="1"/>
  <c r="CH55" i="7" s="1"/>
  <c r="CF72" i="56"/>
  <c r="GQ72" i="56" s="1"/>
  <c r="CH62" i="7" s="1"/>
  <c r="CF64" i="56"/>
  <c r="GQ64" i="56" s="1"/>
  <c r="CH54" i="7" s="1"/>
  <c r="CF32" i="56"/>
  <c r="GQ32" i="56" s="1"/>
  <c r="CH22" i="7" s="1"/>
  <c r="CF63" i="56"/>
  <c r="GQ63" i="56" s="1"/>
  <c r="CH53" i="7" s="1"/>
  <c r="GQ9" i="56"/>
  <c r="CH19" i="7" s="1"/>
  <c r="EK34" i="56"/>
  <c r="AZ24" i="7" s="1"/>
  <c r="GA34" i="56"/>
  <c r="BX24" i="7" s="1"/>
  <c r="CS75" i="57"/>
  <c r="CR75" i="57"/>
  <c r="EY75" i="57" s="1"/>
  <c r="R65" i="7" s="1"/>
  <c r="CS32" i="57"/>
  <c r="FN32" i="57" s="1"/>
  <c r="AA22" i="7" s="1"/>
  <c r="CR32" i="57"/>
  <c r="FM32" i="57" s="1"/>
  <c r="Z22" i="7" s="1"/>
  <c r="GB60" i="56"/>
  <c r="BY50" i="7" s="1"/>
  <c r="EL60" i="56"/>
  <c r="BA50" i="7" s="1"/>
  <c r="GA95" i="56"/>
  <c r="BX85" i="7" s="1"/>
  <c r="EK95" i="56"/>
  <c r="AZ85" i="7" s="1"/>
  <c r="FM35" i="70"/>
  <c r="DF25" i="7" s="1"/>
  <c r="BJ13" i="7"/>
  <c r="BJ15" i="7" s="1"/>
  <c r="FB1" i="56"/>
  <c r="BK13" i="7" s="1"/>
  <c r="BK15" i="7" s="1"/>
  <c r="GQ6" i="57"/>
  <c r="CU6" i="57"/>
  <c r="GR6" i="57" s="1"/>
  <c r="EZ73" i="56"/>
  <c r="BI63" i="7" s="1"/>
  <c r="CS62" i="57"/>
  <c r="CR62" i="57"/>
  <c r="CS101" i="57"/>
  <c r="FN101" i="57" s="1"/>
  <c r="AA91" i="7" s="1"/>
  <c r="CS36" i="57"/>
  <c r="GP36" i="57" s="1"/>
  <c r="AQ26" i="7" s="1"/>
  <c r="CR36" i="57"/>
  <c r="GO36" i="57" s="1"/>
  <c r="AP26" i="7" s="1"/>
  <c r="CS33" i="57"/>
  <c r="CR33" i="57"/>
  <c r="CS87" i="57"/>
  <c r="FN87" i="57" s="1"/>
  <c r="AA77" i="7" s="1"/>
  <c r="EY12" i="56"/>
  <c r="GA12" i="56"/>
  <c r="CS79" i="57"/>
  <c r="FN79" i="57" s="1"/>
  <c r="AA69" i="7" s="1"/>
  <c r="CR79" i="57"/>
  <c r="GO79" i="57" s="1"/>
  <c r="AP69" i="7" s="1"/>
  <c r="EK74" i="56"/>
  <c r="AZ64" i="7" s="1"/>
  <c r="EY74" i="56"/>
  <c r="BH64" i="7" s="1"/>
  <c r="GA74" i="56"/>
  <c r="BX64" i="7" s="1"/>
  <c r="EK36" i="70"/>
  <c r="CP26" i="7" s="1"/>
  <c r="GO36" i="70"/>
  <c r="DV26" i="7" s="1"/>
  <c r="EM44" i="57"/>
  <c r="L34" i="7" s="1"/>
  <c r="EM37" i="57"/>
  <c r="L27" i="7" s="1"/>
  <c r="EM69" i="57"/>
  <c r="L59" i="7" s="1"/>
  <c r="EM57" i="57"/>
  <c r="L47" i="7" s="1"/>
  <c r="EM38" i="57"/>
  <c r="L28" i="7" s="1"/>
  <c r="EM62" i="57"/>
  <c r="L52" i="7" s="1"/>
  <c r="EM35" i="57"/>
  <c r="L25" i="7" s="1"/>
  <c r="EM70" i="57"/>
  <c r="L60" i="7" s="1"/>
  <c r="EL20" i="56"/>
  <c r="FM32" i="56"/>
  <c r="BP22" i="7" s="1"/>
  <c r="GO32" i="56"/>
  <c r="CF22" i="7" s="1"/>
  <c r="CS65" i="57"/>
  <c r="EZ65" i="57" s="1"/>
  <c r="S55" i="7" s="1"/>
  <c r="CR65" i="57"/>
  <c r="FM65" i="57" s="1"/>
  <c r="Z55" i="7" s="1"/>
  <c r="GO43" i="57"/>
  <c r="AP33" i="7" s="1"/>
  <c r="EY43" i="57"/>
  <c r="R33" i="7" s="1"/>
  <c r="EK49" i="70"/>
  <c r="CP39" i="7" s="1"/>
  <c r="GO49" i="70"/>
  <c r="DV39" i="7" s="1"/>
  <c r="BE38" i="70"/>
  <c r="BE31" i="70"/>
  <c r="BE40" i="70"/>
  <c r="BE46" i="70"/>
  <c r="BE73" i="70"/>
  <c r="BE68" i="70"/>
  <c r="BE42" i="70"/>
  <c r="BE55" i="70"/>
  <c r="BE34" i="70"/>
  <c r="BE49" i="70"/>
  <c r="BE70" i="70"/>
  <c r="BE66" i="70"/>
  <c r="BE51" i="70"/>
  <c r="BE58" i="70"/>
  <c r="BE62" i="70"/>
  <c r="BE32" i="70"/>
  <c r="BE60" i="70"/>
  <c r="BE33" i="70"/>
  <c r="BE35" i="70"/>
  <c r="BE41" i="70"/>
  <c r="BE67" i="70"/>
  <c r="BE56" i="70"/>
  <c r="BE30" i="70"/>
  <c r="BE54" i="70"/>
  <c r="BE59" i="70"/>
  <c r="BE65" i="70"/>
  <c r="BE45" i="70"/>
  <c r="BE50" i="70"/>
  <c r="BE43" i="70"/>
  <c r="BE57" i="70"/>
  <c r="BE71" i="70"/>
  <c r="BE69" i="70"/>
  <c r="BE47" i="70"/>
  <c r="BE74" i="70"/>
  <c r="BE37" i="70"/>
  <c r="BE52" i="70"/>
  <c r="BE61" i="70"/>
  <c r="BE72" i="70"/>
  <c r="BE63" i="70"/>
  <c r="BE36" i="70"/>
  <c r="BE44" i="70"/>
  <c r="BE48" i="70"/>
  <c r="BE64" i="70"/>
  <c r="BE39" i="70"/>
  <c r="BE53" i="70"/>
  <c r="EY34" i="56"/>
  <c r="BH24" i="7" s="1"/>
  <c r="FM35" i="56"/>
  <c r="BP25" i="7" s="1"/>
  <c r="BS27" i="70"/>
  <c r="BS26" i="70"/>
  <c r="BS25" i="70"/>
  <c r="BS28" i="70"/>
  <c r="BS29" i="70"/>
  <c r="EZ12" i="56"/>
  <c r="GB12" i="56"/>
  <c r="GB74" i="56"/>
  <c r="BY64" i="7" s="1"/>
  <c r="EL74" i="56"/>
  <c r="BA64" i="7" s="1"/>
  <c r="FM51" i="70"/>
  <c r="DF41" i="7" s="1"/>
  <c r="GO51" i="70"/>
  <c r="DV41" i="7" s="1"/>
  <c r="FN62" i="70"/>
  <c r="DG52" i="7" s="1"/>
  <c r="EM42" i="57"/>
  <c r="L32" i="7" s="1"/>
  <c r="EM40" i="57"/>
  <c r="L30" i="7" s="1"/>
  <c r="EM74" i="57"/>
  <c r="L64" i="7" s="1"/>
  <c r="EM46" i="57"/>
  <c r="L36" i="7" s="1"/>
  <c r="EM45" i="57"/>
  <c r="L35" i="7" s="1"/>
  <c r="EM59" i="57"/>
  <c r="L49" i="7" s="1"/>
  <c r="EM54" i="57"/>
  <c r="L44" i="7" s="1"/>
  <c r="FM52" i="56"/>
  <c r="BP42" i="7" s="1"/>
  <c r="EL73" i="56"/>
  <c r="BA63" i="7" s="1"/>
  <c r="CS30" i="57"/>
  <c r="FN30" i="57" s="1"/>
  <c r="AA20" i="7" s="1"/>
  <c r="CR30" i="57"/>
  <c r="EY30" i="57" s="1"/>
  <c r="R20" i="7" s="1"/>
  <c r="CS69" i="57"/>
  <c r="FN69" i="57" s="1"/>
  <c r="AA59" i="7" s="1"/>
  <c r="CR69" i="57"/>
  <c r="EY69" i="57" s="1"/>
  <c r="R59" i="7" s="1"/>
  <c r="GO34" i="70"/>
  <c r="DV24" i="7" s="1"/>
  <c r="EK34" i="70"/>
  <c r="CP24" i="7" s="1"/>
  <c r="EL49" i="70"/>
  <c r="CQ39" i="7" s="1"/>
  <c r="BD48" i="70"/>
  <c r="GQ48" i="70" s="1"/>
  <c r="DX38" i="7" s="1"/>
  <c r="BD43" i="70"/>
  <c r="BD56" i="70"/>
  <c r="GQ56" i="70" s="1"/>
  <c r="DX46" i="7" s="1"/>
  <c r="BD60" i="70"/>
  <c r="BD68" i="70"/>
  <c r="BD69" i="70"/>
  <c r="BD72" i="70"/>
  <c r="BD71" i="70"/>
  <c r="GQ71" i="70" s="1"/>
  <c r="DX61" i="7" s="1"/>
  <c r="BD58" i="70"/>
  <c r="GQ58" i="70" s="1"/>
  <c r="DX48" i="7" s="1"/>
  <c r="BD47" i="70"/>
  <c r="GQ47" i="70" s="1"/>
  <c r="DX37" i="7" s="1"/>
  <c r="BD54" i="70"/>
  <c r="GQ54" i="70" s="1"/>
  <c r="DX44" i="7" s="1"/>
  <c r="BD37" i="70"/>
  <c r="BD36" i="70"/>
  <c r="GQ36" i="70" s="1"/>
  <c r="DX26" i="7" s="1"/>
  <c r="BD39" i="70"/>
  <c r="GQ39" i="70" s="1"/>
  <c r="DX29" i="7" s="1"/>
  <c r="BD40" i="70"/>
  <c r="BD73" i="70"/>
  <c r="BD32" i="70"/>
  <c r="GQ32" i="70" s="1"/>
  <c r="DX22" i="7" s="1"/>
  <c r="BD42" i="70"/>
  <c r="BD74" i="70"/>
  <c r="BD61" i="70"/>
  <c r="GQ61" i="70" s="1"/>
  <c r="DX51" i="7" s="1"/>
  <c r="BD45" i="70"/>
  <c r="GQ45" i="70" s="1"/>
  <c r="DX35" i="7" s="1"/>
  <c r="BD51" i="70"/>
  <c r="BD38" i="70"/>
  <c r="GQ38" i="70" s="1"/>
  <c r="DX28" i="7" s="1"/>
  <c r="BD35" i="70"/>
  <c r="GQ35" i="70" s="1"/>
  <c r="DX25" i="7" s="1"/>
  <c r="BD44" i="70"/>
  <c r="BD49" i="70"/>
  <c r="BD53" i="70"/>
  <c r="GQ53" i="70" s="1"/>
  <c r="DX43" i="7" s="1"/>
  <c r="BD57" i="70"/>
  <c r="GQ57" i="70" s="1"/>
  <c r="DX47" i="7" s="1"/>
  <c r="BD67" i="70"/>
  <c r="BD62" i="70"/>
  <c r="BD70" i="70"/>
  <c r="GQ70" i="70" s="1"/>
  <c r="DX60" i="7" s="1"/>
  <c r="BD63" i="70"/>
  <c r="BD55" i="70"/>
  <c r="BD50" i="70"/>
  <c r="BD31" i="70"/>
  <c r="GQ31" i="70" s="1"/>
  <c r="DX21" i="7" s="1"/>
  <c r="BD34" i="70"/>
  <c r="BD30" i="70"/>
  <c r="BD33" i="70"/>
  <c r="GQ33" i="70" s="1"/>
  <c r="DX23" i="7" s="1"/>
  <c r="BD64" i="70"/>
  <c r="BD52" i="70"/>
  <c r="BD66" i="70"/>
  <c r="BD59" i="70"/>
  <c r="BD65" i="70"/>
  <c r="BD46" i="70"/>
  <c r="BD41" i="70"/>
  <c r="FN66" i="56"/>
  <c r="BQ56" i="7" s="1"/>
  <c r="BR29" i="70"/>
  <c r="BR28" i="70"/>
  <c r="BR25" i="70"/>
  <c r="BR27" i="70"/>
  <c r="BR26" i="70"/>
  <c r="GP101" i="57"/>
  <c r="AQ91" i="7" s="1"/>
  <c r="EL101" i="57"/>
  <c r="K91" i="7" s="1"/>
  <c r="EZ101" i="57"/>
  <c r="S91" i="7" s="1"/>
  <c r="GP63" i="57"/>
  <c r="AQ53" i="7" s="1"/>
  <c r="EZ63" i="57"/>
  <c r="S53" i="7" s="1"/>
  <c r="EL63" i="57"/>
  <c r="K53" i="7" s="1"/>
  <c r="FN63" i="57"/>
  <c r="AA53" i="7" s="1"/>
  <c r="EY77" i="57"/>
  <c r="R67" i="7" s="1"/>
  <c r="GO77" i="57"/>
  <c r="AP67" i="7" s="1"/>
  <c r="EK77" i="57"/>
  <c r="J67" i="7" s="1"/>
  <c r="GP99" i="57"/>
  <c r="AQ89" i="7" s="1"/>
  <c r="EZ99" i="57"/>
  <c r="S89" i="7" s="1"/>
  <c r="EL99" i="57"/>
  <c r="K89" i="7" s="1"/>
  <c r="FN99" i="57"/>
  <c r="AA89" i="7" s="1"/>
  <c r="GO85" i="57"/>
  <c r="AP75" i="7" s="1"/>
  <c r="EK85" i="57"/>
  <c r="J75" i="7" s="1"/>
  <c r="FM85" i="57"/>
  <c r="Z75" i="7" s="1"/>
  <c r="DT13" i="57"/>
  <c r="FM13" i="57" s="1"/>
  <c r="DT50" i="57"/>
  <c r="FM50" i="57" s="1"/>
  <c r="Z40" i="7" s="1"/>
  <c r="DT79" i="57"/>
  <c r="FM79" i="57" s="1"/>
  <c r="Z69" i="7" s="1"/>
  <c r="DT38" i="57"/>
  <c r="FM38" i="57" s="1"/>
  <c r="Z28" i="7" s="1"/>
  <c r="DT62" i="57"/>
  <c r="FM62" i="57" s="1"/>
  <c r="Z52" i="7" s="1"/>
  <c r="S1" i="7"/>
  <c r="EZ4" i="57"/>
  <c r="FA32" i="57"/>
  <c r="T22" i="7" s="1"/>
  <c r="GP56" i="56"/>
  <c r="CG46" i="7" s="1"/>
  <c r="N28" i="56"/>
  <c r="EM28" i="56" s="1"/>
  <c r="N27" i="56"/>
  <c r="EM27" i="56" s="1"/>
  <c r="N26" i="56"/>
  <c r="EM26" i="56" s="1"/>
  <c r="N29" i="56"/>
  <c r="EM29" i="56" s="1"/>
  <c r="N25" i="56"/>
  <c r="EM25" i="56" s="1"/>
  <c r="FA9" i="56"/>
  <c r="BJ19" i="7" s="1"/>
  <c r="AB61" i="56"/>
  <c r="AB68" i="56"/>
  <c r="AB70" i="56"/>
  <c r="AB49" i="56"/>
  <c r="AB30" i="56"/>
  <c r="AB59" i="56"/>
  <c r="AB71" i="56"/>
  <c r="AB63" i="56"/>
  <c r="AB40" i="56"/>
  <c r="AB72" i="56"/>
  <c r="AB51" i="56"/>
  <c r="AB37" i="56"/>
  <c r="AB43" i="56"/>
  <c r="AB58" i="56"/>
  <c r="AB35" i="56"/>
  <c r="AB50" i="56"/>
  <c r="AB36" i="56"/>
  <c r="AB52" i="56"/>
  <c r="AB53" i="56"/>
  <c r="AB45" i="56"/>
  <c r="AB41" i="56"/>
  <c r="AB47" i="56"/>
  <c r="AB56" i="56"/>
  <c r="AB62" i="56"/>
  <c r="AB39" i="56"/>
  <c r="AB65" i="56"/>
  <c r="AB31" i="56"/>
  <c r="AB44" i="56"/>
  <c r="AB60" i="56"/>
  <c r="AB34" i="56"/>
  <c r="AB55" i="56"/>
  <c r="AB54" i="56"/>
  <c r="AB38" i="56"/>
  <c r="AB46" i="56"/>
  <c r="AB48" i="56"/>
  <c r="AB66" i="56"/>
  <c r="AB67" i="56"/>
  <c r="AB69" i="56"/>
  <c r="AB57" i="56"/>
  <c r="AB42" i="56"/>
  <c r="AB73" i="56"/>
  <c r="AB32" i="56"/>
  <c r="AB33" i="56"/>
  <c r="AB64" i="56"/>
  <c r="AB74" i="56"/>
  <c r="GP46" i="56"/>
  <c r="CG36" i="7" s="1"/>
  <c r="FN46" i="56"/>
  <c r="BQ36" i="7" s="1"/>
  <c r="EK91" i="56"/>
  <c r="AZ81" i="7" s="1"/>
  <c r="GA91" i="56"/>
  <c r="BX81" i="7" s="1"/>
  <c r="L39" i="57"/>
  <c r="EK39" i="57" s="1"/>
  <c r="J29" i="7" s="1"/>
  <c r="CS70" i="57"/>
  <c r="GR70" i="57"/>
  <c r="AS60" i="7" s="1"/>
  <c r="FP70" i="57"/>
  <c r="AC60" i="7" s="1"/>
  <c r="EN70" i="57"/>
  <c r="M60" i="7" s="1"/>
  <c r="GO107" i="57"/>
  <c r="AP97" i="7" s="1"/>
  <c r="EK107" i="57"/>
  <c r="J97" i="7" s="1"/>
  <c r="FM107" i="57"/>
  <c r="Z97" i="7" s="1"/>
  <c r="FM58" i="57"/>
  <c r="Z48" i="7" s="1"/>
  <c r="EY58" i="57"/>
  <c r="R48" i="7" s="1"/>
  <c r="EK58" i="57"/>
  <c r="J48" i="7" s="1"/>
  <c r="GO58" i="57"/>
  <c r="AP48" i="7" s="1"/>
  <c r="GO64" i="57"/>
  <c r="AP54" i="7" s="1"/>
  <c r="EY64" i="57"/>
  <c r="R54" i="7" s="1"/>
  <c r="EK64" i="57"/>
  <c r="J54" i="7" s="1"/>
  <c r="FN77" i="57"/>
  <c r="AA67" i="7" s="1"/>
  <c r="GP77" i="57"/>
  <c r="AQ67" i="7" s="1"/>
  <c r="EZ77" i="57"/>
  <c r="S67" i="7" s="1"/>
  <c r="EL77" i="57"/>
  <c r="K67" i="7" s="1"/>
  <c r="CS105" i="57"/>
  <c r="GO39" i="57"/>
  <c r="AP29" i="7" s="1"/>
  <c r="FM39" i="57"/>
  <c r="Z29" i="7" s="1"/>
  <c r="EY39" i="57"/>
  <c r="R29" i="7" s="1"/>
  <c r="M91" i="57"/>
  <c r="EL91" i="57" s="1"/>
  <c r="K81" i="7" s="1"/>
  <c r="DG54" i="57"/>
  <c r="DG57" i="57"/>
  <c r="GO94" i="57"/>
  <c r="AP84" i="7" s="1"/>
  <c r="EY94" i="57"/>
  <c r="R84" i="7" s="1"/>
  <c r="EK94" i="57"/>
  <c r="J84" i="7" s="1"/>
  <c r="DG45" i="57"/>
  <c r="EN71" i="57"/>
  <c r="M61" i="7" s="1"/>
  <c r="GR71" i="57"/>
  <c r="AS61" i="7" s="1"/>
  <c r="EY102" i="57"/>
  <c r="R92" i="7" s="1"/>
  <c r="GO102" i="57"/>
  <c r="AP92" i="7" s="1"/>
  <c r="GR102" i="57"/>
  <c r="AS92" i="7" s="1"/>
  <c r="EN102" i="57"/>
  <c r="M92" i="7" s="1"/>
  <c r="GR44" i="57"/>
  <c r="AS34" i="7" s="1"/>
  <c r="EN44" i="57"/>
  <c r="M34" i="7" s="1"/>
  <c r="FP110" i="57"/>
  <c r="AC100" i="7" s="1"/>
  <c r="GD110" i="57"/>
  <c r="AK100" i="7" s="1"/>
  <c r="FO99" i="57"/>
  <c r="AB89" i="7" s="1"/>
  <c r="GQ99" i="57"/>
  <c r="AR89" i="7" s="1"/>
  <c r="EM99" i="57"/>
  <c r="L89" i="7" s="1"/>
  <c r="FA99" i="57"/>
  <c r="T89" i="7" s="1"/>
  <c r="GA22" i="70"/>
  <c r="EK22" i="70"/>
  <c r="EY22" i="70"/>
  <c r="GO22" i="70"/>
  <c r="FM22" i="70"/>
  <c r="GO102" i="70"/>
  <c r="DV92" i="7" s="1"/>
  <c r="FM102" i="70"/>
  <c r="DF92" i="7" s="1"/>
  <c r="GO72" i="57"/>
  <c r="AP62" i="7" s="1"/>
  <c r="FM72" i="57"/>
  <c r="Z62" i="7" s="1"/>
  <c r="CS60" i="57"/>
  <c r="GR60" i="57"/>
  <c r="AS50" i="7" s="1"/>
  <c r="FP60" i="57"/>
  <c r="AC50" i="7" s="1"/>
  <c r="GR80" i="57"/>
  <c r="AS70" i="7" s="1"/>
  <c r="FP80" i="57"/>
  <c r="AC70" i="7" s="1"/>
  <c r="EN80" i="57"/>
  <c r="M70" i="7" s="1"/>
  <c r="FP42" i="57"/>
  <c r="AC32" i="7" s="1"/>
  <c r="GR42" i="57"/>
  <c r="AS32" i="7" s="1"/>
  <c r="EN42" i="57"/>
  <c r="M32" i="7" s="1"/>
  <c r="EN52" i="57"/>
  <c r="M42" i="7" s="1"/>
  <c r="M43" i="57"/>
  <c r="EL43" i="57" s="1"/>
  <c r="K33" i="7" s="1"/>
  <c r="GR50" i="57"/>
  <c r="AS40" i="7" s="1"/>
  <c r="EN50" i="57"/>
  <c r="M40" i="7" s="1"/>
  <c r="DG87" i="57"/>
  <c r="GO52" i="57"/>
  <c r="AP42" i="7" s="1"/>
  <c r="EY52" i="57"/>
  <c r="R42" i="7" s="1"/>
  <c r="EN75" i="57"/>
  <c r="M65" i="7" s="1"/>
  <c r="GR75" i="57"/>
  <c r="AS65" i="7" s="1"/>
  <c r="GO35" i="57"/>
  <c r="AP25" i="7" s="1"/>
  <c r="EK35" i="57"/>
  <c r="J25" i="7" s="1"/>
  <c r="FM109" i="57"/>
  <c r="Z99" i="7" s="1"/>
  <c r="GA109" i="57"/>
  <c r="AH99" i="7" s="1"/>
  <c r="GP71" i="57"/>
  <c r="AQ61" i="7" s="1"/>
  <c r="FN71" i="57"/>
  <c r="AA61" i="7" s="1"/>
  <c r="EL71" i="57"/>
  <c r="K61" i="7" s="1"/>
  <c r="EZ71" i="57"/>
  <c r="S61" i="7" s="1"/>
  <c r="EM47" i="57"/>
  <c r="L37" i="7" s="1"/>
  <c r="GQ47" i="57"/>
  <c r="AR37" i="7" s="1"/>
  <c r="FP100" i="56"/>
  <c r="BS90" i="7" s="1"/>
  <c r="CS103" i="57"/>
  <c r="M36" i="57"/>
  <c r="EL36" i="57" s="1"/>
  <c r="K26" i="7" s="1"/>
  <c r="EK51" i="57"/>
  <c r="J41" i="7" s="1"/>
  <c r="EY51" i="57"/>
  <c r="R41" i="7" s="1"/>
  <c r="GO51" i="57"/>
  <c r="AP41" i="7" s="1"/>
  <c r="EY93" i="57"/>
  <c r="R83" i="7" s="1"/>
  <c r="GO93" i="57"/>
  <c r="AP83" i="7" s="1"/>
  <c r="EK93" i="57"/>
  <c r="J83" i="7" s="1"/>
  <c r="DG69" i="57"/>
  <c r="FN78" i="57"/>
  <c r="AA68" i="7" s="1"/>
  <c r="DW38" i="70"/>
  <c r="DW45" i="70"/>
  <c r="FP45" i="70" s="1"/>
  <c r="DI35" i="7" s="1"/>
  <c r="DW63" i="70"/>
  <c r="DW70" i="70"/>
  <c r="DW74" i="70"/>
  <c r="DW31" i="70"/>
  <c r="DW40" i="70"/>
  <c r="DW48" i="70"/>
  <c r="DW47" i="70"/>
  <c r="DW41" i="70"/>
  <c r="DW46" i="70"/>
  <c r="FP46" i="70" s="1"/>
  <c r="DI36" i="7" s="1"/>
  <c r="DW58" i="70"/>
  <c r="FP58" i="70" s="1"/>
  <c r="DI48" i="7" s="1"/>
  <c r="DW67" i="70"/>
  <c r="DW68" i="70"/>
  <c r="DW69" i="70"/>
  <c r="DW62" i="70"/>
  <c r="DW72" i="70"/>
  <c r="DW34" i="70"/>
  <c r="DW37" i="70"/>
  <c r="FP37" i="70" s="1"/>
  <c r="DI27" i="7" s="1"/>
  <c r="DW50" i="70"/>
  <c r="DW59" i="70"/>
  <c r="DW53" i="70"/>
  <c r="DW64" i="70"/>
  <c r="DW71" i="70"/>
  <c r="FP71" i="70" s="1"/>
  <c r="DI61" i="7" s="1"/>
  <c r="DW65" i="70"/>
  <c r="DW73" i="70"/>
  <c r="FP73" i="70" s="1"/>
  <c r="DI63" i="7" s="1"/>
  <c r="DW39" i="70"/>
  <c r="DW43" i="70"/>
  <c r="DW52" i="70"/>
  <c r="DW61" i="70"/>
  <c r="DW57" i="70"/>
  <c r="DW35" i="70"/>
  <c r="DW56" i="70"/>
  <c r="DW33" i="70"/>
  <c r="DW30" i="70"/>
  <c r="FP30" i="70" s="1"/>
  <c r="DI20" i="7" s="1"/>
  <c r="DW32" i="70"/>
  <c r="DW42" i="70"/>
  <c r="FP42" i="70" s="1"/>
  <c r="DI32" i="7" s="1"/>
  <c r="DW44" i="70"/>
  <c r="DW54" i="70"/>
  <c r="DW55" i="70"/>
  <c r="DW49" i="70"/>
  <c r="FP49" i="70" s="1"/>
  <c r="DI39" i="7" s="1"/>
  <c r="DW51" i="70"/>
  <c r="FP51" i="70" s="1"/>
  <c r="DI41" i="7" s="1"/>
  <c r="DW36" i="70"/>
  <c r="FP36" i="70" s="1"/>
  <c r="DI26" i="7" s="1"/>
  <c r="DW66" i="70"/>
  <c r="DW60" i="70"/>
  <c r="EX6" i="70"/>
  <c r="DT6" i="70"/>
  <c r="FL6" i="70"/>
  <c r="GQ22" i="70"/>
  <c r="GQ12" i="70"/>
  <c r="GQ84" i="70"/>
  <c r="DX74" i="7" s="1"/>
  <c r="GQ81" i="70"/>
  <c r="DX71" i="7" s="1"/>
  <c r="GQ78" i="70"/>
  <c r="DX68" i="7" s="1"/>
  <c r="GQ104" i="70"/>
  <c r="DX94" i="7" s="1"/>
  <c r="GQ99" i="70"/>
  <c r="DX89" i="7" s="1"/>
  <c r="GQ79" i="70"/>
  <c r="DX69" i="7" s="1"/>
  <c r="GQ101" i="70"/>
  <c r="DX91" i="7" s="1"/>
  <c r="GQ93" i="70"/>
  <c r="DX83" i="7" s="1"/>
  <c r="GQ76" i="70"/>
  <c r="DX66" i="7" s="1"/>
  <c r="GQ94" i="70"/>
  <c r="DX84" i="7" s="1"/>
  <c r="GQ82" i="70"/>
  <c r="DX72" i="7" s="1"/>
  <c r="GQ97" i="70"/>
  <c r="DX87" i="7" s="1"/>
  <c r="GQ23" i="70"/>
  <c r="GQ88" i="70"/>
  <c r="DX78" i="7" s="1"/>
  <c r="GQ11" i="70"/>
  <c r="GQ91" i="70"/>
  <c r="DX81" i="7" s="1"/>
  <c r="GQ87" i="70"/>
  <c r="DX77" i="7" s="1"/>
  <c r="GQ103" i="70"/>
  <c r="DX93" i="7" s="1"/>
  <c r="GQ24" i="70"/>
  <c r="GR8" i="70"/>
  <c r="GR59" i="70" s="1"/>
  <c r="DY49" i="7" s="1"/>
  <c r="GQ18" i="70"/>
  <c r="GQ109" i="70"/>
  <c r="DX99" i="7" s="1"/>
  <c r="GQ100" i="70"/>
  <c r="DX90" i="7" s="1"/>
  <c r="GQ90" i="70"/>
  <c r="DX80" i="7" s="1"/>
  <c r="GQ107" i="70"/>
  <c r="DX97" i="7" s="1"/>
  <c r="GQ26" i="70"/>
  <c r="GQ25" i="70"/>
  <c r="GQ92" i="70"/>
  <c r="DX82" i="7" s="1"/>
  <c r="GQ10" i="70"/>
  <c r="DX130" i="7" s="1"/>
  <c r="GQ19" i="70"/>
  <c r="GQ105" i="70"/>
  <c r="DX95" i="7" s="1"/>
  <c r="GQ13" i="70"/>
  <c r="GQ80" i="70"/>
  <c r="DX70" i="7" s="1"/>
  <c r="GQ3" i="70"/>
  <c r="GQ96" i="70"/>
  <c r="DX86" i="7" s="1"/>
  <c r="GQ14" i="70"/>
  <c r="GQ106" i="70"/>
  <c r="DX96" i="7" s="1"/>
  <c r="GQ77" i="70"/>
  <c r="DX67" i="7" s="1"/>
  <c r="GQ98" i="70"/>
  <c r="DX88" i="7" s="1"/>
  <c r="GQ83" i="70"/>
  <c r="DX73" i="7" s="1"/>
  <c r="GQ85" i="70"/>
  <c r="DX75" i="7" s="1"/>
  <c r="GQ110" i="70"/>
  <c r="DX100" i="7" s="1"/>
  <c r="GQ89" i="70"/>
  <c r="DX79" i="7" s="1"/>
  <c r="GQ17" i="70"/>
  <c r="GQ16" i="70"/>
  <c r="GQ15" i="70"/>
  <c r="GQ75" i="70"/>
  <c r="DX65" i="7" s="1"/>
  <c r="GQ95" i="70"/>
  <c r="DX85" i="7" s="1"/>
  <c r="GQ9" i="70"/>
  <c r="DX19" i="7" s="1"/>
  <c r="GQ27" i="70"/>
  <c r="GQ86" i="70"/>
  <c r="DX76" i="7" s="1"/>
  <c r="GQ6" i="70"/>
  <c r="GQ68" i="70"/>
  <c r="DX58" i="7" s="1"/>
  <c r="GQ59" i="70"/>
  <c r="DX49" i="7" s="1"/>
  <c r="GQ72" i="70"/>
  <c r="DX62" i="7" s="1"/>
  <c r="GQ42" i="70"/>
  <c r="DX32" i="7" s="1"/>
  <c r="GQ51" i="70"/>
  <c r="DX41" i="7" s="1"/>
  <c r="GQ46" i="70"/>
  <c r="DX36" i="7" s="1"/>
  <c r="GQ69" i="70"/>
  <c r="DX59" i="7" s="1"/>
  <c r="GQ52" i="70"/>
  <c r="DX42" i="7" s="1"/>
  <c r="GQ44" i="70"/>
  <c r="DX34" i="7" s="1"/>
  <c r="GQ55" i="70"/>
  <c r="DX45" i="7" s="1"/>
  <c r="GQ40" i="70"/>
  <c r="DX30" i="7" s="1"/>
  <c r="EY72" i="57"/>
  <c r="R62" i="7" s="1"/>
  <c r="FA51" i="57"/>
  <c r="T41" i="7" s="1"/>
  <c r="FM109" i="56"/>
  <c r="BP99" i="7" s="1"/>
  <c r="FM25" i="56"/>
  <c r="GO25" i="56"/>
  <c r="GO110" i="57"/>
  <c r="AP100" i="7" s="1"/>
  <c r="EK110" i="57"/>
  <c r="J100" i="7" s="1"/>
  <c r="EK108" i="57"/>
  <c r="J98" i="7" s="1"/>
  <c r="GO108" i="57"/>
  <c r="AP98" i="7" s="1"/>
  <c r="GP66" i="57"/>
  <c r="AQ56" i="7" s="1"/>
  <c r="EL66" i="57"/>
  <c r="K56" i="7" s="1"/>
  <c r="EZ66" i="57"/>
  <c r="S56" i="7" s="1"/>
  <c r="FN66" i="57"/>
  <c r="AA56" i="7" s="1"/>
  <c r="GR66" i="57"/>
  <c r="AS56" i="7" s="1"/>
  <c r="FP66" i="57"/>
  <c r="AC56" i="7" s="1"/>
  <c r="EN66" i="57"/>
  <c r="M56" i="7" s="1"/>
  <c r="EK98" i="57"/>
  <c r="J88" i="7" s="1"/>
  <c r="FM98" i="57"/>
  <c r="Z88" i="7" s="1"/>
  <c r="EY98" i="57"/>
  <c r="R88" i="7" s="1"/>
  <c r="GO98" i="57"/>
  <c r="AP88" i="7" s="1"/>
  <c r="EL62" i="57"/>
  <c r="K52" i="7" s="1"/>
  <c r="GP62" i="57"/>
  <c r="AQ52" i="7" s="1"/>
  <c r="GP85" i="57"/>
  <c r="AQ75" i="7" s="1"/>
  <c r="EL85" i="57"/>
  <c r="K75" i="7" s="1"/>
  <c r="GB87" i="56"/>
  <c r="BY77" i="7" s="1"/>
  <c r="EZ87" i="56"/>
  <c r="BI77" i="7" s="1"/>
  <c r="GO67" i="57"/>
  <c r="AP57" i="7" s="1"/>
  <c r="EK67" i="57"/>
  <c r="J57" i="7" s="1"/>
  <c r="EZ107" i="57"/>
  <c r="S97" i="7" s="1"/>
  <c r="GA109" i="70"/>
  <c r="DN99" i="7" s="1"/>
  <c r="EK109" i="70"/>
  <c r="CP99" i="7" s="1"/>
  <c r="GQ64" i="70"/>
  <c r="DX54" i="7" s="1"/>
  <c r="GQ74" i="70"/>
  <c r="DX64" i="7" s="1"/>
  <c r="GQ63" i="70"/>
  <c r="DX53" i="7" s="1"/>
  <c r="GQ67" i="70"/>
  <c r="DX57" i="7" s="1"/>
  <c r="DI12" i="41"/>
  <c r="DH19" i="41"/>
  <c r="FP27" i="57"/>
  <c r="A133" i="46"/>
  <c r="O133" i="46" s="1"/>
  <c r="A133" i="38"/>
  <c r="O133" i="38" s="1"/>
  <c r="A134" i="55"/>
  <c r="A133" i="45"/>
  <c r="O133" i="45" s="1"/>
  <c r="AX6" i="57"/>
  <c r="FV6" i="57"/>
  <c r="EF6" i="57"/>
  <c r="AQ37" i="56"/>
  <c r="AQ49" i="56"/>
  <c r="AQ65" i="56"/>
  <c r="AQ60" i="56"/>
  <c r="AQ50" i="56"/>
  <c r="AQ66" i="56"/>
  <c r="AQ64" i="56"/>
  <c r="AQ36" i="56"/>
  <c r="AQ47" i="56"/>
  <c r="AQ63" i="56"/>
  <c r="AQ56" i="56"/>
  <c r="AQ33" i="56"/>
  <c r="AQ41" i="56"/>
  <c r="AQ57" i="56"/>
  <c r="AQ73" i="56"/>
  <c r="AQ42" i="56"/>
  <c r="AQ58" i="56"/>
  <c r="AQ74" i="56"/>
  <c r="AQ32" i="56"/>
  <c r="AQ40" i="56"/>
  <c r="AQ55" i="56"/>
  <c r="AQ71" i="56"/>
  <c r="FP9" i="56"/>
  <c r="BS19" i="7" s="1"/>
  <c r="AQ35" i="56"/>
  <c r="AQ45" i="56"/>
  <c r="AQ61" i="56"/>
  <c r="AQ48" i="56"/>
  <c r="AQ46" i="56"/>
  <c r="AQ62" i="56"/>
  <c r="AQ52" i="56"/>
  <c r="AQ34" i="56"/>
  <c r="AQ43" i="56"/>
  <c r="AQ59" i="56"/>
  <c r="AQ44" i="56"/>
  <c r="AQ53" i="56"/>
  <c r="AQ70" i="56"/>
  <c r="AQ67" i="56"/>
  <c r="AQ31" i="56"/>
  <c r="AQ72" i="56"/>
  <c r="AQ38" i="56"/>
  <c r="AQ39" i="56"/>
  <c r="AQ54" i="56"/>
  <c r="AQ51" i="56"/>
  <c r="AQ30" i="56"/>
  <c r="AQ68" i="56"/>
  <c r="AQ69" i="56"/>
  <c r="O66" i="56"/>
  <c r="EN66" i="56" s="1"/>
  <c r="BC56" i="7" s="1"/>
  <c r="O58" i="56"/>
  <c r="EN58" i="56" s="1"/>
  <c r="BC48" i="7" s="1"/>
  <c r="O43" i="56"/>
  <c r="EN43" i="56" s="1"/>
  <c r="BC33" i="7" s="1"/>
  <c r="O57" i="56"/>
  <c r="EN57" i="56" s="1"/>
  <c r="BC47" i="7" s="1"/>
  <c r="O40" i="56"/>
  <c r="EN40" i="56" s="1"/>
  <c r="BC30" i="7" s="1"/>
  <c r="O59" i="56"/>
  <c r="EN59" i="56" s="1"/>
  <c r="BC49" i="7" s="1"/>
  <c r="O51" i="56"/>
  <c r="EN51" i="56" s="1"/>
  <c r="BC41" i="7" s="1"/>
  <c r="O73" i="56"/>
  <c r="EN73" i="56" s="1"/>
  <c r="BC63" i="7" s="1"/>
  <c r="O72" i="56"/>
  <c r="EN72" i="56" s="1"/>
  <c r="BC62" i="7" s="1"/>
  <c r="O47" i="56"/>
  <c r="EN47" i="56" s="1"/>
  <c r="BC37" i="7" s="1"/>
  <c r="O65" i="56"/>
  <c r="EN65" i="56" s="1"/>
  <c r="BC55" i="7" s="1"/>
  <c r="O74" i="56"/>
  <c r="EN74" i="56" s="1"/>
  <c r="BC64" i="7" s="1"/>
  <c r="O49" i="56"/>
  <c r="EN49" i="56" s="1"/>
  <c r="BC39" i="7" s="1"/>
  <c r="O39" i="56"/>
  <c r="EN39" i="56" s="1"/>
  <c r="BC29" i="7" s="1"/>
  <c r="O32" i="56"/>
  <c r="EN32" i="56" s="1"/>
  <c r="BC22" i="7" s="1"/>
  <c r="O36" i="56"/>
  <c r="EN36" i="56" s="1"/>
  <c r="BC26" i="7" s="1"/>
  <c r="O67" i="56"/>
  <c r="EN67" i="56" s="1"/>
  <c r="BC57" i="7" s="1"/>
  <c r="O31" i="56"/>
  <c r="EN31" i="56" s="1"/>
  <c r="BC21" i="7" s="1"/>
  <c r="O48" i="56"/>
  <c r="EN48" i="56" s="1"/>
  <c r="BC38" i="7" s="1"/>
  <c r="O64" i="56"/>
  <c r="EN64" i="56" s="1"/>
  <c r="BC54" i="7" s="1"/>
  <c r="O56" i="56"/>
  <c r="EN56" i="56" s="1"/>
  <c r="BC46" i="7" s="1"/>
  <c r="O35" i="56"/>
  <c r="EN35" i="56" s="1"/>
  <c r="BC25" i="7" s="1"/>
  <c r="EN9" i="56"/>
  <c r="BC19" i="7" s="1"/>
  <c r="O70" i="56"/>
  <c r="EN70" i="56" s="1"/>
  <c r="BC60" i="7" s="1"/>
  <c r="O62" i="56"/>
  <c r="EN62" i="56" s="1"/>
  <c r="BC52" i="7" s="1"/>
  <c r="O45" i="56"/>
  <c r="EN45" i="56" s="1"/>
  <c r="BC35" i="7" s="1"/>
  <c r="O69" i="56"/>
  <c r="EN69" i="56" s="1"/>
  <c r="BC59" i="7" s="1"/>
  <c r="O38" i="56"/>
  <c r="EN38" i="56" s="1"/>
  <c r="BC28" i="7" s="1"/>
  <c r="O63" i="56"/>
  <c r="EN63" i="56" s="1"/>
  <c r="BC53" i="7" s="1"/>
  <c r="O55" i="56"/>
  <c r="EN55" i="56" s="1"/>
  <c r="BC45" i="7" s="1"/>
  <c r="O37" i="56"/>
  <c r="EN37" i="56" s="1"/>
  <c r="BC27" i="7" s="1"/>
  <c r="O42" i="56"/>
  <c r="EN42" i="56" s="1"/>
  <c r="BC32" i="7" s="1"/>
  <c r="O52" i="56"/>
  <c r="EN52" i="56" s="1"/>
  <c r="BC42" i="7" s="1"/>
  <c r="O41" i="56"/>
  <c r="EN41" i="56" s="1"/>
  <c r="BC31" i="7" s="1"/>
  <c r="O44" i="56"/>
  <c r="EN44" i="56" s="1"/>
  <c r="BC34" i="7" s="1"/>
  <c r="O30" i="56"/>
  <c r="EN30" i="56" s="1"/>
  <c r="BC20" i="7" s="1"/>
  <c r="O46" i="56"/>
  <c r="EN46" i="56" s="1"/>
  <c r="BC36" i="7" s="1"/>
  <c r="O50" i="56"/>
  <c r="EN50" i="56" s="1"/>
  <c r="BC40" i="7" s="1"/>
  <c r="O54" i="56"/>
  <c r="EN54" i="56" s="1"/>
  <c r="BC44" i="7" s="1"/>
  <c r="O71" i="56"/>
  <c r="EN71" i="56" s="1"/>
  <c r="BC61" i="7" s="1"/>
  <c r="O68" i="56"/>
  <c r="EN68" i="56" s="1"/>
  <c r="BC58" i="7" s="1"/>
  <c r="O33" i="56"/>
  <c r="EN33" i="56" s="1"/>
  <c r="BC23" i="7" s="1"/>
  <c r="O60" i="56"/>
  <c r="EN60" i="56" s="1"/>
  <c r="BC50" i="7" s="1"/>
  <c r="O34" i="56"/>
  <c r="EN34" i="56" s="1"/>
  <c r="BC24" i="7" s="1"/>
  <c r="O61" i="56"/>
  <c r="EN61" i="56" s="1"/>
  <c r="BC51" i="7" s="1"/>
  <c r="O53" i="56"/>
  <c r="EN53" i="56" s="1"/>
  <c r="BC43" i="7" s="1"/>
  <c r="FM37" i="57"/>
  <c r="Z27" i="7" s="1"/>
  <c r="GO109" i="57"/>
  <c r="AP99" i="7" s="1"/>
  <c r="EK109" i="57"/>
  <c r="J99" i="7" s="1"/>
  <c r="EK84" i="57"/>
  <c r="J74" i="7" s="1"/>
  <c r="EY84" i="57"/>
  <c r="R74" i="7" s="1"/>
  <c r="GO84" i="57"/>
  <c r="AP74" i="7" s="1"/>
  <c r="EY100" i="57"/>
  <c r="R90" i="7" s="1"/>
  <c r="GO100" i="57"/>
  <c r="AP90" i="7" s="1"/>
  <c r="EK100" i="57"/>
  <c r="J90" i="7" s="1"/>
  <c r="GR55" i="57"/>
  <c r="AS45" i="7" s="1"/>
  <c r="FP55" i="57"/>
  <c r="AC45" i="7" s="1"/>
  <c r="EN55" i="57"/>
  <c r="M45" i="7" s="1"/>
  <c r="CS61" i="57"/>
  <c r="EY49" i="57"/>
  <c r="R39" i="7" s="1"/>
  <c r="GO49" i="57"/>
  <c r="AP39" i="7" s="1"/>
  <c r="EN72" i="57"/>
  <c r="M62" i="7" s="1"/>
  <c r="EK105" i="57"/>
  <c r="J95" i="7" s="1"/>
  <c r="GP65" i="57"/>
  <c r="AQ55" i="7" s="1"/>
  <c r="EL65" i="57"/>
  <c r="K55" i="7" s="1"/>
  <c r="EN82" i="57"/>
  <c r="M72" i="7" s="1"/>
  <c r="GR82" i="57"/>
  <c r="AS72" i="7" s="1"/>
  <c r="GP92" i="57"/>
  <c r="AQ82" i="7" s="1"/>
  <c r="EL92" i="57"/>
  <c r="K82" i="7" s="1"/>
  <c r="BR42" i="70"/>
  <c r="BR36" i="70"/>
  <c r="BR39" i="70"/>
  <c r="BR57" i="70"/>
  <c r="BR61" i="70"/>
  <c r="BR64" i="70"/>
  <c r="BR71" i="70"/>
  <c r="BR37" i="70"/>
  <c r="BR33" i="70"/>
  <c r="BR40" i="70"/>
  <c r="BR44" i="70"/>
  <c r="BR53" i="70"/>
  <c r="BR49" i="70"/>
  <c r="BR68" i="70"/>
  <c r="BR67" i="70"/>
  <c r="BR73" i="70"/>
  <c r="BR43" i="70"/>
  <c r="BR69" i="70"/>
  <c r="BR62" i="70"/>
  <c r="BR52" i="70"/>
  <c r="BR56" i="70"/>
  <c r="BR32" i="70"/>
  <c r="BR74" i="70"/>
  <c r="BR55" i="70"/>
  <c r="BR45" i="70"/>
  <c r="BR48" i="70"/>
  <c r="BR41" i="70"/>
  <c r="BR60" i="70"/>
  <c r="BR30" i="70"/>
  <c r="BR72" i="70"/>
  <c r="BR66" i="70"/>
  <c r="BR63" i="70"/>
  <c r="BR50" i="70"/>
  <c r="BR47" i="70"/>
  <c r="BR34" i="70"/>
  <c r="BR70" i="70"/>
  <c r="BR46" i="70"/>
  <c r="BR31" i="70"/>
  <c r="BR58" i="70"/>
  <c r="BR51" i="70"/>
  <c r="BR35" i="70"/>
  <c r="BR59" i="70"/>
  <c r="BR54" i="70"/>
  <c r="BR65" i="70"/>
  <c r="BR38" i="70"/>
  <c r="FA9" i="70"/>
  <c r="CZ19" i="7" s="1"/>
  <c r="CT26" i="70"/>
  <c r="CT27" i="70"/>
  <c r="CT29" i="70"/>
  <c r="CT28" i="70"/>
  <c r="CT25" i="70"/>
  <c r="EY109" i="70"/>
  <c r="CX99" i="7" s="1"/>
  <c r="GO21" i="57"/>
  <c r="EK21" i="57"/>
  <c r="EY21" i="57"/>
  <c r="GP59" i="57"/>
  <c r="AQ49" i="7" s="1"/>
  <c r="EZ59" i="57"/>
  <c r="S49" i="7" s="1"/>
  <c r="EL59" i="57"/>
  <c r="K49" i="7" s="1"/>
  <c r="GO56" i="57"/>
  <c r="AP46" i="7" s="1"/>
  <c r="EK56" i="57"/>
  <c r="J46" i="7" s="1"/>
  <c r="FM56" i="57"/>
  <c r="Z46" i="7" s="1"/>
  <c r="GP91" i="57"/>
  <c r="AQ81" i="7" s="1"/>
  <c r="FN91" i="57"/>
  <c r="AA81" i="7" s="1"/>
  <c r="FP91" i="57"/>
  <c r="AC81" i="7" s="1"/>
  <c r="GR91" i="57"/>
  <c r="AS81" i="7" s="1"/>
  <c r="EN83" i="57"/>
  <c r="M73" i="7" s="1"/>
  <c r="GR83" i="57"/>
  <c r="AS73" i="7" s="1"/>
  <c r="GD1" i="70"/>
  <c r="DQ13" i="7" s="1"/>
  <c r="DP13" i="7"/>
  <c r="GQ73" i="70"/>
  <c r="DX63" i="7" s="1"/>
  <c r="EK69" i="57"/>
  <c r="J59" i="7" s="1"/>
  <c r="GO75" i="57"/>
  <c r="AP65" i="7" s="1"/>
  <c r="GO74" i="57"/>
  <c r="AP64" i="7" s="1"/>
  <c r="GQ28" i="70"/>
  <c r="EN60" i="57"/>
  <c r="M50" i="7" s="1"/>
  <c r="EY68" i="57"/>
  <c r="R58" i="7" s="1"/>
  <c r="FO28" i="57"/>
  <c r="EY46" i="57"/>
  <c r="R36" i="7" s="1"/>
  <c r="FA47" i="57"/>
  <c r="T37" i="7" s="1"/>
  <c r="GR38" i="70"/>
  <c r="DY28" i="7" s="1"/>
  <c r="FP38" i="70"/>
  <c r="DI28" i="7" s="1"/>
  <c r="FP61" i="70"/>
  <c r="DI51" i="7" s="1"/>
  <c r="GR66" i="70"/>
  <c r="DY56" i="7" s="1"/>
  <c r="FP66" i="70"/>
  <c r="DI56" i="7" s="1"/>
  <c r="FP72" i="70"/>
  <c r="DI62" i="7" s="1"/>
  <c r="FP35" i="70"/>
  <c r="DI25" i="7" s="1"/>
  <c r="GR35" i="70"/>
  <c r="DY25" i="7" s="1"/>
  <c r="FP41" i="70"/>
  <c r="DI31" i="7" s="1"/>
  <c r="GR41" i="70"/>
  <c r="DY31" i="7" s="1"/>
  <c r="GR32" i="70"/>
  <c r="DY22" i="7" s="1"/>
  <c r="FP32" i="70"/>
  <c r="DI22" i="7" s="1"/>
  <c r="FP53" i="70"/>
  <c r="DI43" i="7" s="1"/>
  <c r="FP50" i="70"/>
  <c r="DI40" i="7" s="1"/>
  <c r="FP68" i="70"/>
  <c r="DI58" i="7" s="1"/>
  <c r="GR68" i="70"/>
  <c r="DY58" i="7" s="1"/>
  <c r="FP65" i="70"/>
  <c r="DI55" i="7" s="1"/>
  <c r="FP31" i="70"/>
  <c r="DI21" i="7" s="1"/>
  <c r="GR31" i="70"/>
  <c r="DY21" i="7" s="1"/>
  <c r="FB8" i="57"/>
  <c r="FB73" i="57" s="1"/>
  <c r="U63" i="7" s="1"/>
  <c r="FA20" i="57"/>
  <c r="FA3" i="57"/>
  <c r="FA27" i="57"/>
  <c r="FA16" i="57"/>
  <c r="FA11" i="57"/>
  <c r="FA19" i="57"/>
  <c r="FA18" i="57"/>
  <c r="FA28" i="57"/>
  <c r="FA14" i="57"/>
  <c r="FA23" i="57"/>
  <c r="FA15" i="57"/>
  <c r="FA17" i="57"/>
  <c r="FA22" i="57"/>
  <c r="FA9" i="57"/>
  <c r="T19" i="7" s="1"/>
  <c r="FA6" i="57"/>
  <c r="FA46" i="57"/>
  <c r="T36" i="7" s="1"/>
  <c r="FA59" i="57"/>
  <c r="T49" i="7" s="1"/>
  <c r="FA103" i="57"/>
  <c r="T93" i="7" s="1"/>
  <c r="FA107" i="57"/>
  <c r="T97" i="7" s="1"/>
  <c r="FA102" i="57"/>
  <c r="T92" i="7" s="1"/>
  <c r="FA97" i="57"/>
  <c r="T87" i="7" s="1"/>
  <c r="FA39" i="57"/>
  <c r="T29" i="7" s="1"/>
  <c r="FA35" i="57"/>
  <c r="T25" i="7" s="1"/>
  <c r="FA70" i="57"/>
  <c r="T60" i="7" s="1"/>
  <c r="FA110" i="57"/>
  <c r="T100" i="7" s="1"/>
  <c r="FA93" i="57"/>
  <c r="T83" i="7" s="1"/>
  <c r="FA44" i="57"/>
  <c r="T34" i="7" s="1"/>
  <c r="FA58" i="57"/>
  <c r="T48" i="7" s="1"/>
  <c r="FA37" i="57"/>
  <c r="T27" i="7" s="1"/>
  <c r="FA57" i="57"/>
  <c r="T47" i="7" s="1"/>
  <c r="FA91" i="57"/>
  <c r="T81" i="7" s="1"/>
  <c r="FA100" i="57"/>
  <c r="T90" i="7" s="1"/>
  <c r="FA81" i="57"/>
  <c r="T71" i="7" s="1"/>
  <c r="FA75" i="57"/>
  <c r="T65" i="7" s="1"/>
  <c r="FA94" i="57"/>
  <c r="T84" i="7" s="1"/>
  <c r="FA82" i="57"/>
  <c r="T72" i="7" s="1"/>
  <c r="FA73" i="57"/>
  <c r="T63" i="7" s="1"/>
  <c r="FA30" i="57"/>
  <c r="T20" i="7" s="1"/>
  <c r="FA31" i="57"/>
  <c r="T21" i="7" s="1"/>
  <c r="FA45" i="57"/>
  <c r="T35" i="7" s="1"/>
  <c r="FA10" i="57"/>
  <c r="T130" i="7" s="1"/>
  <c r="FA92" i="57"/>
  <c r="T82" i="7" s="1"/>
  <c r="FA87" i="57"/>
  <c r="T77" i="7" s="1"/>
  <c r="FA76" i="57"/>
  <c r="T66" i="7" s="1"/>
  <c r="FA66" i="57"/>
  <c r="T56" i="7" s="1"/>
  <c r="FA69" i="57"/>
  <c r="T59" i="7" s="1"/>
  <c r="FA65" i="57"/>
  <c r="T55" i="7" s="1"/>
  <c r="FA38" i="57"/>
  <c r="T28" i="7" s="1"/>
  <c r="FA84" i="57"/>
  <c r="T74" i="7" s="1"/>
  <c r="FA95" i="57"/>
  <c r="T85" i="7" s="1"/>
  <c r="FA89" i="57"/>
  <c r="T79" i="7" s="1"/>
  <c r="FA34" i="57"/>
  <c r="T24" i="7" s="1"/>
  <c r="FA74" i="57"/>
  <c r="T64" i="7" s="1"/>
  <c r="FA68" i="57"/>
  <c r="T58" i="7" s="1"/>
  <c r="FA60" i="57"/>
  <c r="T50" i="7" s="1"/>
  <c r="FA105" i="57"/>
  <c r="T95" i="7" s="1"/>
  <c r="FA79" i="57"/>
  <c r="T69" i="7" s="1"/>
  <c r="FA96" i="57"/>
  <c r="T86" i="7" s="1"/>
  <c r="FA109" i="57"/>
  <c r="T99" i="7" s="1"/>
  <c r="FA36" i="57"/>
  <c r="T26" i="7" s="1"/>
  <c r="FA54" i="57"/>
  <c r="T44" i="7" s="1"/>
  <c r="FA108" i="57"/>
  <c r="T98" i="7" s="1"/>
  <c r="FA80" i="57"/>
  <c r="T70" i="7" s="1"/>
  <c r="FA83" i="57"/>
  <c r="T73" i="7" s="1"/>
  <c r="FA98" i="57"/>
  <c r="T88" i="7" s="1"/>
  <c r="FA88" i="57"/>
  <c r="T78" i="7" s="1"/>
  <c r="FA50" i="57"/>
  <c r="T40" i="7" s="1"/>
  <c r="FA33" i="57"/>
  <c r="T23" i="7" s="1"/>
  <c r="FA41" i="57"/>
  <c r="T31" i="7" s="1"/>
  <c r="FA53" i="57"/>
  <c r="T43" i="7" s="1"/>
  <c r="FA101" i="57"/>
  <c r="T91" i="7" s="1"/>
  <c r="FA104" i="57"/>
  <c r="T94" i="7" s="1"/>
  <c r="FA42" i="57"/>
  <c r="T32" i="7" s="1"/>
  <c r="FA12" i="57"/>
  <c r="FA24" i="57"/>
  <c r="FA29" i="57"/>
  <c r="FA13" i="57"/>
  <c r="FA26" i="57"/>
  <c r="FA90" i="57"/>
  <c r="T80" i="7" s="1"/>
  <c r="FA25" i="57"/>
  <c r="FA106" i="57"/>
  <c r="T96" i="7" s="1"/>
  <c r="FA49" i="57"/>
  <c r="T39" i="7" s="1"/>
  <c r="AB25" i="56"/>
  <c r="FA25" i="56" s="1"/>
  <c r="AB27" i="56"/>
  <c r="FA27" i="56" s="1"/>
  <c r="AB28" i="56"/>
  <c r="FA28" i="56" s="1"/>
  <c r="AB29" i="56"/>
  <c r="FA29" i="56" s="1"/>
  <c r="AB26" i="56"/>
  <c r="FA26" i="56" s="1"/>
  <c r="O28" i="56"/>
  <c r="EN28" i="56" s="1"/>
  <c r="O29" i="56"/>
  <c r="EN29" i="56" s="1"/>
  <c r="O26" i="56"/>
  <c r="EN26" i="56" s="1"/>
  <c r="O27" i="56"/>
  <c r="EN27" i="56" s="1"/>
  <c r="O25" i="56"/>
  <c r="EN25" i="56" s="1"/>
  <c r="BK6" i="56"/>
  <c r="ES6" i="56"/>
  <c r="FA21" i="57"/>
  <c r="AC55" i="56"/>
  <c r="AC61" i="56"/>
  <c r="AC60" i="56"/>
  <c r="AC66" i="56"/>
  <c r="AC63" i="56"/>
  <c r="AC73" i="56"/>
  <c r="AC62" i="56"/>
  <c r="AC31" i="56"/>
  <c r="AC69" i="56"/>
  <c r="AC56" i="56"/>
  <c r="AC58" i="56"/>
  <c r="AC54" i="56"/>
  <c r="AC67" i="56"/>
  <c r="AC44" i="56"/>
  <c r="AC34" i="56"/>
  <c r="AC70" i="56"/>
  <c r="AC41" i="56"/>
  <c r="AC30" i="56"/>
  <c r="AC43" i="56"/>
  <c r="AC37" i="56"/>
  <c r="AC40" i="56"/>
  <c r="AC72" i="56"/>
  <c r="AC33" i="56"/>
  <c r="AC45" i="56"/>
  <c r="AC52" i="56"/>
  <c r="AC50" i="56"/>
  <c r="AC47" i="56"/>
  <c r="AC57" i="56"/>
  <c r="AC46" i="56"/>
  <c r="AC71" i="56"/>
  <c r="AC53" i="56"/>
  <c r="AC48" i="56"/>
  <c r="AC42" i="56"/>
  <c r="AC38" i="56"/>
  <c r="AC36" i="56"/>
  <c r="AC59" i="56"/>
  <c r="AC64" i="56"/>
  <c r="FB9" i="56"/>
  <c r="BK19" i="7" s="1"/>
  <c r="AC65" i="56"/>
  <c r="AC51" i="56"/>
  <c r="AC35" i="56"/>
  <c r="AC39" i="56"/>
  <c r="AC32" i="56"/>
  <c r="AC68" i="56"/>
  <c r="AC49" i="56"/>
  <c r="AC74" i="56"/>
  <c r="EL83" i="56"/>
  <c r="BA73" i="7" s="1"/>
  <c r="FN100" i="56"/>
  <c r="BQ90" i="7" s="1"/>
  <c r="GB100" i="56"/>
  <c r="BY90" i="7" s="1"/>
  <c r="EZ100" i="56"/>
  <c r="BI90" i="7" s="1"/>
  <c r="DF101" i="57"/>
  <c r="CS88" i="57"/>
  <c r="FB88" i="57"/>
  <c r="U78" i="7" s="1"/>
  <c r="FP88" i="57"/>
  <c r="AC78" i="7" s="1"/>
  <c r="GR88" i="57"/>
  <c r="AS78" i="7" s="1"/>
  <c r="EN88" i="57"/>
  <c r="M78" i="7" s="1"/>
  <c r="EL107" i="57"/>
  <c r="K97" i="7" s="1"/>
  <c r="GP107" i="57"/>
  <c r="AQ97" i="7" s="1"/>
  <c r="FP58" i="57"/>
  <c r="AC48" i="7" s="1"/>
  <c r="GR58" i="57"/>
  <c r="AS48" i="7" s="1"/>
  <c r="EN58" i="57"/>
  <c r="M48" i="7" s="1"/>
  <c r="GO105" i="57"/>
  <c r="AP95" i="7" s="1"/>
  <c r="EY105" i="57"/>
  <c r="R95" i="7" s="1"/>
  <c r="GR54" i="57"/>
  <c r="AS44" i="7" s="1"/>
  <c r="EN54" i="57"/>
  <c r="M44" i="7" s="1"/>
  <c r="GO57" i="57"/>
  <c r="AP47" i="7" s="1"/>
  <c r="EK57" i="57"/>
  <c r="J47" i="7" s="1"/>
  <c r="EY57" i="57"/>
  <c r="R47" i="7" s="1"/>
  <c r="DG74" i="57"/>
  <c r="GO45" i="57"/>
  <c r="AP35" i="7" s="1"/>
  <c r="EY45" i="57"/>
  <c r="R35" i="7" s="1"/>
  <c r="EN30" i="57"/>
  <c r="M20" i="7" s="1"/>
  <c r="GR30" i="57"/>
  <c r="AS20" i="7" s="1"/>
  <c r="GA110" i="57"/>
  <c r="AH100" i="7" s="1"/>
  <c r="FM110" i="57"/>
  <c r="Z100" i="7" s="1"/>
  <c r="GO63" i="57"/>
  <c r="AP53" i="7" s="1"/>
  <c r="EY63" i="57"/>
  <c r="R53" i="7" s="1"/>
  <c r="DF55" i="57"/>
  <c r="GP80" i="57"/>
  <c r="AQ70" i="7" s="1"/>
  <c r="EZ80" i="57"/>
  <c r="S70" i="7" s="1"/>
  <c r="FN80" i="57"/>
  <c r="AA70" i="7" s="1"/>
  <c r="EL80" i="57"/>
  <c r="K70" i="7" s="1"/>
  <c r="CS42" i="57"/>
  <c r="M104" i="57"/>
  <c r="EL104" i="57" s="1"/>
  <c r="K94" i="7" s="1"/>
  <c r="EK50" i="57"/>
  <c r="J40" i="7" s="1"/>
  <c r="GO50" i="57"/>
  <c r="AP40" i="7" s="1"/>
  <c r="EY50" i="57"/>
  <c r="R40" i="7" s="1"/>
  <c r="DG81" i="57"/>
  <c r="EL81" i="57" s="1"/>
  <c r="K71" i="7" s="1"/>
  <c r="FP109" i="57"/>
  <c r="AC99" i="7" s="1"/>
  <c r="GD109" i="57"/>
  <c r="AK99" i="7" s="1"/>
  <c r="EK71" i="57"/>
  <c r="J61" i="7" s="1"/>
  <c r="GO71" i="57"/>
  <c r="AP61" i="7" s="1"/>
  <c r="EY71" i="57"/>
  <c r="R61" i="7" s="1"/>
  <c r="GO47" i="57"/>
  <c r="AP37" i="7" s="1"/>
  <c r="EY47" i="57"/>
  <c r="R37" i="7" s="1"/>
  <c r="EK47" i="57"/>
  <c r="J37" i="7" s="1"/>
  <c r="FM47" i="57"/>
  <c r="Z37" i="7" s="1"/>
  <c r="BR65" i="56"/>
  <c r="BR74" i="56"/>
  <c r="BR59" i="56"/>
  <c r="BR70" i="56"/>
  <c r="BR69" i="56"/>
  <c r="BR55" i="56"/>
  <c r="BR34" i="56"/>
  <c r="BR36" i="56"/>
  <c r="BR50" i="56"/>
  <c r="BR72" i="56"/>
  <c r="BR64" i="56"/>
  <c r="BR51" i="56"/>
  <c r="BR44" i="56"/>
  <c r="BR41" i="56"/>
  <c r="BR42" i="56"/>
  <c r="BR73" i="56"/>
  <c r="BR39" i="56"/>
  <c r="BR71" i="56"/>
  <c r="BR43" i="56"/>
  <c r="BR54" i="56"/>
  <c r="BR46" i="56"/>
  <c r="BR49" i="56"/>
  <c r="BR56" i="56"/>
  <c r="BR40" i="56"/>
  <c r="BR37" i="56"/>
  <c r="BR32" i="56"/>
  <c r="BR62" i="56"/>
  <c r="BR47" i="56"/>
  <c r="BR33" i="56"/>
  <c r="BR67" i="56"/>
  <c r="BR61" i="56"/>
  <c r="BR53" i="56"/>
  <c r="BR38" i="56"/>
  <c r="BR35" i="56"/>
  <c r="BR45" i="56"/>
  <c r="BR63" i="56"/>
  <c r="BR52" i="56"/>
  <c r="BR66" i="56"/>
  <c r="BR58" i="56"/>
  <c r="BR48" i="56"/>
  <c r="BR31" i="56"/>
  <c r="BR57" i="56"/>
  <c r="BR30" i="56"/>
  <c r="BR68" i="56"/>
  <c r="BR60" i="56"/>
  <c r="EL12" i="56"/>
  <c r="GP12" i="56"/>
  <c r="FB103" i="57"/>
  <c r="U93" i="7" s="1"/>
  <c r="GR103" i="57"/>
  <c r="AS93" i="7" s="1"/>
  <c r="FP103" i="57"/>
  <c r="AC93" i="7" s="1"/>
  <c r="FM103" i="57"/>
  <c r="Z93" i="7" s="1"/>
  <c r="GO103" i="57"/>
  <c r="AP93" i="7" s="1"/>
  <c r="GP104" i="57"/>
  <c r="AQ94" i="7" s="1"/>
  <c r="FN104" i="57"/>
  <c r="AA94" i="7" s="1"/>
  <c r="FB104" i="57"/>
  <c r="U94" i="7" s="1"/>
  <c r="GR104" i="57"/>
  <c r="AS94" i="7" s="1"/>
  <c r="FP104" i="57"/>
  <c r="AC94" i="7" s="1"/>
  <c r="EN41" i="57"/>
  <c r="M31" i="7" s="1"/>
  <c r="GR41" i="57"/>
  <c r="AS31" i="7" s="1"/>
  <c r="EY78" i="57"/>
  <c r="R68" i="7" s="1"/>
  <c r="GO78" i="57"/>
  <c r="AP68" i="7" s="1"/>
  <c r="DV37" i="70"/>
  <c r="FO37" i="70" s="1"/>
  <c r="DH27" i="7" s="1"/>
  <c r="DV33" i="70"/>
  <c r="FO33" i="70" s="1"/>
  <c r="DH23" i="7" s="1"/>
  <c r="DV40" i="70"/>
  <c r="FO40" i="70" s="1"/>
  <c r="DH30" i="7" s="1"/>
  <c r="DV44" i="70"/>
  <c r="FO44" i="70" s="1"/>
  <c r="DH34" i="7" s="1"/>
  <c r="DV49" i="70"/>
  <c r="FO49" i="70" s="1"/>
  <c r="DH39" i="7" s="1"/>
  <c r="DV68" i="70"/>
  <c r="FO68" i="70" s="1"/>
  <c r="DH58" i="7" s="1"/>
  <c r="DV67" i="70"/>
  <c r="FO67" i="70" s="1"/>
  <c r="DH57" i="7" s="1"/>
  <c r="DV36" i="70"/>
  <c r="FO36" i="70" s="1"/>
  <c r="DH26" i="7" s="1"/>
  <c r="DV53" i="70"/>
  <c r="FO53" i="70" s="1"/>
  <c r="DH43" i="7" s="1"/>
  <c r="DV57" i="70"/>
  <c r="FO57" i="70" s="1"/>
  <c r="DH47" i="7" s="1"/>
  <c r="DV61" i="70"/>
  <c r="FO61" i="70" s="1"/>
  <c r="DH51" i="7" s="1"/>
  <c r="DV64" i="70"/>
  <c r="FO64" i="70" s="1"/>
  <c r="DH54" i="7" s="1"/>
  <c r="DV30" i="70"/>
  <c r="FO30" i="70" s="1"/>
  <c r="DH20" i="7" s="1"/>
  <c r="DV60" i="70"/>
  <c r="FO60" i="70" s="1"/>
  <c r="DH50" i="7" s="1"/>
  <c r="DV56" i="70"/>
  <c r="FO56" i="70" s="1"/>
  <c r="DH46" i="7" s="1"/>
  <c r="DV69" i="70"/>
  <c r="FO69" i="70" s="1"/>
  <c r="DH59" i="7" s="1"/>
  <c r="DV32" i="70"/>
  <c r="FO32" i="70" s="1"/>
  <c r="DH22" i="7" s="1"/>
  <c r="DV70" i="70"/>
  <c r="FO70" i="70" s="1"/>
  <c r="DH60" i="7" s="1"/>
  <c r="DV59" i="70"/>
  <c r="FO59" i="70" s="1"/>
  <c r="DH49" i="7" s="1"/>
  <c r="DV46" i="70"/>
  <c r="FO46" i="70" s="1"/>
  <c r="DH36" i="7" s="1"/>
  <c r="DV54" i="70"/>
  <c r="FO54" i="70" s="1"/>
  <c r="DH44" i="7" s="1"/>
  <c r="DV31" i="70"/>
  <c r="FO31" i="70" s="1"/>
  <c r="DH21" i="7" s="1"/>
  <c r="DV43" i="70"/>
  <c r="FO43" i="70" s="1"/>
  <c r="DH33" i="7" s="1"/>
  <c r="DV74" i="70"/>
  <c r="FO74" i="70" s="1"/>
  <c r="DH64" i="7" s="1"/>
  <c r="DV55" i="70"/>
  <c r="FO55" i="70" s="1"/>
  <c r="DH45" i="7" s="1"/>
  <c r="DV45" i="70"/>
  <c r="FO45" i="70" s="1"/>
  <c r="DH35" i="7" s="1"/>
  <c r="DV48" i="70"/>
  <c r="FO48" i="70" s="1"/>
  <c r="DH38" i="7" s="1"/>
  <c r="DV41" i="70"/>
  <c r="FO41" i="70" s="1"/>
  <c r="DH31" i="7" s="1"/>
  <c r="DV72" i="70"/>
  <c r="FO72" i="70" s="1"/>
  <c r="DH62" i="7" s="1"/>
  <c r="DV42" i="70"/>
  <c r="FO42" i="70" s="1"/>
  <c r="DH32" i="7" s="1"/>
  <c r="DV73" i="70"/>
  <c r="FO73" i="70" s="1"/>
  <c r="DH63" i="7" s="1"/>
  <c r="DV58" i="70"/>
  <c r="FO58" i="70" s="1"/>
  <c r="DH48" i="7" s="1"/>
  <c r="DV65" i="70"/>
  <c r="FO65" i="70" s="1"/>
  <c r="DH55" i="7" s="1"/>
  <c r="DV51" i="70"/>
  <c r="FO51" i="70" s="1"/>
  <c r="DH41" i="7" s="1"/>
  <c r="DV38" i="70"/>
  <c r="FO38" i="70" s="1"/>
  <c r="DH28" i="7" s="1"/>
  <c r="DV35" i="70"/>
  <c r="FO35" i="70" s="1"/>
  <c r="DH25" i="7" s="1"/>
  <c r="DV39" i="70"/>
  <c r="FO39" i="70" s="1"/>
  <c r="DH29" i="7" s="1"/>
  <c r="DV71" i="70"/>
  <c r="FO71" i="70" s="1"/>
  <c r="DH61" i="7" s="1"/>
  <c r="DV52" i="70"/>
  <c r="FO52" i="70" s="1"/>
  <c r="DH42" i="7" s="1"/>
  <c r="DV62" i="70"/>
  <c r="FO62" i="70" s="1"/>
  <c r="DH52" i="7" s="1"/>
  <c r="DV66" i="70"/>
  <c r="FO66" i="70" s="1"/>
  <c r="DH56" i="7" s="1"/>
  <c r="DV63" i="70"/>
  <c r="FO63" i="70" s="1"/>
  <c r="DH53" i="7" s="1"/>
  <c r="DV50" i="70"/>
  <c r="FO50" i="70" s="1"/>
  <c r="DH40" i="7" s="1"/>
  <c r="DV47" i="70"/>
  <c r="FO47" i="70" s="1"/>
  <c r="DH37" i="7" s="1"/>
  <c r="DV34" i="70"/>
  <c r="FO34" i="70" s="1"/>
  <c r="DH24" i="7" s="1"/>
  <c r="FO9" i="70"/>
  <c r="DH19" i="7" s="1"/>
  <c r="GP4" i="70"/>
  <c r="GP2" i="70" s="1"/>
  <c r="DW1" i="7"/>
  <c r="GO41" i="57"/>
  <c r="AP31" i="7" s="1"/>
  <c r="EN51" i="57"/>
  <c r="M41" i="7" s="1"/>
  <c r="DT88" i="57"/>
  <c r="FM88" i="57" s="1"/>
  <c r="Z78" i="7" s="1"/>
  <c r="DT55" i="57"/>
  <c r="FM55" i="57" s="1"/>
  <c r="Z45" i="7" s="1"/>
  <c r="DT11" i="57"/>
  <c r="FM11" i="57" s="1"/>
  <c r="DT90" i="57"/>
  <c r="FM90" i="57" s="1"/>
  <c r="Z80" i="7" s="1"/>
  <c r="EL102" i="57"/>
  <c r="K92" i="7" s="1"/>
  <c r="FA62" i="57"/>
  <c r="T52" i="7" s="1"/>
  <c r="FN109" i="56"/>
  <c r="BQ99" i="7" s="1"/>
  <c r="FN25" i="56"/>
  <c r="GP25" i="56"/>
  <c r="DM7" i="57"/>
  <c r="FF6" i="57"/>
  <c r="DN6" i="57"/>
  <c r="GB35" i="56"/>
  <c r="BY25" i="7" s="1"/>
  <c r="EZ35" i="56"/>
  <c r="BI25" i="7" s="1"/>
  <c r="EL35" i="56"/>
  <c r="BA25" i="7" s="1"/>
  <c r="EK40" i="56"/>
  <c r="AZ30" i="7" s="1"/>
  <c r="GA40" i="56"/>
  <c r="BX30" i="7" s="1"/>
  <c r="FM40" i="56"/>
  <c r="BP30" i="7" s="1"/>
  <c r="EY40" i="56"/>
  <c r="BH30" i="7" s="1"/>
  <c r="CS110" i="57"/>
  <c r="FB108" i="57"/>
  <c r="U98" i="7" s="1"/>
  <c r="GR108" i="57"/>
  <c r="AS98" i="7" s="1"/>
  <c r="FP108" i="57"/>
  <c r="AC98" i="7" s="1"/>
  <c r="EN108" i="57"/>
  <c r="M98" i="7" s="1"/>
  <c r="EN45" i="57"/>
  <c r="M35" i="7" s="1"/>
  <c r="EK62" i="57"/>
  <c r="J52" i="7" s="1"/>
  <c r="EY62" i="57"/>
  <c r="R52" i="7" s="1"/>
  <c r="GO62" i="57"/>
  <c r="AP52" i="7" s="1"/>
  <c r="EY95" i="57"/>
  <c r="R85" i="7" s="1"/>
  <c r="EK95" i="57"/>
  <c r="J85" i="7" s="1"/>
  <c r="GO95" i="57"/>
  <c r="AP85" i="7" s="1"/>
  <c r="GR95" i="57"/>
  <c r="AS85" i="7" s="1"/>
  <c r="EN95" i="57"/>
  <c r="M85" i="7" s="1"/>
  <c r="GQ102" i="70"/>
  <c r="DX92" i="7" s="1"/>
  <c r="CS76" i="57"/>
  <c r="GR67" i="57"/>
  <c r="AS57" i="7" s="1"/>
  <c r="EN67" i="57"/>
  <c r="M57" i="7" s="1"/>
  <c r="DG79" i="57"/>
  <c r="EZ79" i="57" s="1"/>
  <c r="S69" i="7" s="1"/>
  <c r="GB88" i="56"/>
  <c r="BY78" i="7" s="1"/>
  <c r="FN88" i="56"/>
  <c r="BQ78" i="7" s="1"/>
  <c r="EY107" i="57"/>
  <c r="R97" i="7" s="1"/>
  <c r="GQ21" i="70"/>
  <c r="GQ49" i="70"/>
  <c r="DX39" i="7" s="1"/>
  <c r="GQ50" i="70"/>
  <c r="DX40" i="7" s="1"/>
  <c r="GQ41" i="70"/>
  <c r="DX31" i="7" s="1"/>
  <c r="EK30" i="57"/>
  <c r="J20" i="7" s="1"/>
  <c r="FM61" i="57"/>
  <c r="Z51" i="7" s="1"/>
  <c r="EK61" i="57"/>
  <c r="J51" i="7" s="1"/>
  <c r="GO61" i="57"/>
  <c r="AP51" i="7" s="1"/>
  <c r="GC1" i="56"/>
  <c r="BY13" i="7"/>
  <c r="BY15" i="7" s="1"/>
  <c r="AJ15" i="7"/>
  <c r="AK13" i="7"/>
  <c r="FM46" i="57"/>
  <c r="Z36" i="7" s="1"/>
  <c r="FP25" i="57"/>
  <c r="FA43" i="57"/>
  <c r="T33" i="7" s="1"/>
  <c r="AP39" i="56"/>
  <c r="AP33" i="56"/>
  <c r="AP70" i="56"/>
  <c r="AP65" i="56"/>
  <c r="AP45" i="56"/>
  <c r="AP67" i="56"/>
  <c r="AP37" i="56"/>
  <c r="AP69" i="56"/>
  <c r="AP54" i="56"/>
  <c r="AP72" i="56"/>
  <c r="AP56" i="56"/>
  <c r="AP42" i="56"/>
  <c r="AP36" i="56"/>
  <c r="AP62" i="56"/>
  <c r="AP40" i="56"/>
  <c r="AP55" i="56"/>
  <c r="AP59" i="56"/>
  <c r="AP48" i="56"/>
  <c r="AP51" i="56"/>
  <c r="AP57" i="56"/>
  <c r="AP64" i="56"/>
  <c r="AP38" i="56"/>
  <c r="AP31" i="56"/>
  <c r="AP50" i="56"/>
  <c r="AP66" i="56"/>
  <c r="AP52" i="56"/>
  <c r="AP30" i="56"/>
  <c r="AP63" i="56"/>
  <c r="AP71" i="56"/>
  <c r="AP61" i="56"/>
  <c r="AP46" i="56"/>
  <c r="AP68" i="56"/>
  <c r="AP44" i="56"/>
  <c r="AP58" i="56"/>
  <c r="AP60" i="56"/>
  <c r="AP34" i="56"/>
  <c r="AP47" i="56"/>
  <c r="AP35" i="56"/>
  <c r="AP73" i="56"/>
  <c r="AP49" i="56"/>
  <c r="AP32" i="56"/>
  <c r="AP41" i="56"/>
  <c r="AP53" i="56"/>
  <c r="AP43" i="56"/>
  <c r="FO9" i="56"/>
  <c r="BR19" i="7" s="1"/>
  <c r="AP74" i="56"/>
  <c r="EY85" i="57"/>
  <c r="R75" i="7" s="1"/>
  <c r="EZ51" i="56"/>
  <c r="BI41" i="7" s="1"/>
  <c r="GB51" i="56"/>
  <c r="BY41" i="7" s="1"/>
  <c r="GQ73" i="57"/>
  <c r="AR63" i="7" s="1"/>
  <c r="EM73" i="57"/>
  <c r="L63" i="7" s="1"/>
  <c r="GR109" i="57"/>
  <c r="AS99" i="7" s="1"/>
  <c r="EN109" i="57"/>
  <c r="M99" i="7" s="1"/>
  <c r="CS84" i="57"/>
  <c r="FB84" i="57"/>
  <c r="U74" i="7" s="1"/>
  <c r="GR84" i="57"/>
  <c r="AS74" i="7" s="1"/>
  <c r="FP84" i="57"/>
  <c r="AC74" i="7" s="1"/>
  <c r="EN84" i="57"/>
  <c r="M74" i="7" s="1"/>
  <c r="GR61" i="57"/>
  <c r="AS51" i="7" s="1"/>
  <c r="FP61" i="57"/>
  <c r="AC51" i="7" s="1"/>
  <c r="EN61" i="57"/>
  <c r="M51" i="7" s="1"/>
  <c r="EZ73" i="57"/>
  <c r="S63" i="7" s="1"/>
  <c r="FN73" i="57"/>
  <c r="AA63" i="7" s="1"/>
  <c r="GP73" i="57"/>
  <c r="AQ63" i="7" s="1"/>
  <c r="GR49" i="57"/>
  <c r="AS39" i="7" s="1"/>
  <c r="FP49" i="57"/>
  <c r="AC39" i="7" s="1"/>
  <c r="FM16" i="56"/>
  <c r="GA16" i="56"/>
  <c r="EK72" i="57"/>
  <c r="J62" i="7" s="1"/>
  <c r="EN105" i="57"/>
  <c r="M95" i="7" s="1"/>
  <c r="M53" i="57"/>
  <c r="EL53" i="57" s="1"/>
  <c r="K43" i="7" s="1"/>
  <c r="DG106" i="57"/>
  <c r="GO65" i="57"/>
  <c r="AP55" i="7" s="1"/>
  <c r="EK65" i="57"/>
  <c r="J55" i="7" s="1"/>
  <c r="EY65" i="57"/>
  <c r="R55" i="7" s="1"/>
  <c r="EL82" i="57"/>
  <c r="K72" i="7" s="1"/>
  <c r="GP82" i="57"/>
  <c r="AQ72" i="7" s="1"/>
  <c r="GO97" i="57"/>
  <c r="AP87" i="7" s="1"/>
  <c r="EY97" i="57"/>
  <c r="R87" i="7" s="1"/>
  <c r="GR78" i="57"/>
  <c r="AS68" i="7" s="1"/>
  <c r="EN78" i="57"/>
  <c r="M68" i="7" s="1"/>
  <c r="GO48" i="57"/>
  <c r="AP38" i="7" s="1"/>
  <c r="EY48" i="57"/>
  <c r="R38" i="7" s="1"/>
  <c r="GR40" i="57"/>
  <c r="AS30" i="7" s="1"/>
  <c r="EN40" i="57"/>
  <c r="M30" i="7" s="1"/>
  <c r="FB110" i="57"/>
  <c r="U100" i="7" s="1"/>
  <c r="GP21" i="57"/>
  <c r="EZ21" i="57"/>
  <c r="FN21" i="57"/>
  <c r="EL21" i="57"/>
  <c r="DV28" i="56"/>
  <c r="FO28" i="56" s="1"/>
  <c r="DV29" i="56"/>
  <c r="FO29" i="56" s="1"/>
  <c r="DV26" i="56"/>
  <c r="FO26" i="56" s="1"/>
  <c r="DV25" i="56"/>
  <c r="FO25" i="56" s="1"/>
  <c r="DV27" i="56"/>
  <c r="FO27" i="56" s="1"/>
  <c r="EL51" i="56"/>
  <c r="BA41" i="7" s="1"/>
  <c r="GO91" i="57"/>
  <c r="AP81" i="7" s="1"/>
  <c r="EN46" i="57"/>
  <c r="M36" i="7" s="1"/>
  <c r="EY109" i="57"/>
  <c r="R99" i="7" s="1"/>
  <c r="GR10" i="57"/>
  <c r="AS130" i="7" s="1"/>
  <c r="EN10" i="57"/>
  <c r="M130" i="7" s="1"/>
  <c r="FN86" i="57"/>
  <c r="AA76" i="7" s="1"/>
  <c r="GP86" i="57"/>
  <c r="AQ76" i="7" s="1"/>
  <c r="EZ86" i="57"/>
  <c r="S76" i="7" s="1"/>
  <c r="EN98" i="70"/>
  <c r="CS88" i="7" s="1"/>
  <c r="EN85" i="70"/>
  <c r="CS75" i="7" s="1"/>
  <c r="EN97" i="70"/>
  <c r="CS87" i="7" s="1"/>
  <c r="EN19" i="70"/>
  <c r="EN95" i="70"/>
  <c r="CS85" i="7" s="1"/>
  <c r="EN104" i="70"/>
  <c r="CS94" i="7" s="1"/>
  <c r="EN79" i="70"/>
  <c r="CS69" i="7" s="1"/>
  <c r="EN109" i="70"/>
  <c r="CS99" i="7" s="1"/>
  <c r="EN88" i="70"/>
  <c r="CS78" i="7" s="1"/>
  <c r="EN90" i="70"/>
  <c r="CS80" i="7" s="1"/>
  <c r="EN77" i="70"/>
  <c r="CS67" i="7" s="1"/>
  <c r="EN107" i="70"/>
  <c r="CS97" i="7" s="1"/>
  <c r="EN21" i="70"/>
  <c r="EN78" i="70"/>
  <c r="CS68" i="7" s="1"/>
  <c r="EN81" i="70"/>
  <c r="CS71" i="7" s="1"/>
  <c r="EN16" i="70"/>
  <c r="EN75" i="70"/>
  <c r="CS65" i="7" s="1"/>
  <c r="EN87" i="70"/>
  <c r="CS77" i="7" s="1"/>
  <c r="EN103" i="70"/>
  <c r="CS93" i="7" s="1"/>
  <c r="EN93" i="70"/>
  <c r="CS83" i="7" s="1"/>
  <c r="EN106" i="70"/>
  <c r="CS96" i="7" s="1"/>
  <c r="EN100" i="70"/>
  <c r="CS90" i="7" s="1"/>
  <c r="EN23" i="70"/>
  <c r="EN110" i="70"/>
  <c r="CS100" i="7" s="1"/>
  <c r="EN96" i="70"/>
  <c r="CS86" i="7" s="1"/>
  <c r="EN17" i="70"/>
  <c r="EN22" i="70"/>
  <c r="EN102" i="70"/>
  <c r="CS92" i="7" s="1"/>
  <c r="EN18" i="70"/>
  <c r="EN14" i="70"/>
  <c r="EN89" i="70"/>
  <c r="CS79" i="7" s="1"/>
  <c r="EN10" i="70"/>
  <c r="CS130" i="7" s="1"/>
  <c r="EN86" i="70"/>
  <c r="CS76" i="7" s="1"/>
  <c r="EN3" i="70"/>
  <c r="EN80" i="70"/>
  <c r="CS70" i="7" s="1"/>
  <c r="EN92" i="70"/>
  <c r="CS82" i="7" s="1"/>
  <c r="EN99" i="70"/>
  <c r="CS89" i="7" s="1"/>
  <c r="EN108" i="70"/>
  <c r="CS98" i="7" s="1"/>
  <c r="EN20" i="70"/>
  <c r="EN91" i="70"/>
  <c r="CS81" i="7" s="1"/>
  <c r="EN13" i="70"/>
  <c r="EN101" i="70"/>
  <c r="CS91" i="7" s="1"/>
  <c r="EN82" i="70"/>
  <c r="CS72" i="7" s="1"/>
  <c r="EN12" i="70"/>
  <c r="EN11" i="70"/>
  <c r="EN76" i="70"/>
  <c r="CS66" i="7" s="1"/>
  <c r="EN84" i="70"/>
  <c r="CS74" i="7" s="1"/>
  <c r="GQ60" i="70"/>
  <c r="DX50" i="7" s="1"/>
  <c r="GQ37" i="70"/>
  <c r="DX27" i="7" s="1"/>
  <c r="GQ34" i="70"/>
  <c r="DX24" i="7" s="1"/>
  <c r="FN107" i="57"/>
  <c r="AA97" i="7" s="1"/>
  <c r="EK74" i="57"/>
  <c r="J64" i="7" s="1"/>
  <c r="AB1" i="7"/>
  <c r="FO4" i="57"/>
  <c r="DT84" i="57"/>
  <c r="FM84" i="57" s="1"/>
  <c r="Z74" i="7" s="1"/>
  <c r="DT69" i="57"/>
  <c r="FM69" i="57" s="1"/>
  <c r="Z59" i="7" s="1"/>
  <c r="DT52" i="57"/>
  <c r="FM52" i="57" s="1"/>
  <c r="Z42" i="7" s="1"/>
  <c r="DT21" i="57"/>
  <c r="FM21" i="57" s="1"/>
  <c r="FO25" i="57"/>
  <c r="EK102" i="57"/>
  <c r="J92" i="7" s="1"/>
  <c r="GA24" i="57"/>
  <c r="GO56" i="56"/>
  <c r="CF46" i="7" s="1"/>
  <c r="FB49" i="57"/>
  <c r="U39" i="7" s="1"/>
  <c r="EZ38" i="56"/>
  <c r="BI28" i="7" s="1"/>
  <c r="EK45" i="57"/>
  <c r="J35" i="7" s="1"/>
  <c r="FP33" i="70"/>
  <c r="DI23" i="7" s="1"/>
  <c r="GR33" i="70"/>
  <c r="DY23" i="7" s="1"/>
  <c r="FP47" i="70"/>
  <c r="DI37" i="7" s="1"/>
  <c r="GR56" i="70"/>
  <c r="DY46" i="7" s="1"/>
  <c r="FP56" i="70"/>
  <c r="DI46" i="7" s="1"/>
  <c r="FP57" i="70"/>
  <c r="DI47" i="7" s="1"/>
  <c r="GR70" i="70"/>
  <c r="DY60" i="7" s="1"/>
  <c r="FP70" i="70"/>
  <c r="DI60" i="7" s="1"/>
  <c r="GR62" i="70"/>
  <c r="DY52" i="7" s="1"/>
  <c r="FP62" i="70"/>
  <c r="DI52" i="7" s="1"/>
  <c r="FP74" i="70"/>
  <c r="DI64" i="7" s="1"/>
  <c r="GR40" i="70"/>
  <c r="DY30" i="7" s="1"/>
  <c r="FP40" i="70"/>
  <c r="DI30" i="7" s="1"/>
  <c r="FP44" i="70"/>
  <c r="DI34" i="7" s="1"/>
  <c r="FP59" i="70"/>
  <c r="DI49" i="7" s="1"/>
  <c r="GR61" i="70"/>
  <c r="DY51" i="7" s="1"/>
  <c r="FP87" i="56"/>
  <c r="BS77" i="7" s="1"/>
  <c r="FP102" i="56"/>
  <c r="BS92" i="7" s="1"/>
  <c r="FP84" i="56"/>
  <c r="BS74" i="7" s="1"/>
  <c r="FP89" i="56"/>
  <c r="BS79" i="7" s="1"/>
  <c r="FP107" i="56"/>
  <c r="BS97" i="7" s="1"/>
  <c r="FP20" i="56"/>
  <c r="FP110" i="56"/>
  <c r="BS100" i="7" s="1"/>
  <c r="FP82" i="56"/>
  <c r="BS72" i="7" s="1"/>
  <c r="FP17" i="56"/>
  <c r="FP91" i="56"/>
  <c r="BS81" i="7" s="1"/>
  <c r="FP10" i="56"/>
  <c r="BS130" i="7" s="1"/>
  <c r="FP13" i="56"/>
  <c r="FP76" i="56"/>
  <c r="BS66" i="7" s="1"/>
  <c r="FP94" i="56"/>
  <c r="BS84" i="7" s="1"/>
  <c r="FP16" i="56"/>
  <c r="FP11" i="56"/>
  <c r="FP77" i="56"/>
  <c r="BS67" i="7" s="1"/>
  <c r="FP22" i="56"/>
  <c r="FP23" i="56"/>
  <c r="FP86" i="56"/>
  <c r="BS76" i="7" s="1"/>
  <c r="FP101" i="56"/>
  <c r="BS91" i="7" s="1"/>
  <c r="FP75" i="56"/>
  <c r="BS65" i="7" s="1"/>
  <c r="FP24" i="56"/>
  <c r="FP99" i="56"/>
  <c r="BS89" i="7" s="1"/>
  <c r="FP88" i="56"/>
  <c r="BS78" i="7" s="1"/>
  <c r="FP19" i="56"/>
  <c r="FP85" i="56"/>
  <c r="BS75" i="7" s="1"/>
  <c r="FP96" i="56"/>
  <c r="BS86" i="7" s="1"/>
  <c r="FP80" i="56"/>
  <c r="BS70" i="7" s="1"/>
  <c r="FP14" i="56"/>
  <c r="FP15" i="56"/>
  <c r="FP81" i="56"/>
  <c r="BS71" i="7" s="1"/>
  <c r="FP12" i="56"/>
  <c r="FP93" i="56"/>
  <c r="BS83" i="7" s="1"/>
  <c r="FP3" i="56"/>
  <c r="FP98" i="56"/>
  <c r="BS88" i="7" s="1"/>
  <c r="FP90" i="56"/>
  <c r="BS80" i="7" s="1"/>
  <c r="FP79" i="56"/>
  <c r="BS69" i="7" s="1"/>
  <c r="FP78" i="56"/>
  <c r="BS68" i="7" s="1"/>
  <c r="FP95" i="56"/>
  <c r="BS85" i="7" s="1"/>
  <c r="FP97" i="56"/>
  <c r="BS87" i="7" s="1"/>
  <c r="FP108" i="56"/>
  <c r="BS98" i="7" s="1"/>
  <c r="FP105" i="56"/>
  <c r="BS95" i="7" s="1"/>
  <c r="FP106" i="56"/>
  <c r="BS96" i="7" s="1"/>
  <c r="FP103" i="56"/>
  <c r="BS93" i="7" s="1"/>
  <c r="FP18" i="56"/>
  <c r="FP109" i="56"/>
  <c r="BS99" i="7" s="1"/>
  <c r="AC28" i="56"/>
  <c r="FB28" i="56" s="1"/>
  <c r="AC27" i="56"/>
  <c r="FB27" i="56" s="1"/>
  <c r="AC29" i="56"/>
  <c r="FB29" i="56" s="1"/>
  <c r="AC25" i="56"/>
  <c r="FB25" i="56" s="1"/>
  <c r="AC26" i="56"/>
  <c r="FB26" i="56" s="1"/>
  <c r="GO50" i="56"/>
  <c r="CF40" i="7" s="1"/>
  <c r="FM50" i="56"/>
  <c r="BP40" i="7" s="1"/>
  <c r="EY70" i="57"/>
  <c r="R60" i="7" s="1"/>
  <c r="GO70" i="57"/>
  <c r="AP60" i="7" s="1"/>
  <c r="EK70" i="57"/>
  <c r="J60" i="7" s="1"/>
  <c r="GR107" i="57"/>
  <c r="AS97" i="7" s="1"/>
  <c r="FP107" i="57"/>
  <c r="AC97" i="7" s="1"/>
  <c r="EN107" i="57"/>
  <c r="M97" i="7" s="1"/>
  <c r="FN58" i="57"/>
  <c r="AA48" i="7" s="1"/>
  <c r="EZ58" i="57"/>
  <c r="S48" i="7" s="1"/>
  <c r="EL58" i="57"/>
  <c r="K48" i="7" s="1"/>
  <c r="GP58" i="57"/>
  <c r="AQ48" i="7" s="1"/>
  <c r="EZ64" i="57"/>
  <c r="S54" i="7" s="1"/>
  <c r="FN64" i="57"/>
  <c r="AA54" i="7" s="1"/>
  <c r="GP64" i="57"/>
  <c r="AQ54" i="7" s="1"/>
  <c r="EL64" i="57"/>
  <c r="K54" i="7" s="1"/>
  <c r="EZ96" i="57"/>
  <c r="S86" i="7" s="1"/>
  <c r="FN96" i="57"/>
  <c r="AA86" i="7" s="1"/>
  <c r="GP96" i="57"/>
  <c r="AQ86" i="7" s="1"/>
  <c r="EL96" i="57"/>
  <c r="K86" i="7" s="1"/>
  <c r="GR96" i="57"/>
  <c r="AS86" i="7" s="1"/>
  <c r="FP96" i="57"/>
  <c r="AC86" i="7" s="1"/>
  <c r="EN96" i="57"/>
  <c r="M86" i="7" s="1"/>
  <c r="FB105" i="57"/>
  <c r="U95" i="7" s="1"/>
  <c r="GR105" i="57"/>
  <c r="AS95" i="7" s="1"/>
  <c r="FP105" i="57"/>
  <c r="AC95" i="7" s="1"/>
  <c r="EZ39" i="57"/>
  <c r="S29" i="7" s="1"/>
  <c r="FN39" i="57"/>
  <c r="AA29" i="7" s="1"/>
  <c r="GP39" i="57"/>
  <c r="AQ29" i="7" s="1"/>
  <c r="GR39" i="57"/>
  <c r="AS29" i="7" s="1"/>
  <c r="FP39" i="57"/>
  <c r="AC29" i="7" s="1"/>
  <c r="FB39" i="57"/>
  <c r="U29" i="7" s="1"/>
  <c r="EN39" i="57"/>
  <c r="M29" i="7" s="1"/>
  <c r="GO54" i="57"/>
  <c r="AP44" i="7" s="1"/>
  <c r="EY54" i="57"/>
  <c r="R44" i="7" s="1"/>
  <c r="EK54" i="57"/>
  <c r="J44" i="7" s="1"/>
  <c r="GR57" i="57"/>
  <c r="AS47" i="7" s="1"/>
  <c r="EN57" i="57"/>
  <c r="M47" i="7" s="1"/>
  <c r="GR86" i="57"/>
  <c r="AS76" i="7" s="1"/>
  <c r="EN86" i="57"/>
  <c r="M76" i="7" s="1"/>
  <c r="GP30" i="57"/>
  <c r="AQ20" i="7" s="1"/>
  <c r="EL30" i="57"/>
  <c r="K20" i="7" s="1"/>
  <c r="FA63" i="57"/>
  <c r="T53" i="7" s="1"/>
  <c r="GQ63" i="57"/>
  <c r="AR53" i="7" s="1"/>
  <c r="EM63" i="57"/>
  <c r="L53" i="7" s="1"/>
  <c r="GO99" i="57"/>
  <c r="AP89" i="7" s="1"/>
  <c r="EY99" i="57"/>
  <c r="R89" i="7" s="1"/>
  <c r="EK99" i="57"/>
  <c r="J89" i="7" s="1"/>
  <c r="GA37" i="70"/>
  <c r="DN27" i="7" s="1"/>
  <c r="FM37" i="70"/>
  <c r="DF27" i="7" s="1"/>
  <c r="EK37" i="70"/>
  <c r="CP27" i="7" s="1"/>
  <c r="DI36" i="70"/>
  <c r="DI35" i="70"/>
  <c r="DI48" i="70"/>
  <c r="DI39" i="70"/>
  <c r="DI50" i="70"/>
  <c r="DI65" i="70"/>
  <c r="DI69" i="70"/>
  <c r="DI62" i="70"/>
  <c r="DI30" i="70"/>
  <c r="DI47" i="70"/>
  <c r="DI44" i="70"/>
  <c r="DI46" i="70"/>
  <c r="DI59" i="70"/>
  <c r="DI63" i="70"/>
  <c r="DI67" i="70"/>
  <c r="DI70" i="70"/>
  <c r="DI57" i="70"/>
  <c r="DI64" i="70"/>
  <c r="DI71" i="70"/>
  <c r="DI73" i="70"/>
  <c r="DI72" i="70"/>
  <c r="DI52" i="70"/>
  <c r="DI34" i="70"/>
  <c r="DI31" i="70"/>
  <c r="DI40" i="70"/>
  <c r="DI41" i="70"/>
  <c r="DI53" i="70"/>
  <c r="DI58" i="70"/>
  <c r="DI68" i="70"/>
  <c r="DI74" i="70"/>
  <c r="DI55" i="70"/>
  <c r="DI49" i="70"/>
  <c r="DI54" i="70"/>
  <c r="DI32" i="70"/>
  <c r="DI42" i="70"/>
  <c r="DI56" i="70"/>
  <c r="DI61" i="70"/>
  <c r="DI66" i="70"/>
  <c r="DI51" i="70"/>
  <c r="DI38" i="70"/>
  <c r="DI43" i="70"/>
  <c r="DI37" i="70"/>
  <c r="DI45" i="70"/>
  <c r="DI60" i="70"/>
  <c r="DI33" i="70"/>
  <c r="FP72" i="57"/>
  <c r="AC62" i="7" s="1"/>
  <c r="GR72" i="57"/>
  <c r="AS62" i="7" s="1"/>
  <c r="GP89" i="57"/>
  <c r="AQ79" i="7" s="1"/>
  <c r="EL89" i="57"/>
  <c r="K79" i="7" s="1"/>
  <c r="EZ89" i="57"/>
  <c r="S79" i="7" s="1"/>
  <c r="FN89" i="57"/>
  <c r="AA79" i="7" s="1"/>
  <c r="FB89" i="57"/>
  <c r="U79" i="7" s="1"/>
  <c r="GR89" i="57"/>
  <c r="AS79" i="7" s="1"/>
  <c r="FP89" i="57"/>
  <c r="AC79" i="7" s="1"/>
  <c r="EN89" i="57"/>
  <c r="M79" i="7" s="1"/>
  <c r="GO60" i="57"/>
  <c r="AP50" i="7" s="1"/>
  <c r="GR46" i="57"/>
  <c r="AS36" i="7" s="1"/>
  <c r="FP46" i="57"/>
  <c r="AC36" i="7" s="1"/>
  <c r="EY42" i="57"/>
  <c r="R32" i="7" s="1"/>
  <c r="GO42" i="57"/>
  <c r="AP32" i="7" s="1"/>
  <c r="EK42" i="57"/>
  <c r="J32" i="7" s="1"/>
  <c r="EY81" i="57"/>
  <c r="R71" i="7" s="1"/>
  <c r="GO81" i="57"/>
  <c r="AP71" i="7" s="1"/>
  <c r="GO87" i="57"/>
  <c r="AP77" i="7" s="1"/>
  <c r="EY87" i="57"/>
  <c r="R77" i="7" s="1"/>
  <c r="EN87" i="57"/>
  <c r="M77" i="7" s="1"/>
  <c r="GR87" i="57"/>
  <c r="AS77" i="7" s="1"/>
  <c r="EM71" i="57"/>
  <c r="L61" i="7" s="1"/>
  <c r="GQ71" i="57"/>
  <c r="AR61" i="7" s="1"/>
  <c r="FA71" i="57"/>
  <c r="T61" i="7" s="1"/>
  <c r="FN47" i="57"/>
  <c r="AA37" i="7" s="1"/>
  <c r="BS46" i="56"/>
  <c r="BS56" i="56"/>
  <c r="BS50" i="56"/>
  <c r="BS58" i="56"/>
  <c r="BS67" i="56"/>
  <c r="BS49" i="56"/>
  <c r="BS36" i="56"/>
  <c r="BS39" i="56"/>
  <c r="BS71" i="56"/>
  <c r="BS62" i="56"/>
  <c r="BS51" i="56"/>
  <c r="BS30" i="56"/>
  <c r="BS34" i="56"/>
  <c r="BS35" i="56"/>
  <c r="BS61" i="56"/>
  <c r="BS42" i="56"/>
  <c r="BS68" i="56"/>
  <c r="BS55" i="56"/>
  <c r="BS57" i="56"/>
  <c r="BS48" i="56"/>
  <c r="BS37" i="56"/>
  <c r="BS69" i="56"/>
  <c r="BS38" i="56"/>
  <c r="BS74" i="56"/>
  <c r="BS31" i="56"/>
  <c r="BS63" i="56"/>
  <c r="BS73" i="56"/>
  <c r="BS65" i="56"/>
  <c r="BS64" i="56"/>
  <c r="BS60" i="56"/>
  <c r="BS72" i="56"/>
  <c r="BS54" i="56"/>
  <c r="BS44" i="56"/>
  <c r="BS53" i="56"/>
  <c r="BS70" i="56"/>
  <c r="BS43" i="56"/>
  <c r="BS47" i="56"/>
  <c r="BS32" i="56"/>
  <c r="BS40" i="56"/>
  <c r="BS33" i="56"/>
  <c r="BS41" i="56"/>
  <c r="BS66" i="56"/>
  <c r="BS59" i="56"/>
  <c r="BS45" i="56"/>
  <c r="BS52" i="56"/>
  <c r="GO12" i="56"/>
  <c r="EK12" i="56"/>
  <c r="FP104" i="56"/>
  <c r="BS94" i="7" s="1"/>
  <c r="GR63" i="57"/>
  <c r="AS53" i="7" s="1"/>
  <c r="FP63" i="57"/>
  <c r="AC53" i="7" s="1"/>
  <c r="EN63" i="57"/>
  <c r="M53" i="7" s="1"/>
  <c r="FB63" i="57"/>
  <c r="U53" i="7" s="1"/>
  <c r="FM104" i="57"/>
  <c r="Z94" i="7" s="1"/>
  <c r="GO104" i="57"/>
  <c r="AP94" i="7" s="1"/>
  <c r="EN93" i="57"/>
  <c r="M83" i="7" s="1"/>
  <c r="GR93" i="57"/>
  <c r="AS83" i="7" s="1"/>
  <c r="FO78" i="57"/>
  <c r="AB68" i="7" s="1"/>
  <c r="FA78" i="57"/>
  <c r="T68" i="7" s="1"/>
  <c r="GQ78" i="57"/>
  <c r="AR68" i="7" s="1"/>
  <c r="FA55" i="57"/>
  <c r="T45" i="7" s="1"/>
  <c r="GQ55" i="57"/>
  <c r="AR45" i="7" s="1"/>
  <c r="FO47" i="57"/>
  <c r="AB37" i="7" s="1"/>
  <c r="DT77" i="57"/>
  <c r="FM77" i="57" s="1"/>
  <c r="Z67" i="7" s="1"/>
  <c r="DT101" i="57"/>
  <c r="FM101" i="57" s="1"/>
  <c r="Z91" i="7" s="1"/>
  <c r="FN46" i="57"/>
  <c r="AA36" i="7" s="1"/>
  <c r="FA52" i="57"/>
  <c r="T42" i="7" s="1"/>
  <c r="AY6" i="56"/>
  <c r="GK6" i="56"/>
  <c r="CD6" i="7" s="1"/>
  <c r="EG6" i="56"/>
  <c r="AX6" i="7" s="1"/>
  <c r="EL100" i="56"/>
  <c r="BA90" i="7" s="1"/>
  <c r="EZ39" i="56"/>
  <c r="BI29" i="7" s="1"/>
  <c r="FM21" i="56"/>
  <c r="GO21" i="56"/>
  <c r="GO16" i="56"/>
  <c r="EK16" i="56"/>
  <c r="GP109" i="56"/>
  <c r="CG99" i="7" s="1"/>
  <c r="EL109" i="56"/>
  <c r="BA99" i="7" s="1"/>
  <c r="EL40" i="56"/>
  <c r="BA30" i="7" s="1"/>
  <c r="FN40" i="56"/>
  <c r="BQ30" i="7" s="1"/>
  <c r="GB40" i="56"/>
  <c r="BY30" i="7" s="1"/>
  <c r="EZ40" i="56"/>
  <c r="BI30" i="7" s="1"/>
  <c r="CS108" i="57"/>
  <c r="FB98" i="57"/>
  <c r="U88" i="7" s="1"/>
  <c r="GR98" i="57"/>
  <c r="AS88" i="7" s="1"/>
  <c r="EN98" i="57"/>
  <c r="M88" i="7" s="1"/>
  <c r="EL45" i="57"/>
  <c r="K35" i="7" s="1"/>
  <c r="GP95" i="57"/>
  <c r="AQ85" i="7" s="1"/>
  <c r="EL95" i="57"/>
  <c r="K85" i="7" s="1"/>
  <c r="GR47" i="57"/>
  <c r="AS37" i="7" s="1"/>
  <c r="EN47" i="57"/>
  <c r="M37" i="7" s="1"/>
  <c r="GP24" i="70"/>
  <c r="EL24" i="70"/>
  <c r="FN102" i="56"/>
  <c r="BQ92" i="7" s="1"/>
  <c r="GP102" i="56"/>
  <c r="CG92" i="7" s="1"/>
  <c r="GO76" i="57"/>
  <c r="AP66" i="7" s="1"/>
  <c r="EY76" i="57"/>
  <c r="R66" i="7" s="1"/>
  <c r="EK76" i="57"/>
  <c r="J66" i="7" s="1"/>
  <c r="FB76" i="57"/>
  <c r="U66" i="7" s="1"/>
  <c r="GR76" i="57"/>
  <c r="AS66" i="7" s="1"/>
  <c r="FP76" i="57"/>
  <c r="AC66" i="7" s="1"/>
  <c r="EN76" i="57"/>
  <c r="M66" i="7" s="1"/>
  <c r="GQ62" i="70"/>
  <c r="DX52" i="7" s="1"/>
  <c r="EZ41" i="57"/>
  <c r="S31" i="7" s="1"/>
  <c r="EK81" i="57"/>
  <c r="J71" i="7" s="1"/>
  <c r="EK87" i="57"/>
  <c r="J77" i="7" s="1"/>
  <c r="EL41" i="57"/>
  <c r="K31" i="7" s="1"/>
  <c r="GR65" i="70"/>
  <c r="DY55" i="7" s="1"/>
  <c r="EL60" i="57"/>
  <c r="K50" i="7" s="1"/>
  <c r="DT30" i="57"/>
  <c r="FM30" i="57" s="1"/>
  <c r="Z20" i="7" s="1"/>
  <c r="DT76" i="57"/>
  <c r="FM76" i="57" s="1"/>
  <c r="Z66" i="7" s="1"/>
  <c r="DT31" i="57"/>
  <c r="FM31" i="57" s="1"/>
  <c r="Z21" i="7" s="1"/>
  <c r="DT87" i="57"/>
  <c r="FM87" i="57" s="1"/>
  <c r="Z77" i="7" s="1"/>
  <c r="DT18" i="57"/>
  <c r="FM18" i="57" s="1"/>
  <c r="DT14" i="57"/>
  <c r="FM14" i="57" s="1"/>
  <c r="DT86" i="57"/>
  <c r="FM86" i="57" s="1"/>
  <c r="Z76" i="7" s="1"/>
  <c r="FP29" i="57"/>
  <c r="FP26" i="57"/>
  <c r="FB42" i="57"/>
  <c r="U32" i="7" s="1"/>
  <c r="GB24" i="57"/>
  <c r="GO89" i="56"/>
  <c r="CF79" i="7" s="1"/>
  <c r="FM89" i="56"/>
  <c r="BP79" i="7" s="1"/>
  <c r="EL38" i="56"/>
  <c r="BA28" i="7" s="1"/>
  <c r="EZ85" i="57"/>
  <c r="S75" i="7" s="1"/>
  <c r="GB104" i="56"/>
  <c r="BY94" i="7" s="1"/>
  <c r="FN104" i="56"/>
  <c r="BQ94" i="7" s="1"/>
  <c r="FB100" i="57"/>
  <c r="U90" i="7" s="1"/>
  <c r="GR100" i="57"/>
  <c r="AS90" i="7" s="1"/>
  <c r="FP100" i="57"/>
  <c r="AC90" i="7" s="1"/>
  <c r="EN100" i="57"/>
  <c r="M90" i="7" s="1"/>
  <c r="GP55" i="57"/>
  <c r="AQ45" i="7" s="1"/>
  <c r="EZ55" i="57"/>
  <c r="S45" i="7" s="1"/>
  <c r="EL55" i="57"/>
  <c r="K45" i="7" s="1"/>
  <c r="GO73" i="57"/>
  <c r="AP63" i="7" s="1"/>
  <c r="EY73" i="57"/>
  <c r="R63" i="7" s="1"/>
  <c r="FB99" i="57"/>
  <c r="U89" i="7" s="1"/>
  <c r="GR99" i="57"/>
  <c r="AS89" i="7" s="1"/>
  <c r="EN99" i="57"/>
  <c r="M89" i="7" s="1"/>
  <c r="AA106" i="57"/>
  <c r="EZ106" i="57" s="1"/>
  <c r="S96" i="7" s="1"/>
  <c r="GR106" i="57"/>
  <c r="AS96" i="7" s="1"/>
  <c r="EN106" i="57"/>
  <c r="M96" i="7" s="1"/>
  <c r="GR65" i="57"/>
  <c r="AS55" i="7" s="1"/>
  <c r="EN65" i="57"/>
  <c r="M55" i="7" s="1"/>
  <c r="GO82" i="57"/>
  <c r="AP72" i="7" s="1"/>
  <c r="EY82" i="57"/>
  <c r="R72" i="7" s="1"/>
  <c r="EK82" i="57"/>
  <c r="J72" i="7" s="1"/>
  <c r="GR97" i="57"/>
  <c r="AS87" i="7" s="1"/>
  <c r="EN97" i="57"/>
  <c r="M87" i="7" s="1"/>
  <c r="DG78" i="57"/>
  <c r="EL78" i="57" s="1"/>
  <c r="K68" i="7" s="1"/>
  <c r="GO40" i="57"/>
  <c r="AP30" i="7" s="1"/>
  <c r="EY40" i="57"/>
  <c r="R30" i="7" s="1"/>
  <c r="BQ110" i="57"/>
  <c r="EZ110" i="57" s="1"/>
  <c r="S100" i="7" s="1"/>
  <c r="FO85" i="57"/>
  <c r="AB75" i="7" s="1"/>
  <c r="FA85" i="57"/>
  <c r="T75" i="7" s="1"/>
  <c r="EM85" i="57"/>
  <c r="L75" i="7" s="1"/>
  <c r="GQ85" i="57"/>
  <c r="AR75" i="7" s="1"/>
  <c r="FN88" i="70"/>
  <c r="DG78" i="7" s="1"/>
  <c r="EL88" i="70"/>
  <c r="CQ78" i="7" s="1"/>
  <c r="DV31" i="56"/>
  <c r="DV32" i="56"/>
  <c r="DV58" i="56"/>
  <c r="DV41" i="56"/>
  <c r="DV40" i="56"/>
  <c r="DV74" i="56"/>
  <c r="DV35" i="56"/>
  <c r="DV54" i="56"/>
  <c r="DV52" i="56"/>
  <c r="DV47" i="56"/>
  <c r="DV45" i="56"/>
  <c r="DV44" i="56"/>
  <c r="DV42" i="56"/>
  <c r="DV72" i="56"/>
  <c r="DV46" i="56"/>
  <c r="DV57" i="56"/>
  <c r="DV64" i="56"/>
  <c r="DV33" i="56"/>
  <c r="DV38" i="56"/>
  <c r="DV69" i="56"/>
  <c r="DV39" i="56"/>
  <c r="DV55" i="56"/>
  <c r="DV60" i="56"/>
  <c r="DV50" i="56"/>
  <c r="DV70" i="56"/>
  <c r="DV34" i="56"/>
  <c r="DV73" i="56"/>
  <c r="DV71" i="56"/>
  <c r="DV53" i="56"/>
  <c r="DV62" i="56"/>
  <c r="DV36" i="56"/>
  <c r="DV43" i="56"/>
  <c r="DV59" i="56"/>
  <c r="DV30" i="56"/>
  <c r="DV63" i="56"/>
  <c r="DV65" i="56"/>
  <c r="DV67" i="56"/>
  <c r="DV56" i="56"/>
  <c r="DV68" i="56"/>
  <c r="DV48" i="56"/>
  <c r="DV66" i="56"/>
  <c r="DV51" i="56"/>
  <c r="DV61" i="56"/>
  <c r="DV49" i="56"/>
  <c r="DV37" i="56"/>
  <c r="DW26" i="56"/>
  <c r="DW27" i="56"/>
  <c r="FP27" i="56" s="1"/>
  <c r="DW25" i="56"/>
  <c r="FP25" i="56" s="1"/>
  <c r="DW29" i="56"/>
  <c r="FP29" i="56" s="1"/>
  <c r="DW28" i="56"/>
  <c r="GO41" i="56"/>
  <c r="CF31" i="7" s="1"/>
  <c r="EK41" i="56"/>
  <c r="AZ31" i="7" s="1"/>
  <c r="L34" i="57"/>
  <c r="EK34" i="57" s="1"/>
  <c r="J24" i="7" s="1"/>
  <c r="EY59" i="57"/>
  <c r="R49" i="7" s="1"/>
  <c r="EK59" i="57"/>
  <c r="J49" i="7" s="1"/>
  <c r="GO59" i="57"/>
  <c r="AP49" i="7" s="1"/>
  <c r="CS34" i="57"/>
  <c r="EL34" i="57" s="1"/>
  <c r="K24" i="7" s="1"/>
  <c r="FP34" i="57"/>
  <c r="AC24" i="7" s="1"/>
  <c r="GR34" i="57"/>
  <c r="AS24" i="7" s="1"/>
  <c r="EN34" i="57"/>
  <c r="M24" i="7" s="1"/>
  <c r="M90" i="57"/>
  <c r="M46" i="57"/>
  <c r="EL46" i="57" s="1"/>
  <c r="K36" i="7" s="1"/>
  <c r="FB109" i="57"/>
  <c r="U99" i="7" s="1"/>
  <c r="GR101" i="57"/>
  <c r="AS91" i="7" s="1"/>
  <c r="EN101" i="57"/>
  <c r="M91" i="7" s="1"/>
  <c r="DG10" i="57"/>
  <c r="FO86" i="57"/>
  <c r="AB76" i="7" s="1"/>
  <c r="FA86" i="57"/>
  <c r="T76" i="7" s="1"/>
  <c r="GQ86" i="57"/>
  <c r="AR76" i="7" s="1"/>
  <c r="CR1" i="7"/>
  <c r="EM4" i="70"/>
  <c r="EM2" i="70" s="1"/>
  <c r="CZ13" i="7"/>
  <c r="FB1" i="70"/>
  <c r="DA13" i="7" s="1"/>
  <c r="GQ65" i="70"/>
  <c r="DX55" i="7" s="1"/>
  <c r="GQ30" i="70"/>
  <c r="DX20" i="7" s="1"/>
  <c r="GQ43" i="70"/>
  <c r="DX33" i="7" s="1"/>
  <c r="GQ66" i="70"/>
  <c r="DX56" i="7" s="1"/>
  <c r="EK75" i="57"/>
  <c r="J65" i="7" s="1"/>
  <c r="GO69" i="57"/>
  <c r="AP59" i="7" s="1"/>
  <c r="FP17" i="57"/>
  <c r="FP78" i="57"/>
  <c r="AC68" i="7" s="1"/>
  <c r="FP62" i="57"/>
  <c r="AC52" i="7" s="1"/>
  <c r="FP68" i="57"/>
  <c r="AC58" i="7" s="1"/>
  <c r="FP65" i="57"/>
  <c r="AC55" i="7" s="1"/>
  <c r="FP44" i="57"/>
  <c r="AC34" i="7" s="1"/>
  <c r="FP45" i="57"/>
  <c r="AC35" i="7" s="1"/>
  <c r="FP52" i="57"/>
  <c r="AC42" i="7" s="1"/>
  <c r="FP40" i="57"/>
  <c r="AC30" i="7" s="1"/>
  <c r="FP41" i="57"/>
  <c r="AC31" i="7" s="1"/>
  <c r="FP74" i="57"/>
  <c r="AC64" i="7" s="1"/>
  <c r="FP37" i="57"/>
  <c r="AC27" i="7" s="1"/>
  <c r="FP69" i="57"/>
  <c r="AC59" i="7" s="1"/>
  <c r="FP30" i="57"/>
  <c r="AC20" i="7" s="1"/>
  <c r="FP50" i="57"/>
  <c r="AC40" i="7" s="1"/>
  <c r="FP67" i="57"/>
  <c r="AC57" i="7" s="1"/>
  <c r="FP14" i="57"/>
  <c r="FP15" i="57"/>
  <c r="FP101" i="57"/>
  <c r="AC91" i="7" s="1"/>
  <c r="FP95" i="57"/>
  <c r="AC85" i="7" s="1"/>
  <c r="FP24" i="57"/>
  <c r="FP23" i="57"/>
  <c r="FP83" i="57"/>
  <c r="AC73" i="7" s="1"/>
  <c r="FP3" i="57"/>
  <c r="FP81" i="57"/>
  <c r="AC71" i="7" s="1"/>
  <c r="FP16" i="57"/>
  <c r="FP9" i="57"/>
  <c r="AC19" i="7" s="1"/>
  <c r="FP54" i="57"/>
  <c r="AC44" i="7" s="1"/>
  <c r="FP47" i="57"/>
  <c r="AC37" i="7" s="1"/>
  <c r="FP38" i="57"/>
  <c r="AC28" i="7" s="1"/>
  <c r="FP31" i="57"/>
  <c r="AC21" i="7" s="1"/>
  <c r="FP33" i="57"/>
  <c r="AC23" i="7" s="1"/>
  <c r="FP43" i="57"/>
  <c r="AC33" i="7" s="1"/>
  <c r="FP48" i="57"/>
  <c r="AC38" i="7" s="1"/>
  <c r="FP71" i="57"/>
  <c r="AC61" i="7" s="1"/>
  <c r="FP32" i="57"/>
  <c r="AC22" i="7" s="1"/>
  <c r="FP35" i="57"/>
  <c r="AC25" i="7" s="1"/>
  <c r="FP36" i="57"/>
  <c r="AC26" i="7" s="1"/>
  <c r="FP57" i="57"/>
  <c r="AC47" i="7" s="1"/>
  <c r="FP19" i="57"/>
  <c r="FP92" i="57"/>
  <c r="AC82" i="7" s="1"/>
  <c r="FP102" i="57"/>
  <c r="AC92" i="7" s="1"/>
  <c r="FP22" i="57"/>
  <c r="FP94" i="57"/>
  <c r="AC84" i="7" s="1"/>
  <c r="FP82" i="57"/>
  <c r="AC72" i="7" s="1"/>
  <c r="FP13" i="57"/>
  <c r="FP97" i="57"/>
  <c r="AC87" i="7" s="1"/>
  <c r="FP79" i="57"/>
  <c r="AC69" i="7" s="1"/>
  <c r="FP12" i="57"/>
  <c r="FP18" i="57"/>
  <c r="FP93" i="57"/>
  <c r="AC83" i="7" s="1"/>
  <c r="FP21" i="57"/>
  <c r="FP75" i="57"/>
  <c r="AC65" i="7" s="1"/>
  <c r="FP86" i="57"/>
  <c r="AC76" i="7" s="1"/>
  <c r="FP87" i="57"/>
  <c r="AC77" i="7" s="1"/>
  <c r="FP20" i="57"/>
  <c r="FP106" i="57"/>
  <c r="AC96" i="7" s="1"/>
  <c r="FP53" i="57"/>
  <c r="AC43" i="7" s="1"/>
  <c r="GR57" i="70"/>
  <c r="DY47" i="7" s="1"/>
  <c r="GR74" i="70"/>
  <c r="DY64" i="7" s="1"/>
  <c r="EZ30" i="57"/>
  <c r="S20" i="7" s="1"/>
  <c r="DT106" i="57"/>
  <c r="FM106" i="57" s="1"/>
  <c r="Z96" i="7" s="1"/>
  <c r="FO29" i="57"/>
  <c r="FO26" i="57"/>
  <c r="EM90" i="57"/>
  <c r="L80" i="7" s="1"/>
  <c r="FA72" i="57"/>
  <c r="T62" i="7" s="1"/>
  <c r="EZ88" i="56"/>
  <c r="BI78" i="7" s="1"/>
  <c r="FB55" i="57"/>
  <c r="U45" i="7" s="1"/>
  <c r="FB61" i="57"/>
  <c r="U51" i="7" s="1"/>
  <c r="AP29" i="70"/>
  <c r="FO29" i="70" s="1"/>
  <c r="AP27" i="70"/>
  <c r="FO27" i="70" s="1"/>
  <c r="AP25" i="70"/>
  <c r="FO25" i="70" s="1"/>
  <c r="AP26" i="70"/>
  <c r="FO26" i="70" s="1"/>
  <c r="AP28" i="70"/>
  <c r="FO28" i="70" s="1"/>
  <c r="FP67" i="70"/>
  <c r="DI57" i="7" s="1"/>
  <c r="GR67" i="70"/>
  <c r="DY57" i="7" s="1"/>
  <c r="GR55" i="70"/>
  <c r="DY45" i="7" s="1"/>
  <c r="FP55" i="70"/>
  <c r="DI45" i="7" s="1"/>
  <c r="FP64" i="70"/>
  <c r="DI54" i="7" s="1"/>
  <c r="FP48" i="70"/>
  <c r="DI38" i="7" s="1"/>
  <c r="FP52" i="70"/>
  <c r="DI42" i="7" s="1"/>
  <c r="FP34" i="70"/>
  <c r="DI24" i="7" s="1"/>
  <c r="GR34" i="70"/>
  <c r="DY24" i="7" s="1"/>
  <c r="FP43" i="70"/>
  <c r="DI33" i="7" s="1"/>
  <c r="FP54" i="70"/>
  <c r="DI44" i="7" s="1"/>
  <c r="FP63" i="70"/>
  <c r="DI53" i="7" s="1"/>
  <c r="FP60" i="70"/>
  <c r="DI50" i="7" s="1"/>
  <c r="GR60" i="70"/>
  <c r="DY50" i="7" s="1"/>
  <c r="FP69" i="70"/>
  <c r="DI59" i="7" s="1"/>
  <c r="FP39" i="70"/>
  <c r="DI29" i="7" s="1"/>
  <c r="FX18" i="45"/>
  <c r="FW6" i="45"/>
  <c r="FW22" i="45"/>
  <c r="FW21" i="45"/>
  <c r="FW20" i="45"/>
  <c r="EN49" i="70"/>
  <c r="CS39" i="7" s="1"/>
  <c r="EN60" i="70"/>
  <c r="CS50" i="7" s="1"/>
  <c r="EN62" i="70"/>
  <c r="CS52" i="7" s="1"/>
  <c r="EN68" i="70"/>
  <c r="CS58" i="7" s="1"/>
  <c r="EN65" i="70"/>
  <c r="CS55" i="7" s="1"/>
  <c r="EN45" i="70"/>
  <c r="CS35" i="7" s="1"/>
  <c r="EN34" i="70"/>
  <c r="CS24" i="7" s="1"/>
  <c r="EN71" i="70"/>
  <c r="CS61" i="7" s="1"/>
  <c r="EN70" i="70"/>
  <c r="CS60" i="7" s="1"/>
  <c r="EN63" i="70"/>
  <c r="CS53" i="7" s="1"/>
  <c r="EN48" i="70"/>
  <c r="CS38" i="7" s="1"/>
  <c r="GR72" i="70"/>
  <c r="DY62" i="7" s="1"/>
  <c r="DT60" i="57"/>
  <c r="FM60" i="57" s="1"/>
  <c r="Z50" i="7" s="1"/>
  <c r="DT34" i="57"/>
  <c r="DT36" i="57"/>
  <c r="FM36" i="57" s="1"/>
  <c r="Z26" i="7" s="1"/>
  <c r="DT102" i="57"/>
  <c r="FM102" i="57" s="1"/>
  <c r="Z92" i="7" s="1"/>
  <c r="DT27" i="57"/>
  <c r="FM27" i="57" s="1"/>
  <c r="FO4" i="56"/>
  <c r="FO2" i="56" s="1"/>
  <c r="BR14" i="7" s="1"/>
  <c r="BR15" i="7" s="1"/>
  <c r="BR1" i="7"/>
  <c r="FP28" i="56"/>
  <c r="FP83" i="56"/>
  <c r="BS73" i="7" s="1"/>
  <c r="GO46" i="56"/>
  <c r="CF36" i="7" s="1"/>
  <c r="FM46" i="56"/>
  <c r="BP36" i="7" s="1"/>
  <c r="GQ101" i="57"/>
  <c r="AR91" i="7" s="1"/>
  <c r="EM101" i="57"/>
  <c r="L91" i="7" s="1"/>
  <c r="GO88" i="57"/>
  <c r="AP78" i="7" s="1"/>
  <c r="EY88" i="57"/>
  <c r="R78" i="7" s="1"/>
  <c r="EK88" i="57"/>
  <c r="J78" i="7" s="1"/>
  <c r="GR64" i="57"/>
  <c r="AS54" i="7" s="1"/>
  <c r="FP64" i="57"/>
  <c r="AC54" i="7" s="1"/>
  <c r="EN64" i="57"/>
  <c r="M54" i="7" s="1"/>
  <c r="FB77" i="57"/>
  <c r="U67" i="7" s="1"/>
  <c r="GR77" i="57"/>
  <c r="AS67" i="7" s="1"/>
  <c r="FP77" i="57"/>
  <c r="AC67" i="7" s="1"/>
  <c r="EN77" i="57"/>
  <c r="M67" i="7" s="1"/>
  <c r="EY96" i="57"/>
  <c r="R86" i="7" s="1"/>
  <c r="GO96" i="57"/>
  <c r="AP86" i="7" s="1"/>
  <c r="FM96" i="57"/>
  <c r="Z86" i="7" s="1"/>
  <c r="EK96" i="57"/>
  <c r="J86" i="7" s="1"/>
  <c r="EL103" i="57"/>
  <c r="K93" i="7" s="1"/>
  <c r="GR74" i="57"/>
  <c r="AS64" i="7" s="1"/>
  <c r="EN74" i="57"/>
  <c r="M64" i="7" s="1"/>
  <c r="GO44" i="57"/>
  <c r="AP34" i="7" s="1"/>
  <c r="EY44" i="57"/>
  <c r="R34" i="7" s="1"/>
  <c r="CE110" i="57"/>
  <c r="FT18" i="38"/>
  <c r="CX13" i="41"/>
  <c r="FS6" i="38"/>
  <c r="FN37" i="70"/>
  <c r="DG27" i="7" s="1"/>
  <c r="EL37" i="70"/>
  <c r="CQ27" i="7" s="1"/>
  <c r="DH52" i="70"/>
  <c r="DH39" i="70"/>
  <c r="DH43" i="70"/>
  <c r="DH53" i="70"/>
  <c r="DH35" i="70"/>
  <c r="DH30" i="70"/>
  <c r="DH56" i="70"/>
  <c r="DH60" i="70"/>
  <c r="DH42" i="70"/>
  <c r="DH48" i="70"/>
  <c r="DH33" i="70"/>
  <c r="DH36" i="70"/>
  <c r="DH40" i="70"/>
  <c r="DH44" i="70"/>
  <c r="DH49" i="70"/>
  <c r="DH68" i="70"/>
  <c r="DH67" i="70"/>
  <c r="DH69" i="70"/>
  <c r="DH57" i="70"/>
  <c r="DH64" i="70"/>
  <c r="DH62" i="70"/>
  <c r="DH32" i="70"/>
  <c r="DH66" i="70"/>
  <c r="DH59" i="70"/>
  <c r="DH65" i="70"/>
  <c r="DH46" i="70"/>
  <c r="DH41" i="70"/>
  <c r="DH72" i="70"/>
  <c r="DH73" i="70"/>
  <c r="DH74" i="70"/>
  <c r="DH61" i="70"/>
  <c r="DH45" i="70"/>
  <c r="DH51" i="70"/>
  <c r="DH38" i="70"/>
  <c r="DH70" i="70"/>
  <c r="DH55" i="70"/>
  <c r="DH31" i="70"/>
  <c r="DH71" i="70"/>
  <c r="DH47" i="70"/>
  <c r="DH37" i="70"/>
  <c r="DH63" i="70"/>
  <c r="DH50" i="70"/>
  <c r="DH34" i="70"/>
  <c r="DH58" i="70"/>
  <c r="DH54" i="70"/>
  <c r="EL22" i="70"/>
  <c r="EZ22" i="70"/>
  <c r="GP22" i="70"/>
  <c r="FN22" i="70"/>
  <c r="GP102" i="70"/>
  <c r="DW92" i="7" s="1"/>
  <c r="CS72" i="57"/>
  <c r="EY89" i="57"/>
  <c r="R79" i="7" s="1"/>
  <c r="FM89" i="57"/>
  <c r="Z79" i="7" s="1"/>
  <c r="GO89" i="57"/>
  <c r="AP79" i="7" s="1"/>
  <c r="EK89" i="57"/>
  <c r="J79" i="7" s="1"/>
  <c r="GO80" i="57"/>
  <c r="AP70" i="7" s="1"/>
  <c r="FM80" i="57"/>
  <c r="Z70" i="7" s="1"/>
  <c r="EY80" i="57"/>
  <c r="R70" i="7" s="1"/>
  <c r="EK80" i="57"/>
  <c r="J70" i="7" s="1"/>
  <c r="DG50" i="57"/>
  <c r="DG35" i="57"/>
  <c r="GR35" i="57"/>
  <c r="AS25" i="7" s="1"/>
  <c r="EN35" i="57"/>
  <c r="M25" i="7" s="1"/>
  <c r="CE109" i="57"/>
  <c r="DF90" i="57"/>
  <c r="GO90" i="57" s="1"/>
  <c r="AP80" i="7" s="1"/>
  <c r="DG51" i="57"/>
  <c r="DG93" i="57"/>
  <c r="GR69" i="57"/>
  <c r="AS59" i="7" s="1"/>
  <c r="EN69" i="57"/>
  <c r="M59" i="7" s="1"/>
  <c r="GR36" i="70"/>
  <c r="DY26" i="7" s="1"/>
  <c r="GR39" i="70"/>
  <c r="DY29" i="7" s="1"/>
  <c r="DT78" i="57"/>
  <c r="FM78" i="57" s="1"/>
  <c r="Z68" i="7" s="1"/>
  <c r="DT91" i="57"/>
  <c r="FM91" i="57" s="1"/>
  <c r="Z81" i="7" s="1"/>
  <c r="DT71" i="57"/>
  <c r="FM71" i="57" s="1"/>
  <c r="Z61" i="7" s="1"/>
  <c r="DT12" i="57"/>
  <c r="FM12" i="57" s="1"/>
  <c r="DT42" i="57"/>
  <c r="FM42" i="57" s="1"/>
  <c r="Z32" i="7" s="1"/>
  <c r="FB70" i="57"/>
  <c r="U60" i="7" s="1"/>
  <c r="FA40" i="57"/>
  <c r="T30" i="7" s="1"/>
  <c r="EY91" i="56"/>
  <c r="BH81" i="7" s="1"/>
  <c r="EY39" i="56"/>
  <c r="BH29" i="7" s="1"/>
  <c r="FN21" i="56"/>
  <c r="GP21" i="56"/>
  <c r="EL16" i="56"/>
  <c r="GP16" i="56"/>
  <c r="GR110" i="57"/>
  <c r="AS100" i="7" s="1"/>
  <c r="EN110" i="57"/>
  <c r="M100" i="7" s="1"/>
  <c r="EK66" i="57"/>
  <c r="J56" i="7" s="1"/>
  <c r="FM66" i="57"/>
  <c r="Z56" i="7" s="1"/>
  <c r="EY66" i="57"/>
  <c r="R56" i="7" s="1"/>
  <c r="GO66" i="57"/>
  <c r="AP56" i="7" s="1"/>
  <c r="CS98" i="57"/>
  <c r="EN62" i="57"/>
  <c r="M52" i="7" s="1"/>
  <c r="GR62" i="57"/>
  <c r="AS52" i="7" s="1"/>
  <c r="DG47" i="57"/>
  <c r="GP47" i="57" s="1"/>
  <c r="AQ37" i="7" s="1"/>
  <c r="FP92" i="56"/>
  <c r="BS82" i="7" s="1"/>
  <c r="GO24" i="70"/>
  <c r="EK24" i="70"/>
  <c r="FM102" i="56"/>
  <c r="BP92" i="7" s="1"/>
  <c r="GO102" i="56"/>
  <c r="CF92" i="7" s="1"/>
  <c r="FB85" i="57"/>
  <c r="U75" i="7" s="1"/>
  <c r="GR85" i="57"/>
  <c r="AS75" i="7" s="1"/>
  <c r="FP85" i="57"/>
  <c r="AC75" i="7" s="1"/>
  <c r="EN85" i="57"/>
  <c r="M75" i="7" s="1"/>
  <c r="DG67" i="57"/>
  <c r="GR79" i="57"/>
  <c r="AS69" i="7" s="1"/>
  <c r="EN79" i="57"/>
  <c r="M69" i="7" s="1"/>
  <c r="FB107" i="57"/>
  <c r="U97" i="7" s="1"/>
  <c r="EL109" i="70"/>
  <c r="CQ99" i="7" s="1"/>
  <c r="FA6" i="70"/>
  <c r="AC6" i="70"/>
  <c r="FB6" i="70" s="1"/>
  <c r="EN94" i="57"/>
  <c r="M84" i="7" s="1"/>
  <c r="GQ29" i="70"/>
  <c r="GR30" i="70"/>
  <c r="DY20" i="7" s="1"/>
  <c r="GR45" i="70"/>
  <c r="DY35" i="7" s="1"/>
  <c r="EK60" i="57"/>
  <c r="J50" i="7" s="1"/>
  <c r="FO71" i="57"/>
  <c r="AB61" i="7" s="1"/>
  <c r="DT108" i="57"/>
  <c r="FM108" i="57" s="1"/>
  <c r="Z98" i="7" s="1"/>
  <c r="DT70" i="57"/>
  <c r="FM70" i="57" s="1"/>
  <c r="Z60" i="7" s="1"/>
  <c r="DT105" i="57"/>
  <c r="FM105" i="57" s="1"/>
  <c r="Z95" i="7" s="1"/>
  <c r="DT59" i="57"/>
  <c r="FM59" i="57" s="1"/>
  <c r="Z49" i="7" s="1"/>
  <c r="DT41" i="57"/>
  <c r="FM41" i="57" s="1"/>
  <c r="Z31" i="7" s="1"/>
  <c r="DT64" i="57"/>
  <c r="FM64" i="57" s="1"/>
  <c r="Z54" i="7" s="1"/>
  <c r="DT28" i="57"/>
  <c r="FM28" i="57" s="1"/>
  <c r="DT48" i="57"/>
  <c r="FM48" i="57" s="1"/>
  <c r="Z38" i="7" s="1"/>
  <c r="FS18" i="46"/>
  <c r="FR21" i="46"/>
  <c r="FR20" i="46"/>
  <c r="FR6" i="46"/>
  <c r="FP28" i="57"/>
  <c r="EK90" i="57"/>
  <c r="J80" i="7" s="1"/>
  <c r="FA48" i="57"/>
  <c r="T38" i="7" s="1"/>
  <c r="EK88" i="56"/>
  <c r="AZ78" i="7" s="1"/>
  <c r="N70" i="56"/>
  <c r="EM70" i="56" s="1"/>
  <c r="BB60" i="7" s="1"/>
  <c r="N33" i="56"/>
  <c r="EM33" i="56" s="1"/>
  <c r="BB23" i="7" s="1"/>
  <c r="N65" i="56"/>
  <c r="EM65" i="56" s="1"/>
  <c r="BB55" i="7" s="1"/>
  <c r="N32" i="56"/>
  <c r="EM32" i="56" s="1"/>
  <c r="BB22" i="7" s="1"/>
  <c r="N40" i="56"/>
  <c r="EM40" i="56" s="1"/>
  <c r="BB30" i="7" s="1"/>
  <c r="N67" i="56"/>
  <c r="EM67" i="56" s="1"/>
  <c r="BB57" i="7" s="1"/>
  <c r="N51" i="56"/>
  <c r="EM51" i="56" s="1"/>
  <c r="BB41" i="7" s="1"/>
  <c r="N66" i="56"/>
  <c r="EM66" i="56" s="1"/>
  <c r="BB56" i="7" s="1"/>
  <c r="N52" i="56"/>
  <c r="EM52" i="56" s="1"/>
  <c r="BB42" i="7" s="1"/>
  <c r="N74" i="56"/>
  <c r="EM74" i="56" s="1"/>
  <c r="BB64" i="7" s="1"/>
  <c r="N61" i="56"/>
  <c r="EM61" i="56" s="1"/>
  <c r="BB51" i="7" s="1"/>
  <c r="N56" i="56"/>
  <c r="EM56" i="56" s="1"/>
  <c r="BB46" i="7" s="1"/>
  <c r="N54" i="56"/>
  <c r="EM54" i="56" s="1"/>
  <c r="BB44" i="7" s="1"/>
  <c r="N58" i="56"/>
  <c r="EM58" i="56" s="1"/>
  <c r="BB48" i="7" s="1"/>
  <c r="N60" i="56"/>
  <c r="EM60" i="56" s="1"/>
  <c r="BB50" i="7" s="1"/>
  <c r="N36" i="56"/>
  <c r="EM36" i="56" s="1"/>
  <c r="BB26" i="7" s="1"/>
  <c r="N43" i="56"/>
  <c r="EM43" i="56" s="1"/>
  <c r="BB33" i="7" s="1"/>
  <c r="N59" i="56"/>
  <c r="EM59" i="56" s="1"/>
  <c r="BB49" i="7" s="1"/>
  <c r="N35" i="56"/>
  <c r="EM35" i="56" s="1"/>
  <c r="BB25" i="7" s="1"/>
  <c r="N57" i="56"/>
  <c r="EM57" i="56" s="1"/>
  <c r="BB47" i="7" s="1"/>
  <c r="N31" i="56"/>
  <c r="EM31" i="56" s="1"/>
  <c r="BB21" i="7" s="1"/>
  <c r="N64" i="56"/>
  <c r="EM64" i="56" s="1"/>
  <c r="BB54" i="7" s="1"/>
  <c r="EM9" i="56"/>
  <c r="BB19" i="7" s="1"/>
  <c r="N47" i="56"/>
  <c r="EM47" i="56" s="1"/>
  <c r="BB37" i="7" s="1"/>
  <c r="N45" i="56"/>
  <c r="EM45" i="56" s="1"/>
  <c r="BB35" i="7" s="1"/>
  <c r="N72" i="56"/>
  <c r="EM72" i="56" s="1"/>
  <c r="BB62" i="7" s="1"/>
  <c r="N30" i="56"/>
  <c r="EM30" i="56" s="1"/>
  <c r="BB20" i="7" s="1"/>
  <c r="N38" i="56"/>
  <c r="EM38" i="56" s="1"/>
  <c r="BB28" i="7" s="1"/>
  <c r="N71" i="56"/>
  <c r="EM71" i="56" s="1"/>
  <c r="BB61" i="7" s="1"/>
  <c r="N55" i="56"/>
  <c r="EM55" i="56" s="1"/>
  <c r="BB45" i="7" s="1"/>
  <c r="N41" i="56"/>
  <c r="EM41" i="56" s="1"/>
  <c r="BB31" i="7" s="1"/>
  <c r="N44" i="56"/>
  <c r="EM44" i="56" s="1"/>
  <c r="BB34" i="7" s="1"/>
  <c r="N37" i="56"/>
  <c r="EM37" i="56" s="1"/>
  <c r="BB27" i="7" s="1"/>
  <c r="N73" i="56"/>
  <c r="EM73" i="56" s="1"/>
  <c r="BB63" i="7" s="1"/>
  <c r="N68" i="56"/>
  <c r="EM68" i="56" s="1"/>
  <c r="BB58" i="7" s="1"/>
  <c r="N34" i="56"/>
  <c r="EM34" i="56" s="1"/>
  <c r="BB24" i="7" s="1"/>
  <c r="N69" i="56"/>
  <c r="EM69" i="56" s="1"/>
  <c r="BB59" i="7" s="1"/>
  <c r="N39" i="56"/>
  <c r="EM39" i="56" s="1"/>
  <c r="BB29" i="7" s="1"/>
  <c r="N63" i="56"/>
  <c r="EM63" i="56" s="1"/>
  <c r="BB53" i="7" s="1"/>
  <c r="N49" i="56"/>
  <c r="EM49" i="56" s="1"/>
  <c r="BB39" i="7" s="1"/>
  <c r="N48" i="56"/>
  <c r="EM48" i="56" s="1"/>
  <c r="BB38" i="7" s="1"/>
  <c r="N46" i="56"/>
  <c r="EM46" i="56" s="1"/>
  <c r="BB36" i="7" s="1"/>
  <c r="N53" i="56"/>
  <c r="EM53" i="56" s="1"/>
  <c r="BB43" i="7" s="1"/>
  <c r="N62" i="56"/>
  <c r="EM62" i="56" s="1"/>
  <c r="BB52" i="7" s="1"/>
  <c r="N42" i="56"/>
  <c r="EM42" i="56" s="1"/>
  <c r="BB32" i="7" s="1"/>
  <c r="N50" i="56"/>
  <c r="EM50" i="56" s="1"/>
  <c r="BB40" i="7" s="1"/>
  <c r="GP82" i="56"/>
  <c r="CG72" i="7" s="1"/>
  <c r="FN82" i="56"/>
  <c r="BQ72" i="7" s="1"/>
  <c r="EK25" i="57"/>
  <c r="GA25" i="57"/>
  <c r="FM82" i="56"/>
  <c r="BP72" i="7" s="1"/>
  <c r="GP50" i="56"/>
  <c r="CG40" i="7" s="1"/>
  <c r="FN37" i="57"/>
  <c r="AA27" i="7" s="1"/>
  <c r="CS109" i="57"/>
  <c r="EZ109" i="57" s="1"/>
  <c r="S99" i="7" s="1"/>
  <c r="CS100" i="57"/>
  <c r="GR73" i="57"/>
  <c r="AS63" i="7" s="1"/>
  <c r="FP73" i="57"/>
  <c r="AC63" i="7" s="1"/>
  <c r="CS90" i="57"/>
  <c r="FB90" i="57"/>
  <c r="U80" i="7" s="1"/>
  <c r="GR90" i="57"/>
  <c r="AS80" i="7" s="1"/>
  <c r="FP90" i="57"/>
  <c r="AC80" i="7" s="1"/>
  <c r="CS49" i="57"/>
  <c r="EL49" i="57" s="1"/>
  <c r="K39" i="7" s="1"/>
  <c r="EL72" i="57"/>
  <c r="K62" i="7" s="1"/>
  <c r="M105" i="57"/>
  <c r="EL105" i="57" s="1"/>
  <c r="K95" i="7" s="1"/>
  <c r="EN92" i="57"/>
  <c r="M82" i="7" s="1"/>
  <c r="GR92" i="57"/>
  <c r="AS82" i="7" s="1"/>
  <c r="DG48" i="57"/>
  <c r="EN48" i="57"/>
  <c r="M38" i="7" s="1"/>
  <c r="GR48" i="57"/>
  <c r="AS38" i="7" s="1"/>
  <c r="EY110" i="57"/>
  <c r="R100" i="7" s="1"/>
  <c r="FO77" i="57"/>
  <c r="AB67" i="7" s="1"/>
  <c r="GQ77" i="57"/>
  <c r="AR67" i="7" s="1"/>
  <c r="FA77" i="57"/>
  <c r="T67" i="7" s="1"/>
  <c r="EM77" i="57"/>
  <c r="L67" i="7" s="1"/>
  <c r="BS31" i="70"/>
  <c r="FB31" i="70" s="1"/>
  <c r="DA21" i="7" s="1"/>
  <c r="BS40" i="70"/>
  <c r="FB40" i="70" s="1"/>
  <c r="DA30" i="7" s="1"/>
  <c r="BS43" i="70"/>
  <c r="FB43" i="70" s="1"/>
  <c r="DA33" i="7" s="1"/>
  <c r="BS41" i="70"/>
  <c r="FB41" i="70" s="1"/>
  <c r="DA31" i="7" s="1"/>
  <c r="BS54" i="70"/>
  <c r="FB54" i="70" s="1"/>
  <c r="DA44" i="7" s="1"/>
  <c r="BS53" i="70"/>
  <c r="FB53" i="70" s="1"/>
  <c r="DA43" i="7" s="1"/>
  <c r="BS58" i="70"/>
  <c r="FB58" i="70" s="1"/>
  <c r="DA48" i="7" s="1"/>
  <c r="BS68" i="70"/>
  <c r="FB68" i="70" s="1"/>
  <c r="DA58" i="7" s="1"/>
  <c r="BS62" i="70"/>
  <c r="FB62" i="70" s="1"/>
  <c r="DA52" i="7" s="1"/>
  <c r="BS45" i="70"/>
  <c r="FB45" i="70" s="1"/>
  <c r="DA35" i="7" s="1"/>
  <c r="BS50" i="70"/>
  <c r="FB50" i="70" s="1"/>
  <c r="DA40" i="7" s="1"/>
  <c r="BS63" i="70"/>
  <c r="FB63" i="70" s="1"/>
  <c r="DA53" i="7" s="1"/>
  <c r="BS69" i="70"/>
  <c r="FB69" i="70" s="1"/>
  <c r="DA59" i="7" s="1"/>
  <c r="BS74" i="70"/>
  <c r="FB74" i="70" s="1"/>
  <c r="DA64" i="7" s="1"/>
  <c r="BS72" i="70"/>
  <c r="FB72" i="70" s="1"/>
  <c r="DA62" i="7" s="1"/>
  <c r="BS34" i="70"/>
  <c r="FB34" i="70" s="1"/>
  <c r="DA24" i="7" s="1"/>
  <c r="BS39" i="70"/>
  <c r="FB39" i="70" s="1"/>
  <c r="DA29" i="7" s="1"/>
  <c r="BS30" i="70"/>
  <c r="FB30" i="70" s="1"/>
  <c r="DA20" i="7" s="1"/>
  <c r="BS48" i="70"/>
  <c r="FB48" i="70" s="1"/>
  <c r="DA38" i="7" s="1"/>
  <c r="BS44" i="70"/>
  <c r="FB44" i="70" s="1"/>
  <c r="DA34" i="7" s="1"/>
  <c r="BS59" i="70"/>
  <c r="FB59" i="70" s="1"/>
  <c r="DA49" i="7" s="1"/>
  <c r="BS61" i="70"/>
  <c r="FB61" i="70" s="1"/>
  <c r="DA51" i="7" s="1"/>
  <c r="BS57" i="70"/>
  <c r="FB57" i="70" s="1"/>
  <c r="DA47" i="7" s="1"/>
  <c r="BS70" i="70"/>
  <c r="FB70" i="70" s="1"/>
  <c r="DA60" i="7" s="1"/>
  <c r="BS71" i="70"/>
  <c r="FB71" i="70" s="1"/>
  <c r="DA61" i="7" s="1"/>
  <c r="BS64" i="70"/>
  <c r="FB64" i="70" s="1"/>
  <c r="DA54" i="7" s="1"/>
  <c r="BS37" i="70"/>
  <c r="FB37" i="70" s="1"/>
  <c r="DA27" i="7" s="1"/>
  <c r="BS38" i="70"/>
  <c r="FB38" i="70" s="1"/>
  <c r="DA28" i="7" s="1"/>
  <c r="BS67" i="70"/>
  <c r="FB67" i="70" s="1"/>
  <c r="DA57" i="7" s="1"/>
  <c r="BS65" i="70"/>
  <c r="FB65" i="70" s="1"/>
  <c r="DA55" i="7" s="1"/>
  <c r="BS73" i="70"/>
  <c r="FB73" i="70" s="1"/>
  <c r="DA63" i="7" s="1"/>
  <c r="BS32" i="70"/>
  <c r="FB32" i="70" s="1"/>
  <c r="DA22" i="7" s="1"/>
  <c r="BS42" i="70"/>
  <c r="FB42" i="70" s="1"/>
  <c r="DA32" i="7" s="1"/>
  <c r="BS47" i="70"/>
  <c r="FB47" i="70" s="1"/>
  <c r="DA37" i="7" s="1"/>
  <c r="BS46" i="70"/>
  <c r="FB46" i="70" s="1"/>
  <c r="DA36" i="7" s="1"/>
  <c r="BS35" i="70"/>
  <c r="FB35" i="70" s="1"/>
  <c r="DA25" i="7" s="1"/>
  <c r="BS52" i="70"/>
  <c r="FB52" i="70" s="1"/>
  <c r="DA42" i="7" s="1"/>
  <c r="BS51" i="70"/>
  <c r="FB51" i="70" s="1"/>
  <c r="DA41" i="7" s="1"/>
  <c r="BS33" i="70"/>
  <c r="FB33" i="70" s="1"/>
  <c r="DA23" i="7" s="1"/>
  <c r="BS66" i="70"/>
  <c r="FB66" i="70" s="1"/>
  <c r="DA56" i="7" s="1"/>
  <c r="BS49" i="70"/>
  <c r="FB49" i="70" s="1"/>
  <c r="DA39" i="7" s="1"/>
  <c r="BS60" i="70"/>
  <c r="FB60" i="70" s="1"/>
  <c r="DA50" i="7" s="1"/>
  <c r="BS55" i="70"/>
  <c r="FB55" i="70" s="1"/>
  <c r="DA45" i="7" s="1"/>
  <c r="BS56" i="70"/>
  <c r="FB56" i="70" s="1"/>
  <c r="DA46" i="7" s="1"/>
  <c r="BS36" i="70"/>
  <c r="FB36" i="70" s="1"/>
  <c r="DA26" i="7" s="1"/>
  <c r="FB9" i="70"/>
  <c r="DA19" i="7" s="1"/>
  <c r="CU27" i="70"/>
  <c r="CU25" i="70"/>
  <c r="CU29" i="70"/>
  <c r="CU28" i="70"/>
  <c r="CU26" i="70"/>
  <c r="EZ109" i="70"/>
  <c r="CY99" i="7" s="1"/>
  <c r="DW65" i="56"/>
  <c r="DW56" i="56"/>
  <c r="DW54" i="56"/>
  <c r="DW31" i="56"/>
  <c r="DW46" i="56"/>
  <c r="DW41" i="56"/>
  <c r="DW39" i="56"/>
  <c r="DW69" i="56"/>
  <c r="DW36" i="56"/>
  <c r="DW64" i="56"/>
  <c r="DW38" i="56"/>
  <c r="DW59" i="56"/>
  <c r="DW40" i="56"/>
  <c r="DW72" i="56"/>
  <c r="DW57" i="56"/>
  <c r="DW73" i="56"/>
  <c r="DW62" i="56"/>
  <c r="DW55" i="56"/>
  <c r="DW67" i="56"/>
  <c r="DW47" i="56"/>
  <c r="DW48" i="56"/>
  <c r="DW37" i="56"/>
  <c r="DW61" i="56"/>
  <c r="DW50" i="56"/>
  <c r="DW30" i="56"/>
  <c r="DW49" i="56"/>
  <c r="DW34" i="56"/>
  <c r="DW68" i="56"/>
  <c r="DW44" i="56"/>
  <c r="DW33" i="56"/>
  <c r="DW63" i="56"/>
  <c r="DW58" i="56"/>
  <c r="DW71" i="56"/>
  <c r="DW32" i="56"/>
  <c r="DW52" i="56"/>
  <c r="DW42" i="56"/>
  <c r="DW70" i="56"/>
  <c r="DW51" i="56"/>
  <c r="DW60" i="56"/>
  <c r="DW43" i="56"/>
  <c r="DW45" i="56"/>
  <c r="DW35" i="56"/>
  <c r="DW53" i="56"/>
  <c r="DW74" i="56"/>
  <c r="DW66" i="56"/>
  <c r="EL87" i="56"/>
  <c r="BA77" i="7" s="1"/>
  <c r="GP41" i="56"/>
  <c r="CG31" i="7" s="1"/>
  <c r="EL41" i="56"/>
  <c r="BA31" i="7" s="1"/>
  <c r="FP21" i="56"/>
  <c r="FP59" i="57"/>
  <c r="AC49" i="7" s="1"/>
  <c r="GR59" i="57"/>
  <c r="AS49" i="7" s="1"/>
  <c r="FB59" i="57"/>
  <c r="U49" i="7" s="1"/>
  <c r="EN59" i="57"/>
  <c r="M49" i="7" s="1"/>
  <c r="CS56" i="57"/>
  <c r="FP56" i="57"/>
  <c r="AC46" i="7" s="1"/>
  <c r="GR56" i="57"/>
  <c r="AS46" i="7" s="1"/>
  <c r="EN56" i="57"/>
  <c r="M46" i="7" s="1"/>
  <c r="FM34" i="57"/>
  <c r="Z24" i="7" s="1"/>
  <c r="GO34" i="57"/>
  <c r="AP24" i="7" s="1"/>
  <c r="EN90" i="57"/>
  <c r="M80" i="7" s="1"/>
  <c r="EK46" i="57"/>
  <c r="J36" i="7" s="1"/>
  <c r="DG83" i="57"/>
  <c r="GO10" i="57"/>
  <c r="AP130" i="7" s="1"/>
  <c r="EY10" i="57"/>
  <c r="R130" i="7" s="1"/>
  <c r="EK10" i="57"/>
  <c r="J130" i="7" s="1"/>
  <c r="GO86" i="57"/>
  <c r="AP76" i="7" s="1"/>
  <c r="EY86" i="57"/>
  <c r="R76" i="7" s="1"/>
  <c r="FP1" i="70"/>
  <c r="DI13" i="7" s="1"/>
  <c r="DH13" i="7"/>
  <c r="EL44" i="57"/>
  <c r="K34" i="7" s="1"/>
  <c r="EY90" i="57"/>
  <c r="R80" i="7" s="1"/>
  <c r="EM9" i="70"/>
  <c r="CR19" i="7" s="1"/>
  <c r="EM63" i="70"/>
  <c r="CR53" i="7" s="1"/>
  <c r="EM57" i="70"/>
  <c r="CR47" i="7" s="1"/>
  <c r="EM65" i="70"/>
  <c r="CR55" i="7" s="1"/>
  <c r="EM48" i="70"/>
  <c r="CR38" i="7" s="1"/>
  <c r="EM32" i="70"/>
  <c r="CR22" i="7" s="1"/>
  <c r="EM54" i="70"/>
  <c r="CR44" i="7" s="1"/>
  <c r="EM52" i="70"/>
  <c r="CR42" i="7" s="1"/>
  <c r="EM68" i="70"/>
  <c r="CR58" i="7" s="1"/>
  <c r="EM42" i="70"/>
  <c r="CR32" i="7" s="1"/>
  <c r="EM60" i="70"/>
  <c r="CR50" i="7" s="1"/>
  <c r="EM49" i="70"/>
  <c r="CR39" i="7" s="1"/>
  <c r="GR71" i="70"/>
  <c r="DY61" i="7" s="1"/>
  <c r="EZ37" i="70"/>
  <c r="CY27" i="7" s="1"/>
  <c r="FA61" i="57"/>
  <c r="T51" i="7" s="1"/>
  <c r="EL40" i="57"/>
  <c r="K30" i="7" s="1"/>
  <c r="DT100" i="57"/>
  <c r="FM100" i="57" s="1"/>
  <c r="Z90" i="7" s="1"/>
  <c r="DT45" i="57"/>
  <c r="FM45" i="57" s="1"/>
  <c r="Z35" i="7" s="1"/>
  <c r="DT35" i="57"/>
  <c r="FM35" i="57" s="1"/>
  <c r="Z25" i="7" s="1"/>
  <c r="DT73" i="57"/>
  <c r="FM73" i="57" s="1"/>
  <c r="Z63" i="7" s="1"/>
  <c r="DT57" i="57"/>
  <c r="FM57" i="57" s="1"/>
  <c r="Z47" i="7" s="1"/>
  <c r="DT10" i="57"/>
  <c r="FM10" i="57" s="1"/>
  <c r="Z130" i="7" s="1"/>
  <c r="DT40" i="57"/>
  <c r="FM40" i="57" s="1"/>
  <c r="Z30" i="7" s="1"/>
  <c r="DT63" i="57"/>
  <c r="FM63" i="57" s="1"/>
  <c r="Z53" i="7" s="1"/>
  <c r="FO27" i="57"/>
  <c r="FP26" i="56"/>
  <c r="EM78" i="57"/>
  <c r="L68" i="7" s="1"/>
  <c r="FA56" i="57"/>
  <c r="T46" i="7" s="1"/>
  <c r="EY108" i="57"/>
  <c r="R98" i="7" s="1"/>
  <c r="EN83" i="70"/>
  <c r="CS73" i="7" s="1"/>
  <c r="FA64" i="57"/>
  <c r="T54" i="7" s="1"/>
  <c r="FB64" i="57"/>
  <c r="U54" i="7" s="1"/>
  <c r="FB66" i="57"/>
  <c r="U56" i="7" s="1"/>
  <c r="AQ28" i="70"/>
  <c r="FP28" i="70" s="1"/>
  <c r="AQ26" i="70"/>
  <c r="FP26" i="70" s="1"/>
  <c r="AQ29" i="70"/>
  <c r="FP29" i="70" s="1"/>
  <c r="AQ27" i="70"/>
  <c r="FP27" i="70" s="1"/>
  <c r="AQ25" i="70"/>
  <c r="FP25" i="70" s="1"/>
  <c r="CZ24" i="38" l="1"/>
  <c r="DE24" i="38" s="1"/>
  <c r="CW24" i="38"/>
  <c r="DB24" i="38" s="1"/>
  <c r="DA24" i="38"/>
  <c r="CX24" i="38"/>
  <c r="DC24" i="38" s="1"/>
  <c r="CY24" i="38"/>
  <c r="DD24" i="38" s="1"/>
  <c r="DB14" i="38"/>
  <c r="O24" i="38"/>
  <c r="CP14" i="38"/>
  <c r="AH42" i="4"/>
  <c r="AJ41" i="4"/>
  <c r="AG42" i="4"/>
  <c r="AI41" i="4"/>
  <c r="AX41" i="46" s="1"/>
  <c r="AH8" i="41"/>
  <c r="AH9" i="41" s="1"/>
  <c r="CJ2" i="41"/>
  <c r="CJ9" i="41" s="1"/>
  <c r="AI6" i="41"/>
  <c r="AI8" i="41" s="1"/>
  <c r="AI9" i="41" s="1"/>
  <c r="DI15" i="7"/>
  <c r="FF20" i="7"/>
  <c r="DH15" i="7"/>
  <c r="CK2" i="41"/>
  <c r="CK9" i="41" s="1"/>
  <c r="D10" i="46"/>
  <c r="F10" i="41" s="1"/>
  <c r="M79" i="10"/>
  <c r="K80" i="10"/>
  <c r="AT112" i="7"/>
  <c r="AN113" i="7"/>
  <c r="FP4" i="76"/>
  <c r="FP2" i="76" s="1"/>
  <c r="EY14" i="7" s="1"/>
  <c r="EY1" i="7"/>
  <c r="EQ150" i="7"/>
  <c r="EQ20" i="7"/>
  <c r="FO150" i="7"/>
  <c r="FO20" i="7"/>
  <c r="FG150" i="7"/>
  <c r="FG20" i="7"/>
  <c r="L80" i="10"/>
  <c r="EX150" i="7"/>
  <c r="EX20" i="7"/>
  <c r="GD4" i="76"/>
  <c r="GD2" i="76" s="1"/>
  <c r="FG14" i="7" s="1"/>
  <c r="FG1" i="7"/>
  <c r="EI20" i="7"/>
  <c r="EI150" i="7"/>
  <c r="EH150" i="7"/>
  <c r="EH20" i="7"/>
  <c r="FN150" i="7"/>
  <c r="FN20" i="7"/>
  <c r="EY150" i="7"/>
  <c r="EY20" i="7"/>
  <c r="M80" i="10"/>
  <c r="FS105" i="7"/>
  <c r="FY105" i="7" s="1"/>
  <c r="K79" i="10"/>
  <c r="FB4" i="76"/>
  <c r="FB2" i="76" s="1"/>
  <c r="EQ14" i="7" s="1"/>
  <c r="EQ1" i="7"/>
  <c r="EP150" i="7"/>
  <c r="EP20" i="7"/>
  <c r="L79" i="10"/>
  <c r="GR4" i="76"/>
  <c r="GR2" i="76" s="1"/>
  <c r="FO14" i="7" s="1"/>
  <c r="FO1" i="7"/>
  <c r="EN4" i="76"/>
  <c r="EN2" i="76" s="1"/>
  <c r="EI14" i="7" s="1"/>
  <c r="EI1" i="7"/>
  <c r="GA110" i="7"/>
  <c r="GG110" i="7" s="1"/>
  <c r="GI112" i="7"/>
  <c r="GO112" i="7" s="1"/>
  <c r="DA15" i="7"/>
  <c r="FA1" i="76"/>
  <c r="EO13" i="7"/>
  <c r="EO15" i="7" s="1"/>
  <c r="EM1" i="76"/>
  <c r="EG13" i="7"/>
  <c r="EG15" i="7" s="1"/>
  <c r="GC1" i="76"/>
  <c r="FE13" i="7"/>
  <c r="GQ1" i="76"/>
  <c r="FM13" i="7"/>
  <c r="FM15" i="7" s="1"/>
  <c r="FO1" i="76"/>
  <c r="EW13" i="7"/>
  <c r="EW15" i="7" s="1"/>
  <c r="CR14" i="7"/>
  <c r="CR15" i="7" s="1"/>
  <c r="DW14" i="7"/>
  <c r="DW15" i="7" s="1"/>
  <c r="CZ15" i="7"/>
  <c r="S20" i="45"/>
  <c r="I12" i="38"/>
  <c r="R20" i="45"/>
  <c r="D20" i="41"/>
  <c r="L19" i="41" s="1"/>
  <c r="H12" i="38"/>
  <c r="C20" i="41"/>
  <c r="K19" i="41" s="1"/>
  <c r="C22" i="41"/>
  <c r="AY54" i="38"/>
  <c r="AT26" i="38"/>
  <c r="AT65" i="38"/>
  <c r="AY90" i="38"/>
  <c r="AY69" i="38"/>
  <c r="AT31" i="38"/>
  <c r="AT78" i="38"/>
  <c r="AY87" i="38"/>
  <c r="CL8" i="41"/>
  <c r="CN8" i="41" s="1"/>
  <c r="AT102" i="38"/>
  <c r="AT81" i="38"/>
  <c r="AT97" i="38"/>
  <c r="AT72" i="38"/>
  <c r="AY21" i="38"/>
  <c r="AY97" i="38"/>
  <c r="AT34" i="38"/>
  <c r="AY72" i="38"/>
  <c r="S20" i="46"/>
  <c r="AT85" i="38"/>
  <c r="AY86" i="38"/>
  <c r="AT57" i="38"/>
  <c r="AT64" i="38"/>
  <c r="AY74" i="38"/>
  <c r="AT83" i="38"/>
  <c r="AY100" i="38"/>
  <c r="AY66" i="38"/>
  <c r="AT67" i="38"/>
  <c r="AY85" i="38"/>
  <c r="AT23" i="38"/>
  <c r="AT58" i="38"/>
  <c r="AT84" i="38"/>
  <c r="AT24" i="38"/>
  <c r="AT40" i="38"/>
  <c r="AT73" i="38"/>
  <c r="AT75" i="38"/>
  <c r="AT70" i="38"/>
  <c r="AY61" i="38"/>
  <c r="AT96" i="38"/>
  <c r="AT63" i="38"/>
  <c r="AT37" i="38"/>
  <c r="AT66" i="38"/>
  <c r="AY60" i="38"/>
  <c r="AY52" i="38"/>
  <c r="AT98" i="38"/>
  <c r="AT33" i="38"/>
  <c r="AT53" i="38"/>
  <c r="AY83" i="38"/>
  <c r="AY65" i="38"/>
  <c r="AT32" i="38"/>
  <c r="AY84" i="38"/>
  <c r="AY59" i="38"/>
  <c r="AY89" i="38"/>
  <c r="AY68" i="38"/>
  <c r="AT86" i="38"/>
  <c r="AT69" i="38"/>
  <c r="AT90" i="38"/>
  <c r="AY55" i="38"/>
  <c r="AT50" i="38"/>
  <c r="AT55" i="38"/>
  <c r="AT100" i="38"/>
  <c r="AT35" i="38"/>
  <c r="AY58" i="38"/>
  <c r="AY94" i="38"/>
  <c r="AT52" i="38"/>
  <c r="AT25" i="38"/>
  <c r="AT46" i="38"/>
  <c r="AY92" i="38"/>
  <c r="AY95" i="38"/>
  <c r="AT71" i="38"/>
  <c r="AT42" i="38"/>
  <c r="AT101" i="38"/>
  <c r="AT74" i="38"/>
  <c r="AT99" i="38"/>
  <c r="AT91" i="38"/>
  <c r="AT27" i="38"/>
  <c r="AT36" i="38"/>
  <c r="AT87" i="38"/>
  <c r="AY80" i="38"/>
  <c r="AY56" i="38"/>
  <c r="AY78" i="38"/>
  <c r="AT30" i="38"/>
  <c r="AT68" i="38"/>
  <c r="AT77" i="38"/>
  <c r="AT60" i="38"/>
  <c r="AT22" i="38"/>
  <c r="AT49" i="38"/>
  <c r="AT28" i="38"/>
  <c r="AY73" i="38"/>
  <c r="AY63" i="38"/>
  <c r="AY79" i="38"/>
  <c r="AY22" i="38"/>
  <c r="AT89" i="38"/>
  <c r="AT21" i="38"/>
  <c r="AT94" i="38"/>
  <c r="AT82" i="38"/>
  <c r="AT95" i="38"/>
  <c r="AT41" i="38"/>
  <c r="AY91" i="38"/>
  <c r="AY77" i="38"/>
  <c r="AY76" i="38"/>
  <c r="AY57" i="38"/>
  <c r="AY75" i="38"/>
  <c r="AY62" i="38"/>
  <c r="AY64" i="38"/>
  <c r="AT20" i="38"/>
  <c r="AT43" i="38"/>
  <c r="AT79" i="38"/>
  <c r="AT56" i="38"/>
  <c r="AT80" i="38"/>
  <c r="AY99" i="38"/>
  <c r="AY88" i="38"/>
  <c r="AY98" i="38"/>
  <c r="AT51" i="38"/>
  <c r="AT29" i="38"/>
  <c r="AT54" i="38"/>
  <c r="AT93" i="38"/>
  <c r="AT92" i="38"/>
  <c r="AT76" i="38"/>
  <c r="AT61" i="38"/>
  <c r="AY93" i="38"/>
  <c r="AY51" i="38"/>
  <c r="AY70" i="38"/>
  <c r="AT59" i="38"/>
  <c r="AT39" i="38"/>
  <c r="AT44" i="38"/>
  <c r="AT47" i="38"/>
  <c r="AT45" i="38"/>
  <c r="AT62" i="38"/>
  <c r="AT38" i="38"/>
  <c r="AY53" i="38"/>
  <c r="AT48" i="38"/>
  <c r="AY96" i="38"/>
  <c r="AY82" i="38"/>
  <c r="AY81" i="38"/>
  <c r="AY67" i="38"/>
  <c r="AS36" i="38"/>
  <c r="AX96" i="38"/>
  <c r="E4" i="41"/>
  <c r="CJ4" i="41" s="1"/>
  <c r="H12" i="45"/>
  <c r="I12" i="45"/>
  <c r="AT53" i="45"/>
  <c r="AT37" i="45"/>
  <c r="AT91" i="45"/>
  <c r="AT67" i="45"/>
  <c r="AT20" i="45"/>
  <c r="AT38" i="45"/>
  <c r="AT92" i="45"/>
  <c r="AT99" i="45"/>
  <c r="AT94" i="45"/>
  <c r="AT85" i="45"/>
  <c r="AT52" i="45"/>
  <c r="AT72" i="45"/>
  <c r="AT68" i="45"/>
  <c r="AT101" i="45"/>
  <c r="AT73" i="45"/>
  <c r="AT63" i="45"/>
  <c r="AT100" i="45"/>
  <c r="AT45" i="45"/>
  <c r="AT35" i="45"/>
  <c r="AT44" i="45"/>
  <c r="AT75" i="45"/>
  <c r="AT89" i="45"/>
  <c r="AT59" i="45"/>
  <c r="AT60" i="45"/>
  <c r="AT88" i="45"/>
  <c r="AT34" i="45"/>
  <c r="AT28" i="45"/>
  <c r="AT47" i="45"/>
  <c r="AT27" i="45"/>
  <c r="AT61" i="45"/>
  <c r="AT39" i="45"/>
  <c r="AT76" i="45"/>
  <c r="AT64" i="45"/>
  <c r="AT97" i="45"/>
  <c r="AT65" i="45"/>
  <c r="AT93" i="45"/>
  <c r="AT56" i="45"/>
  <c r="AT51" i="45"/>
  <c r="AT98" i="45"/>
  <c r="AT36" i="45"/>
  <c r="AT58" i="45"/>
  <c r="AT96" i="45"/>
  <c r="AT80" i="45"/>
  <c r="AT21" i="45"/>
  <c r="AT90" i="45"/>
  <c r="CQ14" i="38"/>
  <c r="AT43" i="45"/>
  <c r="AT24" i="45"/>
  <c r="AT82" i="45"/>
  <c r="AT81" i="45"/>
  <c r="AT41" i="45"/>
  <c r="AT102" i="45"/>
  <c r="AT62" i="45"/>
  <c r="AT84" i="45"/>
  <c r="AT30" i="45"/>
  <c r="AT66" i="45"/>
  <c r="AT78" i="45"/>
  <c r="AT77" i="45"/>
  <c r="AT32" i="45"/>
  <c r="AT50" i="45"/>
  <c r="AT83" i="45"/>
  <c r="AT70" i="45"/>
  <c r="AS28" i="45"/>
  <c r="AU28" i="45" s="1"/>
  <c r="AY97" i="45"/>
  <c r="AY77" i="45"/>
  <c r="AS101" i="45"/>
  <c r="AU101" i="45" s="1"/>
  <c r="AY25" i="46"/>
  <c r="AT54" i="45"/>
  <c r="AT71" i="45"/>
  <c r="AT79" i="45"/>
  <c r="AT55" i="45"/>
  <c r="AT57" i="45"/>
  <c r="AT49" i="45"/>
  <c r="AT86" i="45"/>
  <c r="AT42" i="45"/>
  <c r="AT26" i="45"/>
  <c r="AT95" i="45"/>
  <c r="AT40" i="45"/>
  <c r="AT48" i="45"/>
  <c r="AT25" i="45"/>
  <c r="AT46" i="45"/>
  <c r="AT87" i="45"/>
  <c r="AT69" i="45"/>
  <c r="AT23" i="45"/>
  <c r="AT22" i="45"/>
  <c r="AT33" i="45"/>
  <c r="AT31" i="45"/>
  <c r="AT29" i="45"/>
  <c r="AS70" i="38"/>
  <c r="G2" i="41"/>
  <c r="K2" i="41" s="1"/>
  <c r="AS99" i="45"/>
  <c r="AS94" i="45"/>
  <c r="AS76" i="45"/>
  <c r="AS22" i="45"/>
  <c r="AS88" i="45"/>
  <c r="AS72" i="45"/>
  <c r="AU72" i="45" s="1"/>
  <c r="AS20" i="45"/>
  <c r="AS69" i="45"/>
  <c r="AS56" i="45"/>
  <c r="AS67" i="45"/>
  <c r="AS102" i="45"/>
  <c r="AS51" i="45"/>
  <c r="AU51" i="45" s="1"/>
  <c r="AS65" i="45"/>
  <c r="AS66" i="45"/>
  <c r="AU66" i="45" s="1"/>
  <c r="AS80" i="45"/>
  <c r="AS55" i="45"/>
  <c r="AS86" i="45"/>
  <c r="AS73" i="45"/>
  <c r="AS89" i="45"/>
  <c r="AS62" i="45"/>
  <c r="AS50" i="45"/>
  <c r="AS100" i="45"/>
  <c r="AS70" i="45"/>
  <c r="AS81" i="45"/>
  <c r="AU81" i="45" s="1"/>
  <c r="AS75" i="45"/>
  <c r="AS29" i="45"/>
  <c r="AU29" i="45" s="1"/>
  <c r="AS57" i="45"/>
  <c r="AS39" i="45"/>
  <c r="AS84" i="45"/>
  <c r="AS27" i="45"/>
  <c r="AS42" i="45"/>
  <c r="AS77" i="45"/>
  <c r="AU77" i="45" s="1"/>
  <c r="AS34" i="45"/>
  <c r="AS59" i="45"/>
  <c r="AS30" i="45"/>
  <c r="AS71" i="45"/>
  <c r="AS95" i="45"/>
  <c r="AS38" i="45"/>
  <c r="AS91" i="45"/>
  <c r="AS44" i="45"/>
  <c r="AS52" i="45"/>
  <c r="AS92" i="45"/>
  <c r="AS35" i="45"/>
  <c r="AS85" i="45"/>
  <c r="AU85" i="45" s="1"/>
  <c r="AS90" i="45"/>
  <c r="AS74" i="45"/>
  <c r="AU74" i="45" s="1"/>
  <c r="AS46" i="45"/>
  <c r="AU46" i="45" s="1"/>
  <c r="AS49" i="45"/>
  <c r="AS48" i="45"/>
  <c r="AU48" i="45" s="1"/>
  <c r="AS68" i="45"/>
  <c r="AS64" i="45"/>
  <c r="AU64" i="45" s="1"/>
  <c r="AS26" i="45"/>
  <c r="AS93" i="45"/>
  <c r="AS32" i="45"/>
  <c r="AS41" i="45"/>
  <c r="AS53" i="45"/>
  <c r="AS47" i="45"/>
  <c r="AS96" i="45"/>
  <c r="AS83" i="45"/>
  <c r="AU83" i="45" s="1"/>
  <c r="AS45" i="45"/>
  <c r="AU45" i="45" s="1"/>
  <c r="AY68" i="45"/>
  <c r="AS40" i="45"/>
  <c r="AS37" i="45"/>
  <c r="AS61" i="45"/>
  <c r="AS60" i="45"/>
  <c r="AS23" i="45"/>
  <c r="AS98" i="45"/>
  <c r="AS21" i="45"/>
  <c r="AS58" i="45"/>
  <c r="AS97" i="45"/>
  <c r="AS79" i="45"/>
  <c r="AS31" i="45"/>
  <c r="AS36" i="45"/>
  <c r="AS25" i="45"/>
  <c r="AS54" i="45"/>
  <c r="AS63" i="45"/>
  <c r="AS82" i="45"/>
  <c r="AS43" i="45"/>
  <c r="AS24" i="45"/>
  <c r="AS33" i="45"/>
  <c r="AS78" i="45"/>
  <c r="AS87" i="45"/>
  <c r="AY58" i="45"/>
  <c r="U1" i="41"/>
  <c r="AX27" i="46"/>
  <c r="AY81" i="45"/>
  <c r="AY93" i="45"/>
  <c r="AY63" i="45"/>
  <c r="AY21" i="45"/>
  <c r="AY80" i="45"/>
  <c r="AX36" i="46"/>
  <c r="AS31" i="38"/>
  <c r="AY83" i="45"/>
  <c r="AY98" i="45"/>
  <c r="AY72" i="45"/>
  <c r="AY52" i="45"/>
  <c r="AY78" i="45"/>
  <c r="AT91" i="46"/>
  <c r="AT100" i="46"/>
  <c r="AX75" i="45"/>
  <c r="AX94" i="45"/>
  <c r="AX58" i="45"/>
  <c r="AT50" i="46"/>
  <c r="AT79" i="46"/>
  <c r="AX81" i="45"/>
  <c r="AX100" i="45"/>
  <c r="AX89" i="45"/>
  <c r="AY89" i="45"/>
  <c r="AY100" i="45"/>
  <c r="AY22" i="45"/>
  <c r="AY90" i="45"/>
  <c r="AY75" i="45"/>
  <c r="AY67" i="45"/>
  <c r="AY53" i="45"/>
  <c r="AY88" i="45"/>
  <c r="AY56" i="45"/>
  <c r="AY64" i="45"/>
  <c r="AY71" i="45"/>
  <c r="AY70" i="45"/>
  <c r="AY76" i="45"/>
  <c r="AY55" i="45"/>
  <c r="AY62" i="45"/>
  <c r="AY60" i="45"/>
  <c r="AY87" i="45"/>
  <c r="AY69" i="45"/>
  <c r="AY84" i="45"/>
  <c r="AY82" i="45"/>
  <c r="AY74" i="45"/>
  <c r="AX23" i="46"/>
  <c r="AX25" i="46"/>
  <c r="AY65" i="45"/>
  <c r="AY79" i="45"/>
  <c r="AY54" i="45"/>
  <c r="AY51" i="45"/>
  <c r="AY61" i="45"/>
  <c r="AY86" i="45"/>
  <c r="AY91" i="45"/>
  <c r="AY94" i="45"/>
  <c r="AY27" i="46"/>
  <c r="AY57" i="45"/>
  <c r="AY85" i="45"/>
  <c r="AY96" i="45"/>
  <c r="AY59" i="45"/>
  <c r="AY99" i="45"/>
  <c r="AY66" i="45"/>
  <c r="AT35" i="46"/>
  <c r="AY92" i="45"/>
  <c r="AY73" i="45"/>
  <c r="AX61" i="45"/>
  <c r="AX96" i="45"/>
  <c r="AX77" i="45"/>
  <c r="AX87" i="45"/>
  <c r="AX76" i="45"/>
  <c r="AX88" i="45"/>
  <c r="AX79" i="45"/>
  <c r="S22" i="45"/>
  <c r="AX63" i="45"/>
  <c r="AX74" i="45"/>
  <c r="AX54" i="45"/>
  <c r="AX56" i="45"/>
  <c r="AX67" i="45"/>
  <c r="AX97" i="45"/>
  <c r="AX78" i="45"/>
  <c r="AX71" i="45"/>
  <c r="CN6" i="41"/>
  <c r="AX93" i="45"/>
  <c r="AT39" i="46"/>
  <c r="AT69" i="46"/>
  <c r="AT33" i="46"/>
  <c r="AT38" i="46"/>
  <c r="AS80" i="46"/>
  <c r="AX82" i="45"/>
  <c r="AX52" i="45"/>
  <c r="AX55" i="45"/>
  <c r="AX91" i="45"/>
  <c r="AX98" i="45"/>
  <c r="AT53" i="46"/>
  <c r="AT27" i="46"/>
  <c r="S21" i="45"/>
  <c r="AY29" i="46"/>
  <c r="AX21" i="46"/>
  <c r="AX30" i="46"/>
  <c r="AX22" i="46"/>
  <c r="AX32" i="46"/>
  <c r="AS50" i="46"/>
  <c r="H5" i="41"/>
  <c r="N5" i="41" s="1"/>
  <c r="S5" i="41" s="1"/>
  <c r="AX38" i="46"/>
  <c r="AX62" i="45"/>
  <c r="AS68" i="46"/>
  <c r="AS20" i="46"/>
  <c r="EM23" i="38"/>
  <c r="CE23" i="41" s="1"/>
  <c r="AX92" i="45"/>
  <c r="AX84" i="45"/>
  <c r="AX90" i="45"/>
  <c r="AX80" i="45"/>
  <c r="AX73" i="45"/>
  <c r="AX53" i="45"/>
  <c r="AX51" i="45"/>
  <c r="AX85" i="45"/>
  <c r="AX69" i="45"/>
  <c r="AX57" i="45"/>
  <c r="AX65" i="45"/>
  <c r="AZ65" i="45" s="1"/>
  <c r="AX95" i="45"/>
  <c r="AZ95" i="45" s="1"/>
  <c r="AX85" i="38"/>
  <c r="AS94" i="38"/>
  <c r="AS29" i="46"/>
  <c r="AS22" i="38"/>
  <c r="AT26" i="46"/>
  <c r="AT22" i="46"/>
  <c r="AY34" i="46"/>
  <c r="AT77" i="46"/>
  <c r="AT101" i="46"/>
  <c r="AT60" i="46"/>
  <c r="AY37" i="46"/>
  <c r="AS90" i="46"/>
  <c r="AX72" i="45"/>
  <c r="AX86" i="45"/>
  <c r="AX99" i="45"/>
  <c r="AX70" i="45"/>
  <c r="AX60" i="45"/>
  <c r="AX59" i="45"/>
  <c r="AX64" i="45"/>
  <c r="AX21" i="45"/>
  <c r="AZ21" i="45" s="1"/>
  <c r="AX68" i="45"/>
  <c r="AX22" i="45"/>
  <c r="AX66" i="45"/>
  <c r="AS50" i="38"/>
  <c r="AX83" i="45"/>
  <c r="AT83" i="46"/>
  <c r="AT96" i="46"/>
  <c r="AY24" i="46"/>
  <c r="AT97" i="46"/>
  <c r="CM3" i="41"/>
  <c r="AX71" i="38"/>
  <c r="AZ71" i="38" s="1"/>
  <c r="AX60" i="38"/>
  <c r="AS100" i="46"/>
  <c r="AX86" i="38"/>
  <c r="AS97" i="46"/>
  <c r="AX59" i="38"/>
  <c r="AS25" i="46"/>
  <c r="AS39" i="46"/>
  <c r="AT94" i="46"/>
  <c r="AT29" i="46"/>
  <c r="AY23" i="46"/>
  <c r="AY35" i="46"/>
  <c r="AT58" i="46"/>
  <c r="AT87" i="46"/>
  <c r="AT68" i="46"/>
  <c r="AT42" i="46"/>
  <c r="AT88" i="46"/>
  <c r="AT41" i="46"/>
  <c r="AT76" i="46"/>
  <c r="AT20" i="46"/>
  <c r="AS32" i="46"/>
  <c r="AX61" i="38"/>
  <c r="AS53" i="46"/>
  <c r="AS55" i="46"/>
  <c r="AS35" i="46"/>
  <c r="AT82" i="46"/>
  <c r="AT92" i="46"/>
  <c r="AY31" i="46"/>
  <c r="AY38" i="46"/>
  <c r="AT36" i="46"/>
  <c r="AT57" i="46"/>
  <c r="AT75" i="46"/>
  <c r="AT32" i="46"/>
  <c r="AT44" i="46"/>
  <c r="AT78" i="46"/>
  <c r="AT90" i="46"/>
  <c r="AT98" i="46"/>
  <c r="AX40" i="46"/>
  <c r="AX31" i="46"/>
  <c r="AX35" i="46"/>
  <c r="AX39" i="46"/>
  <c r="AZ39" i="46" s="1"/>
  <c r="AX29" i="46"/>
  <c r="AX34" i="46"/>
  <c r="AX33" i="46"/>
  <c r="AS71" i="46"/>
  <c r="AS88" i="46"/>
  <c r="AS61" i="46"/>
  <c r="AS93" i="46"/>
  <c r="AS64" i="46"/>
  <c r="AX28" i="46"/>
  <c r="AX37" i="46"/>
  <c r="AX24" i="46"/>
  <c r="AX26" i="46"/>
  <c r="AS102" i="46"/>
  <c r="AS99" i="46"/>
  <c r="AS37" i="46"/>
  <c r="AS34" i="46"/>
  <c r="AS87" i="46"/>
  <c r="AS22" i="46"/>
  <c r="AS57" i="46"/>
  <c r="AS43" i="46"/>
  <c r="AS52" i="46"/>
  <c r="AS70" i="46"/>
  <c r="AS23" i="46"/>
  <c r="AS54" i="46"/>
  <c r="AS79" i="46"/>
  <c r="S21" i="46"/>
  <c r="AX87" i="38"/>
  <c r="AX64" i="38"/>
  <c r="AS60" i="46"/>
  <c r="AS73" i="46"/>
  <c r="AS31" i="46"/>
  <c r="AS26" i="46"/>
  <c r="AS77" i="46"/>
  <c r="AS59" i="46"/>
  <c r="AS21" i="46"/>
  <c r="AS33" i="46"/>
  <c r="AS81" i="46"/>
  <c r="AS49" i="46"/>
  <c r="AX83" i="38"/>
  <c r="AX52" i="38"/>
  <c r="AS85" i="46"/>
  <c r="AS42" i="46"/>
  <c r="AS58" i="46"/>
  <c r="AS30" i="46"/>
  <c r="AU30" i="46" s="1"/>
  <c r="AS95" i="46"/>
  <c r="AS91" i="46"/>
  <c r="AS96" i="46"/>
  <c r="AS101" i="46"/>
  <c r="AS65" i="46"/>
  <c r="AS75" i="46"/>
  <c r="AS63" i="46"/>
  <c r="BR20" i="38"/>
  <c r="BH20" i="41" s="1"/>
  <c r="AS40" i="46"/>
  <c r="AS51" i="46"/>
  <c r="AS47" i="46"/>
  <c r="AS46" i="46"/>
  <c r="AS92" i="46"/>
  <c r="AS78" i="46"/>
  <c r="AS82" i="46"/>
  <c r="AS27" i="46"/>
  <c r="AS83" i="46"/>
  <c r="AS69" i="46"/>
  <c r="AS86" i="46"/>
  <c r="AX99" i="38"/>
  <c r="AX67" i="38"/>
  <c r="AS41" i="46"/>
  <c r="AS74" i="46"/>
  <c r="AS36" i="46"/>
  <c r="AS98" i="46"/>
  <c r="AS76" i="46"/>
  <c r="AS48" i="46"/>
  <c r="AS94" i="46"/>
  <c r="AS66" i="46"/>
  <c r="AS24" i="46"/>
  <c r="AS72" i="46"/>
  <c r="AS44" i="46"/>
  <c r="AS45" i="46"/>
  <c r="AS67" i="46"/>
  <c r="AS84" i="46"/>
  <c r="AS38" i="46"/>
  <c r="AS28" i="46"/>
  <c r="AS89" i="46"/>
  <c r="AS56" i="46"/>
  <c r="AS62" i="46"/>
  <c r="EL14" i="38"/>
  <c r="EM14" i="38" s="1"/>
  <c r="CE18" i="41" s="1"/>
  <c r="EH7" i="38"/>
  <c r="EM7" i="38" s="1"/>
  <c r="AT95" i="46"/>
  <c r="AT40" i="46"/>
  <c r="AT84" i="46"/>
  <c r="AT65" i="46"/>
  <c r="AT89" i="46"/>
  <c r="AY30" i="46"/>
  <c r="AY33" i="46"/>
  <c r="AY32" i="46"/>
  <c r="AT24" i="46"/>
  <c r="AT62" i="46"/>
  <c r="AT64" i="46"/>
  <c r="AT66" i="46"/>
  <c r="AT86" i="46"/>
  <c r="AT34" i="46"/>
  <c r="AT49" i="46"/>
  <c r="AT56" i="46"/>
  <c r="AT23" i="46"/>
  <c r="AT54" i="46"/>
  <c r="AT102" i="46"/>
  <c r="AT51" i="46"/>
  <c r="AT93" i="46"/>
  <c r="AY28" i="46"/>
  <c r="AT74" i="46"/>
  <c r="AT45" i="46"/>
  <c r="AT28" i="46"/>
  <c r="AT63" i="46"/>
  <c r="AT70" i="46"/>
  <c r="AT72" i="46"/>
  <c r="AT80" i="46"/>
  <c r="AT71" i="46"/>
  <c r="AT61" i="46"/>
  <c r="AT81" i="46"/>
  <c r="AY40" i="46"/>
  <c r="AY26" i="46"/>
  <c r="AY41" i="46"/>
  <c r="AY36" i="46"/>
  <c r="AT25" i="46"/>
  <c r="AT43" i="46"/>
  <c r="AT55" i="46"/>
  <c r="AT99" i="46"/>
  <c r="AT85" i="46"/>
  <c r="AY22" i="46"/>
  <c r="AT59" i="46"/>
  <c r="AT67" i="46"/>
  <c r="AT52" i="46"/>
  <c r="AT73" i="46"/>
  <c r="AT48" i="46"/>
  <c r="AT31" i="46"/>
  <c r="AT47" i="46"/>
  <c r="AT46" i="46"/>
  <c r="AT37" i="46"/>
  <c r="AT21" i="46"/>
  <c r="AY21" i="46"/>
  <c r="DW7" i="38"/>
  <c r="DY12" i="38"/>
  <c r="EN14" i="38" s="1"/>
  <c r="CF18" i="41" s="1"/>
  <c r="O6" i="41"/>
  <c r="T6" i="41" s="1"/>
  <c r="AX68" i="38"/>
  <c r="AX79" i="38"/>
  <c r="AX94" i="38"/>
  <c r="AX82" i="38"/>
  <c r="AX73" i="38"/>
  <c r="AX69" i="38"/>
  <c r="AX51" i="38"/>
  <c r="AX74" i="38"/>
  <c r="AX100" i="38"/>
  <c r="AX57" i="38"/>
  <c r="AX72" i="38"/>
  <c r="AX70" i="38"/>
  <c r="BW20" i="38"/>
  <c r="BR21" i="38" s="1"/>
  <c r="BH21" i="41" s="1"/>
  <c r="BT20" i="38"/>
  <c r="BG20" i="41" s="1"/>
  <c r="CN7" i="38"/>
  <c r="AS42" i="38"/>
  <c r="AS89" i="38"/>
  <c r="AS68" i="38"/>
  <c r="AS32" i="38"/>
  <c r="EN20" i="38"/>
  <c r="AS33" i="38"/>
  <c r="CK5" i="41"/>
  <c r="CL5" i="41" s="1"/>
  <c r="CM5" i="41" s="1"/>
  <c r="AS99" i="38"/>
  <c r="AS96" i="38"/>
  <c r="AS62" i="38"/>
  <c r="AS46" i="38"/>
  <c r="AS90" i="38"/>
  <c r="AS40" i="38"/>
  <c r="AS97" i="38"/>
  <c r="AS88" i="38"/>
  <c r="AU88" i="38" s="1"/>
  <c r="AS82" i="38"/>
  <c r="AS38" i="38"/>
  <c r="AS65" i="38"/>
  <c r="AS60" i="38"/>
  <c r="AS72" i="38"/>
  <c r="AS92" i="38"/>
  <c r="CN7" i="41"/>
  <c r="AS57" i="38"/>
  <c r="AS95" i="38"/>
  <c r="AS44" i="38"/>
  <c r="AS21" i="38"/>
  <c r="AS53" i="38"/>
  <c r="AS63" i="38"/>
  <c r="AS45" i="38"/>
  <c r="EL23" i="38"/>
  <c r="CF23" i="41" s="1"/>
  <c r="S20" i="38"/>
  <c r="EN22" i="38"/>
  <c r="AS75" i="38"/>
  <c r="AS41" i="38"/>
  <c r="AS56" i="38"/>
  <c r="AS34" i="38"/>
  <c r="AS100" i="38"/>
  <c r="AS67" i="38"/>
  <c r="AS27" i="38"/>
  <c r="AS80" i="38"/>
  <c r="AS28" i="38"/>
  <c r="AS26" i="38"/>
  <c r="AS54" i="38"/>
  <c r="AS39" i="38"/>
  <c r="AS73" i="38"/>
  <c r="AS102" i="38"/>
  <c r="AS98" i="38"/>
  <c r="AS71" i="38"/>
  <c r="AS59" i="38"/>
  <c r="AS64" i="38"/>
  <c r="AS101" i="38"/>
  <c r="AS23" i="38"/>
  <c r="AS29" i="38"/>
  <c r="AS43" i="38"/>
  <c r="AS79" i="38"/>
  <c r="AS91" i="38"/>
  <c r="AS78" i="38"/>
  <c r="AS47" i="38"/>
  <c r="AS55" i="38"/>
  <c r="AS24" i="38"/>
  <c r="AS51" i="38"/>
  <c r="AS25" i="38"/>
  <c r="AS35" i="38"/>
  <c r="AS48" i="38"/>
  <c r="CB14" i="38"/>
  <c r="EN23" i="38"/>
  <c r="CK4" i="41"/>
  <c r="AS69" i="38"/>
  <c r="AS81" i="38"/>
  <c r="AS87" i="38"/>
  <c r="AS85" i="38"/>
  <c r="AS58" i="38"/>
  <c r="AS84" i="38"/>
  <c r="AS66" i="38"/>
  <c r="AS52" i="38"/>
  <c r="AS30" i="38"/>
  <c r="AS93" i="38"/>
  <c r="AS83" i="38"/>
  <c r="AS74" i="38"/>
  <c r="AS61" i="38"/>
  <c r="AS77" i="38"/>
  <c r="AS49" i="38"/>
  <c r="AS37" i="38"/>
  <c r="AS76" i="38"/>
  <c r="AS86" i="38"/>
  <c r="AS20" i="38"/>
  <c r="CJ14" i="38"/>
  <c r="CK14" i="38"/>
  <c r="EM22" i="38"/>
  <c r="CE22" i="41" s="1"/>
  <c r="EL20" i="38"/>
  <c r="CF20" i="41" s="1"/>
  <c r="EL21" i="38"/>
  <c r="CF21" i="41" s="1"/>
  <c r="EN21" i="38"/>
  <c r="BT7" i="38"/>
  <c r="BT14" i="38" s="1"/>
  <c r="BW14" i="38" s="1"/>
  <c r="CC14" i="38"/>
  <c r="Z122" i="41"/>
  <c r="AD122" i="41" s="1"/>
  <c r="EL22" i="38"/>
  <c r="CF22" i="41" s="1"/>
  <c r="S21" i="38"/>
  <c r="EM20" i="38"/>
  <c r="CE20" i="41" s="1"/>
  <c r="EM21" i="38"/>
  <c r="CE21" i="41" s="1"/>
  <c r="CD14" i="38"/>
  <c r="CH14" i="38"/>
  <c r="AT3" i="41"/>
  <c r="AU3" i="41" s="1"/>
  <c r="AT15" i="41" s="1"/>
  <c r="N6" i="41"/>
  <c r="S6" i="41" s="1"/>
  <c r="G8" i="41"/>
  <c r="H8" i="41" s="1"/>
  <c r="N8" i="41" s="1"/>
  <c r="S8" i="41" s="1"/>
  <c r="I6" i="41"/>
  <c r="AX88" i="38"/>
  <c r="AX93" i="38"/>
  <c r="AX95" i="38"/>
  <c r="AX98" i="38"/>
  <c r="AX92" i="38"/>
  <c r="AX84" i="38"/>
  <c r="AX91" i="38"/>
  <c r="AX53" i="38"/>
  <c r="O7" i="41"/>
  <c r="T7" i="41" s="1"/>
  <c r="AX55" i="38"/>
  <c r="AX78" i="38"/>
  <c r="AX77" i="38"/>
  <c r="AX54" i="38"/>
  <c r="AX21" i="38"/>
  <c r="AX80" i="38"/>
  <c r="AX20" i="38"/>
  <c r="AX62" i="38"/>
  <c r="AX65" i="38"/>
  <c r="AX97" i="38"/>
  <c r="AX89" i="38"/>
  <c r="AX22" i="38"/>
  <c r="AX63" i="38"/>
  <c r="AX81" i="38"/>
  <c r="AX75" i="38"/>
  <c r="N7" i="41"/>
  <c r="S7" i="41" s="1"/>
  <c r="AX66" i="38"/>
  <c r="AX90" i="38"/>
  <c r="AX58" i="38"/>
  <c r="AX56" i="38"/>
  <c r="AX76" i="38"/>
  <c r="P7" i="41"/>
  <c r="U7" i="41" s="1"/>
  <c r="S22" i="38"/>
  <c r="S22" i="46"/>
  <c r="AX20" i="45"/>
  <c r="AY20" i="38"/>
  <c r="AY20" i="45"/>
  <c r="FJ6" i="76"/>
  <c r="AL6" i="76"/>
  <c r="EH6" i="76"/>
  <c r="J6" i="76"/>
  <c r="EV6" i="76"/>
  <c r="X6" i="76"/>
  <c r="H1" i="41"/>
  <c r="I1" i="41" s="1"/>
  <c r="G3" i="41"/>
  <c r="H3" i="41" s="1"/>
  <c r="I3" i="41" s="1"/>
  <c r="G9" i="41"/>
  <c r="H9" i="41" s="1"/>
  <c r="CQ6" i="76"/>
  <c r="FY6" i="76"/>
  <c r="GL6" i="76"/>
  <c r="AZ6" i="76"/>
  <c r="AY20" i="46"/>
  <c r="AX20" i="46"/>
  <c r="EM24" i="38"/>
  <c r="CE24" i="41" s="1"/>
  <c r="FN24" i="38"/>
  <c r="CW24" i="41" s="1"/>
  <c r="EN24" i="38"/>
  <c r="BQ24" i="38"/>
  <c r="EL24" i="38"/>
  <c r="CF24" i="41" s="1"/>
  <c r="AY23" i="38"/>
  <c r="AX23" i="38"/>
  <c r="E23" i="41"/>
  <c r="S23" i="46"/>
  <c r="AY23" i="45"/>
  <c r="AX23" i="45"/>
  <c r="A25" i="45"/>
  <c r="O25" i="45" s="1"/>
  <c r="A25" i="4"/>
  <c r="A25" i="7"/>
  <c r="A26" i="55"/>
  <c r="A25" i="38"/>
  <c r="CV25" i="38" s="1"/>
  <c r="A25" i="46"/>
  <c r="O25" i="46" s="1"/>
  <c r="A25" i="41"/>
  <c r="A25" i="6"/>
  <c r="FK24" i="45"/>
  <c r="FX24" i="45" s="1"/>
  <c r="FU23" i="45"/>
  <c r="FT23" i="45"/>
  <c r="FV23" i="45"/>
  <c r="FW23" i="45"/>
  <c r="FK24" i="46"/>
  <c r="S23" i="45"/>
  <c r="D23" i="41"/>
  <c r="C23" i="41"/>
  <c r="S23" i="38"/>
  <c r="GO33" i="57"/>
  <c r="AP23" i="7" s="1"/>
  <c r="EY33" i="57"/>
  <c r="R23" i="7" s="1"/>
  <c r="GP43" i="57"/>
  <c r="AQ33" i="7" s="1"/>
  <c r="EZ43" i="57"/>
  <c r="S33" i="7" s="1"/>
  <c r="GB6" i="56"/>
  <c r="DO6" i="7" s="1"/>
  <c r="FN6" i="56"/>
  <c r="DG6" i="7" s="1"/>
  <c r="CT6" i="56"/>
  <c r="EK33" i="57"/>
  <c r="J23" i="7" s="1"/>
  <c r="EY36" i="57"/>
  <c r="R26" i="7" s="1"/>
  <c r="GO30" i="57"/>
  <c r="AP20" i="7" s="1"/>
  <c r="GO31" i="57"/>
  <c r="AP21" i="7" s="1"/>
  <c r="EY31" i="57"/>
  <c r="R21" i="7" s="1"/>
  <c r="GP52" i="57"/>
  <c r="AQ42" i="7" s="1"/>
  <c r="FN82" i="57"/>
  <c r="AA72" i="7" s="1"/>
  <c r="GP33" i="57"/>
  <c r="AQ23" i="7" s="1"/>
  <c r="EZ33" i="57"/>
  <c r="S23" i="7" s="1"/>
  <c r="EL75" i="57"/>
  <c r="K65" i="7" s="1"/>
  <c r="EZ75" i="57"/>
  <c r="S65" i="7" s="1"/>
  <c r="FM75" i="57"/>
  <c r="Z65" i="7" s="1"/>
  <c r="FN33" i="57"/>
  <c r="AA23" i="7" s="1"/>
  <c r="EK36" i="57"/>
  <c r="J26" i="7" s="1"/>
  <c r="FN65" i="57"/>
  <c r="AA55" i="7" s="1"/>
  <c r="GP75" i="57"/>
  <c r="AQ65" i="7" s="1"/>
  <c r="FN43" i="57"/>
  <c r="AA33" i="7" s="1"/>
  <c r="GP31" i="57"/>
  <c r="AQ21" i="7" s="1"/>
  <c r="EZ31" i="57"/>
  <c r="S21" i="7" s="1"/>
  <c r="EL33" i="57"/>
  <c r="K23" i="7" s="1"/>
  <c r="EZ62" i="57"/>
  <c r="S52" i="7" s="1"/>
  <c r="FN62" i="57"/>
  <c r="AA52" i="7" s="1"/>
  <c r="EK32" i="57"/>
  <c r="J22" i="7" s="1"/>
  <c r="GO32" i="57"/>
  <c r="AP22" i="7" s="1"/>
  <c r="EY32" i="57"/>
  <c r="R22" i="7" s="1"/>
  <c r="EK79" i="57"/>
  <c r="J69" i="7" s="1"/>
  <c r="GP94" i="57"/>
  <c r="AQ84" i="7" s="1"/>
  <c r="EZ94" i="57"/>
  <c r="S84" i="7" s="1"/>
  <c r="EL94" i="57"/>
  <c r="K84" i="7" s="1"/>
  <c r="GP40" i="57"/>
  <c r="AQ30" i="7" s="1"/>
  <c r="EZ40" i="57"/>
  <c r="S30" i="7" s="1"/>
  <c r="EL52" i="57"/>
  <c r="K42" i="7" s="1"/>
  <c r="FN92" i="57"/>
  <c r="AA82" i="7" s="1"/>
  <c r="GB8" i="70"/>
  <c r="GA3" i="70"/>
  <c r="GA12" i="70"/>
  <c r="GA89" i="70"/>
  <c r="DN79" i="7" s="1"/>
  <c r="GA13" i="70"/>
  <c r="GA81" i="70"/>
  <c r="DN71" i="7" s="1"/>
  <c r="GA41" i="70"/>
  <c r="DN31" i="7" s="1"/>
  <c r="GA43" i="70"/>
  <c r="DN33" i="7" s="1"/>
  <c r="GA17" i="70"/>
  <c r="GA30" i="70"/>
  <c r="DN20" i="7" s="1"/>
  <c r="GA100" i="70"/>
  <c r="DN90" i="7" s="1"/>
  <c r="GA66" i="70"/>
  <c r="DN56" i="7" s="1"/>
  <c r="GA10" i="70"/>
  <c r="DN130" i="7" s="1"/>
  <c r="GA77" i="70"/>
  <c r="DN67" i="7" s="1"/>
  <c r="GA67" i="70"/>
  <c r="DN57" i="7" s="1"/>
  <c r="GA86" i="70"/>
  <c r="DN76" i="7" s="1"/>
  <c r="GA38" i="70"/>
  <c r="DN28" i="7" s="1"/>
  <c r="GA85" i="70"/>
  <c r="DN75" i="7" s="1"/>
  <c r="GA25" i="70"/>
  <c r="GA44" i="70"/>
  <c r="DN34" i="7" s="1"/>
  <c r="GA83" i="70"/>
  <c r="DN73" i="7" s="1"/>
  <c r="GA105" i="70"/>
  <c r="DN95" i="7" s="1"/>
  <c r="GA96" i="70"/>
  <c r="DN86" i="7" s="1"/>
  <c r="GA14" i="70"/>
  <c r="GA53" i="70"/>
  <c r="DN43" i="7" s="1"/>
  <c r="GA95" i="70"/>
  <c r="DN85" i="7" s="1"/>
  <c r="GA54" i="70"/>
  <c r="DN44" i="7" s="1"/>
  <c r="GA46" i="70"/>
  <c r="DN36" i="7" s="1"/>
  <c r="GA52" i="70"/>
  <c r="DN42" i="7" s="1"/>
  <c r="GA20" i="70"/>
  <c r="GA33" i="70"/>
  <c r="DN23" i="7" s="1"/>
  <c r="GA99" i="70"/>
  <c r="DN89" i="7" s="1"/>
  <c r="GA48" i="70"/>
  <c r="DN38" i="7" s="1"/>
  <c r="GA94" i="70"/>
  <c r="DN84" i="7" s="1"/>
  <c r="GA61" i="70"/>
  <c r="DN51" i="7" s="1"/>
  <c r="GA39" i="70"/>
  <c r="DN29" i="7" s="1"/>
  <c r="GA80" i="70"/>
  <c r="DN70" i="7" s="1"/>
  <c r="GA50" i="70"/>
  <c r="DN40" i="7" s="1"/>
  <c r="GA56" i="70"/>
  <c r="DN46" i="7" s="1"/>
  <c r="GA84" i="70"/>
  <c r="DN74" i="7" s="1"/>
  <c r="GA76" i="70"/>
  <c r="DN66" i="7" s="1"/>
  <c r="GA27" i="70"/>
  <c r="GA90" i="70"/>
  <c r="DN80" i="7" s="1"/>
  <c r="GA55" i="70"/>
  <c r="DN45" i="7" s="1"/>
  <c r="GA36" i="70"/>
  <c r="DN26" i="7" s="1"/>
  <c r="GA102" i="70"/>
  <c r="DN92" i="7" s="1"/>
  <c r="GA15" i="70"/>
  <c r="GA57" i="70"/>
  <c r="DN47" i="7" s="1"/>
  <c r="GA104" i="70"/>
  <c r="DN94" i="7" s="1"/>
  <c r="GA16" i="70"/>
  <c r="GA98" i="70"/>
  <c r="DN88" i="7" s="1"/>
  <c r="GA93" i="70"/>
  <c r="DN83" i="7" s="1"/>
  <c r="GA11" i="70"/>
  <c r="GA65" i="70"/>
  <c r="DN55" i="7" s="1"/>
  <c r="GA108" i="70"/>
  <c r="DN98" i="7" s="1"/>
  <c r="GA110" i="70"/>
  <c r="DN100" i="7" s="1"/>
  <c r="GA70" i="70"/>
  <c r="DN60" i="7" s="1"/>
  <c r="GA68" i="70"/>
  <c r="DN58" i="7" s="1"/>
  <c r="GA71" i="70"/>
  <c r="DN61" i="7" s="1"/>
  <c r="GA75" i="70"/>
  <c r="DN65" i="7" s="1"/>
  <c r="GA58" i="70"/>
  <c r="DN48" i="7" s="1"/>
  <c r="GA107" i="70"/>
  <c r="DN97" i="7" s="1"/>
  <c r="GA74" i="70"/>
  <c r="DN64" i="7" s="1"/>
  <c r="GA21" i="70"/>
  <c r="GA51" i="70"/>
  <c r="DN41" i="7" s="1"/>
  <c r="GA64" i="70"/>
  <c r="DN54" i="7" s="1"/>
  <c r="GA73" i="70"/>
  <c r="DN63" i="7" s="1"/>
  <c r="GA101" i="70"/>
  <c r="DN91" i="7" s="1"/>
  <c r="GA103" i="70"/>
  <c r="DN93" i="7" s="1"/>
  <c r="GA59" i="70"/>
  <c r="DN49" i="7" s="1"/>
  <c r="GA106" i="70"/>
  <c r="DN96" i="7" s="1"/>
  <c r="GA35" i="70"/>
  <c r="DN25" i="7" s="1"/>
  <c r="GA69" i="70"/>
  <c r="DN59" i="7" s="1"/>
  <c r="GA28" i="70"/>
  <c r="GA19" i="70"/>
  <c r="GA34" i="70"/>
  <c r="DN24" i="7" s="1"/>
  <c r="GA6" i="70"/>
  <c r="GA87" i="70"/>
  <c r="DN77" i="7" s="1"/>
  <c r="GA23" i="70"/>
  <c r="GA29" i="70"/>
  <c r="GA92" i="70"/>
  <c r="DN82" i="7" s="1"/>
  <c r="GA72" i="70"/>
  <c r="DN62" i="7" s="1"/>
  <c r="GA88" i="70"/>
  <c r="DN78" i="7" s="1"/>
  <c r="GA91" i="70"/>
  <c r="DN81" i="7" s="1"/>
  <c r="GA31" i="70"/>
  <c r="DN21" i="7" s="1"/>
  <c r="GA24" i="70"/>
  <c r="GA45" i="70"/>
  <c r="DN35" i="7" s="1"/>
  <c r="GA26" i="70"/>
  <c r="GA18" i="70"/>
  <c r="GA82" i="70"/>
  <c r="DN72" i="7" s="1"/>
  <c r="GA79" i="70"/>
  <c r="DN69" i="7" s="1"/>
  <c r="GA63" i="70"/>
  <c r="DN53" i="7" s="1"/>
  <c r="GA60" i="70"/>
  <c r="DN50" i="7" s="1"/>
  <c r="GA42" i="70"/>
  <c r="DN32" i="7" s="1"/>
  <c r="GA40" i="70"/>
  <c r="DN30" i="7" s="1"/>
  <c r="GA97" i="70"/>
  <c r="DN87" i="7" s="1"/>
  <c r="GA78" i="70"/>
  <c r="DN68" i="7" s="1"/>
  <c r="GA47" i="70"/>
  <c r="DN37" i="7" s="1"/>
  <c r="EK83" i="57"/>
  <c r="J73" i="7" s="1"/>
  <c r="FN31" i="57"/>
  <c r="AA21" i="7" s="1"/>
  <c r="EL32" i="57"/>
  <c r="K22" i="7" s="1"/>
  <c r="GP32" i="57"/>
  <c r="AQ22" i="7" s="1"/>
  <c r="EZ32" i="57"/>
  <c r="S22" i="7" s="1"/>
  <c r="FN52" i="57"/>
  <c r="AA42" i="7" s="1"/>
  <c r="EY79" i="57"/>
  <c r="R69" i="7" s="1"/>
  <c r="EZ36" i="57"/>
  <c r="S26" i="7" s="1"/>
  <c r="GO92" i="57"/>
  <c r="AP82" i="7" s="1"/>
  <c r="EK92" i="57"/>
  <c r="J82" i="7" s="1"/>
  <c r="EY92" i="57"/>
  <c r="R82" i="7" s="1"/>
  <c r="FM33" i="57"/>
  <c r="Z23" i="7" s="1"/>
  <c r="EY83" i="57"/>
  <c r="R73" i="7" s="1"/>
  <c r="GO83" i="57"/>
  <c r="AP73" i="7" s="1"/>
  <c r="FN36" i="57"/>
  <c r="AA26" i="7" s="1"/>
  <c r="FN75" i="57"/>
  <c r="AA65" i="7" s="1"/>
  <c r="EZ102" i="57"/>
  <c r="S92" i="7" s="1"/>
  <c r="EN29" i="70"/>
  <c r="FB29" i="70"/>
  <c r="GP48" i="57"/>
  <c r="AQ38" i="7" s="1"/>
  <c r="EL48" i="57"/>
  <c r="K38" i="7" s="1"/>
  <c r="EZ48" i="57"/>
  <c r="S38" i="7" s="1"/>
  <c r="FN100" i="57"/>
  <c r="AA90" i="7" s="1"/>
  <c r="EL100" i="57"/>
  <c r="K90" i="7" s="1"/>
  <c r="GP100" i="57"/>
  <c r="AQ90" i="7" s="1"/>
  <c r="EZ100" i="57"/>
  <c r="S90" i="7" s="1"/>
  <c r="FS6" i="46"/>
  <c r="FS22" i="46"/>
  <c r="FT18" i="46"/>
  <c r="FS21" i="46"/>
  <c r="FS20" i="46"/>
  <c r="GP51" i="57"/>
  <c r="AQ41" i="7" s="1"/>
  <c r="EL51" i="57"/>
  <c r="K41" i="7" s="1"/>
  <c r="EZ51" i="57"/>
  <c r="S41" i="7" s="1"/>
  <c r="EM61" i="70"/>
  <c r="CR51" i="7" s="1"/>
  <c r="EM31" i="70"/>
  <c r="CR21" i="7" s="1"/>
  <c r="EM64" i="70"/>
  <c r="CR54" i="7" s="1"/>
  <c r="EZ47" i="57"/>
  <c r="S37" i="7" s="1"/>
  <c r="EN40" i="70"/>
  <c r="CS30" i="7" s="1"/>
  <c r="EN37" i="70"/>
  <c r="CS27" i="7" s="1"/>
  <c r="EN41" i="70"/>
  <c r="CS31" i="7" s="1"/>
  <c r="EM73" i="70"/>
  <c r="CR63" i="7" s="1"/>
  <c r="EM62" i="70"/>
  <c r="CR52" i="7" s="1"/>
  <c r="EN4" i="70"/>
  <c r="EN2" i="70" s="1"/>
  <c r="CS1" i="7"/>
  <c r="FO53" i="56"/>
  <c r="BR43" i="7" s="1"/>
  <c r="FO73" i="56"/>
  <c r="BR63" i="7" s="1"/>
  <c r="FO60" i="56"/>
  <c r="BR50" i="7" s="1"/>
  <c r="FO46" i="56"/>
  <c r="BR36" i="7" s="1"/>
  <c r="FO30" i="56"/>
  <c r="BR20" i="7" s="1"/>
  <c r="FO31" i="56"/>
  <c r="BR21" i="7" s="1"/>
  <c r="FO51" i="56"/>
  <c r="BR41" i="7" s="1"/>
  <c r="FO40" i="56"/>
  <c r="BR30" i="7" s="1"/>
  <c r="FO56" i="56"/>
  <c r="BR46" i="7" s="1"/>
  <c r="FO37" i="56"/>
  <c r="BR27" i="7" s="1"/>
  <c r="FO70" i="56"/>
  <c r="BR60" i="7" s="1"/>
  <c r="GP110" i="57"/>
  <c r="AQ100" i="7" s="1"/>
  <c r="EL110" i="57"/>
  <c r="K100" i="7" s="1"/>
  <c r="DO6" i="57"/>
  <c r="FG6" i="57"/>
  <c r="GO55" i="57"/>
  <c r="AP45" i="7" s="1"/>
  <c r="EY55" i="57"/>
  <c r="R45" i="7" s="1"/>
  <c r="EK55" i="57"/>
  <c r="J45" i="7" s="1"/>
  <c r="EZ88" i="57"/>
  <c r="S78" i="7" s="1"/>
  <c r="GP88" i="57"/>
  <c r="AQ78" i="7" s="1"/>
  <c r="EL88" i="57"/>
  <c r="K78" i="7" s="1"/>
  <c r="FN88" i="57"/>
  <c r="AA78" i="7" s="1"/>
  <c r="FB68" i="56"/>
  <c r="BK58" i="7" s="1"/>
  <c r="FB51" i="56"/>
  <c r="BK41" i="7" s="1"/>
  <c r="FB59" i="56"/>
  <c r="BK49" i="7" s="1"/>
  <c r="FB48" i="56"/>
  <c r="BK38" i="7" s="1"/>
  <c r="FB57" i="56"/>
  <c r="BK47" i="7" s="1"/>
  <c r="FB45" i="56"/>
  <c r="BK35" i="7" s="1"/>
  <c r="FB37" i="56"/>
  <c r="BK27" i="7" s="1"/>
  <c r="FB70" i="56"/>
  <c r="BK60" i="7" s="1"/>
  <c r="FB54" i="56"/>
  <c r="BK44" i="7" s="1"/>
  <c r="FB31" i="56"/>
  <c r="BK21" i="7" s="1"/>
  <c r="FB66" i="56"/>
  <c r="BK56" i="7" s="1"/>
  <c r="EN67" i="70"/>
  <c r="CS57" i="7" s="1"/>
  <c r="EN54" i="70"/>
  <c r="CS44" i="7" s="1"/>
  <c r="EN33" i="70"/>
  <c r="CS23" i="7" s="1"/>
  <c r="EM39" i="70"/>
  <c r="CR29" i="7" s="1"/>
  <c r="EM45" i="70"/>
  <c r="CR35" i="7" s="1"/>
  <c r="EM35" i="70"/>
  <c r="CR25" i="7" s="1"/>
  <c r="FA28" i="70"/>
  <c r="EM28" i="70"/>
  <c r="FA59" i="70"/>
  <c r="CZ49" i="7" s="1"/>
  <c r="FA31" i="70"/>
  <c r="CZ21" i="7" s="1"/>
  <c r="FA47" i="70"/>
  <c r="CZ37" i="7" s="1"/>
  <c r="FA72" i="70"/>
  <c r="CZ62" i="7" s="1"/>
  <c r="FA48" i="70"/>
  <c r="CZ38" i="7" s="1"/>
  <c r="FA32" i="70"/>
  <c r="CZ22" i="7" s="1"/>
  <c r="FA69" i="70"/>
  <c r="CZ59" i="7" s="1"/>
  <c r="FA68" i="70"/>
  <c r="CZ58" i="7" s="1"/>
  <c r="FA40" i="70"/>
  <c r="CZ30" i="7" s="1"/>
  <c r="FA64" i="70"/>
  <c r="CZ54" i="7" s="1"/>
  <c r="FA36" i="70"/>
  <c r="CZ26" i="7" s="1"/>
  <c r="FB106" i="57"/>
  <c r="U96" i="7" s="1"/>
  <c r="FP69" i="56"/>
  <c r="BS59" i="7" s="1"/>
  <c r="FP54" i="56"/>
  <c r="BS44" i="7" s="1"/>
  <c r="FP31" i="56"/>
  <c r="BS21" i="7" s="1"/>
  <c r="FP44" i="56"/>
  <c r="BS34" i="7" s="1"/>
  <c r="FP52" i="56"/>
  <c r="BS42" i="7" s="1"/>
  <c r="FP61" i="56"/>
  <c r="BS51" i="7" s="1"/>
  <c r="FP71" i="56"/>
  <c r="BS61" i="7" s="1"/>
  <c r="FP74" i="56"/>
  <c r="BS64" i="7" s="1"/>
  <c r="FP57" i="56"/>
  <c r="BS47" i="7" s="1"/>
  <c r="FP63" i="56"/>
  <c r="BS53" i="7" s="1"/>
  <c r="FP66" i="56"/>
  <c r="BS56" i="7" s="1"/>
  <c r="FP49" i="56"/>
  <c r="BS39" i="7" s="1"/>
  <c r="AY6" i="57"/>
  <c r="FW6" i="57"/>
  <c r="AF6" i="7" s="1"/>
  <c r="EG6" i="57"/>
  <c r="H6" i="7" s="1"/>
  <c r="DJ12" i="41"/>
  <c r="DI19" i="41"/>
  <c r="DX1" i="7"/>
  <c r="GQ4" i="70"/>
  <c r="GQ2" i="70" s="1"/>
  <c r="EZ78" i="57"/>
  <c r="S68" i="7" s="1"/>
  <c r="GP60" i="57"/>
  <c r="AQ50" i="7" s="1"/>
  <c r="FN60" i="57"/>
  <c r="AA50" i="7" s="1"/>
  <c r="EZ60" i="57"/>
  <c r="S50" i="7" s="1"/>
  <c r="GP45" i="57"/>
  <c r="AQ35" i="7" s="1"/>
  <c r="EZ45" i="57"/>
  <c r="S35" i="7" s="1"/>
  <c r="GP57" i="57"/>
  <c r="AQ47" i="7" s="1"/>
  <c r="EL57" i="57"/>
  <c r="K47" i="7" s="1"/>
  <c r="EZ57" i="57"/>
  <c r="S47" i="7" s="1"/>
  <c r="FA64" i="56"/>
  <c r="BJ54" i="7" s="1"/>
  <c r="FA42" i="56"/>
  <c r="BJ32" i="7" s="1"/>
  <c r="FA66" i="56"/>
  <c r="BJ56" i="7" s="1"/>
  <c r="FA54" i="56"/>
  <c r="BJ44" i="7" s="1"/>
  <c r="FA44" i="56"/>
  <c r="BJ34" i="7" s="1"/>
  <c r="FA62" i="56"/>
  <c r="BJ52" i="7" s="1"/>
  <c r="FA45" i="56"/>
  <c r="BJ35" i="7" s="1"/>
  <c r="FA50" i="56"/>
  <c r="BJ40" i="7" s="1"/>
  <c r="FA37" i="56"/>
  <c r="BJ27" i="7" s="1"/>
  <c r="FA63" i="56"/>
  <c r="BJ53" i="7" s="1"/>
  <c r="FA49" i="56"/>
  <c r="BJ39" i="7" s="1"/>
  <c r="EN69" i="70"/>
  <c r="CS59" i="7" s="1"/>
  <c r="EN64" i="70"/>
  <c r="CS54" i="7" s="1"/>
  <c r="EN51" i="70"/>
  <c r="CS41" i="7" s="1"/>
  <c r="GR73" i="70"/>
  <c r="DY63" i="7" s="1"/>
  <c r="GR58" i="70"/>
  <c r="DY48" i="7" s="1"/>
  <c r="GR43" i="70"/>
  <c r="DY33" i="7" s="1"/>
  <c r="GR69" i="70"/>
  <c r="DY59" i="7" s="1"/>
  <c r="GR48" i="70"/>
  <c r="DY38" i="7" s="1"/>
  <c r="GP83" i="57"/>
  <c r="AQ73" i="7" s="1"/>
  <c r="EL83" i="57"/>
  <c r="K73" i="7" s="1"/>
  <c r="EZ83" i="57"/>
  <c r="S73" i="7" s="1"/>
  <c r="GP56" i="57"/>
  <c r="AQ46" i="7" s="1"/>
  <c r="FN56" i="57"/>
  <c r="AA46" i="7" s="1"/>
  <c r="EL56" i="57"/>
  <c r="K46" i="7" s="1"/>
  <c r="FB25" i="70"/>
  <c r="EN25" i="70"/>
  <c r="GP49" i="57"/>
  <c r="AQ39" i="7" s="1"/>
  <c r="EZ49" i="57"/>
  <c r="S39" i="7" s="1"/>
  <c r="FN49" i="57"/>
  <c r="AA39" i="7" s="1"/>
  <c r="FN90" i="57"/>
  <c r="AA80" i="7" s="1"/>
  <c r="EZ90" i="57"/>
  <c r="S80" i="7" s="1"/>
  <c r="GP90" i="57"/>
  <c r="AQ80" i="7" s="1"/>
  <c r="GP109" i="57"/>
  <c r="AQ99" i="7" s="1"/>
  <c r="EL109" i="57"/>
  <c r="K99" i="7" s="1"/>
  <c r="GP67" i="57"/>
  <c r="AQ57" i="7" s="1"/>
  <c r="EL67" i="57"/>
  <c r="K57" i="7" s="1"/>
  <c r="EZ67" i="57"/>
  <c r="S57" i="7" s="1"/>
  <c r="GP35" i="57"/>
  <c r="AQ25" i="7" s="1"/>
  <c r="EL35" i="57"/>
  <c r="K25" i="7" s="1"/>
  <c r="EZ35" i="57"/>
  <c r="S25" i="7" s="1"/>
  <c r="FU18" i="38"/>
  <c r="FT20" i="38"/>
  <c r="FT6" i="38"/>
  <c r="EM33" i="70"/>
  <c r="CR23" i="7" s="1"/>
  <c r="EM74" i="70"/>
  <c r="CR64" i="7" s="1"/>
  <c r="EM50" i="70"/>
  <c r="CR40" i="7" s="1"/>
  <c r="FP4" i="57"/>
  <c r="AC1" i="7"/>
  <c r="EL108" i="57"/>
  <c r="K98" i="7" s="1"/>
  <c r="FN108" i="57"/>
  <c r="AA98" i="7" s="1"/>
  <c r="GP108" i="57"/>
  <c r="AQ98" i="7" s="1"/>
  <c r="EZ108" i="57"/>
  <c r="S98" i="7" s="1"/>
  <c r="EN57" i="70"/>
  <c r="CS47" i="7" s="1"/>
  <c r="EN53" i="70"/>
  <c r="CS43" i="7" s="1"/>
  <c r="EN46" i="70"/>
  <c r="CS36" i="7" s="1"/>
  <c r="EM43" i="70"/>
  <c r="CR33" i="7" s="1"/>
  <c r="EM59" i="70"/>
  <c r="CR49" i="7" s="1"/>
  <c r="EM38" i="70"/>
  <c r="CR28" i="7" s="1"/>
  <c r="EZ84" i="57"/>
  <c r="S74" i="7" s="1"/>
  <c r="GP84" i="57"/>
  <c r="AQ74" i="7" s="1"/>
  <c r="FN84" i="57"/>
  <c r="AA74" i="7" s="1"/>
  <c r="EL84" i="57"/>
  <c r="K74" i="7" s="1"/>
  <c r="FO74" i="56"/>
  <c r="BR64" i="7" s="1"/>
  <c r="FO41" i="56"/>
  <c r="BR31" i="7" s="1"/>
  <c r="FO35" i="56"/>
  <c r="BR25" i="7" s="1"/>
  <c r="FO58" i="56"/>
  <c r="BR48" i="7" s="1"/>
  <c r="FO61" i="56"/>
  <c r="BR51" i="7" s="1"/>
  <c r="FO52" i="56"/>
  <c r="BR42" i="7" s="1"/>
  <c r="FO38" i="56"/>
  <c r="BR28" i="7" s="1"/>
  <c r="FO48" i="56"/>
  <c r="BR38" i="7" s="1"/>
  <c r="FO62" i="56"/>
  <c r="BR52" i="7" s="1"/>
  <c r="FO72" i="56"/>
  <c r="BR62" i="7" s="1"/>
  <c r="FO67" i="56"/>
  <c r="BR57" i="7" s="1"/>
  <c r="FO33" i="56"/>
  <c r="BR23" i="7" s="1"/>
  <c r="AK15" i="7"/>
  <c r="BZ13" i="7"/>
  <c r="BZ15" i="7" s="1"/>
  <c r="GD1" i="56"/>
  <c r="CA13" i="7" s="1"/>
  <c r="CA15" i="7" s="1"/>
  <c r="EZ76" i="57"/>
  <c r="S66" i="7" s="1"/>
  <c r="GP76" i="57"/>
  <c r="AQ66" i="7" s="1"/>
  <c r="FN76" i="57"/>
  <c r="AA66" i="7" s="1"/>
  <c r="EL76" i="57"/>
  <c r="K66" i="7" s="1"/>
  <c r="GO101" i="57"/>
  <c r="AP91" i="7" s="1"/>
  <c r="EY101" i="57"/>
  <c r="R91" i="7" s="1"/>
  <c r="EK101" i="57"/>
  <c r="J91" i="7" s="1"/>
  <c r="FB32" i="56"/>
  <c r="BK22" i="7" s="1"/>
  <c r="FB65" i="56"/>
  <c r="BK55" i="7" s="1"/>
  <c r="FB36" i="56"/>
  <c r="BK26" i="7" s="1"/>
  <c r="FB53" i="56"/>
  <c r="BK43" i="7" s="1"/>
  <c r="FB47" i="56"/>
  <c r="BK37" i="7" s="1"/>
  <c r="FB33" i="56"/>
  <c r="BK23" i="7" s="1"/>
  <c r="FB43" i="56"/>
  <c r="BK33" i="7" s="1"/>
  <c r="FB34" i="56"/>
  <c r="BK24" i="7" s="1"/>
  <c r="FB58" i="56"/>
  <c r="BK48" i="7" s="1"/>
  <c r="FB62" i="56"/>
  <c r="BK52" i="7" s="1"/>
  <c r="FB60" i="56"/>
  <c r="BK50" i="7" s="1"/>
  <c r="FA4" i="57"/>
  <c r="T1" i="7"/>
  <c r="EN31" i="70"/>
  <c r="CS21" i="7" s="1"/>
  <c r="EN38" i="70"/>
  <c r="CS28" i="7" s="1"/>
  <c r="EN36" i="70"/>
  <c r="CS26" i="7" s="1"/>
  <c r="EM72" i="70"/>
  <c r="CR62" i="7" s="1"/>
  <c r="EM53" i="70"/>
  <c r="CR43" i="7" s="1"/>
  <c r="EM66" i="70"/>
  <c r="CR56" i="7" s="1"/>
  <c r="FA29" i="70"/>
  <c r="EM29" i="70"/>
  <c r="FA38" i="70"/>
  <c r="CZ28" i="7" s="1"/>
  <c r="FA35" i="70"/>
  <c r="CZ25" i="7" s="1"/>
  <c r="FA46" i="70"/>
  <c r="CZ36" i="7" s="1"/>
  <c r="FA50" i="70"/>
  <c r="CZ40" i="7" s="1"/>
  <c r="FA30" i="70"/>
  <c r="CZ20" i="7" s="1"/>
  <c r="FA45" i="70"/>
  <c r="CZ35" i="7" s="1"/>
  <c r="FA56" i="70"/>
  <c r="CZ46" i="7" s="1"/>
  <c r="FA43" i="70"/>
  <c r="CZ33" i="7" s="1"/>
  <c r="FA49" i="70"/>
  <c r="CZ39" i="7" s="1"/>
  <c r="FA33" i="70"/>
  <c r="CZ23" i="7" s="1"/>
  <c r="FA61" i="70"/>
  <c r="CZ51" i="7" s="1"/>
  <c r="FA42" i="70"/>
  <c r="CZ32" i="7" s="1"/>
  <c r="FP68" i="56"/>
  <c r="BS58" i="7" s="1"/>
  <c r="FP39" i="56"/>
  <c r="BS29" i="7" s="1"/>
  <c r="FP67" i="56"/>
  <c r="BS57" i="7" s="1"/>
  <c r="FP59" i="56"/>
  <c r="BS49" i="7" s="1"/>
  <c r="FP62" i="56"/>
  <c r="BS52" i="7" s="1"/>
  <c r="FP45" i="56"/>
  <c r="BS35" i="7" s="1"/>
  <c r="FP55" i="56"/>
  <c r="BS45" i="7" s="1"/>
  <c r="FP58" i="56"/>
  <c r="BS48" i="7" s="1"/>
  <c r="FP41" i="56"/>
  <c r="BS31" i="7" s="1"/>
  <c r="FP47" i="56"/>
  <c r="BS37" i="7" s="1"/>
  <c r="FP50" i="56"/>
  <c r="BS40" i="7" s="1"/>
  <c r="FP37" i="56"/>
  <c r="BS27" i="7" s="1"/>
  <c r="FM6" i="70"/>
  <c r="DU6" i="70"/>
  <c r="FB80" i="57"/>
  <c r="U70" i="7" s="1"/>
  <c r="GP54" i="57"/>
  <c r="AQ44" i="7" s="1"/>
  <c r="EL54" i="57"/>
  <c r="K44" i="7" s="1"/>
  <c r="EZ54" i="57"/>
  <c r="S44" i="7" s="1"/>
  <c r="GP70" i="57"/>
  <c r="AQ60" i="7" s="1"/>
  <c r="FN70" i="57"/>
  <c r="AA60" i="7" s="1"/>
  <c r="EZ70" i="57"/>
  <c r="S60" i="7" s="1"/>
  <c r="EL70" i="57"/>
  <c r="K60" i="7" s="1"/>
  <c r="FA33" i="56"/>
  <c r="BJ23" i="7" s="1"/>
  <c r="FA57" i="56"/>
  <c r="BJ47" i="7" s="1"/>
  <c r="FA48" i="56"/>
  <c r="BJ38" i="7" s="1"/>
  <c r="FA55" i="56"/>
  <c r="BJ45" i="7" s="1"/>
  <c r="FA31" i="56"/>
  <c r="BJ21" i="7" s="1"/>
  <c r="FA56" i="56"/>
  <c r="BJ46" i="7" s="1"/>
  <c r="FA53" i="56"/>
  <c r="BJ43" i="7" s="1"/>
  <c r="FA35" i="56"/>
  <c r="BJ25" i="7" s="1"/>
  <c r="FA51" i="56"/>
  <c r="BJ41" i="7" s="1"/>
  <c r="FA71" i="56"/>
  <c r="BJ61" i="7" s="1"/>
  <c r="FA70" i="56"/>
  <c r="BJ60" i="7" s="1"/>
  <c r="GR37" i="70"/>
  <c r="DY27" i="7" s="1"/>
  <c r="EN43" i="70"/>
  <c r="CS33" i="7" s="1"/>
  <c r="EN61" i="70"/>
  <c r="CS51" i="7" s="1"/>
  <c r="EN56" i="70"/>
  <c r="CS46" i="7" s="1"/>
  <c r="GR51" i="70"/>
  <c r="DY41" i="7" s="1"/>
  <c r="GR46" i="70"/>
  <c r="DY36" i="7" s="1"/>
  <c r="FB46" i="57"/>
  <c r="U36" i="7" s="1"/>
  <c r="GR64" i="70"/>
  <c r="DY54" i="7" s="1"/>
  <c r="GR63" i="70"/>
  <c r="DY53" i="7" s="1"/>
  <c r="FB34" i="57"/>
  <c r="U24" i="7" s="1"/>
  <c r="FB26" i="70"/>
  <c r="EN26" i="70"/>
  <c r="EN27" i="70"/>
  <c r="FB27" i="70"/>
  <c r="EZ98" i="57"/>
  <c r="S88" i="7" s="1"/>
  <c r="EL98" i="57"/>
  <c r="K88" i="7" s="1"/>
  <c r="GP98" i="57"/>
  <c r="AQ88" i="7" s="1"/>
  <c r="FN98" i="57"/>
  <c r="AA88" i="7" s="1"/>
  <c r="GB109" i="57"/>
  <c r="AI99" i="7" s="1"/>
  <c r="FN109" i="57"/>
  <c r="AA99" i="7" s="1"/>
  <c r="GP50" i="57"/>
  <c r="AQ40" i="7" s="1"/>
  <c r="EL50" i="57"/>
  <c r="K40" i="7" s="1"/>
  <c r="EZ50" i="57"/>
  <c r="S40" i="7" s="1"/>
  <c r="GB110" i="57"/>
  <c r="AI100" i="7" s="1"/>
  <c r="FN110" i="57"/>
  <c r="AA100" i="7" s="1"/>
  <c r="EM67" i="70"/>
  <c r="CR57" i="7" s="1"/>
  <c r="EM41" i="70"/>
  <c r="CR31" i="7" s="1"/>
  <c r="GP10" i="57"/>
  <c r="AQ130" i="7" s="1"/>
  <c r="EL10" i="57"/>
  <c r="K130" i="7" s="1"/>
  <c r="EZ10" i="57"/>
  <c r="S130" i="7" s="1"/>
  <c r="GL6" i="56"/>
  <c r="DU6" i="7" s="1"/>
  <c r="AZ6" i="56"/>
  <c r="EH6" i="56"/>
  <c r="EL47" i="57"/>
  <c r="K37" i="7" s="1"/>
  <c r="FP4" i="56"/>
  <c r="FP2" i="56" s="1"/>
  <c r="BS14" i="7" s="1"/>
  <c r="BS15" i="7" s="1"/>
  <c r="BS1" i="7"/>
  <c r="EN35" i="70"/>
  <c r="CS25" i="7" s="1"/>
  <c r="EN74" i="70"/>
  <c r="CS64" i="7" s="1"/>
  <c r="EN59" i="70"/>
  <c r="CS49" i="7" s="1"/>
  <c r="EM56" i="70"/>
  <c r="CR46" i="7" s="1"/>
  <c r="EM36" i="70"/>
  <c r="CR26" i="7" s="1"/>
  <c r="EM71" i="70"/>
  <c r="CR61" i="7" s="1"/>
  <c r="FO32" i="56"/>
  <c r="BR22" i="7" s="1"/>
  <c r="FO47" i="56"/>
  <c r="BR37" i="7" s="1"/>
  <c r="FO44" i="56"/>
  <c r="BR34" i="7" s="1"/>
  <c r="FO71" i="56"/>
  <c r="BR61" i="7" s="1"/>
  <c r="FO66" i="56"/>
  <c r="BR56" i="7" s="1"/>
  <c r="FO64" i="56"/>
  <c r="BR54" i="7" s="1"/>
  <c r="FO59" i="56"/>
  <c r="BR49" i="7" s="1"/>
  <c r="FO36" i="56"/>
  <c r="BR26" i="7" s="1"/>
  <c r="FO54" i="56"/>
  <c r="BR44" i="7" s="1"/>
  <c r="FO45" i="56"/>
  <c r="BR35" i="7" s="1"/>
  <c r="FO39" i="56"/>
  <c r="BR29" i="7" s="1"/>
  <c r="GP79" i="57"/>
  <c r="AQ69" i="7" s="1"/>
  <c r="EL79" i="57"/>
  <c r="K69" i="7" s="1"/>
  <c r="GP81" i="57"/>
  <c r="AQ71" i="7" s="1"/>
  <c r="EZ81" i="57"/>
  <c r="S71" i="7" s="1"/>
  <c r="GP74" i="57"/>
  <c r="AQ64" i="7" s="1"/>
  <c r="EL74" i="57"/>
  <c r="K64" i="7" s="1"/>
  <c r="EZ74" i="57"/>
  <c r="S64" i="7" s="1"/>
  <c r="FB74" i="56"/>
  <c r="BK64" i="7" s="1"/>
  <c r="FB39" i="56"/>
  <c r="BK29" i="7" s="1"/>
  <c r="FB38" i="56"/>
  <c r="BK28" i="7" s="1"/>
  <c r="FB71" i="56"/>
  <c r="BK61" i="7" s="1"/>
  <c r="FB50" i="56"/>
  <c r="BK40" i="7" s="1"/>
  <c r="FB72" i="56"/>
  <c r="BK62" i="7" s="1"/>
  <c r="FB30" i="56"/>
  <c r="BK20" i="7" s="1"/>
  <c r="FB44" i="56"/>
  <c r="BK34" i="7" s="1"/>
  <c r="FB56" i="56"/>
  <c r="BK46" i="7" s="1"/>
  <c r="FB73" i="56"/>
  <c r="BK63" i="7" s="1"/>
  <c r="FB61" i="56"/>
  <c r="BK51" i="7" s="1"/>
  <c r="BL6" i="56"/>
  <c r="ET6" i="56"/>
  <c r="EN52" i="70"/>
  <c r="CS42" i="7" s="1"/>
  <c r="EN66" i="70"/>
  <c r="CS56" i="7" s="1"/>
  <c r="EM44" i="70"/>
  <c r="CR34" i="7" s="1"/>
  <c r="EM51" i="70"/>
  <c r="CR41" i="7" s="1"/>
  <c r="EM34" i="70"/>
  <c r="CR24" i="7" s="1"/>
  <c r="EM27" i="70"/>
  <c r="FA27" i="70"/>
  <c r="FA65" i="70"/>
  <c r="CZ55" i="7" s="1"/>
  <c r="FA51" i="70"/>
  <c r="CZ41" i="7" s="1"/>
  <c r="FA70" i="70"/>
  <c r="CZ60" i="7" s="1"/>
  <c r="FA63" i="70"/>
  <c r="CZ53" i="7" s="1"/>
  <c r="FA60" i="70"/>
  <c r="CZ50" i="7" s="1"/>
  <c r="FA55" i="70"/>
  <c r="CZ45" i="7" s="1"/>
  <c r="FA52" i="70"/>
  <c r="CZ42" i="7" s="1"/>
  <c r="FA73" i="70"/>
  <c r="CZ63" i="7" s="1"/>
  <c r="FA53" i="70"/>
  <c r="CZ43" i="7" s="1"/>
  <c r="FA37" i="70"/>
  <c r="CZ27" i="7" s="1"/>
  <c r="FA57" i="70"/>
  <c r="CZ47" i="7" s="1"/>
  <c r="FP30" i="56"/>
  <c r="BS20" i="7" s="1"/>
  <c r="FP38" i="56"/>
  <c r="BS28" i="7" s="1"/>
  <c r="FP70" i="56"/>
  <c r="BS60" i="7" s="1"/>
  <c r="FP43" i="56"/>
  <c r="BS33" i="7" s="1"/>
  <c r="FP46" i="56"/>
  <c r="BS36" i="7" s="1"/>
  <c r="FP35" i="56"/>
  <c r="BS25" i="7" s="1"/>
  <c r="FP40" i="56"/>
  <c r="BS30" i="7" s="1"/>
  <c r="FP42" i="56"/>
  <c r="BS32" i="7" s="1"/>
  <c r="FP33" i="56"/>
  <c r="BS23" i="7" s="1"/>
  <c r="FP36" i="56"/>
  <c r="BS26" i="7" s="1"/>
  <c r="FP60" i="56"/>
  <c r="BS50" i="7" s="1"/>
  <c r="A134" i="38"/>
  <c r="O134" i="38" s="1"/>
  <c r="A134" i="45"/>
  <c r="O134" i="45" s="1"/>
  <c r="A135" i="55"/>
  <c r="A134" i="46"/>
  <c r="O134" i="46" s="1"/>
  <c r="GR20" i="70"/>
  <c r="GR26" i="70"/>
  <c r="GR15" i="70"/>
  <c r="GR3" i="70"/>
  <c r="GR81" i="70"/>
  <c r="DY71" i="7" s="1"/>
  <c r="GR11" i="70"/>
  <c r="GR77" i="70"/>
  <c r="DY67" i="7" s="1"/>
  <c r="GR13" i="70"/>
  <c r="GR28" i="70"/>
  <c r="GR94" i="70"/>
  <c r="DY84" i="7" s="1"/>
  <c r="GR90" i="70"/>
  <c r="DY80" i="7" s="1"/>
  <c r="GR27" i="70"/>
  <c r="GR86" i="70"/>
  <c r="DY76" i="7" s="1"/>
  <c r="GR88" i="70"/>
  <c r="DY78" i="7" s="1"/>
  <c r="GR100" i="70"/>
  <c r="DY90" i="7" s="1"/>
  <c r="GR25" i="70"/>
  <c r="GR93" i="70"/>
  <c r="DY83" i="7" s="1"/>
  <c r="GR104" i="70"/>
  <c r="DY94" i="7" s="1"/>
  <c r="GR23" i="70"/>
  <c r="GR99" i="70"/>
  <c r="DY89" i="7" s="1"/>
  <c r="GR108" i="70"/>
  <c r="DY98" i="7" s="1"/>
  <c r="GR103" i="70"/>
  <c r="DY93" i="7" s="1"/>
  <c r="GR79" i="70"/>
  <c r="DY69" i="7" s="1"/>
  <c r="GR10" i="70"/>
  <c r="DY130" i="7" s="1"/>
  <c r="GR89" i="70"/>
  <c r="DY79" i="7" s="1"/>
  <c r="GR16" i="70"/>
  <c r="GR78" i="70"/>
  <c r="DY68" i="7" s="1"/>
  <c r="GR101" i="70"/>
  <c r="DY91" i="7" s="1"/>
  <c r="GR102" i="70"/>
  <c r="DY92" i="7" s="1"/>
  <c r="GR12" i="70"/>
  <c r="GR95" i="70"/>
  <c r="DY85" i="7" s="1"/>
  <c r="GR91" i="70"/>
  <c r="DY81" i="7" s="1"/>
  <c r="GR87" i="70"/>
  <c r="DY77" i="7" s="1"/>
  <c r="GR80" i="70"/>
  <c r="DY70" i="7" s="1"/>
  <c r="GR82" i="70"/>
  <c r="DY72" i="7" s="1"/>
  <c r="GR83" i="70"/>
  <c r="DY73" i="7" s="1"/>
  <c r="GR107" i="70"/>
  <c r="DY97" i="7" s="1"/>
  <c r="GR18" i="70"/>
  <c r="GR98" i="70"/>
  <c r="DY88" i="7" s="1"/>
  <c r="GR109" i="70"/>
  <c r="DY99" i="7" s="1"/>
  <c r="GR85" i="70"/>
  <c r="DY75" i="7" s="1"/>
  <c r="GR22" i="70"/>
  <c r="GR21" i="70"/>
  <c r="GR17" i="70"/>
  <c r="GR97" i="70"/>
  <c r="DY87" i="7" s="1"/>
  <c r="GR76" i="70"/>
  <c r="DY66" i="7" s="1"/>
  <c r="GR75" i="70"/>
  <c r="DY65" i="7" s="1"/>
  <c r="GR96" i="70"/>
  <c r="DY86" i="7" s="1"/>
  <c r="GR14" i="70"/>
  <c r="GR84" i="70"/>
  <c r="DY74" i="7" s="1"/>
  <c r="GR29" i="70"/>
  <c r="GR106" i="70"/>
  <c r="DY96" i="7" s="1"/>
  <c r="GR19" i="70"/>
  <c r="GR24" i="70"/>
  <c r="GR92" i="70"/>
  <c r="DY82" i="7" s="1"/>
  <c r="GR110" i="70"/>
  <c r="DY100" i="7" s="1"/>
  <c r="GR6" i="70"/>
  <c r="GR105" i="70"/>
  <c r="DY95" i="7" s="1"/>
  <c r="GR9" i="70"/>
  <c r="DY19" i="7" s="1"/>
  <c r="EL69" i="57"/>
  <c r="K59" i="7" s="1"/>
  <c r="GP69" i="57"/>
  <c r="AQ59" i="7" s="1"/>
  <c r="EZ69" i="57"/>
  <c r="S59" i="7" s="1"/>
  <c r="FN103" i="57"/>
  <c r="AA93" i="7" s="1"/>
  <c r="GP103" i="57"/>
  <c r="AQ93" i="7" s="1"/>
  <c r="EZ103" i="57"/>
  <c r="S93" i="7" s="1"/>
  <c r="GP87" i="57"/>
  <c r="AQ77" i="7" s="1"/>
  <c r="EZ87" i="57"/>
  <c r="S77" i="7" s="1"/>
  <c r="EL87" i="57"/>
  <c r="K77" i="7" s="1"/>
  <c r="GP105" i="57"/>
  <c r="AQ95" i="7" s="1"/>
  <c r="EZ105" i="57"/>
  <c r="S95" i="7" s="1"/>
  <c r="FN105" i="57"/>
  <c r="AA95" i="7" s="1"/>
  <c r="FA32" i="56"/>
  <c r="BJ22" i="7" s="1"/>
  <c r="FA69" i="56"/>
  <c r="BJ59" i="7" s="1"/>
  <c r="FA46" i="56"/>
  <c r="BJ36" i="7" s="1"/>
  <c r="FA34" i="56"/>
  <c r="BJ24" i="7" s="1"/>
  <c r="FA65" i="56"/>
  <c r="BJ55" i="7" s="1"/>
  <c r="FA47" i="56"/>
  <c r="BJ37" i="7" s="1"/>
  <c r="FA52" i="56"/>
  <c r="BJ42" i="7" s="1"/>
  <c r="FA58" i="56"/>
  <c r="BJ48" i="7" s="1"/>
  <c r="FA72" i="56"/>
  <c r="BJ62" i="7" s="1"/>
  <c r="FA59" i="56"/>
  <c r="BJ49" i="7" s="1"/>
  <c r="FA68" i="56"/>
  <c r="BJ58" i="7" s="1"/>
  <c r="EN30" i="70"/>
  <c r="CS20" i="7" s="1"/>
  <c r="EN32" i="70"/>
  <c r="CS22" i="7" s="1"/>
  <c r="EN55" i="70"/>
  <c r="CS45" i="7" s="1"/>
  <c r="GR49" i="70"/>
  <c r="DY39" i="7" s="1"/>
  <c r="GR42" i="70"/>
  <c r="DY32" i="7" s="1"/>
  <c r="GR50" i="70"/>
  <c r="DY40" i="7" s="1"/>
  <c r="FB96" i="57"/>
  <c r="U86" i="7" s="1"/>
  <c r="GR54" i="70"/>
  <c r="DY44" i="7" s="1"/>
  <c r="GR44" i="70"/>
  <c r="DY34" i="7" s="1"/>
  <c r="EN28" i="70"/>
  <c r="FB28" i="70"/>
  <c r="GP93" i="57"/>
  <c r="AQ83" i="7" s="1"/>
  <c r="EL93" i="57"/>
  <c r="K83" i="7" s="1"/>
  <c r="EZ93" i="57"/>
  <c r="S83" i="7" s="1"/>
  <c r="GP72" i="57"/>
  <c r="AQ62" i="7" s="1"/>
  <c r="FN72" i="57"/>
  <c r="AA62" i="7" s="1"/>
  <c r="EZ72" i="57"/>
  <c r="S62" i="7" s="1"/>
  <c r="FY18" i="45"/>
  <c r="FX6" i="45"/>
  <c r="FX23" i="45"/>
  <c r="FX22" i="45"/>
  <c r="FX21" i="45"/>
  <c r="FX20" i="45"/>
  <c r="EM30" i="70"/>
  <c r="CR20" i="7" s="1"/>
  <c r="EM70" i="70"/>
  <c r="CR60" i="7" s="1"/>
  <c r="EM47" i="70"/>
  <c r="CR37" i="7" s="1"/>
  <c r="EL90" i="57"/>
  <c r="K80" i="7" s="1"/>
  <c r="FN34" i="57"/>
  <c r="AA24" i="7" s="1"/>
  <c r="GP34" i="57"/>
  <c r="AQ24" i="7" s="1"/>
  <c r="EZ34" i="57"/>
  <c r="S24" i="7" s="1"/>
  <c r="EZ56" i="57"/>
  <c r="S46" i="7" s="1"/>
  <c r="EN73" i="70"/>
  <c r="CS63" i="7" s="1"/>
  <c r="EN42" i="70"/>
  <c r="CS32" i="7" s="1"/>
  <c r="EM40" i="70"/>
  <c r="CR30" i="7" s="1"/>
  <c r="EM55" i="70"/>
  <c r="CR45" i="7" s="1"/>
  <c r="EM46" i="70"/>
  <c r="CR36" i="7" s="1"/>
  <c r="GP106" i="57"/>
  <c r="AQ96" i="7" s="1"/>
  <c r="EL106" i="57"/>
  <c r="K96" i="7" s="1"/>
  <c r="FO43" i="56"/>
  <c r="BR33" i="7" s="1"/>
  <c r="FO49" i="56"/>
  <c r="BR39" i="7" s="1"/>
  <c r="FO34" i="56"/>
  <c r="BR24" i="7" s="1"/>
  <c r="FO68" i="56"/>
  <c r="BR58" i="7" s="1"/>
  <c r="FO63" i="56"/>
  <c r="BR53" i="7" s="1"/>
  <c r="FO50" i="56"/>
  <c r="BR40" i="7" s="1"/>
  <c r="FO57" i="56"/>
  <c r="BR47" i="7" s="1"/>
  <c r="FO55" i="56"/>
  <c r="BR45" i="7" s="1"/>
  <c r="FO42" i="56"/>
  <c r="BR32" i="7" s="1"/>
  <c r="FO69" i="56"/>
  <c r="BR59" i="7" s="1"/>
  <c r="FO65" i="56"/>
  <c r="BR55" i="7" s="1"/>
  <c r="EZ42" i="57"/>
  <c r="S32" i="7" s="1"/>
  <c r="GP42" i="57"/>
  <c r="AQ32" i="7" s="1"/>
  <c r="FN42" i="57"/>
  <c r="AA32" i="7" s="1"/>
  <c r="EL42" i="57"/>
  <c r="K32" i="7" s="1"/>
  <c r="FB49" i="56"/>
  <c r="BK39" i="7" s="1"/>
  <c r="FB35" i="56"/>
  <c r="BK25" i="7" s="1"/>
  <c r="FB64" i="56"/>
  <c r="BK54" i="7" s="1"/>
  <c r="FB42" i="56"/>
  <c r="BK32" i="7" s="1"/>
  <c r="FB46" i="56"/>
  <c r="BK36" i="7" s="1"/>
  <c r="FB52" i="56"/>
  <c r="BK42" i="7" s="1"/>
  <c r="FB40" i="56"/>
  <c r="BK30" i="7" s="1"/>
  <c r="FB41" i="56"/>
  <c r="BK31" i="7" s="1"/>
  <c r="FB67" i="56"/>
  <c r="BK57" i="7" s="1"/>
  <c r="FB69" i="56"/>
  <c r="BK59" i="7" s="1"/>
  <c r="FB63" i="56"/>
  <c r="BK53" i="7" s="1"/>
  <c r="FB55" i="56"/>
  <c r="BK45" i="7" s="1"/>
  <c r="FB22" i="57"/>
  <c r="FB81" i="57"/>
  <c r="U71" i="7" s="1"/>
  <c r="FB12" i="57"/>
  <c r="FB18" i="57"/>
  <c r="FB27" i="57"/>
  <c r="FB101" i="57"/>
  <c r="U91" i="7" s="1"/>
  <c r="FB82" i="57"/>
  <c r="U72" i="7" s="1"/>
  <c r="FB93" i="57"/>
  <c r="U83" i="7" s="1"/>
  <c r="FB21" i="57"/>
  <c r="FB19" i="57"/>
  <c r="FB14" i="57"/>
  <c r="FB11" i="57"/>
  <c r="FB16" i="57"/>
  <c r="FB87" i="57"/>
  <c r="U77" i="7" s="1"/>
  <c r="FB102" i="57"/>
  <c r="U92" i="7" s="1"/>
  <c r="FB3" i="57"/>
  <c r="FB23" i="57"/>
  <c r="FB17" i="57"/>
  <c r="FB13" i="57"/>
  <c r="FB75" i="57"/>
  <c r="U65" i="7" s="1"/>
  <c r="FB92" i="57"/>
  <c r="U82" i="7" s="1"/>
  <c r="FB10" i="57"/>
  <c r="U130" i="7" s="1"/>
  <c r="FB79" i="57"/>
  <c r="U69" i="7" s="1"/>
  <c r="FB20" i="57"/>
  <c r="FB94" i="57"/>
  <c r="U84" i="7" s="1"/>
  <c r="FB24" i="57"/>
  <c r="FB28" i="57"/>
  <c r="FB15" i="57"/>
  <c r="FB97" i="57"/>
  <c r="U87" i="7" s="1"/>
  <c r="FB83" i="57"/>
  <c r="U73" i="7" s="1"/>
  <c r="FB6" i="57"/>
  <c r="FB9" i="57"/>
  <c r="U19" i="7" s="1"/>
  <c r="FB65" i="57"/>
  <c r="U55" i="7" s="1"/>
  <c r="FB47" i="57"/>
  <c r="U37" i="7" s="1"/>
  <c r="FB67" i="57"/>
  <c r="U57" i="7" s="1"/>
  <c r="FB31" i="57"/>
  <c r="U21" i="7" s="1"/>
  <c r="FB25" i="57"/>
  <c r="FB86" i="57"/>
  <c r="U76" i="7" s="1"/>
  <c r="FB26" i="57"/>
  <c r="FB95" i="57"/>
  <c r="U85" i="7" s="1"/>
  <c r="FB78" i="57"/>
  <c r="U68" i="7" s="1"/>
  <c r="FB29" i="57"/>
  <c r="FB48" i="57"/>
  <c r="U38" i="7" s="1"/>
  <c r="FB32" i="57"/>
  <c r="U22" i="7" s="1"/>
  <c r="FB37" i="57"/>
  <c r="U27" i="7" s="1"/>
  <c r="FB74" i="57"/>
  <c r="U64" i="7" s="1"/>
  <c r="FB35" i="57"/>
  <c r="U25" i="7" s="1"/>
  <c r="FB71" i="57"/>
  <c r="U61" i="7" s="1"/>
  <c r="FB53" i="57"/>
  <c r="U43" i="7" s="1"/>
  <c r="FB60" i="57"/>
  <c r="U50" i="7" s="1"/>
  <c r="FB51" i="57"/>
  <c r="U41" i="7" s="1"/>
  <c r="FB43" i="57"/>
  <c r="U33" i="7" s="1"/>
  <c r="FB36" i="57"/>
  <c r="U26" i="7" s="1"/>
  <c r="FB38" i="57"/>
  <c r="U28" i="7" s="1"/>
  <c r="FB68" i="57"/>
  <c r="U58" i="7" s="1"/>
  <c r="FB54" i="57"/>
  <c r="U44" i="7" s="1"/>
  <c r="FB41" i="57"/>
  <c r="U31" i="7" s="1"/>
  <c r="FB33" i="57"/>
  <c r="U23" i="7" s="1"/>
  <c r="FB56" i="57"/>
  <c r="U46" i="7" s="1"/>
  <c r="FB52" i="57"/>
  <c r="U42" i="7" s="1"/>
  <c r="FB45" i="57"/>
  <c r="U35" i="7" s="1"/>
  <c r="FB40" i="57"/>
  <c r="U30" i="7" s="1"/>
  <c r="FB62" i="57"/>
  <c r="U52" i="7" s="1"/>
  <c r="FB69" i="57"/>
  <c r="U59" i="7" s="1"/>
  <c r="FB44" i="57"/>
  <c r="U34" i="7" s="1"/>
  <c r="FB50" i="57"/>
  <c r="U40" i="7" s="1"/>
  <c r="FB57" i="57"/>
  <c r="U47" i="7" s="1"/>
  <c r="FB30" i="57"/>
  <c r="U20" i="7" s="1"/>
  <c r="FB58" i="57"/>
  <c r="U48" i="7" s="1"/>
  <c r="EN44" i="70"/>
  <c r="CS34" i="7" s="1"/>
  <c r="EN39" i="70"/>
  <c r="CS29" i="7" s="1"/>
  <c r="EN58" i="70"/>
  <c r="CS48" i="7" s="1"/>
  <c r="EM37" i="70"/>
  <c r="CR27" i="7" s="1"/>
  <c r="EM69" i="70"/>
  <c r="CR59" i="7" s="1"/>
  <c r="EM58" i="70"/>
  <c r="CR48" i="7" s="1"/>
  <c r="FB91" i="57"/>
  <c r="U81" i="7" s="1"/>
  <c r="EM25" i="70"/>
  <c r="FA25" i="70"/>
  <c r="EM26" i="70"/>
  <c r="FA26" i="70"/>
  <c r="FA54" i="70"/>
  <c r="CZ44" i="7" s="1"/>
  <c r="FA58" i="70"/>
  <c r="CZ48" i="7" s="1"/>
  <c r="FA34" i="70"/>
  <c r="CZ24" i="7" s="1"/>
  <c r="FA66" i="70"/>
  <c r="CZ56" i="7" s="1"/>
  <c r="FA41" i="70"/>
  <c r="CZ31" i="7" s="1"/>
  <c r="FA74" i="70"/>
  <c r="CZ64" i="7" s="1"/>
  <c r="FA62" i="70"/>
  <c r="CZ52" i="7" s="1"/>
  <c r="FA67" i="70"/>
  <c r="CZ57" i="7" s="1"/>
  <c r="FA44" i="70"/>
  <c r="CZ34" i="7" s="1"/>
  <c r="FA71" i="70"/>
  <c r="CZ61" i="7" s="1"/>
  <c r="FA39" i="70"/>
  <c r="CZ29" i="7" s="1"/>
  <c r="FN61" i="57"/>
  <c r="AA51" i="7" s="1"/>
  <c r="GP61" i="57"/>
  <c r="AQ51" i="7" s="1"/>
  <c r="EL61" i="57"/>
  <c r="K51" i="7" s="1"/>
  <c r="EZ61" i="57"/>
  <c r="S51" i="7" s="1"/>
  <c r="FP51" i="56"/>
  <c r="BS41" i="7" s="1"/>
  <c r="FP72" i="56"/>
  <c r="BS62" i="7" s="1"/>
  <c r="FP53" i="56"/>
  <c r="BS43" i="7" s="1"/>
  <c r="FP34" i="56"/>
  <c r="BS24" i="7" s="1"/>
  <c r="FP48" i="56"/>
  <c r="BS38" i="7" s="1"/>
  <c r="FP32" i="56"/>
  <c r="BS22" i="7" s="1"/>
  <c r="FP73" i="56"/>
  <c r="BS63" i="7" s="1"/>
  <c r="FP56" i="56"/>
  <c r="BS46" i="7" s="1"/>
  <c r="FP64" i="56"/>
  <c r="BS54" i="7" s="1"/>
  <c r="FP65" i="56"/>
  <c r="BS55" i="7" s="1"/>
  <c r="GP78" i="57"/>
  <c r="AQ68" i="7" s="1"/>
  <c r="FA74" i="56"/>
  <c r="BJ64" i="7" s="1"/>
  <c r="FA73" i="56"/>
  <c r="BJ63" i="7" s="1"/>
  <c r="FA67" i="56"/>
  <c r="BJ57" i="7" s="1"/>
  <c r="FA38" i="56"/>
  <c r="BJ28" i="7" s="1"/>
  <c r="FA60" i="56"/>
  <c r="BJ50" i="7" s="1"/>
  <c r="FA39" i="56"/>
  <c r="BJ29" i="7" s="1"/>
  <c r="FA41" i="56"/>
  <c r="BJ31" i="7" s="1"/>
  <c r="FA36" i="56"/>
  <c r="BJ26" i="7" s="1"/>
  <c r="FA43" i="56"/>
  <c r="BJ33" i="7" s="1"/>
  <c r="FA40" i="56"/>
  <c r="BJ30" i="7" s="1"/>
  <c r="FA30" i="56"/>
  <c r="BJ20" i="7" s="1"/>
  <c r="FA61" i="56"/>
  <c r="BJ51" i="7" s="1"/>
  <c r="EN50" i="70"/>
  <c r="CS40" i="7" s="1"/>
  <c r="EN47" i="70"/>
  <c r="CS37" i="7" s="1"/>
  <c r="EN72" i="70"/>
  <c r="CS62" i="7" s="1"/>
  <c r="GR53" i="70"/>
  <c r="DY43" i="7" s="1"/>
  <c r="GR52" i="70"/>
  <c r="DY42" i="7" s="1"/>
  <c r="FB72" i="57"/>
  <c r="U62" i="7" s="1"/>
  <c r="GR47" i="70"/>
  <c r="DY37" i="7" s="1"/>
  <c r="DA25" i="38" l="1"/>
  <c r="CW25" i="38"/>
  <c r="DB25" i="38" s="1"/>
  <c r="CX25" i="38"/>
  <c r="DC25" i="38" s="1"/>
  <c r="CZ25" i="38"/>
  <c r="DE25" i="38" s="1"/>
  <c r="CY25" i="38"/>
  <c r="DD25" i="38" s="1"/>
  <c r="O25" i="38"/>
  <c r="AU79" i="45"/>
  <c r="AU36" i="45"/>
  <c r="AU60" i="45"/>
  <c r="AZ77" i="45"/>
  <c r="AG43" i="4"/>
  <c r="AI42" i="4"/>
  <c r="AX42" i="46" s="1"/>
  <c r="AZ67" i="45"/>
  <c r="AH43" i="4"/>
  <c r="AJ42" i="4"/>
  <c r="AY42" i="46" s="1"/>
  <c r="AZ53" i="45"/>
  <c r="AZ97" i="45"/>
  <c r="AZ74" i="45"/>
  <c r="AZ56" i="45"/>
  <c r="CL2" i="41"/>
  <c r="CP2" i="41" s="1"/>
  <c r="CP3" i="41" s="1"/>
  <c r="CL9" i="41"/>
  <c r="CM9" i="41" s="1"/>
  <c r="D10" i="38"/>
  <c r="D10" i="41" s="1"/>
  <c r="D10" i="45"/>
  <c r="E10" i="41" s="1"/>
  <c r="CJ10" i="41" s="1"/>
  <c r="AN114" i="7"/>
  <c r="AT113" i="7"/>
  <c r="GA111" i="7"/>
  <c r="GG111" i="7" s="1"/>
  <c r="FS106" i="7"/>
  <c r="FY106" i="7" s="1"/>
  <c r="GI113" i="7"/>
  <c r="GO113" i="7" s="1"/>
  <c r="GR1" i="76"/>
  <c r="FO13" i="7" s="1"/>
  <c r="FN13" i="7"/>
  <c r="FN15" i="7" s="1"/>
  <c r="EN1" i="76"/>
  <c r="EI13" i="7" s="1"/>
  <c r="EI15" i="7" s="1"/>
  <c r="EH13" i="7"/>
  <c r="EH15" i="7" s="1"/>
  <c r="FP1" i="76"/>
  <c r="EY13" i="7" s="1"/>
  <c r="EY15" i="7" s="1"/>
  <c r="EX13" i="7"/>
  <c r="EX15" i="7" s="1"/>
  <c r="GD1" i="76"/>
  <c r="FG13" i="7" s="1"/>
  <c r="FF13" i="7"/>
  <c r="FB1" i="76"/>
  <c r="EQ13" i="7" s="1"/>
  <c r="EQ15" i="7" s="1"/>
  <c r="EP13" i="7"/>
  <c r="EP15" i="7" s="1"/>
  <c r="DX14" i="7"/>
  <c r="DX15" i="7" s="1"/>
  <c r="CS14" i="7"/>
  <c r="CS15" i="7" s="1"/>
  <c r="AU65" i="45"/>
  <c r="AZ96" i="45"/>
  <c r="AU44" i="38"/>
  <c r="AZ99" i="38"/>
  <c r="AU85" i="38"/>
  <c r="AZ52" i="38"/>
  <c r="AZ94" i="38"/>
  <c r="AU78" i="38"/>
  <c r="AU73" i="38"/>
  <c r="AZ67" i="38"/>
  <c r="AZ57" i="38"/>
  <c r="AZ61" i="38"/>
  <c r="AU22" i="38"/>
  <c r="AU23" i="38"/>
  <c r="AU71" i="38"/>
  <c r="AZ68" i="38"/>
  <c r="AZ95" i="38"/>
  <c r="AU70" i="38"/>
  <c r="AU98" i="38"/>
  <c r="AZ89" i="45"/>
  <c r="AZ54" i="38"/>
  <c r="AZ74" i="38"/>
  <c r="AU31" i="45"/>
  <c r="AZ90" i="38"/>
  <c r="AU26" i="38"/>
  <c r="AZ21" i="38"/>
  <c r="AU102" i="38"/>
  <c r="AU31" i="38"/>
  <c r="AU57" i="38"/>
  <c r="AU65" i="38"/>
  <c r="CM8" i="41"/>
  <c r="AU83" i="38"/>
  <c r="AU90" i="38"/>
  <c r="AZ72" i="38"/>
  <c r="AZ87" i="38"/>
  <c r="AZ85" i="38"/>
  <c r="AZ96" i="38"/>
  <c r="AU72" i="38"/>
  <c r="AZ89" i="38"/>
  <c r="AZ98" i="38"/>
  <c r="AU93" i="38"/>
  <c r="AU24" i="38"/>
  <c r="AU39" i="38"/>
  <c r="AU100" i="38"/>
  <c r="AZ69" i="38"/>
  <c r="AZ73" i="38"/>
  <c r="AU81" i="38"/>
  <c r="AZ97" i="38"/>
  <c r="AU34" i="38"/>
  <c r="AU67" i="38"/>
  <c r="AZ77" i="38"/>
  <c r="AU77" i="38"/>
  <c r="AU84" i="38"/>
  <c r="AU48" i="38"/>
  <c r="AU75" i="38"/>
  <c r="AU45" i="38"/>
  <c r="AU97" i="38"/>
  <c r="AZ59" i="38"/>
  <c r="AZ58" i="38"/>
  <c r="AZ75" i="38"/>
  <c r="AZ53" i="38"/>
  <c r="AU86" i="38"/>
  <c r="AU91" i="38"/>
  <c r="AU46" i="38"/>
  <c r="AU42" i="38"/>
  <c r="AZ60" i="38"/>
  <c r="AZ81" i="38"/>
  <c r="AZ80" i="38"/>
  <c r="AZ91" i="38"/>
  <c r="AU76" i="38"/>
  <c r="AU58" i="38"/>
  <c r="AZ100" i="38"/>
  <c r="AU50" i="38"/>
  <c r="AZ66" i="38"/>
  <c r="AZ63" i="38"/>
  <c r="AZ65" i="38"/>
  <c r="AZ55" i="38"/>
  <c r="AZ84" i="38"/>
  <c r="AU37" i="38"/>
  <c r="AU74" i="38"/>
  <c r="AU52" i="38"/>
  <c r="AU25" i="38"/>
  <c r="AU47" i="38"/>
  <c r="AU43" i="38"/>
  <c r="AU64" i="38"/>
  <c r="AU53" i="38"/>
  <c r="AU40" i="38"/>
  <c r="AU96" i="38"/>
  <c r="AU68" i="38"/>
  <c r="AZ70" i="38"/>
  <c r="AZ64" i="38"/>
  <c r="AZ86" i="38"/>
  <c r="AU94" i="38"/>
  <c r="AZ92" i="38"/>
  <c r="AU20" i="38"/>
  <c r="AU66" i="38"/>
  <c r="AU87" i="38"/>
  <c r="AU51" i="38"/>
  <c r="AU80" i="38"/>
  <c r="AU41" i="38"/>
  <c r="AU21" i="38"/>
  <c r="AU99" i="38"/>
  <c r="AU33" i="38"/>
  <c r="AZ51" i="38"/>
  <c r="AU78" i="46"/>
  <c r="AZ83" i="38"/>
  <c r="AU61" i="38"/>
  <c r="AU30" i="38"/>
  <c r="AU69" i="38"/>
  <c r="AU35" i="38"/>
  <c r="AU55" i="38"/>
  <c r="AU79" i="38"/>
  <c r="AU101" i="38"/>
  <c r="AU54" i="38"/>
  <c r="AU63" i="38"/>
  <c r="AU92" i="38"/>
  <c r="AU38" i="38"/>
  <c r="AU32" i="38"/>
  <c r="AZ82" i="38"/>
  <c r="AU79" i="46"/>
  <c r="AU36" i="38"/>
  <c r="AZ78" i="38"/>
  <c r="AU95" i="38"/>
  <c r="AU62" i="38"/>
  <c r="AZ76" i="38"/>
  <c r="AZ93" i="38"/>
  <c r="AU28" i="38"/>
  <c r="AU27" i="38"/>
  <c r="AU56" i="38"/>
  <c r="AU82" i="38"/>
  <c r="AZ56" i="38"/>
  <c r="AZ22" i="38"/>
  <c r="AZ62" i="38"/>
  <c r="AZ88" i="38"/>
  <c r="AU49" i="38"/>
  <c r="AU29" i="38"/>
  <c r="AU59" i="38"/>
  <c r="AU60" i="38"/>
  <c r="AU89" i="38"/>
  <c r="AZ79" i="38"/>
  <c r="H4" i="41"/>
  <c r="O4" i="41" s="1"/>
  <c r="T4" i="41" s="1"/>
  <c r="CL4" i="41"/>
  <c r="AU37" i="45"/>
  <c r="AU53" i="45"/>
  <c r="AU61" i="45"/>
  <c r="AU34" i="45"/>
  <c r="AU84" i="45"/>
  <c r="AU52" i="45"/>
  <c r="AU96" i="45"/>
  <c r="AU92" i="45"/>
  <c r="AU67" i="45"/>
  <c r="AU47" i="45"/>
  <c r="AU97" i="45"/>
  <c r="AU35" i="45"/>
  <c r="AU91" i="45"/>
  <c r="AU89" i="45"/>
  <c r="AU20" i="45"/>
  <c r="AU76" i="45"/>
  <c r="AU68" i="45"/>
  <c r="AU38" i="45"/>
  <c r="AU94" i="45"/>
  <c r="AU63" i="45"/>
  <c r="AU75" i="45"/>
  <c r="AU99" i="45"/>
  <c r="AU44" i="45"/>
  <c r="AZ25" i="46"/>
  <c r="AU32" i="45"/>
  <c r="AU59" i="45"/>
  <c r="AU27" i="45"/>
  <c r="AU100" i="45"/>
  <c r="AU73" i="45"/>
  <c r="AU88" i="45"/>
  <c r="AU39" i="45"/>
  <c r="AU78" i="45"/>
  <c r="AU82" i="45"/>
  <c r="AU58" i="45"/>
  <c r="AU23" i="45"/>
  <c r="AU24" i="45"/>
  <c r="AU90" i="45"/>
  <c r="AU56" i="45"/>
  <c r="AU80" i="45"/>
  <c r="AU62" i="45"/>
  <c r="AU50" i="45"/>
  <c r="AU70" i="45"/>
  <c r="AU21" i="45"/>
  <c r="AU70" i="46"/>
  <c r="AU98" i="45"/>
  <c r="AU55" i="45"/>
  <c r="AU69" i="45"/>
  <c r="AU93" i="45"/>
  <c r="AU43" i="45"/>
  <c r="AU41" i="45"/>
  <c r="AU30" i="45"/>
  <c r="AU42" i="45"/>
  <c r="AU102" i="45"/>
  <c r="AU33" i="45"/>
  <c r="AU86" i="45"/>
  <c r="AU38" i="46"/>
  <c r="AU87" i="45"/>
  <c r="AU25" i="45"/>
  <c r="AU40" i="45"/>
  <c r="AU57" i="45"/>
  <c r="AU22" i="46"/>
  <c r="AU100" i="46"/>
  <c r="AZ62" i="45"/>
  <c r="AU50" i="46"/>
  <c r="AU95" i="45"/>
  <c r="AU68" i="46"/>
  <c r="AZ83" i="45"/>
  <c r="AZ68" i="45"/>
  <c r="AU54" i="45"/>
  <c r="AU26" i="45"/>
  <c r="AU49" i="45"/>
  <c r="AU71" i="45"/>
  <c r="AU22" i="45"/>
  <c r="AZ35" i="46"/>
  <c r="AZ58" i="45"/>
  <c r="AZ82" i="45"/>
  <c r="AZ60" i="45"/>
  <c r="H2" i="41"/>
  <c r="N2" i="41" s="1"/>
  <c r="S2" i="41" s="1"/>
  <c r="V2" i="41" s="1"/>
  <c r="K3" i="41"/>
  <c r="K4" i="41" s="1"/>
  <c r="K5" i="41" s="1"/>
  <c r="K6" i="41" s="1"/>
  <c r="K7" i="41" s="1"/>
  <c r="K8" i="41" s="1"/>
  <c r="K9" i="41" s="1"/>
  <c r="AZ36" i="46"/>
  <c r="AU33" i="46"/>
  <c r="AZ51" i="45"/>
  <c r="AZ90" i="45"/>
  <c r="AZ27" i="46"/>
  <c r="AZ78" i="45"/>
  <c r="AZ94" i="45"/>
  <c r="AZ22" i="45"/>
  <c r="AZ52" i="45"/>
  <c r="AZ81" i="45"/>
  <c r="AZ80" i="45"/>
  <c r="AZ34" i="46"/>
  <c r="AZ21" i="46"/>
  <c r="AU61" i="46"/>
  <c r="AZ30" i="46"/>
  <c r="AU76" i="46"/>
  <c r="AU91" i="46"/>
  <c r="AU42" i="46"/>
  <c r="AU35" i="46"/>
  <c r="AZ72" i="45"/>
  <c r="AZ69" i="45"/>
  <c r="AZ98" i="45"/>
  <c r="AZ63" i="45"/>
  <c r="AU27" i="46"/>
  <c r="AU87" i="46"/>
  <c r="AZ23" i="46"/>
  <c r="AZ70" i="45"/>
  <c r="AZ93" i="45"/>
  <c r="AZ71" i="45"/>
  <c r="AZ87" i="45"/>
  <c r="AZ100" i="45"/>
  <c r="AZ57" i="45"/>
  <c r="AZ84" i="45"/>
  <c r="AZ75" i="45"/>
  <c r="AZ31" i="46"/>
  <c r="AU97" i="46"/>
  <c r="AU67" i="46"/>
  <c r="AU60" i="46"/>
  <c r="AZ85" i="45"/>
  <c r="AU20" i="46"/>
  <c r="AU39" i="46"/>
  <c r="AZ59" i="45"/>
  <c r="AZ88" i="45"/>
  <c r="AU99" i="46"/>
  <c r="AZ73" i="45"/>
  <c r="O5" i="41"/>
  <c r="T5" i="41" s="1"/>
  <c r="AZ22" i="46"/>
  <c r="AZ92" i="45"/>
  <c r="AU66" i="46"/>
  <c r="AU88" i="46"/>
  <c r="AU90" i="46"/>
  <c r="AZ91" i="45"/>
  <c r="AZ76" i="45"/>
  <c r="AU44" i="46"/>
  <c r="AZ66" i="45"/>
  <c r="AZ64" i="45"/>
  <c r="AU29" i="46"/>
  <c r="AZ38" i="46"/>
  <c r="AZ55" i="45"/>
  <c r="AZ54" i="45"/>
  <c r="AZ61" i="45"/>
  <c r="AU49" i="46"/>
  <c r="AU24" i="46"/>
  <c r="AU84" i="46"/>
  <c r="AU74" i="46"/>
  <c r="AU69" i="46"/>
  <c r="AU51" i="46"/>
  <c r="AU21" i="46"/>
  <c r="AU23" i="46"/>
  <c r="AU28" i="46"/>
  <c r="AU82" i="46"/>
  <c r="AU101" i="46"/>
  <c r="AZ79" i="45"/>
  <c r="AU96" i="46"/>
  <c r="AZ86" i="45"/>
  <c r="AU55" i="46"/>
  <c r="AU77" i="46"/>
  <c r="AU52" i="46"/>
  <c r="AZ41" i="46"/>
  <c r="AU81" i="46"/>
  <c r="AU102" i="46"/>
  <c r="AZ33" i="46"/>
  <c r="AU95" i="46"/>
  <c r="AU62" i="46"/>
  <c r="AU26" i="46"/>
  <c r="AZ24" i="46"/>
  <c r="AZ99" i="45"/>
  <c r="I5" i="41"/>
  <c r="AU75" i="46"/>
  <c r="AZ29" i="46"/>
  <c r="AU53" i="46"/>
  <c r="AU80" i="46"/>
  <c r="P5" i="41"/>
  <c r="U5" i="41" s="1"/>
  <c r="BI20" i="41"/>
  <c r="AU85" i="46"/>
  <c r="AU25" i="46"/>
  <c r="AU45" i="46"/>
  <c r="AU93" i="46"/>
  <c r="AU54" i="46"/>
  <c r="AU86" i="46"/>
  <c r="AZ32" i="46"/>
  <c r="AU65" i="46"/>
  <c r="AU72" i="46"/>
  <c r="AU58" i="46"/>
  <c r="AU57" i="46"/>
  <c r="AU37" i="46"/>
  <c r="AU98" i="46"/>
  <c r="AU36" i="46"/>
  <c r="AU32" i="46"/>
  <c r="AU46" i="46"/>
  <c r="AU71" i="46"/>
  <c r="AU89" i="46"/>
  <c r="AU41" i="46"/>
  <c r="AU92" i="46"/>
  <c r="AU94" i="46"/>
  <c r="AU47" i="46"/>
  <c r="AU83" i="46"/>
  <c r="AU73" i="46"/>
  <c r="AU59" i="46"/>
  <c r="AZ40" i="46"/>
  <c r="AU64" i="46"/>
  <c r="AZ37" i="46"/>
  <c r="AU31" i="46"/>
  <c r="AU40" i="46"/>
  <c r="AU34" i="46"/>
  <c r="AZ26" i="46"/>
  <c r="AZ28" i="46"/>
  <c r="AU48" i="46"/>
  <c r="AU63" i="46"/>
  <c r="AU56" i="46"/>
  <c r="AU43" i="46"/>
  <c r="DS2" i="38"/>
  <c r="CD16" i="41" s="1"/>
  <c r="DY7" i="38"/>
  <c r="CN5" i="41"/>
  <c r="AU15" i="41"/>
  <c r="P8" i="41"/>
  <c r="U8" i="41" s="1"/>
  <c r="O8" i="41"/>
  <c r="T8" i="41" s="1"/>
  <c r="AO15" i="41"/>
  <c r="AP15" i="41"/>
  <c r="AQ15" i="41"/>
  <c r="AS15" i="41"/>
  <c r="I8" i="41"/>
  <c r="AZ20" i="45"/>
  <c r="AZ20" i="38"/>
  <c r="AM6" i="76"/>
  <c r="FK6" i="76"/>
  <c r="EW6" i="76"/>
  <c r="Y6" i="76"/>
  <c r="CR6" i="76"/>
  <c r="FZ6" i="76"/>
  <c r="O3" i="41"/>
  <c r="T3" i="41" s="1"/>
  <c r="N3" i="41"/>
  <c r="S3" i="41" s="1"/>
  <c r="P3" i="41"/>
  <c r="U3" i="41" s="1"/>
  <c r="GM6" i="76"/>
  <c r="BA6" i="76"/>
  <c r="I9" i="41"/>
  <c r="O9" i="41"/>
  <c r="T9" i="41" s="1"/>
  <c r="P9" i="41"/>
  <c r="U9" i="41" s="1"/>
  <c r="N9" i="41"/>
  <c r="S9" i="41" s="1"/>
  <c r="EI6" i="76"/>
  <c r="K6" i="76"/>
  <c r="AZ23" i="45"/>
  <c r="AZ23" i="38"/>
  <c r="S24" i="46"/>
  <c r="E24" i="41"/>
  <c r="S24" i="45"/>
  <c r="D24" i="41"/>
  <c r="EM25" i="38"/>
  <c r="CE25" i="41" s="1"/>
  <c r="FN25" i="38"/>
  <c r="CW25" i="41" s="1"/>
  <c r="EL25" i="38"/>
  <c r="CF25" i="41" s="1"/>
  <c r="BQ25" i="38"/>
  <c r="EN25" i="38"/>
  <c r="FK25" i="45"/>
  <c r="FY25" i="45" s="1"/>
  <c r="S24" i="38"/>
  <c r="C24" i="41"/>
  <c r="FK25" i="46"/>
  <c r="A26" i="4"/>
  <c r="A26" i="7"/>
  <c r="A27" i="55"/>
  <c r="A26" i="46"/>
  <c r="O26" i="46" s="1"/>
  <c r="A26" i="38"/>
  <c r="CV26" i="38" s="1"/>
  <c r="A26" i="45"/>
  <c r="O26" i="45" s="1"/>
  <c r="A26" i="6"/>
  <c r="A26" i="41"/>
  <c r="AX24" i="38"/>
  <c r="AY24" i="38"/>
  <c r="AZ20" i="46"/>
  <c r="FV24" i="45"/>
  <c r="FU24" i="45"/>
  <c r="FW24" i="45"/>
  <c r="AY24" i="45"/>
  <c r="AX24" i="45"/>
  <c r="GB76" i="70"/>
  <c r="DO66" i="7" s="1"/>
  <c r="GB104" i="70"/>
  <c r="DO94" i="7" s="1"/>
  <c r="GB94" i="70"/>
  <c r="DO84" i="7" s="1"/>
  <c r="GB56" i="70"/>
  <c r="DO46" i="7" s="1"/>
  <c r="GB85" i="70"/>
  <c r="DO75" i="7" s="1"/>
  <c r="GB10" i="70"/>
  <c r="DO130" i="7" s="1"/>
  <c r="GB107" i="70"/>
  <c r="DO97" i="7" s="1"/>
  <c r="GB93" i="70"/>
  <c r="DO83" i="7" s="1"/>
  <c r="GB3" i="70"/>
  <c r="GB58" i="70"/>
  <c r="DO48" i="7" s="1"/>
  <c r="GB99" i="70"/>
  <c r="DO89" i="7" s="1"/>
  <c r="GB81" i="70"/>
  <c r="DO71" i="7" s="1"/>
  <c r="GB95" i="70"/>
  <c r="DO85" i="7" s="1"/>
  <c r="GB39" i="70"/>
  <c r="DO29" i="7" s="1"/>
  <c r="GB33" i="70"/>
  <c r="DO23" i="7" s="1"/>
  <c r="GB19" i="70"/>
  <c r="GB49" i="70"/>
  <c r="DO39" i="7" s="1"/>
  <c r="GB51" i="70"/>
  <c r="DO41" i="7" s="1"/>
  <c r="GB52" i="70"/>
  <c r="DO42" i="7" s="1"/>
  <c r="GB27" i="70"/>
  <c r="GB65" i="70"/>
  <c r="DO55" i="7" s="1"/>
  <c r="GB79" i="70"/>
  <c r="DO69" i="7" s="1"/>
  <c r="GB89" i="70"/>
  <c r="DO79" i="7" s="1"/>
  <c r="GB73" i="70"/>
  <c r="DO63" i="7" s="1"/>
  <c r="GB31" i="70"/>
  <c r="DO21" i="7" s="1"/>
  <c r="GB35" i="70"/>
  <c r="DO25" i="7" s="1"/>
  <c r="GB53" i="70"/>
  <c r="DO43" i="7" s="1"/>
  <c r="GB77" i="70"/>
  <c r="DO67" i="7" s="1"/>
  <c r="GB17" i="70"/>
  <c r="GB70" i="70"/>
  <c r="DO60" i="7" s="1"/>
  <c r="GB28" i="70"/>
  <c r="GB84" i="70"/>
  <c r="DO74" i="7" s="1"/>
  <c r="GB54" i="70"/>
  <c r="DO44" i="7" s="1"/>
  <c r="GB83" i="70"/>
  <c r="DO73" i="7" s="1"/>
  <c r="GB61" i="70"/>
  <c r="DO51" i="7" s="1"/>
  <c r="GB74" i="70"/>
  <c r="DO64" i="7" s="1"/>
  <c r="GB68" i="70"/>
  <c r="DO58" i="7" s="1"/>
  <c r="GC8" i="70"/>
  <c r="GB20" i="70"/>
  <c r="GB36" i="70"/>
  <c r="DO26" i="7" s="1"/>
  <c r="GB25" i="70"/>
  <c r="GB71" i="70"/>
  <c r="DO61" i="7" s="1"/>
  <c r="GB110" i="70"/>
  <c r="DO100" i="7" s="1"/>
  <c r="GB55" i="70"/>
  <c r="DO45" i="7" s="1"/>
  <c r="GB98" i="70"/>
  <c r="DO88" i="7" s="1"/>
  <c r="GB102" i="70"/>
  <c r="DO92" i="7" s="1"/>
  <c r="GB80" i="70"/>
  <c r="DO70" i="7" s="1"/>
  <c r="GB108" i="70"/>
  <c r="DO98" i="7" s="1"/>
  <c r="GB105" i="70"/>
  <c r="DO95" i="7" s="1"/>
  <c r="GB57" i="70"/>
  <c r="DO47" i="7" s="1"/>
  <c r="GB6" i="70"/>
  <c r="GB12" i="70"/>
  <c r="GB21" i="70"/>
  <c r="GB103" i="70"/>
  <c r="DO93" i="7" s="1"/>
  <c r="GB96" i="70"/>
  <c r="DO86" i="7" s="1"/>
  <c r="GB64" i="70"/>
  <c r="DO54" i="7" s="1"/>
  <c r="GB43" i="70"/>
  <c r="DO33" i="7" s="1"/>
  <c r="GB29" i="70"/>
  <c r="GB106" i="70"/>
  <c r="DO96" i="7" s="1"/>
  <c r="GB14" i="70"/>
  <c r="GB23" i="70"/>
  <c r="GB30" i="70"/>
  <c r="DO20" i="7" s="1"/>
  <c r="GB44" i="70"/>
  <c r="DO34" i="7" s="1"/>
  <c r="GB46" i="70"/>
  <c r="DO36" i="7" s="1"/>
  <c r="GB41" i="70"/>
  <c r="DO31" i="7" s="1"/>
  <c r="GB87" i="70"/>
  <c r="DO77" i="7" s="1"/>
  <c r="GB38" i="70"/>
  <c r="DO28" i="7" s="1"/>
  <c r="GB48" i="70"/>
  <c r="DO38" i="7" s="1"/>
  <c r="GB90" i="70"/>
  <c r="DO80" i="7" s="1"/>
  <c r="GB66" i="70"/>
  <c r="DO56" i="7" s="1"/>
  <c r="GB15" i="70"/>
  <c r="GB69" i="70"/>
  <c r="DO59" i="7" s="1"/>
  <c r="GB100" i="70"/>
  <c r="DO90" i="7" s="1"/>
  <c r="GB67" i="70"/>
  <c r="DO57" i="7" s="1"/>
  <c r="GB101" i="70"/>
  <c r="DO91" i="7" s="1"/>
  <c r="GB13" i="70"/>
  <c r="GB50" i="70"/>
  <c r="DO40" i="7" s="1"/>
  <c r="GB16" i="70"/>
  <c r="GB59" i="70"/>
  <c r="DO49" i="7" s="1"/>
  <c r="GB86" i="70"/>
  <c r="DO76" i="7" s="1"/>
  <c r="GB11" i="70"/>
  <c r="GB34" i="70"/>
  <c r="DO24" i="7" s="1"/>
  <c r="GB26" i="70"/>
  <c r="GB42" i="70"/>
  <c r="DO32" i="7" s="1"/>
  <c r="GB82" i="70"/>
  <c r="DO72" i="7" s="1"/>
  <c r="GB45" i="70"/>
  <c r="DO35" i="7" s="1"/>
  <c r="GB75" i="70"/>
  <c r="DO65" i="7" s="1"/>
  <c r="GB18" i="70"/>
  <c r="GB72" i="70"/>
  <c r="DO62" i="7" s="1"/>
  <c r="GB60" i="70"/>
  <c r="DO50" i="7" s="1"/>
  <c r="GB47" i="70"/>
  <c r="DO37" i="7" s="1"/>
  <c r="GB91" i="70"/>
  <c r="DO81" i="7" s="1"/>
  <c r="GB40" i="70"/>
  <c r="DO30" i="7" s="1"/>
  <c r="GB78" i="70"/>
  <c r="DO68" i="7" s="1"/>
  <c r="GB97" i="70"/>
  <c r="DO87" i="7" s="1"/>
  <c r="GB92" i="70"/>
  <c r="DO82" i="7" s="1"/>
  <c r="GB24" i="70"/>
  <c r="GB63" i="70"/>
  <c r="DO53" i="7" s="1"/>
  <c r="GB22" i="70"/>
  <c r="GB32" i="70"/>
  <c r="DO22" i="7" s="1"/>
  <c r="GB62" i="70"/>
  <c r="DO52" i="7" s="1"/>
  <c r="GB88" i="70"/>
  <c r="DO78" i="7" s="1"/>
  <c r="GB37" i="70"/>
  <c r="DO27" i="7" s="1"/>
  <c r="GB109" i="70"/>
  <c r="DO99" i="7" s="1"/>
  <c r="CU6" i="56"/>
  <c r="FO6" i="56"/>
  <c r="DH6" i="7" s="1"/>
  <c r="GC6" i="56"/>
  <c r="DP6" i="7" s="1"/>
  <c r="DN1" i="7"/>
  <c r="GA4" i="70"/>
  <c r="GA2" i="70" s="1"/>
  <c r="A135" i="38"/>
  <c r="O135" i="38" s="1"/>
  <c r="A135" i="46"/>
  <c r="O135" i="46" s="1"/>
  <c r="A135" i="45"/>
  <c r="O135" i="45" s="1"/>
  <c r="A136" i="55"/>
  <c r="CO6" i="7"/>
  <c r="FK6" i="56"/>
  <c r="DJ6" i="7" s="1"/>
  <c r="K35" i="10"/>
  <c r="K84" i="10" s="1"/>
  <c r="FX6" i="57"/>
  <c r="AZ6" i="57"/>
  <c r="EH6" i="57"/>
  <c r="GR4" i="70"/>
  <c r="GR2" i="70" s="1"/>
  <c r="DY1" i="7"/>
  <c r="GM6" i="56"/>
  <c r="DZ6" i="7" s="1"/>
  <c r="BA6" i="56"/>
  <c r="EI6" i="56"/>
  <c r="DV6" i="70"/>
  <c r="FN6" i="70"/>
  <c r="DK12" i="41"/>
  <c r="DJ19" i="41"/>
  <c r="BM6" i="56"/>
  <c r="EU6" i="56"/>
  <c r="BF6" i="7" s="1"/>
  <c r="FV18" i="38"/>
  <c r="FU20" i="38"/>
  <c r="FU21" i="38"/>
  <c r="FU6" i="38"/>
  <c r="DP6" i="57"/>
  <c r="FH6" i="57"/>
  <c r="FT21" i="46"/>
  <c r="FU18" i="46"/>
  <c r="FT6" i="46"/>
  <c r="FT20" i="46"/>
  <c r="FT23" i="46"/>
  <c r="FT22" i="46"/>
  <c r="U1" i="7"/>
  <c r="FB4" i="57"/>
  <c r="FY20" i="45"/>
  <c r="FY23" i="45"/>
  <c r="FY22" i="45"/>
  <c r="FY24" i="45"/>
  <c r="FY6" i="45"/>
  <c r="FZ18" i="45"/>
  <c r="FY21" i="45"/>
  <c r="CZ26" i="38" l="1"/>
  <c r="DE26" i="38" s="1"/>
  <c r="CX26" i="38"/>
  <c r="DC26" i="38" s="1"/>
  <c r="CW26" i="38"/>
  <c r="DB26" i="38" s="1"/>
  <c r="DA26" i="38"/>
  <c r="CY26" i="38"/>
  <c r="DD26" i="38" s="1"/>
  <c r="O26" i="38"/>
  <c r="CN2" i="41"/>
  <c r="CR2" i="41" s="1"/>
  <c r="CR3" i="41" s="1"/>
  <c r="AZ42" i="46"/>
  <c r="AG44" i="4"/>
  <c r="AI43" i="4"/>
  <c r="AX43" i="46" s="1"/>
  <c r="AH44" i="4"/>
  <c r="AJ43" i="4"/>
  <c r="AY43" i="46" s="1"/>
  <c r="CM2" i="41"/>
  <c r="CQ2" i="41" s="1"/>
  <c r="CQ3" i="41" s="1"/>
  <c r="CP4" i="41"/>
  <c r="CP5" i="41" s="1"/>
  <c r="CP6" i="41" s="1"/>
  <c r="CP7" i="41" s="1"/>
  <c r="CP8" i="41" s="1"/>
  <c r="CP9" i="41" s="1"/>
  <c r="CN9" i="41"/>
  <c r="CK10" i="41"/>
  <c r="CL10" i="41" s="1"/>
  <c r="G10" i="41"/>
  <c r="H10" i="41" s="1"/>
  <c r="P10" i="41" s="1"/>
  <c r="U10" i="41" s="1"/>
  <c r="AN115" i="7"/>
  <c r="AT114" i="7"/>
  <c r="FS107" i="7"/>
  <c r="FY107" i="7" s="1"/>
  <c r="GA112" i="7"/>
  <c r="GG112" i="7" s="1"/>
  <c r="L35" i="10"/>
  <c r="L67" i="10" s="1"/>
  <c r="M35" i="10"/>
  <c r="GI114" i="7"/>
  <c r="GO114" i="7" s="1"/>
  <c r="DY14" i="7"/>
  <c r="DY15" i="7" s="1"/>
  <c r="FO15" i="7"/>
  <c r="DN14" i="7"/>
  <c r="DN15" i="7" s="1"/>
  <c r="FD15" i="7"/>
  <c r="K65" i="10"/>
  <c r="K64" i="10"/>
  <c r="K67" i="10"/>
  <c r="K66" i="10"/>
  <c r="K55" i="10"/>
  <c r="K85" i="10"/>
  <c r="K16" i="38" s="1"/>
  <c r="K54" i="10"/>
  <c r="K90" i="10"/>
  <c r="K89" i="10"/>
  <c r="V3" i="41"/>
  <c r="K49" i="10"/>
  <c r="K50" i="10"/>
  <c r="K51" i="10"/>
  <c r="K52" i="10"/>
  <c r="CM4" i="41"/>
  <c r="N4" i="41"/>
  <c r="S4" i="41" s="1"/>
  <c r="CN4" i="41"/>
  <c r="I2" i="41"/>
  <c r="J2" i="41" s="1"/>
  <c r="J3" i="41" s="1"/>
  <c r="P4" i="41"/>
  <c r="U4" i="41" s="1"/>
  <c r="I4" i="41"/>
  <c r="P2" i="41"/>
  <c r="U2" i="41" s="1"/>
  <c r="X2" i="41" s="1"/>
  <c r="X3" i="41" s="1"/>
  <c r="O2" i="41"/>
  <c r="T2" i="41" s="1"/>
  <c r="W2" i="41" s="1"/>
  <c r="W3" i="41" s="1"/>
  <c r="W4" i="41" s="1"/>
  <c r="W5" i="41" s="1"/>
  <c r="W6" i="41" s="1"/>
  <c r="W7" i="41" s="1"/>
  <c r="W8" i="41" s="1"/>
  <c r="W9" i="41" s="1"/>
  <c r="AN6" i="76"/>
  <c r="FL6" i="76"/>
  <c r="EJ6" i="76"/>
  <c r="L6" i="76"/>
  <c r="Z6" i="76"/>
  <c r="EX6" i="76"/>
  <c r="GA6" i="76"/>
  <c r="CS6" i="76"/>
  <c r="GN6" i="76"/>
  <c r="BB6" i="76"/>
  <c r="S25" i="45"/>
  <c r="D25" i="41"/>
  <c r="FK26" i="45"/>
  <c r="FZ26" i="45" s="1"/>
  <c r="AY25" i="45"/>
  <c r="AX25" i="45"/>
  <c r="A27" i="45"/>
  <c r="O27" i="45" s="1"/>
  <c r="A27" i="41"/>
  <c r="A27" i="7"/>
  <c r="A27" i="46"/>
  <c r="O27" i="46" s="1"/>
  <c r="A27" i="38"/>
  <c r="CV27" i="38" s="1"/>
  <c r="A28" i="55"/>
  <c r="A27" i="4"/>
  <c r="A27" i="6"/>
  <c r="S25" i="46"/>
  <c r="E25" i="41"/>
  <c r="AZ24" i="38"/>
  <c r="BQ26" i="38"/>
  <c r="FN26" i="38"/>
  <c r="CW26" i="41" s="1"/>
  <c r="EN26" i="38"/>
  <c r="EM26" i="38"/>
  <c r="CE26" i="41" s="1"/>
  <c r="EL26" i="38"/>
  <c r="CF26" i="41" s="1"/>
  <c r="AX25" i="38"/>
  <c r="AY25" i="38"/>
  <c r="C25" i="41"/>
  <c r="S25" i="38"/>
  <c r="AZ24" i="45"/>
  <c r="FK26" i="46"/>
  <c r="FW25" i="45"/>
  <c r="FX25" i="45"/>
  <c r="FV25" i="45"/>
  <c r="GD6" i="56"/>
  <c r="DQ6" i="7" s="1"/>
  <c r="FP6" i="56"/>
  <c r="DI6" i="7" s="1"/>
  <c r="GC3" i="70"/>
  <c r="GC89" i="70"/>
  <c r="DP79" i="7" s="1"/>
  <c r="GC105" i="70"/>
  <c r="DP95" i="7" s="1"/>
  <c r="GC10" i="70"/>
  <c r="DP130" i="7" s="1"/>
  <c r="GC15" i="70"/>
  <c r="GC100" i="70"/>
  <c r="DP90" i="7" s="1"/>
  <c r="GC110" i="70"/>
  <c r="DP100" i="7" s="1"/>
  <c r="GC99" i="70"/>
  <c r="DP89" i="7" s="1"/>
  <c r="GC85" i="70"/>
  <c r="DP75" i="7" s="1"/>
  <c r="GC94" i="70"/>
  <c r="DP84" i="7" s="1"/>
  <c r="GC107" i="70"/>
  <c r="DP97" i="7" s="1"/>
  <c r="GD8" i="70"/>
  <c r="GC95" i="70"/>
  <c r="DP85" i="7" s="1"/>
  <c r="GC101" i="70"/>
  <c r="DP91" i="7" s="1"/>
  <c r="GC19" i="70"/>
  <c r="GC81" i="70"/>
  <c r="DP71" i="7" s="1"/>
  <c r="GC109" i="70"/>
  <c r="DP99" i="7" s="1"/>
  <c r="GC75" i="70"/>
  <c r="DP65" i="7" s="1"/>
  <c r="GC23" i="70"/>
  <c r="GC18" i="70"/>
  <c r="GC97" i="70"/>
  <c r="DP87" i="7" s="1"/>
  <c r="GC106" i="70"/>
  <c r="DP96" i="7" s="1"/>
  <c r="GC11" i="70"/>
  <c r="GC84" i="70"/>
  <c r="DP74" i="7" s="1"/>
  <c r="GC80" i="70"/>
  <c r="DP70" i="7" s="1"/>
  <c r="GC17" i="70"/>
  <c r="GC98" i="70"/>
  <c r="DP88" i="7" s="1"/>
  <c r="GC87" i="70"/>
  <c r="DP77" i="7" s="1"/>
  <c r="GC79" i="70"/>
  <c r="DP69" i="7" s="1"/>
  <c r="GC88" i="70"/>
  <c r="DP78" i="7" s="1"/>
  <c r="GC93" i="70"/>
  <c r="DP83" i="7" s="1"/>
  <c r="GC20" i="70"/>
  <c r="GC78" i="70"/>
  <c r="DP68" i="7" s="1"/>
  <c r="GC76" i="70"/>
  <c r="DP66" i="7" s="1"/>
  <c r="GC90" i="70"/>
  <c r="DP80" i="7" s="1"/>
  <c r="GC103" i="70"/>
  <c r="DP93" i="7" s="1"/>
  <c r="GC14" i="70"/>
  <c r="GC91" i="70"/>
  <c r="DP81" i="7" s="1"/>
  <c r="GC83" i="70"/>
  <c r="DP73" i="7" s="1"/>
  <c r="GC13" i="70"/>
  <c r="GC96" i="70"/>
  <c r="DP86" i="7" s="1"/>
  <c r="GC24" i="70"/>
  <c r="GC104" i="70"/>
  <c r="DP94" i="7" s="1"/>
  <c r="GC22" i="70"/>
  <c r="GC12" i="70"/>
  <c r="GC86" i="70"/>
  <c r="DP76" i="7" s="1"/>
  <c r="GC77" i="70"/>
  <c r="DP67" i="7" s="1"/>
  <c r="GC6" i="70"/>
  <c r="GC21" i="70"/>
  <c r="GC108" i="70"/>
  <c r="DP98" i="7" s="1"/>
  <c r="GC16" i="70"/>
  <c r="GC102" i="70"/>
  <c r="DP92" i="7" s="1"/>
  <c r="GC82" i="70"/>
  <c r="DP72" i="7" s="1"/>
  <c r="GC92" i="70"/>
  <c r="DP82" i="7" s="1"/>
  <c r="GC9" i="70"/>
  <c r="DP19" i="7" s="1"/>
  <c r="GC50" i="70"/>
  <c r="DP40" i="7" s="1"/>
  <c r="GC46" i="70"/>
  <c r="DP36" i="7" s="1"/>
  <c r="GC48" i="70"/>
  <c r="DP38" i="7" s="1"/>
  <c r="GC31" i="70"/>
  <c r="DP21" i="7" s="1"/>
  <c r="GC62" i="70"/>
  <c r="DP52" i="7" s="1"/>
  <c r="GC35" i="70"/>
  <c r="DP25" i="7" s="1"/>
  <c r="GC55" i="70"/>
  <c r="DP45" i="7" s="1"/>
  <c r="GC64" i="70"/>
  <c r="DP54" i="7" s="1"/>
  <c r="GC53" i="70"/>
  <c r="DP43" i="7" s="1"/>
  <c r="GC47" i="70"/>
  <c r="DP37" i="7" s="1"/>
  <c r="GC66" i="70"/>
  <c r="DP56" i="7" s="1"/>
  <c r="GC56" i="70"/>
  <c r="DP46" i="7" s="1"/>
  <c r="GC28" i="70"/>
  <c r="GC27" i="70"/>
  <c r="GC25" i="70"/>
  <c r="GC71" i="70"/>
  <c r="DP61" i="7" s="1"/>
  <c r="GC32" i="70"/>
  <c r="DP22" i="7" s="1"/>
  <c r="GC30" i="70"/>
  <c r="DP20" i="7" s="1"/>
  <c r="GC51" i="70"/>
  <c r="DP41" i="7" s="1"/>
  <c r="GC67" i="70"/>
  <c r="DP57" i="7" s="1"/>
  <c r="GC52" i="70"/>
  <c r="DP42" i="7" s="1"/>
  <c r="GC45" i="70"/>
  <c r="DP35" i="7" s="1"/>
  <c r="GC68" i="70"/>
  <c r="DP58" i="7" s="1"/>
  <c r="GC70" i="70"/>
  <c r="DP60" i="7" s="1"/>
  <c r="GC57" i="70"/>
  <c r="DP47" i="7" s="1"/>
  <c r="GC43" i="70"/>
  <c r="DP33" i="7" s="1"/>
  <c r="GC29" i="70"/>
  <c r="GC38" i="70"/>
  <c r="DP28" i="7" s="1"/>
  <c r="GC69" i="70"/>
  <c r="DP59" i="7" s="1"/>
  <c r="GC39" i="70"/>
  <c r="DP29" i="7" s="1"/>
  <c r="GC54" i="70"/>
  <c r="DP44" i="7" s="1"/>
  <c r="GC73" i="70"/>
  <c r="DP63" i="7" s="1"/>
  <c r="GC40" i="70"/>
  <c r="DP30" i="7" s="1"/>
  <c r="GC58" i="70"/>
  <c r="DP48" i="7" s="1"/>
  <c r="GC72" i="70"/>
  <c r="DP62" i="7" s="1"/>
  <c r="GC36" i="70"/>
  <c r="DP26" i="7" s="1"/>
  <c r="GC61" i="70"/>
  <c r="DP51" i="7" s="1"/>
  <c r="GC49" i="70"/>
  <c r="DP39" i="7" s="1"/>
  <c r="GC74" i="70"/>
  <c r="DP64" i="7" s="1"/>
  <c r="GC44" i="70"/>
  <c r="DP34" i="7" s="1"/>
  <c r="GC63" i="70"/>
  <c r="DP53" i="7" s="1"/>
  <c r="GC65" i="70"/>
  <c r="DP55" i="7" s="1"/>
  <c r="GC42" i="70"/>
  <c r="DP32" i="7" s="1"/>
  <c r="GC37" i="70"/>
  <c r="DP27" i="7" s="1"/>
  <c r="GC59" i="70"/>
  <c r="DP49" i="7" s="1"/>
  <c r="GC60" i="70"/>
  <c r="DP50" i="7" s="1"/>
  <c r="GC34" i="70"/>
  <c r="DP24" i="7" s="1"/>
  <c r="GC41" i="70"/>
  <c r="DP31" i="7" s="1"/>
  <c r="GC33" i="70"/>
  <c r="DP23" i="7" s="1"/>
  <c r="GC26" i="70"/>
  <c r="DO1" i="7"/>
  <c r="GB4" i="70"/>
  <c r="GB2" i="70" s="1"/>
  <c r="FU20" i="46"/>
  <c r="FU22" i="46"/>
  <c r="FU23" i="46"/>
  <c r="FU24" i="46"/>
  <c r="FU6" i="46"/>
  <c r="FV18" i="46"/>
  <c r="FU21" i="46"/>
  <c r="DL12" i="41"/>
  <c r="DK19" i="41"/>
  <c r="FW18" i="38"/>
  <c r="FV21" i="38"/>
  <c r="FV20" i="38"/>
  <c r="FV22" i="38"/>
  <c r="FV6" i="38"/>
  <c r="DW6" i="70"/>
  <c r="FP6" i="70" s="1"/>
  <c r="FO6" i="70"/>
  <c r="FZ6" i="45"/>
  <c r="FZ22" i="45"/>
  <c r="FZ23" i="45"/>
  <c r="FZ25" i="45"/>
  <c r="FZ24" i="45"/>
  <c r="GA18" i="45"/>
  <c r="FZ21" i="45"/>
  <c r="FZ20" i="45"/>
  <c r="CT6" i="7"/>
  <c r="FL6" i="56"/>
  <c r="BA6" i="57"/>
  <c r="FY6" i="57"/>
  <c r="EI6" i="57"/>
  <c r="DQ6" i="57"/>
  <c r="FI6" i="57"/>
  <c r="X6" i="7" s="1"/>
  <c r="BN6" i="56"/>
  <c r="EV6" i="56"/>
  <c r="CW6" i="7" s="1"/>
  <c r="GN6" i="56"/>
  <c r="BB6" i="56"/>
  <c r="EJ6" i="56"/>
  <c r="A136" i="45"/>
  <c r="O136" i="45" s="1"/>
  <c r="A136" i="38"/>
  <c r="O136" i="38" s="1"/>
  <c r="A137" i="55"/>
  <c r="A136" i="46"/>
  <c r="O136" i="46" s="1"/>
  <c r="CW27" i="38" l="1"/>
  <c r="DB27" i="38" s="1"/>
  <c r="CX27" i="38"/>
  <c r="DC27" i="38" s="1"/>
  <c r="CY27" i="38"/>
  <c r="DD27" i="38" s="1"/>
  <c r="CZ27" i="38"/>
  <c r="DE27" i="38" s="1"/>
  <c r="DA27" i="38"/>
  <c r="CR4" i="41"/>
  <c r="CR5" i="41" s="1"/>
  <c r="CR6" i="41" s="1"/>
  <c r="CR7" i="41" s="1"/>
  <c r="CR8" i="41" s="1"/>
  <c r="CR9" i="41" s="1"/>
  <c r="O27" i="38"/>
  <c r="AH45" i="4"/>
  <c r="AJ44" i="4"/>
  <c r="AY44" i="46" s="1"/>
  <c r="AZ43" i="46"/>
  <c r="AG45" i="4"/>
  <c r="AI44" i="4"/>
  <c r="AX44" i="46" s="1"/>
  <c r="CQ4" i="41"/>
  <c r="CQ5" i="41" s="1"/>
  <c r="CQ6" i="41" s="1"/>
  <c r="CQ7" i="41" s="1"/>
  <c r="CQ8" i="41" s="1"/>
  <c r="CQ9" i="41" s="1"/>
  <c r="CP10" i="41"/>
  <c r="M65" i="10"/>
  <c r="L130" i="46" s="1"/>
  <c r="M84" i="10"/>
  <c r="K15" i="46" s="1"/>
  <c r="O10" i="41"/>
  <c r="T10" i="41" s="1"/>
  <c r="W10" i="41" s="1"/>
  <c r="CM10" i="41"/>
  <c r="CN10" i="41"/>
  <c r="N10" i="41"/>
  <c r="S10" i="41" s="1"/>
  <c r="I10" i="41"/>
  <c r="K10" i="41"/>
  <c r="L64" i="10"/>
  <c r="L51" i="10"/>
  <c r="L54" i="10"/>
  <c r="L49" i="10"/>
  <c r="L65" i="10"/>
  <c r="L135" i="45" s="1"/>
  <c r="M49" i="10"/>
  <c r="M90" i="10"/>
  <c r="M67" i="10"/>
  <c r="L16" i="46" s="1"/>
  <c r="M52" i="10"/>
  <c r="M89" i="10"/>
  <c r="L84" i="10"/>
  <c r="K15" i="45" s="1"/>
  <c r="M66" i="10"/>
  <c r="L15" i="46" s="1"/>
  <c r="L23" i="46" s="1"/>
  <c r="M51" i="10"/>
  <c r="M55" i="10"/>
  <c r="M58" i="10" s="1"/>
  <c r="M16" i="46" s="1"/>
  <c r="M64" i="10"/>
  <c r="M50" i="10"/>
  <c r="M54" i="10"/>
  <c r="AN116" i="7"/>
  <c r="AT115" i="7"/>
  <c r="GA113" i="7"/>
  <c r="GG113" i="7" s="1"/>
  <c r="L50" i="10"/>
  <c r="L90" i="10"/>
  <c r="L55" i="10"/>
  <c r="L66" i="10"/>
  <c r="L15" i="45" s="1"/>
  <c r="FS108" i="7"/>
  <c r="FY108" i="7" s="1"/>
  <c r="L52" i="10"/>
  <c r="L89" i="10"/>
  <c r="GI115" i="7"/>
  <c r="GO115" i="7" s="1"/>
  <c r="DO14" i="7"/>
  <c r="DO15" i="7" s="1"/>
  <c r="FE15" i="7"/>
  <c r="K15" i="38"/>
  <c r="K86" i="10"/>
  <c r="K18" i="38" s="1"/>
  <c r="V4" i="41"/>
  <c r="V5" i="41" s="1"/>
  <c r="V6" i="41" s="1"/>
  <c r="V7" i="41" s="1"/>
  <c r="V8" i="41" s="1"/>
  <c r="V9" i="41" s="1"/>
  <c r="L16" i="45"/>
  <c r="K57" i="10"/>
  <c r="M15" i="38" s="1"/>
  <c r="M57" i="10"/>
  <c r="M15" i="46" s="1"/>
  <c r="M135" i="46" s="1"/>
  <c r="K58" i="10"/>
  <c r="M16" i="38" s="1"/>
  <c r="J4" i="41"/>
  <c r="J5" i="41" s="1"/>
  <c r="J6" i="41" s="1"/>
  <c r="J7" i="41" s="1"/>
  <c r="J8" i="41" s="1"/>
  <c r="J9" i="41" s="1"/>
  <c r="X4" i="41"/>
  <c r="X5" i="41" s="1"/>
  <c r="X6" i="41" s="1"/>
  <c r="X7" i="41" s="1"/>
  <c r="X8" i="41" s="1"/>
  <c r="X9" i="41" s="1"/>
  <c r="X10" i="41" s="1"/>
  <c r="L144" i="46"/>
  <c r="U20" i="41"/>
  <c r="T20" i="38"/>
  <c r="BU20" i="38" s="1"/>
  <c r="BV20" i="38" s="1"/>
  <c r="L140" i="46"/>
  <c r="L136" i="46"/>
  <c r="GO6" i="76"/>
  <c r="BC6" i="76"/>
  <c r="CT6" i="76"/>
  <c r="GB6" i="76"/>
  <c r="L131" i="46"/>
  <c r="EY6" i="76"/>
  <c r="AA6" i="76"/>
  <c r="L135" i="46"/>
  <c r="EK6" i="76"/>
  <c r="M6" i="76"/>
  <c r="FM6" i="76"/>
  <c r="AO6" i="76"/>
  <c r="BQ27" i="38"/>
  <c r="FN27" i="38"/>
  <c r="CW27" i="41" s="1"/>
  <c r="EL27" i="38"/>
  <c r="CF27" i="41" s="1"/>
  <c r="EN27" i="38"/>
  <c r="EM27" i="38"/>
  <c r="CE27" i="41" s="1"/>
  <c r="FK27" i="45"/>
  <c r="GA27" i="45" s="1"/>
  <c r="E26" i="41"/>
  <c r="S26" i="46"/>
  <c r="FK27" i="46"/>
  <c r="AZ25" i="45"/>
  <c r="S26" i="45"/>
  <c r="D26" i="41"/>
  <c r="AZ25" i="38"/>
  <c r="C26" i="41"/>
  <c r="S26" i="38"/>
  <c r="FX26" i="45"/>
  <c r="FW26" i="45"/>
  <c r="FY26" i="45"/>
  <c r="AX26" i="38"/>
  <c r="AY26" i="38"/>
  <c r="AX26" i="45"/>
  <c r="AY26" i="45"/>
  <c r="A28" i="7"/>
  <c r="A28" i="41"/>
  <c r="A28" i="46"/>
  <c r="O28" i="46" s="1"/>
  <c r="A28" i="6"/>
  <c r="A29" i="55"/>
  <c r="A28" i="38"/>
  <c r="CV28" i="38" s="1"/>
  <c r="A28" i="4"/>
  <c r="A28" i="45"/>
  <c r="O28" i="45" s="1"/>
  <c r="DP1" i="7"/>
  <c r="GC4" i="70"/>
  <c r="GC2" i="70" s="1"/>
  <c r="GD90" i="70"/>
  <c r="DQ80" i="7" s="1"/>
  <c r="GD98" i="70"/>
  <c r="DQ88" i="7" s="1"/>
  <c r="GD75" i="70"/>
  <c r="DQ65" i="7" s="1"/>
  <c r="GD87" i="70"/>
  <c r="DQ77" i="7" s="1"/>
  <c r="GD103" i="70"/>
  <c r="DQ93" i="7" s="1"/>
  <c r="GD79" i="70"/>
  <c r="DQ69" i="7" s="1"/>
  <c r="GD104" i="70"/>
  <c r="DQ94" i="7" s="1"/>
  <c r="GD10" i="70"/>
  <c r="DQ130" i="7" s="1"/>
  <c r="GD85" i="70"/>
  <c r="DQ75" i="7" s="1"/>
  <c r="GD19" i="70"/>
  <c r="GD80" i="70"/>
  <c r="DQ70" i="7" s="1"/>
  <c r="GD84" i="70"/>
  <c r="DQ74" i="7" s="1"/>
  <c r="GD109" i="70"/>
  <c r="DQ99" i="7" s="1"/>
  <c r="GD100" i="70"/>
  <c r="DQ90" i="7" s="1"/>
  <c r="GD17" i="70"/>
  <c r="GD106" i="70"/>
  <c r="DQ96" i="7" s="1"/>
  <c r="GD108" i="70"/>
  <c r="DQ98" i="7" s="1"/>
  <c r="GD76" i="70"/>
  <c r="DQ66" i="7" s="1"/>
  <c r="GD83" i="70"/>
  <c r="DQ73" i="7" s="1"/>
  <c r="GD97" i="70"/>
  <c r="DQ87" i="7" s="1"/>
  <c r="GD11" i="70"/>
  <c r="GD78" i="70"/>
  <c r="DQ68" i="7" s="1"/>
  <c r="GD86" i="70"/>
  <c r="DQ76" i="7" s="1"/>
  <c r="GD91" i="70"/>
  <c r="DQ81" i="7" s="1"/>
  <c r="GD3" i="70"/>
  <c r="GD77" i="70"/>
  <c r="DQ67" i="7" s="1"/>
  <c r="GD110" i="70"/>
  <c r="DQ100" i="7" s="1"/>
  <c r="GD96" i="70"/>
  <c r="DQ86" i="7" s="1"/>
  <c r="GD13" i="70"/>
  <c r="GD81" i="70"/>
  <c r="DQ71" i="7" s="1"/>
  <c r="GD88" i="70"/>
  <c r="DQ78" i="7" s="1"/>
  <c r="GD12" i="70"/>
  <c r="GD20" i="70"/>
  <c r="GD15" i="70"/>
  <c r="GD99" i="70"/>
  <c r="DQ89" i="7" s="1"/>
  <c r="GD107" i="70"/>
  <c r="DQ97" i="7" s="1"/>
  <c r="GD89" i="70"/>
  <c r="DQ79" i="7" s="1"/>
  <c r="GD14" i="70"/>
  <c r="GD94" i="70"/>
  <c r="DQ84" i="7" s="1"/>
  <c r="GD95" i="70"/>
  <c r="DQ85" i="7" s="1"/>
  <c r="GD23" i="70"/>
  <c r="GD102" i="70"/>
  <c r="DQ92" i="7" s="1"/>
  <c r="GD82" i="70"/>
  <c r="DQ72" i="7" s="1"/>
  <c r="GD21" i="70"/>
  <c r="GD24" i="70"/>
  <c r="GD22" i="70"/>
  <c r="GD92" i="70"/>
  <c r="DQ82" i="7" s="1"/>
  <c r="GD101" i="70"/>
  <c r="DQ91" i="7" s="1"/>
  <c r="GD16" i="70"/>
  <c r="GD18" i="70"/>
  <c r="GD93" i="70"/>
  <c r="DQ83" i="7" s="1"/>
  <c r="GD105" i="70"/>
  <c r="DQ95" i="7" s="1"/>
  <c r="GD6" i="70"/>
  <c r="GD9" i="70"/>
  <c r="DQ19" i="7" s="1"/>
  <c r="GD43" i="70"/>
  <c r="DQ33" i="7" s="1"/>
  <c r="GD40" i="70"/>
  <c r="DQ30" i="7" s="1"/>
  <c r="GD30" i="70"/>
  <c r="DQ20" i="7" s="1"/>
  <c r="GD56" i="70"/>
  <c r="DQ46" i="7" s="1"/>
  <c r="GD73" i="70"/>
  <c r="DQ63" i="7" s="1"/>
  <c r="GD39" i="70"/>
  <c r="DQ29" i="7" s="1"/>
  <c r="GD55" i="70"/>
  <c r="DQ45" i="7" s="1"/>
  <c r="GD67" i="70"/>
  <c r="DQ57" i="7" s="1"/>
  <c r="GD66" i="70"/>
  <c r="DQ56" i="7" s="1"/>
  <c r="GD52" i="70"/>
  <c r="DQ42" i="7" s="1"/>
  <c r="GD65" i="70"/>
  <c r="DQ55" i="7" s="1"/>
  <c r="GD27" i="70"/>
  <c r="GD61" i="70"/>
  <c r="DQ51" i="7" s="1"/>
  <c r="GD72" i="70"/>
  <c r="DQ62" i="7" s="1"/>
  <c r="GD50" i="70"/>
  <c r="DQ40" i="7" s="1"/>
  <c r="GD49" i="70"/>
  <c r="DQ39" i="7" s="1"/>
  <c r="GD70" i="70"/>
  <c r="DQ60" i="7" s="1"/>
  <c r="GD45" i="70"/>
  <c r="DQ35" i="7" s="1"/>
  <c r="GD53" i="70"/>
  <c r="DQ43" i="7" s="1"/>
  <c r="GD44" i="70"/>
  <c r="DQ34" i="7" s="1"/>
  <c r="GD32" i="70"/>
  <c r="DQ22" i="7" s="1"/>
  <c r="GD64" i="70"/>
  <c r="DQ54" i="7" s="1"/>
  <c r="GD35" i="70"/>
  <c r="DQ25" i="7" s="1"/>
  <c r="GD29" i="70"/>
  <c r="GD26" i="70"/>
  <c r="GD54" i="70"/>
  <c r="DQ44" i="7" s="1"/>
  <c r="GD57" i="70"/>
  <c r="DQ47" i="7" s="1"/>
  <c r="GD36" i="70"/>
  <c r="DQ26" i="7" s="1"/>
  <c r="GD60" i="70"/>
  <c r="DQ50" i="7" s="1"/>
  <c r="GD58" i="70"/>
  <c r="DQ48" i="7" s="1"/>
  <c r="GD46" i="70"/>
  <c r="DQ36" i="7" s="1"/>
  <c r="GD51" i="70"/>
  <c r="DQ41" i="7" s="1"/>
  <c r="GD34" i="70"/>
  <c r="DQ24" i="7" s="1"/>
  <c r="GD69" i="70"/>
  <c r="DQ59" i="7" s="1"/>
  <c r="GD74" i="70"/>
  <c r="DQ64" i="7" s="1"/>
  <c r="GD63" i="70"/>
  <c r="DQ53" i="7" s="1"/>
  <c r="GD25" i="70"/>
  <c r="GD28" i="70"/>
  <c r="GD33" i="70"/>
  <c r="DQ23" i="7" s="1"/>
  <c r="GD68" i="70"/>
  <c r="DQ58" i="7" s="1"/>
  <c r="GD59" i="70"/>
  <c r="DQ49" i="7" s="1"/>
  <c r="GD38" i="70"/>
  <c r="DQ28" i="7" s="1"/>
  <c r="GD31" i="70"/>
  <c r="DQ21" i="7" s="1"/>
  <c r="GD62" i="70"/>
  <c r="DQ52" i="7" s="1"/>
  <c r="GD42" i="70"/>
  <c r="DQ32" i="7" s="1"/>
  <c r="GD71" i="70"/>
  <c r="DQ61" i="7" s="1"/>
  <c r="GD48" i="70"/>
  <c r="DQ38" i="7" s="1"/>
  <c r="GD37" i="70"/>
  <c r="DQ27" i="7" s="1"/>
  <c r="GD41" i="70"/>
  <c r="DQ31" i="7" s="1"/>
  <c r="GD47" i="70"/>
  <c r="DQ37" i="7" s="1"/>
  <c r="A137" i="46"/>
  <c r="O137" i="46" s="1"/>
  <c r="A138" i="55"/>
  <c r="A137" i="45"/>
  <c r="O137" i="45" s="1"/>
  <c r="A137" i="38"/>
  <c r="O137" i="38" s="1"/>
  <c r="BC6" i="56"/>
  <c r="GO6" i="56"/>
  <c r="DV6" i="7" s="1"/>
  <c r="EK6" i="56"/>
  <c r="CP6" i="7" s="1"/>
  <c r="DR6" i="57"/>
  <c r="FJ6" i="57"/>
  <c r="L148" i="38"/>
  <c r="L131" i="38"/>
  <c r="L132" i="38"/>
  <c r="L136" i="38"/>
  <c r="L141" i="38"/>
  <c r="L130" i="38"/>
  <c r="L149" i="38"/>
  <c r="L142" i="38"/>
  <c r="L139" i="38"/>
  <c r="L144" i="38"/>
  <c r="L135" i="38"/>
  <c r="L138" i="38"/>
  <c r="L133" i="38"/>
  <c r="L134" i="38"/>
  <c r="L147" i="38"/>
  <c r="L143" i="38"/>
  <c r="L146" i="38"/>
  <c r="L145" i="38"/>
  <c r="L140" i="38"/>
  <c r="L137" i="38"/>
  <c r="GA26" i="45"/>
  <c r="GA23" i="45"/>
  <c r="GA22" i="45"/>
  <c r="GA24" i="45"/>
  <c r="GB18" i="45"/>
  <c r="GA25" i="45"/>
  <c r="GA20" i="45"/>
  <c r="GA21" i="45"/>
  <c r="GA6" i="45"/>
  <c r="BO6" i="56"/>
  <c r="EW6" i="56"/>
  <c r="DB6" i="7" s="1"/>
  <c r="L16" i="38"/>
  <c r="L15" i="38"/>
  <c r="EJ6" i="57"/>
  <c r="BB6" i="57"/>
  <c r="FZ6" i="57"/>
  <c r="FX18" i="38"/>
  <c r="FW23" i="38"/>
  <c r="FW22" i="38"/>
  <c r="FW20" i="38"/>
  <c r="FW6" i="38"/>
  <c r="FW21" i="38"/>
  <c r="DL19" i="41"/>
  <c r="DM12" i="41"/>
  <c r="FV25" i="46"/>
  <c r="FV6" i="46"/>
  <c r="FW18" i="46"/>
  <c r="FV24" i="46"/>
  <c r="FV20" i="46"/>
  <c r="FV23" i="46"/>
  <c r="FV22" i="46"/>
  <c r="FV21" i="46"/>
  <c r="CZ28" i="38" l="1"/>
  <c r="DE28" i="38" s="1"/>
  <c r="CX28" i="38"/>
  <c r="DC28" i="38" s="1"/>
  <c r="CY28" i="38"/>
  <c r="DD28" i="38" s="1"/>
  <c r="CW28" i="38"/>
  <c r="DB28" i="38" s="1"/>
  <c r="DA28" i="38"/>
  <c r="O28" i="38"/>
  <c r="AG46" i="4"/>
  <c r="AI45" i="4"/>
  <c r="AX45" i="46" s="1"/>
  <c r="AZ45" i="46" s="1"/>
  <c r="AZ44" i="46"/>
  <c r="AH46" i="4"/>
  <c r="AJ45" i="4"/>
  <c r="AY45" i="46" s="1"/>
  <c r="L147" i="46"/>
  <c r="L138" i="46"/>
  <c r="L145" i="46"/>
  <c r="L134" i="46"/>
  <c r="L148" i="46"/>
  <c r="L137" i="46"/>
  <c r="L132" i="46"/>
  <c r="L143" i="46"/>
  <c r="L141" i="46"/>
  <c r="L133" i="46"/>
  <c r="L139" i="46"/>
  <c r="L146" i="46"/>
  <c r="L142" i="46"/>
  <c r="L149" i="46"/>
  <c r="CR10" i="41"/>
  <c r="CQ10" i="41"/>
  <c r="J10" i="41"/>
  <c r="M85" i="10"/>
  <c r="K16" i="46" s="1"/>
  <c r="L57" i="10"/>
  <c r="M15" i="45" s="1"/>
  <c r="M135" i="45" s="1"/>
  <c r="V10" i="41"/>
  <c r="L142" i="45"/>
  <c r="L141" i="45"/>
  <c r="L131" i="45"/>
  <c r="L130" i="45"/>
  <c r="L143" i="45"/>
  <c r="L148" i="45"/>
  <c r="L85" i="10"/>
  <c r="K16" i="45" s="1"/>
  <c r="L140" i="45"/>
  <c r="L145" i="45"/>
  <c r="L149" i="45"/>
  <c r="L144" i="45"/>
  <c r="L146" i="45"/>
  <c r="L134" i="45"/>
  <c r="L136" i="45"/>
  <c r="L137" i="45"/>
  <c r="L132" i="45"/>
  <c r="L147" i="45"/>
  <c r="L133" i="45"/>
  <c r="L139" i="45"/>
  <c r="L138" i="45"/>
  <c r="L58" i="10"/>
  <c r="M16" i="45" s="1"/>
  <c r="D11" i="45" s="1"/>
  <c r="E11" i="41" s="1"/>
  <c r="CJ11" i="41" s="1"/>
  <c r="AT116" i="7"/>
  <c r="AN117" i="7"/>
  <c r="FS109" i="7"/>
  <c r="FY109" i="7" s="1"/>
  <c r="GA114" i="7"/>
  <c r="GG114" i="7" s="1"/>
  <c r="GI116" i="7"/>
  <c r="GO116" i="7" s="1"/>
  <c r="DP14" i="7"/>
  <c r="DP15" i="7" s="1"/>
  <c r="FF15" i="7"/>
  <c r="M86" i="10"/>
  <c r="K18" i="46" s="1"/>
  <c r="K27" i="46" s="1"/>
  <c r="K20" i="38"/>
  <c r="K21" i="38" s="1"/>
  <c r="K22" i="38" s="1"/>
  <c r="K23" i="38" s="1"/>
  <c r="K24" i="38" s="1"/>
  <c r="K25" i="38" s="1"/>
  <c r="K26" i="38" s="1"/>
  <c r="K27" i="38" s="1"/>
  <c r="K28" i="38" s="1"/>
  <c r="D13" i="38"/>
  <c r="D13" i="41" s="1"/>
  <c r="M28" i="46"/>
  <c r="M26" i="46"/>
  <c r="M132" i="46"/>
  <c r="M131" i="46"/>
  <c r="M20" i="46"/>
  <c r="M27" i="46"/>
  <c r="M23" i="46"/>
  <c r="M134" i="46"/>
  <c r="M25" i="46"/>
  <c r="M22" i="46"/>
  <c r="M130" i="46"/>
  <c r="M133" i="46"/>
  <c r="M24" i="46"/>
  <c r="M21" i="46"/>
  <c r="M136" i="46"/>
  <c r="D11" i="46"/>
  <c r="F11" i="41" s="1"/>
  <c r="L21" i="45"/>
  <c r="M133" i="45"/>
  <c r="L25" i="45"/>
  <c r="M132" i="45"/>
  <c r="L22" i="45"/>
  <c r="L27" i="45"/>
  <c r="L24" i="45"/>
  <c r="L20" i="45"/>
  <c r="L23" i="45"/>
  <c r="M20" i="45"/>
  <c r="L26" i="45"/>
  <c r="M24" i="45"/>
  <c r="L20" i="46"/>
  <c r="L28" i="45"/>
  <c r="L22" i="46"/>
  <c r="L27" i="46"/>
  <c r="L21" i="46"/>
  <c r="L25" i="46"/>
  <c r="L28" i="46"/>
  <c r="L24" i="46"/>
  <c r="L26" i="46"/>
  <c r="EL6" i="76"/>
  <c r="N6" i="76"/>
  <c r="BD6" i="76"/>
  <c r="GP6" i="76"/>
  <c r="FN6" i="76"/>
  <c r="AP6" i="76"/>
  <c r="EZ6" i="76"/>
  <c r="AB6" i="76"/>
  <c r="CU6" i="76"/>
  <c r="GD6" i="76" s="1"/>
  <c r="GC6" i="76"/>
  <c r="AZ26" i="38"/>
  <c r="D27" i="41"/>
  <c r="S27" i="45"/>
  <c r="FK28" i="45"/>
  <c r="M28" i="45"/>
  <c r="AZ26" i="45"/>
  <c r="AX27" i="38"/>
  <c r="AY27" i="38"/>
  <c r="E27" i="41"/>
  <c r="S27" i="46"/>
  <c r="S27" i="38"/>
  <c r="C27" i="41"/>
  <c r="A29" i="45"/>
  <c r="O29" i="45" s="1"/>
  <c r="A29" i="38"/>
  <c r="CV29" i="38" s="1"/>
  <c r="A29" i="7"/>
  <c r="A29" i="6"/>
  <c r="A29" i="4"/>
  <c r="A29" i="41"/>
  <c r="A29" i="46"/>
  <c r="O29" i="46" s="1"/>
  <c r="A30" i="55"/>
  <c r="FK28" i="46"/>
  <c r="AY27" i="45"/>
  <c r="AX27" i="45"/>
  <c r="FX27" i="45"/>
  <c r="FY27" i="45"/>
  <c r="FZ27" i="45"/>
  <c r="BQ28" i="38"/>
  <c r="FN28" i="38"/>
  <c r="CW28" i="41" s="1"/>
  <c r="EL28" i="38"/>
  <c r="CF28" i="41" s="1"/>
  <c r="EM28" i="38"/>
  <c r="CE28" i="41" s="1"/>
  <c r="EN28" i="38"/>
  <c r="GD4" i="70"/>
  <c r="GD2" i="70" s="1"/>
  <c r="DQ1" i="7"/>
  <c r="DN12" i="41"/>
  <c r="DM19" i="41"/>
  <c r="M22" i="38"/>
  <c r="M23" i="38"/>
  <c r="M20" i="38"/>
  <c r="M21" i="38"/>
  <c r="D11" i="38"/>
  <c r="D11" i="41" s="1"/>
  <c r="M130" i="38"/>
  <c r="M131" i="38"/>
  <c r="M24" i="38"/>
  <c r="M25" i="38"/>
  <c r="M132" i="38"/>
  <c r="M26" i="38"/>
  <c r="M133" i="38"/>
  <c r="M27" i="38"/>
  <c r="M134" i="38"/>
  <c r="M28" i="38"/>
  <c r="M135" i="38"/>
  <c r="DS6" i="57"/>
  <c r="FK6" i="57"/>
  <c r="EW6" i="57"/>
  <c r="M137" i="38"/>
  <c r="M137" i="46"/>
  <c r="GA6" i="57"/>
  <c r="BC6" i="57"/>
  <c r="EK6" i="57"/>
  <c r="BP6" i="56"/>
  <c r="EX6" i="56"/>
  <c r="GB26" i="45"/>
  <c r="GB23" i="45"/>
  <c r="GB22" i="45"/>
  <c r="GB24" i="45"/>
  <c r="GC18" i="45"/>
  <c r="GB25" i="45"/>
  <c r="GB20" i="45"/>
  <c r="GB6" i="45"/>
  <c r="GB21" i="45"/>
  <c r="GB27" i="45"/>
  <c r="M136" i="38"/>
  <c r="M137" i="45"/>
  <c r="FW25" i="46"/>
  <c r="FW6" i="46"/>
  <c r="FW26" i="46"/>
  <c r="FW24" i="46"/>
  <c r="FX18" i="46"/>
  <c r="FW21" i="46"/>
  <c r="FW20" i="46"/>
  <c r="FW23" i="46"/>
  <c r="FW22" i="46"/>
  <c r="FY18" i="38"/>
  <c r="FX23" i="38"/>
  <c r="FX24" i="38"/>
  <c r="FX22" i="38"/>
  <c r="FX21" i="38"/>
  <c r="FX20" i="38"/>
  <c r="FX6" i="38"/>
  <c r="CY13" i="41"/>
  <c r="L22" i="38"/>
  <c r="L21" i="38"/>
  <c r="L20" i="38"/>
  <c r="L23" i="38"/>
  <c r="L24" i="38"/>
  <c r="L25" i="38"/>
  <c r="L26" i="38"/>
  <c r="L27" i="38"/>
  <c r="L28" i="38"/>
  <c r="BD6" i="56"/>
  <c r="EL6" i="56"/>
  <c r="CQ6" i="7" s="1"/>
  <c r="GP6" i="56"/>
  <c r="DW6" i="7" s="1"/>
  <c r="A138" i="38"/>
  <c r="O138" i="38" s="1"/>
  <c r="A138" i="45"/>
  <c r="O138" i="45" s="1"/>
  <c r="A138" i="46"/>
  <c r="O138" i="46" s="1"/>
  <c r="A139" i="55"/>
  <c r="DA29" i="38" l="1"/>
  <c r="CW29" i="38"/>
  <c r="DB29" i="38" s="1"/>
  <c r="CX29" i="38"/>
  <c r="DC29" i="38" s="1"/>
  <c r="CY29" i="38"/>
  <c r="DD29" i="38" s="1"/>
  <c r="CZ29" i="38"/>
  <c r="DE29" i="38" s="1"/>
  <c r="M25" i="45"/>
  <c r="M27" i="45"/>
  <c r="AH47" i="4"/>
  <c r="AJ46" i="4"/>
  <c r="AY46" i="46" s="1"/>
  <c r="AG47" i="4"/>
  <c r="AI46" i="4"/>
  <c r="AX46" i="46" s="1"/>
  <c r="M26" i="45"/>
  <c r="M22" i="45"/>
  <c r="M23" i="45"/>
  <c r="M21" i="45"/>
  <c r="M136" i="45"/>
  <c r="M134" i="45"/>
  <c r="M130" i="45"/>
  <c r="M131" i="45"/>
  <c r="L86" i="10"/>
  <c r="K18" i="45" s="1"/>
  <c r="K21" i="45" s="1"/>
  <c r="AN118" i="7"/>
  <c r="AT117" i="7"/>
  <c r="GA115" i="7"/>
  <c r="GG115" i="7" s="1"/>
  <c r="FS110" i="7"/>
  <c r="FY110" i="7" s="1"/>
  <c r="GI117" i="7"/>
  <c r="GO117" i="7" s="1"/>
  <c r="DQ14" i="7"/>
  <c r="DQ15" i="7" s="1"/>
  <c r="FG15" i="7"/>
  <c r="EX16" i="38" s="1"/>
  <c r="M29" i="38"/>
  <c r="O29" i="38"/>
  <c r="K25" i="46"/>
  <c r="K20" i="46"/>
  <c r="K28" i="46"/>
  <c r="K23" i="46"/>
  <c r="K22" i="46"/>
  <c r="D13" i="46"/>
  <c r="F13" i="41" s="1"/>
  <c r="K24" i="46"/>
  <c r="K26" i="46"/>
  <c r="K21" i="46"/>
  <c r="CK13" i="41"/>
  <c r="D13" i="45"/>
  <c r="E13" i="41" s="1"/>
  <c r="G13" i="41" s="1"/>
  <c r="GQ6" i="76"/>
  <c r="BE6" i="76"/>
  <c r="GR6" i="76" s="1"/>
  <c r="FA6" i="76"/>
  <c r="AC6" i="76"/>
  <c r="FB6" i="76" s="1"/>
  <c r="AQ6" i="76"/>
  <c r="FP6" i="76" s="1"/>
  <c r="FO6" i="76"/>
  <c r="EM6" i="76"/>
  <c r="O6" i="76"/>
  <c r="AZ27" i="38"/>
  <c r="AX28" i="38"/>
  <c r="AY28" i="38"/>
  <c r="FK29" i="46"/>
  <c r="M29" i="46"/>
  <c r="L29" i="46"/>
  <c r="K29" i="46"/>
  <c r="FZ28" i="45"/>
  <c r="GA28" i="45"/>
  <c r="FY28" i="45"/>
  <c r="S28" i="38"/>
  <c r="C28" i="41"/>
  <c r="AY28" i="45"/>
  <c r="AX28" i="45"/>
  <c r="EN29" i="38"/>
  <c r="L29" i="38"/>
  <c r="EL29" i="38"/>
  <c r="CF29" i="41" s="1"/>
  <c r="K29" i="38"/>
  <c r="FN29" i="38"/>
  <c r="CW29" i="41" s="1"/>
  <c r="EM29" i="38"/>
  <c r="CE29" i="41" s="1"/>
  <c r="BQ29" i="38"/>
  <c r="AZ27" i="45"/>
  <c r="L29" i="45"/>
  <c r="FK29" i="45"/>
  <c r="GC29" i="45" s="1"/>
  <c r="M29" i="45"/>
  <c r="S28" i="45"/>
  <c r="D28" i="41"/>
  <c r="GB28" i="45"/>
  <c r="S28" i="46"/>
  <c r="E28" i="41"/>
  <c r="A30" i="4"/>
  <c r="A30" i="6"/>
  <c r="A31" i="55"/>
  <c r="A30" i="41"/>
  <c r="A30" i="7"/>
  <c r="A30" i="45"/>
  <c r="O30" i="45" s="1"/>
  <c r="A30" i="46"/>
  <c r="O30" i="46" s="1"/>
  <c r="A30" i="38"/>
  <c r="CV30" i="38" s="1"/>
  <c r="H16" i="45"/>
  <c r="AR16" i="38"/>
  <c r="H16" i="46"/>
  <c r="H16" i="38"/>
  <c r="M138" i="46"/>
  <c r="M138" i="45"/>
  <c r="FX21" i="46"/>
  <c r="FX27" i="46"/>
  <c r="FX22" i="46"/>
  <c r="FX20" i="46"/>
  <c r="FY18" i="46"/>
  <c r="FX24" i="46"/>
  <c r="FX6" i="46"/>
  <c r="FX23" i="46"/>
  <c r="FX25" i="46"/>
  <c r="FX26" i="46"/>
  <c r="GC24" i="45"/>
  <c r="GD18" i="45"/>
  <c r="GC25" i="45"/>
  <c r="GC20" i="45"/>
  <c r="GC6" i="45"/>
  <c r="GC21" i="45"/>
  <c r="GC27" i="45"/>
  <c r="GC26" i="45"/>
  <c r="GC28" i="45"/>
  <c r="GC23" i="45"/>
  <c r="GC22" i="45"/>
  <c r="DN19" i="41"/>
  <c r="BD6" i="57"/>
  <c r="GB6" i="57"/>
  <c r="EL6" i="57"/>
  <c r="DT6" i="57"/>
  <c r="FL6" i="57"/>
  <c r="EX6" i="57"/>
  <c r="BE6" i="56"/>
  <c r="EM6" i="56"/>
  <c r="CR6" i="7" s="1"/>
  <c r="GQ6" i="56"/>
  <c r="DX6" i="7" s="1"/>
  <c r="A139" i="46"/>
  <c r="O139" i="46" s="1"/>
  <c r="A140" i="55"/>
  <c r="A139" i="45"/>
  <c r="O139" i="45" s="1"/>
  <c r="A139" i="38"/>
  <c r="O139" i="38" s="1"/>
  <c r="M138" i="38"/>
  <c r="CY21" i="41"/>
  <c r="CY20" i="41"/>
  <c r="CY23" i="41"/>
  <c r="CY24" i="41"/>
  <c r="CY22" i="41"/>
  <c r="FZ18" i="38"/>
  <c r="FY24" i="38"/>
  <c r="FY25" i="38"/>
  <c r="FY21" i="38"/>
  <c r="FY22" i="38"/>
  <c r="FY23" i="38"/>
  <c r="FY20" i="38"/>
  <c r="FY6" i="38"/>
  <c r="BQ6" i="56"/>
  <c r="EY6" i="56"/>
  <c r="CX6" i="7" s="1"/>
  <c r="CK11" i="41"/>
  <c r="CL11" i="41" s="1"/>
  <c r="G11" i="41"/>
  <c r="CY30" i="38" l="1"/>
  <c r="DD30" i="38" s="1"/>
  <c r="DA30" i="38"/>
  <c r="CW30" i="38"/>
  <c r="DB30" i="38" s="1"/>
  <c r="CX30" i="38"/>
  <c r="DC30" i="38" s="1"/>
  <c r="CZ30" i="38"/>
  <c r="DE30" i="38" s="1"/>
  <c r="O30" i="38"/>
  <c r="AZ46" i="46"/>
  <c r="AG48" i="4"/>
  <c r="AI47" i="4"/>
  <c r="AX47" i="46" s="1"/>
  <c r="AH48" i="4"/>
  <c r="AJ47" i="4"/>
  <c r="AY47" i="46" s="1"/>
  <c r="L82" i="10"/>
  <c r="L72" i="10" s="1"/>
  <c r="L3" i="45" s="1"/>
  <c r="M82" i="10"/>
  <c r="K82" i="10"/>
  <c r="K22" i="45"/>
  <c r="K23" i="45" s="1"/>
  <c r="K24" i="45" s="1"/>
  <c r="K25" i="45" s="1"/>
  <c r="K26" i="45" s="1"/>
  <c r="K27" i="45" s="1"/>
  <c r="K28" i="45" s="1"/>
  <c r="K29" i="45" s="1"/>
  <c r="K20" i="45"/>
  <c r="AN119" i="7"/>
  <c r="AT118" i="7"/>
  <c r="BD16" i="45"/>
  <c r="BD61" i="45" s="1"/>
  <c r="EN6" i="76"/>
  <c r="GA116" i="7"/>
  <c r="GG116" i="7" s="1"/>
  <c r="AR16" i="46"/>
  <c r="AR89" i="46" s="1"/>
  <c r="AR16" i="45"/>
  <c r="AR39" i="45" s="1"/>
  <c r="AV39" i="45" s="1"/>
  <c r="AW39" i="45" s="1"/>
  <c r="F39" i="45" s="1"/>
  <c r="FS111" i="7"/>
  <c r="FY111" i="7" s="1"/>
  <c r="GI118" i="7"/>
  <c r="GO118" i="7" s="1"/>
  <c r="BD16" i="46"/>
  <c r="BD70" i="46" s="1"/>
  <c r="BC16" i="38"/>
  <c r="BC51" i="38" s="1"/>
  <c r="FC16" i="38"/>
  <c r="FC73" i="38" s="1"/>
  <c r="EW16" i="38"/>
  <c r="EW83" i="38" s="1"/>
  <c r="BC16" i="46"/>
  <c r="BC33" i="46" s="1"/>
  <c r="EV16" i="38"/>
  <c r="EV40" i="38" s="1"/>
  <c r="FB16" i="38"/>
  <c r="FB94" i="38" s="1"/>
  <c r="BD16" i="38"/>
  <c r="BD96" i="38" s="1"/>
  <c r="BC16" i="45"/>
  <c r="BC57" i="45" s="1"/>
  <c r="CJ13" i="41"/>
  <c r="CL13" i="41" s="1"/>
  <c r="H13" i="41"/>
  <c r="O13" i="41" s="1"/>
  <c r="T13" i="41" s="1"/>
  <c r="AZ28" i="45"/>
  <c r="M30" i="46"/>
  <c r="FK30" i="46"/>
  <c r="L30" i="46"/>
  <c r="K30" i="46"/>
  <c r="A31" i="46"/>
  <c r="O31" i="46" s="1"/>
  <c r="A31" i="6"/>
  <c r="A31" i="38"/>
  <c r="CV31" i="38" s="1"/>
  <c r="A31" i="4"/>
  <c r="A31" i="45"/>
  <c r="O31" i="45" s="1"/>
  <c r="A32" i="55"/>
  <c r="A31" i="41"/>
  <c r="A31" i="7"/>
  <c r="D29" i="41"/>
  <c r="S29" i="45"/>
  <c r="S29" i="38"/>
  <c r="C29" i="41"/>
  <c r="EM30" i="38"/>
  <c r="CE30" i="41" s="1"/>
  <c r="M30" i="38"/>
  <c r="BQ30" i="38"/>
  <c r="FN30" i="38"/>
  <c r="CW30" i="41" s="1"/>
  <c r="L30" i="38"/>
  <c r="K30" i="38"/>
  <c r="EL30" i="38"/>
  <c r="CF30" i="41" s="1"/>
  <c r="EN30" i="38"/>
  <c r="K30" i="45"/>
  <c r="M30" i="45"/>
  <c r="FK30" i="45"/>
  <c r="L30" i="45"/>
  <c r="AX29" i="38"/>
  <c r="AY29" i="38"/>
  <c r="S29" i="46"/>
  <c r="E29" i="41"/>
  <c r="GA29" i="45"/>
  <c r="GB29" i="45"/>
  <c r="FZ29" i="45"/>
  <c r="AY29" i="45"/>
  <c r="AX29" i="45"/>
  <c r="AZ28" i="38"/>
  <c r="AR62" i="38"/>
  <c r="AR41" i="38"/>
  <c r="AV41" i="38" s="1"/>
  <c r="AW41" i="38" s="1"/>
  <c r="F41" i="38" s="1"/>
  <c r="AR100" i="38"/>
  <c r="AR68" i="38"/>
  <c r="AR39" i="38"/>
  <c r="AV39" i="38" s="1"/>
  <c r="AW39" i="38" s="1"/>
  <c r="F39" i="38" s="1"/>
  <c r="AR138" i="38"/>
  <c r="AR92" i="38"/>
  <c r="AR64" i="38"/>
  <c r="AR88" i="38"/>
  <c r="AR59" i="38"/>
  <c r="AR75" i="38"/>
  <c r="AR60" i="38"/>
  <c r="AR133" i="38"/>
  <c r="AR148" i="38"/>
  <c r="AR32" i="38"/>
  <c r="AV32" i="38" s="1"/>
  <c r="AW32" i="38" s="1"/>
  <c r="F32" i="38" s="1"/>
  <c r="AR27" i="38"/>
  <c r="AR51" i="38"/>
  <c r="AR63" i="38"/>
  <c r="AR47" i="38"/>
  <c r="AV47" i="38" s="1"/>
  <c r="AW47" i="38" s="1"/>
  <c r="F47" i="38" s="1"/>
  <c r="AR73" i="38"/>
  <c r="AR144" i="38"/>
  <c r="AR58" i="38"/>
  <c r="AR67" i="38"/>
  <c r="AR91" i="38"/>
  <c r="AR83" i="38"/>
  <c r="AR90" i="38"/>
  <c r="AR97" i="38"/>
  <c r="AR85" i="38"/>
  <c r="AR31" i="38"/>
  <c r="AV31" i="38" s="1"/>
  <c r="AW31" i="38" s="1"/>
  <c r="F31" i="38" s="1"/>
  <c r="AR93" i="38"/>
  <c r="AR46" i="38"/>
  <c r="AV46" i="38" s="1"/>
  <c r="AW46" i="38" s="1"/>
  <c r="F46" i="38" s="1"/>
  <c r="AR56" i="38"/>
  <c r="AR135" i="38"/>
  <c r="AR23" i="38"/>
  <c r="AR149" i="38"/>
  <c r="AR98" i="38"/>
  <c r="AR136" i="38"/>
  <c r="AR76" i="38"/>
  <c r="AR34" i="38"/>
  <c r="AV34" i="38" s="1"/>
  <c r="AW34" i="38" s="1"/>
  <c r="F34" i="38" s="1"/>
  <c r="AR33" i="38"/>
  <c r="AV33" i="38" s="1"/>
  <c r="AW33" i="38" s="1"/>
  <c r="F33" i="38" s="1"/>
  <c r="AR38" i="38"/>
  <c r="AV38" i="38" s="1"/>
  <c r="AW38" i="38" s="1"/>
  <c r="F38" i="38" s="1"/>
  <c r="AR84" i="38"/>
  <c r="AR99" i="38"/>
  <c r="AR143" i="38"/>
  <c r="AR65" i="38"/>
  <c r="AR132" i="38"/>
  <c r="AR29" i="38"/>
  <c r="AV29" i="38" s="1"/>
  <c r="AW29" i="38" s="1"/>
  <c r="F29" i="38" s="1"/>
  <c r="AR44" i="38"/>
  <c r="AV44" i="38" s="1"/>
  <c r="AW44" i="38" s="1"/>
  <c r="F44" i="38" s="1"/>
  <c r="AR146" i="38"/>
  <c r="AR72" i="38"/>
  <c r="AR70" i="38"/>
  <c r="AR55" i="38"/>
  <c r="AR50" i="38"/>
  <c r="AV50" i="38" s="1"/>
  <c r="AW50" i="38" s="1"/>
  <c r="F50" i="38" s="1"/>
  <c r="AR130" i="38"/>
  <c r="AR26" i="38"/>
  <c r="AR147" i="38"/>
  <c r="AR69" i="38"/>
  <c r="AR139" i="38"/>
  <c r="AR77" i="38"/>
  <c r="AR80" i="38"/>
  <c r="AR43" i="38"/>
  <c r="AV43" i="38" s="1"/>
  <c r="AW43" i="38" s="1"/>
  <c r="F43" i="38" s="1"/>
  <c r="AR22" i="38"/>
  <c r="AR66" i="38"/>
  <c r="AR140" i="38"/>
  <c r="AR28" i="38"/>
  <c r="AR36" i="38"/>
  <c r="AV36" i="38" s="1"/>
  <c r="AW36" i="38" s="1"/>
  <c r="F36" i="38" s="1"/>
  <c r="AR145" i="38"/>
  <c r="AR79" i="38"/>
  <c r="AR78" i="38"/>
  <c r="AR53" i="38"/>
  <c r="AR52" i="38"/>
  <c r="AR134" i="38"/>
  <c r="AR89" i="38"/>
  <c r="AR21" i="38"/>
  <c r="AR20" i="38"/>
  <c r="AR57" i="38"/>
  <c r="AR71" i="38"/>
  <c r="AR25" i="38"/>
  <c r="AR35" i="38"/>
  <c r="AV35" i="38" s="1"/>
  <c r="AW35" i="38" s="1"/>
  <c r="F35" i="38" s="1"/>
  <c r="AR30" i="38"/>
  <c r="AV30" i="38" s="1"/>
  <c r="AW30" i="38" s="1"/>
  <c r="F30" i="38" s="1"/>
  <c r="AR137" i="38"/>
  <c r="AR54" i="38"/>
  <c r="AR95" i="38"/>
  <c r="AR94" i="38"/>
  <c r="AR48" i="38"/>
  <c r="AV48" i="38" s="1"/>
  <c r="AW48" i="38" s="1"/>
  <c r="F48" i="38" s="1"/>
  <c r="AR96" i="38"/>
  <c r="AR87" i="38"/>
  <c r="AR40" i="38"/>
  <c r="AV40" i="38" s="1"/>
  <c r="AW40" i="38" s="1"/>
  <c r="F40" i="38" s="1"/>
  <c r="AR82" i="38"/>
  <c r="AR86" i="38"/>
  <c r="AR142" i="38"/>
  <c r="AR42" i="38"/>
  <c r="AV42" i="38" s="1"/>
  <c r="AW42" i="38" s="1"/>
  <c r="F42" i="38" s="1"/>
  <c r="AR24" i="38"/>
  <c r="AR131" i="38"/>
  <c r="AR81" i="38"/>
  <c r="AR45" i="38"/>
  <c r="AV45" i="38" s="1"/>
  <c r="AW45" i="38" s="1"/>
  <c r="F45" i="38" s="1"/>
  <c r="AR61" i="38"/>
  <c r="AR37" i="38"/>
  <c r="AV37" i="38" s="1"/>
  <c r="AW37" i="38" s="1"/>
  <c r="F37" i="38" s="1"/>
  <c r="AR74" i="38"/>
  <c r="AR141" i="38"/>
  <c r="AR49" i="38"/>
  <c r="AV49" i="38" s="1"/>
  <c r="AW49" i="38" s="1"/>
  <c r="F49" i="38" s="1"/>
  <c r="EW30" i="38"/>
  <c r="EW29" i="38"/>
  <c r="AR35" i="46"/>
  <c r="AR26" i="46"/>
  <c r="AR37" i="46"/>
  <c r="AR59" i="46"/>
  <c r="AR54" i="46"/>
  <c r="EX26" i="38"/>
  <c r="EX75" i="38"/>
  <c r="EX62" i="38"/>
  <c r="EX50" i="38"/>
  <c r="EX33" i="38"/>
  <c r="EX47" i="38"/>
  <c r="EX32" i="38"/>
  <c r="EX25" i="38"/>
  <c r="EX31" i="38"/>
  <c r="EX39" i="38"/>
  <c r="EX42" i="38"/>
  <c r="EX56" i="38"/>
  <c r="EX69" i="38"/>
  <c r="EX45" i="38"/>
  <c r="EX76" i="38"/>
  <c r="EX93" i="38"/>
  <c r="EX55" i="38"/>
  <c r="EX68" i="38"/>
  <c r="EX58" i="38"/>
  <c r="EX51" i="38"/>
  <c r="EX22" i="38"/>
  <c r="EX81" i="38"/>
  <c r="EX49" i="38"/>
  <c r="EX59" i="38"/>
  <c r="EX67" i="38"/>
  <c r="EX63" i="38"/>
  <c r="EX80" i="38"/>
  <c r="EX73" i="38"/>
  <c r="EX19" i="38"/>
  <c r="EX72" i="38"/>
  <c r="EX98" i="38"/>
  <c r="EX87" i="38"/>
  <c r="EX40" i="38"/>
  <c r="EX23" i="38"/>
  <c r="EX96" i="38"/>
  <c r="EX90" i="38"/>
  <c r="EX78" i="38"/>
  <c r="EX44" i="38"/>
  <c r="EX30" i="38"/>
  <c r="EX70" i="38"/>
  <c r="EX88" i="38"/>
  <c r="EX99" i="38"/>
  <c r="EX92" i="38"/>
  <c r="EX24" i="38"/>
  <c r="EX53" i="38"/>
  <c r="EX21" i="38"/>
  <c r="EX35" i="38"/>
  <c r="EX100" i="38"/>
  <c r="EX34" i="38"/>
  <c r="EX43" i="38"/>
  <c r="EX38" i="38"/>
  <c r="EX36" i="38"/>
  <c r="EX82" i="38"/>
  <c r="EX77" i="38"/>
  <c r="EX86" i="38"/>
  <c r="EX74" i="38"/>
  <c r="EX57" i="38"/>
  <c r="EX64" i="38"/>
  <c r="EX91" i="38"/>
  <c r="EX79" i="38"/>
  <c r="EX95" i="38"/>
  <c r="EX71" i="38"/>
  <c r="EX27" i="38"/>
  <c r="EX85" i="38"/>
  <c r="EX28" i="38"/>
  <c r="EX29" i="38"/>
  <c r="EX89" i="38"/>
  <c r="EX97" i="38"/>
  <c r="EX48" i="38"/>
  <c r="EX61" i="38"/>
  <c r="EX37" i="38"/>
  <c r="EX54" i="38"/>
  <c r="EX94" i="38"/>
  <c r="EX84" i="38"/>
  <c r="EX66" i="38"/>
  <c r="EX65" i="38"/>
  <c r="EX83" i="38"/>
  <c r="EX46" i="38"/>
  <c r="EX52" i="38"/>
  <c r="EX20" i="38"/>
  <c r="EX41" i="38"/>
  <c r="EX60" i="38"/>
  <c r="H11" i="41"/>
  <c r="K11" i="41"/>
  <c r="GA18" i="38"/>
  <c r="FZ23" i="38"/>
  <c r="FZ20" i="38"/>
  <c r="FZ25" i="38"/>
  <c r="FZ22" i="38"/>
  <c r="FZ6" i="38"/>
  <c r="FZ26" i="38"/>
  <c r="FZ24" i="38"/>
  <c r="FZ21" i="38"/>
  <c r="BE6" i="57"/>
  <c r="GC6" i="57"/>
  <c r="EM6" i="57"/>
  <c r="FY27" i="46"/>
  <c r="FY22" i="46"/>
  <c r="FY20" i="46"/>
  <c r="FZ18" i="46"/>
  <c r="FY21" i="46"/>
  <c r="FY26" i="46"/>
  <c r="FY24" i="46"/>
  <c r="FY25" i="46"/>
  <c r="FY6" i="46"/>
  <c r="FY23" i="46"/>
  <c r="FY28" i="46"/>
  <c r="BR6" i="56"/>
  <c r="EZ6" i="56"/>
  <c r="CY6" i="7" s="1"/>
  <c r="M139" i="45"/>
  <c r="A140" i="38"/>
  <c r="O140" i="38" s="1"/>
  <c r="A141" i="55"/>
  <c r="A140" i="46"/>
  <c r="O140" i="46" s="1"/>
  <c r="A140" i="45"/>
  <c r="O140" i="45" s="1"/>
  <c r="EN6" i="56"/>
  <c r="CS6" i="7" s="1"/>
  <c r="GR6" i="56"/>
  <c r="DY6" i="7" s="1"/>
  <c r="CN11" i="41"/>
  <c r="CR11" i="41" s="1"/>
  <c r="CM11" i="41"/>
  <c r="CQ11" i="41" s="1"/>
  <c r="CP11" i="41"/>
  <c r="M139" i="38"/>
  <c r="M139" i="46"/>
  <c r="DU6" i="57"/>
  <c r="FM6" i="57"/>
  <c r="GD27" i="45"/>
  <c r="GD26" i="45"/>
  <c r="GD6" i="45"/>
  <c r="GD28" i="45"/>
  <c r="GD23" i="45"/>
  <c r="GD22" i="45"/>
  <c r="GD24" i="45"/>
  <c r="GE18" i="45"/>
  <c r="GD25" i="45"/>
  <c r="GD20" i="45"/>
  <c r="GD21" i="45"/>
  <c r="GD29" i="45"/>
  <c r="CW31" i="38" l="1"/>
  <c r="DB31" i="38" s="1"/>
  <c r="CX31" i="38"/>
  <c r="DC31" i="38" s="1"/>
  <c r="CY31" i="38"/>
  <c r="DD31" i="38" s="1"/>
  <c r="DA31" i="38"/>
  <c r="CZ31" i="38"/>
  <c r="DE31" i="38" s="1"/>
  <c r="O31" i="38"/>
  <c r="AR95" i="46"/>
  <c r="AR97" i="46"/>
  <c r="BC61" i="46"/>
  <c r="AR140" i="46"/>
  <c r="AR24" i="46"/>
  <c r="AR31" i="46"/>
  <c r="AH49" i="4"/>
  <c r="AJ48" i="4"/>
  <c r="AY48" i="46" s="1"/>
  <c r="AZ48" i="46" s="1"/>
  <c r="AZ47" i="46"/>
  <c r="AG49" i="4"/>
  <c r="AI48" i="4"/>
  <c r="AX48" i="46" s="1"/>
  <c r="AR149" i="46"/>
  <c r="AR52" i="46"/>
  <c r="AV52" i="46" s="1"/>
  <c r="AW52" i="46" s="1"/>
  <c r="F52" i="46" s="1"/>
  <c r="AR133" i="46"/>
  <c r="EW72" i="38"/>
  <c r="AR86" i="45"/>
  <c r="AV86" i="45" s="1"/>
  <c r="AW86" i="45" s="1"/>
  <c r="F86" i="45" s="1"/>
  <c r="EW79" i="38"/>
  <c r="BD148" i="45"/>
  <c r="BD60" i="45"/>
  <c r="BD53" i="45"/>
  <c r="AR25" i="46"/>
  <c r="AV25" i="46" s="1"/>
  <c r="AW25" i="46" s="1"/>
  <c r="F25" i="46" s="1"/>
  <c r="AR38" i="46"/>
  <c r="BA38" i="46" s="1"/>
  <c r="BB38" i="46" s="1"/>
  <c r="G38" i="46" s="1"/>
  <c r="AR143" i="46"/>
  <c r="AR82" i="46"/>
  <c r="AV82" i="46" s="1"/>
  <c r="AW82" i="46" s="1"/>
  <c r="F82" i="46" s="1"/>
  <c r="AR34" i="46"/>
  <c r="BA34" i="46" s="1"/>
  <c r="BB34" i="46" s="1"/>
  <c r="G34" i="46" s="1"/>
  <c r="AR142" i="46"/>
  <c r="AR77" i="46"/>
  <c r="AV77" i="46" s="1"/>
  <c r="AW77" i="46" s="1"/>
  <c r="F77" i="46" s="1"/>
  <c r="AR86" i="46"/>
  <c r="AR47" i="46"/>
  <c r="BA47" i="46" s="1"/>
  <c r="BB47" i="46" s="1"/>
  <c r="G47" i="46" s="1"/>
  <c r="AR43" i="46"/>
  <c r="AV43" i="46" s="1"/>
  <c r="AW43" i="46" s="1"/>
  <c r="F43" i="46" s="1"/>
  <c r="AR136" i="46"/>
  <c r="AR87" i="46"/>
  <c r="AV87" i="46" s="1"/>
  <c r="AW87" i="46" s="1"/>
  <c r="F87" i="46" s="1"/>
  <c r="AR61" i="46"/>
  <c r="AR45" i="46"/>
  <c r="AV45" i="46" s="1"/>
  <c r="AW45" i="46" s="1"/>
  <c r="F45" i="46" s="1"/>
  <c r="AR81" i="46"/>
  <c r="AV81" i="46" s="1"/>
  <c r="AW81" i="46" s="1"/>
  <c r="F81" i="46" s="1"/>
  <c r="AR85" i="46"/>
  <c r="AR68" i="46"/>
  <c r="AR80" i="46"/>
  <c r="AV80" i="46" s="1"/>
  <c r="AW80" i="46" s="1"/>
  <c r="F80" i="46" s="1"/>
  <c r="BD38" i="46"/>
  <c r="AR51" i="46"/>
  <c r="AV51" i="46" s="1"/>
  <c r="AW51" i="46" s="1"/>
  <c r="F51" i="46" s="1"/>
  <c r="AR76" i="46"/>
  <c r="AV76" i="46" s="1"/>
  <c r="AW76" i="46" s="1"/>
  <c r="F76" i="46" s="1"/>
  <c r="AR58" i="46"/>
  <c r="AR57" i="46"/>
  <c r="AR83" i="46"/>
  <c r="AR46" i="46"/>
  <c r="AV46" i="46" s="1"/>
  <c r="AW46" i="46" s="1"/>
  <c r="F46" i="46" s="1"/>
  <c r="AR96" i="46"/>
  <c r="AR99" i="46"/>
  <c r="AV99" i="46" s="1"/>
  <c r="AW99" i="46" s="1"/>
  <c r="F99" i="46" s="1"/>
  <c r="AR27" i="46"/>
  <c r="BA27" i="46" s="1"/>
  <c r="BB27" i="46" s="1"/>
  <c r="G27" i="46" s="1"/>
  <c r="M27" i="41" s="1"/>
  <c r="AR29" i="46"/>
  <c r="BA29" i="46" s="1"/>
  <c r="BB29" i="46" s="1"/>
  <c r="G29" i="46" s="1"/>
  <c r="AR65" i="46"/>
  <c r="AR134" i="46"/>
  <c r="AR100" i="46"/>
  <c r="AV100" i="46" s="1"/>
  <c r="AW100" i="46" s="1"/>
  <c r="F100" i="46" s="1"/>
  <c r="AR137" i="46"/>
  <c r="AR132" i="46"/>
  <c r="AR84" i="46"/>
  <c r="AV84" i="46" s="1"/>
  <c r="AW84" i="46" s="1"/>
  <c r="F84" i="46" s="1"/>
  <c r="AR66" i="46"/>
  <c r="AV66" i="46" s="1"/>
  <c r="AW66" i="46" s="1"/>
  <c r="F66" i="46" s="1"/>
  <c r="AR73" i="46"/>
  <c r="AV73" i="46" s="1"/>
  <c r="AW73" i="46" s="1"/>
  <c r="F73" i="46" s="1"/>
  <c r="AR135" i="46"/>
  <c r="L71" i="10"/>
  <c r="L2" i="45" s="1"/>
  <c r="BD40" i="45"/>
  <c r="BD82" i="45"/>
  <c r="BD44" i="45"/>
  <c r="BD38" i="45"/>
  <c r="BD49" i="45"/>
  <c r="BD20" i="45"/>
  <c r="BD137" i="45"/>
  <c r="BD22" i="45"/>
  <c r="BD90" i="45"/>
  <c r="AR26" i="45"/>
  <c r="AV26" i="45" s="1"/>
  <c r="AW26" i="45" s="1"/>
  <c r="F26" i="45" s="1"/>
  <c r="BD35" i="45"/>
  <c r="BD80" i="45"/>
  <c r="BD70" i="45"/>
  <c r="BD85" i="45"/>
  <c r="BD96" i="45"/>
  <c r="BD56" i="45"/>
  <c r="BD54" i="45"/>
  <c r="BD74" i="45"/>
  <c r="BD62" i="45"/>
  <c r="BD26" i="45"/>
  <c r="BD57" i="45"/>
  <c r="BE57" i="45" s="1"/>
  <c r="BD139" i="45"/>
  <c r="AR52" i="45"/>
  <c r="BA52" i="45" s="1"/>
  <c r="BB52" i="45" s="1"/>
  <c r="G52" i="45" s="1"/>
  <c r="AR77" i="45"/>
  <c r="BA77" i="45" s="1"/>
  <c r="BB77" i="45" s="1"/>
  <c r="G77" i="45" s="1"/>
  <c r="AR42" i="46"/>
  <c r="BA42" i="46" s="1"/>
  <c r="BB42" i="46" s="1"/>
  <c r="G42" i="46" s="1"/>
  <c r="AR20" i="46"/>
  <c r="BA20" i="46" s="1"/>
  <c r="BB20" i="46" s="1"/>
  <c r="G20" i="46" s="1"/>
  <c r="M20" i="41" s="1"/>
  <c r="AR21" i="46"/>
  <c r="BA21" i="46" s="1"/>
  <c r="BB21" i="46" s="1"/>
  <c r="G21" i="46" s="1"/>
  <c r="AR69" i="46"/>
  <c r="AV69" i="46" s="1"/>
  <c r="AW69" i="46" s="1"/>
  <c r="F69" i="46" s="1"/>
  <c r="AR93" i="46"/>
  <c r="AR90" i="46"/>
  <c r="AV90" i="46" s="1"/>
  <c r="AW90" i="46" s="1"/>
  <c r="F90" i="46" s="1"/>
  <c r="AR79" i="46"/>
  <c r="AV79" i="46" s="1"/>
  <c r="AW79" i="46" s="1"/>
  <c r="F79" i="46" s="1"/>
  <c r="AR49" i="46"/>
  <c r="AR44" i="46"/>
  <c r="BA44" i="46" s="1"/>
  <c r="BB44" i="46" s="1"/>
  <c r="G44" i="46" s="1"/>
  <c r="AR88" i="46"/>
  <c r="AV88" i="46" s="1"/>
  <c r="AW88" i="46" s="1"/>
  <c r="F88" i="46" s="1"/>
  <c r="AR141" i="46"/>
  <c r="AR39" i="46"/>
  <c r="BA39" i="46" s="1"/>
  <c r="BB39" i="46" s="1"/>
  <c r="G39" i="46" s="1"/>
  <c r="AR28" i="46"/>
  <c r="AV28" i="46" s="1"/>
  <c r="AW28" i="46" s="1"/>
  <c r="F28" i="46" s="1"/>
  <c r="AR78" i="46"/>
  <c r="AR67" i="46"/>
  <c r="AV67" i="46" s="1"/>
  <c r="AW67" i="46" s="1"/>
  <c r="F67" i="46" s="1"/>
  <c r="AR40" i="46"/>
  <c r="AV40" i="46" s="1"/>
  <c r="AW40" i="46" s="1"/>
  <c r="F40" i="46" s="1"/>
  <c r="AR55" i="46"/>
  <c r="AV55" i="46" s="1"/>
  <c r="AW55" i="46" s="1"/>
  <c r="F55" i="46" s="1"/>
  <c r="AR148" i="46"/>
  <c r="AR144" i="46"/>
  <c r="AR50" i="46"/>
  <c r="AR36" i="46"/>
  <c r="AV36" i="46" s="1"/>
  <c r="AW36" i="46" s="1"/>
  <c r="F36" i="46" s="1"/>
  <c r="AR70" i="46"/>
  <c r="AR130" i="46"/>
  <c r="AR63" i="46"/>
  <c r="AV63" i="46" s="1"/>
  <c r="AW63" i="46" s="1"/>
  <c r="F63" i="46" s="1"/>
  <c r="AR98" i="46"/>
  <c r="AV98" i="46" s="1"/>
  <c r="AW98" i="46" s="1"/>
  <c r="F98" i="46" s="1"/>
  <c r="AR41" i="46"/>
  <c r="AV41" i="46" s="1"/>
  <c r="AW41" i="46" s="1"/>
  <c r="F41" i="46" s="1"/>
  <c r="BD29" i="45"/>
  <c r="BD143" i="45"/>
  <c r="BD130" i="45"/>
  <c r="BD75" i="45"/>
  <c r="BD23" i="45"/>
  <c r="BD78" i="45"/>
  <c r="BD50" i="45"/>
  <c r="BD149" i="45"/>
  <c r="BD51" i="45"/>
  <c r="BD68" i="45"/>
  <c r="BD37" i="45"/>
  <c r="BD141" i="45"/>
  <c r="BD73" i="45"/>
  <c r="AR80" i="45"/>
  <c r="BA80" i="45" s="1"/>
  <c r="BB80" i="45" s="1"/>
  <c r="G80" i="45" s="1"/>
  <c r="AR97" i="45"/>
  <c r="BA97" i="45" s="1"/>
  <c r="BB97" i="45" s="1"/>
  <c r="G97" i="45" s="1"/>
  <c r="AR60" i="46"/>
  <c r="AR91" i="46"/>
  <c r="AV91" i="46" s="1"/>
  <c r="AW91" i="46" s="1"/>
  <c r="F91" i="46" s="1"/>
  <c r="AR139" i="46"/>
  <c r="AR64" i="46"/>
  <c r="AR33" i="46"/>
  <c r="AV33" i="46" s="1"/>
  <c r="AW33" i="46" s="1"/>
  <c r="F33" i="46" s="1"/>
  <c r="AR22" i="46"/>
  <c r="AV22" i="46" s="1"/>
  <c r="AW22" i="46" s="1"/>
  <c r="F22" i="46" s="1"/>
  <c r="AR146" i="46"/>
  <c r="AR62" i="46"/>
  <c r="AR48" i="46"/>
  <c r="AR72" i="46"/>
  <c r="AV72" i="46" s="1"/>
  <c r="AW72" i="46" s="1"/>
  <c r="F72" i="46" s="1"/>
  <c r="AR145" i="46"/>
  <c r="AR92" i="46"/>
  <c r="AR147" i="46"/>
  <c r="AR71" i="46"/>
  <c r="AV71" i="46" s="1"/>
  <c r="AW71" i="46" s="1"/>
  <c r="F71" i="46" s="1"/>
  <c r="AR23" i="46"/>
  <c r="BA23" i="46" s="1"/>
  <c r="BB23" i="46" s="1"/>
  <c r="G23" i="46" s="1"/>
  <c r="M23" i="41" s="1"/>
  <c r="AR131" i="46"/>
  <c r="AR94" i="46"/>
  <c r="AV94" i="46" s="1"/>
  <c r="AW94" i="46" s="1"/>
  <c r="F94" i="46" s="1"/>
  <c r="AR56" i="46"/>
  <c r="AV56" i="46" s="1"/>
  <c r="AW56" i="46" s="1"/>
  <c r="F56" i="46" s="1"/>
  <c r="AR53" i="46"/>
  <c r="AV53" i="46" s="1"/>
  <c r="AW53" i="46" s="1"/>
  <c r="F53" i="46" s="1"/>
  <c r="AR75" i="46"/>
  <c r="AV75" i="46" s="1"/>
  <c r="AW75" i="46" s="1"/>
  <c r="F75" i="46" s="1"/>
  <c r="AR138" i="46"/>
  <c r="AR74" i="46"/>
  <c r="AV74" i="46" s="1"/>
  <c r="AW74" i="46" s="1"/>
  <c r="F74" i="46" s="1"/>
  <c r="AR30" i="46"/>
  <c r="AV30" i="46" s="1"/>
  <c r="AW30" i="46" s="1"/>
  <c r="F30" i="46" s="1"/>
  <c r="AR32" i="46"/>
  <c r="BA32" i="46" s="1"/>
  <c r="BB32" i="46" s="1"/>
  <c r="G32" i="46" s="1"/>
  <c r="BD49" i="46"/>
  <c r="BD142" i="45"/>
  <c r="BD132" i="45"/>
  <c r="BD83" i="45"/>
  <c r="BD39" i="45"/>
  <c r="BD100" i="45"/>
  <c r="BD48" i="45"/>
  <c r="BD76" i="45"/>
  <c r="BD25" i="45"/>
  <c r="BD46" i="45"/>
  <c r="BD47" i="45"/>
  <c r="BD134" i="45"/>
  <c r="BD64" i="45"/>
  <c r="BD30" i="45"/>
  <c r="D12" i="45"/>
  <c r="E12" i="41" s="1"/>
  <c r="CJ12" i="41" s="1"/>
  <c r="EW97" i="38"/>
  <c r="EW38" i="38"/>
  <c r="EW48" i="38"/>
  <c r="M71" i="10"/>
  <c r="L2" i="46" s="1"/>
  <c r="M72" i="10"/>
  <c r="L3" i="46" s="1"/>
  <c r="K72" i="10"/>
  <c r="L3" i="38" s="1"/>
  <c r="K71" i="10"/>
  <c r="L2" i="38" s="1"/>
  <c r="FC91" i="38"/>
  <c r="AR130" i="45"/>
  <c r="AR31" i="45"/>
  <c r="AV31" i="45" s="1"/>
  <c r="AW31" i="45" s="1"/>
  <c r="F31" i="45" s="1"/>
  <c r="AR55" i="45"/>
  <c r="BA55" i="45" s="1"/>
  <c r="BB55" i="45" s="1"/>
  <c r="G55" i="45" s="1"/>
  <c r="AR72" i="45"/>
  <c r="BA72" i="45" s="1"/>
  <c r="BB72" i="45" s="1"/>
  <c r="G72" i="45" s="1"/>
  <c r="AR67" i="45"/>
  <c r="BA67" i="45" s="1"/>
  <c r="BB67" i="45" s="1"/>
  <c r="G67" i="45" s="1"/>
  <c r="AR87" i="45"/>
  <c r="BA87" i="45" s="1"/>
  <c r="BB87" i="45" s="1"/>
  <c r="G87" i="45" s="1"/>
  <c r="BD57" i="46"/>
  <c r="AR71" i="45"/>
  <c r="BA71" i="45" s="1"/>
  <c r="BB71" i="45" s="1"/>
  <c r="G71" i="45" s="1"/>
  <c r="BD134" i="46"/>
  <c r="FC82" i="38"/>
  <c r="FB98" i="38"/>
  <c r="FC45" i="38"/>
  <c r="FB65" i="38"/>
  <c r="AR36" i="45"/>
  <c r="AV36" i="45" s="1"/>
  <c r="AW36" i="45" s="1"/>
  <c r="F36" i="45" s="1"/>
  <c r="AR74" i="45"/>
  <c r="BA74" i="45" s="1"/>
  <c r="BB74" i="45" s="1"/>
  <c r="G74" i="45" s="1"/>
  <c r="AR149" i="45"/>
  <c r="AR91" i="45"/>
  <c r="BA91" i="45" s="1"/>
  <c r="BB91" i="45" s="1"/>
  <c r="G91" i="45" s="1"/>
  <c r="AR48" i="45"/>
  <c r="AV48" i="45" s="1"/>
  <c r="AW48" i="45" s="1"/>
  <c r="F48" i="45" s="1"/>
  <c r="AR63" i="45"/>
  <c r="AV63" i="45" s="1"/>
  <c r="AW63" i="45" s="1"/>
  <c r="F63" i="45" s="1"/>
  <c r="BD91" i="46"/>
  <c r="BD84" i="46"/>
  <c r="BD26" i="46"/>
  <c r="BD92" i="46"/>
  <c r="BD141" i="46"/>
  <c r="BD43" i="46"/>
  <c r="BD94" i="46"/>
  <c r="BD142" i="46"/>
  <c r="BD144" i="46"/>
  <c r="BD22" i="46"/>
  <c r="FC95" i="38"/>
  <c r="BC100" i="46"/>
  <c r="AR82" i="45"/>
  <c r="BA82" i="45" s="1"/>
  <c r="BB82" i="45" s="1"/>
  <c r="G82" i="45" s="1"/>
  <c r="AR30" i="45"/>
  <c r="AV30" i="45" s="1"/>
  <c r="AW30" i="45" s="1"/>
  <c r="F30" i="45" s="1"/>
  <c r="AR51" i="45"/>
  <c r="AV51" i="45" s="1"/>
  <c r="AW51" i="45" s="1"/>
  <c r="F51" i="45" s="1"/>
  <c r="AR93" i="45"/>
  <c r="BA93" i="45" s="1"/>
  <c r="BB93" i="45" s="1"/>
  <c r="G93" i="45" s="1"/>
  <c r="AR143" i="45"/>
  <c r="AR135" i="45"/>
  <c r="BD79" i="46"/>
  <c r="BD44" i="46"/>
  <c r="BD85" i="46"/>
  <c r="BD21" i="46"/>
  <c r="BD68" i="46"/>
  <c r="BC134" i="46"/>
  <c r="AR79" i="45"/>
  <c r="BA79" i="45" s="1"/>
  <c r="BB79" i="45" s="1"/>
  <c r="G79" i="45" s="1"/>
  <c r="AR45" i="45"/>
  <c r="AV45" i="45" s="1"/>
  <c r="AW45" i="45" s="1"/>
  <c r="F45" i="45" s="1"/>
  <c r="AR78" i="45"/>
  <c r="AV78" i="45" s="1"/>
  <c r="AW78" i="45" s="1"/>
  <c r="F78" i="45" s="1"/>
  <c r="AR94" i="45"/>
  <c r="BA94" i="45" s="1"/>
  <c r="BB94" i="45" s="1"/>
  <c r="G94" i="45" s="1"/>
  <c r="AR139" i="45"/>
  <c r="AR28" i="45"/>
  <c r="BA28" i="45" s="1"/>
  <c r="BB28" i="45" s="1"/>
  <c r="G28" i="45" s="1"/>
  <c r="AR58" i="45"/>
  <c r="AV58" i="45" s="1"/>
  <c r="AW58" i="45" s="1"/>
  <c r="F58" i="45" s="1"/>
  <c r="AR138" i="45"/>
  <c r="AR44" i="45"/>
  <c r="AV44" i="45" s="1"/>
  <c r="AW44" i="45" s="1"/>
  <c r="F44" i="45" s="1"/>
  <c r="AR24" i="45"/>
  <c r="AV24" i="45" s="1"/>
  <c r="AW24" i="45" s="1"/>
  <c r="F24" i="45" s="1"/>
  <c r="AR83" i="45"/>
  <c r="AV83" i="45" s="1"/>
  <c r="AW83" i="45" s="1"/>
  <c r="F83" i="45" s="1"/>
  <c r="AR56" i="45"/>
  <c r="BA56" i="45" s="1"/>
  <c r="BB56" i="45" s="1"/>
  <c r="G56" i="45" s="1"/>
  <c r="BD50" i="46"/>
  <c r="BD36" i="46"/>
  <c r="BD46" i="46"/>
  <c r="BD51" i="46"/>
  <c r="BD39" i="46"/>
  <c r="BD47" i="46"/>
  <c r="BD86" i="46"/>
  <c r="BD40" i="46"/>
  <c r="BD33" i="46"/>
  <c r="BE33" i="46" s="1"/>
  <c r="BC96" i="46"/>
  <c r="AR22" i="45"/>
  <c r="AV22" i="45" s="1"/>
  <c r="AW22" i="45" s="1"/>
  <c r="F22" i="45" s="1"/>
  <c r="AR21" i="45"/>
  <c r="BA21" i="45" s="1"/>
  <c r="BB21" i="45" s="1"/>
  <c r="G21" i="45" s="1"/>
  <c r="L21" i="41" s="1"/>
  <c r="AR23" i="45"/>
  <c r="BA23" i="45" s="1"/>
  <c r="BB23" i="45" s="1"/>
  <c r="G23" i="45" s="1"/>
  <c r="L23" i="41" s="1"/>
  <c r="AR131" i="45"/>
  <c r="AR147" i="45"/>
  <c r="AR98" i="45"/>
  <c r="BA98" i="45" s="1"/>
  <c r="BB98" i="45" s="1"/>
  <c r="G98" i="45" s="1"/>
  <c r="AR34" i="45"/>
  <c r="AV34" i="45" s="1"/>
  <c r="AW34" i="45" s="1"/>
  <c r="F34" i="45" s="1"/>
  <c r="AR142" i="45"/>
  <c r="AR70" i="45"/>
  <c r="BA70" i="45" s="1"/>
  <c r="BB70" i="45" s="1"/>
  <c r="G70" i="45" s="1"/>
  <c r="AR84" i="45"/>
  <c r="BA84" i="45" s="1"/>
  <c r="BB84" i="45" s="1"/>
  <c r="G84" i="45" s="1"/>
  <c r="AR61" i="45"/>
  <c r="BA61" i="45" s="1"/>
  <c r="BB61" i="45" s="1"/>
  <c r="G61" i="45" s="1"/>
  <c r="AR140" i="45"/>
  <c r="AR96" i="45"/>
  <c r="AV96" i="45" s="1"/>
  <c r="AW96" i="45" s="1"/>
  <c r="F96" i="45" s="1"/>
  <c r="BD67" i="46"/>
  <c r="BD82" i="46"/>
  <c r="BD31" i="46"/>
  <c r="BD99" i="46"/>
  <c r="BD80" i="46"/>
  <c r="BD78" i="46"/>
  <c r="BD29" i="46"/>
  <c r="BD139" i="46"/>
  <c r="BD147" i="46"/>
  <c r="BD75" i="46"/>
  <c r="AN120" i="7"/>
  <c r="AT119" i="7"/>
  <c r="AR57" i="45"/>
  <c r="AV57" i="45" s="1"/>
  <c r="AW57" i="45" s="1"/>
  <c r="F57" i="45" s="1"/>
  <c r="AR69" i="45"/>
  <c r="AV69" i="45" s="1"/>
  <c r="AW69" i="45" s="1"/>
  <c r="F69" i="45" s="1"/>
  <c r="AR88" i="45"/>
  <c r="AV88" i="45" s="1"/>
  <c r="AW88" i="45" s="1"/>
  <c r="F88" i="45" s="1"/>
  <c r="AR99" i="45"/>
  <c r="BA99" i="45" s="1"/>
  <c r="BB99" i="45" s="1"/>
  <c r="G99" i="45" s="1"/>
  <c r="AR68" i="45"/>
  <c r="AV68" i="45" s="1"/>
  <c r="AW68" i="45" s="1"/>
  <c r="F68" i="45" s="1"/>
  <c r="AR73" i="45"/>
  <c r="AV73" i="45" s="1"/>
  <c r="AW73" i="45" s="1"/>
  <c r="F73" i="45" s="1"/>
  <c r="AR47" i="45"/>
  <c r="AV47" i="45" s="1"/>
  <c r="AW47" i="45" s="1"/>
  <c r="F47" i="45" s="1"/>
  <c r="AR62" i="45"/>
  <c r="BA62" i="45" s="1"/>
  <c r="BB62" i="45" s="1"/>
  <c r="G62" i="45" s="1"/>
  <c r="AR134" i="45"/>
  <c r="AR66" i="45"/>
  <c r="AV66" i="45" s="1"/>
  <c r="AW66" i="45" s="1"/>
  <c r="F66" i="45" s="1"/>
  <c r="AR76" i="45"/>
  <c r="AV76" i="45" s="1"/>
  <c r="AW76" i="45" s="1"/>
  <c r="F76" i="45" s="1"/>
  <c r="AR75" i="45"/>
  <c r="BA75" i="45" s="1"/>
  <c r="BB75" i="45" s="1"/>
  <c r="G75" i="45" s="1"/>
  <c r="AR40" i="45"/>
  <c r="AV40" i="45" s="1"/>
  <c r="AW40" i="45" s="1"/>
  <c r="F40" i="45" s="1"/>
  <c r="AR42" i="45"/>
  <c r="AV42" i="45" s="1"/>
  <c r="AW42" i="45" s="1"/>
  <c r="F42" i="45" s="1"/>
  <c r="AR95" i="45"/>
  <c r="AV95" i="45" s="1"/>
  <c r="AW95" i="45" s="1"/>
  <c r="F95" i="45" s="1"/>
  <c r="AR90" i="45"/>
  <c r="BA90" i="45" s="1"/>
  <c r="BB90" i="45" s="1"/>
  <c r="G90" i="45" s="1"/>
  <c r="AR37" i="45"/>
  <c r="AV37" i="45" s="1"/>
  <c r="AW37" i="45" s="1"/>
  <c r="F37" i="45" s="1"/>
  <c r="AR133" i="45"/>
  <c r="AR92" i="45"/>
  <c r="AV92" i="45" s="1"/>
  <c r="AW92" i="45" s="1"/>
  <c r="F92" i="45" s="1"/>
  <c r="AR50" i="45"/>
  <c r="AV50" i="45" s="1"/>
  <c r="AW50" i="45" s="1"/>
  <c r="F50" i="45" s="1"/>
  <c r="AR27" i="45"/>
  <c r="BA27" i="45" s="1"/>
  <c r="BB27" i="45" s="1"/>
  <c r="G27" i="45" s="1"/>
  <c r="AR29" i="45"/>
  <c r="AV29" i="45" s="1"/>
  <c r="AW29" i="45" s="1"/>
  <c r="F29" i="45" s="1"/>
  <c r="AR49" i="45"/>
  <c r="AV49" i="45" s="1"/>
  <c r="AW49" i="45" s="1"/>
  <c r="F49" i="45" s="1"/>
  <c r="AR85" i="45"/>
  <c r="AV85" i="45" s="1"/>
  <c r="AW85" i="45" s="1"/>
  <c r="F85" i="45" s="1"/>
  <c r="AR144" i="45"/>
  <c r="BD136" i="45"/>
  <c r="BD42" i="45"/>
  <c r="BD55" i="45"/>
  <c r="BD45" i="45"/>
  <c r="BD41" i="45"/>
  <c r="BD67" i="45"/>
  <c r="BD32" i="45"/>
  <c r="BD92" i="45"/>
  <c r="BD99" i="45"/>
  <c r="BD79" i="45"/>
  <c r="BD133" i="45"/>
  <c r="BD91" i="45"/>
  <c r="BD98" i="45"/>
  <c r="BD146" i="45"/>
  <c r="BD77" i="45"/>
  <c r="BD31" i="45"/>
  <c r="BD86" i="45"/>
  <c r="BD147" i="45"/>
  <c r="BD72" i="45"/>
  <c r="BD138" i="45"/>
  <c r="BD66" i="45"/>
  <c r="BD34" i="45"/>
  <c r="BD97" i="45"/>
  <c r="BD59" i="45"/>
  <c r="BD145" i="45"/>
  <c r="BD131" i="45"/>
  <c r="FS112" i="7"/>
  <c r="FY112" i="7" s="1"/>
  <c r="AR100" i="45"/>
  <c r="AV100" i="45" s="1"/>
  <c r="AW100" i="45" s="1"/>
  <c r="F100" i="45" s="1"/>
  <c r="AR41" i="45"/>
  <c r="AV41" i="45" s="1"/>
  <c r="AW41" i="45" s="1"/>
  <c r="F41" i="45" s="1"/>
  <c r="AR64" i="45"/>
  <c r="AV64" i="45" s="1"/>
  <c r="AW64" i="45" s="1"/>
  <c r="F64" i="45" s="1"/>
  <c r="AR136" i="45"/>
  <c r="AR32" i="45"/>
  <c r="AV32" i="45" s="1"/>
  <c r="AW32" i="45" s="1"/>
  <c r="F32" i="45" s="1"/>
  <c r="AR137" i="45"/>
  <c r="AR148" i="45"/>
  <c r="AR141" i="45"/>
  <c r="AR81" i="45"/>
  <c r="AV81" i="45" s="1"/>
  <c r="AW81" i="45" s="1"/>
  <c r="F81" i="45" s="1"/>
  <c r="AR65" i="45"/>
  <c r="AV65" i="45" s="1"/>
  <c r="AW65" i="45" s="1"/>
  <c r="F65" i="45" s="1"/>
  <c r="AR46" i="45"/>
  <c r="AV46" i="45" s="1"/>
  <c r="AW46" i="45" s="1"/>
  <c r="F46" i="45" s="1"/>
  <c r="AR35" i="45"/>
  <c r="AV35" i="45" s="1"/>
  <c r="AW35" i="45" s="1"/>
  <c r="F35" i="45" s="1"/>
  <c r="AR25" i="45"/>
  <c r="BA25" i="45" s="1"/>
  <c r="BB25" i="45" s="1"/>
  <c r="G25" i="45" s="1"/>
  <c r="AR54" i="45"/>
  <c r="AV54" i="45" s="1"/>
  <c r="AW54" i="45" s="1"/>
  <c r="F54" i="45" s="1"/>
  <c r="AR33" i="45"/>
  <c r="AV33" i="45" s="1"/>
  <c r="AW33" i="45" s="1"/>
  <c r="F33" i="45" s="1"/>
  <c r="AR132" i="45"/>
  <c r="AR38" i="45"/>
  <c r="AV38" i="45" s="1"/>
  <c r="AW38" i="45" s="1"/>
  <c r="F38" i="45" s="1"/>
  <c r="AR60" i="45"/>
  <c r="AV60" i="45" s="1"/>
  <c r="AW60" i="45" s="1"/>
  <c r="F60" i="45" s="1"/>
  <c r="AR20" i="45"/>
  <c r="AV20" i="45" s="1"/>
  <c r="AW20" i="45" s="1"/>
  <c r="F20" i="45" s="1"/>
  <c r="AR59" i="45"/>
  <c r="AV59" i="45" s="1"/>
  <c r="AW59" i="45" s="1"/>
  <c r="F59" i="45" s="1"/>
  <c r="AR146" i="45"/>
  <c r="AR43" i="45"/>
  <c r="AV43" i="45" s="1"/>
  <c r="AW43" i="45" s="1"/>
  <c r="F43" i="45" s="1"/>
  <c r="AR145" i="45"/>
  <c r="AR89" i="45"/>
  <c r="AV89" i="45" s="1"/>
  <c r="AW89" i="45" s="1"/>
  <c r="F89" i="45" s="1"/>
  <c r="AR53" i="45"/>
  <c r="BA53" i="45" s="1"/>
  <c r="BB53" i="45" s="1"/>
  <c r="G53" i="45" s="1"/>
  <c r="BD71" i="45"/>
  <c r="BD135" i="45"/>
  <c r="BD43" i="45"/>
  <c r="BD63" i="45"/>
  <c r="BD24" i="45"/>
  <c r="BD58" i="45"/>
  <c r="BD36" i="45"/>
  <c r="BD65" i="45"/>
  <c r="BD81" i="45"/>
  <c r="BD27" i="45"/>
  <c r="BD95" i="45"/>
  <c r="BD140" i="45"/>
  <c r="BD84" i="45"/>
  <c r="BD69" i="45"/>
  <c r="BD52" i="45"/>
  <c r="BD87" i="45"/>
  <c r="BD21" i="45"/>
  <c r="BD144" i="45"/>
  <c r="BD94" i="45"/>
  <c r="BD89" i="45"/>
  <c r="BD93" i="45"/>
  <c r="BD28" i="45"/>
  <c r="BD88" i="45"/>
  <c r="BD33" i="45"/>
  <c r="GA117" i="7"/>
  <c r="GG117" i="7" s="1"/>
  <c r="BC51" i="46"/>
  <c r="BE51" i="46" s="1"/>
  <c r="BD55" i="46"/>
  <c r="BD90" i="46"/>
  <c r="BD45" i="46"/>
  <c r="BD89" i="46"/>
  <c r="BD23" i="46"/>
  <c r="BD100" i="46"/>
  <c r="BD98" i="46"/>
  <c r="BD58" i="46"/>
  <c r="BD88" i="46"/>
  <c r="BD96" i="46"/>
  <c r="BD28" i="46"/>
  <c r="BD146" i="46"/>
  <c r="BC50" i="38"/>
  <c r="EW26" i="38"/>
  <c r="EW70" i="38"/>
  <c r="EW75" i="38"/>
  <c r="EW52" i="38"/>
  <c r="BC87" i="38"/>
  <c r="EW71" i="38"/>
  <c r="EW45" i="38"/>
  <c r="EW92" i="38"/>
  <c r="EW33" i="38"/>
  <c r="BC32" i="38"/>
  <c r="BC65" i="38"/>
  <c r="BC21" i="46"/>
  <c r="BC42" i="46"/>
  <c r="BC95" i="46"/>
  <c r="BD87" i="46"/>
  <c r="BD76" i="46"/>
  <c r="BD133" i="46"/>
  <c r="BD60" i="46"/>
  <c r="BD62" i="46"/>
  <c r="BD69" i="46"/>
  <c r="BD132" i="46"/>
  <c r="BD41" i="46"/>
  <c r="BD32" i="46"/>
  <c r="BD97" i="46"/>
  <c r="BD20" i="46"/>
  <c r="BD93" i="46"/>
  <c r="BD149" i="46"/>
  <c r="BD136" i="46"/>
  <c r="BD73" i="46"/>
  <c r="BD138" i="46"/>
  <c r="BD95" i="46"/>
  <c r="BD74" i="46"/>
  <c r="BD148" i="46"/>
  <c r="BD56" i="46"/>
  <c r="BD59" i="46"/>
  <c r="BD131" i="46"/>
  <c r="BD66" i="46"/>
  <c r="BD61" i="46"/>
  <c r="BD25" i="46"/>
  <c r="BC149" i="38"/>
  <c r="BC133" i="46"/>
  <c r="BE133" i="46" s="1"/>
  <c r="BC94" i="46"/>
  <c r="BE94" i="46" s="1"/>
  <c r="BC78" i="46"/>
  <c r="BE78" i="46" s="1"/>
  <c r="EW47" i="38"/>
  <c r="EW23" i="38"/>
  <c r="EW80" i="38"/>
  <c r="EW65" i="38"/>
  <c r="EW55" i="38"/>
  <c r="BD81" i="46"/>
  <c r="BD65" i="46"/>
  <c r="BD137" i="46"/>
  <c r="BD140" i="46"/>
  <c r="BD143" i="46"/>
  <c r="BD130" i="46"/>
  <c r="BD42" i="46"/>
  <c r="BD83" i="46"/>
  <c r="BD37" i="46"/>
  <c r="BD48" i="46"/>
  <c r="BD54" i="46"/>
  <c r="BD24" i="46"/>
  <c r="BD30" i="46"/>
  <c r="BD35" i="46"/>
  <c r="BD77" i="46"/>
  <c r="BD72" i="46"/>
  <c r="BD135" i="46"/>
  <c r="BD64" i="46"/>
  <c r="BD53" i="46"/>
  <c r="BD52" i="46"/>
  <c r="BD27" i="46"/>
  <c r="BD63" i="46"/>
  <c r="BD71" i="46"/>
  <c r="BD145" i="46"/>
  <c r="BD34" i="46"/>
  <c r="BC73" i="38"/>
  <c r="EW41" i="38"/>
  <c r="EW57" i="38"/>
  <c r="EW76" i="38"/>
  <c r="EW85" i="38"/>
  <c r="EW98" i="38"/>
  <c r="EW31" i="38"/>
  <c r="EW34" i="38"/>
  <c r="EW93" i="38"/>
  <c r="EW81" i="38"/>
  <c r="EW96" i="38"/>
  <c r="BC95" i="38"/>
  <c r="BC142" i="38"/>
  <c r="BC36" i="38"/>
  <c r="BC29" i="38"/>
  <c r="EW20" i="38"/>
  <c r="EW59" i="38"/>
  <c r="EW77" i="38"/>
  <c r="EW66" i="38"/>
  <c r="EW43" i="38"/>
  <c r="EW27" i="38"/>
  <c r="EW64" i="38"/>
  <c r="EW53" i="38"/>
  <c r="EW74" i="38"/>
  <c r="EW58" i="38"/>
  <c r="EW63" i="38"/>
  <c r="BC55" i="38"/>
  <c r="BC141" i="38"/>
  <c r="BC25" i="38"/>
  <c r="EW88" i="38"/>
  <c r="EW67" i="38"/>
  <c r="EW87" i="38"/>
  <c r="EW37" i="38"/>
  <c r="EW25" i="38"/>
  <c r="EW94" i="38"/>
  <c r="EW24" i="38"/>
  <c r="EW46" i="38"/>
  <c r="EW84" i="38"/>
  <c r="EW44" i="38"/>
  <c r="EW62" i="38"/>
  <c r="EW69" i="38"/>
  <c r="EW89" i="38"/>
  <c r="EW73" i="38"/>
  <c r="EW40" i="38"/>
  <c r="EW82" i="38"/>
  <c r="EW54" i="38"/>
  <c r="EW22" i="38"/>
  <c r="EW56" i="38"/>
  <c r="EW42" i="38"/>
  <c r="BC39" i="38"/>
  <c r="BC98" i="38"/>
  <c r="BC31" i="38"/>
  <c r="BC70" i="38"/>
  <c r="BC91" i="38"/>
  <c r="BC33" i="38"/>
  <c r="BC138" i="38"/>
  <c r="EW35" i="38"/>
  <c r="EW78" i="38"/>
  <c r="EW32" i="38"/>
  <c r="EW90" i="38"/>
  <c r="EW91" i="38"/>
  <c r="EW28" i="38"/>
  <c r="EW86" i="38"/>
  <c r="EW60" i="38"/>
  <c r="EW50" i="38"/>
  <c r="EW49" i="38"/>
  <c r="EW61" i="38"/>
  <c r="EW21" i="38"/>
  <c r="EW95" i="38"/>
  <c r="EW51" i="38"/>
  <c r="EW68" i="38"/>
  <c r="EW99" i="38"/>
  <c r="EW36" i="38"/>
  <c r="EW100" i="38"/>
  <c r="EW39" i="38"/>
  <c r="BC77" i="38"/>
  <c r="BC27" i="38"/>
  <c r="BC131" i="38"/>
  <c r="BC82" i="38"/>
  <c r="BC74" i="38"/>
  <c r="BC45" i="38"/>
  <c r="GI119" i="7"/>
  <c r="GO119" i="7" s="1"/>
  <c r="FC60" i="38"/>
  <c r="FC49" i="38"/>
  <c r="FC26" i="38"/>
  <c r="FB97" i="38"/>
  <c r="FC67" i="38"/>
  <c r="FC70" i="38"/>
  <c r="FC66" i="38"/>
  <c r="FC47" i="38"/>
  <c r="FB44" i="38"/>
  <c r="FC72" i="38"/>
  <c r="FC71" i="38"/>
  <c r="FC85" i="38"/>
  <c r="FC100" i="38"/>
  <c r="FB32" i="38"/>
  <c r="FB20" i="38"/>
  <c r="FC78" i="38"/>
  <c r="FB59" i="38"/>
  <c r="FC63" i="38"/>
  <c r="FC27" i="38"/>
  <c r="FC22" i="38"/>
  <c r="FC55" i="38"/>
  <c r="FC69" i="38"/>
  <c r="FC40" i="38"/>
  <c r="FC36" i="38"/>
  <c r="FC53" i="38"/>
  <c r="FC35" i="38"/>
  <c r="FC41" i="38"/>
  <c r="FC62" i="38"/>
  <c r="FC81" i="38"/>
  <c r="FC24" i="38"/>
  <c r="FC96" i="38"/>
  <c r="FC98" i="38"/>
  <c r="FB100" i="38"/>
  <c r="FB58" i="38"/>
  <c r="FB22" i="38"/>
  <c r="FB31" i="38"/>
  <c r="FB51" i="38"/>
  <c r="FB39" i="38"/>
  <c r="FB26" i="38"/>
  <c r="FC93" i="38"/>
  <c r="FC32" i="38"/>
  <c r="FC33" i="38"/>
  <c r="FC97" i="38"/>
  <c r="FC86" i="38"/>
  <c r="FC88" i="38"/>
  <c r="FC64" i="38"/>
  <c r="FC80" i="38"/>
  <c r="FC75" i="38"/>
  <c r="FC46" i="38"/>
  <c r="FC44" i="38"/>
  <c r="FC99" i="38"/>
  <c r="FC30" i="38"/>
  <c r="FC65" i="38"/>
  <c r="FC58" i="38"/>
  <c r="FC42" i="38"/>
  <c r="FB86" i="38"/>
  <c r="FB78" i="38"/>
  <c r="FB89" i="38"/>
  <c r="FB81" i="38"/>
  <c r="FB27" i="38"/>
  <c r="FB88" i="38"/>
  <c r="FB54" i="38"/>
  <c r="FB75" i="38"/>
  <c r="FC20" i="38"/>
  <c r="FC39" i="38"/>
  <c r="FC43" i="38"/>
  <c r="FC57" i="38"/>
  <c r="FC19" i="38"/>
  <c r="FC83" i="38"/>
  <c r="FC37" i="38"/>
  <c r="FC74" i="38"/>
  <c r="FC77" i="38"/>
  <c r="FC54" i="38"/>
  <c r="FC68" i="38"/>
  <c r="FC23" i="38"/>
  <c r="FC84" i="38"/>
  <c r="FC90" i="38"/>
  <c r="FC31" i="38"/>
  <c r="FB85" i="38"/>
  <c r="FB99" i="38"/>
  <c r="FB46" i="38"/>
  <c r="FB64" i="38"/>
  <c r="FB71" i="38"/>
  <c r="FB76" i="38"/>
  <c r="FB87" i="38"/>
  <c r="FB55" i="38"/>
  <c r="EV27" i="38"/>
  <c r="EV79" i="38"/>
  <c r="EV41" i="38"/>
  <c r="EV59" i="38"/>
  <c r="BC139" i="38"/>
  <c r="BC81" i="38"/>
  <c r="BC83" i="38"/>
  <c r="BC69" i="38"/>
  <c r="BC30" i="38"/>
  <c r="BC35" i="38"/>
  <c r="BC144" i="38"/>
  <c r="BC58" i="38"/>
  <c r="BC133" i="38"/>
  <c r="BC68" i="38"/>
  <c r="BC44" i="38"/>
  <c r="BC24" i="38"/>
  <c r="BC61" i="38"/>
  <c r="BC130" i="38"/>
  <c r="BC140" i="38"/>
  <c r="BC85" i="38"/>
  <c r="BC46" i="38"/>
  <c r="BC41" i="38"/>
  <c r="BC49" i="38"/>
  <c r="BC100" i="38"/>
  <c r="BC37" i="38"/>
  <c r="BC57" i="38"/>
  <c r="BC84" i="38"/>
  <c r="BC143" i="38"/>
  <c r="BC146" i="38"/>
  <c r="EV50" i="38"/>
  <c r="EV65" i="38"/>
  <c r="EV92" i="38"/>
  <c r="EV96" i="38"/>
  <c r="EV94" i="38"/>
  <c r="EV74" i="38"/>
  <c r="EV68" i="38"/>
  <c r="EV36" i="38"/>
  <c r="EV66" i="38"/>
  <c r="EV84" i="38"/>
  <c r="EV33" i="38"/>
  <c r="EV100" i="38"/>
  <c r="EV63" i="38"/>
  <c r="EV39" i="38"/>
  <c r="EV24" i="38"/>
  <c r="EV53" i="38"/>
  <c r="EV49" i="38"/>
  <c r="EV56" i="38"/>
  <c r="EV28" i="38"/>
  <c r="BC137" i="38"/>
  <c r="BC89" i="38"/>
  <c r="BC80" i="38"/>
  <c r="BC52" i="38"/>
  <c r="BC43" i="38"/>
  <c r="BC40" i="38"/>
  <c r="BC75" i="38"/>
  <c r="BC76" i="38"/>
  <c r="BC99" i="38"/>
  <c r="BC20" i="38"/>
  <c r="BC34" i="38"/>
  <c r="BC96" i="38"/>
  <c r="BC63" i="38"/>
  <c r="BC145" i="38"/>
  <c r="BC62" i="38"/>
  <c r="BC47" i="38"/>
  <c r="BC21" i="38"/>
  <c r="BC56" i="38"/>
  <c r="BC64" i="38"/>
  <c r="BC90" i="38"/>
  <c r="BC28" i="38"/>
  <c r="BC86" i="38"/>
  <c r="BC26" i="38"/>
  <c r="BC88" i="38"/>
  <c r="BC132" i="38"/>
  <c r="EV54" i="38"/>
  <c r="EV91" i="38"/>
  <c r="EV44" i="38"/>
  <c r="EV98" i="38"/>
  <c r="EV77" i="38"/>
  <c r="EV86" i="38"/>
  <c r="EV47" i="38"/>
  <c r="EV26" i="38"/>
  <c r="EV70" i="38"/>
  <c r="EV89" i="38"/>
  <c r="EV21" i="38"/>
  <c r="BC94" i="38"/>
  <c r="BC93" i="38"/>
  <c r="BC148" i="38"/>
  <c r="BC92" i="38"/>
  <c r="BC134" i="38"/>
  <c r="BC136" i="38"/>
  <c r="BC71" i="38"/>
  <c r="BC54" i="38"/>
  <c r="BC79" i="38"/>
  <c r="BC147" i="38"/>
  <c r="BC53" i="38"/>
  <c r="BC42" i="38"/>
  <c r="BC60" i="38"/>
  <c r="BC67" i="38"/>
  <c r="BC66" i="38"/>
  <c r="BC38" i="38"/>
  <c r="BC78" i="38"/>
  <c r="BC59" i="38"/>
  <c r="BC72" i="38"/>
  <c r="BC48" i="38"/>
  <c r="BC22" i="38"/>
  <c r="BC97" i="38"/>
  <c r="BC135" i="38"/>
  <c r="BC23" i="38"/>
  <c r="EV32" i="38"/>
  <c r="EV31" i="38"/>
  <c r="EV5" i="38"/>
  <c r="EV6" i="38" s="1"/>
  <c r="EV46" i="38"/>
  <c r="EV30" i="38"/>
  <c r="EV83" i="38"/>
  <c r="EV35" i="38"/>
  <c r="EV20" i="38"/>
  <c r="EV62" i="38"/>
  <c r="EV71" i="38"/>
  <c r="EV81" i="38"/>
  <c r="BC47" i="46"/>
  <c r="BC68" i="46"/>
  <c r="BE68" i="46" s="1"/>
  <c r="BC56" i="46"/>
  <c r="BE56" i="46" s="1"/>
  <c r="EV38" i="38"/>
  <c r="EV51" i="38"/>
  <c r="EV45" i="38"/>
  <c r="EV93" i="38"/>
  <c r="EV69" i="38"/>
  <c r="EV72" i="38"/>
  <c r="EV99" i="38"/>
  <c r="EV23" i="38"/>
  <c r="EV90" i="38"/>
  <c r="EV95" i="38"/>
  <c r="EV75" i="38"/>
  <c r="EV85" i="38"/>
  <c r="EV43" i="38"/>
  <c r="EV29" i="38"/>
  <c r="EV88" i="38"/>
  <c r="EV67" i="38"/>
  <c r="BC62" i="45"/>
  <c r="BE62" i="45" s="1"/>
  <c r="BC92" i="46"/>
  <c r="BE92" i="46" s="1"/>
  <c r="BC93" i="46"/>
  <c r="BE93" i="46" s="1"/>
  <c r="BC140" i="46"/>
  <c r="BE140" i="46" s="1"/>
  <c r="BC34" i="46"/>
  <c r="BC80" i="46"/>
  <c r="BC44" i="46"/>
  <c r="BE44" i="46" s="1"/>
  <c r="BC141" i="46"/>
  <c r="BE141" i="46" s="1"/>
  <c r="BC71" i="46"/>
  <c r="BC39" i="46"/>
  <c r="BE39" i="46" s="1"/>
  <c r="BC87" i="46"/>
  <c r="BC67" i="46"/>
  <c r="BE67" i="46" s="1"/>
  <c r="BC30" i="46"/>
  <c r="BC65" i="46"/>
  <c r="BE65" i="46" s="1"/>
  <c r="BC74" i="46"/>
  <c r="BE74" i="46" s="1"/>
  <c r="BC148" i="46"/>
  <c r="BE148" i="46" s="1"/>
  <c r="BC89" i="46"/>
  <c r="BC43" i="46"/>
  <c r="BC97" i="46"/>
  <c r="BE97" i="46" s="1"/>
  <c r="BC37" i="46"/>
  <c r="BE37" i="46" s="1"/>
  <c r="BC130" i="46"/>
  <c r="BE130" i="46" s="1"/>
  <c r="BC91" i="46"/>
  <c r="BE91" i="46" s="1"/>
  <c r="BC76" i="46"/>
  <c r="BE76" i="46" s="1"/>
  <c r="BC81" i="46"/>
  <c r="BE81" i="46" s="1"/>
  <c r="BC142" i="46"/>
  <c r="BE142" i="46" s="1"/>
  <c r="BC45" i="46"/>
  <c r="BE45" i="46" s="1"/>
  <c r="BC66" i="46"/>
  <c r="BE66" i="46" s="1"/>
  <c r="BC77" i="46"/>
  <c r="BE77" i="46" s="1"/>
  <c r="BC38" i="46"/>
  <c r="BE38" i="46" s="1"/>
  <c r="BC149" i="46"/>
  <c r="BC60" i="46"/>
  <c r="BE60" i="46" s="1"/>
  <c r="BC64" i="46"/>
  <c r="BE64" i="46" s="1"/>
  <c r="BC50" i="46"/>
  <c r="BE50" i="46" s="1"/>
  <c r="BC135" i="46"/>
  <c r="BE135" i="46" s="1"/>
  <c r="BC84" i="46"/>
  <c r="BC41" i="46"/>
  <c r="BE41" i="46" s="1"/>
  <c r="BC23" i="46"/>
  <c r="BE23" i="46" s="1"/>
  <c r="BC69" i="46"/>
  <c r="BE69" i="46" s="1"/>
  <c r="BC32" i="46"/>
  <c r="BC62" i="46"/>
  <c r="BE62" i="46" s="1"/>
  <c r="BC79" i="46"/>
  <c r="BE79" i="46" s="1"/>
  <c r="BC58" i="46"/>
  <c r="BC29" i="46"/>
  <c r="BC24" i="46"/>
  <c r="BE24" i="46" s="1"/>
  <c r="BC145" i="46"/>
  <c r="BE145" i="46" s="1"/>
  <c r="BC63" i="46"/>
  <c r="BE63" i="46" s="1"/>
  <c r="BC26" i="46"/>
  <c r="BE26" i="46" s="1"/>
  <c r="BC57" i="46"/>
  <c r="BE57" i="46" s="1"/>
  <c r="BC27" i="46"/>
  <c r="BC55" i="46"/>
  <c r="BE55" i="46" s="1"/>
  <c r="BC49" i="46"/>
  <c r="BC40" i="46"/>
  <c r="BE40" i="46" s="1"/>
  <c r="BC83" i="46"/>
  <c r="BE83" i="46" s="1"/>
  <c r="BC25" i="46"/>
  <c r="BC136" i="46"/>
  <c r="BE136" i="46" s="1"/>
  <c r="BC143" i="46"/>
  <c r="BE143" i="46" s="1"/>
  <c r="BC46" i="46"/>
  <c r="BC149" i="45"/>
  <c r="BE149" i="45" s="1"/>
  <c r="BC49" i="45"/>
  <c r="BC63" i="45"/>
  <c r="BE63" i="45" s="1"/>
  <c r="BC98" i="45"/>
  <c r="BE98" i="45" s="1"/>
  <c r="BC97" i="45"/>
  <c r="BE97" i="45" s="1"/>
  <c r="BC147" i="45"/>
  <c r="BC22" i="45"/>
  <c r="BE22" i="45" s="1"/>
  <c r="BC139" i="45"/>
  <c r="BE139" i="45" s="1"/>
  <c r="BC20" i="45"/>
  <c r="BE20" i="45" s="1"/>
  <c r="BC91" i="45"/>
  <c r="BE91" i="45" s="1"/>
  <c r="BC142" i="45"/>
  <c r="BC137" i="45"/>
  <c r="BE137" i="45" s="1"/>
  <c r="BC131" i="45"/>
  <c r="BC67" i="45"/>
  <c r="BC85" i="45"/>
  <c r="BE85" i="45" s="1"/>
  <c r="BC135" i="45"/>
  <c r="BC58" i="45"/>
  <c r="BC28" i="45"/>
  <c r="BC145" i="45"/>
  <c r="BE145" i="45" s="1"/>
  <c r="BC92" i="45"/>
  <c r="BE92" i="45" s="1"/>
  <c r="BC54" i="46"/>
  <c r="BC88" i="46"/>
  <c r="BE88" i="46" s="1"/>
  <c r="BC82" i="46"/>
  <c r="BE82" i="46" s="1"/>
  <c r="BC98" i="46"/>
  <c r="BE98" i="46" s="1"/>
  <c r="BC72" i="46"/>
  <c r="BE72" i="46" s="1"/>
  <c r="BC137" i="46"/>
  <c r="BC75" i="46"/>
  <c r="BE75" i="46" s="1"/>
  <c r="BC85" i="46"/>
  <c r="BE85" i="46" s="1"/>
  <c r="BC70" i="46"/>
  <c r="BE70" i="46" s="1"/>
  <c r="BC86" i="46"/>
  <c r="BE86" i="46" s="1"/>
  <c r="BC90" i="46"/>
  <c r="BE90" i="46" s="1"/>
  <c r="BC52" i="46"/>
  <c r="BE52" i="46" s="1"/>
  <c r="BC22" i="46"/>
  <c r="BC99" i="46"/>
  <c r="BE99" i="46" s="1"/>
  <c r="BC138" i="46"/>
  <c r="BE138" i="46" s="1"/>
  <c r="BC132" i="45"/>
  <c r="BE132" i="45" s="1"/>
  <c r="BC140" i="45"/>
  <c r="BE140" i="45" s="1"/>
  <c r="BC28" i="46"/>
  <c r="BE28" i="46" s="1"/>
  <c r="BC131" i="46"/>
  <c r="BE131" i="46" s="1"/>
  <c r="BC48" i="46"/>
  <c r="BE48" i="46" s="1"/>
  <c r="BC147" i="46"/>
  <c r="BE147" i="46" s="1"/>
  <c r="BC59" i="46"/>
  <c r="BC20" i="46"/>
  <c r="BE20" i="46" s="1"/>
  <c r="BC35" i="46"/>
  <c r="BE35" i="46" s="1"/>
  <c r="BC31" i="46"/>
  <c r="BC144" i="46"/>
  <c r="BE144" i="46" s="1"/>
  <c r="BC139" i="46"/>
  <c r="BE139" i="46" s="1"/>
  <c r="BC73" i="46"/>
  <c r="BC132" i="46"/>
  <c r="BE132" i="46" s="1"/>
  <c r="BC36" i="46"/>
  <c r="BC146" i="46"/>
  <c r="BE146" i="46" s="1"/>
  <c r="BC53" i="46"/>
  <c r="BC96" i="45"/>
  <c r="BE96" i="45" s="1"/>
  <c r="BC82" i="45"/>
  <c r="FC25" i="38"/>
  <c r="FD25" i="38" s="1"/>
  <c r="FC59" i="38"/>
  <c r="FC28" i="38"/>
  <c r="FC51" i="38"/>
  <c r="FC21" i="38"/>
  <c r="FD21" i="38" s="1"/>
  <c r="FC50" i="38"/>
  <c r="FC61" i="38"/>
  <c r="FC79" i="38"/>
  <c r="FC52" i="38"/>
  <c r="FC34" i="38"/>
  <c r="FC29" i="38"/>
  <c r="FC94" i="38"/>
  <c r="FC48" i="38"/>
  <c r="FC38" i="38"/>
  <c r="FC92" i="38"/>
  <c r="FC89" i="38"/>
  <c r="FC56" i="38"/>
  <c r="FC76" i="38"/>
  <c r="FC87" i="38"/>
  <c r="FB42" i="38"/>
  <c r="FB72" i="38"/>
  <c r="FB63" i="38"/>
  <c r="FB52" i="38"/>
  <c r="FB84" i="38"/>
  <c r="FB74" i="38"/>
  <c r="FB73" i="38"/>
  <c r="FB61" i="38"/>
  <c r="FB92" i="38"/>
  <c r="FB90" i="38"/>
  <c r="FB77" i="38"/>
  <c r="BD40" i="38"/>
  <c r="BD83" i="38"/>
  <c r="BD41" i="38"/>
  <c r="BD84" i="38"/>
  <c r="BD44" i="38"/>
  <c r="BD48" i="38"/>
  <c r="BD42" i="38"/>
  <c r="BD133" i="38"/>
  <c r="BD74" i="38"/>
  <c r="BD95" i="38"/>
  <c r="BD45" i="38"/>
  <c r="BD53" i="38"/>
  <c r="BD35" i="38"/>
  <c r="BD140" i="38"/>
  <c r="BD93" i="38"/>
  <c r="BD85" i="38"/>
  <c r="BD57" i="38"/>
  <c r="BD77" i="38"/>
  <c r="BD88" i="38"/>
  <c r="BD80" i="38"/>
  <c r="BD145" i="38"/>
  <c r="BD146" i="38"/>
  <c r="BD76" i="38"/>
  <c r="BD75" i="38"/>
  <c r="BD67" i="38"/>
  <c r="BD139" i="38"/>
  <c r="BC81" i="45"/>
  <c r="BE81" i="45" s="1"/>
  <c r="BC30" i="45"/>
  <c r="BE30" i="45" s="1"/>
  <c r="BC36" i="45"/>
  <c r="BE36" i="45" s="1"/>
  <c r="BC70" i="45"/>
  <c r="BC83" i="45"/>
  <c r="BE83" i="45" s="1"/>
  <c r="BC23" i="45"/>
  <c r="BE23" i="45" s="1"/>
  <c r="BC44" i="45"/>
  <c r="BE44" i="45" s="1"/>
  <c r="BC84" i="45"/>
  <c r="BE84" i="45" s="1"/>
  <c r="BC146" i="45"/>
  <c r="BE146" i="45" s="1"/>
  <c r="BC34" i="45"/>
  <c r="BC80" i="45"/>
  <c r="BE80" i="45" s="1"/>
  <c r="BC88" i="45"/>
  <c r="BE88" i="45" s="1"/>
  <c r="BC74" i="45"/>
  <c r="BE74" i="45" s="1"/>
  <c r="BC38" i="45"/>
  <c r="BE38" i="45" s="1"/>
  <c r="BC40" i="45"/>
  <c r="BC144" i="45"/>
  <c r="BC32" i="45"/>
  <c r="BE32" i="45" s="1"/>
  <c r="BC100" i="45"/>
  <c r="BE100" i="45" s="1"/>
  <c r="BC95" i="45"/>
  <c r="BE95" i="45" s="1"/>
  <c r="BC24" i="45"/>
  <c r="BE24" i="45" s="1"/>
  <c r="BC33" i="45"/>
  <c r="BE33" i="45" s="1"/>
  <c r="BC48" i="45"/>
  <c r="BE48" i="45" s="1"/>
  <c r="BC73" i="45"/>
  <c r="BE73" i="45" s="1"/>
  <c r="BC60" i="45"/>
  <c r="BE60" i="45" s="1"/>
  <c r="BC50" i="45"/>
  <c r="BE50" i="45" s="1"/>
  <c r="EV73" i="38"/>
  <c r="EV82" i="38"/>
  <c r="EV42" i="38"/>
  <c r="EV52" i="38"/>
  <c r="EV80" i="38"/>
  <c r="EV87" i="38"/>
  <c r="EV60" i="38"/>
  <c r="EV78" i="38"/>
  <c r="EV97" i="38"/>
  <c r="EV61" i="38"/>
  <c r="EV76" i="38"/>
  <c r="EV37" i="38"/>
  <c r="EV55" i="38"/>
  <c r="EV25" i="38"/>
  <c r="EV48" i="38"/>
  <c r="EV22" i="38"/>
  <c r="EV58" i="38"/>
  <c r="EV34" i="38"/>
  <c r="EV64" i="38"/>
  <c r="EV57" i="38"/>
  <c r="BC138" i="45"/>
  <c r="BE138" i="45" s="1"/>
  <c r="BC136" i="45"/>
  <c r="BE136" i="45" s="1"/>
  <c r="BC89" i="45"/>
  <c r="BE89" i="45" s="1"/>
  <c r="BC46" i="45"/>
  <c r="BE46" i="45" s="1"/>
  <c r="BC53" i="45"/>
  <c r="BC68" i="45"/>
  <c r="BE68" i="45" s="1"/>
  <c r="BC42" i="45"/>
  <c r="BC148" i="45"/>
  <c r="BE148" i="45" s="1"/>
  <c r="BC31" i="45"/>
  <c r="BE31" i="45" s="1"/>
  <c r="BC35" i="45"/>
  <c r="BE35" i="45" s="1"/>
  <c r="BC26" i="45"/>
  <c r="BC47" i="45"/>
  <c r="BE47" i="45" s="1"/>
  <c r="BC43" i="45"/>
  <c r="BE43" i="45" s="1"/>
  <c r="BC41" i="45"/>
  <c r="BE41" i="45" s="1"/>
  <c r="BC65" i="45"/>
  <c r="BE65" i="45" s="1"/>
  <c r="BC94" i="45"/>
  <c r="BE94" i="45" s="1"/>
  <c r="BC45" i="45"/>
  <c r="BE45" i="45" s="1"/>
  <c r="BC61" i="45"/>
  <c r="BE61" i="45" s="1"/>
  <c r="BC133" i="45"/>
  <c r="BE133" i="45" s="1"/>
  <c r="BC52" i="45"/>
  <c r="BE52" i="45" s="1"/>
  <c r="BC37" i="45"/>
  <c r="BC39" i="45"/>
  <c r="BE39" i="45" s="1"/>
  <c r="BC93" i="45"/>
  <c r="BE93" i="45" s="1"/>
  <c r="BC64" i="45"/>
  <c r="BE64" i="45" s="1"/>
  <c r="BC59" i="45"/>
  <c r="BE59" i="45" s="1"/>
  <c r="BC141" i="45"/>
  <c r="BE141" i="45" s="1"/>
  <c r="BC134" i="45"/>
  <c r="BC56" i="45"/>
  <c r="BE56" i="45" s="1"/>
  <c r="BC72" i="45"/>
  <c r="BE72" i="45" s="1"/>
  <c r="BC76" i="45"/>
  <c r="BC69" i="45"/>
  <c r="BC99" i="45"/>
  <c r="BE99" i="45" s="1"/>
  <c r="BC54" i="45"/>
  <c r="BC29" i="45"/>
  <c r="BE29" i="45" s="1"/>
  <c r="BC21" i="45"/>
  <c r="BE21" i="45" s="1"/>
  <c r="BC143" i="45"/>
  <c r="BE143" i="45" s="1"/>
  <c r="BC77" i="45"/>
  <c r="BE77" i="45" s="1"/>
  <c r="BC71" i="45"/>
  <c r="BE71" i="45" s="1"/>
  <c r="BC51" i="45"/>
  <c r="BE51" i="45" s="1"/>
  <c r="BC75" i="45"/>
  <c r="BE75" i="45" s="1"/>
  <c r="BC55" i="45"/>
  <c r="BE55" i="45" s="1"/>
  <c r="BC25" i="45"/>
  <c r="BE25" i="45" s="1"/>
  <c r="BC66" i="45"/>
  <c r="BE66" i="45" s="1"/>
  <c r="BC79" i="45"/>
  <c r="BE79" i="45" s="1"/>
  <c r="BC90" i="45"/>
  <c r="BC27" i="45"/>
  <c r="BC86" i="45"/>
  <c r="BE86" i="45" s="1"/>
  <c r="BC78" i="45"/>
  <c r="BE78" i="45" s="1"/>
  <c r="BC87" i="45"/>
  <c r="BE87" i="45" s="1"/>
  <c r="BC130" i="45"/>
  <c r="BD54" i="38"/>
  <c r="BD39" i="38"/>
  <c r="BD131" i="38"/>
  <c r="BD30" i="38"/>
  <c r="BD49" i="38"/>
  <c r="BD37" i="38"/>
  <c r="BD64" i="38"/>
  <c r="BD20" i="38"/>
  <c r="BD63" i="38"/>
  <c r="BD58" i="38"/>
  <c r="BD25" i="38"/>
  <c r="BD87" i="38"/>
  <c r="BD72" i="38"/>
  <c r="BD61" i="38"/>
  <c r="BD28" i="38"/>
  <c r="BD98" i="38"/>
  <c r="BD148" i="38"/>
  <c r="BD99" i="38"/>
  <c r="BD79" i="38"/>
  <c r="BD149" i="38"/>
  <c r="BD47" i="38"/>
  <c r="BD31" i="38"/>
  <c r="BD130" i="38"/>
  <c r="BD91" i="38"/>
  <c r="BD138" i="38"/>
  <c r="BD60" i="38"/>
  <c r="BD71" i="38"/>
  <c r="BD68" i="38"/>
  <c r="BD94" i="38"/>
  <c r="BD51" i="38"/>
  <c r="BD33" i="38"/>
  <c r="BD59" i="38"/>
  <c r="BD34" i="38"/>
  <c r="BD55" i="38"/>
  <c r="BD90" i="38"/>
  <c r="BD26" i="38"/>
  <c r="BD135" i="38"/>
  <c r="FB53" i="38"/>
  <c r="FB56" i="38"/>
  <c r="FB36" i="38"/>
  <c r="FB82" i="38"/>
  <c r="FB66" i="38"/>
  <c r="FB37" i="38"/>
  <c r="FB67" i="38"/>
  <c r="FB95" i="38"/>
  <c r="FB21" i="38"/>
  <c r="FB69" i="38"/>
  <c r="FB83" i="38"/>
  <c r="FB79" i="38"/>
  <c r="FB57" i="38"/>
  <c r="FB47" i="38"/>
  <c r="FB23" i="38"/>
  <c r="FB49" i="38"/>
  <c r="FB91" i="38"/>
  <c r="FB38" i="38"/>
  <c r="FB93" i="38"/>
  <c r="FB29" i="38"/>
  <c r="BD81" i="38"/>
  <c r="BD137" i="38"/>
  <c r="BD141" i="38"/>
  <c r="BD143" i="38"/>
  <c r="BD82" i="38"/>
  <c r="BD27" i="38"/>
  <c r="BD73" i="38"/>
  <c r="BD89" i="38"/>
  <c r="BD52" i="38"/>
  <c r="BD62" i="38"/>
  <c r="BD50" i="38"/>
  <c r="BD70" i="38"/>
  <c r="BD65" i="38"/>
  <c r="BD134" i="38"/>
  <c r="BD56" i="38"/>
  <c r="BD136" i="38"/>
  <c r="BD86" i="38"/>
  <c r="BD100" i="38"/>
  <c r="BD142" i="38"/>
  <c r="BD21" i="38"/>
  <c r="BD97" i="38"/>
  <c r="BD24" i="38"/>
  <c r="BD36" i="38"/>
  <c r="BD147" i="38"/>
  <c r="BD69" i="38"/>
  <c r="BD43" i="38"/>
  <c r="BD29" i="38"/>
  <c r="BD22" i="38"/>
  <c r="BD144" i="38"/>
  <c r="BD132" i="38"/>
  <c r="BD46" i="38"/>
  <c r="BD38" i="38"/>
  <c r="BD92" i="38"/>
  <c r="BD32" i="38"/>
  <c r="BD23" i="38"/>
  <c r="BD66" i="38"/>
  <c r="BD78" i="38"/>
  <c r="FB96" i="38"/>
  <c r="FB30" i="38"/>
  <c r="FB33" i="38"/>
  <c r="FB60" i="38"/>
  <c r="FB35" i="38"/>
  <c r="FB43" i="38"/>
  <c r="FB25" i="38"/>
  <c r="FB34" i="38"/>
  <c r="FB48" i="38"/>
  <c r="FB45" i="38"/>
  <c r="FB70" i="38"/>
  <c r="FB50" i="38"/>
  <c r="FB40" i="38"/>
  <c r="FB68" i="38"/>
  <c r="FB41" i="38"/>
  <c r="FB80" i="38"/>
  <c r="FB62" i="38"/>
  <c r="FB24" i="38"/>
  <c r="FB28" i="38"/>
  <c r="EY28" i="38"/>
  <c r="FI28" i="38" s="1"/>
  <c r="P13" i="41"/>
  <c r="U13" i="41" s="1"/>
  <c r="N13" i="41"/>
  <c r="S13" i="41" s="1"/>
  <c r="I13" i="41"/>
  <c r="CN13" i="41"/>
  <c r="CM13" i="41"/>
  <c r="EY20" i="38"/>
  <c r="FI20" i="38" s="1"/>
  <c r="AZ29" i="38"/>
  <c r="BA29" i="38" s="1"/>
  <c r="BB29" i="38" s="1"/>
  <c r="G29" i="38" s="1"/>
  <c r="P29" i="38" s="1"/>
  <c r="Q29" i="38" s="1"/>
  <c r="GA30" i="45"/>
  <c r="GC30" i="45"/>
  <c r="GB30" i="45"/>
  <c r="EN31" i="38"/>
  <c r="L31" i="38"/>
  <c r="BQ31" i="38"/>
  <c r="EM31" i="38"/>
  <c r="CE31" i="41" s="1"/>
  <c r="M31" i="38"/>
  <c r="EL31" i="38"/>
  <c r="CF31" i="41" s="1"/>
  <c r="FN31" i="38"/>
  <c r="CW31" i="41" s="1"/>
  <c r="K31" i="38"/>
  <c r="GD30" i="45"/>
  <c r="AZ29" i="45"/>
  <c r="A32" i="45"/>
  <c r="O32" i="45" s="1"/>
  <c r="A32" i="7"/>
  <c r="A32" i="41"/>
  <c r="A32" i="6"/>
  <c r="A32" i="38"/>
  <c r="CV32" i="38" s="1"/>
  <c r="A33" i="55"/>
  <c r="A32" i="46"/>
  <c r="O32" i="46" s="1"/>
  <c r="A32" i="4"/>
  <c r="S30" i="46"/>
  <c r="E30" i="41"/>
  <c r="AY30" i="38"/>
  <c r="AX30" i="38"/>
  <c r="K31" i="45"/>
  <c r="L31" i="45"/>
  <c r="FK31" i="45"/>
  <c r="GE31" i="45" s="1"/>
  <c r="M31" i="45"/>
  <c r="FK31" i="46"/>
  <c r="L31" i="46"/>
  <c r="M31" i="46"/>
  <c r="K31" i="46"/>
  <c r="AY30" i="45"/>
  <c r="AX30" i="45"/>
  <c r="S30" i="45"/>
  <c r="D30" i="41"/>
  <c r="C30" i="41"/>
  <c r="S30" i="38"/>
  <c r="EY22" i="38"/>
  <c r="EY25" i="38"/>
  <c r="FI25" i="38" s="1"/>
  <c r="BA25" i="46"/>
  <c r="BB25" i="46" s="1"/>
  <c r="G25" i="46" s="1"/>
  <c r="M25" i="41" s="1"/>
  <c r="AV38" i="46"/>
  <c r="AW38" i="46" s="1"/>
  <c r="F38" i="46" s="1"/>
  <c r="AV29" i="46"/>
  <c r="AW29" i="46" s="1"/>
  <c r="F29" i="46" s="1"/>
  <c r="AV95" i="46"/>
  <c r="AW95" i="46" s="1"/>
  <c r="F95" i="46" s="1"/>
  <c r="AV78" i="46"/>
  <c r="AW78" i="46" s="1"/>
  <c r="F78" i="46" s="1"/>
  <c r="AV34" i="46"/>
  <c r="AW34" i="46" s="1"/>
  <c r="F34" i="46" s="1"/>
  <c r="AV35" i="46"/>
  <c r="AW35" i="46" s="1"/>
  <c r="F35" i="46" s="1"/>
  <c r="BA35" i="46"/>
  <c r="BB35" i="46" s="1"/>
  <c r="G35" i="46" s="1"/>
  <c r="BA30" i="46"/>
  <c r="BB30" i="46" s="1"/>
  <c r="G30" i="46" s="1"/>
  <c r="BA61" i="38"/>
  <c r="BB61" i="38" s="1"/>
  <c r="G61" i="38" s="1"/>
  <c r="AV61" i="38"/>
  <c r="AW61" i="38" s="1"/>
  <c r="F61" i="38" s="1"/>
  <c r="BA86" i="38"/>
  <c r="BB86" i="38" s="1"/>
  <c r="G86" i="38" s="1"/>
  <c r="AV86" i="38"/>
  <c r="AW86" i="38" s="1"/>
  <c r="F86" i="38" s="1"/>
  <c r="BA87" i="38"/>
  <c r="BB87" i="38" s="1"/>
  <c r="G87" i="38" s="1"/>
  <c r="AV87" i="38"/>
  <c r="AW87" i="38" s="1"/>
  <c r="F87" i="38" s="1"/>
  <c r="AV95" i="38"/>
  <c r="AW95" i="38" s="1"/>
  <c r="F95" i="38" s="1"/>
  <c r="BA95" i="38"/>
  <c r="BB95" i="38" s="1"/>
  <c r="G95" i="38" s="1"/>
  <c r="BA57" i="38"/>
  <c r="BB57" i="38" s="1"/>
  <c r="G57" i="38" s="1"/>
  <c r="AV57" i="38"/>
  <c r="AW57" i="38" s="1"/>
  <c r="F57" i="38" s="1"/>
  <c r="BA53" i="38"/>
  <c r="BB53" i="38" s="1"/>
  <c r="G53" i="38" s="1"/>
  <c r="AV53" i="38"/>
  <c r="AW53" i="38" s="1"/>
  <c r="F53" i="38" s="1"/>
  <c r="AV79" i="38"/>
  <c r="AW79" i="38" s="1"/>
  <c r="F79" i="38" s="1"/>
  <c r="BA79" i="38"/>
  <c r="BB79" i="38" s="1"/>
  <c r="G79" i="38" s="1"/>
  <c r="BA69" i="38"/>
  <c r="BB69" i="38" s="1"/>
  <c r="G69" i="38" s="1"/>
  <c r="AV69" i="38"/>
  <c r="AW69" i="38" s="1"/>
  <c r="F69" i="38" s="1"/>
  <c r="AV72" i="38"/>
  <c r="AW72" i="38" s="1"/>
  <c r="F72" i="38" s="1"/>
  <c r="BA72" i="38"/>
  <c r="BB72" i="38" s="1"/>
  <c r="G72" i="38" s="1"/>
  <c r="BA65" i="38"/>
  <c r="BB65" i="38" s="1"/>
  <c r="G65" i="38" s="1"/>
  <c r="AV65" i="38"/>
  <c r="AW65" i="38" s="1"/>
  <c r="F65" i="38" s="1"/>
  <c r="AV76" i="38"/>
  <c r="AW76" i="38" s="1"/>
  <c r="F76" i="38" s="1"/>
  <c r="BA76" i="38"/>
  <c r="BB76" i="38" s="1"/>
  <c r="G76" i="38" s="1"/>
  <c r="AV23" i="38"/>
  <c r="AW23" i="38" s="1"/>
  <c r="F23" i="38" s="1"/>
  <c r="BA23" i="38"/>
  <c r="BB23" i="38" s="1"/>
  <c r="G23" i="38" s="1"/>
  <c r="K23" i="41" s="1"/>
  <c r="AV56" i="38"/>
  <c r="AW56" i="38" s="1"/>
  <c r="F56" i="38" s="1"/>
  <c r="BA56" i="38"/>
  <c r="BB56" i="38" s="1"/>
  <c r="G56" i="38" s="1"/>
  <c r="BA85" i="38"/>
  <c r="BB85" i="38" s="1"/>
  <c r="G85" i="38" s="1"/>
  <c r="AV85" i="38"/>
  <c r="AW85" i="38" s="1"/>
  <c r="F85" i="38" s="1"/>
  <c r="AV83" i="38"/>
  <c r="AW83" i="38" s="1"/>
  <c r="F83" i="38" s="1"/>
  <c r="BA83" i="38"/>
  <c r="BB83" i="38" s="1"/>
  <c r="G83" i="38" s="1"/>
  <c r="AV63" i="38"/>
  <c r="AW63" i="38" s="1"/>
  <c r="F63" i="38" s="1"/>
  <c r="BA63" i="38"/>
  <c r="BB63" i="38" s="1"/>
  <c r="G63" i="38" s="1"/>
  <c r="BA60" i="38"/>
  <c r="BB60" i="38" s="1"/>
  <c r="G60" i="38" s="1"/>
  <c r="AV60" i="38"/>
  <c r="AW60" i="38" s="1"/>
  <c r="F60" i="38" s="1"/>
  <c r="AV64" i="38"/>
  <c r="AW64" i="38" s="1"/>
  <c r="F64" i="38" s="1"/>
  <c r="BA64" i="38"/>
  <c r="BB64" i="38" s="1"/>
  <c r="G64" i="38" s="1"/>
  <c r="AV62" i="38"/>
  <c r="AW62" i="38" s="1"/>
  <c r="F62" i="38" s="1"/>
  <c r="BA62" i="38"/>
  <c r="BB62" i="38" s="1"/>
  <c r="G62" i="38" s="1"/>
  <c r="BA86" i="45"/>
  <c r="BB86" i="45" s="1"/>
  <c r="G86" i="45" s="1"/>
  <c r="EY23" i="38"/>
  <c r="EY26" i="38"/>
  <c r="FI26" i="38" s="1"/>
  <c r="BA33" i="46"/>
  <c r="BB33" i="46" s="1"/>
  <c r="G33" i="46" s="1"/>
  <c r="AV37" i="46"/>
  <c r="AW37" i="46" s="1"/>
  <c r="F37" i="46" s="1"/>
  <c r="BA37" i="46"/>
  <c r="BB37" i="46" s="1"/>
  <c r="G37" i="46" s="1"/>
  <c r="AV97" i="46"/>
  <c r="AW97" i="46" s="1"/>
  <c r="F97" i="46" s="1"/>
  <c r="BA46" i="46"/>
  <c r="BB46" i="46" s="1"/>
  <c r="G46" i="46" s="1"/>
  <c r="AV89" i="46"/>
  <c r="AW89" i="46" s="1"/>
  <c r="F89" i="46" s="1"/>
  <c r="AV24" i="38"/>
  <c r="AW24" i="38" s="1"/>
  <c r="F24" i="38" s="1"/>
  <c r="BA24" i="38"/>
  <c r="BB24" i="38" s="1"/>
  <c r="G24" i="38" s="1"/>
  <c r="AV82" i="38"/>
  <c r="AW82" i="38" s="1"/>
  <c r="F82" i="38" s="1"/>
  <c r="BA82" i="38"/>
  <c r="BB82" i="38" s="1"/>
  <c r="G82" i="38" s="1"/>
  <c r="BA96" i="38"/>
  <c r="BB96" i="38" s="1"/>
  <c r="G96" i="38" s="1"/>
  <c r="AV96" i="38"/>
  <c r="AW96" i="38" s="1"/>
  <c r="F96" i="38" s="1"/>
  <c r="AV54" i="38"/>
  <c r="AW54" i="38" s="1"/>
  <c r="F54" i="38" s="1"/>
  <c r="BA54" i="38"/>
  <c r="BB54" i="38" s="1"/>
  <c r="G54" i="38" s="1"/>
  <c r="AV20" i="38"/>
  <c r="AW20" i="38" s="1"/>
  <c r="F20" i="38" s="1"/>
  <c r="BA20" i="38"/>
  <c r="BB20" i="38" s="1"/>
  <c r="G20" i="38" s="1"/>
  <c r="K20" i="41" s="1"/>
  <c r="AV80" i="38"/>
  <c r="AW80" i="38" s="1"/>
  <c r="F80" i="38" s="1"/>
  <c r="BA80" i="38"/>
  <c r="BB80" i="38" s="1"/>
  <c r="G80" i="38" s="1"/>
  <c r="AV97" i="38"/>
  <c r="AW97" i="38" s="1"/>
  <c r="F97" i="38" s="1"/>
  <c r="BA97" i="38"/>
  <c r="BB97" i="38" s="1"/>
  <c r="G97" i="38" s="1"/>
  <c r="AV91" i="38"/>
  <c r="AW91" i="38" s="1"/>
  <c r="F91" i="38" s="1"/>
  <c r="BA91" i="38"/>
  <c r="BB91" i="38" s="1"/>
  <c r="G91" i="38" s="1"/>
  <c r="AV73" i="38"/>
  <c r="AW73" i="38" s="1"/>
  <c r="F73" i="38" s="1"/>
  <c r="BA73" i="38"/>
  <c r="BB73" i="38" s="1"/>
  <c r="G73" i="38" s="1"/>
  <c r="BA51" i="38"/>
  <c r="BB51" i="38" s="1"/>
  <c r="G51" i="38" s="1"/>
  <c r="AV51" i="38"/>
  <c r="AW51" i="38" s="1"/>
  <c r="F51" i="38" s="1"/>
  <c r="BA75" i="38"/>
  <c r="BB75" i="38" s="1"/>
  <c r="G75" i="38" s="1"/>
  <c r="AV75" i="38"/>
  <c r="AW75" i="38" s="1"/>
  <c r="F75" i="38" s="1"/>
  <c r="BA68" i="38"/>
  <c r="BB68" i="38" s="1"/>
  <c r="G68" i="38" s="1"/>
  <c r="AV68" i="38"/>
  <c r="AW68" i="38" s="1"/>
  <c r="F68" i="38" s="1"/>
  <c r="EY29" i="38"/>
  <c r="EY27" i="38"/>
  <c r="EY24" i="38"/>
  <c r="FI24" i="38" s="1"/>
  <c r="AV21" i="46"/>
  <c r="AW21" i="46" s="1"/>
  <c r="F21" i="46" s="1"/>
  <c r="AV59" i="46"/>
  <c r="AW59" i="46" s="1"/>
  <c r="F59" i="46" s="1"/>
  <c r="BA22" i="46"/>
  <c r="BB22" i="46" s="1"/>
  <c r="G22" i="46" s="1"/>
  <c r="M22" i="41" s="1"/>
  <c r="AV24" i="46"/>
  <c r="AW24" i="46" s="1"/>
  <c r="F24" i="46" s="1"/>
  <c r="BA24" i="46"/>
  <c r="BB24" i="46" s="1"/>
  <c r="G24" i="46" s="1"/>
  <c r="M24" i="41" s="1"/>
  <c r="AV70" i="46"/>
  <c r="AW70" i="46" s="1"/>
  <c r="F70" i="46" s="1"/>
  <c r="BA31" i="46"/>
  <c r="BB31" i="46" s="1"/>
  <c r="G31" i="46" s="1"/>
  <c r="AV31" i="46"/>
  <c r="AW31" i="46" s="1"/>
  <c r="F31" i="46" s="1"/>
  <c r="BA74" i="38"/>
  <c r="BB74" i="38" s="1"/>
  <c r="G74" i="38" s="1"/>
  <c r="AV74" i="38"/>
  <c r="AW74" i="38" s="1"/>
  <c r="F74" i="38" s="1"/>
  <c r="AV81" i="38"/>
  <c r="AW81" i="38" s="1"/>
  <c r="F81" i="38" s="1"/>
  <c r="BA81" i="38"/>
  <c r="BB81" i="38" s="1"/>
  <c r="G81" i="38" s="1"/>
  <c r="AV25" i="38"/>
  <c r="AW25" i="38" s="1"/>
  <c r="F25" i="38" s="1"/>
  <c r="BA25" i="38"/>
  <c r="BB25" i="38" s="1"/>
  <c r="G25" i="38" s="1"/>
  <c r="BA21" i="38"/>
  <c r="BB21" i="38" s="1"/>
  <c r="G21" i="38" s="1"/>
  <c r="K21" i="41" s="1"/>
  <c r="AV21" i="38"/>
  <c r="AW21" i="38" s="1"/>
  <c r="F21" i="38" s="1"/>
  <c r="AV52" i="38"/>
  <c r="AW52" i="38" s="1"/>
  <c r="F52" i="38" s="1"/>
  <c r="BA52" i="38"/>
  <c r="BB52" i="38" s="1"/>
  <c r="G52" i="38" s="1"/>
  <c r="AV66" i="38"/>
  <c r="AW66" i="38" s="1"/>
  <c r="F66" i="38" s="1"/>
  <c r="BA66" i="38"/>
  <c r="BB66" i="38" s="1"/>
  <c r="G66" i="38" s="1"/>
  <c r="BA77" i="38"/>
  <c r="BB77" i="38" s="1"/>
  <c r="G77" i="38" s="1"/>
  <c r="AV77" i="38"/>
  <c r="AW77" i="38" s="1"/>
  <c r="F77" i="38" s="1"/>
  <c r="AV55" i="38"/>
  <c r="AW55" i="38" s="1"/>
  <c r="F55" i="38" s="1"/>
  <c r="BA55" i="38"/>
  <c r="BB55" i="38" s="1"/>
  <c r="G55" i="38" s="1"/>
  <c r="BA99" i="38"/>
  <c r="BB99" i="38" s="1"/>
  <c r="G99" i="38" s="1"/>
  <c r="AV99" i="38"/>
  <c r="AW99" i="38" s="1"/>
  <c r="F99" i="38" s="1"/>
  <c r="AV98" i="38"/>
  <c r="AW98" i="38" s="1"/>
  <c r="F98" i="38" s="1"/>
  <c r="BA98" i="38"/>
  <c r="BB98" i="38" s="1"/>
  <c r="G98" i="38" s="1"/>
  <c r="BA93" i="38"/>
  <c r="BB93" i="38" s="1"/>
  <c r="G93" i="38" s="1"/>
  <c r="AV93" i="38"/>
  <c r="AW93" i="38" s="1"/>
  <c r="F93" i="38" s="1"/>
  <c r="BA67" i="38"/>
  <c r="BB67" i="38" s="1"/>
  <c r="G67" i="38" s="1"/>
  <c r="AV67" i="38"/>
  <c r="AW67" i="38" s="1"/>
  <c r="F67" i="38" s="1"/>
  <c r="AV27" i="38"/>
  <c r="AW27" i="38" s="1"/>
  <c r="F27" i="38" s="1"/>
  <c r="BA27" i="38"/>
  <c r="BB27" i="38" s="1"/>
  <c r="G27" i="38" s="1"/>
  <c r="AV59" i="38"/>
  <c r="AW59" i="38" s="1"/>
  <c r="F59" i="38" s="1"/>
  <c r="BA59" i="38"/>
  <c r="BB59" i="38" s="1"/>
  <c r="G59" i="38" s="1"/>
  <c r="AV92" i="38"/>
  <c r="AW92" i="38" s="1"/>
  <c r="F92" i="38" s="1"/>
  <c r="BA92" i="38"/>
  <c r="BB92" i="38" s="1"/>
  <c r="G92" i="38" s="1"/>
  <c r="AV100" i="38"/>
  <c r="AW100" i="38" s="1"/>
  <c r="F100" i="38" s="1"/>
  <c r="BA100" i="38"/>
  <c r="BB100" i="38" s="1"/>
  <c r="G100" i="38" s="1"/>
  <c r="EY21" i="38"/>
  <c r="EY30" i="38"/>
  <c r="EY31" i="38"/>
  <c r="AV54" i="46"/>
  <c r="AW54" i="46" s="1"/>
  <c r="F54" i="46" s="1"/>
  <c r="AV47" i="46"/>
  <c r="AW47" i="46" s="1"/>
  <c r="F47" i="46" s="1"/>
  <c r="BA43" i="46"/>
  <c r="BB43" i="46" s="1"/>
  <c r="G43" i="46" s="1"/>
  <c r="BA26" i="46"/>
  <c r="BB26" i="46" s="1"/>
  <c r="G26" i="46" s="1"/>
  <c r="M26" i="41" s="1"/>
  <c r="AV26" i="46"/>
  <c r="AW26" i="46" s="1"/>
  <c r="F26" i="46" s="1"/>
  <c r="AV96" i="46"/>
  <c r="AW96" i="46" s="1"/>
  <c r="F96" i="46" s="1"/>
  <c r="BA94" i="38"/>
  <c r="BB94" i="38" s="1"/>
  <c r="G94" i="38" s="1"/>
  <c r="AV94" i="38"/>
  <c r="AW94" i="38" s="1"/>
  <c r="F94" i="38" s="1"/>
  <c r="AV71" i="38"/>
  <c r="AW71" i="38" s="1"/>
  <c r="F71" i="38" s="1"/>
  <c r="BA71" i="38"/>
  <c r="BB71" i="38" s="1"/>
  <c r="G71" i="38" s="1"/>
  <c r="AV89" i="38"/>
  <c r="AW89" i="38" s="1"/>
  <c r="F89" i="38" s="1"/>
  <c r="BA89" i="38"/>
  <c r="BB89" i="38" s="1"/>
  <c r="G89" i="38" s="1"/>
  <c r="AV78" i="38"/>
  <c r="AW78" i="38" s="1"/>
  <c r="F78" i="38" s="1"/>
  <c r="BA78" i="38"/>
  <c r="BB78" i="38" s="1"/>
  <c r="G78" i="38" s="1"/>
  <c r="AV28" i="38"/>
  <c r="AW28" i="38" s="1"/>
  <c r="F28" i="38" s="1"/>
  <c r="BA28" i="38"/>
  <c r="BB28" i="38" s="1"/>
  <c r="G28" i="38" s="1"/>
  <c r="BA22" i="38"/>
  <c r="BB22" i="38" s="1"/>
  <c r="G22" i="38" s="1"/>
  <c r="K22" i="41" s="1"/>
  <c r="AV22" i="38"/>
  <c r="AW22" i="38" s="1"/>
  <c r="F22" i="38" s="1"/>
  <c r="AV26" i="38"/>
  <c r="AW26" i="38" s="1"/>
  <c r="F26" i="38" s="1"/>
  <c r="BA26" i="38"/>
  <c r="BB26" i="38" s="1"/>
  <c r="G26" i="38" s="1"/>
  <c r="AV70" i="38"/>
  <c r="AW70" i="38" s="1"/>
  <c r="F70" i="38" s="1"/>
  <c r="BA70" i="38"/>
  <c r="BB70" i="38" s="1"/>
  <c r="G70" i="38" s="1"/>
  <c r="AV84" i="38"/>
  <c r="AW84" i="38" s="1"/>
  <c r="F84" i="38" s="1"/>
  <c r="BA84" i="38"/>
  <c r="BB84" i="38" s="1"/>
  <c r="G84" i="38" s="1"/>
  <c r="BA90" i="38"/>
  <c r="BB90" i="38" s="1"/>
  <c r="G90" i="38" s="1"/>
  <c r="AV90" i="38"/>
  <c r="AW90" i="38" s="1"/>
  <c r="F90" i="38" s="1"/>
  <c r="BA58" i="38"/>
  <c r="BB58" i="38" s="1"/>
  <c r="G58" i="38" s="1"/>
  <c r="AV58" i="38"/>
  <c r="AW58" i="38" s="1"/>
  <c r="F58" i="38" s="1"/>
  <c r="BA88" i="38"/>
  <c r="BB88" i="38" s="1"/>
  <c r="G88" i="38" s="1"/>
  <c r="AV88" i="38"/>
  <c r="AW88" i="38" s="1"/>
  <c r="F88" i="38" s="1"/>
  <c r="GF18" i="45"/>
  <c r="GE25" i="45"/>
  <c r="GE20" i="45"/>
  <c r="GE21" i="45"/>
  <c r="GE27" i="45"/>
  <c r="GE26" i="45"/>
  <c r="GE28" i="45"/>
  <c r="GE6" i="45"/>
  <c r="GE23" i="45"/>
  <c r="GE22" i="45"/>
  <c r="GE24" i="45"/>
  <c r="GE29" i="45"/>
  <c r="GE30" i="45"/>
  <c r="M140" i="38"/>
  <c r="BS6" i="56"/>
  <c r="FB6" i="56" s="1"/>
  <c r="DA6" i="7" s="1"/>
  <c r="FA6" i="56"/>
  <c r="CZ6" i="7" s="1"/>
  <c r="DV6" i="57"/>
  <c r="FN6" i="57"/>
  <c r="M140" i="45"/>
  <c r="M140" i="46"/>
  <c r="FZ23" i="46"/>
  <c r="FZ25" i="46"/>
  <c r="FZ6" i="46"/>
  <c r="GA18" i="46"/>
  <c r="FZ21" i="46"/>
  <c r="FZ26" i="46"/>
  <c r="FZ24" i="46"/>
  <c r="FZ27" i="46"/>
  <c r="FZ22" i="46"/>
  <c r="FZ20" i="46"/>
  <c r="FZ28" i="46"/>
  <c r="FZ29" i="46"/>
  <c r="GA25" i="38"/>
  <c r="GA24" i="38"/>
  <c r="GA6" i="38"/>
  <c r="GA21" i="38"/>
  <c r="GA26" i="38"/>
  <c r="GB18" i="38"/>
  <c r="GA22" i="38"/>
  <c r="GA23" i="38"/>
  <c r="GA20" i="38"/>
  <c r="GA27" i="38"/>
  <c r="A141" i="45"/>
  <c r="O141" i="45" s="1"/>
  <c r="A141" i="46"/>
  <c r="O141" i="46" s="1"/>
  <c r="A142" i="55"/>
  <c r="A141" i="38"/>
  <c r="O141" i="38" s="1"/>
  <c r="EN6" i="57"/>
  <c r="GD6" i="57"/>
  <c r="I11" i="41"/>
  <c r="J11" i="41" s="1"/>
  <c r="P11" i="41"/>
  <c r="U11" i="41" s="1"/>
  <c r="X11" i="41" s="1"/>
  <c r="O11" i="41"/>
  <c r="T11" i="41" s="1"/>
  <c r="W11" i="41" s="1"/>
  <c r="N11" i="41"/>
  <c r="S11" i="41" s="1"/>
  <c r="V11" i="41" s="1"/>
  <c r="CW32" i="38" l="1"/>
  <c r="DB32" i="38" s="1"/>
  <c r="CX32" i="38"/>
  <c r="DC32" i="38" s="1"/>
  <c r="CZ32" i="38"/>
  <c r="DE32" i="38" s="1"/>
  <c r="CY32" i="38"/>
  <c r="DD32" i="38" s="1"/>
  <c r="DA32" i="38"/>
  <c r="O32" i="38"/>
  <c r="BE69" i="45"/>
  <c r="BE134" i="45"/>
  <c r="BE42" i="45"/>
  <c r="BF42" i="45" s="1"/>
  <c r="BG42" i="45" s="1"/>
  <c r="H42" i="45" s="1"/>
  <c r="BE144" i="45"/>
  <c r="BF144" i="45" s="1"/>
  <c r="BG144" i="45" s="1"/>
  <c r="H144" i="45" s="1"/>
  <c r="BE70" i="45"/>
  <c r="BE36" i="46"/>
  <c r="BE59" i="46"/>
  <c r="BE137" i="46"/>
  <c r="BE28" i="45"/>
  <c r="BE67" i="45"/>
  <c r="BE147" i="45"/>
  <c r="BE49" i="45"/>
  <c r="BE29" i="46"/>
  <c r="BE32" i="46"/>
  <c r="BE84" i="46"/>
  <c r="BF84" i="46" s="1"/>
  <c r="BG84" i="46" s="1"/>
  <c r="H84" i="46" s="1"/>
  <c r="BE87" i="46"/>
  <c r="BF87" i="46" s="1"/>
  <c r="BG87" i="46" s="1"/>
  <c r="H87" i="46" s="1"/>
  <c r="BE95" i="46"/>
  <c r="BE130" i="45"/>
  <c r="BE76" i="45"/>
  <c r="BE40" i="45"/>
  <c r="BF40" i="45" s="1"/>
  <c r="BG40" i="45" s="1"/>
  <c r="H40" i="45" s="1"/>
  <c r="BE22" i="46"/>
  <c r="BE58" i="45"/>
  <c r="BE131" i="45"/>
  <c r="BF131" i="45" s="1"/>
  <c r="BG131" i="45" s="1"/>
  <c r="H131" i="45" s="1"/>
  <c r="I131" i="45" s="1"/>
  <c r="BE58" i="46"/>
  <c r="BF58" i="46" s="1"/>
  <c r="BG58" i="46" s="1"/>
  <c r="H58" i="46" s="1"/>
  <c r="BE149" i="46"/>
  <c r="BE43" i="46"/>
  <c r="BE47" i="46"/>
  <c r="BE42" i="46"/>
  <c r="BF42" i="46" s="1"/>
  <c r="BG42" i="46" s="1"/>
  <c r="H42" i="46" s="1"/>
  <c r="BE134" i="46"/>
  <c r="BE27" i="45"/>
  <c r="BE31" i="46"/>
  <c r="BE54" i="46"/>
  <c r="BF54" i="46" s="1"/>
  <c r="BG54" i="46" s="1"/>
  <c r="H54" i="46" s="1"/>
  <c r="BE25" i="46"/>
  <c r="BE90" i="45"/>
  <c r="BE54" i="45"/>
  <c r="BE37" i="45"/>
  <c r="BF37" i="45" s="1"/>
  <c r="BG37" i="45" s="1"/>
  <c r="H37" i="45" s="1"/>
  <c r="BE53" i="45"/>
  <c r="BE34" i="45"/>
  <c r="BE53" i="46"/>
  <c r="BE73" i="46"/>
  <c r="BE135" i="45"/>
  <c r="BE27" i="46"/>
  <c r="BE89" i="46"/>
  <c r="BE30" i="46"/>
  <c r="BE71" i="46"/>
  <c r="BE34" i="46"/>
  <c r="BE21" i="46"/>
  <c r="BF21" i="46" s="1"/>
  <c r="BG21" i="46" s="1"/>
  <c r="H21" i="46" s="1"/>
  <c r="I21" i="46" s="1"/>
  <c r="BE80" i="46"/>
  <c r="BF80" i="46" s="1"/>
  <c r="BG80" i="46" s="1"/>
  <c r="H80" i="46" s="1"/>
  <c r="BE23" i="38"/>
  <c r="BE48" i="38"/>
  <c r="BF48" i="38" s="1"/>
  <c r="BG48" i="38" s="1"/>
  <c r="H48" i="38" s="1"/>
  <c r="BE38" i="38"/>
  <c r="BF38" i="38" s="1"/>
  <c r="BG38" i="38" s="1"/>
  <c r="H38" i="38" s="1"/>
  <c r="BE42" i="38"/>
  <c r="BF42" i="38" s="1"/>
  <c r="BG42" i="38" s="1"/>
  <c r="H42" i="38" s="1"/>
  <c r="BE54" i="38"/>
  <c r="BF54" i="38" s="1"/>
  <c r="BG54" i="38" s="1"/>
  <c r="H54" i="38" s="1"/>
  <c r="BE92" i="38"/>
  <c r="BF92" i="38" s="1"/>
  <c r="BG92" i="38" s="1"/>
  <c r="H92" i="38" s="1"/>
  <c r="BE88" i="38"/>
  <c r="BF88" i="38" s="1"/>
  <c r="BG88" i="38" s="1"/>
  <c r="H88" i="38" s="1"/>
  <c r="BE90" i="38"/>
  <c r="BF90" i="38" s="1"/>
  <c r="BG90" i="38" s="1"/>
  <c r="H90" i="38" s="1"/>
  <c r="BE47" i="38"/>
  <c r="BE96" i="38"/>
  <c r="BF96" i="38" s="1"/>
  <c r="BG96" i="38" s="1"/>
  <c r="H96" i="38" s="1"/>
  <c r="BE76" i="38"/>
  <c r="BF76" i="38" s="1"/>
  <c r="BG76" i="38" s="1"/>
  <c r="H76" i="38" s="1"/>
  <c r="BE52" i="38"/>
  <c r="BF52" i="38" s="1"/>
  <c r="BG52" i="38" s="1"/>
  <c r="H52" i="38" s="1"/>
  <c r="BE143" i="38"/>
  <c r="BF143" i="38" s="1"/>
  <c r="BG143" i="38" s="1"/>
  <c r="H143" i="38" s="1"/>
  <c r="BE100" i="38"/>
  <c r="BF100" i="38" s="1"/>
  <c r="BG100" i="38" s="1"/>
  <c r="H100" i="38" s="1"/>
  <c r="BE85" i="38"/>
  <c r="BF85" i="38" s="1"/>
  <c r="BG85" i="38" s="1"/>
  <c r="H85" i="38" s="1"/>
  <c r="BE24" i="38"/>
  <c r="BF24" i="38" s="1"/>
  <c r="BG24" i="38" s="1"/>
  <c r="H24" i="38" s="1"/>
  <c r="BE58" i="38"/>
  <c r="BE69" i="38"/>
  <c r="BF69" i="38" s="1"/>
  <c r="BG69" i="38" s="1"/>
  <c r="H69" i="38" s="1"/>
  <c r="BE74" i="38"/>
  <c r="BF74" i="38" s="1"/>
  <c r="BG74" i="38" s="1"/>
  <c r="H74" i="38" s="1"/>
  <c r="BE77" i="38"/>
  <c r="BF77" i="38" s="1"/>
  <c r="BG77" i="38" s="1"/>
  <c r="H77" i="38" s="1"/>
  <c r="BE138" i="38"/>
  <c r="BF138" i="38" s="1"/>
  <c r="BG138" i="38" s="1"/>
  <c r="H138" i="38" s="1"/>
  <c r="I138" i="38" s="1"/>
  <c r="BE31" i="38"/>
  <c r="BF31" i="38" s="1"/>
  <c r="BG31" i="38" s="1"/>
  <c r="H31" i="38" s="1"/>
  <c r="BE141" i="38"/>
  <c r="BE95" i="38"/>
  <c r="BF95" i="38" s="1"/>
  <c r="BG95" i="38" s="1"/>
  <c r="H95" i="38" s="1"/>
  <c r="BE87" i="38"/>
  <c r="BE100" i="46"/>
  <c r="BE46" i="46"/>
  <c r="BF46" i="46" s="1"/>
  <c r="BG46" i="46" s="1"/>
  <c r="H46" i="46" s="1"/>
  <c r="BE135" i="38"/>
  <c r="BF135" i="38" s="1"/>
  <c r="BG135" i="38" s="1"/>
  <c r="H135" i="38" s="1"/>
  <c r="I135" i="38" s="1"/>
  <c r="BE72" i="38"/>
  <c r="BF72" i="38" s="1"/>
  <c r="BG72" i="38" s="1"/>
  <c r="H72" i="38" s="1"/>
  <c r="BE66" i="38"/>
  <c r="BF66" i="38" s="1"/>
  <c r="BG66" i="38" s="1"/>
  <c r="H66" i="38" s="1"/>
  <c r="BE53" i="38"/>
  <c r="BF53" i="38" s="1"/>
  <c r="BG53" i="38" s="1"/>
  <c r="H53" i="38" s="1"/>
  <c r="BE71" i="38"/>
  <c r="BF71" i="38" s="1"/>
  <c r="BG71" i="38" s="1"/>
  <c r="H71" i="38" s="1"/>
  <c r="BE148" i="38"/>
  <c r="BE26" i="38"/>
  <c r="BF26" i="38" s="1"/>
  <c r="BG26" i="38" s="1"/>
  <c r="H26" i="38" s="1"/>
  <c r="BE64" i="38"/>
  <c r="BF64" i="38" s="1"/>
  <c r="BG64" i="38" s="1"/>
  <c r="H64" i="38" s="1"/>
  <c r="BE62" i="38"/>
  <c r="BF62" i="38" s="1"/>
  <c r="BG62" i="38" s="1"/>
  <c r="H62" i="38" s="1"/>
  <c r="BE34" i="38"/>
  <c r="BE75" i="38"/>
  <c r="BF75" i="38" s="1"/>
  <c r="BG75" i="38" s="1"/>
  <c r="H75" i="38" s="1"/>
  <c r="BE80" i="38"/>
  <c r="BF80" i="38" s="1"/>
  <c r="BG80" i="38" s="1"/>
  <c r="H80" i="38" s="1"/>
  <c r="BE84" i="38"/>
  <c r="BF84" i="38" s="1"/>
  <c r="BG84" i="38" s="1"/>
  <c r="H84" i="38" s="1"/>
  <c r="BE49" i="38"/>
  <c r="BE140" i="38"/>
  <c r="BF140" i="38" s="1"/>
  <c r="BG140" i="38" s="1"/>
  <c r="H140" i="38" s="1"/>
  <c r="I140" i="38" s="1"/>
  <c r="BE44" i="38"/>
  <c r="BF44" i="38" s="1"/>
  <c r="BG44" i="38" s="1"/>
  <c r="H44" i="38" s="1"/>
  <c r="BE144" i="38"/>
  <c r="BE83" i="38"/>
  <c r="BE82" i="38"/>
  <c r="BF82" i="38" s="1"/>
  <c r="BG82" i="38" s="1"/>
  <c r="H82" i="38" s="1"/>
  <c r="BE33" i="38"/>
  <c r="BF33" i="38" s="1"/>
  <c r="BG33" i="38" s="1"/>
  <c r="H33" i="38" s="1"/>
  <c r="BE98" i="38"/>
  <c r="BE55" i="38"/>
  <c r="BE29" i="38"/>
  <c r="BF29" i="38" s="1"/>
  <c r="BG29" i="38" s="1"/>
  <c r="H29" i="38" s="1"/>
  <c r="BE149" i="38"/>
  <c r="BF149" i="38" s="1"/>
  <c r="BG149" i="38" s="1"/>
  <c r="H149" i="38" s="1"/>
  <c r="BE50" i="38"/>
  <c r="BF50" i="38" s="1"/>
  <c r="BG50" i="38" s="1"/>
  <c r="H50" i="38" s="1"/>
  <c r="BE142" i="45"/>
  <c r="BF142" i="45" s="1"/>
  <c r="BG142" i="45" s="1"/>
  <c r="H142" i="45" s="1"/>
  <c r="BE97" i="38"/>
  <c r="BF97" i="38" s="1"/>
  <c r="BG97" i="38" s="1"/>
  <c r="H97" i="38" s="1"/>
  <c r="BE59" i="38"/>
  <c r="BE67" i="38"/>
  <c r="BF67" i="38" s="1"/>
  <c r="BG67" i="38" s="1"/>
  <c r="H67" i="38" s="1"/>
  <c r="BE147" i="38"/>
  <c r="BF147" i="38" s="1"/>
  <c r="BG147" i="38" s="1"/>
  <c r="H147" i="38" s="1"/>
  <c r="BE136" i="38"/>
  <c r="BF136" i="38" s="1"/>
  <c r="BG136" i="38" s="1"/>
  <c r="H136" i="38" s="1"/>
  <c r="I136" i="38" s="1"/>
  <c r="BE93" i="38"/>
  <c r="BF93" i="38" s="1"/>
  <c r="BG93" i="38" s="1"/>
  <c r="H93" i="38" s="1"/>
  <c r="BE86" i="38"/>
  <c r="BE56" i="38"/>
  <c r="BF56" i="38" s="1"/>
  <c r="BG56" i="38" s="1"/>
  <c r="H56" i="38" s="1"/>
  <c r="BE145" i="38"/>
  <c r="BF145" i="38" s="1"/>
  <c r="BG145" i="38" s="1"/>
  <c r="H145" i="38" s="1"/>
  <c r="BE20" i="38"/>
  <c r="BF20" i="38" s="1"/>
  <c r="BG20" i="38" s="1"/>
  <c r="H20" i="38" s="1"/>
  <c r="BE40" i="38"/>
  <c r="BF40" i="38" s="1"/>
  <c r="BG40" i="38" s="1"/>
  <c r="H40" i="38" s="1"/>
  <c r="BE89" i="38"/>
  <c r="BF89" i="38" s="1"/>
  <c r="BG89" i="38" s="1"/>
  <c r="H89" i="38" s="1"/>
  <c r="BE57" i="38"/>
  <c r="BF57" i="38" s="1"/>
  <c r="BG57" i="38" s="1"/>
  <c r="H57" i="38" s="1"/>
  <c r="BE41" i="38"/>
  <c r="BF41" i="38" s="1"/>
  <c r="BG41" i="38" s="1"/>
  <c r="H41" i="38" s="1"/>
  <c r="BE130" i="38"/>
  <c r="BF130" i="38" s="1"/>
  <c r="BG130" i="38" s="1"/>
  <c r="H130" i="38" s="1"/>
  <c r="I130" i="38" s="1"/>
  <c r="BE68" i="38"/>
  <c r="BE35" i="38"/>
  <c r="BF35" i="38" s="1"/>
  <c r="BG35" i="38" s="1"/>
  <c r="H35" i="38" s="1"/>
  <c r="BE81" i="38"/>
  <c r="BF81" i="38" s="1"/>
  <c r="BG81" i="38" s="1"/>
  <c r="H81" i="38" s="1"/>
  <c r="BE131" i="38"/>
  <c r="BF131" i="38" s="1"/>
  <c r="BG131" i="38" s="1"/>
  <c r="H131" i="38" s="1"/>
  <c r="I131" i="38" s="1"/>
  <c r="BE91" i="38"/>
  <c r="BF91" i="38" s="1"/>
  <c r="BG91" i="38" s="1"/>
  <c r="H91" i="38" s="1"/>
  <c r="BE39" i="38"/>
  <c r="BF39" i="38" s="1"/>
  <c r="BG39" i="38" s="1"/>
  <c r="H39" i="38" s="1"/>
  <c r="BE36" i="38"/>
  <c r="BF36" i="38" s="1"/>
  <c r="BG36" i="38" s="1"/>
  <c r="H36" i="38" s="1"/>
  <c r="BE65" i="38"/>
  <c r="BE96" i="46"/>
  <c r="BE51" i="38"/>
  <c r="BF51" i="38" s="1"/>
  <c r="BG51" i="38" s="1"/>
  <c r="H51" i="38" s="1"/>
  <c r="BF23" i="38"/>
  <c r="BG23" i="38" s="1"/>
  <c r="H23" i="38" s="1"/>
  <c r="BF26" i="45"/>
  <c r="BG26" i="45" s="1"/>
  <c r="H26" i="45" s="1"/>
  <c r="I26" i="45" s="1"/>
  <c r="BE26" i="45"/>
  <c r="BE82" i="45"/>
  <c r="BF82" i="45" s="1"/>
  <c r="BG82" i="45" s="1"/>
  <c r="H82" i="45" s="1"/>
  <c r="BE49" i="46"/>
  <c r="BF49" i="46" s="1"/>
  <c r="BG49" i="46" s="1"/>
  <c r="H49" i="46" s="1"/>
  <c r="BE22" i="38"/>
  <c r="BF22" i="38" s="1"/>
  <c r="BG22" i="38" s="1"/>
  <c r="H22" i="38" s="1"/>
  <c r="I22" i="38" s="1"/>
  <c r="BS22" i="38" s="1"/>
  <c r="BE78" i="38"/>
  <c r="BE60" i="38"/>
  <c r="BF60" i="38" s="1"/>
  <c r="BG60" i="38" s="1"/>
  <c r="H60" i="38" s="1"/>
  <c r="BE79" i="38"/>
  <c r="BF79" i="38" s="1"/>
  <c r="BG79" i="38" s="1"/>
  <c r="H79" i="38" s="1"/>
  <c r="BE134" i="38"/>
  <c r="BE94" i="38"/>
  <c r="BF94" i="38" s="1"/>
  <c r="BG94" i="38" s="1"/>
  <c r="H94" i="38" s="1"/>
  <c r="BE132" i="38"/>
  <c r="BF132" i="38" s="1"/>
  <c r="BG132" i="38" s="1"/>
  <c r="H132" i="38" s="1"/>
  <c r="I132" i="38" s="1"/>
  <c r="BE28" i="38"/>
  <c r="BE21" i="38"/>
  <c r="BF21" i="38" s="1"/>
  <c r="BG21" i="38" s="1"/>
  <c r="H21" i="38" s="1"/>
  <c r="I21" i="38" s="1"/>
  <c r="BS21" i="38" s="1"/>
  <c r="BE63" i="38"/>
  <c r="BE99" i="38"/>
  <c r="BF99" i="38" s="1"/>
  <c r="BG99" i="38" s="1"/>
  <c r="H99" i="38" s="1"/>
  <c r="BE43" i="38"/>
  <c r="BF43" i="38" s="1"/>
  <c r="BG43" i="38" s="1"/>
  <c r="H43" i="38" s="1"/>
  <c r="BE137" i="38"/>
  <c r="BF137" i="38" s="1"/>
  <c r="BG137" i="38" s="1"/>
  <c r="H137" i="38" s="1"/>
  <c r="I137" i="38" s="1"/>
  <c r="BE146" i="38"/>
  <c r="BF146" i="38" s="1"/>
  <c r="BG146" i="38" s="1"/>
  <c r="H146" i="38" s="1"/>
  <c r="BE37" i="38"/>
  <c r="BF37" i="38" s="1"/>
  <c r="BG37" i="38" s="1"/>
  <c r="H37" i="38" s="1"/>
  <c r="BE46" i="38"/>
  <c r="BF46" i="38" s="1"/>
  <c r="BG46" i="38" s="1"/>
  <c r="H46" i="38" s="1"/>
  <c r="BE61" i="38"/>
  <c r="BF61" i="38" s="1"/>
  <c r="BG61" i="38" s="1"/>
  <c r="H61" i="38" s="1"/>
  <c r="BE133" i="38"/>
  <c r="BE30" i="38"/>
  <c r="BF30" i="38" s="1"/>
  <c r="BG30" i="38" s="1"/>
  <c r="H30" i="38" s="1"/>
  <c r="BE139" i="38"/>
  <c r="BF139" i="38" s="1"/>
  <c r="BG139" i="38" s="1"/>
  <c r="H139" i="38" s="1"/>
  <c r="I139" i="38" s="1"/>
  <c r="BE45" i="38"/>
  <c r="BF45" i="38" s="1"/>
  <c r="BG45" i="38" s="1"/>
  <c r="H45" i="38" s="1"/>
  <c r="BE27" i="38"/>
  <c r="BF27" i="38" s="1"/>
  <c r="BG27" i="38" s="1"/>
  <c r="H27" i="38" s="1"/>
  <c r="BE70" i="38"/>
  <c r="BF70" i="38" s="1"/>
  <c r="BG70" i="38" s="1"/>
  <c r="H70" i="38" s="1"/>
  <c r="BE25" i="38"/>
  <c r="BF25" i="38" s="1"/>
  <c r="BG25" i="38" s="1"/>
  <c r="H25" i="38" s="1"/>
  <c r="BE142" i="38"/>
  <c r="BF142" i="38" s="1"/>
  <c r="BG142" i="38" s="1"/>
  <c r="H142" i="38" s="1"/>
  <c r="BE73" i="38"/>
  <c r="BE32" i="38"/>
  <c r="BF32" i="38" s="1"/>
  <c r="BG32" i="38" s="1"/>
  <c r="H32" i="38" s="1"/>
  <c r="I32" i="38" s="1"/>
  <c r="BF33" i="46"/>
  <c r="BG33" i="46" s="1"/>
  <c r="H33" i="46" s="1"/>
  <c r="I33" i="46" s="1"/>
  <c r="BE61" i="46"/>
  <c r="BF61" i="46" s="1"/>
  <c r="BG61" i="46" s="1"/>
  <c r="H61" i="46" s="1"/>
  <c r="AG50" i="4"/>
  <c r="AI49" i="4"/>
  <c r="AX49" i="46" s="1"/>
  <c r="AZ49" i="46" s="1"/>
  <c r="BA49" i="46" s="1"/>
  <c r="BB49" i="46" s="1"/>
  <c r="G49" i="46" s="1"/>
  <c r="BA48" i="46"/>
  <c r="BB48" i="46" s="1"/>
  <c r="G48" i="46" s="1"/>
  <c r="AH50" i="4"/>
  <c r="AJ49" i="4"/>
  <c r="AY49" i="46" s="1"/>
  <c r="BA26" i="45"/>
  <c r="BB26" i="45" s="1"/>
  <c r="G26" i="45" s="1"/>
  <c r="P26" i="45" s="1"/>
  <c r="AV61" i="46"/>
  <c r="AW61" i="46" s="1"/>
  <c r="F61" i="46" s="1"/>
  <c r="AV48" i="46"/>
  <c r="AW48" i="46" s="1"/>
  <c r="F48" i="46" s="1"/>
  <c r="BA41" i="46"/>
  <c r="BB41" i="46" s="1"/>
  <c r="G41" i="46" s="1"/>
  <c r="AV60" i="46"/>
  <c r="AW60" i="46" s="1"/>
  <c r="F60" i="46" s="1"/>
  <c r="AV20" i="46"/>
  <c r="AW20" i="46" s="1"/>
  <c r="F20" i="46" s="1"/>
  <c r="P20" i="46" s="1"/>
  <c r="I20" i="41" s="1"/>
  <c r="AV68" i="46"/>
  <c r="AW68" i="46" s="1"/>
  <c r="F68" i="46" s="1"/>
  <c r="BA40" i="46"/>
  <c r="BB40" i="46" s="1"/>
  <c r="G40" i="46" s="1"/>
  <c r="BA45" i="46"/>
  <c r="BB45" i="46" s="1"/>
  <c r="G45" i="46" s="1"/>
  <c r="AV65" i="46"/>
  <c r="AW65" i="46" s="1"/>
  <c r="F65" i="46" s="1"/>
  <c r="AV58" i="46"/>
  <c r="AW58" i="46" s="1"/>
  <c r="F58" i="46" s="1"/>
  <c r="BF75" i="45"/>
  <c r="BG75" i="45" s="1"/>
  <c r="H75" i="45" s="1"/>
  <c r="BF47" i="45"/>
  <c r="BG47" i="45" s="1"/>
  <c r="H47" i="45" s="1"/>
  <c r="BF146" i="46"/>
  <c r="BG146" i="46" s="1"/>
  <c r="H146" i="46" s="1"/>
  <c r="BF22" i="45"/>
  <c r="BG22" i="45" s="1"/>
  <c r="H22" i="45" s="1"/>
  <c r="I22" i="45" s="1"/>
  <c r="BF39" i="45"/>
  <c r="BG39" i="45" s="1"/>
  <c r="H39" i="45" s="1"/>
  <c r="BF147" i="46"/>
  <c r="BG147" i="46" s="1"/>
  <c r="H147" i="46" s="1"/>
  <c r="BF70" i="46"/>
  <c r="BG70" i="46" s="1"/>
  <c r="H70" i="46" s="1"/>
  <c r="BF20" i="45"/>
  <c r="BG20" i="45" s="1"/>
  <c r="H20" i="45" s="1"/>
  <c r="I20" i="45" s="1"/>
  <c r="AV52" i="45"/>
  <c r="AW52" i="45" s="1"/>
  <c r="F52" i="45" s="1"/>
  <c r="AV85" i="46"/>
  <c r="AW85" i="46" s="1"/>
  <c r="F85" i="46" s="1"/>
  <c r="AV57" i="46"/>
  <c r="AW57" i="46" s="1"/>
  <c r="F57" i="46" s="1"/>
  <c r="AV83" i="46"/>
  <c r="AW83" i="46" s="1"/>
  <c r="F83" i="46" s="1"/>
  <c r="AV86" i="46"/>
  <c r="AW86" i="46" s="1"/>
  <c r="F86" i="46" s="1"/>
  <c r="BF100" i="46"/>
  <c r="BG100" i="46" s="1"/>
  <c r="H100" i="46" s="1"/>
  <c r="AV27" i="46"/>
  <c r="AW27" i="46" s="1"/>
  <c r="F27" i="46" s="1"/>
  <c r="AV50" i="46"/>
  <c r="AW50" i="46" s="1"/>
  <c r="F50" i="46" s="1"/>
  <c r="BF38" i="46"/>
  <c r="BG38" i="46" s="1"/>
  <c r="H38" i="46" s="1"/>
  <c r="BF134" i="46"/>
  <c r="BG134" i="46" s="1"/>
  <c r="H134" i="46" s="1"/>
  <c r="I134" i="46" s="1"/>
  <c r="BA28" i="46"/>
  <c r="BB28" i="46" s="1"/>
  <c r="G28" i="46" s="1"/>
  <c r="M28" i="41" s="1"/>
  <c r="BF51" i="45"/>
  <c r="BG51" i="45" s="1"/>
  <c r="H51" i="45" s="1"/>
  <c r="BF144" i="46"/>
  <c r="BG144" i="46" s="1"/>
  <c r="H144" i="46" s="1"/>
  <c r="BF49" i="45"/>
  <c r="BG49" i="45" s="1"/>
  <c r="H49" i="45" s="1"/>
  <c r="BF90" i="45"/>
  <c r="BG90" i="45" s="1"/>
  <c r="H90" i="45" s="1"/>
  <c r="BF100" i="45"/>
  <c r="BG100" i="45" s="1"/>
  <c r="H100" i="45" s="1"/>
  <c r="BF23" i="45"/>
  <c r="BG23" i="45" s="1"/>
  <c r="H23" i="45" s="1"/>
  <c r="I23" i="45" s="1"/>
  <c r="BF137" i="45"/>
  <c r="BG137" i="45" s="1"/>
  <c r="H137" i="45" s="1"/>
  <c r="I137" i="45" s="1"/>
  <c r="BF79" i="46"/>
  <c r="BG79" i="46" s="1"/>
  <c r="H79" i="46" s="1"/>
  <c r="AV23" i="46"/>
  <c r="AW23" i="46" s="1"/>
  <c r="F23" i="46" s="1"/>
  <c r="P23" i="46" s="1"/>
  <c r="I23" i="41" s="1"/>
  <c r="AV62" i="46"/>
  <c r="AW62" i="46" s="1"/>
  <c r="F62" i="46" s="1"/>
  <c r="AV44" i="46"/>
  <c r="AW44" i="46" s="1"/>
  <c r="F44" i="46" s="1"/>
  <c r="AV39" i="46"/>
  <c r="AW39" i="46" s="1"/>
  <c r="F39" i="46" s="1"/>
  <c r="AV91" i="45"/>
  <c r="AW91" i="45" s="1"/>
  <c r="F91" i="45" s="1"/>
  <c r="AV97" i="45"/>
  <c r="AW97" i="45" s="1"/>
  <c r="F97" i="45" s="1"/>
  <c r="AV67" i="45"/>
  <c r="AW67" i="45" s="1"/>
  <c r="F67" i="45" s="1"/>
  <c r="BA36" i="46"/>
  <c r="BB36" i="46" s="1"/>
  <c r="G36" i="46" s="1"/>
  <c r="AV49" i="46"/>
  <c r="AW49" i="46" s="1"/>
  <c r="F49" i="46" s="1"/>
  <c r="AV64" i="46"/>
  <c r="AW64" i="46" s="1"/>
  <c r="F64" i="46" s="1"/>
  <c r="AV42" i="46"/>
  <c r="AW42" i="46" s="1"/>
  <c r="F42" i="46" s="1"/>
  <c r="AV77" i="45"/>
  <c r="AW77" i="45" s="1"/>
  <c r="F77" i="45" s="1"/>
  <c r="AV80" i="45"/>
  <c r="AW80" i="45" s="1"/>
  <c r="F80" i="45" s="1"/>
  <c r="AV32" i="46"/>
  <c r="AW32" i="46" s="1"/>
  <c r="F32" i="46" s="1"/>
  <c r="AV92" i="46"/>
  <c r="AW92" i="46" s="1"/>
  <c r="F92" i="46" s="1"/>
  <c r="AV93" i="46"/>
  <c r="AW93" i="46" s="1"/>
  <c r="F93" i="46" s="1"/>
  <c r="I23" i="38"/>
  <c r="BS23" i="38" s="1"/>
  <c r="BF130" i="45"/>
  <c r="BG130" i="45" s="1"/>
  <c r="H130" i="45" s="1"/>
  <c r="I130" i="45" s="1"/>
  <c r="BF76" i="45"/>
  <c r="BG76" i="45" s="1"/>
  <c r="H76" i="45" s="1"/>
  <c r="BF68" i="45"/>
  <c r="BG68" i="45" s="1"/>
  <c r="H68" i="45" s="1"/>
  <c r="BF80" i="45"/>
  <c r="BG80" i="45" s="1"/>
  <c r="H80" i="45" s="1"/>
  <c r="BF92" i="46"/>
  <c r="BG92" i="46" s="1"/>
  <c r="H92" i="46" s="1"/>
  <c r="BF134" i="45"/>
  <c r="BG134" i="45" s="1"/>
  <c r="H134" i="45" s="1"/>
  <c r="I134" i="45" s="1"/>
  <c r="BF70" i="45"/>
  <c r="BG70" i="45" s="1"/>
  <c r="H70" i="45" s="1"/>
  <c r="D12" i="46"/>
  <c r="F12" i="41" s="1"/>
  <c r="BF48" i="45"/>
  <c r="BG48" i="45" s="1"/>
  <c r="H48" i="45" s="1"/>
  <c r="BF132" i="45"/>
  <c r="BG132" i="45" s="1"/>
  <c r="H132" i="45" s="1"/>
  <c r="I132" i="45" s="1"/>
  <c r="AV21" i="45"/>
  <c r="AW21" i="45" s="1"/>
  <c r="F21" i="45" s="1"/>
  <c r="P21" i="45" s="1"/>
  <c r="Q21" i="45" s="1"/>
  <c r="AV72" i="45"/>
  <c r="AW72" i="45" s="1"/>
  <c r="F72" i="45" s="1"/>
  <c r="AV98" i="45"/>
  <c r="AW98" i="45" s="1"/>
  <c r="F98" i="45" s="1"/>
  <c r="AV94" i="45"/>
  <c r="AW94" i="45" s="1"/>
  <c r="F94" i="45" s="1"/>
  <c r="AV71" i="45"/>
  <c r="AW71" i="45" s="1"/>
  <c r="F71" i="45" s="1"/>
  <c r="BA24" i="45"/>
  <c r="BB24" i="45" s="1"/>
  <c r="G24" i="45" s="1"/>
  <c r="P24" i="45" s="1"/>
  <c r="BF30" i="45"/>
  <c r="BG30" i="45" s="1"/>
  <c r="H30" i="45" s="1"/>
  <c r="I30" i="45" s="1"/>
  <c r="D12" i="38"/>
  <c r="D12" i="41" s="1"/>
  <c r="AV28" i="45"/>
  <c r="AW28" i="45" s="1"/>
  <c r="F28" i="45" s="1"/>
  <c r="P28" i="45" s="1"/>
  <c r="Q28" i="45" s="1"/>
  <c r="AV87" i="45"/>
  <c r="AW87" i="45" s="1"/>
  <c r="F87" i="45" s="1"/>
  <c r="AV55" i="45"/>
  <c r="AW55" i="45" s="1"/>
  <c r="F55" i="45" s="1"/>
  <c r="BA83" i="45"/>
  <c r="BB83" i="45" s="1"/>
  <c r="G83" i="45" s="1"/>
  <c r="BF22" i="46"/>
  <c r="BG22" i="46" s="1"/>
  <c r="H22" i="46" s="1"/>
  <c r="I22" i="46" s="1"/>
  <c r="BA96" i="45"/>
  <c r="BB96" i="45" s="1"/>
  <c r="G96" i="45" s="1"/>
  <c r="BA22" i="45"/>
  <c r="BB22" i="45" s="1"/>
  <c r="G22" i="45" s="1"/>
  <c r="L22" i="41" s="1"/>
  <c r="AV70" i="45"/>
  <c r="AW70" i="45" s="1"/>
  <c r="F70" i="45" s="1"/>
  <c r="BF31" i="46"/>
  <c r="BG31" i="46" s="1"/>
  <c r="H31" i="46" s="1"/>
  <c r="I31" i="46" s="1"/>
  <c r="BF43" i="46"/>
  <c r="BG43" i="46" s="1"/>
  <c r="H43" i="46" s="1"/>
  <c r="BF47" i="46"/>
  <c r="BG47" i="46" s="1"/>
  <c r="H47" i="46" s="1"/>
  <c r="BF96" i="46"/>
  <c r="BG96" i="46" s="1"/>
  <c r="H96" i="46" s="1"/>
  <c r="BF57" i="46"/>
  <c r="BG57" i="46" s="1"/>
  <c r="H57" i="46" s="1"/>
  <c r="BF69" i="45"/>
  <c r="BG69" i="45" s="1"/>
  <c r="H69" i="45" s="1"/>
  <c r="BF36" i="46"/>
  <c r="BG36" i="46" s="1"/>
  <c r="H36" i="46" s="1"/>
  <c r="BF28" i="45"/>
  <c r="BG28" i="45" s="1"/>
  <c r="H28" i="45" s="1"/>
  <c r="I28" i="45" s="1"/>
  <c r="BF29" i="46"/>
  <c r="BG29" i="46" s="1"/>
  <c r="H29" i="46" s="1"/>
  <c r="I29" i="46" s="1"/>
  <c r="AV93" i="45"/>
  <c r="AW93" i="45" s="1"/>
  <c r="F93" i="45" s="1"/>
  <c r="BA51" i="45"/>
  <c r="BB51" i="45" s="1"/>
  <c r="G51" i="45" s="1"/>
  <c r="BF99" i="46"/>
  <c r="BG99" i="46" s="1"/>
  <c r="H99" i="46" s="1"/>
  <c r="BF86" i="46"/>
  <c r="BG86" i="46" s="1"/>
  <c r="H86" i="46" s="1"/>
  <c r="BF26" i="46"/>
  <c r="BG26" i="46" s="1"/>
  <c r="H26" i="46" s="1"/>
  <c r="I26" i="46" s="1"/>
  <c r="BF44" i="46"/>
  <c r="BG44" i="46" s="1"/>
  <c r="H44" i="46" s="1"/>
  <c r="BF68" i="46"/>
  <c r="BG68" i="46" s="1"/>
  <c r="H68" i="46" s="1"/>
  <c r="BF94" i="46"/>
  <c r="BG94" i="46" s="1"/>
  <c r="H94" i="46" s="1"/>
  <c r="BF82" i="46"/>
  <c r="BG82" i="46" s="1"/>
  <c r="H82" i="46" s="1"/>
  <c r="BA63" i="45"/>
  <c r="BB63" i="45" s="1"/>
  <c r="G63" i="45" s="1"/>
  <c r="AV56" i="45"/>
  <c r="AW56" i="45" s="1"/>
  <c r="F56" i="45" s="1"/>
  <c r="AV84" i="45"/>
  <c r="AW84" i="45" s="1"/>
  <c r="F84" i="45" s="1"/>
  <c r="BA68" i="45"/>
  <c r="BB68" i="45" s="1"/>
  <c r="G68" i="45" s="1"/>
  <c r="AV74" i="45"/>
  <c r="AW74" i="45" s="1"/>
  <c r="F74" i="45" s="1"/>
  <c r="BF56" i="45"/>
  <c r="BG56" i="45" s="1"/>
  <c r="H56" i="45" s="1"/>
  <c r="BF74" i="45"/>
  <c r="BG74" i="45" s="1"/>
  <c r="H74" i="45" s="1"/>
  <c r="BF40" i="46"/>
  <c r="BG40" i="46" s="1"/>
  <c r="H40" i="46" s="1"/>
  <c r="BF67" i="46"/>
  <c r="BG67" i="46" s="1"/>
  <c r="H67" i="46" s="1"/>
  <c r="BF51" i="46"/>
  <c r="BG51" i="46" s="1"/>
  <c r="H51" i="46" s="1"/>
  <c r="BA57" i="45"/>
  <c r="BB57" i="45" s="1"/>
  <c r="G57" i="45" s="1"/>
  <c r="AV82" i="45"/>
  <c r="AW82" i="45" s="1"/>
  <c r="F82" i="45" s="1"/>
  <c r="BF87" i="45"/>
  <c r="BG87" i="45" s="1"/>
  <c r="H87" i="45" s="1"/>
  <c r="BF53" i="45"/>
  <c r="BG53" i="45" s="1"/>
  <c r="H53" i="45" s="1"/>
  <c r="BF38" i="45"/>
  <c r="BG38" i="45" s="1"/>
  <c r="H38" i="45" s="1"/>
  <c r="BF85" i="46"/>
  <c r="BG85" i="46" s="1"/>
  <c r="H85" i="46" s="1"/>
  <c r="BF139" i="45"/>
  <c r="BG139" i="45" s="1"/>
  <c r="H139" i="45" s="1"/>
  <c r="I139" i="45" s="1"/>
  <c r="BF50" i="46"/>
  <c r="BG50" i="46" s="1"/>
  <c r="H50" i="46" s="1"/>
  <c r="BF142" i="46"/>
  <c r="BG142" i="46" s="1"/>
  <c r="H142" i="46" s="1"/>
  <c r="AV23" i="45"/>
  <c r="AW23" i="45" s="1"/>
  <c r="F23" i="45" s="1"/>
  <c r="P23" i="45" s="1"/>
  <c r="H23" i="41" s="1"/>
  <c r="BF91" i="46"/>
  <c r="BG91" i="46" s="1"/>
  <c r="H91" i="46" s="1"/>
  <c r="BA78" i="45"/>
  <c r="BB78" i="45" s="1"/>
  <c r="G78" i="45" s="1"/>
  <c r="BA58" i="45"/>
  <c r="BB58" i="45" s="1"/>
  <c r="G58" i="45" s="1"/>
  <c r="AV79" i="45"/>
  <c r="AW79" i="45" s="1"/>
  <c r="F79" i="45" s="1"/>
  <c r="AV61" i="45"/>
  <c r="AW61" i="45" s="1"/>
  <c r="F61" i="45" s="1"/>
  <c r="BF149" i="45"/>
  <c r="BG149" i="45" s="1"/>
  <c r="H149" i="45" s="1"/>
  <c r="BF143" i="45"/>
  <c r="BG143" i="45" s="1"/>
  <c r="H143" i="45" s="1"/>
  <c r="BF141" i="46"/>
  <c r="BG141" i="46" s="1"/>
  <c r="H141" i="46" s="1"/>
  <c r="I141" i="46" s="1"/>
  <c r="BF78" i="45"/>
  <c r="BG78" i="45" s="1"/>
  <c r="H78" i="45" s="1"/>
  <c r="BF52" i="45"/>
  <c r="BG52" i="45" s="1"/>
  <c r="H52" i="45" s="1"/>
  <c r="BF94" i="45"/>
  <c r="BG94" i="45" s="1"/>
  <c r="H94" i="45" s="1"/>
  <c r="BF83" i="45"/>
  <c r="BG83" i="45" s="1"/>
  <c r="H83" i="45" s="1"/>
  <c r="BF139" i="46"/>
  <c r="BG139" i="46" s="1"/>
  <c r="H139" i="46" s="1"/>
  <c r="I139" i="46" s="1"/>
  <c r="BF75" i="46"/>
  <c r="BG75" i="46" s="1"/>
  <c r="H75" i="46" s="1"/>
  <c r="BF78" i="46"/>
  <c r="BG78" i="46" s="1"/>
  <c r="H78" i="46" s="1"/>
  <c r="BF71" i="45"/>
  <c r="BG71" i="45" s="1"/>
  <c r="H71" i="45" s="1"/>
  <c r="BF61" i="45"/>
  <c r="BG61" i="45" s="1"/>
  <c r="H61" i="45" s="1"/>
  <c r="BF44" i="45"/>
  <c r="BG44" i="45" s="1"/>
  <c r="H44" i="45" s="1"/>
  <c r="BF96" i="45"/>
  <c r="BG96" i="45" s="1"/>
  <c r="H96" i="45" s="1"/>
  <c r="BF39" i="46"/>
  <c r="BG39" i="46" s="1"/>
  <c r="H39" i="46" s="1"/>
  <c r="AT120" i="7"/>
  <c r="BF133" i="45"/>
  <c r="BG133" i="45" s="1"/>
  <c r="H133" i="45" s="1"/>
  <c r="I133" i="45" s="1"/>
  <c r="BA29" i="45"/>
  <c r="BB29" i="45" s="1"/>
  <c r="G29" i="45" s="1"/>
  <c r="P29" i="45" s="1"/>
  <c r="Q29" i="45" s="1"/>
  <c r="BF98" i="45"/>
  <c r="BG98" i="45" s="1"/>
  <c r="H98" i="45" s="1"/>
  <c r="BA76" i="45"/>
  <c r="BB76" i="45" s="1"/>
  <c r="G76" i="45" s="1"/>
  <c r="BA92" i="45"/>
  <c r="BB92" i="45" s="1"/>
  <c r="G92" i="45" s="1"/>
  <c r="BA88" i="45"/>
  <c r="BB88" i="45" s="1"/>
  <c r="G88" i="45" s="1"/>
  <c r="BF133" i="46"/>
  <c r="BG133" i="46" s="1"/>
  <c r="H133" i="46" s="1"/>
  <c r="I133" i="46" s="1"/>
  <c r="BA100" i="45"/>
  <c r="BB100" i="45" s="1"/>
  <c r="G100" i="45" s="1"/>
  <c r="BA95" i="45"/>
  <c r="BB95" i="45" s="1"/>
  <c r="G95" i="45" s="1"/>
  <c r="BA81" i="45"/>
  <c r="BB81" i="45" s="1"/>
  <c r="G81" i="45" s="1"/>
  <c r="BF86" i="45"/>
  <c r="BG86" i="45" s="1"/>
  <c r="H86" i="45" s="1"/>
  <c r="BF66" i="45"/>
  <c r="BG66" i="45" s="1"/>
  <c r="H66" i="45" s="1"/>
  <c r="BF65" i="45"/>
  <c r="BG65" i="45" s="1"/>
  <c r="H65" i="45" s="1"/>
  <c r="BF89" i="45"/>
  <c r="BG89" i="45" s="1"/>
  <c r="H89" i="45" s="1"/>
  <c r="BA54" i="45"/>
  <c r="BB54" i="45" s="1"/>
  <c r="G54" i="45" s="1"/>
  <c r="BA60" i="45"/>
  <c r="BB60" i="45" s="1"/>
  <c r="G60" i="45" s="1"/>
  <c r="BA65" i="45"/>
  <c r="BB65" i="45" s="1"/>
  <c r="G65" i="45" s="1"/>
  <c r="BF79" i="45"/>
  <c r="BG79" i="45" s="1"/>
  <c r="H79" i="45" s="1"/>
  <c r="BF146" i="45"/>
  <c r="BG146" i="45" s="1"/>
  <c r="H146" i="45" s="1"/>
  <c r="BF81" i="45"/>
  <c r="BG81" i="45" s="1"/>
  <c r="H81" i="45" s="1"/>
  <c r="BF90" i="46"/>
  <c r="BG90" i="46" s="1"/>
  <c r="H90" i="46" s="1"/>
  <c r="BA66" i="45"/>
  <c r="BB66" i="45" s="1"/>
  <c r="G66" i="45" s="1"/>
  <c r="BA73" i="45"/>
  <c r="BB73" i="45" s="1"/>
  <c r="G73" i="45" s="1"/>
  <c r="BA89" i="45"/>
  <c r="BB89" i="45" s="1"/>
  <c r="G89" i="45" s="1"/>
  <c r="BF141" i="45"/>
  <c r="BG141" i="45" s="1"/>
  <c r="H141" i="45" s="1"/>
  <c r="I141" i="45" s="1"/>
  <c r="BF35" i="45"/>
  <c r="BG35" i="45" s="1"/>
  <c r="H35" i="45" s="1"/>
  <c r="BF95" i="45"/>
  <c r="BG95" i="45" s="1"/>
  <c r="H95" i="45" s="1"/>
  <c r="BF36" i="45"/>
  <c r="BG36" i="45" s="1"/>
  <c r="H36" i="45" s="1"/>
  <c r="BF149" i="46"/>
  <c r="BG149" i="46" s="1"/>
  <c r="H149" i="46" s="1"/>
  <c r="AV27" i="45"/>
  <c r="AW27" i="45" s="1"/>
  <c r="F27" i="45" s="1"/>
  <c r="P27" i="45" s="1"/>
  <c r="BA59" i="45"/>
  <c r="BB59" i="45" s="1"/>
  <c r="G59" i="45" s="1"/>
  <c r="BA69" i="45"/>
  <c r="BB69" i="45" s="1"/>
  <c r="G69" i="45" s="1"/>
  <c r="AV53" i="45"/>
  <c r="AW53" i="45" s="1"/>
  <c r="F53" i="45" s="1"/>
  <c r="AV75" i="45"/>
  <c r="AW75" i="45" s="1"/>
  <c r="F75" i="45" s="1"/>
  <c r="AV99" i="45"/>
  <c r="AW99" i="45" s="1"/>
  <c r="F99" i="45" s="1"/>
  <c r="BA85" i="45"/>
  <c r="BB85" i="45" s="1"/>
  <c r="G85" i="45" s="1"/>
  <c r="BA20" i="45"/>
  <c r="BB20" i="45" s="1"/>
  <c r="G20" i="45" s="1"/>
  <c r="L20" i="41" s="1"/>
  <c r="BF55" i="45"/>
  <c r="BG55" i="45" s="1"/>
  <c r="H55" i="45" s="1"/>
  <c r="BF77" i="45"/>
  <c r="BG77" i="45" s="1"/>
  <c r="H77" i="45" s="1"/>
  <c r="BF72" i="45"/>
  <c r="BG72" i="45" s="1"/>
  <c r="H72" i="45" s="1"/>
  <c r="BF135" i="45"/>
  <c r="BG135" i="45" s="1"/>
  <c r="H135" i="45" s="1"/>
  <c r="I135" i="45" s="1"/>
  <c r="BF62" i="45"/>
  <c r="BG62" i="45" s="1"/>
  <c r="H62" i="45" s="1"/>
  <c r="AV25" i="45"/>
  <c r="AW25" i="45" s="1"/>
  <c r="F25" i="45" s="1"/>
  <c r="P25" i="45" s="1"/>
  <c r="AV62" i="45"/>
  <c r="AW62" i="45" s="1"/>
  <c r="F62" i="45" s="1"/>
  <c r="BA64" i="45"/>
  <c r="BB64" i="45" s="1"/>
  <c r="G64" i="45" s="1"/>
  <c r="AV90" i="45"/>
  <c r="AW90" i="45" s="1"/>
  <c r="F90" i="45" s="1"/>
  <c r="BF27" i="45"/>
  <c r="BG27" i="45" s="1"/>
  <c r="H27" i="45" s="1"/>
  <c r="I27" i="45" s="1"/>
  <c r="BF25" i="45"/>
  <c r="BG25" i="45" s="1"/>
  <c r="H25" i="45" s="1"/>
  <c r="I25" i="45" s="1"/>
  <c r="BF29" i="45"/>
  <c r="BG29" i="45" s="1"/>
  <c r="H29" i="45" s="1"/>
  <c r="I29" i="45" s="1"/>
  <c r="BF41" i="45"/>
  <c r="BG41" i="45" s="1"/>
  <c r="H41" i="45" s="1"/>
  <c r="BF136" i="45"/>
  <c r="BG136" i="45" s="1"/>
  <c r="H136" i="45" s="1"/>
  <c r="I136" i="45" s="1"/>
  <c r="BF73" i="45"/>
  <c r="BG73" i="45" s="1"/>
  <c r="H73" i="45" s="1"/>
  <c r="BF140" i="45"/>
  <c r="BG140" i="45" s="1"/>
  <c r="H140" i="45" s="1"/>
  <c r="I140" i="45" s="1"/>
  <c r="BF58" i="45"/>
  <c r="BG58" i="45" s="1"/>
  <c r="H58" i="45" s="1"/>
  <c r="BF97" i="45"/>
  <c r="BG97" i="45" s="1"/>
  <c r="H97" i="45" s="1"/>
  <c r="BF99" i="45"/>
  <c r="BG99" i="45" s="1"/>
  <c r="H99" i="45" s="1"/>
  <c r="BF64" i="45"/>
  <c r="BG64" i="45" s="1"/>
  <c r="H64" i="45" s="1"/>
  <c r="BF148" i="45"/>
  <c r="BG148" i="45" s="1"/>
  <c r="H148" i="45" s="1"/>
  <c r="BF46" i="45"/>
  <c r="BG46" i="45" s="1"/>
  <c r="H46" i="45" s="1"/>
  <c r="BF50" i="45"/>
  <c r="BG50" i="45" s="1"/>
  <c r="H50" i="45" s="1"/>
  <c r="BF33" i="45"/>
  <c r="BG33" i="45" s="1"/>
  <c r="H33" i="45" s="1"/>
  <c r="BF32" i="45"/>
  <c r="BG32" i="45" s="1"/>
  <c r="H32" i="45" s="1"/>
  <c r="I32" i="45" s="1"/>
  <c r="BF145" i="45"/>
  <c r="BG145" i="45" s="1"/>
  <c r="H145" i="45" s="1"/>
  <c r="BF85" i="45"/>
  <c r="BG85" i="45" s="1"/>
  <c r="H85" i="45" s="1"/>
  <c r="BF63" i="45"/>
  <c r="BG63" i="45" s="1"/>
  <c r="H63" i="45" s="1"/>
  <c r="BF54" i="45"/>
  <c r="BG54" i="45" s="1"/>
  <c r="H54" i="45" s="1"/>
  <c r="BF59" i="45"/>
  <c r="BG59" i="45" s="1"/>
  <c r="H59" i="45" s="1"/>
  <c r="BF45" i="45"/>
  <c r="BG45" i="45" s="1"/>
  <c r="H45" i="45" s="1"/>
  <c r="BF43" i="45"/>
  <c r="BG43" i="45" s="1"/>
  <c r="H43" i="45" s="1"/>
  <c r="BF31" i="45"/>
  <c r="BG31" i="45" s="1"/>
  <c r="H31" i="45" s="1"/>
  <c r="I31" i="45" s="1"/>
  <c r="BF138" i="45"/>
  <c r="BG138" i="45" s="1"/>
  <c r="H138" i="45" s="1"/>
  <c r="I138" i="45" s="1"/>
  <c r="BF34" i="45"/>
  <c r="BG34" i="45" s="1"/>
  <c r="H34" i="45" s="1"/>
  <c r="BF53" i="46"/>
  <c r="BG53" i="46" s="1"/>
  <c r="H53" i="46" s="1"/>
  <c r="BF73" i="46"/>
  <c r="BG73" i="46" s="1"/>
  <c r="H73" i="46" s="1"/>
  <c r="BF92" i="45"/>
  <c r="BG92" i="45" s="1"/>
  <c r="H92" i="45" s="1"/>
  <c r="BF27" i="46"/>
  <c r="BG27" i="46" s="1"/>
  <c r="H27" i="46" s="1"/>
  <c r="I27" i="46" s="1"/>
  <c r="BF89" i="46"/>
  <c r="BG89" i="46" s="1"/>
  <c r="H89" i="46" s="1"/>
  <c r="BF30" i="46"/>
  <c r="BG30" i="46" s="1"/>
  <c r="H30" i="46" s="1"/>
  <c r="I30" i="46" s="1"/>
  <c r="BF71" i="46"/>
  <c r="BG71" i="46" s="1"/>
  <c r="H71" i="46" s="1"/>
  <c r="BF34" i="46"/>
  <c r="BG34" i="46" s="1"/>
  <c r="H34" i="46" s="1"/>
  <c r="BF57" i="45"/>
  <c r="BG57" i="45" s="1"/>
  <c r="H57" i="45" s="1"/>
  <c r="BF21" i="45"/>
  <c r="BG21" i="45" s="1"/>
  <c r="H21" i="45" s="1"/>
  <c r="I21" i="45" s="1"/>
  <c r="BF93" i="45"/>
  <c r="BG93" i="45" s="1"/>
  <c r="H93" i="45" s="1"/>
  <c r="BF60" i="45"/>
  <c r="BG60" i="45" s="1"/>
  <c r="H60" i="45" s="1"/>
  <c r="BF24" i="45"/>
  <c r="BG24" i="45" s="1"/>
  <c r="H24" i="45" s="1"/>
  <c r="I24" i="45" s="1"/>
  <c r="BF88" i="45"/>
  <c r="BG88" i="45" s="1"/>
  <c r="H88" i="45" s="1"/>
  <c r="BF84" i="45"/>
  <c r="BG84" i="45" s="1"/>
  <c r="H84" i="45" s="1"/>
  <c r="BF59" i="46"/>
  <c r="BG59" i="46" s="1"/>
  <c r="H59" i="46" s="1"/>
  <c r="BF137" i="46"/>
  <c r="BG137" i="46" s="1"/>
  <c r="H137" i="46" s="1"/>
  <c r="I137" i="46" s="1"/>
  <c r="BF67" i="45"/>
  <c r="BG67" i="45" s="1"/>
  <c r="H67" i="45" s="1"/>
  <c r="BF91" i="45"/>
  <c r="BG91" i="45" s="1"/>
  <c r="H91" i="45" s="1"/>
  <c r="BF147" i="45"/>
  <c r="BG147" i="45" s="1"/>
  <c r="H147" i="45" s="1"/>
  <c r="BF32" i="46"/>
  <c r="BG32" i="46" s="1"/>
  <c r="H32" i="46" s="1"/>
  <c r="I32" i="46" s="1"/>
  <c r="GA118" i="7"/>
  <c r="GG118" i="7" s="1"/>
  <c r="FS113" i="7"/>
  <c r="FY113" i="7" s="1"/>
  <c r="BF131" i="46"/>
  <c r="BG131" i="46" s="1"/>
  <c r="H131" i="46" s="1"/>
  <c r="I131" i="46" s="1"/>
  <c r="BF138" i="46"/>
  <c r="BG138" i="46" s="1"/>
  <c r="H138" i="46" s="1"/>
  <c r="I138" i="46" s="1"/>
  <c r="BF140" i="46"/>
  <c r="BG140" i="46" s="1"/>
  <c r="H140" i="46" s="1"/>
  <c r="I140" i="46" s="1"/>
  <c r="BF73" i="38"/>
  <c r="BG73" i="38" s="1"/>
  <c r="H73" i="38" s="1"/>
  <c r="BF98" i="38"/>
  <c r="BG98" i="38" s="1"/>
  <c r="H98" i="38" s="1"/>
  <c r="BF72" i="46"/>
  <c r="BG72" i="46" s="1"/>
  <c r="H72" i="46" s="1"/>
  <c r="BF55" i="46"/>
  <c r="BG55" i="46" s="1"/>
  <c r="H55" i="46" s="1"/>
  <c r="BF63" i="46"/>
  <c r="BG63" i="46" s="1"/>
  <c r="H63" i="46" s="1"/>
  <c r="BF69" i="46"/>
  <c r="BG69" i="46" s="1"/>
  <c r="H69" i="46" s="1"/>
  <c r="BF45" i="46"/>
  <c r="BG45" i="46" s="1"/>
  <c r="H45" i="46" s="1"/>
  <c r="BF65" i="46"/>
  <c r="BG65" i="46" s="1"/>
  <c r="H65" i="46" s="1"/>
  <c r="BF55" i="38"/>
  <c r="BG55" i="38" s="1"/>
  <c r="H55" i="38" s="1"/>
  <c r="BF24" i="46"/>
  <c r="BG24" i="46" s="1"/>
  <c r="H24" i="46" s="1"/>
  <c r="I24" i="46" s="1"/>
  <c r="BF41" i="46"/>
  <c r="BG41" i="46" s="1"/>
  <c r="H41" i="46" s="1"/>
  <c r="BF64" i="46"/>
  <c r="BG64" i="46" s="1"/>
  <c r="H64" i="46" s="1"/>
  <c r="BF56" i="46"/>
  <c r="BG56" i="46" s="1"/>
  <c r="H56" i="46" s="1"/>
  <c r="FD24" i="38"/>
  <c r="BF98" i="46"/>
  <c r="BG98" i="46" s="1"/>
  <c r="H98" i="46" s="1"/>
  <c r="BF23" i="46"/>
  <c r="BG23" i="46" s="1"/>
  <c r="H23" i="46" s="1"/>
  <c r="I23" i="46" s="1"/>
  <c r="BF28" i="46"/>
  <c r="BG28" i="46" s="1"/>
  <c r="H28" i="46" s="1"/>
  <c r="I28" i="46" s="1"/>
  <c r="BF88" i="46"/>
  <c r="BG88" i="46" s="1"/>
  <c r="H88" i="46" s="1"/>
  <c r="BF34" i="38"/>
  <c r="BG34" i="38" s="1"/>
  <c r="H34" i="38" s="1"/>
  <c r="BF148" i="38"/>
  <c r="BG148" i="38" s="1"/>
  <c r="H148" i="38" s="1"/>
  <c r="BF49" i="38"/>
  <c r="BG49" i="38" s="1"/>
  <c r="H49" i="38" s="1"/>
  <c r="BF83" i="38"/>
  <c r="BG83" i="38" s="1"/>
  <c r="H83" i="38" s="1"/>
  <c r="BF66" i="46"/>
  <c r="BG66" i="46" s="1"/>
  <c r="H66" i="46" s="1"/>
  <c r="BF87" i="38"/>
  <c r="BG87" i="38" s="1"/>
  <c r="H87" i="38" s="1"/>
  <c r="BF132" i="46"/>
  <c r="BG132" i="46" s="1"/>
  <c r="H132" i="46" s="1"/>
  <c r="I132" i="46" s="1"/>
  <c r="BF95" i="46"/>
  <c r="BG95" i="46" s="1"/>
  <c r="H95" i="46" s="1"/>
  <c r="BF136" i="46"/>
  <c r="BG136" i="46" s="1"/>
  <c r="H136" i="46" s="1"/>
  <c r="I136" i="46" s="1"/>
  <c r="BF60" i="46"/>
  <c r="BG60" i="46" s="1"/>
  <c r="H60" i="46" s="1"/>
  <c r="BF76" i="46"/>
  <c r="BG76" i="46" s="1"/>
  <c r="H76" i="46" s="1"/>
  <c r="BF97" i="46"/>
  <c r="BG97" i="46" s="1"/>
  <c r="H97" i="46" s="1"/>
  <c r="BF74" i="46"/>
  <c r="BG74" i="46" s="1"/>
  <c r="H74" i="46" s="1"/>
  <c r="BF93" i="46"/>
  <c r="BG93" i="46" s="1"/>
  <c r="H93" i="46" s="1"/>
  <c r="BF35" i="46"/>
  <c r="BG35" i="46" s="1"/>
  <c r="H35" i="46" s="1"/>
  <c r="BF48" i="46"/>
  <c r="BG48" i="46" s="1"/>
  <c r="H48" i="46" s="1"/>
  <c r="BF52" i="46"/>
  <c r="BG52" i="46" s="1"/>
  <c r="H52" i="46" s="1"/>
  <c r="BF83" i="46"/>
  <c r="BG83" i="46" s="1"/>
  <c r="H83" i="46" s="1"/>
  <c r="BF145" i="46"/>
  <c r="BG145" i="46" s="1"/>
  <c r="H145" i="46" s="1"/>
  <c r="BF130" i="46"/>
  <c r="BG130" i="46" s="1"/>
  <c r="H130" i="46" s="1"/>
  <c r="I130" i="46" s="1"/>
  <c r="BF65" i="38"/>
  <c r="BG65" i="38" s="1"/>
  <c r="H65" i="38" s="1"/>
  <c r="BF20" i="46"/>
  <c r="BG20" i="46" s="1"/>
  <c r="H20" i="46" s="1"/>
  <c r="I20" i="46" s="1"/>
  <c r="BF143" i="46"/>
  <c r="BG143" i="46" s="1"/>
  <c r="H143" i="46" s="1"/>
  <c r="BF62" i="46"/>
  <c r="BG62" i="46" s="1"/>
  <c r="H62" i="46" s="1"/>
  <c r="BF77" i="46"/>
  <c r="BG77" i="46" s="1"/>
  <c r="H77" i="46" s="1"/>
  <c r="BF81" i="46"/>
  <c r="BG81" i="46" s="1"/>
  <c r="H81" i="46" s="1"/>
  <c r="BF37" i="46"/>
  <c r="BG37" i="46" s="1"/>
  <c r="H37" i="46" s="1"/>
  <c r="BF148" i="46"/>
  <c r="BG148" i="46" s="1"/>
  <c r="H148" i="46" s="1"/>
  <c r="FD30" i="38"/>
  <c r="BF141" i="38"/>
  <c r="BG141" i="38" s="1"/>
  <c r="H141" i="38" s="1"/>
  <c r="I141" i="38" s="1"/>
  <c r="BF25" i="46"/>
  <c r="BG25" i="46" s="1"/>
  <c r="H25" i="46" s="1"/>
  <c r="I25" i="46" s="1"/>
  <c r="BF135" i="46"/>
  <c r="BG135" i="46" s="1"/>
  <c r="H135" i="46" s="1"/>
  <c r="I135" i="46" s="1"/>
  <c r="BF134" i="38"/>
  <c r="BG134" i="38" s="1"/>
  <c r="H134" i="38" s="1"/>
  <c r="I134" i="38" s="1"/>
  <c r="BF133" i="38"/>
  <c r="BG133" i="38" s="1"/>
  <c r="H133" i="38" s="1"/>
  <c r="I133" i="38" s="1"/>
  <c r="FD23" i="38"/>
  <c r="FD26" i="38"/>
  <c r="GI120" i="7"/>
  <c r="GO120" i="7" s="1"/>
  <c r="FD20" i="38"/>
  <c r="FD22" i="38"/>
  <c r="BF144" i="38"/>
  <c r="BG144" i="38" s="1"/>
  <c r="H144" i="38" s="1"/>
  <c r="BF78" i="38"/>
  <c r="BG78" i="38" s="1"/>
  <c r="H78" i="38" s="1"/>
  <c r="FD31" i="38"/>
  <c r="FD27" i="38"/>
  <c r="FD29" i="38"/>
  <c r="FD28" i="38"/>
  <c r="FG21" i="38"/>
  <c r="FG22" i="38"/>
  <c r="BF47" i="38"/>
  <c r="BG47" i="38" s="1"/>
  <c r="H47" i="38" s="1"/>
  <c r="BF63" i="38"/>
  <c r="BG63" i="38" s="1"/>
  <c r="H63" i="38" s="1"/>
  <c r="FG27" i="38"/>
  <c r="BF28" i="38"/>
  <c r="BG28" i="38" s="1"/>
  <c r="H28" i="38" s="1"/>
  <c r="FG30" i="38"/>
  <c r="FG29" i="38"/>
  <c r="BF58" i="38"/>
  <c r="BG58" i="38" s="1"/>
  <c r="H58" i="38" s="1"/>
  <c r="BF59" i="38"/>
  <c r="BG59" i="38" s="1"/>
  <c r="H59" i="38" s="1"/>
  <c r="BF86" i="38"/>
  <c r="BG86" i="38" s="1"/>
  <c r="H86" i="38" s="1"/>
  <c r="BF68" i="38"/>
  <c r="BG68" i="38" s="1"/>
  <c r="H68" i="38" s="1"/>
  <c r="FG23" i="38"/>
  <c r="FH28" i="38"/>
  <c r="FG28" i="38"/>
  <c r="P23" i="38"/>
  <c r="Q23" i="38" s="1"/>
  <c r="P22" i="38"/>
  <c r="G22" i="41" s="1"/>
  <c r="P20" i="38"/>
  <c r="G20" i="41" s="1"/>
  <c r="P25" i="38"/>
  <c r="K25" i="41"/>
  <c r="P26" i="38"/>
  <c r="K26" i="41"/>
  <c r="P28" i="38"/>
  <c r="P27" i="38"/>
  <c r="K27" i="41"/>
  <c r="P21" i="38"/>
  <c r="P24" i="38"/>
  <c r="K24" i="41"/>
  <c r="K28" i="41"/>
  <c r="L28" i="41"/>
  <c r="L25" i="41"/>
  <c r="L27" i="41"/>
  <c r="FG25" i="38"/>
  <c r="FH25" i="38"/>
  <c r="FH22" i="38"/>
  <c r="FH20" i="38"/>
  <c r="FG20" i="38"/>
  <c r="FH27" i="38"/>
  <c r="FG26" i="38"/>
  <c r="P22" i="46"/>
  <c r="I22" i="41" s="1"/>
  <c r="P26" i="46"/>
  <c r="Q26" i="46" s="1"/>
  <c r="P27" i="46"/>
  <c r="Q27" i="46" s="1"/>
  <c r="P30" i="46"/>
  <c r="Q30" i="46" s="1"/>
  <c r="P25" i="46"/>
  <c r="I25" i="41" s="1"/>
  <c r="P24" i="46"/>
  <c r="P21" i="46"/>
  <c r="M21" i="41"/>
  <c r="FI27" i="38"/>
  <c r="P29" i="46"/>
  <c r="Q29" i="46" s="1"/>
  <c r="FI30" i="38"/>
  <c r="AZ30" i="38"/>
  <c r="BA30" i="38" s="1"/>
  <c r="BB30" i="38" s="1"/>
  <c r="G30" i="38" s="1"/>
  <c r="P30" i="38" s="1"/>
  <c r="Q30" i="38" s="1"/>
  <c r="AZ30" i="45"/>
  <c r="BA30" i="45" s="1"/>
  <c r="BB30" i="45" s="1"/>
  <c r="G30" i="45" s="1"/>
  <c r="P30" i="45" s="1"/>
  <c r="Q30" i="45" s="1"/>
  <c r="AX31" i="38"/>
  <c r="AY31" i="38"/>
  <c r="K29" i="41"/>
  <c r="G29" i="41"/>
  <c r="GB31" i="45"/>
  <c r="GC31" i="45"/>
  <c r="GD31" i="45"/>
  <c r="FI22" i="38"/>
  <c r="AX31" i="45"/>
  <c r="AY31" i="45"/>
  <c r="K32" i="46"/>
  <c r="FK32" i="46"/>
  <c r="L32" i="46"/>
  <c r="M32" i="46"/>
  <c r="FG24" i="38"/>
  <c r="P31" i="46"/>
  <c r="Q31" i="46" s="1"/>
  <c r="E31" i="41"/>
  <c r="S31" i="46"/>
  <c r="S31" i="45"/>
  <c r="D31" i="41"/>
  <c r="A33" i="38"/>
  <c r="CV33" i="38" s="1"/>
  <c r="A33" i="7"/>
  <c r="A34" i="55"/>
  <c r="A33" i="4"/>
  <c r="A33" i="45"/>
  <c r="O33" i="45" s="1"/>
  <c r="A33" i="41"/>
  <c r="A33" i="46"/>
  <c r="O33" i="46" s="1"/>
  <c r="A33" i="6"/>
  <c r="C31" i="41"/>
  <c r="S31" i="38"/>
  <c r="FI29" i="38"/>
  <c r="M29" i="41"/>
  <c r="EN32" i="38"/>
  <c r="FN32" i="38"/>
  <c r="CW32" i="41" s="1"/>
  <c r="K32" i="38"/>
  <c r="L32" i="38"/>
  <c r="EL32" i="38"/>
  <c r="CF32" i="41" s="1"/>
  <c r="M32" i="38"/>
  <c r="EM32" i="38"/>
  <c r="CE32" i="41" s="1"/>
  <c r="EY32" i="38"/>
  <c r="BQ32" i="38"/>
  <c r="L32" i="45"/>
  <c r="M32" i="45"/>
  <c r="K32" i="45"/>
  <c r="FK32" i="45"/>
  <c r="FD32" i="38"/>
  <c r="FI23" i="38"/>
  <c r="FH26" i="38"/>
  <c r="FG31" i="38"/>
  <c r="FI31" i="38"/>
  <c r="FH31" i="38"/>
  <c r="FI21" i="38"/>
  <c r="FH30" i="38"/>
  <c r="FH24" i="38"/>
  <c r="FH21" i="38"/>
  <c r="FH29" i="38"/>
  <c r="FH23" i="38"/>
  <c r="M141" i="38"/>
  <c r="M141" i="45"/>
  <c r="GA21" i="46"/>
  <c r="GA27" i="46"/>
  <c r="GA26" i="46"/>
  <c r="GA24" i="46"/>
  <c r="GA23" i="46"/>
  <c r="GA22" i="46"/>
  <c r="GA20" i="46"/>
  <c r="GB18" i="46"/>
  <c r="GA25" i="46"/>
  <c r="GA6" i="46"/>
  <c r="GA28" i="46"/>
  <c r="GA29" i="46"/>
  <c r="GA30" i="46"/>
  <c r="GF21" i="45"/>
  <c r="GF27" i="45"/>
  <c r="GF6" i="45"/>
  <c r="GF26" i="45"/>
  <c r="GF28" i="45"/>
  <c r="GF23" i="45"/>
  <c r="GF22" i="45"/>
  <c r="GF24" i="45"/>
  <c r="GG18" i="45"/>
  <c r="GF25" i="45"/>
  <c r="GF20" i="45"/>
  <c r="GF29" i="45"/>
  <c r="GF30" i="45"/>
  <c r="GF31" i="45"/>
  <c r="GC18" i="38"/>
  <c r="GB28" i="38"/>
  <c r="GB20" i="38"/>
  <c r="GB6" i="38"/>
  <c r="GB23" i="38"/>
  <c r="GB22" i="38"/>
  <c r="GB26" i="38"/>
  <c r="GB24" i="38"/>
  <c r="GB21" i="38"/>
  <c r="GB27" i="38"/>
  <c r="GB25" i="38"/>
  <c r="A143" i="55"/>
  <c r="A142" i="46"/>
  <c r="O142" i="46" s="1"/>
  <c r="A142" i="45"/>
  <c r="O142" i="45" s="1"/>
  <c r="A142" i="38"/>
  <c r="O142" i="38" s="1"/>
  <c r="M141" i="46"/>
  <c r="DW6" i="57"/>
  <c r="FP6" i="57" s="1"/>
  <c r="FO6" i="57"/>
  <c r="CW33" i="38" l="1"/>
  <c r="DB33" i="38" s="1"/>
  <c r="CX33" i="38"/>
  <c r="DC33" i="38" s="1"/>
  <c r="CY33" i="38"/>
  <c r="DD33" i="38" s="1"/>
  <c r="DA33" i="38"/>
  <c r="CZ33" i="38"/>
  <c r="DE33" i="38" s="1"/>
  <c r="I33" i="38"/>
  <c r="O33" i="38"/>
  <c r="AH51" i="4"/>
  <c r="AJ50" i="4"/>
  <c r="AY50" i="46" s="1"/>
  <c r="AG51" i="4"/>
  <c r="AI50" i="4"/>
  <c r="AX50" i="46" s="1"/>
  <c r="L26" i="41"/>
  <c r="I33" i="45"/>
  <c r="P28" i="46"/>
  <c r="I28" i="41" s="1"/>
  <c r="CK12" i="41"/>
  <c r="CL12" i="41" s="1"/>
  <c r="CP12" i="41" s="1"/>
  <c r="CP13" i="41" s="1"/>
  <c r="CP14" i="41" s="1"/>
  <c r="CD17" i="41" s="1"/>
  <c r="AL19" i="41" a="1"/>
  <c r="AL19" i="41" s="1"/>
  <c r="I20" i="38"/>
  <c r="BS20" i="38" s="1"/>
  <c r="I30" i="38"/>
  <c r="BS30" i="38" s="1"/>
  <c r="I26" i="38"/>
  <c r="BS26" i="38" s="1"/>
  <c r="I27" i="38"/>
  <c r="BS27" i="38" s="1"/>
  <c r="I25" i="38"/>
  <c r="BS25" i="38" s="1"/>
  <c r="I29" i="38"/>
  <c r="BS29" i="38" s="1"/>
  <c r="I28" i="38"/>
  <c r="BS28" i="38" s="1"/>
  <c r="I24" i="38"/>
  <c r="BS24" i="38" s="1"/>
  <c r="I31" i="38"/>
  <c r="BS31" i="38" s="1"/>
  <c r="L24" i="41"/>
  <c r="P22" i="45"/>
  <c r="H22" i="41" s="1"/>
  <c r="G12" i="41"/>
  <c r="K12" i="41" s="1"/>
  <c r="K13" i="41" s="1"/>
  <c r="K14" i="41" s="1"/>
  <c r="H29" i="41"/>
  <c r="L29" i="41"/>
  <c r="P20" i="45"/>
  <c r="H20" i="41" s="1"/>
  <c r="FS114" i="7"/>
  <c r="FY114" i="7" s="1"/>
  <c r="GA119" i="7"/>
  <c r="GG119" i="7" s="1"/>
  <c r="G23" i="41"/>
  <c r="Q22" i="38"/>
  <c r="Q20" i="38"/>
  <c r="Q27" i="38"/>
  <c r="G27" i="41"/>
  <c r="Q26" i="38"/>
  <c r="G26" i="41"/>
  <c r="G21" i="41"/>
  <c r="Q21" i="38"/>
  <c r="Q24" i="38"/>
  <c r="G24" i="41"/>
  <c r="Q28" i="38"/>
  <c r="G28" i="41"/>
  <c r="Q25" i="38"/>
  <c r="G25" i="41"/>
  <c r="Q23" i="45"/>
  <c r="H28" i="41"/>
  <c r="H21" i="41"/>
  <c r="Q27" i="45"/>
  <c r="H27" i="41"/>
  <c r="Q24" i="45"/>
  <c r="H24" i="41"/>
  <c r="Q26" i="45"/>
  <c r="H26" i="41"/>
  <c r="Q25" i="45"/>
  <c r="H25" i="41"/>
  <c r="Q20" i="46"/>
  <c r="R21" i="46" s="1"/>
  <c r="I26" i="41"/>
  <c r="Q25" i="46"/>
  <c r="I29" i="41"/>
  <c r="Q22" i="46"/>
  <c r="Q23" i="46"/>
  <c r="I27" i="41"/>
  <c r="Q24" i="46"/>
  <c r="I24" i="41"/>
  <c r="Q21" i="46"/>
  <c r="I21" i="41"/>
  <c r="BS32" i="38"/>
  <c r="AZ31" i="45"/>
  <c r="BA31" i="45" s="1"/>
  <c r="BB31" i="45" s="1"/>
  <c r="G31" i="45" s="1"/>
  <c r="P31" i="45" s="1"/>
  <c r="Q31" i="45" s="1"/>
  <c r="S32" i="45"/>
  <c r="D32" i="41"/>
  <c r="K33" i="46"/>
  <c r="M33" i="46"/>
  <c r="L33" i="46"/>
  <c r="FK33" i="46"/>
  <c r="H30" i="41"/>
  <c r="L30" i="41"/>
  <c r="I30" i="41"/>
  <c r="M30" i="41"/>
  <c r="AX32" i="45"/>
  <c r="AY32" i="45"/>
  <c r="GD32" i="45"/>
  <c r="GE32" i="45"/>
  <c r="GC32" i="45"/>
  <c r="A34" i="7"/>
  <c r="A34" i="41"/>
  <c r="A34" i="6"/>
  <c r="A34" i="4"/>
  <c r="A34" i="45"/>
  <c r="O34" i="45" s="1"/>
  <c r="A34" i="38"/>
  <c r="CV34" i="38" s="1"/>
  <c r="A34" i="46"/>
  <c r="O34" i="46" s="1"/>
  <c r="A35" i="55"/>
  <c r="GF32" i="45"/>
  <c r="S32" i="38"/>
  <c r="C32" i="41"/>
  <c r="K30" i="41"/>
  <c r="G30" i="41"/>
  <c r="K33" i="45"/>
  <c r="FK33" i="45"/>
  <c r="GG33" i="45" s="1"/>
  <c r="L33" i="45"/>
  <c r="M33" i="45"/>
  <c r="BQ33" i="38"/>
  <c r="EM33" i="38"/>
  <c r="CE33" i="41" s="1"/>
  <c r="L33" i="38"/>
  <c r="FD33" i="38"/>
  <c r="EL33" i="38"/>
  <c r="CF33" i="41" s="1"/>
  <c r="M33" i="38"/>
  <c r="FN33" i="38"/>
  <c r="CW33" i="41" s="1"/>
  <c r="K33" i="38"/>
  <c r="EN33" i="38"/>
  <c r="EY33" i="38"/>
  <c r="AY32" i="38"/>
  <c r="AX32" i="38"/>
  <c r="AZ31" i="38"/>
  <c r="BA31" i="38" s="1"/>
  <c r="BB31" i="38" s="1"/>
  <c r="G31" i="38" s="1"/>
  <c r="P31" i="38" s="1"/>
  <c r="Q31" i="38" s="1"/>
  <c r="FH32" i="38"/>
  <c r="FI32" i="38"/>
  <c r="FG32" i="38"/>
  <c r="S32" i="46"/>
  <c r="E32" i="41"/>
  <c r="P32" i="46"/>
  <c r="Q32" i="46" s="1"/>
  <c r="I142" i="38"/>
  <c r="M142" i="38"/>
  <c r="GB24" i="46"/>
  <c r="GB23" i="46"/>
  <c r="GB20" i="46"/>
  <c r="GC18" i="46"/>
  <c r="GB25" i="46"/>
  <c r="GB6" i="46"/>
  <c r="GB26" i="46"/>
  <c r="GB21" i="46"/>
  <c r="GB27" i="46"/>
  <c r="GB22" i="46"/>
  <c r="GB28" i="46"/>
  <c r="GB29" i="46"/>
  <c r="GB30" i="46"/>
  <c r="GB31" i="46"/>
  <c r="I142" i="45"/>
  <c r="M142" i="45"/>
  <c r="GG24" i="45"/>
  <c r="GH18" i="45"/>
  <c r="GG25" i="45"/>
  <c r="GG20" i="45"/>
  <c r="GG21" i="45"/>
  <c r="GG27" i="45"/>
  <c r="GG26" i="45"/>
  <c r="GG6" i="45"/>
  <c r="GG28" i="45"/>
  <c r="GG23" i="45"/>
  <c r="GG22" i="45"/>
  <c r="GG32" i="45"/>
  <c r="GG29" i="45"/>
  <c r="GG30" i="45"/>
  <c r="GG31" i="45"/>
  <c r="I142" i="46"/>
  <c r="M142" i="46"/>
  <c r="A143" i="45"/>
  <c r="O143" i="45" s="1"/>
  <c r="A144" i="55"/>
  <c r="A143" i="46"/>
  <c r="O143" i="46" s="1"/>
  <c r="A143" i="38"/>
  <c r="O143" i="38" s="1"/>
  <c r="GC22" i="38"/>
  <c r="GC6" i="38"/>
  <c r="GC26" i="38"/>
  <c r="GC28" i="38"/>
  <c r="GC23" i="38"/>
  <c r="GD18" i="38"/>
  <c r="GC27" i="38"/>
  <c r="GC24" i="38"/>
  <c r="GC21" i="38"/>
  <c r="GC20" i="38"/>
  <c r="GC25" i="38"/>
  <c r="GC29" i="38"/>
  <c r="BG17" i="41" l="1"/>
  <c r="CZ34" i="38"/>
  <c r="DE34" i="38" s="1"/>
  <c r="CY34" i="38"/>
  <c r="DD34" i="38" s="1"/>
  <c r="CW34" i="38"/>
  <c r="DB34" i="38" s="1"/>
  <c r="DA34" i="38"/>
  <c r="CX34" i="38"/>
  <c r="DC34" i="38" s="1"/>
  <c r="O34" i="38"/>
  <c r="I34" i="38"/>
  <c r="AG52" i="4"/>
  <c r="AI51" i="4"/>
  <c r="AX51" i="46" s="1"/>
  <c r="AZ51" i="46" s="1"/>
  <c r="BA51" i="46" s="1"/>
  <c r="BB51" i="46" s="1"/>
  <c r="G51" i="46" s="1"/>
  <c r="AZ50" i="46"/>
  <c r="BA50" i="46" s="1"/>
  <c r="BB50" i="46" s="1"/>
  <c r="G50" i="46" s="1"/>
  <c r="AH52" i="4"/>
  <c r="AJ51" i="4"/>
  <c r="AY51" i="46" s="1"/>
  <c r="Q28" i="46"/>
  <c r="I34" i="45"/>
  <c r="I34" i="46"/>
  <c r="CM12" i="41"/>
  <c r="CQ12" i="41" s="1"/>
  <c r="CQ13" i="41" s="1"/>
  <c r="CQ14" i="41" s="1"/>
  <c r="CN12" i="41"/>
  <c r="CR12" i="41" s="1"/>
  <c r="CR13" i="41" s="1"/>
  <c r="CR14" i="41" s="1"/>
  <c r="Q22" i="45"/>
  <c r="H12" i="41"/>
  <c r="O12" i="41" s="1"/>
  <c r="T12" i="41" s="1"/>
  <c r="W12" i="41" s="1"/>
  <c r="W13" i="41" s="1"/>
  <c r="W14" i="41" s="1"/>
  <c r="AI3" i="41" s="1"/>
  <c r="AI10" i="41" s="1"/>
  <c r="AI18" i="41" s="1"/>
  <c r="BQ17" i="41"/>
  <c r="BL17" i="41"/>
  <c r="CX17" i="41"/>
  <c r="BV17" i="41"/>
  <c r="Q20" i="45"/>
  <c r="R21" i="45" s="1"/>
  <c r="R22" i="45" s="1"/>
  <c r="GA120" i="7"/>
  <c r="GG120" i="7" s="1"/>
  <c r="FS115" i="7"/>
  <c r="FY115" i="7" s="1"/>
  <c r="R22" i="46"/>
  <c r="R23" i="46" s="1"/>
  <c r="R24" i="46" s="1"/>
  <c r="R25" i="46" s="1"/>
  <c r="R26" i="46" s="1"/>
  <c r="R27" i="46" s="1"/>
  <c r="R28" i="46" s="1"/>
  <c r="R21" i="38"/>
  <c r="R22" i="38" s="1"/>
  <c r="R23" i="38" s="1"/>
  <c r="R24" i="38" s="1"/>
  <c r="R25" i="38" s="1"/>
  <c r="R26" i="38" s="1"/>
  <c r="R27" i="38" s="1"/>
  <c r="R28" i="38" s="1"/>
  <c r="R29" i="38" s="1"/>
  <c r="R30" i="38" s="1"/>
  <c r="R31" i="38" s="1"/>
  <c r="R32" i="38" s="1"/>
  <c r="T20" i="45"/>
  <c r="T20" i="46"/>
  <c r="V20" i="41"/>
  <c r="W20" i="41"/>
  <c r="BS33" i="38"/>
  <c r="AZ32" i="38"/>
  <c r="BA32" i="38" s="1"/>
  <c r="BB32" i="38" s="1"/>
  <c r="G32" i="38" s="1"/>
  <c r="P32" i="38" s="1"/>
  <c r="Q32" i="38" s="1"/>
  <c r="AZ32" i="45"/>
  <c r="BA32" i="45" s="1"/>
  <c r="BB32" i="45" s="1"/>
  <c r="G32" i="45" s="1"/>
  <c r="P32" i="45" s="1"/>
  <c r="Q32" i="45" s="1"/>
  <c r="M31" i="41"/>
  <c r="I31" i="41"/>
  <c r="D33" i="41"/>
  <c r="S33" i="45"/>
  <c r="BQ34" i="38"/>
  <c r="K34" i="38"/>
  <c r="M34" i="38"/>
  <c r="EM34" i="38"/>
  <c r="CE34" i="41" s="1"/>
  <c r="FD34" i="38"/>
  <c r="EN34" i="38"/>
  <c r="L34" i="38"/>
  <c r="EY34" i="38"/>
  <c r="FN34" i="38"/>
  <c r="CW34" i="41" s="1"/>
  <c r="EL34" i="38"/>
  <c r="CF34" i="41" s="1"/>
  <c r="P33" i="46"/>
  <c r="Q33" i="46" s="1"/>
  <c r="E33" i="41"/>
  <c r="S33" i="46"/>
  <c r="L31" i="41"/>
  <c r="H31" i="41"/>
  <c r="FG33" i="38"/>
  <c r="FI33" i="38"/>
  <c r="FH33" i="38"/>
  <c r="AY33" i="45"/>
  <c r="AX33" i="45"/>
  <c r="GE33" i="45"/>
  <c r="GF33" i="45"/>
  <c r="GD33" i="45"/>
  <c r="G31" i="41"/>
  <c r="K31" i="41"/>
  <c r="K34" i="45"/>
  <c r="L34" i="45"/>
  <c r="FK34" i="45"/>
  <c r="GH34" i="45" s="1"/>
  <c r="M34" i="45"/>
  <c r="FK34" i="46"/>
  <c r="L34" i="46"/>
  <c r="K34" i="46"/>
  <c r="M34" i="46"/>
  <c r="AX33" i="38"/>
  <c r="AY33" i="38"/>
  <c r="C33" i="41"/>
  <c r="S33" i="38"/>
  <c r="A36" i="55"/>
  <c r="A35" i="6"/>
  <c r="A35" i="41"/>
  <c r="A35" i="4"/>
  <c r="A35" i="38"/>
  <c r="CV35" i="38" s="1"/>
  <c r="A35" i="45"/>
  <c r="A35" i="46"/>
  <c r="A35" i="7"/>
  <c r="A144" i="46"/>
  <c r="O144" i="46" s="1"/>
  <c r="A145" i="55"/>
  <c r="A144" i="38"/>
  <c r="O144" i="38" s="1"/>
  <c r="A144" i="45"/>
  <c r="O144" i="45" s="1"/>
  <c r="I143" i="38"/>
  <c r="M143" i="38"/>
  <c r="I143" i="45"/>
  <c r="M143" i="45"/>
  <c r="GH20" i="45"/>
  <c r="GH21" i="45"/>
  <c r="GH6" i="45"/>
  <c r="GH27" i="45"/>
  <c r="GH26" i="45"/>
  <c r="GH28" i="45"/>
  <c r="GH23" i="45"/>
  <c r="GH22" i="45"/>
  <c r="GH24" i="45"/>
  <c r="GI18" i="45"/>
  <c r="GH25" i="45"/>
  <c r="GH29" i="45"/>
  <c r="GH33" i="45"/>
  <c r="GH30" i="45"/>
  <c r="GH32" i="45"/>
  <c r="GH31" i="45"/>
  <c r="I143" i="46"/>
  <c r="M143" i="46"/>
  <c r="GC20" i="46"/>
  <c r="GD18" i="46"/>
  <c r="GC21" i="46"/>
  <c r="GC6" i="46"/>
  <c r="GC26" i="46"/>
  <c r="GC27" i="46"/>
  <c r="GC22" i="46"/>
  <c r="GC24" i="46"/>
  <c r="GC23" i="46"/>
  <c r="GC25" i="46"/>
  <c r="GC28" i="46"/>
  <c r="GC32" i="46"/>
  <c r="GC29" i="46"/>
  <c r="GC30" i="46"/>
  <c r="GC31" i="46"/>
  <c r="GD26" i="38"/>
  <c r="GD23" i="38"/>
  <c r="GE18" i="38"/>
  <c r="GD25" i="38"/>
  <c r="GD6" i="38"/>
  <c r="GD28" i="38"/>
  <c r="GD20" i="38"/>
  <c r="GD22" i="38"/>
  <c r="GD30" i="38"/>
  <c r="GD29" i="38"/>
  <c r="GD21" i="38"/>
  <c r="GD24" i="38"/>
  <c r="GD27" i="38"/>
  <c r="CX35" i="38" l="1"/>
  <c r="DC35" i="38" s="1"/>
  <c r="DA35" i="38"/>
  <c r="CY35" i="38"/>
  <c r="DD35" i="38" s="1"/>
  <c r="CZ35" i="38"/>
  <c r="DE35" i="38" s="1"/>
  <c r="O35" i="38"/>
  <c r="I35" i="38"/>
  <c r="R29" i="46"/>
  <c r="R30" i="46" s="1"/>
  <c r="R31" i="46" s="1"/>
  <c r="R32" i="46" s="1"/>
  <c r="R33" i="46" s="1"/>
  <c r="AH53" i="4"/>
  <c r="AJ52" i="4"/>
  <c r="AY52" i="46" s="1"/>
  <c r="AG53" i="4"/>
  <c r="AI52" i="4"/>
  <c r="AX52" i="46" s="1"/>
  <c r="O35" i="46"/>
  <c r="I35" i="46"/>
  <c r="O35" i="45"/>
  <c r="I35" i="45"/>
  <c r="CD15" i="41"/>
  <c r="L18" i="41"/>
  <c r="R23" i="45"/>
  <c r="R24" i="45" s="1"/>
  <c r="R25" i="45" s="1"/>
  <c r="R26" i="45" s="1"/>
  <c r="R27" i="45" s="1"/>
  <c r="R28" i="45" s="1"/>
  <c r="R29" i="45" s="1"/>
  <c r="R30" i="45" s="1"/>
  <c r="R31" i="45" s="1"/>
  <c r="R32" i="45" s="1"/>
  <c r="R33" i="45" s="1"/>
  <c r="H18" i="41"/>
  <c r="N12" i="41"/>
  <c r="S12" i="41" s="1"/>
  <c r="V12" i="41" s="1"/>
  <c r="V13" i="41" s="1"/>
  <c r="V14" i="41" s="1"/>
  <c r="AH3" i="41" s="1"/>
  <c r="AH10" i="41" s="1"/>
  <c r="AH18" i="41" s="1"/>
  <c r="I12" i="41"/>
  <c r="J12" i="41" s="1"/>
  <c r="J13" i="41" s="1"/>
  <c r="J14" i="41" s="1"/>
  <c r="AU2" i="41" s="1"/>
  <c r="AV2" i="41" s="1"/>
  <c r="AV3" i="41" s="1"/>
  <c r="AE18" i="41"/>
  <c r="V18" i="41"/>
  <c r="AP18" i="41"/>
  <c r="AX18" i="41" s="1"/>
  <c r="AA18" i="41"/>
  <c r="AT18" i="41"/>
  <c r="BB18" i="41" s="1"/>
  <c r="R18" i="41"/>
  <c r="P12" i="41"/>
  <c r="U12" i="41" s="1"/>
  <c r="X12" i="41" s="1"/>
  <c r="X13" i="41" s="1"/>
  <c r="X14" i="41" s="1"/>
  <c r="AJ3" i="41" s="1"/>
  <c r="AJ10" i="41" s="1"/>
  <c r="AJ18" i="41" s="1"/>
  <c r="FS116" i="7"/>
  <c r="FY116" i="7" s="1"/>
  <c r="R33" i="38"/>
  <c r="U21" i="41"/>
  <c r="R34" i="46"/>
  <c r="T21" i="38"/>
  <c r="BU21" i="38" s="1"/>
  <c r="BV21" i="38" s="1"/>
  <c r="U22" i="41"/>
  <c r="T22" i="38"/>
  <c r="BU22" i="38" s="1"/>
  <c r="T23" i="38"/>
  <c r="BU23" i="38" s="1"/>
  <c r="U23" i="41"/>
  <c r="V21" i="41"/>
  <c r="T21" i="45"/>
  <c r="W21" i="41"/>
  <c r="T21" i="46"/>
  <c r="AY34" i="38"/>
  <c r="AX34" i="38"/>
  <c r="FK35" i="46"/>
  <c r="L35" i="46"/>
  <c r="M35" i="46"/>
  <c r="K35" i="46"/>
  <c r="G32" i="41"/>
  <c r="K32" i="41"/>
  <c r="GG34" i="45"/>
  <c r="GE34" i="45"/>
  <c r="GF34" i="45"/>
  <c r="H32" i="41"/>
  <c r="L32" i="41"/>
  <c r="AY34" i="45"/>
  <c r="AX34" i="45"/>
  <c r="FK35" i="45"/>
  <c r="GI35" i="45" s="1"/>
  <c r="M35" i="45"/>
  <c r="L35" i="45"/>
  <c r="K35" i="45"/>
  <c r="E34" i="41"/>
  <c r="S34" i="46"/>
  <c r="P34" i="46"/>
  <c r="Q34" i="46" s="1"/>
  <c r="S34" i="45"/>
  <c r="D34" i="41"/>
  <c r="AZ33" i="45"/>
  <c r="BA33" i="45" s="1"/>
  <c r="BB33" i="45" s="1"/>
  <c r="G33" i="45" s="1"/>
  <c r="P33" i="45" s="1"/>
  <c r="Q33" i="45" s="1"/>
  <c r="C34" i="41"/>
  <c r="S34" i="38"/>
  <c r="BQ35" i="38"/>
  <c r="EL35" i="38"/>
  <c r="CF35" i="41" s="1"/>
  <c r="K35" i="38"/>
  <c r="M35" i="38"/>
  <c r="EN35" i="38"/>
  <c r="FN35" i="38"/>
  <c r="CW35" i="41" s="1"/>
  <c r="EY35" i="38"/>
  <c r="EM35" i="38"/>
  <c r="CE35" i="41" s="1"/>
  <c r="FD35" i="38"/>
  <c r="L35" i="38"/>
  <c r="A36" i="41"/>
  <c r="A36" i="6"/>
  <c r="A36" i="7"/>
  <c r="A36" i="38"/>
  <c r="CV36" i="38" s="1"/>
  <c r="A36" i="46"/>
  <c r="A37" i="55"/>
  <c r="A36" i="45"/>
  <c r="A36" i="4"/>
  <c r="AZ33" i="38"/>
  <c r="BA33" i="38" s="1"/>
  <c r="BB33" i="38" s="1"/>
  <c r="G33" i="38" s="1"/>
  <c r="P33" i="38" s="1"/>
  <c r="Q33" i="38" s="1"/>
  <c r="I32" i="41"/>
  <c r="M32" i="41"/>
  <c r="FI34" i="38"/>
  <c r="FG34" i="38"/>
  <c r="FH34" i="38"/>
  <c r="BS34" i="38"/>
  <c r="GE18" i="46"/>
  <c r="GD21" i="46"/>
  <c r="GD26" i="46"/>
  <c r="GD24" i="46"/>
  <c r="GD27" i="46"/>
  <c r="GD22" i="46"/>
  <c r="GD20" i="46"/>
  <c r="GD23" i="46"/>
  <c r="GD25" i="46"/>
  <c r="GD6" i="46"/>
  <c r="GD28" i="46"/>
  <c r="GD29" i="46"/>
  <c r="GD30" i="46"/>
  <c r="GD32" i="46"/>
  <c r="GD33" i="46"/>
  <c r="GD31" i="46"/>
  <c r="I144" i="38"/>
  <c r="M144" i="38"/>
  <c r="GE24" i="38"/>
  <c r="GE20" i="38"/>
  <c r="GE6" i="38"/>
  <c r="GE27" i="38"/>
  <c r="GE23" i="38"/>
  <c r="GF18" i="38"/>
  <c r="GE25" i="38"/>
  <c r="GE26" i="38"/>
  <c r="GE22" i="38"/>
  <c r="GE21" i="38"/>
  <c r="GE28" i="38"/>
  <c r="GE29" i="38"/>
  <c r="GE30" i="38"/>
  <c r="GE31" i="38"/>
  <c r="GI6" i="45"/>
  <c r="GJ18" i="45"/>
  <c r="GI25" i="45"/>
  <c r="GI20" i="45"/>
  <c r="GI21" i="45"/>
  <c r="GI27" i="45"/>
  <c r="GI26" i="45"/>
  <c r="GI28" i="45"/>
  <c r="GI23" i="45"/>
  <c r="GI22" i="45"/>
  <c r="GI24" i="45"/>
  <c r="GI29" i="45"/>
  <c r="GI31" i="45"/>
  <c r="GI32" i="45"/>
  <c r="GI34" i="45"/>
  <c r="GI30" i="45"/>
  <c r="GI33" i="45"/>
  <c r="A146" i="55"/>
  <c r="A145" i="38"/>
  <c r="O145" i="38" s="1"/>
  <c r="A145" i="46"/>
  <c r="O145" i="46" s="1"/>
  <c r="A145" i="45"/>
  <c r="O145" i="45" s="1"/>
  <c r="I144" i="45"/>
  <c r="M144" i="45"/>
  <c r="I144" i="46"/>
  <c r="M144" i="46"/>
  <c r="BA17" i="41" l="1"/>
  <c r="DJ13" i="38"/>
  <c r="DJ14" i="38" s="1"/>
  <c r="CX36" i="38"/>
  <c r="DC36" i="38" s="1"/>
  <c r="CZ36" i="38"/>
  <c r="DE36" i="38" s="1"/>
  <c r="DA36" i="38"/>
  <c r="CY36" i="38"/>
  <c r="DD36" i="38" s="1"/>
  <c r="O36" i="38"/>
  <c r="I36" i="38"/>
  <c r="AI53" i="4"/>
  <c r="AX53" i="46" s="1"/>
  <c r="AG54" i="4"/>
  <c r="AZ52" i="46"/>
  <c r="BA52" i="46" s="1"/>
  <c r="BB52" i="46" s="1"/>
  <c r="G52" i="46" s="1"/>
  <c r="AH54" i="4"/>
  <c r="AJ53" i="4"/>
  <c r="AY53" i="46" s="1"/>
  <c r="O36" i="45"/>
  <c r="I36" i="45"/>
  <c r="O36" i="46"/>
  <c r="I36" i="46"/>
  <c r="AF18" i="41"/>
  <c r="K18" i="41"/>
  <c r="U18" i="41"/>
  <c r="AS18" i="41"/>
  <c r="BA18" i="41" s="1"/>
  <c r="G18" i="41"/>
  <c r="AH17" i="41"/>
  <c r="K17" i="41"/>
  <c r="AD17" i="41"/>
  <c r="Q18" i="41"/>
  <c r="AB18" i="41"/>
  <c r="AO17" i="41"/>
  <c r="AD18" i="41"/>
  <c r="AW17" i="41"/>
  <c r="G17" i="41"/>
  <c r="M18" i="41"/>
  <c r="Q17" i="41"/>
  <c r="AQ18" i="41"/>
  <c r="AY18" i="41" s="1"/>
  <c r="Z18" i="41"/>
  <c r="AS17" i="41"/>
  <c r="Z17" i="41"/>
  <c r="AO18" i="41"/>
  <c r="AW18" i="41" s="1"/>
  <c r="I18" i="41"/>
  <c r="U17" i="41"/>
  <c r="AU18" i="41"/>
  <c r="BC18" i="41" s="1"/>
  <c r="W18" i="41"/>
  <c r="S18" i="41"/>
  <c r="FS117" i="7"/>
  <c r="FY117" i="7" s="1"/>
  <c r="R34" i="38"/>
  <c r="BV22" i="38"/>
  <c r="R35" i="46"/>
  <c r="R34" i="45"/>
  <c r="U24" i="41"/>
  <c r="T24" i="38"/>
  <c r="BU24" i="38" s="1"/>
  <c r="BV23" i="38"/>
  <c r="V22" i="41"/>
  <c r="T22" i="45"/>
  <c r="W22" i="41"/>
  <c r="T22" i="46"/>
  <c r="AZ34" i="45"/>
  <c r="BA34" i="45" s="1"/>
  <c r="BB34" i="45" s="1"/>
  <c r="G34" i="45" s="1"/>
  <c r="P34" i="45" s="1"/>
  <c r="Q34" i="45" s="1"/>
  <c r="C35" i="41"/>
  <c r="S35" i="38"/>
  <c r="A37" i="38"/>
  <c r="CV37" i="38" s="1"/>
  <c r="A37" i="41"/>
  <c r="A38" i="55"/>
  <c r="A37" i="4"/>
  <c r="A37" i="45"/>
  <c r="A37" i="7"/>
  <c r="A37" i="46"/>
  <c r="A37" i="6"/>
  <c r="BS35" i="38"/>
  <c r="AY35" i="45"/>
  <c r="AX35" i="45"/>
  <c r="K36" i="46"/>
  <c r="FK36" i="46"/>
  <c r="M36" i="46"/>
  <c r="L36" i="46"/>
  <c r="G33" i="41"/>
  <c r="K33" i="41"/>
  <c r="L33" i="41"/>
  <c r="H33" i="41"/>
  <c r="M33" i="41"/>
  <c r="I33" i="41"/>
  <c r="S35" i="45"/>
  <c r="D35" i="41"/>
  <c r="P35" i="46"/>
  <c r="Q35" i="46" s="1"/>
  <c r="E35" i="41"/>
  <c r="S35" i="46"/>
  <c r="AZ34" i="38"/>
  <c r="BA34" i="38" s="1"/>
  <c r="BB34" i="38" s="1"/>
  <c r="G34" i="38" s="1"/>
  <c r="P34" i="38" s="1"/>
  <c r="Q34" i="38" s="1"/>
  <c r="K36" i="45"/>
  <c r="FK36" i="45"/>
  <c r="GJ36" i="45" s="1"/>
  <c r="L36" i="45"/>
  <c r="M36" i="45"/>
  <c r="GG35" i="45"/>
  <c r="GH35" i="45"/>
  <c r="GF35" i="45"/>
  <c r="FN36" i="38"/>
  <c r="CW36" i="41" s="1"/>
  <c r="BQ36" i="38"/>
  <c r="L36" i="38"/>
  <c r="M36" i="38"/>
  <c r="EM36" i="38"/>
  <c r="CE36" i="41" s="1"/>
  <c r="FD36" i="38"/>
  <c r="EL36" i="38"/>
  <c r="CF36" i="41" s="1"/>
  <c r="K36" i="38"/>
  <c r="EY36" i="38"/>
  <c r="EN36" i="38"/>
  <c r="FI35" i="38"/>
  <c r="FH35" i="38"/>
  <c r="FG35" i="38"/>
  <c r="AX35" i="38"/>
  <c r="AY35" i="38"/>
  <c r="I145" i="46"/>
  <c r="M145" i="46"/>
  <c r="I145" i="38"/>
  <c r="M145" i="38"/>
  <c r="GJ22" i="45"/>
  <c r="GJ24" i="45"/>
  <c r="GK18" i="45"/>
  <c r="GJ6" i="45"/>
  <c r="GJ25" i="45"/>
  <c r="GJ20" i="45"/>
  <c r="GJ21" i="45"/>
  <c r="GJ27" i="45"/>
  <c r="GJ26" i="45"/>
  <c r="GJ28" i="45"/>
  <c r="GJ23" i="45"/>
  <c r="GJ29" i="45"/>
  <c r="GJ31" i="45"/>
  <c r="GJ34" i="45"/>
  <c r="GJ33" i="45"/>
  <c r="GJ30" i="45"/>
  <c r="GJ32" i="45"/>
  <c r="GJ35" i="45"/>
  <c r="GE26" i="46"/>
  <c r="GE24" i="46"/>
  <c r="GE23" i="46"/>
  <c r="GE22" i="46"/>
  <c r="GE20" i="46"/>
  <c r="GF18" i="46"/>
  <c r="GE25" i="46"/>
  <c r="GE6" i="46"/>
  <c r="GE21" i="46"/>
  <c r="GE27" i="46"/>
  <c r="GE28" i="46"/>
  <c r="GE31" i="46"/>
  <c r="GE33" i="46"/>
  <c r="GE29" i="46"/>
  <c r="GE34" i="46"/>
  <c r="GE30" i="46"/>
  <c r="GE32" i="46"/>
  <c r="A146" i="46"/>
  <c r="O146" i="46" s="1"/>
  <c r="A146" i="38"/>
  <c r="O146" i="38" s="1"/>
  <c r="A146" i="45"/>
  <c r="O146" i="45" s="1"/>
  <c r="A147" i="55"/>
  <c r="M145" i="45"/>
  <c r="I145" i="45"/>
  <c r="GF26" i="38"/>
  <c r="GF25" i="38"/>
  <c r="GG18" i="38"/>
  <c r="GF28" i="38"/>
  <c r="GF24" i="38"/>
  <c r="GF21" i="38"/>
  <c r="GF23" i="38"/>
  <c r="GF20" i="38"/>
  <c r="GF22" i="38"/>
  <c r="GF6" i="38"/>
  <c r="GF27" i="38"/>
  <c r="GF29" i="38"/>
  <c r="GF30" i="38"/>
  <c r="GF31" i="38"/>
  <c r="GF32" i="38"/>
  <c r="CX37" i="38" l="1"/>
  <c r="DC37" i="38" s="1"/>
  <c r="CY37" i="38"/>
  <c r="DD37" i="38" s="1"/>
  <c r="DA37" i="38"/>
  <c r="CZ37" i="38"/>
  <c r="DE37" i="38" s="1"/>
  <c r="O37" i="38"/>
  <c r="I37" i="38"/>
  <c r="AH55" i="4"/>
  <c r="AJ54" i="4"/>
  <c r="AY54" i="46" s="1"/>
  <c r="AG55" i="4"/>
  <c r="AI54" i="4"/>
  <c r="AX54" i="46" s="1"/>
  <c r="AZ53" i="46"/>
  <c r="BA53" i="46" s="1"/>
  <c r="BB53" i="46" s="1"/>
  <c r="G53" i="46" s="1"/>
  <c r="O37" i="45"/>
  <c r="I37" i="45"/>
  <c r="O37" i="46"/>
  <c r="I37" i="46"/>
  <c r="FS118" i="7"/>
  <c r="FY118" i="7" s="1"/>
  <c r="R35" i="38"/>
  <c r="R36" i="46"/>
  <c r="R35" i="45"/>
  <c r="BV24" i="38"/>
  <c r="T25" i="38"/>
  <c r="BU25" i="38" s="1"/>
  <c r="BV25" i="38" s="1"/>
  <c r="U25" i="41"/>
  <c r="W23" i="41"/>
  <c r="T23" i="46"/>
  <c r="T23" i="45"/>
  <c r="V23" i="41"/>
  <c r="AZ35" i="38"/>
  <c r="BA35" i="38" s="1"/>
  <c r="BB35" i="38" s="1"/>
  <c r="G35" i="38" s="1"/>
  <c r="P35" i="38" s="1"/>
  <c r="Q35" i="38" s="1"/>
  <c r="AZ35" i="45"/>
  <c r="BA35" i="45" s="1"/>
  <c r="BB35" i="45" s="1"/>
  <c r="G35" i="45" s="1"/>
  <c r="P35" i="45" s="1"/>
  <c r="Q35" i="45" s="1"/>
  <c r="AY36" i="45"/>
  <c r="AX36" i="45"/>
  <c r="L37" i="45"/>
  <c r="FK37" i="45"/>
  <c r="GK37" i="45" s="1"/>
  <c r="M37" i="45"/>
  <c r="K37" i="45"/>
  <c r="C36" i="41"/>
  <c r="S36" i="38"/>
  <c r="M34" i="41"/>
  <c r="I34" i="41"/>
  <c r="H34" i="41"/>
  <c r="L34" i="41"/>
  <c r="FN37" i="38"/>
  <c r="CW37" i="41" s="1"/>
  <c r="L37" i="38"/>
  <c r="EL37" i="38"/>
  <c r="CF37" i="41" s="1"/>
  <c r="M37" i="38"/>
  <c r="BQ37" i="38"/>
  <c r="K37" i="38"/>
  <c r="EY37" i="38"/>
  <c r="EM37" i="38"/>
  <c r="CE37" i="41" s="1"/>
  <c r="FD37" i="38"/>
  <c r="EN37" i="38"/>
  <c r="FH36" i="38"/>
  <c r="FI36" i="38"/>
  <c r="FG36" i="38"/>
  <c r="BS36" i="38"/>
  <c r="D36" i="41"/>
  <c r="S36" i="45"/>
  <c r="S36" i="46"/>
  <c r="E36" i="41"/>
  <c r="P36" i="46"/>
  <c r="Q36" i="46" s="1"/>
  <c r="L37" i="46"/>
  <c r="M37" i="46"/>
  <c r="FK37" i="46"/>
  <c r="K37" i="46"/>
  <c r="A38" i="38"/>
  <c r="CV38" i="38" s="1"/>
  <c r="A38" i="45"/>
  <c r="A38" i="6"/>
  <c r="A38" i="7"/>
  <c r="A38" i="46"/>
  <c r="A39" i="55"/>
  <c r="A38" i="4"/>
  <c r="A38" i="41"/>
  <c r="AX36" i="38"/>
  <c r="AY36" i="38"/>
  <c r="GI36" i="45"/>
  <c r="GH36" i="45"/>
  <c r="GG36" i="45"/>
  <c r="G34" i="41"/>
  <c r="K34" i="41"/>
  <c r="GG28" i="38"/>
  <c r="GG6" i="38"/>
  <c r="GG20" i="38"/>
  <c r="GG27" i="38"/>
  <c r="GG23" i="38"/>
  <c r="GH18" i="38"/>
  <c r="GG22" i="38"/>
  <c r="GG21" i="38"/>
  <c r="GG24" i="38"/>
  <c r="GG26" i="38"/>
  <c r="GG25" i="38"/>
  <c r="GG31" i="38"/>
  <c r="GG32" i="38"/>
  <c r="GG30" i="38"/>
  <c r="GG29" i="38"/>
  <c r="GG33" i="38"/>
  <c r="I146" i="45"/>
  <c r="M146" i="45"/>
  <c r="GK21" i="45"/>
  <c r="GK23" i="45"/>
  <c r="GK22" i="45"/>
  <c r="GK24" i="45"/>
  <c r="GK26" i="45"/>
  <c r="GL18" i="45"/>
  <c r="GK6" i="45"/>
  <c r="GK20" i="45"/>
  <c r="GK25" i="45"/>
  <c r="GK27" i="45"/>
  <c r="GK28" i="45"/>
  <c r="GK30" i="45"/>
  <c r="GK35" i="45"/>
  <c r="GK36" i="45"/>
  <c r="GK32" i="45"/>
  <c r="GK33" i="45"/>
  <c r="GK31" i="45"/>
  <c r="GK34" i="45"/>
  <c r="GK29" i="45"/>
  <c r="I146" i="38"/>
  <c r="M146" i="38"/>
  <c r="GF24" i="46"/>
  <c r="GF23" i="46"/>
  <c r="GF20" i="46"/>
  <c r="GG18" i="46"/>
  <c r="GF25" i="46"/>
  <c r="GF6" i="46"/>
  <c r="GF26" i="46"/>
  <c r="GF21" i="46"/>
  <c r="GF27" i="46"/>
  <c r="GF22" i="46"/>
  <c r="GF28" i="46"/>
  <c r="GF30" i="46"/>
  <c r="GF31" i="46"/>
  <c r="GF32" i="46"/>
  <c r="GF29" i="46"/>
  <c r="GF33" i="46"/>
  <c r="GF35" i="46"/>
  <c r="GF34" i="46"/>
  <c r="A147" i="46"/>
  <c r="O147" i="46" s="1"/>
  <c r="A147" i="45"/>
  <c r="O147" i="45" s="1"/>
  <c r="A148" i="55"/>
  <c r="A147" i="38"/>
  <c r="O147" i="38" s="1"/>
  <c r="I146" i="46"/>
  <c r="M146" i="46"/>
  <c r="CZ38" i="38" l="1"/>
  <c r="DE38" i="38" s="1"/>
  <c r="CX38" i="38"/>
  <c r="DC38" i="38" s="1"/>
  <c r="CY38" i="38"/>
  <c r="DD38" i="38" s="1"/>
  <c r="DA38" i="38"/>
  <c r="O38" i="38"/>
  <c r="I38" i="38"/>
  <c r="AG56" i="4"/>
  <c r="AI55" i="4"/>
  <c r="AX55" i="46" s="1"/>
  <c r="AZ55" i="46" s="1"/>
  <c r="BA55" i="46" s="1"/>
  <c r="BB55" i="46" s="1"/>
  <c r="G55" i="46" s="1"/>
  <c r="AZ54" i="46"/>
  <c r="BA54" i="46" s="1"/>
  <c r="BB54" i="46" s="1"/>
  <c r="G54" i="46" s="1"/>
  <c r="AH56" i="4"/>
  <c r="AJ55" i="4"/>
  <c r="AY55" i="46" s="1"/>
  <c r="O38" i="45"/>
  <c r="I38" i="45"/>
  <c r="O38" i="46"/>
  <c r="I38" i="46"/>
  <c r="FS119" i="7"/>
  <c r="FY119" i="7" s="1"/>
  <c r="R36" i="38"/>
  <c r="R37" i="46"/>
  <c r="R36" i="45"/>
  <c r="T26" i="38"/>
  <c r="BU26" i="38" s="1"/>
  <c r="BV26" i="38" s="1"/>
  <c r="U26" i="41"/>
  <c r="W24" i="41"/>
  <c r="T24" i="46"/>
  <c r="T24" i="45"/>
  <c r="V24" i="41"/>
  <c r="AZ36" i="38"/>
  <c r="BA36" i="38" s="1"/>
  <c r="BB36" i="38" s="1"/>
  <c r="G36" i="38" s="1"/>
  <c r="P36" i="38" s="1"/>
  <c r="Q36" i="38" s="1"/>
  <c r="FH37" i="38"/>
  <c r="FI37" i="38"/>
  <c r="FG37" i="38"/>
  <c r="D37" i="41"/>
  <c r="S37" i="45"/>
  <c r="E37" i="41"/>
  <c r="S37" i="46"/>
  <c r="P37" i="46"/>
  <c r="Q37" i="46" s="1"/>
  <c r="I35" i="41"/>
  <c r="M35" i="41"/>
  <c r="L35" i="41"/>
  <c r="H35" i="41"/>
  <c r="BS37" i="38"/>
  <c r="AY37" i="45"/>
  <c r="AX37" i="45"/>
  <c r="G35" i="41"/>
  <c r="K35" i="41"/>
  <c r="A39" i="7"/>
  <c r="A39" i="41"/>
  <c r="A39" i="6"/>
  <c r="A39" i="38"/>
  <c r="CV39" i="38" s="1"/>
  <c r="A39" i="45"/>
  <c r="A39" i="46"/>
  <c r="A39" i="4"/>
  <c r="A40" i="55"/>
  <c r="L38" i="45"/>
  <c r="FK38" i="45"/>
  <c r="GL38" i="45" s="1"/>
  <c r="M38" i="45"/>
  <c r="K38" i="45"/>
  <c r="AZ36" i="45"/>
  <c r="BA36" i="45" s="1"/>
  <c r="BB36" i="45" s="1"/>
  <c r="G36" i="45" s="1"/>
  <c r="P36" i="45" s="1"/>
  <c r="Q36" i="45" s="1"/>
  <c r="FK38" i="46"/>
  <c r="M38" i="46"/>
  <c r="L38" i="46"/>
  <c r="K38" i="46"/>
  <c r="EL38" i="38"/>
  <c r="CF38" i="41" s="1"/>
  <c r="L38" i="38"/>
  <c r="EY38" i="38"/>
  <c r="EM38" i="38"/>
  <c r="CE38" i="41" s="1"/>
  <c r="FN38" i="38"/>
  <c r="CW38" i="41" s="1"/>
  <c r="BQ38" i="38"/>
  <c r="EN38" i="38"/>
  <c r="K38" i="38"/>
  <c r="FD38" i="38"/>
  <c r="M38" i="38"/>
  <c r="S37" i="38"/>
  <c r="C37" i="41"/>
  <c r="AY37" i="38"/>
  <c r="AX37" i="38"/>
  <c r="GI37" i="45"/>
  <c r="GJ37" i="45"/>
  <c r="GH37" i="45"/>
  <c r="A148" i="46"/>
  <c r="O148" i="46" s="1"/>
  <c r="A149" i="55"/>
  <c r="A148" i="45"/>
  <c r="O148" i="45" s="1"/>
  <c r="A148" i="38"/>
  <c r="O148" i="38" s="1"/>
  <c r="GL25" i="45"/>
  <c r="GL21" i="45"/>
  <c r="GL6" i="45"/>
  <c r="GL24" i="45"/>
  <c r="GL20" i="45"/>
  <c r="GL23" i="45"/>
  <c r="GL29" i="45"/>
  <c r="GL26" i="45"/>
  <c r="GL28" i="45"/>
  <c r="GM18" i="45"/>
  <c r="GL27" i="45"/>
  <c r="GL22" i="45"/>
  <c r="GL30" i="45"/>
  <c r="GL31" i="45"/>
  <c r="GL35" i="45"/>
  <c r="GL36" i="45"/>
  <c r="GL34" i="45"/>
  <c r="GL33" i="45"/>
  <c r="GL37" i="45"/>
  <c r="GL32" i="45"/>
  <c r="I147" i="45"/>
  <c r="M147" i="45"/>
  <c r="I147" i="46"/>
  <c r="M147" i="46"/>
  <c r="I147" i="38"/>
  <c r="M147" i="38"/>
  <c r="GG20" i="46"/>
  <c r="GH18" i="46"/>
  <c r="GG21" i="46"/>
  <c r="GG6" i="46"/>
  <c r="GG26" i="46"/>
  <c r="GG27" i="46"/>
  <c r="GG22" i="46"/>
  <c r="GG24" i="46"/>
  <c r="GG23" i="46"/>
  <c r="GG25" i="46"/>
  <c r="GG28" i="46"/>
  <c r="GG33" i="46"/>
  <c r="GG29" i="46"/>
  <c r="GG31" i="46"/>
  <c r="GG35" i="46"/>
  <c r="GG36" i="46"/>
  <c r="GG34" i="46"/>
  <c r="GG32" i="46"/>
  <c r="GG30" i="46"/>
  <c r="GI18" i="38"/>
  <c r="GH26" i="38"/>
  <c r="GH20" i="38"/>
  <c r="GH25" i="38"/>
  <c r="GH24" i="38"/>
  <c r="GH22" i="38"/>
  <c r="GH27" i="38"/>
  <c r="GH28" i="38"/>
  <c r="GH6" i="38"/>
  <c r="GH21" i="38"/>
  <c r="GH23" i="38"/>
  <c r="GH31" i="38"/>
  <c r="GH33" i="38"/>
  <c r="GH29" i="38"/>
  <c r="GH30" i="38"/>
  <c r="GH32" i="38"/>
  <c r="GH34" i="38"/>
  <c r="CX39" i="38" l="1"/>
  <c r="DC39" i="38" s="1"/>
  <c r="DA39" i="38"/>
  <c r="CY39" i="38"/>
  <c r="DD39" i="38" s="1"/>
  <c r="CZ39" i="38"/>
  <c r="DE39" i="38" s="1"/>
  <c r="O39" i="38"/>
  <c r="I39" i="38"/>
  <c r="AH57" i="4"/>
  <c r="AJ56" i="4"/>
  <c r="AY56" i="46" s="1"/>
  <c r="AG57" i="4"/>
  <c r="AI56" i="4"/>
  <c r="AX56" i="46" s="1"/>
  <c r="O39" i="46"/>
  <c r="I39" i="46"/>
  <c r="O39" i="45"/>
  <c r="I39" i="45"/>
  <c r="FS120" i="7"/>
  <c r="FY120" i="7" s="1"/>
  <c r="R37" i="38"/>
  <c r="R38" i="46"/>
  <c r="R37" i="45"/>
  <c r="T27" i="38"/>
  <c r="BU27" i="38" s="1"/>
  <c r="BV27" i="38" s="1"/>
  <c r="U27" i="41"/>
  <c r="W25" i="41"/>
  <c r="T25" i="46"/>
  <c r="T25" i="45"/>
  <c r="V25" i="41"/>
  <c r="AZ37" i="38"/>
  <c r="BA37" i="38" s="1"/>
  <c r="BB37" i="38" s="1"/>
  <c r="G37" i="38" s="1"/>
  <c r="P37" i="38" s="1"/>
  <c r="Q37" i="38" s="1"/>
  <c r="AZ37" i="45"/>
  <c r="BA37" i="45" s="1"/>
  <c r="BB37" i="45" s="1"/>
  <c r="G37" i="45" s="1"/>
  <c r="P37" i="45" s="1"/>
  <c r="Q37" i="45" s="1"/>
  <c r="EL39" i="38"/>
  <c r="CF39" i="41" s="1"/>
  <c r="EY39" i="38"/>
  <c r="BQ39" i="38"/>
  <c r="M39" i="38"/>
  <c r="FD39" i="38"/>
  <c r="FN39" i="38"/>
  <c r="CW39" i="41" s="1"/>
  <c r="K39" i="38"/>
  <c r="EM39" i="38"/>
  <c r="CE39" i="41" s="1"/>
  <c r="L39" i="38"/>
  <c r="EN39" i="38"/>
  <c r="E38" i="41"/>
  <c r="S38" i="46"/>
  <c r="P38" i="46"/>
  <c r="Q38" i="46" s="1"/>
  <c r="GI38" i="45"/>
  <c r="GJ38" i="45"/>
  <c r="GK38" i="45"/>
  <c r="AY38" i="45"/>
  <c r="AX38" i="45"/>
  <c r="A40" i="38"/>
  <c r="CV40" i="38" s="1"/>
  <c r="A40" i="46"/>
  <c r="A41" i="55"/>
  <c r="A40" i="7"/>
  <c r="A40" i="41"/>
  <c r="A40" i="45"/>
  <c r="A40" i="6"/>
  <c r="A40" i="4"/>
  <c r="L36" i="41"/>
  <c r="H36" i="41"/>
  <c r="S38" i="38"/>
  <c r="C38" i="41"/>
  <c r="FH38" i="38"/>
  <c r="FG38" i="38"/>
  <c r="FI38" i="38"/>
  <c r="K39" i="46"/>
  <c r="FK39" i="46"/>
  <c r="M39" i="46"/>
  <c r="L39" i="46"/>
  <c r="AX38" i="38"/>
  <c r="AY38" i="38"/>
  <c r="K36" i="41"/>
  <c r="G36" i="41"/>
  <c r="BS38" i="38"/>
  <c r="D38" i="41"/>
  <c r="S38" i="45"/>
  <c r="K39" i="45"/>
  <c r="M39" i="45"/>
  <c r="FK39" i="45"/>
  <c r="GM39" i="45" s="1"/>
  <c r="L39" i="45"/>
  <c r="M36" i="41"/>
  <c r="I36" i="41"/>
  <c r="GI25" i="38"/>
  <c r="GI6" i="38"/>
  <c r="GI26" i="38"/>
  <c r="GI20" i="38"/>
  <c r="GI28" i="38"/>
  <c r="GI24" i="38"/>
  <c r="GI23" i="38"/>
  <c r="GI27" i="38"/>
  <c r="GJ18" i="38"/>
  <c r="GI22" i="38"/>
  <c r="GI21" i="38"/>
  <c r="GI32" i="38"/>
  <c r="GI34" i="38"/>
  <c r="GI29" i="38"/>
  <c r="GI35" i="38"/>
  <c r="GI31" i="38"/>
  <c r="GI33" i="38"/>
  <c r="GI30" i="38"/>
  <c r="GH23" i="46"/>
  <c r="GH25" i="46"/>
  <c r="GH6" i="46"/>
  <c r="GI18" i="46"/>
  <c r="GH21" i="46"/>
  <c r="GH26" i="46"/>
  <c r="GH24" i="46"/>
  <c r="GH27" i="46"/>
  <c r="GH22" i="46"/>
  <c r="GH20" i="46"/>
  <c r="GH28" i="46"/>
  <c r="GH35" i="46"/>
  <c r="GH34" i="46"/>
  <c r="GH31" i="46"/>
  <c r="GH36" i="46"/>
  <c r="GH30" i="46"/>
  <c r="GH32" i="46"/>
  <c r="GH37" i="46"/>
  <c r="GH33" i="46"/>
  <c r="GH29" i="46"/>
  <c r="M148" i="45"/>
  <c r="I148" i="45"/>
  <c r="GM27" i="45"/>
  <c r="GM26" i="45"/>
  <c r="GM22" i="45"/>
  <c r="GM25" i="45"/>
  <c r="GM21" i="45"/>
  <c r="GM6" i="45"/>
  <c r="GM29" i="45"/>
  <c r="GM24" i="45"/>
  <c r="GM20" i="45"/>
  <c r="GM28" i="45"/>
  <c r="GM23" i="45"/>
  <c r="GN18" i="45"/>
  <c r="GM33" i="45"/>
  <c r="GM35" i="45"/>
  <c r="GM36" i="45"/>
  <c r="GM37" i="45"/>
  <c r="GM31" i="45"/>
  <c r="GM34" i="45"/>
  <c r="GM30" i="45"/>
  <c r="GM32" i="45"/>
  <c r="GM38" i="45"/>
  <c r="A149" i="45"/>
  <c r="O149" i="45" s="1"/>
  <c r="A149" i="46"/>
  <c r="O149" i="46" s="1"/>
  <c r="A149" i="38"/>
  <c r="O149" i="38" s="1"/>
  <c r="I148" i="38"/>
  <c r="M148" i="38"/>
  <c r="I148" i="46"/>
  <c r="M148" i="46"/>
  <c r="CX40" i="38" l="1"/>
  <c r="DC40" i="38" s="1"/>
  <c r="CZ40" i="38"/>
  <c r="DE40" i="38" s="1"/>
  <c r="CY40" i="38"/>
  <c r="DD40" i="38" s="1"/>
  <c r="DA40" i="38"/>
  <c r="O40" i="38"/>
  <c r="I40" i="38"/>
  <c r="AG58" i="4"/>
  <c r="AI57" i="4"/>
  <c r="AX57" i="46" s="1"/>
  <c r="AZ57" i="46" s="1"/>
  <c r="BA57" i="46" s="1"/>
  <c r="BB57" i="46" s="1"/>
  <c r="G57" i="46" s="1"/>
  <c r="AZ56" i="46"/>
  <c r="BA56" i="46" s="1"/>
  <c r="BB56" i="46" s="1"/>
  <c r="G56" i="46" s="1"/>
  <c r="AH58" i="4"/>
  <c r="AJ57" i="4"/>
  <c r="AY57" i="46" s="1"/>
  <c r="O40" i="45"/>
  <c r="I40" i="45"/>
  <c r="O40" i="46"/>
  <c r="I40" i="46"/>
  <c r="I19" i="46" s="1"/>
  <c r="R38" i="38"/>
  <c r="R39" i="46"/>
  <c r="R38" i="45"/>
  <c r="U28" i="41"/>
  <c r="T28" i="38"/>
  <c r="BU28" i="38" s="1"/>
  <c r="BV28" i="38" s="1"/>
  <c r="W26" i="41"/>
  <c r="T26" i="46"/>
  <c r="V26" i="41"/>
  <c r="T26" i="45"/>
  <c r="AZ38" i="38"/>
  <c r="BA38" i="38" s="1"/>
  <c r="BB38" i="38" s="1"/>
  <c r="G38" i="38" s="1"/>
  <c r="P38" i="38" s="1"/>
  <c r="Q38" i="38" s="1"/>
  <c r="BQ40" i="38"/>
  <c r="L40" i="38"/>
  <c r="FN40" i="38"/>
  <c r="CW40" i="41" s="1"/>
  <c r="EL40" i="38"/>
  <c r="CF40" i="41" s="1"/>
  <c r="FD40" i="38"/>
  <c r="EM40" i="38"/>
  <c r="CE40" i="41" s="1"/>
  <c r="EN40" i="38"/>
  <c r="M40" i="38"/>
  <c r="EY40" i="38"/>
  <c r="K40" i="38"/>
  <c r="BS39" i="38"/>
  <c r="G37" i="41"/>
  <c r="K37" i="41"/>
  <c r="K40" i="45"/>
  <c r="FK40" i="45"/>
  <c r="GN40" i="45" s="1"/>
  <c r="M40" i="45"/>
  <c r="L40" i="45"/>
  <c r="FK40" i="46"/>
  <c r="L40" i="46"/>
  <c r="K40" i="46"/>
  <c r="M40" i="46"/>
  <c r="FH39" i="38"/>
  <c r="FI39" i="38"/>
  <c r="FG39" i="38"/>
  <c r="GJ39" i="45"/>
  <c r="GL39" i="45"/>
  <c r="GK39" i="45"/>
  <c r="P39" i="46"/>
  <c r="Q39" i="46" s="1"/>
  <c r="E39" i="41"/>
  <c r="S39" i="46"/>
  <c r="AZ38" i="45"/>
  <c r="BA38" i="45" s="1"/>
  <c r="BB38" i="45" s="1"/>
  <c r="G38" i="45" s="1"/>
  <c r="P38" i="45" s="1"/>
  <c r="Q38" i="45" s="1"/>
  <c r="AY39" i="45"/>
  <c r="AX39" i="45"/>
  <c r="S39" i="38"/>
  <c r="C39" i="41"/>
  <c r="D39" i="41"/>
  <c r="S39" i="45"/>
  <c r="L37" i="41"/>
  <c r="H37" i="41"/>
  <c r="A41" i="45"/>
  <c r="A42" i="55"/>
  <c r="A41" i="4"/>
  <c r="A41" i="38"/>
  <c r="CV41" i="38" s="1"/>
  <c r="A41" i="46"/>
  <c r="A41" i="7"/>
  <c r="A41" i="6"/>
  <c r="A41" i="41"/>
  <c r="AY39" i="38"/>
  <c r="AX39" i="38"/>
  <c r="I37" i="41"/>
  <c r="M37" i="41"/>
  <c r="GN24" i="45"/>
  <c r="GN20" i="45"/>
  <c r="GO18" i="45"/>
  <c r="GN32" i="45"/>
  <c r="GN34" i="45"/>
  <c r="GN38" i="45"/>
  <c r="GN27" i="45"/>
  <c r="GN6" i="45"/>
  <c r="GN30" i="45"/>
  <c r="GN29" i="45"/>
  <c r="GN26" i="45"/>
  <c r="GN22" i="45"/>
  <c r="GN31" i="45"/>
  <c r="GN35" i="45"/>
  <c r="GN39" i="45"/>
  <c r="GN25" i="45"/>
  <c r="GN23" i="45"/>
  <c r="GN33" i="45"/>
  <c r="GN37" i="45"/>
  <c r="GN28" i="45"/>
  <c r="GN36" i="45"/>
  <c r="GN21" i="45"/>
  <c r="I149" i="38"/>
  <c r="M149" i="38"/>
  <c r="I129" i="38"/>
  <c r="I149" i="45"/>
  <c r="M149" i="45"/>
  <c r="I129" i="45"/>
  <c r="I149" i="46"/>
  <c r="M149" i="46"/>
  <c r="I129" i="46"/>
  <c r="GK18" i="38"/>
  <c r="GJ27" i="38"/>
  <c r="GJ23" i="38"/>
  <c r="GJ25" i="38"/>
  <c r="GJ26" i="38"/>
  <c r="GJ20" i="38"/>
  <c r="GJ28" i="38"/>
  <c r="GJ6" i="38"/>
  <c r="GJ24" i="38"/>
  <c r="GJ21" i="38"/>
  <c r="GJ22" i="38"/>
  <c r="GJ29" i="38"/>
  <c r="GJ30" i="38"/>
  <c r="GJ31" i="38"/>
  <c r="GJ32" i="38"/>
  <c r="GJ33" i="38"/>
  <c r="GJ35" i="38"/>
  <c r="GJ34" i="38"/>
  <c r="GJ36" i="38"/>
  <c r="GI22" i="46"/>
  <c r="GI20" i="46"/>
  <c r="GJ18" i="46"/>
  <c r="GI25" i="46"/>
  <c r="GI6" i="46"/>
  <c r="GI21" i="46"/>
  <c r="GI27" i="46"/>
  <c r="GI26" i="46"/>
  <c r="GI24" i="46"/>
  <c r="GI23" i="46"/>
  <c r="GI28" i="46"/>
  <c r="GI30" i="46"/>
  <c r="GI35" i="46"/>
  <c r="GI32" i="46"/>
  <c r="GI29" i="46"/>
  <c r="GI31" i="46"/>
  <c r="GI34" i="46"/>
  <c r="GI37" i="46"/>
  <c r="GI36" i="46"/>
  <c r="GI38" i="46"/>
  <c r="GI33" i="46"/>
  <c r="CX41" i="38" l="1"/>
  <c r="DC41" i="38" s="1"/>
  <c r="CY41" i="38"/>
  <c r="DD41" i="38" s="1"/>
  <c r="DA41" i="38"/>
  <c r="CZ41" i="38"/>
  <c r="DE41" i="38" s="1"/>
  <c r="O41" i="38"/>
  <c r="I41" i="38"/>
  <c r="AH59" i="4"/>
  <c r="AJ58" i="4"/>
  <c r="AY58" i="46" s="1"/>
  <c r="AG59" i="4"/>
  <c r="AI58" i="4"/>
  <c r="AX58" i="46" s="1"/>
  <c r="O41" i="46"/>
  <c r="I41" i="46"/>
  <c r="O41" i="45"/>
  <c r="I41" i="45"/>
  <c r="R39" i="38"/>
  <c r="R40" i="46"/>
  <c r="R39" i="45"/>
  <c r="T29" i="38"/>
  <c r="BU29" i="38" s="1"/>
  <c r="BV29" i="38" s="1"/>
  <c r="U29" i="41"/>
  <c r="T27" i="45"/>
  <c r="V27" i="41"/>
  <c r="W27" i="41"/>
  <c r="T27" i="46"/>
  <c r="J149" i="45"/>
  <c r="AJ149" i="45" s="1"/>
  <c r="AK149" i="45" s="1"/>
  <c r="I19" i="38"/>
  <c r="BS40" i="38"/>
  <c r="AZ39" i="38"/>
  <c r="BA39" i="38" s="1"/>
  <c r="BB39" i="38" s="1"/>
  <c r="G39" i="38" s="1"/>
  <c r="P39" i="38" s="1"/>
  <c r="Q39" i="38" s="1"/>
  <c r="R40" i="38" s="1"/>
  <c r="AZ39" i="45"/>
  <c r="BA39" i="45" s="1"/>
  <c r="BB39" i="45" s="1"/>
  <c r="G39" i="45" s="1"/>
  <c r="P39" i="45" s="1"/>
  <c r="Q39" i="45" s="1"/>
  <c r="S40" i="45"/>
  <c r="D40" i="41"/>
  <c r="C40" i="41"/>
  <c r="S40" i="38"/>
  <c r="H38" i="41"/>
  <c r="L38" i="41"/>
  <c r="M38" i="41"/>
  <c r="I38" i="41"/>
  <c r="AX40" i="45"/>
  <c r="AY40" i="45"/>
  <c r="A42" i="45"/>
  <c r="A42" i="46"/>
  <c r="A42" i="38"/>
  <c r="CV42" i="38" s="1"/>
  <c r="A42" i="41"/>
  <c r="A42" i="7"/>
  <c r="A43" i="55"/>
  <c r="A42" i="6"/>
  <c r="A42" i="4"/>
  <c r="K38" i="41"/>
  <c r="G38" i="41"/>
  <c r="AY40" i="38"/>
  <c r="AX40" i="38"/>
  <c r="S40" i="46"/>
  <c r="P40" i="46"/>
  <c r="Q40" i="46" s="1"/>
  <c r="E40" i="41"/>
  <c r="GL40" i="45"/>
  <c r="GK40" i="45"/>
  <c r="GM40" i="45"/>
  <c r="FD41" i="38"/>
  <c r="EY41" i="38"/>
  <c r="BQ41" i="38"/>
  <c r="EN41" i="38"/>
  <c r="M41" i="38"/>
  <c r="EM41" i="38"/>
  <c r="CE41" i="41" s="1"/>
  <c r="L41" i="38"/>
  <c r="K41" i="38"/>
  <c r="EL41" i="38"/>
  <c r="CF41" i="41" s="1"/>
  <c r="FN41" i="38"/>
  <c r="CW41" i="41" s="1"/>
  <c r="L41" i="46"/>
  <c r="M41" i="46"/>
  <c r="K41" i="46"/>
  <c r="FK41" i="46"/>
  <c r="L41" i="45"/>
  <c r="K41" i="45"/>
  <c r="FK41" i="45"/>
  <c r="M41" i="45"/>
  <c r="FG40" i="38"/>
  <c r="FH40" i="38"/>
  <c r="FI40" i="38"/>
  <c r="J149" i="38"/>
  <c r="AJ149" i="38" s="1"/>
  <c r="AK149" i="38" s="1"/>
  <c r="J130" i="45"/>
  <c r="AJ130" i="45" s="1"/>
  <c r="AK130" i="45" s="1"/>
  <c r="J131" i="45"/>
  <c r="AJ131" i="45" s="1"/>
  <c r="AK131" i="45" s="1"/>
  <c r="J132" i="45"/>
  <c r="AJ132" i="45" s="1"/>
  <c r="AK132" i="45" s="1"/>
  <c r="J133" i="45"/>
  <c r="AJ133" i="45" s="1"/>
  <c r="AK133" i="45" s="1"/>
  <c r="J134" i="45"/>
  <c r="AJ134" i="45" s="1"/>
  <c r="AK134" i="45" s="1"/>
  <c r="J135" i="45"/>
  <c r="AJ135" i="45" s="1"/>
  <c r="AK135" i="45" s="1"/>
  <c r="J136" i="45"/>
  <c r="AJ136" i="45" s="1"/>
  <c r="AK136" i="45" s="1"/>
  <c r="J137" i="45"/>
  <c r="AJ137" i="45" s="1"/>
  <c r="AK137" i="45" s="1"/>
  <c r="J138" i="45"/>
  <c r="AJ138" i="45" s="1"/>
  <c r="AK138" i="45" s="1"/>
  <c r="J139" i="45"/>
  <c r="AJ139" i="45" s="1"/>
  <c r="AK139" i="45" s="1"/>
  <c r="J140" i="45"/>
  <c r="AJ140" i="45" s="1"/>
  <c r="AK140" i="45" s="1"/>
  <c r="J141" i="45"/>
  <c r="AJ141" i="45" s="1"/>
  <c r="AK141" i="45" s="1"/>
  <c r="J142" i="45"/>
  <c r="AJ142" i="45" s="1"/>
  <c r="AK142" i="45" s="1"/>
  <c r="J143" i="45"/>
  <c r="AJ143" i="45" s="1"/>
  <c r="AK143" i="45" s="1"/>
  <c r="J144" i="45"/>
  <c r="AJ144" i="45" s="1"/>
  <c r="AK144" i="45" s="1"/>
  <c r="J145" i="45"/>
  <c r="AJ145" i="45" s="1"/>
  <c r="AK145" i="45" s="1"/>
  <c r="J146" i="45"/>
  <c r="AJ146" i="45" s="1"/>
  <c r="AK146" i="45" s="1"/>
  <c r="J147" i="45"/>
  <c r="AJ147" i="45" s="1"/>
  <c r="AK147" i="45" s="1"/>
  <c r="J148" i="45"/>
  <c r="AJ148" i="45" s="1"/>
  <c r="AK148" i="45" s="1"/>
  <c r="GJ20" i="46"/>
  <c r="GK18" i="46"/>
  <c r="GJ25" i="46"/>
  <c r="GJ6" i="46"/>
  <c r="GJ26" i="46"/>
  <c r="GJ21" i="46"/>
  <c r="GJ27" i="46"/>
  <c r="GJ22" i="46"/>
  <c r="GJ24" i="46"/>
  <c r="GJ23" i="46"/>
  <c r="GJ28" i="46"/>
  <c r="GJ34" i="46"/>
  <c r="GJ36" i="46"/>
  <c r="GJ37" i="46"/>
  <c r="GJ38" i="46"/>
  <c r="GJ30" i="46"/>
  <c r="GJ33" i="46"/>
  <c r="GJ39" i="46"/>
  <c r="GJ31" i="46"/>
  <c r="GJ35" i="46"/>
  <c r="GJ32" i="46"/>
  <c r="GJ29" i="46"/>
  <c r="J130" i="46"/>
  <c r="AJ130" i="46" s="1"/>
  <c r="AK130" i="46" s="1"/>
  <c r="J131" i="46"/>
  <c r="AJ131" i="46" s="1"/>
  <c r="AK131" i="46" s="1"/>
  <c r="J132" i="46"/>
  <c r="AJ132" i="46" s="1"/>
  <c r="AK132" i="46" s="1"/>
  <c r="J133" i="46"/>
  <c r="AJ133" i="46" s="1"/>
  <c r="AK133" i="46" s="1"/>
  <c r="J134" i="46"/>
  <c r="AJ134" i="46" s="1"/>
  <c r="AK134" i="46" s="1"/>
  <c r="J135" i="46"/>
  <c r="AJ135" i="46" s="1"/>
  <c r="AK135" i="46" s="1"/>
  <c r="J136" i="46"/>
  <c r="AJ136" i="46" s="1"/>
  <c r="AK136" i="46" s="1"/>
  <c r="J137" i="46"/>
  <c r="AJ137" i="46" s="1"/>
  <c r="AK137" i="46" s="1"/>
  <c r="J138" i="46"/>
  <c r="AJ138" i="46" s="1"/>
  <c r="AK138" i="46" s="1"/>
  <c r="J139" i="46"/>
  <c r="AJ139" i="46" s="1"/>
  <c r="AK139" i="46" s="1"/>
  <c r="J140" i="46"/>
  <c r="AJ140" i="46" s="1"/>
  <c r="AK140" i="46" s="1"/>
  <c r="J141" i="46"/>
  <c r="AJ141" i="46" s="1"/>
  <c r="AK141" i="46" s="1"/>
  <c r="J142" i="46"/>
  <c r="AJ142" i="46" s="1"/>
  <c r="AK142" i="46" s="1"/>
  <c r="J143" i="46"/>
  <c r="AJ143" i="46" s="1"/>
  <c r="AK143" i="46" s="1"/>
  <c r="J144" i="46"/>
  <c r="AJ144" i="46" s="1"/>
  <c r="AK144" i="46" s="1"/>
  <c r="J145" i="46"/>
  <c r="AJ145" i="46" s="1"/>
  <c r="AK145" i="46" s="1"/>
  <c r="J146" i="46"/>
  <c r="AJ146" i="46" s="1"/>
  <c r="AK146" i="46" s="1"/>
  <c r="J147" i="46"/>
  <c r="AJ147" i="46" s="1"/>
  <c r="AK147" i="46" s="1"/>
  <c r="J148" i="46"/>
  <c r="AJ148" i="46" s="1"/>
  <c r="AK148" i="46" s="1"/>
  <c r="GK28" i="38"/>
  <c r="GK24" i="38"/>
  <c r="GK6" i="38"/>
  <c r="GK22" i="38"/>
  <c r="GK23" i="38"/>
  <c r="GK21" i="38"/>
  <c r="GL18" i="38"/>
  <c r="GK25" i="38"/>
  <c r="GK20" i="38"/>
  <c r="GK26" i="38"/>
  <c r="GK27" i="38"/>
  <c r="GK34" i="38"/>
  <c r="GK37" i="38"/>
  <c r="GK33" i="38"/>
  <c r="GK36" i="38"/>
  <c r="GK29" i="38"/>
  <c r="GK35" i="38"/>
  <c r="GK32" i="38"/>
  <c r="GK30" i="38"/>
  <c r="GK31" i="38"/>
  <c r="J130" i="38"/>
  <c r="AJ130" i="38" s="1"/>
  <c r="AK130" i="38" s="1"/>
  <c r="J131" i="38"/>
  <c r="AJ131" i="38" s="1"/>
  <c r="AK131" i="38" s="1"/>
  <c r="J132" i="38"/>
  <c r="AJ132" i="38" s="1"/>
  <c r="AK132" i="38" s="1"/>
  <c r="J133" i="38"/>
  <c r="AJ133" i="38" s="1"/>
  <c r="AK133" i="38" s="1"/>
  <c r="J134" i="38"/>
  <c r="AJ134" i="38" s="1"/>
  <c r="AK134" i="38" s="1"/>
  <c r="J135" i="38"/>
  <c r="AJ135" i="38" s="1"/>
  <c r="AK135" i="38" s="1"/>
  <c r="J136" i="38"/>
  <c r="AJ136" i="38" s="1"/>
  <c r="AK136" i="38" s="1"/>
  <c r="J137" i="38"/>
  <c r="AJ137" i="38" s="1"/>
  <c r="AK137" i="38" s="1"/>
  <c r="J138" i="38"/>
  <c r="AJ138" i="38" s="1"/>
  <c r="AK138" i="38" s="1"/>
  <c r="J139" i="38"/>
  <c r="AJ139" i="38" s="1"/>
  <c r="AK139" i="38" s="1"/>
  <c r="J140" i="38"/>
  <c r="AJ140" i="38" s="1"/>
  <c r="AK140" i="38" s="1"/>
  <c r="J141" i="38"/>
  <c r="AJ141" i="38" s="1"/>
  <c r="AK141" i="38" s="1"/>
  <c r="J142" i="38"/>
  <c r="AJ142" i="38" s="1"/>
  <c r="AK142" i="38" s="1"/>
  <c r="J143" i="38"/>
  <c r="AJ143" i="38" s="1"/>
  <c r="AK143" i="38" s="1"/>
  <c r="J144" i="38"/>
  <c r="AJ144" i="38" s="1"/>
  <c r="AK144" i="38" s="1"/>
  <c r="J145" i="38"/>
  <c r="AJ145" i="38" s="1"/>
  <c r="AK145" i="38" s="1"/>
  <c r="J146" i="38"/>
  <c r="AJ146" i="38" s="1"/>
  <c r="AK146" i="38" s="1"/>
  <c r="J147" i="38"/>
  <c r="AJ147" i="38" s="1"/>
  <c r="AK147" i="38" s="1"/>
  <c r="J148" i="38"/>
  <c r="AJ148" i="38" s="1"/>
  <c r="AK148" i="38" s="1"/>
  <c r="J149" i="46"/>
  <c r="AJ149" i="46" s="1"/>
  <c r="AK149" i="46" s="1"/>
  <c r="GP18" i="45"/>
  <c r="GO28" i="45"/>
  <c r="GO24" i="45"/>
  <c r="GO22" i="45"/>
  <c r="GO30" i="45"/>
  <c r="GO32" i="45"/>
  <c r="GO33" i="45"/>
  <c r="GO37" i="45"/>
  <c r="GO38" i="45"/>
  <c r="GO29" i="45"/>
  <c r="GO21" i="45"/>
  <c r="GO31" i="45"/>
  <c r="GO34" i="45"/>
  <c r="GO40" i="45"/>
  <c r="GO20" i="45"/>
  <c r="GO27" i="45"/>
  <c r="GO26" i="45"/>
  <c r="GO36" i="45"/>
  <c r="GO35" i="45"/>
  <c r="GO6" i="45"/>
  <c r="GO25" i="45"/>
  <c r="GO39" i="45"/>
  <c r="GO23" i="45"/>
  <c r="CZ42" i="38" l="1"/>
  <c r="DE42" i="38" s="1"/>
  <c r="CX42" i="38"/>
  <c r="DC42" i="38" s="1"/>
  <c r="CY42" i="38"/>
  <c r="DD42" i="38" s="1"/>
  <c r="DA42" i="38"/>
  <c r="O42" i="38"/>
  <c r="I42" i="38"/>
  <c r="AG60" i="4"/>
  <c r="AI59" i="4"/>
  <c r="AX59" i="46" s="1"/>
  <c r="AZ59" i="46" s="1"/>
  <c r="BA59" i="46" s="1"/>
  <c r="BB59" i="46" s="1"/>
  <c r="G59" i="46" s="1"/>
  <c r="AZ58" i="46"/>
  <c r="BA58" i="46" s="1"/>
  <c r="BB58" i="46" s="1"/>
  <c r="G58" i="46" s="1"/>
  <c r="AH60" i="4"/>
  <c r="AJ59" i="4"/>
  <c r="AY59" i="46" s="1"/>
  <c r="O42" i="46"/>
  <c r="I42" i="46"/>
  <c r="J42" i="46" s="1"/>
  <c r="O42" i="45"/>
  <c r="I42" i="45"/>
  <c r="R41" i="46"/>
  <c r="R40" i="45"/>
  <c r="U30" i="41"/>
  <c r="T30" i="38"/>
  <c r="BU30" i="38" s="1"/>
  <c r="BV30" i="38" s="1"/>
  <c r="V28" i="41"/>
  <c r="T28" i="45"/>
  <c r="W28" i="41"/>
  <c r="T28" i="46"/>
  <c r="J41" i="46"/>
  <c r="J19" i="38"/>
  <c r="DA7" i="38" s="1"/>
  <c r="J28" i="38"/>
  <c r="J25" i="38"/>
  <c r="J24" i="38"/>
  <c r="J27" i="38"/>
  <c r="J26" i="38"/>
  <c r="J20" i="38"/>
  <c r="J22" i="38"/>
  <c r="J23" i="38"/>
  <c r="J30" i="38"/>
  <c r="J21" i="38"/>
  <c r="J29" i="38"/>
  <c r="J31" i="38"/>
  <c r="J32" i="38"/>
  <c r="J33" i="38"/>
  <c r="J34" i="38"/>
  <c r="J35" i="38"/>
  <c r="J36" i="38"/>
  <c r="J37" i="38"/>
  <c r="J38" i="38"/>
  <c r="J39" i="38"/>
  <c r="Z39" i="41" s="1"/>
  <c r="J19" i="46"/>
  <c r="J21" i="46"/>
  <c r="J27" i="46"/>
  <c r="J30" i="46"/>
  <c r="AB30" i="41" s="1"/>
  <c r="J31" i="46"/>
  <c r="AB31" i="41" s="1"/>
  <c r="J20" i="46"/>
  <c r="J22" i="46"/>
  <c r="J23" i="46"/>
  <c r="J29" i="46"/>
  <c r="AB29" i="41" s="1"/>
  <c r="J28" i="46"/>
  <c r="J26" i="46"/>
  <c r="J24" i="46"/>
  <c r="J25" i="46"/>
  <c r="J32" i="46"/>
  <c r="AB32" i="41" s="1"/>
  <c r="J33" i="46"/>
  <c r="AB33" i="41" s="1"/>
  <c r="J34" i="46"/>
  <c r="AB34" i="41" s="1"/>
  <c r="J35" i="46"/>
  <c r="AB35" i="41" s="1"/>
  <c r="J36" i="46"/>
  <c r="AB36" i="41" s="1"/>
  <c r="J37" i="46"/>
  <c r="AB37" i="41" s="1"/>
  <c r="J38" i="46"/>
  <c r="AB38" i="41" s="1"/>
  <c r="J39" i="46"/>
  <c r="AB39" i="41" s="1"/>
  <c r="J40" i="38"/>
  <c r="Z40" i="41" s="1"/>
  <c r="J40" i="46"/>
  <c r="AB40" i="41" s="1"/>
  <c r="AZ40" i="45"/>
  <c r="BA40" i="45" s="1"/>
  <c r="BB40" i="45" s="1"/>
  <c r="G40" i="45" s="1"/>
  <c r="P40" i="45" s="1"/>
  <c r="Q40" i="45" s="1"/>
  <c r="A43" i="7"/>
  <c r="A43" i="41"/>
  <c r="A43" i="38"/>
  <c r="CV43" i="38" s="1"/>
  <c r="A43" i="6"/>
  <c r="A43" i="4"/>
  <c r="A44" i="55"/>
  <c r="A43" i="46"/>
  <c r="A43" i="45"/>
  <c r="M42" i="46"/>
  <c r="K42" i="46"/>
  <c r="FK42" i="46"/>
  <c r="L42" i="46"/>
  <c r="S41" i="45"/>
  <c r="D41" i="41"/>
  <c r="J41" i="38"/>
  <c r="BS41" i="38"/>
  <c r="AZ40" i="38"/>
  <c r="BA40" i="38" s="1"/>
  <c r="BB40" i="38" s="1"/>
  <c r="G40" i="38" s="1"/>
  <c r="P40" i="38" s="1"/>
  <c r="Q40" i="38" s="1"/>
  <c r="R41" i="38" s="1"/>
  <c r="M42" i="45"/>
  <c r="FK42" i="45"/>
  <c r="GP42" i="45" s="1"/>
  <c r="L42" i="45"/>
  <c r="K42" i="45"/>
  <c r="AY41" i="38"/>
  <c r="AX41" i="38"/>
  <c r="K39" i="41"/>
  <c r="G39" i="41"/>
  <c r="GM41" i="45"/>
  <c r="GN41" i="45"/>
  <c r="GL41" i="45"/>
  <c r="GO41" i="45"/>
  <c r="S41" i="46"/>
  <c r="E41" i="41"/>
  <c r="P41" i="46"/>
  <c r="Q41" i="46" s="1"/>
  <c r="C41" i="41"/>
  <c r="S41" i="38"/>
  <c r="H39" i="41"/>
  <c r="L39" i="41"/>
  <c r="FH41" i="38"/>
  <c r="FI41" i="38"/>
  <c r="FG41" i="38"/>
  <c r="M39" i="41"/>
  <c r="I39" i="41"/>
  <c r="BQ42" i="38"/>
  <c r="K42" i="38"/>
  <c r="EY42" i="38"/>
  <c r="EL42" i="38"/>
  <c r="CF42" i="41" s="1"/>
  <c r="FD42" i="38"/>
  <c r="EM42" i="38"/>
  <c r="CE42" i="41" s="1"/>
  <c r="EN42" i="38"/>
  <c r="FN42" i="38"/>
  <c r="CW42" i="41" s="1"/>
  <c r="L42" i="38"/>
  <c r="M42" i="38"/>
  <c r="AX41" i="45"/>
  <c r="AY41" i="45"/>
  <c r="GL22" i="38"/>
  <c r="GL28" i="38"/>
  <c r="GM18" i="38"/>
  <c r="GL6" i="38"/>
  <c r="GL21" i="38"/>
  <c r="GL26" i="38"/>
  <c r="GL23" i="38"/>
  <c r="GL20" i="38"/>
  <c r="GL24" i="38"/>
  <c r="GL25" i="38"/>
  <c r="GL27" i="38"/>
  <c r="GL31" i="38"/>
  <c r="GL33" i="38"/>
  <c r="GL35" i="38"/>
  <c r="GL36" i="38"/>
  <c r="GL38" i="38"/>
  <c r="GL32" i="38"/>
  <c r="GL34" i="38"/>
  <c r="GL37" i="38"/>
  <c r="GL29" i="38"/>
  <c r="GL30" i="38"/>
  <c r="GP6" i="45"/>
  <c r="GP28" i="45"/>
  <c r="GP24" i="45"/>
  <c r="GP22" i="45"/>
  <c r="GP27" i="45"/>
  <c r="GP26" i="45"/>
  <c r="GP36" i="45"/>
  <c r="GP32" i="45"/>
  <c r="GP30" i="45"/>
  <c r="GP21" i="45"/>
  <c r="GP33" i="45"/>
  <c r="GP37" i="45"/>
  <c r="GP38" i="45"/>
  <c r="GQ18" i="45"/>
  <c r="GP29" i="45"/>
  <c r="GP23" i="45"/>
  <c r="GP35" i="45"/>
  <c r="GP39" i="45"/>
  <c r="GP20" i="45"/>
  <c r="GP34" i="45"/>
  <c r="GP40" i="45"/>
  <c r="GP31" i="45"/>
  <c r="GP41" i="45"/>
  <c r="GP25" i="45"/>
  <c r="GK22" i="46"/>
  <c r="GK26" i="46"/>
  <c r="GK20" i="46"/>
  <c r="GK25" i="46"/>
  <c r="GL18" i="46"/>
  <c r="GK6" i="46"/>
  <c r="GK21" i="46"/>
  <c r="GK23" i="46"/>
  <c r="GK24" i="46"/>
  <c r="GK27" i="46"/>
  <c r="GK28" i="46"/>
  <c r="GK32" i="46"/>
  <c r="GK34" i="46"/>
  <c r="GK30" i="46"/>
  <c r="GK38" i="46"/>
  <c r="GK35" i="46"/>
  <c r="GK39" i="46"/>
  <c r="GK29" i="46"/>
  <c r="GK31" i="46"/>
  <c r="GK33" i="46"/>
  <c r="GK40" i="46"/>
  <c r="GK37" i="46"/>
  <c r="GK36" i="46"/>
  <c r="CX43" i="38" l="1"/>
  <c r="DC43" i="38" s="1"/>
  <c r="DA43" i="38"/>
  <c r="CY43" i="38"/>
  <c r="DD43" i="38" s="1"/>
  <c r="CZ43" i="38"/>
  <c r="DE43" i="38" s="1"/>
  <c r="O43" i="38"/>
  <c r="I43" i="38"/>
  <c r="J43" i="38" s="1"/>
  <c r="AH61" i="4"/>
  <c r="AJ60" i="4"/>
  <c r="AY60" i="46" s="1"/>
  <c r="AG61" i="4"/>
  <c r="AI60" i="4"/>
  <c r="AX60" i="46" s="1"/>
  <c r="O43" i="45"/>
  <c r="I43" i="45"/>
  <c r="O43" i="46"/>
  <c r="I43" i="46"/>
  <c r="J43" i="46" s="1"/>
  <c r="R42" i="46"/>
  <c r="R41" i="45"/>
  <c r="T31" i="38"/>
  <c r="BU31" i="38" s="1"/>
  <c r="BV31" i="38" s="1"/>
  <c r="U31" i="41"/>
  <c r="AI41" i="46"/>
  <c r="L5" i="46"/>
  <c r="AC5" i="46" s="1"/>
  <c r="L6" i="46"/>
  <c r="AC6" i="46" s="1"/>
  <c r="AI41" i="38"/>
  <c r="L5" i="38"/>
  <c r="AC5" i="38" s="1"/>
  <c r="L6" i="38"/>
  <c r="AC6" i="38" s="1"/>
  <c r="T29" i="46"/>
  <c r="W29" i="46" s="1"/>
  <c r="W29" i="41"/>
  <c r="T29" i="45"/>
  <c r="V29" i="41"/>
  <c r="AB24" i="41"/>
  <c r="W24" i="46"/>
  <c r="AB23" i="41"/>
  <c r="W23" i="46"/>
  <c r="Z35" i="41"/>
  <c r="Z31" i="41"/>
  <c r="W23" i="38"/>
  <c r="Z23" i="41"/>
  <c r="Z27" i="41"/>
  <c r="W27" i="38"/>
  <c r="AI20" i="38"/>
  <c r="AO19" i="38"/>
  <c r="CI19" i="38"/>
  <c r="AN19" i="38"/>
  <c r="AI21" i="38"/>
  <c r="AI22" i="38"/>
  <c r="CO19" i="38"/>
  <c r="Z19" i="41"/>
  <c r="AD39" i="41" s="1"/>
  <c r="BT19" i="38"/>
  <c r="FR19" i="38"/>
  <c r="EL19" i="38"/>
  <c r="CN19" i="38"/>
  <c r="CH19" i="38"/>
  <c r="AI23" i="38"/>
  <c r="AI24" i="38"/>
  <c r="AI25" i="38"/>
  <c r="AI26" i="38"/>
  <c r="AI27" i="38"/>
  <c r="AI28" i="38"/>
  <c r="AI29" i="38"/>
  <c r="AI30" i="38"/>
  <c r="AI31" i="38"/>
  <c r="AI32" i="38"/>
  <c r="AI33" i="38"/>
  <c r="AI34" i="38"/>
  <c r="AI35" i="38"/>
  <c r="AI36" i="38"/>
  <c r="AI37" i="38"/>
  <c r="AI38" i="38"/>
  <c r="AI39" i="38"/>
  <c r="AI40" i="38"/>
  <c r="AB26" i="41"/>
  <c r="W26" i="46"/>
  <c r="AB22" i="41"/>
  <c r="W22" i="46"/>
  <c r="AB27" i="41"/>
  <c r="W27" i="46"/>
  <c r="Z38" i="41"/>
  <c r="Z34" i="41"/>
  <c r="Z29" i="41"/>
  <c r="W29" i="38"/>
  <c r="Z22" i="41"/>
  <c r="W22" i="38"/>
  <c r="W24" i="38"/>
  <c r="Z24" i="41"/>
  <c r="AB28" i="41"/>
  <c r="W28" i="46"/>
  <c r="AB20" i="41"/>
  <c r="W20" i="46"/>
  <c r="AB21" i="41"/>
  <c r="W21" i="46"/>
  <c r="Z37" i="41"/>
  <c r="Z33" i="41"/>
  <c r="Z21" i="41"/>
  <c r="W21" i="38"/>
  <c r="W20" i="38"/>
  <c r="Z20" i="41"/>
  <c r="W25" i="38"/>
  <c r="Z25" i="41"/>
  <c r="AB25" i="41"/>
  <c r="W25" i="46"/>
  <c r="AB19" i="41"/>
  <c r="AF34" i="41" s="1"/>
  <c r="AI21" i="46"/>
  <c r="AN19" i="46"/>
  <c r="FO19" i="46"/>
  <c r="AO19" i="46"/>
  <c r="AI20" i="46"/>
  <c r="AI22" i="46"/>
  <c r="AI23" i="46"/>
  <c r="AI24" i="46"/>
  <c r="AI25" i="46"/>
  <c r="AI26" i="46"/>
  <c r="AI27" i="46"/>
  <c r="AI28" i="46"/>
  <c r="AI29" i="46"/>
  <c r="AI30" i="46"/>
  <c r="AI31" i="46"/>
  <c r="AI32" i="46"/>
  <c r="AI33" i="46"/>
  <c r="AI34" i="46"/>
  <c r="AI35" i="46"/>
  <c r="AI36" i="46"/>
  <c r="AI37" i="46"/>
  <c r="AI38" i="46"/>
  <c r="AI39" i="46"/>
  <c r="AI40" i="46"/>
  <c r="Z36" i="41"/>
  <c r="Z32" i="41"/>
  <c r="Z30" i="41"/>
  <c r="W30" i="38"/>
  <c r="Z26" i="41"/>
  <c r="W26" i="38"/>
  <c r="W28" i="38"/>
  <c r="Z28" i="41"/>
  <c r="AZ41" i="45"/>
  <c r="BA41" i="45" s="1"/>
  <c r="BB41" i="45" s="1"/>
  <c r="G41" i="45" s="1"/>
  <c r="P41" i="45" s="1"/>
  <c r="Q41" i="45" s="1"/>
  <c r="G40" i="41"/>
  <c r="K40" i="41"/>
  <c r="Z41" i="41"/>
  <c r="I40" i="41"/>
  <c r="M40" i="41"/>
  <c r="AB41" i="41"/>
  <c r="P42" i="46"/>
  <c r="Q42" i="46" s="1"/>
  <c r="S42" i="46"/>
  <c r="AI42" i="46"/>
  <c r="E42" i="41"/>
  <c r="FK43" i="45"/>
  <c r="GQ43" i="45" s="1"/>
  <c r="L43" i="45"/>
  <c r="K43" i="45"/>
  <c r="M43" i="45"/>
  <c r="FG42" i="38"/>
  <c r="FH42" i="38"/>
  <c r="FI42" i="38"/>
  <c r="GM42" i="45"/>
  <c r="GO42" i="45"/>
  <c r="GN42" i="45"/>
  <c r="K43" i="46"/>
  <c r="L43" i="46"/>
  <c r="FK43" i="46"/>
  <c r="M43" i="46"/>
  <c r="EN43" i="38"/>
  <c r="EL43" i="38"/>
  <c r="CF43" i="41" s="1"/>
  <c r="M43" i="38"/>
  <c r="FD43" i="38"/>
  <c r="EM43" i="38"/>
  <c r="CE43" i="41" s="1"/>
  <c r="L43" i="38"/>
  <c r="BQ43" i="38"/>
  <c r="FN43" i="38"/>
  <c r="CW43" i="41" s="1"/>
  <c r="EY43" i="38"/>
  <c r="K43" i="38"/>
  <c r="AY42" i="38"/>
  <c r="AX42" i="38"/>
  <c r="J42" i="38"/>
  <c r="BS42" i="38"/>
  <c r="AY42" i="45"/>
  <c r="AX42" i="45"/>
  <c r="A44" i="46"/>
  <c r="A44" i="41"/>
  <c r="A44" i="4"/>
  <c r="A44" i="38"/>
  <c r="CV44" i="38" s="1"/>
  <c r="A44" i="6"/>
  <c r="A45" i="55"/>
  <c r="A44" i="7"/>
  <c r="A44" i="45"/>
  <c r="S42" i="38"/>
  <c r="C42" i="41"/>
  <c r="AI42" i="38"/>
  <c r="AZ41" i="38"/>
  <c r="BA41" i="38" s="1"/>
  <c r="BB41" i="38" s="1"/>
  <c r="G41" i="38" s="1"/>
  <c r="P41" i="38" s="1"/>
  <c r="Q41" i="38" s="1"/>
  <c r="R42" i="38" s="1"/>
  <c r="S42" i="45"/>
  <c r="D42" i="41"/>
  <c r="H40" i="41"/>
  <c r="L40" i="41"/>
  <c r="GQ25" i="45"/>
  <c r="GQ26" i="45"/>
  <c r="GQ22" i="45"/>
  <c r="GQ29" i="45"/>
  <c r="GQ35" i="45"/>
  <c r="GQ36" i="45"/>
  <c r="GQ37" i="45"/>
  <c r="GQ39" i="45"/>
  <c r="GQ40" i="45"/>
  <c r="GQ24" i="45"/>
  <c r="GQ20" i="45"/>
  <c r="GQ31" i="45"/>
  <c r="GQ6" i="45"/>
  <c r="GR18" i="45"/>
  <c r="GQ28" i="45"/>
  <c r="GQ30" i="45"/>
  <c r="GQ21" i="45"/>
  <c r="GQ33" i="45"/>
  <c r="GQ34" i="45"/>
  <c r="GQ41" i="45"/>
  <c r="GQ42" i="45"/>
  <c r="GQ32" i="45"/>
  <c r="GQ27" i="45"/>
  <c r="GQ38" i="45"/>
  <c r="GQ23" i="45"/>
  <c r="GM28" i="38"/>
  <c r="GM21" i="38"/>
  <c r="GN18" i="38"/>
  <c r="GM22" i="38"/>
  <c r="GM20" i="38"/>
  <c r="GM26" i="38"/>
  <c r="GM27" i="38"/>
  <c r="GM6" i="38"/>
  <c r="GM23" i="38"/>
  <c r="GM24" i="38"/>
  <c r="GM25" i="38"/>
  <c r="GM35" i="38"/>
  <c r="GM36" i="38"/>
  <c r="GM38" i="38"/>
  <c r="GM39" i="38"/>
  <c r="GM31" i="38"/>
  <c r="GM32" i="38"/>
  <c r="GM33" i="38"/>
  <c r="GM34" i="38"/>
  <c r="GM37" i="38"/>
  <c r="GM30" i="38"/>
  <c r="GM29" i="38"/>
  <c r="GL25" i="46"/>
  <c r="GM18" i="46"/>
  <c r="GL20" i="46"/>
  <c r="GL6" i="46"/>
  <c r="GL26" i="46"/>
  <c r="GL23" i="46"/>
  <c r="GL24" i="46"/>
  <c r="GL27" i="46"/>
  <c r="GL21" i="46"/>
  <c r="GL22" i="46"/>
  <c r="GL28" i="46"/>
  <c r="GL37" i="46"/>
  <c r="GL39" i="46"/>
  <c r="GL41" i="46"/>
  <c r="GL29" i="46"/>
  <c r="GL33" i="46"/>
  <c r="GL36" i="46"/>
  <c r="GL40" i="46"/>
  <c r="GL30" i="46"/>
  <c r="GL34" i="46"/>
  <c r="GL38" i="46"/>
  <c r="GL32" i="46"/>
  <c r="GL31" i="46"/>
  <c r="GL35" i="46"/>
  <c r="CX44" i="38" l="1"/>
  <c r="DC44" i="38" s="1"/>
  <c r="CZ44" i="38"/>
  <c r="DE44" i="38" s="1"/>
  <c r="DA44" i="38"/>
  <c r="CY44" i="38"/>
  <c r="DD44" i="38" s="1"/>
  <c r="O44" i="38"/>
  <c r="I44" i="38"/>
  <c r="J44" i="38" s="1"/>
  <c r="AG62" i="4"/>
  <c r="AI61" i="4"/>
  <c r="AX61" i="46" s="1"/>
  <c r="AZ60" i="46"/>
  <c r="BA60" i="46" s="1"/>
  <c r="BB60" i="46" s="1"/>
  <c r="G60" i="46" s="1"/>
  <c r="AH62" i="4"/>
  <c r="AJ61" i="4"/>
  <c r="AY61" i="46" s="1"/>
  <c r="O44" i="46"/>
  <c r="I44" i="46"/>
  <c r="J44" i="46" s="1"/>
  <c r="O44" i="45"/>
  <c r="I44" i="45"/>
  <c r="CO41" i="38"/>
  <c r="BV41" i="41" s="1"/>
  <c r="CO20" i="38"/>
  <c r="BV20" i="41" s="1"/>
  <c r="CI34" i="38"/>
  <c r="BQ34" i="41" s="1"/>
  <c r="CI20" i="38"/>
  <c r="BQ20" i="41" s="1"/>
  <c r="R43" i="46"/>
  <c r="R42" i="45"/>
  <c r="W31" i="38"/>
  <c r="T32" i="38"/>
  <c r="U32" i="41"/>
  <c r="T30" i="45"/>
  <c r="V30" i="41"/>
  <c r="W30" i="41"/>
  <c r="T30" i="46"/>
  <c r="W30" i="46" s="1"/>
  <c r="CO42" i="38"/>
  <c r="BV42" i="41" s="1"/>
  <c r="CO36" i="38"/>
  <c r="BV36" i="41" s="1"/>
  <c r="BS43" i="38"/>
  <c r="AF41" i="41"/>
  <c r="AD30" i="41"/>
  <c r="AD26" i="41"/>
  <c r="AD32" i="41"/>
  <c r="AD24" i="41"/>
  <c r="AF29" i="41"/>
  <c r="AF39" i="41"/>
  <c r="AF32" i="41"/>
  <c r="AD38" i="41"/>
  <c r="AF22" i="41"/>
  <c r="AD21" i="41"/>
  <c r="AD37" i="41"/>
  <c r="AF40" i="41"/>
  <c r="AF27" i="41"/>
  <c r="AF26" i="41"/>
  <c r="AF31" i="41"/>
  <c r="AF35" i="41"/>
  <c r="AD33" i="41"/>
  <c r="AF37" i="41"/>
  <c r="CI29" i="38"/>
  <c r="BQ29" i="41" s="1"/>
  <c r="CI21" i="38"/>
  <c r="BQ21" i="41" s="1"/>
  <c r="CI22" i="38"/>
  <c r="BQ22" i="41" s="1"/>
  <c r="CI23" i="38"/>
  <c r="BQ23" i="41" s="1"/>
  <c r="CI26" i="38"/>
  <c r="BQ26" i="41" s="1"/>
  <c r="CI27" i="38"/>
  <c r="BQ27" i="41" s="1"/>
  <c r="CI24" i="38"/>
  <c r="BQ24" i="41" s="1"/>
  <c r="CI31" i="38"/>
  <c r="BQ31" i="41" s="1"/>
  <c r="CI25" i="38"/>
  <c r="BQ25" i="41" s="1"/>
  <c r="CI28" i="38"/>
  <c r="BQ28" i="41" s="1"/>
  <c r="CI30" i="38"/>
  <c r="BQ30" i="41" s="1"/>
  <c r="CI33" i="38"/>
  <c r="BQ33" i="41" s="1"/>
  <c r="CI36" i="38"/>
  <c r="BQ36" i="41" s="1"/>
  <c r="CI38" i="38"/>
  <c r="BQ38" i="41" s="1"/>
  <c r="CI39" i="38"/>
  <c r="BQ39" i="41" s="1"/>
  <c r="CI40" i="38"/>
  <c r="BQ40" i="41" s="1"/>
  <c r="CI41" i="38"/>
  <c r="BQ41" i="41" s="1"/>
  <c r="AD27" i="41"/>
  <c r="AD31" i="41"/>
  <c r="CI42" i="38"/>
  <c r="BQ42" i="41" s="1"/>
  <c r="AD36" i="41"/>
  <c r="AY19" i="41"/>
  <c r="BC19" i="41"/>
  <c r="AF25" i="41"/>
  <c r="AD20" i="41"/>
  <c r="CI37" i="38"/>
  <c r="BQ37" i="41" s="1"/>
  <c r="AF20" i="41"/>
  <c r="AF36" i="41"/>
  <c r="AD29" i="41"/>
  <c r="AF33" i="41"/>
  <c r="AD23" i="41"/>
  <c r="AF30" i="41"/>
  <c r="AF24" i="41"/>
  <c r="BA19" i="41"/>
  <c r="AW19" i="41"/>
  <c r="AD35" i="41"/>
  <c r="AD41" i="41"/>
  <c r="AD28" i="41"/>
  <c r="CI32" i="38"/>
  <c r="BQ32" i="41" s="1"/>
  <c r="AD25" i="41"/>
  <c r="AF21" i="41"/>
  <c r="AF28" i="41"/>
  <c r="AD22" i="41"/>
  <c r="AD34" i="41"/>
  <c r="AD40" i="41"/>
  <c r="CO29" i="38"/>
  <c r="BV29" i="41" s="1"/>
  <c r="CO23" i="38"/>
  <c r="BV23" i="41" s="1"/>
  <c r="CO30" i="38"/>
  <c r="BV30" i="41" s="1"/>
  <c r="CO26" i="38"/>
  <c r="BV26" i="41" s="1"/>
  <c r="CO27" i="38"/>
  <c r="BV27" i="41" s="1"/>
  <c r="CO24" i="38"/>
  <c r="BV24" i="41" s="1"/>
  <c r="CO21" i="38"/>
  <c r="BV21" i="41" s="1"/>
  <c r="CO31" i="38"/>
  <c r="BV31" i="41" s="1"/>
  <c r="CO22" i="38"/>
  <c r="BV22" i="41" s="1"/>
  <c r="CO25" i="38"/>
  <c r="BV25" i="41" s="1"/>
  <c r="CO28" i="38"/>
  <c r="BV28" i="41" s="1"/>
  <c r="CO32" i="38"/>
  <c r="BV32" i="41" s="1"/>
  <c r="CO33" i="38"/>
  <c r="BV33" i="41" s="1"/>
  <c r="CO34" i="38"/>
  <c r="BV34" i="41" s="1"/>
  <c r="CO35" i="38"/>
  <c r="BV35" i="41" s="1"/>
  <c r="CO37" i="38"/>
  <c r="BV37" i="41" s="1"/>
  <c r="CO38" i="38"/>
  <c r="BV38" i="41" s="1"/>
  <c r="CO39" i="38"/>
  <c r="BV39" i="41" s="1"/>
  <c r="CO40" i="38"/>
  <c r="BV40" i="41" s="1"/>
  <c r="CI35" i="38"/>
  <c r="BQ35" i="41" s="1"/>
  <c r="AF23" i="41"/>
  <c r="AF38" i="41"/>
  <c r="AZ42" i="45"/>
  <c r="BA42" i="45" s="1"/>
  <c r="BB42" i="45" s="1"/>
  <c r="G42" i="45" s="1"/>
  <c r="P42" i="45" s="1"/>
  <c r="Q42" i="45" s="1"/>
  <c r="K44" i="45"/>
  <c r="FK44" i="45"/>
  <c r="GR44" i="45" s="1"/>
  <c r="L44" i="45"/>
  <c r="M44" i="45"/>
  <c r="FD44" i="38"/>
  <c r="EL44" i="38"/>
  <c r="CF44" i="41" s="1"/>
  <c r="EY44" i="38"/>
  <c r="EN44" i="38"/>
  <c r="BQ44" i="38"/>
  <c r="L44" i="38"/>
  <c r="FN44" i="38"/>
  <c r="CW44" i="41" s="1"/>
  <c r="EM44" i="38"/>
  <c r="CE44" i="41" s="1"/>
  <c r="K44" i="38"/>
  <c r="M44" i="38"/>
  <c r="AX43" i="38"/>
  <c r="AY43" i="38"/>
  <c r="AZ42" i="38"/>
  <c r="BA42" i="38" s="1"/>
  <c r="BB42" i="38" s="1"/>
  <c r="G42" i="38" s="1"/>
  <c r="P42" i="38" s="1"/>
  <c r="Q42" i="38" s="1"/>
  <c r="R43" i="38" s="1"/>
  <c r="FG43" i="38"/>
  <c r="FH43" i="38"/>
  <c r="FI43" i="38"/>
  <c r="CI43" i="38"/>
  <c r="BQ43" i="41" s="1"/>
  <c r="AI43" i="38"/>
  <c r="S43" i="38"/>
  <c r="C43" i="41"/>
  <c r="P43" i="46"/>
  <c r="Q43" i="46" s="1"/>
  <c r="S43" i="46"/>
  <c r="AI43" i="46"/>
  <c r="E43" i="41"/>
  <c r="S43" i="45"/>
  <c r="D43" i="41"/>
  <c r="AB42" i="41"/>
  <c r="AF42" i="41" s="1"/>
  <c r="I41" i="41"/>
  <c r="M41" i="41"/>
  <c r="K41" i="41"/>
  <c r="G41" i="41"/>
  <c r="Z42" i="41"/>
  <c r="AD42" i="41" s="1"/>
  <c r="A45" i="4"/>
  <c r="A45" i="6"/>
  <c r="A45" i="7"/>
  <c r="A45" i="46"/>
  <c r="A45" i="38"/>
  <c r="CV45" i="38" s="1"/>
  <c r="A45" i="41"/>
  <c r="A45" i="45"/>
  <c r="A46" i="55"/>
  <c r="CO43" i="38"/>
  <c r="BV43" i="41" s="1"/>
  <c r="AX43" i="45"/>
  <c r="AY43" i="45"/>
  <c r="L41" i="41"/>
  <c r="H41" i="41"/>
  <c r="L44" i="46"/>
  <c r="FK44" i="46"/>
  <c r="K44" i="46"/>
  <c r="M44" i="46"/>
  <c r="GO43" i="45"/>
  <c r="GP43" i="45"/>
  <c r="GN43" i="45"/>
  <c r="GM27" i="46"/>
  <c r="GM26" i="46"/>
  <c r="GM20" i="46"/>
  <c r="GM21" i="46"/>
  <c r="GM24" i="46"/>
  <c r="GM25" i="46"/>
  <c r="GM28" i="46"/>
  <c r="GN18" i="46"/>
  <c r="GM29" i="46"/>
  <c r="GM6" i="46"/>
  <c r="GM23" i="46"/>
  <c r="GM22" i="46"/>
  <c r="GM31" i="46"/>
  <c r="GM32" i="46"/>
  <c r="GM33" i="46"/>
  <c r="GM37" i="46"/>
  <c r="GM42" i="46"/>
  <c r="GM36" i="46"/>
  <c r="GM40" i="46"/>
  <c r="GM35" i="46"/>
  <c r="GM41" i="46"/>
  <c r="GM39" i="46"/>
  <c r="GM34" i="46"/>
  <c r="GM30" i="46"/>
  <c r="GM38" i="46"/>
  <c r="GO18" i="38"/>
  <c r="GN23" i="38"/>
  <c r="GN20" i="38"/>
  <c r="GN25" i="38"/>
  <c r="GN27" i="38"/>
  <c r="GN26" i="38"/>
  <c r="GN22" i="38"/>
  <c r="GN28" i="38"/>
  <c r="GN21" i="38"/>
  <c r="GN29" i="38"/>
  <c r="GN40" i="38"/>
  <c r="GN34" i="38"/>
  <c r="GN31" i="38"/>
  <c r="GN33" i="38"/>
  <c r="GN30" i="38"/>
  <c r="GN32" i="38"/>
  <c r="GN36" i="38"/>
  <c r="GN38" i="38"/>
  <c r="GN39" i="38"/>
  <c r="GN35" i="38"/>
  <c r="GN37" i="38"/>
  <c r="GN24" i="38"/>
  <c r="GN6" i="38"/>
  <c r="GR23" i="45"/>
  <c r="GS18" i="45"/>
  <c r="GR6" i="45"/>
  <c r="GR28" i="45"/>
  <c r="GR38" i="45"/>
  <c r="GR43" i="45"/>
  <c r="GR26" i="45"/>
  <c r="GR34" i="45"/>
  <c r="GR31" i="45"/>
  <c r="GR27" i="45"/>
  <c r="GR35" i="45"/>
  <c r="GR39" i="45"/>
  <c r="GR41" i="45"/>
  <c r="GR42" i="45"/>
  <c r="GR21" i="45"/>
  <c r="GR20" i="45"/>
  <c r="GR33" i="45"/>
  <c r="GR36" i="45"/>
  <c r="GR22" i="45"/>
  <c r="GR32" i="45"/>
  <c r="GR25" i="45"/>
  <c r="GR40" i="45"/>
  <c r="GR24" i="45"/>
  <c r="GR29" i="45"/>
  <c r="GR30" i="45"/>
  <c r="GR37" i="45"/>
  <c r="CX45" i="38" l="1"/>
  <c r="DC45" i="38" s="1"/>
  <c r="CY45" i="38"/>
  <c r="DD45" i="38" s="1"/>
  <c r="DA45" i="38"/>
  <c r="CZ45" i="38"/>
  <c r="DE45" i="38" s="1"/>
  <c r="O45" i="38"/>
  <c r="I45" i="38"/>
  <c r="AZ61" i="46"/>
  <c r="BA61" i="46" s="1"/>
  <c r="BB61" i="46" s="1"/>
  <c r="G61" i="46" s="1"/>
  <c r="AH63" i="4"/>
  <c r="AJ62" i="4"/>
  <c r="AY62" i="46" s="1"/>
  <c r="AG63" i="4"/>
  <c r="AI62" i="4"/>
  <c r="AX62" i="46" s="1"/>
  <c r="O45" i="46"/>
  <c r="I45" i="46"/>
  <c r="J45" i="46" s="1"/>
  <c r="O45" i="45"/>
  <c r="I45" i="45"/>
  <c r="R44" i="46"/>
  <c r="R43" i="45"/>
  <c r="T33" i="38"/>
  <c r="U33" i="41"/>
  <c r="BU32" i="38"/>
  <c r="BV32" i="38" s="1"/>
  <c r="W32" i="38"/>
  <c r="W31" i="41"/>
  <c r="T31" i="46"/>
  <c r="W31" i="46" s="1"/>
  <c r="T31" i="45"/>
  <c r="V31" i="41"/>
  <c r="CO44" i="38"/>
  <c r="BV44" i="41" s="1"/>
  <c r="AZ43" i="45"/>
  <c r="BA43" i="45" s="1"/>
  <c r="BB43" i="45" s="1"/>
  <c r="G43" i="45" s="1"/>
  <c r="P43" i="45" s="1"/>
  <c r="Q43" i="45" s="1"/>
  <c r="AY44" i="38"/>
  <c r="AX44" i="38"/>
  <c r="S44" i="46"/>
  <c r="E44" i="41"/>
  <c r="P44" i="46"/>
  <c r="Q44" i="46" s="1"/>
  <c r="AI44" i="46"/>
  <c r="A46" i="7"/>
  <c r="A47" i="55"/>
  <c r="A46" i="45"/>
  <c r="A46" i="46"/>
  <c r="A46" i="41"/>
  <c r="A46" i="4"/>
  <c r="A46" i="38"/>
  <c r="CV46" i="38" s="1"/>
  <c r="A46" i="6"/>
  <c r="K45" i="46"/>
  <c r="M45" i="46"/>
  <c r="FK45" i="46"/>
  <c r="L45" i="46"/>
  <c r="AZ43" i="38"/>
  <c r="BA43" i="38" s="1"/>
  <c r="BB43" i="38" s="1"/>
  <c r="G43" i="38" s="1"/>
  <c r="P43" i="38" s="1"/>
  <c r="Q43" i="38" s="1"/>
  <c r="R44" i="38" s="1"/>
  <c r="CI44" i="38"/>
  <c r="BQ44" i="41" s="1"/>
  <c r="C44" i="41"/>
  <c r="S44" i="38"/>
  <c r="AI44" i="38"/>
  <c r="FN45" i="38"/>
  <c r="CW45" i="41" s="1"/>
  <c r="L45" i="38"/>
  <c r="EY45" i="38"/>
  <c r="EN45" i="38"/>
  <c r="K45" i="38"/>
  <c r="EM45" i="38"/>
  <c r="CE45" i="41" s="1"/>
  <c r="EL45" i="38"/>
  <c r="CF45" i="41" s="1"/>
  <c r="FD45" i="38"/>
  <c r="BQ45" i="38"/>
  <c r="J45" i="38"/>
  <c r="M45" i="38"/>
  <c r="K42" i="41"/>
  <c r="G42" i="41"/>
  <c r="Z43" i="41"/>
  <c r="AD43" i="41" s="1"/>
  <c r="FG44" i="38"/>
  <c r="FI44" i="38"/>
  <c r="FH44" i="38"/>
  <c r="GP44" i="45"/>
  <c r="GQ44" i="45"/>
  <c r="GO44" i="45"/>
  <c r="FK45" i="45"/>
  <c r="GS45" i="45" s="1"/>
  <c r="L45" i="45"/>
  <c r="M45" i="45"/>
  <c r="K45" i="45"/>
  <c r="AY44" i="45"/>
  <c r="AX44" i="45"/>
  <c r="BS44" i="38"/>
  <c r="S44" i="45"/>
  <c r="D44" i="41"/>
  <c r="L42" i="41"/>
  <c r="H42" i="41"/>
  <c r="I42" i="41"/>
  <c r="M42" i="41"/>
  <c r="AB43" i="41"/>
  <c r="AF43" i="41" s="1"/>
  <c r="GN27" i="46"/>
  <c r="GN29" i="46"/>
  <c r="GN6" i="46"/>
  <c r="GN35" i="46"/>
  <c r="GN36" i="46"/>
  <c r="GN40" i="46"/>
  <c r="GN42" i="46"/>
  <c r="GN22" i="46"/>
  <c r="GO18" i="46"/>
  <c r="GN32" i="46"/>
  <c r="GN41" i="46"/>
  <c r="GN43" i="46"/>
  <c r="GN24" i="46"/>
  <c r="GN25" i="46"/>
  <c r="GN33" i="46"/>
  <c r="GN37" i="46"/>
  <c r="GN28" i="46"/>
  <c r="GN20" i="46"/>
  <c r="GN31" i="46"/>
  <c r="GN34" i="46"/>
  <c r="GN38" i="46"/>
  <c r="GN39" i="46"/>
  <c r="GN21" i="46"/>
  <c r="GN23" i="46"/>
  <c r="GN26" i="46"/>
  <c r="GN30" i="46"/>
  <c r="GS34" i="45"/>
  <c r="GS22" i="45"/>
  <c r="GS6" i="45"/>
  <c r="GS30" i="45"/>
  <c r="GS26" i="45"/>
  <c r="GS41" i="45"/>
  <c r="GS20" i="45"/>
  <c r="GS31" i="45"/>
  <c r="GS25" i="45"/>
  <c r="GS40" i="45"/>
  <c r="GT18" i="45"/>
  <c r="GS29" i="45"/>
  <c r="GS24" i="45"/>
  <c r="GS39" i="45"/>
  <c r="GS42" i="45"/>
  <c r="GS21" i="45"/>
  <c r="GS32" i="45"/>
  <c r="GS27" i="45"/>
  <c r="GS37" i="45"/>
  <c r="GS38" i="45"/>
  <c r="GS44" i="45"/>
  <c r="GS33" i="45"/>
  <c r="GS35" i="45"/>
  <c r="GS36" i="45"/>
  <c r="GS28" i="45"/>
  <c r="GS43" i="45"/>
  <c r="GS23" i="45"/>
  <c r="GP18" i="38"/>
  <c r="GO27" i="38"/>
  <c r="GO26" i="38"/>
  <c r="GO22" i="38"/>
  <c r="GO28" i="38"/>
  <c r="GO23" i="38"/>
  <c r="GO25" i="38"/>
  <c r="GO21" i="38"/>
  <c r="GO6" i="38"/>
  <c r="GO24" i="38"/>
  <c r="GO29" i="38"/>
  <c r="GO32" i="38"/>
  <c r="GO38" i="38"/>
  <c r="GO39" i="38"/>
  <c r="GO30" i="38"/>
  <c r="GO35" i="38"/>
  <c r="GO36" i="38"/>
  <c r="GO34" i="38"/>
  <c r="GO37" i="38"/>
  <c r="GO40" i="38"/>
  <c r="GO31" i="38"/>
  <c r="GO33" i="38"/>
  <c r="GO41" i="38"/>
  <c r="GO20" i="38"/>
  <c r="CZ46" i="38" l="1"/>
  <c r="DE46" i="38" s="1"/>
  <c r="DA46" i="38"/>
  <c r="CX46" i="38"/>
  <c r="DC46" i="38" s="1"/>
  <c r="CY46" i="38"/>
  <c r="DD46" i="38" s="1"/>
  <c r="O46" i="38"/>
  <c r="I46" i="38"/>
  <c r="AG64" i="4"/>
  <c r="AI63" i="4"/>
  <c r="AX63" i="46" s="1"/>
  <c r="AZ63" i="46" s="1"/>
  <c r="BA63" i="46" s="1"/>
  <c r="BB63" i="46" s="1"/>
  <c r="G63" i="46" s="1"/>
  <c r="AZ62" i="46"/>
  <c r="BA62" i="46" s="1"/>
  <c r="BB62" i="46" s="1"/>
  <c r="G62" i="46" s="1"/>
  <c r="AH64" i="4"/>
  <c r="AJ63" i="4"/>
  <c r="AY63" i="46" s="1"/>
  <c r="O46" i="46"/>
  <c r="I46" i="46"/>
  <c r="J46" i="46" s="1"/>
  <c r="O46" i="45"/>
  <c r="I46" i="45"/>
  <c r="R45" i="46"/>
  <c r="R44" i="45"/>
  <c r="T34" i="38"/>
  <c r="U34" i="41"/>
  <c r="BU33" i="38"/>
  <c r="W33" i="38"/>
  <c r="W32" i="41"/>
  <c r="T32" i="46"/>
  <c r="W32" i="46" s="1"/>
  <c r="T32" i="45"/>
  <c r="V32" i="41"/>
  <c r="BS45" i="38"/>
  <c r="AZ44" i="45"/>
  <c r="BA44" i="45" s="1"/>
  <c r="BB44" i="45" s="1"/>
  <c r="G44" i="45" s="1"/>
  <c r="P44" i="45" s="1"/>
  <c r="Q44" i="45" s="1"/>
  <c r="CO45" i="38"/>
  <c r="BV45" i="41" s="1"/>
  <c r="S45" i="38"/>
  <c r="AI45" i="38"/>
  <c r="C45" i="41"/>
  <c r="K43" i="41"/>
  <c r="G43" i="41"/>
  <c r="Z44" i="41"/>
  <c r="AD44" i="41" s="1"/>
  <c r="E45" i="41"/>
  <c r="AI45" i="46"/>
  <c r="P45" i="46"/>
  <c r="Q45" i="46" s="1"/>
  <c r="S45" i="46"/>
  <c r="EL46" i="38"/>
  <c r="CF46" i="41" s="1"/>
  <c r="BQ46" i="38"/>
  <c r="M46" i="38"/>
  <c r="FN46" i="38"/>
  <c r="CW46" i="41" s="1"/>
  <c r="L46" i="38"/>
  <c r="EM46" i="38"/>
  <c r="CE46" i="41" s="1"/>
  <c r="K46" i="38"/>
  <c r="EY46" i="38"/>
  <c r="EN46" i="38"/>
  <c r="FD46" i="38"/>
  <c r="M46" i="45"/>
  <c r="FK46" i="45"/>
  <c r="GT46" i="45" s="1"/>
  <c r="L46" i="45"/>
  <c r="K46" i="45"/>
  <c r="H43" i="41"/>
  <c r="L43" i="41"/>
  <c r="S45" i="45"/>
  <c r="D45" i="41"/>
  <c r="AX45" i="45"/>
  <c r="AY45" i="45"/>
  <c r="A47" i="38"/>
  <c r="CV47" i="38" s="1"/>
  <c r="A47" i="41"/>
  <c r="A47" i="46"/>
  <c r="A47" i="45"/>
  <c r="A47" i="7"/>
  <c r="A47" i="4"/>
  <c r="A48" i="55"/>
  <c r="A47" i="6"/>
  <c r="AZ44" i="38"/>
  <c r="BA44" i="38" s="1"/>
  <c r="BB44" i="38" s="1"/>
  <c r="G44" i="38" s="1"/>
  <c r="P44" i="38" s="1"/>
  <c r="Q44" i="38" s="1"/>
  <c r="R45" i="38" s="1"/>
  <c r="GQ45" i="45"/>
  <c r="GP45" i="45"/>
  <c r="GR45" i="45"/>
  <c r="FI45" i="38"/>
  <c r="FG45" i="38"/>
  <c r="FH45" i="38"/>
  <c r="AB44" i="41"/>
  <c r="AF44" i="41" s="1"/>
  <c r="M43" i="41"/>
  <c r="I43" i="41"/>
  <c r="AX45" i="38"/>
  <c r="AY45" i="38"/>
  <c r="CI45" i="38"/>
  <c r="BQ45" i="41" s="1"/>
  <c r="FK46" i="46"/>
  <c r="M46" i="46"/>
  <c r="K46" i="46"/>
  <c r="L46" i="46"/>
  <c r="GP6" i="38"/>
  <c r="GP27" i="38"/>
  <c r="GP28" i="38"/>
  <c r="GP23" i="38"/>
  <c r="GP20" i="38"/>
  <c r="GP26" i="38"/>
  <c r="GQ18" i="38"/>
  <c r="GP25" i="38"/>
  <c r="GP24" i="38"/>
  <c r="GP30" i="38"/>
  <c r="GP39" i="38"/>
  <c r="GP41" i="38"/>
  <c r="GP40" i="38"/>
  <c r="GP32" i="38"/>
  <c r="GP34" i="38"/>
  <c r="GP36" i="38"/>
  <c r="GP37" i="38"/>
  <c r="GP29" i="38"/>
  <c r="GP31" i="38"/>
  <c r="GP35" i="38"/>
  <c r="GP33" i="38"/>
  <c r="GP38" i="38"/>
  <c r="GP42" i="38"/>
  <c r="GP21" i="38"/>
  <c r="GP22" i="38"/>
  <c r="GT34" i="45"/>
  <c r="GT22" i="45"/>
  <c r="GT29" i="45"/>
  <c r="GT25" i="45"/>
  <c r="GT21" i="45"/>
  <c r="GT42" i="45"/>
  <c r="GT36" i="45"/>
  <c r="GU18" i="45"/>
  <c r="GT28" i="45"/>
  <c r="GT23" i="45"/>
  <c r="GT37" i="45"/>
  <c r="GT38" i="45"/>
  <c r="GT44" i="45"/>
  <c r="GT35" i="45"/>
  <c r="GT6" i="45"/>
  <c r="GT27" i="45"/>
  <c r="GT26" i="45"/>
  <c r="GT40" i="45"/>
  <c r="GT41" i="45"/>
  <c r="GT45" i="45"/>
  <c r="GT20" i="45"/>
  <c r="GT31" i="45"/>
  <c r="GT24" i="45"/>
  <c r="GT43" i="45"/>
  <c r="GT30" i="45"/>
  <c r="GT39" i="45"/>
  <c r="GT33" i="45"/>
  <c r="GT32" i="45"/>
  <c r="GO6" i="46"/>
  <c r="GO22" i="46"/>
  <c r="GO25" i="46"/>
  <c r="GO21" i="46"/>
  <c r="GO34" i="46"/>
  <c r="GO38" i="46"/>
  <c r="GO28" i="46"/>
  <c r="GO23" i="46"/>
  <c r="GO35" i="46"/>
  <c r="GO39" i="46"/>
  <c r="GO27" i="46"/>
  <c r="GO20" i="46"/>
  <c r="GO32" i="46"/>
  <c r="GO41" i="46"/>
  <c r="GO42" i="46"/>
  <c r="GO43" i="46"/>
  <c r="GO44" i="46"/>
  <c r="GO26" i="46"/>
  <c r="GO24" i="46"/>
  <c r="GO30" i="46"/>
  <c r="GO31" i="46"/>
  <c r="GO29" i="46"/>
  <c r="GO40" i="46"/>
  <c r="GP18" i="46"/>
  <c r="GO37" i="46"/>
  <c r="GO33" i="46"/>
  <c r="GO36" i="46"/>
  <c r="CX47" i="38" l="1"/>
  <c r="DC47" i="38" s="1"/>
  <c r="DA47" i="38"/>
  <c r="CY47" i="38"/>
  <c r="DD47" i="38" s="1"/>
  <c r="CZ47" i="38"/>
  <c r="DE47" i="38" s="1"/>
  <c r="O47" i="38"/>
  <c r="I47" i="38"/>
  <c r="AH65" i="4"/>
  <c r="AJ64" i="4"/>
  <c r="AY64" i="46" s="1"/>
  <c r="AG65" i="4"/>
  <c r="AI64" i="4"/>
  <c r="AX64" i="46" s="1"/>
  <c r="O47" i="45"/>
  <c r="I47" i="45"/>
  <c r="O47" i="46"/>
  <c r="I47" i="46"/>
  <c r="J47" i="46" s="1"/>
  <c r="R46" i="46"/>
  <c r="R45" i="45"/>
  <c r="BV33" i="38"/>
  <c r="U35" i="41"/>
  <c r="T35" i="38"/>
  <c r="BU34" i="38"/>
  <c r="BV34" i="38" s="1"/>
  <c r="W34" i="38"/>
  <c r="V33" i="41"/>
  <c r="T33" i="45"/>
  <c r="T33" i="46"/>
  <c r="W33" i="46" s="1"/>
  <c r="W33" i="41"/>
  <c r="AZ45" i="38"/>
  <c r="BA45" i="38" s="1"/>
  <c r="BB45" i="38" s="1"/>
  <c r="G45" i="38" s="1"/>
  <c r="P45" i="38" s="1"/>
  <c r="Q45" i="38" s="1"/>
  <c r="R46" i="38" s="1"/>
  <c r="A48" i="46"/>
  <c r="A48" i="7"/>
  <c r="A48" i="4"/>
  <c r="A48" i="45"/>
  <c r="A48" i="41"/>
  <c r="A48" i="38"/>
  <c r="CV48" i="38" s="1"/>
  <c r="A49" i="55"/>
  <c r="A48" i="6"/>
  <c r="J46" i="38"/>
  <c r="BS46" i="38"/>
  <c r="AZ45" i="45"/>
  <c r="BA45" i="45" s="1"/>
  <c r="BB45" i="45" s="1"/>
  <c r="G45" i="45" s="1"/>
  <c r="P45" i="45" s="1"/>
  <c r="Q45" i="45" s="1"/>
  <c r="S46" i="45"/>
  <c r="D46" i="41"/>
  <c r="FI46" i="38"/>
  <c r="FH46" i="38"/>
  <c r="FG46" i="38"/>
  <c r="L47" i="46"/>
  <c r="FK47" i="46"/>
  <c r="M47" i="46"/>
  <c r="K47" i="46"/>
  <c r="K44" i="41"/>
  <c r="Z45" i="41"/>
  <c r="AD45" i="41" s="1"/>
  <c r="G44" i="41"/>
  <c r="E46" i="41"/>
  <c r="S46" i="46"/>
  <c r="P46" i="46"/>
  <c r="Q46" i="46" s="1"/>
  <c r="AI46" i="46"/>
  <c r="FN47" i="38"/>
  <c r="CW47" i="41" s="1"/>
  <c r="K47" i="38"/>
  <c r="FD47" i="38"/>
  <c r="EN47" i="38"/>
  <c r="EY47" i="38"/>
  <c r="EM47" i="38"/>
  <c r="CE47" i="41" s="1"/>
  <c r="EL47" i="38"/>
  <c r="CF47" i="41" s="1"/>
  <c r="M47" i="38"/>
  <c r="BQ47" i="38"/>
  <c r="L47" i="38"/>
  <c r="AY46" i="45"/>
  <c r="AX46" i="45"/>
  <c r="S46" i="38"/>
  <c r="AI46" i="38"/>
  <c r="C46" i="41"/>
  <c r="K47" i="45"/>
  <c r="L47" i="45"/>
  <c r="M47" i="45"/>
  <c r="FK47" i="45"/>
  <c r="GU47" i="45" s="1"/>
  <c r="AX46" i="38"/>
  <c r="AY46" i="38"/>
  <c r="L44" i="41"/>
  <c r="H44" i="41"/>
  <c r="GR46" i="45"/>
  <c r="GS46" i="45"/>
  <c r="GQ46" i="45"/>
  <c r="I44" i="41"/>
  <c r="M44" i="41"/>
  <c r="AB45" i="41"/>
  <c r="AF45" i="41" s="1"/>
  <c r="GP30" i="46"/>
  <c r="GP26" i="46"/>
  <c r="GP27" i="46"/>
  <c r="GP29" i="46"/>
  <c r="GP37" i="46"/>
  <c r="GP39" i="46"/>
  <c r="GP41" i="46"/>
  <c r="GP25" i="46"/>
  <c r="GP32" i="46"/>
  <c r="GP23" i="46"/>
  <c r="GP34" i="46"/>
  <c r="GP38" i="46"/>
  <c r="GP45" i="46"/>
  <c r="GP20" i="46"/>
  <c r="GP6" i="46"/>
  <c r="GP24" i="46"/>
  <c r="GP35" i="46"/>
  <c r="GQ18" i="46"/>
  <c r="GP21" i="46"/>
  <c r="GP28" i="46"/>
  <c r="GP33" i="46"/>
  <c r="GP36" i="46"/>
  <c r="GP40" i="46"/>
  <c r="GP43" i="46"/>
  <c r="GP31" i="46"/>
  <c r="GP44" i="46"/>
  <c r="GP22" i="46"/>
  <c r="GP42" i="46"/>
  <c r="GU24" i="45"/>
  <c r="GU21" i="45"/>
  <c r="GV18" i="45"/>
  <c r="GU34" i="45"/>
  <c r="GU28" i="45"/>
  <c r="GU39" i="45"/>
  <c r="GU40" i="45"/>
  <c r="GU44" i="45"/>
  <c r="GU6" i="45"/>
  <c r="GU37" i="45"/>
  <c r="GU35" i="45"/>
  <c r="GU43" i="45"/>
  <c r="GU27" i="45"/>
  <c r="GU23" i="45"/>
  <c r="GU36" i="45"/>
  <c r="GU33" i="45"/>
  <c r="GU38" i="45"/>
  <c r="GU25" i="45"/>
  <c r="GU20" i="45"/>
  <c r="GU32" i="45"/>
  <c r="GU29" i="45"/>
  <c r="GU22" i="45"/>
  <c r="GU41" i="45"/>
  <c r="GU31" i="45"/>
  <c r="GU46" i="45"/>
  <c r="GU30" i="45"/>
  <c r="GU45" i="45"/>
  <c r="GU26" i="45"/>
  <c r="GU42" i="45"/>
  <c r="GQ27" i="38"/>
  <c r="GR18" i="38"/>
  <c r="GQ24" i="38"/>
  <c r="GQ26" i="38"/>
  <c r="GQ22" i="38"/>
  <c r="GQ23" i="38"/>
  <c r="GQ25" i="38"/>
  <c r="GQ21" i="38"/>
  <c r="GQ20" i="38"/>
  <c r="GQ6" i="38"/>
  <c r="GQ28" i="38"/>
  <c r="GQ30" i="38"/>
  <c r="GQ31" i="38"/>
  <c r="GQ35" i="38"/>
  <c r="GQ37" i="38"/>
  <c r="GQ43" i="38"/>
  <c r="GQ34" i="38"/>
  <c r="GQ39" i="38"/>
  <c r="GQ40" i="38"/>
  <c r="GQ33" i="38"/>
  <c r="GQ41" i="38"/>
  <c r="GQ42" i="38"/>
  <c r="GQ29" i="38"/>
  <c r="GQ32" i="38"/>
  <c r="GQ36" i="38"/>
  <c r="GQ38" i="38"/>
  <c r="CX48" i="38" l="1"/>
  <c r="DC48" i="38" s="1"/>
  <c r="CZ48" i="38"/>
  <c r="DE48" i="38" s="1"/>
  <c r="CY48" i="38"/>
  <c r="DD48" i="38" s="1"/>
  <c r="DA48" i="38"/>
  <c r="O48" i="38"/>
  <c r="I48" i="38"/>
  <c r="J48" i="38" s="1"/>
  <c r="AG66" i="4"/>
  <c r="AI65" i="4"/>
  <c r="AX65" i="46" s="1"/>
  <c r="AZ64" i="46"/>
  <c r="BA64" i="46" s="1"/>
  <c r="BB64" i="46" s="1"/>
  <c r="G64" i="46" s="1"/>
  <c r="AH66" i="4"/>
  <c r="AJ65" i="4"/>
  <c r="AY65" i="46" s="1"/>
  <c r="O48" i="45"/>
  <c r="I48" i="45"/>
  <c r="O48" i="46"/>
  <c r="I48" i="46"/>
  <c r="J48" i="46" s="1"/>
  <c r="R47" i="46"/>
  <c r="R46" i="45"/>
  <c r="T36" i="38"/>
  <c r="U36" i="41"/>
  <c r="BU35" i="38"/>
  <c r="BV35" i="38" s="1"/>
  <c r="W35" i="38"/>
  <c r="T34" i="45"/>
  <c r="V34" i="41"/>
  <c r="W34" i="41"/>
  <c r="T34" i="46"/>
  <c r="W34" i="46" s="1"/>
  <c r="AZ46" i="45"/>
  <c r="BA46" i="45" s="1"/>
  <c r="BB46" i="45" s="1"/>
  <c r="G46" i="45" s="1"/>
  <c r="P46" i="45" s="1"/>
  <c r="Q46" i="45" s="1"/>
  <c r="S47" i="38"/>
  <c r="AI47" i="38"/>
  <c r="C47" i="41"/>
  <c r="AX47" i="38"/>
  <c r="AY47" i="38"/>
  <c r="A49" i="7"/>
  <c r="A49" i="6"/>
  <c r="A49" i="4"/>
  <c r="A50" i="55"/>
  <c r="A49" i="41"/>
  <c r="A49" i="45"/>
  <c r="A49" i="38"/>
  <c r="CV49" i="38" s="1"/>
  <c r="A49" i="46"/>
  <c r="D47" i="41"/>
  <c r="S47" i="45"/>
  <c r="K45" i="41"/>
  <c r="Z46" i="41"/>
  <c r="AD46" i="41" s="1"/>
  <c r="G45" i="41"/>
  <c r="FH47" i="38"/>
  <c r="FG47" i="38"/>
  <c r="FI47" i="38"/>
  <c r="S47" i="46"/>
  <c r="P47" i="46"/>
  <c r="Q47" i="46" s="1"/>
  <c r="E47" i="41"/>
  <c r="AI47" i="46"/>
  <c r="L45" i="41"/>
  <c r="H45" i="41"/>
  <c r="BQ48" i="38"/>
  <c r="EY48" i="38"/>
  <c r="EL48" i="38"/>
  <c r="CF48" i="41" s="1"/>
  <c r="K48" i="38"/>
  <c r="EM48" i="38"/>
  <c r="CE48" i="41" s="1"/>
  <c r="FD48" i="38"/>
  <c r="FN48" i="38"/>
  <c r="CW48" i="41" s="1"/>
  <c r="L48" i="38"/>
  <c r="M48" i="38"/>
  <c r="EN48" i="38"/>
  <c r="AZ46" i="38"/>
  <c r="BA46" i="38" s="1"/>
  <c r="BB46" i="38" s="1"/>
  <c r="G46" i="38" s="1"/>
  <c r="P46" i="38" s="1"/>
  <c r="Q46" i="38" s="1"/>
  <c r="R47" i="38" s="1"/>
  <c r="J47" i="38"/>
  <c r="CI47" i="38" s="1"/>
  <c r="BQ47" i="41" s="1"/>
  <c r="BS47" i="38"/>
  <c r="AY47" i="45"/>
  <c r="AX47" i="45"/>
  <c r="CI46" i="38"/>
  <c r="BQ46" i="41" s="1"/>
  <c r="CO46" i="38"/>
  <c r="BV46" i="41" s="1"/>
  <c r="M48" i="46"/>
  <c r="K48" i="46"/>
  <c r="FK48" i="46"/>
  <c r="L48" i="46"/>
  <c r="GS47" i="45"/>
  <c r="GT47" i="45"/>
  <c r="GR47" i="45"/>
  <c r="AB46" i="41"/>
  <c r="AF46" i="41" s="1"/>
  <c r="M45" i="41"/>
  <c r="I45" i="41"/>
  <c r="L48" i="45"/>
  <c r="FK48" i="45"/>
  <c r="M48" i="45"/>
  <c r="K48" i="45"/>
  <c r="GR24" i="38"/>
  <c r="GR25" i="38"/>
  <c r="GR27" i="38"/>
  <c r="GR23" i="38"/>
  <c r="GR26" i="38"/>
  <c r="GR29" i="38"/>
  <c r="GR28" i="38"/>
  <c r="GS18" i="38"/>
  <c r="GR20" i="38"/>
  <c r="GR21" i="38"/>
  <c r="GR22" i="38"/>
  <c r="GR6" i="38"/>
  <c r="GR32" i="38"/>
  <c r="GR33" i="38"/>
  <c r="GR34" i="38"/>
  <c r="GR36" i="38"/>
  <c r="GR40" i="38"/>
  <c r="GR41" i="38"/>
  <c r="GR42" i="38"/>
  <c r="GR44" i="38"/>
  <c r="GR35" i="38"/>
  <c r="GR37" i="38"/>
  <c r="GR38" i="38"/>
  <c r="GR43" i="38"/>
  <c r="GR39" i="38"/>
  <c r="GR30" i="38"/>
  <c r="GR31" i="38"/>
  <c r="GQ33" i="46"/>
  <c r="GQ27" i="46"/>
  <c r="GQ30" i="46"/>
  <c r="GQ26" i="46"/>
  <c r="GQ31" i="46"/>
  <c r="GQ43" i="46"/>
  <c r="GQ44" i="46"/>
  <c r="GQ45" i="46"/>
  <c r="GQ22" i="46"/>
  <c r="GQ23" i="46"/>
  <c r="GQ21" i="46"/>
  <c r="GQ36" i="46"/>
  <c r="GQ40" i="46"/>
  <c r="GQ28" i="46"/>
  <c r="GQ25" i="46"/>
  <c r="GQ32" i="46"/>
  <c r="GQ34" i="46"/>
  <c r="GQ38" i="46"/>
  <c r="GQ39" i="46"/>
  <c r="GQ24" i="46"/>
  <c r="GR18" i="46"/>
  <c r="GQ37" i="46"/>
  <c r="GQ42" i="46"/>
  <c r="GQ29" i="46"/>
  <c r="GQ41" i="46"/>
  <c r="GQ20" i="46"/>
  <c r="GQ35" i="46"/>
  <c r="GQ46" i="46"/>
  <c r="GQ6" i="46"/>
  <c r="GV25" i="45"/>
  <c r="GV21" i="45"/>
  <c r="GV36" i="45"/>
  <c r="GV31" i="45"/>
  <c r="GV30" i="45"/>
  <c r="GV43" i="45"/>
  <c r="GV22" i="45"/>
  <c r="GV35" i="45"/>
  <c r="GV38" i="45"/>
  <c r="GV27" i="45"/>
  <c r="GV26" i="45"/>
  <c r="GV20" i="45"/>
  <c r="GV34" i="45"/>
  <c r="GV33" i="45"/>
  <c r="GV44" i="45"/>
  <c r="GV23" i="45"/>
  <c r="GV37" i="45"/>
  <c r="GV6" i="45"/>
  <c r="GV28" i="45"/>
  <c r="GV39" i="45"/>
  <c r="GV41" i="45"/>
  <c r="GV42" i="45"/>
  <c r="GV45" i="45"/>
  <c r="GV46" i="45"/>
  <c r="GV32" i="45"/>
  <c r="GV29" i="45"/>
  <c r="GV24" i="45"/>
  <c r="GV40" i="45"/>
  <c r="GV47" i="45"/>
  <c r="GW18" i="45"/>
  <c r="CX49" i="38" l="1"/>
  <c r="DC49" i="38" s="1"/>
  <c r="CY49" i="38"/>
  <c r="DD49" i="38" s="1"/>
  <c r="DA49" i="38"/>
  <c r="CZ49" i="38"/>
  <c r="DE49" i="38" s="1"/>
  <c r="O49" i="38"/>
  <c r="I49" i="38"/>
  <c r="AZ65" i="46"/>
  <c r="BA65" i="46" s="1"/>
  <c r="BB65" i="46" s="1"/>
  <c r="G65" i="46" s="1"/>
  <c r="AH67" i="4"/>
  <c r="AJ66" i="4"/>
  <c r="AY66" i="46" s="1"/>
  <c r="AG67" i="4"/>
  <c r="AI66" i="4"/>
  <c r="AX66" i="46" s="1"/>
  <c r="O49" i="46"/>
  <c r="I49" i="46"/>
  <c r="J49" i="46" s="1"/>
  <c r="O49" i="45"/>
  <c r="I49" i="45"/>
  <c r="R48" i="46"/>
  <c r="R47" i="45"/>
  <c r="U37" i="41"/>
  <c r="T37" i="38"/>
  <c r="BU36" i="38"/>
  <c r="W36" i="38"/>
  <c r="T35" i="46"/>
  <c r="W35" i="46" s="1"/>
  <c r="W35" i="41"/>
  <c r="T35" i="45"/>
  <c r="V35" i="41"/>
  <c r="BS48" i="38"/>
  <c r="CO47" i="38"/>
  <c r="BV47" i="41" s="1"/>
  <c r="S48" i="38"/>
  <c r="C48" i="41"/>
  <c r="AI48" i="38"/>
  <c r="CO48" i="38"/>
  <c r="BV48" i="41" s="1"/>
  <c r="CI48" i="38"/>
  <c r="BQ48" i="41" s="1"/>
  <c r="L49" i="45"/>
  <c r="FK49" i="45"/>
  <c r="GW49" i="45" s="1"/>
  <c r="M49" i="45"/>
  <c r="K49" i="45"/>
  <c r="AZ47" i="38"/>
  <c r="BA47" i="38" s="1"/>
  <c r="BB47" i="38" s="1"/>
  <c r="G47" i="38" s="1"/>
  <c r="P47" i="38" s="1"/>
  <c r="Q47" i="38" s="1"/>
  <c r="R48" i="38" s="1"/>
  <c r="Z47" i="41"/>
  <c r="AD47" i="41" s="1"/>
  <c r="K46" i="41"/>
  <c r="G46" i="41"/>
  <c r="GS48" i="45"/>
  <c r="GT48" i="45"/>
  <c r="GU48" i="45"/>
  <c r="FH48" i="38"/>
  <c r="FI48" i="38"/>
  <c r="FG48" i="38"/>
  <c r="AB47" i="41"/>
  <c r="AF47" i="41" s="1"/>
  <c r="M46" i="41"/>
  <c r="I46" i="41"/>
  <c r="H46" i="41"/>
  <c r="L46" i="41"/>
  <c r="BQ49" i="38"/>
  <c r="K49" i="38"/>
  <c r="M49" i="38"/>
  <c r="EY49" i="38"/>
  <c r="EN49" i="38"/>
  <c r="FD49" i="38"/>
  <c r="J49" i="38"/>
  <c r="L49" i="38"/>
  <c r="EM49" i="38"/>
  <c r="CE49" i="41" s="1"/>
  <c r="FN49" i="38"/>
  <c r="CW49" i="41" s="1"/>
  <c r="EL49" i="38"/>
  <c r="CF49" i="41" s="1"/>
  <c r="S48" i="45"/>
  <c r="D48" i="41"/>
  <c r="AZ47" i="45"/>
  <c r="BA47" i="45" s="1"/>
  <c r="BB47" i="45" s="1"/>
  <c r="G47" i="45" s="1"/>
  <c r="P47" i="45" s="1"/>
  <c r="Q47" i="45" s="1"/>
  <c r="AY48" i="45"/>
  <c r="AX48" i="45"/>
  <c r="GV48" i="45"/>
  <c r="AI48" i="46"/>
  <c r="P48" i="46"/>
  <c r="Q48" i="46" s="1"/>
  <c r="E48" i="41"/>
  <c r="S48" i="46"/>
  <c r="AX48" i="38"/>
  <c r="AY48" i="38"/>
  <c r="FK49" i="46"/>
  <c r="L49" i="46"/>
  <c r="K49" i="46"/>
  <c r="M49" i="46"/>
  <c r="A50" i="41"/>
  <c r="A50" i="46"/>
  <c r="A50" i="6"/>
  <c r="A51" i="55"/>
  <c r="A50" i="38"/>
  <c r="CV50" i="38" s="1"/>
  <c r="A50" i="7"/>
  <c r="A50" i="4"/>
  <c r="A50" i="45"/>
  <c r="GR28" i="46"/>
  <c r="GR24" i="46"/>
  <c r="GR20" i="46"/>
  <c r="GR32" i="46"/>
  <c r="GR35" i="46"/>
  <c r="GR36" i="46"/>
  <c r="GR40" i="46"/>
  <c r="GR42" i="46"/>
  <c r="GR33" i="46"/>
  <c r="GR27" i="46"/>
  <c r="GR22" i="46"/>
  <c r="GR34" i="46"/>
  <c r="GR37" i="46"/>
  <c r="GR31" i="46"/>
  <c r="GR26" i="46"/>
  <c r="GR21" i="46"/>
  <c r="GR45" i="46"/>
  <c r="GR47" i="46"/>
  <c r="GR29" i="46"/>
  <c r="GR23" i="46"/>
  <c r="GS18" i="46"/>
  <c r="GR41" i="46"/>
  <c r="GR43" i="46"/>
  <c r="GR44" i="46"/>
  <c r="GR46" i="46"/>
  <c r="GR38" i="46"/>
  <c r="GR30" i="46"/>
  <c r="GR25" i="46"/>
  <c r="GR39" i="46"/>
  <c r="GR6" i="46"/>
  <c r="GW39" i="45"/>
  <c r="GW30" i="45"/>
  <c r="GW20" i="45"/>
  <c r="GW37" i="45"/>
  <c r="GW31" i="45"/>
  <c r="GW27" i="45"/>
  <c r="GW41" i="45"/>
  <c r="GW45" i="45"/>
  <c r="GW25" i="45"/>
  <c r="GW38" i="45"/>
  <c r="GW6" i="45"/>
  <c r="GW22" i="45"/>
  <c r="GW42" i="45"/>
  <c r="GW46" i="45"/>
  <c r="GW48" i="45"/>
  <c r="GW24" i="45"/>
  <c r="GW21" i="45"/>
  <c r="GW36" i="45"/>
  <c r="GW29" i="45"/>
  <c r="GW43" i="45"/>
  <c r="GW35" i="45"/>
  <c r="GW26" i="45"/>
  <c r="GW32" i="45"/>
  <c r="GW33" i="45"/>
  <c r="GW40" i="45"/>
  <c r="GW47" i="45"/>
  <c r="GX18" i="45"/>
  <c r="GW44" i="45"/>
  <c r="GW34" i="45"/>
  <c r="GW28" i="45"/>
  <c r="GW23" i="45"/>
  <c r="GS6" i="38"/>
  <c r="GS20" i="38"/>
  <c r="GS21" i="38"/>
  <c r="GS23" i="38"/>
  <c r="GT18" i="38"/>
  <c r="GS25" i="38"/>
  <c r="GS28" i="38"/>
  <c r="GS29" i="38"/>
  <c r="GS39" i="38"/>
  <c r="GS41" i="38"/>
  <c r="GS27" i="38"/>
  <c r="GS31" i="38"/>
  <c r="GS32" i="38"/>
  <c r="GS36" i="38"/>
  <c r="GS38" i="38"/>
  <c r="GS45" i="38"/>
  <c r="GS26" i="38"/>
  <c r="GS30" i="38"/>
  <c r="GS33" i="38"/>
  <c r="GS35" i="38"/>
  <c r="GS37" i="38"/>
  <c r="GS42" i="38"/>
  <c r="GS43" i="38"/>
  <c r="GS22" i="38"/>
  <c r="GS34" i="38"/>
  <c r="GS40" i="38"/>
  <c r="GS24" i="38"/>
  <c r="GS44" i="38"/>
  <c r="CZ50" i="38" l="1"/>
  <c r="DE50" i="38" s="1"/>
  <c r="DA50" i="38"/>
  <c r="O50" i="38"/>
  <c r="I50" i="38"/>
  <c r="J50" i="38" s="1"/>
  <c r="AG68" i="4"/>
  <c r="AI67" i="4"/>
  <c r="AX67" i="46" s="1"/>
  <c r="AZ66" i="46"/>
  <c r="BA66" i="46" s="1"/>
  <c r="BB66" i="46" s="1"/>
  <c r="G66" i="46" s="1"/>
  <c r="AH68" i="4"/>
  <c r="AJ67" i="4"/>
  <c r="AY67" i="46" s="1"/>
  <c r="O50" i="45"/>
  <c r="I50" i="45"/>
  <c r="O50" i="46"/>
  <c r="I50" i="46"/>
  <c r="J50" i="46" s="1"/>
  <c r="R49" i="46"/>
  <c r="R48" i="45"/>
  <c r="BV36" i="38"/>
  <c r="BU37" i="38"/>
  <c r="BV37" i="38" s="1"/>
  <c r="W37" i="38"/>
  <c r="T38" i="38"/>
  <c r="U38" i="41"/>
  <c r="W36" i="41"/>
  <c r="T36" i="46"/>
  <c r="W36" i="46" s="1"/>
  <c r="T36" i="45"/>
  <c r="V36" i="41"/>
  <c r="CO49" i="38"/>
  <c r="BV49" i="41" s="1"/>
  <c r="BS49" i="38"/>
  <c r="CI49" i="38"/>
  <c r="BQ49" i="41" s="1"/>
  <c r="AZ48" i="38"/>
  <c r="BA48" i="38" s="1"/>
  <c r="BB48" i="38" s="1"/>
  <c r="G48" i="38" s="1"/>
  <c r="P48" i="38" s="1"/>
  <c r="Q48" i="38" s="1"/>
  <c r="R49" i="38" s="1"/>
  <c r="K50" i="45"/>
  <c r="FK50" i="45"/>
  <c r="GX50" i="45" s="1"/>
  <c r="L50" i="45"/>
  <c r="M50" i="45"/>
  <c r="S49" i="46"/>
  <c r="AI49" i="46"/>
  <c r="E49" i="41"/>
  <c r="P49" i="46"/>
  <c r="Q49" i="46" s="1"/>
  <c r="FH49" i="38"/>
  <c r="FG49" i="38"/>
  <c r="FI49" i="38"/>
  <c r="D49" i="41"/>
  <c r="S49" i="45"/>
  <c r="H47" i="41"/>
  <c r="L47" i="41"/>
  <c r="FK50" i="46"/>
  <c r="M50" i="46"/>
  <c r="K50" i="46"/>
  <c r="L50" i="46"/>
  <c r="AX49" i="38"/>
  <c r="AY49" i="38"/>
  <c r="AI49" i="38"/>
  <c r="C49" i="41"/>
  <c r="S49" i="38"/>
  <c r="G47" i="41"/>
  <c r="K47" i="41"/>
  <c r="Z48" i="41"/>
  <c r="AD48" i="41" s="1"/>
  <c r="A51" i="7"/>
  <c r="A51" i="38"/>
  <c r="CV51" i="38" s="1"/>
  <c r="A51" i="46"/>
  <c r="A51" i="4"/>
  <c r="A52" i="55"/>
  <c r="A51" i="45"/>
  <c r="A51" i="41"/>
  <c r="A51" i="6"/>
  <c r="L50" i="38"/>
  <c r="FD50" i="38"/>
  <c r="BQ50" i="38"/>
  <c r="EY50" i="38"/>
  <c r="M50" i="38"/>
  <c r="FN50" i="38"/>
  <c r="CW50" i="41" s="1"/>
  <c r="K50" i="38"/>
  <c r="AB48" i="41"/>
  <c r="AF48" i="41" s="1"/>
  <c r="I47" i="41"/>
  <c r="M47" i="41"/>
  <c r="AZ48" i="45"/>
  <c r="BA48" i="45" s="1"/>
  <c r="BB48" i="45" s="1"/>
  <c r="G48" i="45" s="1"/>
  <c r="P48" i="45" s="1"/>
  <c r="Q48" i="45" s="1"/>
  <c r="AY49" i="45"/>
  <c r="AX49" i="45"/>
  <c r="GU49" i="45"/>
  <c r="GT49" i="45"/>
  <c r="GV49" i="45"/>
  <c r="GU18" i="38"/>
  <c r="GT31" i="38"/>
  <c r="GT6" i="38"/>
  <c r="GT28" i="38"/>
  <c r="GT35" i="38"/>
  <c r="GT37" i="38"/>
  <c r="GT43" i="38"/>
  <c r="GT44" i="38"/>
  <c r="GT45" i="38"/>
  <c r="GT20" i="38"/>
  <c r="GT23" i="38"/>
  <c r="GT34" i="38"/>
  <c r="GT39" i="38"/>
  <c r="GT40" i="38"/>
  <c r="GT22" i="38"/>
  <c r="GT30" i="38"/>
  <c r="GT32" i="38"/>
  <c r="GT36" i="38"/>
  <c r="GT38" i="38"/>
  <c r="GT21" i="38"/>
  <c r="GT29" i="38"/>
  <c r="GT24" i="38"/>
  <c r="GT46" i="38"/>
  <c r="GT26" i="38"/>
  <c r="GT27" i="38"/>
  <c r="GT33" i="38"/>
  <c r="GT41" i="38"/>
  <c r="GT42" i="38"/>
  <c r="GT25" i="38"/>
  <c r="GX31" i="45"/>
  <c r="GX27" i="45"/>
  <c r="GX40" i="45"/>
  <c r="GX24" i="45"/>
  <c r="GX36" i="45"/>
  <c r="GY18" i="45"/>
  <c r="GX42" i="45"/>
  <c r="GX46" i="45"/>
  <c r="GX28" i="45"/>
  <c r="GX35" i="45"/>
  <c r="GX26" i="45"/>
  <c r="GX20" i="45"/>
  <c r="GX41" i="45"/>
  <c r="GX45" i="45"/>
  <c r="GX47" i="45"/>
  <c r="GX49" i="45"/>
  <c r="GX32" i="45"/>
  <c r="GX30" i="45"/>
  <c r="GX38" i="45"/>
  <c r="GX21" i="45"/>
  <c r="GX22" i="45"/>
  <c r="GX48" i="45"/>
  <c r="GX39" i="45"/>
  <c r="GX6" i="45"/>
  <c r="GX23" i="45"/>
  <c r="GX33" i="45"/>
  <c r="GX44" i="45"/>
  <c r="GX29" i="45"/>
  <c r="GX25" i="45"/>
  <c r="GX37" i="45"/>
  <c r="GX34" i="45"/>
  <c r="GX43" i="45"/>
  <c r="GS22" i="46"/>
  <c r="GT18" i="46"/>
  <c r="GS31" i="46"/>
  <c r="GS27" i="46"/>
  <c r="GS38" i="46"/>
  <c r="GS23" i="46"/>
  <c r="GS34" i="46"/>
  <c r="GS25" i="46"/>
  <c r="GS41" i="46"/>
  <c r="GS42" i="46"/>
  <c r="GS43" i="46"/>
  <c r="GS44" i="46"/>
  <c r="GS46" i="46"/>
  <c r="GS33" i="46"/>
  <c r="GS29" i="46"/>
  <c r="GS24" i="46"/>
  <c r="GS36" i="46"/>
  <c r="GS37" i="46"/>
  <c r="GS40" i="46"/>
  <c r="GS20" i="46"/>
  <c r="GS6" i="46"/>
  <c r="GS30" i="46"/>
  <c r="GS21" i="46"/>
  <c r="GS39" i="46"/>
  <c r="GS48" i="46"/>
  <c r="GS32" i="46"/>
  <c r="GS47" i="46"/>
  <c r="GS28" i="46"/>
  <c r="GS35" i="46"/>
  <c r="GS45" i="46"/>
  <c r="GS26" i="46"/>
  <c r="CW51" i="38" l="1"/>
  <c r="DB51" i="38" s="1"/>
  <c r="CZ51" i="38"/>
  <c r="DE51" i="38" s="1"/>
  <c r="DA51" i="38"/>
  <c r="CI50" i="38"/>
  <c r="BQ50" i="41" s="1"/>
  <c r="O51" i="38"/>
  <c r="I51" i="38"/>
  <c r="AZ67" i="46"/>
  <c r="BA67" i="46" s="1"/>
  <c r="BB67" i="46" s="1"/>
  <c r="G67" i="46" s="1"/>
  <c r="AH69" i="4"/>
  <c r="AJ68" i="4"/>
  <c r="AY68" i="46" s="1"/>
  <c r="AG69" i="4"/>
  <c r="AI68" i="4"/>
  <c r="AX68" i="46" s="1"/>
  <c r="O51" i="46"/>
  <c r="I51" i="46"/>
  <c r="I52" i="46" s="1"/>
  <c r="O51" i="45"/>
  <c r="I51" i="45"/>
  <c r="I52" i="45" s="1"/>
  <c r="R50" i="46"/>
  <c r="R49" i="45"/>
  <c r="U39" i="41"/>
  <c r="T39" i="38"/>
  <c r="W38" i="38"/>
  <c r="BU38" i="38"/>
  <c r="BV38" i="38" s="1"/>
  <c r="T37" i="45"/>
  <c r="V37" i="41"/>
  <c r="T37" i="46"/>
  <c r="W37" i="46" s="1"/>
  <c r="W37" i="41"/>
  <c r="BS50" i="38"/>
  <c r="G48" i="41"/>
  <c r="K48" i="41"/>
  <c r="Z49" i="41"/>
  <c r="AD49" i="41" s="1"/>
  <c r="P50" i="46"/>
  <c r="Q50" i="46" s="1"/>
  <c r="E50" i="41"/>
  <c r="S50" i="46"/>
  <c r="AI50" i="46"/>
  <c r="L51" i="46"/>
  <c r="FK51" i="46"/>
  <c r="K51" i="46"/>
  <c r="M51" i="46"/>
  <c r="GU50" i="45"/>
  <c r="GV50" i="45"/>
  <c r="GW50" i="45"/>
  <c r="AZ49" i="38"/>
  <c r="BA49" i="38" s="1"/>
  <c r="BB49" i="38" s="1"/>
  <c r="G49" i="38" s="1"/>
  <c r="P49" i="38" s="1"/>
  <c r="Q49" i="38" s="1"/>
  <c r="R50" i="38" s="1"/>
  <c r="L48" i="41"/>
  <c r="H48" i="41"/>
  <c r="AX50" i="45"/>
  <c r="AY50" i="45"/>
  <c r="AZ49" i="45"/>
  <c r="BA49" i="45" s="1"/>
  <c r="BB49" i="45" s="1"/>
  <c r="G49" i="45" s="1"/>
  <c r="P49" i="45" s="1"/>
  <c r="Q49" i="45" s="1"/>
  <c r="FI50" i="38"/>
  <c r="FG50" i="38"/>
  <c r="FH50" i="38"/>
  <c r="K51" i="45"/>
  <c r="L51" i="45"/>
  <c r="M51" i="45"/>
  <c r="FK51" i="45"/>
  <c r="GY51" i="45" s="1"/>
  <c r="K51" i="38"/>
  <c r="M51" i="38"/>
  <c r="BQ51" i="38"/>
  <c r="EY51" i="38"/>
  <c r="L51" i="38"/>
  <c r="FD51" i="38"/>
  <c r="FN51" i="38"/>
  <c r="CW51" i="41" s="1"/>
  <c r="CO50" i="38"/>
  <c r="BV50" i="41" s="1"/>
  <c r="S50" i="38"/>
  <c r="AI50" i="38"/>
  <c r="C50" i="41"/>
  <c r="A52" i="46"/>
  <c r="O52" i="46" s="1"/>
  <c r="A52" i="41"/>
  <c r="A52" i="38"/>
  <c r="CV52" i="38" s="1"/>
  <c r="A52" i="4"/>
  <c r="A52" i="45"/>
  <c r="O52" i="45" s="1"/>
  <c r="A53" i="55"/>
  <c r="A52" i="6"/>
  <c r="A52" i="7"/>
  <c r="I48" i="41"/>
  <c r="M48" i="41"/>
  <c r="AB49" i="41"/>
  <c r="AF49" i="41" s="1"/>
  <c r="AY50" i="38"/>
  <c r="AX50" i="38"/>
  <c r="D50" i="41"/>
  <c r="S50" i="45"/>
  <c r="GU32" i="38"/>
  <c r="GU28" i="38"/>
  <c r="GU24" i="38"/>
  <c r="GU23" i="38"/>
  <c r="GU33" i="38"/>
  <c r="GU34" i="38"/>
  <c r="GU36" i="38"/>
  <c r="GU40" i="38"/>
  <c r="GU29" i="38"/>
  <c r="GU27" i="38"/>
  <c r="GV18" i="38"/>
  <c r="GU46" i="38"/>
  <c r="GU6" i="38"/>
  <c r="GU22" i="38"/>
  <c r="GU20" i="38"/>
  <c r="GU39" i="38"/>
  <c r="GU45" i="38"/>
  <c r="GU30" i="38"/>
  <c r="GU25" i="38"/>
  <c r="GU31" i="38"/>
  <c r="GU41" i="38"/>
  <c r="GU42" i="38"/>
  <c r="GU44" i="38"/>
  <c r="GU37" i="38"/>
  <c r="GU26" i="38"/>
  <c r="GU21" i="38"/>
  <c r="GU47" i="38"/>
  <c r="GU35" i="38"/>
  <c r="GU38" i="38"/>
  <c r="GU43" i="38"/>
  <c r="GY40" i="45"/>
  <c r="GY20" i="45"/>
  <c r="GY36" i="45"/>
  <c r="GY34" i="45"/>
  <c r="GY28" i="45"/>
  <c r="GY24" i="45"/>
  <c r="GY44" i="45"/>
  <c r="GY47" i="45"/>
  <c r="GY49" i="45"/>
  <c r="GY50" i="45"/>
  <c r="GY26" i="45"/>
  <c r="GY37" i="45"/>
  <c r="GY33" i="45"/>
  <c r="GY30" i="45"/>
  <c r="GY6" i="45"/>
  <c r="GY21" i="45"/>
  <c r="GZ18" i="45"/>
  <c r="GY31" i="45"/>
  <c r="GY25" i="45"/>
  <c r="GY42" i="45"/>
  <c r="GY45" i="45"/>
  <c r="GY46" i="45"/>
  <c r="GY23" i="45"/>
  <c r="GY38" i="45"/>
  <c r="GY32" i="45"/>
  <c r="GY27" i="45"/>
  <c r="GY41" i="45"/>
  <c r="GY43" i="45"/>
  <c r="GY22" i="45"/>
  <c r="GY29" i="45"/>
  <c r="GY48" i="45"/>
  <c r="GY39" i="45"/>
  <c r="GY35" i="45"/>
  <c r="GT26" i="46"/>
  <c r="GT22" i="46"/>
  <c r="GU18" i="46"/>
  <c r="GT6" i="46"/>
  <c r="GT28" i="46"/>
  <c r="GT37" i="46"/>
  <c r="GT39" i="46"/>
  <c r="GT41" i="46"/>
  <c r="GT46" i="46"/>
  <c r="GT49" i="46"/>
  <c r="GT24" i="46"/>
  <c r="GT35" i="46"/>
  <c r="GT31" i="46"/>
  <c r="GT48" i="46"/>
  <c r="GT23" i="46"/>
  <c r="GT34" i="46"/>
  <c r="GT30" i="46"/>
  <c r="GT42" i="46"/>
  <c r="GT43" i="46"/>
  <c r="GT44" i="46"/>
  <c r="GT25" i="46"/>
  <c r="GT20" i="46"/>
  <c r="GT32" i="46"/>
  <c r="GT38" i="46"/>
  <c r="GT45" i="46"/>
  <c r="GT47" i="46"/>
  <c r="GT27" i="46"/>
  <c r="GT36" i="46"/>
  <c r="GT21" i="46"/>
  <c r="GT40" i="46"/>
  <c r="GT33" i="46"/>
  <c r="GT29" i="46"/>
  <c r="CZ52" i="38" l="1"/>
  <c r="DE52" i="38" s="1"/>
  <c r="CW52" i="38"/>
  <c r="DB52" i="38" s="1"/>
  <c r="DA52" i="38"/>
  <c r="O52" i="38"/>
  <c r="I52" i="38"/>
  <c r="AG70" i="4"/>
  <c r="AI69" i="4"/>
  <c r="AX69" i="46" s="1"/>
  <c r="AZ69" i="46" s="1"/>
  <c r="BA69" i="46" s="1"/>
  <c r="BB69" i="46" s="1"/>
  <c r="G69" i="46" s="1"/>
  <c r="AZ68" i="46"/>
  <c r="BA68" i="46" s="1"/>
  <c r="BB68" i="46" s="1"/>
  <c r="G68" i="46" s="1"/>
  <c r="AH70" i="4"/>
  <c r="AJ69" i="4"/>
  <c r="AY69" i="46" s="1"/>
  <c r="J51" i="46"/>
  <c r="R51" i="46"/>
  <c r="R50" i="45"/>
  <c r="W39" i="38"/>
  <c r="BU39" i="38"/>
  <c r="BV39" i="38" s="1"/>
  <c r="T40" i="38"/>
  <c r="U40" i="41"/>
  <c r="T38" i="45"/>
  <c r="V38" i="41"/>
  <c r="T38" i="46"/>
  <c r="W38" i="46" s="1"/>
  <c r="W38" i="41"/>
  <c r="AZ50" i="38"/>
  <c r="BA50" i="38" s="1"/>
  <c r="BB50" i="38" s="1"/>
  <c r="G50" i="38" s="1"/>
  <c r="P50" i="38" s="1"/>
  <c r="Q50" i="38" s="1"/>
  <c r="R51" i="38" s="1"/>
  <c r="AZ50" i="45"/>
  <c r="BA50" i="45" s="1"/>
  <c r="BB50" i="45" s="1"/>
  <c r="G50" i="45" s="1"/>
  <c r="P50" i="45" s="1"/>
  <c r="Q50" i="45" s="1"/>
  <c r="AI51" i="38"/>
  <c r="S51" i="38"/>
  <c r="P51" i="38"/>
  <c r="Q51" i="38" s="1"/>
  <c r="C51" i="41"/>
  <c r="J51" i="38"/>
  <c r="CI51" i="38" s="1"/>
  <c r="BQ51" i="41" s="1"/>
  <c r="BS51" i="38"/>
  <c r="A53" i="46"/>
  <c r="O53" i="46" s="1"/>
  <c r="A53" i="4"/>
  <c r="A53" i="38"/>
  <c r="CV53" i="38" s="1"/>
  <c r="A53" i="6"/>
  <c r="A53" i="45"/>
  <c r="O53" i="45" s="1"/>
  <c r="A54" i="55"/>
  <c r="A53" i="7"/>
  <c r="A53" i="41"/>
  <c r="D51" i="41"/>
  <c r="P51" i="45"/>
  <c r="Q51" i="45" s="1"/>
  <c r="S51" i="45"/>
  <c r="FN52" i="38"/>
  <c r="CW52" i="41" s="1"/>
  <c r="BQ52" i="38"/>
  <c r="K52" i="38"/>
  <c r="M52" i="38"/>
  <c r="EY52" i="38"/>
  <c r="L52" i="38"/>
  <c r="FD52" i="38"/>
  <c r="K52" i="45"/>
  <c r="FK52" i="45"/>
  <c r="GZ52" i="45" s="1"/>
  <c r="L52" i="45"/>
  <c r="M52" i="45"/>
  <c r="K52" i="46"/>
  <c r="L52" i="46"/>
  <c r="J52" i="46"/>
  <c r="FK52" i="46"/>
  <c r="M52" i="46"/>
  <c r="AI51" i="46"/>
  <c r="E51" i="41"/>
  <c r="P51" i="46"/>
  <c r="Q51" i="46" s="1"/>
  <c r="S51" i="46"/>
  <c r="AB50" i="41"/>
  <c r="AF50" i="41" s="1"/>
  <c r="I49" i="41"/>
  <c r="M49" i="41"/>
  <c r="H49" i="41"/>
  <c r="L49" i="41"/>
  <c r="Z50" i="41"/>
  <c r="AD50" i="41" s="1"/>
  <c r="K49" i="41"/>
  <c r="G49" i="41"/>
  <c r="FH51" i="38"/>
  <c r="FG51" i="38"/>
  <c r="FI51" i="38"/>
  <c r="GW51" i="45"/>
  <c r="GV51" i="45"/>
  <c r="GX51" i="45"/>
  <c r="GU25" i="46"/>
  <c r="GU21" i="46"/>
  <c r="GU34" i="46"/>
  <c r="GU35" i="46"/>
  <c r="GU28" i="46"/>
  <c r="GU43" i="46"/>
  <c r="GU44" i="46"/>
  <c r="GU45" i="46"/>
  <c r="GU47" i="46"/>
  <c r="GU48" i="46"/>
  <c r="GU26" i="46"/>
  <c r="GU36" i="46"/>
  <c r="GU32" i="46"/>
  <c r="GU29" i="46"/>
  <c r="GU38" i="46"/>
  <c r="GU39" i="46"/>
  <c r="GU50" i="46"/>
  <c r="GU24" i="46"/>
  <c r="GU20" i="46"/>
  <c r="GU6" i="46"/>
  <c r="GU31" i="46"/>
  <c r="GU37" i="46"/>
  <c r="GU41" i="46"/>
  <c r="GU46" i="46"/>
  <c r="GU22" i="46"/>
  <c r="GU33" i="46"/>
  <c r="GU30" i="46"/>
  <c r="GU40" i="46"/>
  <c r="GU49" i="46"/>
  <c r="GV18" i="46"/>
  <c r="GU42" i="46"/>
  <c r="GU27" i="46"/>
  <c r="GU23" i="46"/>
  <c r="GZ21" i="45"/>
  <c r="GZ37" i="45"/>
  <c r="GZ32" i="45"/>
  <c r="GZ33" i="45"/>
  <c r="GZ28" i="45"/>
  <c r="GZ24" i="45"/>
  <c r="GZ43" i="45"/>
  <c r="GZ48" i="45"/>
  <c r="GZ26" i="45"/>
  <c r="GZ40" i="45"/>
  <c r="GZ6" i="45"/>
  <c r="GZ29" i="45"/>
  <c r="GZ23" i="45"/>
  <c r="GZ44" i="45"/>
  <c r="GZ51" i="45"/>
  <c r="GZ20" i="45"/>
  <c r="GZ35" i="45"/>
  <c r="GZ38" i="45"/>
  <c r="GZ27" i="45"/>
  <c r="GZ47" i="45"/>
  <c r="GZ49" i="45"/>
  <c r="GZ39" i="45"/>
  <c r="GZ42" i="45"/>
  <c r="GZ31" i="45"/>
  <c r="GZ34" i="45"/>
  <c r="GZ25" i="45"/>
  <c r="GZ41" i="45"/>
  <c r="GZ30" i="45"/>
  <c r="GZ45" i="45"/>
  <c r="HA18" i="45"/>
  <c r="GZ50" i="45"/>
  <c r="GZ22" i="45"/>
  <c r="GZ46" i="45"/>
  <c r="GZ36" i="45"/>
  <c r="GV23" i="38"/>
  <c r="GW18" i="38"/>
  <c r="GV31" i="38"/>
  <c r="GV27" i="38"/>
  <c r="GV38" i="38"/>
  <c r="GV42" i="38"/>
  <c r="GV47" i="38"/>
  <c r="GV29" i="38"/>
  <c r="GV24" i="38"/>
  <c r="GV30" i="38"/>
  <c r="GV41" i="38"/>
  <c r="GV44" i="38"/>
  <c r="GV28" i="38"/>
  <c r="GV6" i="38"/>
  <c r="GV33" i="38"/>
  <c r="GV34" i="38"/>
  <c r="GV40" i="38"/>
  <c r="GV46" i="38"/>
  <c r="GV22" i="38"/>
  <c r="GV25" i="38"/>
  <c r="GV20" i="38"/>
  <c r="GV35" i="38"/>
  <c r="GV37" i="38"/>
  <c r="GV43" i="38"/>
  <c r="GV21" i="38"/>
  <c r="GV36" i="38"/>
  <c r="GV39" i="38"/>
  <c r="GV32" i="38"/>
  <c r="GV45" i="38"/>
  <c r="GV26" i="38"/>
  <c r="GV48" i="38"/>
  <c r="CW53" i="38" l="1"/>
  <c r="DB53" i="38" s="1"/>
  <c r="CZ53" i="38"/>
  <c r="DE53" i="38" s="1"/>
  <c r="DA53" i="38"/>
  <c r="I53" i="38"/>
  <c r="O53" i="38"/>
  <c r="AH71" i="4"/>
  <c r="AJ70" i="4"/>
  <c r="AY70" i="46" s="1"/>
  <c r="AG71" i="4"/>
  <c r="AI70" i="4"/>
  <c r="AX70" i="46" s="1"/>
  <c r="I53" i="46"/>
  <c r="I53" i="45"/>
  <c r="R51" i="45"/>
  <c r="R52" i="45" s="1"/>
  <c r="R52" i="46"/>
  <c r="R52" i="38"/>
  <c r="U41" i="41"/>
  <c r="T41" i="38"/>
  <c r="BU40" i="38"/>
  <c r="BV40" i="38" s="1"/>
  <c r="W40" i="38"/>
  <c r="W39" i="41"/>
  <c r="T39" i="46"/>
  <c r="W39" i="46" s="1"/>
  <c r="V39" i="41"/>
  <c r="T39" i="45"/>
  <c r="CO51" i="38"/>
  <c r="BV51" i="41" s="1"/>
  <c r="D52" i="41"/>
  <c r="S52" i="45"/>
  <c r="P52" i="45"/>
  <c r="Q52" i="45" s="1"/>
  <c r="A54" i="38"/>
  <c r="CV54" i="38" s="1"/>
  <c r="A54" i="46"/>
  <c r="O54" i="46" s="1"/>
  <c r="A54" i="45"/>
  <c r="O54" i="45" s="1"/>
  <c r="A54" i="41"/>
  <c r="A54" i="4"/>
  <c r="A55" i="55"/>
  <c r="A54" i="6"/>
  <c r="A54" i="7"/>
  <c r="H50" i="41"/>
  <c r="L50" i="41"/>
  <c r="K53" i="45"/>
  <c r="M53" i="45"/>
  <c r="FK53" i="45"/>
  <c r="HA53" i="45" s="1"/>
  <c r="L53" i="45"/>
  <c r="J53" i="46"/>
  <c r="K53" i="46"/>
  <c r="FK53" i="46"/>
  <c r="M53" i="46"/>
  <c r="L53" i="46"/>
  <c r="Z51" i="41"/>
  <c r="AD51" i="41" s="1"/>
  <c r="K50" i="41"/>
  <c r="L136" i="41" s="1"/>
  <c r="L137" i="41" s="1"/>
  <c r="G50" i="41"/>
  <c r="J52" i="38"/>
  <c r="CI52" i="38" s="1"/>
  <c r="BQ52" i="41" s="1"/>
  <c r="BS52" i="38"/>
  <c r="I50" i="41"/>
  <c r="AB51" i="41"/>
  <c r="AF51" i="41" s="1"/>
  <c r="M50" i="41"/>
  <c r="AI52" i="46"/>
  <c r="E52" i="41"/>
  <c r="P52" i="46"/>
  <c r="Q52" i="46" s="1"/>
  <c r="S52" i="46"/>
  <c r="GW52" i="45"/>
  <c r="GY52" i="45"/>
  <c r="GX52" i="45"/>
  <c r="C52" i="41"/>
  <c r="S52" i="38"/>
  <c r="AI52" i="38"/>
  <c r="P52" i="38"/>
  <c r="Q52" i="38" s="1"/>
  <c r="FI52" i="38"/>
  <c r="FG52" i="38"/>
  <c r="FH52" i="38"/>
  <c r="M53" i="38"/>
  <c r="BQ53" i="38"/>
  <c r="L53" i="38"/>
  <c r="K53" i="38"/>
  <c r="FD53" i="38"/>
  <c r="FN53" i="38"/>
  <c r="CW53" i="41" s="1"/>
  <c r="EY53" i="38"/>
  <c r="GW22" i="38"/>
  <c r="GW28" i="38"/>
  <c r="GW20" i="38"/>
  <c r="GW39" i="38"/>
  <c r="GW41" i="38"/>
  <c r="GW46" i="38"/>
  <c r="GW31" i="38"/>
  <c r="GW25" i="38"/>
  <c r="GW35" i="38"/>
  <c r="GW37" i="38"/>
  <c r="GW42" i="38"/>
  <c r="GW43" i="38"/>
  <c r="GW49" i="38"/>
  <c r="GW32" i="38"/>
  <c r="GW33" i="38"/>
  <c r="GW30" i="38"/>
  <c r="GW24" i="38"/>
  <c r="GW23" i="38"/>
  <c r="GW34" i="38"/>
  <c r="GW44" i="38"/>
  <c r="GX18" i="38"/>
  <c r="GW6" i="38"/>
  <c r="GW21" i="38"/>
  <c r="GW36" i="38"/>
  <c r="GW38" i="38"/>
  <c r="GW45" i="38"/>
  <c r="GW47" i="38"/>
  <c r="GW48" i="38"/>
  <c r="GW27" i="38"/>
  <c r="GW26" i="38"/>
  <c r="GW40" i="38"/>
  <c r="GW29" i="38"/>
  <c r="GV30" i="46"/>
  <c r="GV27" i="46"/>
  <c r="GV20" i="46"/>
  <c r="GV32" i="46"/>
  <c r="GV34" i="46"/>
  <c r="GV40" i="46"/>
  <c r="GV42" i="46"/>
  <c r="GV25" i="46"/>
  <c r="GV21" i="46"/>
  <c r="GV36" i="46"/>
  <c r="GV6" i="46"/>
  <c r="GV45" i="46"/>
  <c r="GV47" i="46"/>
  <c r="GV49" i="46"/>
  <c r="GV28" i="46"/>
  <c r="GV24" i="46"/>
  <c r="GV23" i="46"/>
  <c r="GV35" i="46"/>
  <c r="GV39" i="46"/>
  <c r="GV48" i="46"/>
  <c r="GV50" i="46"/>
  <c r="GV37" i="46"/>
  <c r="GV33" i="46"/>
  <c r="GV29" i="46"/>
  <c r="GV38" i="46"/>
  <c r="GV51" i="46"/>
  <c r="GW18" i="46"/>
  <c r="GV46" i="46"/>
  <c r="GV31" i="46"/>
  <c r="GV43" i="46"/>
  <c r="GV26" i="46"/>
  <c r="GV41" i="46"/>
  <c r="GV44" i="46"/>
  <c r="GV22" i="46"/>
  <c r="HA39" i="45"/>
  <c r="HA23" i="45"/>
  <c r="HA35" i="45"/>
  <c r="HB18" i="45"/>
  <c r="HA29" i="45"/>
  <c r="HA42" i="45"/>
  <c r="HA30" i="45"/>
  <c r="HA43" i="45"/>
  <c r="HA45" i="45"/>
  <c r="HA20" i="45"/>
  <c r="HA34" i="45"/>
  <c r="HA41" i="45"/>
  <c r="HA37" i="45"/>
  <c r="HA26" i="45"/>
  <c r="HA32" i="45"/>
  <c r="HA36" i="45"/>
  <c r="HA25" i="45"/>
  <c r="HA44" i="45"/>
  <c r="HA51" i="45"/>
  <c r="HA52" i="45"/>
  <c r="HA21" i="45"/>
  <c r="HA40" i="45"/>
  <c r="HA22" i="45"/>
  <c r="HA31" i="45"/>
  <c r="HA27" i="45"/>
  <c r="HA46" i="45"/>
  <c r="HA48" i="45"/>
  <c r="HA50" i="45"/>
  <c r="HA28" i="45"/>
  <c r="HA38" i="45"/>
  <c r="HA24" i="45"/>
  <c r="HA6" i="45"/>
  <c r="HA49" i="45"/>
  <c r="HA33" i="45"/>
  <c r="HA47" i="45"/>
  <c r="CZ54" i="38" l="1"/>
  <c r="DE54" i="38" s="1"/>
  <c r="DA54" i="38"/>
  <c r="CW54" i="38"/>
  <c r="DB54" i="38" s="1"/>
  <c r="O54" i="38"/>
  <c r="I54" i="38"/>
  <c r="AG72" i="4"/>
  <c r="AI71" i="4"/>
  <c r="AX71" i="46" s="1"/>
  <c r="AZ71" i="46" s="1"/>
  <c r="BA71" i="46" s="1"/>
  <c r="BB71" i="46" s="1"/>
  <c r="G71" i="46" s="1"/>
  <c r="AZ70" i="46"/>
  <c r="BA70" i="46" s="1"/>
  <c r="BB70" i="46" s="1"/>
  <c r="G70" i="46" s="1"/>
  <c r="AH72" i="4"/>
  <c r="AJ71" i="4"/>
  <c r="AY71" i="46" s="1"/>
  <c r="I54" i="45"/>
  <c r="I54" i="46"/>
  <c r="I55" i="46" s="1"/>
  <c r="R53" i="45"/>
  <c r="R53" i="46"/>
  <c r="R53" i="38"/>
  <c r="T42" i="38"/>
  <c r="U42" i="41"/>
  <c r="BU41" i="38"/>
  <c r="BV41" i="38" s="1"/>
  <c r="W41" i="38"/>
  <c r="V40" i="41"/>
  <c r="T40" i="45"/>
  <c r="W40" i="41"/>
  <c r="T40" i="46"/>
  <c r="W40" i="46" s="1"/>
  <c r="CO52" i="38"/>
  <c r="BV52" i="41" s="1"/>
  <c r="M51" i="41"/>
  <c r="AB52" i="41"/>
  <c r="AF52" i="41" s="1"/>
  <c r="I51" i="41"/>
  <c r="D53" i="41"/>
  <c r="S53" i="45"/>
  <c r="P53" i="45"/>
  <c r="Q53" i="45" s="1"/>
  <c r="M54" i="45"/>
  <c r="L54" i="45"/>
  <c r="K54" i="45"/>
  <c r="FK54" i="45"/>
  <c r="HB54" i="45" s="1"/>
  <c r="J53" i="38"/>
  <c r="CI53" i="38" s="1"/>
  <c r="BQ53" i="41" s="1"/>
  <c r="BS53" i="38"/>
  <c r="FG53" i="38"/>
  <c r="FI53" i="38"/>
  <c r="FH53" i="38"/>
  <c r="P53" i="38"/>
  <c r="Q53" i="38" s="1"/>
  <c r="AI53" i="38"/>
  <c r="C53" i="41"/>
  <c r="S53" i="38"/>
  <c r="K51" i="41"/>
  <c r="G51" i="41"/>
  <c r="Z52" i="41"/>
  <c r="AD52" i="41" s="1"/>
  <c r="AI53" i="46"/>
  <c r="E53" i="41"/>
  <c r="P53" i="46"/>
  <c r="Q53" i="46" s="1"/>
  <c r="S53" i="46"/>
  <c r="A55" i="46"/>
  <c r="O55" i="46" s="1"/>
  <c r="A55" i="38"/>
  <c r="CV55" i="38" s="1"/>
  <c r="A55" i="7"/>
  <c r="A55" i="45"/>
  <c r="O55" i="45" s="1"/>
  <c r="A55" i="4"/>
  <c r="A55" i="41"/>
  <c r="A55" i="6"/>
  <c r="A56" i="55"/>
  <c r="K54" i="46"/>
  <c r="FK54" i="46"/>
  <c r="M54" i="46"/>
  <c r="L54" i="46"/>
  <c r="GY53" i="45"/>
  <c r="GX53" i="45"/>
  <c r="GZ53" i="45"/>
  <c r="EY54" i="38"/>
  <c r="FN54" i="38"/>
  <c r="CW54" i="41" s="1"/>
  <c r="BQ54" i="38"/>
  <c r="M54" i="38"/>
  <c r="K54" i="38"/>
  <c r="L54" i="38"/>
  <c r="FD54" i="38"/>
  <c r="H51" i="41"/>
  <c r="L51" i="41"/>
  <c r="GX22" i="38"/>
  <c r="GX33" i="38"/>
  <c r="GX30" i="38"/>
  <c r="GX35" i="38"/>
  <c r="GX36" i="38"/>
  <c r="GX43" i="38"/>
  <c r="GX44" i="38"/>
  <c r="GX45" i="38"/>
  <c r="GX48" i="38"/>
  <c r="GX21" i="38"/>
  <c r="GX24" i="38"/>
  <c r="GX31" i="38"/>
  <c r="GX32" i="38"/>
  <c r="GY18" i="38"/>
  <c r="GX26" i="38"/>
  <c r="GX37" i="38"/>
  <c r="GX38" i="38"/>
  <c r="GX47" i="38"/>
  <c r="GX34" i="38"/>
  <c r="GX28" i="38"/>
  <c r="GX20" i="38"/>
  <c r="GX6" i="38"/>
  <c r="GX39" i="38"/>
  <c r="GX40" i="38"/>
  <c r="GX50" i="38"/>
  <c r="GX25" i="38"/>
  <c r="GX42" i="38"/>
  <c r="GX27" i="38"/>
  <c r="GX23" i="38"/>
  <c r="GX46" i="38"/>
  <c r="GX41" i="38"/>
  <c r="GX49" i="38"/>
  <c r="GX29" i="38"/>
  <c r="HB37" i="45"/>
  <c r="HB21" i="45"/>
  <c r="HC18" i="45"/>
  <c r="HB42" i="45"/>
  <c r="HB39" i="45"/>
  <c r="HB27" i="45"/>
  <c r="HB46" i="45"/>
  <c r="HB40" i="45"/>
  <c r="HB23" i="45"/>
  <c r="HB20" i="45"/>
  <c r="HB32" i="45"/>
  <c r="HB41" i="45"/>
  <c r="HB48" i="45"/>
  <c r="HB50" i="45"/>
  <c r="HB35" i="45"/>
  <c r="HB26" i="45"/>
  <c r="HB22" i="45"/>
  <c r="HB31" i="45"/>
  <c r="HB28" i="45"/>
  <c r="HB44" i="45"/>
  <c r="HB24" i="45"/>
  <c r="HB33" i="45"/>
  <c r="HB43" i="45"/>
  <c r="HB38" i="45"/>
  <c r="HB25" i="45"/>
  <c r="HB45" i="45"/>
  <c r="HB47" i="45"/>
  <c r="HB49" i="45"/>
  <c r="HB34" i="45"/>
  <c r="HB30" i="45"/>
  <c r="HB36" i="45"/>
  <c r="HB51" i="45"/>
  <c r="HB53" i="45"/>
  <c r="HB6" i="45"/>
  <c r="HB29" i="45"/>
  <c r="HB52" i="45"/>
  <c r="GW28" i="46"/>
  <c r="GW24" i="46"/>
  <c r="GW36" i="46"/>
  <c r="GW26" i="46"/>
  <c r="GW35" i="46"/>
  <c r="GW37" i="46"/>
  <c r="GW50" i="46"/>
  <c r="GW31" i="46"/>
  <c r="GW30" i="46"/>
  <c r="GW23" i="46"/>
  <c r="GX18" i="46"/>
  <c r="GW40" i="46"/>
  <c r="GW51" i="46"/>
  <c r="GW34" i="46"/>
  <c r="GW29" i="46"/>
  <c r="GW25" i="46"/>
  <c r="GW38" i="46"/>
  <c r="GW45" i="46"/>
  <c r="GW47" i="46"/>
  <c r="GW49" i="46"/>
  <c r="GW27" i="46"/>
  <c r="GW39" i="46"/>
  <c r="GW6" i="46"/>
  <c r="GW21" i="46"/>
  <c r="GW41" i="46"/>
  <c r="GW42" i="46"/>
  <c r="GW43" i="46"/>
  <c r="GW44" i="46"/>
  <c r="GW46" i="46"/>
  <c r="GW22" i="46"/>
  <c r="GW33" i="46"/>
  <c r="GW20" i="46"/>
  <c r="GW52" i="46"/>
  <c r="GW32" i="46"/>
  <c r="GW48" i="46"/>
  <c r="CW55" i="38" l="1"/>
  <c r="DB55" i="38" s="1"/>
  <c r="CZ55" i="38"/>
  <c r="DE55" i="38" s="1"/>
  <c r="DA55" i="38"/>
  <c r="I55" i="38"/>
  <c r="J54" i="38"/>
  <c r="O55" i="38"/>
  <c r="J54" i="46"/>
  <c r="AH73" i="4"/>
  <c r="AJ72" i="4"/>
  <c r="AY72" i="46" s="1"/>
  <c r="AG73" i="4"/>
  <c r="AI72" i="4"/>
  <c r="AX72" i="46" s="1"/>
  <c r="I55" i="45"/>
  <c r="I56" i="45" s="1"/>
  <c r="R54" i="45"/>
  <c r="R54" i="38"/>
  <c r="R54" i="46"/>
  <c r="W42" i="38"/>
  <c r="BU42" i="38"/>
  <c r="BV42" i="38" s="1"/>
  <c r="U43" i="41"/>
  <c r="T43" i="38"/>
  <c r="V41" i="41"/>
  <c r="T41" i="45"/>
  <c r="T41" i="46"/>
  <c r="W41" i="46" s="1"/>
  <c r="W41" i="41"/>
  <c r="CO53" i="38"/>
  <c r="BV53" i="41" s="1"/>
  <c r="BS54" i="38"/>
  <c r="CO54" i="38"/>
  <c r="BV54" i="41" s="1"/>
  <c r="P54" i="38"/>
  <c r="Q54" i="38" s="1"/>
  <c r="S54" i="38"/>
  <c r="AI54" i="38"/>
  <c r="CI54" i="38"/>
  <c r="BQ54" i="41" s="1"/>
  <c r="C54" i="41"/>
  <c r="FN55" i="38"/>
  <c r="CW55" i="41" s="1"/>
  <c r="L55" i="38"/>
  <c r="BQ55" i="38"/>
  <c r="EY55" i="38"/>
  <c r="K55" i="38"/>
  <c r="FD55" i="38"/>
  <c r="M55" i="38"/>
  <c r="Z53" i="41"/>
  <c r="AD53" i="41" s="1"/>
  <c r="G52" i="41"/>
  <c r="K52" i="41"/>
  <c r="HA54" i="45"/>
  <c r="GZ54" i="45"/>
  <c r="GY54" i="45"/>
  <c r="P54" i="46"/>
  <c r="Q54" i="46" s="1"/>
  <c r="S54" i="46"/>
  <c r="AI54" i="46"/>
  <c r="E54" i="41"/>
  <c r="FK55" i="46"/>
  <c r="M55" i="46"/>
  <c r="J55" i="46"/>
  <c r="K55" i="46"/>
  <c r="L55" i="46"/>
  <c r="AB53" i="41"/>
  <c r="AF53" i="41" s="1"/>
  <c r="M52" i="41"/>
  <c r="I52" i="41"/>
  <c r="S54" i="45"/>
  <c r="D54" i="41"/>
  <c r="P54" i="45"/>
  <c r="Q54" i="45" s="1"/>
  <c r="H52" i="41"/>
  <c r="L52" i="41"/>
  <c r="FI54" i="38"/>
  <c r="FH54" i="38"/>
  <c r="FG54" i="38"/>
  <c r="A56" i="7"/>
  <c r="A56" i="6"/>
  <c r="A56" i="4"/>
  <c r="A56" i="41"/>
  <c r="A56" i="45"/>
  <c r="O56" i="45" s="1"/>
  <c r="A56" i="38"/>
  <c r="CV56" i="38" s="1"/>
  <c r="A56" i="46"/>
  <c r="O56" i="46" s="1"/>
  <c r="A57" i="55"/>
  <c r="K55" i="45"/>
  <c r="FK55" i="45"/>
  <c r="HC55" i="45" s="1"/>
  <c r="M55" i="45"/>
  <c r="L55" i="45"/>
  <c r="GY18" i="46"/>
  <c r="GX6" i="46"/>
  <c r="GX28" i="46"/>
  <c r="GX24" i="46"/>
  <c r="GX22" i="46"/>
  <c r="GX20" i="46"/>
  <c r="GX41" i="46"/>
  <c r="GX46" i="46"/>
  <c r="GX49" i="46"/>
  <c r="GX51" i="46"/>
  <c r="GX34" i="46"/>
  <c r="GX30" i="46"/>
  <c r="GX25" i="46"/>
  <c r="GX37" i="46"/>
  <c r="GX42" i="46"/>
  <c r="GX43" i="46"/>
  <c r="GX44" i="46"/>
  <c r="GX33" i="46"/>
  <c r="GX29" i="46"/>
  <c r="GX39" i="46"/>
  <c r="GX21" i="46"/>
  <c r="GX35" i="46"/>
  <c r="GX31" i="46"/>
  <c r="GX26" i="46"/>
  <c r="GX38" i="46"/>
  <c r="GX48" i="46"/>
  <c r="GX52" i="46"/>
  <c r="GX36" i="46"/>
  <c r="GX32" i="46"/>
  <c r="GX47" i="46"/>
  <c r="GX27" i="46"/>
  <c r="GX45" i="46"/>
  <c r="GX50" i="46"/>
  <c r="GX53" i="46"/>
  <c r="GX23" i="46"/>
  <c r="GX40" i="46"/>
  <c r="GY34" i="38"/>
  <c r="GY27" i="38"/>
  <c r="GY30" i="38"/>
  <c r="GY31" i="38"/>
  <c r="GY28" i="38"/>
  <c r="GY38" i="38"/>
  <c r="GY40" i="38"/>
  <c r="GY42" i="38"/>
  <c r="GY47" i="38"/>
  <c r="GY49" i="38"/>
  <c r="GY24" i="38"/>
  <c r="GY29" i="38"/>
  <c r="GY26" i="38"/>
  <c r="GY39" i="38"/>
  <c r="GY45" i="38"/>
  <c r="GY50" i="38"/>
  <c r="GY33" i="38"/>
  <c r="GY32" i="38"/>
  <c r="GY25" i="38"/>
  <c r="GY36" i="38"/>
  <c r="GY43" i="38"/>
  <c r="GY48" i="38"/>
  <c r="GY21" i="38"/>
  <c r="GZ18" i="38"/>
  <c r="GY35" i="38"/>
  <c r="GY41" i="38"/>
  <c r="GY46" i="38"/>
  <c r="GY6" i="38"/>
  <c r="GY23" i="38"/>
  <c r="GY37" i="38"/>
  <c r="GY51" i="38"/>
  <c r="GY22" i="38"/>
  <c r="GY44" i="38"/>
  <c r="GY20" i="38"/>
  <c r="HC38" i="45"/>
  <c r="HC26" i="45"/>
  <c r="HC34" i="45"/>
  <c r="HC22" i="45"/>
  <c r="HC31" i="45"/>
  <c r="HC42" i="45"/>
  <c r="HC25" i="45"/>
  <c r="HC47" i="45"/>
  <c r="HC49" i="45"/>
  <c r="HC50" i="45"/>
  <c r="HC51" i="45"/>
  <c r="HC40" i="45"/>
  <c r="HC35" i="45"/>
  <c r="HC32" i="45"/>
  <c r="HC28" i="45"/>
  <c r="HC30" i="45"/>
  <c r="HC45" i="45"/>
  <c r="HC46" i="45"/>
  <c r="HC23" i="45"/>
  <c r="HC37" i="45"/>
  <c r="HC6" i="45"/>
  <c r="HC43" i="45"/>
  <c r="HC24" i="45"/>
  <c r="HC48" i="45"/>
  <c r="HC54" i="45"/>
  <c r="HC41" i="45"/>
  <c r="HC20" i="45"/>
  <c r="HD18" i="45"/>
  <c r="HC29" i="45"/>
  <c r="HC27" i="45"/>
  <c r="HC52" i="45"/>
  <c r="HC53" i="45"/>
  <c r="HC33" i="45"/>
  <c r="HC39" i="45"/>
  <c r="HC44" i="45"/>
  <c r="HC21" i="45"/>
  <c r="HC36" i="45"/>
  <c r="CW56" i="38" l="1"/>
  <c r="DB56" i="38" s="1"/>
  <c r="CZ56" i="38"/>
  <c r="DE56" i="38" s="1"/>
  <c r="DA56" i="38"/>
  <c r="O56" i="38"/>
  <c r="I56" i="38"/>
  <c r="AG74" i="4"/>
  <c r="AI73" i="4"/>
  <c r="AX73" i="46" s="1"/>
  <c r="AZ72" i="46"/>
  <c r="BA72" i="46" s="1"/>
  <c r="BB72" i="46" s="1"/>
  <c r="G72" i="46" s="1"/>
  <c r="AH74" i="4"/>
  <c r="AJ73" i="4"/>
  <c r="AY73" i="46" s="1"/>
  <c r="I56" i="46"/>
  <c r="R55" i="38"/>
  <c r="R55" i="45"/>
  <c r="R55" i="46"/>
  <c r="U44" i="41"/>
  <c r="T44" i="38"/>
  <c r="BU43" i="38"/>
  <c r="BV43" i="38" s="1"/>
  <c r="W43" i="38"/>
  <c r="W42" i="41"/>
  <c r="T42" i="46"/>
  <c r="W42" i="46" s="1"/>
  <c r="V42" i="41"/>
  <c r="T42" i="45"/>
  <c r="P55" i="38"/>
  <c r="Q55" i="38" s="1"/>
  <c r="AI55" i="38"/>
  <c r="S55" i="38"/>
  <c r="C55" i="41"/>
  <c r="I53" i="41"/>
  <c r="M53" i="41"/>
  <c r="AB54" i="41"/>
  <c r="AF54" i="41" s="1"/>
  <c r="J56" i="38"/>
  <c r="K56" i="38"/>
  <c r="BQ56" i="38"/>
  <c r="M56" i="38"/>
  <c r="FN56" i="38"/>
  <c r="CW56" i="41" s="1"/>
  <c r="FD56" i="38"/>
  <c r="L56" i="38"/>
  <c r="EY56" i="38"/>
  <c r="M56" i="45"/>
  <c r="FK56" i="45"/>
  <c r="HD56" i="45" s="1"/>
  <c r="L56" i="45"/>
  <c r="K56" i="45"/>
  <c r="FH55" i="38"/>
  <c r="FI55" i="38"/>
  <c r="FG55" i="38"/>
  <c r="HA55" i="45"/>
  <c r="HB55" i="45"/>
  <c r="GZ55" i="45"/>
  <c r="A58" i="55"/>
  <c r="A57" i="7"/>
  <c r="A57" i="4"/>
  <c r="A57" i="38"/>
  <c r="CV57" i="38" s="1"/>
  <c r="A57" i="45"/>
  <c r="O57" i="45" s="1"/>
  <c r="A57" i="41"/>
  <c r="A57" i="6"/>
  <c r="A57" i="46"/>
  <c r="O57" i="46" s="1"/>
  <c r="S55" i="46"/>
  <c r="AI55" i="46"/>
  <c r="E55" i="41"/>
  <c r="P55" i="46"/>
  <c r="Q55" i="46" s="1"/>
  <c r="J55" i="38"/>
  <c r="CI55" i="38" s="1"/>
  <c r="BQ55" i="41" s="1"/>
  <c r="BS55" i="38"/>
  <c r="K53" i="41"/>
  <c r="G53" i="41"/>
  <c r="Z54" i="41"/>
  <c r="AD54" i="41" s="1"/>
  <c r="L53" i="41"/>
  <c r="H53" i="41"/>
  <c r="D55" i="41"/>
  <c r="S55" i="45"/>
  <c r="P55" i="45"/>
  <c r="Q55" i="45" s="1"/>
  <c r="L56" i="46"/>
  <c r="K56" i="46"/>
  <c r="FK56" i="46"/>
  <c r="M56" i="46"/>
  <c r="GZ25" i="38"/>
  <c r="GZ34" i="38"/>
  <c r="GZ6" i="38"/>
  <c r="GZ27" i="38"/>
  <c r="GZ36" i="38"/>
  <c r="GZ41" i="38"/>
  <c r="HA18" i="38"/>
  <c r="GZ31" i="38"/>
  <c r="GZ26" i="38"/>
  <c r="GZ23" i="38"/>
  <c r="GZ40" i="38"/>
  <c r="GZ46" i="38"/>
  <c r="GZ33" i="38"/>
  <c r="GZ30" i="38"/>
  <c r="GZ22" i="38"/>
  <c r="GZ39" i="38"/>
  <c r="GZ45" i="38"/>
  <c r="GZ50" i="38"/>
  <c r="GZ32" i="38"/>
  <c r="GZ28" i="38"/>
  <c r="GZ24" i="38"/>
  <c r="GZ20" i="38"/>
  <c r="GZ42" i="38"/>
  <c r="GZ44" i="38"/>
  <c r="GZ49" i="38"/>
  <c r="GZ51" i="38"/>
  <c r="GZ29" i="38"/>
  <c r="GZ38" i="38"/>
  <c r="GZ43" i="38"/>
  <c r="GZ47" i="38"/>
  <c r="GZ48" i="38"/>
  <c r="GZ37" i="38"/>
  <c r="GZ52" i="38"/>
  <c r="GZ21" i="38"/>
  <c r="GZ35" i="38"/>
  <c r="HD44" i="45"/>
  <c r="HD34" i="45"/>
  <c r="HD40" i="45"/>
  <c r="HD31" i="45"/>
  <c r="HD36" i="45"/>
  <c r="HD27" i="45"/>
  <c r="HD21" i="45"/>
  <c r="HD48" i="45"/>
  <c r="HD32" i="45"/>
  <c r="HD35" i="45"/>
  <c r="HD38" i="45"/>
  <c r="HD24" i="45"/>
  <c r="HD20" i="45"/>
  <c r="HD46" i="45"/>
  <c r="HD47" i="45"/>
  <c r="HD49" i="45"/>
  <c r="HD52" i="45"/>
  <c r="HD53" i="45"/>
  <c r="HD55" i="45"/>
  <c r="HD45" i="45"/>
  <c r="HE18" i="45"/>
  <c r="HD29" i="45"/>
  <c r="HD37" i="45"/>
  <c r="HD33" i="45"/>
  <c r="HD23" i="45"/>
  <c r="HD50" i="45"/>
  <c r="HD22" i="45"/>
  <c r="HD41" i="45"/>
  <c r="HD6" i="45"/>
  <c r="HD25" i="45"/>
  <c r="HD26" i="45"/>
  <c r="HD51" i="45"/>
  <c r="HD28" i="45"/>
  <c r="HD54" i="45"/>
  <c r="HD30" i="45"/>
  <c r="HD39" i="45"/>
  <c r="HD43" i="45"/>
  <c r="HD42" i="45"/>
  <c r="GY38" i="46"/>
  <c r="GY36" i="46"/>
  <c r="GY34" i="46"/>
  <c r="GY35" i="46"/>
  <c r="GY28" i="46"/>
  <c r="GY25" i="46"/>
  <c r="GY43" i="46"/>
  <c r="GY44" i="46"/>
  <c r="GY45" i="46"/>
  <c r="GY47" i="46"/>
  <c r="GY48" i="46"/>
  <c r="GY37" i="46"/>
  <c r="GY23" i="46"/>
  <c r="GZ18" i="46"/>
  <c r="GY26" i="46"/>
  <c r="GY27" i="46"/>
  <c r="GY46" i="46"/>
  <c r="GY52" i="46"/>
  <c r="GY54" i="46"/>
  <c r="GY21" i="46"/>
  <c r="GY33" i="46"/>
  <c r="GY30" i="46"/>
  <c r="GY41" i="46"/>
  <c r="GY42" i="46"/>
  <c r="GY51" i="46"/>
  <c r="GY22" i="46"/>
  <c r="GY39" i="46"/>
  <c r="GY6" i="46"/>
  <c r="GY31" i="46"/>
  <c r="GY24" i="46"/>
  <c r="GY50" i="46"/>
  <c r="GY53" i="46"/>
  <c r="GY20" i="46"/>
  <c r="GY49" i="46"/>
  <c r="GY32" i="46"/>
  <c r="GY29" i="46"/>
  <c r="GY40" i="46"/>
  <c r="CW57" i="38" l="1"/>
  <c r="DB57" i="38" s="1"/>
  <c r="CZ57" i="38"/>
  <c r="DE57" i="38" s="1"/>
  <c r="DA57" i="38"/>
  <c r="I57" i="38"/>
  <c r="J57" i="38" s="1"/>
  <c r="O57" i="38"/>
  <c r="AZ73" i="46"/>
  <c r="BA73" i="46" s="1"/>
  <c r="BB73" i="46" s="1"/>
  <c r="G73" i="46" s="1"/>
  <c r="AH75" i="4"/>
  <c r="AJ74" i="4"/>
  <c r="AY74" i="46" s="1"/>
  <c r="AG75" i="4"/>
  <c r="AI74" i="4"/>
  <c r="AX74" i="46" s="1"/>
  <c r="I57" i="46"/>
  <c r="J57" i="46" s="1"/>
  <c r="J56" i="46"/>
  <c r="I57" i="45"/>
  <c r="R56" i="38"/>
  <c r="R56" i="45"/>
  <c r="R56" i="46"/>
  <c r="W44" i="38"/>
  <c r="BU44" i="38"/>
  <c r="BV44" i="38" s="1"/>
  <c r="U45" i="41"/>
  <c r="T45" i="38"/>
  <c r="V43" i="41"/>
  <c r="T43" i="45"/>
  <c r="W43" i="41"/>
  <c r="T43" i="46"/>
  <c r="W43" i="46" s="1"/>
  <c r="CI56" i="38"/>
  <c r="BQ56" i="41" s="1"/>
  <c r="CO56" i="38"/>
  <c r="BV56" i="41" s="1"/>
  <c r="H54" i="41"/>
  <c r="L54" i="41"/>
  <c r="HB56" i="45"/>
  <c r="HC56" i="45"/>
  <c r="HA56" i="45"/>
  <c r="CO55" i="38"/>
  <c r="BV55" i="41" s="1"/>
  <c r="FK57" i="45"/>
  <c r="HE57" i="45" s="1"/>
  <c r="L57" i="45"/>
  <c r="M57" i="45"/>
  <c r="K57" i="45"/>
  <c r="A58" i="6"/>
  <c r="A58" i="41"/>
  <c r="A58" i="38"/>
  <c r="CV58" i="38" s="1"/>
  <c r="A59" i="55"/>
  <c r="A58" i="46"/>
  <c r="O58" i="46" s="1"/>
  <c r="A58" i="7"/>
  <c r="A58" i="4"/>
  <c r="A58" i="45"/>
  <c r="O58" i="45" s="1"/>
  <c r="D56" i="41"/>
  <c r="P56" i="45"/>
  <c r="Q56" i="45" s="1"/>
  <c r="S56" i="45"/>
  <c r="BS56" i="38"/>
  <c r="P56" i="38"/>
  <c r="Q56" i="38" s="1"/>
  <c r="AI56" i="38"/>
  <c r="C56" i="41"/>
  <c r="S56" i="38"/>
  <c r="K54" i="41"/>
  <c r="G54" i="41"/>
  <c r="Z55" i="41"/>
  <c r="AD55" i="41" s="1"/>
  <c r="E56" i="41"/>
  <c r="P56" i="46"/>
  <c r="Q56" i="46" s="1"/>
  <c r="AI56" i="46"/>
  <c r="S56" i="46"/>
  <c r="AB55" i="41"/>
  <c r="AF55" i="41" s="1"/>
  <c r="M54" i="41"/>
  <c r="I54" i="41"/>
  <c r="K57" i="46"/>
  <c r="M57" i="46"/>
  <c r="L57" i="46"/>
  <c r="FK57" i="46"/>
  <c r="K57" i="38"/>
  <c r="M57" i="38"/>
  <c r="FD57" i="38"/>
  <c r="FN57" i="38"/>
  <c r="CW57" i="41" s="1"/>
  <c r="EY57" i="38"/>
  <c r="BQ57" i="38"/>
  <c r="L57" i="38"/>
  <c r="FG56" i="38"/>
  <c r="FH56" i="38"/>
  <c r="FI56" i="38"/>
  <c r="HE40" i="45"/>
  <c r="HE24" i="45"/>
  <c r="HE41" i="45"/>
  <c r="HE20" i="45"/>
  <c r="HE43" i="45"/>
  <c r="HE31" i="45"/>
  <c r="HE25" i="45"/>
  <c r="HE26" i="45"/>
  <c r="HE21" i="45"/>
  <c r="HE36" i="45"/>
  <c r="HE22" i="45"/>
  <c r="HE32" i="45"/>
  <c r="HE28" i="45"/>
  <c r="HE51" i="45"/>
  <c r="HE45" i="45"/>
  <c r="HE23" i="45"/>
  <c r="HE34" i="45"/>
  <c r="HE37" i="45"/>
  <c r="HE44" i="45"/>
  <c r="HE27" i="45"/>
  <c r="HE49" i="45"/>
  <c r="HE52" i="45"/>
  <c r="HE53" i="45"/>
  <c r="HE55" i="45"/>
  <c r="HE38" i="45"/>
  <c r="HE47" i="45"/>
  <c r="HF18" i="45"/>
  <c r="HE29" i="45"/>
  <c r="HE42" i="45"/>
  <c r="HE54" i="45"/>
  <c r="HE35" i="45"/>
  <c r="HE39" i="45"/>
  <c r="HE56" i="45"/>
  <c r="HE6" i="45"/>
  <c r="HE30" i="45"/>
  <c r="HE33" i="45"/>
  <c r="HE48" i="45"/>
  <c r="HE50" i="45"/>
  <c r="HE46" i="45"/>
  <c r="HA30" i="38"/>
  <c r="HA24" i="38"/>
  <c r="HA6" i="38"/>
  <c r="HA22" i="38"/>
  <c r="HA38" i="38"/>
  <c r="HA39" i="38"/>
  <c r="HA46" i="38"/>
  <c r="HA50" i="38"/>
  <c r="HA51" i="38"/>
  <c r="HA28" i="38"/>
  <c r="HA33" i="38"/>
  <c r="HA36" i="38"/>
  <c r="HA32" i="38"/>
  <c r="HA41" i="38"/>
  <c r="HA42" i="38"/>
  <c r="HA44" i="38"/>
  <c r="HA49" i="38"/>
  <c r="HA31" i="38"/>
  <c r="HA27" i="38"/>
  <c r="HA20" i="38"/>
  <c r="HB18" i="38"/>
  <c r="HA40" i="38"/>
  <c r="HA53" i="38"/>
  <c r="HA37" i="38"/>
  <c r="HA21" i="38"/>
  <c r="HA25" i="38"/>
  <c r="HA35" i="38"/>
  <c r="HA43" i="38"/>
  <c r="HA47" i="38"/>
  <c r="HA48" i="38"/>
  <c r="HA52" i="38"/>
  <c r="HA29" i="38"/>
  <c r="HA34" i="38"/>
  <c r="HA26" i="38"/>
  <c r="HA45" i="38"/>
  <c r="HA23" i="38"/>
  <c r="GZ35" i="46"/>
  <c r="GZ29" i="46"/>
  <c r="GZ41" i="46"/>
  <c r="GZ27" i="46"/>
  <c r="GZ36" i="46"/>
  <c r="GZ26" i="46"/>
  <c r="GZ33" i="46"/>
  <c r="GZ38" i="46"/>
  <c r="GZ34" i="46"/>
  <c r="GZ30" i="46"/>
  <c r="GZ39" i="46"/>
  <c r="GZ48" i="46"/>
  <c r="GZ50" i="46"/>
  <c r="GZ53" i="46"/>
  <c r="GZ32" i="46"/>
  <c r="GZ22" i="46"/>
  <c r="GZ25" i="46"/>
  <c r="GZ37" i="46"/>
  <c r="GZ23" i="46"/>
  <c r="GZ42" i="46"/>
  <c r="GZ43" i="46"/>
  <c r="GZ44" i="46"/>
  <c r="GZ46" i="46"/>
  <c r="GZ52" i="46"/>
  <c r="GZ54" i="46"/>
  <c r="HA18" i="46"/>
  <c r="GZ31" i="46"/>
  <c r="GZ24" i="46"/>
  <c r="GZ20" i="46"/>
  <c r="GZ45" i="46"/>
  <c r="GZ47" i="46"/>
  <c r="GZ49" i="46"/>
  <c r="GZ55" i="46"/>
  <c r="GZ28" i="46"/>
  <c r="GZ40" i="46"/>
  <c r="GZ21" i="46"/>
  <c r="GZ6" i="46"/>
  <c r="GZ51" i="46"/>
  <c r="CZ58" i="38" l="1"/>
  <c r="DE58" i="38" s="1"/>
  <c r="CW58" i="38"/>
  <c r="DB58" i="38" s="1"/>
  <c r="DA58" i="38"/>
  <c r="O58" i="38"/>
  <c r="I58" i="38"/>
  <c r="AG76" i="4"/>
  <c r="AI75" i="4"/>
  <c r="AX75" i="46" s="1"/>
  <c r="AZ75" i="46" s="1"/>
  <c r="BA75" i="46" s="1"/>
  <c r="BB75" i="46" s="1"/>
  <c r="G75" i="46" s="1"/>
  <c r="AZ74" i="46"/>
  <c r="BA74" i="46" s="1"/>
  <c r="BB74" i="46" s="1"/>
  <c r="G74" i="46" s="1"/>
  <c r="AH76" i="4"/>
  <c r="AJ75" i="4"/>
  <c r="AY75" i="46" s="1"/>
  <c r="I58" i="45"/>
  <c r="I58" i="46"/>
  <c r="I59" i="46" s="1"/>
  <c r="R57" i="38"/>
  <c r="R57" i="45"/>
  <c r="R57" i="46"/>
  <c r="U46" i="41"/>
  <c r="T46" i="38"/>
  <c r="W45" i="38"/>
  <c r="BU45" i="38"/>
  <c r="BV45" i="38" s="1"/>
  <c r="W44" i="41"/>
  <c r="T44" i="46"/>
  <c r="W44" i="46" s="1"/>
  <c r="T44" i="45"/>
  <c r="V44" i="41"/>
  <c r="FH57" i="38"/>
  <c r="FG57" i="38"/>
  <c r="FI57" i="38"/>
  <c r="H55" i="41"/>
  <c r="L55" i="41"/>
  <c r="K58" i="46"/>
  <c r="FK58" i="46"/>
  <c r="L58" i="46"/>
  <c r="M58" i="46"/>
  <c r="D57" i="41"/>
  <c r="S57" i="45"/>
  <c r="P57" i="45"/>
  <c r="Q57" i="45" s="1"/>
  <c r="S57" i="38"/>
  <c r="C57" i="41"/>
  <c r="AI57" i="38"/>
  <c r="P57" i="38"/>
  <c r="Q57" i="38" s="1"/>
  <c r="CI57" i="38"/>
  <c r="BQ57" i="41" s="1"/>
  <c r="K55" i="41"/>
  <c r="G55" i="41"/>
  <c r="Z56" i="41"/>
  <c r="AD56" i="41" s="1"/>
  <c r="FK58" i="45"/>
  <c r="L58" i="45"/>
  <c r="M58" i="45"/>
  <c r="K58" i="45"/>
  <c r="A59" i="7"/>
  <c r="A59" i="38"/>
  <c r="CV59" i="38" s="1"/>
  <c r="A59" i="6"/>
  <c r="A59" i="4"/>
  <c r="A60" i="55"/>
  <c r="A59" i="41"/>
  <c r="A59" i="46"/>
  <c r="O59" i="46" s="1"/>
  <c r="A59" i="45"/>
  <c r="O59" i="45" s="1"/>
  <c r="CO57" i="38"/>
  <c r="BV57" i="41" s="1"/>
  <c r="BS57" i="38"/>
  <c r="E57" i="41"/>
  <c r="S57" i="46"/>
  <c r="P57" i="46"/>
  <c r="Q57" i="46" s="1"/>
  <c r="AI57" i="46"/>
  <c r="I55" i="41"/>
  <c r="AB56" i="41"/>
  <c r="AF56" i="41" s="1"/>
  <c r="M55" i="41"/>
  <c r="M58" i="38"/>
  <c r="K58" i="38"/>
  <c r="L58" i="38"/>
  <c r="BQ58" i="38"/>
  <c r="J58" i="38"/>
  <c r="FN58" i="38"/>
  <c r="CW58" i="41" s="1"/>
  <c r="FD58" i="38"/>
  <c r="EY58" i="38"/>
  <c r="HC57" i="45"/>
  <c r="HB57" i="45"/>
  <c r="HD57" i="45"/>
  <c r="HB31" i="38"/>
  <c r="HB6" i="38"/>
  <c r="HB22" i="38"/>
  <c r="HB30" i="38"/>
  <c r="HB20" i="38"/>
  <c r="HB37" i="38"/>
  <c r="HB43" i="38"/>
  <c r="HB44" i="38"/>
  <c r="HB45" i="38"/>
  <c r="HB48" i="38"/>
  <c r="HB21" i="38"/>
  <c r="HB32" i="38"/>
  <c r="HB29" i="38"/>
  <c r="HB26" i="38"/>
  <c r="HB47" i="38"/>
  <c r="HB51" i="38"/>
  <c r="HB52" i="38"/>
  <c r="HB54" i="38"/>
  <c r="HB39" i="38"/>
  <c r="HB28" i="38"/>
  <c r="HB34" i="38"/>
  <c r="HB41" i="38"/>
  <c r="HB42" i="38"/>
  <c r="HB46" i="38"/>
  <c r="HB49" i="38"/>
  <c r="HB33" i="38"/>
  <c r="HB27" i="38"/>
  <c r="HB35" i="38"/>
  <c r="HB36" i="38"/>
  <c r="HB24" i="38"/>
  <c r="HB53" i="38"/>
  <c r="HB23" i="38"/>
  <c r="HB38" i="38"/>
  <c r="HB50" i="38"/>
  <c r="HB40" i="38"/>
  <c r="HC18" i="38"/>
  <c r="HB25" i="38"/>
  <c r="HF36" i="45"/>
  <c r="HF20" i="45"/>
  <c r="HF46" i="45"/>
  <c r="HF29" i="45"/>
  <c r="HF41" i="45"/>
  <c r="HF25" i="45"/>
  <c r="HF21" i="45"/>
  <c r="HF23" i="45"/>
  <c r="HF34" i="45"/>
  <c r="HF47" i="45"/>
  <c r="HF44" i="45"/>
  <c r="HF27" i="45"/>
  <c r="HF37" i="45"/>
  <c r="HF54" i="45"/>
  <c r="HF33" i="45"/>
  <c r="HF45" i="45"/>
  <c r="HF43" i="45"/>
  <c r="HF30" i="45"/>
  <c r="HF40" i="45"/>
  <c r="HF48" i="45"/>
  <c r="HF51" i="45"/>
  <c r="HF56" i="45"/>
  <c r="HF35" i="45"/>
  <c r="HF22" i="45"/>
  <c r="HF31" i="45"/>
  <c r="HF28" i="45"/>
  <c r="HF26" i="45"/>
  <c r="HF39" i="45"/>
  <c r="HF50" i="45"/>
  <c r="HF57" i="45"/>
  <c r="HF32" i="45"/>
  <c r="HF52" i="45"/>
  <c r="HF42" i="45"/>
  <c r="HF6" i="45"/>
  <c r="HF38" i="45"/>
  <c r="HF53" i="45"/>
  <c r="HF55" i="45"/>
  <c r="HG18" i="45"/>
  <c r="HF24" i="45"/>
  <c r="HF49" i="45"/>
  <c r="HA40" i="46"/>
  <c r="HA29" i="46"/>
  <c r="HA27" i="46"/>
  <c r="HA25" i="46"/>
  <c r="HA23" i="46"/>
  <c r="HA21" i="46"/>
  <c r="HA34" i="46"/>
  <c r="HA50" i="46"/>
  <c r="HA36" i="46"/>
  <c r="HA26" i="46"/>
  <c r="HA39" i="46"/>
  <c r="HA28" i="46"/>
  <c r="HA45" i="46"/>
  <c r="HA47" i="46"/>
  <c r="HA49" i="46"/>
  <c r="HA55" i="46"/>
  <c r="HA24" i="46"/>
  <c r="HA20" i="46"/>
  <c r="HA41" i="46"/>
  <c r="HA38" i="46"/>
  <c r="HA35" i="46"/>
  <c r="HA48" i="46"/>
  <c r="HA53" i="46"/>
  <c r="HA30" i="46"/>
  <c r="HA42" i="46"/>
  <c r="HA6" i="46"/>
  <c r="HA37" i="46"/>
  <c r="HA33" i="46"/>
  <c r="HA51" i="46"/>
  <c r="HA31" i="46"/>
  <c r="HB18" i="46"/>
  <c r="HA44" i="46"/>
  <c r="HA43" i="46"/>
  <c r="HA46" i="46"/>
  <c r="HA32" i="46"/>
  <c r="HA56" i="46"/>
  <c r="HA22" i="46"/>
  <c r="HA54" i="46"/>
  <c r="HA52" i="46"/>
  <c r="CW59" i="38" l="1"/>
  <c r="DB59" i="38" s="1"/>
  <c r="CZ59" i="38"/>
  <c r="DE59" i="38" s="1"/>
  <c r="DA59" i="38"/>
  <c r="O59" i="38"/>
  <c r="I59" i="38"/>
  <c r="AH77" i="4"/>
  <c r="AJ76" i="4"/>
  <c r="AY76" i="46" s="1"/>
  <c r="AG77" i="4"/>
  <c r="AI76" i="4"/>
  <c r="AX76" i="46" s="1"/>
  <c r="J58" i="46"/>
  <c r="I59" i="45"/>
  <c r="R58" i="38"/>
  <c r="R58" i="45"/>
  <c r="R58" i="46"/>
  <c r="U47" i="41"/>
  <c r="T47" i="38"/>
  <c r="BU46" i="38"/>
  <c r="W46" i="38"/>
  <c r="T45" i="45"/>
  <c r="V45" i="41"/>
  <c r="T45" i="46"/>
  <c r="W45" i="46" s="1"/>
  <c r="W45" i="41"/>
  <c r="BS58" i="38"/>
  <c r="J59" i="46"/>
  <c r="K59" i="46"/>
  <c r="M59" i="46"/>
  <c r="L59" i="46"/>
  <c r="FK59" i="46"/>
  <c r="BQ59" i="38"/>
  <c r="K59" i="38"/>
  <c r="L59" i="38"/>
  <c r="FN59" i="38"/>
  <c r="CW59" i="41" s="1"/>
  <c r="J59" i="38"/>
  <c r="M59" i="38"/>
  <c r="FD59" i="38"/>
  <c r="EY59" i="38"/>
  <c r="K56" i="41"/>
  <c r="Z57" i="41"/>
  <c r="AD57" i="41" s="1"/>
  <c r="G56" i="41"/>
  <c r="M56" i="41"/>
  <c r="I56" i="41"/>
  <c r="AB57" i="41"/>
  <c r="AF57" i="41" s="1"/>
  <c r="FI58" i="38"/>
  <c r="FG58" i="38"/>
  <c r="FH58" i="38"/>
  <c r="CO58" i="38"/>
  <c r="BV58" i="41" s="1"/>
  <c r="A60" i="38"/>
  <c r="CV60" i="38" s="1"/>
  <c r="A60" i="41"/>
  <c r="A61" i="55"/>
  <c r="A60" i="7"/>
  <c r="A60" i="45"/>
  <c r="O60" i="45" s="1"/>
  <c r="A60" i="46"/>
  <c r="O60" i="46" s="1"/>
  <c r="A60" i="4"/>
  <c r="A60" i="6"/>
  <c r="D58" i="41"/>
  <c r="P58" i="45"/>
  <c r="Q58" i="45" s="1"/>
  <c r="S58" i="45"/>
  <c r="L56" i="41"/>
  <c r="H56" i="41"/>
  <c r="HD58" i="45"/>
  <c r="HC58" i="45"/>
  <c r="HE58" i="45"/>
  <c r="S58" i="46"/>
  <c r="E58" i="41"/>
  <c r="AI58" i="46"/>
  <c r="P58" i="46"/>
  <c r="Q58" i="46" s="1"/>
  <c r="HF58" i="45"/>
  <c r="C58" i="41"/>
  <c r="S58" i="38"/>
  <c r="P58" i="38"/>
  <c r="Q58" i="38" s="1"/>
  <c r="AI58" i="38"/>
  <c r="M59" i="45"/>
  <c r="FK59" i="45"/>
  <c r="HG59" i="45" s="1"/>
  <c r="L59" i="45"/>
  <c r="K59" i="45"/>
  <c r="CI58" i="38"/>
  <c r="BQ58" i="41" s="1"/>
  <c r="HG46" i="45"/>
  <c r="HG30" i="45"/>
  <c r="HG43" i="45"/>
  <c r="HG23" i="45"/>
  <c r="HG39" i="45"/>
  <c r="HH18" i="45"/>
  <c r="HG34" i="45"/>
  <c r="HG31" i="45"/>
  <c r="HG50" i="45"/>
  <c r="HG51" i="45"/>
  <c r="HG47" i="45"/>
  <c r="HG25" i="45"/>
  <c r="HG41" i="45"/>
  <c r="HG20" i="45"/>
  <c r="HG22" i="45"/>
  <c r="HG33" i="45"/>
  <c r="HG45" i="45"/>
  <c r="HG24" i="45"/>
  <c r="HG40" i="45"/>
  <c r="HG38" i="45"/>
  <c r="HG32" i="45"/>
  <c r="HG28" i="45"/>
  <c r="HG54" i="45"/>
  <c r="HG48" i="45"/>
  <c r="HG27" i="45"/>
  <c r="HG42" i="45"/>
  <c r="HG21" i="45"/>
  <c r="HG36" i="45"/>
  <c r="HG29" i="45"/>
  <c r="HG52" i="45"/>
  <c r="HG53" i="45"/>
  <c r="HG55" i="45"/>
  <c r="HG37" i="45"/>
  <c r="HG58" i="45"/>
  <c r="HG44" i="45"/>
  <c r="HG35" i="45"/>
  <c r="HG56" i="45"/>
  <c r="HG6" i="45"/>
  <c r="HG49" i="45"/>
  <c r="HG57" i="45"/>
  <c r="HG26" i="45"/>
  <c r="HC32" i="38"/>
  <c r="HC22" i="38"/>
  <c r="HC23" i="38"/>
  <c r="HC24" i="38"/>
  <c r="HC33" i="38"/>
  <c r="HC42" i="38"/>
  <c r="HC47" i="38"/>
  <c r="HC49" i="38"/>
  <c r="HC39" i="38"/>
  <c r="HC31" i="38"/>
  <c r="HC27" i="38"/>
  <c r="HD18" i="38"/>
  <c r="HC36" i="38"/>
  <c r="HC43" i="38"/>
  <c r="HC48" i="38"/>
  <c r="HC26" i="38"/>
  <c r="HC35" i="38"/>
  <c r="HC37" i="38"/>
  <c r="HC38" i="38"/>
  <c r="HC44" i="38"/>
  <c r="HC51" i="38"/>
  <c r="HC52" i="38"/>
  <c r="HC54" i="38"/>
  <c r="HC6" i="38"/>
  <c r="HC28" i="38"/>
  <c r="HC21" i="38"/>
  <c r="HC20" i="38"/>
  <c r="HC45" i="38"/>
  <c r="HC46" i="38"/>
  <c r="HC50" i="38"/>
  <c r="HC53" i="38"/>
  <c r="HC55" i="38"/>
  <c r="HC25" i="38"/>
  <c r="HC41" i="38"/>
  <c r="HC40" i="38"/>
  <c r="HC34" i="38"/>
  <c r="HC30" i="38"/>
  <c r="HC29" i="38"/>
  <c r="HB38" i="46"/>
  <c r="HB40" i="46"/>
  <c r="HB34" i="46"/>
  <c r="HB20" i="46"/>
  <c r="HB32" i="46"/>
  <c r="HB42" i="46"/>
  <c r="HB46" i="46"/>
  <c r="HB49" i="46"/>
  <c r="HB51" i="46"/>
  <c r="HB39" i="46"/>
  <c r="HB25" i="46"/>
  <c r="HB37" i="46"/>
  <c r="HB30" i="46"/>
  <c r="HB27" i="46"/>
  <c r="HB23" i="46"/>
  <c r="HB24" i="46"/>
  <c r="HB21" i="46"/>
  <c r="HB33" i="46"/>
  <c r="HB26" i="46"/>
  <c r="HB45" i="46"/>
  <c r="HB47" i="46"/>
  <c r="HB50" i="46"/>
  <c r="HB55" i="46"/>
  <c r="HB56" i="46"/>
  <c r="HB41" i="46"/>
  <c r="HC18" i="46"/>
  <c r="HB31" i="46"/>
  <c r="HB43" i="46"/>
  <c r="HB28" i="46"/>
  <c r="HB44" i="46"/>
  <c r="HB52" i="46"/>
  <c r="HB54" i="46"/>
  <c r="HB6" i="46"/>
  <c r="HB48" i="46"/>
  <c r="HB22" i="46"/>
  <c r="HB29" i="46"/>
  <c r="HB57" i="46"/>
  <c r="HB35" i="46"/>
  <c r="HB36" i="46"/>
  <c r="HB53" i="46"/>
  <c r="CZ60" i="38" l="1"/>
  <c r="DE60" i="38" s="1"/>
  <c r="CW60" i="38"/>
  <c r="DB60" i="38" s="1"/>
  <c r="DA60" i="38"/>
  <c r="I60" i="38"/>
  <c r="J60" i="38" s="1"/>
  <c r="O60" i="38"/>
  <c r="AG78" i="4"/>
  <c r="AI77" i="4"/>
  <c r="AX77" i="46" s="1"/>
  <c r="AZ77" i="46" s="1"/>
  <c r="BA77" i="46" s="1"/>
  <c r="BB77" i="46" s="1"/>
  <c r="G77" i="46" s="1"/>
  <c r="AZ76" i="46"/>
  <c r="BA76" i="46" s="1"/>
  <c r="BB76" i="46" s="1"/>
  <c r="G76" i="46" s="1"/>
  <c r="AH78" i="4"/>
  <c r="AJ77" i="4"/>
  <c r="AY77" i="46" s="1"/>
  <c r="I60" i="45"/>
  <c r="I60" i="46"/>
  <c r="I61" i="46" s="1"/>
  <c r="R59" i="38"/>
  <c r="R59" i="45"/>
  <c r="R59" i="46"/>
  <c r="BV46" i="38"/>
  <c r="U48" i="41"/>
  <c r="T48" i="38"/>
  <c r="BU47" i="38"/>
  <c r="BV47" i="38" s="1"/>
  <c r="W47" i="38"/>
  <c r="V46" i="41"/>
  <c r="T46" i="45"/>
  <c r="T46" i="46"/>
  <c r="W46" i="46" s="1"/>
  <c r="W46" i="41"/>
  <c r="BS59" i="38"/>
  <c r="CI59" i="38"/>
  <c r="BQ59" i="41" s="1"/>
  <c r="CO59" i="38"/>
  <c r="BV59" i="41" s="1"/>
  <c r="HE59" i="45"/>
  <c r="HD59" i="45"/>
  <c r="HF59" i="45"/>
  <c r="L60" i="45"/>
  <c r="FK60" i="45"/>
  <c r="HH60" i="45" s="1"/>
  <c r="M60" i="45"/>
  <c r="K60" i="45"/>
  <c r="EY60" i="38"/>
  <c r="FN60" i="38"/>
  <c r="CW60" i="41" s="1"/>
  <c r="FD60" i="38"/>
  <c r="BQ60" i="38"/>
  <c r="K60" i="38"/>
  <c r="L60" i="38"/>
  <c r="M60" i="38"/>
  <c r="FG59" i="38"/>
  <c r="FI59" i="38"/>
  <c r="FH59" i="38"/>
  <c r="P59" i="46"/>
  <c r="Q59" i="46" s="1"/>
  <c r="S59" i="46"/>
  <c r="E59" i="41"/>
  <c r="AI59" i="46"/>
  <c r="S59" i="45"/>
  <c r="P59" i="45"/>
  <c r="Q59" i="45" s="1"/>
  <c r="D59" i="41"/>
  <c r="Z58" i="41"/>
  <c r="AD58" i="41" s="1"/>
  <c r="K57" i="41"/>
  <c r="G57" i="41"/>
  <c r="H57" i="41"/>
  <c r="L57" i="41"/>
  <c r="A61" i="6"/>
  <c r="A61" i="45"/>
  <c r="O61" i="45" s="1"/>
  <c r="A61" i="41"/>
  <c r="A61" i="46"/>
  <c r="O61" i="46" s="1"/>
  <c r="A61" i="38"/>
  <c r="CV61" i="38" s="1"/>
  <c r="A62" i="55"/>
  <c r="A61" i="4"/>
  <c r="A61" i="7"/>
  <c r="I57" i="41"/>
  <c r="M57" i="41"/>
  <c r="AB58" i="41"/>
  <c r="AF58" i="41" s="1"/>
  <c r="K60" i="46"/>
  <c r="FK60" i="46"/>
  <c r="M60" i="46"/>
  <c r="L60" i="46"/>
  <c r="P59" i="38"/>
  <c r="Q59" i="38" s="1"/>
  <c r="S59" i="38"/>
  <c r="C59" i="41"/>
  <c r="AI59" i="38"/>
  <c r="HC44" i="46"/>
  <c r="HC26" i="46"/>
  <c r="HC24" i="46"/>
  <c r="HC22" i="46"/>
  <c r="HC20" i="46"/>
  <c r="HC33" i="46"/>
  <c r="HD18" i="46"/>
  <c r="HC47" i="46"/>
  <c r="HC48" i="46"/>
  <c r="HC28" i="46"/>
  <c r="HC25" i="46"/>
  <c r="HC38" i="46"/>
  <c r="HC39" i="46"/>
  <c r="HC6" i="46"/>
  <c r="HC51" i="46"/>
  <c r="HC52" i="46"/>
  <c r="HC54" i="46"/>
  <c r="HC30" i="46"/>
  <c r="HC31" i="46"/>
  <c r="HC40" i="46"/>
  <c r="HC37" i="46"/>
  <c r="HC23" i="46"/>
  <c r="HC35" i="46"/>
  <c r="HC49" i="46"/>
  <c r="HC58" i="46"/>
  <c r="HC29" i="46"/>
  <c r="HC41" i="46"/>
  <c r="HC27" i="46"/>
  <c r="HC36" i="46"/>
  <c r="HC32" i="46"/>
  <c r="HC46" i="46"/>
  <c r="HC53" i="46"/>
  <c r="HC57" i="46"/>
  <c r="HC21" i="46"/>
  <c r="HC45" i="46"/>
  <c r="HC34" i="46"/>
  <c r="HC42" i="46"/>
  <c r="HC55" i="46"/>
  <c r="HC50" i="46"/>
  <c r="HC56" i="46"/>
  <c r="HC43" i="46"/>
  <c r="HD35" i="38"/>
  <c r="HD40" i="38"/>
  <c r="HD39" i="38"/>
  <c r="HD36" i="38"/>
  <c r="HD31" i="38"/>
  <c r="HD24" i="38"/>
  <c r="HD46" i="38"/>
  <c r="HD33" i="38"/>
  <c r="HD38" i="38"/>
  <c r="HD22" i="38"/>
  <c r="HD28" i="38"/>
  <c r="HD27" i="38"/>
  <c r="HD45" i="38"/>
  <c r="HD50" i="38"/>
  <c r="HD53" i="38"/>
  <c r="HD55" i="38"/>
  <c r="HD20" i="38"/>
  <c r="HD29" i="38"/>
  <c r="HD41" i="38"/>
  <c r="HD26" i="38"/>
  <c r="HD6" i="38"/>
  <c r="HD43" i="38"/>
  <c r="HD47" i="38"/>
  <c r="HD48" i="38"/>
  <c r="HD30" i="38"/>
  <c r="HE18" i="38"/>
  <c r="HD25" i="38"/>
  <c r="HD21" i="38"/>
  <c r="HD32" i="38"/>
  <c r="HD49" i="38"/>
  <c r="HD54" i="38"/>
  <c r="HD34" i="38"/>
  <c r="HD42" i="38"/>
  <c r="HD56" i="38"/>
  <c r="HD37" i="38"/>
  <c r="HD51" i="38"/>
  <c r="HD52" i="38"/>
  <c r="HD23" i="38"/>
  <c r="HD44" i="38"/>
  <c r="HH30" i="45"/>
  <c r="HH50" i="45"/>
  <c r="HH26" i="45"/>
  <c r="HH48" i="45"/>
  <c r="HH44" i="45"/>
  <c r="HH20" i="45"/>
  <c r="HH31" i="45"/>
  <c r="HH41" i="45"/>
  <c r="HH25" i="45"/>
  <c r="HH33" i="45"/>
  <c r="HH23" i="45"/>
  <c r="HH39" i="45"/>
  <c r="HH6" i="45"/>
  <c r="HH29" i="45"/>
  <c r="HH52" i="45"/>
  <c r="HH53" i="45"/>
  <c r="HH55" i="45"/>
  <c r="HH42" i="45"/>
  <c r="HH28" i="45"/>
  <c r="HH43" i="45"/>
  <c r="HH47" i="45"/>
  <c r="HH22" i="45"/>
  <c r="HH40" i="45"/>
  <c r="HH32" i="45"/>
  <c r="HH57" i="45"/>
  <c r="HH58" i="45"/>
  <c r="HH36" i="45"/>
  <c r="HH38" i="45"/>
  <c r="HH24" i="45"/>
  <c r="HH45" i="45"/>
  <c r="HI18" i="45"/>
  <c r="HH46" i="45"/>
  <c r="HH56" i="45"/>
  <c r="HH59" i="45"/>
  <c r="HH37" i="45"/>
  <c r="HH34" i="45"/>
  <c r="HH27" i="45"/>
  <c r="HH35" i="45"/>
  <c r="HH54" i="45"/>
  <c r="HH21" i="45"/>
  <c r="HH51" i="45"/>
  <c r="HH49" i="45"/>
  <c r="CW61" i="38" l="1"/>
  <c r="DB61" i="38" s="1"/>
  <c r="CZ61" i="38"/>
  <c r="DE61" i="38" s="1"/>
  <c r="DA61" i="38"/>
  <c r="O61" i="38"/>
  <c r="I61" i="38"/>
  <c r="J60" i="46"/>
  <c r="AH79" i="4"/>
  <c r="AJ78" i="4"/>
  <c r="AY78" i="46" s="1"/>
  <c r="AG79" i="4"/>
  <c r="AI78" i="4"/>
  <c r="AX78" i="46" s="1"/>
  <c r="I61" i="45"/>
  <c r="I62" i="45" s="1"/>
  <c r="R60" i="38"/>
  <c r="R60" i="45"/>
  <c r="R60" i="46"/>
  <c r="W48" i="38"/>
  <c r="BU48" i="38"/>
  <c r="T49" i="38"/>
  <c r="U49" i="41"/>
  <c r="V47" i="41"/>
  <c r="T47" i="45"/>
  <c r="W47" i="41"/>
  <c r="T47" i="46"/>
  <c r="W47" i="46" s="1"/>
  <c r="CI60" i="38"/>
  <c r="BQ60" i="41" s="1"/>
  <c r="BS60" i="38"/>
  <c r="CO60" i="38"/>
  <c r="BV60" i="41" s="1"/>
  <c r="S60" i="46"/>
  <c r="AI60" i="46"/>
  <c r="E60" i="41"/>
  <c r="P60" i="46"/>
  <c r="Q60" i="46" s="1"/>
  <c r="M61" i="45"/>
  <c r="L61" i="45"/>
  <c r="K61" i="45"/>
  <c r="FK61" i="45"/>
  <c r="I58" i="41"/>
  <c r="M58" i="41"/>
  <c r="AB59" i="41"/>
  <c r="AF59" i="41" s="1"/>
  <c r="K58" i="41"/>
  <c r="Z59" i="41"/>
  <c r="AD59" i="41" s="1"/>
  <c r="G58" i="41"/>
  <c r="FN61" i="38"/>
  <c r="CW61" i="41" s="1"/>
  <c r="L61" i="38"/>
  <c r="BQ61" i="38"/>
  <c r="M61" i="38"/>
  <c r="EY61" i="38"/>
  <c r="J61" i="38"/>
  <c r="K61" i="38"/>
  <c r="FD61" i="38"/>
  <c r="S60" i="45"/>
  <c r="P60" i="45"/>
  <c r="Q60" i="45" s="1"/>
  <c r="D60" i="41"/>
  <c r="L61" i="46"/>
  <c r="J61" i="46"/>
  <c r="M61" i="46"/>
  <c r="K61" i="46"/>
  <c r="FK61" i="46"/>
  <c r="L58" i="41"/>
  <c r="H58" i="41"/>
  <c r="P60" i="38"/>
  <c r="Q60" i="38" s="1"/>
  <c r="S60" i="38"/>
  <c r="C60" i="41"/>
  <c r="AI60" i="38"/>
  <c r="HF60" i="45"/>
  <c r="HG60" i="45"/>
  <c r="HE60" i="45"/>
  <c r="A62" i="7"/>
  <c r="A62" i="38"/>
  <c r="CV62" i="38" s="1"/>
  <c r="A63" i="55"/>
  <c r="A62" i="46"/>
  <c r="O62" i="46" s="1"/>
  <c r="A62" i="41"/>
  <c r="A62" i="4"/>
  <c r="A62" i="6"/>
  <c r="A62" i="45"/>
  <c r="O62" i="45" s="1"/>
  <c r="FH60" i="38"/>
  <c r="FG60" i="38"/>
  <c r="FI60" i="38"/>
  <c r="HI37" i="45"/>
  <c r="HI32" i="45"/>
  <c r="HI43" i="45"/>
  <c r="HI27" i="45"/>
  <c r="HI40" i="45"/>
  <c r="HI24" i="45"/>
  <c r="HI22" i="45"/>
  <c r="HI36" i="45"/>
  <c r="HJ18" i="45"/>
  <c r="HI31" i="45"/>
  <c r="HI29" i="45"/>
  <c r="HI45" i="45"/>
  <c r="HI23" i="45"/>
  <c r="HI41" i="45"/>
  <c r="HI35" i="45"/>
  <c r="HI48" i="45"/>
  <c r="HI49" i="45"/>
  <c r="HI28" i="45"/>
  <c r="HI39" i="45"/>
  <c r="HI26" i="45"/>
  <c r="HI21" i="45"/>
  <c r="HI52" i="45"/>
  <c r="HI53" i="45"/>
  <c r="HI55" i="45"/>
  <c r="HI33" i="45"/>
  <c r="HI42" i="45"/>
  <c r="HI50" i="45"/>
  <c r="HI25" i="45"/>
  <c r="HI6" i="45"/>
  <c r="HI47" i="45"/>
  <c r="HI54" i="45"/>
  <c r="HI60" i="45"/>
  <c r="HI46" i="45"/>
  <c r="HI34" i="45"/>
  <c r="HI44" i="45"/>
  <c r="HI20" i="45"/>
  <c r="HI58" i="45"/>
  <c r="HI30" i="45"/>
  <c r="HI51" i="45"/>
  <c r="HI56" i="45"/>
  <c r="HI59" i="45"/>
  <c r="HI57" i="45"/>
  <c r="HI38" i="45"/>
  <c r="HE31" i="38"/>
  <c r="HE40" i="38"/>
  <c r="HE27" i="38"/>
  <c r="HE34" i="38"/>
  <c r="HE6" i="38"/>
  <c r="HF18" i="38"/>
  <c r="HE50" i="38"/>
  <c r="HE51" i="38"/>
  <c r="HE42" i="38"/>
  <c r="HE21" i="38"/>
  <c r="HE36" i="38"/>
  <c r="HE23" i="38"/>
  <c r="HE32" i="38"/>
  <c r="HE46" i="38"/>
  <c r="HE28" i="38"/>
  <c r="HE41" i="38"/>
  <c r="HE25" i="38"/>
  <c r="HE30" i="38"/>
  <c r="HE26" i="38"/>
  <c r="HE45" i="38"/>
  <c r="HE53" i="38"/>
  <c r="HE55" i="38"/>
  <c r="HE57" i="38"/>
  <c r="HE22" i="38"/>
  <c r="HE24" i="38"/>
  <c r="HE20" i="38"/>
  <c r="HE33" i="38"/>
  <c r="HE44" i="38"/>
  <c r="HE49" i="38"/>
  <c r="HE52" i="38"/>
  <c r="HE54" i="38"/>
  <c r="HE56" i="38"/>
  <c r="HE37" i="38"/>
  <c r="HE39" i="38"/>
  <c r="HE43" i="38"/>
  <c r="HE47" i="38"/>
  <c r="HE48" i="38"/>
  <c r="HE38" i="38"/>
  <c r="HE29" i="38"/>
  <c r="HE35" i="38"/>
  <c r="HD20" i="46"/>
  <c r="HD22" i="46"/>
  <c r="HD6" i="46"/>
  <c r="HD41" i="46"/>
  <c r="HD31" i="46"/>
  <c r="HD21" i="46"/>
  <c r="HD27" i="46"/>
  <c r="HD36" i="46"/>
  <c r="HD45" i="46"/>
  <c r="HE18" i="46"/>
  <c r="HD28" i="46"/>
  <c r="HD40" i="46"/>
  <c r="HD26" i="46"/>
  <c r="HD53" i="46"/>
  <c r="HD39" i="46"/>
  <c r="HD29" i="46"/>
  <c r="HD34" i="46"/>
  <c r="HD46" i="46"/>
  <c r="HD24" i="46"/>
  <c r="HD51" i="46"/>
  <c r="HD52" i="46"/>
  <c r="HD54" i="46"/>
  <c r="HD33" i="46"/>
  <c r="HD38" i="46"/>
  <c r="HD35" i="46"/>
  <c r="HD44" i="46"/>
  <c r="HD37" i="46"/>
  <c r="HD42" i="46"/>
  <c r="HD48" i="46"/>
  <c r="HD50" i="46"/>
  <c r="HD55" i="46"/>
  <c r="HD56" i="46"/>
  <c r="HD30" i="46"/>
  <c r="HD23" i="46"/>
  <c r="HD43" i="46"/>
  <c r="HD49" i="46"/>
  <c r="HD58" i="46"/>
  <c r="HD32" i="46"/>
  <c r="HD47" i="46"/>
  <c r="HD57" i="46"/>
  <c r="HD25" i="46"/>
  <c r="HD59" i="46"/>
  <c r="CZ62" i="38" l="1"/>
  <c r="DE62" i="38" s="1"/>
  <c r="CW62" i="38"/>
  <c r="DB62" i="38" s="1"/>
  <c r="DA62" i="38"/>
  <c r="I62" i="38"/>
  <c r="O62" i="38"/>
  <c r="AG80" i="4"/>
  <c r="AI79" i="4"/>
  <c r="AX79" i="46" s="1"/>
  <c r="AZ79" i="46" s="1"/>
  <c r="BA79" i="46" s="1"/>
  <c r="BB79" i="46" s="1"/>
  <c r="G79" i="46" s="1"/>
  <c r="AZ78" i="46"/>
  <c r="BA78" i="46" s="1"/>
  <c r="BB78" i="46" s="1"/>
  <c r="G78" i="46" s="1"/>
  <c r="AH80" i="4"/>
  <c r="AJ79" i="4"/>
  <c r="AY79" i="46" s="1"/>
  <c r="I62" i="46"/>
  <c r="I63" i="46" s="1"/>
  <c r="R61" i="38"/>
  <c r="R61" i="45"/>
  <c r="R61" i="46"/>
  <c r="BV48" i="38"/>
  <c r="BU49" i="38"/>
  <c r="BV49" i="38" s="1"/>
  <c r="W49" i="38"/>
  <c r="U50" i="41"/>
  <c r="T50" i="38"/>
  <c r="T48" i="45"/>
  <c r="V48" i="41"/>
  <c r="T48" i="46"/>
  <c r="W48" i="46" s="1"/>
  <c r="W48" i="41"/>
  <c r="CO61" i="38"/>
  <c r="BV61" i="41" s="1"/>
  <c r="CI61" i="38"/>
  <c r="BQ61" i="41" s="1"/>
  <c r="BS61" i="38"/>
  <c r="FN62" i="38"/>
  <c r="CW62" i="41" s="1"/>
  <c r="K62" i="38"/>
  <c r="FD62" i="38"/>
  <c r="BQ62" i="38"/>
  <c r="M62" i="38"/>
  <c r="L62" i="38"/>
  <c r="EY62" i="38"/>
  <c r="S61" i="46"/>
  <c r="P61" i="46"/>
  <c r="Q61" i="46" s="1"/>
  <c r="E61" i="41"/>
  <c r="AI61" i="46"/>
  <c r="S61" i="45"/>
  <c r="D61" i="41"/>
  <c r="P61" i="45"/>
  <c r="Q61" i="45" s="1"/>
  <c r="FG61" i="38"/>
  <c r="FH61" i="38"/>
  <c r="FI61" i="38"/>
  <c r="HH61" i="45"/>
  <c r="HG61" i="45"/>
  <c r="HF61" i="45"/>
  <c r="M59" i="41"/>
  <c r="I59" i="41"/>
  <c r="AB60" i="41"/>
  <c r="AF60" i="41" s="1"/>
  <c r="HI61" i="45"/>
  <c r="K62" i="45"/>
  <c r="M62" i="45"/>
  <c r="L62" i="45"/>
  <c r="FK62" i="45"/>
  <c r="HJ62" i="45" s="1"/>
  <c r="J62" i="46"/>
  <c r="FK62" i="46"/>
  <c r="K62" i="46"/>
  <c r="L62" i="46"/>
  <c r="M62" i="46"/>
  <c r="K59" i="41"/>
  <c r="Z60" i="41"/>
  <c r="AD60" i="41" s="1"/>
  <c r="G59" i="41"/>
  <c r="H59" i="41"/>
  <c r="L59" i="41"/>
  <c r="A63" i="45"/>
  <c r="O63" i="45" s="1"/>
  <c r="A64" i="55"/>
  <c r="A63" i="4"/>
  <c r="A63" i="6"/>
  <c r="A63" i="41"/>
  <c r="A63" i="38"/>
  <c r="CV63" i="38" s="1"/>
  <c r="A63" i="7"/>
  <c r="A63" i="46"/>
  <c r="O63" i="46" s="1"/>
  <c r="C61" i="41"/>
  <c r="S61" i="38"/>
  <c r="AI61" i="38"/>
  <c r="P61" i="38"/>
  <c r="Q61" i="38" s="1"/>
  <c r="R62" i="38" s="1"/>
  <c r="HE39" i="46"/>
  <c r="HE37" i="46"/>
  <c r="HE35" i="46"/>
  <c r="HE44" i="46"/>
  <c r="HE30" i="46"/>
  <c r="HE24" i="46"/>
  <c r="HE26" i="46"/>
  <c r="HE50" i="46"/>
  <c r="HE36" i="46"/>
  <c r="HE22" i="46"/>
  <c r="HF18" i="46"/>
  <c r="HE31" i="46"/>
  <c r="HE40" i="46"/>
  <c r="HE41" i="46"/>
  <c r="HE48" i="46"/>
  <c r="HE55" i="46"/>
  <c r="HE20" i="46"/>
  <c r="HE21" i="46"/>
  <c r="HE34" i="46"/>
  <c r="HE46" i="46"/>
  <c r="HE43" i="46"/>
  <c r="HE25" i="46"/>
  <c r="HE53" i="46"/>
  <c r="HE57" i="46"/>
  <c r="HE38" i="46"/>
  <c r="HE6" i="46"/>
  <c r="HE28" i="46"/>
  <c r="HE29" i="46"/>
  <c r="HE42" i="46"/>
  <c r="HE49" i="46"/>
  <c r="HE58" i="46"/>
  <c r="HE59" i="46"/>
  <c r="HE23" i="46"/>
  <c r="HE27" i="46"/>
  <c r="HE51" i="46"/>
  <c r="HE52" i="46"/>
  <c r="HE54" i="46"/>
  <c r="HE56" i="46"/>
  <c r="HE32" i="46"/>
  <c r="HE60" i="46"/>
  <c r="HE33" i="46"/>
  <c r="HE47" i="46"/>
  <c r="HE45" i="46"/>
  <c r="HF41" i="38"/>
  <c r="HF6" i="38"/>
  <c r="HF37" i="38"/>
  <c r="HF27" i="38"/>
  <c r="HF28" i="38"/>
  <c r="HF22" i="38"/>
  <c r="HF44" i="38"/>
  <c r="HF45" i="38"/>
  <c r="HF48" i="38"/>
  <c r="HF21" i="38"/>
  <c r="HF30" i="38"/>
  <c r="HF26" i="38"/>
  <c r="HF36" i="38"/>
  <c r="HF20" i="38"/>
  <c r="HF49" i="38"/>
  <c r="HF52" i="38"/>
  <c r="HF54" i="38"/>
  <c r="HF43" i="38"/>
  <c r="HF35" i="38"/>
  <c r="HF34" i="38"/>
  <c r="HF29" i="38"/>
  <c r="HF23" i="38"/>
  <c r="HF46" i="38"/>
  <c r="HF50" i="38"/>
  <c r="HG18" i="38"/>
  <c r="HF31" i="38"/>
  <c r="HF40" i="38"/>
  <c r="HF42" i="38"/>
  <c r="HF24" i="38"/>
  <c r="HF47" i="38"/>
  <c r="HF51" i="38"/>
  <c r="HF39" i="38"/>
  <c r="HF58" i="38"/>
  <c r="HF33" i="38"/>
  <c r="HF53" i="38"/>
  <c r="HF32" i="38"/>
  <c r="HF56" i="38"/>
  <c r="HF25" i="38"/>
  <c r="HF55" i="38"/>
  <c r="HF38" i="38"/>
  <c r="HF57" i="38"/>
  <c r="HJ43" i="45"/>
  <c r="HJ31" i="45"/>
  <c r="HJ44" i="45"/>
  <c r="HJ28" i="45"/>
  <c r="HJ51" i="45"/>
  <c r="HJ37" i="45"/>
  <c r="HJ21" i="45"/>
  <c r="HJ20" i="45"/>
  <c r="HJ22" i="45"/>
  <c r="HJ6" i="45"/>
  <c r="HJ32" i="45"/>
  <c r="HJ39" i="45"/>
  <c r="HJ30" i="45"/>
  <c r="HJ34" i="45"/>
  <c r="HJ52" i="45"/>
  <c r="HK18" i="45"/>
  <c r="HJ54" i="45"/>
  <c r="HJ48" i="45"/>
  <c r="HJ29" i="45"/>
  <c r="HJ38" i="45"/>
  <c r="HJ25" i="45"/>
  <c r="HJ24" i="45"/>
  <c r="HJ33" i="45"/>
  <c r="HJ47" i="45"/>
  <c r="HJ56" i="45"/>
  <c r="HJ59" i="45"/>
  <c r="HJ45" i="45"/>
  <c r="HJ49" i="45"/>
  <c r="HJ27" i="45"/>
  <c r="HJ35" i="45"/>
  <c r="HJ26" i="45"/>
  <c r="HJ46" i="45"/>
  <c r="HJ57" i="45"/>
  <c r="HJ58" i="45"/>
  <c r="HJ42" i="45"/>
  <c r="HJ23" i="45"/>
  <c r="HJ60" i="45"/>
  <c r="HJ50" i="45"/>
  <c r="HJ36" i="45"/>
  <c r="HJ61" i="45"/>
  <c r="HJ41" i="45"/>
  <c r="HJ53" i="45"/>
  <c r="HJ40" i="45"/>
  <c r="HJ55" i="45"/>
  <c r="CW63" i="38" l="1"/>
  <c r="DB63" i="38" s="1"/>
  <c r="CZ63" i="38"/>
  <c r="DE63" i="38" s="1"/>
  <c r="DA63" i="38"/>
  <c r="O63" i="38"/>
  <c r="I63" i="38"/>
  <c r="AH81" i="4"/>
  <c r="AJ80" i="4"/>
  <c r="AY80" i="46" s="1"/>
  <c r="AG81" i="4"/>
  <c r="AI80" i="4"/>
  <c r="AX80" i="46" s="1"/>
  <c r="I63" i="45"/>
  <c r="I64" i="45" s="1"/>
  <c r="R62" i="45"/>
  <c r="R62" i="46"/>
  <c r="W50" i="38"/>
  <c r="BU50" i="38"/>
  <c r="BV50" i="38" s="1"/>
  <c r="T51" i="38"/>
  <c r="U51" i="41"/>
  <c r="W49" i="41"/>
  <c r="T49" i="46"/>
  <c r="W49" i="46" s="1"/>
  <c r="V49" i="41"/>
  <c r="T49" i="45"/>
  <c r="A64" i="38"/>
  <c r="CV64" i="38" s="1"/>
  <c r="A64" i="6"/>
  <c r="A64" i="41"/>
  <c r="A64" i="46"/>
  <c r="O64" i="46" s="1"/>
  <c r="A64" i="7"/>
  <c r="A65" i="55"/>
  <c r="A64" i="45"/>
  <c r="O64" i="45" s="1"/>
  <c r="A64" i="4"/>
  <c r="M60" i="41"/>
  <c r="I60" i="41"/>
  <c r="AB61" i="41"/>
  <c r="AF61" i="41" s="1"/>
  <c r="J62" i="38"/>
  <c r="CO62" i="38" s="1"/>
  <c r="BV62" i="41" s="1"/>
  <c r="BS62" i="38"/>
  <c r="Z61" i="41"/>
  <c r="AD61" i="41" s="1"/>
  <c r="K60" i="41"/>
  <c r="G60" i="41"/>
  <c r="FK63" i="45"/>
  <c r="HK63" i="45" s="1"/>
  <c r="L63" i="45"/>
  <c r="K63" i="45"/>
  <c r="M63" i="45"/>
  <c r="E62" i="41"/>
  <c r="AI62" i="46"/>
  <c r="S62" i="46"/>
  <c r="P62" i="46"/>
  <c r="Q62" i="46" s="1"/>
  <c r="K63" i="38"/>
  <c r="M63" i="38"/>
  <c r="EY63" i="38"/>
  <c r="FN63" i="38"/>
  <c r="CW63" i="41" s="1"/>
  <c r="J63" i="38"/>
  <c r="BQ63" i="38"/>
  <c r="FD63" i="38"/>
  <c r="L63" i="38"/>
  <c r="M63" i="46"/>
  <c r="K63" i="46"/>
  <c r="L63" i="46"/>
  <c r="J63" i="46"/>
  <c r="FK63" i="46"/>
  <c r="HH62" i="45"/>
  <c r="HI62" i="45"/>
  <c r="HG62" i="45"/>
  <c r="C62" i="41"/>
  <c r="P62" i="38"/>
  <c r="Q62" i="38" s="1"/>
  <c r="AI62" i="38"/>
  <c r="S62" i="38"/>
  <c r="D62" i="41"/>
  <c r="S62" i="45"/>
  <c r="P62" i="45"/>
  <c r="Q62" i="45" s="1"/>
  <c r="R63" i="45" s="1"/>
  <c r="H60" i="41"/>
  <c r="L60" i="41"/>
  <c r="FI62" i="38"/>
  <c r="FG62" i="38"/>
  <c r="FH62" i="38"/>
  <c r="HK39" i="45"/>
  <c r="HK23" i="45"/>
  <c r="HK35" i="45"/>
  <c r="HL18" i="45"/>
  <c r="HK51" i="45"/>
  <c r="HK31" i="45"/>
  <c r="HK44" i="45"/>
  <c r="HK42" i="45"/>
  <c r="HK6" i="45"/>
  <c r="HK41" i="45"/>
  <c r="HK20" i="45"/>
  <c r="HK22" i="45"/>
  <c r="HK47" i="45"/>
  <c r="HK48" i="45"/>
  <c r="HK30" i="45"/>
  <c r="HK50" i="45"/>
  <c r="HK40" i="45"/>
  <c r="HK34" i="45"/>
  <c r="HK32" i="45"/>
  <c r="HK33" i="45"/>
  <c r="HK24" i="45"/>
  <c r="HK45" i="45"/>
  <c r="HK54" i="45"/>
  <c r="HK60" i="45"/>
  <c r="HK38" i="45"/>
  <c r="HK21" i="45"/>
  <c r="HK36" i="45"/>
  <c r="HK46" i="45"/>
  <c r="HK28" i="45"/>
  <c r="HK27" i="45"/>
  <c r="HK53" i="45"/>
  <c r="HK55" i="45"/>
  <c r="HK49" i="45"/>
  <c r="HK29" i="45"/>
  <c r="HK57" i="45"/>
  <c r="HK26" i="45"/>
  <c r="HK43" i="45"/>
  <c r="HK37" i="45"/>
  <c r="HK25" i="45"/>
  <c r="HK58" i="45"/>
  <c r="HK61" i="45"/>
  <c r="HK56" i="45"/>
  <c r="HK59" i="45"/>
  <c r="HK62" i="45"/>
  <c r="HK52" i="45"/>
  <c r="HG43" i="38"/>
  <c r="HG27" i="38"/>
  <c r="HG26" i="38"/>
  <c r="HG28" i="38"/>
  <c r="HG42" i="38"/>
  <c r="HG30" i="38"/>
  <c r="HG33" i="38"/>
  <c r="HG23" i="38"/>
  <c r="HG47" i="38"/>
  <c r="HG49" i="38"/>
  <c r="HG37" i="38"/>
  <c r="HG6" i="38"/>
  <c r="HG21" i="38"/>
  <c r="HG51" i="38"/>
  <c r="HG36" i="38"/>
  <c r="HG39" i="38"/>
  <c r="HG20" i="38"/>
  <c r="HG35" i="38"/>
  <c r="HG38" i="38"/>
  <c r="HG24" i="38"/>
  <c r="HG52" i="38"/>
  <c r="HG54" i="38"/>
  <c r="HG56" i="38"/>
  <c r="HG58" i="38"/>
  <c r="HG59" i="38"/>
  <c r="HG41" i="38"/>
  <c r="HG34" i="38"/>
  <c r="HH18" i="38"/>
  <c r="HG25" i="38"/>
  <c r="HG40" i="38"/>
  <c r="HG44" i="38"/>
  <c r="HG48" i="38"/>
  <c r="HG53" i="38"/>
  <c r="HG55" i="38"/>
  <c r="HG57" i="38"/>
  <c r="HG31" i="38"/>
  <c r="HG45" i="38"/>
  <c r="HG46" i="38"/>
  <c r="HG22" i="38"/>
  <c r="HG32" i="38"/>
  <c r="HG50" i="38"/>
  <c r="HG29" i="38"/>
  <c r="HF30" i="46"/>
  <c r="HF24" i="46"/>
  <c r="HF26" i="46"/>
  <c r="HF20" i="46"/>
  <c r="HF22" i="46"/>
  <c r="HG18" i="46"/>
  <c r="HF45" i="46"/>
  <c r="HF49" i="46"/>
  <c r="HF51" i="46"/>
  <c r="HF43" i="46"/>
  <c r="HF25" i="46"/>
  <c r="HF42" i="46"/>
  <c r="HF39" i="46"/>
  <c r="HF32" i="46"/>
  <c r="HF28" i="46"/>
  <c r="HF50" i="46"/>
  <c r="HF31" i="46"/>
  <c r="HF40" i="46"/>
  <c r="HF37" i="46"/>
  <c r="HF23" i="46"/>
  <c r="HF6" i="46"/>
  <c r="HF35" i="46"/>
  <c r="HF48" i="46"/>
  <c r="HF55" i="46"/>
  <c r="HF56" i="46"/>
  <c r="HF41" i="46"/>
  <c r="HF27" i="46"/>
  <c r="HF36" i="46"/>
  <c r="HF33" i="46"/>
  <c r="HF34" i="46"/>
  <c r="HF52" i="46"/>
  <c r="HF54" i="46"/>
  <c r="HF46" i="46"/>
  <c r="HF44" i="46"/>
  <c r="HF53" i="46"/>
  <c r="HF59" i="46"/>
  <c r="HF47" i="46"/>
  <c r="HF29" i="46"/>
  <c r="HF61" i="46"/>
  <c r="HF21" i="46"/>
  <c r="HF58" i="46"/>
  <c r="HF60" i="46"/>
  <c r="HF57" i="46"/>
  <c r="HF38" i="46"/>
  <c r="CW64" i="38" l="1"/>
  <c r="DB64" i="38" s="1"/>
  <c r="CZ64" i="38"/>
  <c r="DE64" i="38" s="1"/>
  <c r="DA64" i="38"/>
  <c r="R63" i="38"/>
  <c r="O64" i="38"/>
  <c r="I64" i="38"/>
  <c r="AG82" i="4"/>
  <c r="AI81" i="4"/>
  <c r="AX81" i="46" s="1"/>
  <c r="AZ81" i="46" s="1"/>
  <c r="BA81" i="46" s="1"/>
  <c r="BB81" i="46" s="1"/>
  <c r="G81" i="46" s="1"/>
  <c r="AZ80" i="46"/>
  <c r="BA80" i="46" s="1"/>
  <c r="BB80" i="46" s="1"/>
  <c r="G80" i="46" s="1"/>
  <c r="AH82" i="4"/>
  <c r="AJ81" i="4"/>
  <c r="AY81" i="46" s="1"/>
  <c r="I64" i="46"/>
  <c r="R63" i="46"/>
  <c r="W51" i="38"/>
  <c r="BU51" i="38"/>
  <c r="BV51" i="38" s="1"/>
  <c r="U52" i="41"/>
  <c r="T52" i="38"/>
  <c r="T50" i="45"/>
  <c r="V50" i="41"/>
  <c r="W50" i="41"/>
  <c r="T50" i="46"/>
  <c r="W50" i="46" s="1"/>
  <c r="CI62" i="38"/>
  <c r="BQ62" i="41" s="1"/>
  <c r="CO63" i="38"/>
  <c r="BV63" i="41" s="1"/>
  <c r="E63" i="41"/>
  <c r="S63" i="46"/>
  <c r="AI63" i="46"/>
  <c r="P63" i="46"/>
  <c r="Q63" i="46" s="1"/>
  <c r="BS63" i="38"/>
  <c r="K64" i="45"/>
  <c r="M64" i="45"/>
  <c r="FK64" i="45"/>
  <c r="HL64" i="45" s="1"/>
  <c r="L64" i="45"/>
  <c r="AB62" i="41"/>
  <c r="AF62" i="41" s="1"/>
  <c r="I61" i="41"/>
  <c r="M61" i="41"/>
  <c r="L64" i="46"/>
  <c r="K64" i="46"/>
  <c r="FK64" i="46"/>
  <c r="M64" i="46"/>
  <c r="J64" i="46"/>
  <c r="H61" i="41"/>
  <c r="L61" i="41"/>
  <c r="FG63" i="38"/>
  <c r="FH63" i="38"/>
  <c r="FI63" i="38"/>
  <c r="A65" i="46"/>
  <c r="O65" i="46" s="1"/>
  <c r="A66" i="55"/>
  <c r="A65" i="45"/>
  <c r="O65" i="45" s="1"/>
  <c r="A65" i="6"/>
  <c r="A65" i="7"/>
  <c r="A65" i="41"/>
  <c r="A65" i="38"/>
  <c r="CV65" i="38" s="1"/>
  <c r="A65" i="4"/>
  <c r="K61" i="41"/>
  <c r="Z62" i="41"/>
  <c r="AD62" i="41" s="1"/>
  <c r="G61" i="41"/>
  <c r="AI63" i="38"/>
  <c r="P63" i="38"/>
  <c r="Q63" i="38" s="1"/>
  <c r="S63" i="38"/>
  <c r="C63" i="41"/>
  <c r="CI63" i="38"/>
  <c r="BQ63" i="41" s="1"/>
  <c r="P63" i="45"/>
  <c r="Q63" i="45" s="1"/>
  <c r="R64" i="45" s="1"/>
  <c r="S63" i="45"/>
  <c r="D63" i="41"/>
  <c r="HI63" i="45"/>
  <c r="HH63" i="45"/>
  <c r="HJ63" i="45"/>
  <c r="K64" i="38"/>
  <c r="FD64" i="38"/>
  <c r="L64" i="38"/>
  <c r="BQ64" i="38"/>
  <c r="EY64" i="38"/>
  <c r="FN64" i="38"/>
  <c r="CW64" i="41" s="1"/>
  <c r="M64" i="38"/>
  <c r="HG26" i="46"/>
  <c r="HG24" i="46"/>
  <c r="HG22" i="46"/>
  <c r="HG20" i="46"/>
  <c r="HG45" i="46"/>
  <c r="HG6" i="46"/>
  <c r="HG31" i="46"/>
  <c r="HG28" i="46"/>
  <c r="HG40" i="46"/>
  <c r="HG33" i="46"/>
  <c r="HG23" i="46"/>
  <c r="HG32" i="46"/>
  <c r="HG46" i="46"/>
  <c r="HG47" i="46"/>
  <c r="HG52" i="46"/>
  <c r="HG54" i="46"/>
  <c r="HG42" i="46"/>
  <c r="HG43" i="46"/>
  <c r="HG49" i="46"/>
  <c r="HG34" i="46"/>
  <c r="HG35" i="46"/>
  <c r="HG44" i="46"/>
  <c r="HG50" i="46"/>
  <c r="HG58" i="46"/>
  <c r="HG59" i="46"/>
  <c r="HG21" i="46"/>
  <c r="HG38" i="46"/>
  <c r="HG39" i="46"/>
  <c r="HG48" i="46"/>
  <c r="HG25" i="46"/>
  <c r="HG41" i="46"/>
  <c r="HG51" i="46"/>
  <c r="HG53" i="46"/>
  <c r="HG57" i="46"/>
  <c r="HG29" i="46"/>
  <c r="HG62" i="46"/>
  <c r="HG37" i="46"/>
  <c r="HH18" i="46"/>
  <c r="HG56" i="46"/>
  <c r="HG27" i="46"/>
  <c r="HG30" i="46"/>
  <c r="HG61" i="46"/>
  <c r="HG36" i="46"/>
  <c r="HG55" i="46"/>
  <c r="HG60" i="46"/>
  <c r="HL48" i="45"/>
  <c r="HL40" i="45"/>
  <c r="HL20" i="45"/>
  <c r="HL37" i="45"/>
  <c r="HL32" i="45"/>
  <c r="HL33" i="45"/>
  <c r="HL28" i="45"/>
  <c r="HL24" i="45"/>
  <c r="HL50" i="45"/>
  <c r="HL55" i="45"/>
  <c r="HL47" i="45"/>
  <c r="HL39" i="45"/>
  <c r="HM18" i="45"/>
  <c r="HL36" i="45"/>
  <c r="HL31" i="45"/>
  <c r="HL49" i="45"/>
  <c r="HL27" i="45"/>
  <c r="HL51" i="45"/>
  <c r="HL26" i="45"/>
  <c r="HL57" i="45"/>
  <c r="HL58" i="45"/>
  <c r="HL41" i="45"/>
  <c r="HL21" i="45"/>
  <c r="HL42" i="45"/>
  <c r="HL34" i="45"/>
  <c r="HL38" i="45"/>
  <c r="HL29" i="45"/>
  <c r="HL44" i="45"/>
  <c r="HL23" i="45"/>
  <c r="HL25" i="45"/>
  <c r="HL56" i="45"/>
  <c r="HL59" i="45"/>
  <c r="HL22" i="45"/>
  <c r="HL30" i="45"/>
  <c r="HL62" i="45"/>
  <c r="HL53" i="45"/>
  <c r="HL52" i="45"/>
  <c r="HL60" i="45"/>
  <c r="HL35" i="45"/>
  <c r="HL43" i="45"/>
  <c r="HL54" i="45"/>
  <c r="HL46" i="45"/>
  <c r="HL63" i="45"/>
  <c r="HL6" i="45"/>
  <c r="HL45" i="45"/>
  <c r="HL61" i="45"/>
  <c r="HH32" i="38"/>
  <c r="HH44" i="38"/>
  <c r="HH31" i="38"/>
  <c r="HH40" i="38"/>
  <c r="HH27" i="38"/>
  <c r="HH29" i="38"/>
  <c r="HH22" i="38"/>
  <c r="HH46" i="38"/>
  <c r="HH50" i="38"/>
  <c r="HH25" i="38"/>
  <c r="HH38" i="38"/>
  <c r="HH26" i="38"/>
  <c r="HH24" i="38"/>
  <c r="HH33" i="38"/>
  <c r="HH47" i="38"/>
  <c r="HH48" i="38"/>
  <c r="HH53" i="38"/>
  <c r="HH55" i="38"/>
  <c r="HH35" i="38"/>
  <c r="HH21" i="38"/>
  <c r="HH45" i="38"/>
  <c r="HH30" i="38"/>
  <c r="HH20" i="38"/>
  <c r="HH49" i="38"/>
  <c r="HH51" i="38"/>
  <c r="HH42" i="38"/>
  <c r="HH6" i="38"/>
  <c r="HH43" i="38"/>
  <c r="HH39" i="38"/>
  <c r="HH36" i="38"/>
  <c r="HH58" i="38"/>
  <c r="HH34" i="38"/>
  <c r="HH57" i="38"/>
  <c r="HH37" i="38"/>
  <c r="HH41" i="38"/>
  <c r="HH54" i="38"/>
  <c r="HH60" i="38"/>
  <c r="HI18" i="38"/>
  <c r="HH23" i="38"/>
  <c r="HH59" i="38"/>
  <c r="HH28" i="38"/>
  <c r="HH52" i="38"/>
  <c r="HH56" i="38"/>
  <c r="R64" i="38" l="1"/>
  <c r="CW65" i="38"/>
  <c r="DB65" i="38" s="1"/>
  <c r="I65" i="38"/>
  <c r="J65" i="38" s="1"/>
  <c r="O65" i="38"/>
  <c r="AH83" i="4"/>
  <c r="AJ82" i="4"/>
  <c r="AY82" i="46" s="1"/>
  <c r="AG83" i="4"/>
  <c r="AI82" i="4"/>
  <c r="AX82" i="46" s="1"/>
  <c r="I65" i="46"/>
  <c r="J65" i="46" s="1"/>
  <c r="I65" i="45"/>
  <c r="R64" i="46"/>
  <c r="W52" i="38"/>
  <c r="BU52" i="38"/>
  <c r="BV52" i="38" s="1"/>
  <c r="T53" i="38"/>
  <c r="U53" i="41"/>
  <c r="V51" i="41"/>
  <c r="T51" i="45"/>
  <c r="T51" i="46"/>
  <c r="W51" i="46" s="1"/>
  <c r="W51" i="41"/>
  <c r="P64" i="38"/>
  <c r="Q64" i="38" s="1"/>
  <c r="AI64" i="38"/>
  <c r="S64" i="38"/>
  <c r="C64" i="41"/>
  <c r="G62" i="41"/>
  <c r="Z63" i="41"/>
  <c r="AD63" i="41" s="1"/>
  <c r="K62" i="41"/>
  <c r="BQ65" i="38"/>
  <c r="EY65" i="38"/>
  <c r="FN65" i="38"/>
  <c r="CW65" i="41" s="1"/>
  <c r="K65" i="38"/>
  <c r="FD65" i="38"/>
  <c r="L65" i="38"/>
  <c r="M65" i="38"/>
  <c r="K65" i="45"/>
  <c r="M65" i="45"/>
  <c r="FK65" i="45"/>
  <c r="HM65" i="45" s="1"/>
  <c r="L65" i="45"/>
  <c r="HJ64" i="45"/>
  <c r="HK64" i="45"/>
  <c r="HI64" i="45"/>
  <c r="A66" i="4"/>
  <c r="A66" i="6"/>
  <c r="A66" i="45"/>
  <c r="O66" i="45" s="1"/>
  <c r="A67" i="55"/>
  <c r="A66" i="38"/>
  <c r="CV66" i="38" s="1"/>
  <c r="A66" i="41"/>
  <c r="A66" i="7"/>
  <c r="A66" i="46"/>
  <c r="O66" i="46" s="1"/>
  <c r="FH64" i="38"/>
  <c r="FI64" i="38"/>
  <c r="FG64" i="38"/>
  <c r="FK65" i="46"/>
  <c r="L65" i="46"/>
  <c r="M65" i="46"/>
  <c r="K65" i="46"/>
  <c r="E64" i="41"/>
  <c r="S64" i="46"/>
  <c r="P64" i="46"/>
  <c r="Q64" i="46" s="1"/>
  <c r="AI64" i="46"/>
  <c r="D64" i="41"/>
  <c r="P64" i="45"/>
  <c r="Q64" i="45" s="1"/>
  <c r="R65" i="45" s="1"/>
  <c r="S64" i="45"/>
  <c r="J64" i="38"/>
  <c r="CI64" i="38" s="1"/>
  <c r="BQ64" i="41" s="1"/>
  <c r="BS64" i="38"/>
  <c r="L62" i="41"/>
  <c r="H62" i="41"/>
  <c r="I62" i="41"/>
  <c r="M62" i="41"/>
  <c r="AB63" i="41"/>
  <c r="AF63" i="41" s="1"/>
  <c r="HI45" i="38"/>
  <c r="HI30" i="38"/>
  <c r="HI32" i="38"/>
  <c r="HI6" i="38"/>
  <c r="HI35" i="38"/>
  <c r="HI44" i="38"/>
  <c r="HI34" i="38"/>
  <c r="HI51" i="38"/>
  <c r="HI31" i="38"/>
  <c r="HI38" i="38"/>
  <c r="HI37" i="38"/>
  <c r="HI42" i="38"/>
  <c r="HJ18" i="38"/>
  <c r="HI50" i="38"/>
  <c r="HI40" i="38"/>
  <c r="HI21" i="38"/>
  <c r="HI27" i="38"/>
  <c r="HI28" i="38"/>
  <c r="HI46" i="38"/>
  <c r="HI29" i="38"/>
  <c r="HI47" i="38"/>
  <c r="HI48" i="38"/>
  <c r="HI53" i="38"/>
  <c r="HI55" i="38"/>
  <c r="HI57" i="38"/>
  <c r="HI20" i="38"/>
  <c r="HI41" i="38"/>
  <c r="HI39" i="38"/>
  <c r="HI22" i="38"/>
  <c r="HI24" i="38"/>
  <c r="HI52" i="38"/>
  <c r="HI54" i="38"/>
  <c r="HI56" i="38"/>
  <c r="HI59" i="38"/>
  <c r="HI26" i="38"/>
  <c r="HI23" i="38"/>
  <c r="HI49" i="38"/>
  <c r="HI36" i="38"/>
  <c r="HI33" i="38"/>
  <c r="HI58" i="38"/>
  <c r="HI60" i="38"/>
  <c r="HI61" i="38"/>
  <c r="HI43" i="38"/>
  <c r="HI25" i="38"/>
  <c r="HM36" i="45"/>
  <c r="HM27" i="45"/>
  <c r="HM54" i="45"/>
  <c r="HM42" i="45"/>
  <c r="HM30" i="45"/>
  <c r="HM44" i="45"/>
  <c r="HM20" i="45"/>
  <c r="HM22" i="45"/>
  <c r="HM40" i="45"/>
  <c r="HM46" i="45"/>
  <c r="HM33" i="45"/>
  <c r="HM49" i="45"/>
  <c r="HM25" i="45"/>
  <c r="HM51" i="45"/>
  <c r="HM39" i="45"/>
  <c r="HN18" i="45"/>
  <c r="HM41" i="45"/>
  <c r="HM31" i="45"/>
  <c r="HM37" i="45"/>
  <c r="HM28" i="45"/>
  <c r="HM55" i="45"/>
  <c r="HM43" i="45"/>
  <c r="HM23" i="45"/>
  <c r="HM45" i="45"/>
  <c r="HM21" i="45"/>
  <c r="HM34" i="45"/>
  <c r="HM52" i="45"/>
  <c r="HM35" i="45"/>
  <c r="HM60" i="45"/>
  <c r="HM6" i="45"/>
  <c r="HM38" i="45"/>
  <c r="HM56" i="45"/>
  <c r="HM59" i="45"/>
  <c r="HM61" i="45"/>
  <c r="HM63" i="45"/>
  <c r="HM48" i="45"/>
  <c r="HM26" i="45"/>
  <c r="HM57" i="45"/>
  <c r="HM62" i="45"/>
  <c r="HM64" i="45"/>
  <c r="HM53" i="45"/>
  <c r="HM24" i="45"/>
  <c r="HM32" i="45"/>
  <c r="HM29" i="45"/>
  <c r="HM50" i="45"/>
  <c r="HM58" i="45"/>
  <c r="HM47" i="45"/>
  <c r="HH49" i="46"/>
  <c r="HH23" i="46"/>
  <c r="HH29" i="46"/>
  <c r="HH35" i="46"/>
  <c r="HH41" i="46"/>
  <c r="HH47" i="46"/>
  <c r="HH30" i="46"/>
  <c r="HH27" i="46"/>
  <c r="HH20" i="46"/>
  <c r="HH45" i="46"/>
  <c r="HI18" i="46"/>
  <c r="HH44" i="46"/>
  <c r="HH24" i="46"/>
  <c r="HH40" i="46"/>
  <c r="HH50" i="46"/>
  <c r="HH51" i="46"/>
  <c r="HH53" i="46"/>
  <c r="HH39" i="46"/>
  <c r="HH48" i="46"/>
  <c r="HH38" i="46"/>
  <c r="HH28" i="46"/>
  <c r="HH37" i="46"/>
  <c r="HH46" i="46"/>
  <c r="HH52" i="46"/>
  <c r="HH54" i="46"/>
  <c r="HH36" i="46"/>
  <c r="HH26" i="46"/>
  <c r="HH6" i="46"/>
  <c r="HH25" i="46"/>
  <c r="HH34" i="46"/>
  <c r="HH21" i="46"/>
  <c r="HH55" i="46"/>
  <c r="HH56" i="46"/>
  <c r="HH32" i="46"/>
  <c r="HH57" i="46"/>
  <c r="HH60" i="46"/>
  <c r="HH22" i="46"/>
  <c r="HH59" i="46"/>
  <c r="HH62" i="46"/>
  <c r="HH33" i="46"/>
  <c r="HH31" i="46"/>
  <c r="HH42" i="46"/>
  <c r="HH61" i="46"/>
  <c r="HH43" i="46"/>
  <c r="HH63" i="46"/>
  <c r="HH58" i="46"/>
  <c r="CY66" i="38" l="1"/>
  <c r="DD66" i="38" s="1"/>
  <c r="CW66" i="38"/>
  <c r="DB66" i="38" s="1"/>
  <c r="R65" i="38"/>
  <c r="O66" i="38"/>
  <c r="I66" i="38"/>
  <c r="AG84" i="4"/>
  <c r="AI83" i="4"/>
  <c r="AX83" i="46" s="1"/>
  <c r="AZ83" i="46" s="1"/>
  <c r="BA83" i="46" s="1"/>
  <c r="BB83" i="46" s="1"/>
  <c r="G83" i="46" s="1"/>
  <c r="AZ82" i="46"/>
  <c r="BA82" i="46" s="1"/>
  <c r="BB82" i="46" s="1"/>
  <c r="G82" i="46" s="1"/>
  <c r="AH84" i="4"/>
  <c r="AJ83" i="4"/>
  <c r="AY83" i="46" s="1"/>
  <c r="I66" i="45"/>
  <c r="I66" i="46"/>
  <c r="J66" i="46" s="1"/>
  <c r="R65" i="46"/>
  <c r="U54" i="41"/>
  <c r="T54" i="38"/>
  <c r="BU53" i="38"/>
  <c r="W53" i="38"/>
  <c r="T52" i="46"/>
  <c r="W52" i="46" s="1"/>
  <c r="W52" i="41"/>
  <c r="T52" i="45"/>
  <c r="V52" i="41"/>
  <c r="CI65" i="38"/>
  <c r="BQ65" i="41" s="1"/>
  <c r="CO64" i="38"/>
  <c r="BV64" i="41" s="1"/>
  <c r="EY66" i="38"/>
  <c r="FN66" i="38"/>
  <c r="CW66" i="41" s="1"/>
  <c r="M66" i="38"/>
  <c r="BQ66" i="38"/>
  <c r="L66" i="38"/>
  <c r="K66" i="38"/>
  <c r="FD66" i="38"/>
  <c r="P65" i="38"/>
  <c r="Q65" i="38" s="1"/>
  <c r="S65" i="38"/>
  <c r="C65" i="41"/>
  <c r="AI65" i="38"/>
  <c r="BS65" i="38"/>
  <c r="H63" i="41"/>
  <c r="L63" i="41"/>
  <c r="FK66" i="46"/>
  <c r="L66" i="46"/>
  <c r="K66" i="46"/>
  <c r="M66" i="46"/>
  <c r="A67" i="41"/>
  <c r="A67" i="46"/>
  <c r="O67" i="46" s="1"/>
  <c r="A67" i="38"/>
  <c r="CV67" i="38" s="1"/>
  <c r="A67" i="45"/>
  <c r="O67" i="45" s="1"/>
  <c r="A67" i="7"/>
  <c r="A67" i="4"/>
  <c r="A67" i="6"/>
  <c r="A68" i="55"/>
  <c r="HK65" i="45"/>
  <c r="HJ65" i="45"/>
  <c r="HL65" i="45"/>
  <c r="P65" i="46"/>
  <c r="Q65" i="46" s="1"/>
  <c r="AI65" i="46"/>
  <c r="S65" i="46"/>
  <c r="E65" i="41"/>
  <c r="L66" i="45"/>
  <c r="K66" i="45"/>
  <c r="FK66" i="45"/>
  <c r="HN66" i="45" s="1"/>
  <c r="M66" i="45"/>
  <c r="K63" i="41"/>
  <c r="G63" i="41"/>
  <c r="Z64" i="41"/>
  <c r="AD64" i="41" s="1"/>
  <c r="AB64" i="41"/>
  <c r="AF64" i="41" s="1"/>
  <c r="I63" i="41"/>
  <c r="M63" i="41"/>
  <c r="P65" i="45"/>
  <c r="Q65" i="45" s="1"/>
  <c r="R66" i="45" s="1"/>
  <c r="D65" i="41"/>
  <c r="S65" i="45"/>
  <c r="CO65" i="38"/>
  <c r="BV65" i="41" s="1"/>
  <c r="FI65" i="38"/>
  <c r="FG65" i="38"/>
  <c r="FH65" i="38"/>
  <c r="HI47" i="46"/>
  <c r="HI45" i="46"/>
  <c r="HI43" i="46"/>
  <c r="HI41" i="46"/>
  <c r="HI36" i="46"/>
  <c r="HI38" i="46"/>
  <c r="HI6" i="46"/>
  <c r="HI48" i="46"/>
  <c r="HI46" i="46"/>
  <c r="HI24" i="46"/>
  <c r="HI25" i="46"/>
  <c r="HI39" i="46"/>
  <c r="HI21" i="46"/>
  <c r="HJ18" i="46"/>
  <c r="HI55" i="46"/>
  <c r="HI44" i="46"/>
  <c r="HI30" i="46"/>
  <c r="HI27" i="46"/>
  <c r="HI50" i="46"/>
  <c r="HI23" i="46"/>
  <c r="HI51" i="46"/>
  <c r="HI32" i="46"/>
  <c r="HI53" i="46"/>
  <c r="HI57" i="46"/>
  <c r="HI31" i="46"/>
  <c r="HI40" i="46"/>
  <c r="HI26" i="46"/>
  <c r="HI20" i="46"/>
  <c r="HI37" i="46"/>
  <c r="HI33" i="46"/>
  <c r="HI58" i="46"/>
  <c r="HI59" i="46"/>
  <c r="HI29" i="46"/>
  <c r="HI35" i="46"/>
  <c r="HI61" i="46"/>
  <c r="HI63" i="46"/>
  <c r="HI42" i="46"/>
  <c r="HI34" i="46"/>
  <c r="HI52" i="46"/>
  <c r="HI54" i="46"/>
  <c r="HI60" i="46"/>
  <c r="HI49" i="46"/>
  <c r="HI56" i="46"/>
  <c r="HI62" i="46"/>
  <c r="HI28" i="46"/>
  <c r="HI22" i="46"/>
  <c r="HI64" i="46"/>
  <c r="HN46" i="45"/>
  <c r="HN29" i="45"/>
  <c r="HN44" i="45"/>
  <c r="HN28" i="45"/>
  <c r="HN51" i="45"/>
  <c r="HN39" i="45"/>
  <c r="HN53" i="45"/>
  <c r="HN45" i="45"/>
  <c r="HN55" i="45"/>
  <c r="HN43" i="45"/>
  <c r="HN27" i="45"/>
  <c r="HN50" i="45"/>
  <c r="HN38" i="45"/>
  <c r="HN26" i="45"/>
  <c r="HN35" i="45"/>
  <c r="HN6" i="45"/>
  <c r="HN59" i="45"/>
  <c r="HN47" i="45"/>
  <c r="HN31" i="45"/>
  <c r="HN49" i="45"/>
  <c r="HN41" i="45"/>
  <c r="HN25" i="45"/>
  <c r="HN40" i="45"/>
  <c r="HN24" i="45"/>
  <c r="HN36" i="45"/>
  <c r="HN34" i="45"/>
  <c r="HN33" i="45"/>
  <c r="HN57" i="45"/>
  <c r="HN58" i="45"/>
  <c r="HN42" i="45"/>
  <c r="HN23" i="45"/>
  <c r="HN22" i="45"/>
  <c r="HN48" i="45"/>
  <c r="HN30" i="45"/>
  <c r="HN21" i="45"/>
  <c r="HN52" i="45"/>
  <c r="HN61" i="45"/>
  <c r="HN63" i="45"/>
  <c r="HN65" i="45"/>
  <c r="HN32" i="45"/>
  <c r="HN56" i="45"/>
  <c r="HN20" i="45"/>
  <c r="HN60" i="45"/>
  <c r="HN62" i="45"/>
  <c r="HN64" i="45"/>
  <c r="HN54" i="45"/>
  <c r="HN37" i="45"/>
  <c r="HO18" i="45"/>
  <c r="HJ31" i="38"/>
  <c r="HJ32" i="38"/>
  <c r="HJ35" i="38"/>
  <c r="HJ28" i="38"/>
  <c r="HJ34" i="38"/>
  <c r="HJ20" i="38"/>
  <c r="HJ36" i="38"/>
  <c r="HJ48" i="38"/>
  <c r="HJ38" i="38"/>
  <c r="HJ6" i="38"/>
  <c r="HJ27" i="38"/>
  <c r="HJ39" i="38"/>
  <c r="HJ25" i="38"/>
  <c r="HJ21" i="38"/>
  <c r="HJ52" i="38"/>
  <c r="HJ54" i="38"/>
  <c r="HJ46" i="38"/>
  <c r="HJ47" i="38"/>
  <c r="HJ37" i="38"/>
  <c r="HJ40" i="38"/>
  <c r="HK18" i="38"/>
  <c r="HJ33" i="38"/>
  <c r="HJ50" i="38"/>
  <c r="HJ58" i="38"/>
  <c r="HJ22" i="38"/>
  <c r="HJ44" i="38"/>
  <c r="HJ24" i="38"/>
  <c r="HJ30" i="38"/>
  <c r="HJ26" i="38"/>
  <c r="HJ49" i="38"/>
  <c r="HJ29" i="38"/>
  <c r="HJ55" i="38"/>
  <c r="HJ56" i="38"/>
  <c r="HJ59" i="38"/>
  <c r="HJ62" i="38"/>
  <c r="HJ23" i="38"/>
  <c r="HJ57" i="38"/>
  <c r="HJ45" i="38"/>
  <c r="HJ42" i="38"/>
  <c r="HJ53" i="38"/>
  <c r="HJ43" i="38"/>
  <c r="HJ61" i="38"/>
  <c r="HJ41" i="38"/>
  <c r="HJ51" i="38"/>
  <c r="HJ60" i="38"/>
  <c r="CW67" i="38" l="1"/>
  <c r="DB67" i="38" s="1"/>
  <c r="CY67" i="38"/>
  <c r="DD67" i="38" s="1"/>
  <c r="R66" i="38"/>
  <c r="I67" i="38"/>
  <c r="O67" i="38"/>
  <c r="AH85" i="4"/>
  <c r="AJ84" i="4"/>
  <c r="AY84" i="46" s="1"/>
  <c r="AG85" i="4"/>
  <c r="AI84" i="4"/>
  <c r="AX84" i="46" s="1"/>
  <c r="I67" i="46"/>
  <c r="I67" i="45"/>
  <c r="R66" i="46"/>
  <c r="U55" i="41"/>
  <c r="T55" i="38"/>
  <c r="BV53" i="38"/>
  <c r="W54" i="38"/>
  <c r="BU54" i="38"/>
  <c r="BV54" i="38" s="1"/>
  <c r="T53" i="45"/>
  <c r="V53" i="41"/>
  <c r="T53" i="46"/>
  <c r="W53" i="46" s="1"/>
  <c r="W53" i="41"/>
  <c r="AB65" i="41"/>
  <c r="AF65" i="41" s="1"/>
  <c r="I64" i="41"/>
  <c r="M64" i="41"/>
  <c r="K64" i="41"/>
  <c r="G64" i="41"/>
  <c r="Z65" i="41"/>
  <c r="AD65" i="41" s="1"/>
  <c r="HK66" i="45"/>
  <c r="HM66" i="45"/>
  <c r="HL66" i="45"/>
  <c r="A68" i="4"/>
  <c r="A68" i="38"/>
  <c r="CV68" i="38" s="1"/>
  <c r="A68" i="7"/>
  <c r="A68" i="6"/>
  <c r="A68" i="45"/>
  <c r="O68" i="45" s="1"/>
  <c r="A68" i="46"/>
  <c r="O68" i="46" s="1"/>
  <c r="A68" i="41"/>
  <c r="A69" i="55"/>
  <c r="FK67" i="45"/>
  <c r="HO67" i="45" s="1"/>
  <c r="L67" i="45"/>
  <c r="K67" i="45"/>
  <c r="M67" i="45"/>
  <c r="FH66" i="38"/>
  <c r="FI66" i="38"/>
  <c r="FG66" i="38"/>
  <c r="L64" i="41"/>
  <c r="H64" i="41"/>
  <c r="FN67" i="38"/>
  <c r="CW67" i="41" s="1"/>
  <c r="L67" i="38"/>
  <c r="BQ67" i="38"/>
  <c r="FD67" i="38"/>
  <c r="K67" i="38"/>
  <c r="EY67" i="38"/>
  <c r="M67" i="38"/>
  <c r="S66" i="46"/>
  <c r="P66" i="46"/>
  <c r="Q66" i="46" s="1"/>
  <c r="E66" i="41"/>
  <c r="AI66" i="46"/>
  <c r="J66" i="38"/>
  <c r="CO66" i="38" s="1"/>
  <c r="BV66" i="41" s="1"/>
  <c r="BS66" i="38"/>
  <c r="S66" i="45"/>
  <c r="D66" i="41"/>
  <c r="P66" i="45"/>
  <c r="Q66" i="45" s="1"/>
  <c r="R67" i="45" s="1"/>
  <c r="M67" i="46"/>
  <c r="FK67" i="46"/>
  <c r="L67" i="46"/>
  <c r="J67" i="46"/>
  <c r="K67" i="46"/>
  <c r="C66" i="41"/>
  <c r="AI66" i="38"/>
  <c r="P66" i="38"/>
  <c r="Q66" i="38" s="1"/>
  <c r="S66" i="38"/>
  <c r="HK42" i="38"/>
  <c r="HK32" i="38"/>
  <c r="HK38" i="38"/>
  <c r="HK28" i="38"/>
  <c r="HK39" i="38"/>
  <c r="HK31" i="38"/>
  <c r="HK20" i="38"/>
  <c r="HK34" i="38"/>
  <c r="HK49" i="38"/>
  <c r="HK46" i="38"/>
  <c r="HK6" i="38"/>
  <c r="HK30" i="38"/>
  <c r="HK45" i="38"/>
  <c r="HL18" i="38"/>
  <c r="HK23" i="38"/>
  <c r="HK37" i="38"/>
  <c r="HK33" i="38"/>
  <c r="HK25" i="38"/>
  <c r="HK26" i="38"/>
  <c r="HK44" i="38"/>
  <c r="HK22" i="38"/>
  <c r="HK52" i="38"/>
  <c r="HK54" i="38"/>
  <c r="HK56" i="38"/>
  <c r="HK59" i="38"/>
  <c r="HK47" i="38"/>
  <c r="HK29" i="38"/>
  <c r="HK43" i="38"/>
  <c r="HK27" i="38"/>
  <c r="HK24" i="38"/>
  <c r="HK35" i="38"/>
  <c r="HK51" i="38"/>
  <c r="HK53" i="38"/>
  <c r="HK55" i="38"/>
  <c r="HK57" i="38"/>
  <c r="HK48" i="38"/>
  <c r="HK50" i="38"/>
  <c r="HK60" i="38"/>
  <c r="HK61" i="38"/>
  <c r="HK36" i="38"/>
  <c r="HK62" i="38"/>
  <c r="HK63" i="38"/>
  <c r="HK21" i="38"/>
  <c r="HK40" i="38"/>
  <c r="HK41" i="38"/>
  <c r="HK58" i="38"/>
  <c r="HJ38" i="46"/>
  <c r="HJ36" i="46"/>
  <c r="HJ52" i="46"/>
  <c r="HJ50" i="46"/>
  <c r="HJ6" i="46"/>
  <c r="HJ30" i="46"/>
  <c r="HJ28" i="46"/>
  <c r="HJ40" i="46"/>
  <c r="HJ41" i="46"/>
  <c r="HJ39" i="46"/>
  <c r="HJ21" i="46"/>
  <c r="HJ35" i="46"/>
  <c r="HJ48" i="46"/>
  <c r="HJ46" i="46"/>
  <c r="HJ27" i="46"/>
  <c r="HJ24" i="46"/>
  <c r="HJ23" i="46"/>
  <c r="HJ20" i="46"/>
  <c r="HK18" i="46"/>
  <c r="HJ32" i="46"/>
  <c r="HJ45" i="46"/>
  <c r="HJ25" i="46"/>
  <c r="HJ43" i="46"/>
  <c r="HJ55" i="46"/>
  <c r="HJ56" i="46"/>
  <c r="HJ37" i="46"/>
  <c r="HJ49" i="46"/>
  <c r="HJ33" i="46"/>
  <c r="HJ31" i="46"/>
  <c r="HJ44" i="46"/>
  <c r="HJ26" i="46"/>
  <c r="HJ54" i="46"/>
  <c r="HJ34" i="46"/>
  <c r="HJ58" i="46"/>
  <c r="HJ64" i="46"/>
  <c r="HJ47" i="46"/>
  <c r="HJ53" i="46"/>
  <c r="HJ57" i="46"/>
  <c r="HJ61" i="46"/>
  <c r="HJ63" i="46"/>
  <c r="HJ22" i="46"/>
  <c r="HJ29" i="46"/>
  <c r="HJ59" i="46"/>
  <c r="HJ60" i="46"/>
  <c r="HJ51" i="46"/>
  <c r="HJ62" i="46"/>
  <c r="HJ42" i="46"/>
  <c r="HJ65" i="46"/>
  <c r="HO6" i="45"/>
  <c r="HO42" i="45"/>
  <c r="HO26" i="45"/>
  <c r="HO56" i="45"/>
  <c r="HO37" i="45"/>
  <c r="HO32" i="45"/>
  <c r="HO34" i="45"/>
  <c r="HO28" i="45"/>
  <c r="HO45" i="45"/>
  <c r="HO24" i="45"/>
  <c r="HO60" i="45"/>
  <c r="HO49" i="45"/>
  <c r="HO40" i="45"/>
  <c r="HO20" i="45"/>
  <c r="HO39" i="45"/>
  <c r="HP18" i="45"/>
  <c r="HO51" i="45"/>
  <c r="HO31" i="45"/>
  <c r="HO30" i="45"/>
  <c r="HO48" i="45"/>
  <c r="HO27" i="45"/>
  <c r="HO57" i="45"/>
  <c r="HO43" i="45"/>
  <c r="HO50" i="45"/>
  <c r="HO22" i="45"/>
  <c r="HO29" i="45"/>
  <c r="HO44" i="45"/>
  <c r="HO58" i="45"/>
  <c r="HO41" i="45"/>
  <c r="HO55" i="45"/>
  <c r="HO52" i="45"/>
  <c r="HO46" i="45"/>
  <c r="HO47" i="45"/>
  <c r="HO59" i="45"/>
  <c r="HO66" i="45"/>
  <c r="HO23" i="45"/>
  <c r="HO38" i="45"/>
  <c r="HO35" i="45"/>
  <c r="HO53" i="45"/>
  <c r="HO61" i="45"/>
  <c r="HO63" i="45"/>
  <c r="HO65" i="45"/>
  <c r="HO36" i="45"/>
  <c r="HO33" i="45"/>
  <c r="HO54" i="45"/>
  <c r="HO25" i="45"/>
  <c r="HO62" i="45"/>
  <c r="HO21" i="45"/>
  <c r="HO64" i="45"/>
  <c r="CW68" i="38" l="1"/>
  <c r="DB68" i="38" s="1"/>
  <c r="CY68" i="38"/>
  <c r="DD68" i="38" s="1"/>
  <c r="O68" i="38"/>
  <c r="R67" i="38"/>
  <c r="I68" i="38"/>
  <c r="AG86" i="4"/>
  <c r="AI85" i="4"/>
  <c r="AX85" i="46" s="1"/>
  <c r="AZ85" i="46" s="1"/>
  <c r="BA85" i="46" s="1"/>
  <c r="BB85" i="46" s="1"/>
  <c r="G85" i="46" s="1"/>
  <c r="AZ84" i="46"/>
  <c r="BA84" i="46" s="1"/>
  <c r="BB84" i="46" s="1"/>
  <c r="G84" i="46" s="1"/>
  <c r="AH86" i="4"/>
  <c r="AJ85" i="4"/>
  <c r="AY85" i="46" s="1"/>
  <c r="I68" i="45"/>
  <c r="I68" i="46"/>
  <c r="I69" i="46" s="1"/>
  <c r="R67" i="46"/>
  <c r="T56" i="38"/>
  <c r="U56" i="41"/>
  <c r="W55" i="38"/>
  <c r="BU55" i="38"/>
  <c r="BV55" i="38" s="1"/>
  <c r="W54" i="41"/>
  <c r="T54" i="46"/>
  <c r="W54" i="46" s="1"/>
  <c r="T54" i="45"/>
  <c r="V54" i="41"/>
  <c r="CI66" i="38"/>
  <c r="BQ66" i="41" s="1"/>
  <c r="P67" i="46"/>
  <c r="Q67" i="46" s="1"/>
  <c r="E67" i="41"/>
  <c r="S67" i="46"/>
  <c r="AI67" i="46"/>
  <c r="H65" i="41"/>
  <c r="L65" i="41"/>
  <c r="C67" i="41"/>
  <c r="AI67" i="38"/>
  <c r="P67" i="38"/>
  <c r="Q67" i="38" s="1"/>
  <c r="S67" i="38"/>
  <c r="FI67" i="38"/>
  <c r="FG67" i="38"/>
  <c r="FH67" i="38"/>
  <c r="FK68" i="46"/>
  <c r="L68" i="46"/>
  <c r="M68" i="46"/>
  <c r="K68" i="46"/>
  <c r="M68" i="38"/>
  <c r="FD68" i="38"/>
  <c r="FN68" i="38"/>
  <c r="CW68" i="41" s="1"/>
  <c r="BQ68" i="38"/>
  <c r="K68" i="38"/>
  <c r="L68" i="38"/>
  <c r="EY68" i="38"/>
  <c r="K65" i="41"/>
  <c r="G65" i="41"/>
  <c r="Z66" i="41"/>
  <c r="AD66" i="41" s="1"/>
  <c r="J67" i="38"/>
  <c r="CI67" i="38" s="1"/>
  <c r="BQ67" i="41" s="1"/>
  <c r="BS67" i="38"/>
  <c r="HM67" i="45"/>
  <c r="HN67" i="45"/>
  <c r="HL67" i="45"/>
  <c r="K68" i="45"/>
  <c r="L68" i="45"/>
  <c r="FK68" i="45"/>
  <c r="HP68" i="45" s="1"/>
  <c r="M68" i="45"/>
  <c r="M65" i="41"/>
  <c r="AB66" i="41"/>
  <c r="AF66" i="41" s="1"/>
  <c r="I65" i="41"/>
  <c r="P67" i="45"/>
  <c r="Q67" i="45" s="1"/>
  <c r="R68" i="45" s="1"/>
  <c r="S67" i="45"/>
  <c r="D67" i="41"/>
  <c r="A69" i="6"/>
  <c r="A69" i="46"/>
  <c r="O69" i="46" s="1"/>
  <c r="A70" i="55"/>
  <c r="A69" i="41"/>
  <c r="A69" i="45"/>
  <c r="O69" i="45" s="1"/>
  <c r="A69" i="38"/>
  <c r="CV69" i="38" s="1"/>
  <c r="A69" i="4"/>
  <c r="A69" i="7"/>
  <c r="HP53" i="45"/>
  <c r="HP39" i="45"/>
  <c r="HQ18" i="45"/>
  <c r="HP42" i="45"/>
  <c r="HP22" i="45"/>
  <c r="HP52" i="45"/>
  <c r="HP33" i="45"/>
  <c r="HP28" i="45"/>
  <c r="HP25" i="45"/>
  <c r="HP47" i="45"/>
  <c r="HP30" i="45"/>
  <c r="HP41" i="45"/>
  <c r="HP21" i="45"/>
  <c r="HP55" i="45"/>
  <c r="HP40" i="45"/>
  <c r="HP31" i="45"/>
  <c r="HP54" i="45"/>
  <c r="HP34" i="45"/>
  <c r="HP57" i="45"/>
  <c r="HP49" i="45"/>
  <c r="HP23" i="45"/>
  <c r="HP59" i="45"/>
  <c r="HP44" i="45"/>
  <c r="HP58" i="45"/>
  <c r="HP6" i="45"/>
  <c r="HP29" i="45"/>
  <c r="HP24" i="45"/>
  <c r="HP62" i="45"/>
  <c r="HP64" i="45"/>
  <c r="HP26" i="45"/>
  <c r="HP37" i="45"/>
  <c r="HP51" i="45"/>
  <c r="HP27" i="45"/>
  <c r="HP43" i="45"/>
  <c r="HP20" i="45"/>
  <c r="HP35" i="45"/>
  <c r="HP38" i="45"/>
  <c r="HP45" i="45"/>
  <c r="HP50" i="45"/>
  <c r="HP66" i="45"/>
  <c r="HP67" i="45"/>
  <c r="HP36" i="45"/>
  <c r="HP46" i="45"/>
  <c r="HP48" i="45"/>
  <c r="HP63" i="45"/>
  <c r="HP56" i="45"/>
  <c r="HP60" i="45"/>
  <c r="HP32" i="45"/>
  <c r="HP61" i="45"/>
  <c r="HP65" i="45"/>
  <c r="HK33" i="46"/>
  <c r="HK39" i="46"/>
  <c r="HK52" i="46"/>
  <c r="HK29" i="46"/>
  <c r="HK35" i="46"/>
  <c r="HK41" i="46"/>
  <c r="HK47" i="46"/>
  <c r="HK21" i="46"/>
  <c r="HK26" i="46"/>
  <c r="HK54" i="46"/>
  <c r="HK48" i="46"/>
  <c r="HK23" i="46"/>
  <c r="HK51" i="46"/>
  <c r="HK44" i="46"/>
  <c r="HL18" i="46"/>
  <c r="HK25" i="46"/>
  <c r="HK31" i="46"/>
  <c r="HK27" i="46"/>
  <c r="HK20" i="46"/>
  <c r="HK58" i="46"/>
  <c r="HK59" i="46"/>
  <c r="HK22" i="46"/>
  <c r="HK6" i="46"/>
  <c r="HK53" i="46"/>
  <c r="HK45" i="46"/>
  <c r="HK49" i="46"/>
  <c r="HK30" i="46"/>
  <c r="HK24" i="46"/>
  <c r="HK43" i="46"/>
  <c r="HK36" i="46"/>
  <c r="HK57" i="46"/>
  <c r="HK34" i="46"/>
  <c r="HK37" i="46"/>
  <c r="HK55" i="46"/>
  <c r="HK62" i="46"/>
  <c r="HK65" i="46"/>
  <c r="HK38" i="46"/>
  <c r="HK28" i="46"/>
  <c r="HK42" i="46"/>
  <c r="HK64" i="46"/>
  <c r="HK32" i="46"/>
  <c r="HK46" i="46"/>
  <c r="HK61" i="46"/>
  <c r="HK63" i="46"/>
  <c r="HK66" i="46"/>
  <c r="HK50" i="46"/>
  <c r="HK40" i="46"/>
  <c r="HK56" i="46"/>
  <c r="HK60" i="46"/>
  <c r="HL32" i="38"/>
  <c r="HL45" i="38"/>
  <c r="HL38" i="38"/>
  <c r="HL31" i="38"/>
  <c r="HL42" i="38"/>
  <c r="HL48" i="38"/>
  <c r="HL47" i="38"/>
  <c r="HL22" i="38"/>
  <c r="HL6" i="38"/>
  <c r="HL50" i="38"/>
  <c r="HL24" i="38"/>
  <c r="HL36" i="38"/>
  <c r="HM18" i="38"/>
  <c r="HL25" i="38"/>
  <c r="HL30" i="38"/>
  <c r="HL39" i="38"/>
  <c r="HL37" i="38"/>
  <c r="HL51" i="38"/>
  <c r="HL53" i="38"/>
  <c r="HL55" i="38"/>
  <c r="HL40" i="38"/>
  <c r="HL35" i="38"/>
  <c r="HL29" i="38"/>
  <c r="HL26" i="38"/>
  <c r="HL28" i="38"/>
  <c r="HL23" i="38"/>
  <c r="HL21" i="38"/>
  <c r="HL49" i="38"/>
  <c r="HL46" i="38"/>
  <c r="HL20" i="38"/>
  <c r="HL34" i="38"/>
  <c r="HL27" i="38"/>
  <c r="HL44" i="38"/>
  <c r="HL58" i="38"/>
  <c r="HL43" i="38"/>
  <c r="HL52" i="38"/>
  <c r="HL33" i="38"/>
  <c r="HL56" i="38"/>
  <c r="HL59" i="38"/>
  <c r="HL60" i="38"/>
  <c r="HL61" i="38"/>
  <c r="HL54" i="38"/>
  <c r="HL57" i="38"/>
  <c r="HL62" i="38"/>
  <c r="HL63" i="38"/>
  <c r="HL41" i="38"/>
  <c r="HL64" i="38"/>
  <c r="CW69" i="38" l="1"/>
  <c r="DB69" i="38" s="1"/>
  <c r="CY69" i="38"/>
  <c r="DD69" i="38" s="1"/>
  <c r="R68" i="38"/>
  <c r="I69" i="38"/>
  <c r="J68" i="38"/>
  <c r="CO68" i="38" s="1"/>
  <c r="BV68" i="41" s="1"/>
  <c r="O69" i="38"/>
  <c r="AH87" i="4"/>
  <c r="AJ86" i="4"/>
  <c r="AY86" i="46" s="1"/>
  <c r="AG87" i="4"/>
  <c r="AI86" i="4"/>
  <c r="AX86" i="46" s="1"/>
  <c r="J68" i="46"/>
  <c r="I70" i="46"/>
  <c r="I69" i="45"/>
  <c r="R68" i="46"/>
  <c r="BS68" i="38"/>
  <c r="U57" i="41"/>
  <c r="T57" i="38"/>
  <c r="W56" i="38"/>
  <c r="BU56" i="38"/>
  <c r="V55" i="41"/>
  <c r="T55" i="45"/>
  <c r="T55" i="46"/>
  <c r="W55" i="46" s="1"/>
  <c r="W55" i="41"/>
  <c r="CI68" i="38"/>
  <c r="BQ68" i="41" s="1"/>
  <c r="CO67" i="38"/>
  <c r="BV67" i="41" s="1"/>
  <c r="K69" i="45"/>
  <c r="M69" i="45"/>
  <c r="FK69" i="45"/>
  <c r="HQ69" i="45" s="1"/>
  <c r="L69" i="45"/>
  <c r="H66" i="41"/>
  <c r="L66" i="41"/>
  <c r="HN68" i="45"/>
  <c r="HM68" i="45"/>
  <c r="HO68" i="45"/>
  <c r="FG68" i="38"/>
  <c r="FH68" i="38"/>
  <c r="FI68" i="38"/>
  <c r="M66" i="41"/>
  <c r="I66" i="41"/>
  <c r="AB67" i="41"/>
  <c r="AF67" i="41" s="1"/>
  <c r="E68" i="41"/>
  <c r="AI68" i="46"/>
  <c r="P68" i="46"/>
  <c r="Q68" i="46" s="1"/>
  <c r="S68" i="46"/>
  <c r="A70" i="38"/>
  <c r="CV70" i="38" s="1"/>
  <c r="A70" i="45"/>
  <c r="O70" i="45" s="1"/>
  <c r="A70" i="6"/>
  <c r="A70" i="41"/>
  <c r="A70" i="4"/>
  <c r="A71" i="55"/>
  <c r="A70" i="46"/>
  <c r="O70" i="46" s="1"/>
  <c r="A70" i="7"/>
  <c r="Z67" i="41"/>
  <c r="AD67" i="41" s="1"/>
  <c r="K66" i="41"/>
  <c r="G66" i="41"/>
  <c r="M69" i="38"/>
  <c r="K69" i="38"/>
  <c r="EY69" i="38"/>
  <c r="FN69" i="38"/>
  <c r="CW69" i="41" s="1"/>
  <c r="BQ69" i="38"/>
  <c r="L69" i="38"/>
  <c r="FD69" i="38"/>
  <c r="L69" i="46"/>
  <c r="FK69" i="46"/>
  <c r="M69" i="46"/>
  <c r="J69" i="46"/>
  <c r="K69" i="46"/>
  <c r="P68" i="45"/>
  <c r="Q68" i="45" s="1"/>
  <c r="R69" i="45" s="1"/>
  <c r="S68" i="45"/>
  <c r="D68" i="41"/>
  <c r="AI68" i="38"/>
  <c r="S68" i="38"/>
  <c r="P68" i="38"/>
  <c r="Q68" i="38" s="1"/>
  <c r="C68" i="41"/>
  <c r="HM43" i="38"/>
  <c r="HM36" i="38"/>
  <c r="HM46" i="38"/>
  <c r="HM23" i="38"/>
  <c r="HM49" i="38"/>
  <c r="HM20" i="38"/>
  <c r="HM31" i="38"/>
  <c r="HM30" i="38"/>
  <c r="HM51" i="38"/>
  <c r="HM28" i="38"/>
  <c r="HM48" i="38"/>
  <c r="HM35" i="38"/>
  <c r="HM45" i="38"/>
  <c r="HM29" i="38"/>
  <c r="HM32" i="38"/>
  <c r="HM54" i="38"/>
  <c r="HM27" i="38"/>
  <c r="HM39" i="38"/>
  <c r="HM22" i="38"/>
  <c r="HM38" i="38"/>
  <c r="HM40" i="38"/>
  <c r="HM21" i="38"/>
  <c r="HM55" i="38"/>
  <c r="HM57" i="38"/>
  <c r="HM58" i="38"/>
  <c r="HM37" i="38"/>
  <c r="HM25" i="38"/>
  <c r="HM24" i="38"/>
  <c r="HM44" i="38"/>
  <c r="HM34" i="38"/>
  <c r="HM41" i="38"/>
  <c r="HM52" i="38"/>
  <c r="HM56" i="38"/>
  <c r="HM47" i="38"/>
  <c r="HN18" i="38"/>
  <c r="HM50" i="38"/>
  <c r="HM63" i="38"/>
  <c r="HM26" i="38"/>
  <c r="HM42" i="38"/>
  <c r="HM64" i="38"/>
  <c r="HM33" i="38"/>
  <c r="HM59" i="38"/>
  <c r="HM60" i="38"/>
  <c r="HM62" i="38"/>
  <c r="HM6" i="38"/>
  <c r="HM61" i="38"/>
  <c r="HM65" i="38"/>
  <c r="HM53" i="38"/>
  <c r="HQ48" i="45"/>
  <c r="HQ21" i="45"/>
  <c r="HQ6" i="45"/>
  <c r="HQ45" i="45"/>
  <c r="HQ32" i="45"/>
  <c r="HQ58" i="45"/>
  <c r="HQ46" i="45"/>
  <c r="HQ49" i="45"/>
  <c r="HQ55" i="45"/>
  <c r="HQ42" i="45"/>
  <c r="HQ51" i="45"/>
  <c r="HQ39" i="45"/>
  <c r="HQ23" i="45"/>
  <c r="HQ47" i="45"/>
  <c r="HQ35" i="45"/>
  <c r="HR18" i="45"/>
  <c r="HQ41" i="45"/>
  <c r="HQ28" i="45"/>
  <c r="HQ37" i="45"/>
  <c r="HQ27" i="45"/>
  <c r="HQ59" i="45"/>
  <c r="HQ60" i="45"/>
  <c r="HQ50" i="45"/>
  <c r="HQ26" i="45"/>
  <c r="HQ34" i="45"/>
  <c r="HQ36" i="45"/>
  <c r="HQ24" i="45"/>
  <c r="HQ61" i="45"/>
  <c r="HQ63" i="45"/>
  <c r="HQ65" i="45"/>
  <c r="HQ44" i="45"/>
  <c r="HQ52" i="45"/>
  <c r="HQ33" i="45"/>
  <c r="HQ29" i="45"/>
  <c r="HQ43" i="45"/>
  <c r="HQ62" i="45"/>
  <c r="HQ64" i="45"/>
  <c r="HQ68" i="45"/>
  <c r="HQ38" i="45"/>
  <c r="HQ57" i="45"/>
  <c r="HQ22" i="45"/>
  <c r="HQ31" i="45"/>
  <c r="HQ54" i="45"/>
  <c r="HQ56" i="45"/>
  <c r="HQ25" i="45"/>
  <c r="HQ20" i="45"/>
  <c r="HQ30" i="45"/>
  <c r="HQ66" i="45"/>
  <c r="HQ40" i="45"/>
  <c r="HQ53" i="45"/>
  <c r="HQ67" i="45"/>
  <c r="HL45" i="46"/>
  <c r="HL6" i="46"/>
  <c r="HL22" i="46"/>
  <c r="HL28" i="46"/>
  <c r="HL34" i="46"/>
  <c r="HL21" i="46"/>
  <c r="HL31" i="46"/>
  <c r="HL43" i="46"/>
  <c r="HL36" i="46"/>
  <c r="HL29" i="46"/>
  <c r="HL39" i="46"/>
  <c r="HL41" i="46"/>
  <c r="HL49" i="46"/>
  <c r="HL53" i="46"/>
  <c r="HL40" i="46"/>
  <c r="HL46" i="46"/>
  <c r="HL50" i="46"/>
  <c r="HL42" i="46"/>
  <c r="HL54" i="46"/>
  <c r="HL32" i="46"/>
  <c r="HL38" i="46"/>
  <c r="HL44" i="46"/>
  <c r="HM18" i="46"/>
  <c r="HL37" i="46"/>
  <c r="HL47" i="46"/>
  <c r="HL33" i="46"/>
  <c r="HL51" i="46"/>
  <c r="HL26" i="46"/>
  <c r="HL55" i="46"/>
  <c r="HL56" i="46"/>
  <c r="HL23" i="46"/>
  <c r="HL24" i="46"/>
  <c r="HL60" i="46"/>
  <c r="HL25" i="46"/>
  <c r="HL30" i="46"/>
  <c r="HL58" i="46"/>
  <c r="HL62" i="46"/>
  <c r="HL65" i="46"/>
  <c r="HL35" i="46"/>
  <c r="HL27" i="46"/>
  <c r="HL57" i="46"/>
  <c r="HL64" i="46"/>
  <c r="HL48" i="46"/>
  <c r="HL59" i="46"/>
  <c r="HL52" i="46"/>
  <c r="HL61" i="46"/>
  <c r="HL67" i="46"/>
  <c r="HL20" i="46"/>
  <c r="HL63" i="46"/>
  <c r="HL66" i="46"/>
  <c r="CY70" i="38" l="1"/>
  <c r="DD70" i="38" s="1"/>
  <c r="CW70" i="38"/>
  <c r="DB70" i="38" s="1"/>
  <c r="R69" i="38"/>
  <c r="O70" i="38"/>
  <c r="I70" i="38"/>
  <c r="AG88" i="4"/>
  <c r="AI87" i="4"/>
  <c r="AX87" i="46" s="1"/>
  <c r="AZ86" i="46"/>
  <c r="BA86" i="46" s="1"/>
  <c r="BB86" i="46" s="1"/>
  <c r="G86" i="46" s="1"/>
  <c r="AH88" i="4"/>
  <c r="AJ87" i="4"/>
  <c r="AY87" i="46" s="1"/>
  <c r="I70" i="45"/>
  <c r="I71" i="46"/>
  <c r="R69" i="46"/>
  <c r="BU57" i="38"/>
  <c r="BV57" i="38" s="1"/>
  <c r="W57" i="38"/>
  <c r="T58" i="38"/>
  <c r="U58" i="41"/>
  <c r="BV56" i="38"/>
  <c r="T56" i="46"/>
  <c r="W56" i="46" s="1"/>
  <c r="W56" i="41"/>
  <c r="T56" i="45"/>
  <c r="V56" i="41"/>
  <c r="Z68" i="41"/>
  <c r="AD68" i="41" s="1"/>
  <c r="K67" i="41"/>
  <c r="G67" i="41"/>
  <c r="AB68" i="41"/>
  <c r="AF68" i="41" s="1"/>
  <c r="I67" i="41"/>
  <c r="M67" i="41"/>
  <c r="AI69" i="46"/>
  <c r="S69" i="46"/>
  <c r="P69" i="46"/>
  <c r="Q69" i="46" s="1"/>
  <c r="E69" i="41"/>
  <c r="M70" i="46"/>
  <c r="FK70" i="46"/>
  <c r="J70" i="46"/>
  <c r="K70" i="46"/>
  <c r="L70" i="46"/>
  <c r="H67" i="41"/>
  <c r="L67" i="41"/>
  <c r="FH69" i="38"/>
  <c r="FI69" i="38"/>
  <c r="FG69" i="38"/>
  <c r="AI69" i="38"/>
  <c r="C69" i="41"/>
  <c r="S69" i="38"/>
  <c r="P69" i="38"/>
  <c r="Q69" i="38" s="1"/>
  <c r="A71" i="38"/>
  <c r="CV71" i="38" s="1"/>
  <c r="A71" i="6"/>
  <c r="A71" i="41"/>
  <c r="A71" i="45"/>
  <c r="O71" i="45" s="1"/>
  <c r="A71" i="46"/>
  <c r="O71" i="46" s="1"/>
  <c r="A71" i="7"/>
  <c r="A71" i="4"/>
  <c r="A72" i="55"/>
  <c r="FK70" i="45"/>
  <c r="HR70" i="45" s="1"/>
  <c r="L70" i="45"/>
  <c r="M70" i="45"/>
  <c r="K70" i="45"/>
  <c r="J69" i="38"/>
  <c r="CO69" i="38" s="1"/>
  <c r="BV69" i="41" s="1"/>
  <c r="BS69" i="38"/>
  <c r="L70" i="38"/>
  <c r="M70" i="38"/>
  <c r="K70" i="38"/>
  <c r="EY70" i="38"/>
  <c r="BQ70" i="38"/>
  <c r="FN70" i="38"/>
  <c r="CW70" i="41" s="1"/>
  <c r="FD70" i="38"/>
  <c r="HO69" i="45"/>
  <c r="HP69" i="45"/>
  <c r="HN69" i="45"/>
  <c r="P69" i="45"/>
  <c r="Q69" i="45" s="1"/>
  <c r="R70" i="45" s="1"/>
  <c r="S69" i="45"/>
  <c r="D69" i="41"/>
  <c r="HN48" i="38"/>
  <c r="HN23" i="38"/>
  <c r="HN24" i="38"/>
  <c r="HN37" i="38"/>
  <c r="HN20" i="38"/>
  <c r="HN31" i="38"/>
  <c r="HN6" i="38"/>
  <c r="HN27" i="38"/>
  <c r="HN38" i="38"/>
  <c r="HN45" i="38"/>
  <c r="HN49" i="38"/>
  <c r="HN30" i="38"/>
  <c r="HN40" i="38"/>
  <c r="HN36" i="38"/>
  <c r="HN50" i="38"/>
  <c r="HN52" i="38"/>
  <c r="HN33" i="38"/>
  <c r="HN39" i="38"/>
  <c r="HN29" i="38"/>
  <c r="HN35" i="38"/>
  <c r="HN21" i="38"/>
  <c r="HN34" i="38"/>
  <c r="HN54" i="38"/>
  <c r="HN59" i="38"/>
  <c r="HN46" i="38"/>
  <c r="HN28" i="38"/>
  <c r="HO18" i="38"/>
  <c r="HN42" i="38"/>
  <c r="HN25" i="38"/>
  <c r="HN32" i="38"/>
  <c r="HN53" i="38"/>
  <c r="HN51" i="38"/>
  <c r="HN61" i="38"/>
  <c r="HN62" i="38"/>
  <c r="HN65" i="38"/>
  <c r="HN43" i="38"/>
  <c r="HN26" i="38"/>
  <c r="HN55" i="38"/>
  <c r="HN58" i="38"/>
  <c r="HN63" i="38"/>
  <c r="HN66" i="38"/>
  <c r="HN41" i="38"/>
  <c r="HN47" i="38"/>
  <c r="HN56" i="38"/>
  <c r="HN64" i="38"/>
  <c r="HN22" i="38"/>
  <c r="HN57" i="38"/>
  <c r="HN44" i="38"/>
  <c r="HN60" i="38"/>
  <c r="HM40" i="46"/>
  <c r="HM51" i="46"/>
  <c r="HM50" i="46"/>
  <c r="HM43" i="46"/>
  <c r="HM41" i="46"/>
  <c r="HM6" i="46"/>
  <c r="HM26" i="46"/>
  <c r="HM33" i="46"/>
  <c r="HM38" i="46"/>
  <c r="HM52" i="46"/>
  <c r="HM24" i="46"/>
  <c r="HM34" i="46"/>
  <c r="HM53" i="46"/>
  <c r="HM27" i="46"/>
  <c r="HM25" i="46"/>
  <c r="HM39" i="46"/>
  <c r="HM37" i="46"/>
  <c r="HM44" i="46"/>
  <c r="HM49" i="46"/>
  <c r="HM57" i="46"/>
  <c r="HM54" i="46"/>
  <c r="HM31" i="46"/>
  <c r="HM29" i="46"/>
  <c r="HM20" i="46"/>
  <c r="HM30" i="46"/>
  <c r="HM32" i="46"/>
  <c r="HM42" i="46"/>
  <c r="HM35" i="46"/>
  <c r="HM28" i="46"/>
  <c r="HM58" i="46"/>
  <c r="HM59" i="46"/>
  <c r="HM45" i="46"/>
  <c r="HM23" i="46"/>
  <c r="HM56" i="46"/>
  <c r="HM61" i="46"/>
  <c r="HM63" i="46"/>
  <c r="HM66" i="46"/>
  <c r="HM67" i="46"/>
  <c r="HM68" i="46"/>
  <c r="HM36" i="46"/>
  <c r="HM21" i="46"/>
  <c r="HM60" i="46"/>
  <c r="HM55" i="46"/>
  <c r="HM46" i="46"/>
  <c r="HN18" i="46"/>
  <c r="HM62" i="46"/>
  <c r="HM65" i="46"/>
  <c r="HM48" i="46"/>
  <c r="HM22" i="46"/>
  <c r="HM64" i="46"/>
  <c r="HM47" i="46"/>
  <c r="HR49" i="45"/>
  <c r="HR41" i="45"/>
  <c r="HR25" i="45"/>
  <c r="HR40" i="45"/>
  <c r="HR24" i="45"/>
  <c r="HR6" i="45"/>
  <c r="HR36" i="45"/>
  <c r="HR20" i="45"/>
  <c r="HR42" i="45"/>
  <c r="HR48" i="45"/>
  <c r="HR59" i="45"/>
  <c r="HR39" i="45"/>
  <c r="HR27" i="45"/>
  <c r="HR50" i="45"/>
  <c r="HR34" i="45"/>
  <c r="HR26" i="45"/>
  <c r="HR57" i="45"/>
  <c r="HR47" i="45"/>
  <c r="HR22" i="45"/>
  <c r="HR45" i="45"/>
  <c r="HR43" i="45"/>
  <c r="HR38" i="45"/>
  <c r="HR56" i="45"/>
  <c r="HR21" i="45"/>
  <c r="HR33" i="45"/>
  <c r="HR29" i="45"/>
  <c r="HR66" i="45"/>
  <c r="HR67" i="45"/>
  <c r="HR28" i="45"/>
  <c r="HR35" i="45"/>
  <c r="HR51" i="45"/>
  <c r="HS18" i="45"/>
  <c r="HR32" i="45"/>
  <c r="HR60" i="45"/>
  <c r="HR61" i="45"/>
  <c r="HR63" i="45"/>
  <c r="HR65" i="45"/>
  <c r="HR69" i="45"/>
  <c r="HR54" i="45"/>
  <c r="HR30" i="45"/>
  <c r="HR37" i="45"/>
  <c r="HR52" i="45"/>
  <c r="HR58" i="45"/>
  <c r="HR31" i="45"/>
  <c r="HR62" i="45"/>
  <c r="HR64" i="45"/>
  <c r="HR68" i="45"/>
  <c r="HR46" i="45"/>
  <c r="HR44" i="45"/>
  <c r="HR53" i="45"/>
  <c r="HR55" i="45"/>
  <c r="HR23" i="45"/>
  <c r="CW71" i="38" l="1"/>
  <c r="DB71" i="38" s="1"/>
  <c r="CY71" i="38"/>
  <c r="DD71" i="38" s="1"/>
  <c r="R70" i="38"/>
  <c r="I71" i="38"/>
  <c r="O71" i="38"/>
  <c r="AZ87" i="46"/>
  <c r="BA87" i="46" s="1"/>
  <c r="BB87" i="46" s="1"/>
  <c r="G87" i="46" s="1"/>
  <c r="AH89" i="4"/>
  <c r="AJ88" i="4"/>
  <c r="AY88" i="46" s="1"/>
  <c r="AG89" i="4"/>
  <c r="AI88" i="4"/>
  <c r="AX88" i="46" s="1"/>
  <c r="I71" i="45"/>
  <c r="I72" i="45" s="1"/>
  <c r="R70" i="46"/>
  <c r="T59" i="38"/>
  <c r="U59" i="41"/>
  <c r="BU58" i="38"/>
  <c r="BV58" i="38" s="1"/>
  <c r="W58" i="38"/>
  <c r="T57" i="46"/>
  <c r="W57" i="46" s="1"/>
  <c r="W57" i="41"/>
  <c r="T57" i="45"/>
  <c r="V57" i="41"/>
  <c r="S70" i="46"/>
  <c r="E70" i="41"/>
  <c r="AI70" i="46"/>
  <c r="P70" i="46"/>
  <c r="Q70" i="46" s="1"/>
  <c r="CI69" i="38"/>
  <c r="BQ69" i="41" s="1"/>
  <c r="D70" i="41"/>
  <c r="P70" i="45"/>
  <c r="Q70" i="45" s="1"/>
  <c r="R71" i="45" s="1"/>
  <c r="S70" i="45"/>
  <c r="FG70" i="38"/>
  <c r="FH70" i="38"/>
  <c r="FI70" i="38"/>
  <c r="C70" i="41"/>
  <c r="P70" i="38"/>
  <c r="Q70" i="38" s="1"/>
  <c r="S70" i="38"/>
  <c r="AI70" i="38"/>
  <c r="HP70" i="45"/>
  <c r="HQ70" i="45"/>
  <c r="HO70" i="45"/>
  <c r="K71" i="46"/>
  <c r="J71" i="46"/>
  <c r="M71" i="46"/>
  <c r="FK71" i="46"/>
  <c r="L71" i="46"/>
  <c r="FN71" i="38"/>
  <c r="CW71" i="41" s="1"/>
  <c r="L71" i="38"/>
  <c r="BQ71" i="38"/>
  <c r="K71" i="38"/>
  <c r="FD71" i="38"/>
  <c r="EY71" i="38"/>
  <c r="M71" i="38"/>
  <c r="AB69" i="41"/>
  <c r="AF69" i="41" s="1"/>
  <c r="M68" i="41"/>
  <c r="I68" i="41"/>
  <c r="L68" i="41"/>
  <c r="H68" i="41"/>
  <c r="J70" i="38"/>
  <c r="CO70" i="38" s="1"/>
  <c r="BV70" i="41" s="1"/>
  <c r="BS70" i="38"/>
  <c r="A73" i="55"/>
  <c r="A72" i="46"/>
  <c r="O72" i="46" s="1"/>
  <c r="A72" i="38"/>
  <c r="CV72" i="38" s="1"/>
  <c r="A72" i="6"/>
  <c r="A72" i="45"/>
  <c r="O72" i="45" s="1"/>
  <c r="A72" i="41"/>
  <c r="A72" i="7"/>
  <c r="A72" i="4"/>
  <c r="M71" i="45"/>
  <c r="FK71" i="45"/>
  <c r="L71" i="45"/>
  <c r="K71" i="45"/>
  <c r="Z69" i="41"/>
  <c r="AD69" i="41" s="1"/>
  <c r="G68" i="41"/>
  <c r="K68" i="41"/>
  <c r="HS55" i="45"/>
  <c r="HS36" i="45"/>
  <c r="HS60" i="45"/>
  <c r="HS51" i="45"/>
  <c r="HS31" i="45"/>
  <c r="HS49" i="45"/>
  <c r="HS44" i="45"/>
  <c r="HS24" i="45"/>
  <c r="HS20" i="45"/>
  <c r="HS42" i="45"/>
  <c r="HS57" i="45"/>
  <c r="HS37" i="45"/>
  <c r="HS58" i="45"/>
  <c r="HS34" i="45"/>
  <c r="HS54" i="45"/>
  <c r="HS27" i="45"/>
  <c r="HS59" i="45"/>
  <c r="HS50" i="45"/>
  <c r="HS21" i="45"/>
  <c r="HS52" i="45"/>
  <c r="HT18" i="45"/>
  <c r="HS53" i="45"/>
  <c r="HS33" i="45"/>
  <c r="HS47" i="45"/>
  <c r="HS30" i="45"/>
  <c r="HS40" i="45"/>
  <c r="HS26" i="45"/>
  <c r="HS66" i="45"/>
  <c r="HS67" i="45"/>
  <c r="HS70" i="45"/>
  <c r="HS39" i="45"/>
  <c r="HS22" i="45"/>
  <c r="HS48" i="45"/>
  <c r="HS29" i="45"/>
  <c r="HS46" i="45"/>
  <c r="HS25" i="45"/>
  <c r="HS43" i="45"/>
  <c r="HS56" i="45"/>
  <c r="HS61" i="45"/>
  <c r="HS63" i="45"/>
  <c r="HS65" i="45"/>
  <c r="HS69" i="45"/>
  <c r="HS28" i="45"/>
  <c r="HS41" i="45"/>
  <c r="HS64" i="45"/>
  <c r="HS38" i="45"/>
  <c r="HS45" i="45"/>
  <c r="HS32" i="45"/>
  <c r="HS6" i="45"/>
  <c r="HS35" i="45"/>
  <c r="HS23" i="45"/>
  <c r="HS62" i="45"/>
  <c r="HS68" i="45"/>
  <c r="HN56" i="46"/>
  <c r="HN26" i="46"/>
  <c r="HN20" i="46"/>
  <c r="HN23" i="46"/>
  <c r="HN48" i="46"/>
  <c r="HN54" i="46"/>
  <c r="HN34" i="46"/>
  <c r="HN28" i="46"/>
  <c r="HN25" i="46"/>
  <c r="HN30" i="46"/>
  <c r="HN43" i="46"/>
  <c r="HN37" i="46"/>
  <c r="HN55" i="46"/>
  <c r="HN38" i="46"/>
  <c r="HN32" i="46"/>
  <c r="HN50" i="46"/>
  <c r="HN45" i="46"/>
  <c r="HN47" i="46"/>
  <c r="HN53" i="46"/>
  <c r="HN24" i="46"/>
  <c r="HN49" i="46"/>
  <c r="HN42" i="46"/>
  <c r="HN36" i="46"/>
  <c r="HN39" i="46"/>
  <c r="HN33" i="46"/>
  <c r="HN51" i="46"/>
  <c r="HO18" i="46"/>
  <c r="HN44" i="46"/>
  <c r="HN31" i="46"/>
  <c r="HN40" i="46"/>
  <c r="HN22" i="46"/>
  <c r="HN41" i="46"/>
  <c r="HN59" i="46"/>
  <c r="HN64" i="46"/>
  <c r="HN27" i="46"/>
  <c r="HN6" i="46"/>
  <c r="HN46" i="46"/>
  <c r="HN61" i="46"/>
  <c r="HN63" i="46"/>
  <c r="HN66" i="46"/>
  <c r="HN67" i="46"/>
  <c r="HN68" i="46"/>
  <c r="HN21" i="46"/>
  <c r="HN35" i="46"/>
  <c r="HN58" i="46"/>
  <c r="HN60" i="46"/>
  <c r="HN62" i="46"/>
  <c r="HN52" i="46"/>
  <c r="HN69" i="46"/>
  <c r="HN29" i="46"/>
  <c r="HN57" i="46"/>
  <c r="HN65" i="46"/>
  <c r="HO48" i="38"/>
  <c r="HO44" i="38"/>
  <c r="HO45" i="38"/>
  <c r="HO32" i="38"/>
  <c r="HO50" i="38"/>
  <c r="HO26" i="38"/>
  <c r="HO23" i="38"/>
  <c r="HO24" i="38"/>
  <c r="HO46" i="38"/>
  <c r="HO52" i="38"/>
  <c r="HO43" i="38"/>
  <c r="HP18" i="38"/>
  <c r="HO6" i="38"/>
  <c r="HO41" i="38"/>
  <c r="HO40" i="38"/>
  <c r="HO47" i="38"/>
  <c r="HO53" i="38"/>
  <c r="HO33" i="38"/>
  <c r="HO39" i="38"/>
  <c r="HO31" i="38"/>
  <c r="HO35" i="38"/>
  <c r="HO42" i="38"/>
  <c r="HO34" i="38"/>
  <c r="HO56" i="38"/>
  <c r="HO38" i="38"/>
  <c r="HO20" i="38"/>
  <c r="HO36" i="38"/>
  <c r="HO49" i="38"/>
  <c r="HO28" i="38"/>
  <c r="HO37" i="38"/>
  <c r="HO22" i="38"/>
  <c r="HO55" i="38"/>
  <c r="HO57" i="38"/>
  <c r="HO58" i="38"/>
  <c r="HO21" i="38"/>
  <c r="HO25" i="38"/>
  <c r="HO60" i="38"/>
  <c r="HO30" i="38"/>
  <c r="HO27" i="38"/>
  <c r="HO61" i="38"/>
  <c r="HO62" i="38"/>
  <c r="HO65" i="38"/>
  <c r="HO67" i="38"/>
  <c r="HO51" i="38"/>
  <c r="HO63" i="38"/>
  <c r="HO66" i="38"/>
  <c r="HO59" i="38"/>
  <c r="HO54" i="38"/>
  <c r="HO29" i="38"/>
  <c r="HO64" i="38"/>
  <c r="CW72" i="38" l="1"/>
  <c r="DB72" i="38" s="1"/>
  <c r="CY72" i="38"/>
  <c r="DD72" i="38" s="1"/>
  <c r="R71" i="38"/>
  <c r="O72" i="38"/>
  <c r="I72" i="38"/>
  <c r="AG90" i="4"/>
  <c r="AI89" i="4"/>
  <c r="AX89" i="46" s="1"/>
  <c r="AZ89" i="46" s="1"/>
  <c r="BA89" i="46" s="1"/>
  <c r="BB89" i="46" s="1"/>
  <c r="G89" i="46" s="1"/>
  <c r="AZ88" i="46"/>
  <c r="BA88" i="46" s="1"/>
  <c r="BB88" i="46" s="1"/>
  <c r="G88" i="46" s="1"/>
  <c r="AH90" i="4"/>
  <c r="AJ89" i="4"/>
  <c r="AY89" i="46" s="1"/>
  <c r="R71" i="46"/>
  <c r="I72" i="46"/>
  <c r="T60" i="38"/>
  <c r="U60" i="41"/>
  <c r="BU59" i="38"/>
  <c r="W59" i="38"/>
  <c r="T58" i="45"/>
  <c r="V58" i="41"/>
  <c r="W58" i="41"/>
  <c r="T58" i="46"/>
  <c r="W58" i="46" s="1"/>
  <c r="FG71" i="38"/>
  <c r="FH71" i="38"/>
  <c r="FI71" i="38"/>
  <c r="J72" i="46"/>
  <c r="K72" i="46"/>
  <c r="FK72" i="46"/>
  <c r="L72" i="46"/>
  <c r="M72" i="46"/>
  <c r="P71" i="38"/>
  <c r="Q71" i="38" s="1"/>
  <c r="S71" i="38"/>
  <c r="AI71" i="38"/>
  <c r="C71" i="41"/>
  <c r="I69" i="41"/>
  <c r="AB70" i="41"/>
  <c r="AF70" i="41" s="1"/>
  <c r="M69" i="41"/>
  <c r="HQ71" i="45"/>
  <c r="HR71" i="45"/>
  <c r="HP71" i="45"/>
  <c r="BQ72" i="38"/>
  <c r="M72" i="38"/>
  <c r="EY72" i="38"/>
  <c r="FD72" i="38"/>
  <c r="FN72" i="38"/>
  <c r="CW72" i="41" s="1"/>
  <c r="L72" i="38"/>
  <c r="K72" i="38"/>
  <c r="P71" i="45"/>
  <c r="Q71" i="45" s="1"/>
  <c r="R72" i="45" s="1"/>
  <c r="S71" i="45"/>
  <c r="D71" i="41"/>
  <c r="K72" i="45"/>
  <c r="M72" i="45"/>
  <c r="L72" i="45"/>
  <c r="FK72" i="45"/>
  <c r="HT72" i="45" s="1"/>
  <c r="A73" i="41"/>
  <c r="A73" i="6"/>
  <c r="A73" i="46"/>
  <c r="O73" i="46" s="1"/>
  <c r="A73" i="7"/>
  <c r="A74" i="55"/>
  <c r="A73" i="45"/>
  <c r="O73" i="45" s="1"/>
  <c r="A73" i="38"/>
  <c r="CV73" i="38" s="1"/>
  <c r="A73" i="4"/>
  <c r="K69" i="41"/>
  <c r="G69" i="41"/>
  <c r="Z70" i="41"/>
  <c r="AD70" i="41" s="1"/>
  <c r="H69" i="41"/>
  <c r="L69" i="41"/>
  <c r="HS71" i="45"/>
  <c r="J71" i="38"/>
  <c r="CI71" i="38" s="1"/>
  <c r="BQ71" i="41" s="1"/>
  <c r="BS71" i="38"/>
  <c r="S71" i="46"/>
  <c r="E71" i="41"/>
  <c r="AI71" i="46"/>
  <c r="P71" i="46"/>
  <c r="Q71" i="46" s="1"/>
  <c r="CI70" i="38"/>
  <c r="BQ70" i="41" s="1"/>
  <c r="HP37" i="38"/>
  <c r="HP31" i="38"/>
  <c r="HP46" i="38"/>
  <c r="HP25" i="38"/>
  <c r="HP22" i="38"/>
  <c r="HP34" i="38"/>
  <c r="HP26" i="38"/>
  <c r="HQ18" i="38"/>
  <c r="HP55" i="38"/>
  <c r="HP51" i="38"/>
  <c r="HP42" i="38"/>
  <c r="HP33" i="38"/>
  <c r="HP48" i="38"/>
  <c r="HP28" i="38"/>
  <c r="HP49" i="38"/>
  <c r="HP21" i="38"/>
  <c r="HP41" i="38"/>
  <c r="HP35" i="38"/>
  <c r="HP53" i="38"/>
  <c r="HP52" i="38"/>
  <c r="HP32" i="38"/>
  <c r="HP47" i="38"/>
  <c r="HP38" i="38"/>
  <c r="HP6" i="38"/>
  <c r="HP40" i="38"/>
  <c r="HP23" i="38"/>
  <c r="HP36" i="38"/>
  <c r="HP43" i="38"/>
  <c r="HP54" i="38"/>
  <c r="HP59" i="38"/>
  <c r="HP50" i="38"/>
  <c r="HP27" i="38"/>
  <c r="HP39" i="38"/>
  <c r="HP57" i="38"/>
  <c r="HP64" i="38"/>
  <c r="HP29" i="38"/>
  <c r="HP45" i="38"/>
  <c r="HP60" i="38"/>
  <c r="HP68" i="38"/>
  <c r="HP30" i="38"/>
  <c r="HP24" i="38"/>
  <c r="HP58" i="38"/>
  <c r="HP61" i="38"/>
  <c r="HP62" i="38"/>
  <c r="HP65" i="38"/>
  <c r="HP67" i="38"/>
  <c r="HP56" i="38"/>
  <c r="HP66" i="38"/>
  <c r="HP44" i="38"/>
  <c r="HP20" i="38"/>
  <c r="HP63" i="38"/>
  <c r="HT58" i="45"/>
  <c r="HT35" i="45"/>
  <c r="HT6" i="45"/>
  <c r="HT54" i="45"/>
  <c r="HT30" i="45"/>
  <c r="HT57" i="45"/>
  <c r="HT49" i="45"/>
  <c r="HT21" i="45"/>
  <c r="HT22" i="45"/>
  <c r="HT60" i="45"/>
  <c r="HT39" i="45"/>
  <c r="HT64" i="45"/>
  <c r="HT68" i="45"/>
  <c r="HT42" i="45"/>
  <c r="HT29" i="45"/>
  <c r="HT61" i="45"/>
  <c r="HT38" i="45"/>
  <c r="HT25" i="45"/>
  <c r="HT48" i="45"/>
  <c r="HT33" i="45"/>
  <c r="HT20" i="45"/>
  <c r="HT53" i="45"/>
  <c r="HT44" i="45"/>
  <c r="HU18" i="45"/>
  <c r="HT56" i="45"/>
  <c r="HT41" i="45"/>
  <c r="HT28" i="45"/>
  <c r="HT52" i="45"/>
  <c r="HT37" i="45"/>
  <c r="HT24" i="45"/>
  <c r="HT51" i="45"/>
  <c r="HT43" i="45"/>
  <c r="HT23" i="45"/>
  <c r="HT45" i="45"/>
  <c r="HT34" i="45"/>
  <c r="HT62" i="45"/>
  <c r="HT66" i="45"/>
  <c r="HT67" i="45"/>
  <c r="HT70" i="45"/>
  <c r="HT55" i="45"/>
  <c r="HT26" i="45"/>
  <c r="HT65" i="45"/>
  <c r="HT59" i="45"/>
  <c r="HT36" i="45"/>
  <c r="HT46" i="45"/>
  <c r="HT71" i="45"/>
  <c r="HT40" i="45"/>
  <c r="HT27" i="45"/>
  <c r="HT32" i="45"/>
  <c r="HT63" i="45"/>
  <c r="HT69" i="45"/>
  <c r="HT31" i="45"/>
  <c r="HT50" i="45"/>
  <c r="HT47" i="45"/>
  <c r="HO52" i="46"/>
  <c r="HO37" i="46"/>
  <c r="HO39" i="46"/>
  <c r="HO38" i="46"/>
  <c r="HO32" i="46"/>
  <c r="HO50" i="46"/>
  <c r="HO29" i="46"/>
  <c r="HO31" i="46"/>
  <c r="HO56" i="46"/>
  <c r="HO27" i="46"/>
  <c r="HO58" i="46"/>
  <c r="HO59" i="46"/>
  <c r="HO42" i="46"/>
  <c r="HO36" i="46"/>
  <c r="HO54" i="46"/>
  <c r="HO33" i="46"/>
  <c r="HO35" i="46"/>
  <c r="HO34" i="46"/>
  <c r="HO28" i="46"/>
  <c r="HO30" i="46"/>
  <c r="HO43" i="46"/>
  <c r="HO40" i="46"/>
  <c r="HO20" i="46"/>
  <c r="HO48" i="46"/>
  <c r="HO45" i="46"/>
  <c r="HO24" i="46"/>
  <c r="HO62" i="46"/>
  <c r="HO65" i="46"/>
  <c r="HO69" i="46"/>
  <c r="HO70" i="46"/>
  <c r="HO55" i="46"/>
  <c r="HO23" i="46"/>
  <c r="HO6" i="46"/>
  <c r="HO44" i="46"/>
  <c r="HO41" i="46"/>
  <c r="HO64" i="46"/>
  <c r="HO26" i="46"/>
  <c r="HO51" i="46"/>
  <c r="HP18" i="46"/>
  <c r="HO47" i="46"/>
  <c r="HO25" i="46"/>
  <c r="HO57" i="46"/>
  <c r="HO61" i="46"/>
  <c r="HO63" i="46"/>
  <c r="HO66" i="46"/>
  <c r="HO67" i="46"/>
  <c r="HO68" i="46"/>
  <c r="HO53" i="46"/>
  <c r="HO21" i="46"/>
  <c r="HO46" i="46"/>
  <c r="HO22" i="46"/>
  <c r="HO49" i="46"/>
  <c r="HO60" i="46"/>
  <c r="CW73" i="38" l="1"/>
  <c r="DB73" i="38" s="1"/>
  <c r="CY73" i="38"/>
  <c r="DD73" i="38" s="1"/>
  <c r="R72" i="38"/>
  <c r="I73" i="38"/>
  <c r="J73" i="38" s="1"/>
  <c r="O73" i="38"/>
  <c r="J72" i="38"/>
  <c r="CI72" i="38" s="1"/>
  <c r="BQ72" i="41" s="1"/>
  <c r="R72" i="46"/>
  <c r="AH91" i="4"/>
  <c r="AJ90" i="4"/>
  <c r="AY90" i="46" s="1"/>
  <c r="AG91" i="4"/>
  <c r="AI90" i="4"/>
  <c r="AX90" i="46" s="1"/>
  <c r="I73" i="46"/>
  <c r="I73" i="45"/>
  <c r="I74" i="45" s="1"/>
  <c r="BV59" i="38"/>
  <c r="W60" i="38"/>
  <c r="BU60" i="38"/>
  <c r="BV60" i="38" s="1"/>
  <c r="U61" i="41"/>
  <c r="T61" i="38"/>
  <c r="W59" i="41"/>
  <c r="T59" i="46"/>
  <c r="W59" i="46" s="1"/>
  <c r="T59" i="45"/>
  <c r="V59" i="41"/>
  <c r="FD73" i="38"/>
  <c r="M73" i="38"/>
  <c r="FN73" i="38"/>
  <c r="CW73" i="41" s="1"/>
  <c r="L73" i="38"/>
  <c r="EY73" i="38"/>
  <c r="K73" i="38"/>
  <c r="BQ73" i="38"/>
  <c r="FK73" i="46"/>
  <c r="M73" i="46"/>
  <c r="L73" i="46"/>
  <c r="K73" i="46"/>
  <c r="J73" i="46"/>
  <c r="S72" i="38"/>
  <c r="C72" i="41"/>
  <c r="P72" i="38"/>
  <c r="Q72" i="38" s="1"/>
  <c r="AI72" i="38"/>
  <c r="E72" i="41"/>
  <c r="P72" i="46"/>
  <c r="Q72" i="46" s="1"/>
  <c r="R73" i="46" s="1"/>
  <c r="S72" i="46"/>
  <c r="AI72" i="46"/>
  <c r="L73" i="45"/>
  <c r="K73" i="45"/>
  <c r="M73" i="45"/>
  <c r="FK73" i="45"/>
  <c r="HU73" i="45" s="1"/>
  <c r="S72" i="45"/>
  <c r="D72" i="41"/>
  <c r="P72" i="45"/>
  <c r="Q72" i="45" s="1"/>
  <c r="R73" i="45" s="1"/>
  <c r="L70" i="41"/>
  <c r="H70" i="41"/>
  <c r="FG72" i="38"/>
  <c r="FI72" i="38"/>
  <c r="FH72" i="38"/>
  <c r="CO71" i="38"/>
  <c r="BV71" i="41" s="1"/>
  <c r="AB71" i="41"/>
  <c r="AF71" i="41" s="1"/>
  <c r="M70" i="41"/>
  <c r="I70" i="41"/>
  <c r="A74" i="46"/>
  <c r="O74" i="46" s="1"/>
  <c r="A74" i="4"/>
  <c r="A74" i="7"/>
  <c r="A74" i="38"/>
  <c r="CV74" i="38" s="1"/>
  <c r="A74" i="45"/>
  <c r="O74" i="45" s="1"/>
  <c r="A74" i="6"/>
  <c r="A74" i="41"/>
  <c r="A75" i="55"/>
  <c r="Z71" i="41"/>
  <c r="AD71" i="41" s="1"/>
  <c r="G70" i="41"/>
  <c r="K70" i="41"/>
  <c r="HR72" i="45"/>
  <c r="HS72" i="45"/>
  <c r="HQ72" i="45"/>
  <c r="BS72" i="38"/>
  <c r="HU6" i="45"/>
  <c r="HU57" i="45"/>
  <c r="HU34" i="45"/>
  <c r="HU22" i="45"/>
  <c r="HU37" i="45"/>
  <c r="HU32" i="45"/>
  <c r="HU55" i="45"/>
  <c r="HU39" i="45"/>
  <c r="HU27" i="45"/>
  <c r="HU56" i="45"/>
  <c r="HU35" i="45"/>
  <c r="HU38" i="45"/>
  <c r="HU65" i="45"/>
  <c r="HU69" i="45"/>
  <c r="HU71" i="45"/>
  <c r="HU63" i="45"/>
  <c r="HU41" i="45"/>
  <c r="HU33" i="45"/>
  <c r="HU59" i="45"/>
  <c r="HU43" i="45"/>
  <c r="HU31" i="45"/>
  <c r="HU54" i="45"/>
  <c r="HU42" i="45"/>
  <c r="HU30" i="45"/>
  <c r="HU40" i="45"/>
  <c r="HU23" i="45"/>
  <c r="HU26" i="45"/>
  <c r="HU64" i="45"/>
  <c r="HU68" i="45"/>
  <c r="HU52" i="45"/>
  <c r="HU36" i="45"/>
  <c r="HU20" i="45"/>
  <c r="HU58" i="45"/>
  <c r="HU46" i="45"/>
  <c r="HU61" i="45"/>
  <c r="HU49" i="45"/>
  <c r="HU25" i="45"/>
  <c r="HU45" i="45"/>
  <c r="HU24" i="45"/>
  <c r="HU62" i="45"/>
  <c r="HU53" i="45"/>
  <c r="HU28" i="45"/>
  <c r="HU67" i="45"/>
  <c r="HU47" i="45"/>
  <c r="HU29" i="45"/>
  <c r="HU21" i="45"/>
  <c r="HU48" i="45"/>
  <c r="HU60" i="45"/>
  <c r="HU51" i="45"/>
  <c r="HU66" i="45"/>
  <c r="HU70" i="45"/>
  <c r="HU72" i="45"/>
  <c r="HV18" i="45"/>
  <c r="HU44" i="45"/>
  <c r="HU50" i="45"/>
  <c r="HP53" i="46"/>
  <c r="HP48" i="46"/>
  <c r="HQ18" i="46"/>
  <c r="HP45" i="46"/>
  <c r="HP47" i="46"/>
  <c r="HP22" i="46"/>
  <c r="HP40" i="46"/>
  <c r="HP49" i="46"/>
  <c r="HP51" i="46"/>
  <c r="HP20" i="46"/>
  <c r="HP54" i="46"/>
  <c r="HP6" i="46"/>
  <c r="HP26" i="46"/>
  <c r="HP44" i="46"/>
  <c r="HP50" i="46"/>
  <c r="HP41" i="46"/>
  <c r="HP43" i="46"/>
  <c r="HP21" i="46"/>
  <c r="HP46" i="46"/>
  <c r="HP37" i="46"/>
  <c r="HP35" i="46"/>
  <c r="HP28" i="46"/>
  <c r="HP25" i="46"/>
  <c r="HP23" i="46"/>
  <c r="HP39" i="46"/>
  <c r="HP60" i="46"/>
  <c r="HP56" i="46"/>
  <c r="HP42" i="46"/>
  <c r="HP31" i="46"/>
  <c r="HP24" i="46"/>
  <c r="HP36" i="46"/>
  <c r="HP59" i="46"/>
  <c r="HP62" i="46"/>
  <c r="HP65" i="46"/>
  <c r="HP69" i="46"/>
  <c r="HP70" i="46"/>
  <c r="HP33" i="46"/>
  <c r="HP52" i="46"/>
  <c r="HP38" i="46"/>
  <c r="HP27" i="46"/>
  <c r="HP57" i="46"/>
  <c r="HP58" i="46"/>
  <c r="HP64" i="46"/>
  <c r="HP71" i="46"/>
  <c r="HP29" i="46"/>
  <c r="HP66" i="46"/>
  <c r="HP55" i="46"/>
  <c r="HP68" i="46"/>
  <c r="HP34" i="46"/>
  <c r="HP61" i="46"/>
  <c r="HP67" i="46"/>
  <c r="HP32" i="46"/>
  <c r="HP30" i="46"/>
  <c r="HP63" i="46"/>
  <c r="HQ51" i="38"/>
  <c r="HQ33" i="38"/>
  <c r="HQ25" i="38"/>
  <c r="HQ27" i="38"/>
  <c r="HQ34" i="38"/>
  <c r="HQ44" i="38"/>
  <c r="HQ28" i="38"/>
  <c r="HQ53" i="38"/>
  <c r="HQ24" i="38"/>
  <c r="HQ46" i="38"/>
  <c r="HQ36" i="38"/>
  <c r="HQ20" i="38"/>
  <c r="HQ54" i="38"/>
  <c r="HQ47" i="38"/>
  <c r="HQ21" i="38"/>
  <c r="HQ39" i="38"/>
  <c r="HQ42" i="38"/>
  <c r="HQ6" i="38"/>
  <c r="HQ35" i="38"/>
  <c r="HQ55" i="38"/>
  <c r="HQ57" i="38"/>
  <c r="HQ58" i="38"/>
  <c r="HQ52" i="38"/>
  <c r="HR18" i="38"/>
  <c r="HQ48" i="38"/>
  <c r="HQ32" i="38"/>
  <c r="HQ38" i="38"/>
  <c r="HQ50" i="38"/>
  <c r="HQ26" i="38"/>
  <c r="HQ29" i="38"/>
  <c r="HQ22" i="38"/>
  <c r="HQ56" i="38"/>
  <c r="HQ43" i="38"/>
  <c r="HQ23" i="38"/>
  <c r="HQ59" i="38"/>
  <c r="HQ63" i="38"/>
  <c r="HQ66" i="38"/>
  <c r="HQ45" i="38"/>
  <c r="HQ30" i="38"/>
  <c r="HQ40" i="38"/>
  <c r="HQ64" i="38"/>
  <c r="HQ69" i="38"/>
  <c r="HQ31" i="38"/>
  <c r="HQ37" i="38"/>
  <c r="HQ60" i="38"/>
  <c r="HQ68" i="38"/>
  <c r="HQ49" i="38"/>
  <c r="HQ41" i="38"/>
  <c r="HQ62" i="38"/>
  <c r="HQ67" i="38"/>
  <c r="HQ61" i="38"/>
  <c r="HQ65" i="38"/>
  <c r="CY74" i="38" l="1"/>
  <c r="DD74" i="38" s="1"/>
  <c r="CW74" i="38"/>
  <c r="DB74" i="38" s="1"/>
  <c r="R73" i="38"/>
  <c r="O74" i="38"/>
  <c r="CO72" i="38"/>
  <c r="BV72" i="41" s="1"/>
  <c r="I74" i="38"/>
  <c r="AG92" i="4"/>
  <c r="AI91" i="4"/>
  <c r="AX91" i="46" s="1"/>
  <c r="AZ91" i="46" s="1"/>
  <c r="BA91" i="46" s="1"/>
  <c r="BB91" i="46" s="1"/>
  <c r="G91" i="46" s="1"/>
  <c r="AZ90" i="46"/>
  <c r="BA90" i="46" s="1"/>
  <c r="BB90" i="46" s="1"/>
  <c r="G90" i="46" s="1"/>
  <c r="AH92" i="4"/>
  <c r="AJ91" i="4"/>
  <c r="AY91" i="46" s="1"/>
  <c r="I74" i="46"/>
  <c r="I75" i="46" s="1"/>
  <c r="W61" i="38"/>
  <c r="BU61" i="38"/>
  <c r="T62" i="38"/>
  <c r="U62" i="41"/>
  <c r="V60" i="41"/>
  <c r="T60" i="45"/>
  <c r="T60" i="46"/>
  <c r="W60" i="46" s="1"/>
  <c r="W60" i="41"/>
  <c r="BS73" i="38"/>
  <c r="S73" i="45"/>
  <c r="D73" i="41"/>
  <c r="P73" i="45"/>
  <c r="Q73" i="45" s="1"/>
  <c r="R74" i="45" s="1"/>
  <c r="AI73" i="46"/>
  <c r="P73" i="46"/>
  <c r="Q73" i="46" s="1"/>
  <c r="R74" i="46" s="1"/>
  <c r="S73" i="46"/>
  <c r="E73" i="41"/>
  <c r="S73" i="38"/>
  <c r="C73" i="41"/>
  <c r="CO73" i="38"/>
  <c r="BV73" i="41" s="1"/>
  <c r="AI73" i="38"/>
  <c r="P73" i="38"/>
  <c r="Q73" i="38" s="1"/>
  <c r="A75" i="6"/>
  <c r="A75" i="45"/>
  <c r="O75" i="45" s="1"/>
  <c r="A75" i="38"/>
  <c r="CV75" i="38" s="1"/>
  <c r="A75" i="46"/>
  <c r="O75" i="46" s="1"/>
  <c r="A75" i="7"/>
  <c r="A75" i="4"/>
  <c r="A75" i="41"/>
  <c r="A76" i="55"/>
  <c r="L74" i="38"/>
  <c r="BQ74" i="38"/>
  <c r="FD74" i="38"/>
  <c r="FN74" i="38"/>
  <c r="CW74" i="41" s="1"/>
  <c r="K74" i="38"/>
  <c r="EY74" i="38"/>
  <c r="M74" i="38"/>
  <c r="L71" i="41"/>
  <c r="H71" i="41"/>
  <c r="FK74" i="45"/>
  <c r="M74" i="45"/>
  <c r="L74" i="45"/>
  <c r="K74" i="45"/>
  <c r="FK74" i="46"/>
  <c r="M74" i="46"/>
  <c r="L74" i="46"/>
  <c r="K74" i="46"/>
  <c r="K71" i="41"/>
  <c r="G71" i="41"/>
  <c r="Z72" i="41"/>
  <c r="AD72" i="41" s="1"/>
  <c r="FI73" i="38"/>
  <c r="FH73" i="38"/>
  <c r="FG73" i="38"/>
  <c r="HS73" i="45"/>
  <c r="HT73" i="45"/>
  <c r="HR73" i="45"/>
  <c r="AB72" i="41"/>
  <c r="AF72" i="41" s="1"/>
  <c r="M71" i="41"/>
  <c r="I71" i="41"/>
  <c r="CI73" i="38"/>
  <c r="BQ73" i="41" s="1"/>
  <c r="HQ55" i="46"/>
  <c r="HQ6" i="46"/>
  <c r="HQ26" i="46"/>
  <c r="HQ44" i="46"/>
  <c r="HR18" i="46"/>
  <c r="HQ56" i="46"/>
  <c r="HQ24" i="46"/>
  <c r="HQ34" i="46"/>
  <c r="HQ36" i="46"/>
  <c r="HQ43" i="46"/>
  <c r="HQ27" i="46"/>
  <c r="HQ48" i="46"/>
  <c r="HQ23" i="46"/>
  <c r="HQ21" i="46"/>
  <c r="HQ51" i="46"/>
  <c r="HQ22" i="46"/>
  <c r="HQ57" i="46"/>
  <c r="HQ31" i="46"/>
  <c r="HQ29" i="46"/>
  <c r="HQ20" i="46"/>
  <c r="HQ52" i="46"/>
  <c r="HQ32" i="46"/>
  <c r="HQ54" i="46"/>
  <c r="HQ33" i="46"/>
  <c r="HQ49" i="46"/>
  <c r="HQ30" i="46"/>
  <c r="HQ61" i="46"/>
  <c r="HQ63" i="46"/>
  <c r="HQ66" i="46"/>
  <c r="HQ67" i="46"/>
  <c r="HQ68" i="46"/>
  <c r="HQ39" i="46"/>
  <c r="HQ28" i="46"/>
  <c r="HQ50" i="46"/>
  <c r="HQ45" i="46"/>
  <c r="HQ41" i="46"/>
  <c r="HQ60" i="46"/>
  <c r="HQ72" i="46"/>
  <c r="HQ42" i="46"/>
  <c r="HQ35" i="46"/>
  <c r="HQ40" i="46"/>
  <c r="HQ59" i="46"/>
  <c r="HQ53" i="46"/>
  <c r="HQ62" i="46"/>
  <c r="HQ65" i="46"/>
  <c r="HQ69" i="46"/>
  <c r="HQ70" i="46"/>
  <c r="HQ37" i="46"/>
  <c r="HQ25" i="46"/>
  <c r="HQ38" i="46"/>
  <c r="HQ71" i="46"/>
  <c r="HQ47" i="46"/>
  <c r="HQ58" i="46"/>
  <c r="HQ46" i="46"/>
  <c r="HQ64" i="46"/>
  <c r="HR52" i="38"/>
  <c r="HR27" i="38"/>
  <c r="HR45" i="38"/>
  <c r="HR39" i="38"/>
  <c r="HR33" i="38"/>
  <c r="HR54" i="38"/>
  <c r="HR22" i="38"/>
  <c r="HR50" i="38"/>
  <c r="HR31" i="38"/>
  <c r="HR28" i="38"/>
  <c r="HR55" i="38"/>
  <c r="HR47" i="38"/>
  <c r="HR30" i="38"/>
  <c r="HR20" i="38"/>
  <c r="HR40" i="38"/>
  <c r="HR32" i="38"/>
  <c r="HR42" i="38"/>
  <c r="HR29" i="38"/>
  <c r="HR35" i="38"/>
  <c r="HR46" i="38"/>
  <c r="HR56" i="38"/>
  <c r="HR59" i="38"/>
  <c r="HR44" i="38"/>
  <c r="HR21" i="38"/>
  <c r="HR48" i="38"/>
  <c r="HR26" i="38"/>
  <c r="HR49" i="38"/>
  <c r="HS18" i="38"/>
  <c r="HR6" i="38"/>
  <c r="HR25" i="38"/>
  <c r="HR41" i="38"/>
  <c r="HR57" i="38"/>
  <c r="HR43" i="38"/>
  <c r="HR37" i="38"/>
  <c r="HR51" i="38"/>
  <c r="HR62" i="38"/>
  <c r="HR65" i="38"/>
  <c r="HR68" i="38"/>
  <c r="HR70" i="38"/>
  <c r="HR34" i="38"/>
  <c r="HR36" i="38"/>
  <c r="HR61" i="38"/>
  <c r="HR63" i="38"/>
  <c r="HR67" i="38"/>
  <c r="HR53" i="38"/>
  <c r="HR24" i="38"/>
  <c r="HR64" i="38"/>
  <c r="HR66" i="38"/>
  <c r="HR23" i="38"/>
  <c r="HR58" i="38"/>
  <c r="HR60" i="38"/>
  <c r="HR38" i="38"/>
  <c r="HR69" i="38"/>
  <c r="HV64" i="45"/>
  <c r="HV52" i="45"/>
  <c r="HV33" i="45"/>
  <c r="HV6" i="45"/>
  <c r="HV54" i="45"/>
  <c r="HV46" i="45"/>
  <c r="HV29" i="45"/>
  <c r="HV44" i="45"/>
  <c r="HV28" i="45"/>
  <c r="HV56" i="45"/>
  <c r="HV24" i="45"/>
  <c r="HV57" i="45"/>
  <c r="HV66" i="45"/>
  <c r="HV67" i="45"/>
  <c r="HV70" i="45"/>
  <c r="HV63" i="45"/>
  <c r="HV36" i="45"/>
  <c r="HV20" i="45"/>
  <c r="HV61" i="45"/>
  <c r="HV49" i="45"/>
  <c r="HV45" i="45"/>
  <c r="HV55" i="45"/>
  <c r="HV39" i="45"/>
  <c r="HV27" i="45"/>
  <c r="HV37" i="45"/>
  <c r="HV51" i="45"/>
  <c r="HV38" i="45"/>
  <c r="HV65" i="45"/>
  <c r="HV69" i="45"/>
  <c r="HV71" i="45"/>
  <c r="HV58" i="45"/>
  <c r="HV47" i="45"/>
  <c r="HW18" i="45"/>
  <c r="HV60" i="45"/>
  <c r="HV48" i="45"/>
  <c r="HV32" i="45"/>
  <c r="HV50" i="45"/>
  <c r="HV42" i="45"/>
  <c r="HV30" i="45"/>
  <c r="HV21" i="45"/>
  <c r="HV35" i="45"/>
  <c r="HV26" i="45"/>
  <c r="HV68" i="45"/>
  <c r="HV34" i="45"/>
  <c r="HV31" i="45"/>
  <c r="HV40" i="45"/>
  <c r="HV22" i="45"/>
  <c r="HV62" i="45"/>
  <c r="HV23" i="45"/>
  <c r="HV59" i="45"/>
  <c r="HV41" i="45"/>
  <c r="HV53" i="45"/>
  <c r="HV43" i="45"/>
  <c r="HV25" i="45"/>
  <c r="HV72" i="45"/>
  <c r="HV73" i="45"/>
  <c r="CW75" i="38" l="1"/>
  <c r="DB75" i="38" s="1"/>
  <c r="CY75" i="38"/>
  <c r="DD75" i="38" s="1"/>
  <c r="R74" i="38"/>
  <c r="I75" i="38"/>
  <c r="O75" i="38"/>
  <c r="AH93" i="4"/>
  <c r="AJ92" i="4"/>
  <c r="AY92" i="46" s="1"/>
  <c r="AG93" i="4"/>
  <c r="AI92" i="4"/>
  <c r="AX92" i="46" s="1"/>
  <c r="J74" i="46"/>
  <c r="I75" i="45"/>
  <c r="W62" i="38"/>
  <c r="BU62" i="38"/>
  <c r="BV62" i="38" s="1"/>
  <c r="BV61" i="38"/>
  <c r="U63" i="41"/>
  <c r="T63" i="38"/>
  <c r="W61" i="41"/>
  <c r="T61" i="46"/>
  <c r="W61" i="46" s="1"/>
  <c r="T61" i="45"/>
  <c r="V61" i="41"/>
  <c r="L75" i="45"/>
  <c r="FK75" i="45"/>
  <c r="HW75" i="45" s="1"/>
  <c r="K75" i="45"/>
  <c r="M75" i="45"/>
  <c r="HT74" i="45"/>
  <c r="HS74" i="45"/>
  <c r="HU74" i="45"/>
  <c r="AI74" i="38"/>
  <c r="P74" i="38"/>
  <c r="Q74" i="38" s="1"/>
  <c r="C74" i="41"/>
  <c r="S74" i="38"/>
  <c r="K72" i="41"/>
  <c r="Z73" i="41"/>
  <c r="AD73" i="41" s="1"/>
  <c r="G72" i="41"/>
  <c r="H72" i="41"/>
  <c r="L72" i="41"/>
  <c r="HV74" i="45"/>
  <c r="AI74" i="46"/>
  <c r="P74" i="46"/>
  <c r="Q74" i="46" s="1"/>
  <c r="R75" i="46" s="1"/>
  <c r="E74" i="41"/>
  <c r="S74" i="46"/>
  <c r="D74" i="41"/>
  <c r="S74" i="45"/>
  <c r="P74" i="45"/>
  <c r="Q74" i="45" s="1"/>
  <c r="R75" i="45" s="1"/>
  <c r="FH74" i="38"/>
  <c r="FG74" i="38"/>
  <c r="FI74" i="38"/>
  <c r="J74" i="38"/>
  <c r="CI74" i="38" s="1"/>
  <c r="BQ74" i="41" s="1"/>
  <c r="BS74" i="38"/>
  <c r="A76" i="46"/>
  <c r="O76" i="46" s="1"/>
  <c r="A76" i="45"/>
  <c r="O76" i="45" s="1"/>
  <c r="A76" i="7"/>
  <c r="A76" i="4"/>
  <c r="A77" i="55"/>
  <c r="A76" i="38"/>
  <c r="CV76" i="38" s="1"/>
  <c r="A76" i="41"/>
  <c r="A76" i="6"/>
  <c r="K75" i="46"/>
  <c r="J75" i="46"/>
  <c r="FK75" i="46"/>
  <c r="L75" i="46"/>
  <c r="M75" i="46"/>
  <c r="FN75" i="38"/>
  <c r="CW75" i="41" s="1"/>
  <c r="L75" i="38"/>
  <c r="EY75" i="38"/>
  <c r="K75" i="38"/>
  <c r="FD75" i="38"/>
  <c r="M75" i="38"/>
  <c r="BQ75" i="38"/>
  <c r="M72" i="41"/>
  <c r="I72" i="41"/>
  <c r="AB73" i="41"/>
  <c r="AF73" i="41" s="1"/>
  <c r="HW60" i="45"/>
  <c r="HW47" i="45"/>
  <c r="HW27" i="45"/>
  <c r="HW6" i="45"/>
  <c r="HW43" i="45"/>
  <c r="HW23" i="45"/>
  <c r="HW62" i="45"/>
  <c r="HW39" i="45"/>
  <c r="HX18" i="45"/>
  <c r="HW51" i="45"/>
  <c r="HW53" i="45"/>
  <c r="HW52" i="45"/>
  <c r="HW65" i="45"/>
  <c r="HW72" i="45"/>
  <c r="HW73" i="45"/>
  <c r="HW54" i="45"/>
  <c r="HW46" i="45"/>
  <c r="HW30" i="45"/>
  <c r="HW50" i="45"/>
  <c r="HW42" i="45"/>
  <c r="HW26" i="45"/>
  <c r="HW57" i="45"/>
  <c r="HW38" i="45"/>
  <c r="HW22" i="45"/>
  <c r="HW31" i="45"/>
  <c r="HW34" i="45"/>
  <c r="HW33" i="45"/>
  <c r="HW66" i="45"/>
  <c r="HW67" i="45"/>
  <c r="HW70" i="45"/>
  <c r="HW74" i="45"/>
  <c r="HW49" i="45"/>
  <c r="HW45" i="45"/>
  <c r="HW25" i="45"/>
  <c r="HW61" i="45"/>
  <c r="HW41" i="45"/>
  <c r="HW21" i="45"/>
  <c r="HW56" i="45"/>
  <c r="HW37" i="45"/>
  <c r="HW32" i="45"/>
  <c r="HW58" i="45"/>
  <c r="HW29" i="45"/>
  <c r="HW28" i="45"/>
  <c r="HW69" i="45"/>
  <c r="HW71" i="45"/>
  <c r="HW59" i="45"/>
  <c r="HW36" i="45"/>
  <c r="HW68" i="45"/>
  <c r="HW48" i="45"/>
  <c r="HW40" i="45"/>
  <c r="HW63" i="45"/>
  <c r="HW44" i="45"/>
  <c r="HW20" i="45"/>
  <c r="HW35" i="45"/>
  <c r="HW24" i="45"/>
  <c r="HW55" i="45"/>
  <c r="HW64" i="45"/>
  <c r="HS36" i="38"/>
  <c r="HT18" i="38"/>
  <c r="HS45" i="38"/>
  <c r="HS40" i="38"/>
  <c r="HS51" i="38"/>
  <c r="HS35" i="38"/>
  <c r="HS6" i="38"/>
  <c r="HS52" i="38"/>
  <c r="HS44" i="38"/>
  <c r="HS48" i="38"/>
  <c r="HS34" i="38"/>
  <c r="HS55" i="38"/>
  <c r="HS39" i="38"/>
  <c r="HS20" i="38"/>
  <c r="HS50" i="38"/>
  <c r="HS26" i="38"/>
  <c r="HS23" i="38"/>
  <c r="HS37" i="38"/>
  <c r="HS27" i="38"/>
  <c r="HS43" i="38"/>
  <c r="HS24" i="38"/>
  <c r="HS53" i="38"/>
  <c r="HS33" i="38"/>
  <c r="HS56" i="38"/>
  <c r="HS41" i="38"/>
  <c r="HS32" i="38"/>
  <c r="HS25" i="38"/>
  <c r="HS47" i="38"/>
  <c r="HS22" i="38"/>
  <c r="HS58" i="38"/>
  <c r="HS21" i="38"/>
  <c r="HS49" i="38"/>
  <c r="HS46" i="38"/>
  <c r="HS60" i="38"/>
  <c r="HS69" i="38"/>
  <c r="HS54" i="38"/>
  <c r="HS29" i="38"/>
  <c r="HS59" i="38"/>
  <c r="HS62" i="38"/>
  <c r="HS65" i="38"/>
  <c r="HS68" i="38"/>
  <c r="HS70" i="38"/>
  <c r="HS71" i="38"/>
  <c r="HS30" i="38"/>
  <c r="HS42" i="38"/>
  <c r="HS57" i="38"/>
  <c r="HS61" i="38"/>
  <c r="HS63" i="38"/>
  <c r="HS67" i="38"/>
  <c r="HS64" i="38"/>
  <c r="HS38" i="38"/>
  <c r="HS66" i="38"/>
  <c r="HS31" i="38"/>
  <c r="HS28" i="38"/>
  <c r="HR55" i="46"/>
  <c r="HR46" i="46"/>
  <c r="HR44" i="46"/>
  <c r="HR49" i="46"/>
  <c r="HR26" i="46"/>
  <c r="HR24" i="46"/>
  <c r="HR23" i="46"/>
  <c r="HR21" i="46"/>
  <c r="HR50" i="46"/>
  <c r="HR57" i="46"/>
  <c r="HR34" i="46"/>
  <c r="HR47" i="46"/>
  <c r="HR45" i="46"/>
  <c r="HR51" i="46"/>
  <c r="HR27" i="46"/>
  <c r="HR25" i="46"/>
  <c r="HR56" i="46"/>
  <c r="HR22" i="46"/>
  <c r="HR20" i="46"/>
  <c r="HR35" i="46"/>
  <c r="HR48" i="46"/>
  <c r="HR31" i="46"/>
  <c r="HR58" i="46"/>
  <c r="HR40" i="46"/>
  <c r="HR37" i="46"/>
  <c r="HR33" i="46"/>
  <c r="HR60" i="46"/>
  <c r="HR64" i="46"/>
  <c r="HR71" i="46"/>
  <c r="HR73" i="46"/>
  <c r="HR30" i="46"/>
  <c r="HR43" i="46"/>
  <c r="HR54" i="46"/>
  <c r="HR36" i="46"/>
  <c r="HS18" i="46"/>
  <c r="HR61" i="46"/>
  <c r="HR63" i="46"/>
  <c r="HR66" i="46"/>
  <c r="HR67" i="46"/>
  <c r="HR68" i="46"/>
  <c r="HR29" i="46"/>
  <c r="HR42" i="46"/>
  <c r="HR39" i="46"/>
  <c r="HR52" i="46"/>
  <c r="HR59" i="46"/>
  <c r="HR41" i="46"/>
  <c r="HR65" i="46"/>
  <c r="HR72" i="46"/>
  <c r="HR38" i="46"/>
  <c r="HR53" i="46"/>
  <c r="HR6" i="46"/>
  <c r="HR62" i="46"/>
  <c r="HR70" i="46"/>
  <c r="HR28" i="46"/>
  <c r="HR32" i="46"/>
  <c r="HR69" i="46"/>
  <c r="CW76" i="38" l="1"/>
  <c r="DB76" i="38" s="1"/>
  <c r="CY76" i="38"/>
  <c r="DD76" i="38" s="1"/>
  <c r="R75" i="38"/>
  <c r="O76" i="38"/>
  <c r="I76" i="38"/>
  <c r="AG94" i="4"/>
  <c r="AI93" i="4"/>
  <c r="AX93" i="46" s="1"/>
  <c r="AZ93" i="46" s="1"/>
  <c r="BA93" i="46" s="1"/>
  <c r="BB93" i="46" s="1"/>
  <c r="G93" i="46" s="1"/>
  <c r="AZ92" i="46"/>
  <c r="BA92" i="46" s="1"/>
  <c r="BB92" i="46" s="1"/>
  <c r="G92" i="46" s="1"/>
  <c r="AH94" i="4"/>
  <c r="AJ93" i="4"/>
  <c r="AY93" i="46" s="1"/>
  <c r="I76" i="45"/>
  <c r="I76" i="46"/>
  <c r="T64" i="38"/>
  <c r="U64" i="41"/>
  <c r="W63" i="38"/>
  <c r="BU63" i="38"/>
  <c r="BV63" i="38" s="1"/>
  <c r="V62" i="41"/>
  <c r="T62" i="45"/>
  <c r="T62" i="46"/>
  <c r="W62" i="46" s="1"/>
  <c r="W62" i="41"/>
  <c r="AI75" i="38"/>
  <c r="P75" i="38"/>
  <c r="Q75" i="38" s="1"/>
  <c r="S75" i="38"/>
  <c r="C75" i="41"/>
  <c r="CO74" i="38"/>
  <c r="BV74" i="41" s="1"/>
  <c r="HU75" i="45"/>
  <c r="HV75" i="45"/>
  <c r="HT75" i="45"/>
  <c r="FG75" i="38"/>
  <c r="FH75" i="38"/>
  <c r="FI75" i="38"/>
  <c r="BQ76" i="38"/>
  <c r="FN76" i="38"/>
  <c r="CW76" i="41" s="1"/>
  <c r="M76" i="38"/>
  <c r="FD76" i="38"/>
  <c r="L76" i="38"/>
  <c r="EY76" i="38"/>
  <c r="K76" i="38"/>
  <c r="FK76" i="45"/>
  <c r="HX76" i="45" s="1"/>
  <c r="M76" i="45"/>
  <c r="L76" i="45"/>
  <c r="K76" i="45"/>
  <c r="J75" i="38"/>
  <c r="CI75" i="38" s="1"/>
  <c r="BQ75" i="41" s="1"/>
  <c r="BS75" i="38"/>
  <c r="A77" i="7"/>
  <c r="A78" i="55"/>
  <c r="A77" i="46"/>
  <c r="O77" i="46" s="1"/>
  <c r="A77" i="38"/>
  <c r="CV77" i="38" s="1"/>
  <c r="A77" i="4"/>
  <c r="A77" i="6"/>
  <c r="A77" i="45"/>
  <c r="O77" i="45" s="1"/>
  <c r="A77" i="41"/>
  <c r="M76" i="46"/>
  <c r="FK76" i="46"/>
  <c r="L76" i="46"/>
  <c r="K76" i="46"/>
  <c r="I73" i="41"/>
  <c r="AB74" i="41"/>
  <c r="AF74" i="41" s="1"/>
  <c r="M73" i="41"/>
  <c r="G73" i="41"/>
  <c r="K73" i="41"/>
  <c r="Z74" i="41"/>
  <c r="AD74" i="41" s="1"/>
  <c r="S75" i="45"/>
  <c r="D75" i="41"/>
  <c r="P75" i="45"/>
  <c r="Q75" i="45" s="1"/>
  <c r="R76" i="45" s="1"/>
  <c r="E75" i="41"/>
  <c r="P75" i="46"/>
  <c r="Q75" i="46" s="1"/>
  <c r="R76" i="46" s="1"/>
  <c r="S75" i="46"/>
  <c r="AI75" i="46"/>
  <c r="L73" i="41"/>
  <c r="H73" i="41"/>
  <c r="HT53" i="38"/>
  <c r="HT33" i="38"/>
  <c r="HT30" i="38"/>
  <c r="HT48" i="38"/>
  <c r="HT32" i="38"/>
  <c r="HT46" i="38"/>
  <c r="HT25" i="38"/>
  <c r="HT55" i="38"/>
  <c r="HT27" i="38"/>
  <c r="HT21" i="38"/>
  <c r="HT57" i="38"/>
  <c r="HT51" i="38"/>
  <c r="HT37" i="38"/>
  <c r="HT20" i="38"/>
  <c r="HT50" i="38"/>
  <c r="HT38" i="38"/>
  <c r="HU18" i="38"/>
  <c r="HT40" i="38"/>
  <c r="HT31" i="38"/>
  <c r="HT24" i="38"/>
  <c r="HT6" i="38"/>
  <c r="HT59" i="38"/>
  <c r="HT54" i="38"/>
  <c r="HT23" i="38"/>
  <c r="HT29" i="38"/>
  <c r="HT34" i="38"/>
  <c r="HT36" i="38"/>
  <c r="HT58" i="38"/>
  <c r="HT64" i="38"/>
  <c r="HT66" i="38"/>
  <c r="HT72" i="38"/>
  <c r="HT52" i="38"/>
  <c r="HT47" i="38"/>
  <c r="HT39" i="38"/>
  <c r="HT28" i="38"/>
  <c r="HT43" i="38"/>
  <c r="HT60" i="38"/>
  <c r="HT69" i="38"/>
  <c r="HT42" i="38"/>
  <c r="HT49" i="38"/>
  <c r="HT22" i="38"/>
  <c r="HT26" i="38"/>
  <c r="HT56" i="38"/>
  <c r="HT62" i="38"/>
  <c r="HT65" i="38"/>
  <c r="HT68" i="38"/>
  <c r="HT70" i="38"/>
  <c r="HT71" i="38"/>
  <c r="HT35" i="38"/>
  <c r="HT61" i="38"/>
  <c r="HT44" i="38"/>
  <c r="HT45" i="38"/>
  <c r="HT41" i="38"/>
  <c r="HT63" i="38"/>
  <c r="HT67" i="38"/>
  <c r="HS60" i="46"/>
  <c r="HS33" i="46"/>
  <c r="HS35" i="46"/>
  <c r="HS46" i="46"/>
  <c r="HS44" i="46"/>
  <c r="HS50" i="46"/>
  <c r="HS26" i="46"/>
  <c r="HS24" i="46"/>
  <c r="HS38" i="46"/>
  <c r="HS37" i="46"/>
  <c r="HS23" i="46"/>
  <c r="HS62" i="46"/>
  <c r="HS65" i="46"/>
  <c r="HS69" i="46"/>
  <c r="HS70" i="46"/>
  <c r="HS51" i="46"/>
  <c r="HS48" i="46"/>
  <c r="HT18" i="46"/>
  <c r="HS30" i="46"/>
  <c r="HS28" i="46"/>
  <c r="HS52" i="46"/>
  <c r="HS41" i="46"/>
  <c r="HS43" i="46"/>
  <c r="HS36" i="46"/>
  <c r="HS39" i="46"/>
  <c r="HS61" i="46"/>
  <c r="HS64" i="46"/>
  <c r="HS71" i="46"/>
  <c r="HS73" i="46"/>
  <c r="HS58" i="46"/>
  <c r="HS34" i="46"/>
  <c r="HS32" i="46"/>
  <c r="HS54" i="46"/>
  <c r="HS45" i="46"/>
  <c r="HS47" i="46"/>
  <c r="HS59" i="46"/>
  <c r="HS25" i="46"/>
  <c r="HS27" i="46"/>
  <c r="HS22" i="46"/>
  <c r="HS55" i="46"/>
  <c r="HS63" i="46"/>
  <c r="HS66" i="46"/>
  <c r="HS67" i="46"/>
  <c r="HS68" i="46"/>
  <c r="HS53" i="46"/>
  <c r="HS29" i="46"/>
  <c r="HS57" i="46"/>
  <c r="HS49" i="46"/>
  <c r="HS31" i="46"/>
  <c r="HS20" i="46"/>
  <c r="HS72" i="46"/>
  <c r="HS74" i="46"/>
  <c r="HS6" i="46"/>
  <c r="HS42" i="46"/>
  <c r="HS21" i="46"/>
  <c r="HS56" i="46"/>
  <c r="HS40" i="46"/>
  <c r="HX52" i="45"/>
  <c r="HX33" i="45"/>
  <c r="HX24" i="45"/>
  <c r="HX48" i="45"/>
  <c r="HX44" i="45"/>
  <c r="HX20" i="45"/>
  <c r="HX60" i="45"/>
  <c r="HX41" i="45"/>
  <c r="HX32" i="45"/>
  <c r="HX28" i="45"/>
  <c r="HX27" i="45"/>
  <c r="HX42" i="45"/>
  <c r="HX68" i="45"/>
  <c r="HX51" i="45"/>
  <c r="HX43" i="45"/>
  <c r="HX23" i="45"/>
  <c r="HX47" i="45"/>
  <c r="HX39" i="45"/>
  <c r="HY18" i="45"/>
  <c r="HX59" i="45"/>
  <c r="HX40" i="45"/>
  <c r="HX31" i="45"/>
  <c r="HX6" i="45"/>
  <c r="HX54" i="45"/>
  <c r="HX25" i="45"/>
  <c r="HX72" i="45"/>
  <c r="HX73" i="45"/>
  <c r="HX75" i="45"/>
  <c r="HX62" i="45"/>
  <c r="HX50" i="45"/>
  <c r="HX26" i="45"/>
  <c r="HX63" i="45"/>
  <c r="HX49" i="45"/>
  <c r="HX22" i="45"/>
  <c r="HX64" i="45"/>
  <c r="HX58" i="45"/>
  <c r="HX35" i="45"/>
  <c r="HX56" i="45"/>
  <c r="HX55" i="45"/>
  <c r="HX30" i="45"/>
  <c r="HX67" i="45"/>
  <c r="HX70" i="45"/>
  <c r="HX53" i="45"/>
  <c r="HX46" i="45"/>
  <c r="HX61" i="45"/>
  <c r="HX57" i="45"/>
  <c r="HX45" i="45"/>
  <c r="HX29" i="45"/>
  <c r="HX38" i="45"/>
  <c r="HX34" i="45"/>
  <c r="HX37" i="45"/>
  <c r="HX66" i="45"/>
  <c r="HX71" i="45"/>
  <c r="HX74" i="45"/>
  <c r="HX21" i="45"/>
  <c r="HX65" i="45"/>
  <c r="HX36" i="45"/>
  <c r="HX69" i="45"/>
  <c r="CW77" i="38" l="1"/>
  <c r="DB77" i="38" s="1"/>
  <c r="CY77" i="38"/>
  <c r="DD77" i="38" s="1"/>
  <c r="O77" i="38"/>
  <c r="I77" i="38"/>
  <c r="J77" i="38" s="1"/>
  <c r="J76" i="38"/>
  <c r="CI76" i="38" s="1"/>
  <c r="BQ76" i="41" s="1"/>
  <c r="R76" i="38"/>
  <c r="AH95" i="4"/>
  <c r="AJ94" i="4"/>
  <c r="AY94" i="46" s="1"/>
  <c r="AG95" i="4"/>
  <c r="AI94" i="4"/>
  <c r="AX94" i="46" s="1"/>
  <c r="I77" i="46"/>
  <c r="J77" i="46" s="1"/>
  <c r="J76" i="46"/>
  <c r="I77" i="45"/>
  <c r="T65" i="38"/>
  <c r="U65" i="41"/>
  <c r="BU64" i="38"/>
  <c r="BV64" i="38" s="1"/>
  <c r="W64" i="38"/>
  <c r="W63" i="41"/>
  <c r="T63" i="46"/>
  <c r="W63" i="46" s="1"/>
  <c r="T63" i="45"/>
  <c r="V63" i="41"/>
  <c r="BS76" i="38"/>
  <c r="CO75" i="38"/>
  <c r="BV75" i="41" s="1"/>
  <c r="P76" i="46"/>
  <c r="Q76" i="46" s="1"/>
  <c r="R77" i="46" s="1"/>
  <c r="AI76" i="46"/>
  <c r="S76" i="46"/>
  <c r="E76" i="41"/>
  <c r="M74" i="41"/>
  <c r="AB75" i="41"/>
  <c r="AF75" i="41" s="1"/>
  <c r="I74" i="41"/>
  <c r="L74" i="41"/>
  <c r="H74" i="41"/>
  <c r="K77" i="38"/>
  <c r="L77" i="38"/>
  <c r="BQ77" i="38"/>
  <c r="M77" i="38"/>
  <c r="FN77" i="38"/>
  <c r="CW77" i="41" s="1"/>
  <c r="FD77" i="38"/>
  <c r="EY77" i="38"/>
  <c r="FK77" i="45"/>
  <c r="HY77" i="45" s="1"/>
  <c r="M77" i="45"/>
  <c r="L77" i="45"/>
  <c r="K77" i="45"/>
  <c r="FK77" i="46"/>
  <c r="L77" i="46"/>
  <c r="M77" i="46"/>
  <c r="K77" i="46"/>
  <c r="HV76" i="45"/>
  <c r="HU76" i="45"/>
  <c r="HW76" i="45"/>
  <c r="S76" i="38"/>
  <c r="P76" i="38"/>
  <c r="Q76" i="38" s="1"/>
  <c r="AI76" i="38"/>
  <c r="C76" i="41"/>
  <c r="CO76" i="38"/>
  <c r="BV76" i="41" s="1"/>
  <c r="Z75" i="41"/>
  <c r="AD75" i="41" s="1"/>
  <c r="K74" i="41"/>
  <c r="G74" i="41"/>
  <c r="A78" i="38"/>
  <c r="CV78" i="38" s="1"/>
  <c r="A78" i="46"/>
  <c r="O78" i="46" s="1"/>
  <c r="A78" i="4"/>
  <c r="A78" i="7"/>
  <c r="A78" i="6"/>
  <c r="A79" i="55"/>
  <c r="A78" i="45"/>
  <c r="O78" i="45" s="1"/>
  <c r="A78" i="41"/>
  <c r="P76" i="45"/>
  <c r="Q76" i="45" s="1"/>
  <c r="R77" i="45" s="1"/>
  <c r="S76" i="45"/>
  <c r="D76" i="41"/>
  <c r="FH76" i="38"/>
  <c r="FI76" i="38"/>
  <c r="FG76" i="38"/>
  <c r="HY60" i="45"/>
  <c r="HY44" i="45"/>
  <c r="HY28" i="45"/>
  <c r="HY61" i="45"/>
  <c r="HY45" i="45"/>
  <c r="HY25" i="45"/>
  <c r="HY6" i="45"/>
  <c r="HY57" i="45"/>
  <c r="HY34" i="45"/>
  <c r="HY22" i="45"/>
  <c r="HY33" i="45"/>
  <c r="HY59" i="45"/>
  <c r="HY69" i="45"/>
  <c r="HY71" i="45"/>
  <c r="HY76" i="45"/>
  <c r="HY55" i="45"/>
  <c r="HY43" i="45"/>
  <c r="HY27" i="45"/>
  <c r="HY56" i="45"/>
  <c r="HY40" i="45"/>
  <c r="HY24" i="45"/>
  <c r="HY63" i="45"/>
  <c r="HY41" i="45"/>
  <c r="HY21" i="45"/>
  <c r="HY58" i="45"/>
  <c r="HY64" i="45"/>
  <c r="HY48" i="45"/>
  <c r="HY68" i="45"/>
  <c r="HY66" i="45"/>
  <c r="HY54" i="45"/>
  <c r="HY42" i="45"/>
  <c r="HY30" i="45"/>
  <c r="HY51" i="45"/>
  <c r="HY39" i="45"/>
  <c r="HY23" i="45"/>
  <c r="HY52" i="45"/>
  <c r="HY36" i="45"/>
  <c r="HY20" i="45"/>
  <c r="HY46" i="45"/>
  <c r="HY37" i="45"/>
  <c r="HY31" i="45"/>
  <c r="HY65" i="45"/>
  <c r="HY50" i="45"/>
  <c r="HY35" i="45"/>
  <c r="HY72" i="45"/>
  <c r="HY73" i="45"/>
  <c r="HY49" i="45"/>
  <c r="HY38" i="45"/>
  <c r="HZ18" i="45"/>
  <c r="HY67" i="45"/>
  <c r="HY29" i="45"/>
  <c r="HY26" i="45"/>
  <c r="HY53" i="45"/>
  <c r="HY75" i="45"/>
  <c r="HY62" i="45"/>
  <c r="HY47" i="45"/>
  <c r="HY32" i="45"/>
  <c r="HY70" i="45"/>
  <c r="HY74" i="45"/>
  <c r="HU50" i="38"/>
  <c r="HU39" i="38"/>
  <c r="HU38" i="38"/>
  <c r="HU40" i="38"/>
  <c r="HU27" i="38"/>
  <c r="HU57" i="38"/>
  <c r="HU41" i="38"/>
  <c r="HU26" i="38"/>
  <c r="HU54" i="38"/>
  <c r="HU37" i="38"/>
  <c r="HU21" i="38"/>
  <c r="HU48" i="38"/>
  <c r="HU32" i="38"/>
  <c r="HU46" i="38"/>
  <c r="HU42" i="38"/>
  <c r="HU6" i="38"/>
  <c r="HU51" i="38"/>
  <c r="HU24" i="38"/>
  <c r="HU47" i="38"/>
  <c r="HV18" i="38"/>
  <c r="HU52" i="38"/>
  <c r="HU44" i="38"/>
  <c r="HU55" i="38"/>
  <c r="HU58" i="38"/>
  <c r="HU23" i="38"/>
  <c r="HU53" i="38"/>
  <c r="HU61" i="38"/>
  <c r="HU63" i="38"/>
  <c r="HU67" i="38"/>
  <c r="HU33" i="38"/>
  <c r="HU45" i="38"/>
  <c r="HU56" i="38"/>
  <c r="HU29" i="38"/>
  <c r="HU22" i="38"/>
  <c r="HU64" i="38"/>
  <c r="HU66" i="38"/>
  <c r="HU72" i="38"/>
  <c r="HU31" i="38"/>
  <c r="HU28" i="38"/>
  <c r="HU36" i="38"/>
  <c r="HU20" i="38"/>
  <c r="HU34" i="38"/>
  <c r="HU59" i="38"/>
  <c r="HU60" i="38"/>
  <c r="HU69" i="38"/>
  <c r="HU35" i="38"/>
  <c r="HU65" i="38"/>
  <c r="HU68" i="38"/>
  <c r="HU71" i="38"/>
  <c r="HU73" i="38"/>
  <c r="HU49" i="38"/>
  <c r="HU43" i="38"/>
  <c r="HU25" i="38"/>
  <c r="HU70" i="38"/>
  <c r="HU30" i="38"/>
  <c r="HU62" i="38"/>
  <c r="HT62" i="46"/>
  <c r="HT32" i="46"/>
  <c r="HT34" i="46"/>
  <c r="HT41" i="46"/>
  <c r="HT47" i="46"/>
  <c r="HT57" i="46"/>
  <c r="HT21" i="46"/>
  <c r="HT27" i="46"/>
  <c r="HT36" i="46"/>
  <c r="HT20" i="46"/>
  <c r="HT55" i="46"/>
  <c r="HT72" i="46"/>
  <c r="HT74" i="46"/>
  <c r="HT45" i="46"/>
  <c r="HT6" i="46"/>
  <c r="HT61" i="46"/>
  <c r="HT25" i="46"/>
  <c r="HT31" i="46"/>
  <c r="HT59" i="46"/>
  <c r="HT40" i="46"/>
  <c r="HT42" i="46"/>
  <c r="HT38" i="46"/>
  <c r="HT22" i="46"/>
  <c r="HT50" i="46"/>
  <c r="HT65" i="46"/>
  <c r="HT69" i="46"/>
  <c r="HT70" i="46"/>
  <c r="HT56" i="46"/>
  <c r="HT29" i="46"/>
  <c r="HT35" i="46"/>
  <c r="HT52" i="46"/>
  <c r="HT44" i="46"/>
  <c r="HT46" i="46"/>
  <c r="HT54" i="46"/>
  <c r="HT24" i="46"/>
  <c r="HT26" i="46"/>
  <c r="HT60" i="46"/>
  <c r="HT33" i="46"/>
  <c r="HT23" i="46"/>
  <c r="HT64" i="46"/>
  <c r="HT71" i="46"/>
  <c r="HT48" i="46"/>
  <c r="HT30" i="46"/>
  <c r="HT49" i="46"/>
  <c r="HT63" i="46"/>
  <c r="HU18" i="46"/>
  <c r="HT37" i="46"/>
  <c r="HT39" i="46"/>
  <c r="HT66" i="46"/>
  <c r="HT58" i="46"/>
  <c r="HT43" i="46"/>
  <c r="HT68" i="46"/>
  <c r="HT73" i="46"/>
  <c r="HT51" i="46"/>
  <c r="HT28" i="46"/>
  <c r="HT53" i="46"/>
  <c r="HT67" i="46"/>
  <c r="HT75" i="46"/>
  <c r="CW78" i="38" l="1"/>
  <c r="DB78" i="38" s="1"/>
  <c r="CY78" i="38"/>
  <c r="DD78" i="38" s="1"/>
  <c r="R77" i="38"/>
  <c r="I78" i="38"/>
  <c r="O78" i="38"/>
  <c r="AG96" i="4"/>
  <c r="AI95" i="4"/>
  <c r="AX95" i="46" s="1"/>
  <c r="AZ94" i="46"/>
  <c r="BA94" i="46" s="1"/>
  <c r="BB94" i="46" s="1"/>
  <c r="G94" i="46" s="1"/>
  <c r="AH96" i="4"/>
  <c r="AJ95" i="4"/>
  <c r="AY95" i="46" s="1"/>
  <c r="I78" i="45"/>
  <c r="I78" i="46"/>
  <c r="I79" i="46" s="1"/>
  <c r="T66" i="38"/>
  <c r="U66" i="41"/>
  <c r="W65" i="38"/>
  <c r="BU65" i="38"/>
  <c r="BV65" i="38" s="1"/>
  <c r="T64" i="46"/>
  <c r="W64" i="46" s="1"/>
  <c r="W64" i="41"/>
  <c r="T64" i="45"/>
  <c r="V64" i="41"/>
  <c r="BS77" i="38"/>
  <c r="L78" i="38"/>
  <c r="EY78" i="38"/>
  <c r="FN78" i="38"/>
  <c r="CW78" i="41" s="1"/>
  <c r="BQ78" i="38"/>
  <c r="M78" i="38"/>
  <c r="K78" i="38"/>
  <c r="FD78" i="38"/>
  <c r="AI77" i="46"/>
  <c r="E77" i="41"/>
  <c r="P77" i="46"/>
  <c r="Q77" i="46" s="1"/>
  <c r="R78" i="46" s="1"/>
  <c r="S77" i="46"/>
  <c r="HX77" i="45"/>
  <c r="HV77" i="45"/>
  <c r="HW77" i="45"/>
  <c r="H75" i="41"/>
  <c r="L75" i="41"/>
  <c r="FK78" i="45"/>
  <c r="HZ78" i="45" s="1"/>
  <c r="L78" i="45"/>
  <c r="K78" i="45"/>
  <c r="M78" i="45"/>
  <c r="D77" i="41"/>
  <c r="S77" i="45"/>
  <c r="P77" i="45"/>
  <c r="Q77" i="45" s="1"/>
  <c r="R78" i="45" s="1"/>
  <c r="FI77" i="38"/>
  <c r="FG77" i="38"/>
  <c r="FH77" i="38"/>
  <c r="A80" i="55"/>
  <c r="A79" i="6"/>
  <c r="A79" i="46"/>
  <c r="O79" i="46" s="1"/>
  <c r="A79" i="41"/>
  <c r="A79" i="38"/>
  <c r="CV79" i="38" s="1"/>
  <c r="A79" i="4"/>
  <c r="A79" i="7"/>
  <c r="A79" i="45"/>
  <c r="O79" i="45" s="1"/>
  <c r="M78" i="46"/>
  <c r="K78" i="46"/>
  <c r="FK78" i="46"/>
  <c r="L78" i="46"/>
  <c r="G75" i="41"/>
  <c r="K75" i="41"/>
  <c r="Z76" i="41"/>
  <c r="AD76" i="41" s="1"/>
  <c r="CI77" i="38"/>
  <c r="BQ77" i="41" s="1"/>
  <c r="S77" i="38"/>
  <c r="P77" i="38"/>
  <c r="Q77" i="38" s="1"/>
  <c r="AI77" i="38"/>
  <c r="C77" i="41"/>
  <c r="CO77" i="38"/>
  <c r="BV77" i="41" s="1"/>
  <c r="I75" i="41"/>
  <c r="AB76" i="41"/>
  <c r="AF76" i="41" s="1"/>
  <c r="M75" i="41"/>
  <c r="HU48" i="46"/>
  <c r="HV18" i="46"/>
  <c r="HU56" i="46"/>
  <c r="HU44" i="46"/>
  <c r="HU46" i="46"/>
  <c r="HU52" i="46"/>
  <c r="HU40" i="46"/>
  <c r="HU42" i="46"/>
  <c r="HU58" i="46"/>
  <c r="HU37" i="46"/>
  <c r="HU21" i="46"/>
  <c r="HU66" i="46"/>
  <c r="HU67" i="46"/>
  <c r="HU68" i="46"/>
  <c r="HU75" i="46"/>
  <c r="HU60" i="46"/>
  <c r="HU32" i="46"/>
  <c r="HU34" i="46"/>
  <c r="HU51" i="46"/>
  <c r="HU28" i="46"/>
  <c r="HU30" i="46"/>
  <c r="HU63" i="46"/>
  <c r="HU24" i="46"/>
  <c r="HU26" i="46"/>
  <c r="HU20" i="46"/>
  <c r="HU59" i="46"/>
  <c r="HU36" i="46"/>
  <c r="HU72" i="46"/>
  <c r="HU74" i="46"/>
  <c r="HU76" i="46"/>
  <c r="HU55" i="46"/>
  <c r="HU6" i="46"/>
  <c r="HU49" i="46"/>
  <c r="HU50" i="46"/>
  <c r="HU47" i="46"/>
  <c r="HU45" i="46"/>
  <c r="HU62" i="46"/>
  <c r="HU43" i="46"/>
  <c r="HU41" i="46"/>
  <c r="HU22" i="46"/>
  <c r="HU53" i="46"/>
  <c r="HU38" i="46"/>
  <c r="HU65" i="46"/>
  <c r="HU69" i="46"/>
  <c r="HU70" i="46"/>
  <c r="HU35" i="46"/>
  <c r="HU29" i="46"/>
  <c r="HU39" i="46"/>
  <c r="HU64" i="46"/>
  <c r="HU33" i="46"/>
  <c r="HU57" i="46"/>
  <c r="HU23" i="46"/>
  <c r="HU61" i="46"/>
  <c r="HU27" i="46"/>
  <c r="HU71" i="46"/>
  <c r="HU54" i="46"/>
  <c r="HU31" i="46"/>
  <c r="HU25" i="46"/>
  <c r="HU73" i="46"/>
  <c r="HZ66" i="45"/>
  <c r="HZ49" i="45"/>
  <c r="HZ41" i="45"/>
  <c r="HZ25" i="45"/>
  <c r="HZ62" i="45"/>
  <c r="HZ38" i="45"/>
  <c r="HZ26" i="45"/>
  <c r="HZ58" i="45"/>
  <c r="HZ35" i="45"/>
  <c r="IA18" i="45"/>
  <c r="HZ53" i="45"/>
  <c r="HZ48" i="45"/>
  <c r="HZ31" i="45"/>
  <c r="HZ70" i="45"/>
  <c r="HZ74" i="45"/>
  <c r="HZ61" i="45"/>
  <c r="HZ44" i="45"/>
  <c r="HZ28" i="45"/>
  <c r="HZ68" i="45"/>
  <c r="HZ56" i="45"/>
  <c r="HZ37" i="45"/>
  <c r="HZ21" i="45"/>
  <c r="HZ57" i="45"/>
  <c r="HZ34" i="45"/>
  <c r="HZ22" i="45"/>
  <c r="HZ45" i="45"/>
  <c r="HZ32" i="45"/>
  <c r="HZ54" i="45"/>
  <c r="HZ69" i="45"/>
  <c r="HZ71" i="45"/>
  <c r="HZ76" i="45"/>
  <c r="HZ77" i="45"/>
  <c r="HZ55" i="45"/>
  <c r="HZ43" i="45"/>
  <c r="HZ27" i="45"/>
  <c r="HZ67" i="45"/>
  <c r="HZ40" i="45"/>
  <c r="HZ24" i="45"/>
  <c r="HZ64" i="45"/>
  <c r="HZ52" i="45"/>
  <c r="HZ33" i="45"/>
  <c r="HZ6" i="45"/>
  <c r="HZ29" i="45"/>
  <c r="HZ59" i="45"/>
  <c r="HZ46" i="45"/>
  <c r="HZ51" i="45"/>
  <c r="HZ36" i="45"/>
  <c r="HZ47" i="45"/>
  <c r="HZ50" i="45"/>
  <c r="HZ39" i="45"/>
  <c r="HZ20" i="45"/>
  <c r="HZ72" i="45"/>
  <c r="HZ73" i="45"/>
  <c r="HZ42" i="45"/>
  <c r="HZ23" i="45"/>
  <c r="HZ65" i="45"/>
  <c r="HZ30" i="45"/>
  <c r="HZ63" i="45"/>
  <c r="HZ60" i="45"/>
  <c r="HZ75" i="45"/>
  <c r="HV43" i="38"/>
  <c r="HV53" i="38"/>
  <c r="HV55" i="38"/>
  <c r="HV38" i="38"/>
  <c r="HV25" i="38"/>
  <c r="HV49" i="38"/>
  <c r="HV46" i="38"/>
  <c r="HV23" i="38"/>
  <c r="HV21" i="38"/>
  <c r="HV48" i="38"/>
  <c r="HV57" i="38"/>
  <c r="HV27" i="38"/>
  <c r="HV24" i="38"/>
  <c r="HV56" i="38"/>
  <c r="HV39" i="38"/>
  <c r="HV36" i="38"/>
  <c r="HV35" i="38"/>
  <c r="HV51" i="38"/>
  <c r="HV44" i="38"/>
  <c r="HV26" i="38"/>
  <c r="HW18" i="38"/>
  <c r="HV31" i="38"/>
  <c r="HV30" i="38"/>
  <c r="HV45" i="38"/>
  <c r="HV37" i="38"/>
  <c r="HV28" i="38"/>
  <c r="HV29" i="38"/>
  <c r="HV62" i="38"/>
  <c r="HV65" i="38"/>
  <c r="HV68" i="38"/>
  <c r="HV70" i="38"/>
  <c r="HV71" i="38"/>
  <c r="HV22" i="38"/>
  <c r="HV54" i="38"/>
  <c r="HV34" i="38"/>
  <c r="HV59" i="38"/>
  <c r="HV47" i="38"/>
  <c r="HV61" i="38"/>
  <c r="HV63" i="38"/>
  <c r="HV67" i="38"/>
  <c r="HV58" i="38"/>
  <c r="HV20" i="38"/>
  <c r="HV41" i="38"/>
  <c r="HV33" i="38"/>
  <c r="HV6" i="38"/>
  <c r="HV32" i="38"/>
  <c r="HV64" i="38"/>
  <c r="HV66" i="38"/>
  <c r="HV50" i="38"/>
  <c r="HV72" i="38"/>
  <c r="HV40" i="38"/>
  <c r="HV60" i="38"/>
  <c r="HV73" i="38"/>
  <c r="HV52" i="38"/>
  <c r="HV42" i="38"/>
  <c r="HV69" i="38"/>
  <c r="HV74" i="38"/>
  <c r="CW79" i="38" l="1"/>
  <c r="DB79" i="38" s="1"/>
  <c r="CY79" i="38"/>
  <c r="DD79" i="38" s="1"/>
  <c r="R78" i="38"/>
  <c r="O79" i="38"/>
  <c r="I79" i="38"/>
  <c r="AZ95" i="46"/>
  <c r="BA95" i="46" s="1"/>
  <c r="BB95" i="46" s="1"/>
  <c r="G95" i="46" s="1"/>
  <c r="J78" i="46"/>
  <c r="AH97" i="4"/>
  <c r="AJ96" i="4"/>
  <c r="AY96" i="46" s="1"/>
  <c r="AG97" i="4"/>
  <c r="AI96" i="4"/>
  <c r="AX96" i="46" s="1"/>
  <c r="I79" i="45"/>
  <c r="I80" i="45" s="1"/>
  <c r="U67" i="41"/>
  <c r="T67" i="38"/>
  <c r="BU66" i="38"/>
  <c r="BV66" i="38" s="1"/>
  <c r="W66" i="38"/>
  <c r="T65" i="45"/>
  <c r="V65" i="41"/>
  <c r="W65" i="41"/>
  <c r="T65" i="46"/>
  <c r="W65" i="46" s="1"/>
  <c r="K79" i="45"/>
  <c r="FK79" i="45"/>
  <c r="IA79" i="45" s="1"/>
  <c r="M79" i="45"/>
  <c r="L79" i="45"/>
  <c r="HX78" i="45"/>
  <c r="HW78" i="45"/>
  <c r="HY78" i="45"/>
  <c r="AB77" i="41"/>
  <c r="AF77" i="41" s="1"/>
  <c r="M76" i="41"/>
  <c r="I76" i="41"/>
  <c r="FG78" i="38"/>
  <c r="FH78" i="38"/>
  <c r="FI78" i="38"/>
  <c r="Z77" i="41"/>
  <c r="AD77" i="41" s="1"/>
  <c r="G76" i="41"/>
  <c r="K76" i="41"/>
  <c r="J79" i="46"/>
  <c r="FK79" i="46"/>
  <c r="M79" i="46"/>
  <c r="L79" i="46"/>
  <c r="K79" i="46"/>
  <c r="P78" i="45"/>
  <c r="Q78" i="45" s="1"/>
  <c r="R79" i="45" s="1"/>
  <c r="D78" i="41"/>
  <c r="S78" i="45"/>
  <c r="S78" i="46"/>
  <c r="E78" i="41"/>
  <c r="AI78" i="46"/>
  <c r="P78" i="46"/>
  <c r="Q78" i="46" s="1"/>
  <c r="R79" i="46" s="1"/>
  <c r="L76" i="41"/>
  <c r="H76" i="41"/>
  <c r="S78" i="38"/>
  <c r="C78" i="41"/>
  <c r="AI78" i="38"/>
  <c r="P78" i="38"/>
  <c r="Q78" i="38" s="1"/>
  <c r="J79" i="38"/>
  <c r="FN79" i="38"/>
  <c r="CW79" i="41" s="1"/>
  <c r="M79" i="38"/>
  <c r="BQ79" i="38"/>
  <c r="L79" i="38"/>
  <c r="FD79" i="38"/>
  <c r="K79" i="38"/>
  <c r="EY79" i="38"/>
  <c r="A80" i="46"/>
  <c r="O80" i="46" s="1"/>
  <c r="A80" i="6"/>
  <c r="A81" i="55"/>
  <c r="A80" i="4"/>
  <c r="A80" i="7"/>
  <c r="A80" i="41"/>
  <c r="A80" i="45"/>
  <c r="O80" i="45" s="1"/>
  <c r="A80" i="38"/>
  <c r="CV80" i="38" s="1"/>
  <c r="J78" i="38"/>
  <c r="CI78" i="38" s="1"/>
  <c r="BQ78" i="41" s="1"/>
  <c r="BS78" i="38"/>
  <c r="HW54" i="38"/>
  <c r="HW22" i="38"/>
  <c r="HW27" i="38"/>
  <c r="HW50" i="38"/>
  <c r="HW40" i="38"/>
  <c r="HX18" i="38"/>
  <c r="HW42" i="38"/>
  <c r="HW33" i="38"/>
  <c r="HW32" i="38"/>
  <c r="HW58" i="38"/>
  <c r="HW25" i="38"/>
  <c r="HW45" i="38"/>
  <c r="HW28" i="38"/>
  <c r="HW56" i="38"/>
  <c r="HW41" i="38"/>
  <c r="HW24" i="38"/>
  <c r="HW47" i="38"/>
  <c r="HW30" i="38"/>
  <c r="HW44" i="38"/>
  <c r="HW43" i="38"/>
  <c r="HW36" i="38"/>
  <c r="HW39" i="38"/>
  <c r="HW51" i="38"/>
  <c r="HW23" i="38"/>
  <c r="HW29" i="38"/>
  <c r="HW6" i="38"/>
  <c r="HW60" i="38"/>
  <c r="HW69" i="38"/>
  <c r="HW73" i="38"/>
  <c r="HW74" i="38"/>
  <c r="HW75" i="38"/>
  <c r="HW21" i="38"/>
  <c r="HW49" i="38"/>
  <c r="HW52" i="38"/>
  <c r="HW20" i="38"/>
  <c r="HW26" i="38"/>
  <c r="HW62" i="38"/>
  <c r="HW65" i="38"/>
  <c r="HW68" i="38"/>
  <c r="HW70" i="38"/>
  <c r="HW55" i="38"/>
  <c r="HW31" i="38"/>
  <c r="HW35" i="38"/>
  <c r="HW46" i="38"/>
  <c r="HW38" i="38"/>
  <c r="HW57" i="38"/>
  <c r="HW67" i="38"/>
  <c r="HW71" i="38"/>
  <c r="HW37" i="38"/>
  <c r="HW63" i="38"/>
  <c r="HW53" i="38"/>
  <c r="HW48" i="38"/>
  <c r="HW61" i="38"/>
  <c r="HW64" i="38"/>
  <c r="HW72" i="38"/>
  <c r="HW59" i="38"/>
  <c r="HW66" i="38"/>
  <c r="HW34" i="38"/>
  <c r="IA62" i="45"/>
  <c r="IA39" i="45"/>
  <c r="IB18" i="45"/>
  <c r="IA63" i="45"/>
  <c r="IA51" i="45"/>
  <c r="IA31" i="45"/>
  <c r="IA54" i="45"/>
  <c r="IA46" i="45"/>
  <c r="IA30" i="45"/>
  <c r="IA49" i="45"/>
  <c r="IA40" i="45"/>
  <c r="IA23" i="45"/>
  <c r="IA26" i="45"/>
  <c r="IA72" i="45"/>
  <c r="IA73" i="45"/>
  <c r="IA75" i="45"/>
  <c r="IA61" i="45"/>
  <c r="IA38" i="45"/>
  <c r="IA22" i="45"/>
  <c r="IA58" i="45"/>
  <c r="IA35" i="45"/>
  <c r="IA29" i="45"/>
  <c r="IA53" i="45"/>
  <c r="IA45" i="45"/>
  <c r="IA25" i="45"/>
  <c r="IA41" i="45"/>
  <c r="IA20" i="45"/>
  <c r="IA6" i="45"/>
  <c r="IA69" i="45"/>
  <c r="IA70" i="45"/>
  <c r="IA74" i="45"/>
  <c r="IA68" i="45"/>
  <c r="IA56" i="45"/>
  <c r="IA37" i="45"/>
  <c r="IA32" i="45"/>
  <c r="IA57" i="45"/>
  <c r="IA34" i="45"/>
  <c r="IA28" i="45"/>
  <c r="IA48" i="45"/>
  <c r="IA44" i="45"/>
  <c r="IA24" i="45"/>
  <c r="IA21" i="45"/>
  <c r="IA66" i="45"/>
  <c r="IA50" i="45"/>
  <c r="IA71" i="45"/>
  <c r="IA67" i="45"/>
  <c r="IA52" i="45"/>
  <c r="IA27" i="45"/>
  <c r="IA42" i="45"/>
  <c r="IA78" i="45"/>
  <c r="IA55" i="45"/>
  <c r="IA33" i="45"/>
  <c r="IA65" i="45"/>
  <c r="IA36" i="45"/>
  <c r="IA60" i="45"/>
  <c r="IA59" i="45"/>
  <c r="IA76" i="45"/>
  <c r="IA77" i="45"/>
  <c r="IA64" i="45"/>
  <c r="IA47" i="45"/>
  <c r="IA43" i="45"/>
  <c r="HV60" i="46"/>
  <c r="HV30" i="46"/>
  <c r="HV24" i="46"/>
  <c r="HV56" i="46"/>
  <c r="HV26" i="46"/>
  <c r="HV20" i="46"/>
  <c r="HV39" i="46"/>
  <c r="HV33" i="46"/>
  <c r="HV64" i="46"/>
  <c r="HV50" i="46"/>
  <c r="HV63" i="46"/>
  <c r="HV71" i="46"/>
  <c r="HV73" i="46"/>
  <c r="HV59" i="46"/>
  <c r="HV47" i="46"/>
  <c r="HV41" i="46"/>
  <c r="HV55" i="46"/>
  <c r="HV43" i="46"/>
  <c r="HV37" i="46"/>
  <c r="HV51" i="46"/>
  <c r="HV23" i="46"/>
  <c r="HV48" i="46"/>
  <c r="HV34" i="46"/>
  <c r="HV45" i="46"/>
  <c r="HV53" i="46"/>
  <c r="HV66" i="46"/>
  <c r="HV67" i="46"/>
  <c r="HV68" i="46"/>
  <c r="HV75" i="46"/>
  <c r="HV58" i="46"/>
  <c r="HV31" i="46"/>
  <c r="HV25" i="46"/>
  <c r="HV54" i="46"/>
  <c r="HV27" i="46"/>
  <c r="HV21" i="46"/>
  <c r="HV57" i="46"/>
  <c r="HV38" i="46"/>
  <c r="HV32" i="46"/>
  <c r="HV28" i="46"/>
  <c r="HV35" i="46"/>
  <c r="HW18" i="46"/>
  <c r="HV61" i="46"/>
  <c r="HV22" i="46"/>
  <c r="HV44" i="46"/>
  <c r="HV69" i="46"/>
  <c r="HV76" i="46"/>
  <c r="HV77" i="46"/>
  <c r="HV49" i="46"/>
  <c r="HV42" i="46"/>
  <c r="HV6" i="46"/>
  <c r="HV65" i="46"/>
  <c r="HV46" i="46"/>
  <c r="HV36" i="46"/>
  <c r="HV62" i="46"/>
  <c r="HV72" i="46"/>
  <c r="HV74" i="46"/>
  <c r="HV40" i="46"/>
  <c r="HV52" i="46"/>
  <c r="HV29" i="46"/>
  <c r="HV70" i="46"/>
  <c r="CW80" i="38" l="1"/>
  <c r="DB80" i="38" s="1"/>
  <c r="CY80" i="38"/>
  <c r="DD80" i="38" s="1"/>
  <c r="I80" i="38"/>
  <c r="O80" i="38"/>
  <c r="R79" i="38"/>
  <c r="AG98" i="4"/>
  <c r="AI97" i="4"/>
  <c r="AX97" i="46" s="1"/>
  <c r="AZ97" i="46" s="1"/>
  <c r="BA97" i="46" s="1"/>
  <c r="BB97" i="46" s="1"/>
  <c r="G97" i="46" s="1"/>
  <c r="AZ96" i="46"/>
  <c r="BA96" i="46" s="1"/>
  <c r="BB96" i="46" s="1"/>
  <c r="G96" i="46" s="1"/>
  <c r="AH98" i="4"/>
  <c r="AJ97" i="4"/>
  <c r="AY97" i="46" s="1"/>
  <c r="I80" i="46"/>
  <c r="I81" i="46" s="1"/>
  <c r="W67" i="38"/>
  <c r="BU67" i="38"/>
  <c r="U68" i="41"/>
  <c r="T68" i="38"/>
  <c r="T66" i="46"/>
  <c r="W66" i="46" s="1"/>
  <c r="W66" i="41"/>
  <c r="V66" i="41"/>
  <c r="T66" i="45"/>
  <c r="CI79" i="38"/>
  <c r="BQ79" i="41" s="1"/>
  <c r="BS79" i="38"/>
  <c r="Z78" i="41"/>
  <c r="AD78" i="41" s="1"/>
  <c r="K77" i="41"/>
  <c r="G77" i="41"/>
  <c r="M77" i="41"/>
  <c r="I77" i="41"/>
  <c r="AB78" i="41"/>
  <c r="AF78" i="41" s="1"/>
  <c r="L77" i="41"/>
  <c r="H77" i="41"/>
  <c r="K80" i="46"/>
  <c r="FK80" i="46"/>
  <c r="L80" i="46"/>
  <c r="M80" i="46"/>
  <c r="AI79" i="38"/>
  <c r="C79" i="41"/>
  <c r="S79" i="38"/>
  <c r="P79" i="38"/>
  <c r="Q79" i="38" s="1"/>
  <c r="HY79" i="45"/>
  <c r="HX79" i="45"/>
  <c r="HZ79" i="45"/>
  <c r="BQ80" i="38"/>
  <c r="K80" i="38"/>
  <c r="EY80" i="38"/>
  <c r="M80" i="38"/>
  <c r="FN80" i="38"/>
  <c r="CW80" i="41" s="1"/>
  <c r="L80" i="38"/>
  <c r="FD80" i="38"/>
  <c r="FI79" i="38"/>
  <c r="FG79" i="38"/>
  <c r="FH79" i="38"/>
  <c r="CO78" i="38"/>
  <c r="BV78" i="41" s="1"/>
  <c r="FK80" i="45"/>
  <c r="IB80" i="45" s="1"/>
  <c r="M80" i="45"/>
  <c r="K80" i="45"/>
  <c r="L80" i="45"/>
  <c r="A81" i="6"/>
  <c r="A81" i="41"/>
  <c r="A81" i="7"/>
  <c r="A81" i="46"/>
  <c r="O81" i="46" s="1"/>
  <c r="A81" i="45"/>
  <c r="O81" i="45" s="1"/>
  <c r="A81" i="38"/>
  <c r="CV81" i="38" s="1"/>
  <c r="A81" i="4"/>
  <c r="A82" i="55"/>
  <c r="CO79" i="38"/>
  <c r="BV79" i="41" s="1"/>
  <c r="AI79" i="46"/>
  <c r="E79" i="41"/>
  <c r="S79" i="46"/>
  <c r="P79" i="46"/>
  <c r="Q79" i="46" s="1"/>
  <c r="R80" i="46" s="1"/>
  <c r="P79" i="45"/>
  <c r="Q79" i="45" s="1"/>
  <c r="R80" i="45" s="1"/>
  <c r="D79" i="41"/>
  <c r="S79" i="45"/>
  <c r="HW64" i="46"/>
  <c r="HW37" i="46"/>
  <c r="HW43" i="46"/>
  <c r="HW60" i="46"/>
  <c r="HW33" i="46"/>
  <c r="HW39" i="46"/>
  <c r="HW51" i="46"/>
  <c r="HW48" i="46"/>
  <c r="HX18" i="46"/>
  <c r="HW50" i="46"/>
  <c r="HW61" i="46"/>
  <c r="HW28" i="46"/>
  <c r="HW65" i="46"/>
  <c r="HW69" i="46"/>
  <c r="HW70" i="46"/>
  <c r="HW59" i="46"/>
  <c r="HW21" i="46"/>
  <c r="HW27" i="46"/>
  <c r="HW55" i="46"/>
  <c r="HW49" i="46"/>
  <c r="HW23" i="46"/>
  <c r="HW34" i="46"/>
  <c r="HW32" i="46"/>
  <c r="HW52" i="46"/>
  <c r="HW63" i="46"/>
  <c r="HW46" i="46"/>
  <c r="HW71" i="46"/>
  <c r="HW73" i="46"/>
  <c r="HW62" i="46"/>
  <c r="HW42" i="46"/>
  <c r="HW40" i="46"/>
  <c r="HW58" i="46"/>
  <c r="HW38" i="46"/>
  <c r="HW36" i="46"/>
  <c r="HW54" i="46"/>
  <c r="HW45" i="46"/>
  <c r="HW6" i="46"/>
  <c r="HW41" i="46"/>
  <c r="HW25" i="46"/>
  <c r="HW44" i="46"/>
  <c r="HW66" i="46"/>
  <c r="HW67" i="46"/>
  <c r="HW68" i="46"/>
  <c r="HW53" i="46"/>
  <c r="HW29" i="46"/>
  <c r="HW30" i="46"/>
  <c r="HW75" i="46"/>
  <c r="HW78" i="46"/>
  <c r="HW57" i="46"/>
  <c r="HW22" i="46"/>
  <c r="HW35" i="46"/>
  <c r="HW76" i="46"/>
  <c r="HW77" i="46"/>
  <c r="HW26" i="46"/>
  <c r="HW20" i="46"/>
  <c r="HW47" i="46"/>
  <c r="HW24" i="46"/>
  <c r="HW56" i="46"/>
  <c r="HW31" i="46"/>
  <c r="HW72" i="46"/>
  <c r="HW74" i="46"/>
  <c r="IB53" i="45"/>
  <c r="IB37" i="45"/>
  <c r="IB32" i="45"/>
  <c r="IB62" i="45"/>
  <c r="IB54" i="45"/>
  <c r="IB30" i="45"/>
  <c r="IB68" i="45"/>
  <c r="IB51" i="45"/>
  <c r="IB43" i="45"/>
  <c r="IB23" i="45"/>
  <c r="IB20" i="45"/>
  <c r="IB69" i="45"/>
  <c r="IB41" i="45"/>
  <c r="IB59" i="45"/>
  <c r="IB36" i="45"/>
  <c r="IB31" i="45"/>
  <c r="IB61" i="45"/>
  <c r="IB38" i="45"/>
  <c r="IB29" i="45"/>
  <c r="IB63" i="45"/>
  <c r="IB50" i="45"/>
  <c r="IB26" i="45"/>
  <c r="IB64" i="45"/>
  <c r="IB47" i="45"/>
  <c r="IB46" i="45"/>
  <c r="IB21" i="45"/>
  <c r="IB72" i="45"/>
  <c r="IB73" i="45"/>
  <c r="IB75" i="45"/>
  <c r="IB66" i="45"/>
  <c r="IB58" i="45"/>
  <c r="IB35" i="45"/>
  <c r="IB6" i="45"/>
  <c r="IB56" i="45"/>
  <c r="IB33" i="45"/>
  <c r="IB28" i="45"/>
  <c r="IB60" i="45"/>
  <c r="IB45" i="45"/>
  <c r="IB25" i="45"/>
  <c r="IB48" i="45"/>
  <c r="IB39" i="45"/>
  <c r="IB22" i="45"/>
  <c r="IB70" i="45"/>
  <c r="IB34" i="45"/>
  <c r="IB27" i="45"/>
  <c r="IB40" i="45"/>
  <c r="IB74" i="45"/>
  <c r="IB67" i="45"/>
  <c r="IB52" i="45"/>
  <c r="IC18" i="45"/>
  <c r="IB78" i="45"/>
  <c r="IB65" i="45"/>
  <c r="IB55" i="45"/>
  <c r="IB44" i="45"/>
  <c r="IB57" i="45"/>
  <c r="IB42" i="45"/>
  <c r="IB49" i="45"/>
  <c r="IB24" i="45"/>
  <c r="IB71" i="45"/>
  <c r="IB76" i="45"/>
  <c r="IB77" i="45"/>
  <c r="IB79" i="45"/>
  <c r="HX48" i="38"/>
  <c r="HX28" i="38"/>
  <c r="HX51" i="38"/>
  <c r="HX40" i="38"/>
  <c r="HX27" i="38"/>
  <c r="HX46" i="38"/>
  <c r="HX29" i="38"/>
  <c r="HX22" i="38"/>
  <c r="HX58" i="38"/>
  <c r="HX54" i="38"/>
  <c r="HX38" i="38"/>
  <c r="HX43" i="38"/>
  <c r="HX49" i="38"/>
  <c r="HX39" i="38"/>
  <c r="HX60" i="38"/>
  <c r="HX41" i="38"/>
  <c r="HX20" i="38"/>
  <c r="HX37" i="38"/>
  <c r="HY18" i="38"/>
  <c r="HX52" i="38"/>
  <c r="HX21" i="38"/>
  <c r="HX45" i="38"/>
  <c r="HX47" i="38"/>
  <c r="HX23" i="38"/>
  <c r="HX57" i="38"/>
  <c r="HX63" i="38"/>
  <c r="HX64" i="38"/>
  <c r="HX66" i="38"/>
  <c r="HX72" i="38"/>
  <c r="HX55" i="38"/>
  <c r="HX31" i="38"/>
  <c r="HX34" i="38"/>
  <c r="HX56" i="38"/>
  <c r="HX59" i="38"/>
  <c r="HX25" i="38"/>
  <c r="HX69" i="38"/>
  <c r="HX73" i="38"/>
  <c r="HX74" i="38"/>
  <c r="HX75" i="38"/>
  <c r="HX53" i="38"/>
  <c r="HX26" i="38"/>
  <c r="HX24" i="38"/>
  <c r="HX36" i="38"/>
  <c r="HX35" i="38"/>
  <c r="HX6" i="38"/>
  <c r="HX61" i="38"/>
  <c r="HX62" i="38"/>
  <c r="HX65" i="38"/>
  <c r="HX68" i="38"/>
  <c r="HX70" i="38"/>
  <c r="HX50" i="38"/>
  <c r="HX32" i="38"/>
  <c r="HX67" i="38"/>
  <c r="HX30" i="38"/>
  <c r="HX71" i="38"/>
  <c r="HX33" i="38"/>
  <c r="HX44" i="38"/>
  <c r="HX42" i="38"/>
  <c r="HX76" i="38"/>
  <c r="CW81" i="38" l="1"/>
  <c r="DB81" i="38" s="1"/>
  <c r="CY81" i="38"/>
  <c r="DD81" i="38" s="1"/>
  <c r="R80" i="38"/>
  <c r="O81" i="38"/>
  <c r="I81" i="38"/>
  <c r="AH99" i="4"/>
  <c r="AJ98" i="4"/>
  <c r="AY98" i="46" s="1"/>
  <c r="AG99" i="4"/>
  <c r="AI98" i="4"/>
  <c r="AX98" i="46" s="1"/>
  <c r="J80" i="46"/>
  <c r="I81" i="45"/>
  <c r="U69" i="41"/>
  <c r="T69" i="38"/>
  <c r="BV67" i="38"/>
  <c r="W68" i="38"/>
  <c r="BU68" i="38"/>
  <c r="BV68" i="38" s="1"/>
  <c r="T67" i="46"/>
  <c r="W67" i="46" s="1"/>
  <c r="W67" i="41"/>
  <c r="V67" i="41"/>
  <c r="T67" i="45"/>
  <c r="H78" i="41"/>
  <c r="L78" i="41"/>
  <c r="K81" i="38"/>
  <c r="EY81" i="38"/>
  <c r="M81" i="38"/>
  <c r="BQ81" i="38"/>
  <c r="L81" i="38"/>
  <c r="FN81" i="38"/>
  <c r="CW81" i="41" s="1"/>
  <c r="FD81" i="38"/>
  <c r="J80" i="38"/>
  <c r="BS80" i="38"/>
  <c r="L81" i="45"/>
  <c r="K81" i="45"/>
  <c r="FK81" i="45"/>
  <c r="IC81" i="45" s="1"/>
  <c r="M81" i="45"/>
  <c r="D80" i="41"/>
  <c r="P80" i="45"/>
  <c r="Q80" i="45" s="1"/>
  <c r="R81" i="45" s="1"/>
  <c r="S80" i="45"/>
  <c r="M78" i="41"/>
  <c r="I78" i="41"/>
  <c r="AB79" i="41"/>
  <c r="AF79" i="41" s="1"/>
  <c r="A82" i="38"/>
  <c r="CV82" i="38" s="1"/>
  <c r="A82" i="45"/>
  <c r="O82" i="45" s="1"/>
  <c r="A82" i="41"/>
  <c r="A82" i="6"/>
  <c r="A82" i="7"/>
  <c r="A82" i="4"/>
  <c r="A83" i="55"/>
  <c r="A82" i="46"/>
  <c r="O82" i="46" s="1"/>
  <c r="M81" i="46"/>
  <c r="J81" i="46"/>
  <c r="K81" i="46"/>
  <c r="FK81" i="46"/>
  <c r="L81" i="46"/>
  <c r="C80" i="41"/>
  <c r="P80" i="38"/>
  <c r="Q80" i="38" s="1"/>
  <c r="R81" i="38" s="1"/>
  <c r="AI80" i="38"/>
  <c r="S80" i="38"/>
  <c r="HZ80" i="45"/>
  <c r="HY80" i="45"/>
  <c r="IA80" i="45"/>
  <c r="FI80" i="38"/>
  <c r="FH80" i="38"/>
  <c r="FG80" i="38"/>
  <c r="K78" i="41"/>
  <c r="G78" i="41"/>
  <c r="Z79" i="41"/>
  <c r="AD79" i="41" s="1"/>
  <c r="P80" i="46"/>
  <c r="Q80" i="46" s="1"/>
  <c r="R81" i="46" s="1"/>
  <c r="S80" i="46"/>
  <c r="E80" i="41"/>
  <c r="AI80" i="46"/>
  <c r="IC62" i="45"/>
  <c r="IC57" i="45"/>
  <c r="IC34" i="45"/>
  <c r="IC69" i="45"/>
  <c r="IC53" i="45"/>
  <c r="IC29" i="45"/>
  <c r="IC70" i="45"/>
  <c r="IC54" i="45"/>
  <c r="IC42" i="45"/>
  <c r="IC30" i="45"/>
  <c r="IC56" i="45"/>
  <c r="IC51" i="45"/>
  <c r="IC50" i="45"/>
  <c r="IC76" i="45"/>
  <c r="IC77" i="45"/>
  <c r="IC68" i="45"/>
  <c r="IC41" i="45"/>
  <c r="IC32" i="45"/>
  <c r="IC64" i="45"/>
  <c r="IC37" i="45"/>
  <c r="IC28" i="45"/>
  <c r="IC65" i="45"/>
  <c r="IC49" i="45"/>
  <c r="IC25" i="45"/>
  <c r="IC61" i="45"/>
  <c r="IC44" i="45"/>
  <c r="IC39" i="45"/>
  <c r="IC38" i="45"/>
  <c r="IC6" i="45"/>
  <c r="IC52" i="45"/>
  <c r="IC40" i="45"/>
  <c r="IC31" i="45"/>
  <c r="IC59" i="45"/>
  <c r="IC36" i="45"/>
  <c r="IC27" i="45"/>
  <c r="IC60" i="45"/>
  <c r="IC48" i="45"/>
  <c r="IC24" i="45"/>
  <c r="IC45" i="45"/>
  <c r="IC20" i="45"/>
  <c r="ID18" i="45"/>
  <c r="IC26" i="45"/>
  <c r="IC47" i="45"/>
  <c r="IC46" i="45"/>
  <c r="IC23" i="45"/>
  <c r="IC75" i="45"/>
  <c r="IC79" i="45"/>
  <c r="IC80" i="45"/>
  <c r="IC35" i="45"/>
  <c r="IC33" i="45"/>
  <c r="IC21" i="45"/>
  <c r="IC71" i="45"/>
  <c r="IC74" i="45"/>
  <c r="IC22" i="45"/>
  <c r="IC55" i="45"/>
  <c r="IC67" i="45"/>
  <c r="IC72" i="45"/>
  <c r="IC73" i="45"/>
  <c r="IC78" i="45"/>
  <c r="IC63" i="45"/>
  <c r="IC58" i="45"/>
  <c r="IC43" i="45"/>
  <c r="IC66" i="45"/>
  <c r="HX57" i="46"/>
  <c r="HX33" i="46"/>
  <c r="HX39" i="46"/>
  <c r="HX53" i="46"/>
  <c r="HX29" i="46"/>
  <c r="HX35" i="46"/>
  <c r="HX65" i="46"/>
  <c r="HX41" i="46"/>
  <c r="HX47" i="46"/>
  <c r="HX61" i="46"/>
  <c r="HX24" i="46"/>
  <c r="HX43" i="46"/>
  <c r="HX72" i="46"/>
  <c r="HX74" i="46"/>
  <c r="HX76" i="46"/>
  <c r="HX77" i="46"/>
  <c r="HX64" i="46"/>
  <c r="HX49" i="46"/>
  <c r="HX23" i="46"/>
  <c r="HX60" i="46"/>
  <c r="HX48" i="46"/>
  <c r="HY18" i="46"/>
  <c r="HX56" i="46"/>
  <c r="HX25" i="46"/>
  <c r="HX31" i="46"/>
  <c r="HX40" i="46"/>
  <c r="HX30" i="46"/>
  <c r="HX63" i="46"/>
  <c r="HX69" i="46"/>
  <c r="HX70" i="46"/>
  <c r="HX59" i="46"/>
  <c r="HX36" i="46"/>
  <c r="HX42" i="46"/>
  <c r="HX55" i="46"/>
  <c r="HX32" i="46"/>
  <c r="HX38" i="46"/>
  <c r="HX51" i="46"/>
  <c r="HX44" i="46"/>
  <c r="HX50" i="46"/>
  <c r="HX46" i="46"/>
  <c r="HX52" i="46"/>
  <c r="HX21" i="46"/>
  <c r="HX71" i="46"/>
  <c r="HX26" i="46"/>
  <c r="HX62" i="46"/>
  <c r="HX37" i="46"/>
  <c r="HX67" i="46"/>
  <c r="HX73" i="46"/>
  <c r="HX45" i="46"/>
  <c r="HX28" i="46"/>
  <c r="HX27" i="46"/>
  <c r="HX66" i="46"/>
  <c r="HX75" i="46"/>
  <c r="HX78" i="46"/>
  <c r="HX54" i="46"/>
  <c r="HX6" i="46"/>
  <c r="HX34" i="46"/>
  <c r="HX20" i="46"/>
  <c r="HX22" i="46"/>
  <c r="HX58" i="46"/>
  <c r="HX68" i="46"/>
  <c r="HX79" i="46"/>
  <c r="HY55" i="38"/>
  <c r="HY38" i="38"/>
  <c r="HY60" i="38"/>
  <c r="HY51" i="38"/>
  <c r="HY35" i="38"/>
  <c r="HY61" i="38"/>
  <c r="HY47" i="38"/>
  <c r="HY34" i="38"/>
  <c r="HY49" i="38"/>
  <c r="HY20" i="38"/>
  <c r="HY39" i="38"/>
  <c r="HY67" i="38"/>
  <c r="HY71" i="38"/>
  <c r="HY76" i="38"/>
  <c r="HY40" i="38"/>
  <c r="HY27" i="38"/>
  <c r="HY58" i="38"/>
  <c r="HY36" i="38"/>
  <c r="HY23" i="38"/>
  <c r="HY54" i="38"/>
  <c r="HY43" i="38"/>
  <c r="HZ18" i="38"/>
  <c r="HY33" i="38"/>
  <c r="HY44" i="38"/>
  <c r="HY30" i="38"/>
  <c r="HY63" i="38"/>
  <c r="HY64" i="38"/>
  <c r="HY66" i="38"/>
  <c r="HY72" i="38"/>
  <c r="HY46" i="38"/>
  <c r="HY45" i="38"/>
  <c r="HY26" i="38"/>
  <c r="HY57" i="38"/>
  <c r="HY41" i="38"/>
  <c r="HY22" i="38"/>
  <c r="HY53" i="38"/>
  <c r="HY37" i="38"/>
  <c r="HY42" i="38"/>
  <c r="HY29" i="38"/>
  <c r="HY31" i="38"/>
  <c r="HY69" i="38"/>
  <c r="HY56" i="38"/>
  <c r="HY28" i="38"/>
  <c r="HY25" i="38"/>
  <c r="HY62" i="38"/>
  <c r="HY74" i="38"/>
  <c r="HY32" i="38"/>
  <c r="HY6" i="38"/>
  <c r="HY59" i="38"/>
  <c r="HY65" i="38"/>
  <c r="HY68" i="38"/>
  <c r="HY77" i="38"/>
  <c r="HY21" i="38"/>
  <c r="HY48" i="38"/>
  <c r="HY50" i="38"/>
  <c r="HY73" i="38"/>
  <c r="HY75" i="38"/>
  <c r="HY52" i="38"/>
  <c r="HY24" i="38"/>
  <c r="HY70" i="38"/>
  <c r="CY82" i="38" l="1"/>
  <c r="DD82" i="38" s="1"/>
  <c r="CW82" i="38"/>
  <c r="DB82" i="38" s="1"/>
  <c r="O82" i="38"/>
  <c r="I82" i="38"/>
  <c r="AG100" i="4"/>
  <c r="AI99" i="4"/>
  <c r="AX99" i="46" s="1"/>
  <c r="AZ99" i="46" s="1"/>
  <c r="BA99" i="46" s="1"/>
  <c r="BB99" i="46" s="1"/>
  <c r="G99" i="46" s="1"/>
  <c r="AZ98" i="46"/>
  <c r="BA98" i="46" s="1"/>
  <c r="BB98" i="46" s="1"/>
  <c r="G98" i="46" s="1"/>
  <c r="AH100" i="4"/>
  <c r="AJ99" i="4"/>
  <c r="AY99" i="46" s="1"/>
  <c r="I82" i="45"/>
  <c r="I82" i="46"/>
  <c r="J82" i="46" s="1"/>
  <c r="BU69" i="38"/>
  <c r="BV69" i="38" s="1"/>
  <c r="W69" i="38"/>
  <c r="U70" i="41"/>
  <c r="T70" i="38"/>
  <c r="T68" i="45"/>
  <c r="V68" i="41"/>
  <c r="T68" i="46"/>
  <c r="W68" i="46" s="1"/>
  <c r="W68" i="41"/>
  <c r="P81" i="46"/>
  <c r="Q81" i="46" s="1"/>
  <c r="R82" i="46" s="1"/>
  <c r="E81" i="41"/>
  <c r="S81" i="46"/>
  <c r="AI81" i="46"/>
  <c r="FN82" i="38"/>
  <c r="CW82" i="41" s="1"/>
  <c r="L82" i="38"/>
  <c r="EY82" i="38"/>
  <c r="BQ82" i="38"/>
  <c r="K82" i="38"/>
  <c r="FD82" i="38"/>
  <c r="M82" i="38"/>
  <c r="L79" i="41"/>
  <c r="H79" i="41"/>
  <c r="CI80" i="38"/>
  <c r="BQ80" i="41" s="1"/>
  <c r="CO80" i="38"/>
  <c r="BV80" i="41" s="1"/>
  <c r="L82" i="46"/>
  <c r="K82" i="46"/>
  <c r="FK82" i="46"/>
  <c r="M82" i="46"/>
  <c r="AI81" i="38"/>
  <c r="C81" i="41"/>
  <c r="S81" i="38"/>
  <c r="P81" i="38"/>
  <c r="Q81" i="38" s="1"/>
  <c r="AB80" i="41"/>
  <c r="AF80" i="41" s="1"/>
  <c r="I79" i="41"/>
  <c r="M79" i="41"/>
  <c r="G79" i="41"/>
  <c r="Z80" i="41"/>
  <c r="AD80" i="41" s="1"/>
  <c r="K79" i="41"/>
  <c r="A83" i="45"/>
  <c r="O83" i="45" s="1"/>
  <c r="A83" i="4"/>
  <c r="A83" i="41"/>
  <c r="A83" i="6"/>
  <c r="A83" i="7"/>
  <c r="A83" i="46"/>
  <c r="O83" i="46" s="1"/>
  <c r="A84" i="55"/>
  <c r="A83" i="38"/>
  <c r="CV83" i="38" s="1"/>
  <c r="IA81" i="45"/>
  <c r="HZ81" i="45"/>
  <c r="IB81" i="45"/>
  <c r="S81" i="45"/>
  <c r="P81" i="45"/>
  <c r="Q81" i="45" s="1"/>
  <c r="R82" i="45" s="1"/>
  <c r="D81" i="41"/>
  <c r="FH81" i="38"/>
  <c r="FG81" i="38"/>
  <c r="FI81" i="38"/>
  <c r="K82" i="45"/>
  <c r="L82" i="45"/>
  <c r="FK82" i="45"/>
  <c r="ID82" i="45" s="1"/>
  <c r="M82" i="45"/>
  <c r="J81" i="38"/>
  <c r="CI81" i="38" s="1"/>
  <c r="BQ81" i="41" s="1"/>
  <c r="BS81" i="38"/>
  <c r="HZ57" i="38"/>
  <c r="HZ42" i="38"/>
  <c r="HZ22" i="38"/>
  <c r="HZ53" i="38"/>
  <c r="HZ38" i="38"/>
  <c r="HZ29" i="38"/>
  <c r="HZ49" i="38"/>
  <c r="HZ44" i="38"/>
  <c r="HZ25" i="38"/>
  <c r="HZ26" i="38"/>
  <c r="HZ55" i="38"/>
  <c r="IA18" i="38"/>
  <c r="HZ63" i="38"/>
  <c r="HZ65" i="38"/>
  <c r="HZ68" i="38"/>
  <c r="HZ70" i="38"/>
  <c r="HZ52" i="38"/>
  <c r="HZ36" i="38"/>
  <c r="HZ6" i="38"/>
  <c r="HZ48" i="38"/>
  <c r="HZ35" i="38"/>
  <c r="HZ28" i="38"/>
  <c r="HZ59" i="38"/>
  <c r="HZ34" i="38"/>
  <c r="HZ20" i="38"/>
  <c r="HZ56" i="38"/>
  <c r="HZ33" i="38"/>
  <c r="HZ67" i="38"/>
  <c r="HZ71" i="38"/>
  <c r="HZ76" i="38"/>
  <c r="HZ51" i="38"/>
  <c r="HZ31" i="38"/>
  <c r="HZ32" i="38"/>
  <c r="HZ47" i="38"/>
  <c r="HZ27" i="38"/>
  <c r="HZ24" i="38"/>
  <c r="HZ58" i="38"/>
  <c r="HZ23" i="38"/>
  <c r="HZ62" i="38"/>
  <c r="HZ40" i="38"/>
  <c r="HZ41" i="38"/>
  <c r="HZ64" i="38"/>
  <c r="HZ66" i="38"/>
  <c r="HZ46" i="38"/>
  <c r="HZ30" i="38"/>
  <c r="HZ69" i="38"/>
  <c r="HZ50" i="38"/>
  <c r="HZ37" i="38"/>
  <c r="HZ39" i="38"/>
  <c r="HZ74" i="38"/>
  <c r="HZ45" i="38"/>
  <c r="HZ61" i="38"/>
  <c r="HZ21" i="38"/>
  <c r="HZ72" i="38"/>
  <c r="HZ77" i="38"/>
  <c r="HZ78" i="38"/>
  <c r="HZ60" i="38"/>
  <c r="HZ43" i="38"/>
  <c r="HZ54" i="38"/>
  <c r="HZ73" i="38"/>
  <c r="HZ75" i="38"/>
  <c r="HY67" i="46"/>
  <c r="HY44" i="46"/>
  <c r="HY46" i="46"/>
  <c r="HY52" i="46"/>
  <c r="HY40" i="46"/>
  <c r="HY42" i="46"/>
  <c r="HY64" i="46"/>
  <c r="HY49" i="46"/>
  <c r="HY23" i="46"/>
  <c r="HY66" i="46"/>
  <c r="HY50" i="46"/>
  <c r="HY35" i="46"/>
  <c r="HZ18" i="46"/>
  <c r="HY68" i="46"/>
  <c r="HY75" i="46"/>
  <c r="HY51" i="46"/>
  <c r="HY28" i="46"/>
  <c r="HY30" i="46"/>
  <c r="HY63" i="46"/>
  <c r="HY24" i="46"/>
  <c r="HY26" i="46"/>
  <c r="HY59" i="46"/>
  <c r="HY36" i="46"/>
  <c r="HY38" i="46"/>
  <c r="HY32" i="46"/>
  <c r="HY6" i="46"/>
  <c r="HY29" i="46"/>
  <c r="HY72" i="46"/>
  <c r="HY74" i="46"/>
  <c r="HY76" i="46"/>
  <c r="HY77" i="46"/>
  <c r="HY62" i="46"/>
  <c r="HY47" i="46"/>
  <c r="HY41" i="46"/>
  <c r="HY58" i="46"/>
  <c r="HY43" i="46"/>
  <c r="HY37" i="46"/>
  <c r="HY54" i="46"/>
  <c r="HY20" i="46"/>
  <c r="HY22" i="46"/>
  <c r="HY34" i="46"/>
  <c r="HY45" i="46"/>
  <c r="HY55" i="46"/>
  <c r="HY69" i="46"/>
  <c r="HY70" i="46"/>
  <c r="HY56" i="46"/>
  <c r="HY53" i="46"/>
  <c r="HY39" i="46"/>
  <c r="HY48" i="46"/>
  <c r="HY79" i="46"/>
  <c r="HY57" i="46"/>
  <c r="HY27" i="46"/>
  <c r="HY33" i="46"/>
  <c r="HY73" i="46"/>
  <c r="HY31" i="46"/>
  <c r="HY21" i="46"/>
  <c r="HY60" i="46"/>
  <c r="HY78" i="46"/>
  <c r="HY25" i="46"/>
  <c r="HY65" i="46"/>
  <c r="HY61" i="46"/>
  <c r="HY71" i="46"/>
  <c r="HY80" i="46"/>
  <c r="ID72" i="45"/>
  <c r="ID62" i="45"/>
  <c r="ID35" i="45"/>
  <c r="IE18" i="45"/>
  <c r="ID59" i="45"/>
  <c r="ID36" i="45"/>
  <c r="ID31" i="45"/>
  <c r="ID71" i="45"/>
  <c r="ID47" i="45"/>
  <c r="ID28" i="45"/>
  <c r="ID51" i="45"/>
  <c r="ID50" i="45"/>
  <c r="ID56" i="45"/>
  <c r="ID44" i="45"/>
  <c r="ID74" i="45"/>
  <c r="ID69" i="45"/>
  <c r="ID57" i="45"/>
  <c r="ID34" i="45"/>
  <c r="ID22" i="45"/>
  <c r="ID58" i="45"/>
  <c r="ID46" i="45"/>
  <c r="ID29" i="45"/>
  <c r="ID55" i="45"/>
  <c r="ID43" i="45"/>
  <c r="ID27" i="45"/>
  <c r="ID39" i="45"/>
  <c r="ID38" i="45"/>
  <c r="ID37" i="45"/>
  <c r="ID24" i="45"/>
  <c r="ID76" i="45"/>
  <c r="ID77" i="45"/>
  <c r="ID64" i="45"/>
  <c r="ID52" i="45"/>
  <c r="ID33" i="45"/>
  <c r="ID65" i="45"/>
  <c r="ID53" i="45"/>
  <c r="ID45" i="45"/>
  <c r="ID70" i="45"/>
  <c r="ID54" i="45"/>
  <c r="ID42" i="45"/>
  <c r="ID30" i="45"/>
  <c r="ID23" i="45"/>
  <c r="ID26" i="45"/>
  <c r="ID21" i="45"/>
  <c r="ID63" i="45"/>
  <c r="ID48" i="45"/>
  <c r="ID41" i="45"/>
  <c r="ID67" i="45"/>
  <c r="ID40" i="45"/>
  <c r="ID32" i="45"/>
  <c r="ID25" i="45"/>
  <c r="ID75" i="45"/>
  <c r="ID79" i="45"/>
  <c r="ID80" i="45"/>
  <c r="ID20" i="45"/>
  <c r="ID61" i="45"/>
  <c r="ID66" i="45"/>
  <c r="ID6" i="45"/>
  <c r="ID60" i="45"/>
  <c r="ID49" i="45"/>
  <c r="ID68" i="45"/>
  <c r="ID73" i="45"/>
  <c r="ID78" i="45"/>
  <c r="ID81" i="45"/>
  <c r="CW83" i="38" l="1"/>
  <c r="DB83" i="38" s="1"/>
  <c r="CY83" i="38"/>
  <c r="DD83" i="38" s="1"/>
  <c r="R82" i="38"/>
  <c r="O83" i="38"/>
  <c r="I83" i="38"/>
  <c r="AH101" i="4"/>
  <c r="AJ100" i="4"/>
  <c r="AY100" i="46" s="1"/>
  <c r="AG101" i="4"/>
  <c r="AI100" i="4"/>
  <c r="AX100" i="46" s="1"/>
  <c r="I83" i="46"/>
  <c r="I83" i="45"/>
  <c r="T71" i="38"/>
  <c r="U71" i="41"/>
  <c r="W70" i="38"/>
  <c r="BU70" i="38"/>
  <c r="BV70" i="38" s="1"/>
  <c r="W69" i="41"/>
  <c r="T69" i="46"/>
  <c r="W69" i="46" s="1"/>
  <c r="V69" i="41"/>
  <c r="T69" i="45"/>
  <c r="CO81" i="38"/>
  <c r="BV81" i="41" s="1"/>
  <c r="IB82" i="45"/>
  <c r="IC82" i="45"/>
  <c r="IA82" i="45"/>
  <c r="FK83" i="45"/>
  <c r="IE83" i="45" s="1"/>
  <c r="M83" i="45"/>
  <c r="L83" i="45"/>
  <c r="K83" i="45"/>
  <c r="AI82" i="46"/>
  <c r="E82" i="41"/>
  <c r="P82" i="46"/>
  <c r="Q82" i="46" s="1"/>
  <c r="R83" i="46" s="1"/>
  <c r="S82" i="46"/>
  <c r="S82" i="38"/>
  <c r="C82" i="41"/>
  <c r="P82" i="38"/>
  <c r="Q82" i="38" s="1"/>
  <c r="AI82" i="38"/>
  <c r="FI82" i="38"/>
  <c r="FH82" i="38"/>
  <c r="FG82" i="38"/>
  <c r="K83" i="38"/>
  <c r="J83" i="38"/>
  <c r="FN83" i="38"/>
  <c r="CW83" i="41" s="1"/>
  <c r="EY83" i="38"/>
  <c r="BQ83" i="38"/>
  <c r="L83" i="38"/>
  <c r="FD83" i="38"/>
  <c r="M83" i="38"/>
  <c r="P82" i="45"/>
  <c r="Q82" i="45" s="1"/>
  <c r="R83" i="45" s="1"/>
  <c r="D82" i="41"/>
  <c r="S82" i="45"/>
  <c r="L80" i="41"/>
  <c r="H80" i="41"/>
  <c r="A84" i="7"/>
  <c r="A84" i="45"/>
  <c r="O84" i="45" s="1"/>
  <c r="A84" i="41"/>
  <c r="A84" i="38"/>
  <c r="CV84" i="38" s="1"/>
  <c r="A84" i="6"/>
  <c r="A85" i="55"/>
  <c r="A84" i="4"/>
  <c r="A84" i="46"/>
  <c r="O84" i="46" s="1"/>
  <c r="J82" i="38"/>
  <c r="CO82" i="38" s="1"/>
  <c r="BV82" i="41" s="1"/>
  <c r="BS82" i="38"/>
  <c r="AB81" i="41"/>
  <c r="AF81" i="41" s="1"/>
  <c r="I80" i="41"/>
  <c r="M80" i="41"/>
  <c r="J83" i="46"/>
  <c r="L83" i="46"/>
  <c r="FK83" i="46"/>
  <c r="M83" i="46"/>
  <c r="K83" i="46"/>
  <c r="K80" i="41"/>
  <c r="Z81" i="41"/>
  <c r="AD81" i="41" s="1"/>
  <c r="G80" i="41"/>
  <c r="HZ65" i="46"/>
  <c r="HZ31" i="46"/>
  <c r="HZ29" i="46"/>
  <c r="HZ54" i="46"/>
  <c r="HZ27" i="46"/>
  <c r="HZ25" i="46"/>
  <c r="HZ66" i="46"/>
  <c r="HZ23" i="46"/>
  <c r="HZ21" i="46"/>
  <c r="HZ53" i="46"/>
  <c r="HZ34" i="46"/>
  <c r="HZ50" i="46"/>
  <c r="HZ71" i="46"/>
  <c r="HZ73" i="46"/>
  <c r="HZ49" i="46"/>
  <c r="HZ46" i="46"/>
  <c r="HZ44" i="46"/>
  <c r="HZ61" i="46"/>
  <c r="HZ42" i="46"/>
  <c r="HZ40" i="46"/>
  <c r="HZ57" i="46"/>
  <c r="HZ38" i="46"/>
  <c r="HZ36" i="46"/>
  <c r="IA18" i="46"/>
  <c r="HZ32" i="46"/>
  <c r="HZ6" i="46"/>
  <c r="HZ68" i="46"/>
  <c r="HZ75" i="46"/>
  <c r="HZ63" i="46"/>
  <c r="HZ64" i="46"/>
  <c r="HZ30" i="46"/>
  <c r="HZ28" i="46"/>
  <c r="HZ60" i="46"/>
  <c r="HZ26" i="46"/>
  <c r="HZ24" i="46"/>
  <c r="HZ56" i="46"/>
  <c r="HZ22" i="46"/>
  <c r="HZ20" i="46"/>
  <c r="HZ48" i="46"/>
  <c r="HZ62" i="46"/>
  <c r="HZ35" i="46"/>
  <c r="HZ59" i="46"/>
  <c r="HZ39" i="46"/>
  <c r="HZ52" i="46"/>
  <c r="HZ70" i="46"/>
  <c r="HZ72" i="46"/>
  <c r="HZ74" i="46"/>
  <c r="HZ80" i="46"/>
  <c r="HZ58" i="46"/>
  <c r="HZ43" i="46"/>
  <c r="HZ37" i="46"/>
  <c r="HZ33" i="46"/>
  <c r="HZ69" i="46"/>
  <c r="HZ79" i="46"/>
  <c r="HZ81" i="46"/>
  <c r="HZ47" i="46"/>
  <c r="HZ41" i="46"/>
  <c r="HZ67" i="46"/>
  <c r="HZ76" i="46"/>
  <c r="HZ77" i="46"/>
  <c r="HZ45" i="46"/>
  <c r="HZ55" i="46"/>
  <c r="HZ51" i="46"/>
  <c r="HZ78" i="46"/>
  <c r="IA39" i="38"/>
  <c r="IA33" i="38"/>
  <c r="IA51" i="38"/>
  <c r="IA63" i="38"/>
  <c r="IA57" i="38"/>
  <c r="IA27" i="38"/>
  <c r="IA6" i="38"/>
  <c r="IA69" i="38"/>
  <c r="IA73" i="38"/>
  <c r="IA74" i="38"/>
  <c r="IA75" i="38"/>
  <c r="IA55" i="38"/>
  <c r="IA53" i="38"/>
  <c r="IA26" i="38"/>
  <c r="IA60" i="38"/>
  <c r="IA49" i="38"/>
  <c r="IA22" i="38"/>
  <c r="IA20" i="38"/>
  <c r="IA52" i="38"/>
  <c r="IA42" i="38"/>
  <c r="IA43" i="38"/>
  <c r="IA44" i="38"/>
  <c r="IA59" i="38"/>
  <c r="IA36" i="38"/>
  <c r="IA50" i="38"/>
  <c r="IA48" i="38"/>
  <c r="IA65" i="38"/>
  <c r="IA68" i="38"/>
  <c r="IA70" i="38"/>
  <c r="IA64" i="38"/>
  <c r="IA58" i="38"/>
  <c r="IA38" i="38"/>
  <c r="IA24" i="38"/>
  <c r="IA21" i="38"/>
  <c r="IA47" i="38"/>
  <c r="IA40" i="38"/>
  <c r="IB18" i="38"/>
  <c r="IA28" i="38"/>
  <c r="IA67" i="38"/>
  <c r="IA71" i="38"/>
  <c r="IA34" i="38"/>
  <c r="IA31" i="38"/>
  <c r="IA23" i="38"/>
  <c r="IA25" i="38"/>
  <c r="IA76" i="38"/>
  <c r="IA61" i="38"/>
  <c r="IA56" i="38"/>
  <c r="IA54" i="38"/>
  <c r="IA41" i="38"/>
  <c r="IA79" i="38"/>
  <c r="IA46" i="38"/>
  <c r="IA35" i="38"/>
  <c r="IA45" i="38"/>
  <c r="IA62" i="38"/>
  <c r="IA37" i="38"/>
  <c r="IA32" i="38"/>
  <c r="IA29" i="38"/>
  <c r="IA30" i="38"/>
  <c r="IA66" i="38"/>
  <c r="IA72" i="38"/>
  <c r="IA77" i="38"/>
  <c r="IA78" i="38"/>
  <c r="IE65" i="45"/>
  <c r="IE53" i="45"/>
  <c r="IE45" i="45"/>
  <c r="IE25" i="45"/>
  <c r="IE67" i="45"/>
  <c r="IE59" i="45"/>
  <c r="IE40" i="45"/>
  <c r="IE20" i="45"/>
  <c r="IE62" i="45"/>
  <c r="IE39" i="45"/>
  <c r="IF18" i="45"/>
  <c r="IE57" i="45"/>
  <c r="IE52" i="45"/>
  <c r="IE51" i="45"/>
  <c r="IE75" i="45"/>
  <c r="IE71" i="45"/>
  <c r="IE48" i="45"/>
  <c r="IE44" i="45"/>
  <c r="IE24" i="45"/>
  <c r="IE66" i="45"/>
  <c r="IE43" i="45"/>
  <c r="IE23" i="45"/>
  <c r="IE72" i="45"/>
  <c r="IE50" i="45"/>
  <c r="IE38" i="45"/>
  <c r="IE22" i="45"/>
  <c r="IE34" i="45"/>
  <c r="IE33" i="45"/>
  <c r="IE31" i="45"/>
  <c r="IE74" i="45"/>
  <c r="IE70" i="45"/>
  <c r="IE47" i="45"/>
  <c r="IE27" i="45"/>
  <c r="IE6" i="45"/>
  <c r="IE54" i="45"/>
  <c r="IE68" i="45"/>
  <c r="IE26" i="45"/>
  <c r="IE56" i="45"/>
  <c r="IE32" i="45"/>
  <c r="IE28" i="45"/>
  <c r="IE76" i="45"/>
  <c r="IE77" i="45"/>
  <c r="IE78" i="45"/>
  <c r="IE81" i="45"/>
  <c r="IE58" i="45"/>
  <c r="IE49" i="45"/>
  <c r="IE21" i="45"/>
  <c r="IE55" i="45"/>
  <c r="IE69" i="45"/>
  <c r="IE73" i="45"/>
  <c r="IE46" i="45"/>
  <c r="IE42" i="45"/>
  <c r="IE64" i="45"/>
  <c r="IE37" i="45"/>
  <c r="IE29" i="45"/>
  <c r="IE61" i="45"/>
  <c r="IE79" i="45"/>
  <c r="IE80" i="45"/>
  <c r="IE30" i="45"/>
  <c r="IE41" i="45"/>
  <c r="IE63" i="45"/>
  <c r="IE36" i="45"/>
  <c r="IE60" i="45"/>
  <c r="IE35" i="45"/>
  <c r="IE82" i="45"/>
  <c r="CW84" i="38" l="1"/>
  <c r="DB84" i="38" s="1"/>
  <c r="CY84" i="38"/>
  <c r="DD84" i="38" s="1"/>
  <c r="R83" i="38"/>
  <c r="I84" i="38"/>
  <c r="O84" i="38"/>
  <c r="AG102" i="4"/>
  <c r="AI101" i="4"/>
  <c r="AZ100" i="46"/>
  <c r="BA100" i="46" s="1"/>
  <c r="BB100" i="46" s="1"/>
  <c r="G100" i="46" s="1"/>
  <c r="AH102" i="4"/>
  <c r="AJ101" i="4"/>
  <c r="I84" i="45"/>
  <c r="I84" i="46"/>
  <c r="I85" i="46" s="1"/>
  <c r="U72" i="41"/>
  <c r="T72" i="38"/>
  <c r="BU71" i="38"/>
  <c r="BV71" i="38" s="1"/>
  <c r="W71" i="38"/>
  <c r="T70" i="46"/>
  <c r="W70" i="46" s="1"/>
  <c r="W70" i="41"/>
  <c r="T70" i="45"/>
  <c r="V70" i="41"/>
  <c r="CI83" i="38"/>
  <c r="BQ83" i="41" s="1"/>
  <c r="AI83" i="46"/>
  <c r="P83" i="46"/>
  <c r="Q83" i="46" s="1"/>
  <c r="R84" i="46" s="1"/>
  <c r="E83" i="41"/>
  <c r="S83" i="46"/>
  <c r="BS83" i="38"/>
  <c r="A85" i="6"/>
  <c r="A86" i="55"/>
  <c r="A85" i="41"/>
  <c r="A85" i="46"/>
  <c r="O85" i="46" s="1"/>
  <c r="A85" i="45"/>
  <c r="O85" i="45" s="1"/>
  <c r="A85" i="38"/>
  <c r="CV85" i="38" s="1"/>
  <c r="A85" i="4"/>
  <c r="A85" i="7"/>
  <c r="K84" i="45"/>
  <c r="L84" i="45"/>
  <c r="FK84" i="45"/>
  <c r="M84" i="45"/>
  <c r="CI82" i="38"/>
  <c r="BQ82" i="41" s="1"/>
  <c r="P83" i="45"/>
  <c r="Q83" i="45" s="1"/>
  <c r="R84" i="45" s="1"/>
  <c r="D83" i="41"/>
  <c r="S83" i="45"/>
  <c r="FI83" i="38"/>
  <c r="FG83" i="38"/>
  <c r="FH83" i="38"/>
  <c r="K81" i="41"/>
  <c r="G81" i="41"/>
  <c r="Z82" i="41"/>
  <c r="AD82" i="41" s="1"/>
  <c r="FK84" i="46"/>
  <c r="M84" i="46"/>
  <c r="L84" i="46"/>
  <c r="K84" i="46"/>
  <c r="FD84" i="38"/>
  <c r="FN84" i="38"/>
  <c r="CW84" i="41" s="1"/>
  <c r="M84" i="38"/>
  <c r="EY84" i="38"/>
  <c r="BQ84" i="38"/>
  <c r="L84" i="38"/>
  <c r="K84" i="38"/>
  <c r="L81" i="41"/>
  <c r="H81" i="41"/>
  <c r="S83" i="38"/>
  <c r="P83" i="38"/>
  <c r="Q83" i="38" s="1"/>
  <c r="AI83" i="38"/>
  <c r="C83" i="41"/>
  <c r="I81" i="41"/>
  <c r="M81" i="41"/>
  <c r="AB82" i="41"/>
  <c r="AF82" i="41" s="1"/>
  <c r="IC83" i="45"/>
  <c r="ID83" i="45"/>
  <c r="IB83" i="45"/>
  <c r="CO83" i="38"/>
  <c r="BV83" i="41" s="1"/>
  <c r="IA56" i="46"/>
  <c r="IA45" i="46"/>
  <c r="IA49" i="46"/>
  <c r="IA50" i="46"/>
  <c r="IA63" i="46"/>
  <c r="IA25" i="46"/>
  <c r="IA31" i="46"/>
  <c r="IA59" i="46"/>
  <c r="IA21" i="46"/>
  <c r="IA27" i="46"/>
  <c r="IA60" i="46"/>
  <c r="IA33" i="46"/>
  <c r="IA48" i="46"/>
  <c r="IA70" i="46"/>
  <c r="IA67" i="46"/>
  <c r="IA29" i="46"/>
  <c r="IA35" i="46"/>
  <c r="IA61" i="46"/>
  <c r="IA46" i="46"/>
  <c r="IA40" i="46"/>
  <c r="IA62" i="46"/>
  <c r="IA42" i="46"/>
  <c r="IA36" i="46"/>
  <c r="IA53" i="46"/>
  <c r="IA22" i="46"/>
  <c r="IA39" i="46"/>
  <c r="IA23" i="46"/>
  <c r="IA71" i="46"/>
  <c r="IA73" i="46"/>
  <c r="IA54" i="46"/>
  <c r="IA51" i="46"/>
  <c r="IA44" i="46"/>
  <c r="IB18" i="46"/>
  <c r="IA68" i="46"/>
  <c r="IA30" i="46"/>
  <c r="IA24" i="46"/>
  <c r="IA57" i="46"/>
  <c r="IA26" i="46"/>
  <c r="IA20" i="46"/>
  <c r="IA38" i="46"/>
  <c r="IA6" i="46"/>
  <c r="IA69" i="46"/>
  <c r="IA65" i="46"/>
  <c r="IA52" i="46"/>
  <c r="IA37" i="46"/>
  <c r="IA55" i="46"/>
  <c r="IA78" i="46"/>
  <c r="IA34" i="46"/>
  <c r="IA41" i="46"/>
  <c r="IA43" i="46"/>
  <c r="IA72" i="46"/>
  <c r="IA74" i="46"/>
  <c r="IA80" i="46"/>
  <c r="IA28" i="46"/>
  <c r="IA47" i="46"/>
  <c r="IA32" i="46"/>
  <c r="IA75" i="46"/>
  <c r="IA79" i="46"/>
  <c r="IA81" i="46"/>
  <c r="IA82" i="46"/>
  <c r="IA66" i="46"/>
  <c r="IA64" i="46"/>
  <c r="IA58" i="46"/>
  <c r="IA76" i="46"/>
  <c r="IA77" i="46"/>
  <c r="IF70" i="45"/>
  <c r="IF58" i="45"/>
  <c r="IF35" i="45"/>
  <c r="IF67" i="45"/>
  <c r="IF51" i="45"/>
  <c r="IF36" i="45"/>
  <c r="IF27" i="45"/>
  <c r="IF57" i="45"/>
  <c r="IF45" i="45"/>
  <c r="IF25" i="45"/>
  <c r="IF72" i="45"/>
  <c r="IF53" i="45"/>
  <c r="IF41" i="45"/>
  <c r="IF21" i="45"/>
  <c r="IF65" i="45"/>
  <c r="IF42" i="45"/>
  <c r="IF22" i="45"/>
  <c r="IF66" i="45"/>
  <c r="IF54" i="45"/>
  <c r="IF34" i="45"/>
  <c r="IF68" i="45"/>
  <c r="IF48" i="45"/>
  <c r="IF49" i="45"/>
  <c r="IF24" i="45"/>
  <c r="IF64" i="45"/>
  <c r="IF59" i="45"/>
  <c r="IF44" i="45"/>
  <c r="IF20" i="45"/>
  <c r="IF75" i="45"/>
  <c r="IF56" i="45"/>
  <c r="IF32" i="45"/>
  <c r="IF38" i="45"/>
  <c r="IF63" i="45"/>
  <c r="IF43" i="45"/>
  <c r="IF73" i="45"/>
  <c r="IF39" i="45"/>
  <c r="IF74" i="45"/>
  <c r="IF82" i="45"/>
  <c r="IF83" i="45"/>
  <c r="IF55" i="45"/>
  <c r="IF31" i="45"/>
  <c r="IF33" i="45"/>
  <c r="IF62" i="45"/>
  <c r="IF30" i="45"/>
  <c r="IF69" i="45"/>
  <c r="IF26" i="45"/>
  <c r="IF76" i="45"/>
  <c r="IF77" i="45"/>
  <c r="IF78" i="45"/>
  <c r="IF81" i="45"/>
  <c r="IF37" i="45"/>
  <c r="IF61" i="45"/>
  <c r="IF29" i="45"/>
  <c r="IF47" i="45"/>
  <c r="IF23" i="45"/>
  <c r="IF60" i="45"/>
  <c r="IG18" i="45"/>
  <c r="IF71" i="45"/>
  <c r="IF40" i="45"/>
  <c r="IF52" i="45"/>
  <c r="IF28" i="45"/>
  <c r="IF50" i="45"/>
  <c r="IF6" i="45"/>
  <c r="IF46" i="45"/>
  <c r="IF79" i="45"/>
  <c r="IF80" i="45"/>
  <c r="IB65" i="38"/>
  <c r="IB56" i="38"/>
  <c r="IB32" i="38"/>
  <c r="IB61" i="38"/>
  <c r="IB52" i="38"/>
  <c r="IB28" i="38"/>
  <c r="IB62" i="38"/>
  <c r="IB48" i="38"/>
  <c r="IB24" i="38"/>
  <c r="IB60" i="38"/>
  <c r="IB20" i="38"/>
  <c r="IB63" i="38"/>
  <c r="IB66" i="38"/>
  <c r="IB67" i="38"/>
  <c r="IB71" i="38"/>
  <c r="IB55" i="38"/>
  <c r="IB41" i="38"/>
  <c r="IB43" i="38"/>
  <c r="IB51" i="38"/>
  <c r="IB37" i="38"/>
  <c r="IB33" i="38"/>
  <c r="IB47" i="38"/>
  <c r="IB44" i="38"/>
  <c r="IB31" i="38"/>
  <c r="IB21" i="38"/>
  <c r="IB59" i="38"/>
  <c r="IB46" i="38"/>
  <c r="IB72" i="38"/>
  <c r="IB74" i="38"/>
  <c r="IB58" i="38"/>
  <c r="IB36" i="38"/>
  <c r="IB23" i="38"/>
  <c r="IB54" i="38"/>
  <c r="IB42" i="38"/>
  <c r="IC18" i="38"/>
  <c r="IB50" i="38"/>
  <c r="IB38" i="38"/>
  <c r="IB30" i="38"/>
  <c r="IB64" i="38"/>
  <c r="IB40" i="38"/>
  <c r="IB34" i="38"/>
  <c r="IB68" i="38"/>
  <c r="IB69" i="38"/>
  <c r="IB53" i="38"/>
  <c r="IB25" i="38"/>
  <c r="IB22" i="38"/>
  <c r="IB70" i="38"/>
  <c r="IB73" i="38"/>
  <c r="IB75" i="38"/>
  <c r="IB77" i="38"/>
  <c r="IB78" i="38"/>
  <c r="IB57" i="38"/>
  <c r="IB29" i="38"/>
  <c r="IB6" i="38"/>
  <c r="IB76" i="38"/>
  <c r="IB39" i="38"/>
  <c r="IB26" i="38"/>
  <c r="IB45" i="38"/>
  <c r="IB79" i="38"/>
  <c r="IB80" i="38"/>
  <c r="IB35" i="38"/>
  <c r="IB49" i="38"/>
  <c r="IB27" i="38"/>
  <c r="CW85" i="38" l="1"/>
  <c r="DB85" i="38" s="1"/>
  <c r="CY85" i="38"/>
  <c r="DD85" i="38" s="1"/>
  <c r="O85" i="38"/>
  <c r="R84" i="38"/>
  <c r="I85" i="38"/>
  <c r="AH103" i="4"/>
  <c r="AJ102" i="4"/>
  <c r="AG103" i="4"/>
  <c r="AI102" i="4"/>
  <c r="J84" i="46"/>
  <c r="I86" i="46"/>
  <c r="I85" i="45"/>
  <c r="W72" i="38"/>
  <c r="BU72" i="38"/>
  <c r="BV72" i="38" s="1"/>
  <c r="U73" i="41"/>
  <c r="T73" i="38"/>
  <c r="T71" i="46"/>
  <c r="W71" i="46" s="1"/>
  <c r="W71" i="41"/>
  <c r="T71" i="45"/>
  <c r="V71" i="41"/>
  <c r="Z83" i="41"/>
  <c r="AD83" i="41" s="1"/>
  <c r="K82" i="41"/>
  <c r="G82" i="41"/>
  <c r="S84" i="38"/>
  <c r="C84" i="41"/>
  <c r="AI84" i="38"/>
  <c r="P84" i="38"/>
  <c r="Q84" i="38" s="1"/>
  <c r="FK85" i="46"/>
  <c r="L85" i="46"/>
  <c r="M85" i="46"/>
  <c r="J85" i="46"/>
  <c r="K85" i="46"/>
  <c r="ID84" i="45"/>
  <c r="IE84" i="45"/>
  <c r="IC84" i="45"/>
  <c r="L82" i="41"/>
  <c r="H82" i="41"/>
  <c r="L85" i="38"/>
  <c r="FD85" i="38"/>
  <c r="K85" i="38"/>
  <c r="EY85" i="38"/>
  <c r="BQ85" i="38"/>
  <c r="M85" i="38"/>
  <c r="FN85" i="38"/>
  <c r="CW85" i="41" s="1"/>
  <c r="A86" i="38"/>
  <c r="CV86" i="38" s="1"/>
  <c r="A86" i="45"/>
  <c r="O86" i="45" s="1"/>
  <c r="A86" i="41"/>
  <c r="A86" i="6"/>
  <c r="A86" i="4"/>
  <c r="A86" i="46"/>
  <c r="O86" i="46" s="1"/>
  <c r="A87" i="55"/>
  <c r="A86" i="7"/>
  <c r="IF84" i="45"/>
  <c r="FI84" i="38"/>
  <c r="FH84" i="38"/>
  <c r="FG84" i="38"/>
  <c r="J84" i="38"/>
  <c r="CI84" i="38" s="1"/>
  <c r="BQ84" i="41" s="1"/>
  <c r="BS84" i="38"/>
  <c r="E84" i="41"/>
  <c r="AI84" i="46"/>
  <c r="S84" i="46"/>
  <c r="P84" i="46"/>
  <c r="Q84" i="46" s="1"/>
  <c r="R85" i="46" s="1"/>
  <c r="S84" i="45"/>
  <c r="P84" i="45"/>
  <c r="Q84" i="45" s="1"/>
  <c r="R85" i="45" s="1"/>
  <c r="D84" i="41"/>
  <c r="FK85" i="45"/>
  <c r="IG85" i="45" s="1"/>
  <c r="L85" i="45"/>
  <c r="K85" i="45"/>
  <c r="M85" i="45"/>
  <c r="M82" i="41"/>
  <c r="AB83" i="41"/>
  <c r="AF83" i="41" s="1"/>
  <c r="I82" i="41"/>
  <c r="IB61" i="46"/>
  <c r="IB51" i="46"/>
  <c r="IB44" i="46"/>
  <c r="IC18" i="46"/>
  <c r="IB63" i="46"/>
  <c r="IB40" i="46"/>
  <c r="IB46" i="46"/>
  <c r="IB60" i="46"/>
  <c r="IB33" i="46"/>
  <c r="IB43" i="46"/>
  <c r="IB56" i="46"/>
  <c r="IB29" i="46"/>
  <c r="IB48" i="46"/>
  <c r="IB38" i="46"/>
  <c r="IB72" i="46"/>
  <c r="IB74" i="46"/>
  <c r="IB76" i="46"/>
  <c r="IB77" i="46"/>
  <c r="IB68" i="46"/>
  <c r="IB62" i="46"/>
  <c r="IB28" i="46"/>
  <c r="IB34" i="46"/>
  <c r="IB58" i="46"/>
  <c r="IB24" i="46"/>
  <c r="IB30" i="46"/>
  <c r="IB59" i="46"/>
  <c r="IB50" i="46"/>
  <c r="IB27" i="46"/>
  <c r="IB45" i="46"/>
  <c r="IB39" i="46"/>
  <c r="IB23" i="46"/>
  <c r="IB52" i="46"/>
  <c r="IB41" i="46"/>
  <c r="IB49" i="46"/>
  <c r="IB57" i="46"/>
  <c r="IB37" i="46"/>
  <c r="IB47" i="46"/>
  <c r="IB69" i="46"/>
  <c r="IB70" i="46"/>
  <c r="IB36" i="46"/>
  <c r="IB42" i="46"/>
  <c r="IB6" i="46"/>
  <c r="IB65" i="46"/>
  <c r="IB66" i="46"/>
  <c r="IB71" i="46"/>
  <c r="IB35" i="46"/>
  <c r="IB53" i="46"/>
  <c r="IB22" i="46"/>
  <c r="IB64" i="46"/>
  <c r="IB54" i="46"/>
  <c r="IB55" i="46"/>
  <c r="IB78" i="46"/>
  <c r="IB67" i="46"/>
  <c r="IB21" i="46"/>
  <c r="IB20" i="46"/>
  <c r="IB32" i="46"/>
  <c r="IB73" i="46"/>
  <c r="IB80" i="46"/>
  <c r="IB83" i="46"/>
  <c r="IB25" i="46"/>
  <c r="IB31" i="46"/>
  <c r="IB26" i="46"/>
  <c r="IB75" i="46"/>
  <c r="IB79" i="46"/>
  <c r="IB81" i="46"/>
  <c r="IB82" i="46"/>
  <c r="IC57" i="38"/>
  <c r="IC37" i="38"/>
  <c r="IC22" i="38"/>
  <c r="IC53" i="38"/>
  <c r="IC33" i="38"/>
  <c r="IC29" i="38"/>
  <c r="IC49" i="38"/>
  <c r="IC38" i="38"/>
  <c r="IC21" i="38"/>
  <c r="IC25" i="38"/>
  <c r="IC59" i="38"/>
  <c r="IC41" i="38"/>
  <c r="IC70" i="38"/>
  <c r="IC76" i="38"/>
  <c r="IC52" i="38"/>
  <c r="IC28" i="38"/>
  <c r="IC6" i="38"/>
  <c r="IC48" i="38"/>
  <c r="IC24" i="38"/>
  <c r="IC64" i="38"/>
  <c r="IC55" i="38"/>
  <c r="IC20" i="38"/>
  <c r="IC65" i="38"/>
  <c r="IC60" i="38"/>
  <c r="IC36" i="38"/>
  <c r="IC26" i="38"/>
  <c r="IC66" i="38"/>
  <c r="IC67" i="38"/>
  <c r="IC71" i="38"/>
  <c r="IC61" i="38"/>
  <c r="IC47" i="38"/>
  <c r="IC27" i="38"/>
  <c r="IC62" i="38"/>
  <c r="IC44" i="38"/>
  <c r="IC23" i="38"/>
  <c r="IC63" i="38"/>
  <c r="IC40" i="38"/>
  <c r="ID18" i="38"/>
  <c r="IC56" i="38"/>
  <c r="IC51" i="38"/>
  <c r="IC42" i="38"/>
  <c r="IC54" i="38"/>
  <c r="IC45" i="38"/>
  <c r="IC46" i="38"/>
  <c r="IC72" i="38"/>
  <c r="IC58" i="38"/>
  <c r="IC39" i="38"/>
  <c r="IC30" i="38"/>
  <c r="IC69" i="38"/>
  <c r="IC73" i="38"/>
  <c r="IC75" i="38"/>
  <c r="IC77" i="38"/>
  <c r="IC78" i="38"/>
  <c r="IC43" i="38"/>
  <c r="IC34" i="38"/>
  <c r="IC32" i="38"/>
  <c r="IC68" i="38"/>
  <c r="IC74" i="38"/>
  <c r="IC81" i="38"/>
  <c r="IC35" i="38"/>
  <c r="IC50" i="38"/>
  <c r="IC31" i="38"/>
  <c r="IC79" i="38"/>
  <c r="IC80" i="38"/>
  <c r="IG62" i="45"/>
  <c r="IG57" i="45"/>
  <c r="IG34" i="45"/>
  <c r="IG22" i="45"/>
  <c r="IG64" i="45"/>
  <c r="IG41" i="45"/>
  <c r="IG28" i="45"/>
  <c r="IG70" i="45"/>
  <c r="IG54" i="45"/>
  <c r="IG42" i="45"/>
  <c r="IG30" i="45"/>
  <c r="IG56" i="45"/>
  <c r="IG44" i="45"/>
  <c r="IG20" i="45"/>
  <c r="IG76" i="45"/>
  <c r="IG77" i="45"/>
  <c r="IG68" i="45"/>
  <c r="IG45" i="45"/>
  <c r="IG32" i="45"/>
  <c r="IG73" i="45"/>
  <c r="IG59" i="45"/>
  <c r="IG36" i="45"/>
  <c r="IG31" i="45"/>
  <c r="IG65" i="45"/>
  <c r="IG49" i="45"/>
  <c r="IG25" i="45"/>
  <c r="IG71" i="45"/>
  <c r="IG51" i="45"/>
  <c r="IG39" i="45"/>
  <c r="IG23" i="45"/>
  <c r="IG52" i="45"/>
  <c r="IG33" i="45"/>
  <c r="IG58" i="45"/>
  <c r="IG74" i="45"/>
  <c r="IG37" i="45"/>
  <c r="IG66" i="45"/>
  <c r="IG38" i="45"/>
  <c r="IG79" i="45"/>
  <c r="IG80" i="45"/>
  <c r="IG47" i="45"/>
  <c r="IH18" i="45"/>
  <c r="IG53" i="45"/>
  <c r="IG72" i="45"/>
  <c r="IG43" i="45"/>
  <c r="IG61" i="45"/>
  <c r="IG21" i="45"/>
  <c r="IG82" i="45"/>
  <c r="IG83" i="45"/>
  <c r="IG6" i="45"/>
  <c r="IG40" i="45"/>
  <c r="IG63" i="45"/>
  <c r="IG46" i="45"/>
  <c r="IG60" i="45"/>
  <c r="IG24" i="45"/>
  <c r="IG50" i="45"/>
  <c r="IG26" i="45"/>
  <c r="IG75" i="45"/>
  <c r="IG78" i="45"/>
  <c r="IG81" i="45"/>
  <c r="IG84" i="45"/>
  <c r="IG67" i="45"/>
  <c r="IG35" i="45"/>
  <c r="IG69" i="45"/>
  <c r="IG29" i="45"/>
  <c r="IG55" i="45"/>
  <c r="IG27" i="45"/>
  <c r="IG48" i="45"/>
  <c r="CY86" i="38" l="1"/>
  <c r="DD86" i="38" s="1"/>
  <c r="CW86" i="38"/>
  <c r="DB86" i="38" s="1"/>
  <c r="R85" i="38"/>
  <c r="O86" i="38"/>
  <c r="I86" i="38"/>
  <c r="AG104" i="4"/>
  <c r="AI103" i="4"/>
  <c r="AH104" i="4"/>
  <c r="AJ103" i="4"/>
  <c r="I86" i="45"/>
  <c r="I87" i="46"/>
  <c r="W73" i="38"/>
  <c r="BU73" i="38"/>
  <c r="BV73" i="38" s="1"/>
  <c r="U74" i="41"/>
  <c r="T74" i="38"/>
  <c r="T72" i="45"/>
  <c r="V72" i="41"/>
  <c r="W72" i="41"/>
  <c r="T72" i="46"/>
  <c r="W72" i="46" s="1"/>
  <c r="IE85" i="45"/>
  <c r="IF85" i="45"/>
  <c r="ID85" i="45"/>
  <c r="FN86" i="38"/>
  <c r="CW86" i="41" s="1"/>
  <c r="K86" i="38"/>
  <c r="L86" i="38"/>
  <c r="EY86" i="38"/>
  <c r="BQ86" i="38"/>
  <c r="M86" i="38"/>
  <c r="FD86" i="38"/>
  <c r="FI85" i="38"/>
  <c r="FG85" i="38"/>
  <c r="FH85" i="38"/>
  <c r="P85" i="46"/>
  <c r="Q85" i="46" s="1"/>
  <c r="R86" i="46" s="1"/>
  <c r="E85" i="41"/>
  <c r="S85" i="46"/>
  <c r="AI85" i="46"/>
  <c r="D85" i="41"/>
  <c r="S85" i="45"/>
  <c r="P85" i="45"/>
  <c r="Q85" i="45" s="1"/>
  <c r="R86" i="45" s="1"/>
  <c r="L83" i="41"/>
  <c r="H83" i="41"/>
  <c r="P85" i="38"/>
  <c r="Q85" i="38" s="1"/>
  <c r="S85" i="38"/>
  <c r="AI85" i="38"/>
  <c r="C85" i="41"/>
  <c r="Z84" i="41"/>
  <c r="AD84" i="41" s="1"/>
  <c r="G83" i="41"/>
  <c r="K83" i="41"/>
  <c r="I83" i="41"/>
  <c r="AB84" i="41"/>
  <c r="AF84" i="41" s="1"/>
  <c r="M83" i="41"/>
  <c r="A87" i="7"/>
  <c r="A87" i="4"/>
  <c r="A88" i="55"/>
  <c r="A87" i="6"/>
  <c r="A87" i="38"/>
  <c r="CV87" i="38" s="1"/>
  <c r="A87" i="45"/>
  <c r="O87" i="45" s="1"/>
  <c r="A87" i="46"/>
  <c r="O87" i="46" s="1"/>
  <c r="A87" i="41"/>
  <c r="CO84" i="38"/>
  <c r="BV84" i="41" s="1"/>
  <c r="J86" i="46"/>
  <c r="L86" i="46"/>
  <c r="K86" i="46"/>
  <c r="FK86" i="46"/>
  <c r="M86" i="46"/>
  <c r="FK86" i="45"/>
  <c r="IH86" i="45" s="1"/>
  <c r="M86" i="45"/>
  <c r="L86" i="45"/>
  <c r="K86" i="45"/>
  <c r="J85" i="38"/>
  <c r="CI85" i="38" s="1"/>
  <c r="BQ85" i="41" s="1"/>
  <c r="BS85" i="38"/>
  <c r="IH65" i="45"/>
  <c r="IH57" i="45"/>
  <c r="IH47" i="45"/>
  <c r="IH22" i="45"/>
  <c r="IH75" i="45"/>
  <c r="IH48" i="45"/>
  <c r="IH32" i="45"/>
  <c r="IH68" i="45"/>
  <c r="IH49" i="45"/>
  <c r="IH41" i="45"/>
  <c r="IH25" i="45"/>
  <c r="IH55" i="45"/>
  <c r="IH35" i="45"/>
  <c r="IH23" i="45"/>
  <c r="IH76" i="45"/>
  <c r="IH74" i="45"/>
  <c r="IH60" i="45"/>
  <c r="IH52" i="45"/>
  <c r="IH33" i="45"/>
  <c r="IH6" i="45"/>
  <c r="IH62" i="45"/>
  <c r="IH43" i="45"/>
  <c r="IH31" i="45"/>
  <c r="IH71" i="45"/>
  <c r="IH44" i="45"/>
  <c r="IH28" i="45"/>
  <c r="IH69" i="45"/>
  <c r="IH50" i="45"/>
  <c r="IH34" i="45"/>
  <c r="IH26" i="45"/>
  <c r="IH77" i="45"/>
  <c r="IH63" i="45"/>
  <c r="IH20" i="45"/>
  <c r="IH58" i="45"/>
  <c r="IH29" i="45"/>
  <c r="IH39" i="45"/>
  <c r="IH64" i="45"/>
  <c r="IH37" i="45"/>
  <c r="IH51" i="45"/>
  <c r="II18" i="45"/>
  <c r="IH53" i="45"/>
  <c r="IH66" i="45"/>
  <c r="IH38" i="45"/>
  <c r="IH67" i="45"/>
  <c r="IH24" i="45"/>
  <c r="IH79" i="45"/>
  <c r="IH80" i="45"/>
  <c r="IH85" i="45"/>
  <c r="IH73" i="45"/>
  <c r="IH36" i="45"/>
  <c r="IH70" i="45"/>
  <c r="IH42" i="45"/>
  <c r="IH59" i="45"/>
  <c r="IH27" i="45"/>
  <c r="IH56" i="45"/>
  <c r="IH21" i="45"/>
  <c r="IH82" i="45"/>
  <c r="IH83" i="45"/>
  <c r="IH72" i="45"/>
  <c r="IH46" i="45"/>
  <c r="IH61" i="45"/>
  <c r="IH45" i="45"/>
  <c r="IH54" i="45"/>
  <c r="IH30" i="45"/>
  <c r="IH40" i="45"/>
  <c r="IH78" i="45"/>
  <c r="IH81" i="45"/>
  <c r="IH84" i="45"/>
  <c r="ID63" i="38"/>
  <c r="ID50" i="38"/>
  <c r="ID34" i="38"/>
  <c r="ID65" i="38"/>
  <c r="ID59" i="38"/>
  <c r="ID23" i="38"/>
  <c r="ID24" i="38"/>
  <c r="ID55" i="38"/>
  <c r="ID37" i="38"/>
  <c r="ID20" i="38"/>
  <c r="ID42" i="38"/>
  <c r="ID25" i="38"/>
  <c r="ID68" i="38"/>
  <c r="ID69" i="38"/>
  <c r="ID73" i="38"/>
  <c r="ID75" i="38"/>
  <c r="ID57" i="38"/>
  <c r="ID38" i="38"/>
  <c r="ID22" i="38"/>
  <c r="ID60" i="38"/>
  <c r="ID43" i="38"/>
  <c r="ID33" i="38"/>
  <c r="ID61" i="38"/>
  <c r="ID58" i="38"/>
  <c r="IE18" i="38"/>
  <c r="ID54" i="38"/>
  <c r="ID26" i="38"/>
  <c r="ID51" i="38"/>
  <c r="ID67" i="38"/>
  <c r="ID70" i="38"/>
  <c r="ID76" i="38"/>
  <c r="ID52" i="38"/>
  <c r="ID36" i="38"/>
  <c r="ID21" i="38"/>
  <c r="ID53" i="38"/>
  <c r="ID46" i="38"/>
  <c r="ID41" i="38"/>
  <c r="ID66" i="38"/>
  <c r="ID39" i="38"/>
  <c r="ID30" i="38"/>
  <c r="ID35" i="38"/>
  <c r="ID56" i="38"/>
  <c r="ID31" i="38"/>
  <c r="ID71" i="38"/>
  <c r="ID32" i="38"/>
  <c r="ID49" i="38"/>
  <c r="ID40" i="38"/>
  <c r="ID79" i="38"/>
  <c r="ID80" i="38"/>
  <c r="ID64" i="38"/>
  <c r="ID48" i="38"/>
  <c r="ID44" i="38"/>
  <c r="ID6" i="38"/>
  <c r="ID72" i="38"/>
  <c r="ID47" i="38"/>
  <c r="ID45" i="38"/>
  <c r="ID29" i="38"/>
  <c r="ID77" i="38"/>
  <c r="ID78" i="38"/>
  <c r="ID82" i="38"/>
  <c r="ID27" i="38"/>
  <c r="ID28" i="38"/>
  <c r="ID62" i="38"/>
  <c r="ID74" i="38"/>
  <c r="ID81" i="38"/>
  <c r="IC59" i="46"/>
  <c r="IC48" i="46"/>
  <c r="IC23" i="46"/>
  <c r="IC60" i="46"/>
  <c r="IC50" i="46"/>
  <c r="IC49" i="46"/>
  <c r="IC45" i="46"/>
  <c r="IC51" i="46"/>
  <c r="IC24" i="46"/>
  <c r="IC30" i="46"/>
  <c r="IC53" i="46"/>
  <c r="IC42" i="46"/>
  <c r="IC26" i="46"/>
  <c r="IC37" i="46"/>
  <c r="IC75" i="46"/>
  <c r="IC70" i="46"/>
  <c r="IC32" i="46"/>
  <c r="IC38" i="46"/>
  <c r="IC71" i="46"/>
  <c r="IC61" i="46"/>
  <c r="IC35" i="46"/>
  <c r="IC29" i="46"/>
  <c r="IC62" i="46"/>
  <c r="IC47" i="46"/>
  <c r="IC41" i="46"/>
  <c r="IC27" i="46"/>
  <c r="IC68" i="46"/>
  <c r="IC52" i="46"/>
  <c r="IC72" i="46"/>
  <c r="IC74" i="46"/>
  <c r="IC76" i="46"/>
  <c r="IC77" i="46"/>
  <c r="IC54" i="46"/>
  <c r="IC6" i="46"/>
  <c r="IC22" i="46"/>
  <c r="IC55" i="46"/>
  <c r="IC44" i="46"/>
  <c r="ID18" i="46"/>
  <c r="IC56" i="46"/>
  <c r="IC57" i="46"/>
  <c r="IC31" i="46"/>
  <c r="IC25" i="46"/>
  <c r="IC21" i="46"/>
  <c r="IC58" i="46"/>
  <c r="IC69" i="46"/>
  <c r="IC39" i="46"/>
  <c r="IC34" i="46"/>
  <c r="IC63" i="46"/>
  <c r="IC79" i="46"/>
  <c r="IC81" i="46"/>
  <c r="IC82" i="46"/>
  <c r="IC33" i="46"/>
  <c r="IC67" i="46"/>
  <c r="IC36" i="46"/>
  <c r="IC64" i="46"/>
  <c r="IC66" i="46"/>
  <c r="IC40" i="46"/>
  <c r="IC20" i="46"/>
  <c r="IC78" i="46"/>
  <c r="IC65" i="46"/>
  <c r="IC28" i="46"/>
  <c r="IC46" i="46"/>
  <c r="IC43" i="46"/>
  <c r="IC73" i="46"/>
  <c r="IC80" i="46"/>
  <c r="IC83" i="46"/>
  <c r="IC84" i="46"/>
  <c r="CW87" i="38" l="1"/>
  <c r="DB87" i="38" s="1"/>
  <c r="CY87" i="38"/>
  <c r="DD87" i="38" s="1"/>
  <c r="R86" i="38"/>
  <c r="I87" i="38"/>
  <c r="J87" i="38" s="1"/>
  <c r="O87" i="38"/>
  <c r="AH105" i="4"/>
  <c r="AJ104" i="4"/>
  <c r="AG105" i="4"/>
  <c r="AI104" i="4"/>
  <c r="I87" i="45"/>
  <c r="I88" i="45" s="1"/>
  <c r="U75" i="41"/>
  <c r="T75" i="38"/>
  <c r="BU74" i="38"/>
  <c r="BV74" i="38" s="1"/>
  <c r="W74" i="38"/>
  <c r="T73" i="46"/>
  <c r="W73" i="46" s="1"/>
  <c r="W73" i="41"/>
  <c r="T73" i="45"/>
  <c r="V73" i="41"/>
  <c r="IF86" i="45"/>
  <c r="IE86" i="45"/>
  <c r="IG86" i="45"/>
  <c r="CO85" i="38"/>
  <c r="BV85" i="41" s="1"/>
  <c r="L84" i="41"/>
  <c r="H84" i="41"/>
  <c r="P86" i="38"/>
  <c r="Q86" i="38" s="1"/>
  <c r="C86" i="41"/>
  <c r="S86" i="38"/>
  <c r="AI86" i="38"/>
  <c r="J87" i="46"/>
  <c r="L87" i="46"/>
  <c r="FK87" i="46"/>
  <c r="M87" i="46"/>
  <c r="K87" i="46"/>
  <c r="A88" i="6"/>
  <c r="A88" i="46"/>
  <c r="O88" i="46" s="1"/>
  <c r="A88" i="4"/>
  <c r="A89" i="55"/>
  <c r="A88" i="7"/>
  <c r="A88" i="38"/>
  <c r="CV88" i="38" s="1"/>
  <c r="A88" i="41"/>
  <c r="A88" i="45"/>
  <c r="O88" i="45" s="1"/>
  <c r="S86" i="45"/>
  <c r="D86" i="41"/>
  <c r="P86" i="45"/>
  <c r="Q86" i="45" s="1"/>
  <c r="R87" i="45" s="1"/>
  <c r="E86" i="41"/>
  <c r="S86" i="46"/>
  <c r="P86" i="46"/>
  <c r="Q86" i="46" s="1"/>
  <c r="R87" i="46" s="1"/>
  <c r="AI86" i="46"/>
  <c r="M87" i="45"/>
  <c r="K87" i="45"/>
  <c r="FK87" i="45"/>
  <c r="L87" i="45"/>
  <c r="K84" i="41"/>
  <c r="G84" i="41"/>
  <c r="Z85" i="41"/>
  <c r="AD85" i="41" s="1"/>
  <c r="M84" i="41"/>
  <c r="I84" i="41"/>
  <c r="AB85" i="41"/>
  <c r="AF85" i="41" s="1"/>
  <c r="FG86" i="38"/>
  <c r="FI86" i="38"/>
  <c r="FH86" i="38"/>
  <c r="J86" i="38"/>
  <c r="BS86" i="38"/>
  <c r="FN87" i="38"/>
  <c r="CW87" i="41" s="1"/>
  <c r="M87" i="38"/>
  <c r="BQ87" i="38"/>
  <c r="L87" i="38"/>
  <c r="EY87" i="38"/>
  <c r="K87" i="38"/>
  <c r="FD87" i="38"/>
  <c r="ID70" i="46"/>
  <c r="ID56" i="46"/>
  <c r="ID26" i="46"/>
  <c r="ID20" i="46"/>
  <c r="ID57" i="46"/>
  <c r="ID23" i="46"/>
  <c r="ID48" i="46"/>
  <c r="ID62" i="46"/>
  <c r="ID50" i="46"/>
  <c r="ID45" i="46"/>
  <c r="ID65" i="46"/>
  <c r="ID49" i="46"/>
  <c r="ID30" i="46"/>
  <c r="ID41" i="46"/>
  <c r="ID73" i="46"/>
  <c r="ID54" i="46"/>
  <c r="ID43" i="46"/>
  <c r="ID37" i="46"/>
  <c r="ID67" i="46"/>
  <c r="ID68" i="46"/>
  <c r="ID38" i="46"/>
  <c r="ID32" i="46"/>
  <c r="ID69" i="46"/>
  <c r="ID35" i="46"/>
  <c r="ID29" i="46"/>
  <c r="ID31" i="46"/>
  <c r="ID46" i="46"/>
  <c r="ID24" i="46"/>
  <c r="ID75" i="46"/>
  <c r="ID71" i="46"/>
  <c r="ID61" i="46"/>
  <c r="ID27" i="46"/>
  <c r="ID21" i="46"/>
  <c r="ID51" i="46"/>
  <c r="ID52" i="46"/>
  <c r="ID22" i="46"/>
  <c r="ID6" i="46"/>
  <c r="ID53" i="46"/>
  <c r="IE18" i="46"/>
  <c r="ID44" i="46"/>
  <c r="ID25" i="46"/>
  <c r="ID40" i="46"/>
  <c r="ID58" i="46"/>
  <c r="ID55" i="46"/>
  <c r="ID66" i="46"/>
  <c r="ID64" i="46"/>
  <c r="ID60" i="46"/>
  <c r="ID76" i="46"/>
  <c r="ID77" i="46"/>
  <c r="ID80" i="46"/>
  <c r="ID83" i="46"/>
  <c r="ID84" i="46"/>
  <c r="ID85" i="46"/>
  <c r="ID72" i="46"/>
  <c r="ID39" i="46"/>
  <c r="ID34" i="46"/>
  <c r="ID47" i="46"/>
  <c r="ID79" i="46"/>
  <c r="ID81" i="46"/>
  <c r="ID82" i="46"/>
  <c r="ID42" i="46"/>
  <c r="ID33" i="46"/>
  <c r="ID28" i="46"/>
  <c r="ID74" i="46"/>
  <c r="ID36" i="46"/>
  <c r="ID63" i="46"/>
  <c r="ID59" i="46"/>
  <c r="ID78" i="46"/>
  <c r="II74" i="45"/>
  <c r="II61" i="45"/>
  <c r="II44" i="45"/>
  <c r="II24" i="45"/>
  <c r="II66" i="45"/>
  <c r="II43" i="45"/>
  <c r="II23" i="45"/>
  <c r="II75" i="45"/>
  <c r="II57" i="45"/>
  <c r="II38" i="45"/>
  <c r="II22" i="45"/>
  <c r="II69" i="45"/>
  <c r="II53" i="45"/>
  <c r="II34" i="45"/>
  <c r="II28" i="45"/>
  <c r="II73" i="45"/>
  <c r="II70" i="45"/>
  <c r="II47" i="45"/>
  <c r="II27" i="45"/>
  <c r="II6" i="45"/>
  <c r="II50" i="45"/>
  <c r="II42" i="45"/>
  <c r="II26" i="45"/>
  <c r="II64" i="45"/>
  <c r="II52" i="45"/>
  <c r="II37" i="45"/>
  <c r="II32" i="45"/>
  <c r="II60" i="45"/>
  <c r="II48" i="45"/>
  <c r="II33" i="45"/>
  <c r="II72" i="45"/>
  <c r="II46" i="45"/>
  <c r="II68" i="45"/>
  <c r="II41" i="45"/>
  <c r="II67" i="45"/>
  <c r="II36" i="45"/>
  <c r="II63" i="45"/>
  <c r="II31" i="45"/>
  <c r="II78" i="45"/>
  <c r="II81" i="45"/>
  <c r="II84" i="45"/>
  <c r="II65" i="45"/>
  <c r="II45" i="45"/>
  <c r="II71" i="45"/>
  <c r="II40" i="45"/>
  <c r="II62" i="45"/>
  <c r="IJ18" i="45"/>
  <c r="II58" i="45"/>
  <c r="II29" i="45"/>
  <c r="II54" i="45"/>
  <c r="II30" i="45"/>
  <c r="II56" i="45"/>
  <c r="II21" i="45"/>
  <c r="II55" i="45"/>
  <c r="II77" i="45"/>
  <c r="II51" i="45"/>
  <c r="II79" i="45"/>
  <c r="II80" i="45"/>
  <c r="II85" i="45"/>
  <c r="II49" i="45"/>
  <c r="II25" i="45"/>
  <c r="II59" i="45"/>
  <c r="II20" i="45"/>
  <c r="II39" i="45"/>
  <c r="II76" i="45"/>
  <c r="II35" i="45"/>
  <c r="II82" i="45"/>
  <c r="II83" i="45"/>
  <c r="II86" i="45"/>
  <c r="IE63" i="38"/>
  <c r="IE50" i="38"/>
  <c r="IE26" i="38"/>
  <c r="IE23" i="38"/>
  <c r="IE46" i="38"/>
  <c r="IE22" i="38"/>
  <c r="IE68" i="38"/>
  <c r="IE57" i="38"/>
  <c r="IE44" i="38"/>
  <c r="IE61" i="38"/>
  <c r="IE55" i="38"/>
  <c r="IE54" i="38"/>
  <c r="IE53" i="38"/>
  <c r="IE72" i="38"/>
  <c r="IE74" i="38"/>
  <c r="IE62" i="38"/>
  <c r="IE49" i="38"/>
  <c r="IE29" i="38"/>
  <c r="IE59" i="38"/>
  <c r="IE42" i="38"/>
  <c r="IE25" i="38"/>
  <c r="IE65" i="38"/>
  <c r="IE38" i="38"/>
  <c r="IE21" i="38"/>
  <c r="IE45" i="38"/>
  <c r="IE39" i="38"/>
  <c r="IE30" i="38"/>
  <c r="IE36" i="38"/>
  <c r="IE69" i="38"/>
  <c r="IE73" i="38"/>
  <c r="IE75" i="38"/>
  <c r="IE56" i="38"/>
  <c r="IE41" i="38"/>
  <c r="IE28" i="38"/>
  <c r="IE52" i="38"/>
  <c r="IE37" i="38"/>
  <c r="IE24" i="38"/>
  <c r="IE48" i="38"/>
  <c r="IE43" i="38"/>
  <c r="IE20" i="38"/>
  <c r="IE32" i="38"/>
  <c r="IE6" i="38"/>
  <c r="IE31" i="38"/>
  <c r="IE70" i="38"/>
  <c r="IE51" i="38"/>
  <c r="IE34" i="38"/>
  <c r="IE40" i="38"/>
  <c r="IE81" i="38"/>
  <c r="IE35" i="38"/>
  <c r="IF18" i="38"/>
  <c r="IE64" i="38"/>
  <c r="IE79" i="38"/>
  <c r="IE80" i="38"/>
  <c r="IE27" i="38"/>
  <c r="IE58" i="38"/>
  <c r="IE67" i="38"/>
  <c r="IE76" i="38"/>
  <c r="IE83" i="38"/>
  <c r="IE60" i="38"/>
  <c r="IE47" i="38"/>
  <c r="IE33" i="38"/>
  <c r="IE66" i="38"/>
  <c r="IE71" i="38"/>
  <c r="IE77" i="38"/>
  <c r="IE78" i="38"/>
  <c r="IE82" i="38"/>
  <c r="CW88" i="38" l="1"/>
  <c r="DB88" i="38" s="1"/>
  <c r="CY88" i="38"/>
  <c r="DD88" i="38" s="1"/>
  <c r="R87" i="38"/>
  <c r="O88" i="38"/>
  <c r="I88" i="38"/>
  <c r="AG106" i="4"/>
  <c r="AI105" i="4"/>
  <c r="AH106" i="4"/>
  <c r="AJ105" i="4"/>
  <c r="I88" i="46"/>
  <c r="J88" i="46" s="1"/>
  <c r="W75" i="38"/>
  <c r="BU75" i="38"/>
  <c r="BV75" i="38" s="1"/>
  <c r="U76" i="41"/>
  <c r="T76" i="38"/>
  <c r="T74" i="45"/>
  <c r="V74" i="41"/>
  <c r="W74" i="41"/>
  <c r="T74" i="46"/>
  <c r="W74" i="46" s="1"/>
  <c r="L85" i="41"/>
  <c r="H85" i="41"/>
  <c r="IG87" i="45"/>
  <c r="IF87" i="45"/>
  <c r="IH87" i="45"/>
  <c r="P87" i="45"/>
  <c r="Q87" i="45" s="1"/>
  <c r="R88" i="45" s="1"/>
  <c r="D87" i="41"/>
  <c r="S87" i="45"/>
  <c r="EY88" i="38"/>
  <c r="L88" i="38"/>
  <c r="FD88" i="38"/>
  <c r="FN88" i="38"/>
  <c r="CW88" i="41" s="1"/>
  <c r="K88" i="38"/>
  <c r="BQ88" i="38"/>
  <c r="M88" i="38"/>
  <c r="FK88" i="46"/>
  <c r="M88" i="46"/>
  <c r="L88" i="46"/>
  <c r="K88" i="46"/>
  <c r="II87" i="45"/>
  <c r="BS87" i="38"/>
  <c r="AI87" i="38"/>
  <c r="P87" i="38"/>
  <c r="Q87" i="38" s="1"/>
  <c r="CO87" i="38"/>
  <c r="BV87" i="41" s="1"/>
  <c r="S87" i="38"/>
  <c r="C87" i="41"/>
  <c r="CI87" i="38"/>
  <c r="BQ87" i="41" s="1"/>
  <c r="CI86" i="38"/>
  <c r="BQ86" i="41" s="1"/>
  <c r="CO86" i="38"/>
  <c r="BV86" i="41" s="1"/>
  <c r="M85" i="41"/>
  <c r="AB86" i="41"/>
  <c r="AF86" i="41" s="1"/>
  <c r="I85" i="41"/>
  <c r="FG87" i="38"/>
  <c r="FH87" i="38"/>
  <c r="FI87" i="38"/>
  <c r="FK88" i="45"/>
  <c r="IJ88" i="45" s="1"/>
  <c r="M88" i="45"/>
  <c r="K88" i="45"/>
  <c r="L88" i="45"/>
  <c r="A89" i="38"/>
  <c r="CV89" i="38" s="1"/>
  <c r="A89" i="4"/>
  <c r="A89" i="46"/>
  <c r="O89" i="46" s="1"/>
  <c r="A90" i="55"/>
  <c r="A89" i="45"/>
  <c r="O89" i="45" s="1"/>
  <c r="A89" i="7"/>
  <c r="A89" i="41"/>
  <c r="A89" i="6"/>
  <c r="P87" i="46"/>
  <c r="Q87" i="46" s="1"/>
  <c r="R88" i="46" s="1"/>
  <c r="E87" i="41"/>
  <c r="S87" i="46"/>
  <c r="AI87" i="46"/>
  <c r="Z86" i="41"/>
  <c r="AD86" i="41" s="1"/>
  <c r="G85" i="41"/>
  <c r="K85" i="41"/>
  <c r="IF55" i="38"/>
  <c r="IF45" i="38"/>
  <c r="IF42" i="38"/>
  <c r="IF51" i="38"/>
  <c r="IF52" i="38"/>
  <c r="IF43" i="38"/>
  <c r="IF6" i="38"/>
  <c r="IF66" i="38"/>
  <c r="IF47" i="38"/>
  <c r="IF49" i="38"/>
  <c r="IF34" i="38"/>
  <c r="IF32" i="38"/>
  <c r="IF30" i="38"/>
  <c r="IF21" i="38"/>
  <c r="IF62" i="38"/>
  <c r="IF71" i="38"/>
  <c r="IF69" i="38"/>
  <c r="IF35" i="38"/>
  <c r="IF54" i="38"/>
  <c r="IF40" i="38"/>
  <c r="IF26" i="38"/>
  <c r="IF65" i="38"/>
  <c r="IF50" i="38"/>
  <c r="IF23" i="38"/>
  <c r="IF46" i="38"/>
  <c r="IF22" i="38"/>
  <c r="IF36" i="38"/>
  <c r="IF72" i="38"/>
  <c r="IF74" i="38"/>
  <c r="IF68" i="38"/>
  <c r="IF53" i="38"/>
  <c r="IF44" i="38"/>
  <c r="IF31" i="38"/>
  <c r="IF60" i="38"/>
  <c r="IF38" i="38"/>
  <c r="IF24" i="38"/>
  <c r="IF59" i="38"/>
  <c r="IF48" i="38"/>
  <c r="IF25" i="38"/>
  <c r="IF39" i="38"/>
  <c r="IF63" i="38"/>
  <c r="IF33" i="38"/>
  <c r="IF37" i="38"/>
  <c r="IF61" i="38"/>
  <c r="IF56" i="38"/>
  <c r="IF29" i="38"/>
  <c r="IF58" i="38"/>
  <c r="IF20" i="38"/>
  <c r="IF77" i="38"/>
  <c r="IF78" i="38"/>
  <c r="IF82" i="38"/>
  <c r="IF84" i="38"/>
  <c r="IF27" i="38"/>
  <c r="IF41" i="38"/>
  <c r="IF70" i="38"/>
  <c r="IF81" i="38"/>
  <c r="IG18" i="38"/>
  <c r="IF67" i="38"/>
  <c r="IF28" i="38"/>
  <c r="IF73" i="38"/>
  <c r="IF75" i="38"/>
  <c r="IF79" i="38"/>
  <c r="IF80" i="38"/>
  <c r="IF64" i="38"/>
  <c r="IF57" i="38"/>
  <c r="IF76" i="38"/>
  <c r="IF83" i="38"/>
  <c r="IE64" i="46"/>
  <c r="IE41" i="46"/>
  <c r="IE43" i="46"/>
  <c r="IE53" i="46"/>
  <c r="IE42" i="46"/>
  <c r="IE36" i="46"/>
  <c r="IE70" i="46"/>
  <c r="IE56" i="46"/>
  <c r="IE22" i="46"/>
  <c r="IE6" i="46"/>
  <c r="IE52" i="46"/>
  <c r="IE63" i="46"/>
  <c r="IE49" i="46"/>
  <c r="IE28" i="46"/>
  <c r="IE73" i="46"/>
  <c r="IE59" i="46"/>
  <c r="IE25" i="46"/>
  <c r="IE27" i="46"/>
  <c r="IE60" i="46"/>
  <c r="IE26" i="46"/>
  <c r="IE20" i="46"/>
  <c r="IE54" i="46"/>
  <c r="IE67" i="46"/>
  <c r="IE33" i="46"/>
  <c r="IE35" i="46"/>
  <c r="IE45" i="46"/>
  <c r="IE29" i="46"/>
  <c r="IE44" i="46"/>
  <c r="IE62" i="46"/>
  <c r="IE46" i="46"/>
  <c r="IE40" i="46"/>
  <c r="IE58" i="46"/>
  <c r="IE71" i="46"/>
  <c r="IE37" i="46"/>
  <c r="IE39" i="46"/>
  <c r="IE65" i="46"/>
  <c r="IE51" i="46"/>
  <c r="IE48" i="46"/>
  <c r="IF18" i="46"/>
  <c r="IE47" i="46"/>
  <c r="IE31" i="46"/>
  <c r="IE68" i="46"/>
  <c r="IE69" i="46"/>
  <c r="IE72" i="46"/>
  <c r="IE50" i="46"/>
  <c r="IE75" i="46"/>
  <c r="IE78" i="46"/>
  <c r="IE57" i="46"/>
  <c r="IE55" i="46"/>
  <c r="IE38" i="46"/>
  <c r="IE61" i="46"/>
  <c r="IE76" i="46"/>
  <c r="IE77" i="46"/>
  <c r="IE80" i="46"/>
  <c r="IE83" i="46"/>
  <c r="IE84" i="46"/>
  <c r="IE85" i="46"/>
  <c r="IE30" i="46"/>
  <c r="IE21" i="46"/>
  <c r="IE32" i="46"/>
  <c r="IE34" i="46"/>
  <c r="IE79" i="46"/>
  <c r="IE81" i="46"/>
  <c r="IE82" i="46"/>
  <c r="IE24" i="46"/>
  <c r="IE23" i="46"/>
  <c r="IE66" i="46"/>
  <c r="IE74" i="46"/>
  <c r="IE86" i="46"/>
  <c r="IJ62" i="45"/>
  <c r="IJ50" i="45"/>
  <c r="IJ26" i="45"/>
  <c r="IJ76" i="45"/>
  <c r="IJ69" i="45"/>
  <c r="IJ46" i="45"/>
  <c r="IJ22" i="45"/>
  <c r="IJ77" i="45"/>
  <c r="IJ65" i="45"/>
  <c r="IJ42" i="45"/>
  <c r="IJ29" i="45"/>
  <c r="IJ78" i="45"/>
  <c r="IJ52" i="45"/>
  <c r="IJ37" i="45"/>
  <c r="IJ24" i="45"/>
  <c r="IJ82" i="45"/>
  <c r="IJ83" i="45"/>
  <c r="IJ86" i="45"/>
  <c r="IJ75" i="45"/>
  <c r="IJ57" i="45"/>
  <c r="IJ49" i="45"/>
  <c r="IJ21" i="45"/>
  <c r="IJ71" i="45"/>
  <c r="IJ53" i="45"/>
  <c r="IJ45" i="45"/>
  <c r="IJ32" i="45"/>
  <c r="IJ72" i="45"/>
  <c r="IJ56" i="45"/>
  <c r="IJ41" i="45"/>
  <c r="IJ28" i="45"/>
  <c r="IJ73" i="45"/>
  <c r="IJ55" i="45"/>
  <c r="IJ36" i="45"/>
  <c r="IJ27" i="45"/>
  <c r="IJ81" i="45"/>
  <c r="IJ84" i="45"/>
  <c r="IJ74" i="45"/>
  <c r="IJ48" i="45"/>
  <c r="IJ33" i="45"/>
  <c r="IJ20" i="45"/>
  <c r="IJ68" i="45"/>
  <c r="IJ60" i="45"/>
  <c r="IJ44" i="45"/>
  <c r="IJ34" i="45"/>
  <c r="IJ64" i="45"/>
  <c r="IJ59" i="45"/>
  <c r="IJ40" i="45"/>
  <c r="IJ31" i="45"/>
  <c r="IJ66" i="45"/>
  <c r="IJ54" i="45"/>
  <c r="IJ30" i="45"/>
  <c r="IJ67" i="45"/>
  <c r="IJ51" i="45"/>
  <c r="IJ43" i="45"/>
  <c r="IJ23" i="45"/>
  <c r="IJ63" i="45"/>
  <c r="IJ47" i="45"/>
  <c r="IJ39" i="45"/>
  <c r="IK18" i="45"/>
  <c r="IJ70" i="45"/>
  <c r="IJ58" i="45"/>
  <c r="IJ35" i="45"/>
  <c r="IJ6" i="45"/>
  <c r="IJ61" i="45"/>
  <c r="IJ38" i="45"/>
  <c r="IJ25" i="45"/>
  <c r="IJ79" i="45"/>
  <c r="IJ80" i="45"/>
  <c r="IJ85" i="45"/>
  <c r="IJ87" i="45"/>
  <c r="CW89" i="38" l="1"/>
  <c r="DB89" i="38" s="1"/>
  <c r="CY89" i="38"/>
  <c r="DD89" i="38" s="1"/>
  <c r="R88" i="38"/>
  <c r="I89" i="38"/>
  <c r="O89" i="38"/>
  <c r="J88" i="38"/>
  <c r="CO88" i="38" s="1"/>
  <c r="BV88" i="41" s="1"/>
  <c r="AH107" i="4"/>
  <c r="AJ106" i="4"/>
  <c r="AG107" i="4"/>
  <c r="AI106" i="4"/>
  <c r="I89" i="46"/>
  <c r="I89" i="45"/>
  <c r="W76" i="38"/>
  <c r="BU76" i="38"/>
  <c r="BV76" i="38" s="1"/>
  <c r="T77" i="38"/>
  <c r="U77" i="41"/>
  <c r="T75" i="46"/>
  <c r="W75" i="46" s="1"/>
  <c r="W75" i="41"/>
  <c r="T75" i="45"/>
  <c r="V75" i="41"/>
  <c r="A90" i="41"/>
  <c r="A90" i="46"/>
  <c r="O90" i="46" s="1"/>
  <c r="A90" i="38"/>
  <c r="CV90" i="38" s="1"/>
  <c r="A90" i="7"/>
  <c r="A90" i="4"/>
  <c r="A91" i="55"/>
  <c r="A90" i="45"/>
  <c r="O90" i="45" s="1"/>
  <c r="A90" i="6"/>
  <c r="D88" i="41"/>
  <c r="S88" i="45"/>
  <c r="P88" i="45"/>
  <c r="Q88" i="45" s="1"/>
  <c r="R89" i="45" s="1"/>
  <c r="FI88" i="38"/>
  <c r="FH88" i="38"/>
  <c r="FG88" i="38"/>
  <c r="K89" i="46"/>
  <c r="L89" i="46"/>
  <c r="J89" i="46"/>
  <c r="FK89" i="46"/>
  <c r="M89" i="46"/>
  <c r="L86" i="41"/>
  <c r="H86" i="41"/>
  <c r="AB87" i="41"/>
  <c r="AF87" i="41" s="1"/>
  <c r="I86" i="41"/>
  <c r="M86" i="41"/>
  <c r="S88" i="46"/>
  <c r="P88" i="46"/>
  <c r="Q88" i="46" s="1"/>
  <c r="R89" i="46" s="1"/>
  <c r="E88" i="41"/>
  <c r="AI88" i="46"/>
  <c r="L89" i="45"/>
  <c r="K89" i="45"/>
  <c r="FK89" i="45"/>
  <c r="IK89" i="45" s="1"/>
  <c r="M89" i="45"/>
  <c r="FN89" i="38"/>
  <c r="CW89" i="41" s="1"/>
  <c r="M89" i="38"/>
  <c r="FD89" i="38"/>
  <c r="BQ89" i="38"/>
  <c r="L89" i="38"/>
  <c r="K89" i="38"/>
  <c r="EY89" i="38"/>
  <c r="II88" i="45"/>
  <c r="IG88" i="45"/>
  <c r="IH88" i="45"/>
  <c r="K86" i="41"/>
  <c r="Z87" i="41"/>
  <c r="AD87" i="41" s="1"/>
  <c r="G86" i="41"/>
  <c r="AI88" i="38"/>
  <c r="S88" i="38"/>
  <c r="P88" i="38"/>
  <c r="Q88" i="38" s="1"/>
  <c r="R89" i="38" s="1"/>
  <c r="C88" i="41"/>
  <c r="BS88" i="38"/>
  <c r="IK61" i="45"/>
  <c r="IK49" i="45"/>
  <c r="IK25" i="45"/>
  <c r="IK63" i="45"/>
  <c r="IK51" i="45"/>
  <c r="IK35" i="45"/>
  <c r="IK23" i="45"/>
  <c r="IK78" i="45"/>
  <c r="IK68" i="45"/>
  <c r="IK41" i="45"/>
  <c r="IK33" i="45"/>
  <c r="IK79" i="45"/>
  <c r="IK65" i="45"/>
  <c r="IK53" i="45"/>
  <c r="IK29" i="45"/>
  <c r="IK80" i="45"/>
  <c r="IK85" i="45"/>
  <c r="IK87" i="45"/>
  <c r="IK75" i="45"/>
  <c r="IK60" i="45"/>
  <c r="IK44" i="45"/>
  <c r="IK28" i="45"/>
  <c r="IK62" i="45"/>
  <c r="IK50" i="45"/>
  <c r="IK38" i="45"/>
  <c r="IK26" i="45"/>
  <c r="IK77" i="45"/>
  <c r="IK52" i="45"/>
  <c r="IK36" i="45"/>
  <c r="IK20" i="45"/>
  <c r="IK74" i="45"/>
  <c r="IK64" i="45"/>
  <c r="IK37" i="45"/>
  <c r="IK32" i="45"/>
  <c r="IK82" i="45"/>
  <c r="IK83" i="45"/>
  <c r="IK86" i="45"/>
  <c r="IK67" i="45"/>
  <c r="IK55" i="45"/>
  <c r="IK39" i="45"/>
  <c r="IK27" i="45"/>
  <c r="IK72" i="45"/>
  <c r="IK45" i="45"/>
  <c r="IK21" i="45"/>
  <c r="IK6" i="45"/>
  <c r="IK71" i="45"/>
  <c r="IK47" i="45"/>
  <c r="IK48" i="45"/>
  <c r="IL18" i="45"/>
  <c r="IK73" i="45"/>
  <c r="IK59" i="45"/>
  <c r="IK43" i="45"/>
  <c r="IK31" i="45"/>
  <c r="IK81" i="45"/>
  <c r="IK84" i="45"/>
  <c r="IK66" i="45"/>
  <c r="IK54" i="45"/>
  <c r="IK42" i="45"/>
  <c r="IK30" i="45"/>
  <c r="IK56" i="45"/>
  <c r="IK40" i="45"/>
  <c r="IK24" i="45"/>
  <c r="IK76" i="45"/>
  <c r="IK69" i="45"/>
  <c r="IK57" i="45"/>
  <c r="IK34" i="45"/>
  <c r="IK22" i="45"/>
  <c r="IK70" i="45"/>
  <c r="IK58" i="45"/>
  <c r="IK46" i="45"/>
  <c r="IK88" i="45"/>
  <c r="IG46" i="38"/>
  <c r="IG45" i="38"/>
  <c r="IG35" i="38"/>
  <c r="IG60" i="38"/>
  <c r="IG51" i="38"/>
  <c r="IG31" i="38"/>
  <c r="IG66" i="38"/>
  <c r="IG52" i="38"/>
  <c r="IG24" i="38"/>
  <c r="IG6" i="38"/>
  <c r="IG34" i="38"/>
  <c r="IG67" i="38"/>
  <c r="IG39" i="38"/>
  <c r="IG69" i="38"/>
  <c r="IG49" i="38"/>
  <c r="IG32" i="38"/>
  <c r="IG29" i="38"/>
  <c r="IG58" i="38"/>
  <c r="IG36" i="38"/>
  <c r="IG30" i="38"/>
  <c r="IG61" i="38"/>
  <c r="IG47" i="38"/>
  <c r="IG27" i="38"/>
  <c r="IG62" i="38"/>
  <c r="IG68" i="38"/>
  <c r="IG44" i="38"/>
  <c r="IG22" i="38"/>
  <c r="IG71" i="38"/>
  <c r="IG76" i="38"/>
  <c r="IG64" i="38"/>
  <c r="IG55" i="38"/>
  <c r="IG42" i="38"/>
  <c r="IG70" i="38"/>
  <c r="IG59" i="38"/>
  <c r="IG41" i="38"/>
  <c r="IG25" i="38"/>
  <c r="IG54" i="38"/>
  <c r="IG43" i="38"/>
  <c r="IG26" i="38"/>
  <c r="IG53" i="38"/>
  <c r="IG48" i="38"/>
  <c r="IG23" i="38"/>
  <c r="IG40" i="38"/>
  <c r="IG28" i="38"/>
  <c r="IG38" i="38"/>
  <c r="IG79" i="38"/>
  <c r="IH18" i="38"/>
  <c r="IG21" i="38"/>
  <c r="IG33" i="38"/>
  <c r="IG74" i="38"/>
  <c r="IG77" i="38"/>
  <c r="IG83" i="38"/>
  <c r="IG65" i="38"/>
  <c r="IG57" i="38"/>
  <c r="IG20" i="38"/>
  <c r="IG72" i="38"/>
  <c r="IG78" i="38"/>
  <c r="IG82" i="38"/>
  <c r="IG84" i="38"/>
  <c r="IG85" i="38"/>
  <c r="IG63" i="38"/>
  <c r="IG56" i="38"/>
  <c r="IG37" i="38"/>
  <c r="IG50" i="38"/>
  <c r="IG73" i="38"/>
  <c r="IG75" i="38"/>
  <c r="IG80" i="38"/>
  <c r="IG81" i="38"/>
  <c r="IF68" i="46"/>
  <c r="IF58" i="46"/>
  <c r="IF20" i="46"/>
  <c r="IF64" i="46"/>
  <c r="IF33" i="46"/>
  <c r="IF69" i="46"/>
  <c r="IF55" i="46"/>
  <c r="IF44" i="46"/>
  <c r="IF51" i="46"/>
  <c r="IF38" i="46"/>
  <c r="IF24" i="46"/>
  <c r="IF56" i="46"/>
  <c r="IF46" i="46"/>
  <c r="IF35" i="46"/>
  <c r="IF76" i="46"/>
  <c r="IF77" i="46"/>
  <c r="IF52" i="46"/>
  <c r="IF37" i="46"/>
  <c r="IF39" i="46"/>
  <c r="IF59" i="46"/>
  <c r="IF48" i="46"/>
  <c r="IF53" i="46"/>
  <c r="IF66" i="46"/>
  <c r="IF28" i="46"/>
  <c r="IF40" i="46"/>
  <c r="IF22" i="46"/>
  <c r="IF27" i="46"/>
  <c r="IF41" i="46"/>
  <c r="IF30" i="46"/>
  <c r="IG18" i="46"/>
  <c r="IF21" i="46"/>
  <c r="IF70" i="46"/>
  <c r="IF60" i="46"/>
  <c r="IF47" i="46"/>
  <c r="IF72" i="46"/>
  <c r="IF43" i="46"/>
  <c r="IF42" i="46"/>
  <c r="IF86" i="46"/>
  <c r="IF87" i="46"/>
  <c r="IF61" i="46"/>
  <c r="IF36" i="46"/>
  <c r="IF54" i="46"/>
  <c r="IF71" i="46"/>
  <c r="IF65" i="46"/>
  <c r="IF62" i="46"/>
  <c r="IF23" i="46"/>
  <c r="IF26" i="46"/>
  <c r="IF75" i="46"/>
  <c r="IF78" i="46"/>
  <c r="IF63" i="46"/>
  <c r="IF73" i="46"/>
  <c r="IF32" i="46"/>
  <c r="IF45" i="46"/>
  <c r="IF31" i="46"/>
  <c r="IF49" i="46"/>
  <c r="IF67" i="46"/>
  <c r="IF80" i="46"/>
  <c r="IF83" i="46"/>
  <c r="IF84" i="46"/>
  <c r="IF85" i="46"/>
  <c r="IF74" i="46"/>
  <c r="IF57" i="46"/>
  <c r="IF6" i="46"/>
  <c r="IF29" i="46"/>
  <c r="IF50" i="46"/>
  <c r="IF34" i="46"/>
  <c r="IF25" i="46"/>
  <c r="IF79" i="46"/>
  <c r="IF81" i="46"/>
  <c r="IF82" i="46"/>
  <c r="CI88" i="38" l="1"/>
  <c r="BQ88" i="41" s="1"/>
  <c r="CY90" i="38"/>
  <c r="DD90" i="38" s="1"/>
  <c r="CW90" i="38"/>
  <c r="DB90" i="38" s="1"/>
  <c r="O90" i="38"/>
  <c r="I90" i="38"/>
  <c r="J90" i="38" s="1"/>
  <c r="AG108" i="4"/>
  <c r="AI107" i="4"/>
  <c r="AH108" i="4"/>
  <c r="AJ107" i="4"/>
  <c r="I90" i="45"/>
  <c r="I90" i="46"/>
  <c r="I91" i="46" s="1"/>
  <c r="W77" i="38"/>
  <c r="BU77" i="38"/>
  <c r="T78" i="38"/>
  <c r="U78" i="41"/>
  <c r="T76" i="45"/>
  <c r="V76" i="41"/>
  <c r="W76" i="41"/>
  <c r="T76" i="46"/>
  <c r="W76" i="46" s="1"/>
  <c r="FG89" i="38"/>
  <c r="FI89" i="38"/>
  <c r="FH89" i="38"/>
  <c r="G87" i="41"/>
  <c r="K87" i="41"/>
  <c r="Z88" i="41"/>
  <c r="AD88" i="41" s="1"/>
  <c r="J89" i="38"/>
  <c r="CI89" i="38" s="1"/>
  <c r="BQ89" i="41" s="1"/>
  <c r="BS89" i="38"/>
  <c r="P89" i="46"/>
  <c r="Q89" i="46" s="1"/>
  <c r="R90" i="46" s="1"/>
  <c r="S89" i="46"/>
  <c r="E89" i="41"/>
  <c r="AI89" i="46"/>
  <c r="L90" i="45"/>
  <c r="M90" i="45"/>
  <c r="K90" i="45"/>
  <c r="FK90" i="45"/>
  <c r="IL90" i="45" s="1"/>
  <c r="BQ90" i="38"/>
  <c r="L90" i="38"/>
  <c r="EY90" i="38"/>
  <c r="K90" i="38"/>
  <c r="FD90" i="38"/>
  <c r="FN90" i="38"/>
  <c r="CW90" i="41" s="1"/>
  <c r="M90" i="38"/>
  <c r="IJ89" i="45"/>
  <c r="II89" i="45"/>
  <c r="IH89" i="45"/>
  <c r="D89" i="41"/>
  <c r="S89" i="45"/>
  <c r="P89" i="45"/>
  <c r="Q89" i="45" s="1"/>
  <c r="R90" i="45" s="1"/>
  <c r="M87" i="41"/>
  <c r="I87" i="41"/>
  <c r="AB88" i="41"/>
  <c r="AF88" i="41" s="1"/>
  <c r="A91" i="7"/>
  <c r="A91" i="6"/>
  <c r="A91" i="45"/>
  <c r="O91" i="45" s="1"/>
  <c r="A91" i="4"/>
  <c r="A92" i="55"/>
  <c r="A91" i="46"/>
  <c r="O91" i="46" s="1"/>
  <c r="A91" i="41"/>
  <c r="A91" i="38"/>
  <c r="CV91" i="38" s="1"/>
  <c r="K90" i="46"/>
  <c r="FK90" i="46"/>
  <c r="L90" i="46"/>
  <c r="M90" i="46"/>
  <c r="C89" i="41"/>
  <c r="S89" i="38"/>
  <c r="AI89" i="38"/>
  <c r="P89" i="38"/>
  <c r="Q89" i="38" s="1"/>
  <c r="L87" i="41"/>
  <c r="H87" i="41"/>
  <c r="IH61" i="38"/>
  <c r="IH58" i="38"/>
  <c r="IH26" i="38"/>
  <c r="IH68" i="38"/>
  <c r="IH55" i="38"/>
  <c r="II18" i="38"/>
  <c r="IH6" i="38"/>
  <c r="IH59" i="38"/>
  <c r="IH38" i="38"/>
  <c r="IH29" i="38"/>
  <c r="IH43" i="38"/>
  <c r="IH25" i="38"/>
  <c r="IH32" i="38"/>
  <c r="IH20" i="38"/>
  <c r="IH73" i="38"/>
  <c r="IH74" i="38"/>
  <c r="IH75" i="38"/>
  <c r="IH66" i="38"/>
  <c r="IH39" i="38"/>
  <c r="IH34" i="38"/>
  <c r="IH67" i="38"/>
  <c r="IH54" i="38"/>
  <c r="IH22" i="38"/>
  <c r="IH69" i="38"/>
  <c r="IH56" i="38"/>
  <c r="IH31" i="38"/>
  <c r="IH37" i="38"/>
  <c r="IH35" i="38"/>
  <c r="IH65" i="38"/>
  <c r="IH60" i="38"/>
  <c r="IH53" i="38"/>
  <c r="IH40" i="38"/>
  <c r="IH21" i="38"/>
  <c r="IH62" i="38"/>
  <c r="IH42" i="38"/>
  <c r="IH33" i="38"/>
  <c r="IH64" i="38"/>
  <c r="IH51" i="38"/>
  <c r="IH41" i="38"/>
  <c r="IH28" i="38"/>
  <c r="IH57" i="38"/>
  <c r="IH52" i="38"/>
  <c r="IH47" i="38"/>
  <c r="IH71" i="38"/>
  <c r="IH24" i="38"/>
  <c r="IH63" i="38"/>
  <c r="IH44" i="38"/>
  <c r="IH76" i="38"/>
  <c r="IH80" i="38"/>
  <c r="IH81" i="38"/>
  <c r="IH49" i="38"/>
  <c r="IH50" i="38"/>
  <c r="IH27" i="38"/>
  <c r="IH79" i="38"/>
  <c r="IH48" i="38"/>
  <c r="IH36" i="38"/>
  <c r="IH46" i="38"/>
  <c r="IH30" i="38"/>
  <c r="IH77" i="38"/>
  <c r="IH83" i="38"/>
  <c r="IH23" i="38"/>
  <c r="IH45" i="38"/>
  <c r="IH70" i="38"/>
  <c r="IH72" i="38"/>
  <c r="IH78" i="38"/>
  <c r="IH82" i="38"/>
  <c r="IH84" i="38"/>
  <c r="IH85" i="38"/>
  <c r="IH86" i="38"/>
  <c r="IL65" i="45"/>
  <c r="IL49" i="45"/>
  <c r="IL45" i="45"/>
  <c r="IL79" i="45"/>
  <c r="IL55" i="45"/>
  <c r="IL39" i="45"/>
  <c r="IL27" i="45"/>
  <c r="IL66" i="45"/>
  <c r="IL57" i="45"/>
  <c r="IL38" i="45"/>
  <c r="IL26" i="45"/>
  <c r="IL77" i="45"/>
  <c r="IL63" i="45"/>
  <c r="IL36" i="45"/>
  <c r="IL20" i="45"/>
  <c r="IL88" i="45"/>
  <c r="IL74" i="45"/>
  <c r="IL64" i="45"/>
  <c r="IL48" i="45"/>
  <c r="IL32" i="45"/>
  <c r="IL70" i="45"/>
  <c r="IL50" i="45"/>
  <c r="IL42" i="45"/>
  <c r="IL30" i="45"/>
  <c r="IL75" i="45"/>
  <c r="IL56" i="45"/>
  <c r="IL37" i="45"/>
  <c r="IL21" i="45"/>
  <c r="IL72" i="45"/>
  <c r="IL58" i="45"/>
  <c r="IL47" i="45"/>
  <c r="IM18" i="45"/>
  <c r="IL80" i="45"/>
  <c r="IL85" i="45"/>
  <c r="IL87" i="45"/>
  <c r="IL89" i="45"/>
  <c r="IL73" i="45"/>
  <c r="IL59" i="45"/>
  <c r="IL43" i="45"/>
  <c r="IL31" i="45"/>
  <c r="IL61" i="45"/>
  <c r="IL62" i="45"/>
  <c r="IL41" i="45"/>
  <c r="IL25" i="45"/>
  <c r="IL67" i="45"/>
  <c r="IL40" i="45"/>
  <c r="IL24" i="45"/>
  <c r="IL6" i="45"/>
  <c r="IL69" i="45"/>
  <c r="IL53" i="45"/>
  <c r="IL34" i="45"/>
  <c r="IL22" i="45"/>
  <c r="IL82" i="45"/>
  <c r="IL83" i="45"/>
  <c r="IL86" i="45"/>
  <c r="IL71" i="45"/>
  <c r="IL54" i="45"/>
  <c r="IL46" i="45"/>
  <c r="IL29" i="45"/>
  <c r="IL60" i="45"/>
  <c r="IL44" i="45"/>
  <c r="IL28" i="45"/>
  <c r="IL76" i="45"/>
  <c r="IL51" i="45"/>
  <c r="IL35" i="45"/>
  <c r="IL23" i="45"/>
  <c r="IL78" i="45"/>
  <c r="IL68" i="45"/>
  <c r="IL52" i="45"/>
  <c r="IL33" i="45"/>
  <c r="IL81" i="45"/>
  <c r="IL84" i="45"/>
  <c r="IG51" i="46"/>
  <c r="IG40" i="46"/>
  <c r="IG46" i="46"/>
  <c r="IG68" i="46"/>
  <c r="IG58" i="46"/>
  <c r="IG20" i="46"/>
  <c r="IG26" i="46"/>
  <c r="IG59" i="46"/>
  <c r="IG48" i="46"/>
  <c r="IH18" i="46"/>
  <c r="IG60" i="46"/>
  <c r="IG50" i="46"/>
  <c r="IG47" i="46"/>
  <c r="IG45" i="46"/>
  <c r="IG75" i="46"/>
  <c r="IG72" i="46"/>
  <c r="IG62" i="46"/>
  <c r="IG24" i="46"/>
  <c r="IG30" i="46"/>
  <c r="IG52" i="46"/>
  <c r="IG69" i="46"/>
  <c r="IG39" i="46"/>
  <c r="IG37" i="46"/>
  <c r="IG70" i="46"/>
  <c r="IG32" i="46"/>
  <c r="IG38" i="46"/>
  <c r="IG71" i="46"/>
  <c r="IG61" i="46"/>
  <c r="IG31" i="46"/>
  <c r="IG29" i="46"/>
  <c r="IG76" i="46"/>
  <c r="IG77" i="46"/>
  <c r="IG73" i="46"/>
  <c r="IG41" i="46"/>
  <c r="IG53" i="46"/>
  <c r="IG21" i="46"/>
  <c r="IG6" i="46"/>
  <c r="IG55" i="46"/>
  <c r="IG49" i="46"/>
  <c r="IG79" i="46"/>
  <c r="IG81" i="46"/>
  <c r="IG82" i="46"/>
  <c r="IG88" i="46"/>
  <c r="IG57" i="46"/>
  <c r="IG25" i="46"/>
  <c r="IG36" i="46"/>
  <c r="IG64" i="46"/>
  <c r="IG35" i="46"/>
  <c r="IG66" i="46"/>
  <c r="IG34" i="46"/>
  <c r="IG86" i="46"/>
  <c r="IG87" i="46"/>
  <c r="IG56" i="46"/>
  <c r="IG43" i="46"/>
  <c r="IG63" i="46"/>
  <c r="IG23" i="46"/>
  <c r="IG54" i="46"/>
  <c r="IG22" i="46"/>
  <c r="IG44" i="46"/>
  <c r="IG78" i="46"/>
  <c r="IG67" i="46"/>
  <c r="IG27" i="46"/>
  <c r="IG74" i="46"/>
  <c r="IG42" i="46"/>
  <c r="IG65" i="46"/>
  <c r="IG33" i="46"/>
  <c r="IG28" i="46"/>
  <c r="IG80" i="46"/>
  <c r="IG83" i="46"/>
  <c r="IG84" i="46"/>
  <c r="IG85" i="46"/>
  <c r="R90" i="38" l="1"/>
  <c r="CW91" i="38"/>
  <c r="DB91" i="38" s="1"/>
  <c r="CY91" i="38"/>
  <c r="DD91" i="38" s="1"/>
  <c r="CO90" i="38"/>
  <c r="BV90" i="41" s="1"/>
  <c r="I91" i="38"/>
  <c r="O91" i="38"/>
  <c r="J90" i="46"/>
  <c r="AH109" i="4"/>
  <c r="AJ108" i="4"/>
  <c r="AG109" i="4"/>
  <c r="AI108" i="4"/>
  <c r="I91" i="45"/>
  <c r="I92" i="45" s="1"/>
  <c r="BV77" i="38"/>
  <c r="T79" i="38"/>
  <c r="U79" i="41"/>
  <c r="BU78" i="38"/>
  <c r="BV78" i="38" s="1"/>
  <c r="W78" i="38"/>
  <c r="V77" i="41"/>
  <c r="T77" i="45"/>
  <c r="T77" i="46"/>
  <c r="W77" i="46" s="1"/>
  <c r="W77" i="41"/>
  <c r="BS90" i="38"/>
  <c r="CO89" i="38"/>
  <c r="BV89" i="41" s="1"/>
  <c r="BQ91" i="38"/>
  <c r="M91" i="38"/>
  <c r="EY91" i="38"/>
  <c r="L91" i="38"/>
  <c r="FD91" i="38"/>
  <c r="FN91" i="38"/>
  <c r="CW91" i="41" s="1"/>
  <c r="K91" i="38"/>
  <c r="CI90" i="38"/>
  <c r="BQ90" i="41" s="1"/>
  <c r="P90" i="38"/>
  <c r="Q90" i="38" s="1"/>
  <c r="AI90" i="38"/>
  <c r="S90" i="38"/>
  <c r="C90" i="41"/>
  <c r="FK91" i="45"/>
  <c r="M91" i="45"/>
  <c r="K91" i="45"/>
  <c r="L91" i="45"/>
  <c r="FI90" i="38"/>
  <c r="FG90" i="38"/>
  <c r="FH90" i="38"/>
  <c r="IJ90" i="45"/>
  <c r="IK90" i="45"/>
  <c r="II90" i="45"/>
  <c r="D90" i="41"/>
  <c r="S90" i="45"/>
  <c r="P90" i="45"/>
  <c r="Q90" i="45" s="1"/>
  <c r="R91" i="45" s="1"/>
  <c r="FK91" i="46"/>
  <c r="M91" i="46"/>
  <c r="L91" i="46"/>
  <c r="K91" i="46"/>
  <c r="J91" i="46"/>
  <c r="H88" i="41"/>
  <c r="L88" i="41"/>
  <c r="Z89" i="41"/>
  <c r="AD89" i="41" s="1"/>
  <c r="K88" i="41"/>
  <c r="G88" i="41"/>
  <c r="S90" i="46"/>
  <c r="E90" i="41"/>
  <c r="AI90" i="46"/>
  <c r="P90" i="46"/>
  <c r="Q90" i="46" s="1"/>
  <c r="R91" i="46" s="1"/>
  <c r="A92" i="46"/>
  <c r="O92" i="46" s="1"/>
  <c r="A92" i="6"/>
  <c r="A93" i="55"/>
  <c r="A92" i="4"/>
  <c r="A92" i="38"/>
  <c r="CV92" i="38" s="1"/>
  <c r="A92" i="7"/>
  <c r="A92" i="45"/>
  <c r="O92" i="45" s="1"/>
  <c r="A92" i="41"/>
  <c r="I88" i="41"/>
  <c r="AB89" i="41"/>
  <c r="AF89" i="41" s="1"/>
  <c r="M88" i="41"/>
  <c r="IH55" i="46"/>
  <c r="IH72" i="46"/>
  <c r="IH38" i="46"/>
  <c r="IH36" i="46"/>
  <c r="IH62" i="46"/>
  <c r="IH52" i="46"/>
  <c r="IH50" i="46"/>
  <c r="IH6" i="46"/>
  <c r="IH65" i="46"/>
  <c r="IH31" i="46"/>
  <c r="IH29" i="46"/>
  <c r="IH59" i="46"/>
  <c r="IH76" i="46"/>
  <c r="IH42" i="46"/>
  <c r="IH40" i="46"/>
  <c r="IH66" i="46"/>
  <c r="IH56" i="46"/>
  <c r="IH22" i="46"/>
  <c r="IH20" i="46"/>
  <c r="IH69" i="46"/>
  <c r="IH35" i="46"/>
  <c r="IH33" i="46"/>
  <c r="IH63" i="46"/>
  <c r="IH49" i="46"/>
  <c r="IH46" i="46"/>
  <c r="IH44" i="46"/>
  <c r="IH70" i="46"/>
  <c r="IH60" i="46"/>
  <c r="IH26" i="46"/>
  <c r="IH24" i="46"/>
  <c r="IH39" i="46"/>
  <c r="IH67" i="46"/>
  <c r="II18" i="46"/>
  <c r="IH74" i="46"/>
  <c r="IH30" i="46"/>
  <c r="IH54" i="46"/>
  <c r="IH41" i="46"/>
  <c r="IH80" i="46"/>
  <c r="IH83" i="46"/>
  <c r="IH84" i="46"/>
  <c r="IH85" i="46"/>
  <c r="IH71" i="46"/>
  <c r="IH23" i="46"/>
  <c r="IH51" i="46"/>
  <c r="IH34" i="46"/>
  <c r="IH58" i="46"/>
  <c r="IH45" i="46"/>
  <c r="IH61" i="46"/>
  <c r="IH25" i="46"/>
  <c r="IH79" i="46"/>
  <c r="IH81" i="46"/>
  <c r="IH82" i="46"/>
  <c r="IH88" i="46"/>
  <c r="IH73" i="46"/>
  <c r="IH37" i="46"/>
  <c r="IH53" i="46"/>
  <c r="IH48" i="46"/>
  <c r="IH64" i="46"/>
  <c r="IH28" i="46"/>
  <c r="IH43" i="46"/>
  <c r="IH77" i="46"/>
  <c r="IH86" i="46"/>
  <c r="IH87" i="46"/>
  <c r="IH57" i="46"/>
  <c r="IH21" i="46"/>
  <c r="IH68" i="46"/>
  <c r="IH32" i="46"/>
  <c r="IH47" i="46"/>
  <c r="IH75" i="46"/>
  <c r="IH27" i="46"/>
  <c r="IH78" i="46"/>
  <c r="IH89" i="46"/>
  <c r="II70" i="38"/>
  <c r="II57" i="38"/>
  <c r="II34" i="38"/>
  <c r="II68" i="38"/>
  <c r="II55" i="38"/>
  <c r="II39" i="38"/>
  <c r="II20" i="38"/>
  <c r="II62" i="38"/>
  <c r="II49" i="38"/>
  <c r="II29" i="38"/>
  <c r="II52" i="38"/>
  <c r="II47" i="38"/>
  <c r="II46" i="38"/>
  <c r="II25" i="38"/>
  <c r="II65" i="38"/>
  <c r="II38" i="38"/>
  <c r="II21" i="38"/>
  <c r="II67" i="38"/>
  <c r="II54" i="38"/>
  <c r="II30" i="38"/>
  <c r="II31" i="38"/>
  <c r="II56" i="38"/>
  <c r="II41" i="38"/>
  <c r="II32" i="38"/>
  <c r="II37" i="38"/>
  <c r="II44" i="38"/>
  <c r="II22" i="38"/>
  <c r="II73" i="38"/>
  <c r="II74" i="38"/>
  <c r="II75" i="38"/>
  <c r="II72" i="38"/>
  <c r="II48" i="38"/>
  <c r="II43" i="38"/>
  <c r="II24" i="38"/>
  <c r="II66" i="38"/>
  <c r="II53" i="38"/>
  <c r="II33" i="38"/>
  <c r="II64" i="38"/>
  <c r="II51" i="38"/>
  <c r="II35" i="38"/>
  <c r="II6" i="38"/>
  <c r="II28" i="38"/>
  <c r="II27" i="38"/>
  <c r="II69" i="38"/>
  <c r="IJ18" i="38"/>
  <c r="II63" i="38"/>
  <c r="II60" i="38"/>
  <c r="II78" i="38"/>
  <c r="II82" i="38"/>
  <c r="II84" i="38"/>
  <c r="II85" i="38"/>
  <c r="II86" i="38"/>
  <c r="II71" i="38"/>
  <c r="II61" i="38"/>
  <c r="II50" i="38"/>
  <c r="II59" i="38"/>
  <c r="II76" i="38"/>
  <c r="II80" i="38"/>
  <c r="II81" i="38"/>
  <c r="II58" i="38"/>
  <c r="II45" i="38"/>
  <c r="II26" i="38"/>
  <c r="II42" i="38"/>
  <c r="II79" i="38"/>
  <c r="II87" i="38"/>
  <c r="II36" i="38"/>
  <c r="II40" i="38"/>
  <c r="II23" i="38"/>
  <c r="II77" i="38"/>
  <c r="II83" i="38"/>
  <c r="IM79" i="45"/>
  <c r="IM50" i="45"/>
  <c r="IM42" i="45"/>
  <c r="IM26" i="45"/>
  <c r="IM76" i="45"/>
  <c r="IM62" i="45"/>
  <c r="IM39" i="45"/>
  <c r="IN18" i="45"/>
  <c r="IM72" i="45"/>
  <c r="IM58" i="45"/>
  <c r="IM35" i="45"/>
  <c r="IM29" i="45"/>
  <c r="IM65" i="45"/>
  <c r="IM49" i="45"/>
  <c r="IM45" i="45"/>
  <c r="IM25" i="45"/>
  <c r="IM84" i="45"/>
  <c r="IM74" i="45"/>
  <c r="IM61" i="45"/>
  <c r="IM41" i="45"/>
  <c r="IM21" i="45"/>
  <c r="IM75" i="45"/>
  <c r="IM57" i="45"/>
  <c r="IM38" i="45"/>
  <c r="IM22" i="45"/>
  <c r="IM69" i="45"/>
  <c r="IM53" i="45"/>
  <c r="IM34" i="45"/>
  <c r="IM28" i="45"/>
  <c r="IM60" i="45"/>
  <c r="IM48" i="45"/>
  <c r="IM44" i="45"/>
  <c r="IM24" i="45"/>
  <c r="IM88" i="45"/>
  <c r="IM6" i="45"/>
  <c r="IM67" i="45"/>
  <c r="IM59" i="45"/>
  <c r="IM40" i="45"/>
  <c r="IM20" i="45"/>
  <c r="IM68" i="45"/>
  <c r="IM56" i="45"/>
  <c r="IM37" i="45"/>
  <c r="IM32" i="45"/>
  <c r="IM64" i="45"/>
  <c r="IM52" i="45"/>
  <c r="IM33" i="45"/>
  <c r="IM78" i="45"/>
  <c r="IM70" i="45"/>
  <c r="IM47" i="45"/>
  <c r="IM27" i="45"/>
  <c r="IM85" i="45"/>
  <c r="IM87" i="45"/>
  <c r="IM89" i="45"/>
  <c r="IM80" i="45"/>
  <c r="IM66" i="45"/>
  <c r="IM43" i="45"/>
  <c r="IM23" i="45"/>
  <c r="IM81" i="45"/>
  <c r="IM63" i="45"/>
  <c r="IM55" i="45"/>
  <c r="IM36" i="45"/>
  <c r="IM77" i="45"/>
  <c r="IM71" i="45"/>
  <c r="IM51" i="45"/>
  <c r="IM31" i="45"/>
  <c r="IM73" i="45"/>
  <c r="IM54" i="45"/>
  <c r="IM46" i="45"/>
  <c r="IM30" i="45"/>
  <c r="IM82" i="45"/>
  <c r="IM83" i="45"/>
  <c r="IM86" i="45"/>
  <c r="IM90" i="45"/>
  <c r="CW92" i="38" l="1"/>
  <c r="DB92" i="38" s="1"/>
  <c r="CY92" i="38"/>
  <c r="DD92" i="38" s="1"/>
  <c r="O92" i="38"/>
  <c r="R91" i="38"/>
  <c r="I92" i="38"/>
  <c r="AG110" i="4"/>
  <c r="AI109" i="4"/>
  <c r="AH110" i="4"/>
  <c r="AJ109" i="4"/>
  <c r="I92" i="46"/>
  <c r="J92" i="46" s="1"/>
  <c r="W79" i="38"/>
  <c r="BU79" i="38"/>
  <c r="BV79" i="38" s="1"/>
  <c r="T80" i="38"/>
  <c r="U80" i="41"/>
  <c r="T78" i="46"/>
  <c r="W78" i="46" s="1"/>
  <c r="W78" i="41"/>
  <c r="V78" i="41"/>
  <c r="T78" i="45"/>
  <c r="L89" i="41"/>
  <c r="H89" i="41"/>
  <c r="S91" i="45"/>
  <c r="P91" i="45"/>
  <c r="Q91" i="45" s="1"/>
  <c r="R92" i="45" s="1"/>
  <c r="D91" i="41"/>
  <c r="J91" i="38"/>
  <c r="CI91" i="38" s="1"/>
  <c r="BQ91" i="41" s="1"/>
  <c r="BS91" i="38"/>
  <c r="FK92" i="45"/>
  <c r="M92" i="45"/>
  <c r="K92" i="45"/>
  <c r="L92" i="45"/>
  <c r="A93" i="46"/>
  <c r="O93" i="46" s="1"/>
  <c r="A93" i="7"/>
  <c r="A93" i="38"/>
  <c r="CV93" i="38" s="1"/>
  <c r="A93" i="45"/>
  <c r="O93" i="45" s="1"/>
  <c r="A94" i="55"/>
  <c r="A93" i="4"/>
  <c r="A93" i="41"/>
  <c r="A93" i="6"/>
  <c r="IK91" i="45"/>
  <c r="IJ91" i="45"/>
  <c r="IL91" i="45"/>
  <c r="FH91" i="38"/>
  <c r="FI91" i="38"/>
  <c r="FG91" i="38"/>
  <c r="IM91" i="45"/>
  <c r="BQ92" i="38"/>
  <c r="K92" i="38"/>
  <c r="FD92" i="38"/>
  <c r="EY92" i="38"/>
  <c r="FN92" i="38"/>
  <c r="CW92" i="41" s="1"/>
  <c r="L92" i="38"/>
  <c r="M92" i="38"/>
  <c r="M92" i="46"/>
  <c r="FK92" i="46"/>
  <c r="L92" i="46"/>
  <c r="K92" i="46"/>
  <c r="I89" i="41"/>
  <c r="M89" i="41"/>
  <c r="AB90" i="41"/>
  <c r="AF90" i="41" s="1"/>
  <c r="AI91" i="46"/>
  <c r="E91" i="41"/>
  <c r="P91" i="46"/>
  <c r="Q91" i="46" s="1"/>
  <c r="R92" i="46" s="1"/>
  <c r="S91" i="46"/>
  <c r="Z90" i="41"/>
  <c r="AD90" i="41" s="1"/>
  <c r="G89" i="41"/>
  <c r="K89" i="41"/>
  <c r="S91" i="38"/>
  <c r="AI91" i="38"/>
  <c r="P91" i="38"/>
  <c r="Q91" i="38" s="1"/>
  <c r="C91" i="41"/>
  <c r="II64" i="46"/>
  <c r="II26" i="46"/>
  <c r="II24" i="46"/>
  <c r="II76" i="46"/>
  <c r="II53" i="46"/>
  <c r="II38" i="46"/>
  <c r="II36" i="46"/>
  <c r="II70" i="46"/>
  <c r="II56" i="46"/>
  <c r="II49" i="46"/>
  <c r="II6" i="46"/>
  <c r="II50" i="46"/>
  <c r="II63" i="46"/>
  <c r="II29" i="46"/>
  <c r="II31" i="46"/>
  <c r="II62" i="46"/>
  <c r="II75" i="46"/>
  <c r="II41" i="46"/>
  <c r="II43" i="46"/>
  <c r="II74" i="46"/>
  <c r="II60" i="46"/>
  <c r="II22" i="46"/>
  <c r="II20" i="46"/>
  <c r="II54" i="46"/>
  <c r="II67" i="46"/>
  <c r="II33" i="46"/>
  <c r="II35" i="46"/>
  <c r="II61" i="46"/>
  <c r="II46" i="46"/>
  <c r="II44" i="46"/>
  <c r="II59" i="46"/>
  <c r="II27" i="46"/>
  <c r="II71" i="46"/>
  <c r="II39" i="46"/>
  <c r="II51" i="46"/>
  <c r="IJ18" i="46"/>
  <c r="II30" i="46"/>
  <c r="II78" i="46"/>
  <c r="II89" i="46"/>
  <c r="II42" i="46"/>
  <c r="II77" i="46"/>
  <c r="II55" i="46"/>
  <c r="II23" i="46"/>
  <c r="II34" i="46"/>
  <c r="II66" i="46"/>
  <c r="II45" i="46"/>
  <c r="II80" i="46"/>
  <c r="II83" i="46"/>
  <c r="II84" i="46"/>
  <c r="II85" i="46"/>
  <c r="II73" i="46"/>
  <c r="II25" i="46"/>
  <c r="II58" i="46"/>
  <c r="II37" i="46"/>
  <c r="II65" i="46"/>
  <c r="II48" i="46"/>
  <c r="II68" i="46"/>
  <c r="II28" i="46"/>
  <c r="II79" i="46"/>
  <c r="II81" i="46"/>
  <c r="II82" i="46"/>
  <c r="II88" i="46"/>
  <c r="II90" i="46"/>
  <c r="II57" i="46"/>
  <c r="II40" i="46"/>
  <c r="II69" i="46"/>
  <c r="II21" i="46"/>
  <c r="II72" i="46"/>
  <c r="II32" i="46"/>
  <c r="II52" i="46"/>
  <c r="II47" i="46"/>
  <c r="II86" i="46"/>
  <c r="II87" i="46"/>
  <c r="IN71" i="45"/>
  <c r="IN53" i="45"/>
  <c r="IN45" i="45"/>
  <c r="IN34" i="45"/>
  <c r="IN72" i="45"/>
  <c r="IN65" i="45"/>
  <c r="IN46" i="45"/>
  <c r="IN29" i="45"/>
  <c r="IN77" i="45"/>
  <c r="IN66" i="45"/>
  <c r="IN54" i="45"/>
  <c r="IN30" i="45"/>
  <c r="IN80" i="45"/>
  <c r="IN62" i="45"/>
  <c r="IN50" i="45"/>
  <c r="IN26" i="45"/>
  <c r="IN83" i="45"/>
  <c r="IN86" i="45"/>
  <c r="IN90" i="45"/>
  <c r="IN73" i="45"/>
  <c r="IN48" i="45"/>
  <c r="IN44" i="45"/>
  <c r="IN20" i="45"/>
  <c r="IN82" i="45"/>
  <c r="IN60" i="45"/>
  <c r="IN41" i="45"/>
  <c r="IN32" i="45"/>
  <c r="IN79" i="45"/>
  <c r="IN61" i="45"/>
  <c r="IN42" i="45"/>
  <c r="IN25" i="45"/>
  <c r="IN75" i="45"/>
  <c r="IN57" i="45"/>
  <c r="IN38" i="45"/>
  <c r="IN21" i="45"/>
  <c r="IN84" i="45"/>
  <c r="IN63" i="45"/>
  <c r="IN47" i="45"/>
  <c r="IN39" i="45"/>
  <c r="IO18" i="45"/>
  <c r="IN68" i="45"/>
  <c r="IN59" i="45"/>
  <c r="IN40" i="45"/>
  <c r="IN31" i="45"/>
  <c r="IN78" i="45"/>
  <c r="IN56" i="45"/>
  <c r="IN37" i="45"/>
  <c r="IN28" i="45"/>
  <c r="IN74" i="45"/>
  <c r="IN52" i="45"/>
  <c r="IN33" i="45"/>
  <c r="IN24" i="45"/>
  <c r="IN88" i="45"/>
  <c r="IN76" i="45"/>
  <c r="IN69" i="45"/>
  <c r="IN49" i="45"/>
  <c r="IN22" i="45"/>
  <c r="IN81" i="45"/>
  <c r="IN70" i="45"/>
  <c r="IN58" i="45"/>
  <c r="IN35" i="45"/>
  <c r="IN6" i="45"/>
  <c r="IN64" i="45"/>
  <c r="IN55" i="45"/>
  <c r="IN36" i="45"/>
  <c r="IN27" i="45"/>
  <c r="IN67" i="45"/>
  <c r="IN51" i="45"/>
  <c r="IN43" i="45"/>
  <c r="IN23" i="45"/>
  <c r="IN85" i="45"/>
  <c r="IN87" i="45"/>
  <c r="IN89" i="45"/>
  <c r="IN91" i="45"/>
  <c r="IJ55" i="38"/>
  <c r="IJ41" i="38"/>
  <c r="IJ24" i="38"/>
  <c r="IJ66" i="38"/>
  <c r="IJ53" i="38"/>
  <c r="IJ33" i="38"/>
  <c r="IJ30" i="38"/>
  <c r="IJ47" i="38"/>
  <c r="IJ44" i="38"/>
  <c r="IJ39" i="38"/>
  <c r="IJ40" i="38"/>
  <c r="IJ34" i="38"/>
  <c r="IJ25" i="38"/>
  <c r="IJ76" i="38"/>
  <c r="IJ72" i="38"/>
  <c r="IJ58" i="38"/>
  <c r="IJ36" i="38"/>
  <c r="IJ27" i="38"/>
  <c r="IJ61" i="38"/>
  <c r="IJ52" i="38"/>
  <c r="IJ35" i="38"/>
  <c r="IJ67" i="38"/>
  <c r="IJ50" i="38"/>
  <c r="IJ38" i="38"/>
  <c r="IK18" i="38"/>
  <c r="IJ31" i="38"/>
  <c r="IJ26" i="38"/>
  <c r="IJ64" i="38"/>
  <c r="IJ70" i="38"/>
  <c r="IJ57" i="38"/>
  <c r="IJ43" i="38"/>
  <c r="IJ6" i="38"/>
  <c r="IJ51" i="38"/>
  <c r="IJ37" i="38"/>
  <c r="IJ20" i="38"/>
  <c r="IJ62" i="38"/>
  <c r="IJ49" i="38"/>
  <c r="IJ29" i="38"/>
  <c r="IJ22" i="38"/>
  <c r="IJ63" i="38"/>
  <c r="IJ69" i="38"/>
  <c r="IJ45" i="38"/>
  <c r="IJ56" i="38"/>
  <c r="IJ42" i="38"/>
  <c r="IJ32" i="38"/>
  <c r="IJ28" i="38"/>
  <c r="IJ73" i="38"/>
  <c r="IJ75" i="38"/>
  <c r="IJ77" i="38"/>
  <c r="IJ83" i="38"/>
  <c r="IJ21" i="38"/>
  <c r="IJ23" i="38"/>
  <c r="IJ60" i="38"/>
  <c r="IJ78" i="38"/>
  <c r="IJ82" i="38"/>
  <c r="IJ84" i="38"/>
  <c r="IJ85" i="38"/>
  <c r="IJ86" i="38"/>
  <c r="IJ71" i="38"/>
  <c r="IJ68" i="38"/>
  <c r="IJ46" i="38"/>
  <c r="IJ74" i="38"/>
  <c r="IJ80" i="38"/>
  <c r="IJ81" i="38"/>
  <c r="IJ65" i="38"/>
  <c r="IJ54" i="38"/>
  <c r="IJ48" i="38"/>
  <c r="IJ59" i="38"/>
  <c r="IJ79" i="38"/>
  <c r="IJ87" i="38"/>
  <c r="IJ88" i="38"/>
  <c r="CW93" i="38" l="1"/>
  <c r="DB93" i="38" s="1"/>
  <c r="CY93" i="38"/>
  <c r="DD93" i="38" s="1"/>
  <c r="R92" i="38"/>
  <c r="I93" i="38"/>
  <c r="O93" i="38"/>
  <c r="AH111" i="4"/>
  <c r="AJ110" i="4"/>
  <c r="AG111" i="4"/>
  <c r="AI110" i="4"/>
  <c r="I93" i="46"/>
  <c r="I93" i="45"/>
  <c r="U81" i="41"/>
  <c r="T81" i="38"/>
  <c r="BU80" i="38"/>
  <c r="BV80" i="38" s="1"/>
  <c r="W80" i="38"/>
  <c r="T79" i="46"/>
  <c r="W79" i="46" s="1"/>
  <c r="W79" i="41"/>
  <c r="T79" i="45"/>
  <c r="V79" i="41"/>
  <c r="CO91" i="38"/>
  <c r="BV91" i="41" s="1"/>
  <c r="AI92" i="38"/>
  <c r="P92" i="38"/>
  <c r="Q92" i="38" s="1"/>
  <c r="R93" i="38" s="1"/>
  <c r="S92" i="38"/>
  <c r="C92" i="41"/>
  <c r="K93" i="45"/>
  <c r="FK93" i="45"/>
  <c r="IO93" i="45" s="1"/>
  <c r="M93" i="45"/>
  <c r="L93" i="45"/>
  <c r="M90" i="41"/>
  <c r="AB91" i="41"/>
  <c r="AF91" i="41" s="1"/>
  <c r="I90" i="41"/>
  <c r="FD93" i="38"/>
  <c r="M93" i="38"/>
  <c r="FN93" i="38"/>
  <c r="CW93" i="41" s="1"/>
  <c r="K93" i="38"/>
  <c r="J93" i="38"/>
  <c r="L93" i="38"/>
  <c r="BQ93" i="38"/>
  <c r="EY93" i="38"/>
  <c r="IL92" i="45"/>
  <c r="IM92" i="45"/>
  <c r="IK92" i="45"/>
  <c r="H90" i="41"/>
  <c r="L90" i="41"/>
  <c r="IN92" i="45"/>
  <c r="K90" i="41"/>
  <c r="Z91" i="41"/>
  <c r="AD91" i="41" s="1"/>
  <c r="G90" i="41"/>
  <c r="J92" i="38"/>
  <c r="CI92" i="38" s="1"/>
  <c r="BQ92" i="41" s="1"/>
  <c r="BS92" i="38"/>
  <c r="E92" i="41"/>
  <c r="S92" i="46"/>
  <c r="AI92" i="46"/>
  <c r="P92" i="46"/>
  <c r="Q92" i="46" s="1"/>
  <c r="R93" i="46" s="1"/>
  <c r="FH92" i="38"/>
  <c r="FG92" i="38"/>
  <c r="FI92" i="38"/>
  <c r="A94" i="4"/>
  <c r="A94" i="41"/>
  <c r="A94" i="38"/>
  <c r="CV94" i="38" s="1"/>
  <c r="A94" i="46"/>
  <c r="O94" i="46" s="1"/>
  <c r="A94" i="7"/>
  <c r="A94" i="45"/>
  <c r="O94" i="45" s="1"/>
  <c r="A94" i="6"/>
  <c r="A95" i="55"/>
  <c r="K93" i="46"/>
  <c r="J93" i="46"/>
  <c r="FK93" i="46"/>
  <c r="M93" i="46"/>
  <c r="L93" i="46"/>
  <c r="D92" i="41"/>
  <c r="S92" i="45"/>
  <c r="P92" i="45"/>
  <c r="Q92" i="45" s="1"/>
  <c r="R93" i="45" s="1"/>
  <c r="IO80" i="45"/>
  <c r="IO62" i="45"/>
  <c r="IO50" i="45"/>
  <c r="IO38" i="45"/>
  <c r="IO26" i="45"/>
  <c r="IO63" i="45"/>
  <c r="IO47" i="45"/>
  <c r="IO35" i="45"/>
  <c r="IP18" i="45"/>
  <c r="IO77" i="45"/>
  <c r="IO59" i="45"/>
  <c r="IO48" i="45"/>
  <c r="IO31" i="45"/>
  <c r="IO66" i="45"/>
  <c r="IO54" i="45"/>
  <c r="IO42" i="45"/>
  <c r="IO30" i="45"/>
  <c r="IO83" i="45"/>
  <c r="IO85" i="45"/>
  <c r="IO87" i="45"/>
  <c r="IO89" i="45"/>
  <c r="IO91" i="45"/>
  <c r="IO71" i="45"/>
  <c r="IO61" i="45"/>
  <c r="IO45" i="45"/>
  <c r="IO25" i="45"/>
  <c r="IO6" i="45"/>
  <c r="IO72" i="45"/>
  <c r="IO57" i="45"/>
  <c r="IO34" i="45"/>
  <c r="IO22" i="45"/>
  <c r="IO70" i="45"/>
  <c r="IO58" i="45"/>
  <c r="IO46" i="45"/>
  <c r="IO75" i="45"/>
  <c r="IO65" i="45"/>
  <c r="IO49" i="45"/>
  <c r="IO29" i="45"/>
  <c r="IO86" i="45"/>
  <c r="IO90" i="45"/>
  <c r="IO74" i="45"/>
  <c r="IO56" i="45"/>
  <c r="IO40" i="45"/>
  <c r="IO24" i="45"/>
  <c r="IO76" i="45"/>
  <c r="IO68" i="45"/>
  <c r="IO41" i="45"/>
  <c r="IO21" i="45"/>
  <c r="IO79" i="45"/>
  <c r="IO69" i="45"/>
  <c r="IO53" i="45"/>
  <c r="IO33" i="45"/>
  <c r="IO78" i="45"/>
  <c r="IO60" i="45"/>
  <c r="IO44" i="45"/>
  <c r="IO28" i="45"/>
  <c r="IO84" i="45"/>
  <c r="IO92" i="45"/>
  <c r="IO67" i="45"/>
  <c r="IO51" i="45"/>
  <c r="IO39" i="45"/>
  <c r="IO23" i="45"/>
  <c r="IO81" i="45"/>
  <c r="IO52" i="45"/>
  <c r="IO36" i="45"/>
  <c r="IO20" i="45"/>
  <c r="IO82" i="45"/>
  <c r="IO64" i="45"/>
  <c r="IO37" i="45"/>
  <c r="IO32" i="45"/>
  <c r="IO73" i="45"/>
  <c r="IO55" i="45"/>
  <c r="IO43" i="45"/>
  <c r="IO27" i="45"/>
  <c r="IO88" i="45"/>
  <c r="IJ57" i="46"/>
  <c r="IJ74" i="46"/>
  <c r="IJ44" i="46"/>
  <c r="IJ46" i="46"/>
  <c r="IJ60" i="46"/>
  <c r="IJ54" i="46"/>
  <c r="IJ24" i="46"/>
  <c r="IJ26" i="46"/>
  <c r="IJ71" i="46"/>
  <c r="IJ33" i="46"/>
  <c r="IJ39" i="46"/>
  <c r="IJ78" i="46"/>
  <c r="IJ52" i="46"/>
  <c r="IJ64" i="46"/>
  <c r="IJ58" i="46"/>
  <c r="IJ28" i="46"/>
  <c r="IJ30" i="46"/>
  <c r="IJ75" i="46"/>
  <c r="IJ37" i="46"/>
  <c r="IJ43" i="46"/>
  <c r="IJ65" i="46"/>
  <c r="IJ55" i="46"/>
  <c r="IJ50" i="46"/>
  <c r="IJ23" i="46"/>
  <c r="IJ77" i="46"/>
  <c r="IJ67" i="46"/>
  <c r="IJ41" i="46"/>
  <c r="IJ69" i="46"/>
  <c r="IJ21" i="46"/>
  <c r="IJ72" i="46"/>
  <c r="IJ36" i="46"/>
  <c r="IJ61" i="46"/>
  <c r="IJ45" i="46"/>
  <c r="IJ6" i="46"/>
  <c r="IJ86" i="46"/>
  <c r="IJ87" i="46"/>
  <c r="IJ73" i="46"/>
  <c r="IJ25" i="46"/>
  <c r="IJ53" i="46"/>
  <c r="IJ40" i="46"/>
  <c r="IJ56" i="46"/>
  <c r="IJ20" i="46"/>
  <c r="IJ68" i="46"/>
  <c r="IJ29" i="46"/>
  <c r="IJ35" i="46"/>
  <c r="IJ89" i="46"/>
  <c r="IJ76" i="46"/>
  <c r="IJ47" i="46"/>
  <c r="IJ59" i="46"/>
  <c r="IJ27" i="46"/>
  <c r="IJ66" i="46"/>
  <c r="IJ38" i="46"/>
  <c r="IJ51" i="46"/>
  <c r="IJ48" i="46"/>
  <c r="IK18" i="46"/>
  <c r="IJ80" i="46"/>
  <c r="IJ83" i="46"/>
  <c r="IJ84" i="46"/>
  <c r="IJ85" i="46"/>
  <c r="IJ63" i="46"/>
  <c r="IJ31" i="46"/>
  <c r="IJ70" i="46"/>
  <c r="IJ42" i="46"/>
  <c r="IJ49" i="46"/>
  <c r="IJ22" i="46"/>
  <c r="IJ62" i="46"/>
  <c r="IJ32" i="46"/>
  <c r="IJ34" i="46"/>
  <c r="IJ79" i="46"/>
  <c r="IJ81" i="46"/>
  <c r="IJ82" i="46"/>
  <c r="IJ88" i="46"/>
  <c r="IJ90" i="46"/>
  <c r="IJ91" i="46"/>
  <c r="IK62" i="38"/>
  <c r="IK33" i="38"/>
  <c r="IL18" i="38"/>
  <c r="IK69" i="38"/>
  <c r="IK58" i="38"/>
  <c r="IK41" i="38"/>
  <c r="IK29" i="38"/>
  <c r="IK65" i="38"/>
  <c r="IK51" i="38"/>
  <c r="IK20" i="38"/>
  <c r="IK21" i="38"/>
  <c r="IK54" i="38"/>
  <c r="IK47" i="38"/>
  <c r="IK37" i="38"/>
  <c r="IK25" i="38"/>
  <c r="IK74" i="38"/>
  <c r="IK56" i="38"/>
  <c r="IK34" i="38"/>
  <c r="IK6" i="38"/>
  <c r="IK68" i="38"/>
  <c r="IK55" i="38"/>
  <c r="IK38" i="38"/>
  <c r="IK72" i="38"/>
  <c r="IK49" i="38"/>
  <c r="IK40" i="38"/>
  <c r="IK23" i="38"/>
  <c r="IK57" i="38"/>
  <c r="IK36" i="38"/>
  <c r="IK28" i="38"/>
  <c r="IK76" i="38"/>
  <c r="IK61" i="38"/>
  <c r="IK24" i="38"/>
  <c r="IK44" i="38"/>
  <c r="IK22" i="38"/>
  <c r="IK64" i="38"/>
  <c r="IK35" i="38"/>
  <c r="IK60" i="38"/>
  <c r="IK39" i="38"/>
  <c r="IK79" i="38"/>
  <c r="IK87" i="38"/>
  <c r="IK88" i="38"/>
  <c r="IK63" i="38"/>
  <c r="IK31" i="38"/>
  <c r="IK71" i="38"/>
  <c r="IK43" i="38"/>
  <c r="IK46" i="38"/>
  <c r="IK32" i="38"/>
  <c r="IK67" i="38"/>
  <c r="IK75" i="38"/>
  <c r="IK77" i="38"/>
  <c r="IK83" i="38"/>
  <c r="IK89" i="38"/>
  <c r="IK48" i="38"/>
  <c r="IK73" i="38"/>
  <c r="IK50" i="38"/>
  <c r="IK42" i="38"/>
  <c r="IK52" i="38"/>
  <c r="IK78" i="38"/>
  <c r="IK82" i="38"/>
  <c r="IK84" i="38"/>
  <c r="IK85" i="38"/>
  <c r="IK86" i="38"/>
  <c r="IK70" i="38"/>
  <c r="IK45" i="38"/>
  <c r="IK53" i="38"/>
  <c r="IK27" i="38"/>
  <c r="IK66" i="38"/>
  <c r="IK30" i="38"/>
  <c r="IK59" i="38"/>
  <c r="IK26" i="38"/>
  <c r="IK80" i="38"/>
  <c r="IK81" i="38"/>
  <c r="CW94" i="38" l="1"/>
  <c r="DB94" i="38" s="1"/>
  <c r="CY94" i="38"/>
  <c r="DD94" i="38" s="1"/>
  <c r="O94" i="38"/>
  <c r="I94" i="38"/>
  <c r="AG112" i="4"/>
  <c r="AI111" i="4"/>
  <c r="AH112" i="4"/>
  <c r="AJ111" i="4"/>
  <c r="I94" i="45"/>
  <c r="I94" i="46"/>
  <c r="I95" i="46" s="1"/>
  <c r="U82" i="41"/>
  <c r="T82" i="38"/>
  <c r="W81" i="38"/>
  <c r="BU81" i="38"/>
  <c r="T80" i="45"/>
  <c r="V80" i="41"/>
  <c r="W80" i="41"/>
  <c r="T80" i="46"/>
  <c r="W80" i="46" s="1"/>
  <c r="CI93" i="38"/>
  <c r="BQ93" i="41" s="1"/>
  <c r="A96" i="55"/>
  <c r="A95" i="7"/>
  <c r="A95" i="41"/>
  <c r="A95" i="6"/>
  <c r="A95" i="45"/>
  <c r="O95" i="45" s="1"/>
  <c r="A95" i="46"/>
  <c r="O95" i="46" s="1"/>
  <c r="A95" i="38"/>
  <c r="CV95" i="38" s="1"/>
  <c r="A95" i="4"/>
  <c r="K94" i="46"/>
  <c r="FK94" i="46"/>
  <c r="L94" i="46"/>
  <c r="M94" i="46"/>
  <c r="M91" i="41"/>
  <c r="AB92" i="41"/>
  <c r="AF92" i="41" s="1"/>
  <c r="I91" i="41"/>
  <c r="D93" i="41"/>
  <c r="S93" i="45"/>
  <c r="P93" i="45"/>
  <c r="Q93" i="45" s="1"/>
  <c r="R94" i="45" s="1"/>
  <c r="H91" i="41"/>
  <c r="L91" i="41"/>
  <c r="J94" i="38"/>
  <c r="BQ94" i="38"/>
  <c r="L94" i="38"/>
  <c r="M94" i="38"/>
  <c r="EY94" i="38"/>
  <c r="FN94" i="38"/>
  <c r="CW94" i="41" s="1"/>
  <c r="K94" i="38"/>
  <c r="FD94" i="38"/>
  <c r="E93" i="41"/>
  <c r="AI93" i="46"/>
  <c r="S93" i="46"/>
  <c r="P93" i="46"/>
  <c r="Q93" i="46" s="1"/>
  <c r="R94" i="46" s="1"/>
  <c r="K94" i="45"/>
  <c r="L94" i="45"/>
  <c r="FK94" i="45"/>
  <c r="IP94" i="45" s="1"/>
  <c r="M94" i="45"/>
  <c r="CO93" i="38"/>
  <c r="BV93" i="41" s="1"/>
  <c r="FH93" i="38"/>
  <c r="FI93" i="38"/>
  <c r="FG93" i="38"/>
  <c r="BS93" i="38"/>
  <c r="IM93" i="45"/>
  <c r="IN93" i="45"/>
  <c r="IL93" i="45"/>
  <c r="CO92" i="38"/>
  <c r="BV92" i="41" s="1"/>
  <c r="S93" i="38"/>
  <c r="C93" i="41"/>
  <c r="P93" i="38"/>
  <c r="Q93" i="38" s="1"/>
  <c r="R94" i="38" s="1"/>
  <c r="AI93" i="38"/>
  <c r="Z92" i="41"/>
  <c r="AD92" i="41" s="1"/>
  <c r="G91" i="41"/>
  <c r="K91" i="41"/>
  <c r="IL71" i="38"/>
  <c r="IL58" i="38"/>
  <c r="IL30" i="38"/>
  <c r="IL74" i="38"/>
  <c r="IL59" i="38"/>
  <c r="IL40" i="38"/>
  <c r="IL33" i="38"/>
  <c r="IL63" i="38"/>
  <c r="IL50" i="38"/>
  <c r="IL22" i="38"/>
  <c r="IL73" i="38"/>
  <c r="IL70" i="38"/>
  <c r="IL46" i="38"/>
  <c r="IL45" i="38"/>
  <c r="IL75" i="38"/>
  <c r="IL66" i="38"/>
  <c r="IL43" i="38"/>
  <c r="IL37" i="38"/>
  <c r="IL68" i="38"/>
  <c r="IL55" i="38"/>
  <c r="IL27" i="38"/>
  <c r="IL28" i="38"/>
  <c r="IL57" i="38"/>
  <c r="IL42" i="38"/>
  <c r="IL25" i="38"/>
  <c r="IL72" i="38"/>
  <c r="IL53" i="38"/>
  <c r="IL38" i="38"/>
  <c r="IL21" i="38"/>
  <c r="IL49" i="38"/>
  <c r="IL35" i="38"/>
  <c r="IL54" i="38"/>
  <c r="IL69" i="38"/>
  <c r="IL36" i="38"/>
  <c r="IL65" i="38"/>
  <c r="IL41" i="38"/>
  <c r="IL80" i="38"/>
  <c r="IL81" i="38"/>
  <c r="IL82" i="38"/>
  <c r="IL85" i="38"/>
  <c r="IL48" i="38"/>
  <c r="IL34" i="38"/>
  <c r="IL39" i="38"/>
  <c r="IL64" i="38"/>
  <c r="IL23" i="38"/>
  <c r="IL60" i="38"/>
  <c r="IM18" i="38"/>
  <c r="IL87" i="38"/>
  <c r="IL88" i="38"/>
  <c r="IL44" i="38"/>
  <c r="IL67" i="38"/>
  <c r="IL26" i="38"/>
  <c r="IL56" i="38"/>
  <c r="IL32" i="38"/>
  <c r="IL52" i="38"/>
  <c r="IL24" i="38"/>
  <c r="IL76" i="38"/>
  <c r="IL79" i="38"/>
  <c r="IL83" i="38"/>
  <c r="IL89" i="38"/>
  <c r="IL90" i="38"/>
  <c r="IL61" i="38"/>
  <c r="IL31" i="38"/>
  <c r="IL62" i="38"/>
  <c r="IL29" i="38"/>
  <c r="IL51" i="38"/>
  <c r="IL20" i="38"/>
  <c r="IL47" i="38"/>
  <c r="IL6" i="38"/>
  <c r="IL77" i="38"/>
  <c r="IL78" i="38"/>
  <c r="IL84" i="38"/>
  <c r="IL86" i="38"/>
  <c r="IK77" i="46"/>
  <c r="IK70" i="46"/>
  <c r="IK32" i="46"/>
  <c r="IK34" i="46"/>
  <c r="IK60" i="46"/>
  <c r="IK50" i="46"/>
  <c r="IK47" i="46"/>
  <c r="IK45" i="46"/>
  <c r="IK67" i="46"/>
  <c r="IK57" i="46"/>
  <c r="IK27" i="46"/>
  <c r="IK25" i="46"/>
  <c r="IK74" i="46"/>
  <c r="IK36" i="46"/>
  <c r="IK38" i="46"/>
  <c r="IK81" i="46"/>
  <c r="IK82" i="46"/>
  <c r="IK88" i="46"/>
  <c r="IK90" i="46"/>
  <c r="IK91" i="46"/>
  <c r="IK92" i="46"/>
  <c r="IK64" i="46"/>
  <c r="IK54" i="46"/>
  <c r="IK6" i="46"/>
  <c r="IK49" i="46"/>
  <c r="IK71" i="46"/>
  <c r="IK61" i="46"/>
  <c r="IK31" i="46"/>
  <c r="IK29" i="46"/>
  <c r="IK51" i="46"/>
  <c r="IK40" i="46"/>
  <c r="IK42" i="46"/>
  <c r="IK68" i="46"/>
  <c r="IK58" i="46"/>
  <c r="IK20" i="46"/>
  <c r="IK22" i="46"/>
  <c r="IK86" i="46"/>
  <c r="IK87" i="46"/>
  <c r="IK79" i="46"/>
  <c r="IK75" i="46"/>
  <c r="IK65" i="46"/>
  <c r="IK35" i="46"/>
  <c r="IK33" i="46"/>
  <c r="IK55" i="46"/>
  <c r="IK44" i="46"/>
  <c r="IK46" i="46"/>
  <c r="IK72" i="46"/>
  <c r="IK62" i="46"/>
  <c r="IK24" i="46"/>
  <c r="IK26" i="46"/>
  <c r="IK52" i="46"/>
  <c r="IK69" i="46"/>
  <c r="IK39" i="46"/>
  <c r="IK37" i="46"/>
  <c r="IK89" i="46"/>
  <c r="IK78" i="46"/>
  <c r="IK59" i="46"/>
  <c r="IK48" i="46"/>
  <c r="IL18" i="46"/>
  <c r="IK76" i="46"/>
  <c r="IK66" i="46"/>
  <c r="IK28" i="46"/>
  <c r="IK30" i="46"/>
  <c r="IK56" i="46"/>
  <c r="IK73" i="46"/>
  <c r="IK43" i="46"/>
  <c r="IK41" i="46"/>
  <c r="IK63" i="46"/>
  <c r="IK53" i="46"/>
  <c r="IK23" i="46"/>
  <c r="IK21" i="46"/>
  <c r="IK80" i="46"/>
  <c r="IK83" i="46"/>
  <c r="IK84" i="46"/>
  <c r="IK85" i="46"/>
  <c r="IP75" i="45"/>
  <c r="IP62" i="45"/>
  <c r="IP38" i="45"/>
  <c r="IP26" i="45"/>
  <c r="IP72" i="45"/>
  <c r="IP58" i="45"/>
  <c r="IP35" i="45"/>
  <c r="IQ18" i="45"/>
  <c r="IP74" i="45"/>
  <c r="IP64" i="45"/>
  <c r="IP48" i="45"/>
  <c r="IP32" i="45"/>
  <c r="IP80" i="45"/>
  <c r="IP55" i="45"/>
  <c r="IP43" i="45"/>
  <c r="IP27" i="45"/>
  <c r="IP88" i="45"/>
  <c r="IP82" i="45"/>
  <c r="IP71" i="45"/>
  <c r="IP56" i="45"/>
  <c r="IP37" i="45"/>
  <c r="IP21" i="45"/>
  <c r="IP69" i="45"/>
  <c r="IP57" i="45"/>
  <c r="IP34" i="45"/>
  <c r="IP22" i="45"/>
  <c r="IP73" i="45"/>
  <c r="IP59" i="45"/>
  <c r="IP47" i="45"/>
  <c r="IP31" i="45"/>
  <c r="IP66" i="45"/>
  <c r="IP50" i="45"/>
  <c r="IP42" i="45"/>
  <c r="IP30" i="45"/>
  <c r="IP85" i="45"/>
  <c r="IP87" i="45"/>
  <c r="IP89" i="45"/>
  <c r="IP91" i="45"/>
  <c r="IP93" i="45"/>
  <c r="IP81" i="45"/>
  <c r="IP67" i="45"/>
  <c r="IP40" i="45"/>
  <c r="IP24" i="45"/>
  <c r="IP78" i="45"/>
  <c r="IP68" i="45"/>
  <c r="IP52" i="45"/>
  <c r="IP33" i="45"/>
  <c r="IP6" i="45"/>
  <c r="IP70" i="45"/>
  <c r="IP54" i="45"/>
  <c r="IP46" i="45"/>
  <c r="IP29" i="45"/>
  <c r="IP61" i="45"/>
  <c r="IP49" i="45"/>
  <c r="IP41" i="45"/>
  <c r="IP25" i="45"/>
  <c r="IP84" i="45"/>
  <c r="IP86" i="45"/>
  <c r="IP90" i="45"/>
  <c r="IP76" i="45"/>
  <c r="IP51" i="45"/>
  <c r="IP39" i="45"/>
  <c r="IP23" i="45"/>
  <c r="IP77" i="45"/>
  <c r="IP63" i="45"/>
  <c r="IP36" i="45"/>
  <c r="IP20" i="45"/>
  <c r="IP79" i="45"/>
  <c r="IP65" i="45"/>
  <c r="IP53" i="45"/>
  <c r="IP45" i="45"/>
  <c r="IP83" i="45"/>
  <c r="IP60" i="45"/>
  <c r="IP44" i="45"/>
  <c r="IP28" i="45"/>
  <c r="IP92" i="45"/>
  <c r="CW95" i="38" l="1"/>
  <c r="DB95" i="38" s="1"/>
  <c r="CY95" i="38"/>
  <c r="DD95" i="38" s="1"/>
  <c r="I95" i="38"/>
  <c r="O95" i="38"/>
  <c r="AH113" i="4"/>
  <c r="AJ112" i="4"/>
  <c r="AG113" i="4"/>
  <c r="AI112" i="4"/>
  <c r="J94" i="46"/>
  <c r="I96" i="46"/>
  <c r="I95" i="45"/>
  <c r="T83" i="38"/>
  <c r="U83" i="41"/>
  <c r="BU82" i="38"/>
  <c r="BV82" i="38" s="1"/>
  <c r="W82" i="38"/>
  <c r="BV81" i="38"/>
  <c r="W81" i="41"/>
  <c r="T81" i="46"/>
  <c r="W81" i="46" s="1"/>
  <c r="T81" i="45"/>
  <c r="V81" i="41"/>
  <c r="BS94" i="38"/>
  <c r="Z93" i="41"/>
  <c r="AD93" i="41" s="1"/>
  <c r="K92" i="41"/>
  <c r="G92" i="41"/>
  <c r="S94" i="46"/>
  <c r="AI94" i="46"/>
  <c r="P94" i="46"/>
  <c r="Q94" i="46" s="1"/>
  <c r="R95" i="46" s="1"/>
  <c r="E94" i="41"/>
  <c r="P94" i="45"/>
  <c r="Q94" i="45" s="1"/>
  <c r="R95" i="45" s="1"/>
  <c r="D94" i="41"/>
  <c r="S94" i="45"/>
  <c r="P94" i="38"/>
  <c r="Q94" i="38" s="1"/>
  <c r="C94" i="41"/>
  <c r="S94" i="38"/>
  <c r="AI94" i="38"/>
  <c r="CO94" i="38"/>
  <c r="BV94" i="41" s="1"/>
  <c r="H92" i="41"/>
  <c r="L92" i="41"/>
  <c r="J95" i="38"/>
  <c r="FD95" i="38"/>
  <c r="BQ95" i="38"/>
  <c r="FN95" i="38"/>
  <c r="CW95" i="41" s="1"/>
  <c r="L95" i="38"/>
  <c r="EY95" i="38"/>
  <c r="K95" i="38"/>
  <c r="M95" i="38"/>
  <c r="I92" i="41"/>
  <c r="AB93" i="41"/>
  <c r="AF93" i="41" s="1"/>
  <c r="M92" i="41"/>
  <c r="CI94" i="38"/>
  <c r="BQ94" i="41" s="1"/>
  <c r="FK95" i="46"/>
  <c r="L95" i="46"/>
  <c r="M95" i="46"/>
  <c r="J95" i="46"/>
  <c r="K95" i="46"/>
  <c r="IN94" i="45"/>
  <c r="IO94" i="45"/>
  <c r="IM94" i="45"/>
  <c r="FI94" i="38"/>
  <c r="FG94" i="38"/>
  <c r="FH94" i="38"/>
  <c r="K95" i="45"/>
  <c r="FK95" i="45"/>
  <c r="IQ95" i="45" s="1"/>
  <c r="M95" i="45"/>
  <c r="L95" i="45"/>
  <c r="A96" i="45"/>
  <c r="O96" i="45" s="1"/>
  <c r="A96" i="41"/>
  <c r="A96" i="4"/>
  <c r="A96" i="46"/>
  <c r="O96" i="46" s="1"/>
  <c r="A96" i="6"/>
  <c r="A96" i="38"/>
  <c r="CV96" i="38" s="1"/>
  <c r="A97" i="55"/>
  <c r="A96" i="7"/>
  <c r="IM73" i="38"/>
  <c r="IM48" i="38"/>
  <c r="IM43" i="38"/>
  <c r="IM6" i="38"/>
  <c r="IM67" i="38"/>
  <c r="IM54" i="38"/>
  <c r="IM22" i="38"/>
  <c r="IM27" i="38"/>
  <c r="IM63" i="38"/>
  <c r="IM50" i="38"/>
  <c r="IM40" i="38"/>
  <c r="IN18" i="38"/>
  <c r="IM69" i="38"/>
  <c r="IM42" i="38"/>
  <c r="IM33" i="38"/>
  <c r="IM71" i="38"/>
  <c r="IM58" i="38"/>
  <c r="IM26" i="38"/>
  <c r="IM36" i="38"/>
  <c r="IM66" i="38"/>
  <c r="IM53" i="38"/>
  <c r="IM21" i="38"/>
  <c r="IM76" i="38"/>
  <c r="IM62" i="38"/>
  <c r="IM49" i="38"/>
  <c r="IM34" i="38"/>
  <c r="IM72" i="38"/>
  <c r="IM52" i="38"/>
  <c r="IM37" i="38"/>
  <c r="IM20" i="38"/>
  <c r="IM70" i="38"/>
  <c r="IM25" i="38"/>
  <c r="IM61" i="38"/>
  <c r="IM28" i="38"/>
  <c r="IM56" i="38"/>
  <c r="IM24" i="38"/>
  <c r="IM47" i="38"/>
  <c r="IM44" i="38"/>
  <c r="IM77" i="38"/>
  <c r="IM78" i="38"/>
  <c r="IM84" i="38"/>
  <c r="IM86" i="38"/>
  <c r="IM65" i="38"/>
  <c r="IM32" i="38"/>
  <c r="IM55" i="38"/>
  <c r="IM31" i="38"/>
  <c r="IM51" i="38"/>
  <c r="IM23" i="38"/>
  <c r="IM46" i="38"/>
  <c r="IM80" i="38"/>
  <c r="IM81" i="38"/>
  <c r="IM82" i="38"/>
  <c r="IM85" i="38"/>
  <c r="IM57" i="38"/>
  <c r="IM74" i="38"/>
  <c r="IM45" i="38"/>
  <c r="IM75" i="38"/>
  <c r="IM41" i="38"/>
  <c r="IM60" i="38"/>
  <c r="IM30" i="38"/>
  <c r="IM87" i="38"/>
  <c r="IM88" i="38"/>
  <c r="IM38" i="38"/>
  <c r="IM68" i="38"/>
  <c r="IM39" i="38"/>
  <c r="IM64" i="38"/>
  <c r="IM35" i="38"/>
  <c r="IM59" i="38"/>
  <c r="IM29" i="38"/>
  <c r="IM79" i="38"/>
  <c r="IM83" i="38"/>
  <c r="IM89" i="38"/>
  <c r="IM90" i="38"/>
  <c r="IM91" i="38"/>
  <c r="IQ74" i="45"/>
  <c r="IQ57" i="45"/>
  <c r="IQ34" i="45"/>
  <c r="IQ28" i="45"/>
  <c r="IQ77" i="45"/>
  <c r="IQ70" i="45"/>
  <c r="IQ47" i="45"/>
  <c r="IQ27" i="45"/>
  <c r="IQ6" i="45"/>
  <c r="IQ65" i="45"/>
  <c r="IQ49" i="45"/>
  <c r="IQ41" i="45"/>
  <c r="IQ21" i="45"/>
  <c r="IQ75" i="45"/>
  <c r="IQ61" i="45"/>
  <c r="IQ38" i="45"/>
  <c r="IQ22" i="45"/>
  <c r="IQ92" i="45"/>
  <c r="IQ68" i="45"/>
  <c r="IQ52" i="45"/>
  <c r="IQ33" i="45"/>
  <c r="IQ85" i="45"/>
  <c r="IQ72" i="45"/>
  <c r="IQ54" i="45"/>
  <c r="IQ46" i="45"/>
  <c r="IQ30" i="45"/>
  <c r="IQ78" i="45"/>
  <c r="IQ60" i="45"/>
  <c r="IQ59" i="45"/>
  <c r="IQ40" i="45"/>
  <c r="IQ20" i="45"/>
  <c r="IQ71" i="45"/>
  <c r="IQ56" i="45"/>
  <c r="IQ37" i="45"/>
  <c r="IQ32" i="45"/>
  <c r="IQ88" i="45"/>
  <c r="IQ81" i="45"/>
  <c r="IQ63" i="45"/>
  <c r="IQ51" i="45"/>
  <c r="IQ31" i="45"/>
  <c r="IQ84" i="45"/>
  <c r="IQ69" i="45"/>
  <c r="IQ53" i="45"/>
  <c r="IQ45" i="45"/>
  <c r="IQ25" i="45"/>
  <c r="IQ73" i="45"/>
  <c r="IQ66" i="45"/>
  <c r="IQ43" i="45"/>
  <c r="IQ23" i="45"/>
  <c r="IQ83" i="45"/>
  <c r="IQ67" i="45"/>
  <c r="IQ55" i="45"/>
  <c r="IQ36" i="45"/>
  <c r="IQ87" i="45"/>
  <c r="IQ89" i="45"/>
  <c r="IQ91" i="45"/>
  <c r="IQ93" i="45"/>
  <c r="IQ94" i="45"/>
  <c r="IQ76" i="45"/>
  <c r="IQ58" i="45"/>
  <c r="IQ35" i="45"/>
  <c r="IQ29" i="45"/>
  <c r="IQ82" i="45"/>
  <c r="IQ64" i="45"/>
  <c r="IQ48" i="45"/>
  <c r="IQ44" i="45"/>
  <c r="IQ24" i="45"/>
  <c r="IQ79" i="45"/>
  <c r="IQ50" i="45"/>
  <c r="IQ42" i="45"/>
  <c r="IQ26" i="45"/>
  <c r="IQ80" i="45"/>
  <c r="IQ62" i="45"/>
  <c r="IQ39" i="45"/>
  <c r="IR18" i="45"/>
  <c r="IQ86" i="45"/>
  <c r="IQ90" i="45"/>
  <c r="IL78" i="46"/>
  <c r="IL73" i="46"/>
  <c r="IL39" i="46"/>
  <c r="IL33" i="46"/>
  <c r="IL77" i="46"/>
  <c r="IL76" i="46"/>
  <c r="IL64" i="46"/>
  <c r="IL34" i="46"/>
  <c r="IL28" i="46"/>
  <c r="IL58" i="46"/>
  <c r="IL47" i="46"/>
  <c r="IL41" i="46"/>
  <c r="IL71" i="46"/>
  <c r="IL61" i="46"/>
  <c r="IL27" i="46"/>
  <c r="IL21" i="46"/>
  <c r="IL83" i="46"/>
  <c r="IL84" i="46"/>
  <c r="IL85" i="46"/>
  <c r="IL67" i="46"/>
  <c r="IL57" i="46"/>
  <c r="IL23" i="46"/>
  <c r="IL48" i="46"/>
  <c r="IL80" i="46"/>
  <c r="IL62" i="46"/>
  <c r="IL50" i="46"/>
  <c r="IL45" i="46"/>
  <c r="IL75" i="46"/>
  <c r="IL65" i="46"/>
  <c r="IL31" i="46"/>
  <c r="IL25" i="46"/>
  <c r="IL55" i="46"/>
  <c r="IL72" i="46"/>
  <c r="IL42" i="46"/>
  <c r="IL36" i="46"/>
  <c r="IL81" i="46"/>
  <c r="IL82" i="46"/>
  <c r="IL88" i="46"/>
  <c r="IL90" i="46"/>
  <c r="IL91" i="46"/>
  <c r="IL92" i="46"/>
  <c r="IL51" i="46"/>
  <c r="IL68" i="46"/>
  <c r="IL38" i="46"/>
  <c r="IL32" i="46"/>
  <c r="IL79" i="46"/>
  <c r="IL69" i="46"/>
  <c r="IL35" i="46"/>
  <c r="IL29" i="46"/>
  <c r="IL59" i="46"/>
  <c r="IL49" i="46"/>
  <c r="IL46" i="46"/>
  <c r="IL40" i="46"/>
  <c r="IL70" i="46"/>
  <c r="IL56" i="46"/>
  <c r="IL26" i="46"/>
  <c r="IL20" i="46"/>
  <c r="IL86" i="46"/>
  <c r="IL87" i="46"/>
  <c r="IL66" i="46"/>
  <c r="IL52" i="46"/>
  <c r="IL22" i="46"/>
  <c r="IL6" i="46"/>
  <c r="IL63" i="46"/>
  <c r="IL53" i="46"/>
  <c r="IM18" i="46"/>
  <c r="IL44" i="46"/>
  <c r="IL74" i="46"/>
  <c r="IL60" i="46"/>
  <c r="IL30" i="46"/>
  <c r="IL24" i="46"/>
  <c r="IL54" i="46"/>
  <c r="IL43" i="46"/>
  <c r="IL37" i="46"/>
  <c r="IL89" i="46"/>
  <c r="IL93" i="46"/>
  <c r="CW96" i="38" l="1"/>
  <c r="DB96" i="38" s="1"/>
  <c r="CY96" i="38"/>
  <c r="DD96" i="38" s="1"/>
  <c r="R95" i="38"/>
  <c r="O96" i="38"/>
  <c r="I96" i="38"/>
  <c r="AG114" i="4"/>
  <c r="AI113" i="4"/>
  <c r="AH114" i="4"/>
  <c r="AJ113" i="4"/>
  <c r="I96" i="45"/>
  <c r="I97" i="46"/>
  <c r="U84" i="41"/>
  <c r="T84" i="38"/>
  <c r="W83" i="38"/>
  <c r="BU83" i="38"/>
  <c r="T82" i="46"/>
  <c r="W82" i="46" s="1"/>
  <c r="W82" i="41"/>
  <c r="T82" i="45"/>
  <c r="V82" i="41"/>
  <c r="A97" i="6"/>
  <c r="A97" i="4"/>
  <c r="A97" i="7"/>
  <c r="A97" i="41"/>
  <c r="A97" i="38"/>
  <c r="CV97" i="38" s="1"/>
  <c r="A98" i="55"/>
  <c r="A97" i="46"/>
  <c r="O97" i="46" s="1"/>
  <c r="A97" i="45"/>
  <c r="O97" i="45" s="1"/>
  <c r="E95" i="41"/>
  <c r="S95" i="46"/>
  <c r="P95" i="46"/>
  <c r="Q95" i="46" s="1"/>
  <c r="R96" i="46" s="1"/>
  <c r="AI95" i="46"/>
  <c r="CI95" i="38"/>
  <c r="BQ95" i="41" s="1"/>
  <c r="EY96" i="38"/>
  <c r="M96" i="38"/>
  <c r="FN96" i="38"/>
  <c r="CW96" i="41" s="1"/>
  <c r="L96" i="38"/>
  <c r="BQ96" i="38"/>
  <c r="K96" i="38"/>
  <c r="FD96" i="38"/>
  <c r="S95" i="45"/>
  <c r="D95" i="41"/>
  <c r="P95" i="45"/>
  <c r="Q95" i="45" s="1"/>
  <c r="R96" i="45" s="1"/>
  <c r="C95" i="41"/>
  <c r="S95" i="38"/>
  <c r="AI95" i="38"/>
  <c r="P95" i="38"/>
  <c r="Q95" i="38" s="1"/>
  <c r="FK96" i="45"/>
  <c r="IR96" i="45" s="1"/>
  <c r="M96" i="45"/>
  <c r="L96" i="45"/>
  <c r="K96" i="45"/>
  <c r="IN95" i="45"/>
  <c r="IO95" i="45"/>
  <c r="IP95" i="45"/>
  <c r="M93" i="41"/>
  <c r="AB94" i="41"/>
  <c r="AF94" i="41" s="1"/>
  <c r="I93" i="41"/>
  <c r="K96" i="46"/>
  <c r="J96" i="46"/>
  <c r="L96" i="46"/>
  <c r="FK96" i="46"/>
  <c r="M96" i="46"/>
  <c r="BS95" i="38"/>
  <c r="FI95" i="38"/>
  <c r="FG95" i="38"/>
  <c r="FH95" i="38"/>
  <c r="G93" i="41"/>
  <c r="Z94" i="41"/>
  <c r="AD94" i="41" s="1"/>
  <c r="K93" i="41"/>
  <c r="H93" i="41"/>
  <c r="L93" i="41"/>
  <c r="CO95" i="38"/>
  <c r="BV95" i="41" s="1"/>
  <c r="IM81" i="46"/>
  <c r="IM53" i="46"/>
  <c r="IM38" i="46"/>
  <c r="IM36" i="46"/>
  <c r="IM77" i="46"/>
  <c r="IM65" i="46"/>
  <c r="IM51" i="46"/>
  <c r="IM48" i="46"/>
  <c r="IN18" i="46"/>
  <c r="IM50" i="46"/>
  <c r="IM63" i="46"/>
  <c r="IM25" i="46"/>
  <c r="IM31" i="46"/>
  <c r="IM57" i="46"/>
  <c r="IM42" i="46"/>
  <c r="IM40" i="46"/>
  <c r="IM89" i="46"/>
  <c r="IM93" i="46"/>
  <c r="IM74" i="46"/>
  <c r="IM60" i="46"/>
  <c r="IM22" i="46"/>
  <c r="IM20" i="46"/>
  <c r="IM80" i="46"/>
  <c r="IM72" i="46"/>
  <c r="IM34" i="46"/>
  <c r="IM32" i="46"/>
  <c r="IM76" i="46"/>
  <c r="IM61" i="46"/>
  <c r="IM46" i="46"/>
  <c r="IM44" i="46"/>
  <c r="IM78" i="46"/>
  <c r="IM64" i="46"/>
  <c r="IM26" i="46"/>
  <c r="IM24" i="46"/>
  <c r="IM83" i="46"/>
  <c r="IM84" i="46"/>
  <c r="IM85" i="46"/>
  <c r="IM58" i="46"/>
  <c r="IM71" i="46"/>
  <c r="IM33" i="46"/>
  <c r="IM39" i="46"/>
  <c r="IM70" i="46"/>
  <c r="IM56" i="46"/>
  <c r="IM45" i="46"/>
  <c r="IM6" i="46"/>
  <c r="IM79" i="46"/>
  <c r="IM68" i="46"/>
  <c r="IM30" i="46"/>
  <c r="IM28" i="46"/>
  <c r="IM62" i="46"/>
  <c r="IM75" i="46"/>
  <c r="IM37" i="46"/>
  <c r="IM43" i="46"/>
  <c r="IM82" i="46"/>
  <c r="IM88" i="46"/>
  <c r="IM90" i="46"/>
  <c r="IM91" i="46"/>
  <c r="IM92" i="46"/>
  <c r="IM69" i="46"/>
  <c r="IM55" i="46"/>
  <c r="IM49" i="46"/>
  <c r="IM23" i="46"/>
  <c r="IM54" i="46"/>
  <c r="IM67" i="46"/>
  <c r="IM29" i="46"/>
  <c r="IM35" i="46"/>
  <c r="IM66" i="46"/>
  <c r="IM52" i="46"/>
  <c r="IM41" i="46"/>
  <c r="IM47" i="46"/>
  <c r="IM73" i="46"/>
  <c r="IM59" i="46"/>
  <c r="IM21" i="46"/>
  <c r="IM27" i="46"/>
  <c r="IM86" i="46"/>
  <c r="IM87" i="46"/>
  <c r="IM94" i="46"/>
  <c r="IR80" i="45"/>
  <c r="IR62" i="45"/>
  <c r="IR54" i="45"/>
  <c r="IR30" i="45"/>
  <c r="IR86" i="45"/>
  <c r="IR63" i="45"/>
  <c r="IR51" i="45"/>
  <c r="IR43" i="45"/>
  <c r="IR23" i="45"/>
  <c r="IR85" i="45"/>
  <c r="IR57" i="45"/>
  <c r="IR41" i="45"/>
  <c r="IR21" i="45"/>
  <c r="IR77" i="45"/>
  <c r="IR66" i="45"/>
  <c r="IR58" i="45"/>
  <c r="IR35" i="45"/>
  <c r="IR90" i="45"/>
  <c r="IR75" i="45"/>
  <c r="IR61" i="45"/>
  <c r="IR38" i="45"/>
  <c r="IR29" i="45"/>
  <c r="IR76" i="45"/>
  <c r="IR73" i="45"/>
  <c r="IR50" i="45"/>
  <c r="IR26" i="45"/>
  <c r="IR83" i="45"/>
  <c r="IR68" i="45"/>
  <c r="IR48" i="45"/>
  <c r="IR40" i="45"/>
  <c r="IR20" i="45"/>
  <c r="IR79" i="45"/>
  <c r="IR65" i="45"/>
  <c r="IR42" i="45"/>
  <c r="IR34" i="45"/>
  <c r="IR92" i="45"/>
  <c r="IR78" i="45"/>
  <c r="IR56" i="45"/>
  <c r="IR33" i="45"/>
  <c r="IR28" i="45"/>
  <c r="IR71" i="45"/>
  <c r="IR60" i="45"/>
  <c r="IR45" i="45"/>
  <c r="IR25" i="45"/>
  <c r="IR81" i="45"/>
  <c r="IR70" i="45"/>
  <c r="IR47" i="45"/>
  <c r="IR39" i="45"/>
  <c r="IS18" i="45"/>
  <c r="IR82" i="45"/>
  <c r="IR53" i="45"/>
  <c r="IR37" i="45"/>
  <c r="IR32" i="45"/>
  <c r="IR88" i="45"/>
  <c r="IR6" i="45"/>
  <c r="IR67" i="45"/>
  <c r="IR55" i="45"/>
  <c r="IR49" i="45"/>
  <c r="IR27" i="45"/>
  <c r="IR74" i="45"/>
  <c r="IR52" i="45"/>
  <c r="IR44" i="45"/>
  <c r="IR24" i="45"/>
  <c r="IR72" i="45"/>
  <c r="IR69" i="45"/>
  <c r="IR46" i="45"/>
  <c r="IR22" i="45"/>
  <c r="IR84" i="45"/>
  <c r="IR64" i="45"/>
  <c r="IR59" i="45"/>
  <c r="IR36" i="45"/>
  <c r="IR31" i="45"/>
  <c r="IR87" i="45"/>
  <c r="IR89" i="45"/>
  <c r="IR91" i="45"/>
  <c r="IR93" i="45"/>
  <c r="IR94" i="45"/>
  <c r="IR95" i="45"/>
  <c r="IN65" i="38"/>
  <c r="IN56" i="38"/>
  <c r="IN33" i="38"/>
  <c r="IN74" i="38"/>
  <c r="IN59" i="38"/>
  <c r="IN37" i="38"/>
  <c r="IN35" i="38"/>
  <c r="IN67" i="38"/>
  <c r="IN54" i="38"/>
  <c r="IN38" i="38"/>
  <c r="IN30" i="38"/>
  <c r="IN63" i="38"/>
  <c r="IN50" i="38"/>
  <c r="IN34" i="38"/>
  <c r="IN22" i="38"/>
  <c r="IN73" i="38"/>
  <c r="IN60" i="38"/>
  <c r="IN41" i="38"/>
  <c r="IN20" i="38"/>
  <c r="IN71" i="38"/>
  <c r="IN58" i="38"/>
  <c r="IN42" i="38"/>
  <c r="IO18" i="38"/>
  <c r="IN62" i="38"/>
  <c r="IN53" i="38"/>
  <c r="IN21" i="38"/>
  <c r="IN26" i="38"/>
  <c r="IN69" i="38"/>
  <c r="IN49" i="38"/>
  <c r="IN39" i="38"/>
  <c r="IN72" i="38"/>
  <c r="IN36" i="38"/>
  <c r="IN66" i="38"/>
  <c r="IN25" i="38"/>
  <c r="IN68" i="38"/>
  <c r="IN28" i="38"/>
  <c r="IN64" i="38"/>
  <c r="IN24" i="38"/>
  <c r="IN79" i="38"/>
  <c r="IN83" i="38"/>
  <c r="IN89" i="38"/>
  <c r="IN90" i="38"/>
  <c r="IN91" i="38"/>
  <c r="IN70" i="38"/>
  <c r="IN29" i="38"/>
  <c r="IN61" i="38"/>
  <c r="IN32" i="38"/>
  <c r="IN55" i="38"/>
  <c r="IN31" i="38"/>
  <c r="IN51" i="38"/>
  <c r="IN27" i="38"/>
  <c r="IN78" i="38"/>
  <c r="IN84" i="38"/>
  <c r="IN86" i="38"/>
  <c r="IN47" i="38"/>
  <c r="IN23" i="38"/>
  <c r="IN57" i="38"/>
  <c r="IN43" i="38"/>
  <c r="IN48" i="38"/>
  <c r="IN77" i="38"/>
  <c r="IN45" i="38"/>
  <c r="IN80" i="38"/>
  <c r="IN81" i="38"/>
  <c r="IN82" i="38"/>
  <c r="IN85" i="38"/>
  <c r="IN92" i="38"/>
  <c r="IN46" i="38"/>
  <c r="IN6" i="38"/>
  <c r="IN52" i="38"/>
  <c r="IN75" i="38"/>
  <c r="IN44" i="38"/>
  <c r="IN76" i="38"/>
  <c r="IN40" i="38"/>
  <c r="IN87" i="38"/>
  <c r="IN88" i="38"/>
  <c r="CW97" i="38" l="1"/>
  <c r="DB97" i="38" s="1"/>
  <c r="CY97" i="38"/>
  <c r="DD97" i="38" s="1"/>
  <c r="R96" i="38"/>
  <c r="I97" i="38"/>
  <c r="O97" i="38"/>
  <c r="J96" i="38"/>
  <c r="CO96" i="38" s="1"/>
  <c r="BV96" i="41" s="1"/>
  <c r="AH115" i="4"/>
  <c r="AJ114" i="4"/>
  <c r="AG115" i="4"/>
  <c r="AI114" i="4"/>
  <c r="I97" i="45"/>
  <c r="I98" i="45" s="1"/>
  <c r="U85" i="41"/>
  <c r="T85" i="38"/>
  <c r="BU84" i="38"/>
  <c r="BV84" i="38" s="1"/>
  <c r="W84" i="38"/>
  <c r="BV83" i="38"/>
  <c r="T83" i="46"/>
  <c r="W83" i="46" s="1"/>
  <c r="W83" i="41"/>
  <c r="T83" i="45"/>
  <c r="V83" i="41"/>
  <c r="M97" i="45"/>
  <c r="K97" i="45"/>
  <c r="FK97" i="45"/>
  <c r="IS97" i="45" s="1"/>
  <c r="L97" i="45"/>
  <c r="S96" i="46"/>
  <c r="P96" i="46"/>
  <c r="Q96" i="46" s="1"/>
  <c r="R97" i="46" s="1"/>
  <c r="AI96" i="46"/>
  <c r="E96" i="41"/>
  <c r="D96" i="41"/>
  <c r="S96" i="45"/>
  <c r="P96" i="45"/>
  <c r="Q96" i="45" s="1"/>
  <c r="R97" i="45" s="1"/>
  <c r="L94" i="41"/>
  <c r="H94" i="41"/>
  <c r="AI96" i="38"/>
  <c r="P96" i="38"/>
  <c r="Q96" i="38" s="1"/>
  <c r="R97" i="38" s="1"/>
  <c r="C96" i="41"/>
  <c r="S96" i="38"/>
  <c r="J97" i="46"/>
  <c r="FK97" i="46"/>
  <c r="K97" i="46"/>
  <c r="M97" i="46"/>
  <c r="L97" i="46"/>
  <c r="Z95" i="41"/>
  <c r="AD95" i="41" s="1"/>
  <c r="K94" i="41"/>
  <c r="G94" i="41"/>
  <c r="A98" i="41"/>
  <c r="A98" i="38"/>
  <c r="CV98" i="38" s="1"/>
  <c r="A98" i="46"/>
  <c r="O98" i="46" s="1"/>
  <c r="A98" i="7"/>
  <c r="A98" i="45"/>
  <c r="O98" i="45" s="1"/>
  <c r="A98" i="4"/>
  <c r="A99" i="55"/>
  <c r="A98" i="6"/>
  <c r="IP96" i="45"/>
  <c r="IQ96" i="45"/>
  <c r="IO96" i="45"/>
  <c r="BS96" i="38"/>
  <c r="FI96" i="38"/>
  <c r="FH96" i="38"/>
  <c r="FG96" i="38"/>
  <c r="AB95" i="41"/>
  <c r="AF95" i="41" s="1"/>
  <c r="I94" i="41"/>
  <c r="M94" i="41"/>
  <c r="L97" i="38"/>
  <c r="FN97" i="38"/>
  <c r="CW97" i="41" s="1"/>
  <c r="EY97" i="38"/>
  <c r="K97" i="38"/>
  <c r="FD97" i="38"/>
  <c r="BQ97" i="38"/>
  <c r="M97" i="38"/>
  <c r="IN69" i="46"/>
  <c r="IN55" i="46"/>
  <c r="IN49" i="46"/>
  <c r="IN23" i="46"/>
  <c r="IN65" i="46"/>
  <c r="IN51" i="46"/>
  <c r="IN48" i="46"/>
  <c r="IO18" i="46"/>
  <c r="IN61" i="46"/>
  <c r="IN74" i="46"/>
  <c r="IN44" i="46"/>
  <c r="IN46" i="46"/>
  <c r="IN57" i="46"/>
  <c r="IN70" i="46"/>
  <c r="IN40" i="46"/>
  <c r="IN42" i="46"/>
  <c r="IN86" i="46"/>
  <c r="IN87" i="46"/>
  <c r="IN94" i="46"/>
  <c r="IN95" i="46"/>
  <c r="IN53" i="46"/>
  <c r="IN66" i="46"/>
  <c r="IN36" i="46"/>
  <c r="IN38" i="46"/>
  <c r="IN72" i="46"/>
  <c r="IN62" i="46"/>
  <c r="IN32" i="46"/>
  <c r="IN34" i="46"/>
  <c r="IN68" i="46"/>
  <c r="IN58" i="46"/>
  <c r="IN28" i="46"/>
  <c r="IN30" i="46"/>
  <c r="IN64" i="46"/>
  <c r="IN54" i="46"/>
  <c r="IN24" i="46"/>
  <c r="IN26" i="46"/>
  <c r="IN89" i="46"/>
  <c r="IN93" i="46"/>
  <c r="IN78" i="46"/>
  <c r="IN60" i="46"/>
  <c r="IN50" i="46"/>
  <c r="IN20" i="46"/>
  <c r="IN22" i="46"/>
  <c r="IN56" i="46"/>
  <c r="IN45" i="46"/>
  <c r="IN6" i="46"/>
  <c r="IN80" i="46"/>
  <c r="IN52" i="46"/>
  <c r="IN41" i="46"/>
  <c r="IN47" i="46"/>
  <c r="IN79" i="46"/>
  <c r="IN75" i="46"/>
  <c r="IN37" i="46"/>
  <c r="IN43" i="46"/>
  <c r="IN83" i="46"/>
  <c r="IN84" i="46"/>
  <c r="IN85" i="46"/>
  <c r="IN81" i="46"/>
  <c r="IN71" i="46"/>
  <c r="IN33" i="46"/>
  <c r="IN39" i="46"/>
  <c r="IN77" i="46"/>
  <c r="IN67" i="46"/>
  <c r="IN29" i="46"/>
  <c r="IN35" i="46"/>
  <c r="IN76" i="46"/>
  <c r="IN63" i="46"/>
  <c r="IN25" i="46"/>
  <c r="IN31" i="46"/>
  <c r="IN73" i="46"/>
  <c r="IN59" i="46"/>
  <c r="IN21" i="46"/>
  <c r="IN27" i="46"/>
  <c r="IN82" i="46"/>
  <c r="IN88" i="46"/>
  <c r="IN90" i="46"/>
  <c r="IN91" i="46"/>
  <c r="IN92" i="46"/>
  <c r="IO72" i="38"/>
  <c r="IO58" i="38"/>
  <c r="IO36" i="38"/>
  <c r="IO23" i="38"/>
  <c r="IO66" i="38"/>
  <c r="IO53" i="38"/>
  <c r="IO37" i="38"/>
  <c r="IO42" i="38"/>
  <c r="IO67" i="38"/>
  <c r="IO44" i="38"/>
  <c r="IO31" i="38"/>
  <c r="IO76" i="38"/>
  <c r="IO63" i="38"/>
  <c r="IO40" i="38"/>
  <c r="IO27" i="38"/>
  <c r="IO70" i="38"/>
  <c r="IO57" i="38"/>
  <c r="IO41" i="38"/>
  <c r="IO22" i="38"/>
  <c r="IO61" i="38"/>
  <c r="IO48" i="38"/>
  <c r="IO24" i="38"/>
  <c r="IO25" i="38"/>
  <c r="IO50" i="38"/>
  <c r="IO39" i="38"/>
  <c r="IO30" i="38"/>
  <c r="IO75" i="38"/>
  <c r="IO46" i="38"/>
  <c r="IO45" i="38"/>
  <c r="IO26" i="38"/>
  <c r="IO65" i="38"/>
  <c r="IO28" i="38"/>
  <c r="IO71" i="38"/>
  <c r="IO34" i="38"/>
  <c r="IO49" i="38"/>
  <c r="IO29" i="38"/>
  <c r="IO56" i="38"/>
  <c r="IO21" i="38"/>
  <c r="IO87" i="38"/>
  <c r="IO88" i="38"/>
  <c r="IO60" i="38"/>
  <c r="IO35" i="38"/>
  <c r="IO54" i="38"/>
  <c r="IP18" i="38"/>
  <c r="IO59" i="38"/>
  <c r="IO77" i="38"/>
  <c r="IO55" i="38"/>
  <c r="IO79" i="38"/>
  <c r="IO83" i="38"/>
  <c r="IO89" i="38"/>
  <c r="IO90" i="38"/>
  <c r="IO91" i="38"/>
  <c r="IO93" i="38"/>
  <c r="IO78" i="38"/>
  <c r="IO52" i="38"/>
  <c r="IO6" i="38"/>
  <c r="IO47" i="38"/>
  <c r="IO62" i="38"/>
  <c r="IO33" i="38"/>
  <c r="IO69" i="38"/>
  <c r="IO32" i="38"/>
  <c r="IO84" i="38"/>
  <c r="IO86" i="38"/>
  <c r="IO73" i="38"/>
  <c r="IO51" i="38"/>
  <c r="IO74" i="38"/>
  <c r="IO43" i="38"/>
  <c r="IO68" i="38"/>
  <c r="IO20" i="38"/>
  <c r="IO64" i="38"/>
  <c r="IO38" i="38"/>
  <c r="IO80" i="38"/>
  <c r="IO81" i="38"/>
  <c r="IO82" i="38"/>
  <c r="IO85" i="38"/>
  <c r="IO92" i="38"/>
  <c r="IS87" i="45"/>
  <c r="IS72" i="45"/>
  <c r="IS58" i="45"/>
  <c r="IS46" i="45"/>
  <c r="IS33" i="45"/>
  <c r="IS78" i="45"/>
  <c r="IS60" i="45"/>
  <c r="IS48" i="45"/>
  <c r="IS24" i="45"/>
  <c r="IS75" i="45"/>
  <c r="IS61" i="45"/>
  <c r="IS45" i="45"/>
  <c r="IS21" i="45"/>
  <c r="IS6" i="45"/>
  <c r="IS81" i="45"/>
  <c r="IS52" i="45"/>
  <c r="IS40" i="45"/>
  <c r="IS31" i="45"/>
  <c r="IS89" i="45"/>
  <c r="IS91" i="45"/>
  <c r="IS93" i="45"/>
  <c r="IS94" i="45"/>
  <c r="IS95" i="45"/>
  <c r="IS84" i="45"/>
  <c r="IS69" i="45"/>
  <c r="IS53" i="45"/>
  <c r="IS29" i="45"/>
  <c r="IS83" i="45"/>
  <c r="IS73" i="45"/>
  <c r="IS55" i="45"/>
  <c r="IS43" i="45"/>
  <c r="IS23" i="45"/>
  <c r="IS74" i="45"/>
  <c r="IS56" i="45"/>
  <c r="IS44" i="45"/>
  <c r="IS20" i="45"/>
  <c r="IS86" i="45"/>
  <c r="IS63" i="45"/>
  <c r="IS47" i="45"/>
  <c r="IS35" i="45"/>
  <c r="IS22" i="45"/>
  <c r="IS90" i="45"/>
  <c r="IS96" i="45"/>
  <c r="IS82" i="45"/>
  <c r="IS64" i="45"/>
  <c r="IS37" i="45"/>
  <c r="IS28" i="45"/>
  <c r="IS85" i="45"/>
  <c r="IS70" i="45"/>
  <c r="IS54" i="45"/>
  <c r="IS42" i="45"/>
  <c r="IS30" i="45"/>
  <c r="IS67" i="45"/>
  <c r="IS51" i="45"/>
  <c r="IS39" i="45"/>
  <c r="IT18" i="45"/>
  <c r="IS76" i="45"/>
  <c r="IS62" i="45"/>
  <c r="IS57" i="45"/>
  <c r="IS34" i="45"/>
  <c r="IS92" i="45"/>
  <c r="IS77" i="45"/>
  <c r="IS59" i="45"/>
  <c r="IS36" i="45"/>
  <c r="IS27" i="45"/>
  <c r="IS79" i="45"/>
  <c r="IS65" i="45"/>
  <c r="IS49" i="45"/>
  <c r="IS25" i="45"/>
  <c r="IS80" i="45"/>
  <c r="IS66" i="45"/>
  <c r="IS50" i="45"/>
  <c r="IS38" i="45"/>
  <c r="IS26" i="45"/>
  <c r="IS71" i="45"/>
  <c r="IS68" i="45"/>
  <c r="IS41" i="45"/>
  <c r="IS32" i="45"/>
  <c r="IS88" i="45"/>
  <c r="CY98" i="38" l="1"/>
  <c r="DD98" i="38" s="1"/>
  <c r="CW98" i="38"/>
  <c r="DB98" i="38" s="1"/>
  <c r="O98" i="38"/>
  <c r="CI96" i="38"/>
  <c r="BQ96" i="41" s="1"/>
  <c r="I98" i="38"/>
  <c r="AG116" i="4"/>
  <c r="AI115" i="4"/>
  <c r="AH116" i="4"/>
  <c r="AJ115" i="4"/>
  <c r="I98" i="46"/>
  <c r="J98" i="46" s="1"/>
  <c r="U86" i="41"/>
  <c r="T86" i="38"/>
  <c r="BU85" i="38"/>
  <c r="W85" i="38"/>
  <c r="T84" i="46"/>
  <c r="W84" i="46" s="1"/>
  <c r="W84" i="41"/>
  <c r="V84" i="41"/>
  <c r="T84" i="45"/>
  <c r="FI97" i="38"/>
  <c r="FG97" i="38"/>
  <c r="FH97" i="38"/>
  <c r="J97" i="38"/>
  <c r="CI97" i="38" s="1"/>
  <c r="BQ97" i="41" s="1"/>
  <c r="BS97" i="38"/>
  <c r="A99" i="7"/>
  <c r="A99" i="38"/>
  <c r="CV99" i="38" s="1"/>
  <c r="A99" i="46"/>
  <c r="O99" i="46" s="1"/>
  <c r="A99" i="41"/>
  <c r="A99" i="4"/>
  <c r="A100" i="55"/>
  <c r="A99" i="6"/>
  <c r="A99" i="45"/>
  <c r="O99" i="45" s="1"/>
  <c r="FK98" i="46"/>
  <c r="L98" i="46"/>
  <c r="M98" i="46"/>
  <c r="K98" i="46"/>
  <c r="Z96" i="41"/>
  <c r="AD96" i="41" s="1"/>
  <c r="G95" i="41"/>
  <c r="K95" i="41"/>
  <c r="BQ98" i="38"/>
  <c r="L98" i="38"/>
  <c r="J98" i="38"/>
  <c r="K98" i="38"/>
  <c r="EY98" i="38"/>
  <c r="FN98" i="38"/>
  <c r="CW98" i="41" s="1"/>
  <c r="M98" i="38"/>
  <c r="FD98" i="38"/>
  <c r="AB96" i="41"/>
  <c r="AF96" i="41" s="1"/>
  <c r="I95" i="41"/>
  <c r="M95" i="41"/>
  <c r="FK98" i="45"/>
  <c r="M98" i="45"/>
  <c r="L98" i="45"/>
  <c r="K98" i="45"/>
  <c r="IQ97" i="45"/>
  <c r="IR97" i="45"/>
  <c r="IP97" i="45"/>
  <c r="D97" i="41"/>
  <c r="S97" i="45"/>
  <c r="P97" i="45"/>
  <c r="Q97" i="45" s="1"/>
  <c r="R98" i="45" s="1"/>
  <c r="P97" i="38"/>
  <c r="Q97" i="38" s="1"/>
  <c r="AI97" i="38"/>
  <c r="C97" i="41"/>
  <c r="S97" i="38"/>
  <c r="P97" i="46"/>
  <c r="Q97" i="46" s="1"/>
  <c r="R98" i="46" s="1"/>
  <c r="AI97" i="46"/>
  <c r="S97" i="46"/>
  <c r="E97" i="41"/>
  <c r="L95" i="41"/>
  <c r="H95" i="41"/>
  <c r="IP67" i="38"/>
  <c r="IP31" i="38"/>
  <c r="IP74" i="38"/>
  <c r="IP42" i="38"/>
  <c r="IP20" i="38"/>
  <c r="IP51" i="38"/>
  <c r="IP6" i="38"/>
  <c r="IP38" i="38"/>
  <c r="IP33" i="38"/>
  <c r="IP24" i="38"/>
  <c r="IP80" i="38"/>
  <c r="IP81" i="38"/>
  <c r="IP82" i="38"/>
  <c r="IP85" i="38"/>
  <c r="IP92" i="38"/>
  <c r="IP73" i="38"/>
  <c r="IP66" i="38"/>
  <c r="IP52" i="38"/>
  <c r="IP39" i="38"/>
  <c r="IP23" i="38"/>
  <c r="IP22" i="38"/>
  <c r="IP72" i="38"/>
  <c r="IP61" i="38"/>
  <c r="IP63" i="38"/>
  <c r="IP58" i="38"/>
  <c r="IP44" i="38"/>
  <c r="IP77" i="38"/>
  <c r="IP68" i="38"/>
  <c r="IP49" i="38"/>
  <c r="IP54" i="38"/>
  <c r="IP34" i="38"/>
  <c r="IP30" i="38"/>
  <c r="IP32" i="38"/>
  <c r="IP65" i="38"/>
  <c r="IP56" i="38"/>
  <c r="IP26" i="38"/>
  <c r="IP87" i="38"/>
  <c r="IP88" i="38"/>
  <c r="IP59" i="38"/>
  <c r="IP25" i="38"/>
  <c r="IP62" i="38"/>
  <c r="IQ18" i="38"/>
  <c r="IP70" i="38"/>
  <c r="IP27" i="38"/>
  <c r="IP64" i="38"/>
  <c r="IP50" i="38"/>
  <c r="IP36" i="38"/>
  <c r="IP41" i="38"/>
  <c r="IP79" i="38"/>
  <c r="IP83" i="38"/>
  <c r="IP89" i="38"/>
  <c r="IP90" i="38"/>
  <c r="IP91" i="38"/>
  <c r="IP93" i="38"/>
  <c r="IP78" i="38"/>
  <c r="IP53" i="38"/>
  <c r="IP47" i="38"/>
  <c r="IP35" i="38"/>
  <c r="IP37" i="38"/>
  <c r="IP28" i="38"/>
  <c r="IP75" i="38"/>
  <c r="IP60" i="38"/>
  <c r="IP55" i="38"/>
  <c r="IP46" i="38"/>
  <c r="IP21" i="38"/>
  <c r="IP69" i="38"/>
  <c r="IP57" i="38"/>
  <c r="IP48" i="38"/>
  <c r="IP40" i="38"/>
  <c r="IP45" i="38"/>
  <c r="IP29" i="38"/>
  <c r="IP76" i="38"/>
  <c r="IP71" i="38"/>
  <c r="IP43" i="38"/>
  <c r="IP84" i="38"/>
  <c r="IP86" i="38"/>
  <c r="IP94" i="38"/>
  <c r="IT73" i="45"/>
  <c r="IT63" i="45"/>
  <c r="IT36" i="45"/>
  <c r="IT31" i="45"/>
  <c r="IT80" i="45"/>
  <c r="IT59" i="45"/>
  <c r="IT43" i="45"/>
  <c r="IT27" i="45"/>
  <c r="IT88" i="45"/>
  <c r="IT70" i="45"/>
  <c r="IT50" i="45"/>
  <c r="IT38" i="45"/>
  <c r="IT26" i="45"/>
  <c r="IT82" i="45"/>
  <c r="IT61" i="45"/>
  <c r="IT52" i="45"/>
  <c r="IT33" i="45"/>
  <c r="IT97" i="45"/>
  <c r="IT85" i="45"/>
  <c r="IT75" i="45"/>
  <c r="IT58" i="45"/>
  <c r="IT46" i="45"/>
  <c r="IT29" i="45"/>
  <c r="IT71" i="45"/>
  <c r="IT54" i="45"/>
  <c r="IT42" i="45"/>
  <c r="IT30" i="45"/>
  <c r="IT79" i="45"/>
  <c r="IT65" i="45"/>
  <c r="IT56" i="45"/>
  <c r="IT37" i="45"/>
  <c r="IT21" i="45"/>
  <c r="IT77" i="45"/>
  <c r="IT67" i="45"/>
  <c r="IT40" i="45"/>
  <c r="IT20" i="45"/>
  <c r="IT89" i="45"/>
  <c r="IT91" i="45"/>
  <c r="IT93" i="45"/>
  <c r="IT94" i="45"/>
  <c r="IT95" i="45"/>
  <c r="IT87" i="45"/>
  <c r="IT62" i="45"/>
  <c r="IT53" i="45"/>
  <c r="IT45" i="45"/>
  <c r="IT83" i="45"/>
  <c r="IT69" i="45"/>
  <c r="IT49" i="45"/>
  <c r="IT41" i="45"/>
  <c r="IT25" i="45"/>
  <c r="IT81" i="45"/>
  <c r="IT60" i="45"/>
  <c r="IT44" i="45"/>
  <c r="IT24" i="45"/>
  <c r="IT6" i="45"/>
  <c r="IT72" i="45"/>
  <c r="IT51" i="45"/>
  <c r="IT35" i="45"/>
  <c r="IU18" i="45"/>
  <c r="IT90" i="45"/>
  <c r="IT96" i="45"/>
  <c r="IT78" i="45"/>
  <c r="IT68" i="45"/>
  <c r="IT48" i="45"/>
  <c r="IT32" i="45"/>
  <c r="IT74" i="45"/>
  <c r="IT64" i="45"/>
  <c r="IT47" i="45"/>
  <c r="IT28" i="45"/>
  <c r="IT86" i="45"/>
  <c r="IT76" i="45"/>
  <c r="IT55" i="45"/>
  <c r="IT39" i="45"/>
  <c r="IT23" i="45"/>
  <c r="IT84" i="45"/>
  <c r="IT66" i="45"/>
  <c r="IT57" i="45"/>
  <c r="IT34" i="45"/>
  <c r="IT22" i="45"/>
  <c r="IT92" i="45"/>
  <c r="IO68" i="46"/>
  <c r="IO58" i="46"/>
  <c r="IO24" i="46"/>
  <c r="IO26" i="46"/>
  <c r="IO64" i="46"/>
  <c r="IO54" i="46"/>
  <c r="IO20" i="46"/>
  <c r="IO22" i="46"/>
  <c r="IO76" i="46"/>
  <c r="IO66" i="46"/>
  <c r="IO32" i="46"/>
  <c r="IO34" i="46"/>
  <c r="IO81" i="46"/>
  <c r="IO51" i="46"/>
  <c r="IO44" i="46"/>
  <c r="IO46" i="46"/>
  <c r="IO88" i="46"/>
  <c r="IO90" i="46"/>
  <c r="IO91" i="46"/>
  <c r="IO92" i="46"/>
  <c r="IO52" i="46"/>
  <c r="IO69" i="46"/>
  <c r="IO43" i="46"/>
  <c r="IO37" i="46"/>
  <c r="IO75" i="46"/>
  <c r="IO65" i="46"/>
  <c r="IO39" i="46"/>
  <c r="IO33" i="46"/>
  <c r="IO60" i="46"/>
  <c r="IO50" i="46"/>
  <c r="IO6" i="46"/>
  <c r="IO45" i="46"/>
  <c r="IO72" i="46"/>
  <c r="IO62" i="46"/>
  <c r="IO28" i="46"/>
  <c r="IO30" i="46"/>
  <c r="IO86" i="46"/>
  <c r="IO87" i="46"/>
  <c r="IO94" i="46"/>
  <c r="IO95" i="46"/>
  <c r="IO63" i="46"/>
  <c r="IO53" i="46"/>
  <c r="IO27" i="46"/>
  <c r="IO21" i="46"/>
  <c r="IO59" i="46"/>
  <c r="IO49" i="46"/>
  <c r="IO23" i="46"/>
  <c r="IO79" i="46"/>
  <c r="IO71" i="46"/>
  <c r="IO61" i="46"/>
  <c r="IO35" i="46"/>
  <c r="IO29" i="46"/>
  <c r="IO56" i="46"/>
  <c r="IO73" i="46"/>
  <c r="IO47" i="46"/>
  <c r="IO41" i="46"/>
  <c r="IO89" i="46"/>
  <c r="IO93" i="46"/>
  <c r="IO77" i="46"/>
  <c r="IO74" i="46"/>
  <c r="IO40" i="46"/>
  <c r="IO42" i="46"/>
  <c r="IO80" i="46"/>
  <c r="IO70" i="46"/>
  <c r="IO36" i="46"/>
  <c r="IO38" i="46"/>
  <c r="IO82" i="46"/>
  <c r="IO55" i="46"/>
  <c r="IO48" i="46"/>
  <c r="IP18" i="46"/>
  <c r="IO78" i="46"/>
  <c r="IO67" i="46"/>
  <c r="IO57" i="46"/>
  <c r="IO31" i="46"/>
  <c r="IO25" i="46"/>
  <c r="IO83" i="46"/>
  <c r="IO84" i="46"/>
  <c r="IO85" i="46"/>
  <c r="IO96" i="46"/>
  <c r="CW99" i="38" l="1"/>
  <c r="DB99" i="38" s="1"/>
  <c r="CY99" i="38"/>
  <c r="DD99" i="38" s="1"/>
  <c r="R98" i="38"/>
  <c r="O99" i="38"/>
  <c r="I99" i="38"/>
  <c r="AH117" i="4"/>
  <c r="AJ116" i="4"/>
  <c r="AG117" i="4"/>
  <c r="AI116" i="4"/>
  <c r="I99" i="46"/>
  <c r="I99" i="45"/>
  <c r="I100" i="45" s="1"/>
  <c r="T87" i="38"/>
  <c r="U87" i="41"/>
  <c r="W86" i="38"/>
  <c r="BU86" i="38"/>
  <c r="BV86" i="38" s="1"/>
  <c r="BV85" i="38"/>
  <c r="T85" i="46"/>
  <c r="W85" i="46" s="1"/>
  <c r="W85" i="41"/>
  <c r="V85" i="41"/>
  <c r="T85" i="45"/>
  <c r="BS98" i="38"/>
  <c r="CO97" i="38"/>
  <c r="BV97" i="41" s="1"/>
  <c r="Z97" i="41"/>
  <c r="AD97" i="41" s="1"/>
  <c r="K96" i="41"/>
  <c r="G96" i="41"/>
  <c r="H96" i="41"/>
  <c r="L96" i="41"/>
  <c r="FI98" i="38"/>
  <c r="FG98" i="38"/>
  <c r="FH98" i="38"/>
  <c r="CI98" i="38"/>
  <c r="BQ98" i="41" s="1"/>
  <c r="C98" i="41"/>
  <c r="S98" i="38"/>
  <c r="P98" i="38"/>
  <c r="Q98" i="38" s="1"/>
  <c r="AI98" i="38"/>
  <c r="IR98" i="45"/>
  <c r="IQ98" i="45"/>
  <c r="IS98" i="45"/>
  <c r="FK99" i="45"/>
  <c r="IU99" i="45" s="1"/>
  <c r="M99" i="45"/>
  <c r="K99" i="45"/>
  <c r="L99" i="45"/>
  <c r="IT98" i="45"/>
  <c r="AB97" i="41"/>
  <c r="AF97" i="41" s="1"/>
  <c r="M96" i="41"/>
  <c r="I96" i="41"/>
  <c r="E98" i="41"/>
  <c r="P98" i="46"/>
  <c r="Q98" i="46" s="1"/>
  <c r="R99" i="46" s="1"/>
  <c r="S98" i="46"/>
  <c r="AI98" i="46"/>
  <c r="J99" i="46"/>
  <c r="FK99" i="46"/>
  <c r="M99" i="46"/>
  <c r="L99" i="46"/>
  <c r="K99" i="46"/>
  <c r="P98" i="45"/>
  <c r="Q98" i="45" s="1"/>
  <c r="R99" i="45" s="1"/>
  <c r="D98" i="41"/>
  <c r="S98" i="45"/>
  <c r="A100" i="46"/>
  <c r="O100" i="46" s="1"/>
  <c r="A100" i="4"/>
  <c r="A100" i="38"/>
  <c r="CV100" i="38" s="1"/>
  <c r="A100" i="45"/>
  <c r="O100" i="45" s="1"/>
  <c r="A100" i="7"/>
  <c r="A100" i="6"/>
  <c r="A100" i="41"/>
  <c r="A101" i="55"/>
  <c r="FN99" i="38"/>
  <c r="CW99" i="41" s="1"/>
  <c r="M99" i="38"/>
  <c r="FD99" i="38"/>
  <c r="BQ99" i="38"/>
  <c r="K99" i="38"/>
  <c r="L99" i="38"/>
  <c r="EY99" i="38"/>
  <c r="CO98" i="38"/>
  <c r="BV98" i="41" s="1"/>
  <c r="IU6" i="45"/>
  <c r="IU79" i="45"/>
  <c r="IU54" i="45"/>
  <c r="IU42" i="45"/>
  <c r="IU26" i="45"/>
  <c r="IU84" i="45"/>
  <c r="IU75" i="45"/>
  <c r="IU50" i="45"/>
  <c r="IU38" i="45"/>
  <c r="IU22" i="45"/>
  <c r="IU73" i="45"/>
  <c r="IU71" i="45"/>
  <c r="IU51" i="45"/>
  <c r="IU31" i="45"/>
  <c r="IU80" i="45"/>
  <c r="IU70" i="45"/>
  <c r="IU47" i="45"/>
  <c r="IU27" i="45"/>
  <c r="IU92" i="45"/>
  <c r="IU98" i="45"/>
  <c r="IU88" i="45"/>
  <c r="IU68" i="45"/>
  <c r="IU49" i="45"/>
  <c r="IU41" i="45"/>
  <c r="IU21" i="45"/>
  <c r="IU87" i="45"/>
  <c r="IU64" i="45"/>
  <c r="IU56" i="45"/>
  <c r="IU37" i="45"/>
  <c r="IU32" i="45"/>
  <c r="IU86" i="45"/>
  <c r="IU61" i="45"/>
  <c r="IU35" i="45"/>
  <c r="IU29" i="45"/>
  <c r="IU83" i="45"/>
  <c r="IU58" i="45"/>
  <c r="IU46" i="45"/>
  <c r="IU30" i="45"/>
  <c r="IU97" i="45"/>
  <c r="IU81" i="45"/>
  <c r="IU63" i="45"/>
  <c r="IU59" i="45"/>
  <c r="IU40" i="45"/>
  <c r="IU20" i="45"/>
  <c r="IU77" i="45"/>
  <c r="IU74" i="45"/>
  <c r="IU55" i="45"/>
  <c r="IU36" i="45"/>
  <c r="IU85" i="45"/>
  <c r="IU69" i="45"/>
  <c r="IU57" i="45"/>
  <c r="IU34" i="45"/>
  <c r="IU28" i="45"/>
  <c r="IU65" i="45"/>
  <c r="IU53" i="45"/>
  <c r="IU45" i="45"/>
  <c r="IU25" i="45"/>
  <c r="IU91" i="45"/>
  <c r="IU93" i="45"/>
  <c r="IU94" i="45"/>
  <c r="IU95" i="45"/>
  <c r="IU76" i="45"/>
  <c r="IU66" i="45"/>
  <c r="IU43" i="45"/>
  <c r="IU23" i="45"/>
  <c r="IU89" i="45"/>
  <c r="IU72" i="45"/>
  <c r="IU62" i="45"/>
  <c r="IU39" i="45"/>
  <c r="IV18" i="45"/>
  <c r="IU82" i="45"/>
  <c r="IU60" i="45"/>
  <c r="IU52" i="45"/>
  <c r="IU33" i="45"/>
  <c r="IU78" i="45"/>
  <c r="IU67" i="45"/>
  <c r="IU48" i="45"/>
  <c r="IU44" i="45"/>
  <c r="IU24" i="45"/>
  <c r="IU90" i="45"/>
  <c r="IU96" i="45"/>
  <c r="IP59" i="46"/>
  <c r="IP76" i="46"/>
  <c r="IP42" i="46"/>
  <c r="IP40" i="46"/>
  <c r="IP55" i="46"/>
  <c r="IP72" i="46"/>
  <c r="IP38" i="46"/>
  <c r="IP36" i="46"/>
  <c r="IP83" i="46"/>
  <c r="IP69" i="46"/>
  <c r="IP35" i="46"/>
  <c r="IP29" i="46"/>
  <c r="IP78" i="46"/>
  <c r="IP58" i="46"/>
  <c r="IP47" i="46"/>
  <c r="IP41" i="46"/>
  <c r="IP85" i="46"/>
  <c r="IP96" i="46"/>
  <c r="IP70" i="46"/>
  <c r="IP60" i="46"/>
  <c r="IP26" i="46"/>
  <c r="IP24" i="46"/>
  <c r="IP66" i="46"/>
  <c r="IP56" i="46"/>
  <c r="IP22" i="46"/>
  <c r="IP20" i="46"/>
  <c r="IP67" i="46"/>
  <c r="IP53" i="46"/>
  <c r="IQ18" i="46"/>
  <c r="IP48" i="46"/>
  <c r="IP79" i="46"/>
  <c r="IP65" i="46"/>
  <c r="IP31" i="46"/>
  <c r="IP25" i="46"/>
  <c r="IP88" i="46"/>
  <c r="IP90" i="46"/>
  <c r="IP91" i="46"/>
  <c r="IP92" i="46"/>
  <c r="IP81" i="46"/>
  <c r="IP54" i="46"/>
  <c r="IP43" i="46"/>
  <c r="IP37" i="46"/>
  <c r="IP77" i="46"/>
  <c r="IP73" i="46"/>
  <c r="IP39" i="46"/>
  <c r="IP33" i="46"/>
  <c r="IP82" i="46"/>
  <c r="IP51" i="46"/>
  <c r="IP68" i="46"/>
  <c r="IP34" i="46"/>
  <c r="IP32" i="46"/>
  <c r="IP63" i="46"/>
  <c r="IP49" i="46"/>
  <c r="IP46" i="46"/>
  <c r="IP44" i="46"/>
  <c r="IP84" i="46"/>
  <c r="IP86" i="46"/>
  <c r="IP87" i="46"/>
  <c r="IP94" i="46"/>
  <c r="IP95" i="46"/>
  <c r="IP75" i="46"/>
  <c r="IP61" i="46"/>
  <c r="IP27" i="46"/>
  <c r="IP21" i="46"/>
  <c r="IP71" i="46"/>
  <c r="IP57" i="46"/>
  <c r="IP23" i="46"/>
  <c r="IP50" i="46"/>
  <c r="IP80" i="46"/>
  <c r="IP62" i="46"/>
  <c r="IP52" i="46"/>
  <c r="IP45" i="46"/>
  <c r="IP6" i="46"/>
  <c r="IP74" i="46"/>
  <c r="IP64" i="46"/>
  <c r="IP30" i="46"/>
  <c r="IP28" i="46"/>
  <c r="IP89" i="46"/>
  <c r="IP93" i="46"/>
  <c r="IP97" i="46"/>
  <c r="IQ80" i="38"/>
  <c r="IQ71" i="38"/>
  <c r="IQ58" i="38"/>
  <c r="IQ30" i="38"/>
  <c r="IQ27" i="38"/>
  <c r="IQ67" i="38"/>
  <c r="IQ54" i="38"/>
  <c r="IQ26" i="38"/>
  <c r="IR18" i="38"/>
  <c r="IQ62" i="38"/>
  <c r="IQ49" i="38"/>
  <c r="IQ44" i="38"/>
  <c r="IQ78" i="38"/>
  <c r="IQ69" i="38"/>
  <c r="IQ42" i="38"/>
  <c r="IQ36" i="38"/>
  <c r="IQ84" i="38"/>
  <c r="IQ89" i="38"/>
  <c r="IQ90" i="38"/>
  <c r="IQ93" i="38"/>
  <c r="IQ79" i="38"/>
  <c r="IQ70" i="38"/>
  <c r="IQ57" i="38"/>
  <c r="IQ25" i="38"/>
  <c r="IQ76" i="38"/>
  <c r="IQ66" i="38"/>
  <c r="IQ53" i="38"/>
  <c r="IQ21" i="38"/>
  <c r="IQ72" i="38"/>
  <c r="IQ56" i="38"/>
  <c r="IQ41" i="38"/>
  <c r="IQ24" i="38"/>
  <c r="IQ77" i="38"/>
  <c r="IQ52" i="38"/>
  <c r="IQ37" i="38"/>
  <c r="IQ20" i="38"/>
  <c r="IQ86" i="38"/>
  <c r="IQ94" i="38"/>
  <c r="IQ74" i="38"/>
  <c r="IQ65" i="38"/>
  <c r="IQ38" i="38"/>
  <c r="IQ32" i="38"/>
  <c r="IQ75" i="38"/>
  <c r="IQ61" i="38"/>
  <c r="IQ45" i="38"/>
  <c r="IQ28" i="38"/>
  <c r="IQ64" i="38"/>
  <c r="IQ51" i="38"/>
  <c r="IQ35" i="38"/>
  <c r="IQ23" i="38"/>
  <c r="IQ60" i="38"/>
  <c r="IQ47" i="38"/>
  <c r="IQ40" i="38"/>
  <c r="IQ34" i="38"/>
  <c r="IQ81" i="38"/>
  <c r="IQ82" i="38"/>
  <c r="IQ85" i="38"/>
  <c r="IQ88" i="38"/>
  <c r="IQ92" i="38"/>
  <c r="IQ73" i="38"/>
  <c r="IQ48" i="38"/>
  <c r="IQ43" i="38"/>
  <c r="IQ6" i="38"/>
  <c r="IQ68" i="38"/>
  <c r="IQ55" i="38"/>
  <c r="IQ39" i="38"/>
  <c r="IQ31" i="38"/>
  <c r="IQ63" i="38"/>
  <c r="IQ50" i="38"/>
  <c r="IQ22" i="38"/>
  <c r="IQ33" i="38"/>
  <c r="IQ59" i="38"/>
  <c r="IQ46" i="38"/>
  <c r="IQ29" i="38"/>
  <c r="IQ83" i="38"/>
  <c r="IQ87" i="38"/>
  <c r="IQ91" i="38"/>
  <c r="IQ95" i="38"/>
  <c r="CW100" i="38" l="1"/>
  <c r="DB100" i="38" s="1"/>
  <c r="CY100" i="38"/>
  <c r="DD100" i="38" s="1"/>
  <c r="R99" i="38"/>
  <c r="O100" i="38"/>
  <c r="I100" i="38"/>
  <c r="AG118" i="4"/>
  <c r="AI117" i="4"/>
  <c r="AH118" i="4"/>
  <c r="AJ117" i="4"/>
  <c r="AS101" i="4"/>
  <c r="AO101" i="4"/>
  <c r="AQ101" i="4"/>
  <c r="I100" i="46"/>
  <c r="J100" i="46" s="1"/>
  <c r="T88" i="38"/>
  <c r="U88" i="41"/>
  <c r="W87" i="38"/>
  <c r="BU87" i="38"/>
  <c r="BV87" i="38" s="1"/>
  <c r="V86" i="41"/>
  <c r="T86" i="45"/>
  <c r="T86" i="46"/>
  <c r="W86" i="46" s="1"/>
  <c r="W86" i="41"/>
  <c r="L100" i="38"/>
  <c r="M100" i="38"/>
  <c r="EY100" i="38"/>
  <c r="FD100" i="38"/>
  <c r="BQ100" i="38"/>
  <c r="K100" i="38"/>
  <c r="FN100" i="38"/>
  <c r="CW100" i="41" s="1"/>
  <c r="IS99" i="45"/>
  <c r="IT99" i="45"/>
  <c r="IR99" i="45"/>
  <c r="Z98" i="41"/>
  <c r="AD98" i="41" s="1"/>
  <c r="G97" i="41"/>
  <c r="K97" i="41"/>
  <c r="AI99" i="38"/>
  <c r="P99" i="38"/>
  <c r="Q99" i="38" s="1"/>
  <c r="R100" i="38" s="1"/>
  <c r="S99" i="38"/>
  <c r="C99" i="41"/>
  <c r="L97" i="41"/>
  <c r="H97" i="41"/>
  <c r="E99" i="41"/>
  <c r="P99" i="46"/>
  <c r="Q99" i="46" s="1"/>
  <c r="R100" i="46" s="1"/>
  <c r="S99" i="46"/>
  <c r="AI99" i="46"/>
  <c r="I97" i="41"/>
  <c r="AB98" i="41"/>
  <c r="AF98" i="41" s="1"/>
  <c r="M97" i="41"/>
  <c r="FI99" i="38"/>
  <c r="FH99" i="38"/>
  <c r="FG99" i="38"/>
  <c r="L100" i="46"/>
  <c r="K100" i="46"/>
  <c r="FK100" i="46"/>
  <c r="M100" i="46"/>
  <c r="P99" i="45"/>
  <c r="Q99" i="45" s="1"/>
  <c r="R100" i="45" s="1"/>
  <c r="D99" i="41"/>
  <c r="S99" i="45"/>
  <c r="J99" i="38"/>
  <c r="CO99" i="38" s="1"/>
  <c r="BV99" i="41" s="1"/>
  <c r="BS99" i="38"/>
  <c r="A101" i="41"/>
  <c r="A101" i="38"/>
  <c r="CV101" i="38" s="1"/>
  <c r="A101" i="4"/>
  <c r="A102" i="55"/>
  <c r="A101" i="45"/>
  <c r="O101" i="45" s="1"/>
  <c r="A101" i="46"/>
  <c r="O101" i="46" s="1"/>
  <c r="A101" i="6"/>
  <c r="A101" i="7"/>
  <c r="EF101" i="7" s="1"/>
  <c r="FK100" i="45"/>
  <c r="IV100" i="45" s="1"/>
  <c r="M100" i="45"/>
  <c r="L100" i="45"/>
  <c r="K100" i="45"/>
  <c r="IV72" i="45"/>
  <c r="IV69" i="45"/>
  <c r="IV46" i="45"/>
  <c r="IV26" i="45"/>
  <c r="IV89" i="45"/>
  <c r="IV82" i="45"/>
  <c r="IV56" i="45"/>
  <c r="IV37" i="45"/>
  <c r="IV32" i="45"/>
  <c r="IV80" i="45"/>
  <c r="IV66" i="45"/>
  <c r="IV54" i="45"/>
  <c r="IV34" i="45"/>
  <c r="IV88" i="45"/>
  <c r="IV74" i="45"/>
  <c r="IV48" i="45"/>
  <c r="IV49" i="45"/>
  <c r="IV24" i="45"/>
  <c r="IV96" i="45"/>
  <c r="IV84" i="45"/>
  <c r="IV71" i="45"/>
  <c r="IV53" i="45"/>
  <c r="IV41" i="45"/>
  <c r="IV21" i="45"/>
  <c r="IV83" i="45"/>
  <c r="IV64" i="45"/>
  <c r="IV55" i="45"/>
  <c r="IV40" i="45"/>
  <c r="IV31" i="45"/>
  <c r="IV79" i="45"/>
  <c r="IV61" i="45"/>
  <c r="IV38" i="45"/>
  <c r="IV29" i="45"/>
  <c r="IV86" i="45"/>
  <c r="IV63" i="45"/>
  <c r="IV47" i="45"/>
  <c r="IV43" i="45"/>
  <c r="IV23" i="45"/>
  <c r="IV92" i="45"/>
  <c r="IV98" i="45"/>
  <c r="IV87" i="45"/>
  <c r="IV68" i="45"/>
  <c r="IV59" i="45"/>
  <c r="IV44" i="45"/>
  <c r="IV20" i="45"/>
  <c r="IV77" i="45"/>
  <c r="IV70" i="45"/>
  <c r="IV58" i="45"/>
  <c r="IV35" i="45"/>
  <c r="IV6" i="45"/>
  <c r="IV78" i="45"/>
  <c r="IV52" i="45"/>
  <c r="IV33" i="45"/>
  <c r="IV28" i="45"/>
  <c r="IV76" i="45"/>
  <c r="IV62" i="45"/>
  <c r="IV50" i="45"/>
  <c r="IV30" i="45"/>
  <c r="IV97" i="45"/>
  <c r="IV99" i="45"/>
  <c r="IV81" i="45"/>
  <c r="IV73" i="45"/>
  <c r="IV60" i="45"/>
  <c r="IV39" i="45"/>
  <c r="IW18" i="45"/>
  <c r="IV85" i="45"/>
  <c r="IV65" i="45"/>
  <c r="IV42" i="45"/>
  <c r="IV22" i="45"/>
  <c r="IV90" i="45"/>
  <c r="IV67" i="45"/>
  <c r="IV51" i="45"/>
  <c r="IV36" i="45"/>
  <c r="IV27" i="45"/>
  <c r="IV75" i="45"/>
  <c r="IV57" i="45"/>
  <c r="IV45" i="45"/>
  <c r="IV25" i="45"/>
  <c r="IV91" i="45"/>
  <c r="IV93" i="45"/>
  <c r="IV94" i="45"/>
  <c r="IV95" i="45"/>
  <c r="IR71" i="38"/>
  <c r="IR58" i="38"/>
  <c r="IR42" i="38"/>
  <c r="IS18" i="38"/>
  <c r="IR80" i="38"/>
  <c r="IR51" i="38"/>
  <c r="IR44" i="38"/>
  <c r="IR31" i="38"/>
  <c r="IR76" i="38"/>
  <c r="IR47" i="38"/>
  <c r="IR40" i="38"/>
  <c r="IR27" i="38"/>
  <c r="IR72" i="38"/>
  <c r="IR59" i="38"/>
  <c r="IR36" i="38"/>
  <c r="IR23" i="38"/>
  <c r="IR83" i="38"/>
  <c r="IR87" i="38"/>
  <c r="IR91" i="38"/>
  <c r="IR95" i="38"/>
  <c r="IR66" i="38"/>
  <c r="IR57" i="38"/>
  <c r="IR29" i="38"/>
  <c r="IR35" i="38"/>
  <c r="IR67" i="38"/>
  <c r="IR54" i="38"/>
  <c r="IR38" i="38"/>
  <c r="IR30" i="38"/>
  <c r="IR63" i="38"/>
  <c r="IR50" i="38"/>
  <c r="IR34" i="38"/>
  <c r="IR22" i="38"/>
  <c r="IR70" i="38"/>
  <c r="IR46" i="38"/>
  <c r="IR39" i="38"/>
  <c r="IR26" i="38"/>
  <c r="IR84" i="38"/>
  <c r="IR89" i="38"/>
  <c r="IR90" i="38"/>
  <c r="IR93" i="38"/>
  <c r="IR96" i="38"/>
  <c r="IR79" i="38"/>
  <c r="IR61" i="38"/>
  <c r="IR52" i="38"/>
  <c r="IR28" i="38"/>
  <c r="IR75" i="38"/>
  <c r="IR62" i="38"/>
  <c r="IR53" i="38"/>
  <c r="IR25" i="38"/>
  <c r="IR6" i="38"/>
  <c r="IR69" i="38"/>
  <c r="IR49" i="38"/>
  <c r="IR21" i="38"/>
  <c r="IR78" i="38"/>
  <c r="IR65" i="38"/>
  <c r="IR56" i="38"/>
  <c r="IR32" i="38"/>
  <c r="IR86" i="38"/>
  <c r="IR94" i="38"/>
  <c r="IR74" i="38"/>
  <c r="IR55" i="38"/>
  <c r="IR37" i="38"/>
  <c r="IR33" i="38"/>
  <c r="IR81" i="38"/>
  <c r="IR68" i="38"/>
  <c r="IR48" i="38"/>
  <c r="IR24" i="38"/>
  <c r="IR77" i="38"/>
  <c r="IR64" i="38"/>
  <c r="IR45" i="38"/>
  <c r="IR20" i="38"/>
  <c r="IR73" i="38"/>
  <c r="IR60" i="38"/>
  <c r="IR41" i="38"/>
  <c r="IR43" i="38"/>
  <c r="IR82" i="38"/>
  <c r="IR85" i="38"/>
  <c r="IR88" i="38"/>
  <c r="IR92" i="38"/>
  <c r="IQ77" i="46"/>
  <c r="IQ50" i="46"/>
  <c r="IQ63" i="46"/>
  <c r="IQ25" i="46"/>
  <c r="IQ31" i="46"/>
  <c r="IQ73" i="46"/>
  <c r="IQ59" i="46"/>
  <c r="IQ21" i="46"/>
  <c r="IQ27" i="46"/>
  <c r="IQ74" i="46"/>
  <c r="IQ60" i="46"/>
  <c r="IQ22" i="46"/>
  <c r="IQ6" i="46"/>
  <c r="IQ79" i="46"/>
  <c r="IQ72" i="46"/>
  <c r="IQ34" i="46"/>
  <c r="IQ28" i="46"/>
  <c r="IQ89" i="46"/>
  <c r="IQ93" i="46"/>
  <c r="IQ97" i="46"/>
  <c r="IQ84" i="46"/>
  <c r="IQ61" i="46"/>
  <c r="IQ46" i="46"/>
  <c r="IQ40" i="46"/>
  <c r="IQ80" i="46"/>
  <c r="IQ57" i="46"/>
  <c r="IQ42" i="46"/>
  <c r="IQ36" i="46"/>
  <c r="IQ85" i="46"/>
  <c r="IQ58" i="46"/>
  <c r="IQ71" i="46"/>
  <c r="IQ33" i="46"/>
  <c r="IQ39" i="46"/>
  <c r="IQ70" i="46"/>
  <c r="IQ56" i="46"/>
  <c r="IQ45" i="46"/>
  <c r="IQ49" i="46"/>
  <c r="IQ96" i="46"/>
  <c r="IQ82" i="46"/>
  <c r="IQ68" i="46"/>
  <c r="IQ30" i="46"/>
  <c r="IQ24" i="46"/>
  <c r="IQ78" i="46"/>
  <c r="IQ64" i="46"/>
  <c r="IQ26" i="46"/>
  <c r="IQ20" i="46"/>
  <c r="IQ76" i="46"/>
  <c r="IQ69" i="46"/>
  <c r="IQ55" i="46"/>
  <c r="IQ48" i="46"/>
  <c r="IQ23" i="46"/>
  <c r="IQ54" i="46"/>
  <c r="IQ67" i="46"/>
  <c r="IQ29" i="46"/>
  <c r="IQ35" i="46"/>
  <c r="IQ88" i="46"/>
  <c r="IQ90" i="46"/>
  <c r="IQ91" i="46"/>
  <c r="IQ92" i="46"/>
  <c r="IQ66" i="46"/>
  <c r="IQ52" i="46"/>
  <c r="IQ41" i="46"/>
  <c r="IQ47" i="46"/>
  <c r="IQ62" i="46"/>
  <c r="IQ75" i="46"/>
  <c r="IQ37" i="46"/>
  <c r="IQ43" i="46"/>
  <c r="IQ83" i="46"/>
  <c r="IQ53" i="46"/>
  <c r="IQ38" i="46"/>
  <c r="IQ32" i="46"/>
  <c r="IQ81" i="46"/>
  <c r="IQ65" i="46"/>
  <c r="IQ51" i="46"/>
  <c r="IQ44" i="46"/>
  <c r="IR18" i="46"/>
  <c r="IQ86" i="46"/>
  <c r="IQ87" i="46"/>
  <c r="IQ94" i="46"/>
  <c r="IQ95" i="46"/>
  <c r="IQ98" i="46"/>
  <c r="CW101" i="38" l="1"/>
  <c r="DB101" i="38" s="1"/>
  <c r="CY101" i="38"/>
  <c r="DD101" i="38" s="1"/>
  <c r="O101" i="38"/>
  <c r="AH119" i="4"/>
  <c r="AJ118" i="4"/>
  <c r="AG119" i="4"/>
  <c r="AI118" i="4"/>
  <c r="AP101" i="4"/>
  <c r="AT101" i="4"/>
  <c r="AR101" i="4"/>
  <c r="EL101" i="7"/>
  <c r="FO101" i="7"/>
  <c r="EE101" i="7"/>
  <c r="FD101" i="7"/>
  <c r="FE101" i="7"/>
  <c r="EG101" i="7"/>
  <c r="FG101" i="7"/>
  <c r="ED101" i="7"/>
  <c r="EO101" i="7"/>
  <c r="FM101" i="7"/>
  <c r="EW101" i="7"/>
  <c r="EV101" i="7"/>
  <c r="EQ101" i="7"/>
  <c r="FL101" i="7"/>
  <c r="EH101" i="7"/>
  <c r="FJ101" i="7"/>
  <c r="R101" i="7"/>
  <c r="EY101" i="7"/>
  <c r="FB101" i="7"/>
  <c r="EI101" i="7"/>
  <c r="FF101" i="7"/>
  <c r="EX101" i="7"/>
  <c r="EN101" i="7"/>
  <c r="EM101" i="7"/>
  <c r="ET101" i="7"/>
  <c r="EU101" i="7"/>
  <c r="FK101" i="7"/>
  <c r="EP101" i="7"/>
  <c r="FC101" i="7"/>
  <c r="FN101" i="7"/>
  <c r="BU88" i="38"/>
  <c r="BV88" i="38" s="1"/>
  <c r="W88" i="38"/>
  <c r="U89" i="41"/>
  <c r="T89" i="38"/>
  <c r="W87" i="41"/>
  <c r="T87" i="46"/>
  <c r="W87" i="46" s="1"/>
  <c r="T87" i="45"/>
  <c r="V87" i="41"/>
  <c r="CN101" i="7"/>
  <c r="BN101" i="7"/>
  <c r="BH101" i="7"/>
  <c r="Y101" i="4"/>
  <c r="Q101" i="4"/>
  <c r="AE101" i="4"/>
  <c r="AD101" i="4"/>
  <c r="I101" i="7"/>
  <c r="CS101" i="7"/>
  <c r="X101" i="7"/>
  <c r="BG101" i="7"/>
  <c r="Z101" i="7"/>
  <c r="AX101" i="7"/>
  <c r="DE101" i="7"/>
  <c r="P101" i="4"/>
  <c r="M101" i="7"/>
  <c r="EX101" i="38" s="1"/>
  <c r="EY101" i="38" s="1"/>
  <c r="BQ101" i="7"/>
  <c r="CH101" i="7"/>
  <c r="BV101" i="7"/>
  <c r="BJ101" i="7"/>
  <c r="DG101" i="7"/>
  <c r="BI101" i="7"/>
  <c r="DP101" i="7"/>
  <c r="DY101" i="7"/>
  <c r="DF101" i="7"/>
  <c r="Y101" i="7"/>
  <c r="N101" i="4"/>
  <c r="D100" i="41"/>
  <c r="S100" i="45"/>
  <c r="P100" i="45"/>
  <c r="Q100" i="45" s="1"/>
  <c r="R101" i="45" s="1"/>
  <c r="M101" i="4"/>
  <c r="AA101" i="4"/>
  <c r="U101" i="4"/>
  <c r="V101" i="4"/>
  <c r="AB101" i="4"/>
  <c r="X101" i="4"/>
  <c r="D101" i="4"/>
  <c r="C101" i="4"/>
  <c r="J101" i="4"/>
  <c r="G101" i="4"/>
  <c r="H101" i="4"/>
  <c r="L98" i="41"/>
  <c r="H98" i="41"/>
  <c r="P100" i="46"/>
  <c r="Q100" i="46" s="1"/>
  <c r="R101" i="46" s="1"/>
  <c r="E100" i="41"/>
  <c r="S100" i="46"/>
  <c r="AI100" i="46"/>
  <c r="I98" i="41"/>
  <c r="AB99" i="41"/>
  <c r="AF99" i="41" s="1"/>
  <c r="M98" i="41"/>
  <c r="K101" i="4"/>
  <c r="A102" i="6"/>
  <c r="A102" i="46"/>
  <c r="O102" i="46" s="1"/>
  <c r="A102" i="4"/>
  <c r="A103" i="55"/>
  <c r="A102" i="7"/>
  <c r="EF102" i="7" s="1"/>
  <c r="A102" i="38"/>
  <c r="CV102" i="38" s="1"/>
  <c r="A102" i="45"/>
  <c r="O102" i="45" s="1"/>
  <c r="A102" i="41"/>
  <c r="DO101" i="7"/>
  <c r="DO102" i="7" s="1"/>
  <c r="DV101" i="7"/>
  <c r="DL101" i="7"/>
  <c r="AY101" i="7"/>
  <c r="BK101" i="7"/>
  <c r="BK102" i="7" s="1"/>
  <c r="CR101" i="7"/>
  <c r="AA101" i="7"/>
  <c r="AZ101" i="7"/>
  <c r="CA101" i="7"/>
  <c r="CA102" i="7" s="1"/>
  <c r="AG101" i="7"/>
  <c r="CF101" i="7"/>
  <c r="CX101" i="7"/>
  <c r="BA101" i="7"/>
  <c r="BA102" i="7" s="1"/>
  <c r="P101" i="7"/>
  <c r="L101" i="7"/>
  <c r="BS101" i="7"/>
  <c r="BP101" i="7"/>
  <c r="BP102" i="7" s="1"/>
  <c r="CW101" i="7"/>
  <c r="AC101" i="7"/>
  <c r="AI101" i="7"/>
  <c r="DW101" i="7"/>
  <c r="DW102" i="7" s="1"/>
  <c r="K98" i="41"/>
  <c r="G98" i="41"/>
  <c r="Z99" i="41"/>
  <c r="AD99" i="41" s="1"/>
  <c r="CI99" i="38"/>
  <c r="BQ99" i="41" s="1"/>
  <c r="K101" i="46"/>
  <c r="M101" i="46"/>
  <c r="FK101" i="46"/>
  <c r="L101" i="46"/>
  <c r="FN101" i="38"/>
  <c r="L101" i="38"/>
  <c r="BQ101" i="38"/>
  <c r="M101" i="38"/>
  <c r="K101" i="38"/>
  <c r="DA101" i="7"/>
  <c r="S101" i="7"/>
  <c r="H101" i="7"/>
  <c r="N101" i="7" s="1"/>
  <c r="DN101" i="7"/>
  <c r="AJ101" i="7"/>
  <c r="CD101" i="7"/>
  <c r="U101" i="7"/>
  <c r="DQ101" i="7"/>
  <c r="CG101" i="7"/>
  <c r="DM101" i="7"/>
  <c r="CV101" i="7"/>
  <c r="DI101" i="7"/>
  <c r="AH101" i="7"/>
  <c r="BB101" i="7"/>
  <c r="CZ101" i="7"/>
  <c r="DX101" i="7"/>
  <c r="DT101" i="7"/>
  <c r="BF101" i="7"/>
  <c r="BR101" i="7"/>
  <c r="DU101" i="7"/>
  <c r="FI100" i="38"/>
  <c r="FG100" i="38"/>
  <c r="FH100" i="38"/>
  <c r="C100" i="41"/>
  <c r="AI100" i="38"/>
  <c r="P100" i="38"/>
  <c r="Q100" i="38" s="1"/>
  <c r="R101" i="38" s="1"/>
  <c r="S100" i="38"/>
  <c r="IU100" i="45"/>
  <c r="IS100" i="45"/>
  <c r="IT100" i="45"/>
  <c r="K101" i="45"/>
  <c r="L101" i="45"/>
  <c r="FK101" i="45"/>
  <c r="IW101" i="45" s="1"/>
  <c r="M101" i="45"/>
  <c r="BZ101" i="7"/>
  <c r="AF101" i="7"/>
  <c r="CP101" i="7"/>
  <c r="BX101" i="7"/>
  <c r="DH101" i="7"/>
  <c r="CI101" i="7"/>
  <c r="BC101" i="7"/>
  <c r="AK101" i="7"/>
  <c r="CY101" i="7"/>
  <c r="BW101" i="7"/>
  <c r="Q101" i="7"/>
  <c r="T101" i="7"/>
  <c r="BY101" i="7"/>
  <c r="CE101" i="7"/>
  <c r="CO101" i="7"/>
  <c r="DD101" i="7"/>
  <c r="AB101" i="7"/>
  <c r="J101" i="7"/>
  <c r="K101" i="7"/>
  <c r="BO101" i="7"/>
  <c r="CQ101" i="7"/>
  <c r="J100" i="38"/>
  <c r="CI100" i="38" s="1"/>
  <c r="BQ100" i="41" s="1"/>
  <c r="BS100" i="38"/>
  <c r="IR79" i="46"/>
  <c r="IR52" i="46"/>
  <c r="IR45" i="46"/>
  <c r="IR49" i="46"/>
  <c r="IR84" i="46"/>
  <c r="IR64" i="46"/>
  <c r="IR58" i="46"/>
  <c r="IR24" i="46"/>
  <c r="IR30" i="46"/>
  <c r="IR69" i="46"/>
  <c r="IR59" i="46"/>
  <c r="IR21" i="46"/>
  <c r="IR27" i="46"/>
  <c r="IR81" i="46"/>
  <c r="IR71" i="46"/>
  <c r="IR33" i="46"/>
  <c r="IR39" i="46"/>
  <c r="IR87" i="46"/>
  <c r="IR94" i="46"/>
  <c r="IR95" i="46"/>
  <c r="IR98" i="46"/>
  <c r="IR99" i="46"/>
  <c r="IR77" i="46"/>
  <c r="IR67" i="46"/>
  <c r="IR29" i="46"/>
  <c r="IR35" i="46"/>
  <c r="IR82" i="46"/>
  <c r="IR76" i="46"/>
  <c r="IR41" i="46"/>
  <c r="IR47" i="46"/>
  <c r="IR80" i="46"/>
  <c r="IR53" i="46"/>
  <c r="IR70" i="46"/>
  <c r="IR36" i="46"/>
  <c r="IR42" i="46"/>
  <c r="IR65" i="46"/>
  <c r="IR55" i="46"/>
  <c r="IR48" i="46"/>
  <c r="IR23" i="46"/>
  <c r="IR86" i="46"/>
  <c r="IR89" i="46"/>
  <c r="IR93" i="46"/>
  <c r="IR97" i="46"/>
  <c r="IR61" i="46"/>
  <c r="IR51" i="46"/>
  <c r="IR44" i="46"/>
  <c r="IS18" i="46"/>
  <c r="IR73" i="46"/>
  <c r="IR63" i="46"/>
  <c r="IR25" i="46"/>
  <c r="IR31" i="46"/>
  <c r="IR78" i="46"/>
  <c r="IR60" i="46"/>
  <c r="IR54" i="46"/>
  <c r="IR20" i="46"/>
  <c r="IR26" i="46"/>
  <c r="IR72" i="46"/>
  <c r="IR66" i="46"/>
  <c r="IR32" i="46"/>
  <c r="IR38" i="46"/>
  <c r="IR96" i="46"/>
  <c r="IR68" i="46"/>
  <c r="IR62" i="46"/>
  <c r="IR28" i="46"/>
  <c r="IR34" i="46"/>
  <c r="IR57" i="46"/>
  <c r="IR74" i="46"/>
  <c r="IR40" i="46"/>
  <c r="IR46" i="46"/>
  <c r="IR85" i="46"/>
  <c r="IR75" i="46"/>
  <c r="IR37" i="46"/>
  <c r="IR43" i="46"/>
  <c r="IR83" i="46"/>
  <c r="IR56" i="46"/>
  <c r="IR50" i="46"/>
  <c r="IR6" i="46"/>
  <c r="IR22" i="46"/>
  <c r="IR88" i="46"/>
  <c r="IR90" i="46"/>
  <c r="IR91" i="46"/>
  <c r="IR92" i="46"/>
  <c r="IW90" i="45"/>
  <c r="IW72" i="45"/>
  <c r="IW51" i="45"/>
  <c r="IW39" i="45"/>
  <c r="IW23" i="45"/>
  <c r="IW86" i="45"/>
  <c r="IW67" i="45"/>
  <c r="IW47" i="45"/>
  <c r="IW35" i="45"/>
  <c r="IX18" i="45"/>
  <c r="IW76" i="45"/>
  <c r="IW69" i="45"/>
  <c r="IW53" i="45"/>
  <c r="IW29" i="45"/>
  <c r="IW85" i="45"/>
  <c r="IW70" i="45"/>
  <c r="IW54" i="45"/>
  <c r="IW42" i="45"/>
  <c r="IW30" i="45"/>
  <c r="IW93" i="45"/>
  <c r="IW94" i="45"/>
  <c r="IW95" i="45"/>
  <c r="IW100" i="45"/>
  <c r="IW84" i="45"/>
  <c r="IW66" i="45"/>
  <c r="IW50" i="45"/>
  <c r="IW38" i="45"/>
  <c r="IW26" i="45"/>
  <c r="IW80" i="45"/>
  <c r="IW62" i="45"/>
  <c r="IW57" i="45"/>
  <c r="IW34" i="45"/>
  <c r="IW22" i="45"/>
  <c r="IW82" i="45"/>
  <c r="IW64" i="45"/>
  <c r="IW41" i="45"/>
  <c r="IW28" i="45"/>
  <c r="IW79" i="45"/>
  <c r="IW65" i="45"/>
  <c r="IW49" i="45"/>
  <c r="IW25" i="45"/>
  <c r="IW96" i="45"/>
  <c r="IW75" i="45"/>
  <c r="IW61" i="45"/>
  <c r="IW48" i="45"/>
  <c r="IW21" i="45"/>
  <c r="IW6" i="45"/>
  <c r="IW71" i="45"/>
  <c r="IW68" i="45"/>
  <c r="IW45" i="45"/>
  <c r="IW32" i="45"/>
  <c r="IW87" i="45"/>
  <c r="IW77" i="45"/>
  <c r="IW59" i="45"/>
  <c r="IW36" i="45"/>
  <c r="IW31" i="45"/>
  <c r="IW78" i="45"/>
  <c r="IW60" i="45"/>
  <c r="IW37" i="45"/>
  <c r="IW24" i="45"/>
  <c r="IW92" i="45"/>
  <c r="IW98" i="45"/>
  <c r="IW88" i="45"/>
  <c r="IW74" i="45"/>
  <c r="IW56" i="45"/>
  <c r="IW44" i="45"/>
  <c r="IW20" i="45"/>
  <c r="IW91" i="45"/>
  <c r="IW81" i="45"/>
  <c r="IW52" i="45"/>
  <c r="IW40" i="45"/>
  <c r="IW33" i="45"/>
  <c r="IW89" i="45"/>
  <c r="IW63" i="45"/>
  <c r="IW58" i="45"/>
  <c r="IW46" i="45"/>
  <c r="IW83" i="45"/>
  <c r="IW73" i="45"/>
  <c r="IW55" i="45"/>
  <c r="IW43" i="45"/>
  <c r="IW27" i="45"/>
  <c r="IW97" i="45"/>
  <c r="IW99" i="45"/>
  <c r="IS80" i="38"/>
  <c r="IS67" i="38"/>
  <c r="IS44" i="38"/>
  <c r="IS23" i="38"/>
  <c r="IS76" i="38"/>
  <c r="IS63" i="38"/>
  <c r="IS40" i="38"/>
  <c r="IT18" i="38"/>
  <c r="IS73" i="38"/>
  <c r="IS60" i="38"/>
  <c r="IS51" i="38"/>
  <c r="IS31" i="38"/>
  <c r="IS74" i="38"/>
  <c r="IS58" i="38"/>
  <c r="IS43" i="38"/>
  <c r="IS35" i="38"/>
  <c r="IS85" i="38"/>
  <c r="IS88" i="38"/>
  <c r="IS92" i="38"/>
  <c r="IS79" i="38"/>
  <c r="IS54" i="38"/>
  <c r="IS39" i="38"/>
  <c r="IS34" i="38"/>
  <c r="IS75" i="38"/>
  <c r="IS50" i="38"/>
  <c r="IS45" i="38"/>
  <c r="IS30" i="38"/>
  <c r="IS72" i="38"/>
  <c r="IS59" i="38"/>
  <c r="IS36" i="38"/>
  <c r="IS42" i="38"/>
  <c r="IS66" i="38"/>
  <c r="IS57" i="38"/>
  <c r="IS37" i="38"/>
  <c r="IS22" i="38"/>
  <c r="IS82" i="38"/>
  <c r="IS83" i="38"/>
  <c r="IS87" i="38"/>
  <c r="IS91" i="38"/>
  <c r="IS95" i="38"/>
  <c r="IS62" i="38"/>
  <c r="IS53" i="38"/>
  <c r="IS33" i="38"/>
  <c r="IS29" i="38"/>
  <c r="IS69" i="38"/>
  <c r="IS49" i="38"/>
  <c r="IS38" i="38"/>
  <c r="IS21" i="38"/>
  <c r="IS70" i="38"/>
  <c r="IS46" i="38"/>
  <c r="IS41" i="38"/>
  <c r="IS26" i="38"/>
  <c r="IS61" i="38"/>
  <c r="IS52" i="38"/>
  <c r="IS28" i="38"/>
  <c r="IS6" i="38"/>
  <c r="IS84" i="38"/>
  <c r="IS89" i="38"/>
  <c r="IS90" i="38"/>
  <c r="IS93" i="38"/>
  <c r="IS96" i="38"/>
  <c r="IS81" i="38"/>
  <c r="IS68" i="38"/>
  <c r="IS48" i="38"/>
  <c r="IS24" i="38"/>
  <c r="IS77" i="38"/>
  <c r="IS64" i="38"/>
  <c r="IS55" i="38"/>
  <c r="IS20" i="38"/>
  <c r="IS78" i="38"/>
  <c r="IS65" i="38"/>
  <c r="IS56" i="38"/>
  <c r="IS32" i="38"/>
  <c r="IS25" i="38"/>
  <c r="IS71" i="38"/>
  <c r="IS47" i="38"/>
  <c r="IS27" i="38"/>
  <c r="IS86" i="38"/>
  <c r="IS94" i="38"/>
  <c r="IS97" i="38"/>
  <c r="CY102" i="38" l="1"/>
  <c r="DD102" i="38" s="1"/>
  <c r="CW102" i="38"/>
  <c r="DB102" i="38" s="1"/>
  <c r="O102" i="38"/>
  <c r="FH101" i="7"/>
  <c r="AG120" i="4"/>
  <c r="AI120" i="4" s="1"/>
  <c r="AI119" i="4"/>
  <c r="AH120" i="4"/>
  <c r="AJ120" i="4" s="1"/>
  <c r="AJ119" i="4"/>
  <c r="AS102" i="4"/>
  <c r="AT102" i="4"/>
  <c r="AQ102" i="4"/>
  <c r="AO102" i="4"/>
  <c r="AP102" i="4"/>
  <c r="AR102" i="4"/>
  <c r="FP101" i="7"/>
  <c r="EJ101" i="7"/>
  <c r="EZ101" i="7"/>
  <c r="ER101" i="7"/>
  <c r="AD101" i="7"/>
  <c r="V101" i="7"/>
  <c r="FC102" i="7"/>
  <c r="FF102" i="7"/>
  <c r="EQ102" i="7"/>
  <c r="EO102" i="7"/>
  <c r="FE102" i="7"/>
  <c r="EL102" i="7"/>
  <c r="FK102" i="7"/>
  <c r="EN102" i="7"/>
  <c r="FB102" i="7"/>
  <c r="FH102" i="7" s="1"/>
  <c r="EH102" i="7"/>
  <c r="EW102" i="7"/>
  <c r="FG102" i="7"/>
  <c r="EE102" i="7"/>
  <c r="ET102" i="7"/>
  <c r="FN102" i="7"/>
  <c r="EU102" i="7"/>
  <c r="EX102" i="7"/>
  <c r="EY102" i="7"/>
  <c r="FL102" i="7"/>
  <c r="FM102" i="7"/>
  <c r="EG102" i="7"/>
  <c r="FO102" i="7"/>
  <c r="EP102" i="7"/>
  <c r="EM102" i="7"/>
  <c r="EI102" i="7"/>
  <c r="FJ102" i="7"/>
  <c r="FP102" i="7" s="1"/>
  <c r="EV102" i="7"/>
  <c r="ED102" i="7"/>
  <c r="FD102" i="7"/>
  <c r="T90" i="38"/>
  <c r="U90" i="41"/>
  <c r="W89" i="38"/>
  <c r="BU89" i="38"/>
  <c r="T88" i="46"/>
  <c r="W88" i="46" s="1"/>
  <c r="W88" i="41"/>
  <c r="T88" i="45"/>
  <c r="V88" i="41"/>
  <c r="BO102" i="7"/>
  <c r="T102" i="7"/>
  <c r="AK102" i="7"/>
  <c r="BX102" i="7"/>
  <c r="BR102" i="7"/>
  <c r="CZ102" i="7"/>
  <c r="U102" i="7"/>
  <c r="CW102" i="7"/>
  <c r="AG102" i="7"/>
  <c r="CR102" i="7"/>
  <c r="DV102" i="7"/>
  <c r="CQ102" i="7"/>
  <c r="AB102" i="7"/>
  <c r="BY102" i="7"/>
  <c r="CY102" i="7"/>
  <c r="DH102" i="7"/>
  <c r="BZ102" i="7"/>
  <c r="DU102" i="7"/>
  <c r="DX102" i="7"/>
  <c r="DI102" i="7"/>
  <c r="DQ102" i="7"/>
  <c r="DN102" i="7"/>
  <c r="BI102" i="7"/>
  <c r="Z102" i="7"/>
  <c r="CS102" i="7"/>
  <c r="K102" i="7"/>
  <c r="EW101" i="38"/>
  <c r="FH101" i="38" s="1"/>
  <c r="CO102" i="7"/>
  <c r="Q102" i="7"/>
  <c r="BC102" i="7"/>
  <c r="CP102" i="7"/>
  <c r="BB102" i="7"/>
  <c r="DM102" i="7"/>
  <c r="S102" i="7"/>
  <c r="AI102" i="7"/>
  <c r="BS102" i="7"/>
  <c r="CX102" i="7"/>
  <c r="AZ102" i="7"/>
  <c r="AY102" i="7"/>
  <c r="Y102" i="7"/>
  <c r="AX101" i="38"/>
  <c r="AX101" i="46"/>
  <c r="AX101" i="45"/>
  <c r="J102" i="7"/>
  <c r="FB101" i="38"/>
  <c r="CE102" i="7"/>
  <c r="BW102" i="7"/>
  <c r="CI102" i="7"/>
  <c r="AH102" i="7"/>
  <c r="CG102" i="7"/>
  <c r="AJ102" i="7"/>
  <c r="DA102" i="7"/>
  <c r="AC102" i="7"/>
  <c r="L102" i="7"/>
  <c r="FC101" i="38"/>
  <c r="FD101" i="38" s="1"/>
  <c r="CF102" i="7"/>
  <c r="AA102" i="7"/>
  <c r="AD102" i="4"/>
  <c r="Q102" i="4"/>
  <c r="P102" i="4"/>
  <c r="AE102" i="4"/>
  <c r="M102" i="7"/>
  <c r="EX102" i="38" s="1"/>
  <c r="EY102" i="38" s="1"/>
  <c r="AY101" i="45"/>
  <c r="AY101" i="46"/>
  <c r="AY101" i="38"/>
  <c r="FI101" i="38"/>
  <c r="DT102" i="7"/>
  <c r="CD102" i="7"/>
  <c r="K99" i="41"/>
  <c r="Z100" i="41"/>
  <c r="AD100" i="41" s="1"/>
  <c r="G99" i="41"/>
  <c r="A103" i="38"/>
  <c r="CV103" i="38" s="1"/>
  <c r="A103" i="41"/>
  <c r="A103" i="45"/>
  <c r="O103" i="45" s="1"/>
  <c r="A103" i="4"/>
  <c r="A104" i="55"/>
  <c r="A103" i="46"/>
  <c r="O103" i="46" s="1"/>
  <c r="A103" i="6"/>
  <c r="N103" i="6" s="1"/>
  <c r="A103" i="7"/>
  <c r="DH103" i="7" s="1"/>
  <c r="H99" i="41"/>
  <c r="L99" i="41"/>
  <c r="AF102" i="7"/>
  <c r="D101" i="41"/>
  <c r="S101" i="45"/>
  <c r="BF102" i="7"/>
  <c r="BC101" i="38"/>
  <c r="BC101" i="46"/>
  <c r="BC101" i="45"/>
  <c r="H102" i="7"/>
  <c r="S101" i="38"/>
  <c r="C101" i="41"/>
  <c r="AI101" i="38"/>
  <c r="DY102" i="7"/>
  <c r="BG102" i="7"/>
  <c r="X102" i="7"/>
  <c r="R102" i="7"/>
  <c r="DP102" i="7"/>
  <c r="DE102" i="7"/>
  <c r="DF102" i="7"/>
  <c r="AX102" i="7"/>
  <c r="CH102" i="7"/>
  <c r="BJ102" i="7"/>
  <c r="BN102" i="7"/>
  <c r="DD102" i="7"/>
  <c r="IT101" i="45"/>
  <c r="IV101" i="45"/>
  <c r="IU101" i="45"/>
  <c r="CO100" i="38"/>
  <c r="BV100" i="41" s="1"/>
  <c r="CW101" i="41"/>
  <c r="AI101" i="46"/>
  <c r="E101" i="41"/>
  <c r="S101" i="46"/>
  <c r="DL102" i="7"/>
  <c r="FK102" i="45"/>
  <c r="IX102" i="45" s="1"/>
  <c r="L102" i="45"/>
  <c r="M102" i="45"/>
  <c r="K102" i="45"/>
  <c r="J102" i="4"/>
  <c r="H102" i="4"/>
  <c r="M102" i="4"/>
  <c r="C102" i="4"/>
  <c r="Y102" i="4"/>
  <c r="G102" i="4"/>
  <c r="U102" i="4"/>
  <c r="X102" i="4"/>
  <c r="N102" i="4"/>
  <c r="D102" i="4"/>
  <c r="V102" i="4"/>
  <c r="AB102" i="4"/>
  <c r="AA102" i="4"/>
  <c r="K102" i="4"/>
  <c r="BQ102" i="7"/>
  <c r="DG102" i="7"/>
  <c r="CV102" i="7"/>
  <c r="P102" i="7"/>
  <c r="L102" i="38"/>
  <c r="K102" i="38"/>
  <c r="FN102" i="38"/>
  <c r="BQ102" i="38"/>
  <c r="M102" i="38"/>
  <c r="K102" i="46"/>
  <c r="L102" i="46"/>
  <c r="FK102" i="46"/>
  <c r="M102" i="46"/>
  <c r="AB100" i="41"/>
  <c r="AF100" i="41" s="1"/>
  <c r="M99" i="41"/>
  <c r="I99" i="41"/>
  <c r="BV102" i="7"/>
  <c r="BH102" i="7"/>
  <c r="CN102" i="7"/>
  <c r="I102" i="7"/>
  <c r="N102" i="7" s="1"/>
  <c r="IT65" i="38"/>
  <c r="IT52" i="38"/>
  <c r="IT45" i="38"/>
  <c r="IT28" i="38"/>
  <c r="IT71" i="38"/>
  <c r="IT58" i="38"/>
  <c r="IU18" i="38"/>
  <c r="IT81" i="38"/>
  <c r="IT68" i="38"/>
  <c r="IT55" i="38"/>
  <c r="IT31" i="38"/>
  <c r="IT6" i="38"/>
  <c r="IT69" i="38"/>
  <c r="IT56" i="38"/>
  <c r="IT36" i="38"/>
  <c r="IT21" i="38"/>
  <c r="IT86" i="38"/>
  <c r="IT94" i="38"/>
  <c r="IT97" i="38"/>
  <c r="IT73" i="38"/>
  <c r="IT60" i="38"/>
  <c r="IT47" i="38"/>
  <c r="IT23" i="38"/>
  <c r="IT24" i="38"/>
  <c r="IT70" i="38"/>
  <c r="IT43" i="38"/>
  <c r="IT30" i="38"/>
  <c r="IT80" i="38"/>
  <c r="IT67" i="38"/>
  <c r="IT54" i="38"/>
  <c r="IT35" i="38"/>
  <c r="IT77" i="38"/>
  <c r="IT64" i="38"/>
  <c r="IT51" i="38"/>
  <c r="IT27" i="38"/>
  <c r="IT32" i="38"/>
  <c r="IT83" i="38"/>
  <c r="IT85" i="38"/>
  <c r="IT88" i="38"/>
  <c r="IT92" i="38"/>
  <c r="IT98" i="38"/>
  <c r="IT72" i="38"/>
  <c r="IT59" i="38"/>
  <c r="IT46" i="38"/>
  <c r="IT33" i="38"/>
  <c r="IT78" i="38"/>
  <c r="IT53" i="38"/>
  <c r="IT44" i="38"/>
  <c r="IT29" i="38"/>
  <c r="IT79" i="38"/>
  <c r="IT66" i="38"/>
  <c r="IT39" i="38"/>
  <c r="IT26" i="38"/>
  <c r="IT76" i="38"/>
  <c r="IT63" i="38"/>
  <c r="IT50" i="38"/>
  <c r="IT34" i="38"/>
  <c r="IT87" i="38"/>
  <c r="IT91" i="38"/>
  <c r="IT95" i="38"/>
  <c r="IT82" i="38"/>
  <c r="IT57" i="38"/>
  <c r="IT38" i="38"/>
  <c r="IT41" i="38"/>
  <c r="IT61" i="38"/>
  <c r="IT48" i="38"/>
  <c r="IT37" i="38"/>
  <c r="IT20" i="38"/>
  <c r="IT74" i="38"/>
  <c r="IT49" i="38"/>
  <c r="IT40" i="38"/>
  <c r="IT25" i="38"/>
  <c r="IT75" i="38"/>
  <c r="IT62" i="38"/>
  <c r="IT42" i="38"/>
  <c r="IT22" i="38"/>
  <c r="IT84" i="38"/>
  <c r="IT89" i="38"/>
  <c r="IT90" i="38"/>
  <c r="IT93" i="38"/>
  <c r="IT96" i="38"/>
  <c r="IX78" i="45"/>
  <c r="IX71" i="45"/>
  <c r="IX56" i="45"/>
  <c r="IX37" i="45"/>
  <c r="IX21" i="45"/>
  <c r="IX74" i="45"/>
  <c r="IX68" i="45"/>
  <c r="IX52" i="45"/>
  <c r="IX33" i="45"/>
  <c r="IX6" i="45"/>
  <c r="IX87" i="45"/>
  <c r="IX63" i="45"/>
  <c r="IX43" i="45"/>
  <c r="IX31" i="45"/>
  <c r="IX81" i="45"/>
  <c r="IX60" i="45"/>
  <c r="IX44" i="45"/>
  <c r="IX28" i="45"/>
  <c r="IX92" i="45"/>
  <c r="IX97" i="45"/>
  <c r="IX99" i="45"/>
  <c r="IX101" i="45"/>
  <c r="IX77" i="45"/>
  <c r="IX75" i="45"/>
  <c r="IX40" i="45"/>
  <c r="IX24" i="45"/>
  <c r="IX91" i="45"/>
  <c r="IX73" i="45"/>
  <c r="IX67" i="45"/>
  <c r="IX36" i="45"/>
  <c r="IX20" i="45"/>
  <c r="IX85" i="45"/>
  <c r="IX70" i="45"/>
  <c r="IX58" i="45"/>
  <c r="IX42" i="45"/>
  <c r="IX29" i="45"/>
  <c r="IX80" i="45"/>
  <c r="IX59" i="45"/>
  <c r="IX39" i="45"/>
  <c r="IX27" i="45"/>
  <c r="IX93" i="45"/>
  <c r="IX94" i="45"/>
  <c r="IX95" i="45"/>
  <c r="IX100" i="45"/>
  <c r="IX86" i="45"/>
  <c r="IX76" i="45"/>
  <c r="IX55" i="45"/>
  <c r="IX35" i="45"/>
  <c r="IX23" i="45"/>
  <c r="IX89" i="45"/>
  <c r="IX72" i="45"/>
  <c r="IX51" i="45"/>
  <c r="IX46" i="45"/>
  <c r="IY18" i="45"/>
  <c r="IX79" i="45"/>
  <c r="IX65" i="45"/>
  <c r="IX53" i="45"/>
  <c r="IX45" i="45"/>
  <c r="IX90" i="45"/>
  <c r="IX66" i="45"/>
  <c r="IX54" i="45"/>
  <c r="IX38" i="45"/>
  <c r="IX30" i="45"/>
  <c r="IX96" i="45"/>
  <c r="IX88" i="45"/>
  <c r="IX62" i="45"/>
  <c r="IX50" i="45"/>
  <c r="IX34" i="45"/>
  <c r="IX26" i="45"/>
  <c r="IX84" i="45"/>
  <c r="IX69" i="45"/>
  <c r="IX57" i="45"/>
  <c r="IX47" i="45"/>
  <c r="IX22" i="45"/>
  <c r="IX83" i="45"/>
  <c r="IX64" i="45"/>
  <c r="IX48" i="45"/>
  <c r="IX32" i="45"/>
  <c r="IX82" i="45"/>
  <c r="IX61" i="45"/>
  <c r="IX49" i="45"/>
  <c r="IX41" i="45"/>
  <c r="IX25" i="45"/>
  <c r="IX98" i="45"/>
  <c r="IS82" i="46"/>
  <c r="IS63" i="46"/>
  <c r="IS53" i="46"/>
  <c r="IS27" i="46"/>
  <c r="IS21" i="46"/>
  <c r="IS64" i="46"/>
  <c r="IS54" i="46"/>
  <c r="IS6" i="46"/>
  <c r="IS22" i="46"/>
  <c r="IS76" i="46"/>
  <c r="IS66" i="46"/>
  <c r="IS28" i="46"/>
  <c r="IS34" i="46"/>
  <c r="IS86" i="46"/>
  <c r="IS67" i="46"/>
  <c r="IS57" i="46"/>
  <c r="IS31" i="46"/>
  <c r="IS25" i="46"/>
  <c r="IS88" i="46"/>
  <c r="IS90" i="46"/>
  <c r="IS91" i="46"/>
  <c r="IS92" i="46"/>
  <c r="IS84" i="46"/>
  <c r="IS74" i="46"/>
  <c r="IS36" i="46"/>
  <c r="IS42" i="46"/>
  <c r="IS78" i="46"/>
  <c r="IS75" i="46"/>
  <c r="IS65" i="46"/>
  <c r="IS39" i="46"/>
  <c r="IS33" i="46"/>
  <c r="IS60" i="46"/>
  <c r="IS50" i="46"/>
  <c r="IS49" i="46"/>
  <c r="IS45" i="46"/>
  <c r="IS77" i="46"/>
  <c r="IS51" i="46"/>
  <c r="IS40" i="46"/>
  <c r="IS46" i="46"/>
  <c r="IS94" i="46"/>
  <c r="IS95" i="46"/>
  <c r="IS98" i="46"/>
  <c r="IS99" i="46"/>
  <c r="IS68" i="46"/>
  <c r="IS58" i="46"/>
  <c r="IS20" i="46"/>
  <c r="IS26" i="46"/>
  <c r="IS85" i="46"/>
  <c r="IS59" i="46"/>
  <c r="IS48" i="46"/>
  <c r="IS23" i="46"/>
  <c r="IS83" i="46"/>
  <c r="IS71" i="46"/>
  <c r="IS61" i="46"/>
  <c r="IS35" i="46"/>
  <c r="IS29" i="46"/>
  <c r="IS72" i="46"/>
  <c r="IS62" i="46"/>
  <c r="IS24" i="46"/>
  <c r="IS30" i="46"/>
  <c r="IS89" i="46"/>
  <c r="IS93" i="46"/>
  <c r="IS97" i="46"/>
  <c r="IS100" i="46"/>
  <c r="IS52" i="46"/>
  <c r="IS69" i="46"/>
  <c r="IS43" i="46"/>
  <c r="IS37" i="46"/>
  <c r="IS80" i="46"/>
  <c r="IS70" i="46"/>
  <c r="IS32" i="46"/>
  <c r="IS38" i="46"/>
  <c r="IS81" i="46"/>
  <c r="IS55" i="46"/>
  <c r="IS44" i="46"/>
  <c r="IT18" i="46"/>
  <c r="IS79" i="46"/>
  <c r="IS56" i="46"/>
  <c r="IS73" i="46"/>
  <c r="IS47" i="46"/>
  <c r="IS41" i="46"/>
  <c r="IS87" i="46"/>
  <c r="IS96" i="46"/>
  <c r="CW103" i="38" l="1"/>
  <c r="DB103" i="38" s="1"/>
  <c r="CY103" i="38"/>
  <c r="DD103" i="38" s="1"/>
  <c r="O103" i="38"/>
  <c r="AR103" i="4"/>
  <c r="AQ103" i="4"/>
  <c r="AS103" i="4"/>
  <c r="AT103" i="4"/>
  <c r="AP103" i="4"/>
  <c r="AO103" i="4"/>
  <c r="EJ102" i="7"/>
  <c r="ER102" i="7"/>
  <c r="EZ102" i="7"/>
  <c r="AD102" i="7"/>
  <c r="V102" i="7"/>
  <c r="EO103" i="7"/>
  <c r="EU103" i="7"/>
  <c r="FC103" i="7"/>
  <c r="FM103" i="7"/>
  <c r="EH103" i="7"/>
  <c r="FK103" i="7"/>
  <c r="EV103" i="7"/>
  <c r="EM103" i="7"/>
  <c r="FO103" i="7"/>
  <c r="EY103" i="7"/>
  <c r="FE103" i="7"/>
  <c r="FG103" i="7"/>
  <c r="EL103" i="7"/>
  <c r="ET103" i="7"/>
  <c r="FD103" i="7"/>
  <c r="FJ103" i="7"/>
  <c r="EP103" i="7"/>
  <c r="EG103" i="7"/>
  <c r="EX103" i="7"/>
  <c r="EW103" i="7"/>
  <c r="EN103" i="7"/>
  <c r="EQ103" i="7"/>
  <c r="ED103" i="7"/>
  <c r="EI103" i="7"/>
  <c r="FF103" i="7"/>
  <c r="FL103" i="7"/>
  <c r="FN103" i="7"/>
  <c r="EE103" i="7"/>
  <c r="FB103" i="7"/>
  <c r="EF103" i="7"/>
  <c r="EW102" i="38"/>
  <c r="FH102" i="38" s="1"/>
  <c r="FB102" i="38"/>
  <c r="FC102" i="38"/>
  <c r="FD102" i="38" s="1"/>
  <c r="W90" i="38"/>
  <c r="BU90" i="38"/>
  <c r="BV90" i="38" s="1"/>
  <c r="BV89" i="38"/>
  <c r="T91" i="38"/>
  <c r="U91" i="41"/>
  <c r="V89" i="41"/>
  <c r="T89" i="45"/>
  <c r="T89" i="46"/>
  <c r="W89" i="46" s="1"/>
  <c r="W89" i="41"/>
  <c r="O103" i="6"/>
  <c r="R103" i="6"/>
  <c r="BQ103" i="7"/>
  <c r="I103" i="7"/>
  <c r="AG103" i="7"/>
  <c r="AC103" i="7"/>
  <c r="CZ103" i="7"/>
  <c r="DQ103" i="7"/>
  <c r="BJ103" i="7"/>
  <c r="BG103" i="7"/>
  <c r="BH103" i="7"/>
  <c r="K103" i="7"/>
  <c r="Z103" i="7"/>
  <c r="BX103" i="7"/>
  <c r="AJ103" i="7"/>
  <c r="R103" i="7"/>
  <c r="BA103" i="7"/>
  <c r="CW103" i="7"/>
  <c r="CP103" i="7"/>
  <c r="DD103" i="7"/>
  <c r="CH103" i="7"/>
  <c r="DP103" i="7"/>
  <c r="DY103" i="7"/>
  <c r="DG103" i="7"/>
  <c r="DU103" i="7"/>
  <c r="BO103" i="7"/>
  <c r="DF103" i="7"/>
  <c r="BP103" i="7"/>
  <c r="DA103" i="7"/>
  <c r="U103" i="6"/>
  <c r="AR101" i="38"/>
  <c r="AV101" i="38" s="1"/>
  <c r="AW101" i="38" s="1"/>
  <c r="F101" i="38" s="1"/>
  <c r="AR101" i="46"/>
  <c r="AV101" i="46" s="1"/>
  <c r="AW101" i="46" s="1"/>
  <c r="F101" i="46" s="1"/>
  <c r="AR101" i="45"/>
  <c r="AV101" i="45" s="1"/>
  <c r="AW101" i="45" s="1"/>
  <c r="F101" i="45" s="1"/>
  <c r="AZ101" i="46"/>
  <c r="AX102" i="46"/>
  <c r="AX102" i="45"/>
  <c r="AX102" i="38"/>
  <c r="AZ101" i="38"/>
  <c r="AD103" i="4"/>
  <c r="AE103" i="4"/>
  <c r="P103" i="4"/>
  <c r="Q103" i="4"/>
  <c r="AY102" i="46"/>
  <c r="AY102" i="45"/>
  <c r="AY102" i="38"/>
  <c r="AZ101" i="45"/>
  <c r="E102" i="41"/>
  <c r="S102" i="46"/>
  <c r="AI102" i="46"/>
  <c r="P103" i="7"/>
  <c r="CV103" i="7"/>
  <c r="BN103" i="7"/>
  <c r="X103" i="7"/>
  <c r="AF103" i="7"/>
  <c r="J103" i="7"/>
  <c r="Y103" i="7"/>
  <c r="A104" i="38"/>
  <c r="CV104" i="38" s="1"/>
  <c r="A104" i="41"/>
  <c r="A104" i="46"/>
  <c r="O104" i="46" s="1"/>
  <c r="A104" i="6"/>
  <c r="A104" i="7"/>
  <c r="A104" i="45"/>
  <c r="O104" i="45" s="1"/>
  <c r="A104" i="4"/>
  <c r="A105" i="55"/>
  <c r="BQ103" i="38"/>
  <c r="M103" i="38"/>
  <c r="L103" i="38"/>
  <c r="FN103" i="38"/>
  <c r="K103" i="38"/>
  <c r="S103" i="7"/>
  <c r="AH103" i="7"/>
  <c r="BV103" i="7"/>
  <c r="I100" i="41"/>
  <c r="M100" i="41"/>
  <c r="DE103" i="7"/>
  <c r="H103" i="7"/>
  <c r="N103" i="7" s="1"/>
  <c r="BF103" i="7"/>
  <c r="CA103" i="7"/>
  <c r="CO103" i="7"/>
  <c r="BR103" i="7"/>
  <c r="BW103" i="7"/>
  <c r="DO103" i="7"/>
  <c r="BK103" i="7"/>
  <c r="DN103" i="7"/>
  <c r="L103" i="7"/>
  <c r="DV103" i="7"/>
  <c r="U103" i="7"/>
  <c r="T103" i="7"/>
  <c r="DX103" i="7"/>
  <c r="Q103" i="7"/>
  <c r="BI103" i="7"/>
  <c r="AA103" i="7"/>
  <c r="DW103" i="7"/>
  <c r="CR103" i="7"/>
  <c r="DI103" i="7"/>
  <c r="CS103" i="7"/>
  <c r="AY103" i="7"/>
  <c r="BC103" i="7"/>
  <c r="M103" i="7"/>
  <c r="CF103" i="7"/>
  <c r="AK103" i="7"/>
  <c r="CX103" i="7"/>
  <c r="CQ103" i="7"/>
  <c r="J103" i="4"/>
  <c r="Y103" i="4"/>
  <c r="D103" i="4"/>
  <c r="AA103" i="4"/>
  <c r="U103" i="4"/>
  <c r="H103" i="4"/>
  <c r="AB103" i="4"/>
  <c r="C103" i="4"/>
  <c r="N103" i="4"/>
  <c r="V103" i="4"/>
  <c r="G103" i="4"/>
  <c r="K103" i="4"/>
  <c r="M103" i="4"/>
  <c r="X103" i="4"/>
  <c r="AI103" i="7"/>
  <c r="CY103" i="7"/>
  <c r="AZ103" i="7"/>
  <c r="CW102" i="41"/>
  <c r="AI102" i="38"/>
  <c r="S102" i="38"/>
  <c r="C102" i="41"/>
  <c r="D102" i="41"/>
  <c r="S102" i="45"/>
  <c r="IV102" i="45"/>
  <c r="IW102" i="45"/>
  <c r="IU102" i="45"/>
  <c r="DM103" i="7"/>
  <c r="CI103" i="7"/>
  <c r="L103" i="6"/>
  <c r="H103" i="6"/>
  <c r="T103" i="6"/>
  <c r="K103" i="6"/>
  <c r="I103" i="6"/>
  <c r="Q103" i="6"/>
  <c r="L103" i="45"/>
  <c r="K103" i="45"/>
  <c r="FK103" i="45"/>
  <c r="IY103" i="45" s="1"/>
  <c r="M103" i="45"/>
  <c r="CD103" i="7"/>
  <c r="DT103" i="7"/>
  <c r="BY103" i="7"/>
  <c r="AB103" i="7"/>
  <c r="CN103" i="7"/>
  <c r="FI102" i="38"/>
  <c r="DL103" i="7"/>
  <c r="AX103" i="7"/>
  <c r="BC102" i="38"/>
  <c r="BC102" i="45"/>
  <c r="BC102" i="46"/>
  <c r="G100" i="41"/>
  <c r="K100" i="41"/>
  <c r="BD101" i="46"/>
  <c r="BE101" i="46" s="1"/>
  <c r="BD101" i="45"/>
  <c r="BE101" i="45" s="1"/>
  <c r="EV101" i="38"/>
  <c r="FG101" i="38" s="1"/>
  <c r="BD101" i="38"/>
  <c r="BE101" i="38" s="1"/>
  <c r="BB103" i="7"/>
  <c r="L100" i="41"/>
  <c r="H100" i="41"/>
  <c r="CE103" i="7"/>
  <c r="FK103" i="46"/>
  <c r="L103" i="46"/>
  <c r="M103" i="46"/>
  <c r="K103" i="46"/>
  <c r="CG103" i="7"/>
  <c r="BZ103" i="7"/>
  <c r="BS103" i="7"/>
  <c r="IT80" i="46"/>
  <c r="IT70" i="46"/>
  <c r="IT56" i="46"/>
  <c r="IT22" i="46"/>
  <c r="IT20" i="46"/>
  <c r="IT67" i="46"/>
  <c r="IT57" i="46"/>
  <c r="IU18" i="46"/>
  <c r="IT48" i="46"/>
  <c r="IT79" i="46"/>
  <c r="IT69" i="46"/>
  <c r="IT31" i="46"/>
  <c r="IT29" i="46"/>
  <c r="IT85" i="46"/>
  <c r="IT74" i="46"/>
  <c r="IT60" i="46"/>
  <c r="IT26" i="46"/>
  <c r="IT24" i="46"/>
  <c r="IT96" i="46"/>
  <c r="IT87" i="46"/>
  <c r="IT54" i="46"/>
  <c r="IT39" i="46"/>
  <c r="IT37" i="46"/>
  <c r="IT86" i="46"/>
  <c r="IT51" i="46"/>
  <c r="IT68" i="46"/>
  <c r="IT34" i="46"/>
  <c r="IT32" i="46"/>
  <c r="IT63" i="46"/>
  <c r="IT53" i="46"/>
  <c r="IT46" i="46"/>
  <c r="IT44" i="46"/>
  <c r="IT84" i="46"/>
  <c r="IT58" i="46"/>
  <c r="IT43" i="46"/>
  <c r="IT41" i="46"/>
  <c r="IT90" i="46"/>
  <c r="IT91" i="46"/>
  <c r="IT92" i="46"/>
  <c r="IT71" i="46"/>
  <c r="IT61" i="46"/>
  <c r="IT23" i="46"/>
  <c r="IT21" i="46"/>
  <c r="IT77" i="46"/>
  <c r="IT66" i="46"/>
  <c r="IT52" i="46"/>
  <c r="IT50" i="46"/>
  <c r="IT6" i="46"/>
  <c r="IT76" i="46"/>
  <c r="IT64" i="46"/>
  <c r="IT30" i="46"/>
  <c r="IT28" i="46"/>
  <c r="IT75" i="46"/>
  <c r="IT65" i="46"/>
  <c r="IT27" i="46"/>
  <c r="IT25" i="46"/>
  <c r="IT88" i="46"/>
  <c r="IT94" i="46"/>
  <c r="IT95" i="46"/>
  <c r="IT98" i="46"/>
  <c r="IT99" i="46"/>
  <c r="IT81" i="46"/>
  <c r="IT55" i="46"/>
  <c r="IT72" i="46"/>
  <c r="IT38" i="46"/>
  <c r="IT36" i="46"/>
  <c r="IT83" i="46"/>
  <c r="IT73" i="46"/>
  <c r="IT35" i="46"/>
  <c r="IT33" i="46"/>
  <c r="IT82" i="46"/>
  <c r="IT62" i="46"/>
  <c r="IT47" i="46"/>
  <c r="IT45" i="46"/>
  <c r="IT78" i="46"/>
  <c r="IT59" i="46"/>
  <c r="IT49" i="46"/>
  <c r="IT42" i="46"/>
  <c r="IT40" i="46"/>
  <c r="IT89" i="46"/>
  <c r="IT93" i="46"/>
  <c r="IT97" i="46"/>
  <c r="IT100" i="46"/>
  <c r="IT101" i="46"/>
  <c r="IY77" i="45"/>
  <c r="IY63" i="45"/>
  <c r="IY51" i="45"/>
  <c r="IY31" i="45"/>
  <c r="IY84" i="45"/>
  <c r="IY65" i="45"/>
  <c r="IY49" i="45"/>
  <c r="IY45" i="45"/>
  <c r="IY25" i="45"/>
  <c r="IY83" i="45"/>
  <c r="IY74" i="45"/>
  <c r="IY59" i="45"/>
  <c r="IY40" i="45"/>
  <c r="IY20" i="45"/>
  <c r="IY81" i="45"/>
  <c r="IY67" i="45"/>
  <c r="IY55" i="45"/>
  <c r="IY36" i="45"/>
  <c r="IY98" i="45"/>
  <c r="IY89" i="45"/>
  <c r="IY76" i="45"/>
  <c r="IY58" i="45"/>
  <c r="IY35" i="45"/>
  <c r="IY29" i="45"/>
  <c r="IY78" i="45"/>
  <c r="IY60" i="45"/>
  <c r="IY61" i="45"/>
  <c r="IY44" i="45"/>
  <c r="IY24" i="45"/>
  <c r="IY86" i="45"/>
  <c r="IY66" i="45"/>
  <c r="IY43" i="45"/>
  <c r="IY23" i="45"/>
  <c r="IY90" i="45"/>
  <c r="IY80" i="45"/>
  <c r="IY62" i="45"/>
  <c r="IY39" i="45"/>
  <c r="IZ18" i="45"/>
  <c r="IY97" i="45"/>
  <c r="IY99" i="45"/>
  <c r="IY101" i="45"/>
  <c r="IY88" i="45"/>
  <c r="IY69" i="45"/>
  <c r="IY53" i="45"/>
  <c r="IY34" i="45"/>
  <c r="IY28" i="45"/>
  <c r="IY73" i="45"/>
  <c r="IY70" i="45"/>
  <c r="IY47" i="45"/>
  <c r="IY27" i="45"/>
  <c r="IY6" i="45"/>
  <c r="IY79" i="45"/>
  <c r="IY50" i="45"/>
  <c r="IY42" i="45"/>
  <c r="IY26" i="45"/>
  <c r="IY92" i="45"/>
  <c r="IY75" i="45"/>
  <c r="IY57" i="45"/>
  <c r="IY38" i="45"/>
  <c r="IY22" i="45"/>
  <c r="IY93" i="45"/>
  <c r="IY94" i="45"/>
  <c r="IY95" i="45"/>
  <c r="IY100" i="45"/>
  <c r="IY82" i="45"/>
  <c r="IY64" i="45"/>
  <c r="IY48" i="45"/>
  <c r="IY33" i="45"/>
  <c r="IY85" i="45"/>
  <c r="IY72" i="45"/>
  <c r="IY54" i="45"/>
  <c r="IY46" i="45"/>
  <c r="IY30" i="45"/>
  <c r="IY91" i="45"/>
  <c r="IY71" i="45"/>
  <c r="IY56" i="45"/>
  <c r="IY41" i="45"/>
  <c r="IY21" i="45"/>
  <c r="IY87" i="45"/>
  <c r="IY68" i="45"/>
  <c r="IY52" i="45"/>
  <c r="IY37" i="45"/>
  <c r="IY32" i="45"/>
  <c r="IY96" i="45"/>
  <c r="IY102" i="45"/>
  <c r="IU78" i="38"/>
  <c r="IU63" i="38"/>
  <c r="IU52" i="38"/>
  <c r="IU29" i="38"/>
  <c r="IU76" i="38"/>
  <c r="IU59" i="38"/>
  <c r="IU54" i="38"/>
  <c r="IU42" i="38"/>
  <c r="IU30" i="38"/>
  <c r="IU40" i="38"/>
  <c r="IU72" i="38"/>
  <c r="IU81" i="38"/>
  <c r="IU69" i="38"/>
  <c r="IU47" i="38"/>
  <c r="IU37" i="38"/>
  <c r="IU44" i="38"/>
  <c r="IU31" i="38"/>
  <c r="IU64" i="38"/>
  <c r="IU55" i="38"/>
  <c r="IU24" i="38"/>
  <c r="IU89" i="38"/>
  <c r="IU90" i="38"/>
  <c r="IU93" i="38"/>
  <c r="IU96" i="38"/>
  <c r="IU99" i="38"/>
  <c r="IU80" i="38"/>
  <c r="IU51" i="38"/>
  <c r="IU46" i="38"/>
  <c r="IU33" i="38"/>
  <c r="IU32" i="38"/>
  <c r="IU74" i="38"/>
  <c r="IU41" i="38"/>
  <c r="IU79" i="38"/>
  <c r="IU50" i="38"/>
  <c r="IU35" i="38"/>
  <c r="IU67" i="38"/>
  <c r="IU49" i="38"/>
  <c r="IU36" i="38"/>
  <c r="IU27" i="38"/>
  <c r="IU86" i="38"/>
  <c r="IU94" i="38"/>
  <c r="IU97" i="38"/>
  <c r="IU83" i="38"/>
  <c r="IU77" i="38"/>
  <c r="IU66" i="38"/>
  <c r="IU45" i="38"/>
  <c r="IU73" i="38"/>
  <c r="IU62" i="38"/>
  <c r="IU57" i="38"/>
  <c r="IU39" i="38"/>
  <c r="IU28" i="38"/>
  <c r="IU84" i="38"/>
  <c r="IU82" i="38"/>
  <c r="IU68" i="38"/>
  <c r="IU56" i="38"/>
  <c r="IU26" i="38"/>
  <c r="IU25" i="38"/>
  <c r="IU75" i="38"/>
  <c r="IU70" i="38"/>
  <c r="IU38" i="38"/>
  <c r="IU85" i="38"/>
  <c r="IU88" i="38"/>
  <c r="IU92" i="38"/>
  <c r="IU98" i="38"/>
  <c r="IU60" i="38"/>
  <c r="IU65" i="38"/>
  <c r="IU58" i="38"/>
  <c r="IU43" i="38"/>
  <c r="IU22" i="38"/>
  <c r="IV18" i="38"/>
  <c r="IU61" i="38"/>
  <c r="IU20" i="38"/>
  <c r="IU71" i="38"/>
  <c r="IU48" i="38"/>
  <c r="IU53" i="38"/>
  <c r="IU6" i="38"/>
  <c r="IU34" i="38"/>
  <c r="IU21" i="38"/>
  <c r="IU23" i="38"/>
  <c r="IU87" i="38"/>
  <c r="IU91" i="38"/>
  <c r="IU95" i="38"/>
  <c r="CW104" i="38" l="1"/>
  <c r="DB104" i="38" s="1"/>
  <c r="CY104" i="38"/>
  <c r="DD104" i="38" s="1"/>
  <c r="O104" i="38"/>
  <c r="AP104" i="4"/>
  <c r="AT104" i="4"/>
  <c r="AS104" i="4"/>
  <c r="AO104" i="4"/>
  <c r="AQ104" i="4"/>
  <c r="AR104" i="4"/>
  <c r="FH103" i="7"/>
  <c r="FP103" i="7"/>
  <c r="EJ103" i="7"/>
  <c r="EZ103" i="7"/>
  <c r="ER103" i="7"/>
  <c r="AD103" i="7"/>
  <c r="V103" i="7"/>
  <c r="FK104" i="7"/>
  <c r="FM104" i="7"/>
  <c r="FL104" i="7"/>
  <c r="EY104" i="7"/>
  <c r="EO104" i="7"/>
  <c r="EN104" i="7"/>
  <c r="EP104" i="7"/>
  <c r="FC104" i="7"/>
  <c r="EE104" i="7"/>
  <c r="EI104" i="7"/>
  <c r="ED104" i="7"/>
  <c r="EX104" i="7"/>
  <c r="FJ104" i="7"/>
  <c r="FP104" i="7" s="1"/>
  <c r="FG104" i="7"/>
  <c r="EM104" i="7"/>
  <c r="EF104" i="7"/>
  <c r="FN104" i="7"/>
  <c r="EH104" i="7"/>
  <c r="EQ104" i="7"/>
  <c r="EG104" i="7"/>
  <c r="FD104" i="7"/>
  <c r="EU104" i="7"/>
  <c r="FE104" i="7"/>
  <c r="EV104" i="7"/>
  <c r="FB104" i="7"/>
  <c r="FH104" i="7" s="1"/>
  <c r="FF104" i="7"/>
  <c r="EW104" i="7"/>
  <c r="ET104" i="7"/>
  <c r="EL104" i="7"/>
  <c r="FO104" i="7"/>
  <c r="FB103" i="38"/>
  <c r="EW103" i="38"/>
  <c r="BA101" i="38"/>
  <c r="BB101" i="38" s="1"/>
  <c r="G101" i="38" s="1"/>
  <c r="P101" i="38" s="1"/>
  <c r="Q101" i="38" s="1"/>
  <c r="R102" i="38" s="1"/>
  <c r="U92" i="41"/>
  <c r="T92" i="38"/>
  <c r="BU91" i="38"/>
  <c r="BV91" i="38" s="1"/>
  <c r="W91" i="38"/>
  <c r="W90" i="41"/>
  <c r="T90" i="46"/>
  <c r="W90" i="46" s="1"/>
  <c r="V90" i="41"/>
  <c r="T90" i="45"/>
  <c r="BH104" i="7"/>
  <c r="AI104" i="7"/>
  <c r="CX104" i="7"/>
  <c r="BC104" i="7"/>
  <c r="CR104" i="7"/>
  <c r="Q104" i="7"/>
  <c r="DV104" i="7"/>
  <c r="DO104" i="7"/>
  <c r="CA104" i="7"/>
  <c r="BF101" i="46"/>
  <c r="BG101" i="46" s="1"/>
  <c r="H101" i="46" s="1"/>
  <c r="AG104" i="7"/>
  <c r="DP104" i="7"/>
  <c r="BZ104" i="7"/>
  <c r="CF104" i="7"/>
  <c r="CS104" i="7"/>
  <c r="AA104" i="7"/>
  <c r="T104" i="7"/>
  <c r="DN104" i="7"/>
  <c r="BR104" i="7"/>
  <c r="BQ104" i="7"/>
  <c r="S104" i="7"/>
  <c r="AZ104" i="7"/>
  <c r="BY104" i="7"/>
  <c r="CD104" i="7"/>
  <c r="CI104" i="7"/>
  <c r="DQ104" i="7"/>
  <c r="BA101" i="46"/>
  <c r="BB101" i="46" s="1"/>
  <c r="G101" i="46" s="1"/>
  <c r="P101" i="46" s="1"/>
  <c r="DU104" i="7"/>
  <c r="BS104" i="7"/>
  <c r="CE104" i="7"/>
  <c r="BB104" i="7"/>
  <c r="K104" i="7"/>
  <c r="DM104" i="7"/>
  <c r="AK104" i="7"/>
  <c r="AY104" i="7"/>
  <c r="DW104" i="7"/>
  <c r="DX104" i="7"/>
  <c r="BW104" i="7"/>
  <c r="BP104" i="7"/>
  <c r="CG104" i="7"/>
  <c r="AB104" i="7"/>
  <c r="CY104" i="7"/>
  <c r="CQ104" i="7"/>
  <c r="DI104" i="7"/>
  <c r="BI104" i="7"/>
  <c r="U104" i="7"/>
  <c r="BK104" i="7"/>
  <c r="CO104" i="7"/>
  <c r="AC104" i="7"/>
  <c r="AH104" i="7"/>
  <c r="AZ102" i="46"/>
  <c r="AZ102" i="38"/>
  <c r="M104" i="7"/>
  <c r="EX103" i="38"/>
  <c r="EY103" i="38" s="1"/>
  <c r="AR102" i="38"/>
  <c r="AV102" i="38" s="1"/>
  <c r="AW102" i="38" s="1"/>
  <c r="F102" i="38" s="1"/>
  <c r="AR102" i="45"/>
  <c r="AV102" i="45" s="1"/>
  <c r="AW102" i="45" s="1"/>
  <c r="F102" i="45" s="1"/>
  <c r="AR102" i="46"/>
  <c r="AV102" i="46" s="1"/>
  <c r="AW102" i="46" s="1"/>
  <c r="F102" i="46" s="1"/>
  <c r="BF101" i="38"/>
  <c r="BG101" i="38" s="1"/>
  <c r="H101" i="38" s="1"/>
  <c r="I101" i="38" s="1"/>
  <c r="BA101" i="45"/>
  <c r="BB101" i="45" s="1"/>
  <c r="G101" i="45" s="1"/>
  <c r="P101" i="45" s="1"/>
  <c r="Q101" i="45" s="1"/>
  <c r="R102" i="45" s="1"/>
  <c r="AZ102" i="45"/>
  <c r="AS103" i="38"/>
  <c r="AS103" i="46"/>
  <c r="AS103" i="45"/>
  <c r="L104" i="7"/>
  <c r="FC103" i="38"/>
  <c r="FD103" i="38" s="1"/>
  <c r="AY103" i="46"/>
  <c r="AY103" i="38"/>
  <c r="AY103" i="45"/>
  <c r="BF101" i="45"/>
  <c r="BG101" i="45" s="1"/>
  <c r="H101" i="45" s="1"/>
  <c r="I101" i="45" s="1"/>
  <c r="Q104" i="4"/>
  <c r="AE104" i="4"/>
  <c r="AD104" i="4"/>
  <c r="P104" i="4"/>
  <c r="AX103" i="38"/>
  <c r="AX103" i="45"/>
  <c r="AX103" i="46"/>
  <c r="AT103" i="45"/>
  <c r="AT103" i="46"/>
  <c r="AT103" i="38"/>
  <c r="BD102" i="38"/>
  <c r="BE102" i="38" s="1"/>
  <c r="EV102" i="38"/>
  <c r="FG102" i="38" s="1"/>
  <c r="BD102" i="45"/>
  <c r="BE102" i="45" s="1"/>
  <c r="BD102" i="46"/>
  <c r="BE102" i="46" s="1"/>
  <c r="CN104" i="7"/>
  <c r="DT104" i="7"/>
  <c r="BV104" i="7"/>
  <c r="N104" i="4"/>
  <c r="AB104" i="4"/>
  <c r="V104" i="4"/>
  <c r="X104" i="4"/>
  <c r="M104" i="4"/>
  <c r="G104" i="4"/>
  <c r="AA104" i="4"/>
  <c r="H104" i="4"/>
  <c r="U104" i="4"/>
  <c r="Y104" i="4"/>
  <c r="K104" i="4"/>
  <c r="C104" i="4"/>
  <c r="D104" i="4"/>
  <c r="J104" i="4"/>
  <c r="FK104" i="46"/>
  <c r="M104" i="46"/>
  <c r="K104" i="46"/>
  <c r="L104" i="46"/>
  <c r="J104" i="7"/>
  <c r="AI103" i="46"/>
  <c r="E103" i="41"/>
  <c r="S103" i="46"/>
  <c r="DL104" i="7"/>
  <c r="S103" i="45"/>
  <c r="D103" i="41"/>
  <c r="DE104" i="7"/>
  <c r="CW103" i="41"/>
  <c r="K104" i="45"/>
  <c r="FK104" i="45"/>
  <c r="IZ104" i="45" s="1"/>
  <c r="L104" i="45"/>
  <c r="M104" i="45"/>
  <c r="BA104" i="7"/>
  <c r="BN104" i="7"/>
  <c r="AX104" i="7"/>
  <c r="BC103" i="46"/>
  <c r="BC103" i="45"/>
  <c r="BC103" i="38"/>
  <c r="Z104" i="7"/>
  <c r="CH104" i="7"/>
  <c r="DF104" i="7"/>
  <c r="R104" i="7"/>
  <c r="CZ104" i="7"/>
  <c r="CP104" i="7"/>
  <c r="BX104" i="7"/>
  <c r="DA104" i="7"/>
  <c r="I104" i="7"/>
  <c r="AJ104" i="7"/>
  <c r="DD104" i="7"/>
  <c r="BJ104" i="7"/>
  <c r="DY104" i="7"/>
  <c r="DG104" i="7"/>
  <c r="CW104" i="7"/>
  <c r="BG104" i="7"/>
  <c r="M104" i="38"/>
  <c r="FN104" i="38"/>
  <c r="L104" i="38"/>
  <c r="K104" i="38"/>
  <c r="BQ104" i="38"/>
  <c r="AF104" i="7"/>
  <c r="BO104" i="7"/>
  <c r="CV104" i="7"/>
  <c r="DH104" i="7"/>
  <c r="IW103" i="45"/>
  <c r="IX103" i="45"/>
  <c r="IV103" i="45"/>
  <c r="BF104" i="7"/>
  <c r="H104" i="7"/>
  <c r="N104" i="7" s="1"/>
  <c r="AI103" i="38"/>
  <c r="C103" i="41"/>
  <c r="S103" i="38"/>
  <c r="A105" i="46"/>
  <c r="O105" i="46" s="1"/>
  <c r="A105" i="41"/>
  <c r="A106" i="55"/>
  <c r="A105" i="45"/>
  <c r="O105" i="45" s="1"/>
  <c r="A105" i="7"/>
  <c r="A105" i="4"/>
  <c r="A105" i="38"/>
  <c r="CV105" i="38" s="1"/>
  <c r="A105" i="6"/>
  <c r="R104" i="6"/>
  <c r="Q104" i="6"/>
  <c r="T104" i="6"/>
  <c r="O104" i="6"/>
  <c r="H104" i="6"/>
  <c r="U104" i="6"/>
  <c r="K104" i="6"/>
  <c r="L104" i="6"/>
  <c r="N104" i="6"/>
  <c r="I104" i="6"/>
  <c r="Y104" i="7"/>
  <c r="X104" i="7"/>
  <c r="P104" i="7"/>
  <c r="IZ6" i="45"/>
  <c r="IZ85" i="45"/>
  <c r="IZ66" i="45"/>
  <c r="IZ54" i="45"/>
  <c r="IZ30" i="45"/>
  <c r="IZ92" i="45"/>
  <c r="IZ75" i="45"/>
  <c r="IZ57" i="45"/>
  <c r="IZ49" i="45"/>
  <c r="IZ21" i="45"/>
  <c r="IZ83" i="45"/>
  <c r="IZ68" i="45"/>
  <c r="IZ60" i="45"/>
  <c r="IZ44" i="45"/>
  <c r="IZ34" i="45"/>
  <c r="IZ93" i="45"/>
  <c r="IZ64" i="45"/>
  <c r="IZ59" i="45"/>
  <c r="IZ40" i="45"/>
  <c r="IZ31" i="45"/>
  <c r="IZ96" i="45"/>
  <c r="IZ102" i="45"/>
  <c r="IZ94" i="45"/>
  <c r="IZ79" i="45"/>
  <c r="IZ61" i="45"/>
  <c r="IZ38" i="45"/>
  <c r="IZ25" i="45"/>
  <c r="IZ87" i="45"/>
  <c r="IZ74" i="45"/>
  <c r="IZ48" i="45"/>
  <c r="IZ33" i="45"/>
  <c r="IZ20" i="45"/>
  <c r="IZ81" i="45"/>
  <c r="IZ63" i="45"/>
  <c r="IZ47" i="45"/>
  <c r="IZ39" i="45"/>
  <c r="JA18" i="45"/>
  <c r="IZ77" i="45"/>
  <c r="IZ70" i="45"/>
  <c r="IZ58" i="45"/>
  <c r="IZ35" i="45"/>
  <c r="IZ98" i="45"/>
  <c r="IZ103" i="45"/>
  <c r="IZ91" i="45"/>
  <c r="IZ78" i="45"/>
  <c r="IZ52" i="45"/>
  <c r="IZ37" i="45"/>
  <c r="IZ24" i="45"/>
  <c r="IZ86" i="45"/>
  <c r="IZ67" i="45"/>
  <c r="IZ51" i="45"/>
  <c r="IZ43" i="45"/>
  <c r="IZ23" i="45"/>
  <c r="IZ76" i="45"/>
  <c r="IZ69" i="45"/>
  <c r="IZ46" i="45"/>
  <c r="IZ22" i="45"/>
  <c r="IZ89" i="45"/>
  <c r="IZ72" i="45"/>
  <c r="IZ65" i="45"/>
  <c r="IZ42" i="45"/>
  <c r="IZ29" i="45"/>
  <c r="IZ97" i="45"/>
  <c r="IZ99" i="45"/>
  <c r="IZ101" i="45"/>
  <c r="IZ90" i="45"/>
  <c r="IZ73" i="45"/>
  <c r="IZ55" i="45"/>
  <c r="IZ36" i="45"/>
  <c r="IZ27" i="45"/>
  <c r="IZ80" i="45"/>
  <c r="IZ62" i="45"/>
  <c r="IZ50" i="45"/>
  <c r="IZ26" i="45"/>
  <c r="IZ88" i="45"/>
  <c r="IZ71" i="45"/>
  <c r="IZ53" i="45"/>
  <c r="IZ45" i="45"/>
  <c r="IZ32" i="45"/>
  <c r="IZ84" i="45"/>
  <c r="IZ82" i="45"/>
  <c r="IZ56" i="45"/>
  <c r="IZ41" i="45"/>
  <c r="IZ28" i="45"/>
  <c r="IZ95" i="45"/>
  <c r="IZ100" i="45"/>
  <c r="IV82" i="38"/>
  <c r="IV69" i="38"/>
  <c r="IV59" i="38"/>
  <c r="IV21" i="38"/>
  <c r="IV83" i="38"/>
  <c r="IV70" i="38"/>
  <c r="IV57" i="38"/>
  <c r="IV35" i="38"/>
  <c r="IV33" i="38"/>
  <c r="IV71" i="38"/>
  <c r="IV54" i="38"/>
  <c r="IV42" i="38"/>
  <c r="IV39" i="38"/>
  <c r="IV81" i="38"/>
  <c r="IV68" i="38"/>
  <c r="IV48" i="38"/>
  <c r="IV28" i="38"/>
  <c r="IV88" i="38"/>
  <c r="IV98" i="38"/>
  <c r="IV100" i="38"/>
  <c r="IV77" i="38"/>
  <c r="IV64" i="38"/>
  <c r="IV45" i="38"/>
  <c r="IV24" i="38"/>
  <c r="IV78" i="38"/>
  <c r="IV65" i="38"/>
  <c r="IV56" i="38"/>
  <c r="IV43" i="38"/>
  <c r="IV79" i="38"/>
  <c r="IV66" i="38"/>
  <c r="IV53" i="38"/>
  <c r="IV29" i="38"/>
  <c r="IV30" i="38"/>
  <c r="IV80" i="38"/>
  <c r="IV51" i="38"/>
  <c r="IV44" i="38"/>
  <c r="IV27" i="38"/>
  <c r="IV87" i="38"/>
  <c r="IV89" i="38"/>
  <c r="IV91" i="38"/>
  <c r="IV95" i="38"/>
  <c r="IV76" i="38"/>
  <c r="IV47" i="38"/>
  <c r="IV40" i="38"/>
  <c r="IV23" i="38"/>
  <c r="IV73" i="38"/>
  <c r="IV60" i="38"/>
  <c r="IV41" i="38"/>
  <c r="IV20" i="38"/>
  <c r="IV74" i="38"/>
  <c r="IV61" i="38"/>
  <c r="IV52" i="38"/>
  <c r="IV32" i="38"/>
  <c r="IV85" i="38"/>
  <c r="IV67" i="38"/>
  <c r="IV50" i="38"/>
  <c r="IV38" i="38"/>
  <c r="IV6" i="38"/>
  <c r="IV86" i="38"/>
  <c r="IV90" i="38"/>
  <c r="IV93" i="38"/>
  <c r="IV96" i="38"/>
  <c r="IV99" i="38"/>
  <c r="IV63" i="38"/>
  <c r="IV46" i="38"/>
  <c r="IV34" i="38"/>
  <c r="IV26" i="38"/>
  <c r="IV72" i="38"/>
  <c r="IV58" i="38"/>
  <c r="IV36" i="38"/>
  <c r="IW18" i="38"/>
  <c r="IV84" i="38"/>
  <c r="IV55" i="38"/>
  <c r="IV37" i="38"/>
  <c r="IV31" i="38"/>
  <c r="IV75" i="38"/>
  <c r="IV62" i="38"/>
  <c r="IV49" i="38"/>
  <c r="IV25" i="38"/>
  <c r="IV22" i="38"/>
  <c r="IV92" i="38"/>
  <c r="IV94" i="38"/>
  <c r="IV97" i="38"/>
  <c r="IU58" i="46"/>
  <c r="IU71" i="46"/>
  <c r="IU37" i="46"/>
  <c r="IU39" i="46"/>
  <c r="IU79" i="46"/>
  <c r="IU65" i="46"/>
  <c r="IU51" i="46"/>
  <c r="IU48" i="46"/>
  <c r="IV18" i="46"/>
  <c r="IU66" i="46"/>
  <c r="IU52" i="46"/>
  <c r="IU45" i="46"/>
  <c r="IU47" i="46"/>
  <c r="IU87" i="46"/>
  <c r="IU57" i="46"/>
  <c r="IU46" i="46"/>
  <c r="IU40" i="46"/>
  <c r="IU93" i="46"/>
  <c r="IU97" i="46"/>
  <c r="IU100" i="46"/>
  <c r="IU101" i="46"/>
  <c r="IU102" i="46"/>
  <c r="IU88" i="46"/>
  <c r="IU69" i="46"/>
  <c r="IU55" i="46"/>
  <c r="IU21" i="46"/>
  <c r="IU23" i="46"/>
  <c r="IU86" i="46"/>
  <c r="IU72" i="46"/>
  <c r="IU38" i="46"/>
  <c r="IU32" i="46"/>
  <c r="IU81" i="46"/>
  <c r="IU50" i="46"/>
  <c r="IU63" i="46"/>
  <c r="IU29" i="46"/>
  <c r="IU31" i="46"/>
  <c r="IU78" i="46"/>
  <c r="IU64" i="46"/>
  <c r="IU30" i="46"/>
  <c r="IU24" i="46"/>
  <c r="IU96" i="46"/>
  <c r="IU83" i="46"/>
  <c r="IU53" i="46"/>
  <c r="IU42" i="46"/>
  <c r="IU36" i="46"/>
  <c r="IU85" i="46"/>
  <c r="IU70" i="46"/>
  <c r="IU56" i="46"/>
  <c r="IU22" i="46"/>
  <c r="IU6" i="46"/>
  <c r="IU80" i="46"/>
  <c r="IU61" i="46"/>
  <c r="IU49" i="46"/>
  <c r="IU44" i="46"/>
  <c r="IU77" i="46"/>
  <c r="IU62" i="46"/>
  <c r="IU75" i="46"/>
  <c r="IU41" i="46"/>
  <c r="IU43" i="46"/>
  <c r="IU89" i="46"/>
  <c r="IU90" i="46"/>
  <c r="IU91" i="46"/>
  <c r="IU92" i="46"/>
  <c r="IU74" i="46"/>
  <c r="IU60" i="46"/>
  <c r="IU26" i="46"/>
  <c r="IU20" i="46"/>
  <c r="IU84" i="46"/>
  <c r="IU54" i="46"/>
  <c r="IU67" i="46"/>
  <c r="IU33" i="46"/>
  <c r="IU35" i="46"/>
  <c r="IU82" i="46"/>
  <c r="IU68" i="46"/>
  <c r="IU34" i="46"/>
  <c r="IU28" i="46"/>
  <c r="IU76" i="46"/>
  <c r="IU73" i="46"/>
  <c r="IU59" i="46"/>
  <c r="IU25" i="46"/>
  <c r="IU27" i="46"/>
  <c r="IU94" i="46"/>
  <c r="IU95" i="46"/>
  <c r="IU98" i="46"/>
  <c r="IU99" i="46"/>
  <c r="CW105" i="38" l="1"/>
  <c r="DB105" i="38" s="1"/>
  <c r="CY105" i="38"/>
  <c r="DD105" i="38" s="1"/>
  <c r="O105" i="38"/>
  <c r="AR105" i="4"/>
  <c r="AP105" i="4"/>
  <c r="AS105" i="4"/>
  <c r="AT105" i="4"/>
  <c r="AQ105" i="4"/>
  <c r="AO105" i="4"/>
  <c r="I101" i="46"/>
  <c r="J101" i="46" s="1"/>
  <c r="AB101" i="41" s="1"/>
  <c r="AF101" i="41" s="1"/>
  <c r="EJ104" i="7"/>
  <c r="EZ104" i="7"/>
  <c r="ER104" i="7"/>
  <c r="V104" i="7"/>
  <c r="AD104" i="7"/>
  <c r="FM105" i="7"/>
  <c r="EU105" i="7"/>
  <c r="EH105" i="7"/>
  <c r="EW105" i="7"/>
  <c r="FC105" i="7"/>
  <c r="EN105" i="7"/>
  <c r="EP105" i="7"/>
  <c r="EV105" i="7"/>
  <c r="EG105" i="7"/>
  <c r="EF105" i="7"/>
  <c r="EM105" i="7"/>
  <c r="EX105" i="7"/>
  <c r="EE105" i="7"/>
  <c r="ED105" i="7"/>
  <c r="FO105" i="7"/>
  <c r="ET105" i="7"/>
  <c r="FB105" i="7"/>
  <c r="FH105" i="7" s="1"/>
  <c r="FE105" i="7"/>
  <c r="EQ105" i="7"/>
  <c r="FK105" i="7"/>
  <c r="FG105" i="7"/>
  <c r="EY105" i="7"/>
  <c r="EL105" i="7"/>
  <c r="FF105" i="7"/>
  <c r="EO105" i="7"/>
  <c r="FD105" i="7"/>
  <c r="FN105" i="7"/>
  <c r="FL105" i="7"/>
  <c r="FJ105" i="7"/>
  <c r="EI105" i="7"/>
  <c r="EX104" i="38"/>
  <c r="EY104" i="38" s="1"/>
  <c r="FH103" i="38"/>
  <c r="FB104" i="38"/>
  <c r="FC104" i="38"/>
  <c r="FD104" i="38" s="1"/>
  <c r="EW104" i="38"/>
  <c r="K101" i="41"/>
  <c r="G101" i="41"/>
  <c r="BS101" i="38"/>
  <c r="J101" i="38"/>
  <c r="BU92" i="38"/>
  <c r="W92" i="38"/>
  <c r="U93" i="41"/>
  <c r="T93" i="38"/>
  <c r="T91" i="45"/>
  <c r="V91" i="41"/>
  <c r="T91" i="46"/>
  <c r="W91" i="46" s="1"/>
  <c r="W91" i="41"/>
  <c r="L101" i="41"/>
  <c r="H101" i="41"/>
  <c r="Q101" i="46"/>
  <c r="R102" i="46" s="1"/>
  <c r="I101" i="41"/>
  <c r="M101" i="41"/>
  <c r="DP105" i="7"/>
  <c r="FI103" i="38"/>
  <c r="AZ103" i="38"/>
  <c r="BF102" i="46"/>
  <c r="BG102" i="46" s="1"/>
  <c r="H102" i="46" s="1"/>
  <c r="BF102" i="38"/>
  <c r="BG102" i="38" s="1"/>
  <c r="H102" i="38" s="1"/>
  <c r="I102" i="38" s="1"/>
  <c r="AU103" i="38"/>
  <c r="BA102" i="46"/>
  <c r="BB102" i="46" s="1"/>
  <c r="G102" i="46" s="1"/>
  <c r="P102" i="46" s="1"/>
  <c r="Q102" i="46" s="1"/>
  <c r="AU103" i="46"/>
  <c r="AT104" i="46"/>
  <c r="AT104" i="45"/>
  <c r="AT104" i="38"/>
  <c r="AE105" i="4"/>
  <c r="P105" i="4"/>
  <c r="AD105" i="4"/>
  <c r="Q105" i="4"/>
  <c r="BO105" i="7"/>
  <c r="AX104" i="45"/>
  <c r="AX104" i="46"/>
  <c r="AX104" i="38"/>
  <c r="AR103" i="38"/>
  <c r="AR103" i="46"/>
  <c r="AR103" i="45"/>
  <c r="CF105" i="7"/>
  <c r="BF102" i="45"/>
  <c r="BG102" i="45" s="1"/>
  <c r="H102" i="45" s="1"/>
  <c r="I102" i="45" s="1"/>
  <c r="AZ103" i="46"/>
  <c r="AU103" i="45"/>
  <c r="BA102" i="38"/>
  <c r="BB102" i="38" s="1"/>
  <c r="G102" i="38" s="1"/>
  <c r="P102" i="38" s="1"/>
  <c r="Q102" i="38" s="1"/>
  <c r="R103" i="38" s="1"/>
  <c r="AY104" i="45"/>
  <c r="AY104" i="38"/>
  <c r="AY104" i="46"/>
  <c r="DN105" i="7"/>
  <c r="Y105" i="7"/>
  <c r="AS104" i="38"/>
  <c r="AS104" i="46"/>
  <c r="AS104" i="45"/>
  <c r="BB105" i="7"/>
  <c r="DY105" i="7"/>
  <c r="I105" i="7"/>
  <c r="AZ103" i="45"/>
  <c r="BA102" i="45"/>
  <c r="BB102" i="45" s="1"/>
  <c r="G102" i="45" s="1"/>
  <c r="P102" i="45" s="1"/>
  <c r="Q102" i="45" s="1"/>
  <c r="R103" i="45" s="1"/>
  <c r="P105" i="7"/>
  <c r="V105" i="7" s="1"/>
  <c r="BQ105" i="38"/>
  <c r="L105" i="38"/>
  <c r="FN105" i="38"/>
  <c r="M105" i="38"/>
  <c r="K105" i="38"/>
  <c r="A106" i="45"/>
  <c r="O106" i="45" s="1"/>
  <c r="A106" i="6"/>
  <c r="A106" i="4"/>
  <c r="A106" i="46"/>
  <c r="O106" i="46" s="1"/>
  <c r="A106" i="41"/>
  <c r="A106" i="38"/>
  <c r="CV106" i="38" s="1"/>
  <c r="A106" i="7"/>
  <c r="FM106" i="7" s="1"/>
  <c r="A107" i="55"/>
  <c r="H105" i="7"/>
  <c r="N105" i="7" s="1"/>
  <c r="BR105" i="7"/>
  <c r="BR106" i="7" s="1"/>
  <c r="CS105" i="7"/>
  <c r="BY105" i="7"/>
  <c r="DG105" i="7"/>
  <c r="AJ105" i="7"/>
  <c r="CP105" i="7"/>
  <c r="CH105" i="7"/>
  <c r="L105" i="7"/>
  <c r="AX105" i="7"/>
  <c r="DE105" i="7"/>
  <c r="BV105" i="7"/>
  <c r="U105" i="7"/>
  <c r="DT105" i="7"/>
  <c r="M105" i="4"/>
  <c r="V105" i="4"/>
  <c r="J105" i="4"/>
  <c r="U105" i="4"/>
  <c r="G105" i="4"/>
  <c r="AB105" i="4"/>
  <c r="K105" i="4"/>
  <c r="Y105" i="4"/>
  <c r="X105" i="4"/>
  <c r="AA105" i="4"/>
  <c r="C105" i="4"/>
  <c r="D105" i="4"/>
  <c r="H105" i="4"/>
  <c r="N105" i="4"/>
  <c r="CZ105" i="7"/>
  <c r="Z105" i="7"/>
  <c r="BD103" i="38"/>
  <c r="BE103" i="38" s="1"/>
  <c r="EV103" i="38"/>
  <c r="FG103" i="38" s="1"/>
  <c r="BD103" i="46"/>
  <c r="BE103" i="46" s="1"/>
  <c r="BD103" i="45"/>
  <c r="BE103" i="45" s="1"/>
  <c r="DW105" i="7"/>
  <c r="CY105" i="7"/>
  <c r="BN105" i="7"/>
  <c r="D104" i="41"/>
  <c r="S104" i="45"/>
  <c r="CA105" i="7"/>
  <c r="AZ105" i="7"/>
  <c r="DL105" i="7"/>
  <c r="J105" i="7"/>
  <c r="BI105" i="7"/>
  <c r="X105" i="7"/>
  <c r="CI105" i="7"/>
  <c r="CR105" i="7"/>
  <c r="AG105" i="7"/>
  <c r="AK105" i="7"/>
  <c r="AB105" i="7"/>
  <c r="DV105" i="7"/>
  <c r="K105" i="7"/>
  <c r="BC105" i="7"/>
  <c r="DQ105" i="7"/>
  <c r="DX105" i="7"/>
  <c r="CD105" i="7"/>
  <c r="Q105" i="7"/>
  <c r="BZ105" i="7"/>
  <c r="AY105" i="7"/>
  <c r="BQ105" i="7"/>
  <c r="BP105" i="7"/>
  <c r="CX105" i="7"/>
  <c r="BK105" i="7"/>
  <c r="DI105" i="7"/>
  <c r="M105" i="46"/>
  <c r="FK105" i="46"/>
  <c r="K105" i="46"/>
  <c r="L105" i="46"/>
  <c r="S105" i="7"/>
  <c r="T105" i="7"/>
  <c r="AI105" i="7"/>
  <c r="DH105" i="7"/>
  <c r="CW104" i="41"/>
  <c r="BG105" i="7"/>
  <c r="BJ105" i="7"/>
  <c r="DA105" i="7"/>
  <c r="R105" i="7"/>
  <c r="BC104" i="46"/>
  <c r="BC104" i="38"/>
  <c r="BC104" i="45"/>
  <c r="CE105" i="7"/>
  <c r="BA105" i="7"/>
  <c r="DO105" i="7"/>
  <c r="DU105" i="7"/>
  <c r="AI104" i="46"/>
  <c r="S104" i="46"/>
  <c r="E104" i="41"/>
  <c r="AC105" i="7"/>
  <c r="M105" i="7"/>
  <c r="CN105" i="7"/>
  <c r="BS105" i="7"/>
  <c r="U105" i="6"/>
  <c r="L105" i="6"/>
  <c r="O105" i="6"/>
  <c r="R105" i="6"/>
  <c r="T105" i="6"/>
  <c r="I105" i="6"/>
  <c r="Q105" i="6"/>
  <c r="K105" i="6"/>
  <c r="N105" i="6"/>
  <c r="H105" i="6"/>
  <c r="M105" i="45"/>
  <c r="L105" i="45"/>
  <c r="FK105" i="45"/>
  <c r="JA105" i="45" s="1"/>
  <c r="K105" i="45"/>
  <c r="BF105" i="7"/>
  <c r="AA105" i="7"/>
  <c r="DM105" i="7"/>
  <c r="CV105" i="7"/>
  <c r="AF105" i="7"/>
  <c r="C104" i="41"/>
  <c r="AI104" i="38"/>
  <c r="S104" i="38"/>
  <c r="CW105" i="7"/>
  <c r="DD105" i="7"/>
  <c r="BX105" i="7"/>
  <c r="DF105" i="7"/>
  <c r="AH105" i="7"/>
  <c r="BW105" i="7"/>
  <c r="CG105" i="7"/>
  <c r="IX104" i="45"/>
  <c r="IY104" i="45"/>
  <c r="IW104" i="45"/>
  <c r="CO105" i="7"/>
  <c r="CQ105" i="7"/>
  <c r="BH105" i="7"/>
  <c r="IW77" i="38"/>
  <c r="IW64" i="38"/>
  <c r="IW55" i="38"/>
  <c r="IW42" i="38"/>
  <c r="IW86" i="38"/>
  <c r="IW70" i="38"/>
  <c r="IW57" i="38"/>
  <c r="IW41" i="38"/>
  <c r="IW25" i="38"/>
  <c r="IW83" i="38"/>
  <c r="IW54" i="38"/>
  <c r="IW43" i="38"/>
  <c r="IW26" i="38"/>
  <c r="IW81" i="38"/>
  <c r="IW68" i="38"/>
  <c r="IW48" i="38"/>
  <c r="IW20" i="38"/>
  <c r="IW92" i="38"/>
  <c r="IW94" i="38"/>
  <c r="IW97" i="38"/>
  <c r="IW76" i="38"/>
  <c r="IW63" i="38"/>
  <c r="IW40" i="38"/>
  <c r="IX18" i="38"/>
  <c r="IW78" i="38"/>
  <c r="IW65" i="38"/>
  <c r="IW56" i="38"/>
  <c r="IW28" i="38"/>
  <c r="IW21" i="38"/>
  <c r="IW66" i="38"/>
  <c r="IW53" i="38"/>
  <c r="IW37" i="38"/>
  <c r="IW38" i="38"/>
  <c r="IW80" i="38"/>
  <c r="IW67" i="38"/>
  <c r="IW44" i="38"/>
  <c r="IW23" i="38"/>
  <c r="IW88" i="38"/>
  <c r="IW98" i="38"/>
  <c r="IW100" i="38"/>
  <c r="IW75" i="38"/>
  <c r="IW46" i="38"/>
  <c r="IW45" i="38"/>
  <c r="IW34" i="38"/>
  <c r="IW73" i="38"/>
  <c r="IW60" i="38"/>
  <c r="IW51" i="38"/>
  <c r="IW31" i="38"/>
  <c r="IW74" i="38"/>
  <c r="IW61" i="38"/>
  <c r="IW52" i="38"/>
  <c r="IW24" i="38"/>
  <c r="IW6" i="38"/>
  <c r="IW79" i="38"/>
  <c r="IW50" i="38"/>
  <c r="IW39" i="38"/>
  <c r="IW22" i="38"/>
  <c r="IW87" i="38"/>
  <c r="IW89" i="38"/>
  <c r="IW91" i="38"/>
  <c r="IW95" i="38"/>
  <c r="IW82" i="38"/>
  <c r="IW69" i="38"/>
  <c r="IW59" i="38"/>
  <c r="IW32" i="38"/>
  <c r="IW29" i="38"/>
  <c r="IW72" i="38"/>
  <c r="IW58" i="38"/>
  <c r="IW36" i="38"/>
  <c r="IW30" i="38"/>
  <c r="IW84" i="38"/>
  <c r="IW71" i="38"/>
  <c r="IW47" i="38"/>
  <c r="IW27" i="38"/>
  <c r="IW85" i="38"/>
  <c r="IW62" i="38"/>
  <c r="IW49" i="38"/>
  <c r="IW33" i="38"/>
  <c r="IW35" i="38"/>
  <c r="IW90" i="38"/>
  <c r="IW93" i="38"/>
  <c r="IW96" i="38"/>
  <c r="IW99" i="38"/>
  <c r="IW101" i="38"/>
  <c r="JA83" i="45"/>
  <c r="JA77" i="45"/>
  <c r="JA59" i="45"/>
  <c r="JA43" i="45"/>
  <c r="JA31" i="45"/>
  <c r="JA75" i="45"/>
  <c r="JA61" i="45"/>
  <c r="JA49" i="45"/>
  <c r="JA25" i="45"/>
  <c r="JA91" i="45"/>
  <c r="JA84" i="45"/>
  <c r="JA56" i="45"/>
  <c r="JA40" i="45"/>
  <c r="JA24" i="45"/>
  <c r="JA95" i="45"/>
  <c r="JA82" i="45"/>
  <c r="JA68" i="45"/>
  <c r="JA41" i="45"/>
  <c r="JA33" i="45"/>
  <c r="JA100" i="45"/>
  <c r="JA89" i="45"/>
  <c r="JA70" i="45"/>
  <c r="JA58" i="45"/>
  <c r="JA46" i="45"/>
  <c r="JA88" i="45"/>
  <c r="JA74" i="45"/>
  <c r="JA60" i="45"/>
  <c r="JA44" i="45"/>
  <c r="JA28" i="45"/>
  <c r="JA86" i="45"/>
  <c r="JA67" i="45"/>
  <c r="JA51" i="45"/>
  <c r="JA35" i="45"/>
  <c r="JA23" i="45"/>
  <c r="JA87" i="45"/>
  <c r="JA81" i="45"/>
  <c r="JA52" i="45"/>
  <c r="JA36" i="45"/>
  <c r="JA20" i="45"/>
  <c r="JA96" i="45"/>
  <c r="JA102" i="45"/>
  <c r="JA93" i="45"/>
  <c r="JA79" i="45"/>
  <c r="JA65" i="45"/>
  <c r="JA53" i="45"/>
  <c r="JA29" i="45"/>
  <c r="JA90" i="45"/>
  <c r="JA73" i="45"/>
  <c r="JA55" i="45"/>
  <c r="JA39" i="45"/>
  <c r="JA27" i="45"/>
  <c r="JA80" i="45"/>
  <c r="JA62" i="45"/>
  <c r="JA50" i="45"/>
  <c r="JA38" i="45"/>
  <c r="JA26" i="45"/>
  <c r="JA94" i="45"/>
  <c r="JA63" i="45"/>
  <c r="JA47" i="45"/>
  <c r="JA48" i="45"/>
  <c r="JB18" i="45"/>
  <c r="JA98" i="45"/>
  <c r="JA103" i="45"/>
  <c r="JA92" i="45"/>
  <c r="JA78" i="45"/>
  <c r="JA64" i="45"/>
  <c r="JA37" i="45"/>
  <c r="JA32" i="45"/>
  <c r="JA85" i="45"/>
  <c r="JA66" i="45"/>
  <c r="JA54" i="45"/>
  <c r="JA42" i="45"/>
  <c r="JA30" i="45"/>
  <c r="JA71" i="45"/>
  <c r="JA72" i="45"/>
  <c r="JA45" i="45"/>
  <c r="JA21" i="45"/>
  <c r="JA6" i="45"/>
  <c r="JA76" i="45"/>
  <c r="JA69" i="45"/>
  <c r="JA57" i="45"/>
  <c r="JA34" i="45"/>
  <c r="JA22" i="45"/>
  <c r="JA97" i="45"/>
  <c r="JA99" i="45"/>
  <c r="JA101" i="45"/>
  <c r="JA104" i="45"/>
  <c r="IV53" i="46"/>
  <c r="IV66" i="46"/>
  <c r="IV32" i="46"/>
  <c r="IV38" i="46"/>
  <c r="IV86" i="46"/>
  <c r="IV56" i="46"/>
  <c r="IV45" i="46"/>
  <c r="IV47" i="46"/>
  <c r="IV84" i="46"/>
  <c r="IV61" i="46"/>
  <c r="IV74" i="46"/>
  <c r="IV40" i="46"/>
  <c r="IV46" i="46"/>
  <c r="IV78" i="46"/>
  <c r="IV64" i="46"/>
  <c r="IV54" i="46"/>
  <c r="IV20" i="46"/>
  <c r="IV26" i="46"/>
  <c r="IV94" i="46"/>
  <c r="IV95" i="46"/>
  <c r="IV98" i="46"/>
  <c r="IV99" i="46"/>
  <c r="IV103" i="46"/>
  <c r="IV83" i="46"/>
  <c r="IV60" i="46"/>
  <c r="IV50" i="46"/>
  <c r="IV6" i="46"/>
  <c r="IV22" i="46"/>
  <c r="IV77" i="46"/>
  <c r="IV67" i="46"/>
  <c r="IV29" i="46"/>
  <c r="IV31" i="46"/>
  <c r="IV82" i="46"/>
  <c r="IV68" i="46"/>
  <c r="IV58" i="46"/>
  <c r="IV24" i="46"/>
  <c r="IV30" i="46"/>
  <c r="IV85" i="46"/>
  <c r="IV75" i="46"/>
  <c r="IV37" i="46"/>
  <c r="IV39" i="46"/>
  <c r="IV90" i="46"/>
  <c r="IV93" i="46"/>
  <c r="IV97" i="46"/>
  <c r="IV100" i="46"/>
  <c r="IV101" i="46"/>
  <c r="IV102" i="46"/>
  <c r="IV81" i="46"/>
  <c r="IV71" i="46"/>
  <c r="IV33" i="46"/>
  <c r="IV35" i="46"/>
  <c r="IV88" i="46"/>
  <c r="IV65" i="46"/>
  <c r="IV51" i="46"/>
  <c r="IV44" i="46"/>
  <c r="IV49" i="46"/>
  <c r="IV89" i="46"/>
  <c r="IV52" i="46"/>
  <c r="IV41" i="46"/>
  <c r="IV43" i="46"/>
  <c r="IV80" i="46"/>
  <c r="IV73" i="46"/>
  <c r="IV59" i="46"/>
  <c r="IV21" i="46"/>
  <c r="IV23" i="46"/>
  <c r="IV96" i="46"/>
  <c r="IV69" i="46"/>
  <c r="IV55" i="46"/>
  <c r="IV48" i="46"/>
  <c r="IW18" i="46"/>
  <c r="IV79" i="46"/>
  <c r="IV72" i="46"/>
  <c r="IV62" i="46"/>
  <c r="IV28" i="46"/>
  <c r="IV34" i="46"/>
  <c r="IV76" i="46"/>
  <c r="IV63" i="46"/>
  <c r="IV25" i="46"/>
  <c r="IV27" i="46"/>
  <c r="IV87" i="46"/>
  <c r="IV57" i="46"/>
  <c r="IV70" i="46"/>
  <c r="IV36" i="46"/>
  <c r="IV42" i="46"/>
  <c r="IV91" i="46"/>
  <c r="IV92" i="46"/>
  <c r="CW106" i="38" l="1"/>
  <c r="DB106" i="38" s="1"/>
  <c r="CY106" i="38"/>
  <c r="DD106" i="38" s="1"/>
  <c r="O106" i="38"/>
  <c r="EJ105" i="7"/>
  <c r="ER105" i="7"/>
  <c r="AP106" i="4"/>
  <c r="AQ106" i="4"/>
  <c r="AS106" i="4"/>
  <c r="AO106" i="4"/>
  <c r="AR106" i="4"/>
  <c r="AT106" i="4"/>
  <c r="I102" i="46"/>
  <c r="FP105" i="7"/>
  <c r="EZ105" i="7"/>
  <c r="AD105" i="7"/>
  <c r="BA103" i="46"/>
  <c r="BB103" i="46" s="1"/>
  <c r="G103" i="46" s="1"/>
  <c r="FH104" i="38"/>
  <c r="DE106" i="7"/>
  <c r="CH106" i="7"/>
  <c r="FD106" i="7"/>
  <c r="FK106" i="7"/>
  <c r="EO106" i="7"/>
  <c r="EP106" i="7"/>
  <c r="EU106" i="7"/>
  <c r="EW106" i="7"/>
  <c r="EF106" i="7"/>
  <c r="FG106" i="7"/>
  <c r="FO106" i="7"/>
  <c r="FL106" i="7"/>
  <c r="FF106" i="7"/>
  <c r="FC106" i="7"/>
  <c r="EQ106" i="7"/>
  <c r="ET106" i="7"/>
  <c r="ED106" i="7"/>
  <c r="EX106" i="7"/>
  <c r="EV106" i="7"/>
  <c r="FJ106" i="7"/>
  <c r="FP106" i="7" s="1"/>
  <c r="EI106" i="7"/>
  <c r="FN106" i="7"/>
  <c r="EL106" i="7"/>
  <c r="EY106" i="7"/>
  <c r="FE106" i="7"/>
  <c r="EH106" i="7"/>
  <c r="EM106" i="7"/>
  <c r="EN106" i="7"/>
  <c r="FB106" i="7"/>
  <c r="EE106" i="7"/>
  <c r="EG106" i="7"/>
  <c r="FI104" i="38"/>
  <c r="R103" i="46"/>
  <c r="AV103" i="45"/>
  <c r="AW103" i="45" s="1"/>
  <c r="F103" i="45" s="1"/>
  <c r="G102" i="41"/>
  <c r="K102" i="41"/>
  <c r="BV92" i="38"/>
  <c r="BS102" i="38"/>
  <c r="J102" i="38"/>
  <c r="U94" i="41"/>
  <c r="T94" i="38"/>
  <c r="Z101" i="41"/>
  <c r="AD101" i="41" s="1"/>
  <c r="CO101" i="38"/>
  <c r="BV101" i="41" s="1"/>
  <c r="CI101" i="38"/>
  <c r="BQ101" i="41" s="1"/>
  <c r="W93" i="38"/>
  <c r="BU93" i="38"/>
  <c r="BV93" i="38" s="1"/>
  <c r="V92" i="41"/>
  <c r="T92" i="45"/>
  <c r="W92" i="41"/>
  <c r="T92" i="46"/>
  <c r="W92" i="46" s="1"/>
  <c r="L102" i="41"/>
  <c r="H102" i="41"/>
  <c r="BA103" i="38"/>
  <c r="BB103" i="38" s="1"/>
  <c r="G103" i="38" s="1"/>
  <c r="K103" i="41" s="1"/>
  <c r="BF103" i="45"/>
  <c r="BG103" i="45" s="1"/>
  <c r="H103" i="45" s="1"/>
  <c r="I103" i="45" s="1"/>
  <c r="CQ106" i="7"/>
  <c r="DF106" i="7"/>
  <c r="CW106" i="7"/>
  <c r="CY106" i="7"/>
  <c r="CF106" i="7"/>
  <c r="DM106" i="7"/>
  <c r="CA106" i="7"/>
  <c r="Z106" i="7"/>
  <c r="BW106" i="7"/>
  <c r="BA103" i="45"/>
  <c r="BB103" i="45" s="1"/>
  <c r="G103" i="45" s="1"/>
  <c r="AV103" i="46"/>
  <c r="AW103" i="46" s="1"/>
  <c r="F103" i="46" s="1"/>
  <c r="I106" i="7"/>
  <c r="AU104" i="38"/>
  <c r="DU106" i="7"/>
  <c r="BG106" i="7"/>
  <c r="T106" i="7"/>
  <c r="BP106" i="7"/>
  <c r="Q106" i="7"/>
  <c r="V106" i="7" s="1"/>
  <c r="BC106" i="7"/>
  <c r="AK106" i="7"/>
  <c r="M102" i="41"/>
  <c r="BA106" i="7"/>
  <c r="DA106" i="7"/>
  <c r="DH106" i="7"/>
  <c r="BK106" i="7"/>
  <c r="AY106" i="7"/>
  <c r="DX106" i="7"/>
  <c r="DV106" i="7"/>
  <c r="CR106" i="7"/>
  <c r="BI106" i="7"/>
  <c r="BF103" i="46"/>
  <c r="BG103" i="46" s="1"/>
  <c r="H103" i="46" s="1"/>
  <c r="AU104" i="46"/>
  <c r="Y106" i="7"/>
  <c r="AZ104" i="46"/>
  <c r="DY106" i="7"/>
  <c r="AJ106" i="7"/>
  <c r="BY106" i="7"/>
  <c r="AR104" i="45"/>
  <c r="AR104" i="46"/>
  <c r="AR104" i="38"/>
  <c r="AY105" i="46"/>
  <c r="AY105" i="38"/>
  <c r="AY105" i="45"/>
  <c r="BH106" i="7"/>
  <c r="AH106" i="7"/>
  <c r="AA106" i="7"/>
  <c r="DO106" i="7"/>
  <c r="R106" i="7"/>
  <c r="S106" i="7"/>
  <c r="DI106" i="7"/>
  <c r="BQ106" i="7"/>
  <c r="K106" i="7"/>
  <c r="EW106" i="38" s="1"/>
  <c r="EW105" i="38"/>
  <c r="AG106" i="7"/>
  <c r="I102" i="41"/>
  <c r="DW106" i="7"/>
  <c r="BF103" i="38"/>
  <c r="BG103" i="38" s="1"/>
  <c r="H103" i="38" s="1"/>
  <c r="I103" i="38" s="1"/>
  <c r="L106" i="7"/>
  <c r="FC106" i="38" s="1"/>
  <c r="FD106" i="38" s="1"/>
  <c r="FC105" i="38"/>
  <c r="FD105" i="38" s="1"/>
  <c r="DG106" i="7"/>
  <c r="CS106" i="7"/>
  <c r="AV103" i="38"/>
  <c r="AW103" i="38" s="1"/>
  <c r="F103" i="38" s="1"/>
  <c r="AZ104" i="45"/>
  <c r="AS105" i="38"/>
  <c r="AS105" i="46"/>
  <c r="AS105" i="45"/>
  <c r="AT105" i="45"/>
  <c r="AT105" i="46"/>
  <c r="AT105" i="38"/>
  <c r="M106" i="7"/>
  <c r="EX106" i="38" s="1"/>
  <c r="EY106" i="38" s="1"/>
  <c r="EX105" i="38"/>
  <c r="EY105" i="38" s="1"/>
  <c r="Q106" i="4"/>
  <c r="AD106" i="4"/>
  <c r="P106" i="4"/>
  <c r="AE106" i="4"/>
  <c r="AX105" i="45"/>
  <c r="AX105" i="46"/>
  <c r="AX105" i="38"/>
  <c r="CO106" i="7"/>
  <c r="CG106" i="7"/>
  <c r="BX106" i="7"/>
  <c r="BS106" i="7"/>
  <c r="AC106" i="7"/>
  <c r="CE106" i="7"/>
  <c r="BJ106" i="7"/>
  <c r="AI106" i="7"/>
  <c r="CX106" i="7"/>
  <c r="BZ106" i="7"/>
  <c r="DQ106" i="7"/>
  <c r="AB106" i="7"/>
  <c r="CI106" i="7"/>
  <c r="J106" i="7"/>
  <c r="FB106" i="38" s="1"/>
  <c r="FB105" i="38"/>
  <c r="AZ106" i="7"/>
  <c r="CZ106" i="7"/>
  <c r="U106" i="7"/>
  <c r="CP106" i="7"/>
  <c r="AU104" i="45"/>
  <c r="AZ104" i="38"/>
  <c r="AF106" i="7"/>
  <c r="M103" i="41"/>
  <c r="BD104" i="38"/>
  <c r="BE104" i="38" s="1"/>
  <c r="BD104" i="46"/>
  <c r="BE104" i="46" s="1"/>
  <c r="EV104" i="38"/>
  <c r="FG104" i="38" s="1"/>
  <c r="BD104" i="45"/>
  <c r="BE104" i="45" s="1"/>
  <c r="AX106" i="7"/>
  <c r="K106" i="45"/>
  <c r="FK106" i="45"/>
  <c r="JB106" i="45" s="1"/>
  <c r="M106" i="45"/>
  <c r="L106" i="45"/>
  <c r="DD106" i="7"/>
  <c r="CV106" i="7"/>
  <c r="IX105" i="45"/>
  <c r="IZ105" i="45"/>
  <c r="IY105" i="45"/>
  <c r="S105" i="46"/>
  <c r="AI105" i="46"/>
  <c r="E105" i="41"/>
  <c r="BC105" i="45"/>
  <c r="BC105" i="38"/>
  <c r="BC105" i="46"/>
  <c r="DL106" i="7"/>
  <c r="A107" i="41"/>
  <c r="A107" i="7"/>
  <c r="FM107" i="7" s="1"/>
  <c r="A107" i="6"/>
  <c r="A107" i="4"/>
  <c r="A107" i="46"/>
  <c r="O107" i="46" s="1"/>
  <c r="A108" i="55"/>
  <c r="A107" i="45"/>
  <c r="O107" i="45" s="1"/>
  <c r="A107" i="38"/>
  <c r="CV107" i="38" s="1"/>
  <c r="M106" i="46"/>
  <c r="FK106" i="46"/>
  <c r="K106" i="46"/>
  <c r="L106" i="46"/>
  <c r="S105" i="38"/>
  <c r="AI105" i="38"/>
  <c r="C105" i="41"/>
  <c r="CW105" i="41"/>
  <c r="P106" i="7"/>
  <c r="BF106" i="7"/>
  <c r="S105" i="45"/>
  <c r="D105" i="41"/>
  <c r="CN106" i="7"/>
  <c r="CD106" i="7"/>
  <c r="BN106" i="7"/>
  <c r="DN106" i="7"/>
  <c r="BO106" i="7"/>
  <c r="BB106" i="7"/>
  <c r="H106" i="4"/>
  <c r="D106" i="4"/>
  <c r="X106" i="4"/>
  <c r="N106" i="4"/>
  <c r="J106" i="4"/>
  <c r="C106" i="4"/>
  <c r="Y106" i="4"/>
  <c r="U106" i="4"/>
  <c r="AA106" i="4"/>
  <c r="V106" i="4"/>
  <c r="M106" i="4"/>
  <c r="AB106" i="4"/>
  <c r="G106" i="4"/>
  <c r="K106" i="4"/>
  <c r="X106" i="7"/>
  <c r="DT106" i="7"/>
  <c r="BV106" i="7"/>
  <c r="H106" i="7"/>
  <c r="N106" i="7" s="1"/>
  <c r="FN106" i="38"/>
  <c r="BQ106" i="38"/>
  <c r="M106" i="38"/>
  <c r="L106" i="38"/>
  <c r="K106" i="38"/>
  <c r="U106" i="6"/>
  <c r="H106" i="6"/>
  <c r="K106" i="6"/>
  <c r="I106" i="6"/>
  <c r="R106" i="6"/>
  <c r="Q106" i="6"/>
  <c r="O106" i="6"/>
  <c r="N106" i="6"/>
  <c r="L106" i="6"/>
  <c r="T106" i="6"/>
  <c r="DP106" i="7"/>
  <c r="IW78" i="46"/>
  <c r="IW52" i="46"/>
  <c r="IW69" i="46"/>
  <c r="IW39" i="46"/>
  <c r="IW37" i="46"/>
  <c r="IW81" i="46"/>
  <c r="IW59" i="46"/>
  <c r="IW48" i="46"/>
  <c r="IX18" i="46"/>
  <c r="IW79" i="46"/>
  <c r="IW60" i="46"/>
  <c r="IW50" i="46"/>
  <c r="IW47" i="46"/>
  <c r="IW45" i="46"/>
  <c r="IW88" i="46"/>
  <c r="IW51" i="46"/>
  <c r="IW40" i="46"/>
  <c r="IW46" i="46"/>
  <c r="IW91" i="46"/>
  <c r="IW92" i="46"/>
  <c r="IW85" i="46"/>
  <c r="IW63" i="46"/>
  <c r="IW53" i="46"/>
  <c r="IW23" i="46"/>
  <c r="IW21" i="46"/>
  <c r="IW80" i="46"/>
  <c r="IW70" i="46"/>
  <c r="IW32" i="46"/>
  <c r="IW38" i="46"/>
  <c r="IW86" i="46"/>
  <c r="IW71" i="46"/>
  <c r="IW61" i="46"/>
  <c r="IW31" i="46"/>
  <c r="IW29" i="46"/>
  <c r="IW72" i="46"/>
  <c r="IW62" i="46"/>
  <c r="IW24" i="46"/>
  <c r="IW30" i="46"/>
  <c r="IW94" i="46"/>
  <c r="IW95" i="46"/>
  <c r="IW98" i="46"/>
  <c r="IW99" i="46"/>
  <c r="IW103" i="46"/>
  <c r="IW104" i="46"/>
  <c r="IW84" i="46"/>
  <c r="IW74" i="46"/>
  <c r="IW36" i="46"/>
  <c r="IW42" i="46"/>
  <c r="IW83" i="46"/>
  <c r="IW64" i="46"/>
  <c r="IW54" i="46"/>
  <c r="IW6" i="46"/>
  <c r="IW22" i="46"/>
  <c r="IW77" i="46"/>
  <c r="IW55" i="46"/>
  <c r="IW44" i="46"/>
  <c r="IW49" i="46"/>
  <c r="IW82" i="46"/>
  <c r="IW56" i="46"/>
  <c r="IW73" i="46"/>
  <c r="IW43" i="46"/>
  <c r="IW41" i="46"/>
  <c r="IW93" i="46"/>
  <c r="IW97" i="46"/>
  <c r="IW100" i="46"/>
  <c r="IW101" i="46"/>
  <c r="IW102" i="46"/>
  <c r="IW87" i="46"/>
  <c r="IW68" i="46"/>
  <c r="IW58" i="46"/>
  <c r="IW20" i="46"/>
  <c r="IW26" i="46"/>
  <c r="IW90" i="46"/>
  <c r="IW75" i="46"/>
  <c r="IW65" i="46"/>
  <c r="IW35" i="46"/>
  <c r="IW33" i="46"/>
  <c r="IW76" i="46"/>
  <c r="IW66" i="46"/>
  <c r="IW28" i="46"/>
  <c r="IW34" i="46"/>
  <c r="IW89" i="46"/>
  <c r="IW67" i="46"/>
  <c r="IW57" i="46"/>
  <c r="IW27" i="46"/>
  <c r="IW25" i="46"/>
  <c r="IW96" i="46"/>
  <c r="JB86" i="45"/>
  <c r="JB80" i="45"/>
  <c r="JB59" i="45"/>
  <c r="JB39" i="45"/>
  <c r="JB27" i="45"/>
  <c r="JB93" i="45"/>
  <c r="JB76" i="45"/>
  <c r="JB55" i="45"/>
  <c r="JB35" i="45"/>
  <c r="JB23" i="45"/>
  <c r="JB89" i="45"/>
  <c r="JB72" i="45"/>
  <c r="JB51" i="45"/>
  <c r="JB47" i="45"/>
  <c r="JC18" i="45"/>
  <c r="JB85" i="45"/>
  <c r="JB71" i="45"/>
  <c r="JB58" i="45"/>
  <c r="JB46" i="45"/>
  <c r="JB30" i="45"/>
  <c r="JB97" i="45"/>
  <c r="JB99" i="45"/>
  <c r="JB101" i="45"/>
  <c r="JB104" i="45"/>
  <c r="JB92" i="45"/>
  <c r="JB70" i="45"/>
  <c r="JB54" i="45"/>
  <c r="JB42" i="45"/>
  <c r="JB26" i="45"/>
  <c r="JB88" i="45"/>
  <c r="JB66" i="45"/>
  <c r="JB50" i="45"/>
  <c r="JB38" i="45"/>
  <c r="JB22" i="45"/>
  <c r="JB84" i="45"/>
  <c r="JB62" i="45"/>
  <c r="JB57" i="45"/>
  <c r="JB34" i="45"/>
  <c r="JB29" i="45"/>
  <c r="JB83" i="45"/>
  <c r="JB69" i="45"/>
  <c r="JB53" i="45"/>
  <c r="JB45" i="45"/>
  <c r="JB25" i="45"/>
  <c r="JB100" i="45"/>
  <c r="JB79" i="45"/>
  <c r="JB65" i="45"/>
  <c r="JB49" i="45"/>
  <c r="JB41" i="45"/>
  <c r="JB21" i="45"/>
  <c r="JB82" i="45"/>
  <c r="JB61" i="45"/>
  <c r="JB56" i="45"/>
  <c r="JB37" i="45"/>
  <c r="JB96" i="45"/>
  <c r="JB78" i="45"/>
  <c r="JB75" i="45"/>
  <c r="JB52" i="45"/>
  <c r="JB33" i="45"/>
  <c r="JB95" i="45"/>
  <c r="JB74" i="45"/>
  <c r="JB68" i="45"/>
  <c r="JB48" i="45"/>
  <c r="JB32" i="45"/>
  <c r="JB102" i="45"/>
  <c r="JB105" i="45"/>
  <c r="JB6" i="45"/>
  <c r="JB87" i="45"/>
  <c r="JB64" i="45"/>
  <c r="JB44" i="45"/>
  <c r="JB28" i="45"/>
  <c r="JB94" i="45"/>
  <c r="JB81" i="45"/>
  <c r="JB60" i="45"/>
  <c r="JB40" i="45"/>
  <c r="JB24" i="45"/>
  <c r="JB91" i="45"/>
  <c r="JB77" i="45"/>
  <c r="JB67" i="45"/>
  <c r="JB36" i="45"/>
  <c r="JB20" i="45"/>
  <c r="JB90" i="45"/>
  <c r="JB73" i="45"/>
  <c r="JB63" i="45"/>
  <c r="JB43" i="45"/>
  <c r="JB31" i="45"/>
  <c r="JB98" i="45"/>
  <c r="JB103" i="45"/>
  <c r="IX72" i="38"/>
  <c r="IX59" i="38"/>
  <c r="IX46" i="38"/>
  <c r="IX35" i="38"/>
  <c r="IX86" i="38"/>
  <c r="IX61" i="38"/>
  <c r="IX48" i="38"/>
  <c r="IX27" i="38"/>
  <c r="IX24" i="38"/>
  <c r="IX74" i="38"/>
  <c r="IX49" i="38"/>
  <c r="IX40" i="38"/>
  <c r="IX45" i="38"/>
  <c r="IX77" i="38"/>
  <c r="IX64" i="38"/>
  <c r="IX51" i="38"/>
  <c r="IY18" i="38"/>
  <c r="IX28" i="38"/>
  <c r="IX90" i="38"/>
  <c r="IX93" i="38"/>
  <c r="IX96" i="38"/>
  <c r="IX99" i="38"/>
  <c r="IX101" i="38"/>
  <c r="IX82" i="38"/>
  <c r="IX57" i="38"/>
  <c r="IX38" i="38"/>
  <c r="IX25" i="38"/>
  <c r="IX84" i="38"/>
  <c r="IX71" i="38"/>
  <c r="IX58" i="38"/>
  <c r="IX30" i="38"/>
  <c r="IX81" i="38"/>
  <c r="IX68" i="38"/>
  <c r="IX55" i="38"/>
  <c r="IX23" i="38"/>
  <c r="IX6" i="38"/>
  <c r="IX76" i="38"/>
  <c r="IX63" i="38"/>
  <c r="IX50" i="38"/>
  <c r="IX22" i="38"/>
  <c r="IX92" i="38"/>
  <c r="IX94" i="38"/>
  <c r="IX97" i="38"/>
  <c r="IX65" i="38"/>
  <c r="IX52" i="38"/>
  <c r="IX31" i="38"/>
  <c r="IX32" i="38"/>
  <c r="IX83" i="38"/>
  <c r="IX70" i="38"/>
  <c r="IX43" i="38"/>
  <c r="IX34" i="38"/>
  <c r="IX80" i="38"/>
  <c r="IX67" i="38"/>
  <c r="IX54" i="38"/>
  <c r="IX26" i="38"/>
  <c r="IX85" i="38"/>
  <c r="IX75" i="38"/>
  <c r="IX62" i="38"/>
  <c r="IX42" i="38"/>
  <c r="IX29" i="38"/>
  <c r="IX88" i="38"/>
  <c r="IX98" i="38"/>
  <c r="IX100" i="38"/>
  <c r="IX73" i="38"/>
  <c r="IX60" i="38"/>
  <c r="IX47" i="38"/>
  <c r="IX41" i="38"/>
  <c r="IX20" i="38"/>
  <c r="IX78" i="38"/>
  <c r="IX53" i="38"/>
  <c r="IX44" i="38"/>
  <c r="IX21" i="38"/>
  <c r="IX79" i="38"/>
  <c r="IX66" i="38"/>
  <c r="IX39" i="38"/>
  <c r="IX33" i="38"/>
  <c r="IX87" i="38"/>
  <c r="IX69" i="38"/>
  <c r="IX56" i="38"/>
  <c r="IX36" i="38"/>
  <c r="IX37" i="38"/>
  <c r="IX89" i="38"/>
  <c r="IX91" i="38"/>
  <c r="IX95" i="38"/>
  <c r="IX102" i="38"/>
  <c r="CW107" i="38" l="1"/>
  <c r="DB107" i="38" s="1"/>
  <c r="CY107" i="38"/>
  <c r="DD107" i="38" s="1"/>
  <c r="O107" i="38"/>
  <c r="AP107" i="4"/>
  <c r="AT107" i="4"/>
  <c r="AR107" i="4"/>
  <c r="AS107" i="4"/>
  <c r="AO107" i="4"/>
  <c r="AQ107" i="4"/>
  <c r="I103" i="46"/>
  <c r="J103" i="46" s="1"/>
  <c r="AB103" i="41" s="1"/>
  <c r="AF103" i="41" s="1"/>
  <c r="J102" i="46"/>
  <c r="AB102" i="41" s="1"/>
  <c r="AF102" i="41" s="1"/>
  <c r="ER106" i="7"/>
  <c r="FH106" i="7"/>
  <c r="EJ106" i="7"/>
  <c r="EZ106" i="7"/>
  <c r="AD106" i="7"/>
  <c r="P103" i="46"/>
  <c r="Q103" i="46" s="1"/>
  <c r="R104" i="46" s="1"/>
  <c r="FO107" i="7"/>
  <c r="EV107" i="7"/>
  <c r="FF107" i="7"/>
  <c r="EE107" i="7"/>
  <c r="EF107" i="7"/>
  <c r="EH107" i="7"/>
  <c r="EL107" i="7"/>
  <c r="EU107" i="7"/>
  <c r="EN107" i="7"/>
  <c r="EY107" i="7"/>
  <c r="EI107" i="7"/>
  <c r="EQ107" i="7"/>
  <c r="EO107" i="7"/>
  <c r="EG107" i="7"/>
  <c r="EM107" i="7"/>
  <c r="EP107" i="7"/>
  <c r="FJ107" i="7"/>
  <c r="ED107" i="7"/>
  <c r="FC107" i="7"/>
  <c r="EW107" i="7"/>
  <c r="FB107" i="7"/>
  <c r="FK107" i="7"/>
  <c r="FD107" i="7"/>
  <c r="FE107" i="7"/>
  <c r="FN107" i="7"/>
  <c r="FG107" i="7"/>
  <c r="EX107" i="7"/>
  <c r="ET107" i="7"/>
  <c r="FL107" i="7"/>
  <c r="P103" i="45"/>
  <c r="Q103" i="45" s="1"/>
  <c r="R104" i="45" s="1"/>
  <c r="P103" i="38"/>
  <c r="W94" i="38"/>
  <c r="BU94" i="38"/>
  <c r="BV94" i="38" s="1"/>
  <c r="U95" i="41"/>
  <c r="T95" i="38"/>
  <c r="Z102" i="41"/>
  <c r="AD102" i="41" s="1"/>
  <c r="CI102" i="38"/>
  <c r="BQ102" i="41" s="1"/>
  <c r="CO102" i="38"/>
  <c r="BV102" i="41" s="1"/>
  <c r="BS103" i="38"/>
  <c r="J103" i="38"/>
  <c r="T93" i="45"/>
  <c r="V93" i="41"/>
  <c r="W93" i="41"/>
  <c r="T93" i="46"/>
  <c r="W93" i="46" s="1"/>
  <c r="L103" i="41"/>
  <c r="DN107" i="7"/>
  <c r="CZ107" i="7"/>
  <c r="CX107" i="7"/>
  <c r="AZ105" i="46"/>
  <c r="BF104" i="46"/>
  <c r="BG104" i="46" s="1"/>
  <c r="H104" i="46" s="1"/>
  <c r="BF104" i="38"/>
  <c r="BG104" i="38" s="1"/>
  <c r="H104" i="38" s="1"/>
  <c r="I104" i="38" s="1"/>
  <c r="BA104" i="38"/>
  <c r="BB104" i="38" s="1"/>
  <c r="G104" i="38" s="1"/>
  <c r="K104" i="41" s="1"/>
  <c r="AZ105" i="38"/>
  <c r="BK107" i="7"/>
  <c r="AV104" i="38"/>
  <c r="AW104" i="38" s="1"/>
  <c r="F104" i="38" s="1"/>
  <c r="FI105" i="38"/>
  <c r="AV104" i="46"/>
  <c r="AW104" i="46" s="1"/>
  <c r="F104" i="46" s="1"/>
  <c r="J107" i="7"/>
  <c r="BF104" i="45"/>
  <c r="BG104" i="45" s="1"/>
  <c r="H104" i="45" s="1"/>
  <c r="I104" i="45" s="1"/>
  <c r="AV104" i="45"/>
  <c r="AW104" i="45" s="1"/>
  <c r="F104" i="45" s="1"/>
  <c r="FH105" i="38"/>
  <c r="AU105" i="45"/>
  <c r="BA104" i="45"/>
  <c r="BB104" i="45" s="1"/>
  <c r="G104" i="45" s="1"/>
  <c r="L104" i="41" s="1"/>
  <c r="DG107" i="7"/>
  <c r="DP107" i="7"/>
  <c r="AR105" i="38"/>
  <c r="AR105" i="46"/>
  <c r="AR105" i="45"/>
  <c r="DA107" i="7"/>
  <c r="AH107" i="7"/>
  <c r="AZ105" i="45"/>
  <c r="AY106" i="46"/>
  <c r="AY106" i="45"/>
  <c r="AY106" i="38"/>
  <c r="BA104" i="46"/>
  <c r="BB104" i="46" s="1"/>
  <c r="G104" i="46" s="1"/>
  <c r="AS106" i="38"/>
  <c r="AS106" i="46"/>
  <c r="AS106" i="45"/>
  <c r="DO107" i="7"/>
  <c r="DF107" i="7"/>
  <c r="BB107" i="7"/>
  <c r="L107" i="7"/>
  <c r="AZ107" i="7"/>
  <c r="S107" i="7"/>
  <c r="CQ107" i="7"/>
  <c r="AD107" i="4"/>
  <c r="P107" i="4"/>
  <c r="AE107" i="4"/>
  <c r="Q107" i="4"/>
  <c r="AU105" i="46"/>
  <c r="AT106" i="45"/>
  <c r="AT106" i="46"/>
  <c r="AT106" i="38"/>
  <c r="CA107" i="7"/>
  <c r="CR107" i="7"/>
  <c r="DM107" i="7"/>
  <c r="CO107" i="7"/>
  <c r="BO107" i="7"/>
  <c r="Z107" i="7"/>
  <c r="K107" i="7"/>
  <c r="DU107" i="7"/>
  <c r="AX106" i="46"/>
  <c r="AX106" i="45"/>
  <c r="AX106" i="38"/>
  <c r="AU105" i="38"/>
  <c r="CD107" i="7"/>
  <c r="M107" i="38"/>
  <c r="L107" i="38"/>
  <c r="FN107" i="38"/>
  <c r="BQ107" i="38"/>
  <c r="K107" i="38"/>
  <c r="G107" i="4"/>
  <c r="N107" i="4"/>
  <c r="C107" i="4"/>
  <c r="Y107" i="4"/>
  <c r="X107" i="4"/>
  <c r="U107" i="4"/>
  <c r="H107" i="4"/>
  <c r="D107" i="4"/>
  <c r="K107" i="4"/>
  <c r="AB107" i="4"/>
  <c r="M107" i="4"/>
  <c r="J107" i="4"/>
  <c r="AA107" i="4"/>
  <c r="V107" i="4"/>
  <c r="CS107" i="7"/>
  <c r="BD105" i="45"/>
  <c r="BE105" i="45" s="1"/>
  <c r="BD105" i="38"/>
  <c r="BE105" i="38" s="1"/>
  <c r="EV105" i="38"/>
  <c r="FG105" i="38" s="1"/>
  <c r="BD105" i="46"/>
  <c r="BE105" i="46" s="1"/>
  <c r="DD107" i="7"/>
  <c r="BY107" i="7"/>
  <c r="DQ107" i="7"/>
  <c r="BA107" i="7"/>
  <c r="C106" i="41"/>
  <c r="S106" i="38"/>
  <c r="AI106" i="38"/>
  <c r="BV107" i="7"/>
  <c r="M107" i="45"/>
  <c r="K107" i="45"/>
  <c r="L107" i="45"/>
  <c r="FK107" i="45"/>
  <c r="JC107" i="45" s="1"/>
  <c r="O107" i="6"/>
  <c r="N107" i="6"/>
  <c r="Q107" i="6"/>
  <c r="H107" i="6"/>
  <c r="L107" i="6"/>
  <c r="T107" i="6"/>
  <c r="U107" i="6"/>
  <c r="I107" i="6"/>
  <c r="K107" i="6"/>
  <c r="R107" i="6"/>
  <c r="AJ107" i="7"/>
  <c r="CE107" i="7"/>
  <c r="CV107" i="7"/>
  <c r="BW107" i="7"/>
  <c r="IZ106" i="45"/>
  <c r="JA106" i="45"/>
  <c r="IY106" i="45"/>
  <c r="AX107" i="7"/>
  <c r="BI107" i="7"/>
  <c r="FH106" i="38"/>
  <c r="FI106" i="38"/>
  <c r="H107" i="7"/>
  <c r="X107" i="7"/>
  <c r="S106" i="46"/>
  <c r="AI106" i="46"/>
  <c r="E106" i="41"/>
  <c r="A108" i="46"/>
  <c r="O108" i="46" s="1"/>
  <c r="A108" i="45"/>
  <c r="O108" i="45" s="1"/>
  <c r="A108" i="38"/>
  <c r="CV108" i="38" s="1"/>
  <c r="A108" i="7"/>
  <c r="FM108" i="7" s="1"/>
  <c r="A108" i="41"/>
  <c r="A108" i="4"/>
  <c r="A109" i="55"/>
  <c r="A108" i="6"/>
  <c r="I107" i="7"/>
  <c r="DI107" i="7"/>
  <c r="AG107" i="7"/>
  <c r="DY107" i="7"/>
  <c r="DY108" i="7" s="1"/>
  <c r="CF107" i="7"/>
  <c r="R107" i="7"/>
  <c r="DX107" i="7"/>
  <c r="DH107" i="7"/>
  <c r="DH108" i="7" s="1"/>
  <c r="BR107" i="7"/>
  <c r="M107" i="7"/>
  <c r="Y107" i="7"/>
  <c r="DE107" i="7"/>
  <c r="DE108" i="7" s="1"/>
  <c r="CG107" i="7"/>
  <c r="CH107" i="7"/>
  <c r="BQ107" i="7"/>
  <c r="BX107" i="7"/>
  <c r="BX108" i="7" s="1"/>
  <c r="AA107" i="7"/>
  <c r="BP107" i="7"/>
  <c r="DW107" i="7"/>
  <c r="AY107" i="7"/>
  <c r="AY108" i="7" s="1"/>
  <c r="CP107" i="7"/>
  <c r="BC107" i="7"/>
  <c r="DV107" i="7"/>
  <c r="AC107" i="7"/>
  <c r="AC108" i="7" s="1"/>
  <c r="BZ107" i="7"/>
  <c r="CW107" i="7"/>
  <c r="U107" i="7"/>
  <c r="DL107" i="7"/>
  <c r="AK107" i="7"/>
  <c r="T107" i="7"/>
  <c r="BH107" i="7"/>
  <c r="BH108" i="7" s="1"/>
  <c r="CI107" i="7"/>
  <c r="AI107" i="7"/>
  <c r="CW106" i="41"/>
  <c r="DT107" i="7"/>
  <c r="BC106" i="38"/>
  <c r="BC106" i="46"/>
  <c r="BC106" i="45"/>
  <c r="BN107" i="7"/>
  <c r="CN107" i="7"/>
  <c r="BF107" i="7"/>
  <c r="P107" i="7"/>
  <c r="FK107" i="46"/>
  <c r="K107" i="46"/>
  <c r="L107" i="46"/>
  <c r="M107" i="46"/>
  <c r="Q107" i="7"/>
  <c r="V107" i="7" s="1"/>
  <c r="BG107" i="7"/>
  <c r="BS107" i="7"/>
  <c r="S106" i="45"/>
  <c r="D106" i="41"/>
  <c r="CY107" i="7"/>
  <c r="AB107" i="7"/>
  <c r="BJ107" i="7"/>
  <c r="AF107" i="7"/>
  <c r="IY73" i="38"/>
  <c r="IY48" i="38"/>
  <c r="IY43" i="38"/>
  <c r="IY24" i="38"/>
  <c r="IY79" i="38"/>
  <c r="IY66" i="38"/>
  <c r="IY53" i="38"/>
  <c r="IY33" i="38"/>
  <c r="IY86" i="38"/>
  <c r="IY64" i="38"/>
  <c r="IY51" i="38"/>
  <c r="IY35" i="38"/>
  <c r="IY6" i="38"/>
  <c r="IY85" i="38"/>
  <c r="IY59" i="38"/>
  <c r="IY46" i="38"/>
  <c r="IY22" i="38"/>
  <c r="IY89" i="38"/>
  <c r="IY91" i="38"/>
  <c r="IY95" i="38"/>
  <c r="IY102" i="38"/>
  <c r="IY80" i="38"/>
  <c r="IY71" i="38"/>
  <c r="IY58" i="38"/>
  <c r="IY36" i="38"/>
  <c r="IZ18" i="38"/>
  <c r="IY74" i="38"/>
  <c r="IY61" i="38"/>
  <c r="IY45" i="38"/>
  <c r="IY40" i="38"/>
  <c r="IY72" i="38"/>
  <c r="IY63" i="38"/>
  <c r="IY50" i="38"/>
  <c r="IY26" i="38"/>
  <c r="IY23" i="38"/>
  <c r="IY82" i="38"/>
  <c r="IY69" i="38"/>
  <c r="IY42" i="38"/>
  <c r="IY25" i="38"/>
  <c r="IY90" i="38"/>
  <c r="IY93" i="38"/>
  <c r="IY96" i="38"/>
  <c r="IY99" i="38"/>
  <c r="IY101" i="38"/>
  <c r="IY103" i="38"/>
  <c r="IY83" i="38"/>
  <c r="IY70" i="38"/>
  <c r="IY57" i="38"/>
  <c r="IY34" i="38"/>
  <c r="IY87" i="38"/>
  <c r="IY68" i="38"/>
  <c r="IY55" i="38"/>
  <c r="IY39" i="38"/>
  <c r="IY20" i="38"/>
  <c r="IY75" i="38"/>
  <c r="IY62" i="38"/>
  <c r="IY49" i="38"/>
  <c r="IY29" i="38"/>
  <c r="IY88" i="38"/>
  <c r="IY77" i="38"/>
  <c r="IY52" i="38"/>
  <c r="IY37" i="38"/>
  <c r="IY28" i="38"/>
  <c r="IY92" i="38"/>
  <c r="IY94" i="38"/>
  <c r="IY97" i="38"/>
  <c r="IY78" i="38"/>
  <c r="IY65" i="38"/>
  <c r="IY38" i="38"/>
  <c r="IY21" i="38"/>
  <c r="IY76" i="38"/>
  <c r="IY67" i="38"/>
  <c r="IY54" i="38"/>
  <c r="IY30" i="38"/>
  <c r="IY31" i="38"/>
  <c r="IY81" i="38"/>
  <c r="IY56" i="38"/>
  <c r="IY41" i="38"/>
  <c r="IY32" i="38"/>
  <c r="IY84" i="38"/>
  <c r="IY60" i="38"/>
  <c r="IY47" i="38"/>
  <c r="IY44" i="38"/>
  <c r="IY27" i="38"/>
  <c r="IY98" i="38"/>
  <c r="IY100" i="38"/>
  <c r="JC84" i="45"/>
  <c r="JC65" i="45"/>
  <c r="JC53" i="45"/>
  <c r="JC45" i="45"/>
  <c r="JC25" i="45"/>
  <c r="JC90" i="45"/>
  <c r="JC80" i="45"/>
  <c r="JC70" i="45"/>
  <c r="JC43" i="45"/>
  <c r="JC23" i="45"/>
  <c r="JC81" i="45"/>
  <c r="JC63" i="45"/>
  <c r="JC55" i="45"/>
  <c r="JC36" i="45"/>
  <c r="JC94" i="45"/>
  <c r="JC77" i="45"/>
  <c r="JC59" i="45"/>
  <c r="JC51" i="45"/>
  <c r="JC31" i="45"/>
  <c r="JC98" i="45"/>
  <c r="JC103" i="45"/>
  <c r="JC78" i="45"/>
  <c r="JC60" i="45"/>
  <c r="JC52" i="45"/>
  <c r="JC44" i="45"/>
  <c r="JC24" i="45"/>
  <c r="JC85" i="45"/>
  <c r="JC79" i="45"/>
  <c r="JC54" i="45"/>
  <c r="JC42" i="45"/>
  <c r="JC26" i="45"/>
  <c r="JC96" i="45"/>
  <c r="JC76" i="45"/>
  <c r="JC66" i="45"/>
  <c r="JC39" i="45"/>
  <c r="JD18" i="45"/>
  <c r="JC93" i="45"/>
  <c r="JC72" i="45"/>
  <c r="JC62" i="45"/>
  <c r="JC35" i="45"/>
  <c r="JC29" i="45"/>
  <c r="JC99" i="45"/>
  <c r="JC101" i="45"/>
  <c r="JC104" i="45"/>
  <c r="JC73" i="45"/>
  <c r="JC71" i="45"/>
  <c r="JC47" i="45"/>
  <c r="JC27" i="45"/>
  <c r="JC6" i="45"/>
  <c r="JC91" i="45"/>
  <c r="JC74" i="45"/>
  <c r="JC49" i="45"/>
  <c r="JC41" i="45"/>
  <c r="JC21" i="45"/>
  <c r="JC92" i="45"/>
  <c r="JC75" i="45"/>
  <c r="JC50" i="45"/>
  <c r="JC38" i="45"/>
  <c r="JC22" i="45"/>
  <c r="JC88" i="45"/>
  <c r="JC69" i="45"/>
  <c r="JC57" i="45"/>
  <c r="JC34" i="45"/>
  <c r="JC28" i="45"/>
  <c r="JC97" i="45"/>
  <c r="JC100" i="45"/>
  <c r="JC89" i="45"/>
  <c r="JC83" i="45"/>
  <c r="JC58" i="45"/>
  <c r="JC46" i="45"/>
  <c r="JC30" i="45"/>
  <c r="JC95" i="45"/>
  <c r="JC86" i="45"/>
  <c r="JC67" i="45"/>
  <c r="JC48" i="45"/>
  <c r="JC40" i="45"/>
  <c r="JC20" i="45"/>
  <c r="JC87" i="45"/>
  <c r="JC68" i="45"/>
  <c r="JC61" i="45"/>
  <c r="JC37" i="45"/>
  <c r="JC32" i="45"/>
  <c r="JC82" i="45"/>
  <c r="JC64" i="45"/>
  <c r="JC56" i="45"/>
  <c r="JC33" i="45"/>
  <c r="JC102" i="45"/>
  <c r="JC105" i="45"/>
  <c r="JC106" i="45"/>
  <c r="IX78" i="46"/>
  <c r="IX63" i="46"/>
  <c r="IX49" i="46"/>
  <c r="IX50" i="46"/>
  <c r="IX44" i="46"/>
  <c r="IX92" i="46"/>
  <c r="IX70" i="46"/>
  <c r="IX60" i="46"/>
  <c r="IX30" i="46"/>
  <c r="IX24" i="46"/>
  <c r="IX87" i="46"/>
  <c r="IX73" i="46"/>
  <c r="IX39" i="46"/>
  <c r="IX37" i="46"/>
  <c r="IX82" i="46"/>
  <c r="IX67" i="46"/>
  <c r="IX53" i="46"/>
  <c r="IY18" i="46"/>
  <c r="IX48" i="46"/>
  <c r="IX96" i="46"/>
  <c r="IX85" i="46"/>
  <c r="IX74" i="46"/>
  <c r="IX64" i="46"/>
  <c r="IX34" i="46"/>
  <c r="IX28" i="46"/>
  <c r="IX91" i="46"/>
  <c r="IX54" i="46"/>
  <c r="IX43" i="46"/>
  <c r="IX41" i="46"/>
  <c r="IX86" i="46"/>
  <c r="IX71" i="46"/>
  <c r="IX57" i="46"/>
  <c r="IX23" i="46"/>
  <c r="IX21" i="46"/>
  <c r="IX89" i="46"/>
  <c r="IX51" i="46"/>
  <c r="IX68" i="46"/>
  <c r="IX38" i="46"/>
  <c r="IX32" i="46"/>
  <c r="IX80" i="46"/>
  <c r="IX58" i="46"/>
  <c r="IX47" i="46"/>
  <c r="IX45" i="46"/>
  <c r="IX90" i="46"/>
  <c r="IX75" i="46"/>
  <c r="IX61" i="46"/>
  <c r="IX27" i="46"/>
  <c r="IX25" i="46"/>
  <c r="IX77" i="46"/>
  <c r="IX55" i="46"/>
  <c r="IX72" i="46"/>
  <c r="IX42" i="46"/>
  <c r="IX36" i="46"/>
  <c r="IX84" i="46"/>
  <c r="IX62" i="46"/>
  <c r="IX52" i="46"/>
  <c r="IX22" i="46"/>
  <c r="IX6" i="46"/>
  <c r="IX94" i="46"/>
  <c r="IX95" i="46"/>
  <c r="IX98" i="46"/>
  <c r="IX99" i="46"/>
  <c r="IX103" i="46"/>
  <c r="IX104" i="46"/>
  <c r="IX105" i="46"/>
  <c r="IX79" i="46"/>
  <c r="IX65" i="46"/>
  <c r="IX31" i="46"/>
  <c r="IX29" i="46"/>
  <c r="IX81" i="46"/>
  <c r="IX59" i="46"/>
  <c r="IX76" i="46"/>
  <c r="IX46" i="46"/>
  <c r="IX40" i="46"/>
  <c r="IX88" i="46"/>
  <c r="IX66" i="46"/>
  <c r="IX56" i="46"/>
  <c r="IX26" i="46"/>
  <c r="IX20" i="46"/>
  <c r="IX83" i="46"/>
  <c r="IX69" i="46"/>
  <c r="IX35" i="46"/>
  <c r="IX33" i="46"/>
  <c r="IX93" i="46"/>
  <c r="IX97" i="46"/>
  <c r="IX100" i="46"/>
  <c r="IX101" i="46"/>
  <c r="IX102" i="46"/>
  <c r="CW108" i="38" l="1"/>
  <c r="DB108" i="38" s="1"/>
  <c r="CY108" i="38"/>
  <c r="DD108" i="38" s="1"/>
  <c r="O108" i="38"/>
  <c r="AQ108" i="4"/>
  <c r="AS108" i="4"/>
  <c r="AO108" i="4"/>
  <c r="AP108" i="4"/>
  <c r="AT108" i="4"/>
  <c r="AR108" i="4"/>
  <c r="FH107" i="7"/>
  <c r="I104" i="46"/>
  <c r="FP107" i="7"/>
  <c r="EJ107" i="7"/>
  <c r="EZ107" i="7"/>
  <c r="ER107" i="7"/>
  <c r="I103" i="41"/>
  <c r="N107" i="7"/>
  <c r="AD107" i="7"/>
  <c r="EE108" i="7"/>
  <c r="FN108" i="7"/>
  <c r="EV108" i="7"/>
  <c r="FC108" i="7"/>
  <c r="FO108" i="7"/>
  <c r="EQ108" i="7"/>
  <c r="EU108" i="7"/>
  <c r="EX108" i="7"/>
  <c r="FD108" i="7"/>
  <c r="EM108" i="7"/>
  <c r="EH108" i="7"/>
  <c r="EY108" i="7"/>
  <c r="FJ108" i="7"/>
  <c r="FL108" i="7"/>
  <c r="FG108" i="7"/>
  <c r="FK108" i="7"/>
  <c r="EW108" i="7"/>
  <c r="EG108" i="7"/>
  <c r="EO108" i="7"/>
  <c r="EN108" i="7"/>
  <c r="EL108" i="7"/>
  <c r="ET108" i="7"/>
  <c r="FE108" i="7"/>
  <c r="FB108" i="7"/>
  <c r="FH108" i="7" s="1"/>
  <c r="ED108" i="7"/>
  <c r="EP108" i="7"/>
  <c r="EF108" i="7"/>
  <c r="EI108" i="7"/>
  <c r="FF108" i="7"/>
  <c r="FC107" i="38"/>
  <c r="FD107" i="38" s="1"/>
  <c r="FB107" i="38"/>
  <c r="EW107" i="38"/>
  <c r="H103" i="41"/>
  <c r="BA105" i="46"/>
  <c r="BB105" i="46" s="1"/>
  <c r="G105" i="46" s="1"/>
  <c r="M105" i="41" s="1"/>
  <c r="P104" i="38"/>
  <c r="Q103" i="38"/>
  <c r="R104" i="38" s="1"/>
  <c r="G103" i="41"/>
  <c r="U96" i="41"/>
  <c r="T96" i="38"/>
  <c r="Z103" i="41"/>
  <c r="AD103" i="41" s="1"/>
  <c r="CI103" i="38"/>
  <c r="BQ103" i="41" s="1"/>
  <c r="CO103" i="38"/>
  <c r="BV103" i="41" s="1"/>
  <c r="BS104" i="38"/>
  <c r="J104" i="38"/>
  <c r="BU95" i="38"/>
  <c r="BV95" i="38" s="1"/>
  <c r="W95" i="38"/>
  <c r="T94" i="45"/>
  <c r="V94" i="41"/>
  <c r="T94" i="46"/>
  <c r="W94" i="46" s="1"/>
  <c r="W94" i="41"/>
  <c r="Q108" i="7"/>
  <c r="P104" i="45"/>
  <c r="Q104" i="45" s="1"/>
  <c r="R105" i="45" s="1"/>
  <c r="AZ106" i="38"/>
  <c r="AB108" i="7"/>
  <c r="BF105" i="45"/>
  <c r="BG105" i="45" s="1"/>
  <c r="H105" i="45" s="1"/>
  <c r="I105" i="45" s="1"/>
  <c r="BJ108" i="7"/>
  <c r="BG108" i="7"/>
  <c r="CI108" i="7"/>
  <c r="BZ108" i="7"/>
  <c r="CP108" i="7"/>
  <c r="AA108" i="7"/>
  <c r="CG108" i="7"/>
  <c r="BR108" i="7"/>
  <c r="CF108" i="7"/>
  <c r="BA105" i="38"/>
  <c r="BB105" i="38" s="1"/>
  <c r="G105" i="38" s="1"/>
  <c r="K105" i="41" s="1"/>
  <c r="BF105" i="46"/>
  <c r="BG105" i="46" s="1"/>
  <c r="H105" i="46" s="1"/>
  <c r="AV105" i="38"/>
  <c r="AW105" i="38" s="1"/>
  <c r="F105" i="38" s="1"/>
  <c r="AV105" i="46"/>
  <c r="AW105" i="46" s="1"/>
  <c r="F105" i="46" s="1"/>
  <c r="AV105" i="45"/>
  <c r="AW105" i="45" s="1"/>
  <c r="F105" i="45" s="1"/>
  <c r="P104" i="46"/>
  <c r="I104" i="41" s="1"/>
  <c r="BF105" i="38"/>
  <c r="BG105" i="38" s="1"/>
  <c r="H105" i="38" s="1"/>
  <c r="I105" i="38" s="1"/>
  <c r="I108" i="7"/>
  <c r="BS108" i="7"/>
  <c r="AI108" i="7"/>
  <c r="AK108" i="7"/>
  <c r="CW108" i="7"/>
  <c r="BC108" i="7"/>
  <c r="BP108" i="7"/>
  <c r="CH108" i="7"/>
  <c r="R108" i="7"/>
  <c r="DI108" i="7"/>
  <c r="BI108" i="7"/>
  <c r="CY108" i="7"/>
  <c r="T108" i="7"/>
  <c r="U108" i="7"/>
  <c r="DV108" i="7"/>
  <c r="DW108" i="7"/>
  <c r="BQ108" i="7"/>
  <c r="Y108" i="7"/>
  <c r="DX108" i="7"/>
  <c r="AG108" i="7"/>
  <c r="AJ108" i="7"/>
  <c r="AU106" i="38"/>
  <c r="AX107" i="46"/>
  <c r="AX107" i="38"/>
  <c r="AX107" i="45"/>
  <c r="M108" i="7"/>
  <c r="EX107" i="38"/>
  <c r="EY107" i="38" s="1"/>
  <c r="AE108" i="4"/>
  <c r="P108" i="4"/>
  <c r="AD108" i="4"/>
  <c r="Q108" i="4"/>
  <c r="AT107" i="45"/>
  <c r="AT107" i="46"/>
  <c r="AT107" i="38"/>
  <c r="AY107" i="45"/>
  <c r="AY107" i="38"/>
  <c r="AY107" i="46"/>
  <c r="BA105" i="45"/>
  <c r="BB105" i="45" s="1"/>
  <c r="G105" i="45" s="1"/>
  <c r="L105" i="41" s="1"/>
  <c r="AU106" i="45"/>
  <c r="AR106" i="45"/>
  <c r="AR106" i="38"/>
  <c r="AR106" i="46"/>
  <c r="AS107" i="38"/>
  <c r="AS107" i="46"/>
  <c r="AS107" i="45"/>
  <c r="M104" i="41"/>
  <c r="AZ106" i="46"/>
  <c r="AU106" i="46"/>
  <c r="AZ106" i="45"/>
  <c r="AF108" i="7"/>
  <c r="EV106" i="38"/>
  <c r="FG106" i="38" s="1"/>
  <c r="BD106" i="46"/>
  <c r="BE106" i="46" s="1"/>
  <c r="BD106" i="38"/>
  <c r="BE106" i="38" s="1"/>
  <c r="BD106" i="45"/>
  <c r="BE106" i="45" s="1"/>
  <c r="O108" i="6"/>
  <c r="T108" i="6"/>
  <c r="I108" i="6"/>
  <c r="L108" i="6"/>
  <c r="Q108" i="6"/>
  <c r="U108" i="6"/>
  <c r="R108" i="6"/>
  <c r="N108" i="6"/>
  <c r="H108" i="6"/>
  <c r="K108" i="6"/>
  <c r="DU108" i="7"/>
  <c r="CZ108" i="7"/>
  <c r="K108" i="7"/>
  <c r="DM108" i="7"/>
  <c r="CO108" i="7"/>
  <c r="J108" i="7"/>
  <c r="DO108" i="7"/>
  <c r="DA108" i="7"/>
  <c r="L108" i="7"/>
  <c r="AZ108" i="7"/>
  <c r="DP108" i="7"/>
  <c r="AH108" i="7"/>
  <c r="BB108" i="7"/>
  <c r="S108" i="7"/>
  <c r="CQ108" i="7"/>
  <c r="DG108" i="7"/>
  <c r="Z108" i="7"/>
  <c r="BO108" i="7"/>
  <c r="DF108" i="7"/>
  <c r="CR108" i="7"/>
  <c r="BK108" i="7"/>
  <c r="CA108" i="7"/>
  <c r="DN108" i="7"/>
  <c r="H108" i="7"/>
  <c r="DD108" i="7"/>
  <c r="E107" i="41"/>
  <c r="S107" i="46"/>
  <c r="AI107" i="46"/>
  <c r="BF108" i="7"/>
  <c r="CN108" i="7"/>
  <c r="A109" i="38"/>
  <c r="CV109" i="38" s="1"/>
  <c r="A109" i="4"/>
  <c r="A109" i="46"/>
  <c r="O109" i="46" s="1"/>
  <c r="A109" i="45"/>
  <c r="O109" i="45" s="1"/>
  <c r="A109" i="7"/>
  <c r="DH109" i="7" s="1"/>
  <c r="A110" i="55"/>
  <c r="A109" i="41"/>
  <c r="A109" i="6"/>
  <c r="L108" i="38"/>
  <c r="FN108" i="38"/>
  <c r="M108" i="38"/>
  <c r="BQ108" i="38"/>
  <c r="K108" i="38"/>
  <c r="X108" i="7"/>
  <c r="AX108" i="7"/>
  <c r="CE108" i="7"/>
  <c r="BA108" i="7"/>
  <c r="CD108" i="7"/>
  <c r="P108" i="7"/>
  <c r="V108" i="7" s="1"/>
  <c r="DT108" i="7"/>
  <c r="K108" i="4"/>
  <c r="AA108" i="4"/>
  <c r="U108" i="4"/>
  <c r="C108" i="4"/>
  <c r="J108" i="4"/>
  <c r="AB108" i="4"/>
  <c r="G108" i="4"/>
  <c r="H108" i="4"/>
  <c r="Y108" i="4"/>
  <c r="D108" i="4"/>
  <c r="N108" i="4"/>
  <c r="M108" i="4"/>
  <c r="V108" i="4"/>
  <c r="X108" i="4"/>
  <c r="K108" i="45"/>
  <c r="FK108" i="45"/>
  <c r="JD108" i="45" s="1"/>
  <c r="L108" i="45"/>
  <c r="M108" i="45"/>
  <c r="BW108" i="7"/>
  <c r="DQ108" i="7"/>
  <c r="C107" i="41"/>
  <c r="S107" i="38"/>
  <c r="AI107" i="38"/>
  <c r="BN108" i="7"/>
  <c r="DL108" i="7"/>
  <c r="BC107" i="46"/>
  <c r="BC107" i="45"/>
  <c r="BC107" i="38"/>
  <c r="FK108" i="46"/>
  <c r="L108" i="46"/>
  <c r="M108" i="46"/>
  <c r="K108" i="46"/>
  <c r="CV108" i="7"/>
  <c r="JA107" i="45"/>
  <c r="IZ107" i="45"/>
  <c r="JB107" i="45"/>
  <c r="D107" i="41"/>
  <c r="S107" i="45"/>
  <c r="BV108" i="7"/>
  <c r="BY108" i="7"/>
  <c r="CS108" i="7"/>
  <c r="CW107" i="41"/>
  <c r="CX108" i="7"/>
  <c r="JD86" i="45"/>
  <c r="JD67" i="45"/>
  <c r="JD47" i="45"/>
  <c r="JD43" i="45"/>
  <c r="JD23" i="45"/>
  <c r="JD87" i="45"/>
  <c r="JD73" i="45"/>
  <c r="JD48" i="45"/>
  <c r="JD44" i="45"/>
  <c r="JD20" i="45"/>
  <c r="JD95" i="45"/>
  <c r="JD72" i="45"/>
  <c r="JD65" i="45"/>
  <c r="JD46" i="45"/>
  <c r="JD29" i="45"/>
  <c r="JD97" i="45"/>
  <c r="JD77" i="45"/>
  <c r="JD66" i="45"/>
  <c r="JD54" i="45"/>
  <c r="JD30" i="45"/>
  <c r="JD102" i="45"/>
  <c r="JD105" i="45"/>
  <c r="JD80" i="45"/>
  <c r="JD62" i="45"/>
  <c r="JD50" i="45"/>
  <c r="JD26" i="45"/>
  <c r="JD98" i="45"/>
  <c r="JD85" i="45"/>
  <c r="JD63" i="45"/>
  <c r="JD59" i="45"/>
  <c r="JD39" i="45"/>
  <c r="JE18" i="45"/>
  <c r="JD88" i="45"/>
  <c r="JD82" i="45"/>
  <c r="JD60" i="45"/>
  <c r="JD41" i="45"/>
  <c r="JD32" i="45"/>
  <c r="JD93" i="45"/>
  <c r="JD79" i="45"/>
  <c r="JD61" i="45"/>
  <c r="JD42" i="45"/>
  <c r="JD25" i="45"/>
  <c r="JD103" i="45"/>
  <c r="JD89" i="45"/>
  <c r="JD75" i="45"/>
  <c r="JD57" i="45"/>
  <c r="JD38" i="45"/>
  <c r="JD21" i="45"/>
  <c r="JD96" i="45"/>
  <c r="JD76" i="45"/>
  <c r="JD69" i="45"/>
  <c r="JD49" i="45"/>
  <c r="JD22" i="45"/>
  <c r="JD6" i="45"/>
  <c r="JD83" i="45"/>
  <c r="JD68" i="45"/>
  <c r="JD55" i="45"/>
  <c r="JD40" i="45"/>
  <c r="JD31" i="45"/>
  <c r="JD84" i="45"/>
  <c r="JD78" i="45"/>
  <c r="JD56" i="45"/>
  <c r="JD37" i="45"/>
  <c r="JD28" i="45"/>
  <c r="JD99" i="45"/>
  <c r="JD101" i="45"/>
  <c r="JD104" i="45"/>
  <c r="JD91" i="45"/>
  <c r="JD74" i="45"/>
  <c r="JD52" i="45"/>
  <c r="JD33" i="45"/>
  <c r="JD24" i="45"/>
  <c r="JD92" i="45"/>
  <c r="JD71" i="45"/>
  <c r="JD53" i="45"/>
  <c r="JD45" i="45"/>
  <c r="JD34" i="45"/>
  <c r="JD94" i="45"/>
  <c r="JD81" i="45"/>
  <c r="JD70" i="45"/>
  <c r="JD58" i="45"/>
  <c r="JD35" i="45"/>
  <c r="JD90" i="45"/>
  <c r="JD64" i="45"/>
  <c r="JD51" i="45"/>
  <c r="JD36" i="45"/>
  <c r="JD27" i="45"/>
  <c r="JD100" i="45"/>
  <c r="JD107" i="45"/>
  <c r="JD106" i="45"/>
  <c r="IY88" i="46"/>
  <c r="IY50" i="46"/>
  <c r="IY63" i="46"/>
  <c r="IY29" i="46"/>
  <c r="IY31" i="46"/>
  <c r="IY78" i="46"/>
  <c r="IY64" i="46"/>
  <c r="IY26" i="46"/>
  <c r="IY24" i="46"/>
  <c r="IY80" i="46"/>
  <c r="IY58" i="46"/>
  <c r="IY71" i="46"/>
  <c r="IY37" i="46"/>
  <c r="IY39" i="46"/>
  <c r="IY76" i="46"/>
  <c r="IY54" i="46"/>
  <c r="IY67" i="46"/>
  <c r="IY33" i="46"/>
  <c r="IY35" i="46"/>
  <c r="IY97" i="46"/>
  <c r="IY100" i="46"/>
  <c r="IY101" i="46"/>
  <c r="IY102" i="46"/>
  <c r="IY87" i="46"/>
  <c r="IY61" i="46"/>
  <c r="IY46" i="46"/>
  <c r="IY44" i="46"/>
  <c r="IY89" i="46"/>
  <c r="IY62" i="46"/>
  <c r="IY75" i="46"/>
  <c r="IY41" i="46"/>
  <c r="IY43" i="46"/>
  <c r="IY79" i="46"/>
  <c r="IY69" i="46"/>
  <c r="IY55" i="46"/>
  <c r="IY21" i="46"/>
  <c r="IY23" i="46"/>
  <c r="IY91" i="46"/>
  <c r="IY65" i="46"/>
  <c r="IY51" i="46"/>
  <c r="IY48" i="46"/>
  <c r="IZ18" i="46"/>
  <c r="IY96" i="46"/>
  <c r="IY93" i="46"/>
  <c r="IY82" i="46"/>
  <c r="IY68" i="46"/>
  <c r="IY30" i="46"/>
  <c r="IY28" i="46"/>
  <c r="IY84" i="46"/>
  <c r="IY73" i="46"/>
  <c r="IY59" i="46"/>
  <c r="IY25" i="46"/>
  <c r="IY27" i="46"/>
  <c r="IY90" i="46"/>
  <c r="IY53" i="46"/>
  <c r="IY38" i="46"/>
  <c r="IY36" i="46"/>
  <c r="IY81" i="46"/>
  <c r="IY86" i="46"/>
  <c r="IY72" i="46"/>
  <c r="IY34" i="46"/>
  <c r="IY32" i="46"/>
  <c r="IY77" i="46"/>
  <c r="IY66" i="46"/>
  <c r="IY52" i="46"/>
  <c r="IY45" i="46"/>
  <c r="IY47" i="46"/>
  <c r="IY83" i="46"/>
  <c r="IY57" i="46"/>
  <c r="IY42" i="46"/>
  <c r="IY40" i="46"/>
  <c r="IY85" i="46"/>
  <c r="IY74" i="46"/>
  <c r="IY60" i="46"/>
  <c r="IY22" i="46"/>
  <c r="IY20" i="46"/>
  <c r="IY92" i="46"/>
  <c r="IY70" i="46"/>
  <c r="IY56" i="46"/>
  <c r="IY49" i="46"/>
  <c r="IY6" i="46"/>
  <c r="IY94" i="46"/>
  <c r="IY95" i="46"/>
  <c r="IY98" i="46"/>
  <c r="IY99" i="46"/>
  <c r="IY103" i="46"/>
  <c r="IY104" i="46"/>
  <c r="IY105" i="46"/>
  <c r="IY106" i="46"/>
  <c r="IZ86" i="38"/>
  <c r="IZ71" i="38"/>
  <c r="IZ58" i="38"/>
  <c r="IZ42" i="38"/>
  <c r="IZ23" i="38"/>
  <c r="IZ81" i="38"/>
  <c r="IZ68" i="38"/>
  <c r="IZ48" i="38"/>
  <c r="IZ32" i="38"/>
  <c r="IZ87" i="38"/>
  <c r="IZ76" i="38"/>
  <c r="IZ47" i="38"/>
  <c r="IZ40" i="38"/>
  <c r="IZ31" i="38"/>
  <c r="IZ73" i="38"/>
  <c r="IZ60" i="38"/>
  <c r="IZ41" i="38"/>
  <c r="IZ24" i="38"/>
  <c r="IZ98" i="38"/>
  <c r="IZ100" i="38"/>
  <c r="IZ79" i="38"/>
  <c r="IZ66" i="38"/>
  <c r="IZ57" i="38"/>
  <c r="IZ33" i="38"/>
  <c r="IZ30" i="38"/>
  <c r="IZ80" i="38"/>
  <c r="IZ51" i="38"/>
  <c r="IZ44" i="38"/>
  <c r="IZ39" i="38"/>
  <c r="IZ88" i="38"/>
  <c r="IZ63" i="38"/>
  <c r="IZ50" i="38"/>
  <c r="IZ34" i="38"/>
  <c r="IZ26" i="38"/>
  <c r="IZ72" i="38"/>
  <c r="IZ59" i="38"/>
  <c r="IZ36" i="38"/>
  <c r="IZ27" i="38"/>
  <c r="IZ89" i="38"/>
  <c r="IZ91" i="38"/>
  <c r="IZ95" i="38"/>
  <c r="IZ102" i="38"/>
  <c r="IZ74" i="38"/>
  <c r="IZ61" i="38"/>
  <c r="IZ52" i="38"/>
  <c r="IZ35" i="38"/>
  <c r="IZ85" i="38"/>
  <c r="IZ67" i="38"/>
  <c r="IZ54" i="38"/>
  <c r="IZ38" i="38"/>
  <c r="JA18" i="38"/>
  <c r="IZ82" i="38"/>
  <c r="IZ69" i="38"/>
  <c r="IZ49" i="38"/>
  <c r="IZ25" i="38"/>
  <c r="IZ83" i="38"/>
  <c r="IZ70" i="38"/>
  <c r="IZ46" i="38"/>
  <c r="IZ43" i="38"/>
  <c r="IZ6" i="38"/>
  <c r="IZ90" i="38"/>
  <c r="IZ93" i="38"/>
  <c r="IZ96" i="38"/>
  <c r="IZ99" i="38"/>
  <c r="IZ101" i="38"/>
  <c r="IZ103" i="38"/>
  <c r="IZ84" i="38"/>
  <c r="IZ55" i="38"/>
  <c r="IZ37" i="38"/>
  <c r="IZ20" i="38"/>
  <c r="IZ75" i="38"/>
  <c r="IZ62" i="38"/>
  <c r="IZ53" i="38"/>
  <c r="IZ29" i="38"/>
  <c r="IZ22" i="38"/>
  <c r="IZ77" i="38"/>
  <c r="IZ64" i="38"/>
  <c r="IZ45" i="38"/>
  <c r="IZ28" i="38"/>
  <c r="IZ78" i="38"/>
  <c r="IZ65" i="38"/>
  <c r="IZ56" i="38"/>
  <c r="IZ21" i="38"/>
  <c r="IZ92" i="38"/>
  <c r="IZ94" i="38"/>
  <c r="IZ97" i="38"/>
  <c r="IZ104" i="38"/>
  <c r="CW109" i="38" l="1"/>
  <c r="DB109" i="38" s="1"/>
  <c r="CY109" i="38"/>
  <c r="DD109" i="38" s="1"/>
  <c r="O109" i="38"/>
  <c r="AT109" i="4"/>
  <c r="AO109" i="4"/>
  <c r="AS109" i="4"/>
  <c r="AR109" i="4"/>
  <c r="AP109" i="4"/>
  <c r="AQ109" i="4"/>
  <c r="EJ108" i="7"/>
  <c r="ER108" i="7"/>
  <c r="FP108" i="7"/>
  <c r="I105" i="46"/>
  <c r="J105" i="46" s="1"/>
  <c r="AB105" i="41" s="1"/>
  <c r="AF105" i="41" s="1"/>
  <c r="J104" i="46"/>
  <c r="AB104" i="41" s="1"/>
  <c r="AF104" i="41" s="1"/>
  <c r="EZ108" i="7"/>
  <c r="AD108" i="7"/>
  <c r="N108" i="7"/>
  <c r="EQ109" i="7"/>
  <c r="EI109" i="7"/>
  <c r="EH109" i="7"/>
  <c r="EM109" i="7"/>
  <c r="FC109" i="7"/>
  <c r="FO109" i="7"/>
  <c r="EN109" i="7"/>
  <c r="FK109" i="7"/>
  <c r="FF109" i="7"/>
  <c r="FE109" i="7"/>
  <c r="FN109" i="7"/>
  <c r="EO109" i="7"/>
  <c r="FG109" i="7"/>
  <c r="EP109" i="7"/>
  <c r="FB109" i="7"/>
  <c r="EE109" i="7"/>
  <c r="EW109" i="7"/>
  <c r="EU109" i="7"/>
  <c r="EY109" i="7"/>
  <c r="EX109" i="7"/>
  <c r="FJ109" i="7"/>
  <c r="ED109" i="7"/>
  <c r="EF109" i="7"/>
  <c r="ET109" i="7"/>
  <c r="EL109" i="7"/>
  <c r="EG109" i="7"/>
  <c r="FL109" i="7"/>
  <c r="EV109" i="7"/>
  <c r="FD109" i="7"/>
  <c r="FM109" i="7"/>
  <c r="FC108" i="38"/>
  <c r="FD108" i="38" s="1"/>
  <c r="FB108" i="38"/>
  <c r="FH107" i="38"/>
  <c r="EX108" i="38"/>
  <c r="EY108" i="38" s="1"/>
  <c r="EW108" i="38"/>
  <c r="P105" i="46"/>
  <c r="Q105" i="46" s="1"/>
  <c r="Q104" i="38"/>
  <c r="R105" i="38" s="1"/>
  <c r="G104" i="41"/>
  <c r="BS105" i="38"/>
  <c r="J105" i="38"/>
  <c r="P105" i="38"/>
  <c r="W96" i="38"/>
  <c r="BU96" i="38"/>
  <c r="BV96" i="38" s="1"/>
  <c r="CI104" i="38"/>
  <c r="BQ104" i="41" s="1"/>
  <c r="CO104" i="38"/>
  <c r="BV104" i="41" s="1"/>
  <c r="Z104" i="41"/>
  <c r="AD104" i="41" s="1"/>
  <c r="U97" i="41"/>
  <c r="T97" i="38"/>
  <c r="W95" i="41"/>
  <c r="T95" i="46"/>
  <c r="W95" i="46" s="1"/>
  <c r="V95" i="41"/>
  <c r="T95" i="45"/>
  <c r="H104" i="41"/>
  <c r="BA106" i="38"/>
  <c r="BB106" i="38" s="1"/>
  <c r="G106" i="38" s="1"/>
  <c r="K106" i="41" s="1"/>
  <c r="P105" i="45"/>
  <c r="BR109" i="7"/>
  <c r="CY109" i="7"/>
  <c r="DQ109" i="7"/>
  <c r="I109" i="7"/>
  <c r="CX109" i="7"/>
  <c r="BX109" i="7"/>
  <c r="CS109" i="7"/>
  <c r="AJ109" i="7"/>
  <c r="AB109" i="7"/>
  <c r="CE109" i="7"/>
  <c r="AI109" i="7"/>
  <c r="CG109" i="7"/>
  <c r="DE109" i="7"/>
  <c r="BY109" i="7"/>
  <c r="DY109" i="7"/>
  <c r="BG109" i="7"/>
  <c r="AU107" i="45"/>
  <c r="CI109" i="7"/>
  <c r="BW109" i="7"/>
  <c r="CP109" i="7"/>
  <c r="Q104" i="46"/>
  <c r="R105" i="46" s="1"/>
  <c r="R106" i="46" s="1"/>
  <c r="BI109" i="7"/>
  <c r="BA109" i="7"/>
  <c r="M109" i="7"/>
  <c r="EX109" i="38" s="1"/>
  <c r="EY109" i="38" s="1"/>
  <c r="BA106" i="46"/>
  <c r="BB106" i="46" s="1"/>
  <c r="G106" i="46" s="1"/>
  <c r="M106" i="41" s="1"/>
  <c r="AU107" i="46"/>
  <c r="BF106" i="38"/>
  <c r="BG106" i="38" s="1"/>
  <c r="H106" i="38" s="1"/>
  <c r="I106" i="38" s="1"/>
  <c r="DI109" i="7"/>
  <c r="BH109" i="7"/>
  <c r="AZ107" i="38"/>
  <c r="CH109" i="7"/>
  <c r="AK109" i="7"/>
  <c r="P109" i="4"/>
  <c r="AE109" i="4"/>
  <c r="AD109" i="4"/>
  <c r="Q109" i="4"/>
  <c r="BA106" i="45"/>
  <c r="BB106" i="45" s="1"/>
  <c r="G106" i="45" s="1"/>
  <c r="L106" i="41" s="1"/>
  <c r="AY108" i="38"/>
  <c r="AY108" i="46"/>
  <c r="AY108" i="45"/>
  <c r="BC109" i="7"/>
  <c r="FI107" i="38"/>
  <c r="AR107" i="46"/>
  <c r="AR107" i="38"/>
  <c r="AR107" i="45"/>
  <c r="AT108" i="46"/>
  <c r="AT108" i="45"/>
  <c r="AT108" i="38"/>
  <c r="AS108" i="38"/>
  <c r="AS108" i="46"/>
  <c r="AS108" i="45"/>
  <c r="BF106" i="46"/>
  <c r="BG106" i="46" s="1"/>
  <c r="H106" i="46" s="1"/>
  <c r="AV106" i="46"/>
  <c r="AW106" i="46" s="1"/>
  <c r="F106" i="46" s="1"/>
  <c r="AV106" i="38"/>
  <c r="AW106" i="38" s="1"/>
  <c r="F106" i="38" s="1"/>
  <c r="AU107" i="38"/>
  <c r="AZ107" i="46"/>
  <c r="AX108" i="45"/>
  <c r="AX108" i="38"/>
  <c r="AX108" i="46"/>
  <c r="BF106" i="45"/>
  <c r="BG106" i="45" s="1"/>
  <c r="H106" i="45" s="1"/>
  <c r="I106" i="45" s="1"/>
  <c r="AV106" i="45"/>
  <c r="AW106" i="45" s="1"/>
  <c r="F106" i="45" s="1"/>
  <c r="AZ107" i="45"/>
  <c r="D108" i="41"/>
  <c r="S108" i="45"/>
  <c r="P109" i="7"/>
  <c r="V109" i="7" s="1"/>
  <c r="AX109" i="7"/>
  <c r="S108" i="38"/>
  <c r="AI108" i="38"/>
  <c r="C108" i="41"/>
  <c r="A110" i="38"/>
  <c r="CV110" i="38" s="1"/>
  <c r="A110" i="4"/>
  <c r="A111" i="55"/>
  <c r="A110" i="41"/>
  <c r="A110" i="7"/>
  <c r="A110" i="46"/>
  <c r="O110" i="46" s="1"/>
  <c r="A110" i="6"/>
  <c r="A110" i="45"/>
  <c r="O110" i="45" s="1"/>
  <c r="AA109" i="4"/>
  <c r="K109" i="4"/>
  <c r="G109" i="4"/>
  <c r="Y109" i="4"/>
  <c r="M109" i="4"/>
  <c r="N109" i="4"/>
  <c r="V109" i="4"/>
  <c r="U109" i="4"/>
  <c r="J109" i="4"/>
  <c r="D109" i="4"/>
  <c r="X109" i="4"/>
  <c r="C109" i="4"/>
  <c r="H109" i="4"/>
  <c r="AB109" i="4"/>
  <c r="BF109" i="7"/>
  <c r="DD109" i="7"/>
  <c r="DN109" i="7"/>
  <c r="DF109" i="7"/>
  <c r="CQ109" i="7"/>
  <c r="DP109" i="7"/>
  <c r="DO109" i="7"/>
  <c r="K109" i="7"/>
  <c r="Y109" i="7"/>
  <c r="BV109" i="7"/>
  <c r="EV107" i="38"/>
  <c r="FG107" i="38" s="1"/>
  <c r="BD107" i="46"/>
  <c r="BE107" i="46" s="1"/>
  <c r="BD107" i="45"/>
  <c r="BE107" i="45" s="1"/>
  <c r="BD107" i="38"/>
  <c r="BE107" i="38" s="1"/>
  <c r="BN109" i="7"/>
  <c r="DT109" i="7"/>
  <c r="CW108" i="41"/>
  <c r="BZ109" i="7"/>
  <c r="R109" i="7"/>
  <c r="DW109" i="7"/>
  <c r="CF109" i="7"/>
  <c r="BS109" i="7"/>
  <c r="CW109" i="7"/>
  <c r="AC109" i="7"/>
  <c r="AA109" i="7"/>
  <c r="AY109" i="7"/>
  <c r="DV109" i="7"/>
  <c r="BJ109" i="7"/>
  <c r="BQ109" i="38"/>
  <c r="M109" i="38"/>
  <c r="FN109" i="38"/>
  <c r="L109" i="38"/>
  <c r="K109" i="38"/>
  <c r="BP109" i="7"/>
  <c r="CN109" i="7"/>
  <c r="CA109" i="7"/>
  <c r="BO109" i="7"/>
  <c r="S109" i="7"/>
  <c r="AZ109" i="7"/>
  <c r="J109" i="7"/>
  <c r="CZ109" i="7"/>
  <c r="BQ109" i="7"/>
  <c r="CV109" i="7"/>
  <c r="S108" i="46"/>
  <c r="AI108" i="46"/>
  <c r="E108" i="41"/>
  <c r="DL109" i="7"/>
  <c r="JB108" i="45"/>
  <c r="JC108" i="45"/>
  <c r="JA108" i="45"/>
  <c r="X109" i="7"/>
  <c r="AD109" i="7" s="1"/>
  <c r="L109" i="6"/>
  <c r="U109" i="6"/>
  <c r="Q109" i="6"/>
  <c r="N109" i="6"/>
  <c r="R109" i="6"/>
  <c r="I109" i="6"/>
  <c r="T109" i="6"/>
  <c r="H109" i="6"/>
  <c r="K109" i="6"/>
  <c r="O109" i="6"/>
  <c r="FK109" i="45"/>
  <c r="JE109" i="45" s="1"/>
  <c r="M109" i="45"/>
  <c r="K109" i="45"/>
  <c r="L109" i="45"/>
  <c r="H109" i="7"/>
  <c r="N109" i="7" s="1"/>
  <c r="BK109" i="7"/>
  <c r="Z109" i="7"/>
  <c r="BB109" i="7"/>
  <c r="L109" i="7"/>
  <c r="CO109" i="7"/>
  <c r="DU109" i="7"/>
  <c r="AG109" i="7"/>
  <c r="U109" i="7"/>
  <c r="AF109" i="7"/>
  <c r="CD109" i="7"/>
  <c r="FK109" i="46"/>
  <c r="K109" i="46"/>
  <c r="M109" i="46"/>
  <c r="L109" i="46"/>
  <c r="Q109" i="7"/>
  <c r="CR109" i="7"/>
  <c r="DG109" i="7"/>
  <c r="AH109" i="7"/>
  <c r="DA109" i="7"/>
  <c r="DM109" i="7"/>
  <c r="BC108" i="46"/>
  <c r="BC108" i="45"/>
  <c r="BC108" i="38"/>
  <c r="DX109" i="7"/>
  <c r="T109" i="7"/>
  <c r="JA80" i="38"/>
  <c r="JA67" i="38"/>
  <c r="JA44" i="38"/>
  <c r="JA31" i="38"/>
  <c r="JA82" i="38"/>
  <c r="JA69" i="38"/>
  <c r="JA49" i="38"/>
  <c r="JA42" i="38"/>
  <c r="JA6" i="38"/>
  <c r="JA72" i="38"/>
  <c r="JA59" i="38"/>
  <c r="JA36" i="38"/>
  <c r="JA23" i="38"/>
  <c r="JA74" i="38"/>
  <c r="JA61" i="38"/>
  <c r="JA52" i="38"/>
  <c r="JA34" i="38"/>
  <c r="JA21" i="38"/>
  <c r="JA92" i="38"/>
  <c r="JA94" i="38"/>
  <c r="JA97" i="38"/>
  <c r="JA104" i="38"/>
  <c r="JA89" i="38"/>
  <c r="JA79" i="38"/>
  <c r="JA54" i="38"/>
  <c r="JA39" i="38"/>
  <c r="JA38" i="38"/>
  <c r="JA77" i="38"/>
  <c r="JA64" i="38"/>
  <c r="JA55" i="38"/>
  <c r="JA28" i="38"/>
  <c r="JA85" i="38"/>
  <c r="JA70" i="38"/>
  <c r="JA46" i="38"/>
  <c r="JA41" i="38"/>
  <c r="JA26" i="38"/>
  <c r="JA84" i="38"/>
  <c r="JA71" i="38"/>
  <c r="JA47" i="38"/>
  <c r="JA20" i="38"/>
  <c r="JA98" i="38"/>
  <c r="JA100" i="38"/>
  <c r="JA87" i="38"/>
  <c r="JA62" i="38"/>
  <c r="JA53" i="38"/>
  <c r="JA33" i="38"/>
  <c r="JA25" i="38"/>
  <c r="JA76" i="38"/>
  <c r="JA63" i="38"/>
  <c r="JA40" i="38"/>
  <c r="JA27" i="38"/>
  <c r="JA78" i="38"/>
  <c r="JA65" i="38"/>
  <c r="JA56" i="38"/>
  <c r="JA35" i="38"/>
  <c r="JA29" i="38"/>
  <c r="JA83" i="38"/>
  <c r="JA58" i="38"/>
  <c r="JA43" i="38"/>
  <c r="JB18" i="38"/>
  <c r="JA91" i="38"/>
  <c r="JA95" i="38"/>
  <c r="JA102" i="38"/>
  <c r="JA105" i="38"/>
  <c r="JA81" i="38"/>
  <c r="JA68" i="38"/>
  <c r="JA48" i="38"/>
  <c r="JA32" i="38"/>
  <c r="JA86" i="38"/>
  <c r="JA75" i="38"/>
  <c r="JA50" i="38"/>
  <c r="JA45" i="38"/>
  <c r="JA30" i="38"/>
  <c r="JA73" i="38"/>
  <c r="JA60" i="38"/>
  <c r="JA51" i="38"/>
  <c r="JA24" i="38"/>
  <c r="JA88" i="38"/>
  <c r="JA66" i="38"/>
  <c r="JA57" i="38"/>
  <c r="JA37" i="38"/>
  <c r="JA22" i="38"/>
  <c r="JA90" i="38"/>
  <c r="JA93" i="38"/>
  <c r="JA96" i="38"/>
  <c r="JA99" i="38"/>
  <c r="JA101" i="38"/>
  <c r="JA103" i="38"/>
  <c r="IZ93" i="46"/>
  <c r="IZ52" i="46"/>
  <c r="IZ49" i="46"/>
  <c r="IZ6" i="46"/>
  <c r="IZ80" i="46"/>
  <c r="IZ73" i="46"/>
  <c r="IZ63" i="46"/>
  <c r="IZ29" i="46"/>
  <c r="IZ31" i="46"/>
  <c r="IZ87" i="46"/>
  <c r="IZ69" i="46"/>
  <c r="IZ59" i="46"/>
  <c r="IZ25" i="46"/>
  <c r="IZ27" i="46"/>
  <c r="IZ83" i="46"/>
  <c r="IZ72" i="46"/>
  <c r="IZ66" i="46"/>
  <c r="IZ36" i="46"/>
  <c r="IZ38" i="46"/>
  <c r="IZ95" i="46"/>
  <c r="IZ98" i="46"/>
  <c r="IZ99" i="46"/>
  <c r="IZ103" i="46"/>
  <c r="IZ104" i="46"/>
  <c r="IZ105" i="46"/>
  <c r="IZ84" i="46"/>
  <c r="IZ77" i="46"/>
  <c r="IZ67" i="46"/>
  <c r="IZ33" i="46"/>
  <c r="IZ35" i="46"/>
  <c r="IZ91" i="46"/>
  <c r="IZ57" i="46"/>
  <c r="IZ74" i="46"/>
  <c r="IZ44" i="46"/>
  <c r="IZ46" i="46"/>
  <c r="IZ94" i="46"/>
  <c r="IZ53" i="46"/>
  <c r="IZ70" i="46"/>
  <c r="IZ40" i="46"/>
  <c r="IZ42" i="46"/>
  <c r="IZ90" i="46"/>
  <c r="IZ56" i="46"/>
  <c r="IZ50" i="46"/>
  <c r="IZ20" i="46"/>
  <c r="IZ22" i="46"/>
  <c r="IZ97" i="46"/>
  <c r="IZ100" i="46"/>
  <c r="IZ101" i="46"/>
  <c r="IZ102" i="46"/>
  <c r="IZ79" i="46"/>
  <c r="IZ61" i="46"/>
  <c r="IZ51" i="46"/>
  <c r="IZ48" i="46"/>
  <c r="JA18" i="46"/>
  <c r="IZ82" i="46"/>
  <c r="IZ64" i="46"/>
  <c r="IZ58" i="46"/>
  <c r="IZ28" i="46"/>
  <c r="IZ30" i="46"/>
  <c r="IZ78" i="46"/>
  <c r="IZ60" i="46"/>
  <c r="IZ54" i="46"/>
  <c r="IZ24" i="46"/>
  <c r="IZ26" i="46"/>
  <c r="IZ81" i="46"/>
  <c r="IZ71" i="46"/>
  <c r="IZ37" i="46"/>
  <c r="IZ39" i="46"/>
  <c r="IZ96" i="46"/>
  <c r="IZ86" i="46"/>
  <c r="IZ68" i="46"/>
  <c r="IZ62" i="46"/>
  <c r="IZ32" i="46"/>
  <c r="IZ34" i="46"/>
  <c r="IZ89" i="46"/>
  <c r="IZ76" i="46"/>
  <c r="IZ45" i="46"/>
  <c r="IZ47" i="46"/>
  <c r="IZ92" i="46"/>
  <c r="IZ85" i="46"/>
  <c r="IZ75" i="46"/>
  <c r="IZ41" i="46"/>
  <c r="IZ43" i="46"/>
  <c r="IZ88" i="46"/>
  <c r="IZ65" i="46"/>
  <c r="IZ55" i="46"/>
  <c r="IZ21" i="46"/>
  <c r="IZ23" i="46"/>
  <c r="IZ106" i="46"/>
  <c r="IZ107" i="46"/>
  <c r="JE92" i="45"/>
  <c r="JE82" i="45"/>
  <c r="JE64" i="45"/>
  <c r="JE37" i="45"/>
  <c r="JE32" i="45"/>
  <c r="JE94" i="45"/>
  <c r="JE73" i="45"/>
  <c r="JE51" i="45"/>
  <c r="JE43" i="45"/>
  <c r="JE27" i="45"/>
  <c r="JE91" i="45"/>
  <c r="JE74" i="45"/>
  <c r="JE56" i="45"/>
  <c r="JE40" i="45"/>
  <c r="JE24" i="45"/>
  <c r="JE99" i="45"/>
  <c r="JE76" i="45"/>
  <c r="JE72" i="45"/>
  <c r="JE57" i="45"/>
  <c r="JE34" i="45"/>
  <c r="JE22" i="45"/>
  <c r="JE100" i="45"/>
  <c r="JE83" i="45"/>
  <c r="JE77" i="45"/>
  <c r="JE55" i="45"/>
  <c r="JE48" i="45"/>
  <c r="JE31" i="45"/>
  <c r="JE85" i="45"/>
  <c r="JE66" i="45"/>
  <c r="JE54" i="45"/>
  <c r="JE42" i="45"/>
  <c r="JE30" i="45"/>
  <c r="JE90" i="45"/>
  <c r="JE67" i="45"/>
  <c r="JE47" i="45"/>
  <c r="JE39" i="45"/>
  <c r="JE23" i="45"/>
  <c r="JE95" i="45"/>
  <c r="JE84" i="45"/>
  <c r="JE68" i="45"/>
  <c r="JE41" i="45"/>
  <c r="JE21" i="45"/>
  <c r="JE102" i="45"/>
  <c r="JE105" i="45"/>
  <c r="JE89" i="45"/>
  <c r="JE70" i="45"/>
  <c r="JE58" i="45"/>
  <c r="JE46" i="45"/>
  <c r="JE93" i="45"/>
  <c r="JE75" i="45"/>
  <c r="JE65" i="45"/>
  <c r="JE49" i="45"/>
  <c r="JE29" i="45"/>
  <c r="JE98" i="45"/>
  <c r="JE80" i="45"/>
  <c r="JE62" i="45"/>
  <c r="JE50" i="45"/>
  <c r="JE38" i="45"/>
  <c r="JE26" i="45"/>
  <c r="JE87" i="45"/>
  <c r="JE81" i="45"/>
  <c r="JE52" i="45"/>
  <c r="JE36" i="45"/>
  <c r="JE20" i="45"/>
  <c r="JE103" i="45"/>
  <c r="JE97" i="45"/>
  <c r="JE79" i="45"/>
  <c r="JE69" i="45"/>
  <c r="JE53" i="45"/>
  <c r="JE33" i="45"/>
  <c r="JE88" i="45"/>
  <c r="JE78" i="45"/>
  <c r="JE60" i="45"/>
  <c r="JE44" i="45"/>
  <c r="JE28" i="45"/>
  <c r="JE96" i="45"/>
  <c r="JE71" i="45"/>
  <c r="JE61" i="45"/>
  <c r="JE45" i="45"/>
  <c r="JE25" i="45"/>
  <c r="JE6" i="45"/>
  <c r="JE86" i="45"/>
  <c r="JE63" i="45"/>
  <c r="JE59" i="45"/>
  <c r="JE35" i="45"/>
  <c r="JF18" i="45"/>
  <c r="JE101" i="45"/>
  <c r="JE104" i="45"/>
  <c r="JE106" i="45"/>
  <c r="JE107" i="45"/>
  <c r="JE108" i="45"/>
  <c r="CW110" i="38" l="1"/>
  <c r="DB110" i="38" s="1"/>
  <c r="CY110" i="38"/>
  <c r="DD110" i="38" s="1"/>
  <c r="O110" i="38"/>
  <c r="AR110" i="4"/>
  <c r="AP110" i="4"/>
  <c r="AS110" i="4"/>
  <c r="AQ110" i="4"/>
  <c r="AT110" i="4"/>
  <c r="AO110" i="4"/>
  <c r="EJ109" i="7"/>
  <c r="ER109" i="7"/>
  <c r="FP109" i="7"/>
  <c r="FH109" i="7"/>
  <c r="EZ109" i="7"/>
  <c r="I106" i="46"/>
  <c r="FF110" i="7"/>
  <c r="FD110" i="7"/>
  <c r="EF110" i="7"/>
  <c r="EI110" i="7"/>
  <c r="EO110" i="7"/>
  <c r="EU110" i="7"/>
  <c r="FE110" i="7"/>
  <c r="FL110" i="7"/>
  <c r="ET110" i="7"/>
  <c r="EM110" i="7"/>
  <c r="EH110" i="7"/>
  <c r="EN110" i="7"/>
  <c r="EX110" i="7"/>
  <c r="EE110" i="7"/>
  <c r="EL110" i="7"/>
  <c r="FM110" i="7"/>
  <c r="EG110" i="7"/>
  <c r="FG110" i="7"/>
  <c r="ED110" i="7"/>
  <c r="FJ110" i="7"/>
  <c r="FO110" i="7"/>
  <c r="EY110" i="7"/>
  <c r="FB110" i="7"/>
  <c r="EV110" i="7"/>
  <c r="FC110" i="7"/>
  <c r="FN110" i="7"/>
  <c r="EQ110" i="7"/>
  <c r="FK110" i="7"/>
  <c r="EW110" i="7"/>
  <c r="EP110" i="7"/>
  <c r="FI108" i="38"/>
  <c r="FH108" i="38"/>
  <c r="I105" i="41"/>
  <c r="T98" i="38"/>
  <c r="U98" i="41"/>
  <c r="P106" i="38"/>
  <c r="BU97" i="38"/>
  <c r="BV97" i="38" s="1"/>
  <c r="W97" i="38"/>
  <c r="CO105" i="38"/>
  <c r="BV105" i="41" s="1"/>
  <c r="Z105" i="41"/>
  <c r="AD105" i="41" s="1"/>
  <c r="CI105" i="38"/>
  <c r="BQ105" i="41" s="1"/>
  <c r="Q105" i="38"/>
  <c r="R106" i="38" s="1"/>
  <c r="G105" i="41"/>
  <c r="J106" i="38"/>
  <c r="BS106" i="38"/>
  <c r="T96" i="45"/>
  <c r="V96" i="41"/>
  <c r="W96" i="41"/>
  <c r="T96" i="46"/>
  <c r="W96" i="46" s="1"/>
  <c r="CE110" i="7"/>
  <c r="BA107" i="38"/>
  <c r="BB107" i="38" s="1"/>
  <c r="G107" i="38" s="1"/>
  <c r="K107" i="41" s="1"/>
  <c r="BA107" i="45"/>
  <c r="BB107" i="45" s="1"/>
  <c r="G107" i="45" s="1"/>
  <c r="L107" i="41" s="1"/>
  <c r="P106" i="46"/>
  <c r="Q106" i="46" s="1"/>
  <c r="R107" i="46" s="1"/>
  <c r="P106" i="45"/>
  <c r="Q105" i="45"/>
  <c r="R106" i="45" s="1"/>
  <c r="H105" i="41"/>
  <c r="DM110" i="7"/>
  <c r="CR110" i="7"/>
  <c r="AZ110" i="7"/>
  <c r="AA110" i="7"/>
  <c r="CF110" i="7"/>
  <c r="DF110" i="7"/>
  <c r="AH110" i="7"/>
  <c r="DX110" i="7"/>
  <c r="CZ110" i="7"/>
  <c r="BO110" i="7"/>
  <c r="BP110" i="7"/>
  <c r="DV110" i="7"/>
  <c r="CW110" i="7"/>
  <c r="R110" i="7"/>
  <c r="DP110" i="7"/>
  <c r="CH110" i="7"/>
  <c r="AV107" i="45"/>
  <c r="AW107" i="45" s="1"/>
  <c r="F107" i="45" s="1"/>
  <c r="BC110" i="7"/>
  <c r="AG110" i="7"/>
  <c r="BB110" i="7"/>
  <c r="CO110" i="7"/>
  <c r="BK110" i="7"/>
  <c r="BF107" i="45"/>
  <c r="BG107" i="45" s="1"/>
  <c r="H107" i="45" s="1"/>
  <c r="I107" i="45" s="1"/>
  <c r="AZ108" i="46"/>
  <c r="AU108" i="38"/>
  <c r="BF107" i="38"/>
  <c r="BG107" i="38" s="1"/>
  <c r="H107" i="38" s="1"/>
  <c r="I107" i="38" s="1"/>
  <c r="BA107" i="46"/>
  <c r="BB107" i="46" s="1"/>
  <c r="G107" i="46" s="1"/>
  <c r="M107" i="41" s="1"/>
  <c r="AU108" i="45"/>
  <c r="AZ108" i="38"/>
  <c r="AV107" i="38"/>
  <c r="AW107" i="38" s="1"/>
  <c r="F107" i="38" s="1"/>
  <c r="AU108" i="46"/>
  <c r="AV107" i="46"/>
  <c r="AW107" i="46" s="1"/>
  <c r="F107" i="46" s="1"/>
  <c r="AZ108" i="45"/>
  <c r="K110" i="7"/>
  <c r="EW109" i="38"/>
  <c r="FH109" i="38" s="1"/>
  <c r="AY109" i="45"/>
  <c r="AY109" i="38"/>
  <c r="AY109" i="46"/>
  <c r="T110" i="7"/>
  <c r="DA110" i="7"/>
  <c r="Q110" i="7"/>
  <c r="V110" i="7" s="1"/>
  <c r="DU110" i="7"/>
  <c r="Z110" i="7"/>
  <c r="AS109" i="38"/>
  <c r="AS109" i="46"/>
  <c r="AS109" i="45"/>
  <c r="J110" i="7"/>
  <c r="FB109" i="38"/>
  <c r="CA110" i="7"/>
  <c r="BJ110" i="7"/>
  <c r="AC110" i="7"/>
  <c r="DW110" i="7"/>
  <c r="DO110" i="7"/>
  <c r="DN110" i="7"/>
  <c r="AT109" i="45"/>
  <c r="AT109" i="46"/>
  <c r="AT109" i="38"/>
  <c r="DG110" i="7"/>
  <c r="U110" i="7"/>
  <c r="L110" i="7"/>
  <c r="FC109" i="38"/>
  <c r="FD109" i="38" s="1"/>
  <c r="AR108" i="38"/>
  <c r="AR108" i="46"/>
  <c r="AR108" i="45"/>
  <c r="BQ110" i="7"/>
  <c r="S110" i="7"/>
  <c r="AY110" i="7"/>
  <c r="BS110" i="7"/>
  <c r="BZ110" i="7"/>
  <c r="BF107" i="46"/>
  <c r="BG107" i="46" s="1"/>
  <c r="H107" i="46" s="1"/>
  <c r="Y110" i="7"/>
  <c r="CQ110" i="7"/>
  <c r="Q110" i="4"/>
  <c r="AE110" i="4"/>
  <c r="AD110" i="4"/>
  <c r="P110" i="4"/>
  <c r="AX109" i="38"/>
  <c r="AX109" i="45"/>
  <c r="AX109" i="46"/>
  <c r="S109" i="45"/>
  <c r="D109" i="41"/>
  <c r="DL110" i="7"/>
  <c r="DD110" i="7"/>
  <c r="BA110" i="7"/>
  <c r="CY110" i="7"/>
  <c r="BG110" i="7"/>
  <c r="I110" i="7"/>
  <c r="DQ110" i="7"/>
  <c r="BH110" i="7"/>
  <c r="M110" i="7"/>
  <c r="DI110" i="7"/>
  <c r="CS110" i="7"/>
  <c r="AB110" i="7"/>
  <c r="BR110" i="7"/>
  <c r="CX110" i="7"/>
  <c r="BX110" i="7"/>
  <c r="CP110" i="7"/>
  <c r="AK110" i="7"/>
  <c r="BI110" i="7"/>
  <c r="AJ110" i="7"/>
  <c r="BW110" i="7"/>
  <c r="BY110" i="7"/>
  <c r="DY110" i="7"/>
  <c r="CG110" i="7"/>
  <c r="DE110" i="7"/>
  <c r="DH110" i="7"/>
  <c r="FN110" i="38"/>
  <c r="L110" i="38"/>
  <c r="BQ110" i="38"/>
  <c r="K110" i="38"/>
  <c r="M110" i="38"/>
  <c r="BD108" i="45"/>
  <c r="BE108" i="45" s="1"/>
  <c r="BD108" i="38"/>
  <c r="BE108" i="38" s="1"/>
  <c r="EV108" i="38"/>
  <c r="FG108" i="38" s="1"/>
  <c r="BD108" i="46"/>
  <c r="BE108" i="46" s="1"/>
  <c r="CD110" i="7"/>
  <c r="DT110" i="7"/>
  <c r="BN110" i="7"/>
  <c r="M110" i="45"/>
  <c r="K110" i="45"/>
  <c r="FK110" i="45"/>
  <c r="JF110" i="45" s="1"/>
  <c r="L110" i="45"/>
  <c r="P110" i="7"/>
  <c r="E109" i="41"/>
  <c r="S109" i="46"/>
  <c r="AI109" i="46"/>
  <c r="H110" i="7"/>
  <c r="N110" i="7" s="1"/>
  <c r="JB109" i="45"/>
  <c r="JD109" i="45"/>
  <c r="JC109" i="45"/>
  <c r="X110" i="7"/>
  <c r="AD110" i="7" s="1"/>
  <c r="CN110" i="7"/>
  <c r="CW109" i="41"/>
  <c r="S109" i="38"/>
  <c r="AI109" i="38"/>
  <c r="C109" i="41"/>
  <c r="BF110" i="7"/>
  <c r="K110" i="6"/>
  <c r="I110" i="6"/>
  <c r="T110" i="6"/>
  <c r="O110" i="6"/>
  <c r="Q110" i="6"/>
  <c r="R110" i="6"/>
  <c r="L110" i="6"/>
  <c r="H110" i="6"/>
  <c r="U110" i="6"/>
  <c r="N110" i="6"/>
  <c r="A111" i="38"/>
  <c r="CV111" i="38" s="1"/>
  <c r="A112" i="55"/>
  <c r="A111" i="45"/>
  <c r="O111" i="45" s="1"/>
  <c r="R111" i="45" s="1"/>
  <c r="A111" i="6"/>
  <c r="A111" i="4"/>
  <c r="A111" i="41"/>
  <c r="A111" i="7"/>
  <c r="FF111" i="7" s="1"/>
  <c r="A111" i="46"/>
  <c r="O111" i="46" s="1"/>
  <c r="R111" i="46" s="1"/>
  <c r="AX110" i="7"/>
  <c r="AI110" i="7"/>
  <c r="AI111" i="7" s="1"/>
  <c r="AF110" i="7"/>
  <c r="CV110" i="7"/>
  <c r="FI109" i="38"/>
  <c r="BC109" i="38"/>
  <c r="BC109" i="46"/>
  <c r="BC109" i="45"/>
  <c r="BV110" i="7"/>
  <c r="FK110" i="46"/>
  <c r="K110" i="46"/>
  <c r="M110" i="46"/>
  <c r="L110" i="46"/>
  <c r="J110" i="4"/>
  <c r="D110" i="4"/>
  <c r="G110" i="4"/>
  <c r="H110" i="4"/>
  <c r="U110" i="4"/>
  <c r="M110" i="4"/>
  <c r="C110" i="4"/>
  <c r="AB110" i="4"/>
  <c r="K110" i="4"/>
  <c r="V110" i="4"/>
  <c r="Y110" i="4"/>
  <c r="X110" i="4"/>
  <c r="AA110" i="4"/>
  <c r="N110" i="4"/>
  <c r="CI110" i="7"/>
  <c r="JA87" i="46"/>
  <c r="JA84" i="46"/>
  <c r="JA74" i="46"/>
  <c r="JA36" i="46"/>
  <c r="JA38" i="46"/>
  <c r="JA83" i="46"/>
  <c r="JA64" i="46"/>
  <c r="JA54" i="46"/>
  <c r="JA6" i="46"/>
  <c r="JA49" i="46"/>
  <c r="JA86" i="46"/>
  <c r="JA60" i="46"/>
  <c r="JA50" i="46"/>
  <c r="JA47" i="46"/>
  <c r="JA45" i="46"/>
  <c r="JA93" i="46"/>
  <c r="JA56" i="46"/>
  <c r="JA73" i="46"/>
  <c r="JA43" i="46"/>
  <c r="JA41" i="46"/>
  <c r="JA94" i="46"/>
  <c r="JA68" i="46"/>
  <c r="JA58" i="46"/>
  <c r="JA20" i="46"/>
  <c r="JA22" i="46"/>
  <c r="JA90" i="46"/>
  <c r="JA75" i="46"/>
  <c r="JA65" i="46"/>
  <c r="JA35" i="46"/>
  <c r="JA33" i="46"/>
  <c r="JA81" i="46"/>
  <c r="JA71" i="46"/>
  <c r="JA61" i="46"/>
  <c r="JA31" i="46"/>
  <c r="JA29" i="46"/>
  <c r="JA77" i="46"/>
  <c r="JA67" i="46"/>
  <c r="JA57" i="46"/>
  <c r="JA27" i="46"/>
  <c r="JA25" i="46"/>
  <c r="JA98" i="46"/>
  <c r="JA99" i="46"/>
  <c r="JA103" i="46"/>
  <c r="JA104" i="46"/>
  <c r="JA105" i="46"/>
  <c r="JA78" i="46"/>
  <c r="JA52" i="46"/>
  <c r="JA69" i="46"/>
  <c r="JA39" i="46"/>
  <c r="JA37" i="46"/>
  <c r="JA85" i="46"/>
  <c r="JA59" i="46"/>
  <c r="JA48" i="46"/>
  <c r="JB18" i="46"/>
  <c r="JA95" i="46"/>
  <c r="JA92" i="46"/>
  <c r="JA55" i="46"/>
  <c r="JA44" i="46"/>
  <c r="JA46" i="46"/>
  <c r="JA91" i="46"/>
  <c r="JA88" i="46"/>
  <c r="JA51" i="46"/>
  <c r="JA40" i="46"/>
  <c r="JA42" i="46"/>
  <c r="JA97" i="46"/>
  <c r="JA100" i="46"/>
  <c r="JA101" i="46"/>
  <c r="JA102" i="46"/>
  <c r="JA89" i="46"/>
  <c r="JA63" i="46"/>
  <c r="JA53" i="46"/>
  <c r="JA23" i="46"/>
  <c r="JA21" i="46"/>
  <c r="JA80" i="46"/>
  <c r="JA70" i="46"/>
  <c r="JA32" i="46"/>
  <c r="JA34" i="46"/>
  <c r="JA79" i="46"/>
  <c r="JA76" i="46"/>
  <c r="JA66" i="46"/>
  <c r="JA28" i="46"/>
  <c r="JA30" i="46"/>
  <c r="JA82" i="46"/>
  <c r="JA72" i="46"/>
  <c r="JA62" i="46"/>
  <c r="JA24" i="46"/>
  <c r="JA26" i="46"/>
  <c r="JA96" i="46"/>
  <c r="JA106" i="46"/>
  <c r="JA107" i="46"/>
  <c r="JA108" i="46"/>
  <c r="JF94" i="45"/>
  <c r="JF81" i="45"/>
  <c r="JF60" i="45"/>
  <c r="JF40" i="45"/>
  <c r="JF24" i="45"/>
  <c r="JF84" i="45"/>
  <c r="JF75" i="45"/>
  <c r="JF57" i="45"/>
  <c r="JF34" i="45"/>
  <c r="JF22" i="45"/>
  <c r="JF79" i="45"/>
  <c r="JF69" i="45"/>
  <c r="JF53" i="45"/>
  <c r="JF45" i="45"/>
  <c r="JF99" i="45"/>
  <c r="JF92" i="45"/>
  <c r="JF66" i="45"/>
  <c r="JF54" i="45"/>
  <c r="JF42" i="45"/>
  <c r="JF30" i="45"/>
  <c r="JF101" i="45"/>
  <c r="JF104" i="45"/>
  <c r="JF89" i="45"/>
  <c r="JF76" i="45"/>
  <c r="JF51" i="45"/>
  <c r="JF39" i="45"/>
  <c r="JF23" i="45"/>
  <c r="JF96" i="45"/>
  <c r="JF78" i="45"/>
  <c r="JF71" i="45"/>
  <c r="JF52" i="45"/>
  <c r="JF33" i="45"/>
  <c r="JF95" i="45"/>
  <c r="JF74" i="45"/>
  <c r="JF68" i="45"/>
  <c r="JF48" i="45"/>
  <c r="JF32" i="45"/>
  <c r="JF100" i="45"/>
  <c r="JF87" i="45"/>
  <c r="JF65" i="45"/>
  <c r="JF49" i="45"/>
  <c r="JF41" i="45"/>
  <c r="JF25" i="45"/>
  <c r="JF6" i="45"/>
  <c r="JF88" i="45"/>
  <c r="JF62" i="45"/>
  <c r="JF50" i="45"/>
  <c r="JF38" i="45"/>
  <c r="JF26" i="45"/>
  <c r="JF91" i="45"/>
  <c r="JF77" i="45"/>
  <c r="JF67" i="45"/>
  <c r="JF36" i="45"/>
  <c r="JF20" i="45"/>
  <c r="JF90" i="45"/>
  <c r="JF73" i="45"/>
  <c r="JF63" i="45"/>
  <c r="JF47" i="45"/>
  <c r="JF31" i="45"/>
  <c r="JF98" i="45"/>
  <c r="JF83" i="45"/>
  <c r="JF64" i="45"/>
  <c r="JF44" i="45"/>
  <c r="JF28" i="45"/>
  <c r="JF102" i="45"/>
  <c r="JF105" i="45"/>
  <c r="JF97" i="45"/>
  <c r="JF82" i="45"/>
  <c r="JF61" i="45"/>
  <c r="JF56" i="45"/>
  <c r="JF37" i="45"/>
  <c r="JF21" i="45"/>
  <c r="JF85" i="45"/>
  <c r="JF72" i="45"/>
  <c r="JF59" i="45"/>
  <c r="JF35" i="45"/>
  <c r="JG18" i="45"/>
  <c r="JF93" i="45"/>
  <c r="JF70" i="45"/>
  <c r="JF58" i="45"/>
  <c r="JF46" i="45"/>
  <c r="JF29" i="45"/>
  <c r="JF86" i="45"/>
  <c r="JF80" i="45"/>
  <c r="JF55" i="45"/>
  <c r="JF43" i="45"/>
  <c r="JF27" i="45"/>
  <c r="JF103" i="45"/>
  <c r="JF107" i="45"/>
  <c r="JF108" i="45"/>
  <c r="JF106" i="45"/>
  <c r="JF109" i="45"/>
  <c r="JB79" i="38"/>
  <c r="JB66" i="38"/>
  <c r="JB39" i="38"/>
  <c r="JB29" i="38"/>
  <c r="JB90" i="38"/>
  <c r="JB69" i="38"/>
  <c r="JB56" i="38"/>
  <c r="JB36" i="38"/>
  <c r="JB35" i="38"/>
  <c r="JB73" i="38"/>
  <c r="JB60" i="38"/>
  <c r="JB47" i="38"/>
  <c r="JC18" i="38"/>
  <c r="JB6" i="38"/>
  <c r="JB78" i="38"/>
  <c r="JB53" i="38"/>
  <c r="JB44" i="38"/>
  <c r="JB32" i="38"/>
  <c r="JB93" i="38"/>
  <c r="JB96" i="38"/>
  <c r="JB99" i="38"/>
  <c r="JB101" i="38"/>
  <c r="JB103" i="38"/>
  <c r="JB87" i="38"/>
  <c r="JB74" i="38"/>
  <c r="JB49" i="38"/>
  <c r="JB40" i="38"/>
  <c r="JB24" i="38"/>
  <c r="JB77" i="38"/>
  <c r="JB64" i="38"/>
  <c r="JB51" i="38"/>
  <c r="JB23" i="38"/>
  <c r="JB34" i="38"/>
  <c r="JB72" i="38"/>
  <c r="JB59" i="38"/>
  <c r="JB46" i="38"/>
  <c r="JB45" i="38"/>
  <c r="JB86" i="38"/>
  <c r="JB61" i="38"/>
  <c r="JB48" i="38"/>
  <c r="JB31" i="38"/>
  <c r="JB28" i="38"/>
  <c r="JB92" i="38"/>
  <c r="JB94" i="38"/>
  <c r="JB97" i="38"/>
  <c r="JB104" i="38"/>
  <c r="JB81" i="38"/>
  <c r="JB68" i="38"/>
  <c r="JB55" i="38"/>
  <c r="JB27" i="38"/>
  <c r="JB20" i="38"/>
  <c r="JB76" i="38"/>
  <c r="JB63" i="38"/>
  <c r="JB50" i="38"/>
  <c r="JB22" i="38"/>
  <c r="JB88" i="38"/>
  <c r="JB82" i="38"/>
  <c r="JB57" i="38"/>
  <c r="JB38" i="38"/>
  <c r="JB21" i="38"/>
  <c r="JB84" i="38"/>
  <c r="JB71" i="38"/>
  <c r="JB58" i="38"/>
  <c r="JB30" i="38"/>
  <c r="JB98" i="38"/>
  <c r="JB100" i="38"/>
  <c r="JB80" i="38"/>
  <c r="JB67" i="38"/>
  <c r="JB54" i="38"/>
  <c r="JB26" i="38"/>
  <c r="JB85" i="38"/>
  <c r="JB75" i="38"/>
  <c r="JB62" i="38"/>
  <c r="JB42" i="38"/>
  <c r="JB25" i="38"/>
  <c r="JB89" i="38"/>
  <c r="JB65" i="38"/>
  <c r="JB52" i="38"/>
  <c r="JB41" i="38"/>
  <c r="JB33" i="38"/>
  <c r="JB83" i="38"/>
  <c r="JB70" i="38"/>
  <c r="JB43" i="38"/>
  <c r="JB37" i="38"/>
  <c r="JB91" i="38"/>
  <c r="JB95" i="38"/>
  <c r="JB102" i="38"/>
  <c r="JB105" i="38"/>
  <c r="JB106" i="38"/>
  <c r="CW111" i="38" l="1"/>
  <c r="DB111" i="38" s="1"/>
  <c r="CX111" i="38"/>
  <c r="DC111" i="38" s="1"/>
  <c r="CZ111" i="38"/>
  <c r="DE111" i="38" s="1"/>
  <c r="DA111" i="38"/>
  <c r="CY111" i="38"/>
  <c r="DD111" i="38" s="1"/>
  <c r="O111" i="38"/>
  <c r="R111" i="38" s="1"/>
  <c r="AP111" i="4"/>
  <c r="AR111" i="4"/>
  <c r="AT111" i="4"/>
  <c r="AO111" i="4"/>
  <c r="AQ111" i="4"/>
  <c r="AS111" i="4"/>
  <c r="FH110" i="7"/>
  <c r="EJ110" i="7"/>
  <c r="ER110" i="7"/>
  <c r="EZ110" i="7"/>
  <c r="I107" i="46"/>
  <c r="J107" i="46" s="1"/>
  <c r="AB107" i="41" s="1"/>
  <c r="AF107" i="41" s="1"/>
  <c r="J106" i="46"/>
  <c r="AB106" i="41" s="1"/>
  <c r="AF106" i="41" s="1"/>
  <c r="FP110" i="7"/>
  <c r="EW111" i="7"/>
  <c r="FC111" i="7"/>
  <c r="EF111" i="7"/>
  <c r="EI111" i="7"/>
  <c r="EX111" i="7"/>
  <c r="FG111" i="7"/>
  <c r="EQ111" i="7"/>
  <c r="EO111" i="7"/>
  <c r="EY111" i="7"/>
  <c r="FM111" i="7"/>
  <c r="EL111" i="7"/>
  <c r="EH111" i="7"/>
  <c r="FL111" i="7"/>
  <c r="EP111" i="7"/>
  <c r="FN111" i="7"/>
  <c r="FD111" i="7"/>
  <c r="FO111" i="7"/>
  <c r="ED111" i="7"/>
  <c r="FE111" i="7"/>
  <c r="EE111" i="7"/>
  <c r="EM111" i="7"/>
  <c r="EU111" i="7"/>
  <c r="FK111" i="7"/>
  <c r="EV111" i="7"/>
  <c r="FB111" i="7"/>
  <c r="FJ111" i="7"/>
  <c r="EG111" i="7"/>
  <c r="EN111" i="7"/>
  <c r="ET111" i="7"/>
  <c r="EW110" i="38"/>
  <c r="EX110" i="38"/>
  <c r="EY110" i="38" s="1"/>
  <c r="FC110" i="38"/>
  <c r="FD110" i="38" s="1"/>
  <c r="FB110" i="38"/>
  <c r="P107" i="38"/>
  <c r="Q107" i="38" s="1"/>
  <c r="Z106" i="41"/>
  <c r="AD106" i="41" s="1"/>
  <c r="CI106" i="38"/>
  <c r="BQ106" i="41" s="1"/>
  <c r="CO106" i="38"/>
  <c r="BV106" i="41" s="1"/>
  <c r="Q106" i="38"/>
  <c r="R107" i="38" s="1"/>
  <c r="R108" i="38" s="1"/>
  <c r="G106" i="41"/>
  <c r="U99" i="41"/>
  <c r="T99" i="38"/>
  <c r="BS107" i="38"/>
  <c r="J107" i="38"/>
  <c r="W98" i="38"/>
  <c r="BU98" i="38"/>
  <c r="T97" i="46"/>
  <c r="W97" i="46" s="1"/>
  <c r="W97" i="41"/>
  <c r="T97" i="45"/>
  <c r="V97" i="41"/>
  <c r="BA108" i="46"/>
  <c r="BB108" i="46" s="1"/>
  <c r="G108" i="46" s="1"/>
  <c r="M108" i="41" s="1"/>
  <c r="I106" i="41"/>
  <c r="P107" i="45"/>
  <c r="BA108" i="38"/>
  <c r="BB108" i="38" s="1"/>
  <c r="G108" i="38" s="1"/>
  <c r="K108" i="41" s="1"/>
  <c r="Q106" i="45"/>
  <c r="R107" i="45" s="1"/>
  <c r="H106" i="41"/>
  <c r="BC111" i="7"/>
  <c r="BF108" i="38"/>
  <c r="BG108" i="38" s="1"/>
  <c r="H108" i="38" s="1"/>
  <c r="I108" i="38" s="1"/>
  <c r="P107" i="46"/>
  <c r="I107" i="41" s="1"/>
  <c r="BF108" i="46"/>
  <c r="BG108" i="46" s="1"/>
  <c r="H108" i="46" s="1"/>
  <c r="AV108" i="45"/>
  <c r="AW108" i="45" s="1"/>
  <c r="F108" i="45" s="1"/>
  <c r="DO111" i="7"/>
  <c r="AZ109" i="45"/>
  <c r="BP111" i="7"/>
  <c r="BF108" i="45"/>
  <c r="BG108" i="45" s="1"/>
  <c r="H108" i="45" s="1"/>
  <c r="I108" i="45" s="1"/>
  <c r="AV108" i="38"/>
  <c r="AW108" i="38" s="1"/>
  <c r="F108" i="38" s="1"/>
  <c r="J111" i="7"/>
  <c r="AU109" i="38"/>
  <c r="CA111" i="7"/>
  <c r="AU109" i="45"/>
  <c r="BA108" i="45"/>
  <c r="BB108" i="45" s="1"/>
  <c r="G108" i="45" s="1"/>
  <c r="L108" i="41" s="1"/>
  <c r="AT110" i="45"/>
  <c r="AT110" i="46"/>
  <c r="AT110" i="38"/>
  <c r="AY110" i="45"/>
  <c r="AY110" i="46"/>
  <c r="AY110" i="38"/>
  <c r="AV108" i="46"/>
  <c r="AW108" i="46" s="1"/>
  <c r="F108" i="46" s="1"/>
  <c r="CI111" i="7"/>
  <c r="DN111" i="7"/>
  <c r="AR109" i="38"/>
  <c r="AR109" i="45"/>
  <c r="AR109" i="46"/>
  <c r="AZ109" i="46"/>
  <c r="AX110" i="38"/>
  <c r="AX110" i="45"/>
  <c r="AX110" i="46"/>
  <c r="AU109" i="46"/>
  <c r="AZ109" i="38"/>
  <c r="P111" i="4"/>
  <c r="Q111" i="4"/>
  <c r="AE111" i="4"/>
  <c r="AD111" i="4"/>
  <c r="AS110" i="38"/>
  <c r="AS110" i="46"/>
  <c r="AS110" i="45"/>
  <c r="DG111" i="7"/>
  <c r="DF111" i="7"/>
  <c r="S110" i="46"/>
  <c r="E110" i="41"/>
  <c r="AI110" i="46"/>
  <c r="P110" i="46"/>
  <c r="Q110" i="46" s="1"/>
  <c r="BV111" i="7"/>
  <c r="AX111" i="7"/>
  <c r="A112" i="4"/>
  <c r="A112" i="6"/>
  <c r="A113" i="55"/>
  <c r="A112" i="7"/>
  <c r="FF112" i="7" s="1"/>
  <c r="A112" i="41"/>
  <c r="A112" i="45"/>
  <c r="O112" i="45" s="1"/>
  <c r="R112" i="45" s="1"/>
  <c r="A112" i="38"/>
  <c r="CV112" i="38" s="1"/>
  <c r="A112" i="46"/>
  <c r="O112" i="46" s="1"/>
  <c r="R112" i="46" s="1"/>
  <c r="BF111" i="7"/>
  <c r="BB111" i="7"/>
  <c r="JD110" i="45"/>
  <c r="JE110" i="45"/>
  <c r="JC110" i="45"/>
  <c r="CQ111" i="7"/>
  <c r="DT111" i="7"/>
  <c r="FI110" i="38"/>
  <c r="C110" i="41"/>
  <c r="P110" i="38"/>
  <c r="Q110" i="38" s="1"/>
  <c r="S110" i="38"/>
  <c r="AI110" i="38"/>
  <c r="DH111" i="7"/>
  <c r="BY111" i="7"/>
  <c r="AK111" i="7"/>
  <c r="BR111" i="7"/>
  <c r="M111" i="7"/>
  <c r="BG111" i="7"/>
  <c r="CV111" i="7"/>
  <c r="D111" i="4"/>
  <c r="U111" i="4"/>
  <c r="V111" i="4"/>
  <c r="G111" i="4"/>
  <c r="N111" i="4"/>
  <c r="K111" i="4"/>
  <c r="M111" i="4"/>
  <c r="C111" i="4"/>
  <c r="H111" i="4"/>
  <c r="Y111" i="4"/>
  <c r="J111" i="4"/>
  <c r="X111" i="4"/>
  <c r="AB111" i="4"/>
  <c r="AA111" i="4"/>
  <c r="AO111" i="38"/>
  <c r="AN111" i="38"/>
  <c r="AO111" i="41" s="1"/>
  <c r="AW111" i="41" s="1"/>
  <c r="BT111" i="38"/>
  <c r="BG111" i="41" s="1"/>
  <c r="EL111" i="38"/>
  <c r="CF111" i="41" s="1"/>
  <c r="EN111" i="38"/>
  <c r="BV111" i="38"/>
  <c r="BX111" i="38"/>
  <c r="BJ111" i="41" s="1"/>
  <c r="M111" i="38"/>
  <c r="BS111" i="38"/>
  <c r="BW111" i="38"/>
  <c r="BU111" i="38"/>
  <c r="BR111" i="38"/>
  <c r="BH111" i="41" s="1"/>
  <c r="K111" i="38"/>
  <c r="EM111" i="38"/>
  <c r="CE111" i="41" s="1"/>
  <c r="FN111" i="38"/>
  <c r="JC111" i="38" s="1"/>
  <c r="BQ111" i="38"/>
  <c r="L111" i="38"/>
  <c r="CN111" i="7"/>
  <c r="AG111" i="7"/>
  <c r="P111" i="7"/>
  <c r="D110" i="41"/>
  <c r="P110" i="45"/>
  <c r="Q110" i="45" s="1"/>
  <c r="S110" i="45"/>
  <c r="Y111" i="7"/>
  <c r="L111" i="7"/>
  <c r="DE111" i="7"/>
  <c r="BW111" i="7"/>
  <c r="CP111" i="7"/>
  <c r="AB111" i="7"/>
  <c r="BH111" i="7"/>
  <c r="CY111" i="7"/>
  <c r="DW111" i="7"/>
  <c r="EV109" i="38"/>
  <c r="FG109" i="38" s="1"/>
  <c r="BD109" i="46"/>
  <c r="BE109" i="46" s="1"/>
  <c r="BD109" i="38"/>
  <c r="BE109" i="38" s="1"/>
  <c r="BD109" i="45"/>
  <c r="BE109" i="45" s="1"/>
  <c r="AF111" i="7"/>
  <c r="AN111" i="46"/>
  <c r="AQ111" i="41" s="1"/>
  <c r="AY111" i="41" s="1"/>
  <c r="L111" i="46"/>
  <c r="AC111" i="46"/>
  <c r="M111" i="46"/>
  <c r="AO111" i="46"/>
  <c r="AU111" i="41" s="1"/>
  <c r="BC111" i="41" s="1"/>
  <c r="FK111" i="46"/>
  <c r="JB111" i="46" s="1"/>
  <c r="K111" i="46"/>
  <c r="H111" i="6"/>
  <c r="I111" i="6"/>
  <c r="L111" i="6"/>
  <c r="K111" i="6"/>
  <c r="R111" i="6"/>
  <c r="T111" i="6"/>
  <c r="Q111" i="6"/>
  <c r="N111" i="6"/>
  <c r="O111" i="6"/>
  <c r="U111" i="6"/>
  <c r="BO111" i="7"/>
  <c r="BN111" i="7"/>
  <c r="DV111" i="7"/>
  <c r="CG111" i="7"/>
  <c r="AJ111" i="7"/>
  <c r="BX111" i="7"/>
  <c r="CS111" i="7"/>
  <c r="DQ111" i="7"/>
  <c r="BA111" i="7"/>
  <c r="AC111" i="7"/>
  <c r="CO111" i="7"/>
  <c r="AZ111" i="7"/>
  <c r="R111" i="7"/>
  <c r="U111" i="7"/>
  <c r="CE111" i="7"/>
  <c r="DP111" i="7"/>
  <c r="K111" i="7"/>
  <c r="BQ111" i="7"/>
  <c r="DU111" i="7"/>
  <c r="Z111" i="7"/>
  <c r="DX111" i="7"/>
  <c r="T111" i="7"/>
  <c r="CR111" i="7"/>
  <c r="AA111" i="7"/>
  <c r="BS111" i="7"/>
  <c r="S111" i="7"/>
  <c r="DA111" i="7"/>
  <c r="BJ111" i="7"/>
  <c r="AH111" i="7"/>
  <c r="CH111" i="7"/>
  <c r="DM111" i="7"/>
  <c r="CW111" i="7"/>
  <c r="CZ111" i="7"/>
  <c r="BZ111" i="7"/>
  <c r="CF111" i="7"/>
  <c r="Q111" i="7"/>
  <c r="M111" i="45"/>
  <c r="L111" i="45"/>
  <c r="FK111" i="45"/>
  <c r="JG111" i="45" s="1"/>
  <c r="K111" i="45"/>
  <c r="AY111" i="7"/>
  <c r="X111" i="7"/>
  <c r="AD111" i="7" s="1"/>
  <c r="H111" i="7"/>
  <c r="N111" i="7" s="1"/>
  <c r="CD111" i="7"/>
  <c r="CW110" i="41"/>
  <c r="DY111" i="7"/>
  <c r="BI111" i="7"/>
  <c r="CX111" i="7"/>
  <c r="DI111" i="7"/>
  <c r="I111" i="7"/>
  <c r="BC110" i="46"/>
  <c r="BC110" i="38"/>
  <c r="BC110" i="45"/>
  <c r="DD111" i="7"/>
  <c r="DL111" i="7"/>
  <c r="BK111" i="7"/>
  <c r="JC88" i="38"/>
  <c r="JC64" i="38"/>
  <c r="JC51" i="38"/>
  <c r="JC35" i="38"/>
  <c r="JC36" i="38"/>
  <c r="JC85" i="38"/>
  <c r="JC60" i="38"/>
  <c r="JC47" i="38"/>
  <c r="JC30" i="38"/>
  <c r="JC31" i="38"/>
  <c r="JC78" i="38"/>
  <c r="JC65" i="38"/>
  <c r="JC38" i="38"/>
  <c r="JC32" i="38"/>
  <c r="JC90" i="38"/>
  <c r="JC74" i="38"/>
  <c r="JC61" i="38"/>
  <c r="JC45" i="38"/>
  <c r="JC28" i="38"/>
  <c r="JC95" i="38"/>
  <c r="JC102" i="38"/>
  <c r="JC105" i="38"/>
  <c r="JC76" i="38"/>
  <c r="JC63" i="38"/>
  <c r="JC50" i="38"/>
  <c r="JC40" i="38"/>
  <c r="JD18" i="38"/>
  <c r="JC72" i="38"/>
  <c r="JC59" i="38"/>
  <c r="JC46" i="38"/>
  <c r="JC29" i="38"/>
  <c r="JC89" i="38"/>
  <c r="JC73" i="38"/>
  <c r="JC48" i="38"/>
  <c r="JC43" i="38"/>
  <c r="JC6" i="38"/>
  <c r="JC86" i="38"/>
  <c r="JC68" i="38"/>
  <c r="JC55" i="38"/>
  <c r="JC39" i="38"/>
  <c r="JC44" i="38"/>
  <c r="JC93" i="38"/>
  <c r="JC96" i="38"/>
  <c r="JC99" i="38"/>
  <c r="JC101" i="38"/>
  <c r="JC103" i="38"/>
  <c r="JC75" i="38"/>
  <c r="JC62" i="38"/>
  <c r="JC49" i="38"/>
  <c r="JC34" i="38"/>
  <c r="JC91" i="38"/>
  <c r="JC82" i="38"/>
  <c r="JC69" i="38"/>
  <c r="JC42" i="38"/>
  <c r="JC33" i="38"/>
  <c r="JC84" i="38"/>
  <c r="JC71" i="38"/>
  <c r="JC58" i="38"/>
  <c r="JC26" i="38"/>
  <c r="JC23" i="38"/>
  <c r="JC80" i="38"/>
  <c r="JC67" i="38"/>
  <c r="JC54" i="38"/>
  <c r="JC22" i="38"/>
  <c r="JC27" i="38"/>
  <c r="JC94" i="38"/>
  <c r="JC97" i="38"/>
  <c r="JC104" i="38"/>
  <c r="JC81" i="38"/>
  <c r="JC56" i="38"/>
  <c r="JC41" i="38"/>
  <c r="JC24" i="38"/>
  <c r="JC87" i="38"/>
  <c r="JC77" i="38"/>
  <c r="JC52" i="38"/>
  <c r="JC37" i="38"/>
  <c r="JC20" i="38"/>
  <c r="JC83" i="38"/>
  <c r="JC70" i="38"/>
  <c r="JC57" i="38"/>
  <c r="JC25" i="38"/>
  <c r="JC92" i="38"/>
  <c r="JC79" i="38"/>
  <c r="JC66" i="38"/>
  <c r="JC53" i="38"/>
  <c r="JC21" i="38"/>
  <c r="JC98" i="38"/>
  <c r="JC100" i="38"/>
  <c r="JC106" i="38"/>
  <c r="JC107" i="38"/>
  <c r="JB90" i="46"/>
  <c r="JB71" i="46"/>
  <c r="JB61" i="46"/>
  <c r="JB27" i="46"/>
  <c r="JB21" i="46"/>
  <c r="JB93" i="46"/>
  <c r="JB67" i="46"/>
  <c r="JB57" i="46"/>
  <c r="JB23" i="46"/>
  <c r="JB48" i="46"/>
  <c r="JB89" i="46"/>
  <c r="JB63" i="46"/>
  <c r="JB53" i="46"/>
  <c r="JC18" i="46"/>
  <c r="JB44" i="46"/>
  <c r="JB85" i="46"/>
  <c r="JB59" i="46"/>
  <c r="JB49" i="46"/>
  <c r="JB46" i="46"/>
  <c r="JB40" i="46"/>
  <c r="JB81" i="46"/>
  <c r="JB55" i="46"/>
  <c r="JB72" i="46"/>
  <c r="JB42" i="46"/>
  <c r="JB36" i="46"/>
  <c r="JB77" i="46"/>
  <c r="JB51" i="46"/>
  <c r="JB68" i="46"/>
  <c r="JB38" i="46"/>
  <c r="JB32" i="46"/>
  <c r="JB88" i="46"/>
  <c r="JB76" i="46"/>
  <c r="JB64" i="46"/>
  <c r="JB34" i="46"/>
  <c r="JB28" i="46"/>
  <c r="JB84" i="46"/>
  <c r="JB74" i="46"/>
  <c r="JB60" i="46"/>
  <c r="JB30" i="46"/>
  <c r="JB24" i="46"/>
  <c r="JB96" i="46"/>
  <c r="JB80" i="46"/>
  <c r="JB70" i="46"/>
  <c r="JB56" i="46"/>
  <c r="JB26" i="46"/>
  <c r="JB20" i="46"/>
  <c r="JB92" i="46"/>
  <c r="JB66" i="46"/>
  <c r="JB52" i="46"/>
  <c r="JB22" i="46"/>
  <c r="JB6" i="46"/>
  <c r="JB95" i="46"/>
  <c r="JB62" i="46"/>
  <c r="JB50" i="46"/>
  <c r="JB45" i="46"/>
  <c r="JB94" i="46"/>
  <c r="JB91" i="46"/>
  <c r="JB58" i="46"/>
  <c r="JB47" i="46"/>
  <c r="JB41" i="46"/>
  <c r="JB98" i="46"/>
  <c r="JB99" i="46"/>
  <c r="JB103" i="46"/>
  <c r="JB104" i="46"/>
  <c r="JB105" i="46"/>
  <c r="JB87" i="46"/>
  <c r="JB54" i="46"/>
  <c r="JB43" i="46"/>
  <c r="JB37" i="46"/>
  <c r="JB86" i="46"/>
  <c r="JB83" i="46"/>
  <c r="JB73" i="46"/>
  <c r="JB39" i="46"/>
  <c r="JB33" i="46"/>
  <c r="JB82" i="46"/>
  <c r="JB79" i="46"/>
  <c r="JB69" i="46"/>
  <c r="JB35" i="46"/>
  <c r="JB29" i="46"/>
  <c r="JB78" i="46"/>
  <c r="JB75" i="46"/>
  <c r="JB65" i="46"/>
  <c r="JB31" i="46"/>
  <c r="JB25" i="46"/>
  <c r="JB97" i="46"/>
  <c r="JB100" i="46"/>
  <c r="JB101" i="46"/>
  <c r="JB102" i="46"/>
  <c r="JB108" i="46"/>
  <c r="JB106" i="46"/>
  <c r="JB107" i="46"/>
  <c r="JB109" i="46"/>
  <c r="JG85" i="45"/>
  <c r="JG72" i="45"/>
  <c r="JG58" i="45"/>
  <c r="JG46" i="45"/>
  <c r="JG30" i="45"/>
  <c r="JG101" i="45"/>
  <c r="JG91" i="45"/>
  <c r="JG65" i="45"/>
  <c r="JG53" i="45"/>
  <c r="JG41" i="45"/>
  <c r="JG21" i="45"/>
  <c r="JG90" i="45"/>
  <c r="JG80" i="45"/>
  <c r="JG66" i="45"/>
  <c r="JG39" i="45"/>
  <c r="JH18" i="45"/>
  <c r="JG99" i="45"/>
  <c r="JG81" i="45"/>
  <c r="JG63" i="45"/>
  <c r="JG51" i="45"/>
  <c r="JG31" i="45"/>
  <c r="JG103" i="45"/>
  <c r="JG84" i="45"/>
  <c r="JG69" i="45"/>
  <c r="JG57" i="45"/>
  <c r="JG45" i="45"/>
  <c r="JG25" i="45"/>
  <c r="JG98" i="45"/>
  <c r="JG78" i="45"/>
  <c r="JG60" i="45"/>
  <c r="JG48" i="45"/>
  <c r="JG40" i="45"/>
  <c r="JG20" i="45"/>
  <c r="JG92" i="45"/>
  <c r="JG75" i="45"/>
  <c r="JG50" i="45"/>
  <c r="JG38" i="45"/>
  <c r="JG22" i="45"/>
  <c r="JG89" i="45"/>
  <c r="JG76" i="45"/>
  <c r="JG62" i="45"/>
  <c r="JG35" i="45"/>
  <c r="JG29" i="45"/>
  <c r="JG104" i="45"/>
  <c r="JG95" i="45"/>
  <c r="JG82" i="45"/>
  <c r="JG64" i="45"/>
  <c r="JG52" i="45"/>
  <c r="JG44" i="45"/>
  <c r="JG24" i="45"/>
  <c r="JG96" i="45"/>
  <c r="JG73" i="45"/>
  <c r="JG70" i="45"/>
  <c r="JG43" i="45"/>
  <c r="JG23" i="45"/>
  <c r="JG87" i="45"/>
  <c r="JG71" i="45"/>
  <c r="JG49" i="45"/>
  <c r="JG37" i="45"/>
  <c r="JG32" i="45"/>
  <c r="JG88" i="45"/>
  <c r="JG74" i="45"/>
  <c r="JG61" i="45"/>
  <c r="JG34" i="45"/>
  <c r="JG28" i="45"/>
  <c r="JG97" i="45"/>
  <c r="JG77" i="45"/>
  <c r="JG59" i="45"/>
  <c r="JG47" i="45"/>
  <c r="JG27" i="45"/>
  <c r="JG6" i="45"/>
  <c r="JG93" i="45"/>
  <c r="JG79" i="45"/>
  <c r="JG54" i="45"/>
  <c r="JG42" i="45"/>
  <c r="JG26" i="45"/>
  <c r="JG94" i="45"/>
  <c r="JG83" i="45"/>
  <c r="JG67" i="45"/>
  <c r="JG55" i="45"/>
  <c r="JG36" i="45"/>
  <c r="JG100" i="45"/>
  <c r="JG86" i="45"/>
  <c r="JG68" i="45"/>
  <c r="JG56" i="45"/>
  <c r="JG33" i="45"/>
  <c r="JG102" i="45"/>
  <c r="JG105" i="45"/>
  <c r="JG107" i="45"/>
  <c r="JG108" i="45"/>
  <c r="JG106" i="45"/>
  <c r="JG109" i="45"/>
  <c r="JG110" i="45"/>
  <c r="CW112" i="38" l="1"/>
  <c r="DB112" i="38" s="1"/>
  <c r="CX112" i="38"/>
  <c r="DC112" i="38" s="1"/>
  <c r="DA112" i="38"/>
  <c r="CY112" i="38"/>
  <c r="DD112" i="38" s="1"/>
  <c r="CZ112" i="38"/>
  <c r="DE112" i="38" s="1"/>
  <c r="O112" i="38"/>
  <c r="R112" i="38" s="1"/>
  <c r="AS111" i="41"/>
  <c r="BA111" i="41" s="1"/>
  <c r="AO112" i="4"/>
  <c r="AS112" i="4"/>
  <c r="AQ112" i="4"/>
  <c r="AT112" i="4"/>
  <c r="AP112" i="4"/>
  <c r="AR112" i="4"/>
  <c r="FP111" i="7"/>
  <c r="EZ111" i="7"/>
  <c r="FH111" i="7"/>
  <c r="I108" i="46"/>
  <c r="EJ111" i="7"/>
  <c r="ER111" i="7"/>
  <c r="V111" i="7"/>
  <c r="EM112" i="7"/>
  <c r="EP112" i="7"/>
  <c r="EW112" i="7"/>
  <c r="FK112" i="7"/>
  <c r="EH112" i="7"/>
  <c r="EY112" i="7"/>
  <c r="EG112" i="7"/>
  <c r="FB112" i="7"/>
  <c r="FG112" i="7"/>
  <c r="FE112" i="7"/>
  <c r="FD112" i="7"/>
  <c r="FC112" i="7"/>
  <c r="EL112" i="7"/>
  <c r="EQ112" i="7"/>
  <c r="EV112" i="7"/>
  <c r="EU112" i="7"/>
  <c r="ED112" i="7"/>
  <c r="FN112" i="7"/>
  <c r="FL112" i="7"/>
  <c r="FM112" i="7"/>
  <c r="EI112" i="7"/>
  <c r="ET112" i="7"/>
  <c r="FJ112" i="7"/>
  <c r="EN112" i="7"/>
  <c r="EF112" i="7"/>
  <c r="EE112" i="7"/>
  <c r="FO112" i="7"/>
  <c r="EX112" i="7"/>
  <c r="EO112" i="7"/>
  <c r="FH110" i="38"/>
  <c r="AG112" i="7"/>
  <c r="FB111" i="38"/>
  <c r="CI111" i="38"/>
  <c r="BQ111" i="41" s="1"/>
  <c r="AC111" i="38"/>
  <c r="G107" i="41"/>
  <c r="P108" i="38"/>
  <c r="Q108" i="38" s="1"/>
  <c r="R109" i="38" s="1"/>
  <c r="U100" i="41"/>
  <c r="T100" i="38"/>
  <c r="BU99" i="38"/>
  <c r="BV99" i="38" s="1"/>
  <c r="W99" i="38"/>
  <c r="Z107" i="41"/>
  <c r="AD107" i="41" s="1"/>
  <c r="CI107" i="38"/>
  <c r="BQ107" i="41" s="1"/>
  <c r="CO107" i="38"/>
  <c r="BV107" i="41" s="1"/>
  <c r="BV98" i="38"/>
  <c r="J108" i="38"/>
  <c r="BS108" i="38"/>
  <c r="P108" i="46"/>
  <c r="Q108" i="46" s="1"/>
  <c r="V98" i="41"/>
  <c r="T98" i="45"/>
  <c r="T98" i="46"/>
  <c r="W98" i="46" s="1"/>
  <c r="W98" i="41"/>
  <c r="Q107" i="45"/>
  <c r="R108" i="45" s="1"/>
  <c r="H107" i="41"/>
  <c r="AZ110" i="45"/>
  <c r="P108" i="45"/>
  <c r="DO112" i="7"/>
  <c r="BF109" i="38"/>
  <c r="BG109" i="38" s="1"/>
  <c r="H109" i="38" s="1"/>
  <c r="I109" i="38" s="1"/>
  <c r="DG112" i="7"/>
  <c r="BK112" i="7"/>
  <c r="CX112" i="7"/>
  <c r="BZ112" i="7"/>
  <c r="CH112" i="7"/>
  <c r="S112" i="7"/>
  <c r="T112" i="7"/>
  <c r="BQ112" i="7"/>
  <c r="U112" i="7"/>
  <c r="CI112" i="7"/>
  <c r="CP112" i="7"/>
  <c r="Y112" i="7"/>
  <c r="BG112" i="7"/>
  <c r="BY112" i="7"/>
  <c r="DV112" i="7"/>
  <c r="DY112" i="7"/>
  <c r="AY112" i="7"/>
  <c r="Q112" i="7"/>
  <c r="CW112" i="7"/>
  <c r="BJ112" i="7"/>
  <c r="AA112" i="7"/>
  <c r="Z112" i="7"/>
  <c r="DP112" i="7"/>
  <c r="AZ112" i="7"/>
  <c r="CS112" i="7"/>
  <c r="DW112" i="7"/>
  <c r="I112" i="7"/>
  <c r="BA112" i="7"/>
  <c r="AJ112" i="7"/>
  <c r="BH112" i="7"/>
  <c r="DE112" i="7"/>
  <c r="BR112" i="7"/>
  <c r="DN112" i="7"/>
  <c r="Q107" i="46"/>
  <c r="R108" i="46" s="1"/>
  <c r="BP112" i="7"/>
  <c r="BF109" i="46"/>
  <c r="BG109" i="46" s="1"/>
  <c r="H109" i="46" s="1"/>
  <c r="AV109" i="46"/>
  <c r="AW109" i="46" s="1"/>
  <c r="F109" i="46" s="1"/>
  <c r="BF109" i="45"/>
  <c r="BG109" i="45" s="1"/>
  <c r="H109" i="45" s="1"/>
  <c r="I109" i="45" s="1"/>
  <c r="BA109" i="38"/>
  <c r="BB109" i="38" s="1"/>
  <c r="G109" i="38" s="1"/>
  <c r="K109" i="41" s="1"/>
  <c r="AV109" i="45"/>
  <c r="AW109" i="45" s="1"/>
  <c r="F109" i="45" s="1"/>
  <c r="AV109" i="38"/>
  <c r="AW109" i="38" s="1"/>
  <c r="F109" i="38" s="1"/>
  <c r="BI112" i="7"/>
  <c r="CZ112" i="7"/>
  <c r="AH112" i="7"/>
  <c r="BS112" i="7"/>
  <c r="DX112" i="7"/>
  <c r="R112" i="7"/>
  <c r="CA112" i="7"/>
  <c r="DQ112" i="7"/>
  <c r="CG112" i="7"/>
  <c r="CY112" i="7"/>
  <c r="BW112" i="7"/>
  <c r="AK112" i="7"/>
  <c r="CQ112" i="7"/>
  <c r="BB112" i="7"/>
  <c r="AU110" i="45"/>
  <c r="DI112" i="7"/>
  <c r="CF112" i="7"/>
  <c r="DM112" i="7"/>
  <c r="DA112" i="7"/>
  <c r="CR112" i="7"/>
  <c r="DU112" i="7"/>
  <c r="CE112" i="7"/>
  <c r="CO112" i="7"/>
  <c r="AC112" i="7"/>
  <c r="BX112" i="7"/>
  <c r="BO112" i="7"/>
  <c r="AB112" i="7"/>
  <c r="DH112" i="7"/>
  <c r="BA109" i="46"/>
  <c r="BB109" i="46" s="1"/>
  <c r="G109" i="46" s="1"/>
  <c r="M109" i="41" s="1"/>
  <c r="CF111" i="38"/>
  <c r="DF112" i="7"/>
  <c r="AR110" i="38"/>
  <c r="AR110" i="46"/>
  <c r="AR110" i="45"/>
  <c r="M112" i="7"/>
  <c r="EX111" i="38"/>
  <c r="EY111" i="38" s="1"/>
  <c r="AU110" i="46"/>
  <c r="AY111" i="38"/>
  <c r="AY111" i="45"/>
  <c r="AY111" i="46"/>
  <c r="L112" i="7"/>
  <c r="FC111" i="38"/>
  <c r="FD111" i="38" s="1"/>
  <c r="BA109" i="45"/>
  <c r="BB109" i="45" s="1"/>
  <c r="G109" i="45" s="1"/>
  <c r="L109" i="41" s="1"/>
  <c r="AU110" i="38"/>
  <c r="AX111" i="38"/>
  <c r="AX111" i="46"/>
  <c r="AX111" i="45"/>
  <c r="AZ110" i="46"/>
  <c r="K112" i="7"/>
  <c r="EW112" i="38" s="1"/>
  <c r="EW111" i="38"/>
  <c r="AT111" i="45"/>
  <c r="AT111" i="46"/>
  <c r="AT111" i="38"/>
  <c r="AS111" i="38"/>
  <c r="AS111" i="46"/>
  <c r="AS111" i="45"/>
  <c r="AE112" i="4"/>
  <c r="P112" i="4"/>
  <c r="Q112" i="4"/>
  <c r="AD112" i="4"/>
  <c r="AZ110" i="38"/>
  <c r="CQ110" i="38"/>
  <c r="BX110" i="41" s="1"/>
  <c r="CD110" i="38"/>
  <c r="BN110" i="41" s="1"/>
  <c r="CK110" i="38"/>
  <c r="BS110" i="41" s="1"/>
  <c r="JE111" i="45"/>
  <c r="JF111" i="45"/>
  <c r="JD111" i="45"/>
  <c r="AB111" i="46"/>
  <c r="Y111" i="46"/>
  <c r="FL111" i="46" s="1"/>
  <c r="AD111" i="46"/>
  <c r="JC15" i="46" s="1"/>
  <c r="AA111" i="46"/>
  <c r="W111" i="46"/>
  <c r="P111" i="46"/>
  <c r="Q111" i="46"/>
  <c r="AF111" i="46"/>
  <c r="X111" i="46"/>
  <c r="E111" i="41"/>
  <c r="AE111" i="46"/>
  <c r="Z111" i="46"/>
  <c r="AG111" i="46"/>
  <c r="AI111" i="46"/>
  <c r="V111" i="46"/>
  <c r="FM111" i="46" s="1"/>
  <c r="AH111" i="46"/>
  <c r="AK111" i="46"/>
  <c r="AJ111" i="41" s="1"/>
  <c r="AJ111" i="46"/>
  <c r="W111" i="41"/>
  <c r="T111" i="46"/>
  <c r="U111" i="46"/>
  <c r="S111" i="46"/>
  <c r="AF112" i="7"/>
  <c r="CN112" i="7"/>
  <c r="CC111" i="38"/>
  <c r="BM111" i="41" s="1"/>
  <c r="CE111" i="38"/>
  <c r="BO111" i="41" s="1"/>
  <c r="AD111" i="38"/>
  <c r="U111" i="38"/>
  <c r="AI111" i="38"/>
  <c r="AA111" i="38"/>
  <c r="Y111" i="38"/>
  <c r="FO111" i="38" s="1"/>
  <c r="AH111" i="38"/>
  <c r="CO111" i="38"/>
  <c r="BV111" i="41" s="1"/>
  <c r="CD111" i="38"/>
  <c r="BN111" i="41" s="1"/>
  <c r="AK111" i="38"/>
  <c r="AH111" i="41" s="1"/>
  <c r="Q111" i="38"/>
  <c r="AG111" i="38"/>
  <c r="V111" i="38"/>
  <c r="FP111" i="38" s="1"/>
  <c r="S111" i="38"/>
  <c r="AB111" i="38"/>
  <c r="CN111" i="38"/>
  <c r="BY111" i="41" s="1"/>
  <c r="CR111" i="38"/>
  <c r="Z111" i="38"/>
  <c r="W111" i="38"/>
  <c r="AF111" i="38"/>
  <c r="T111" i="38"/>
  <c r="P111" i="38"/>
  <c r="CH111" i="38"/>
  <c r="BT111" i="41" s="1"/>
  <c r="CL111" i="38"/>
  <c r="CP111" i="38"/>
  <c r="BW111" i="41" s="1"/>
  <c r="U111" i="41"/>
  <c r="AJ111" i="38"/>
  <c r="AE111" i="38"/>
  <c r="C111" i="41"/>
  <c r="X111" i="38"/>
  <c r="BI111" i="41"/>
  <c r="CV112" i="7"/>
  <c r="BF112" i="7"/>
  <c r="AA112" i="4"/>
  <c r="M112" i="4"/>
  <c r="C112" i="4"/>
  <c r="V112" i="4"/>
  <c r="K112" i="4"/>
  <c r="X112" i="4"/>
  <c r="N112" i="4"/>
  <c r="AB112" i="4"/>
  <c r="D112" i="4"/>
  <c r="U112" i="4"/>
  <c r="H112" i="4"/>
  <c r="J112" i="4"/>
  <c r="Y112" i="4"/>
  <c r="G112" i="4"/>
  <c r="DL112" i="7"/>
  <c r="BD110" i="45"/>
  <c r="BE110" i="45" s="1"/>
  <c r="BD110" i="38"/>
  <c r="BE110" i="38" s="1"/>
  <c r="BD110" i="46"/>
  <c r="BE110" i="46" s="1"/>
  <c r="EV110" i="38"/>
  <c r="FG110" i="38" s="1"/>
  <c r="X112" i="7"/>
  <c r="AD112" i="7" s="1"/>
  <c r="BC111" i="38"/>
  <c r="BC111" i="45"/>
  <c r="BC111" i="46"/>
  <c r="IZ111" i="46"/>
  <c r="FS111" i="46"/>
  <c r="FW111" i="46"/>
  <c r="GA111" i="46"/>
  <c r="GE111" i="46"/>
  <c r="GI111" i="46"/>
  <c r="GM111" i="46"/>
  <c r="GQ111" i="46"/>
  <c r="GU111" i="46"/>
  <c r="GY111" i="46"/>
  <c r="HC111" i="46"/>
  <c r="HG111" i="46"/>
  <c r="HK111" i="46"/>
  <c r="HO111" i="46"/>
  <c r="HS111" i="46"/>
  <c r="HW111" i="46"/>
  <c r="IA111" i="46"/>
  <c r="IE111" i="46"/>
  <c r="II111" i="46"/>
  <c r="IM111" i="46"/>
  <c r="IQ111" i="46"/>
  <c r="IU111" i="46"/>
  <c r="IY111" i="46"/>
  <c r="FP111" i="46"/>
  <c r="FT111" i="46"/>
  <c r="FX111" i="46"/>
  <c r="GB111" i="46"/>
  <c r="GF111" i="46"/>
  <c r="GJ111" i="46"/>
  <c r="GN111" i="46"/>
  <c r="GR111" i="46"/>
  <c r="GV111" i="46"/>
  <c r="GZ111" i="46"/>
  <c r="HD111" i="46"/>
  <c r="HH111" i="46"/>
  <c r="HL111" i="46"/>
  <c r="HP111" i="46"/>
  <c r="HT111" i="46"/>
  <c r="HX111" i="46"/>
  <c r="IB111" i="46"/>
  <c r="IF111" i="46"/>
  <c r="IJ111" i="46"/>
  <c r="IN111" i="46"/>
  <c r="IR111" i="46"/>
  <c r="IV111" i="46"/>
  <c r="JA111" i="46"/>
  <c r="FQ111" i="46"/>
  <c r="FU111" i="46"/>
  <c r="FY111" i="46"/>
  <c r="GC111" i="46"/>
  <c r="GG111" i="46"/>
  <c r="GK111" i="46"/>
  <c r="GO111" i="46"/>
  <c r="GS111" i="46"/>
  <c r="GW111" i="46"/>
  <c r="HA111" i="46"/>
  <c r="HE111" i="46"/>
  <c r="HI111" i="46"/>
  <c r="HM111" i="46"/>
  <c r="HQ111" i="46"/>
  <c r="HU111" i="46"/>
  <c r="HY111" i="46"/>
  <c r="IC111" i="46"/>
  <c r="IG111" i="46"/>
  <c r="IK111" i="46"/>
  <c r="IO111" i="46"/>
  <c r="IS111" i="46"/>
  <c r="IW111" i="46"/>
  <c r="FR111" i="46"/>
  <c r="FV111" i="46"/>
  <c r="FZ111" i="46"/>
  <c r="GD111" i="46"/>
  <c r="GH111" i="46"/>
  <c r="GL111" i="46"/>
  <c r="GP111" i="46"/>
  <c r="GT111" i="46"/>
  <c r="GX111" i="46"/>
  <c r="HB111" i="46"/>
  <c r="HF111" i="46"/>
  <c r="HJ111" i="46"/>
  <c r="HN111" i="46"/>
  <c r="HR111" i="46"/>
  <c r="HV111" i="46"/>
  <c r="HZ111" i="46"/>
  <c r="ID111" i="46"/>
  <c r="IH111" i="46"/>
  <c r="IL111" i="46"/>
  <c r="IP111" i="46"/>
  <c r="IT111" i="46"/>
  <c r="IX111" i="46"/>
  <c r="JA111" i="38"/>
  <c r="FS111" i="38"/>
  <c r="CX111" i="41" s="1"/>
  <c r="FW111" i="38"/>
  <c r="GA111" i="38"/>
  <c r="GE111" i="38"/>
  <c r="GI111" i="38"/>
  <c r="GM111" i="38"/>
  <c r="GQ111" i="38"/>
  <c r="GU111" i="38"/>
  <c r="GY111" i="38"/>
  <c r="HC111" i="38"/>
  <c r="HG111" i="38"/>
  <c r="HK111" i="38"/>
  <c r="HO111" i="38"/>
  <c r="HS111" i="38"/>
  <c r="HW111" i="38"/>
  <c r="IA111" i="38"/>
  <c r="IE111" i="38"/>
  <c r="II111" i="38"/>
  <c r="IM111" i="38"/>
  <c r="IQ111" i="38"/>
  <c r="IU111" i="38"/>
  <c r="IY111" i="38"/>
  <c r="FT111" i="38"/>
  <c r="FX111" i="38"/>
  <c r="CY111" i="41" s="1"/>
  <c r="GB111" i="38"/>
  <c r="GF111" i="38"/>
  <c r="GJ111" i="38"/>
  <c r="GN111" i="38"/>
  <c r="GR111" i="38"/>
  <c r="GV111" i="38"/>
  <c r="GZ111" i="38"/>
  <c r="HD111" i="38"/>
  <c r="HH111" i="38"/>
  <c r="HL111" i="38"/>
  <c r="HP111" i="38"/>
  <c r="HT111" i="38"/>
  <c r="HX111" i="38"/>
  <c r="IB111" i="38"/>
  <c r="IF111" i="38"/>
  <c r="IJ111" i="38"/>
  <c r="IN111" i="38"/>
  <c r="IR111" i="38"/>
  <c r="IV111" i="38"/>
  <c r="IZ111" i="38"/>
  <c r="JB111" i="38"/>
  <c r="FU111" i="38"/>
  <c r="FY111" i="38"/>
  <c r="GC111" i="38"/>
  <c r="GG111" i="38"/>
  <c r="GK111" i="38"/>
  <c r="GO111" i="38"/>
  <c r="GS111" i="38"/>
  <c r="GW111" i="38"/>
  <c r="HA111" i="38"/>
  <c r="HE111" i="38"/>
  <c r="HI111" i="38"/>
  <c r="HM111" i="38"/>
  <c r="HQ111" i="38"/>
  <c r="HU111" i="38"/>
  <c r="HY111" i="38"/>
  <c r="IC111" i="38"/>
  <c r="IG111" i="38"/>
  <c r="IK111" i="38"/>
  <c r="IO111" i="38"/>
  <c r="IS111" i="38"/>
  <c r="IW111" i="38"/>
  <c r="CW111" i="41"/>
  <c r="FV111" i="38"/>
  <c r="FZ111" i="38"/>
  <c r="GD111" i="38"/>
  <c r="GH111" i="38"/>
  <c r="GL111" i="38"/>
  <c r="GP111" i="38"/>
  <c r="GT111" i="38"/>
  <c r="GX111" i="38"/>
  <c r="HB111" i="38"/>
  <c r="HF111" i="38"/>
  <c r="HJ111" i="38"/>
  <c r="HN111" i="38"/>
  <c r="HR111" i="38"/>
  <c r="HV111" i="38"/>
  <c r="HZ111" i="38"/>
  <c r="ID111" i="38"/>
  <c r="IH111" i="38"/>
  <c r="IL111" i="38"/>
  <c r="IP111" i="38"/>
  <c r="IT111" i="38"/>
  <c r="IX111" i="38"/>
  <c r="CQ111" i="38"/>
  <c r="BX111" i="41" s="1"/>
  <c r="DT112" i="7"/>
  <c r="AO112" i="46"/>
  <c r="AU112" i="41" s="1"/>
  <c r="BC112" i="41" s="1"/>
  <c r="AC112" i="46"/>
  <c r="K112" i="46"/>
  <c r="FK112" i="46"/>
  <c r="JC112" i="46" s="1"/>
  <c r="L112" i="46"/>
  <c r="AN112" i="46"/>
  <c r="AQ112" i="41" s="1"/>
  <c r="AY112" i="41" s="1"/>
  <c r="M112" i="46"/>
  <c r="AI112" i="7"/>
  <c r="BV112" i="7"/>
  <c r="DD112" i="7"/>
  <c r="H112" i="7"/>
  <c r="N112" i="7" s="1"/>
  <c r="D111" i="41"/>
  <c r="P111" i="45"/>
  <c r="S111" i="45"/>
  <c r="Q111" i="45"/>
  <c r="CB111" i="38"/>
  <c r="BL111" i="41" s="1"/>
  <c r="CK111" i="38"/>
  <c r="BS111" i="41" s="1"/>
  <c r="CJ111" i="38"/>
  <c r="BR111" i="41" s="1"/>
  <c r="FN112" i="38"/>
  <c r="JD112" i="38" s="1"/>
  <c r="BX112" i="38"/>
  <c r="BJ112" i="41" s="1"/>
  <c r="BU112" i="38"/>
  <c r="AN112" i="38"/>
  <c r="AO112" i="41" s="1"/>
  <c r="AW112" i="41" s="1"/>
  <c r="EM112" i="38"/>
  <c r="CE112" i="41" s="1"/>
  <c r="BV112" i="38"/>
  <c r="BW112" i="38"/>
  <c r="BS112" i="38"/>
  <c r="AO112" i="38"/>
  <c r="EN112" i="38"/>
  <c r="L112" i="38"/>
  <c r="EL112" i="38"/>
  <c r="CF112" i="41" s="1"/>
  <c r="M112" i="38"/>
  <c r="BT112" i="38"/>
  <c r="BG112" i="41" s="1"/>
  <c r="BQ112" i="38"/>
  <c r="BR112" i="38"/>
  <c r="BH112" i="41" s="1"/>
  <c r="K112" i="38"/>
  <c r="A113" i="4"/>
  <c r="A113" i="45"/>
  <c r="O113" i="45" s="1"/>
  <c r="R113" i="45" s="1"/>
  <c r="A113" i="46"/>
  <c r="O113" i="46" s="1"/>
  <c r="R113" i="46" s="1"/>
  <c r="A113" i="6"/>
  <c r="A113" i="38"/>
  <c r="CV113" i="38" s="1"/>
  <c r="A113" i="41"/>
  <c r="A113" i="7"/>
  <c r="FF113" i="7" s="1"/>
  <c r="A114" i="55"/>
  <c r="AX112" i="7"/>
  <c r="CD112" i="7"/>
  <c r="BN112" i="7"/>
  <c r="P112" i="7"/>
  <c r="V112" i="7" s="1"/>
  <c r="FK112" i="45"/>
  <c r="JH112" i="45" s="1"/>
  <c r="K112" i="45"/>
  <c r="M112" i="45"/>
  <c r="L112" i="45"/>
  <c r="R112" i="6"/>
  <c r="N112" i="6"/>
  <c r="U112" i="6"/>
  <c r="L112" i="6"/>
  <c r="I112" i="6"/>
  <c r="T112" i="6"/>
  <c r="K112" i="6"/>
  <c r="O112" i="6"/>
  <c r="H112" i="6"/>
  <c r="Q112" i="6"/>
  <c r="J112" i="7"/>
  <c r="BC112" i="7"/>
  <c r="JH97" i="45"/>
  <c r="JH76" i="45"/>
  <c r="JH73" i="45"/>
  <c r="JH50" i="45"/>
  <c r="JH30" i="45"/>
  <c r="JH98" i="45"/>
  <c r="JH81" i="45"/>
  <c r="JH70" i="45"/>
  <c r="JH47" i="45"/>
  <c r="JH43" i="45"/>
  <c r="JI18" i="45"/>
  <c r="JH89" i="45"/>
  <c r="JH79" i="45"/>
  <c r="JH65" i="45"/>
  <c r="JH42" i="45"/>
  <c r="JH22" i="45"/>
  <c r="JH93" i="45"/>
  <c r="JH75" i="45"/>
  <c r="JH61" i="45"/>
  <c r="JH38" i="45"/>
  <c r="JH29" i="45"/>
  <c r="JH105" i="45"/>
  <c r="JH92" i="45"/>
  <c r="JH71" i="45"/>
  <c r="JH60" i="45"/>
  <c r="JH34" i="45"/>
  <c r="JH25" i="45"/>
  <c r="JH96" i="45"/>
  <c r="JH72" i="45"/>
  <c r="JH69" i="45"/>
  <c r="JH46" i="45"/>
  <c r="JH26" i="45"/>
  <c r="JH84" i="45"/>
  <c r="JH82" i="45"/>
  <c r="JH57" i="45"/>
  <c r="JH41" i="45"/>
  <c r="JH32" i="45"/>
  <c r="JH91" i="45"/>
  <c r="JH78" i="45"/>
  <c r="JH53" i="45"/>
  <c r="JH37" i="45"/>
  <c r="JH28" i="45"/>
  <c r="JH102" i="45"/>
  <c r="JH103" i="45"/>
  <c r="JH101" i="45"/>
  <c r="JH87" i="45"/>
  <c r="JH74" i="45"/>
  <c r="JH56" i="45"/>
  <c r="JH33" i="45"/>
  <c r="JH24" i="45"/>
  <c r="JH88" i="45"/>
  <c r="JH85" i="45"/>
  <c r="JH59" i="45"/>
  <c r="JH45" i="45"/>
  <c r="JH21" i="45"/>
  <c r="JH100" i="45"/>
  <c r="JH95" i="45"/>
  <c r="JH64" i="45"/>
  <c r="JH48" i="45"/>
  <c r="JH40" i="45"/>
  <c r="JH31" i="45"/>
  <c r="JH90" i="45"/>
  <c r="JH67" i="45"/>
  <c r="JH55" i="45"/>
  <c r="JH36" i="45"/>
  <c r="JH27" i="45"/>
  <c r="JH104" i="45"/>
  <c r="JH99" i="45"/>
  <c r="JH86" i="45"/>
  <c r="JH63" i="45"/>
  <c r="JH51" i="45"/>
  <c r="JH49" i="45"/>
  <c r="JH23" i="45"/>
  <c r="JH83" i="45"/>
  <c r="JH68" i="45"/>
  <c r="JH52" i="45"/>
  <c r="JH44" i="45"/>
  <c r="JH20" i="45"/>
  <c r="JH94" i="45"/>
  <c r="JH77" i="45"/>
  <c r="JH66" i="45"/>
  <c r="JH58" i="45"/>
  <c r="JH39" i="45"/>
  <c r="JH6" i="45"/>
  <c r="JH80" i="45"/>
  <c r="JH62" i="45"/>
  <c r="JH54" i="45"/>
  <c r="JH35" i="45"/>
  <c r="JH109" i="45"/>
  <c r="JH110" i="45"/>
  <c r="JH111" i="45"/>
  <c r="JH107" i="45"/>
  <c r="JH108" i="45"/>
  <c r="JH106" i="45"/>
  <c r="JC88" i="46"/>
  <c r="JC50" i="46"/>
  <c r="JC63" i="46"/>
  <c r="JC25" i="46"/>
  <c r="JC35" i="46"/>
  <c r="JC83" i="46"/>
  <c r="JC73" i="46"/>
  <c r="JC59" i="46"/>
  <c r="JC21" i="46"/>
  <c r="JC31" i="46"/>
  <c r="JC95" i="46"/>
  <c r="JC58" i="46"/>
  <c r="JC71" i="46"/>
  <c r="JC33" i="46"/>
  <c r="JC43" i="46"/>
  <c r="JC92" i="46"/>
  <c r="JC70" i="46"/>
  <c r="JC56" i="46"/>
  <c r="JC45" i="46"/>
  <c r="JC20" i="46"/>
  <c r="JC100" i="46"/>
  <c r="JC101" i="46"/>
  <c r="JC102" i="46"/>
  <c r="JC87" i="46"/>
  <c r="JC61" i="46"/>
  <c r="JC46" i="46"/>
  <c r="JC48" i="46"/>
  <c r="JD18" i="46"/>
  <c r="JC94" i="46"/>
  <c r="JC57" i="46"/>
  <c r="JC42" i="46"/>
  <c r="JC44" i="46"/>
  <c r="JC85" i="46"/>
  <c r="JC79" i="46"/>
  <c r="JC69" i="46"/>
  <c r="JC55" i="46"/>
  <c r="JC8" i="46"/>
  <c r="JC27" i="46"/>
  <c r="JC76" i="46"/>
  <c r="JC54" i="46"/>
  <c r="JC67" i="46"/>
  <c r="JC29" i="46"/>
  <c r="JC39" i="46"/>
  <c r="JC97" i="46"/>
  <c r="JC93" i="46"/>
  <c r="JC82" i="46"/>
  <c r="JC68" i="46"/>
  <c r="JC30" i="46"/>
  <c r="JC32" i="46"/>
  <c r="JC89" i="46"/>
  <c r="JC78" i="46"/>
  <c r="JC64" i="46"/>
  <c r="JC26" i="46"/>
  <c r="JC28" i="46"/>
  <c r="JC96" i="46"/>
  <c r="JC90" i="46"/>
  <c r="JC53" i="46"/>
  <c r="JC38" i="46"/>
  <c r="JC40" i="46"/>
  <c r="JC5" i="46"/>
  <c r="JC91" i="46"/>
  <c r="JC65" i="46"/>
  <c r="JC51" i="46"/>
  <c r="JC49" i="46"/>
  <c r="JC23" i="46"/>
  <c r="JC77" i="46"/>
  <c r="JC66" i="46"/>
  <c r="JC52" i="46"/>
  <c r="JC41" i="46"/>
  <c r="JC6" i="46"/>
  <c r="JC84" i="46"/>
  <c r="JC62" i="46"/>
  <c r="JC75" i="46"/>
  <c r="JC37" i="46"/>
  <c r="JC47" i="46"/>
  <c r="JC80" i="46"/>
  <c r="JC74" i="46"/>
  <c r="JC60" i="46"/>
  <c r="JC22" i="46"/>
  <c r="JC24" i="46"/>
  <c r="JC81" i="46"/>
  <c r="JC86" i="46"/>
  <c r="JC72" i="46"/>
  <c r="JC34" i="46"/>
  <c r="JC36" i="46"/>
  <c r="JC98" i="46"/>
  <c r="JC99" i="46"/>
  <c r="JC103" i="46"/>
  <c r="JC104" i="46"/>
  <c r="JC105" i="46"/>
  <c r="JC108" i="46"/>
  <c r="JC111" i="46"/>
  <c r="JC106" i="46"/>
  <c r="JC107" i="46"/>
  <c r="JC109" i="46"/>
  <c r="JC110" i="46"/>
  <c r="JD86" i="38"/>
  <c r="JD76" i="38"/>
  <c r="JD47" i="38"/>
  <c r="JD40" i="38"/>
  <c r="JD27" i="38"/>
  <c r="JD83" i="38"/>
  <c r="JD70" i="38"/>
  <c r="JD57" i="38"/>
  <c r="JD29" i="38"/>
  <c r="JD43" i="38"/>
  <c r="JD84" i="38"/>
  <c r="JD55" i="38"/>
  <c r="JD37" i="38"/>
  <c r="JD35" i="38"/>
  <c r="JD87" i="38"/>
  <c r="JD80" i="38"/>
  <c r="JD51" i="38"/>
  <c r="JD44" i="38"/>
  <c r="JD31" i="38"/>
  <c r="JD98" i="38"/>
  <c r="JD100" i="38"/>
  <c r="JD88" i="38"/>
  <c r="JD63" i="38"/>
  <c r="JD46" i="38"/>
  <c r="JD34" i="38"/>
  <c r="JD22" i="38"/>
  <c r="JD78" i="38"/>
  <c r="JD65" i="38"/>
  <c r="JD56" i="38"/>
  <c r="JD33" i="38"/>
  <c r="JD85" i="38"/>
  <c r="JD71" i="38"/>
  <c r="JD54" i="38"/>
  <c r="JD42" i="38"/>
  <c r="JE18" i="38"/>
  <c r="JD92" i="38"/>
  <c r="JD67" i="38"/>
  <c r="JD50" i="38"/>
  <c r="JD38" i="38"/>
  <c r="JD30" i="38"/>
  <c r="JD95" i="38"/>
  <c r="JD102" i="38"/>
  <c r="JD105" i="38"/>
  <c r="JD82" i="38"/>
  <c r="JD69" i="38"/>
  <c r="JD59" i="38"/>
  <c r="JD39" i="38"/>
  <c r="JD91" i="38"/>
  <c r="JD73" i="38"/>
  <c r="JD60" i="38"/>
  <c r="JD41" i="38"/>
  <c r="JD20" i="38"/>
  <c r="JD79" i="38"/>
  <c r="JD66" i="38"/>
  <c r="JD53" i="38"/>
  <c r="JD25" i="38"/>
  <c r="JD6" i="38"/>
  <c r="JD75" i="38"/>
  <c r="JD62" i="38"/>
  <c r="JD49" i="38"/>
  <c r="JD21" i="38"/>
  <c r="JD26" i="38"/>
  <c r="JD96" i="38"/>
  <c r="JD99" i="38"/>
  <c r="JD101" i="38"/>
  <c r="JD103" i="38"/>
  <c r="JD89" i="38"/>
  <c r="JD77" i="38"/>
  <c r="JD64" i="38"/>
  <c r="JD45" i="38"/>
  <c r="JD24" i="38"/>
  <c r="JD90" i="38"/>
  <c r="JD72" i="38"/>
  <c r="JD58" i="38"/>
  <c r="JD36" i="38"/>
  <c r="JD23" i="38"/>
  <c r="JD74" i="38"/>
  <c r="JD61" i="38"/>
  <c r="JD52" i="38"/>
  <c r="JD32" i="38"/>
  <c r="JD93" i="38"/>
  <c r="JD81" i="38"/>
  <c r="JD68" i="38"/>
  <c r="JD48" i="38"/>
  <c r="JD28" i="38"/>
  <c r="JD94" i="38"/>
  <c r="JD97" i="38"/>
  <c r="JD104" i="38"/>
  <c r="JD108" i="38"/>
  <c r="JD106" i="38"/>
  <c r="JD111" i="38"/>
  <c r="JD107" i="38"/>
  <c r="CW113" i="38" l="1"/>
  <c r="DB113" i="38" s="1"/>
  <c r="CX113" i="38"/>
  <c r="DC113" i="38" s="1"/>
  <c r="CY113" i="38"/>
  <c r="DD113" i="38" s="1"/>
  <c r="CZ113" i="38"/>
  <c r="DE113" i="38" s="1"/>
  <c r="DA113" i="38"/>
  <c r="O113" i="38"/>
  <c r="R113" i="38" s="1"/>
  <c r="AS112" i="41"/>
  <c r="BA112" i="41" s="1"/>
  <c r="AT113" i="4"/>
  <c r="AR113" i="4"/>
  <c r="AO113" i="4"/>
  <c r="AP113" i="4"/>
  <c r="AS113" i="4"/>
  <c r="AQ113" i="4"/>
  <c r="EJ112" i="7"/>
  <c r="FP112" i="7"/>
  <c r="EZ112" i="7"/>
  <c r="ER112" i="7"/>
  <c r="I109" i="46"/>
  <c r="J109" i="46" s="1"/>
  <c r="AB109" i="41" s="1"/>
  <c r="AF109" i="41" s="1"/>
  <c r="J108" i="46"/>
  <c r="AB108" i="41" s="1"/>
  <c r="AF108" i="41" s="1"/>
  <c r="FH112" i="7"/>
  <c r="R109" i="46"/>
  <c r="FL113" i="7"/>
  <c r="EU113" i="7"/>
  <c r="EX113" i="7"/>
  <c r="EN113" i="7"/>
  <c r="EM113" i="7"/>
  <c r="FK113" i="7"/>
  <c r="FC113" i="7"/>
  <c r="EE113" i="7"/>
  <c r="EI113" i="7"/>
  <c r="EW113" i="7"/>
  <c r="FE113" i="7"/>
  <c r="EG113" i="7"/>
  <c r="EO113" i="7"/>
  <c r="EF113" i="7"/>
  <c r="FJ113" i="7"/>
  <c r="FM113" i="7"/>
  <c r="ED113" i="7"/>
  <c r="EP113" i="7"/>
  <c r="EL113" i="7"/>
  <c r="FG113" i="7"/>
  <c r="EH113" i="7"/>
  <c r="FO113" i="7"/>
  <c r="EY113" i="7"/>
  <c r="ET113" i="7"/>
  <c r="FN113" i="7"/>
  <c r="EV113" i="7"/>
  <c r="EQ113" i="7"/>
  <c r="FD113" i="7"/>
  <c r="FB113" i="7"/>
  <c r="EX112" i="38"/>
  <c r="EY112" i="38" s="1"/>
  <c r="FH112" i="38" s="1"/>
  <c r="FC112" i="38"/>
  <c r="FD112" i="38" s="1"/>
  <c r="BA110" i="45"/>
  <c r="BB110" i="45" s="1"/>
  <c r="G110" i="45" s="1"/>
  <c r="G108" i="41"/>
  <c r="CJ112" i="38"/>
  <c r="BR112" i="41" s="1"/>
  <c r="AC112" i="38"/>
  <c r="U101" i="41"/>
  <c r="T101" i="38"/>
  <c r="J109" i="38"/>
  <c r="BS109" i="38"/>
  <c r="Z108" i="41"/>
  <c r="AD108" i="41" s="1"/>
  <c r="CI108" i="38"/>
  <c r="BQ108" i="41" s="1"/>
  <c r="CO108" i="38"/>
  <c r="BV108" i="41" s="1"/>
  <c r="W100" i="38"/>
  <c r="BU100" i="38"/>
  <c r="BV100" i="38" s="1"/>
  <c r="P109" i="38"/>
  <c r="I108" i="41"/>
  <c r="V99" i="41"/>
  <c r="T99" i="45"/>
  <c r="T99" i="46"/>
  <c r="W99" i="46" s="1"/>
  <c r="W99" i="41"/>
  <c r="AV110" i="46"/>
  <c r="AW110" i="46" s="1"/>
  <c r="F110" i="46" s="1"/>
  <c r="AZ111" i="38"/>
  <c r="AU111" i="46"/>
  <c r="FH111" i="38"/>
  <c r="P109" i="45"/>
  <c r="Q108" i="45"/>
  <c r="R109" i="45" s="1"/>
  <c r="H108" i="41"/>
  <c r="CA113" i="7"/>
  <c r="BF110" i="45"/>
  <c r="BG110" i="45" s="1"/>
  <c r="H110" i="45" s="1"/>
  <c r="I110" i="45" s="1"/>
  <c r="AB113" i="7"/>
  <c r="BY113" i="7"/>
  <c r="AA113" i="7"/>
  <c r="AU111" i="45"/>
  <c r="AZ111" i="46"/>
  <c r="FI111" i="38"/>
  <c r="BA110" i="38"/>
  <c r="BB110" i="38" s="1"/>
  <c r="G110" i="38" s="1"/>
  <c r="L113" i="7"/>
  <c r="BF110" i="38"/>
  <c r="BG110" i="38" s="1"/>
  <c r="H110" i="38" s="1"/>
  <c r="I110" i="38" s="1"/>
  <c r="AV110" i="45"/>
  <c r="AW110" i="45" s="1"/>
  <c r="F110" i="45" s="1"/>
  <c r="AV110" i="38"/>
  <c r="AW110" i="38" s="1"/>
  <c r="F110" i="38" s="1"/>
  <c r="P109" i="46"/>
  <c r="Q109" i="46" s="1"/>
  <c r="BA110" i="46"/>
  <c r="BB110" i="46" s="1"/>
  <c r="G110" i="46" s="1"/>
  <c r="J113" i="7"/>
  <c r="FB112" i="38"/>
  <c r="AT112" i="45"/>
  <c r="AT112" i="46"/>
  <c r="AT112" i="38"/>
  <c r="AE113" i="4"/>
  <c r="P113" i="4"/>
  <c r="Q113" i="4"/>
  <c r="AD113" i="4"/>
  <c r="AY112" i="46"/>
  <c r="AY112" i="38"/>
  <c r="AY112" i="45"/>
  <c r="AS112" i="38"/>
  <c r="AS112" i="46"/>
  <c r="AS112" i="45"/>
  <c r="AR111" i="38"/>
  <c r="AR111" i="45"/>
  <c r="AR111" i="46"/>
  <c r="AX112" i="45"/>
  <c r="AX112" i="46"/>
  <c r="AX112" i="38"/>
  <c r="AU111" i="38"/>
  <c r="BC113" i="7"/>
  <c r="BF110" i="46"/>
  <c r="BG110" i="46" s="1"/>
  <c r="H110" i="46" s="1"/>
  <c r="AZ111" i="45"/>
  <c r="CR112" i="38"/>
  <c r="CP112" i="38"/>
  <c r="BW112" i="41" s="1"/>
  <c r="CH112" i="38"/>
  <c r="BT112" i="41" s="1"/>
  <c r="CE112" i="38"/>
  <c r="BO112" i="41" s="1"/>
  <c r="CK112" i="38"/>
  <c r="BS112" i="41" s="1"/>
  <c r="CQ112" i="38"/>
  <c r="BX112" i="41" s="1"/>
  <c r="CI112" i="38"/>
  <c r="BQ112" i="41" s="1"/>
  <c r="S112" i="45"/>
  <c r="P112" i="45"/>
  <c r="Q112" i="45" s="1"/>
  <c r="D112" i="41"/>
  <c r="DA113" i="7"/>
  <c r="DF113" i="7"/>
  <c r="DH113" i="7"/>
  <c r="DE113" i="7"/>
  <c r="CW113" i="7"/>
  <c r="CQ113" i="7"/>
  <c r="AK113" i="7"/>
  <c r="BB113" i="7"/>
  <c r="CF113" i="7"/>
  <c r="BI113" i="7"/>
  <c r="DW113" i="7"/>
  <c r="BP113" i="7"/>
  <c r="DU113" i="7"/>
  <c r="BH113" i="7"/>
  <c r="BR113" i="7"/>
  <c r="AG113" i="7"/>
  <c r="CX113" i="7"/>
  <c r="CE113" i="7"/>
  <c r="U113" i="7"/>
  <c r="CG113" i="7"/>
  <c r="K113" i="7"/>
  <c r="M113" i="7"/>
  <c r="AZ113" i="7"/>
  <c r="AJ113" i="7"/>
  <c r="AH113" i="7"/>
  <c r="CR113" i="7"/>
  <c r="BG113" i="7"/>
  <c r="DO113" i="7"/>
  <c r="Y113" i="7"/>
  <c r="Z113" i="7"/>
  <c r="BA113" i="7"/>
  <c r="CP113" i="7"/>
  <c r="DP113" i="7"/>
  <c r="CI113" i="7"/>
  <c r="DX113" i="7"/>
  <c r="CZ113" i="7"/>
  <c r="DV113" i="7"/>
  <c r="CY113" i="7"/>
  <c r="BQ113" i="7"/>
  <c r="AC113" i="7"/>
  <c r="CO113" i="7"/>
  <c r="I113" i="7"/>
  <c r="BW113" i="7"/>
  <c r="BJ113" i="7"/>
  <c r="DY113" i="7"/>
  <c r="AY113" i="7"/>
  <c r="T113" i="7"/>
  <c r="AO113" i="46"/>
  <c r="AU113" i="41" s="1"/>
  <c r="BC113" i="41" s="1"/>
  <c r="FK113" i="46"/>
  <c r="JD113" i="46" s="1"/>
  <c r="K113" i="46"/>
  <c r="AN113" i="46"/>
  <c r="AQ113" i="41" s="1"/>
  <c r="AY113" i="41" s="1"/>
  <c r="L113" i="46"/>
  <c r="AC113" i="46"/>
  <c r="M113" i="46"/>
  <c r="CL112" i="38"/>
  <c r="CF112" i="38"/>
  <c r="P112" i="38"/>
  <c r="AD112" i="38"/>
  <c r="CB112" i="38"/>
  <c r="BL112" i="41" s="1"/>
  <c r="Y112" i="38"/>
  <c r="FO112" i="38" s="1"/>
  <c r="AF112" i="38"/>
  <c r="Z112" i="38"/>
  <c r="AK112" i="38"/>
  <c r="AH112" i="41" s="1"/>
  <c r="U112" i="38"/>
  <c r="AG112" i="38"/>
  <c r="AI112" i="38"/>
  <c r="AJ112" i="38"/>
  <c r="X112" i="38"/>
  <c r="T112" i="38"/>
  <c r="CN112" i="38"/>
  <c r="BY112" i="41" s="1"/>
  <c r="Q112" i="38"/>
  <c r="AB112" i="38"/>
  <c r="AH112" i="38"/>
  <c r="S112" i="38"/>
  <c r="AE112" i="38"/>
  <c r="CO112" i="38"/>
  <c r="BV112" i="41" s="1"/>
  <c r="W112" i="38"/>
  <c r="C112" i="41"/>
  <c r="V112" i="38"/>
  <c r="FP112" i="38" s="1"/>
  <c r="AA112" i="38"/>
  <c r="CD112" i="38"/>
  <c r="BN112" i="41" s="1"/>
  <c r="JB112" i="38"/>
  <c r="JC112" i="38"/>
  <c r="FU112" i="38"/>
  <c r="FY112" i="38"/>
  <c r="GC112" i="38"/>
  <c r="GG112" i="38"/>
  <c r="GK112" i="38"/>
  <c r="GO112" i="38"/>
  <c r="GS112" i="38"/>
  <c r="GW112" i="38"/>
  <c r="HA112" i="38"/>
  <c r="HE112" i="38"/>
  <c r="HI112" i="38"/>
  <c r="HM112" i="38"/>
  <c r="HQ112" i="38"/>
  <c r="HU112" i="38"/>
  <c r="HY112" i="38"/>
  <c r="IC112" i="38"/>
  <c r="IG112" i="38"/>
  <c r="IK112" i="38"/>
  <c r="IO112" i="38"/>
  <c r="IS112" i="38"/>
  <c r="IW112" i="38"/>
  <c r="JA112" i="38"/>
  <c r="CW112" i="41"/>
  <c r="FV112" i="38"/>
  <c r="FZ112" i="38"/>
  <c r="GD112" i="38"/>
  <c r="GH112" i="38"/>
  <c r="GL112" i="38"/>
  <c r="GP112" i="38"/>
  <c r="GT112" i="38"/>
  <c r="GX112" i="38"/>
  <c r="HB112" i="38"/>
  <c r="HF112" i="38"/>
  <c r="HJ112" i="38"/>
  <c r="HN112" i="38"/>
  <c r="HR112" i="38"/>
  <c r="HV112" i="38"/>
  <c r="HZ112" i="38"/>
  <c r="ID112" i="38"/>
  <c r="IH112" i="38"/>
  <c r="IL112" i="38"/>
  <c r="IP112" i="38"/>
  <c r="IT112" i="38"/>
  <c r="IX112" i="38"/>
  <c r="FS112" i="38"/>
  <c r="CX112" i="41" s="1"/>
  <c r="FW112" i="38"/>
  <c r="GA112" i="38"/>
  <c r="GE112" i="38"/>
  <c r="GI112" i="38"/>
  <c r="GM112" i="38"/>
  <c r="GQ112" i="38"/>
  <c r="GU112" i="38"/>
  <c r="GY112" i="38"/>
  <c r="HC112" i="38"/>
  <c r="HG112" i="38"/>
  <c r="HK112" i="38"/>
  <c r="HO112" i="38"/>
  <c r="HS112" i="38"/>
  <c r="HW112" i="38"/>
  <c r="IA112" i="38"/>
  <c r="IE112" i="38"/>
  <c r="II112" i="38"/>
  <c r="IM112" i="38"/>
  <c r="IQ112" i="38"/>
  <c r="IU112" i="38"/>
  <c r="IY112" i="38"/>
  <c r="FT112" i="38"/>
  <c r="FX112" i="38"/>
  <c r="CY112" i="41" s="1"/>
  <c r="GB112" i="38"/>
  <c r="GF112" i="38"/>
  <c r="GJ112" i="38"/>
  <c r="GN112" i="38"/>
  <c r="GR112" i="38"/>
  <c r="GV112" i="38"/>
  <c r="GZ112" i="38"/>
  <c r="HD112" i="38"/>
  <c r="HH112" i="38"/>
  <c r="HL112" i="38"/>
  <c r="HP112" i="38"/>
  <c r="HT112" i="38"/>
  <c r="HX112" i="38"/>
  <c r="IB112" i="38"/>
  <c r="IF112" i="38"/>
  <c r="IJ112" i="38"/>
  <c r="IN112" i="38"/>
  <c r="IR112" i="38"/>
  <c r="IV112" i="38"/>
  <c r="IZ112" i="38"/>
  <c r="DG113" i="7"/>
  <c r="BV113" i="7"/>
  <c r="DT113" i="7"/>
  <c r="BZ113" i="7"/>
  <c r="DL113" i="7"/>
  <c r="DQ113" i="7"/>
  <c r="AX113" i="7"/>
  <c r="K113" i="45"/>
  <c r="FK113" i="45"/>
  <c r="JI113" i="45" s="1"/>
  <c r="M113" i="45"/>
  <c r="L113" i="45"/>
  <c r="BI112" i="41"/>
  <c r="CC112" i="38"/>
  <c r="BM112" i="41" s="1"/>
  <c r="DN113" i="7"/>
  <c r="R113" i="7"/>
  <c r="DD113" i="7"/>
  <c r="AG112" i="46"/>
  <c r="Y112" i="46"/>
  <c r="FL112" i="46" s="1"/>
  <c r="AJ112" i="46"/>
  <c r="AH112" i="46"/>
  <c r="AB112" i="46"/>
  <c r="Q112" i="46"/>
  <c r="AI112" i="46"/>
  <c r="S112" i="46"/>
  <c r="V112" i="46"/>
  <c r="FM112" i="46" s="1"/>
  <c r="Z112" i="46"/>
  <c r="P112" i="46"/>
  <c r="AD112" i="46"/>
  <c r="JD15" i="46" s="1"/>
  <c r="AE112" i="46"/>
  <c r="W112" i="46"/>
  <c r="U112" i="46"/>
  <c r="T112" i="46"/>
  <c r="AA112" i="46"/>
  <c r="AF112" i="46"/>
  <c r="X112" i="46"/>
  <c r="E112" i="41"/>
  <c r="AK112" i="46"/>
  <c r="AJ112" i="41" s="1"/>
  <c r="CN113" i="7"/>
  <c r="M110" i="41"/>
  <c r="I110" i="41"/>
  <c r="S111" i="41"/>
  <c r="AB111" i="41"/>
  <c r="AF111" i="41" s="1"/>
  <c r="DM113" i="7"/>
  <c r="DI113" i="7"/>
  <c r="BN113" i="7"/>
  <c r="CD113" i="7"/>
  <c r="AN113" i="38"/>
  <c r="AO113" i="41" s="1"/>
  <c r="AW113" i="41" s="1"/>
  <c r="BU113" i="38"/>
  <c r="BT113" i="38"/>
  <c r="BG113" i="41" s="1"/>
  <c r="EL113" i="38"/>
  <c r="CF113" i="41" s="1"/>
  <c r="EM113" i="38"/>
  <c r="CE113" i="41" s="1"/>
  <c r="K113" i="38"/>
  <c r="BS113" i="38"/>
  <c r="BW113" i="38"/>
  <c r="BX113" i="38"/>
  <c r="BJ113" i="41" s="1"/>
  <c r="EN113" i="38"/>
  <c r="BR113" i="38"/>
  <c r="BH113" i="41" s="1"/>
  <c r="L113" i="38"/>
  <c r="BV113" i="38"/>
  <c r="AO113" i="38"/>
  <c r="FN113" i="38"/>
  <c r="JE113" i="38" s="1"/>
  <c r="BQ113" i="38"/>
  <c r="M113" i="38"/>
  <c r="V113" i="4"/>
  <c r="C113" i="4"/>
  <c r="H113" i="4"/>
  <c r="AA113" i="4"/>
  <c r="N113" i="4"/>
  <c r="J113" i="4"/>
  <c r="X113" i="4"/>
  <c r="Y113" i="4"/>
  <c r="G113" i="4"/>
  <c r="M113" i="4"/>
  <c r="K113" i="4"/>
  <c r="U113" i="4"/>
  <c r="D113" i="4"/>
  <c r="AB113" i="4"/>
  <c r="BS113" i="7"/>
  <c r="L110" i="41"/>
  <c r="H110" i="41"/>
  <c r="AI113" i="7"/>
  <c r="CS113" i="7"/>
  <c r="BD111" i="45"/>
  <c r="BE111" i="45" s="1"/>
  <c r="EV111" i="38"/>
  <c r="FG111" i="38" s="1"/>
  <c r="BD111" i="46"/>
  <c r="BE111" i="46" s="1"/>
  <c r="BD111" i="38"/>
  <c r="BE111" i="38" s="1"/>
  <c r="S113" i="7"/>
  <c r="X113" i="7"/>
  <c r="AD113" i="7" s="1"/>
  <c r="BF113" i="7"/>
  <c r="BK113" i="7"/>
  <c r="JF112" i="45"/>
  <c r="JG112" i="45"/>
  <c r="JE112" i="45"/>
  <c r="P113" i="7"/>
  <c r="V113" i="7" s="1"/>
  <c r="A114" i="41"/>
  <c r="A114" i="38"/>
  <c r="CV114" i="38" s="1"/>
  <c r="A114" i="6"/>
  <c r="A114" i="4"/>
  <c r="A114" i="45"/>
  <c r="O114" i="45" s="1"/>
  <c r="R114" i="45" s="1"/>
  <c r="A114" i="46"/>
  <c r="O114" i="46" s="1"/>
  <c r="R114" i="46" s="1"/>
  <c r="A114" i="7"/>
  <c r="FF114" i="7" s="1"/>
  <c r="A115" i="55"/>
  <c r="U113" i="6"/>
  <c r="N113" i="6"/>
  <c r="I113" i="6"/>
  <c r="H113" i="6"/>
  <c r="O113" i="6"/>
  <c r="L113" i="6"/>
  <c r="R113" i="6"/>
  <c r="T113" i="6"/>
  <c r="Q113" i="6"/>
  <c r="K113" i="6"/>
  <c r="BX113" i="7"/>
  <c r="BX114" i="7" s="1"/>
  <c r="H113" i="7"/>
  <c r="BC112" i="46"/>
  <c r="BC112" i="45"/>
  <c r="BC112" i="38"/>
  <c r="JA112" i="46"/>
  <c r="FQ112" i="46"/>
  <c r="FU112" i="46"/>
  <c r="FY112" i="46"/>
  <c r="GC112" i="46"/>
  <c r="GG112" i="46"/>
  <c r="GK112" i="46"/>
  <c r="GO112" i="46"/>
  <c r="GS112" i="46"/>
  <c r="GW112" i="46"/>
  <c r="HA112" i="46"/>
  <c r="HE112" i="46"/>
  <c r="HI112" i="46"/>
  <c r="HM112" i="46"/>
  <c r="HQ112" i="46"/>
  <c r="HU112" i="46"/>
  <c r="HY112" i="46"/>
  <c r="IC112" i="46"/>
  <c r="IG112" i="46"/>
  <c r="IK112" i="46"/>
  <c r="IO112" i="46"/>
  <c r="IS112" i="46"/>
  <c r="IW112" i="46"/>
  <c r="FW112" i="46"/>
  <c r="GE112" i="46"/>
  <c r="GM112" i="46"/>
  <c r="GY112" i="46"/>
  <c r="HG112" i="46"/>
  <c r="HO112" i="46"/>
  <c r="HW112" i="46"/>
  <c r="II112" i="46"/>
  <c r="IU112" i="46"/>
  <c r="FR112" i="46"/>
  <c r="FV112" i="46"/>
  <c r="FZ112" i="46"/>
  <c r="GD112" i="46"/>
  <c r="GH112" i="46"/>
  <c r="GL112" i="46"/>
  <c r="GP112" i="46"/>
  <c r="GT112" i="46"/>
  <c r="GX112" i="46"/>
  <c r="HB112" i="46"/>
  <c r="HF112" i="46"/>
  <c r="HJ112" i="46"/>
  <c r="HN112" i="46"/>
  <c r="HR112" i="46"/>
  <c r="HV112" i="46"/>
  <c r="HZ112" i="46"/>
  <c r="ID112" i="46"/>
  <c r="IH112" i="46"/>
  <c r="IL112" i="46"/>
  <c r="IP112" i="46"/>
  <c r="IT112" i="46"/>
  <c r="IX112" i="46"/>
  <c r="GQ112" i="46"/>
  <c r="HK112" i="46"/>
  <c r="IA112" i="46"/>
  <c r="IM112" i="46"/>
  <c r="IY112" i="46"/>
  <c r="GB112" i="46"/>
  <c r="GJ112" i="46"/>
  <c r="GV112" i="46"/>
  <c r="HD112" i="46"/>
  <c r="HL112" i="46"/>
  <c r="HT112" i="46"/>
  <c r="HX112" i="46"/>
  <c r="IF112" i="46"/>
  <c r="IR112" i="46"/>
  <c r="IZ112" i="46"/>
  <c r="JB112" i="46"/>
  <c r="FS112" i="46"/>
  <c r="GA112" i="46"/>
  <c r="GI112" i="46"/>
  <c r="GU112" i="46"/>
  <c r="HC112" i="46"/>
  <c r="HS112" i="46"/>
  <c r="IE112" i="46"/>
  <c r="IQ112" i="46"/>
  <c r="FP112" i="46"/>
  <c r="FT112" i="46"/>
  <c r="FX112" i="46"/>
  <c r="GF112" i="46"/>
  <c r="GN112" i="46"/>
  <c r="GR112" i="46"/>
  <c r="GZ112" i="46"/>
  <c r="HH112" i="46"/>
  <c r="HP112" i="46"/>
  <c r="IB112" i="46"/>
  <c r="IJ112" i="46"/>
  <c r="IN112" i="46"/>
  <c r="IV112" i="46"/>
  <c r="CH113" i="7"/>
  <c r="CV113" i="7"/>
  <c r="Q111" i="41"/>
  <c r="V112" i="41"/>
  <c r="G110" i="41"/>
  <c r="K110" i="41"/>
  <c r="U112" i="41"/>
  <c r="W112" i="41"/>
  <c r="Z111" i="41"/>
  <c r="AD111" i="41" s="1"/>
  <c r="AF113" i="7"/>
  <c r="BO113" i="7"/>
  <c r="Q113" i="7"/>
  <c r="JE82" i="38"/>
  <c r="JE69" i="38"/>
  <c r="JE59" i="38"/>
  <c r="JE32" i="38"/>
  <c r="JE6" i="38"/>
  <c r="JE73" i="38"/>
  <c r="JE60" i="38"/>
  <c r="JE51" i="38"/>
  <c r="JE35" i="38"/>
  <c r="JE92" i="38"/>
  <c r="JE84" i="38"/>
  <c r="JE71" i="38"/>
  <c r="JE47" i="38"/>
  <c r="JE34" i="38"/>
  <c r="JE94" i="38"/>
  <c r="JE80" i="38"/>
  <c r="JE67" i="38"/>
  <c r="JE44" i="38"/>
  <c r="JE31" i="38"/>
  <c r="JE97" i="38"/>
  <c r="JE104" i="38"/>
  <c r="JE77" i="38"/>
  <c r="JE64" i="38"/>
  <c r="JE55" i="38"/>
  <c r="JE38" i="38"/>
  <c r="JE86" i="38"/>
  <c r="JE72" i="38"/>
  <c r="JE58" i="38"/>
  <c r="JE36" i="38"/>
  <c r="JE23" i="38"/>
  <c r="JE90" i="38"/>
  <c r="JE83" i="38"/>
  <c r="JE54" i="38"/>
  <c r="JE43" i="38"/>
  <c r="JF18" i="38"/>
  <c r="JE89" i="38"/>
  <c r="JE79" i="38"/>
  <c r="JE50" i="38"/>
  <c r="JE39" i="38"/>
  <c r="JE30" i="38"/>
  <c r="JE98" i="38"/>
  <c r="JE100" i="38"/>
  <c r="JE93" i="38"/>
  <c r="JE76" i="38"/>
  <c r="JE63" i="38"/>
  <c r="JE40" i="38"/>
  <c r="JE27" i="38"/>
  <c r="JE88" i="38"/>
  <c r="JE70" i="38"/>
  <c r="JE57" i="38"/>
  <c r="JE41" i="38"/>
  <c r="JE22" i="38"/>
  <c r="JE91" i="38"/>
  <c r="JE66" i="38"/>
  <c r="JE53" i="38"/>
  <c r="JE37" i="38"/>
  <c r="JE29" i="38"/>
  <c r="JE87" i="38"/>
  <c r="JE62" i="38"/>
  <c r="JE49" i="38"/>
  <c r="JE33" i="38"/>
  <c r="JE21" i="38"/>
  <c r="JE95" i="38"/>
  <c r="JE102" i="38"/>
  <c r="JE105" i="38"/>
  <c r="JE85" i="38"/>
  <c r="JE75" i="38"/>
  <c r="JE46" i="38"/>
  <c r="JE45" i="38"/>
  <c r="JE26" i="38"/>
  <c r="JE78" i="38"/>
  <c r="JE65" i="38"/>
  <c r="JE56" i="38"/>
  <c r="JE28" i="38"/>
  <c r="JE42" i="38"/>
  <c r="JE74" i="38"/>
  <c r="JE61" i="38"/>
  <c r="JE52" i="38"/>
  <c r="JE24" i="38"/>
  <c r="JE25" i="38"/>
  <c r="JE81" i="38"/>
  <c r="JE68" i="38"/>
  <c r="JE48" i="38"/>
  <c r="JE20" i="38"/>
  <c r="JE96" i="38"/>
  <c r="JE99" i="38"/>
  <c r="JE101" i="38"/>
  <c r="JE103" i="38"/>
  <c r="JE107" i="38"/>
  <c r="JE108" i="38"/>
  <c r="JE106" i="38"/>
  <c r="JE112" i="38"/>
  <c r="JE109" i="38"/>
  <c r="JE111" i="38"/>
  <c r="JD88" i="46"/>
  <c r="JD97" i="46"/>
  <c r="JD60" i="46"/>
  <c r="JD50" i="46"/>
  <c r="JD24" i="46"/>
  <c r="JD34" i="46"/>
  <c r="JD93" i="46"/>
  <c r="JD56" i="46"/>
  <c r="JD45" i="46"/>
  <c r="JD20" i="46"/>
  <c r="JD30" i="46"/>
  <c r="JD98" i="46"/>
  <c r="JD61" i="46"/>
  <c r="JD74" i="46"/>
  <c r="JD48" i="46"/>
  <c r="JE18" i="46"/>
  <c r="JD83" i="46"/>
  <c r="JD73" i="46"/>
  <c r="JD59" i="46"/>
  <c r="JD21" i="46"/>
  <c r="JD31" i="46"/>
  <c r="JD99" i="46"/>
  <c r="JD103" i="46"/>
  <c r="JD104" i="46"/>
  <c r="JD105" i="46"/>
  <c r="JD95" i="46"/>
  <c r="JD81" i="46"/>
  <c r="JD71" i="46"/>
  <c r="JD33" i="46"/>
  <c r="JD43" i="46"/>
  <c r="JD84" i="46"/>
  <c r="JD77" i="46"/>
  <c r="JD67" i="46"/>
  <c r="JD29" i="46"/>
  <c r="JD39" i="46"/>
  <c r="JD96" i="46"/>
  <c r="JD82" i="46"/>
  <c r="JD68" i="46"/>
  <c r="JD58" i="46"/>
  <c r="JD32" i="46"/>
  <c r="JD42" i="46"/>
  <c r="JD94" i="46"/>
  <c r="JD57" i="46"/>
  <c r="JD70" i="46"/>
  <c r="JD44" i="46"/>
  <c r="JD38" i="46"/>
  <c r="JD100" i="46"/>
  <c r="JD101" i="46"/>
  <c r="JD102" i="46"/>
  <c r="JD79" i="46"/>
  <c r="JD69" i="46"/>
  <c r="JD55" i="46"/>
  <c r="JD8" i="46"/>
  <c r="JD27" i="46"/>
  <c r="JD91" i="46"/>
  <c r="JD65" i="46"/>
  <c r="JD51" i="46"/>
  <c r="JD49" i="46"/>
  <c r="JD23" i="46"/>
  <c r="JD80" i="46"/>
  <c r="JD89" i="46"/>
  <c r="JD52" i="46"/>
  <c r="JD41" i="46"/>
  <c r="JD6" i="46"/>
  <c r="JD26" i="46"/>
  <c r="JD78" i="46"/>
  <c r="JD64" i="46"/>
  <c r="JD54" i="46"/>
  <c r="JD28" i="46"/>
  <c r="JD22" i="46"/>
  <c r="JD90" i="46"/>
  <c r="JD53" i="46"/>
  <c r="JD66" i="46"/>
  <c r="JD40" i="46"/>
  <c r="JD5" i="46"/>
  <c r="JD86" i="46"/>
  <c r="JD72" i="46"/>
  <c r="JD62" i="46"/>
  <c r="JD36" i="46"/>
  <c r="JD46" i="46"/>
  <c r="JD87" i="46"/>
  <c r="JD76" i="46"/>
  <c r="JD63" i="46"/>
  <c r="JD25" i="46"/>
  <c r="JD35" i="46"/>
  <c r="JD92" i="46"/>
  <c r="JD85" i="46"/>
  <c r="JD75" i="46"/>
  <c r="JD37" i="46"/>
  <c r="JD47" i="46"/>
  <c r="JD106" i="46"/>
  <c r="JD107" i="46"/>
  <c r="JD109" i="46"/>
  <c r="JD110" i="46"/>
  <c r="JD112" i="46"/>
  <c r="JD108" i="46"/>
  <c r="JD111" i="46"/>
  <c r="JI88" i="45"/>
  <c r="JI78" i="45"/>
  <c r="JI60" i="45"/>
  <c r="JI48" i="45"/>
  <c r="JI24" i="45"/>
  <c r="JI96" i="45"/>
  <c r="JI75" i="45"/>
  <c r="JI61" i="45"/>
  <c r="JI45" i="45"/>
  <c r="JI21" i="45"/>
  <c r="JI91" i="45"/>
  <c r="JI81" i="45"/>
  <c r="JI52" i="45"/>
  <c r="JI40" i="45"/>
  <c r="JI31" i="45"/>
  <c r="JI97" i="45"/>
  <c r="JI84" i="45"/>
  <c r="JI69" i="45"/>
  <c r="JI53" i="45"/>
  <c r="JI29" i="45"/>
  <c r="JI100" i="45"/>
  <c r="JI83" i="45"/>
  <c r="JI73" i="45"/>
  <c r="JI51" i="45"/>
  <c r="JI43" i="45"/>
  <c r="JI23" i="45"/>
  <c r="JI94" i="45"/>
  <c r="JI74" i="45"/>
  <c r="JI56" i="45"/>
  <c r="JI44" i="45"/>
  <c r="JI20" i="45"/>
  <c r="JI103" i="45"/>
  <c r="JI86" i="45"/>
  <c r="JI63" i="45"/>
  <c r="JI58" i="45"/>
  <c r="JI35" i="45"/>
  <c r="JI33" i="45"/>
  <c r="JI92" i="45"/>
  <c r="JI82" i="45"/>
  <c r="JI64" i="45"/>
  <c r="JI37" i="45"/>
  <c r="JI28" i="45"/>
  <c r="JI105" i="45"/>
  <c r="JI102" i="45"/>
  <c r="JI85" i="45"/>
  <c r="JI70" i="45"/>
  <c r="JI50" i="45"/>
  <c r="JI42" i="45"/>
  <c r="JI26" i="45"/>
  <c r="JI90" i="45"/>
  <c r="JI67" i="45"/>
  <c r="JI47" i="45"/>
  <c r="JI39" i="45"/>
  <c r="JJ18" i="45"/>
  <c r="JI98" i="45"/>
  <c r="JI76" i="45"/>
  <c r="JI62" i="45"/>
  <c r="JI57" i="45"/>
  <c r="JI34" i="45"/>
  <c r="JI6" i="45"/>
  <c r="JI87" i="45"/>
  <c r="JI77" i="45"/>
  <c r="JI55" i="45"/>
  <c r="JI36" i="45"/>
  <c r="JI27" i="45"/>
  <c r="JI93" i="45"/>
  <c r="JI79" i="45"/>
  <c r="JI65" i="45"/>
  <c r="JI49" i="45"/>
  <c r="JI25" i="45"/>
  <c r="JI101" i="45"/>
  <c r="JI80" i="45"/>
  <c r="JI66" i="45"/>
  <c r="JI59" i="45"/>
  <c r="JI38" i="45"/>
  <c r="JI22" i="45"/>
  <c r="JI95" i="45"/>
  <c r="JI71" i="45"/>
  <c r="JI68" i="45"/>
  <c r="JI41" i="45"/>
  <c r="JI32" i="45"/>
  <c r="JI99" i="45"/>
  <c r="JI89" i="45"/>
  <c r="JI72" i="45"/>
  <c r="JI54" i="45"/>
  <c r="JI46" i="45"/>
  <c r="JI30" i="45"/>
  <c r="JI104" i="45"/>
  <c r="JI106" i="45"/>
  <c r="JI109" i="45"/>
  <c r="JI110" i="45"/>
  <c r="JI111" i="45"/>
  <c r="JI107" i="45"/>
  <c r="JI108" i="45"/>
  <c r="JI112" i="45"/>
  <c r="CX114" i="38" l="1"/>
  <c r="DC114" i="38" s="1"/>
  <c r="CY114" i="38"/>
  <c r="DD114" i="38" s="1"/>
  <c r="CW114" i="38"/>
  <c r="DB114" i="38" s="1"/>
  <c r="CZ114" i="38"/>
  <c r="DE114" i="38" s="1"/>
  <c r="DA114" i="38"/>
  <c r="O114" i="38"/>
  <c r="R114" i="38" s="1"/>
  <c r="AS113" i="41"/>
  <c r="BA113" i="41" s="1"/>
  <c r="AS114" i="4"/>
  <c r="AR114" i="4"/>
  <c r="AQ114" i="4"/>
  <c r="AT114" i="4"/>
  <c r="AO114" i="4"/>
  <c r="AP114" i="4"/>
  <c r="AL111" i="41"/>
  <c r="EZ113" i="7"/>
  <c r="FH113" i="7"/>
  <c r="EJ113" i="7"/>
  <c r="I110" i="46"/>
  <c r="J110" i="46" s="1"/>
  <c r="AB110" i="41" s="1"/>
  <c r="AF110" i="41" s="1"/>
  <c r="ER113" i="7"/>
  <c r="FP113" i="7"/>
  <c r="N113" i="7"/>
  <c r="V114" i="7"/>
  <c r="R110" i="46"/>
  <c r="EU114" i="7"/>
  <c r="FN114" i="7"/>
  <c r="FO114" i="7"/>
  <c r="EW114" i="7"/>
  <c r="FL114" i="7"/>
  <c r="FG114" i="7"/>
  <c r="FJ114" i="7"/>
  <c r="EQ114" i="7"/>
  <c r="EN114" i="7"/>
  <c r="FM114" i="7"/>
  <c r="EO114" i="7"/>
  <c r="EG114" i="7"/>
  <c r="EE114" i="7"/>
  <c r="FB114" i="7"/>
  <c r="EV114" i="7"/>
  <c r="EY114" i="7"/>
  <c r="EH114" i="7"/>
  <c r="EP114" i="7"/>
  <c r="FC114" i="7"/>
  <c r="FE114" i="7"/>
  <c r="EM114" i="7"/>
  <c r="FD114" i="7"/>
  <c r="ET114" i="7"/>
  <c r="FK114" i="7"/>
  <c r="EL114" i="7"/>
  <c r="ER114" i="7" s="1"/>
  <c r="ED114" i="7"/>
  <c r="EJ114" i="7" s="1"/>
  <c r="EF114" i="7"/>
  <c r="EX114" i="7"/>
  <c r="EI114" i="7"/>
  <c r="FI112" i="38"/>
  <c r="EX113" i="38"/>
  <c r="EY113" i="38" s="1"/>
  <c r="FB113" i="38"/>
  <c r="EW113" i="38"/>
  <c r="FC113" i="38"/>
  <c r="FD113" i="38" s="1"/>
  <c r="AZ112" i="45"/>
  <c r="CN113" i="38"/>
  <c r="BY113" i="41" s="1"/>
  <c r="AC113" i="38"/>
  <c r="Z109" i="41"/>
  <c r="AD109" i="41" s="1"/>
  <c r="CO109" i="38"/>
  <c r="BV109" i="41" s="1"/>
  <c r="CI109" i="38"/>
  <c r="BQ109" i="41" s="1"/>
  <c r="Q109" i="38"/>
  <c r="R110" i="38" s="1"/>
  <c r="G109" i="41"/>
  <c r="BU101" i="38"/>
  <c r="BV101" i="38" s="1"/>
  <c r="W101" i="38"/>
  <c r="J110" i="38"/>
  <c r="BS110" i="38"/>
  <c r="U102" i="41"/>
  <c r="T102" i="38"/>
  <c r="V100" i="41"/>
  <c r="T100" i="45"/>
  <c r="T100" i="46"/>
  <c r="W100" i="46" s="1"/>
  <c r="W100" i="41"/>
  <c r="BA111" i="38"/>
  <c r="BB111" i="38" s="1"/>
  <c r="G111" i="38" s="1"/>
  <c r="Q114" i="7"/>
  <c r="AV111" i="46"/>
  <c r="AW111" i="46" s="1"/>
  <c r="F111" i="46" s="1"/>
  <c r="AZ112" i="38"/>
  <c r="Q109" i="45"/>
  <c r="R110" i="45" s="1"/>
  <c r="H109" i="41"/>
  <c r="BO114" i="7"/>
  <c r="CH114" i="7"/>
  <c r="BF111" i="38"/>
  <c r="BG111" i="38" s="1"/>
  <c r="H111" i="38" s="1"/>
  <c r="I111" i="38" s="1"/>
  <c r="I109" i="41"/>
  <c r="AV111" i="45"/>
  <c r="AW111" i="45" s="1"/>
  <c r="F111" i="45" s="1"/>
  <c r="BA111" i="45"/>
  <c r="BB111" i="45" s="1"/>
  <c r="G111" i="45" s="1"/>
  <c r="AU112" i="38"/>
  <c r="BF111" i="46"/>
  <c r="BG111" i="46" s="1"/>
  <c r="H111" i="46" s="1"/>
  <c r="AU112" i="45"/>
  <c r="BA111" i="46"/>
  <c r="BB111" i="46" s="1"/>
  <c r="G111" i="46" s="1"/>
  <c r="BF111" i="45"/>
  <c r="BG111" i="45" s="1"/>
  <c r="H111" i="45" s="1"/>
  <c r="I111" i="45" s="1"/>
  <c r="AR112" i="38"/>
  <c r="AR112" i="45"/>
  <c r="AR112" i="46"/>
  <c r="AS113" i="38"/>
  <c r="AS113" i="46"/>
  <c r="AS113" i="45"/>
  <c r="P114" i="4"/>
  <c r="AE114" i="4"/>
  <c r="AD114" i="4"/>
  <c r="Q114" i="4"/>
  <c r="AV111" i="38"/>
  <c r="AW111" i="38" s="1"/>
  <c r="F111" i="38" s="1"/>
  <c r="AU112" i="46"/>
  <c r="AY113" i="45"/>
  <c r="AY113" i="46"/>
  <c r="AY113" i="38"/>
  <c r="AT113" i="46"/>
  <c r="AT113" i="45"/>
  <c r="AT113" i="38"/>
  <c r="AZ112" i="46"/>
  <c r="AX113" i="46"/>
  <c r="AX113" i="38"/>
  <c r="AX113" i="45"/>
  <c r="S110" i="41"/>
  <c r="Q110" i="41"/>
  <c r="CQ113" i="38"/>
  <c r="BX113" i="41" s="1"/>
  <c r="CO113" i="38"/>
  <c r="BV113" i="41" s="1"/>
  <c r="CB113" i="38"/>
  <c r="BL113" i="41" s="1"/>
  <c r="CC113" i="38"/>
  <c r="BM113" i="41" s="1"/>
  <c r="CI113" i="38"/>
  <c r="BQ113" i="41" s="1"/>
  <c r="CL113" i="38"/>
  <c r="CE113" i="38"/>
  <c r="BO113" i="41" s="1"/>
  <c r="AF114" i="7"/>
  <c r="H114" i="7"/>
  <c r="N114" i="7" s="1"/>
  <c r="M114" i="45"/>
  <c r="FK114" i="45"/>
  <c r="JJ114" i="45" s="1"/>
  <c r="L114" i="45"/>
  <c r="K114" i="45"/>
  <c r="X114" i="7"/>
  <c r="AD114" i="7" s="1"/>
  <c r="BS114" i="7"/>
  <c r="CJ113" i="38"/>
  <c r="BR113" i="41" s="1"/>
  <c r="CR113" i="38"/>
  <c r="CF113" i="38"/>
  <c r="DD114" i="7"/>
  <c r="D113" i="41"/>
  <c r="S113" i="45"/>
  <c r="Q113" i="45"/>
  <c r="P113" i="45"/>
  <c r="JG113" i="45"/>
  <c r="JF113" i="45"/>
  <c r="JH113" i="45"/>
  <c r="AX114" i="7"/>
  <c r="BV114" i="7"/>
  <c r="BJ114" i="7"/>
  <c r="AC114" i="7"/>
  <c r="CZ114" i="7"/>
  <c r="CP114" i="7"/>
  <c r="DO114" i="7"/>
  <c r="AJ114" i="7"/>
  <c r="CG114" i="7"/>
  <c r="AG114" i="7"/>
  <c r="BP114" i="7"/>
  <c r="BB114" i="7"/>
  <c r="DE114" i="7"/>
  <c r="BC113" i="45"/>
  <c r="BC113" i="38"/>
  <c r="BC113" i="46"/>
  <c r="CV114" i="7"/>
  <c r="A115" i="6"/>
  <c r="A115" i="4"/>
  <c r="A115" i="46"/>
  <c r="O115" i="46" s="1"/>
  <c r="R115" i="46" s="1"/>
  <c r="A115" i="41"/>
  <c r="A116" i="55"/>
  <c r="A115" i="45"/>
  <c r="O115" i="45" s="1"/>
  <c r="R115" i="45" s="1"/>
  <c r="A115" i="38"/>
  <c r="CV115" i="38" s="1"/>
  <c r="A115" i="7"/>
  <c r="FF115" i="7" s="1"/>
  <c r="V114" i="4"/>
  <c r="Y114" i="4"/>
  <c r="AB114" i="4"/>
  <c r="N114" i="4"/>
  <c r="H114" i="4"/>
  <c r="M114" i="4"/>
  <c r="G114" i="4"/>
  <c r="D114" i="4"/>
  <c r="K114" i="4"/>
  <c r="U114" i="4"/>
  <c r="AA114" i="4"/>
  <c r="X114" i="4"/>
  <c r="J114" i="4"/>
  <c r="C114" i="4"/>
  <c r="BF114" i="7"/>
  <c r="S114" i="7"/>
  <c r="FT113" i="38"/>
  <c r="FX113" i="38"/>
  <c r="CY113" i="41" s="1"/>
  <c r="GB113" i="38"/>
  <c r="GF113" i="38"/>
  <c r="GJ113" i="38"/>
  <c r="GN113" i="38"/>
  <c r="GR113" i="38"/>
  <c r="GV113" i="38"/>
  <c r="GZ113" i="38"/>
  <c r="HD113" i="38"/>
  <c r="HH113" i="38"/>
  <c r="HL113" i="38"/>
  <c r="HP113" i="38"/>
  <c r="HT113" i="38"/>
  <c r="HX113" i="38"/>
  <c r="IB113" i="38"/>
  <c r="IF113" i="38"/>
  <c r="IJ113" i="38"/>
  <c r="IN113" i="38"/>
  <c r="IR113" i="38"/>
  <c r="IV113" i="38"/>
  <c r="IZ113" i="38"/>
  <c r="FU113" i="38"/>
  <c r="FY113" i="38"/>
  <c r="GC113" i="38"/>
  <c r="GG113" i="38"/>
  <c r="GK113" i="38"/>
  <c r="GO113" i="38"/>
  <c r="GS113" i="38"/>
  <c r="GW113" i="38"/>
  <c r="HA113" i="38"/>
  <c r="HE113" i="38"/>
  <c r="HI113" i="38"/>
  <c r="HM113" i="38"/>
  <c r="HQ113" i="38"/>
  <c r="HU113" i="38"/>
  <c r="HY113" i="38"/>
  <c r="IC113" i="38"/>
  <c r="IG113" i="38"/>
  <c r="IK113" i="38"/>
  <c r="IO113" i="38"/>
  <c r="IS113" i="38"/>
  <c r="IW113" i="38"/>
  <c r="JA113" i="38"/>
  <c r="CW113" i="41"/>
  <c r="FV113" i="38"/>
  <c r="FZ113" i="38"/>
  <c r="GD113" i="38"/>
  <c r="GH113" i="38"/>
  <c r="GL113" i="38"/>
  <c r="GP113" i="38"/>
  <c r="GT113" i="38"/>
  <c r="GX113" i="38"/>
  <c r="HB113" i="38"/>
  <c r="HF113" i="38"/>
  <c r="HJ113" i="38"/>
  <c r="HN113" i="38"/>
  <c r="HR113" i="38"/>
  <c r="HV113" i="38"/>
  <c r="HZ113" i="38"/>
  <c r="ID113" i="38"/>
  <c r="IH113" i="38"/>
  <c r="IL113" i="38"/>
  <c r="IP113" i="38"/>
  <c r="IT113" i="38"/>
  <c r="IX113" i="38"/>
  <c r="JB113" i="38"/>
  <c r="JC113" i="38"/>
  <c r="JD113" i="38"/>
  <c r="FS113" i="38"/>
  <c r="CX113" i="41" s="1"/>
  <c r="FW113" i="38"/>
  <c r="GA113" i="38"/>
  <c r="GE113" i="38"/>
  <c r="GI113" i="38"/>
  <c r="GM113" i="38"/>
  <c r="GQ113" i="38"/>
  <c r="GU113" i="38"/>
  <c r="GY113" i="38"/>
  <c r="HC113" i="38"/>
  <c r="HG113" i="38"/>
  <c r="HK113" i="38"/>
  <c r="HO113" i="38"/>
  <c r="HS113" i="38"/>
  <c r="HW113" i="38"/>
  <c r="IA113" i="38"/>
  <c r="IE113" i="38"/>
  <c r="II113" i="38"/>
  <c r="IM113" i="38"/>
  <c r="IQ113" i="38"/>
  <c r="IU113" i="38"/>
  <c r="IY113" i="38"/>
  <c r="AH113" i="38"/>
  <c r="AI113" i="38"/>
  <c r="U113" i="38"/>
  <c r="AK113" i="38"/>
  <c r="AH113" i="41" s="1"/>
  <c r="AA113" i="38"/>
  <c r="S113" i="38"/>
  <c r="AD113" i="38"/>
  <c r="C113" i="41"/>
  <c r="AF113" i="38"/>
  <c r="X113" i="38"/>
  <c r="AG113" i="38"/>
  <c r="AE113" i="38"/>
  <c r="T113" i="38"/>
  <c r="V113" i="38"/>
  <c r="FP113" i="38" s="1"/>
  <c r="Y113" i="38"/>
  <c r="FO113" i="38" s="1"/>
  <c r="Q113" i="38"/>
  <c r="CH113" i="38"/>
  <c r="BT113" i="41" s="1"/>
  <c r="CD113" i="38"/>
  <c r="BN113" i="41" s="1"/>
  <c r="AJ113" i="38"/>
  <c r="W113" i="38"/>
  <c r="AB113" i="38"/>
  <c r="Z113" i="38"/>
  <c r="P113" i="38"/>
  <c r="CP113" i="38"/>
  <c r="BW113" i="41" s="1"/>
  <c r="CK113" i="38"/>
  <c r="BS113" i="41" s="1"/>
  <c r="BN114" i="7"/>
  <c r="CN114" i="7"/>
  <c r="DL114" i="7"/>
  <c r="DT114" i="7"/>
  <c r="K111" i="41"/>
  <c r="W113" i="41"/>
  <c r="V113" i="41"/>
  <c r="Z112" i="41"/>
  <c r="AD112" i="41" s="1"/>
  <c r="G111" i="41"/>
  <c r="Q112" i="41"/>
  <c r="U113" i="41"/>
  <c r="T114" i="7"/>
  <c r="BW114" i="7"/>
  <c r="BQ114" i="7"/>
  <c r="DX114" i="7"/>
  <c r="BA114" i="7"/>
  <c r="BG114" i="7"/>
  <c r="AZ114" i="7"/>
  <c r="U114" i="7"/>
  <c r="BR114" i="7"/>
  <c r="DW114" i="7"/>
  <c r="AK114" i="7"/>
  <c r="DH114" i="7"/>
  <c r="H111" i="41"/>
  <c r="L111" i="41"/>
  <c r="EV112" i="38"/>
  <c r="FG112" i="38" s="1"/>
  <c r="BD112" i="38"/>
  <c r="BE112" i="38" s="1"/>
  <c r="BD112" i="45"/>
  <c r="BE112" i="45" s="1"/>
  <c r="BD112" i="46"/>
  <c r="BE112" i="46" s="1"/>
  <c r="AB114" i="7"/>
  <c r="CA114" i="7"/>
  <c r="AA114" i="7"/>
  <c r="L114" i="7"/>
  <c r="J114" i="7"/>
  <c r="BY114" i="7"/>
  <c r="I114" i="6"/>
  <c r="Q114" i="6"/>
  <c r="R114" i="6"/>
  <c r="N114" i="6"/>
  <c r="L114" i="6"/>
  <c r="K114" i="6"/>
  <c r="H114" i="6"/>
  <c r="U114" i="6"/>
  <c r="O114" i="6"/>
  <c r="T114" i="6"/>
  <c r="P114" i="7"/>
  <c r="CS114" i="7"/>
  <c r="DI114" i="7"/>
  <c r="R114" i="7"/>
  <c r="BZ114" i="7"/>
  <c r="AY114" i="7"/>
  <c r="I114" i="7"/>
  <c r="CY114" i="7"/>
  <c r="CI114" i="7"/>
  <c r="Z114" i="7"/>
  <c r="CR114" i="7"/>
  <c r="M114" i="7"/>
  <c r="CE114" i="7"/>
  <c r="BH114" i="7"/>
  <c r="BI114" i="7"/>
  <c r="CQ114" i="7"/>
  <c r="DF114" i="7"/>
  <c r="FK114" i="46"/>
  <c r="JE114" i="46" s="1"/>
  <c r="L114" i="46"/>
  <c r="AO114" i="46"/>
  <c r="AU114" i="41" s="1"/>
  <c r="BC114" i="41" s="1"/>
  <c r="M114" i="46"/>
  <c r="AN114" i="46"/>
  <c r="AQ114" i="41" s="1"/>
  <c r="AY114" i="41" s="1"/>
  <c r="AC114" i="46"/>
  <c r="K114" i="46"/>
  <c r="EM114" i="38"/>
  <c r="CE114" i="41" s="1"/>
  <c r="AN114" i="38"/>
  <c r="AO114" i="41" s="1"/>
  <c r="AW114" i="41" s="1"/>
  <c r="BW114" i="38"/>
  <c r="EN114" i="38"/>
  <c r="BV114" i="38"/>
  <c r="BQ114" i="38"/>
  <c r="EL114" i="38"/>
  <c r="CF114" i="41" s="1"/>
  <c r="L114" i="38"/>
  <c r="FN114" i="38"/>
  <c r="JF114" i="38" s="1"/>
  <c r="BR114" i="38"/>
  <c r="BH114" i="41" s="1"/>
  <c r="BT114" i="38"/>
  <c r="BG114" i="41" s="1"/>
  <c r="AO114" i="38"/>
  <c r="K114" i="38"/>
  <c r="BU114" i="38"/>
  <c r="BS114" i="38"/>
  <c r="BX114" i="38"/>
  <c r="BJ114" i="41" s="1"/>
  <c r="M114" i="38"/>
  <c r="BK114" i="7"/>
  <c r="AI114" i="7"/>
  <c r="BI113" i="41"/>
  <c r="CD114" i="7"/>
  <c r="DM114" i="7"/>
  <c r="I111" i="41"/>
  <c r="AB112" i="41"/>
  <c r="AF112" i="41" s="1"/>
  <c r="S112" i="41"/>
  <c r="M111" i="41"/>
  <c r="DN114" i="7"/>
  <c r="DQ114" i="7"/>
  <c r="DG114" i="7"/>
  <c r="AD113" i="46"/>
  <c r="JE15" i="46" s="1"/>
  <c r="V113" i="46"/>
  <c r="FM113" i="46" s="1"/>
  <c r="W113" i="46"/>
  <c r="AI113" i="46"/>
  <c r="AB113" i="46"/>
  <c r="AJ113" i="46"/>
  <c r="E113" i="41"/>
  <c r="AF113" i="46"/>
  <c r="AA113" i="46"/>
  <c r="AK113" i="46"/>
  <c r="AJ113" i="41" s="1"/>
  <c r="Z113" i="46"/>
  <c r="U113" i="46"/>
  <c r="AH113" i="46"/>
  <c r="X113" i="46"/>
  <c r="S113" i="46"/>
  <c r="P113" i="46"/>
  <c r="AE113" i="46"/>
  <c r="T113" i="46"/>
  <c r="AG113" i="46"/>
  <c r="Y113" i="46"/>
  <c r="FL113" i="46" s="1"/>
  <c r="Q113" i="46"/>
  <c r="JB113" i="46"/>
  <c r="FP113" i="46"/>
  <c r="FT113" i="46"/>
  <c r="FX113" i="46"/>
  <c r="GB113" i="46"/>
  <c r="GF113" i="46"/>
  <c r="GJ113" i="46"/>
  <c r="GN113" i="46"/>
  <c r="GR113" i="46"/>
  <c r="GV113" i="46"/>
  <c r="GZ113" i="46"/>
  <c r="HD113" i="46"/>
  <c r="HH113" i="46"/>
  <c r="HL113" i="46"/>
  <c r="HP113" i="46"/>
  <c r="HT113" i="46"/>
  <c r="HX113" i="46"/>
  <c r="IB113" i="46"/>
  <c r="IF113" i="46"/>
  <c r="IJ113" i="46"/>
  <c r="IN113" i="46"/>
  <c r="IR113" i="46"/>
  <c r="IV113" i="46"/>
  <c r="IZ113" i="46"/>
  <c r="FQ113" i="46"/>
  <c r="FU113" i="46"/>
  <c r="FY113" i="46"/>
  <c r="GC113" i="46"/>
  <c r="GG113" i="46"/>
  <c r="GK113" i="46"/>
  <c r="GO113" i="46"/>
  <c r="GS113" i="46"/>
  <c r="GW113" i="46"/>
  <c r="HA113" i="46"/>
  <c r="HE113" i="46"/>
  <c r="HI113" i="46"/>
  <c r="HM113" i="46"/>
  <c r="HQ113" i="46"/>
  <c r="HU113" i="46"/>
  <c r="HY113" i="46"/>
  <c r="IC113" i="46"/>
  <c r="IG113" i="46"/>
  <c r="IK113" i="46"/>
  <c r="IO113" i="46"/>
  <c r="IS113" i="46"/>
  <c r="IW113" i="46"/>
  <c r="JA113" i="46"/>
  <c r="FR113" i="46"/>
  <c r="FV113" i="46"/>
  <c r="FZ113" i="46"/>
  <c r="GD113" i="46"/>
  <c r="GH113" i="46"/>
  <c r="GL113" i="46"/>
  <c r="GP113" i="46"/>
  <c r="GT113" i="46"/>
  <c r="GX113" i="46"/>
  <c r="HB113" i="46"/>
  <c r="HF113" i="46"/>
  <c r="HJ113" i="46"/>
  <c r="HN113" i="46"/>
  <c r="HR113" i="46"/>
  <c r="HV113" i="46"/>
  <c r="HZ113" i="46"/>
  <c r="ID113" i="46"/>
  <c r="IH113" i="46"/>
  <c r="IL113" i="46"/>
  <c r="IP113" i="46"/>
  <c r="IT113" i="46"/>
  <c r="IX113" i="46"/>
  <c r="FS113" i="46"/>
  <c r="FW113" i="46"/>
  <c r="GA113" i="46"/>
  <c r="GE113" i="46"/>
  <c r="GI113" i="46"/>
  <c r="GM113" i="46"/>
  <c r="GQ113" i="46"/>
  <c r="GU113" i="46"/>
  <c r="GY113" i="46"/>
  <c r="HC113" i="46"/>
  <c r="HG113" i="46"/>
  <c r="HK113" i="46"/>
  <c r="HO113" i="46"/>
  <c r="HS113" i="46"/>
  <c r="HW113" i="46"/>
  <c r="IA113" i="46"/>
  <c r="IE113" i="46"/>
  <c r="II113" i="46"/>
  <c r="IM113" i="46"/>
  <c r="IQ113" i="46"/>
  <c r="IU113" i="46"/>
  <c r="IY113" i="46"/>
  <c r="JC113" i="46"/>
  <c r="DY114" i="7"/>
  <c r="CO114" i="7"/>
  <c r="DV114" i="7"/>
  <c r="DP114" i="7"/>
  <c r="Y114" i="7"/>
  <c r="AH114" i="7"/>
  <c r="K114" i="7"/>
  <c r="CX114" i="7"/>
  <c r="DU114" i="7"/>
  <c r="CF114" i="7"/>
  <c r="CW114" i="7"/>
  <c r="DA114" i="7"/>
  <c r="BC114" i="7"/>
  <c r="JF92" i="38"/>
  <c r="JF72" i="38"/>
  <c r="JF59" i="38"/>
  <c r="JF46" i="38"/>
  <c r="JF45" i="38"/>
  <c r="JF95" i="38"/>
  <c r="JF83" i="38"/>
  <c r="JF70" i="38"/>
  <c r="JF43" i="38"/>
  <c r="JF37" i="38"/>
  <c r="JF93" i="38"/>
  <c r="JF80" i="38"/>
  <c r="JF67" i="38"/>
  <c r="JF54" i="38"/>
  <c r="JG18" i="38"/>
  <c r="JF32" i="38"/>
  <c r="JF76" i="38"/>
  <c r="JF63" i="38"/>
  <c r="JF50" i="38"/>
  <c r="JF26" i="38"/>
  <c r="JF96" i="38"/>
  <c r="JF99" i="38"/>
  <c r="JF101" i="38"/>
  <c r="JF103" i="38"/>
  <c r="JF89" i="38"/>
  <c r="JF82" i="38"/>
  <c r="JF57" i="38"/>
  <c r="JF38" i="38"/>
  <c r="JF22" i="38"/>
  <c r="JF85" i="38"/>
  <c r="JF78" i="38"/>
  <c r="JF53" i="38"/>
  <c r="JF44" i="38"/>
  <c r="JF29" i="38"/>
  <c r="JF91" i="38"/>
  <c r="JF79" i="38"/>
  <c r="JF66" i="38"/>
  <c r="JF39" i="38"/>
  <c r="JF30" i="38"/>
  <c r="JF90" i="38"/>
  <c r="JF75" i="38"/>
  <c r="JF62" i="38"/>
  <c r="JF42" i="38"/>
  <c r="JF21" i="38"/>
  <c r="JF97" i="38"/>
  <c r="JF104" i="38"/>
  <c r="JF87" i="38"/>
  <c r="JF65" i="38"/>
  <c r="JF52" i="38"/>
  <c r="JF35" i="38"/>
  <c r="JF8" i="38"/>
  <c r="JF86" i="38"/>
  <c r="JF61" i="38"/>
  <c r="JF48" i="38"/>
  <c r="JF34" i="38"/>
  <c r="JF41" i="38"/>
  <c r="JF94" i="38"/>
  <c r="JF74" i="38"/>
  <c r="JF49" i="38"/>
  <c r="JF40" i="38"/>
  <c r="JF25" i="38"/>
  <c r="JF88" i="38"/>
  <c r="JF69" i="38"/>
  <c r="JF56" i="38"/>
  <c r="JF36" i="38"/>
  <c r="JF5" i="38"/>
  <c r="JF98" i="38"/>
  <c r="JF100" i="38"/>
  <c r="JF73" i="38"/>
  <c r="JF60" i="38"/>
  <c r="JF47" i="38"/>
  <c r="JF27" i="38"/>
  <c r="JF28" i="38"/>
  <c r="JF84" i="38"/>
  <c r="JF71" i="38"/>
  <c r="JF58" i="38"/>
  <c r="JF23" i="38"/>
  <c r="JF20" i="38"/>
  <c r="JF81" i="38"/>
  <c r="JF68" i="38"/>
  <c r="JF55" i="38"/>
  <c r="JF33" i="38"/>
  <c r="JF6" i="38"/>
  <c r="JF77" i="38"/>
  <c r="JF64" i="38"/>
  <c r="JF51" i="38"/>
  <c r="JF31" i="38"/>
  <c r="JF24" i="38"/>
  <c r="JF102" i="38"/>
  <c r="JF105" i="38"/>
  <c r="JF109" i="38"/>
  <c r="JF111" i="38"/>
  <c r="JF107" i="38"/>
  <c r="JF110" i="38"/>
  <c r="JF15" i="38"/>
  <c r="JF108" i="38"/>
  <c r="JF106" i="38"/>
  <c r="JF112" i="38"/>
  <c r="JF113" i="38"/>
  <c r="JJ85" i="45"/>
  <c r="JJ75" i="45"/>
  <c r="JJ54" i="45"/>
  <c r="JJ46" i="45"/>
  <c r="JJ30" i="45"/>
  <c r="JJ98" i="45"/>
  <c r="JJ74" i="45"/>
  <c r="JJ64" i="45"/>
  <c r="JJ47" i="45"/>
  <c r="JJ28" i="45"/>
  <c r="JJ6" i="45"/>
  <c r="JJ89" i="45"/>
  <c r="JJ72" i="45"/>
  <c r="JJ58" i="45"/>
  <c r="JJ35" i="45"/>
  <c r="JK18" i="45"/>
  <c r="JJ70" i="45"/>
  <c r="JJ96" i="45"/>
  <c r="JJ37" i="45"/>
  <c r="JJ44" i="45"/>
  <c r="JJ76" i="45"/>
  <c r="JJ104" i="45"/>
  <c r="JJ101" i="45"/>
  <c r="JJ87" i="45"/>
  <c r="JJ62" i="45"/>
  <c r="JJ53" i="45"/>
  <c r="JJ45" i="45"/>
  <c r="JJ25" i="45"/>
  <c r="JJ90" i="45"/>
  <c r="JJ80" i="45"/>
  <c r="JJ55" i="45"/>
  <c r="JJ43" i="45"/>
  <c r="JJ27" i="45"/>
  <c r="JJ102" i="45"/>
  <c r="JJ84" i="45"/>
  <c r="JJ66" i="45"/>
  <c r="JJ57" i="45"/>
  <c r="JJ34" i="45"/>
  <c r="JJ29" i="45"/>
  <c r="JJ59" i="45"/>
  <c r="JJ79" i="45"/>
  <c r="JJ94" i="45"/>
  <c r="JJ24" i="45"/>
  <c r="JJ51" i="45"/>
  <c r="JJ100" i="45"/>
  <c r="JJ78" i="45"/>
  <c r="JJ68" i="45"/>
  <c r="JJ48" i="45"/>
  <c r="JJ32" i="45"/>
  <c r="JJ103" i="45"/>
  <c r="JJ92" i="45"/>
  <c r="JJ71" i="45"/>
  <c r="JJ50" i="45"/>
  <c r="JJ42" i="45"/>
  <c r="JJ26" i="45"/>
  <c r="JJ95" i="45"/>
  <c r="JJ82" i="45"/>
  <c r="JJ61" i="45"/>
  <c r="JJ52" i="45"/>
  <c r="JJ33" i="45"/>
  <c r="JJ99" i="45"/>
  <c r="JJ38" i="45"/>
  <c r="JJ65" i="45"/>
  <c r="JJ81" i="45"/>
  <c r="JJ39" i="45"/>
  <c r="JJ105" i="45"/>
  <c r="JJ91" i="45"/>
  <c r="JJ73" i="45"/>
  <c r="JJ63" i="45"/>
  <c r="JJ36" i="45"/>
  <c r="JJ31" i="45"/>
  <c r="JJ97" i="45"/>
  <c r="JJ83" i="45"/>
  <c r="JJ69" i="45"/>
  <c r="JJ49" i="45"/>
  <c r="JJ41" i="45"/>
  <c r="JJ21" i="45"/>
  <c r="JJ93" i="45"/>
  <c r="JJ77" i="45"/>
  <c r="JJ67" i="45"/>
  <c r="JJ40" i="45"/>
  <c r="JJ20" i="45"/>
  <c r="JJ88" i="45"/>
  <c r="JJ22" i="45"/>
  <c r="JJ56" i="45"/>
  <c r="JJ60" i="45"/>
  <c r="JJ86" i="45"/>
  <c r="JJ23" i="45"/>
  <c r="JJ107" i="45"/>
  <c r="JJ108" i="45"/>
  <c r="JJ112" i="45"/>
  <c r="JJ106" i="45"/>
  <c r="JJ109" i="45"/>
  <c r="JJ110" i="45"/>
  <c r="JJ111" i="45"/>
  <c r="JJ113" i="45"/>
  <c r="JE78" i="46"/>
  <c r="JE64" i="46"/>
  <c r="JE54" i="46"/>
  <c r="JE20" i="46"/>
  <c r="JE30" i="46"/>
  <c r="JE79" i="46"/>
  <c r="JE92" i="46"/>
  <c r="JE55" i="46"/>
  <c r="JE48" i="46"/>
  <c r="JF18" i="46"/>
  <c r="JE21" i="46"/>
  <c r="JE77" i="46"/>
  <c r="JE67" i="46"/>
  <c r="JE57" i="46"/>
  <c r="JE31" i="46"/>
  <c r="JE8" i="46"/>
  <c r="JE89" i="46"/>
  <c r="JE63" i="46"/>
  <c r="JE53" i="46"/>
  <c r="JE27" i="46"/>
  <c r="JE29" i="46"/>
  <c r="JE99" i="46"/>
  <c r="JE85" i="46"/>
  <c r="JE75" i="46"/>
  <c r="JE65" i="46"/>
  <c r="JE39" i="46"/>
  <c r="JE41" i="46"/>
  <c r="JE90" i="46"/>
  <c r="JE76" i="46"/>
  <c r="JE66" i="46"/>
  <c r="JE32" i="46"/>
  <c r="JE42" i="46"/>
  <c r="JE91" i="46"/>
  <c r="JE88" i="46"/>
  <c r="JE51" i="46"/>
  <c r="JE44" i="46"/>
  <c r="JE38" i="46"/>
  <c r="JE87" i="46"/>
  <c r="JE84" i="46"/>
  <c r="JE74" i="46"/>
  <c r="JE40" i="46"/>
  <c r="JE5" i="46"/>
  <c r="JE103" i="46"/>
  <c r="JE104" i="46"/>
  <c r="JE105" i="46"/>
  <c r="JE83" i="46"/>
  <c r="JE96" i="46"/>
  <c r="JE59" i="46"/>
  <c r="JE49" i="46"/>
  <c r="JE23" i="46"/>
  <c r="JE25" i="46"/>
  <c r="JE97" i="46"/>
  <c r="JE60" i="46"/>
  <c r="JE50" i="46"/>
  <c r="JE6" i="46"/>
  <c r="JE26" i="46"/>
  <c r="JE86" i="46"/>
  <c r="JE72" i="46"/>
  <c r="JE62" i="46"/>
  <c r="JE28" i="46"/>
  <c r="JE22" i="46"/>
  <c r="JE98" i="46"/>
  <c r="JE68" i="46"/>
  <c r="JE58" i="46"/>
  <c r="JE24" i="46"/>
  <c r="JE34" i="46"/>
  <c r="JE100" i="46"/>
  <c r="JE101" i="46"/>
  <c r="JE102" i="46"/>
  <c r="JE94" i="46"/>
  <c r="JE80" i="46"/>
  <c r="JE70" i="46"/>
  <c r="JE36" i="46"/>
  <c r="JE46" i="46"/>
  <c r="JE95" i="46"/>
  <c r="JE81" i="46"/>
  <c r="JE71" i="46"/>
  <c r="JE61" i="46"/>
  <c r="JE35" i="46"/>
  <c r="JE37" i="46"/>
  <c r="JE93" i="46"/>
  <c r="JE56" i="46"/>
  <c r="JE73" i="46"/>
  <c r="JE47" i="46"/>
  <c r="JE33" i="46"/>
  <c r="JE82" i="46"/>
  <c r="JE52" i="46"/>
  <c r="JE69" i="46"/>
  <c r="JE43" i="46"/>
  <c r="JE45" i="46"/>
  <c r="JE113" i="46"/>
  <c r="JE106" i="46"/>
  <c r="JE107" i="46"/>
  <c r="JE109" i="46"/>
  <c r="JE110" i="46"/>
  <c r="JE112" i="46"/>
  <c r="JE108" i="46"/>
  <c r="JE111" i="46"/>
  <c r="CW115" i="38" l="1"/>
  <c r="DB115" i="38" s="1"/>
  <c r="CX115" i="38"/>
  <c r="DC115" i="38" s="1"/>
  <c r="CZ115" i="38"/>
  <c r="DE115" i="38" s="1"/>
  <c r="DA115" i="38"/>
  <c r="CY115" i="38"/>
  <c r="DD115" i="38" s="1"/>
  <c r="O115" i="38"/>
  <c r="R115" i="38" s="1"/>
  <c r="AS114" i="41"/>
  <c r="BA114" i="41" s="1"/>
  <c r="AS115" i="4"/>
  <c r="AO115" i="4"/>
  <c r="AQ115" i="4"/>
  <c r="AT115" i="4"/>
  <c r="AP115" i="4"/>
  <c r="AR115" i="4"/>
  <c r="AL112" i="41"/>
  <c r="EZ114" i="7"/>
  <c r="I111" i="46"/>
  <c r="J111" i="46" s="1"/>
  <c r="J111" i="38"/>
  <c r="FH114" i="7"/>
  <c r="FP114" i="7"/>
  <c r="EM115" i="7"/>
  <c r="EH115" i="7"/>
  <c r="FO115" i="7"/>
  <c r="EX115" i="7"/>
  <c r="EG115" i="7"/>
  <c r="EQ115" i="7"/>
  <c r="ED115" i="7"/>
  <c r="FK115" i="7"/>
  <c r="EU115" i="7"/>
  <c r="FC115" i="7"/>
  <c r="EV115" i="7"/>
  <c r="FG115" i="7"/>
  <c r="FM115" i="7"/>
  <c r="EI115" i="7"/>
  <c r="ET115" i="7"/>
  <c r="EZ115" i="7" s="1"/>
  <c r="FN115" i="7"/>
  <c r="EP115" i="7"/>
  <c r="EE115" i="7"/>
  <c r="EN115" i="7"/>
  <c r="FJ115" i="7"/>
  <c r="FP115" i="7" s="1"/>
  <c r="FB115" i="7"/>
  <c r="EF115" i="7"/>
  <c r="EL115" i="7"/>
  <c r="ER115" i="7" s="1"/>
  <c r="FD115" i="7"/>
  <c r="FE115" i="7"/>
  <c r="EY115" i="7"/>
  <c r="EW115" i="7"/>
  <c r="EO115" i="7"/>
  <c r="FL115" i="7"/>
  <c r="FI113" i="38"/>
  <c r="FH113" i="38"/>
  <c r="Q115" i="7"/>
  <c r="AK115" i="7"/>
  <c r="AZ115" i="7"/>
  <c r="BQ115" i="7"/>
  <c r="CQ114" i="38"/>
  <c r="BX114" i="41" s="1"/>
  <c r="AC114" i="38"/>
  <c r="Q109" i="41"/>
  <c r="Q108" i="41" s="1"/>
  <c r="Q107" i="41" s="1"/>
  <c r="Q106" i="41" s="1"/>
  <c r="Q105" i="41" s="1"/>
  <c r="Q104" i="41" s="1"/>
  <c r="Q103" i="41" s="1"/>
  <c r="Q102" i="41" s="1"/>
  <c r="Q101" i="41" s="1"/>
  <c r="Q100" i="41" s="1"/>
  <c r="Q99" i="41" s="1"/>
  <c r="Q98" i="41" s="1"/>
  <c r="Q97" i="41" s="1"/>
  <c r="Q96" i="41" s="1"/>
  <c r="Q95" i="41" s="1"/>
  <c r="Q94" i="41" s="1"/>
  <c r="Q93" i="41" s="1"/>
  <c r="Q92" i="41" s="1"/>
  <c r="Q91" i="41" s="1"/>
  <c r="Q90" i="41" s="1"/>
  <c r="Q89" i="41" s="1"/>
  <c r="Q88" i="41" s="1"/>
  <c r="Q87" i="41" s="1"/>
  <c r="Q86" i="41" s="1"/>
  <c r="Q85" i="41" s="1"/>
  <c r="Q84" i="41" s="1"/>
  <c r="Q83" i="41" s="1"/>
  <c r="Q82" i="41" s="1"/>
  <c r="Q81" i="41" s="1"/>
  <c r="Q80" i="41" s="1"/>
  <c r="Q79" i="41" s="1"/>
  <c r="Q78" i="41" s="1"/>
  <c r="Q77" i="41" s="1"/>
  <c r="Q76" i="41" s="1"/>
  <c r="Q75" i="41" s="1"/>
  <c r="Q74" i="41" s="1"/>
  <c r="Q73" i="41" s="1"/>
  <c r="Q72" i="41" s="1"/>
  <c r="Q71" i="41" s="1"/>
  <c r="Q70" i="41" s="1"/>
  <c r="Q69" i="41" s="1"/>
  <c r="Q68" i="41" s="1"/>
  <c r="Q67" i="41" s="1"/>
  <c r="Q66" i="41" s="1"/>
  <c r="Q65" i="41" s="1"/>
  <c r="Q64" i="41" s="1"/>
  <c r="Q63" i="41" s="1"/>
  <c r="Q62" i="41" s="1"/>
  <c r="Q61" i="41" s="1"/>
  <c r="Q60" i="41" s="1"/>
  <c r="Q59" i="41" s="1"/>
  <c r="Q58" i="41" s="1"/>
  <c r="Q57" i="41" s="1"/>
  <c r="Q56" i="41" s="1"/>
  <c r="Q55" i="41" s="1"/>
  <c r="Q54" i="41" s="1"/>
  <c r="Q53" i="41" s="1"/>
  <c r="Q52" i="41" s="1"/>
  <c r="Q51" i="41" s="1"/>
  <c r="Q50" i="41" s="1"/>
  <c r="Q49" i="41" s="1"/>
  <c r="Q48" i="41" s="1"/>
  <c r="Q47" i="41" s="1"/>
  <c r="Q46" i="41" s="1"/>
  <c r="Q45" i="41" s="1"/>
  <c r="Q44" i="41" s="1"/>
  <c r="Q43" i="41" s="1"/>
  <c r="Q42" i="41" s="1"/>
  <c r="Q41" i="41" s="1"/>
  <c r="Q40" i="41" s="1"/>
  <c r="Q39" i="41" s="1"/>
  <c r="Q38" i="41" s="1"/>
  <c r="Q37" i="41" s="1"/>
  <c r="Q36" i="41" s="1"/>
  <c r="Q35" i="41" s="1"/>
  <c r="Q34" i="41" s="1"/>
  <c r="Q33" i="41" s="1"/>
  <c r="Q32" i="41" s="1"/>
  <c r="Q31" i="41" s="1"/>
  <c r="Q30" i="41" s="1"/>
  <c r="Q29" i="41" s="1"/>
  <c r="Q28" i="41" s="1"/>
  <c r="Q27" i="41" s="1"/>
  <c r="Q26" i="41" s="1"/>
  <c r="Q25" i="41" s="1"/>
  <c r="Q24" i="41" s="1"/>
  <c r="Q23" i="41" s="1"/>
  <c r="Q22" i="41" s="1"/>
  <c r="Q21" i="41" s="1"/>
  <c r="Q20" i="41" s="1"/>
  <c r="BU102" i="38"/>
  <c r="BV102" i="38" s="1"/>
  <c r="W102" i="38"/>
  <c r="U103" i="41"/>
  <c r="T103" i="38"/>
  <c r="Z110" i="41"/>
  <c r="AD110" i="41" s="1"/>
  <c r="CO110" i="38"/>
  <c r="BV110" i="41" s="1"/>
  <c r="CI110" i="38"/>
  <c r="BQ110" i="41" s="1"/>
  <c r="W101" i="41"/>
  <c r="T101" i="46"/>
  <c r="W101" i="46" s="1"/>
  <c r="T101" i="45"/>
  <c r="V101" i="41"/>
  <c r="AV112" i="45"/>
  <c r="AW112" i="45" s="1"/>
  <c r="F112" i="45" s="1"/>
  <c r="CF115" i="7"/>
  <c r="AH115" i="7"/>
  <c r="CO115" i="7"/>
  <c r="DG115" i="7"/>
  <c r="BK115" i="7"/>
  <c r="BI115" i="7"/>
  <c r="CR115" i="7"/>
  <c r="I115" i="7"/>
  <c r="AV112" i="38"/>
  <c r="AW112" i="38" s="1"/>
  <c r="F112" i="38" s="1"/>
  <c r="S109" i="41"/>
  <c r="S108" i="41" s="1"/>
  <c r="S107" i="41" s="1"/>
  <c r="S106" i="41" s="1"/>
  <c r="S105" i="41" s="1"/>
  <c r="S104" i="41" s="1"/>
  <c r="S103" i="41" s="1"/>
  <c r="S102" i="41" s="1"/>
  <c r="S101" i="41" s="1"/>
  <c r="S100" i="41" s="1"/>
  <c r="S99" i="41" s="1"/>
  <c r="S98" i="41" s="1"/>
  <c r="S97" i="41" s="1"/>
  <c r="S96" i="41" s="1"/>
  <c r="S95" i="41" s="1"/>
  <c r="S94" i="41" s="1"/>
  <c r="S93" i="41" s="1"/>
  <c r="S92" i="41" s="1"/>
  <c r="S91" i="41" s="1"/>
  <c r="S90" i="41" s="1"/>
  <c r="S89" i="41" s="1"/>
  <c r="S88" i="41" s="1"/>
  <c r="S87" i="41" s="1"/>
  <c r="S86" i="41" s="1"/>
  <c r="S85" i="41" s="1"/>
  <c r="S84" i="41" s="1"/>
  <c r="S83" i="41" s="1"/>
  <c r="S82" i="41" s="1"/>
  <c r="S81" i="41" s="1"/>
  <c r="S80" i="41" s="1"/>
  <c r="S79" i="41" s="1"/>
  <c r="S78" i="41" s="1"/>
  <c r="S77" i="41" s="1"/>
  <c r="S76" i="41" s="1"/>
  <c r="S75" i="41" s="1"/>
  <c r="S74" i="41" s="1"/>
  <c r="S73" i="41" s="1"/>
  <c r="S72" i="41" s="1"/>
  <c r="S71" i="41" s="1"/>
  <c r="S70" i="41" s="1"/>
  <c r="S69" i="41" s="1"/>
  <c r="S68" i="41" s="1"/>
  <c r="S67" i="41" s="1"/>
  <c r="S66" i="41" s="1"/>
  <c r="S65" i="41" s="1"/>
  <c r="S64" i="41" s="1"/>
  <c r="S63" i="41" s="1"/>
  <c r="S62" i="41" s="1"/>
  <c r="S61" i="41" s="1"/>
  <c r="S60" i="41" s="1"/>
  <c r="S59" i="41" s="1"/>
  <c r="S58" i="41" s="1"/>
  <c r="S57" i="41" s="1"/>
  <c r="S56" i="41" s="1"/>
  <c r="S55" i="41" s="1"/>
  <c r="S54" i="41" s="1"/>
  <c r="S53" i="41" s="1"/>
  <c r="S52" i="41" s="1"/>
  <c r="S51" i="41" s="1"/>
  <c r="S50" i="41" s="1"/>
  <c r="S49" i="41" s="1"/>
  <c r="S48" i="41" s="1"/>
  <c r="S47" i="41" s="1"/>
  <c r="S46" i="41" s="1"/>
  <c r="S45" i="41" s="1"/>
  <c r="S44" i="41" s="1"/>
  <c r="S43" i="41" s="1"/>
  <c r="S42" i="41" s="1"/>
  <c r="S41" i="41" s="1"/>
  <c r="S40" i="41" s="1"/>
  <c r="S39" i="41" s="1"/>
  <c r="S38" i="41" s="1"/>
  <c r="S37" i="41" s="1"/>
  <c r="S36" i="41" s="1"/>
  <c r="S35" i="41" s="1"/>
  <c r="S34" i="41" s="1"/>
  <c r="S33" i="41" s="1"/>
  <c r="S32" i="41" s="1"/>
  <c r="S31" i="41" s="1"/>
  <c r="S30" i="41" s="1"/>
  <c r="S29" i="41" s="1"/>
  <c r="S28" i="41" s="1"/>
  <c r="S27" i="41" s="1"/>
  <c r="S26" i="41" s="1"/>
  <c r="S25" i="41" s="1"/>
  <c r="S24" i="41" s="1"/>
  <c r="S23" i="41" s="1"/>
  <c r="S22" i="41" s="1"/>
  <c r="S21" i="41" s="1"/>
  <c r="S20" i="41" s="1"/>
  <c r="AZ113" i="45"/>
  <c r="BF112" i="46"/>
  <c r="BG112" i="46" s="1"/>
  <c r="H112" i="46" s="1"/>
  <c r="BA112" i="38"/>
  <c r="BB112" i="38" s="1"/>
  <c r="G112" i="38" s="1"/>
  <c r="BF112" i="38"/>
  <c r="BG112" i="38" s="1"/>
  <c r="H112" i="38" s="1"/>
  <c r="BA112" i="45"/>
  <c r="BB112" i="45" s="1"/>
  <c r="G112" i="45" s="1"/>
  <c r="AV112" i="46"/>
  <c r="AW112" i="46" s="1"/>
  <c r="F112" i="46" s="1"/>
  <c r="DP115" i="7"/>
  <c r="DN115" i="7"/>
  <c r="CE115" i="7"/>
  <c r="DI115" i="7"/>
  <c r="CA115" i="7"/>
  <c r="DA115" i="7"/>
  <c r="CX115" i="7"/>
  <c r="DF115" i="7"/>
  <c r="CI115" i="7"/>
  <c r="BZ115" i="7"/>
  <c r="BY115" i="7"/>
  <c r="BA112" i="46"/>
  <c r="BB112" i="46" s="1"/>
  <c r="G112" i="46" s="1"/>
  <c r="AU113" i="38"/>
  <c r="AZ113" i="38"/>
  <c r="AS114" i="38"/>
  <c r="AS114" i="46"/>
  <c r="AS114" i="45"/>
  <c r="L115" i="7"/>
  <c r="FC115" i="38" s="1"/>
  <c r="FD115" i="38" s="1"/>
  <c r="FC114" i="38"/>
  <c r="FD114" i="38" s="1"/>
  <c r="BB115" i="7"/>
  <c r="AR113" i="38"/>
  <c r="AR113" i="45"/>
  <c r="AR113" i="46"/>
  <c r="AX114" i="38"/>
  <c r="AX114" i="45"/>
  <c r="AX114" i="46"/>
  <c r="CW115" i="7"/>
  <c r="K115" i="7"/>
  <c r="EW114" i="38"/>
  <c r="DV115" i="7"/>
  <c r="DM115" i="7"/>
  <c r="AI115" i="7"/>
  <c r="BH115" i="7"/>
  <c r="Z115" i="7"/>
  <c r="AY115" i="7"/>
  <c r="R115" i="7"/>
  <c r="CS115" i="7"/>
  <c r="AA115" i="7"/>
  <c r="BF112" i="45"/>
  <c r="BG112" i="45" s="1"/>
  <c r="H112" i="45" s="1"/>
  <c r="I112" i="45" s="1"/>
  <c r="DW115" i="7"/>
  <c r="BG115" i="7"/>
  <c r="BW115" i="7"/>
  <c r="AZ113" i="46"/>
  <c r="AY114" i="45"/>
  <c r="AY114" i="46"/>
  <c r="AY114" i="38"/>
  <c r="AU113" i="45"/>
  <c r="AT114" i="38"/>
  <c r="AT114" i="45"/>
  <c r="AT114" i="46"/>
  <c r="BR115" i="7"/>
  <c r="BA115" i="7"/>
  <c r="T115" i="7"/>
  <c r="AD115" i="4"/>
  <c r="P115" i="4"/>
  <c r="Q115" i="4"/>
  <c r="AE115" i="4"/>
  <c r="AG115" i="7"/>
  <c r="BC115" i="7"/>
  <c r="DU115" i="7"/>
  <c r="Y115" i="7"/>
  <c r="DY115" i="7"/>
  <c r="DQ115" i="7"/>
  <c r="CQ115" i="7"/>
  <c r="M115" i="7"/>
  <c r="EX115" i="38" s="1"/>
  <c r="EY115" i="38" s="1"/>
  <c r="EX114" i="38"/>
  <c r="EY114" i="38" s="1"/>
  <c r="CY115" i="7"/>
  <c r="J115" i="7"/>
  <c r="FB114" i="38"/>
  <c r="AB115" i="7"/>
  <c r="DH115" i="7"/>
  <c r="U115" i="7"/>
  <c r="DX115" i="7"/>
  <c r="S115" i="7"/>
  <c r="AU113" i="46"/>
  <c r="CP114" i="38"/>
  <c r="BW114" i="41" s="1"/>
  <c r="BI114" i="41"/>
  <c r="AB113" i="41"/>
  <c r="AF113" i="41" s="1"/>
  <c r="M112" i="41"/>
  <c r="I112" i="41"/>
  <c r="S113" i="41"/>
  <c r="CD115" i="7"/>
  <c r="P115" i="7"/>
  <c r="BN115" i="7"/>
  <c r="BF115" i="7"/>
  <c r="M115" i="45"/>
  <c r="K115" i="45"/>
  <c r="L115" i="45"/>
  <c r="FK115" i="45"/>
  <c r="JK115" i="45" s="1"/>
  <c r="X115" i="4"/>
  <c r="AB115" i="4"/>
  <c r="G115" i="4"/>
  <c r="N115" i="4"/>
  <c r="J115" i="4"/>
  <c r="U115" i="4"/>
  <c r="K115" i="4"/>
  <c r="D115" i="4"/>
  <c r="Y115" i="4"/>
  <c r="M115" i="4"/>
  <c r="C115" i="4"/>
  <c r="H115" i="4"/>
  <c r="AA115" i="4"/>
  <c r="V115" i="4"/>
  <c r="CV115" i="7"/>
  <c r="DE115" i="7"/>
  <c r="CG115" i="7"/>
  <c r="CZ115" i="7"/>
  <c r="AX115" i="7"/>
  <c r="L112" i="41"/>
  <c r="H112" i="41"/>
  <c r="AA114" i="46"/>
  <c r="AB114" i="46"/>
  <c r="AD114" i="46"/>
  <c r="JF15" i="46" s="1"/>
  <c r="P114" i="46"/>
  <c r="AI114" i="46"/>
  <c r="Z114" i="46"/>
  <c r="AG114" i="46"/>
  <c r="V114" i="46"/>
  <c r="FM114" i="46" s="1"/>
  <c r="AE114" i="46"/>
  <c r="AF114" i="46"/>
  <c r="W114" i="46"/>
  <c r="AK114" i="46"/>
  <c r="AJ114" i="41" s="1"/>
  <c r="AJ114" i="46"/>
  <c r="X114" i="46"/>
  <c r="U114" i="46"/>
  <c r="E114" i="41"/>
  <c r="Y114" i="46"/>
  <c r="FL114" i="46" s="1"/>
  <c r="AH114" i="46"/>
  <c r="S114" i="46"/>
  <c r="T114" i="46"/>
  <c r="Q114" i="46"/>
  <c r="A116" i="46"/>
  <c r="O116" i="46" s="1"/>
  <c r="R116" i="46" s="1"/>
  <c r="A116" i="41"/>
  <c r="A117" i="55"/>
  <c r="A116" i="7"/>
  <c r="FF116" i="7" s="1"/>
  <c r="A116" i="38"/>
  <c r="CV116" i="38" s="1"/>
  <c r="A116" i="6"/>
  <c r="A116" i="4"/>
  <c r="A116" i="45"/>
  <c r="O116" i="45" s="1"/>
  <c r="R116" i="45" s="1"/>
  <c r="N115" i="6"/>
  <c r="H115" i="6"/>
  <c r="K115" i="6"/>
  <c r="T115" i="6"/>
  <c r="U115" i="6"/>
  <c r="Q115" i="6"/>
  <c r="R115" i="6"/>
  <c r="O115" i="6"/>
  <c r="I115" i="6"/>
  <c r="L115" i="6"/>
  <c r="BD113" i="45"/>
  <c r="BE113" i="45" s="1"/>
  <c r="BD113" i="38"/>
  <c r="BE113" i="38" s="1"/>
  <c r="BD113" i="46"/>
  <c r="BE113" i="46" s="1"/>
  <c r="EV113" i="38"/>
  <c r="FG113" i="38" s="1"/>
  <c r="AJ115" i="7"/>
  <c r="AC115" i="7"/>
  <c r="AC116" i="7" s="1"/>
  <c r="DD115" i="7"/>
  <c r="BS115" i="7"/>
  <c r="D114" i="41"/>
  <c r="Q114" i="45"/>
  <c r="P114" i="45"/>
  <c r="S114" i="45"/>
  <c r="JH114" i="45"/>
  <c r="JI114" i="45"/>
  <c r="JG114" i="45"/>
  <c r="H115" i="7"/>
  <c r="N115" i="7" s="1"/>
  <c r="CI114" i="38"/>
  <c r="BQ114" i="41" s="1"/>
  <c r="CO114" i="38"/>
  <c r="BV114" i="41" s="1"/>
  <c r="CJ114" i="38"/>
  <c r="BR114" i="41" s="1"/>
  <c r="CN114" i="38"/>
  <c r="BY114" i="41" s="1"/>
  <c r="T114" i="38"/>
  <c r="CR114" i="38"/>
  <c r="CE114" i="38"/>
  <c r="BO114" i="41" s="1"/>
  <c r="CL114" i="38"/>
  <c r="AK114" i="38"/>
  <c r="AH114" i="41" s="1"/>
  <c r="CH114" i="38"/>
  <c r="BT114" i="41" s="1"/>
  <c r="CK114" i="38"/>
  <c r="BS114" i="41" s="1"/>
  <c r="CF114" i="38"/>
  <c r="AG114" i="38"/>
  <c r="U114" i="38"/>
  <c r="AB114" i="38"/>
  <c r="AJ114" i="38"/>
  <c r="AE114" i="38"/>
  <c r="C114" i="41"/>
  <c r="AA114" i="38"/>
  <c r="AD114" i="38"/>
  <c r="CD114" i="38"/>
  <c r="BN114" i="41" s="1"/>
  <c r="S114" i="38"/>
  <c r="CB114" i="38"/>
  <c r="BL114" i="41" s="1"/>
  <c r="CC114" i="38"/>
  <c r="BM114" i="41" s="1"/>
  <c r="Q114" i="38"/>
  <c r="Y114" i="38"/>
  <c r="FO114" i="38" s="1"/>
  <c r="V114" i="38"/>
  <c r="FP114" i="38" s="1"/>
  <c r="W114" i="38"/>
  <c r="P114" i="38"/>
  <c r="AH114" i="38"/>
  <c r="X114" i="38"/>
  <c r="Z114" i="38"/>
  <c r="AI114" i="38"/>
  <c r="AF114" i="38"/>
  <c r="JC114" i="46"/>
  <c r="FR114" i="46"/>
  <c r="FV114" i="46"/>
  <c r="FZ114" i="46"/>
  <c r="GD114" i="46"/>
  <c r="GH114" i="46"/>
  <c r="GL114" i="46"/>
  <c r="GP114" i="46"/>
  <c r="GT114" i="46"/>
  <c r="GX114" i="46"/>
  <c r="HB114" i="46"/>
  <c r="HF114" i="46"/>
  <c r="HJ114" i="46"/>
  <c r="HN114" i="46"/>
  <c r="HR114" i="46"/>
  <c r="HV114" i="46"/>
  <c r="HZ114" i="46"/>
  <c r="ID114" i="46"/>
  <c r="IH114" i="46"/>
  <c r="IL114" i="46"/>
  <c r="IP114" i="46"/>
  <c r="IT114" i="46"/>
  <c r="IX114" i="46"/>
  <c r="JB114" i="46"/>
  <c r="FS114" i="46"/>
  <c r="FW114" i="46"/>
  <c r="GA114" i="46"/>
  <c r="GE114" i="46"/>
  <c r="GI114" i="46"/>
  <c r="GM114" i="46"/>
  <c r="GQ114" i="46"/>
  <c r="GU114" i="46"/>
  <c r="GY114" i="46"/>
  <c r="HC114" i="46"/>
  <c r="HG114" i="46"/>
  <c r="HK114" i="46"/>
  <c r="HO114" i="46"/>
  <c r="HS114" i="46"/>
  <c r="HW114" i="46"/>
  <c r="IA114" i="46"/>
  <c r="IE114" i="46"/>
  <c r="II114" i="46"/>
  <c r="IM114" i="46"/>
  <c r="IQ114" i="46"/>
  <c r="IU114" i="46"/>
  <c r="IY114" i="46"/>
  <c r="FP114" i="46"/>
  <c r="FT114" i="46"/>
  <c r="FX114" i="46"/>
  <c r="GB114" i="46"/>
  <c r="GF114" i="46"/>
  <c r="GJ114" i="46"/>
  <c r="GN114" i="46"/>
  <c r="GR114" i="46"/>
  <c r="GV114" i="46"/>
  <c r="GZ114" i="46"/>
  <c r="HD114" i="46"/>
  <c r="HH114" i="46"/>
  <c r="HL114" i="46"/>
  <c r="HP114" i="46"/>
  <c r="HT114" i="46"/>
  <c r="HX114" i="46"/>
  <c r="IB114" i="46"/>
  <c r="IF114" i="46"/>
  <c r="IJ114" i="46"/>
  <c r="IN114" i="46"/>
  <c r="IR114" i="46"/>
  <c r="IV114" i="46"/>
  <c r="IZ114" i="46"/>
  <c r="FQ114" i="46"/>
  <c r="FU114" i="46"/>
  <c r="FY114" i="46"/>
  <c r="GC114" i="46"/>
  <c r="GG114" i="46"/>
  <c r="GK114" i="46"/>
  <c r="GO114" i="46"/>
  <c r="GS114" i="46"/>
  <c r="GW114" i="46"/>
  <c r="HA114" i="46"/>
  <c r="HE114" i="46"/>
  <c r="HI114" i="46"/>
  <c r="HM114" i="46"/>
  <c r="HQ114" i="46"/>
  <c r="HU114" i="46"/>
  <c r="HY114" i="46"/>
  <c r="IC114" i="46"/>
  <c r="IG114" i="46"/>
  <c r="IK114" i="46"/>
  <c r="IO114" i="46"/>
  <c r="IS114" i="46"/>
  <c r="IW114" i="46"/>
  <c r="JA114" i="46"/>
  <c r="JD114" i="46"/>
  <c r="BC114" i="46"/>
  <c r="BC114" i="38"/>
  <c r="BC114" i="45"/>
  <c r="DT115" i="7"/>
  <c r="CN115" i="7"/>
  <c r="CH115" i="7"/>
  <c r="BX115" i="7"/>
  <c r="BO115" i="7"/>
  <c r="BP115" i="7"/>
  <c r="DO115" i="7"/>
  <c r="BJ115" i="7"/>
  <c r="X115" i="7"/>
  <c r="AD115" i="7" s="1"/>
  <c r="JD114" i="38"/>
  <c r="FT114" i="38"/>
  <c r="FX114" i="38"/>
  <c r="CY114" i="41" s="1"/>
  <c r="GB114" i="38"/>
  <c r="GF114" i="38"/>
  <c r="GJ114" i="38"/>
  <c r="GN114" i="38"/>
  <c r="GR114" i="38"/>
  <c r="GV114" i="38"/>
  <c r="GZ114" i="38"/>
  <c r="HD114" i="38"/>
  <c r="HH114" i="38"/>
  <c r="HL114" i="38"/>
  <c r="HP114" i="38"/>
  <c r="HT114" i="38"/>
  <c r="HX114" i="38"/>
  <c r="IB114" i="38"/>
  <c r="IF114" i="38"/>
  <c r="IJ114" i="38"/>
  <c r="IN114" i="38"/>
  <c r="IR114" i="38"/>
  <c r="IV114" i="38"/>
  <c r="IZ114" i="38"/>
  <c r="FU114" i="38"/>
  <c r="FY114" i="38"/>
  <c r="GC114" i="38"/>
  <c r="GG114" i="38"/>
  <c r="GK114" i="38"/>
  <c r="GO114" i="38"/>
  <c r="GS114" i="38"/>
  <c r="GW114" i="38"/>
  <c r="HA114" i="38"/>
  <c r="HE114" i="38"/>
  <c r="HI114" i="38"/>
  <c r="HM114" i="38"/>
  <c r="HQ114" i="38"/>
  <c r="HU114" i="38"/>
  <c r="HY114" i="38"/>
  <c r="IC114" i="38"/>
  <c r="IG114" i="38"/>
  <c r="IK114" i="38"/>
  <c r="IO114" i="38"/>
  <c r="IS114" i="38"/>
  <c r="IW114" i="38"/>
  <c r="JA114" i="38"/>
  <c r="CW114" i="41"/>
  <c r="FV114" i="38"/>
  <c r="FZ114" i="38"/>
  <c r="GD114" i="38"/>
  <c r="GH114" i="38"/>
  <c r="GL114" i="38"/>
  <c r="GP114" i="38"/>
  <c r="GT114" i="38"/>
  <c r="GX114" i="38"/>
  <c r="HB114" i="38"/>
  <c r="HF114" i="38"/>
  <c r="HJ114" i="38"/>
  <c r="HN114" i="38"/>
  <c r="HR114" i="38"/>
  <c r="HV114" i="38"/>
  <c r="HZ114" i="38"/>
  <c r="ID114" i="38"/>
  <c r="IH114" i="38"/>
  <c r="IL114" i="38"/>
  <c r="IP114" i="38"/>
  <c r="IT114" i="38"/>
  <c r="IX114" i="38"/>
  <c r="JB114" i="38"/>
  <c r="JE114" i="38"/>
  <c r="FS114" i="38"/>
  <c r="CX114" i="41" s="1"/>
  <c r="FW114" i="38"/>
  <c r="GA114" i="38"/>
  <c r="GE114" i="38"/>
  <c r="GI114" i="38"/>
  <c r="GM114" i="38"/>
  <c r="GQ114" i="38"/>
  <c r="GU114" i="38"/>
  <c r="GY114" i="38"/>
  <c r="HC114" i="38"/>
  <c r="HG114" i="38"/>
  <c r="HK114" i="38"/>
  <c r="HO114" i="38"/>
  <c r="HS114" i="38"/>
  <c r="HW114" i="38"/>
  <c r="IA114" i="38"/>
  <c r="IE114" i="38"/>
  <c r="II114" i="38"/>
  <c r="IM114" i="38"/>
  <c r="IQ114" i="38"/>
  <c r="IU114" i="38"/>
  <c r="IY114" i="38"/>
  <c r="JC114" i="38"/>
  <c r="DL115" i="7"/>
  <c r="K112" i="41"/>
  <c r="U114" i="41"/>
  <c r="V114" i="41"/>
  <c r="Z113" i="41"/>
  <c r="AD113" i="41" s="1"/>
  <c r="G112" i="41"/>
  <c r="Q113" i="41"/>
  <c r="W114" i="41"/>
  <c r="AO115" i="38"/>
  <c r="M115" i="38"/>
  <c r="BU115" i="38"/>
  <c r="EN115" i="38"/>
  <c r="BT115" i="38"/>
  <c r="BG115" i="41" s="1"/>
  <c r="K115" i="38"/>
  <c r="FN115" i="38"/>
  <c r="JG115" i="38" s="1"/>
  <c r="BQ115" i="38"/>
  <c r="EM115" i="38"/>
  <c r="CE115" i="41" s="1"/>
  <c r="EL115" i="38"/>
  <c r="CF115" i="41" s="1"/>
  <c r="BX115" i="38"/>
  <c r="BJ115" i="41" s="1"/>
  <c r="AN115" i="38"/>
  <c r="AO115" i="41" s="1"/>
  <c r="AW115" i="41" s="1"/>
  <c r="BW115" i="38"/>
  <c r="BS115" i="38"/>
  <c r="BV115" i="38"/>
  <c r="BR115" i="38"/>
  <c r="BH115" i="41" s="1"/>
  <c r="L115" i="38"/>
  <c r="AN115" i="46"/>
  <c r="AQ115" i="41" s="1"/>
  <c r="AY115" i="41" s="1"/>
  <c r="K115" i="46"/>
  <c r="FK115" i="46"/>
  <c r="JF115" i="46" s="1"/>
  <c r="M115" i="46"/>
  <c r="AC115" i="46"/>
  <c r="L115" i="46"/>
  <c r="AO115" i="46"/>
  <c r="AU115" i="41" s="1"/>
  <c r="BC115" i="41" s="1"/>
  <c r="CP115" i="7"/>
  <c r="BV115" i="7"/>
  <c r="AF115" i="7"/>
  <c r="JK92" i="45"/>
  <c r="JK83" i="45"/>
  <c r="JK61" i="45"/>
  <c r="JK46" i="45"/>
  <c r="JK30" i="45"/>
  <c r="JK105" i="45"/>
  <c r="JK88" i="45"/>
  <c r="JK79" i="45"/>
  <c r="JK58" i="45"/>
  <c r="JK42" i="45"/>
  <c r="JK26" i="45"/>
  <c r="JK100" i="45"/>
  <c r="JK82" i="45"/>
  <c r="JK64" i="45"/>
  <c r="JK56" i="45"/>
  <c r="JK33" i="45"/>
  <c r="JK98" i="45"/>
  <c r="JK36" i="45"/>
  <c r="JK39" i="45"/>
  <c r="JK75" i="45"/>
  <c r="JK104" i="45"/>
  <c r="JK37" i="45"/>
  <c r="JK102" i="45"/>
  <c r="JK93" i="45"/>
  <c r="JK69" i="45"/>
  <c r="JK57" i="45"/>
  <c r="JK45" i="45"/>
  <c r="JK25" i="45"/>
  <c r="JK101" i="45"/>
  <c r="JK91" i="45"/>
  <c r="JK65" i="45"/>
  <c r="JK53" i="45"/>
  <c r="JK41" i="45"/>
  <c r="JK21" i="45"/>
  <c r="JK94" i="45"/>
  <c r="JK73" i="45"/>
  <c r="JK59" i="45"/>
  <c r="JK51" i="45"/>
  <c r="JK31" i="45"/>
  <c r="JK77" i="45"/>
  <c r="JK89" i="45"/>
  <c r="JL18" i="45"/>
  <c r="JK54" i="45"/>
  <c r="JK87" i="45"/>
  <c r="JK32" i="45"/>
  <c r="JK95" i="45"/>
  <c r="JK78" i="45"/>
  <c r="JK60" i="45"/>
  <c r="JK52" i="45"/>
  <c r="JK44" i="45"/>
  <c r="JK24" i="45"/>
  <c r="JK99" i="45"/>
  <c r="JK81" i="45"/>
  <c r="JK67" i="45"/>
  <c r="JK48" i="45"/>
  <c r="JK40" i="45"/>
  <c r="JK20" i="45"/>
  <c r="JK85" i="45"/>
  <c r="JK86" i="45"/>
  <c r="JK62" i="45"/>
  <c r="JK35" i="45"/>
  <c r="JK29" i="45"/>
  <c r="JK63" i="45"/>
  <c r="JK72" i="45"/>
  <c r="JK38" i="45"/>
  <c r="JK68" i="45"/>
  <c r="JK97" i="45"/>
  <c r="JK80" i="45"/>
  <c r="JK74" i="45"/>
  <c r="JK47" i="45"/>
  <c r="JK27" i="45"/>
  <c r="JK6" i="45"/>
  <c r="JK90" i="45"/>
  <c r="JK76" i="45"/>
  <c r="JK70" i="45"/>
  <c r="JK43" i="45"/>
  <c r="JK23" i="45"/>
  <c r="JK103" i="45"/>
  <c r="JK96" i="45"/>
  <c r="JK71" i="45"/>
  <c r="JK50" i="45"/>
  <c r="JK34" i="45"/>
  <c r="JK28" i="45"/>
  <c r="JK55" i="45"/>
  <c r="JK66" i="45"/>
  <c r="JK84" i="45"/>
  <c r="JK22" i="45"/>
  <c r="JK49" i="45"/>
  <c r="JK107" i="45"/>
  <c r="JK108" i="45"/>
  <c r="JK112" i="45"/>
  <c r="JK106" i="45"/>
  <c r="JK109" i="45"/>
  <c r="JK110" i="45"/>
  <c r="JK111" i="45"/>
  <c r="JK113" i="45"/>
  <c r="JK114" i="45"/>
  <c r="JG86" i="38"/>
  <c r="JG68" i="38"/>
  <c r="JG55" i="38"/>
  <c r="JG39" i="38"/>
  <c r="JG6" i="38"/>
  <c r="JG88" i="38"/>
  <c r="JG81" i="38"/>
  <c r="JG56" i="38"/>
  <c r="JG41" i="38"/>
  <c r="JG28" i="38"/>
  <c r="JG87" i="38"/>
  <c r="JG77" i="38"/>
  <c r="JG52" i="38"/>
  <c r="JG37" i="38"/>
  <c r="JG24" i="38"/>
  <c r="JG94" i="38"/>
  <c r="JG74" i="38"/>
  <c r="JG65" i="38"/>
  <c r="JG38" i="38"/>
  <c r="JG36" i="38"/>
  <c r="JG102" i="38"/>
  <c r="JG105" i="38"/>
  <c r="JG76" i="38"/>
  <c r="JG67" i="38"/>
  <c r="JG54" i="38"/>
  <c r="JG26" i="38"/>
  <c r="JG34" i="38"/>
  <c r="JG89" i="38"/>
  <c r="JG64" i="38"/>
  <c r="JG51" i="38"/>
  <c r="JG35" i="38"/>
  <c r="JG33" i="38"/>
  <c r="JG84" i="38"/>
  <c r="JG60" i="38"/>
  <c r="JG47" i="38"/>
  <c r="JG40" i="38"/>
  <c r="JG31" i="38"/>
  <c r="JG93" i="38"/>
  <c r="JG73" i="38"/>
  <c r="JG48" i="38"/>
  <c r="JG43" i="38"/>
  <c r="JG20" i="38"/>
  <c r="JG99" i="38"/>
  <c r="JG101" i="38"/>
  <c r="JG103" i="38"/>
  <c r="JG92" i="38"/>
  <c r="JG75" i="38"/>
  <c r="JG66" i="38"/>
  <c r="JG53" i="38"/>
  <c r="JG21" i="38"/>
  <c r="JG5" i="38"/>
  <c r="JG72" i="38"/>
  <c r="JG63" i="38"/>
  <c r="JG50" i="38"/>
  <c r="JG22" i="38"/>
  <c r="JG27" i="38"/>
  <c r="JG83" i="38"/>
  <c r="JG59" i="38"/>
  <c r="JG46" i="38"/>
  <c r="JG29" i="38"/>
  <c r="JH18" i="38"/>
  <c r="JG80" i="38"/>
  <c r="JG71" i="38"/>
  <c r="JG58" i="38"/>
  <c r="JG30" i="38"/>
  <c r="JG23" i="38"/>
  <c r="JG97" i="38"/>
  <c r="JG104" i="38"/>
  <c r="JG90" i="38"/>
  <c r="JG85" i="38"/>
  <c r="JG61" i="38"/>
  <c r="JG45" i="38"/>
  <c r="JG32" i="38"/>
  <c r="JG95" i="38"/>
  <c r="JG82" i="38"/>
  <c r="JG62" i="38"/>
  <c r="JG49" i="38"/>
  <c r="JG8" i="38"/>
  <c r="JG91" i="38"/>
  <c r="JG78" i="38"/>
  <c r="JG69" i="38"/>
  <c r="JG42" i="38"/>
  <c r="JG44" i="38"/>
  <c r="JG96" i="38"/>
  <c r="JG79" i="38"/>
  <c r="JG70" i="38"/>
  <c r="JG57" i="38"/>
  <c r="JG25" i="38"/>
  <c r="JG98" i="38"/>
  <c r="JG100" i="38"/>
  <c r="JG106" i="38"/>
  <c r="JG15" i="38"/>
  <c r="JG112" i="38"/>
  <c r="JG113" i="38"/>
  <c r="JG109" i="38"/>
  <c r="JG111" i="38"/>
  <c r="JG107" i="38"/>
  <c r="JG110" i="38"/>
  <c r="JG108" i="38"/>
  <c r="JG114" i="38"/>
  <c r="JF89" i="46"/>
  <c r="JF59" i="46"/>
  <c r="JF76" i="46"/>
  <c r="JF5" i="46"/>
  <c r="JF50" i="46"/>
  <c r="JF85" i="46"/>
  <c r="JF71" i="46"/>
  <c r="JF57" i="46"/>
  <c r="JF23" i="46"/>
  <c r="JF25" i="46"/>
  <c r="JF98" i="46"/>
  <c r="JF92" i="46"/>
  <c r="JF51" i="46"/>
  <c r="JF68" i="46"/>
  <c r="JF42" i="46"/>
  <c r="JF44" i="46"/>
  <c r="JF93" i="46"/>
  <c r="JF79" i="46"/>
  <c r="JF65" i="46"/>
  <c r="JF31" i="46"/>
  <c r="JF8" i="46"/>
  <c r="JF84" i="46"/>
  <c r="JF70" i="46"/>
  <c r="JF60" i="46"/>
  <c r="JF34" i="46"/>
  <c r="JF36" i="46"/>
  <c r="JF96" i="46"/>
  <c r="JF55" i="46"/>
  <c r="JF72" i="46"/>
  <c r="JF46" i="46"/>
  <c r="JF48" i="46"/>
  <c r="JF82" i="46"/>
  <c r="JF99" i="46"/>
  <c r="JF62" i="46"/>
  <c r="JF52" i="46"/>
  <c r="JF26" i="46"/>
  <c r="JF28" i="46"/>
  <c r="JF77" i="46"/>
  <c r="JF63" i="46"/>
  <c r="JF49" i="46"/>
  <c r="JF38" i="46"/>
  <c r="JF40" i="46"/>
  <c r="JF91" i="46"/>
  <c r="JF54" i="46"/>
  <c r="JF43" i="46"/>
  <c r="JF45" i="46"/>
  <c r="JF20" i="46"/>
  <c r="JF80" i="46"/>
  <c r="JF66" i="46"/>
  <c r="JF56" i="46"/>
  <c r="JF30" i="46"/>
  <c r="JF32" i="46"/>
  <c r="JF97" i="46"/>
  <c r="JF83" i="46"/>
  <c r="JF69" i="46"/>
  <c r="JF35" i="46"/>
  <c r="JF37" i="46"/>
  <c r="JF94" i="46"/>
  <c r="JF88" i="46"/>
  <c r="JF74" i="46"/>
  <c r="JF64" i="46"/>
  <c r="JF22" i="46"/>
  <c r="JF24" i="46"/>
  <c r="JF103" i="46"/>
  <c r="JF104" i="46"/>
  <c r="JF105" i="46"/>
  <c r="JF90" i="46"/>
  <c r="JF75" i="46"/>
  <c r="JF61" i="46"/>
  <c r="JF27" i="46"/>
  <c r="JF29" i="46"/>
  <c r="JF86" i="46"/>
  <c r="JF87" i="46"/>
  <c r="JF73" i="46"/>
  <c r="JF39" i="46"/>
  <c r="JF41" i="46"/>
  <c r="JF6" i="46"/>
  <c r="JF81" i="46"/>
  <c r="JF67" i="46"/>
  <c r="JF53" i="46"/>
  <c r="JG18" i="46"/>
  <c r="JF21" i="46"/>
  <c r="JF78" i="46"/>
  <c r="JF95" i="46"/>
  <c r="JF58" i="46"/>
  <c r="JF47" i="46"/>
  <c r="JF33" i="46"/>
  <c r="JF100" i="46"/>
  <c r="JF101" i="46"/>
  <c r="JF102" i="46"/>
  <c r="JF108" i="46"/>
  <c r="JF111" i="46"/>
  <c r="JF113" i="46"/>
  <c r="JF106" i="46"/>
  <c r="JF107" i="46"/>
  <c r="JF109" i="46"/>
  <c r="JF110" i="46"/>
  <c r="JF112" i="46"/>
  <c r="JF114" i="46"/>
  <c r="CW116" i="38" l="1"/>
  <c r="DB116" i="38" s="1"/>
  <c r="DA116" i="38"/>
  <c r="CX116" i="38"/>
  <c r="DC116" i="38" s="1"/>
  <c r="CY116" i="38"/>
  <c r="DD116" i="38" s="1"/>
  <c r="CZ116" i="38"/>
  <c r="DE116" i="38" s="1"/>
  <c r="O116" i="38"/>
  <c r="R116" i="38" s="1"/>
  <c r="AS115" i="41"/>
  <c r="BA115" i="41" s="1"/>
  <c r="AR116" i="4"/>
  <c r="AP116" i="4"/>
  <c r="AT116" i="4"/>
  <c r="AS116" i="4"/>
  <c r="AQ116" i="4"/>
  <c r="AO116" i="4"/>
  <c r="AL113" i="41"/>
  <c r="FH115" i="7"/>
  <c r="I112" i="46"/>
  <c r="I112" i="38"/>
  <c r="EJ115" i="7"/>
  <c r="V115" i="7"/>
  <c r="EO116" i="7"/>
  <c r="FD116" i="7"/>
  <c r="FO116" i="7"/>
  <c r="FN116" i="7"/>
  <c r="EQ116" i="7"/>
  <c r="EM116" i="7"/>
  <c r="FG116" i="7"/>
  <c r="FK116" i="7"/>
  <c r="FJ116" i="7"/>
  <c r="EY116" i="7"/>
  <c r="EL116" i="7"/>
  <c r="FB116" i="7"/>
  <c r="EE116" i="7"/>
  <c r="ET116" i="7"/>
  <c r="EX116" i="7"/>
  <c r="FC116" i="7"/>
  <c r="FL116" i="7"/>
  <c r="FE116" i="7"/>
  <c r="EF116" i="7"/>
  <c r="EP116" i="7"/>
  <c r="EI116" i="7"/>
  <c r="FM116" i="7"/>
  <c r="EU116" i="7"/>
  <c r="EG116" i="7"/>
  <c r="EW116" i="7"/>
  <c r="EN116" i="7"/>
  <c r="EH116" i="7"/>
  <c r="EV116" i="7"/>
  <c r="ED116" i="7"/>
  <c r="FB115" i="38"/>
  <c r="EW115" i="38"/>
  <c r="FH115" i="38" s="1"/>
  <c r="CF115" i="38"/>
  <c r="AC115" i="38"/>
  <c r="U104" i="41"/>
  <c r="T104" i="38"/>
  <c r="BU103" i="38"/>
  <c r="W103" i="38"/>
  <c r="T102" i="46"/>
  <c r="W102" i="46" s="1"/>
  <c r="W102" i="41"/>
  <c r="T102" i="45"/>
  <c r="V102" i="41"/>
  <c r="BP116" i="7"/>
  <c r="BA113" i="45"/>
  <c r="BB113" i="45" s="1"/>
  <c r="G113" i="45" s="1"/>
  <c r="BF113" i="45"/>
  <c r="BG113" i="45" s="1"/>
  <c r="H113" i="45" s="1"/>
  <c r="I113" i="45" s="1"/>
  <c r="BA113" i="38"/>
  <c r="BB113" i="38" s="1"/>
  <c r="G113" i="38" s="1"/>
  <c r="BJ116" i="7"/>
  <c r="BX116" i="7"/>
  <c r="AV113" i="45"/>
  <c r="AW113" i="45" s="1"/>
  <c r="F113" i="45" s="1"/>
  <c r="FH114" i="38"/>
  <c r="BF113" i="38"/>
  <c r="BG113" i="38" s="1"/>
  <c r="H113" i="38" s="1"/>
  <c r="AV113" i="46"/>
  <c r="AW113" i="46" s="1"/>
  <c r="F113" i="46" s="1"/>
  <c r="AV113" i="38"/>
  <c r="AW113" i="38" s="1"/>
  <c r="F113" i="38" s="1"/>
  <c r="AU114" i="46"/>
  <c r="AZ114" i="38"/>
  <c r="AR114" i="46"/>
  <c r="AR114" i="45"/>
  <c r="AR114" i="38"/>
  <c r="AY115" i="38"/>
  <c r="AY115" i="45"/>
  <c r="AY115" i="46"/>
  <c r="AU114" i="45"/>
  <c r="CP116" i="7"/>
  <c r="DO116" i="7"/>
  <c r="CH116" i="7"/>
  <c r="BS116" i="7"/>
  <c r="BF113" i="46"/>
  <c r="BG113" i="46" s="1"/>
  <c r="H113" i="46" s="1"/>
  <c r="AT115" i="38"/>
  <c r="AT115" i="46"/>
  <c r="AT115" i="45"/>
  <c r="AX115" i="45"/>
  <c r="AX115" i="46"/>
  <c r="AX115" i="38"/>
  <c r="AS115" i="38"/>
  <c r="AS115" i="46"/>
  <c r="AS115" i="45"/>
  <c r="CZ116" i="7"/>
  <c r="AZ114" i="46"/>
  <c r="BO116" i="7"/>
  <c r="AJ116" i="7"/>
  <c r="Q116" i="4"/>
  <c r="P116" i="4"/>
  <c r="AD116" i="4"/>
  <c r="AE116" i="4"/>
  <c r="FI114" i="38"/>
  <c r="BA113" i="46"/>
  <c r="BB113" i="46" s="1"/>
  <c r="G113" i="46" s="1"/>
  <c r="AZ114" i="45"/>
  <c r="AU114" i="38"/>
  <c r="CR115" i="38"/>
  <c r="CD115" i="38"/>
  <c r="BN115" i="41" s="1"/>
  <c r="CI115" i="38"/>
  <c r="BQ115" i="41" s="1"/>
  <c r="CJ115" i="38"/>
  <c r="BR115" i="41" s="1"/>
  <c r="CO115" i="38"/>
  <c r="BV115" i="41" s="1"/>
  <c r="CB115" i="38"/>
  <c r="BL115" i="41" s="1"/>
  <c r="BV116" i="7"/>
  <c r="AF115" i="46"/>
  <c r="T115" i="46"/>
  <c r="P115" i="46"/>
  <c r="AE115" i="46"/>
  <c r="X115" i="46"/>
  <c r="E115" i="41"/>
  <c r="W115" i="46"/>
  <c r="AA115" i="46"/>
  <c r="V115" i="46"/>
  <c r="FM115" i="46" s="1"/>
  <c r="Z115" i="46"/>
  <c r="U115" i="46"/>
  <c r="AB115" i="46"/>
  <c r="AJ115" i="46"/>
  <c r="Q115" i="46"/>
  <c r="AI115" i="46"/>
  <c r="S115" i="46"/>
  <c r="AH115" i="46"/>
  <c r="AG115" i="46"/>
  <c r="Y115" i="46"/>
  <c r="FL115" i="46" s="1"/>
  <c r="AK115" i="46"/>
  <c r="AJ115" i="41" s="1"/>
  <c r="AD115" i="46"/>
  <c r="JG15" i="46" s="1"/>
  <c r="CN116" i="7"/>
  <c r="BS116" i="38"/>
  <c r="AO116" i="38"/>
  <c r="BW116" i="38"/>
  <c r="BR116" i="38"/>
  <c r="BH116" i="41" s="1"/>
  <c r="FN116" i="38"/>
  <c r="JH116" i="38" s="1"/>
  <c r="AN116" i="38"/>
  <c r="AO116" i="41" s="1"/>
  <c r="AW116" i="41" s="1"/>
  <c r="EN116" i="38"/>
  <c r="BQ116" i="38"/>
  <c r="M116" i="38"/>
  <c r="EM116" i="38"/>
  <c r="CE116" i="41" s="1"/>
  <c r="BV116" i="38"/>
  <c r="BT116" i="38"/>
  <c r="BG116" i="41" s="1"/>
  <c r="K116" i="38"/>
  <c r="EL116" i="38"/>
  <c r="CF116" i="41" s="1"/>
  <c r="BU116" i="38"/>
  <c r="BX116" i="38"/>
  <c r="BJ116" i="41" s="1"/>
  <c r="L116" i="38"/>
  <c r="M116" i="46"/>
  <c r="AC116" i="46"/>
  <c r="K116" i="46"/>
  <c r="AO116" i="46"/>
  <c r="AU116" i="41" s="1"/>
  <c r="BC116" i="41" s="1"/>
  <c r="FK116" i="46"/>
  <c r="JG116" i="46" s="1"/>
  <c r="L116" i="46"/>
  <c r="AN116" i="46"/>
  <c r="AQ116" i="41" s="1"/>
  <c r="AY116" i="41" s="1"/>
  <c r="BF116" i="7"/>
  <c r="CD116" i="7"/>
  <c r="BD114" i="46"/>
  <c r="BE114" i="46" s="1"/>
  <c r="EV114" i="38"/>
  <c r="FG114" i="38" s="1"/>
  <c r="BD114" i="45"/>
  <c r="BE114" i="45" s="1"/>
  <c r="BD114" i="38"/>
  <c r="BE114" i="38" s="1"/>
  <c r="G113" i="41"/>
  <c r="K113" i="41"/>
  <c r="Z114" i="41"/>
  <c r="AD114" i="41" s="1"/>
  <c r="W115" i="41"/>
  <c r="Q114" i="41"/>
  <c r="U115" i="41"/>
  <c r="V115" i="41"/>
  <c r="H113" i="41"/>
  <c r="L113" i="41"/>
  <c r="DD116" i="7"/>
  <c r="FK116" i="45"/>
  <c r="JL116" i="45" s="1"/>
  <c r="M116" i="45"/>
  <c r="L116" i="45"/>
  <c r="K116" i="45"/>
  <c r="BI116" i="7"/>
  <c r="BG116" i="7"/>
  <c r="T116" i="7"/>
  <c r="AK116" i="7"/>
  <c r="BQ116" i="7"/>
  <c r="BB116" i="7"/>
  <c r="DP116" i="7"/>
  <c r="BA116" i="7"/>
  <c r="CA116" i="7"/>
  <c r="CO116" i="7"/>
  <c r="S116" i="7"/>
  <c r="AB116" i="7"/>
  <c r="CX116" i="7"/>
  <c r="CS116" i="7"/>
  <c r="R116" i="7"/>
  <c r="DM116" i="7"/>
  <c r="AY116" i="7"/>
  <c r="DQ116" i="7"/>
  <c r="DN116" i="7"/>
  <c r="DX116" i="7"/>
  <c r="U116" i="7"/>
  <c r="BH116" i="7"/>
  <c r="Q116" i="7"/>
  <c r="AG116" i="7"/>
  <c r="BY116" i="7"/>
  <c r="DV116" i="7"/>
  <c r="DF116" i="7"/>
  <c r="AZ116" i="7"/>
  <c r="K116" i="7"/>
  <c r="CQ116" i="7"/>
  <c r="DH116" i="7"/>
  <c r="M116" i="7"/>
  <c r="CY116" i="7"/>
  <c r="CI116" i="7"/>
  <c r="AA116" i="7"/>
  <c r="DI116" i="7"/>
  <c r="DA116" i="7"/>
  <c r="BR116" i="7"/>
  <c r="AI116" i="7"/>
  <c r="BK116" i="7"/>
  <c r="DW116" i="7"/>
  <c r="BC116" i="7"/>
  <c r="CR116" i="7"/>
  <c r="J116" i="7"/>
  <c r="FB116" i="38" s="1"/>
  <c r="CE116" i="7"/>
  <c r="I116" i="7"/>
  <c r="Y116" i="7"/>
  <c r="CW116" i="7"/>
  <c r="L116" i="7"/>
  <c r="DY116" i="7"/>
  <c r="Z116" i="7"/>
  <c r="DU116" i="7"/>
  <c r="BZ116" i="7"/>
  <c r="DG116" i="7"/>
  <c r="BW116" i="7"/>
  <c r="M113" i="41"/>
  <c r="I113" i="41"/>
  <c r="AB114" i="41"/>
  <c r="AF114" i="41" s="1"/>
  <c r="S114" i="41"/>
  <c r="CG116" i="7"/>
  <c r="Q115" i="45"/>
  <c r="D115" i="41"/>
  <c r="P115" i="45"/>
  <c r="S115" i="45"/>
  <c r="P116" i="7"/>
  <c r="V116" i="7" s="1"/>
  <c r="JD115" i="46"/>
  <c r="FR115" i="46"/>
  <c r="FV115" i="46"/>
  <c r="FZ115" i="46"/>
  <c r="GD115" i="46"/>
  <c r="GH115" i="46"/>
  <c r="GL115" i="46"/>
  <c r="GP115" i="46"/>
  <c r="GT115" i="46"/>
  <c r="GX115" i="46"/>
  <c r="HB115" i="46"/>
  <c r="HF115" i="46"/>
  <c r="HJ115" i="46"/>
  <c r="HN115" i="46"/>
  <c r="HR115" i="46"/>
  <c r="HV115" i="46"/>
  <c r="HZ115" i="46"/>
  <c r="ID115" i="46"/>
  <c r="IH115" i="46"/>
  <c r="IL115" i="46"/>
  <c r="IP115" i="46"/>
  <c r="IT115" i="46"/>
  <c r="IX115" i="46"/>
  <c r="JB115" i="46"/>
  <c r="FS115" i="46"/>
  <c r="FW115" i="46"/>
  <c r="GA115" i="46"/>
  <c r="GE115" i="46"/>
  <c r="GI115" i="46"/>
  <c r="GM115" i="46"/>
  <c r="GQ115" i="46"/>
  <c r="GU115" i="46"/>
  <c r="GY115" i="46"/>
  <c r="HC115" i="46"/>
  <c r="HG115" i="46"/>
  <c r="HK115" i="46"/>
  <c r="HO115" i="46"/>
  <c r="HS115" i="46"/>
  <c r="HW115" i="46"/>
  <c r="IA115" i="46"/>
  <c r="IE115" i="46"/>
  <c r="II115" i="46"/>
  <c r="IM115" i="46"/>
  <c r="IQ115" i="46"/>
  <c r="IU115" i="46"/>
  <c r="IY115" i="46"/>
  <c r="JC115" i="46"/>
  <c r="FU115" i="46"/>
  <c r="GC115" i="46"/>
  <c r="GK115" i="46"/>
  <c r="GW115" i="46"/>
  <c r="HE115" i="46"/>
  <c r="HM115" i="46"/>
  <c r="HU115" i="46"/>
  <c r="IC115" i="46"/>
  <c r="IK115" i="46"/>
  <c r="IS115" i="46"/>
  <c r="JA115" i="46"/>
  <c r="JE115" i="46"/>
  <c r="FP115" i="46"/>
  <c r="FT115" i="46"/>
  <c r="FX115" i="46"/>
  <c r="GB115" i="46"/>
  <c r="GF115" i="46"/>
  <c r="GJ115" i="46"/>
  <c r="GN115" i="46"/>
  <c r="GR115" i="46"/>
  <c r="GV115" i="46"/>
  <c r="GZ115" i="46"/>
  <c r="HD115" i="46"/>
  <c r="HH115" i="46"/>
  <c r="HL115" i="46"/>
  <c r="HP115" i="46"/>
  <c r="HT115" i="46"/>
  <c r="HX115" i="46"/>
  <c r="IB115" i="46"/>
  <c r="IF115" i="46"/>
  <c r="IJ115" i="46"/>
  <c r="IN115" i="46"/>
  <c r="IR115" i="46"/>
  <c r="IV115" i="46"/>
  <c r="IZ115" i="46"/>
  <c r="FQ115" i="46"/>
  <c r="FY115" i="46"/>
  <c r="GG115" i="46"/>
  <c r="GO115" i="46"/>
  <c r="GS115" i="46"/>
  <c r="HA115" i="46"/>
  <c r="HI115" i="46"/>
  <c r="HQ115" i="46"/>
  <c r="HY115" i="46"/>
  <c r="IG115" i="46"/>
  <c r="IO115" i="46"/>
  <c r="IW115" i="46"/>
  <c r="JF115" i="38"/>
  <c r="FT115" i="38"/>
  <c r="FX115" i="38"/>
  <c r="CY115" i="41" s="1"/>
  <c r="GB115" i="38"/>
  <c r="GF115" i="38"/>
  <c r="GJ115" i="38"/>
  <c r="GN115" i="38"/>
  <c r="GR115" i="38"/>
  <c r="GV115" i="38"/>
  <c r="GZ115" i="38"/>
  <c r="HD115" i="38"/>
  <c r="HH115" i="38"/>
  <c r="HL115" i="38"/>
  <c r="HP115" i="38"/>
  <c r="HT115" i="38"/>
  <c r="HX115" i="38"/>
  <c r="IB115" i="38"/>
  <c r="IF115" i="38"/>
  <c r="IJ115" i="38"/>
  <c r="IN115" i="38"/>
  <c r="IR115" i="38"/>
  <c r="IV115" i="38"/>
  <c r="IZ115" i="38"/>
  <c r="JD115" i="38"/>
  <c r="FU115" i="38"/>
  <c r="FY115" i="38"/>
  <c r="GC115" i="38"/>
  <c r="GG115" i="38"/>
  <c r="GK115" i="38"/>
  <c r="GO115" i="38"/>
  <c r="GS115" i="38"/>
  <c r="GW115" i="38"/>
  <c r="HA115" i="38"/>
  <c r="HE115" i="38"/>
  <c r="HI115" i="38"/>
  <c r="HM115" i="38"/>
  <c r="HQ115" i="38"/>
  <c r="HU115" i="38"/>
  <c r="HY115" i="38"/>
  <c r="IC115" i="38"/>
  <c r="IG115" i="38"/>
  <c r="IK115" i="38"/>
  <c r="IO115" i="38"/>
  <c r="IS115" i="38"/>
  <c r="IW115" i="38"/>
  <c r="JA115" i="38"/>
  <c r="HO115" i="38"/>
  <c r="IE115" i="38"/>
  <c r="IQ115" i="38"/>
  <c r="JC115" i="38"/>
  <c r="CW115" i="41"/>
  <c r="FV115" i="38"/>
  <c r="FZ115" i="38"/>
  <c r="GD115" i="38"/>
  <c r="GH115" i="38"/>
  <c r="GL115" i="38"/>
  <c r="GP115" i="38"/>
  <c r="GT115" i="38"/>
  <c r="GX115" i="38"/>
  <c r="HB115" i="38"/>
  <c r="HF115" i="38"/>
  <c r="HJ115" i="38"/>
  <c r="HN115" i="38"/>
  <c r="HR115" i="38"/>
  <c r="HV115" i="38"/>
  <c r="HZ115" i="38"/>
  <c r="ID115" i="38"/>
  <c r="IH115" i="38"/>
  <c r="IL115" i="38"/>
  <c r="IP115" i="38"/>
  <c r="IT115" i="38"/>
  <c r="IX115" i="38"/>
  <c r="JB115" i="38"/>
  <c r="FS115" i="38"/>
  <c r="CX115" i="41" s="1"/>
  <c r="FW115" i="38"/>
  <c r="GA115" i="38"/>
  <c r="GE115" i="38"/>
  <c r="GI115" i="38"/>
  <c r="GM115" i="38"/>
  <c r="GQ115" i="38"/>
  <c r="GU115" i="38"/>
  <c r="GY115" i="38"/>
  <c r="HC115" i="38"/>
  <c r="HG115" i="38"/>
  <c r="HK115" i="38"/>
  <c r="HS115" i="38"/>
  <c r="IA115" i="38"/>
  <c r="II115" i="38"/>
  <c r="IU115" i="38"/>
  <c r="JE115" i="38"/>
  <c r="HW115" i="38"/>
  <c r="IM115" i="38"/>
  <c r="IY115" i="38"/>
  <c r="H116" i="7"/>
  <c r="N116" i="7" s="1"/>
  <c r="J116" i="4"/>
  <c r="C116" i="4"/>
  <c r="N116" i="4"/>
  <c r="U116" i="4"/>
  <c r="X116" i="4"/>
  <c r="AB116" i="4"/>
  <c r="V116" i="4"/>
  <c r="G116" i="4"/>
  <c r="M116" i="4"/>
  <c r="Y116" i="4"/>
  <c r="AA116" i="4"/>
  <c r="D116" i="4"/>
  <c r="K116" i="4"/>
  <c r="H116" i="4"/>
  <c r="A117" i="46"/>
  <c r="O117" i="46" s="1"/>
  <c r="R117" i="46" s="1"/>
  <c r="A118" i="55"/>
  <c r="A117" i="41"/>
  <c r="A117" i="4"/>
  <c r="A117" i="45"/>
  <c r="O117" i="45" s="1"/>
  <c r="R117" i="45" s="1"/>
  <c r="A117" i="6"/>
  <c r="A117" i="38"/>
  <c r="CV117" i="38" s="1"/>
  <c r="A117" i="7"/>
  <c r="FF117" i="7" s="1"/>
  <c r="DE116" i="7"/>
  <c r="JJ115" i="45"/>
  <c r="JH115" i="45"/>
  <c r="JI115" i="45"/>
  <c r="BN116" i="7"/>
  <c r="AH116" i="7"/>
  <c r="AF116" i="7"/>
  <c r="BI115" i="41"/>
  <c r="FI115" i="38"/>
  <c r="DL116" i="7"/>
  <c r="CP115" i="38"/>
  <c r="BW115" i="41" s="1"/>
  <c r="CN115" i="38"/>
  <c r="BY115" i="41" s="1"/>
  <c r="AA115" i="38"/>
  <c r="AD115" i="38"/>
  <c r="AF115" i="38"/>
  <c r="AI115" i="38"/>
  <c r="CC115" i="38"/>
  <c r="BM115" i="41" s="1"/>
  <c r="CE115" i="38"/>
  <c r="BO115" i="41" s="1"/>
  <c r="Q115" i="38"/>
  <c r="W115" i="38"/>
  <c r="AK115" i="38"/>
  <c r="AH115" i="41" s="1"/>
  <c r="Y115" i="38"/>
  <c r="FO115" i="38" s="1"/>
  <c r="AG115" i="38"/>
  <c r="CH115" i="38"/>
  <c r="BT115" i="41" s="1"/>
  <c r="CK115" i="38"/>
  <c r="BS115" i="41" s="1"/>
  <c r="CL115" i="38"/>
  <c r="Z115" i="38"/>
  <c r="AJ115" i="38"/>
  <c r="U115" i="38"/>
  <c r="AE115" i="38"/>
  <c r="V115" i="38"/>
  <c r="FP115" i="38" s="1"/>
  <c r="S115" i="38"/>
  <c r="CQ115" i="38"/>
  <c r="BX115" i="41" s="1"/>
  <c r="AB115" i="38"/>
  <c r="T115" i="38"/>
  <c r="AH115" i="38"/>
  <c r="X115" i="38"/>
  <c r="C115" i="41"/>
  <c r="P115" i="38"/>
  <c r="X116" i="7"/>
  <c r="AD116" i="7" s="1"/>
  <c r="BC115" i="46"/>
  <c r="BC115" i="45"/>
  <c r="BC115" i="38"/>
  <c r="DT116" i="7"/>
  <c r="U116" i="6"/>
  <c r="Q116" i="6"/>
  <c r="N116" i="6"/>
  <c r="H116" i="6"/>
  <c r="I116" i="6"/>
  <c r="L116" i="6"/>
  <c r="K116" i="6"/>
  <c r="R116" i="6"/>
  <c r="O116" i="6"/>
  <c r="T116" i="6"/>
  <c r="AX116" i="7"/>
  <c r="CV116" i="7"/>
  <c r="CF116" i="7"/>
  <c r="JL6" i="45"/>
  <c r="JL92" i="45"/>
  <c r="JL79" i="45"/>
  <c r="JL65" i="45"/>
  <c r="JL42" i="45"/>
  <c r="JL29" i="45"/>
  <c r="JL99" i="45"/>
  <c r="JL86" i="45"/>
  <c r="JL63" i="45"/>
  <c r="JL51" i="45"/>
  <c r="JL36" i="45"/>
  <c r="JL23" i="45"/>
  <c r="JL95" i="45"/>
  <c r="JL82" i="45"/>
  <c r="JL53" i="45"/>
  <c r="JL45" i="45"/>
  <c r="JL32" i="45"/>
  <c r="JL59" i="45"/>
  <c r="JL72" i="45"/>
  <c r="JL105" i="45"/>
  <c r="JL34" i="45"/>
  <c r="JL68" i="45"/>
  <c r="JL101" i="45"/>
  <c r="JL93" i="45"/>
  <c r="JL78" i="45"/>
  <c r="JL49" i="45"/>
  <c r="JL41" i="45"/>
  <c r="JL28" i="45"/>
  <c r="JL97" i="45"/>
  <c r="JL76" i="45"/>
  <c r="JL66" i="45"/>
  <c r="JL54" i="45"/>
  <c r="JL30" i="45"/>
  <c r="JL83" i="45"/>
  <c r="JL64" i="45"/>
  <c r="JL48" i="45"/>
  <c r="JL44" i="45"/>
  <c r="JL31" i="45"/>
  <c r="JL47" i="45"/>
  <c r="JL62" i="45"/>
  <c r="JL84" i="45"/>
  <c r="JL21" i="45"/>
  <c r="JL52" i="45"/>
  <c r="JL103" i="45"/>
  <c r="JL90" i="45"/>
  <c r="JL67" i="45"/>
  <c r="JL55" i="45"/>
  <c r="JL40" i="45"/>
  <c r="JL27" i="45"/>
  <c r="JL88" i="45"/>
  <c r="JL75" i="45"/>
  <c r="JL61" i="45"/>
  <c r="JL38" i="45"/>
  <c r="JL25" i="45"/>
  <c r="JL98" i="45"/>
  <c r="JL77" i="45"/>
  <c r="JL73" i="45"/>
  <c r="JL60" i="45"/>
  <c r="JL39" i="45"/>
  <c r="JL102" i="45"/>
  <c r="JL43" i="45"/>
  <c r="JL50" i="45"/>
  <c r="JL71" i="45"/>
  <c r="JL100" i="45"/>
  <c r="JL33" i="45"/>
  <c r="JL94" i="45"/>
  <c r="JL80" i="45"/>
  <c r="JL70" i="45"/>
  <c r="JL58" i="45"/>
  <c r="JL35" i="45"/>
  <c r="JL104" i="45"/>
  <c r="JL91" i="45"/>
  <c r="JL74" i="45"/>
  <c r="JL56" i="45"/>
  <c r="JL37" i="45"/>
  <c r="JL24" i="45"/>
  <c r="JL89" i="45"/>
  <c r="JL85" i="45"/>
  <c r="JL69" i="45"/>
  <c r="JL46" i="45"/>
  <c r="JL22" i="45"/>
  <c r="JL81" i="45"/>
  <c r="JL96" i="45"/>
  <c r="JL26" i="45"/>
  <c r="JL57" i="45"/>
  <c r="JL87" i="45"/>
  <c r="JL20" i="45"/>
  <c r="JL106" i="45"/>
  <c r="JL109" i="45"/>
  <c r="JL110" i="45"/>
  <c r="JL111" i="45"/>
  <c r="JL113" i="45"/>
  <c r="JL114" i="45"/>
  <c r="JL115" i="45"/>
  <c r="JL107" i="45"/>
  <c r="JL108" i="45"/>
  <c r="JL112" i="45"/>
  <c r="JG81" i="46"/>
  <c r="JG98" i="46"/>
  <c r="JG61" i="46"/>
  <c r="JG46" i="46"/>
  <c r="JG44" i="46"/>
  <c r="JH18" i="46"/>
  <c r="JG76" i="46"/>
  <c r="JG62" i="46"/>
  <c r="JG75" i="46"/>
  <c r="JG37" i="46"/>
  <c r="JG47" i="46"/>
  <c r="JG99" i="46"/>
  <c r="JG58" i="46"/>
  <c r="JG71" i="46"/>
  <c r="JG33" i="46"/>
  <c r="JG43" i="46"/>
  <c r="JG85" i="46"/>
  <c r="JG79" i="46"/>
  <c r="JG65" i="46"/>
  <c r="JG51" i="46"/>
  <c r="JG48" i="46"/>
  <c r="JG23" i="46"/>
  <c r="JG102" i="46"/>
  <c r="JG96" i="46"/>
  <c r="JG82" i="46"/>
  <c r="JG68" i="46"/>
  <c r="JG30" i="46"/>
  <c r="JG28" i="46"/>
  <c r="JG93" i="46"/>
  <c r="JG87" i="46"/>
  <c r="JG73" i="46"/>
  <c r="JG59" i="46"/>
  <c r="JG21" i="46"/>
  <c r="JG31" i="46"/>
  <c r="JG83" i="46"/>
  <c r="JG69" i="46"/>
  <c r="JG55" i="46"/>
  <c r="JG8" i="46"/>
  <c r="JG27" i="46"/>
  <c r="JG100" i="46"/>
  <c r="JG86" i="46"/>
  <c r="JG72" i="46"/>
  <c r="JG34" i="46"/>
  <c r="JG32" i="46"/>
  <c r="JG80" i="46"/>
  <c r="JG66" i="46"/>
  <c r="JG52" i="46"/>
  <c r="JG41" i="46"/>
  <c r="JG49" i="46"/>
  <c r="JG77" i="46"/>
  <c r="JG94" i="46"/>
  <c r="JG57" i="46"/>
  <c r="JG42" i="46"/>
  <c r="JG40" i="46"/>
  <c r="JG89" i="46"/>
  <c r="JG90" i="46"/>
  <c r="JG53" i="46"/>
  <c r="JG38" i="46"/>
  <c r="JG36" i="46"/>
  <c r="JG5" i="46"/>
  <c r="JG84" i="46"/>
  <c r="JG70" i="46"/>
  <c r="JG56" i="46"/>
  <c r="JG45" i="46"/>
  <c r="JG6" i="46"/>
  <c r="JG97" i="46"/>
  <c r="JG91" i="46"/>
  <c r="JG50" i="46"/>
  <c r="JG63" i="46"/>
  <c r="JG25" i="46"/>
  <c r="JG35" i="46"/>
  <c r="JG92" i="46"/>
  <c r="JG78" i="46"/>
  <c r="JG64" i="46"/>
  <c r="JG26" i="46"/>
  <c r="JG24" i="46"/>
  <c r="JG88" i="46"/>
  <c r="JG74" i="46"/>
  <c r="JG60" i="46"/>
  <c r="JG22" i="46"/>
  <c r="JG20" i="46"/>
  <c r="JG101" i="46"/>
  <c r="JG95" i="46"/>
  <c r="JG54" i="46"/>
  <c r="JG67" i="46"/>
  <c r="JG29" i="46"/>
  <c r="JG39" i="46"/>
  <c r="JG103" i="46"/>
  <c r="JG104" i="46"/>
  <c r="JG105" i="46"/>
  <c r="JG112" i="46"/>
  <c r="JG114" i="46"/>
  <c r="JG108" i="46"/>
  <c r="JG111" i="46"/>
  <c r="JG113" i="46"/>
  <c r="JG115" i="46"/>
  <c r="JG106" i="46"/>
  <c r="JG107" i="46"/>
  <c r="JG109" i="46"/>
  <c r="JG110" i="46"/>
  <c r="JH89" i="38"/>
  <c r="JH73" i="38"/>
  <c r="JH60" i="38"/>
  <c r="JH41" i="38"/>
  <c r="JH20" i="38"/>
  <c r="JH94" i="38"/>
  <c r="JH74" i="38"/>
  <c r="JH61" i="38"/>
  <c r="JH56" i="38"/>
  <c r="JH32" i="38"/>
  <c r="JH6" i="38"/>
  <c r="JH75" i="38"/>
  <c r="JH62" i="38"/>
  <c r="JH53" i="38"/>
  <c r="JH25" i="38"/>
  <c r="JH30" i="38"/>
  <c r="JH88" i="38"/>
  <c r="JH63" i="38"/>
  <c r="JH50" i="38"/>
  <c r="JH34" i="38"/>
  <c r="JH22" i="38"/>
  <c r="JH98" i="38"/>
  <c r="JH100" i="38"/>
  <c r="JH92" i="38"/>
  <c r="JH72" i="38"/>
  <c r="JH59" i="38"/>
  <c r="JH36" i="38"/>
  <c r="JH27" i="38"/>
  <c r="JH96" i="38"/>
  <c r="JH84" i="38"/>
  <c r="JH55" i="38"/>
  <c r="JH37" i="38"/>
  <c r="JH43" i="38"/>
  <c r="JH97" i="38"/>
  <c r="JH81" i="38"/>
  <c r="JH68" i="38"/>
  <c r="JH52" i="38"/>
  <c r="JH28" i="38"/>
  <c r="JH95" i="38"/>
  <c r="JH82" i="38"/>
  <c r="JH69" i="38"/>
  <c r="JH49" i="38"/>
  <c r="JH21" i="38"/>
  <c r="JH102" i="38"/>
  <c r="JH105" i="38"/>
  <c r="JH83" i="38"/>
  <c r="JH70" i="38"/>
  <c r="JH46" i="38"/>
  <c r="JH39" i="38"/>
  <c r="JH5" i="38"/>
  <c r="JH85" i="38"/>
  <c r="JH71" i="38"/>
  <c r="JH58" i="38"/>
  <c r="JH42" i="38"/>
  <c r="JH23" i="38"/>
  <c r="JH87" i="38"/>
  <c r="JH80" i="38"/>
  <c r="JH51" i="38"/>
  <c r="JH44" i="38"/>
  <c r="JH33" i="38"/>
  <c r="JH93" i="38"/>
  <c r="JH77" i="38"/>
  <c r="JH64" i="38"/>
  <c r="JH48" i="38"/>
  <c r="JH24" i="38"/>
  <c r="JH99" i="38"/>
  <c r="JH101" i="38"/>
  <c r="JH103" i="38"/>
  <c r="JH91" i="38"/>
  <c r="JH78" i="38"/>
  <c r="JH65" i="38"/>
  <c r="JH45" i="38"/>
  <c r="JH8" i="38"/>
  <c r="JH26" i="38"/>
  <c r="JH79" i="38"/>
  <c r="JH66" i="38"/>
  <c r="JH57" i="38"/>
  <c r="JH29" i="38"/>
  <c r="JH35" i="38"/>
  <c r="JH90" i="38"/>
  <c r="JH67" i="38"/>
  <c r="JH54" i="38"/>
  <c r="JH38" i="38"/>
  <c r="JI18" i="38"/>
  <c r="JH86" i="38"/>
  <c r="JH76" i="38"/>
  <c r="JH47" i="38"/>
  <c r="JH40" i="38"/>
  <c r="JH31" i="38"/>
  <c r="JH104" i="38"/>
  <c r="JH108" i="38"/>
  <c r="JH114" i="38"/>
  <c r="JH115" i="38"/>
  <c r="JH106" i="38"/>
  <c r="JH112" i="38"/>
  <c r="JH113" i="38"/>
  <c r="JH15" i="38"/>
  <c r="JH109" i="38"/>
  <c r="JH111" i="38"/>
  <c r="JH107" i="38"/>
  <c r="JH110" i="38"/>
  <c r="CW117" i="38" l="1"/>
  <c r="DB117" i="38" s="1"/>
  <c r="CX117" i="38"/>
  <c r="DC117" i="38" s="1"/>
  <c r="CY117" i="38"/>
  <c r="DD117" i="38" s="1"/>
  <c r="CZ117" i="38"/>
  <c r="DE117" i="38" s="1"/>
  <c r="DA117" i="38"/>
  <c r="O117" i="38"/>
  <c r="R117" i="38" s="1"/>
  <c r="AS116" i="41"/>
  <c r="BA116" i="41" s="1"/>
  <c r="AR117" i="4"/>
  <c r="AP117" i="4"/>
  <c r="AS117" i="4"/>
  <c r="AQ117" i="4"/>
  <c r="AO117" i="4"/>
  <c r="AT117" i="4"/>
  <c r="AL114" i="41"/>
  <c r="EJ116" i="7"/>
  <c r="FP116" i="7"/>
  <c r="FH116" i="7"/>
  <c r="I113" i="38"/>
  <c r="J113" i="38" s="1"/>
  <c r="I113" i="46"/>
  <c r="J113" i="46" s="1"/>
  <c r="J112" i="38"/>
  <c r="J112" i="46"/>
  <c r="ER116" i="7"/>
  <c r="EZ116" i="7"/>
  <c r="V117" i="7"/>
  <c r="EW117" i="7"/>
  <c r="EX117" i="7"/>
  <c r="EY117" i="7"/>
  <c r="EQ117" i="7"/>
  <c r="EU117" i="7"/>
  <c r="EF117" i="7"/>
  <c r="FD117" i="7"/>
  <c r="EH117" i="7"/>
  <c r="FN117" i="7"/>
  <c r="EI117" i="7"/>
  <c r="FL117" i="7"/>
  <c r="EO117" i="7"/>
  <c r="ET117" i="7"/>
  <c r="ED117" i="7"/>
  <c r="EN117" i="7"/>
  <c r="EG117" i="7"/>
  <c r="EP117" i="7"/>
  <c r="EM117" i="7"/>
  <c r="FC117" i="7"/>
  <c r="EE117" i="7"/>
  <c r="EL117" i="7"/>
  <c r="FJ117" i="7"/>
  <c r="EV117" i="7"/>
  <c r="FK117" i="7"/>
  <c r="FM117" i="7"/>
  <c r="FE117" i="7"/>
  <c r="FO117" i="7"/>
  <c r="FB117" i="7"/>
  <c r="FG117" i="7"/>
  <c r="FC116" i="38"/>
  <c r="FD116" i="38" s="1"/>
  <c r="EX116" i="38"/>
  <c r="EY116" i="38" s="1"/>
  <c r="EW116" i="38"/>
  <c r="CQ116" i="38"/>
  <c r="BX116" i="41" s="1"/>
  <c r="AC116" i="38"/>
  <c r="BU104" i="38"/>
  <c r="BV104" i="38" s="1"/>
  <c r="W104" i="38"/>
  <c r="BV103" i="38"/>
  <c r="U105" i="41"/>
  <c r="T105" i="38"/>
  <c r="BP117" i="7"/>
  <c r="W103" i="41"/>
  <c r="T103" i="46"/>
  <c r="W103" i="46" s="1"/>
  <c r="V103" i="41"/>
  <c r="T103" i="45"/>
  <c r="AU115" i="38"/>
  <c r="AU115" i="46"/>
  <c r="AZ115" i="46"/>
  <c r="AU115" i="45"/>
  <c r="BF114" i="38"/>
  <c r="BG114" i="38" s="1"/>
  <c r="H114" i="38" s="1"/>
  <c r="CF117" i="7"/>
  <c r="AV114" i="38"/>
  <c r="AW114" i="38" s="1"/>
  <c r="F114" i="38" s="1"/>
  <c r="AV114" i="46"/>
  <c r="AW114" i="46" s="1"/>
  <c r="F114" i="46" s="1"/>
  <c r="BF114" i="46"/>
  <c r="BG114" i="46" s="1"/>
  <c r="H114" i="46" s="1"/>
  <c r="BA114" i="46"/>
  <c r="BB114" i="46" s="1"/>
  <c r="G114" i="46" s="1"/>
  <c r="DO117" i="7"/>
  <c r="AH117" i="7"/>
  <c r="BF114" i="45"/>
  <c r="BG114" i="45" s="1"/>
  <c r="H114" i="45" s="1"/>
  <c r="I114" i="45" s="1"/>
  <c r="BA114" i="45"/>
  <c r="BB114" i="45" s="1"/>
  <c r="G114" i="45" s="1"/>
  <c r="DE117" i="7"/>
  <c r="BA114" i="38"/>
  <c r="BB114" i="38" s="1"/>
  <c r="G114" i="38" s="1"/>
  <c r="AY116" i="45"/>
  <c r="AY116" i="38"/>
  <c r="AY116" i="46"/>
  <c r="AR115" i="38"/>
  <c r="AR115" i="46"/>
  <c r="AR115" i="45"/>
  <c r="AZ115" i="45"/>
  <c r="AS116" i="38"/>
  <c r="AS116" i="46"/>
  <c r="AS116" i="45"/>
  <c r="AT116" i="46"/>
  <c r="AT116" i="38"/>
  <c r="AT116" i="45"/>
  <c r="CP117" i="7"/>
  <c r="AE117" i="4"/>
  <c r="AD117" i="4"/>
  <c r="P117" i="4"/>
  <c r="Q117" i="4"/>
  <c r="AX116" i="38"/>
  <c r="AX116" i="45"/>
  <c r="AX116" i="46"/>
  <c r="AZ115" i="38"/>
  <c r="AV114" i="45"/>
  <c r="AW114" i="45" s="1"/>
  <c r="F114" i="45" s="1"/>
  <c r="BI116" i="41"/>
  <c r="CV117" i="7"/>
  <c r="BD115" i="38"/>
  <c r="BE115" i="38" s="1"/>
  <c r="EV115" i="38"/>
  <c r="FG115" i="38" s="1"/>
  <c r="BD115" i="46"/>
  <c r="BE115" i="46" s="1"/>
  <c r="BD115" i="45"/>
  <c r="BE115" i="45" s="1"/>
  <c r="X117" i="7"/>
  <c r="BN117" i="7"/>
  <c r="K117" i="6"/>
  <c r="U117" i="6"/>
  <c r="N117" i="6"/>
  <c r="O117" i="6"/>
  <c r="H117" i="6"/>
  <c r="L117" i="6"/>
  <c r="I117" i="6"/>
  <c r="Q117" i="6"/>
  <c r="R117" i="6"/>
  <c r="T117" i="6"/>
  <c r="A118" i="45"/>
  <c r="O118" i="45" s="1"/>
  <c r="R118" i="45" s="1"/>
  <c r="A119" i="55"/>
  <c r="A118" i="4"/>
  <c r="A118" i="38"/>
  <c r="CV118" i="38" s="1"/>
  <c r="A118" i="6"/>
  <c r="A118" i="41"/>
  <c r="A118" i="7"/>
  <c r="FF118" i="7" s="1"/>
  <c r="A118" i="46"/>
  <c r="O118" i="46" s="1"/>
  <c r="R118" i="46" s="1"/>
  <c r="CH117" i="7"/>
  <c r="P117" i="7"/>
  <c r="CG117" i="7"/>
  <c r="BZ117" i="7"/>
  <c r="L117" i="7"/>
  <c r="CE117" i="7"/>
  <c r="CE118" i="7" s="1"/>
  <c r="DW117" i="7"/>
  <c r="DA117" i="7"/>
  <c r="CY117" i="7"/>
  <c r="K117" i="7"/>
  <c r="BY117" i="7"/>
  <c r="U117" i="7"/>
  <c r="AY117" i="7"/>
  <c r="CX117" i="7"/>
  <c r="CX118" i="7" s="1"/>
  <c r="CA117" i="7"/>
  <c r="BQ117" i="7"/>
  <c r="BI117" i="7"/>
  <c r="JJ116" i="45"/>
  <c r="JK116" i="45"/>
  <c r="JI116" i="45"/>
  <c r="BJ117" i="7"/>
  <c r="BF117" i="7"/>
  <c r="JE116" i="46"/>
  <c r="FP116" i="46"/>
  <c r="FT116" i="46"/>
  <c r="FX116" i="46"/>
  <c r="GB116" i="46"/>
  <c r="GF116" i="46"/>
  <c r="GJ116" i="46"/>
  <c r="GN116" i="46"/>
  <c r="GR116" i="46"/>
  <c r="GV116" i="46"/>
  <c r="GZ116" i="46"/>
  <c r="HD116" i="46"/>
  <c r="HH116" i="46"/>
  <c r="HL116" i="46"/>
  <c r="HP116" i="46"/>
  <c r="HT116" i="46"/>
  <c r="HX116" i="46"/>
  <c r="IB116" i="46"/>
  <c r="IF116" i="46"/>
  <c r="IJ116" i="46"/>
  <c r="IN116" i="46"/>
  <c r="IR116" i="46"/>
  <c r="IV116" i="46"/>
  <c r="IZ116" i="46"/>
  <c r="JD116" i="46"/>
  <c r="GW116" i="46"/>
  <c r="HU116" i="46"/>
  <c r="IG116" i="46"/>
  <c r="IO116" i="46"/>
  <c r="JA116" i="46"/>
  <c r="FQ116" i="46"/>
  <c r="FU116" i="46"/>
  <c r="FY116" i="46"/>
  <c r="GC116" i="46"/>
  <c r="GG116" i="46"/>
  <c r="GK116" i="46"/>
  <c r="GO116" i="46"/>
  <c r="GS116" i="46"/>
  <c r="HA116" i="46"/>
  <c r="HE116" i="46"/>
  <c r="HI116" i="46"/>
  <c r="HM116" i="46"/>
  <c r="HQ116" i="46"/>
  <c r="HY116" i="46"/>
  <c r="IC116" i="46"/>
  <c r="IK116" i="46"/>
  <c r="IS116" i="46"/>
  <c r="IW116" i="46"/>
  <c r="JF116" i="46"/>
  <c r="FR116" i="46"/>
  <c r="FV116" i="46"/>
  <c r="FZ116" i="46"/>
  <c r="GD116" i="46"/>
  <c r="GH116" i="46"/>
  <c r="GL116" i="46"/>
  <c r="GP116" i="46"/>
  <c r="GT116" i="46"/>
  <c r="GX116" i="46"/>
  <c r="HB116" i="46"/>
  <c r="HF116" i="46"/>
  <c r="HJ116" i="46"/>
  <c r="HN116" i="46"/>
  <c r="HR116" i="46"/>
  <c r="HV116" i="46"/>
  <c r="HZ116" i="46"/>
  <c r="ID116" i="46"/>
  <c r="IH116" i="46"/>
  <c r="IL116" i="46"/>
  <c r="IP116" i="46"/>
  <c r="IT116" i="46"/>
  <c r="IX116" i="46"/>
  <c r="JB116" i="46"/>
  <c r="FS116" i="46"/>
  <c r="FW116" i="46"/>
  <c r="GA116" i="46"/>
  <c r="GE116" i="46"/>
  <c r="GI116" i="46"/>
  <c r="GM116" i="46"/>
  <c r="GQ116" i="46"/>
  <c r="GU116" i="46"/>
  <c r="GY116" i="46"/>
  <c r="HC116" i="46"/>
  <c r="HG116" i="46"/>
  <c r="HK116" i="46"/>
  <c r="HO116" i="46"/>
  <c r="HS116" i="46"/>
  <c r="HW116" i="46"/>
  <c r="IA116" i="46"/>
  <c r="IE116" i="46"/>
  <c r="II116" i="46"/>
  <c r="IM116" i="46"/>
  <c r="IQ116" i="46"/>
  <c r="IU116" i="46"/>
  <c r="IY116" i="46"/>
  <c r="JC116" i="46"/>
  <c r="FS116" i="38"/>
  <c r="CX116" i="41" s="1"/>
  <c r="FW116" i="38"/>
  <c r="GA116" i="38"/>
  <c r="GE116" i="38"/>
  <c r="GI116" i="38"/>
  <c r="GM116" i="38"/>
  <c r="GQ116" i="38"/>
  <c r="GU116" i="38"/>
  <c r="GY116" i="38"/>
  <c r="HC116" i="38"/>
  <c r="HG116" i="38"/>
  <c r="HK116" i="38"/>
  <c r="HO116" i="38"/>
  <c r="HS116" i="38"/>
  <c r="HW116" i="38"/>
  <c r="IA116" i="38"/>
  <c r="IE116" i="38"/>
  <c r="II116" i="38"/>
  <c r="IM116" i="38"/>
  <c r="IQ116" i="38"/>
  <c r="IU116" i="38"/>
  <c r="IY116" i="38"/>
  <c r="JC116" i="38"/>
  <c r="JG116" i="38"/>
  <c r="FT116" i="38"/>
  <c r="FX116" i="38"/>
  <c r="CY116" i="41" s="1"/>
  <c r="GF116" i="38"/>
  <c r="GJ116" i="38"/>
  <c r="GR116" i="38"/>
  <c r="GZ116" i="38"/>
  <c r="HD116" i="38"/>
  <c r="HL116" i="38"/>
  <c r="HP116" i="38"/>
  <c r="HX116" i="38"/>
  <c r="IF116" i="38"/>
  <c r="IN116" i="38"/>
  <c r="IV116" i="38"/>
  <c r="JD116" i="38"/>
  <c r="GB116" i="38"/>
  <c r="GN116" i="38"/>
  <c r="GV116" i="38"/>
  <c r="HH116" i="38"/>
  <c r="HT116" i="38"/>
  <c r="IB116" i="38"/>
  <c r="IJ116" i="38"/>
  <c r="IR116" i="38"/>
  <c r="IZ116" i="38"/>
  <c r="FU116" i="38"/>
  <c r="FY116" i="38"/>
  <c r="GC116" i="38"/>
  <c r="GG116" i="38"/>
  <c r="GK116" i="38"/>
  <c r="GO116" i="38"/>
  <c r="GS116" i="38"/>
  <c r="GW116" i="38"/>
  <c r="HA116" i="38"/>
  <c r="HE116" i="38"/>
  <c r="HI116" i="38"/>
  <c r="HM116" i="38"/>
  <c r="HQ116" i="38"/>
  <c r="HU116" i="38"/>
  <c r="HY116" i="38"/>
  <c r="IC116" i="38"/>
  <c r="IG116" i="38"/>
  <c r="IK116" i="38"/>
  <c r="IO116" i="38"/>
  <c r="IS116" i="38"/>
  <c r="IW116" i="38"/>
  <c r="JA116" i="38"/>
  <c r="JE116" i="38"/>
  <c r="JF116" i="38"/>
  <c r="CW116" i="41"/>
  <c r="FV116" i="38"/>
  <c r="FZ116" i="38"/>
  <c r="GD116" i="38"/>
  <c r="GH116" i="38"/>
  <c r="GL116" i="38"/>
  <c r="GP116" i="38"/>
  <c r="GT116" i="38"/>
  <c r="GX116" i="38"/>
  <c r="HB116" i="38"/>
  <c r="HF116" i="38"/>
  <c r="HJ116" i="38"/>
  <c r="HN116" i="38"/>
  <c r="HR116" i="38"/>
  <c r="HV116" i="38"/>
  <c r="HZ116" i="38"/>
  <c r="ID116" i="38"/>
  <c r="IH116" i="38"/>
  <c r="IL116" i="38"/>
  <c r="IP116" i="38"/>
  <c r="IT116" i="38"/>
  <c r="IX116" i="38"/>
  <c r="JB116" i="38"/>
  <c r="AX117" i="7"/>
  <c r="DL117" i="7"/>
  <c r="M117" i="45"/>
  <c r="L117" i="45"/>
  <c r="K117" i="45"/>
  <c r="FK117" i="45"/>
  <c r="AO117" i="46"/>
  <c r="AU117" i="41" s="1"/>
  <c r="BC117" i="41" s="1"/>
  <c r="K117" i="46"/>
  <c r="FK117" i="46"/>
  <c r="JH117" i="46" s="1"/>
  <c r="M117" i="46"/>
  <c r="AN117" i="46"/>
  <c r="AQ117" i="41" s="1"/>
  <c r="AY117" i="41" s="1"/>
  <c r="L117" i="46"/>
  <c r="AC117" i="46"/>
  <c r="DU117" i="7"/>
  <c r="CW117" i="7"/>
  <c r="J117" i="7"/>
  <c r="BK117" i="7"/>
  <c r="DI117" i="7"/>
  <c r="M117" i="7"/>
  <c r="AZ117" i="7"/>
  <c r="AG117" i="7"/>
  <c r="DX117" i="7"/>
  <c r="DM117" i="7"/>
  <c r="AB117" i="7"/>
  <c r="BA117" i="7"/>
  <c r="AK117" i="7"/>
  <c r="BC116" i="45"/>
  <c r="BC116" i="46"/>
  <c r="BC116" i="38"/>
  <c r="DD117" i="7"/>
  <c r="CN117" i="7"/>
  <c r="BV117" i="7"/>
  <c r="DT117" i="7"/>
  <c r="G114" i="41"/>
  <c r="K114" i="41"/>
  <c r="W116" i="41"/>
  <c r="U116" i="41"/>
  <c r="Z115" i="41"/>
  <c r="AD115" i="41" s="1"/>
  <c r="V116" i="41"/>
  <c r="Q115" i="41"/>
  <c r="AF117" i="7"/>
  <c r="BS117" i="7"/>
  <c r="BO117" i="7"/>
  <c r="AC117" i="7"/>
  <c r="M117" i="4"/>
  <c r="V117" i="4"/>
  <c r="J117" i="4"/>
  <c r="H117" i="4"/>
  <c r="K117" i="4"/>
  <c r="Y117" i="4"/>
  <c r="C117" i="4"/>
  <c r="G117" i="4"/>
  <c r="AB117" i="4"/>
  <c r="AA117" i="4"/>
  <c r="X117" i="4"/>
  <c r="D117" i="4"/>
  <c r="U117" i="4"/>
  <c r="N117" i="4"/>
  <c r="L114" i="41"/>
  <c r="H114" i="41"/>
  <c r="BW117" i="7"/>
  <c r="Z117" i="7"/>
  <c r="Y117" i="7"/>
  <c r="CR117" i="7"/>
  <c r="AI117" i="7"/>
  <c r="AA117" i="7"/>
  <c r="DH117" i="7"/>
  <c r="DF117" i="7"/>
  <c r="Q117" i="7"/>
  <c r="DN117" i="7"/>
  <c r="R117" i="7"/>
  <c r="S117" i="7"/>
  <c r="DP117" i="7"/>
  <c r="T117" i="7"/>
  <c r="I114" i="41"/>
  <c r="M114" i="41"/>
  <c r="S115" i="41"/>
  <c r="AB115" i="41"/>
  <c r="AF115" i="41" s="1"/>
  <c r="AL115" i="41" s="1"/>
  <c r="BX117" i="38"/>
  <c r="BJ117" i="41" s="1"/>
  <c r="BR117" i="38"/>
  <c r="BH117" i="41" s="1"/>
  <c r="BT117" i="38"/>
  <c r="BG117" i="41" s="1"/>
  <c r="M117" i="38"/>
  <c r="AO117" i="38"/>
  <c r="BU117" i="38"/>
  <c r="EM117" i="38"/>
  <c r="CE117" i="41" s="1"/>
  <c r="BQ117" i="38"/>
  <c r="EL117" i="38"/>
  <c r="CF117" i="41" s="1"/>
  <c r="EN117" i="38"/>
  <c r="BW117" i="38"/>
  <c r="L117" i="38"/>
  <c r="AN117" i="38"/>
  <c r="AO117" i="41" s="1"/>
  <c r="AW117" i="41" s="1"/>
  <c r="BV117" i="38"/>
  <c r="BS117" i="38"/>
  <c r="FN117" i="38"/>
  <c r="JI117" i="38" s="1"/>
  <c r="K117" i="38"/>
  <c r="H117" i="7"/>
  <c r="N117" i="7" s="1"/>
  <c r="DG117" i="7"/>
  <c r="DY117" i="7"/>
  <c r="I117" i="7"/>
  <c r="BC117" i="7"/>
  <c r="BR117" i="7"/>
  <c r="CI117" i="7"/>
  <c r="CQ117" i="7"/>
  <c r="DV117" i="7"/>
  <c r="BH117" i="7"/>
  <c r="DQ117" i="7"/>
  <c r="CS117" i="7"/>
  <c r="CO117" i="7"/>
  <c r="BB117" i="7"/>
  <c r="BG117" i="7"/>
  <c r="S116" i="45"/>
  <c r="P116" i="45"/>
  <c r="Q116" i="45"/>
  <c r="D116" i="41"/>
  <c r="BX117" i="7"/>
  <c r="CD117" i="7"/>
  <c r="CZ117" i="7"/>
  <c r="X116" i="46"/>
  <c r="W116" i="46"/>
  <c r="AI116" i="46"/>
  <c r="S116" i="46"/>
  <c r="AF116" i="46"/>
  <c r="E116" i="41"/>
  <c r="T116" i="46"/>
  <c r="Y116" i="46"/>
  <c r="FL116" i="46" s="1"/>
  <c r="V116" i="46"/>
  <c r="FM116" i="46" s="1"/>
  <c r="Z116" i="46"/>
  <c r="U116" i="46"/>
  <c r="AE116" i="46"/>
  <c r="P116" i="46"/>
  <c r="AJ116" i="46"/>
  <c r="AB116" i="46"/>
  <c r="AK116" i="46"/>
  <c r="AJ116" i="41" s="1"/>
  <c r="AG116" i="46"/>
  <c r="Q116" i="46"/>
  <c r="AH116" i="46"/>
  <c r="AA116" i="46"/>
  <c r="AD116" i="46"/>
  <c r="JH15" i="46" s="1"/>
  <c r="CP116" i="38"/>
  <c r="BW116" i="41" s="1"/>
  <c r="AF116" i="38"/>
  <c r="C116" i="41"/>
  <c r="U116" i="38"/>
  <c r="AD116" i="38"/>
  <c r="CR116" i="38"/>
  <c r="CL116" i="38"/>
  <c r="CI116" i="38"/>
  <c r="BQ116" i="41" s="1"/>
  <c r="CJ116" i="38"/>
  <c r="BR116" i="41" s="1"/>
  <c r="AE116" i="38"/>
  <c r="AG116" i="38"/>
  <c r="CE116" i="38"/>
  <c r="BO116" i="41" s="1"/>
  <c r="CD116" i="38"/>
  <c r="BN116" i="41" s="1"/>
  <c r="AH116" i="38"/>
  <c r="V116" i="38"/>
  <c r="FP116" i="38" s="1"/>
  <c r="X116" i="38"/>
  <c r="CC116" i="38"/>
  <c r="BM116" i="41" s="1"/>
  <c r="CO116" i="38"/>
  <c r="BV116" i="41" s="1"/>
  <c r="AI116" i="38"/>
  <c r="P116" i="38"/>
  <c r="Y116" i="38"/>
  <c r="FO116" i="38" s="1"/>
  <c r="Z116" i="38"/>
  <c r="Q116" i="38"/>
  <c r="AA116" i="38"/>
  <c r="CF116" i="38"/>
  <c r="CH116" i="38"/>
  <c r="BT116" i="41" s="1"/>
  <c r="CB116" i="38"/>
  <c r="BL116" i="41" s="1"/>
  <c r="CK116" i="38"/>
  <c r="BS116" i="41" s="1"/>
  <c r="CN116" i="38"/>
  <c r="BY116" i="41" s="1"/>
  <c r="AB116" i="38"/>
  <c r="S116" i="38"/>
  <c r="AJ116" i="38"/>
  <c r="T116" i="38"/>
  <c r="AK116" i="38"/>
  <c r="AH116" i="41" s="1"/>
  <c r="W116" i="38"/>
  <c r="AJ117" i="7"/>
  <c r="JH79" i="46"/>
  <c r="JH65" i="46"/>
  <c r="JH55" i="46"/>
  <c r="JH8" i="46"/>
  <c r="JH27" i="46"/>
  <c r="JH84" i="46"/>
  <c r="JH93" i="46"/>
  <c r="JH52" i="46"/>
  <c r="JH45" i="46"/>
  <c r="JH6" i="46"/>
  <c r="JH30" i="46"/>
  <c r="JH94" i="46"/>
  <c r="JH57" i="46"/>
  <c r="JH74" i="46"/>
  <c r="JH44" i="46"/>
  <c r="JI18" i="46"/>
  <c r="JH99" i="46"/>
  <c r="JH85" i="46"/>
  <c r="JH75" i="46"/>
  <c r="JH37" i="46"/>
  <c r="JH47" i="46"/>
  <c r="JH102" i="46"/>
  <c r="JH103" i="46"/>
  <c r="JH104" i="46"/>
  <c r="JH105" i="46"/>
  <c r="JH86" i="46"/>
  <c r="JH72" i="46"/>
  <c r="JH66" i="46"/>
  <c r="JH36" i="46"/>
  <c r="JH5" i="46"/>
  <c r="JH91" i="46"/>
  <c r="JH77" i="46"/>
  <c r="JH67" i="46"/>
  <c r="JH29" i="46"/>
  <c r="JH39" i="46"/>
  <c r="JH96" i="46"/>
  <c r="JH78" i="46"/>
  <c r="JH64" i="46"/>
  <c r="JH58" i="46"/>
  <c r="JH28" i="46"/>
  <c r="JH42" i="46"/>
  <c r="JH83" i="46"/>
  <c r="JH69" i="46"/>
  <c r="JH59" i="46"/>
  <c r="JH21" i="46"/>
  <c r="JH31" i="46"/>
  <c r="JH88" i="46"/>
  <c r="JH97" i="46"/>
  <c r="JH56" i="46"/>
  <c r="JH50" i="46"/>
  <c r="JH20" i="46"/>
  <c r="JH34" i="46"/>
  <c r="JH98" i="46"/>
  <c r="JH61" i="46"/>
  <c r="JH51" i="46"/>
  <c r="JH48" i="46"/>
  <c r="JH23" i="46"/>
  <c r="JH80" i="46"/>
  <c r="JH89" i="46"/>
  <c r="JH76" i="46"/>
  <c r="JH41" i="46"/>
  <c r="JH49" i="46"/>
  <c r="JH26" i="46"/>
  <c r="JH90" i="46"/>
  <c r="JH53" i="46"/>
  <c r="JH70" i="46"/>
  <c r="JH40" i="46"/>
  <c r="JH38" i="46"/>
  <c r="JH95" i="46"/>
  <c r="JH81" i="46"/>
  <c r="JH71" i="46"/>
  <c r="JH33" i="46"/>
  <c r="JH43" i="46"/>
  <c r="JH100" i="46"/>
  <c r="JH82" i="46"/>
  <c r="JH68" i="46"/>
  <c r="JH62" i="46"/>
  <c r="JH32" i="46"/>
  <c r="JH46" i="46"/>
  <c r="JH87" i="46"/>
  <c r="JH73" i="46"/>
  <c r="JH63" i="46"/>
  <c r="JH25" i="46"/>
  <c r="JH35" i="46"/>
  <c r="JH92" i="46"/>
  <c r="JH101" i="46"/>
  <c r="JH60" i="46"/>
  <c r="JH54" i="46"/>
  <c r="JH24" i="46"/>
  <c r="JH22" i="46"/>
  <c r="JH106" i="46"/>
  <c r="JH107" i="46"/>
  <c r="JH109" i="46"/>
  <c r="JH110" i="46"/>
  <c r="JH116" i="46"/>
  <c r="JH112" i="46"/>
  <c r="JH114" i="46"/>
  <c r="JH108" i="46"/>
  <c r="JH111" i="46"/>
  <c r="JH113" i="46"/>
  <c r="JH115" i="46"/>
  <c r="JI89" i="38"/>
  <c r="JI70" i="38"/>
  <c r="JI46" i="38"/>
  <c r="JI41" i="38"/>
  <c r="JI21" i="38"/>
  <c r="JI88" i="38"/>
  <c r="JI66" i="38"/>
  <c r="JI57" i="38"/>
  <c r="JI37" i="38"/>
  <c r="JI26" i="38"/>
  <c r="JI91" i="38"/>
  <c r="JI79" i="38"/>
  <c r="JI54" i="38"/>
  <c r="JI43" i="38"/>
  <c r="JI35" i="38"/>
  <c r="JI95" i="38"/>
  <c r="JI76" i="38"/>
  <c r="JI63" i="38"/>
  <c r="JI44" i="38"/>
  <c r="JJ18" i="38"/>
  <c r="JI104" i="38"/>
  <c r="JI78" i="38"/>
  <c r="JI65" i="38"/>
  <c r="JI56" i="38"/>
  <c r="JI32" i="38"/>
  <c r="JI5" i="38"/>
  <c r="JI74" i="38"/>
  <c r="JI61" i="38"/>
  <c r="JI52" i="38"/>
  <c r="JI28" i="38"/>
  <c r="JI8" i="38"/>
  <c r="JI87" i="38"/>
  <c r="JI62" i="38"/>
  <c r="JI53" i="38"/>
  <c r="JI33" i="38"/>
  <c r="JI22" i="38"/>
  <c r="JI90" i="38"/>
  <c r="JI75" i="38"/>
  <c r="JI50" i="38"/>
  <c r="JI39" i="38"/>
  <c r="JI34" i="38"/>
  <c r="JI98" i="38"/>
  <c r="JI100" i="38"/>
  <c r="JI97" i="38"/>
  <c r="JI73" i="38"/>
  <c r="JI60" i="38"/>
  <c r="JI51" i="38"/>
  <c r="JI31" i="38"/>
  <c r="JI96" i="38"/>
  <c r="JI84" i="38"/>
  <c r="JI71" i="38"/>
  <c r="JI47" i="38"/>
  <c r="JI27" i="38"/>
  <c r="JI94" i="38"/>
  <c r="JI81" i="38"/>
  <c r="JI68" i="38"/>
  <c r="JI48" i="38"/>
  <c r="JI24" i="38"/>
  <c r="JI25" i="38"/>
  <c r="JI82" i="38"/>
  <c r="JI69" i="38"/>
  <c r="JI49" i="38"/>
  <c r="JI38" i="38"/>
  <c r="JI29" i="38"/>
  <c r="JI102" i="38"/>
  <c r="JI105" i="38"/>
  <c r="JI86" i="38"/>
  <c r="JI72" i="38"/>
  <c r="JI59" i="38"/>
  <c r="JI40" i="38"/>
  <c r="JI30" i="38"/>
  <c r="JI85" i="38"/>
  <c r="JI83" i="38"/>
  <c r="JI58" i="38"/>
  <c r="JI36" i="38"/>
  <c r="JI42" i="38"/>
  <c r="JI92" i="38"/>
  <c r="JI80" i="38"/>
  <c r="JI67" i="38"/>
  <c r="JI45" i="38"/>
  <c r="JI23" i="38"/>
  <c r="JI93" i="38"/>
  <c r="JI77" i="38"/>
  <c r="JI64" i="38"/>
  <c r="JI55" i="38"/>
  <c r="JI20" i="38"/>
  <c r="JI6" i="38"/>
  <c r="JI99" i="38"/>
  <c r="JI101" i="38"/>
  <c r="JI103" i="38"/>
  <c r="JI107" i="38"/>
  <c r="JI110" i="38"/>
  <c r="JI108" i="38"/>
  <c r="JI114" i="38"/>
  <c r="JI115" i="38"/>
  <c r="JI106" i="38"/>
  <c r="JI112" i="38"/>
  <c r="JI113" i="38"/>
  <c r="JI109" i="38"/>
  <c r="JI111" i="38"/>
  <c r="JI116" i="38"/>
  <c r="JI15" i="38"/>
  <c r="CY118" i="38" l="1"/>
  <c r="DD118" i="38" s="1"/>
  <c r="CZ118" i="38"/>
  <c r="DE118" i="38" s="1"/>
  <c r="CW118" i="38"/>
  <c r="DB118" i="38" s="1"/>
  <c r="CX118" i="38"/>
  <c r="DC118" i="38" s="1"/>
  <c r="DA118" i="38"/>
  <c r="O118" i="38"/>
  <c r="R118" i="38" s="1"/>
  <c r="AS117" i="41"/>
  <c r="BA117" i="41" s="1"/>
  <c r="AS118" i="4"/>
  <c r="AT118" i="4"/>
  <c r="AO118" i="4"/>
  <c r="AQ118" i="4"/>
  <c r="AR118" i="4"/>
  <c r="AP118" i="4"/>
  <c r="FH117" i="7"/>
  <c r="ER117" i="7"/>
  <c r="I114" i="38"/>
  <c r="J114" i="38" s="1"/>
  <c r="FP117" i="7"/>
  <c r="EJ117" i="7"/>
  <c r="EZ117" i="7"/>
  <c r="I114" i="46"/>
  <c r="AD117" i="7"/>
  <c r="V118" i="7"/>
  <c r="EF118" i="7"/>
  <c r="EW118" i="7"/>
  <c r="EP118" i="7"/>
  <c r="FM118" i="7"/>
  <c r="EI118" i="7"/>
  <c r="EQ118" i="7"/>
  <c r="FO118" i="7"/>
  <c r="EV118" i="7"/>
  <c r="FC118" i="7"/>
  <c r="EN118" i="7"/>
  <c r="EO118" i="7"/>
  <c r="EH118" i="7"/>
  <c r="FG118" i="7"/>
  <c r="FE118" i="7"/>
  <c r="EX118" i="7"/>
  <c r="EL118" i="7"/>
  <c r="EM118" i="7"/>
  <c r="FD118" i="7"/>
  <c r="ED118" i="7"/>
  <c r="FL118" i="7"/>
  <c r="EY118" i="7"/>
  <c r="FB118" i="7"/>
  <c r="ET118" i="7"/>
  <c r="FK118" i="7"/>
  <c r="FJ118" i="7"/>
  <c r="EE118" i="7"/>
  <c r="EG118" i="7"/>
  <c r="EU118" i="7"/>
  <c r="FN118" i="7"/>
  <c r="FH116" i="38"/>
  <c r="FI116" i="38"/>
  <c r="CC117" i="38"/>
  <c r="BM117" i="41" s="1"/>
  <c r="AC117" i="38"/>
  <c r="BU105" i="38"/>
  <c r="W105" i="38"/>
  <c r="U106" i="41"/>
  <c r="T106" i="38"/>
  <c r="AV115" i="46"/>
  <c r="AW115" i="46" s="1"/>
  <c r="F115" i="46" s="1"/>
  <c r="AV115" i="38"/>
  <c r="AW115" i="38" s="1"/>
  <c r="F115" i="38" s="1"/>
  <c r="T104" i="46"/>
  <c r="W104" i="46" s="1"/>
  <c r="W104" i="41"/>
  <c r="V104" i="41"/>
  <c r="T104" i="45"/>
  <c r="R118" i="7"/>
  <c r="DH118" i="7"/>
  <c r="Y118" i="7"/>
  <c r="DO118" i="7"/>
  <c r="AV115" i="45"/>
  <c r="AW115" i="45" s="1"/>
  <c r="F115" i="45" s="1"/>
  <c r="AB118" i="7"/>
  <c r="AZ118" i="7"/>
  <c r="AH118" i="7"/>
  <c r="BF115" i="38"/>
  <c r="BG115" i="38" s="1"/>
  <c r="H115" i="38" s="1"/>
  <c r="BA115" i="45"/>
  <c r="BB115" i="45" s="1"/>
  <c r="G115" i="45" s="1"/>
  <c r="CS118" i="7"/>
  <c r="CQ118" i="7"/>
  <c r="I118" i="7"/>
  <c r="DP118" i="7"/>
  <c r="AI118" i="7"/>
  <c r="BO118" i="7"/>
  <c r="AK118" i="7"/>
  <c r="DX118" i="7"/>
  <c r="DI118" i="7"/>
  <c r="DU118" i="7"/>
  <c r="BJ118" i="7"/>
  <c r="BQ118" i="7"/>
  <c r="U118" i="7"/>
  <c r="DA118" i="7"/>
  <c r="BZ118" i="7"/>
  <c r="Q118" i="7"/>
  <c r="BW118" i="7"/>
  <c r="BX118" i="7"/>
  <c r="BB118" i="7"/>
  <c r="BH118" i="7"/>
  <c r="BR118" i="7"/>
  <c r="DG118" i="7"/>
  <c r="CH118" i="7"/>
  <c r="CZ118" i="7"/>
  <c r="CO118" i="7"/>
  <c r="DV118" i="7"/>
  <c r="BC118" i="7"/>
  <c r="S118" i="7"/>
  <c r="DF118" i="7"/>
  <c r="CR118" i="7"/>
  <c r="BS118" i="7"/>
  <c r="BA118" i="7"/>
  <c r="AG118" i="7"/>
  <c r="BK118" i="7"/>
  <c r="CA118" i="7"/>
  <c r="BY118" i="7"/>
  <c r="DW118" i="7"/>
  <c r="CG118" i="7"/>
  <c r="AU116" i="38"/>
  <c r="AJ118" i="7"/>
  <c r="BG118" i="7"/>
  <c r="DQ118" i="7"/>
  <c r="CI118" i="7"/>
  <c r="DY118" i="7"/>
  <c r="T118" i="7"/>
  <c r="DN118" i="7"/>
  <c r="AA118" i="7"/>
  <c r="Z118" i="7"/>
  <c r="AC118" i="7"/>
  <c r="DM118" i="7"/>
  <c r="CW118" i="7"/>
  <c r="BI118" i="7"/>
  <c r="AY118" i="7"/>
  <c r="CY118" i="7"/>
  <c r="BF115" i="45"/>
  <c r="BG115" i="45" s="1"/>
  <c r="H115" i="45" s="1"/>
  <c r="I115" i="45" s="1"/>
  <c r="BA115" i="38"/>
  <c r="BB115" i="38" s="1"/>
  <c r="G115" i="38" s="1"/>
  <c r="AZ116" i="45"/>
  <c r="BA115" i="46"/>
  <c r="BB115" i="46" s="1"/>
  <c r="G115" i="46" s="1"/>
  <c r="AS117" i="38"/>
  <c r="AS117" i="46"/>
  <c r="AS117" i="45"/>
  <c r="AT117" i="45"/>
  <c r="AT117" i="46"/>
  <c r="AT117" i="38"/>
  <c r="AY117" i="45"/>
  <c r="AY117" i="38"/>
  <c r="AY117" i="46"/>
  <c r="J118" i="7"/>
  <c r="FB117" i="38"/>
  <c r="K118" i="7"/>
  <c r="EW118" i="38" s="1"/>
  <c r="EW117" i="38"/>
  <c r="AE118" i="4"/>
  <c r="AD118" i="4"/>
  <c r="Q118" i="4"/>
  <c r="P118" i="4"/>
  <c r="AZ116" i="46"/>
  <c r="AX117" i="38"/>
  <c r="AX117" i="45"/>
  <c r="AX117" i="46"/>
  <c r="M118" i="7"/>
  <c r="EX117" i="38"/>
  <c r="EY117" i="38" s="1"/>
  <c r="L118" i="7"/>
  <c r="FC118" i="38" s="1"/>
  <c r="FD118" i="38" s="1"/>
  <c r="FC117" i="38"/>
  <c r="FD117" i="38" s="1"/>
  <c r="AU116" i="45"/>
  <c r="AR116" i="45"/>
  <c r="AR116" i="46"/>
  <c r="AR116" i="38"/>
  <c r="BF115" i="46"/>
  <c r="BG115" i="46" s="1"/>
  <c r="H115" i="46" s="1"/>
  <c r="AZ116" i="38"/>
  <c r="AU116" i="46"/>
  <c r="CL117" i="38"/>
  <c r="CR117" i="38"/>
  <c r="W117" i="41"/>
  <c r="G115" i="41"/>
  <c r="Q116" i="41"/>
  <c r="Z116" i="41"/>
  <c r="AD116" i="41" s="1"/>
  <c r="K115" i="41"/>
  <c r="U117" i="41"/>
  <c r="V117" i="41"/>
  <c r="CD118" i="7"/>
  <c r="CB117" i="38"/>
  <c r="BL117" i="41" s="1"/>
  <c r="DT118" i="7"/>
  <c r="CN118" i="7"/>
  <c r="P118" i="7"/>
  <c r="CF118" i="7"/>
  <c r="DE118" i="7"/>
  <c r="BP118" i="7"/>
  <c r="J118" i="4"/>
  <c r="H118" i="4"/>
  <c r="AB118" i="4"/>
  <c r="V118" i="4"/>
  <c r="D118" i="4"/>
  <c r="K118" i="4"/>
  <c r="N118" i="4"/>
  <c r="AA118" i="4"/>
  <c r="G118" i="4"/>
  <c r="X118" i="4"/>
  <c r="M118" i="4"/>
  <c r="C118" i="4"/>
  <c r="U118" i="4"/>
  <c r="Y118" i="4"/>
  <c r="BI117" i="41"/>
  <c r="A119" i="38"/>
  <c r="CV119" i="38" s="1"/>
  <c r="A119" i="6"/>
  <c r="A119" i="45"/>
  <c r="O119" i="45" s="1"/>
  <c r="R119" i="45" s="1"/>
  <c r="A120" i="55"/>
  <c r="A119" i="7"/>
  <c r="CX119" i="7" s="1"/>
  <c r="A119" i="41"/>
  <c r="A119" i="4"/>
  <c r="A119" i="46"/>
  <c r="O119" i="46" s="1"/>
  <c r="R119" i="46" s="1"/>
  <c r="CV118" i="7"/>
  <c r="L115" i="41"/>
  <c r="H115" i="41"/>
  <c r="H118" i="7"/>
  <c r="FU117" i="38"/>
  <c r="FY117" i="38"/>
  <c r="GC117" i="38"/>
  <c r="GG117" i="38"/>
  <c r="GK117" i="38"/>
  <c r="GO117" i="38"/>
  <c r="GS117" i="38"/>
  <c r="GW117" i="38"/>
  <c r="HA117" i="38"/>
  <c r="HE117" i="38"/>
  <c r="HI117" i="38"/>
  <c r="HM117" i="38"/>
  <c r="HQ117" i="38"/>
  <c r="HU117" i="38"/>
  <c r="HY117" i="38"/>
  <c r="IC117" i="38"/>
  <c r="IG117" i="38"/>
  <c r="IK117" i="38"/>
  <c r="IO117" i="38"/>
  <c r="IS117" i="38"/>
  <c r="IW117" i="38"/>
  <c r="JA117" i="38"/>
  <c r="JE117" i="38"/>
  <c r="JG117" i="38"/>
  <c r="CW117" i="41"/>
  <c r="FV117" i="38"/>
  <c r="FZ117" i="38"/>
  <c r="GD117" i="38"/>
  <c r="GH117" i="38"/>
  <c r="GL117" i="38"/>
  <c r="GP117" i="38"/>
  <c r="GT117" i="38"/>
  <c r="GX117" i="38"/>
  <c r="HB117" i="38"/>
  <c r="HF117" i="38"/>
  <c r="HJ117" i="38"/>
  <c r="HN117" i="38"/>
  <c r="HR117" i="38"/>
  <c r="HV117" i="38"/>
  <c r="HZ117" i="38"/>
  <c r="ID117" i="38"/>
  <c r="IH117" i="38"/>
  <c r="IL117" i="38"/>
  <c r="IP117" i="38"/>
  <c r="IT117" i="38"/>
  <c r="IX117" i="38"/>
  <c r="JB117" i="38"/>
  <c r="JF117" i="38"/>
  <c r="JH117" i="38"/>
  <c r="FS117" i="38"/>
  <c r="CX117" i="41" s="1"/>
  <c r="FW117" i="38"/>
  <c r="GA117" i="38"/>
  <c r="GE117" i="38"/>
  <c r="GI117" i="38"/>
  <c r="GM117" i="38"/>
  <c r="GQ117" i="38"/>
  <c r="GU117" i="38"/>
  <c r="GY117" i="38"/>
  <c r="HC117" i="38"/>
  <c r="HG117" i="38"/>
  <c r="HK117" i="38"/>
  <c r="HO117" i="38"/>
  <c r="HS117" i="38"/>
  <c r="HW117" i="38"/>
  <c r="IA117" i="38"/>
  <c r="IE117" i="38"/>
  <c r="II117" i="38"/>
  <c r="IM117" i="38"/>
  <c r="IQ117" i="38"/>
  <c r="IU117" i="38"/>
  <c r="IY117" i="38"/>
  <c r="JC117" i="38"/>
  <c r="FT117" i="38"/>
  <c r="FX117" i="38"/>
  <c r="CY117" i="41" s="1"/>
  <c r="GB117" i="38"/>
  <c r="GF117" i="38"/>
  <c r="GJ117" i="38"/>
  <c r="GN117" i="38"/>
  <c r="GR117" i="38"/>
  <c r="GV117" i="38"/>
  <c r="GZ117" i="38"/>
  <c r="HD117" i="38"/>
  <c r="HH117" i="38"/>
  <c r="HL117" i="38"/>
  <c r="HP117" i="38"/>
  <c r="HT117" i="38"/>
  <c r="HX117" i="38"/>
  <c r="IB117" i="38"/>
  <c r="IF117" i="38"/>
  <c r="IJ117" i="38"/>
  <c r="IN117" i="38"/>
  <c r="IR117" i="38"/>
  <c r="IV117" i="38"/>
  <c r="IZ117" i="38"/>
  <c r="JD117" i="38"/>
  <c r="AK117" i="38"/>
  <c r="AH117" i="41" s="1"/>
  <c r="Q117" i="38"/>
  <c r="P117" i="38"/>
  <c r="AI117" i="38"/>
  <c r="CF117" i="38"/>
  <c r="CK117" i="38"/>
  <c r="BS117" i="41" s="1"/>
  <c r="S117" i="38"/>
  <c r="AA117" i="38"/>
  <c r="AJ117" i="38"/>
  <c r="Z117" i="38"/>
  <c r="AB117" i="38"/>
  <c r="AG117" i="38"/>
  <c r="CI117" i="38"/>
  <c r="BQ117" i="41" s="1"/>
  <c r="CQ117" i="38"/>
  <c r="BX117" i="41" s="1"/>
  <c r="AH117" i="38"/>
  <c r="AF117" i="38"/>
  <c r="AD117" i="38"/>
  <c r="V117" i="38"/>
  <c r="FP117" i="38" s="1"/>
  <c r="T117" i="38"/>
  <c r="W117" i="38"/>
  <c r="CO117" i="38"/>
  <c r="BV117" i="41" s="1"/>
  <c r="CE117" i="38"/>
  <c r="BO117" i="41" s="1"/>
  <c r="CN117" i="38"/>
  <c r="BY117" i="41" s="1"/>
  <c r="CD117" i="38"/>
  <c r="BN117" i="41" s="1"/>
  <c r="U117" i="38"/>
  <c r="AE117" i="38"/>
  <c r="C117" i="41"/>
  <c r="Y117" i="38"/>
  <c r="FO117" i="38" s="1"/>
  <c r="X117" i="38"/>
  <c r="CJ117" i="38"/>
  <c r="BR117" i="41" s="1"/>
  <c r="CP117" i="38"/>
  <c r="BW117" i="41" s="1"/>
  <c r="CH117" i="38"/>
  <c r="BT117" i="41" s="1"/>
  <c r="BC117" i="46"/>
  <c r="BC117" i="45"/>
  <c r="BC117" i="38"/>
  <c r="P117" i="46"/>
  <c r="V117" i="46"/>
  <c r="FM117" i="46" s="1"/>
  <c r="AI117" i="46"/>
  <c r="AA117" i="46"/>
  <c r="AJ117" i="46"/>
  <c r="AD117" i="46"/>
  <c r="JI15" i="46" s="1"/>
  <c r="AG117" i="46"/>
  <c r="U117" i="46"/>
  <c r="S117" i="46"/>
  <c r="AE117" i="46"/>
  <c r="AF117" i="46"/>
  <c r="E117" i="41"/>
  <c r="Q117" i="46"/>
  <c r="Z117" i="46"/>
  <c r="Y117" i="46"/>
  <c r="FL117" i="46" s="1"/>
  <c r="T117" i="46"/>
  <c r="X117" i="46"/>
  <c r="AB117" i="46"/>
  <c r="AK117" i="46"/>
  <c r="AJ117" i="41" s="1"/>
  <c r="AH117" i="46"/>
  <c r="W117" i="46"/>
  <c r="JF117" i="46"/>
  <c r="FR117" i="46"/>
  <c r="FV117" i="46"/>
  <c r="FZ117" i="46"/>
  <c r="GD117" i="46"/>
  <c r="GH117" i="46"/>
  <c r="GL117" i="46"/>
  <c r="GP117" i="46"/>
  <c r="GT117" i="46"/>
  <c r="GX117" i="46"/>
  <c r="HB117" i="46"/>
  <c r="HF117" i="46"/>
  <c r="HJ117" i="46"/>
  <c r="HN117" i="46"/>
  <c r="HR117" i="46"/>
  <c r="HV117" i="46"/>
  <c r="HZ117" i="46"/>
  <c r="ID117" i="46"/>
  <c r="IH117" i="46"/>
  <c r="IL117" i="46"/>
  <c r="IP117" i="46"/>
  <c r="IT117" i="46"/>
  <c r="IX117" i="46"/>
  <c r="JB117" i="46"/>
  <c r="JG117" i="46"/>
  <c r="FS117" i="46"/>
  <c r="FW117" i="46"/>
  <c r="GA117" i="46"/>
  <c r="GE117" i="46"/>
  <c r="GI117" i="46"/>
  <c r="GM117" i="46"/>
  <c r="GQ117" i="46"/>
  <c r="GU117" i="46"/>
  <c r="GY117" i="46"/>
  <c r="HC117" i="46"/>
  <c r="HG117" i="46"/>
  <c r="HK117" i="46"/>
  <c r="HO117" i="46"/>
  <c r="HS117" i="46"/>
  <c r="HW117" i="46"/>
  <c r="IA117" i="46"/>
  <c r="IE117" i="46"/>
  <c r="II117" i="46"/>
  <c r="IM117" i="46"/>
  <c r="IQ117" i="46"/>
  <c r="IU117" i="46"/>
  <c r="IY117" i="46"/>
  <c r="JC117" i="46"/>
  <c r="FP117" i="46"/>
  <c r="FT117" i="46"/>
  <c r="FX117" i="46"/>
  <c r="GB117" i="46"/>
  <c r="GF117" i="46"/>
  <c r="GJ117" i="46"/>
  <c r="GN117" i="46"/>
  <c r="GR117" i="46"/>
  <c r="GV117" i="46"/>
  <c r="GZ117" i="46"/>
  <c r="HD117" i="46"/>
  <c r="HH117" i="46"/>
  <c r="HL117" i="46"/>
  <c r="HP117" i="46"/>
  <c r="HT117" i="46"/>
  <c r="HX117" i="46"/>
  <c r="IB117" i="46"/>
  <c r="IF117" i="46"/>
  <c r="IJ117" i="46"/>
  <c r="IN117" i="46"/>
  <c r="IR117" i="46"/>
  <c r="IV117" i="46"/>
  <c r="IZ117" i="46"/>
  <c r="JD117" i="46"/>
  <c r="FQ117" i="46"/>
  <c r="FU117" i="46"/>
  <c r="FY117" i="46"/>
  <c r="GC117" i="46"/>
  <c r="GG117" i="46"/>
  <c r="GK117" i="46"/>
  <c r="GO117" i="46"/>
  <c r="GS117" i="46"/>
  <c r="GW117" i="46"/>
  <c r="HA117" i="46"/>
  <c r="HE117" i="46"/>
  <c r="HI117" i="46"/>
  <c r="HM117" i="46"/>
  <c r="HQ117" i="46"/>
  <c r="HU117" i="46"/>
  <c r="HY117" i="46"/>
  <c r="IC117" i="46"/>
  <c r="IG117" i="46"/>
  <c r="IK117" i="46"/>
  <c r="IO117" i="46"/>
  <c r="IS117" i="46"/>
  <c r="IW117" i="46"/>
  <c r="JA117" i="46"/>
  <c r="JE117" i="46"/>
  <c r="JJ117" i="45"/>
  <c r="JK117" i="45"/>
  <c r="JL117" i="45"/>
  <c r="S117" i="45"/>
  <c r="D117" i="41"/>
  <c r="P117" i="45"/>
  <c r="Q117" i="45" s="1"/>
  <c r="DL118" i="7"/>
  <c r="N118" i="6"/>
  <c r="R118" i="6"/>
  <c r="U118" i="6"/>
  <c r="O118" i="6"/>
  <c r="I118" i="6"/>
  <c r="K118" i="6"/>
  <c r="T118" i="6"/>
  <c r="Q118" i="6"/>
  <c r="H118" i="6"/>
  <c r="L118" i="6"/>
  <c r="K118" i="45"/>
  <c r="FK118" i="45"/>
  <c r="L118" i="45"/>
  <c r="M118" i="45"/>
  <c r="BN118" i="7"/>
  <c r="M115" i="41"/>
  <c r="I115" i="41"/>
  <c r="S116" i="41"/>
  <c r="AB116" i="41"/>
  <c r="AF116" i="41" s="1"/>
  <c r="AF118" i="7"/>
  <c r="BV118" i="7"/>
  <c r="DD118" i="7"/>
  <c r="BD116" i="46"/>
  <c r="BE116" i="46" s="1"/>
  <c r="BD116" i="38"/>
  <c r="BE116" i="38" s="1"/>
  <c r="BD116" i="45"/>
  <c r="BE116" i="45" s="1"/>
  <c r="EV116" i="38"/>
  <c r="FG116" i="38" s="1"/>
  <c r="AX118" i="7"/>
  <c r="BF118" i="7"/>
  <c r="AN118" i="46"/>
  <c r="AQ118" i="41" s="1"/>
  <c r="AY118" i="41" s="1"/>
  <c r="M118" i="46"/>
  <c r="AO118" i="46"/>
  <c r="AU118" i="41" s="1"/>
  <c r="BC118" i="41" s="1"/>
  <c r="AC118" i="46"/>
  <c r="K118" i="46"/>
  <c r="FK118" i="46"/>
  <c r="L118" i="46"/>
  <c r="EN118" i="38"/>
  <c r="BS118" i="38"/>
  <c r="BU118" i="38"/>
  <c r="BX118" i="38"/>
  <c r="BJ118" i="41" s="1"/>
  <c r="M118" i="38"/>
  <c r="FN118" i="38"/>
  <c r="BQ118" i="38"/>
  <c r="BR118" i="38"/>
  <c r="BH118" i="41" s="1"/>
  <c r="K118" i="38"/>
  <c r="EL118" i="38"/>
  <c r="CF118" i="41" s="1"/>
  <c r="AN118" i="38"/>
  <c r="AO118" i="41" s="1"/>
  <c r="AW118" i="41" s="1"/>
  <c r="EM118" i="38"/>
  <c r="CE118" i="41" s="1"/>
  <c r="AO118" i="38"/>
  <c r="BV118" i="38"/>
  <c r="BT118" i="38"/>
  <c r="BG118" i="41" s="1"/>
  <c r="BW118" i="38"/>
  <c r="L118" i="38"/>
  <c r="X118" i="7"/>
  <c r="AD118" i="7" s="1"/>
  <c r="CP118" i="7"/>
  <c r="JJ73" i="38"/>
  <c r="JJ60" i="38"/>
  <c r="JJ47" i="38"/>
  <c r="JJ23" i="38"/>
  <c r="JJ6" i="38"/>
  <c r="JJ90" i="38"/>
  <c r="JJ78" i="38"/>
  <c r="JJ53" i="38"/>
  <c r="JJ45" i="38"/>
  <c r="JJ41" i="38"/>
  <c r="JJ91" i="38"/>
  <c r="JJ79" i="38"/>
  <c r="JJ66" i="38"/>
  <c r="JJ39" i="38"/>
  <c r="JJ29" i="38"/>
  <c r="JJ96" i="38"/>
  <c r="JJ76" i="38"/>
  <c r="JJ63" i="38"/>
  <c r="JJ50" i="38"/>
  <c r="JJ35" i="38"/>
  <c r="JJ24" i="38"/>
  <c r="JJ101" i="38"/>
  <c r="JJ103" i="38"/>
  <c r="JJ92" i="38"/>
  <c r="JJ72" i="38"/>
  <c r="JJ59" i="38"/>
  <c r="JJ46" i="38"/>
  <c r="JJ34" i="38"/>
  <c r="JJ98" i="38"/>
  <c r="JJ86" i="38"/>
  <c r="JJ61" i="38"/>
  <c r="JJ48" i="38"/>
  <c r="JJ37" i="38"/>
  <c r="JJ8" i="38"/>
  <c r="JJ89" i="38"/>
  <c r="JJ74" i="38"/>
  <c r="JJ49" i="38"/>
  <c r="JJ44" i="38"/>
  <c r="JJ28" i="38"/>
  <c r="JJ94" i="38"/>
  <c r="JJ75" i="38"/>
  <c r="JJ62" i="38"/>
  <c r="JJ42" i="38"/>
  <c r="JJ26" i="38"/>
  <c r="JJ104" i="38"/>
  <c r="JJ85" i="38"/>
  <c r="JJ82" i="38"/>
  <c r="JJ57" i="38"/>
  <c r="JJ38" i="38"/>
  <c r="JJ22" i="38"/>
  <c r="JJ99" i="38"/>
  <c r="JJ84" i="38"/>
  <c r="JJ71" i="38"/>
  <c r="JJ58" i="38"/>
  <c r="JK18" i="38"/>
  <c r="JJ5" i="38"/>
  <c r="JJ81" i="38"/>
  <c r="JJ68" i="38"/>
  <c r="JJ55" i="38"/>
  <c r="JJ31" i="38"/>
  <c r="JJ32" i="38"/>
  <c r="JJ88" i="38"/>
  <c r="JJ69" i="38"/>
  <c r="JJ56" i="38"/>
  <c r="JJ40" i="38"/>
  <c r="JJ25" i="38"/>
  <c r="JJ100" i="38"/>
  <c r="JJ87" i="38"/>
  <c r="JJ65" i="38"/>
  <c r="JJ52" i="38"/>
  <c r="JJ36" i="38"/>
  <c r="JJ21" i="38"/>
  <c r="JJ95" i="38"/>
  <c r="JJ83" i="38"/>
  <c r="JJ70" i="38"/>
  <c r="JJ43" i="38"/>
  <c r="JJ33" i="38"/>
  <c r="JJ93" i="38"/>
  <c r="JJ80" i="38"/>
  <c r="JJ67" i="38"/>
  <c r="JJ54" i="38"/>
  <c r="JJ30" i="38"/>
  <c r="JJ97" i="38"/>
  <c r="JJ77" i="38"/>
  <c r="JJ64" i="38"/>
  <c r="JJ51" i="38"/>
  <c r="JJ27" i="38"/>
  <c r="JJ20" i="38"/>
  <c r="JJ102" i="38"/>
  <c r="JJ105" i="38"/>
  <c r="JJ109" i="38"/>
  <c r="JJ111" i="38"/>
  <c r="JJ116" i="38"/>
  <c r="JJ107" i="38"/>
  <c r="JJ110" i="38"/>
  <c r="JJ108" i="38"/>
  <c r="JJ114" i="38"/>
  <c r="JJ15" i="38"/>
  <c r="JJ115" i="38"/>
  <c r="JJ117" i="38"/>
  <c r="JJ106" i="38"/>
  <c r="JJ112" i="38"/>
  <c r="JJ113" i="38"/>
  <c r="AB16" i="45"/>
  <c r="JI103" i="46"/>
  <c r="JI90" i="46"/>
  <c r="JI76" i="46"/>
  <c r="JI66" i="46"/>
  <c r="JI28" i="46"/>
  <c r="JI42" i="46"/>
  <c r="JI95" i="46"/>
  <c r="JI77" i="46"/>
  <c r="JI67" i="46"/>
  <c r="JI57" i="46"/>
  <c r="JI31" i="46"/>
  <c r="JI8" i="46"/>
  <c r="JI82" i="46"/>
  <c r="JI68" i="46"/>
  <c r="JI58" i="46"/>
  <c r="JI20" i="46"/>
  <c r="JI34" i="46"/>
  <c r="JI94" i="46"/>
  <c r="JI80" i="46"/>
  <c r="JI70" i="46"/>
  <c r="JI32" i="46"/>
  <c r="JI46" i="46"/>
  <c r="JI102" i="46"/>
  <c r="JI97" i="46"/>
  <c r="JI60" i="46"/>
  <c r="JI50" i="46"/>
  <c r="JI49" i="46"/>
  <c r="JI26" i="46"/>
  <c r="JI79" i="46"/>
  <c r="JI88" i="46"/>
  <c r="JI51" i="46"/>
  <c r="JI40" i="46"/>
  <c r="JI38" i="46"/>
  <c r="JI101" i="46"/>
  <c r="JI89" i="46"/>
  <c r="JI52" i="46"/>
  <c r="JI69" i="46"/>
  <c r="JI43" i="46"/>
  <c r="JI45" i="46"/>
  <c r="JI78" i="46"/>
  <c r="JI64" i="46"/>
  <c r="JI54" i="46"/>
  <c r="JI6" i="46"/>
  <c r="JI30" i="46"/>
  <c r="JI104" i="46"/>
  <c r="JI105" i="46"/>
  <c r="JI99" i="46"/>
  <c r="JI81" i="46"/>
  <c r="JI71" i="46"/>
  <c r="JI61" i="46"/>
  <c r="JI35" i="46"/>
  <c r="JI37" i="46"/>
  <c r="JI86" i="46"/>
  <c r="JI72" i="46"/>
  <c r="JI62" i="46"/>
  <c r="JI24" i="46"/>
  <c r="JI22" i="46"/>
  <c r="JI91" i="46"/>
  <c r="JI100" i="46"/>
  <c r="JI63" i="46"/>
  <c r="JI53" i="46"/>
  <c r="JI27" i="46"/>
  <c r="JI29" i="46"/>
  <c r="JI85" i="46"/>
  <c r="JI75" i="46"/>
  <c r="JI65" i="46"/>
  <c r="JI39" i="46"/>
  <c r="JI41" i="46"/>
  <c r="JI83" i="46"/>
  <c r="JI92" i="46"/>
  <c r="JI55" i="46"/>
  <c r="JI44" i="46"/>
  <c r="JJ18" i="46"/>
  <c r="JI21" i="46"/>
  <c r="JI93" i="46"/>
  <c r="JI56" i="46"/>
  <c r="JI73" i="46"/>
  <c r="JI47" i="46"/>
  <c r="JI33" i="46"/>
  <c r="JI98" i="46"/>
  <c r="JI84" i="46"/>
  <c r="JI74" i="46"/>
  <c r="JI36" i="46"/>
  <c r="JI5" i="46"/>
  <c r="JI87" i="46"/>
  <c r="JI96" i="46"/>
  <c r="JI59" i="46"/>
  <c r="JI48" i="46"/>
  <c r="JI23" i="46"/>
  <c r="JI25" i="46"/>
  <c r="JI113" i="46"/>
  <c r="JI115" i="46"/>
  <c r="JI106" i="46"/>
  <c r="JI107" i="46"/>
  <c r="JI109" i="46"/>
  <c r="JI110" i="46"/>
  <c r="JI116" i="46"/>
  <c r="JI117" i="46"/>
  <c r="JI112" i="46"/>
  <c r="JI114" i="46"/>
  <c r="JI108" i="46"/>
  <c r="JI111" i="46"/>
  <c r="AB16" i="46"/>
  <c r="AB16" i="38"/>
  <c r="EF8" i="38"/>
  <c r="EC8" i="38"/>
  <c r="CW119" i="38" l="1"/>
  <c r="DB119" i="38" s="1"/>
  <c r="CX119" i="38"/>
  <c r="DC119" i="38" s="1"/>
  <c r="CZ119" i="38"/>
  <c r="DE119" i="38" s="1"/>
  <c r="DA119" i="38"/>
  <c r="CY119" i="38"/>
  <c r="DD119" i="38" s="1"/>
  <c r="O119" i="38"/>
  <c r="R119" i="38" s="1"/>
  <c r="AS118" i="41"/>
  <c r="BA118" i="41" s="1"/>
  <c r="AT119" i="4"/>
  <c r="AQ119" i="4"/>
  <c r="AR119" i="4"/>
  <c r="AP119" i="4"/>
  <c r="AO119" i="4"/>
  <c r="AS119" i="4"/>
  <c r="FP118" i="7"/>
  <c r="AL116" i="41"/>
  <c r="EJ118" i="7"/>
  <c r="FH118" i="7"/>
  <c r="I115" i="46"/>
  <c r="J114" i="46"/>
  <c r="I115" i="38"/>
  <c r="J115" i="38" s="1"/>
  <c r="ER118" i="7"/>
  <c r="EZ118" i="7"/>
  <c r="N118" i="7"/>
  <c r="V119" i="7"/>
  <c r="FJ119" i="7"/>
  <c r="FE119" i="7"/>
  <c r="EW119" i="7"/>
  <c r="EE119" i="7"/>
  <c r="FB119" i="7"/>
  <c r="ED119" i="7"/>
  <c r="EL119" i="7"/>
  <c r="EF119" i="7"/>
  <c r="EO119" i="7"/>
  <c r="FO119" i="7"/>
  <c r="EU119" i="7"/>
  <c r="EP119" i="7"/>
  <c r="EM119" i="7"/>
  <c r="FM119" i="7"/>
  <c r="FN119" i="7"/>
  <c r="ET119" i="7"/>
  <c r="EY119" i="7"/>
  <c r="FD119" i="7"/>
  <c r="EX119" i="7"/>
  <c r="EQ119" i="7"/>
  <c r="EN119" i="7"/>
  <c r="EI119" i="7"/>
  <c r="FL119" i="7"/>
  <c r="FC119" i="7"/>
  <c r="EG119" i="7"/>
  <c r="FK119" i="7"/>
  <c r="FG119" i="7"/>
  <c r="EH119" i="7"/>
  <c r="EV119" i="7"/>
  <c r="FF119" i="7"/>
  <c r="AV116" i="46"/>
  <c r="AW116" i="46" s="1"/>
  <c r="F116" i="46" s="1"/>
  <c r="EX118" i="38"/>
  <c r="EY118" i="38" s="1"/>
  <c r="FH118" i="38" s="1"/>
  <c r="FB118" i="38"/>
  <c r="CO118" i="38"/>
  <c r="BV118" i="41" s="1"/>
  <c r="AC118" i="38"/>
  <c r="BU106" i="38"/>
  <c r="BV106" i="38" s="1"/>
  <c r="W106" i="38"/>
  <c r="U107" i="41"/>
  <c r="T107" i="38"/>
  <c r="BV105" i="38"/>
  <c r="W105" i="41"/>
  <c r="T105" i="46"/>
  <c r="W105" i="46" s="1"/>
  <c r="T105" i="45"/>
  <c r="V105" i="41"/>
  <c r="AV116" i="38"/>
  <c r="AW116" i="38" s="1"/>
  <c r="F116" i="38" s="1"/>
  <c r="CO119" i="7"/>
  <c r="BA116" i="45"/>
  <c r="BB116" i="45" s="1"/>
  <c r="G116" i="45" s="1"/>
  <c r="BF116" i="38"/>
  <c r="BG116" i="38" s="1"/>
  <c r="H116" i="38" s="1"/>
  <c r="CS119" i="7"/>
  <c r="FH117" i="38"/>
  <c r="Z119" i="7"/>
  <c r="BF116" i="45"/>
  <c r="BG116" i="45" s="1"/>
  <c r="H116" i="45" s="1"/>
  <c r="I116" i="45" s="1"/>
  <c r="AZ117" i="38"/>
  <c r="DM119" i="7"/>
  <c r="AZ117" i="45"/>
  <c r="AU117" i="38"/>
  <c r="CP119" i="7"/>
  <c r="Y119" i="7"/>
  <c r="AZ117" i="46"/>
  <c r="AV116" i="45"/>
  <c r="AW116" i="45" s="1"/>
  <c r="F116" i="45" s="1"/>
  <c r="AY118" i="46"/>
  <c r="AY118" i="45"/>
  <c r="AY118" i="38"/>
  <c r="BF116" i="46"/>
  <c r="BG116" i="46" s="1"/>
  <c r="H116" i="46" s="1"/>
  <c r="AU117" i="45"/>
  <c r="AS118" i="38"/>
  <c r="AS118" i="46"/>
  <c r="AS118" i="45"/>
  <c r="AT118" i="45"/>
  <c r="AT118" i="46"/>
  <c r="AT118" i="38"/>
  <c r="BA116" i="46"/>
  <c r="BB116" i="46" s="1"/>
  <c r="G116" i="46" s="1"/>
  <c r="AU117" i="46"/>
  <c r="CQ118" i="38"/>
  <c r="BX118" i="41" s="1"/>
  <c r="AR117" i="45"/>
  <c r="AR117" i="38"/>
  <c r="AR117" i="46"/>
  <c r="AD119" i="4"/>
  <c r="P119" i="4"/>
  <c r="Q119" i="4"/>
  <c r="AE119" i="4"/>
  <c r="FI117" i="38"/>
  <c r="BA116" i="38"/>
  <c r="BB116" i="38" s="1"/>
  <c r="G116" i="38" s="1"/>
  <c r="AX118" i="38"/>
  <c r="AX118" i="46"/>
  <c r="AX118" i="45"/>
  <c r="CP118" i="38"/>
  <c r="BW118" i="41" s="1"/>
  <c r="JH118" i="38"/>
  <c r="CW118" i="41"/>
  <c r="FV118" i="38"/>
  <c r="FZ118" i="38"/>
  <c r="GD118" i="38"/>
  <c r="GH118" i="38"/>
  <c r="GL118" i="38"/>
  <c r="GP118" i="38"/>
  <c r="GT118" i="38"/>
  <c r="GX118" i="38"/>
  <c r="HB118" i="38"/>
  <c r="HF118" i="38"/>
  <c r="HJ118" i="38"/>
  <c r="HN118" i="38"/>
  <c r="HR118" i="38"/>
  <c r="HV118" i="38"/>
  <c r="HZ118" i="38"/>
  <c r="ID118" i="38"/>
  <c r="IH118" i="38"/>
  <c r="IL118" i="38"/>
  <c r="IP118" i="38"/>
  <c r="IT118" i="38"/>
  <c r="IX118" i="38"/>
  <c r="JB118" i="38"/>
  <c r="JF118" i="38"/>
  <c r="FS118" i="38"/>
  <c r="CX118" i="41" s="1"/>
  <c r="FW118" i="38"/>
  <c r="GA118" i="38"/>
  <c r="GE118" i="38"/>
  <c r="GI118" i="38"/>
  <c r="GM118" i="38"/>
  <c r="GQ118" i="38"/>
  <c r="GU118" i="38"/>
  <c r="GY118" i="38"/>
  <c r="HC118" i="38"/>
  <c r="HG118" i="38"/>
  <c r="HK118" i="38"/>
  <c r="HO118" i="38"/>
  <c r="HS118" i="38"/>
  <c r="HW118" i="38"/>
  <c r="IA118" i="38"/>
  <c r="IE118" i="38"/>
  <c r="II118" i="38"/>
  <c r="IM118" i="38"/>
  <c r="IQ118" i="38"/>
  <c r="IU118" i="38"/>
  <c r="IY118" i="38"/>
  <c r="JC118" i="38"/>
  <c r="JG118" i="38"/>
  <c r="FT118" i="38"/>
  <c r="FX118" i="38"/>
  <c r="CY118" i="41" s="1"/>
  <c r="GB118" i="38"/>
  <c r="GF118" i="38"/>
  <c r="GJ118" i="38"/>
  <c r="GN118" i="38"/>
  <c r="GR118" i="38"/>
  <c r="GV118" i="38"/>
  <c r="GZ118" i="38"/>
  <c r="HD118" i="38"/>
  <c r="HH118" i="38"/>
  <c r="HL118" i="38"/>
  <c r="HP118" i="38"/>
  <c r="HT118" i="38"/>
  <c r="HX118" i="38"/>
  <c r="IB118" i="38"/>
  <c r="IF118" i="38"/>
  <c r="IJ118" i="38"/>
  <c r="IN118" i="38"/>
  <c r="IR118" i="38"/>
  <c r="IV118" i="38"/>
  <c r="IZ118" i="38"/>
  <c r="JD118" i="38"/>
  <c r="JI118" i="38"/>
  <c r="FU118" i="38"/>
  <c r="FY118" i="38"/>
  <c r="GC118" i="38"/>
  <c r="GG118" i="38"/>
  <c r="GK118" i="38"/>
  <c r="GO118" i="38"/>
  <c r="GS118" i="38"/>
  <c r="GW118" i="38"/>
  <c r="HA118" i="38"/>
  <c r="HE118" i="38"/>
  <c r="HI118" i="38"/>
  <c r="HM118" i="38"/>
  <c r="HQ118" i="38"/>
  <c r="HU118" i="38"/>
  <c r="HY118" i="38"/>
  <c r="IC118" i="38"/>
  <c r="IG118" i="38"/>
  <c r="IK118" i="38"/>
  <c r="IO118" i="38"/>
  <c r="IS118" i="38"/>
  <c r="IW118" i="38"/>
  <c r="JA118" i="38"/>
  <c r="JE118" i="38"/>
  <c r="CV119" i="7"/>
  <c r="AH119" i="7"/>
  <c r="DU119" i="7"/>
  <c r="S119" i="7"/>
  <c r="AJ119" i="7"/>
  <c r="BR119" i="7"/>
  <c r="T119" i="7"/>
  <c r="AI119" i="7"/>
  <c r="CZ119" i="7"/>
  <c r="AB119" i="7"/>
  <c r="CA119" i="7"/>
  <c r="BA119" i="7"/>
  <c r="CY119" i="7"/>
  <c r="I119" i="7"/>
  <c r="AK119" i="7"/>
  <c r="AZ119" i="7"/>
  <c r="DA119" i="7"/>
  <c r="BY119" i="7"/>
  <c r="DP119" i="7"/>
  <c r="AC119" i="7"/>
  <c r="DW119" i="7"/>
  <c r="U119" i="7"/>
  <c r="CE119" i="7"/>
  <c r="DI119" i="7"/>
  <c r="BV119" i="38"/>
  <c r="BS119" i="38"/>
  <c r="BT119" i="38"/>
  <c r="BG119" i="41" s="1"/>
  <c r="M119" i="38"/>
  <c r="BW119" i="38"/>
  <c r="BQ119" i="38"/>
  <c r="BX119" i="38"/>
  <c r="BJ119" i="41" s="1"/>
  <c r="BR119" i="38"/>
  <c r="BH119" i="41" s="1"/>
  <c r="K119" i="38"/>
  <c r="AO119" i="38"/>
  <c r="FN119" i="38"/>
  <c r="JK119" i="38" s="1"/>
  <c r="EM119" i="38"/>
  <c r="CE119" i="41" s="1"/>
  <c r="L119" i="38"/>
  <c r="AN119" i="38"/>
  <c r="AO119" i="41" s="1"/>
  <c r="AW119" i="41" s="1"/>
  <c r="EN119" i="38"/>
  <c r="EL119" i="38"/>
  <c r="CF119" i="41" s="1"/>
  <c r="BU119" i="38"/>
  <c r="DF119" i="7"/>
  <c r="DG119" i="7"/>
  <c r="CF119" i="7"/>
  <c r="L119" i="7"/>
  <c r="BW119" i="7"/>
  <c r="CI119" i="7"/>
  <c r="AX119" i="7"/>
  <c r="D118" i="41"/>
  <c r="S118" i="45"/>
  <c r="P118" i="45"/>
  <c r="Q118" i="45" s="1"/>
  <c r="H116" i="41"/>
  <c r="L116" i="41"/>
  <c r="DX119" i="7"/>
  <c r="AA119" i="7"/>
  <c r="CH119" i="7"/>
  <c r="S117" i="41"/>
  <c r="M116" i="41"/>
  <c r="AB117" i="41"/>
  <c r="AF117" i="41" s="1"/>
  <c r="I116" i="41"/>
  <c r="DH119" i="7"/>
  <c r="V118" i="41"/>
  <c r="U118" i="41"/>
  <c r="G116" i="41"/>
  <c r="W118" i="41"/>
  <c r="K116" i="41"/>
  <c r="Z117" i="41"/>
  <c r="AD117" i="41" s="1"/>
  <c r="Q117" i="41"/>
  <c r="H119" i="7"/>
  <c r="N119" i="7" s="1"/>
  <c r="AN119" i="46"/>
  <c r="AQ119" i="41" s="1"/>
  <c r="AY119" i="41" s="1"/>
  <c r="L119" i="46"/>
  <c r="AO119" i="46"/>
  <c r="AU119" i="41" s="1"/>
  <c r="BC119" i="41" s="1"/>
  <c r="AC119" i="46"/>
  <c r="K119" i="46"/>
  <c r="FK119" i="46"/>
  <c r="JJ119" i="46" s="1"/>
  <c r="M119" i="46"/>
  <c r="A120" i="7"/>
  <c r="A120" i="4"/>
  <c r="A120" i="6"/>
  <c r="A120" i="41"/>
  <c r="A120" i="45"/>
  <c r="O120" i="45" s="1"/>
  <c r="R120" i="45" s="1"/>
  <c r="A120" i="38"/>
  <c r="CV120" i="38" s="1"/>
  <c r="A120" i="46"/>
  <c r="O120" i="46" s="1"/>
  <c r="R120" i="46" s="1"/>
  <c r="BZ119" i="7"/>
  <c r="BH119" i="7"/>
  <c r="BH120" i="7" s="1"/>
  <c r="BC118" i="38"/>
  <c r="BC118" i="46"/>
  <c r="BC118" i="45"/>
  <c r="AY119" i="7"/>
  <c r="BK119" i="7"/>
  <c r="DT119" i="7"/>
  <c r="Q119" i="7"/>
  <c r="DQ119" i="7"/>
  <c r="JG118" i="46"/>
  <c r="JH118" i="46"/>
  <c r="FR118" i="46"/>
  <c r="FV118" i="46"/>
  <c r="FZ118" i="46"/>
  <c r="GD118" i="46"/>
  <c r="GH118" i="46"/>
  <c r="GL118" i="46"/>
  <c r="GP118" i="46"/>
  <c r="GT118" i="46"/>
  <c r="GX118" i="46"/>
  <c r="HB118" i="46"/>
  <c r="HF118" i="46"/>
  <c r="HJ118" i="46"/>
  <c r="HN118" i="46"/>
  <c r="HR118" i="46"/>
  <c r="HV118" i="46"/>
  <c r="HZ118" i="46"/>
  <c r="ID118" i="46"/>
  <c r="IH118" i="46"/>
  <c r="IL118" i="46"/>
  <c r="IP118" i="46"/>
  <c r="IT118" i="46"/>
  <c r="IX118" i="46"/>
  <c r="JB118" i="46"/>
  <c r="JF118" i="46"/>
  <c r="FS118" i="46"/>
  <c r="FW118" i="46"/>
  <c r="GA118" i="46"/>
  <c r="GE118" i="46"/>
  <c r="GI118" i="46"/>
  <c r="GM118" i="46"/>
  <c r="GQ118" i="46"/>
  <c r="GU118" i="46"/>
  <c r="GY118" i="46"/>
  <c r="HC118" i="46"/>
  <c r="HG118" i="46"/>
  <c r="HK118" i="46"/>
  <c r="HO118" i="46"/>
  <c r="HS118" i="46"/>
  <c r="HW118" i="46"/>
  <c r="IA118" i="46"/>
  <c r="IE118" i="46"/>
  <c r="II118" i="46"/>
  <c r="IM118" i="46"/>
  <c r="IQ118" i="46"/>
  <c r="IU118" i="46"/>
  <c r="IY118" i="46"/>
  <c r="JC118" i="46"/>
  <c r="FP118" i="46"/>
  <c r="FT118" i="46"/>
  <c r="FX118" i="46"/>
  <c r="GB118" i="46"/>
  <c r="GF118" i="46"/>
  <c r="GJ118" i="46"/>
  <c r="GN118" i="46"/>
  <c r="GR118" i="46"/>
  <c r="GV118" i="46"/>
  <c r="GZ118" i="46"/>
  <c r="HD118" i="46"/>
  <c r="HH118" i="46"/>
  <c r="HL118" i="46"/>
  <c r="HP118" i="46"/>
  <c r="HT118" i="46"/>
  <c r="HX118" i="46"/>
  <c r="IB118" i="46"/>
  <c r="IF118" i="46"/>
  <c r="IJ118" i="46"/>
  <c r="IN118" i="46"/>
  <c r="IR118" i="46"/>
  <c r="IV118" i="46"/>
  <c r="IZ118" i="46"/>
  <c r="JD118" i="46"/>
  <c r="FQ118" i="46"/>
  <c r="FU118" i="46"/>
  <c r="FY118" i="46"/>
  <c r="GC118" i="46"/>
  <c r="GG118" i="46"/>
  <c r="GK118" i="46"/>
  <c r="GO118" i="46"/>
  <c r="GS118" i="46"/>
  <c r="GW118" i="46"/>
  <c r="HA118" i="46"/>
  <c r="HE118" i="46"/>
  <c r="HI118" i="46"/>
  <c r="HM118" i="46"/>
  <c r="HQ118" i="46"/>
  <c r="HU118" i="46"/>
  <c r="HY118" i="46"/>
  <c r="IC118" i="46"/>
  <c r="IG118" i="46"/>
  <c r="IK118" i="46"/>
  <c r="IO118" i="46"/>
  <c r="IS118" i="46"/>
  <c r="IW118" i="46"/>
  <c r="JA118" i="46"/>
  <c r="JE118" i="46"/>
  <c r="BV119" i="7"/>
  <c r="JL118" i="45"/>
  <c r="JK118" i="45"/>
  <c r="JJ118" i="38"/>
  <c r="X119" i="7"/>
  <c r="AD119" i="7" s="1"/>
  <c r="BI118" i="41"/>
  <c r="CL118" i="38"/>
  <c r="Q118" i="38"/>
  <c r="P118" i="38"/>
  <c r="T118" i="38"/>
  <c r="C118" i="41"/>
  <c r="Y118" i="38"/>
  <c r="FO118" i="38" s="1"/>
  <c r="AB118" i="38"/>
  <c r="CR118" i="38"/>
  <c r="CJ118" i="38"/>
  <c r="BR118" i="41" s="1"/>
  <c r="CI118" i="38"/>
  <c r="BQ118" i="41" s="1"/>
  <c r="AH118" i="38"/>
  <c r="AI118" i="38"/>
  <c r="AG118" i="38"/>
  <c r="AF118" i="38"/>
  <c r="AE118" i="38"/>
  <c r="CB118" i="38"/>
  <c r="BL118" i="41" s="1"/>
  <c r="CE118" i="38"/>
  <c r="BO118" i="41" s="1"/>
  <c r="AJ118" i="38"/>
  <c r="X118" i="38"/>
  <c r="U118" i="38"/>
  <c r="W118" i="38"/>
  <c r="AA118" i="38"/>
  <c r="CK118" i="38"/>
  <c r="BS118" i="41" s="1"/>
  <c r="CD118" i="38"/>
  <c r="BN118" i="41" s="1"/>
  <c r="CH118" i="38"/>
  <c r="BT118" i="41" s="1"/>
  <c r="CN118" i="38"/>
  <c r="BY118" i="41" s="1"/>
  <c r="V118" i="38"/>
  <c r="FP118" i="38" s="1"/>
  <c r="AD118" i="38"/>
  <c r="AK118" i="38"/>
  <c r="AH118" i="41" s="1"/>
  <c r="S118" i="38"/>
  <c r="Z118" i="38"/>
  <c r="CC118" i="38"/>
  <c r="BM118" i="41" s="1"/>
  <c r="CF118" i="38"/>
  <c r="E118" i="41"/>
  <c r="Q118" i="46"/>
  <c r="AE118" i="46"/>
  <c r="Y118" i="46"/>
  <c r="FL118" i="46" s="1"/>
  <c r="P118" i="46"/>
  <c r="AA118" i="46"/>
  <c r="AF118" i="46"/>
  <c r="AD118" i="46"/>
  <c r="JJ15" i="46" s="1"/>
  <c r="X118" i="46"/>
  <c r="AB118" i="46"/>
  <c r="Z118" i="46"/>
  <c r="U118" i="46"/>
  <c r="S118" i="46"/>
  <c r="V118" i="46"/>
  <c r="FM118" i="46" s="1"/>
  <c r="AK118" i="46"/>
  <c r="AJ118" i="41" s="1"/>
  <c r="AH118" i="46"/>
  <c r="AI118" i="46"/>
  <c r="AJ118" i="46"/>
  <c r="AG118" i="46"/>
  <c r="T118" i="46"/>
  <c r="W118" i="46"/>
  <c r="K119" i="7"/>
  <c r="BF119" i="7"/>
  <c r="DN119" i="7"/>
  <c r="BN119" i="7"/>
  <c r="CG119" i="7"/>
  <c r="CW119" i="7"/>
  <c r="EV117" i="38"/>
  <c r="FG117" i="38" s="1"/>
  <c r="BD117" i="46"/>
  <c r="BE117" i="46" s="1"/>
  <c r="BD117" i="38"/>
  <c r="BE117" i="38" s="1"/>
  <c r="BD117" i="45"/>
  <c r="BE117" i="45" s="1"/>
  <c r="R119" i="7"/>
  <c r="BC119" i="7"/>
  <c r="N119" i="4"/>
  <c r="H119" i="4"/>
  <c r="M119" i="4"/>
  <c r="G119" i="4"/>
  <c r="C119" i="4"/>
  <c r="U119" i="4"/>
  <c r="K119" i="4"/>
  <c r="D119" i="4"/>
  <c r="V119" i="4"/>
  <c r="Y119" i="4"/>
  <c r="AA119" i="4"/>
  <c r="J119" i="4"/>
  <c r="AB119" i="4"/>
  <c r="X119" i="4"/>
  <c r="L119" i="45"/>
  <c r="M119" i="45"/>
  <c r="K119" i="45"/>
  <c r="FK119" i="45"/>
  <c r="BQ119" i="7"/>
  <c r="J119" i="7"/>
  <c r="BB119" i="7"/>
  <c r="BP119" i="7"/>
  <c r="BI119" i="7"/>
  <c r="AG119" i="7"/>
  <c r="BG119" i="7"/>
  <c r="JI118" i="46"/>
  <c r="DD119" i="7"/>
  <c r="AF119" i="7"/>
  <c r="CQ119" i="7"/>
  <c r="DL119" i="7"/>
  <c r="M119" i="7"/>
  <c r="DO119" i="7"/>
  <c r="DV119" i="7"/>
  <c r="T119" i="6"/>
  <c r="R119" i="6"/>
  <c r="O119" i="6"/>
  <c r="I119" i="6"/>
  <c r="U119" i="6"/>
  <c r="H119" i="6"/>
  <c r="K119" i="6"/>
  <c r="N119" i="6"/>
  <c r="L119" i="6"/>
  <c r="Q119" i="6"/>
  <c r="BJ119" i="7"/>
  <c r="BS119" i="7"/>
  <c r="CR119" i="7"/>
  <c r="BX119" i="7"/>
  <c r="DE119" i="7"/>
  <c r="P119" i="7"/>
  <c r="CN119" i="7"/>
  <c r="BO119" i="7"/>
  <c r="DY119" i="7"/>
  <c r="CD119" i="7"/>
  <c r="JJ102" i="46"/>
  <c r="JJ77" i="46"/>
  <c r="JJ67" i="46"/>
  <c r="JJ57" i="46"/>
  <c r="JK18" i="46"/>
  <c r="JJ25" i="46"/>
  <c r="JJ82" i="46"/>
  <c r="JJ95" i="46"/>
  <c r="JJ62" i="46"/>
  <c r="JJ47" i="46"/>
  <c r="JJ37" i="46"/>
  <c r="JJ94" i="46"/>
  <c r="JJ84" i="46"/>
  <c r="JJ74" i="46"/>
  <c r="JJ97" i="46"/>
  <c r="JJ87" i="46"/>
  <c r="JJ54" i="46"/>
  <c r="JJ39" i="46"/>
  <c r="JJ45" i="46"/>
  <c r="JJ6" i="46"/>
  <c r="JJ65" i="46"/>
  <c r="JJ5" i="46"/>
  <c r="JJ36" i="46"/>
  <c r="JJ103" i="46"/>
  <c r="JJ92" i="46"/>
  <c r="JJ51" i="46"/>
  <c r="JJ68" i="46"/>
  <c r="JJ42" i="46"/>
  <c r="JJ44" i="46"/>
  <c r="JJ89" i="46"/>
  <c r="JJ79" i="46"/>
  <c r="JJ69" i="46"/>
  <c r="JJ31" i="46"/>
  <c r="JJ21" i="46"/>
  <c r="JJ78" i="46"/>
  <c r="JJ91" i="46"/>
  <c r="JJ58" i="46"/>
  <c r="JJ81" i="46"/>
  <c r="JJ71" i="46"/>
  <c r="JJ61" i="46"/>
  <c r="JJ23" i="46"/>
  <c r="JJ29" i="46"/>
  <c r="JJ43" i="46"/>
  <c r="JJ27" i="46"/>
  <c r="JJ8" i="46"/>
  <c r="JJ86" i="46"/>
  <c r="JJ99" i="46"/>
  <c r="JJ66" i="46"/>
  <c r="JJ52" i="46"/>
  <c r="JJ26" i="46"/>
  <c r="JJ28" i="46"/>
  <c r="JJ101" i="46"/>
  <c r="JJ63" i="46"/>
  <c r="JJ53" i="46"/>
  <c r="JJ38" i="46"/>
  <c r="JJ40" i="46"/>
  <c r="JJ85" i="46"/>
  <c r="JJ75" i="46"/>
  <c r="JJ104" i="46"/>
  <c r="JJ96" i="46"/>
  <c r="JJ55" i="46"/>
  <c r="JJ72" i="46"/>
  <c r="JJ46" i="46"/>
  <c r="JJ48" i="46"/>
  <c r="JJ50" i="46"/>
  <c r="JJ33" i="46"/>
  <c r="JJ60" i="46"/>
  <c r="JJ105" i="46"/>
  <c r="JJ93" i="46"/>
  <c r="JJ83" i="46"/>
  <c r="JJ73" i="46"/>
  <c r="JJ35" i="46"/>
  <c r="JJ41" i="46"/>
  <c r="JJ98" i="46"/>
  <c r="JJ88" i="46"/>
  <c r="JJ76" i="46"/>
  <c r="JJ64" i="46"/>
  <c r="JJ22" i="46"/>
  <c r="JJ24" i="46"/>
  <c r="JJ100" i="46"/>
  <c r="JJ59" i="46"/>
  <c r="JJ90" i="46"/>
  <c r="JJ80" i="46"/>
  <c r="JJ70" i="46"/>
  <c r="JJ56" i="46"/>
  <c r="JJ30" i="46"/>
  <c r="JJ32" i="46"/>
  <c r="JJ20" i="46"/>
  <c r="JJ49" i="46"/>
  <c r="JJ34" i="46"/>
  <c r="JJ108" i="46"/>
  <c r="JJ111" i="46"/>
  <c r="JJ113" i="46"/>
  <c r="JJ115" i="46"/>
  <c r="JJ118" i="46"/>
  <c r="JJ106" i="46"/>
  <c r="JJ107" i="46"/>
  <c r="JJ109" i="46"/>
  <c r="JJ110" i="46"/>
  <c r="JJ116" i="46"/>
  <c r="JJ117" i="46"/>
  <c r="JJ112" i="46"/>
  <c r="JJ114" i="46"/>
  <c r="JK99" i="38"/>
  <c r="JK76" i="38"/>
  <c r="JK67" i="38"/>
  <c r="JK54" i="38"/>
  <c r="JK30" i="38"/>
  <c r="JK27" i="38"/>
  <c r="JK86" i="38"/>
  <c r="JK64" i="38"/>
  <c r="JK51" i="38"/>
  <c r="JK45" i="38"/>
  <c r="JK6" i="38"/>
  <c r="JK91" i="38"/>
  <c r="JK82" i="38"/>
  <c r="JK69" i="38"/>
  <c r="JK42" i="38"/>
  <c r="JK25" i="38"/>
  <c r="JK94" i="38"/>
  <c r="JK78" i="38"/>
  <c r="JK65" i="38"/>
  <c r="JK38" i="38"/>
  <c r="JK21" i="38"/>
  <c r="JK102" i="38"/>
  <c r="JK105" i="38"/>
  <c r="JK92" i="38"/>
  <c r="JK75" i="38"/>
  <c r="JK66" i="38"/>
  <c r="JK53" i="38"/>
  <c r="JK36" i="38"/>
  <c r="JK23" i="38"/>
  <c r="JK72" i="38"/>
  <c r="JK63" i="38"/>
  <c r="JK50" i="38"/>
  <c r="JK26" i="38"/>
  <c r="JL18" i="38"/>
  <c r="JK88" i="38"/>
  <c r="JK77" i="38"/>
  <c r="JK52" i="38"/>
  <c r="JK43" i="38"/>
  <c r="JK28" i="38"/>
  <c r="JK93" i="38"/>
  <c r="JK73" i="38"/>
  <c r="JK48" i="38"/>
  <c r="JK39" i="38"/>
  <c r="JK24" i="38"/>
  <c r="JK101" i="38"/>
  <c r="JK103" i="38"/>
  <c r="JK90" i="38"/>
  <c r="JK74" i="38"/>
  <c r="JK61" i="38"/>
  <c r="JK41" i="38"/>
  <c r="JK8" i="38"/>
  <c r="JK95" i="38"/>
  <c r="JK85" i="38"/>
  <c r="JK62" i="38"/>
  <c r="JK49" i="38"/>
  <c r="JK29" i="38"/>
  <c r="JK97" i="38"/>
  <c r="JK84" i="38"/>
  <c r="JK60" i="38"/>
  <c r="JK47" i="38"/>
  <c r="JK34" i="38"/>
  <c r="JK5" i="38"/>
  <c r="JK80" i="38"/>
  <c r="JK71" i="38"/>
  <c r="JK58" i="38"/>
  <c r="JK33" i="38"/>
  <c r="JK40" i="38"/>
  <c r="JK104" i="38"/>
  <c r="JK87" i="38"/>
  <c r="JK68" i="38"/>
  <c r="JK55" i="38"/>
  <c r="JK35" i="38"/>
  <c r="JK20" i="38"/>
  <c r="JK89" i="38"/>
  <c r="JK81" i="38"/>
  <c r="JK56" i="38"/>
  <c r="JK37" i="38"/>
  <c r="JK32" i="38"/>
  <c r="JK98" i="38"/>
  <c r="JK83" i="38"/>
  <c r="JK59" i="38"/>
  <c r="JK46" i="38"/>
  <c r="JK22" i="38"/>
  <c r="JK96" i="38"/>
  <c r="JK79" i="38"/>
  <c r="JK70" i="38"/>
  <c r="JK57" i="38"/>
  <c r="JK44" i="38"/>
  <c r="JK31" i="38"/>
  <c r="JK100" i="38"/>
  <c r="JK106" i="38"/>
  <c r="JK112" i="38"/>
  <c r="JK113" i="38"/>
  <c r="JK118" i="38"/>
  <c r="JK15" i="38"/>
  <c r="JK109" i="38"/>
  <c r="JK111" i="38"/>
  <c r="JK116" i="38"/>
  <c r="JK107" i="38"/>
  <c r="JK110" i="38"/>
  <c r="JK108" i="38"/>
  <c r="JK114" i="38"/>
  <c r="JK115" i="38"/>
  <c r="JK117" i="38"/>
  <c r="CW120" i="38" l="1"/>
  <c r="DB120" i="38" s="1"/>
  <c r="CX120" i="38"/>
  <c r="DC120" i="38" s="1"/>
  <c r="DA120" i="38"/>
  <c r="CY120" i="38"/>
  <c r="DD120" i="38" s="1"/>
  <c r="CZ120" i="38"/>
  <c r="DE120" i="38" s="1"/>
  <c r="O120" i="38"/>
  <c r="R120" i="38" s="1"/>
  <c r="AS119" i="41"/>
  <c r="BA119" i="41" s="1"/>
  <c r="AT120" i="4"/>
  <c r="AO120" i="4"/>
  <c r="AP120" i="4"/>
  <c r="AR120" i="4"/>
  <c r="AQ120" i="4"/>
  <c r="AS120" i="4"/>
  <c r="AL117" i="41"/>
  <c r="EJ119" i="7"/>
  <c r="I116" i="46"/>
  <c r="J116" i="46" s="1"/>
  <c r="I116" i="38"/>
  <c r="J116" i="38" s="1"/>
  <c r="J115" i="46"/>
  <c r="EZ119" i="7"/>
  <c r="ER119" i="7"/>
  <c r="FH119" i="7"/>
  <c r="FP119" i="7"/>
  <c r="FF120" i="7"/>
  <c r="FK120" i="7"/>
  <c r="EI120" i="7"/>
  <c r="FD120" i="7"/>
  <c r="FN120" i="7"/>
  <c r="EU120" i="7"/>
  <c r="FE120" i="7"/>
  <c r="EV120" i="7"/>
  <c r="EG120" i="7"/>
  <c r="EN120" i="7"/>
  <c r="EY120" i="7"/>
  <c r="FM120" i="7"/>
  <c r="EH120" i="7"/>
  <c r="FC120" i="7"/>
  <c r="EQ120" i="7"/>
  <c r="EM120" i="7"/>
  <c r="EO120" i="7"/>
  <c r="EE120" i="7"/>
  <c r="FG120" i="7"/>
  <c r="FL120" i="7"/>
  <c r="EX120" i="7"/>
  <c r="ET120" i="7"/>
  <c r="EZ120" i="7" s="1"/>
  <c r="EP120" i="7"/>
  <c r="EF120" i="7"/>
  <c r="EW120" i="7"/>
  <c r="FO120" i="7"/>
  <c r="EL120" i="7"/>
  <c r="ER120" i="7" s="1"/>
  <c r="FB120" i="7"/>
  <c r="ED120" i="7"/>
  <c r="FJ120" i="7"/>
  <c r="FI118" i="38"/>
  <c r="FC119" i="38"/>
  <c r="FD119" i="38" s="1"/>
  <c r="CK119" i="38"/>
  <c r="BS119" i="41" s="1"/>
  <c r="AC119" i="38"/>
  <c r="W107" i="38"/>
  <c r="BU107" i="38"/>
  <c r="U108" i="41"/>
  <c r="T108" i="38"/>
  <c r="W106" i="41"/>
  <c r="T106" i="46"/>
  <c r="W106" i="46" s="1"/>
  <c r="T106" i="45"/>
  <c r="V106" i="41"/>
  <c r="BA117" i="38"/>
  <c r="BB117" i="38" s="1"/>
  <c r="G117" i="38" s="1"/>
  <c r="BJ120" i="7"/>
  <c r="DO120" i="7"/>
  <c r="AG120" i="7"/>
  <c r="R120" i="7"/>
  <c r="DN120" i="7"/>
  <c r="DE120" i="7"/>
  <c r="DY120" i="7"/>
  <c r="CR120" i="7"/>
  <c r="BP120" i="7"/>
  <c r="Z120" i="7"/>
  <c r="CI119" i="38"/>
  <c r="BQ119" i="41" s="1"/>
  <c r="CP120" i="7"/>
  <c r="AZ118" i="45"/>
  <c r="AZ118" i="38"/>
  <c r="BA117" i="46"/>
  <c r="BB117" i="46" s="1"/>
  <c r="G117" i="46" s="1"/>
  <c r="BF117" i="38"/>
  <c r="BG117" i="38" s="1"/>
  <c r="H117" i="38" s="1"/>
  <c r="BA117" i="45"/>
  <c r="BB117" i="45" s="1"/>
  <c r="G117" i="45" s="1"/>
  <c r="AU118" i="38"/>
  <c r="AV117" i="38"/>
  <c r="AW117" i="38" s="1"/>
  <c r="F117" i="38" s="1"/>
  <c r="J120" i="7"/>
  <c r="FB120" i="38" s="1"/>
  <c r="FB119" i="38"/>
  <c r="Q120" i="7"/>
  <c r="AY120" i="7"/>
  <c r="DX120" i="7"/>
  <c r="AZ118" i="46"/>
  <c r="AV117" i="46"/>
  <c r="AW117" i="46" s="1"/>
  <c r="F117" i="46" s="1"/>
  <c r="AU118" i="45"/>
  <c r="BX120" i="7"/>
  <c r="M120" i="7"/>
  <c r="EX119" i="38"/>
  <c r="EY119" i="38" s="1"/>
  <c r="CQ120" i="7"/>
  <c r="BI120" i="7"/>
  <c r="BQ120" i="7"/>
  <c r="BF117" i="45"/>
  <c r="BG117" i="45" s="1"/>
  <c r="H117" i="45" s="1"/>
  <c r="I117" i="45" s="1"/>
  <c r="CW120" i="7"/>
  <c r="AE120" i="4"/>
  <c r="P120" i="4"/>
  <c r="AD120" i="4"/>
  <c r="Q120" i="4"/>
  <c r="AY119" i="45"/>
  <c r="AY119" i="46"/>
  <c r="AY119" i="38"/>
  <c r="AU118" i="46"/>
  <c r="AT119" i="46"/>
  <c r="AT119" i="45"/>
  <c r="AT119" i="38"/>
  <c r="AS119" i="46"/>
  <c r="AS119" i="38"/>
  <c r="AS119" i="45"/>
  <c r="CH120" i="7"/>
  <c r="AX119" i="45"/>
  <c r="AX119" i="38"/>
  <c r="AX119" i="46"/>
  <c r="BO120" i="7"/>
  <c r="BS120" i="7"/>
  <c r="DV120" i="7"/>
  <c r="BG120" i="7"/>
  <c r="BB120" i="7"/>
  <c r="BC120" i="7"/>
  <c r="BF117" i="46"/>
  <c r="BG117" i="46" s="1"/>
  <c r="H117" i="46" s="1"/>
  <c r="CG120" i="7"/>
  <c r="K120" i="7"/>
  <c r="EW119" i="38"/>
  <c r="CO119" i="38"/>
  <c r="BV119" i="41" s="1"/>
  <c r="DQ120" i="7"/>
  <c r="BK120" i="7"/>
  <c r="BZ120" i="7"/>
  <c r="AR118" i="38"/>
  <c r="AR118" i="45"/>
  <c r="AR118" i="46"/>
  <c r="DH120" i="7"/>
  <c r="AA120" i="7"/>
  <c r="AV117" i="45"/>
  <c r="AW117" i="45" s="1"/>
  <c r="F117" i="45" s="1"/>
  <c r="CR119" i="38"/>
  <c r="CB119" i="38"/>
  <c r="BL119" i="41" s="1"/>
  <c r="BI119" i="41"/>
  <c r="DL120" i="7"/>
  <c r="JL119" i="45"/>
  <c r="Q119" i="45"/>
  <c r="S119" i="45"/>
  <c r="P119" i="45"/>
  <c r="D119" i="41"/>
  <c r="BN120" i="7"/>
  <c r="G117" i="41"/>
  <c r="W119" i="41"/>
  <c r="K117" i="41"/>
  <c r="Z118" i="41"/>
  <c r="AD118" i="41" s="1"/>
  <c r="V119" i="41"/>
  <c r="U119" i="41"/>
  <c r="Q118" i="41"/>
  <c r="CI120" i="7"/>
  <c r="DG120" i="7"/>
  <c r="FU119" i="38"/>
  <c r="FY119" i="38"/>
  <c r="GC119" i="38"/>
  <c r="GG119" i="38"/>
  <c r="GK119" i="38"/>
  <c r="GO119" i="38"/>
  <c r="GS119" i="38"/>
  <c r="GW119" i="38"/>
  <c r="HA119" i="38"/>
  <c r="HE119" i="38"/>
  <c r="HI119" i="38"/>
  <c r="HM119" i="38"/>
  <c r="HQ119" i="38"/>
  <c r="HU119" i="38"/>
  <c r="HY119" i="38"/>
  <c r="IC119" i="38"/>
  <c r="IG119" i="38"/>
  <c r="IK119" i="38"/>
  <c r="IO119" i="38"/>
  <c r="IS119" i="38"/>
  <c r="IW119" i="38"/>
  <c r="JA119" i="38"/>
  <c r="JE119" i="38"/>
  <c r="JI119" i="38"/>
  <c r="FX119" i="38"/>
  <c r="CY119" i="41" s="1"/>
  <c r="GN119" i="38"/>
  <c r="GZ119" i="38"/>
  <c r="HP119" i="38"/>
  <c r="IF119" i="38"/>
  <c r="IV119" i="38"/>
  <c r="JJ119" i="38"/>
  <c r="CW119" i="41"/>
  <c r="FV119" i="38"/>
  <c r="FZ119" i="38"/>
  <c r="GD119" i="38"/>
  <c r="GH119" i="38"/>
  <c r="GL119" i="38"/>
  <c r="GP119" i="38"/>
  <c r="GT119" i="38"/>
  <c r="GX119" i="38"/>
  <c r="HB119" i="38"/>
  <c r="HF119" i="38"/>
  <c r="HJ119" i="38"/>
  <c r="HN119" i="38"/>
  <c r="HR119" i="38"/>
  <c r="HV119" i="38"/>
  <c r="HZ119" i="38"/>
  <c r="ID119" i="38"/>
  <c r="IH119" i="38"/>
  <c r="IL119" i="38"/>
  <c r="IP119" i="38"/>
  <c r="IT119" i="38"/>
  <c r="IX119" i="38"/>
  <c r="JB119" i="38"/>
  <c r="JF119" i="38"/>
  <c r="FT119" i="38"/>
  <c r="GF119" i="38"/>
  <c r="GR119" i="38"/>
  <c r="HH119" i="38"/>
  <c r="HX119" i="38"/>
  <c r="IN119" i="38"/>
  <c r="JD119" i="38"/>
  <c r="FS119" i="38"/>
  <c r="CX119" i="41" s="1"/>
  <c r="FW119" i="38"/>
  <c r="GA119" i="38"/>
  <c r="GE119" i="38"/>
  <c r="GI119" i="38"/>
  <c r="GM119" i="38"/>
  <c r="GQ119" i="38"/>
  <c r="GU119" i="38"/>
  <c r="GY119" i="38"/>
  <c r="HC119" i="38"/>
  <c r="HG119" i="38"/>
  <c r="HK119" i="38"/>
  <c r="HO119" i="38"/>
  <c r="HS119" i="38"/>
  <c r="HW119" i="38"/>
  <c r="IA119" i="38"/>
  <c r="IE119" i="38"/>
  <c r="II119" i="38"/>
  <c r="IM119" i="38"/>
  <c r="IQ119" i="38"/>
  <c r="IU119" i="38"/>
  <c r="IY119" i="38"/>
  <c r="JC119" i="38"/>
  <c r="JG119" i="38"/>
  <c r="GJ119" i="38"/>
  <c r="GV119" i="38"/>
  <c r="HL119" i="38"/>
  <c r="IB119" i="38"/>
  <c r="IR119" i="38"/>
  <c r="IZ119" i="38"/>
  <c r="GB119" i="38"/>
  <c r="HD119" i="38"/>
  <c r="HT119" i="38"/>
  <c r="IJ119" i="38"/>
  <c r="JH119" i="38"/>
  <c r="DI120" i="7"/>
  <c r="AC120" i="7"/>
  <c r="AZ120" i="7"/>
  <c r="BA120" i="7"/>
  <c r="AI120" i="7"/>
  <c r="S120" i="7"/>
  <c r="CV120" i="7"/>
  <c r="P120" i="7"/>
  <c r="DD120" i="7"/>
  <c r="BV120" i="7"/>
  <c r="AC120" i="46"/>
  <c r="K120" i="46"/>
  <c r="FP7" i="46" s="1" a="1"/>
  <c r="AN120" i="46"/>
  <c r="AQ120" i="41" s="1"/>
  <c r="AY120" i="41" s="1"/>
  <c r="FK120" i="46"/>
  <c r="JK120" i="46" s="1"/>
  <c r="AO120" i="46"/>
  <c r="AU120" i="41" s="1"/>
  <c r="BC120" i="41" s="1"/>
  <c r="L120" i="46"/>
  <c r="M120" i="46"/>
  <c r="O120" i="6"/>
  <c r="Q120" i="6"/>
  <c r="R120" i="6"/>
  <c r="U120" i="6"/>
  <c r="I120" i="6"/>
  <c r="L120" i="6"/>
  <c r="N120" i="6"/>
  <c r="H120" i="6"/>
  <c r="T120" i="6"/>
  <c r="K120" i="6"/>
  <c r="JH119" i="46"/>
  <c r="FS119" i="46"/>
  <c r="FW119" i="46"/>
  <c r="GA119" i="46"/>
  <c r="GE119" i="46"/>
  <c r="GI119" i="46"/>
  <c r="GM119" i="46"/>
  <c r="GQ119" i="46"/>
  <c r="GU119" i="46"/>
  <c r="GY119" i="46"/>
  <c r="HC119" i="46"/>
  <c r="HG119" i="46"/>
  <c r="HK119" i="46"/>
  <c r="HO119" i="46"/>
  <c r="HS119" i="46"/>
  <c r="HW119" i="46"/>
  <c r="IA119" i="46"/>
  <c r="IE119" i="46"/>
  <c r="II119" i="46"/>
  <c r="IM119" i="46"/>
  <c r="IQ119" i="46"/>
  <c r="IU119" i="46"/>
  <c r="IY119" i="46"/>
  <c r="JC119" i="46"/>
  <c r="JG119" i="46"/>
  <c r="FR119" i="46"/>
  <c r="FZ119" i="46"/>
  <c r="GD119" i="46"/>
  <c r="GP119" i="46"/>
  <c r="HB119" i="46"/>
  <c r="HN119" i="46"/>
  <c r="HZ119" i="46"/>
  <c r="IP119" i="46"/>
  <c r="JB119" i="46"/>
  <c r="JI119" i="46"/>
  <c r="FP119" i="46"/>
  <c r="FT119" i="46"/>
  <c r="FX119" i="46"/>
  <c r="GB119" i="46"/>
  <c r="GF119" i="46"/>
  <c r="GJ119" i="46"/>
  <c r="GN119" i="46"/>
  <c r="GR119" i="46"/>
  <c r="GV119" i="46"/>
  <c r="GZ119" i="46"/>
  <c r="HD119" i="46"/>
  <c r="HH119" i="46"/>
  <c r="HL119" i="46"/>
  <c r="HP119" i="46"/>
  <c r="HT119" i="46"/>
  <c r="HX119" i="46"/>
  <c r="IB119" i="46"/>
  <c r="IF119" i="46"/>
  <c r="IJ119" i="46"/>
  <c r="IN119" i="46"/>
  <c r="IR119" i="46"/>
  <c r="IV119" i="46"/>
  <c r="IZ119" i="46"/>
  <c r="JD119" i="46"/>
  <c r="FV119" i="46"/>
  <c r="GL119" i="46"/>
  <c r="GX119" i="46"/>
  <c r="HJ119" i="46"/>
  <c r="HV119" i="46"/>
  <c r="IH119" i="46"/>
  <c r="IT119" i="46"/>
  <c r="JF119" i="46"/>
  <c r="FQ119" i="46"/>
  <c r="FU119" i="46"/>
  <c r="FY119" i="46"/>
  <c r="GC119" i="46"/>
  <c r="GG119" i="46"/>
  <c r="GK119" i="46"/>
  <c r="GO119" i="46"/>
  <c r="GS119" i="46"/>
  <c r="GW119" i="46"/>
  <c r="HA119" i="46"/>
  <c r="HE119" i="46"/>
  <c r="HI119" i="46"/>
  <c r="HM119" i="46"/>
  <c r="HQ119" i="46"/>
  <c r="HU119" i="46"/>
  <c r="HY119" i="46"/>
  <c r="IC119" i="46"/>
  <c r="IG119" i="46"/>
  <c r="IK119" i="46"/>
  <c r="IO119" i="46"/>
  <c r="IS119" i="46"/>
  <c r="IW119" i="46"/>
  <c r="JA119" i="46"/>
  <c r="JE119" i="46"/>
  <c r="GH119" i="46"/>
  <c r="GT119" i="46"/>
  <c r="HF119" i="46"/>
  <c r="HR119" i="46"/>
  <c r="ID119" i="46"/>
  <c r="IL119" i="46"/>
  <c r="IX119" i="46"/>
  <c r="CS120" i="7"/>
  <c r="BW120" i="7"/>
  <c r="DF120" i="7"/>
  <c r="CE120" i="7"/>
  <c r="DP120" i="7"/>
  <c r="AK120" i="7"/>
  <c r="CA120" i="7"/>
  <c r="T120" i="7"/>
  <c r="DU120" i="7"/>
  <c r="BF120" i="7"/>
  <c r="AB118" i="41"/>
  <c r="AF118" i="41" s="1"/>
  <c r="I117" i="41"/>
  <c r="S118" i="41"/>
  <c r="M117" i="41"/>
  <c r="X120" i="7"/>
  <c r="AD120" i="7" s="1"/>
  <c r="DT120" i="7"/>
  <c r="EL120" i="38"/>
  <c r="CF120" i="41" s="1"/>
  <c r="BQ120" i="38"/>
  <c r="EN120" i="38"/>
  <c r="BT120" i="38"/>
  <c r="BG120" i="41" s="1"/>
  <c r="L120" i="38"/>
  <c r="FN120" i="38"/>
  <c r="JL120" i="38" s="1"/>
  <c r="BR120" i="38"/>
  <c r="BH120" i="41" s="1"/>
  <c r="M120" i="38"/>
  <c r="AO120" i="38"/>
  <c r="EM120" i="38"/>
  <c r="CE120" i="41" s="1"/>
  <c r="BS120" i="38"/>
  <c r="K120" i="38"/>
  <c r="AN120" i="38"/>
  <c r="AO120" i="41" s="1"/>
  <c r="AW120" i="41" s="1"/>
  <c r="BX120" i="38"/>
  <c r="BJ120" i="41" s="1"/>
  <c r="BU120" i="38"/>
  <c r="BV120" i="38"/>
  <c r="BW120" i="38"/>
  <c r="K120" i="4"/>
  <c r="AB120" i="4"/>
  <c r="G120" i="4"/>
  <c r="M120" i="4"/>
  <c r="U120" i="4"/>
  <c r="J120" i="4"/>
  <c r="AA120" i="4"/>
  <c r="H120" i="4"/>
  <c r="X120" i="4"/>
  <c r="C120" i="4"/>
  <c r="V120" i="4"/>
  <c r="D120" i="4"/>
  <c r="N120" i="4"/>
  <c r="Y120" i="4"/>
  <c r="L117" i="41"/>
  <c r="H117" i="41"/>
  <c r="AX120" i="7"/>
  <c r="L120" i="7"/>
  <c r="CP119" i="38"/>
  <c r="BW119" i="41" s="1"/>
  <c r="CJ119" i="38"/>
  <c r="BR119" i="41" s="1"/>
  <c r="CQ119" i="38"/>
  <c r="BX119" i="41" s="1"/>
  <c r="CL119" i="38"/>
  <c r="Z119" i="38"/>
  <c r="U119" i="38"/>
  <c r="Y119" i="38"/>
  <c r="FO119" i="38" s="1"/>
  <c r="X119" i="38"/>
  <c r="Q119" i="38"/>
  <c r="T119" i="38"/>
  <c r="P119" i="38"/>
  <c r="AA119" i="38"/>
  <c r="AH119" i="38"/>
  <c r="AE119" i="38"/>
  <c r="AD119" i="38"/>
  <c r="AI119" i="38"/>
  <c r="CE119" i="38"/>
  <c r="BO119" i="41" s="1"/>
  <c r="AK119" i="38"/>
  <c r="AH119" i="41" s="1"/>
  <c r="AF119" i="38"/>
  <c r="AB119" i="38"/>
  <c r="AJ119" i="38"/>
  <c r="S119" i="38"/>
  <c r="V119" i="38"/>
  <c r="FP119" i="38" s="1"/>
  <c r="W119" i="38"/>
  <c r="CF119" i="38"/>
  <c r="CD119" i="38"/>
  <c r="BN119" i="41" s="1"/>
  <c r="CN119" i="38"/>
  <c r="BY119" i="41" s="1"/>
  <c r="CH119" i="38"/>
  <c r="BT119" i="41" s="1"/>
  <c r="C119" i="41"/>
  <c r="AG119" i="38"/>
  <c r="CC119" i="38"/>
  <c r="BM119" i="41" s="1"/>
  <c r="U120" i="7"/>
  <c r="BY120" i="7"/>
  <c r="I120" i="7"/>
  <c r="AB120" i="7"/>
  <c r="BR120" i="7"/>
  <c r="AH120" i="7"/>
  <c r="CO120" i="7"/>
  <c r="CD120" i="7"/>
  <c r="CN120" i="7"/>
  <c r="AF120" i="7"/>
  <c r="EV118" i="38"/>
  <c r="FG118" i="38" s="1"/>
  <c r="BD118" i="46"/>
  <c r="BE118" i="46" s="1"/>
  <c r="BD118" i="38"/>
  <c r="BE118" i="38" s="1"/>
  <c r="BD118" i="45"/>
  <c r="BE118" i="45" s="1"/>
  <c r="M120" i="45"/>
  <c r="FK120" i="45"/>
  <c r="L120" i="45"/>
  <c r="K120" i="45"/>
  <c r="FP7" i="45" s="1" a="1"/>
  <c r="CX120" i="7"/>
  <c r="AB119" i="46"/>
  <c r="Y119" i="46"/>
  <c r="FL119" i="46" s="1"/>
  <c r="AA119" i="46"/>
  <c r="V119" i="46"/>
  <c r="FM119" i="46" s="1"/>
  <c r="AJ119" i="46"/>
  <c r="AF119" i="46"/>
  <c r="AH119" i="46"/>
  <c r="AK119" i="46"/>
  <c r="AJ119" i="41" s="1"/>
  <c r="Z119" i="46"/>
  <c r="W119" i="46"/>
  <c r="P119" i="46"/>
  <c r="X119" i="46"/>
  <c r="U119" i="46"/>
  <c r="E119" i="41"/>
  <c r="AG119" i="46"/>
  <c r="AE119" i="46"/>
  <c r="S119" i="46"/>
  <c r="AD119" i="46"/>
  <c r="JK15" i="46" s="1"/>
  <c r="AI119" i="46"/>
  <c r="Q119" i="46"/>
  <c r="T119" i="46"/>
  <c r="H120" i="7"/>
  <c r="CF120" i="7"/>
  <c r="DW120" i="7"/>
  <c r="DA120" i="7"/>
  <c r="CY120" i="7"/>
  <c r="CZ120" i="7"/>
  <c r="AJ120" i="7"/>
  <c r="BC119" i="46"/>
  <c r="BC119" i="45"/>
  <c r="BC119" i="38"/>
  <c r="Y120" i="7"/>
  <c r="DM120" i="7"/>
  <c r="JL98" i="38"/>
  <c r="JL83" i="38"/>
  <c r="JL70" i="38"/>
  <c r="JL57" i="38"/>
  <c r="JL35" i="38"/>
  <c r="JL6" i="38"/>
  <c r="JL96" i="38"/>
  <c r="JL84" i="38"/>
  <c r="JL60" i="38"/>
  <c r="JL37" i="38"/>
  <c r="JL20" i="38"/>
  <c r="JL99" i="38"/>
  <c r="JL75" i="38"/>
  <c r="JL62" i="38"/>
  <c r="JL49" i="38"/>
  <c r="JL25" i="38"/>
  <c r="JL97" i="38"/>
  <c r="JL82" i="38"/>
  <c r="JL58" i="38"/>
  <c r="JL45" i="38"/>
  <c r="JL21" i="38"/>
  <c r="JL33" i="38"/>
  <c r="JL95" i="38"/>
  <c r="JL78" i="38"/>
  <c r="JL69" i="38"/>
  <c r="JL59" i="38"/>
  <c r="JL8" i="38"/>
  <c r="JL30" i="38"/>
  <c r="JL86" i="38"/>
  <c r="JL71" i="38"/>
  <c r="JL54" i="38"/>
  <c r="JL42" i="38"/>
  <c r="JM18" i="38"/>
  <c r="JL94" i="38"/>
  <c r="JL81" i="38"/>
  <c r="JL61" i="38"/>
  <c r="JL52" i="38"/>
  <c r="JL32" i="38"/>
  <c r="JL93" i="38"/>
  <c r="JL77" i="38"/>
  <c r="JL68" i="38"/>
  <c r="JL48" i="38"/>
  <c r="JL28" i="38"/>
  <c r="JL101" i="38"/>
  <c r="JL102" i="38"/>
  <c r="JL105" i="38"/>
  <c r="JL89" i="38"/>
  <c r="JL73" i="38"/>
  <c r="JL64" i="38"/>
  <c r="JL41" i="38"/>
  <c r="JL24" i="38"/>
  <c r="JL100" i="38"/>
  <c r="JL79" i="38"/>
  <c r="JL66" i="38"/>
  <c r="JL53" i="38"/>
  <c r="JL29" i="38"/>
  <c r="JL26" i="38"/>
  <c r="JL90" i="38"/>
  <c r="JL80" i="38"/>
  <c r="JL55" i="38"/>
  <c r="JL44" i="38"/>
  <c r="JL31" i="38"/>
  <c r="JL87" i="38"/>
  <c r="JL76" i="38"/>
  <c r="JL51" i="38"/>
  <c r="JL40" i="38"/>
  <c r="JL27" i="38"/>
  <c r="JL103" i="38"/>
  <c r="JL92" i="38"/>
  <c r="JL72" i="38"/>
  <c r="JL47" i="38"/>
  <c r="JL36" i="38"/>
  <c r="JL23" i="38"/>
  <c r="JL91" i="38"/>
  <c r="JL74" i="38"/>
  <c r="JL65" i="38"/>
  <c r="JL56" i="38"/>
  <c r="JL43" i="38"/>
  <c r="JL22" i="38"/>
  <c r="JL85" i="38"/>
  <c r="JL67" i="38"/>
  <c r="JL50" i="38"/>
  <c r="JL38" i="38"/>
  <c r="JL39" i="38"/>
  <c r="JL88" i="38"/>
  <c r="JL63" i="38"/>
  <c r="JL46" i="38"/>
  <c r="JL34" i="38"/>
  <c r="JL5" i="38"/>
  <c r="JL104" i="38"/>
  <c r="JL108" i="38"/>
  <c r="JL114" i="38"/>
  <c r="JL115" i="38"/>
  <c r="JL117" i="38"/>
  <c r="JL119" i="38"/>
  <c r="JL106" i="38"/>
  <c r="JL112" i="38"/>
  <c r="JL113" i="38"/>
  <c r="JL118" i="38"/>
  <c r="JL109" i="38"/>
  <c r="JL111" i="38"/>
  <c r="JL116" i="38"/>
  <c r="JL15" i="38"/>
  <c r="JL107" i="38"/>
  <c r="JL110" i="38"/>
  <c r="AA132" i="41"/>
  <c r="AE132" i="41"/>
  <c r="Y124" i="41"/>
  <c r="AC124" i="41"/>
  <c r="JK102" i="46"/>
  <c r="JK95" i="46"/>
  <c r="JK54" i="46"/>
  <c r="JK67" i="46"/>
  <c r="JK33" i="46"/>
  <c r="JK39" i="46"/>
  <c r="JK96" i="46"/>
  <c r="JK82" i="46"/>
  <c r="JK68" i="46"/>
  <c r="JK34" i="46"/>
  <c r="JK32" i="46"/>
  <c r="JK104" i="46"/>
  <c r="JK88" i="46"/>
  <c r="JK74" i="46"/>
  <c r="JK60" i="46"/>
  <c r="JK26" i="46"/>
  <c r="JK24" i="46"/>
  <c r="JK92" i="46"/>
  <c r="JK28" i="46"/>
  <c r="JK41" i="46"/>
  <c r="JK73" i="46"/>
  <c r="JK77" i="46"/>
  <c r="JK44" i="46"/>
  <c r="JK105" i="46"/>
  <c r="JK85" i="46"/>
  <c r="JK79" i="46"/>
  <c r="JK65" i="46"/>
  <c r="JK51" i="46"/>
  <c r="JK8" i="46"/>
  <c r="JK23" i="46"/>
  <c r="JK80" i="46"/>
  <c r="JK66" i="46"/>
  <c r="JK52" i="46"/>
  <c r="JK45" i="46"/>
  <c r="JK6" i="46"/>
  <c r="JK103" i="46"/>
  <c r="JK99" i="46"/>
  <c r="JK58" i="46"/>
  <c r="JK71" i="46"/>
  <c r="JK37" i="46"/>
  <c r="JK43" i="46"/>
  <c r="JK78" i="46"/>
  <c r="JK76" i="46"/>
  <c r="JK47" i="46"/>
  <c r="JK59" i="46"/>
  <c r="JK94" i="46"/>
  <c r="JK100" i="46"/>
  <c r="JK86" i="46"/>
  <c r="JK72" i="46"/>
  <c r="JK38" i="46"/>
  <c r="JK36" i="46"/>
  <c r="JK97" i="46"/>
  <c r="JK91" i="46"/>
  <c r="JK50" i="46"/>
  <c r="JK63" i="46"/>
  <c r="JK29" i="46"/>
  <c r="JK35" i="46"/>
  <c r="JK89" i="46"/>
  <c r="JK83" i="46"/>
  <c r="JK69" i="46"/>
  <c r="JK55" i="46"/>
  <c r="JK21" i="46"/>
  <c r="JK27" i="46"/>
  <c r="JK64" i="46"/>
  <c r="JK62" i="46"/>
  <c r="JK93" i="46"/>
  <c r="JK25" i="46"/>
  <c r="JK57" i="46"/>
  <c r="JK84" i="46"/>
  <c r="JK70" i="46"/>
  <c r="JK56" i="46"/>
  <c r="JK22" i="46"/>
  <c r="JK20" i="46"/>
  <c r="JK81" i="46"/>
  <c r="JK98" i="46"/>
  <c r="JK61" i="46"/>
  <c r="JK49" i="46"/>
  <c r="JK48" i="46"/>
  <c r="JL18" i="46"/>
  <c r="JK101" i="46"/>
  <c r="JK90" i="46"/>
  <c r="JK53" i="46"/>
  <c r="JK42" i="46"/>
  <c r="JK40" i="46"/>
  <c r="JK5" i="46"/>
  <c r="JK30" i="46"/>
  <c r="JK75" i="46"/>
  <c r="JK87" i="46"/>
  <c r="JK31" i="46"/>
  <c r="JK46" i="46"/>
  <c r="JK112" i="46"/>
  <c r="JK114" i="46"/>
  <c r="JK108" i="46"/>
  <c r="JK111" i="46"/>
  <c r="JK113" i="46"/>
  <c r="JK115" i="46"/>
  <c r="JK118" i="46"/>
  <c r="JK119" i="46"/>
  <c r="JK106" i="46"/>
  <c r="JK107" i="46"/>
  <c r="JK109" i="46"/>
  <c r="JK110" i="46"/>
  <c r="JK116" i="46"/>
  <c r="JK117" i="46"/>
  <c r="AS120" i="41" l="1"/>
  <c r="BA120" i="41" s="1"/>
  <c r="AL118" i="41"/>
  <c r="I117" i="46"/>
  <c r="J117" i="46" s="1"/>
  <c r="FP120" i="7"/>
  <c r="EJ120" i="7"/>
  <c r="I117" i="38"/>
  <c r="FH120" i="7"/>
  <c r="N120" i="7"/>
  <c r="V120" i="7"/>
  <c r="FC120" i="38"/>
  <c r="FD120" i="38" s="1"/>
  <c r="EX120" i="38"/>
  <c r="EY120" i="38" s="1"/>
  <c r="EW120" i="38"/>
  <c r="CB120" i="38"/>
  <c r="BL120" i="41" s="1"/>
  <c r="AC120" i="38"/>
  <c r="U109" i="41"/>
  <c r="T109" i="38"/>
  <c r="BV107" i="38"/>
  <c r="W108" i="38"/>
  <c r="BU108" i="38"/>
  <c r="BV108" i="38" s="1"/>
  <c r="T107" i="45"/>
  <c r="V107" i="41"/>
  <c r="W107" i="41"/>
  <c r="T107" i="46"/>
  <c r="W107" i="46" s="1"/>
  <c r="BA118" i="45"/>
  <c r="BB118" i="45" s="1"/>
  <c r="G118" i="45" s="1"/>
  <c r="AZ119" i="38"/>
  <c r="FI119" i="38"/>
  <c r="AV118" i="38"/>
  <c r="AW118" i="38" s="1"/>
  <c r="F118" i="38" s="1"/>
  <c r="AZ119" i="46"/>
  <c r="AU119" i="45"/>
  <c r="AU119" i="46"/>
  <c r="BF118" i="38"/>
  <c r="BG118" i="38" s="1"/>
  <c r="H118" i="38" s="1"/>
  <c r="FH119" i="38"/>
  <c r="BF118" i="45"/>
  <c r="BG118" i="45" s="1"/>
  <c r="H118" i="45" s="1"/>
  <c r="I118" i="45" s="1"/>
  <c r="AV118" i="46"/>
  <c r="AW118" i="46" s="1"/>
  <c r="F118" i="46" s="1"/>
  <c r="BA118" i="46"/>
  <c r="BB118" i="46" s="1"/>
  <c r="G118" i="46" s="1"/>
  <c r="BA118" i="38"/>
  <c r="BB118" i="38" s="1"/>
  <c r="G118" i="38" s="1"/>
  <c r="AU119" i="38"/>
  <c r="AS120" i="38"/>
  <c r="AS120" i="46"/>
  <c r="AS120" i="45"/>
  <c r="AZ119" i="45"/>
  <c r="AY120" i="38"/>
  <c r="AY120" i="46"/>
  <c r="AY120" i="45"/>
  <c r="AV118" i="45"/>
  <c r="AW118" i="45" s="1"/>
  <c r="F118" i="45" s="1"/>
  <c r="BF118" i="46"/>
  <c r="BG118" i="46" s="1"/>
  <c r="H118" i="46" s="1"/>
  <c r="AT120" i="46"/>
  <c r="AT120" i="38"/>
  <c r="AT120" i="45"/>
  <c r="AX120" i="38"/>
  <c r="AX120" i="46"/>
  <c r="AX120" i="45"/>
  <c r="AR119" i="38"/>
  <c r="AR119" i="46"/>
  <c r="AR119" i="45"/>
  <c r="CO120" i="38"/>
  <c r="BV120" i="41" s="1"/>
  <c r="CJ120" i="38"/>
  <c r="BR120" i="41" s="1"/>
  <c r="CF120" i="38"/>
  <c r="CP120" i="38"/>
  <c r="BW120" i="41" s="1"/>
  <c r="BI120" i="41"/>
  <c r="M118" i="41"/>
  <c r="S119" i="41"/>
  <c r="I118" i="41"/>
  <c r="AB119" i="41"/>
  <c r="AF119" i="41" s="1"/>
  <c r="BC120" i="38"/>
  <c r="BC120" i="46"/>
  <c r="BC120" i="45"/>
  <c r="AF120" i="46"/>
  <c r="W120" i="46"/>
  <c r="Y120" i="46"/>
  <c r="FL120" i="46" s="1"/>
  <c r="E120" i="41"/>
  <c r="AK120" i="46"/>
  <c r="AJ120" i="41" s="1"/>
  <c r="U120" i="46"/>
  <c r="Q120" i="46"/>
  <c r="AH120" i="46"/>
  <c r="V120" i="46"/>
  <c r="FM120" i="46" s="1"/>
  <c r="AD120" i="46"/>
  <c r="JL15" i="46" s="1"/>
  <c r="AE120" i="46"/>
  <c r="X120" i="46"/>
  <c r="AA120" i="46"/>
  <c r="S120" i="46"/>
  <c r="P120" i="46"/>
  <c r="AB120" i="46"/>
  <c r="Z120" i="46"/>
  <c r="AJ120" i="46"/>
  <c r="AG120" i="46"/>
  <c r="T120" i="46"/>
  <c r="AI120" i="46"/>
  <c r="IR7" i="45"/>
  <c r="IR8" i="45" s="1"/>
  <c r="HQ7" i="45"/>
  <c r="GW7" i="45"/>
  <c r="IC7" i="45"/>
  <c r="IC8" i="45" s="1"/>
  <c r="IY7" i="45"/>
  <c r="IY8" i="45" s="1"/>
  <c r="GK7" i="45"/>
  <c r="HF7" i="45"/>
  <c r="HO7" i="45"/>
  <c r="IB7" i="45"/>
  <c r="IB8" i="45" s="1"/>
  <c r="GY7" i="45"/>
  <c r="JE7" i="45"/>
  <c r="JE8" i="45" s="1"/>
  <c r="FY7" i="45"/>
  <c r="IT7" i="45"/>
  <c r="IT8" i="45" s="1"/>
  <c r="IO7" i="45"/>
  <c r="IO8" i="45" s="1"/>
  <c r="GR7" i="45"/>
  <c r="JK7" i="45"/>
  <c r="JK8" i="45" s="1"/>
  <c r="JL7" i="45"/>
  <c r="JL8" i="45" s="1"/>
  <c r="GB7" i="45"/>
  <c r="FV7" i="45"/>
  <c r="II7" i="45"/>
  <c r="II8" i="45" s="1"/>
  <c r="HX7" i="45"/>
  <c r="HX8" i="45" s="1"/>
  <c r="FT7" i="45"/>
  <c r="GE7" i="45"/>
  <c r="IW7" i="45"/>
  <c r="IW8" i="45" s="1"/>
  <c r="GM7" i="45"/>
  <c r="IV7" i="45"/>
  <c r="IV8" i="45" s="1"/>
  <c r="FX7" i="45"/>
  <c r="HA7" i="45"/>
  <c r="IJ7" i="45"/>
  <c r="IJ8" i="45" s="1"/>
  <c r="IK7" i="45"/>
  <c r="IK8" i="45" s="1"/>
  <c r="IU7" i="45"/>
  <c r="IU8" i="45" s="1"/>
  <c r="GS7" i="45"/>
  <c r="GV7" i="45"/>
  <c r="GH7" i="45"/>
  <c r="GN7" i="45"/>
  <c r="GP7" i="45"/>
  <c r="FR7" i="45"/>
  <c r="JF7" i="45"/>
  <c r="JF8" i="45" s="1"/>
  <c r="HS7" i="45"/>
  <c r="IX7" i="45"/>
  <c r="IX8" i="45" s="1"/>
  <c r="HN7" i="45"/>
  <c r="FU7" i="45"/>
  <c r="JG7" i="45"/>
  <c r="JG8" i="45" s="1"/>
  <c r="FS7" i="45"/>
  <c r="IQ7" i="45"/>
  <c r="IQ8" i="45" s="1"/>
  <c r="FQ7" i="45"/>
  <c r="HB7" i="45"/>
  <c r="JB7" i="45"/>
  <c r="JB8" i="45" s="1"/>
  <c r="FW7" i="45"/>
  <c r="JH7" i="45"/>
  <c r="JH8" i="45" s="1"/>
  <c r="GO7" i="45"/>
  <c r="HI7" i="45"/>
  <c r="FZ7" i="45"/>
  <c r="HR7" i="45"/>
  <c r="JI7" i="45"/>
  <c r="JI8" i="45" s="1"/>
  <c r="IN7" i="45"/>
  <c r="IN8" i="45" s="1"/>
  <c r="HW7" i="45"/>
  <c r="HW8" i="45" s="1"/>
  <c r="GG7" i="45"/>
  <c r="GQ7" i="45"/>
  <c r="GF7" i="45"/>
  <c r="IM7" i="45"/>
  <c r="IM8" i="45" s="1"/>
  <c r="IS7" i="45"/>
  <c r="IS8" i="45" s="1"/>
  <c r="ID7" i="45"/>
  <c r="ID8" i="45" s="1"/>
  <c r="IG7" i="45"/>
  <c r="IG8" i="45" s="1"/>
  <c r="GD7" i="45"/>
  <c r="GT7" i="45"/>
  <c r="IE7" i="45"/>
  <c r="IE8" i="45" s="1"/>
  <c r="GU7" i="45"/>
  <c r="IZ7" i="45"/>
  <c r="IZ8" i="45" s="1"/>
  <c r="HD7" i="45"/>
  <c r="HC7" i="45"/>
  <c r="GZ7" i="45"/>
  <c r="GJ7" i="45"/>
  <c r="HV7" i="45"/>
  <c r="JC7" i="45"/>
  <c r="JC8" i="45" s="1"/>
  <c r="IL7" i="45"/>
  <c r="IL8" i="45" s="1"/>
  <c r="JJ7" i="45"/>
  <c r="JJ8" i="45" s="1"/>
  <c r="HJ7" i="45"/>
  <c r="IF7" i="45"/>
  <c r="IF8" i="45" s="1"/>
  <c r="HP7" i="45"/>
  <c r="HT7" i="45"/>
  <c r="IA7" i="45"/>
  <c r="IA8" i="45" s="1"/>
  <c r="HU7" i="45"/>
  <c r="HY7" i="45"/>
  <c r="HY8" i="45" s="1"/>
  <c r="GC7" i="45"/>
  <c r="HK7" i="45"/>
  <c r="GI7" i="45"/>
  <c r="GA7" i="45"/>
  <c r="HE7" i="45"/>
  <c r="HH7" i="45"/>
  <c r="JD7" i="45"/>
  <c r="JD8" i="45" s="1"/>
  <c r="HL7" i="45"/>
  <c r="HG7" i="45"/>
  <c r="IH7" i="45"/>
  <c r="IH8" i="45" s="1"/>
  <c r="HM7" i="45"/>
  <c r="IP7" i="45"/>
  <c r="IP8" i="45" s="1"/>
  <c r="JA7" i="45"/>
  <c r="JA8" i="45" s="1"/>
  <c r="FP7" i="45"/>
  <c r="GX7" i="45"/>
  <c r="GL7" i="45"/>
  <c r="HZ7" i="45"/>
  <c r="HZ8" i="45" s="1"/>
  <c r="D120" i="41"/>
  <c r="P120" i="45"/>
  <c r="Q120" i="45" s="1"/>
  <c r="S120" i="45"/>
  <c r="V120" i="41"/>
  <c r="Q119" i="41"/>
  <c r="G118" i="41"/>
  <c r="W120" i="41"/>
  <c r="K118" i="41"/>
  <c r="U120" i="41"/>
  <c r="Z119" i="41"/>
  <c r="AD119" i="41" s="1"/>
  <c r="FS7" i="38" a="1"/>
  <c r="FR120" i="46"/>
  <c r="FV120" i="46"/>
  <c r="FZ120" i="46"/>
  <c r="GD120" i="46"/>
  <c r="GH120" i="46"/>
  <c r="GL120" i="46"/>
  <c r="GP120" i="46"/>
  <c r="GT120" i="46"/>
  <c r="GX120" i="46"/>
  <c r="HB120" i="46"/>
  <c r="HF120" i="46"/>
  <c r="HJ120" i="46"/>
  <c r="HN120" i="46"/>
  <c r="HR120" i="46"/>
  <c r="HV120" i="46"/>
  <c r="HZ120" i="46"/>
  <c r="ID120" i="46"/>
  <c r="IH120" i="46"/>
  <c r="IL120" i="46"/>
  <c r="IP120" i="46"/>
  <c r="IT120" i="46"/>
  <c r="IX120" i="46"/>
  <c r="JB120" i="46"/>
  <c r="JF120" i="46"/>
  <c r="JJ120" i="46"/>
  <c r="FS120" i="46"/>
  <c r="FW120" i="46"/>
  <c r="GA120" i="46"/>
  <c r="GE120" i="46"/>
  <c r="GI120" i="46"/>
  <c r="GM120" i="46"/>
  <c r="GQ120" i="46"/>
  <c r="GU120" i="46"/>
  <c r="GY120" i="46"/>
  <c r="HC120" i="46"/>
  <c r="HG120" i="46"/>
  <c r="HK120" i="46"/>
  <c r="HO120" i="46"/>
  <c r="HS120" i="46"/>
  <c r="HW120" i="46"/>
  <c r="IA120" i="46"/>
  <c r="IE120" i="46"/>
  <c r="II120" i="46"/>
  <c r="IM120" i="46"/>
  <c r="IQ120" i="46"/>
  <c r="IU120" i="46"/>
  <c r="IY120" i="46"/>
  <c r="JC120" i="46"/>
  <c r="JG120" i="46"/>
  <c r="FP120" i="46"/>
  <c r="FT120" i="46"/>
  <c r="FX120" i="46"/>
  <c r="GB120" i="46"/>
  <c r="GF120" i="46"/>
  <c r="GJ120" i="46"/>
  <c r="GN120" i="46"/>
  <c r="GR120" i="46"/>
  <c r="GV120" i="46"/>
  <c r="GZ120" i="46"/>
  <c r="HD120" i="46"/>
  <c r="HH120" i="46"/>
  <c r="HL120" i="46"/>
  <c r="HP120" i="46"/>
  <c r="HT120" i="46"/>
  <c r="HX120" i="46"/>
  <c r="IB120" i="46"/>
  <c r="IF120" i="46"/>
  <c r="IJ120" i="46"/>
  <c r="IN120" i="46"/>
  <c r="IR120" i="46"/>
  <c r="IV120" i="46"/>
  <c r="IZ120" i="46"/>
  <c r="JD120" i="46"/>
  <c r="JH120" i="46"/>
  <c r="FQ120" i="46"/>
  <c r="FU120" i="46"/>
  <c r="FY120" i="46"/>
  <c r="GC120" i="46"/>
  <c r="GG120" i="46"/>
  <c r="GK120" i="46"/>
  <c r="GO120" i="46"/>
  <c r="GS120" i="46"/>
  <c r="GW120" i="46"/>
  <c r="HA120" i="46"/>
  <c r="HE120" i="46"/>
  <c r="HI120" i="46"/>
  <c r="HM120" i="46"/>
  <c r="HQ120" i="46"/>
  <c r="HU120" i="46"/>
  <c r="HY120" i="46"/>
  <c r="IC120" i="46"/>
  <c r="IG120" i="46"/>
  <c r="IK120" i="46"/>
  <c r="IO120" i="46"/>
  <c r="IS120" i="46"/>
  <c r="IW120" i="46"/>
  <c r="JA120" i="46"/>
  <c r="JE120" i="46"/>
  <c r="JI120" i="46"/>
  <c r="BD119" i="38"/>
  <c r="BE119" i="38" s="1"/>
  <c r="EV119" i="38"/>
  <c r="FG119" i="38" s="1"/>
  <c r="BD119" i="46"/>
  <c r="BE119" i="46" s="1"/>
  <c r="BD119" i="45"/>
  <c r="BE119" i="45" s="1"/>
  <c r="CN120" i="38"/>
  <c r="BY120" i="41" s="1"/>
  <c r="CI120" i="38"/>
  <c r="BQ120" i="41" s="1"/>
  <c r="CK120" i="38"/>
  <c r="BS120" i="41" s="1"/>
  <c r="AF120" i="38"/>
  <c r="AI120" i="38"/>
  <c r="AH120" i="38"/>
  <c r="AJ120" i="38"/>
  <c r="C120" i="41"/>
  <c r="CE120" i="38"/>
  <c r="BO120" i="41" s="1"/>
  <c r="U120" i="38"/>
  <c r="Y120" i="38"/>
  <c r="FO120" i="38" s="1"/>
  <c r="AK120" i="38"/>
  <c r="AH120" i="41" s="1"/>
  <c r="S120" i="38"/>
  <c r="X120" i="38"/>
  <c r="CL120" i="38"/>
  <c r="AE120" i="38"/>
  <c r="AG120" i="38"/>
  <c r="AB120" i="38"/>
  <c r="V120" i="38"/>
  <c r="FP120" i="38" s="1"/>
  <c r="T120" i="38"/>
  <c r="CC120" i="38"/>
  <c r="BM120" i="41" s="1"/>
  <c r="CR120" i="38"/>
  <c r="Z120" i="38"/>
  <c r="W120" i="38"/>
  <c r="AA120" i="38"/>
  <c r="AD120" i="38"/>
  <c r="P120" i="38"/>
  <c r="Q120" i="38"/>
  <c r="CH120" i="38"/>
  <c r="BT120" i="41" s="1"/>
  <c r="CQ120" i="38"/>
  <c r="BX120" i="41" s="1"/>
  <c r="CD120" i="38"/>
  <c r="BN120" i="41" s="1"/>
  <c r="JJ120" i="38"/>
  <c r="FT120" i="38"/>
  <c r="FX120" i="38"/>
  <c r="CY120" i="41" s="1"/>
  <c r="GB120" i="38"/>
  <c r="GF120" i="38"/>
  <c r="GJ120" i="38"/>
  <c r="GN120" i="38"/>
  <c r="GR120" i="38"/>
  <c r="GV120" i="38"/>
  <c r="GZ120" i="38"/>
  <c r="HD120" i="38"/>
  <c r="HH120" i="38"/>
  <c r="HL120" i="38"/>
  <c r="HP120" i="38"/>
  <c r="HT120" i="38"/>
  <c r="HX120" i="38"/>
  <c r="IB120" i="38"/>
  <c r="IF120" i="38"/>
  <c r="IJ120" i="38"/>
  <c r="IN120" i="38"/>
  <c r="IR120" i="38"/>
  <c r="IV120" i="38"/>
  <c r="IZ120" i="38"/>
  <c r="JD120" i="38"/>
  <c r="JH120" i="38"/>
  <c r="JK120" i="38"/>
  <c r="FU120" i="38"/>
  <c r="FY120" i="38"/>
  <c r="GC120" i="38"/>
  <c r="GG120" i="38"/>
  <c r="GK120" i="38"/>
  <c r="GO120" i="38"/>
  <c r="GS120" i="38"/>
  <c r="GW120" i="38"/>
  <c r="HA120" i="38"/>
  <c r="HE120" i="38"/>
  <c r="HI120" i="38"/>
  <c r="HM120" i="38"/>
  <c r="HQ120" i="38"/>
  <c r="HU120" i="38"/>
  <c r="HY120" i="38"/>
  <c r="IC120" i="38"/>
  <c r="IG120" i="38"/>
  <c r="IK120" i="38"/>
  <c r="IO120" i="38"/>
  <c r="IS120" i="38"/>
  <c r="IW120" i="38"/>
  <c r="JA120" i="38"/>
  <c r="JE120" i="38"/>
  <c r="JI120" i="38"/>
  <c r="CW120" i="41"/>
  <c r="FV120" i="38"/>
  <c r="FZ120" i="38"/>
  <c r="GD120" i="38"/>
  <c r="GH120" i="38"/>
  <c r="GL120" i="38"/>
  <c r="GP120" i="38"/>
  <c r="GT120" i="38"/>
  <c r="GX120" i="38"/>
  <c r="HB120" i="38"/>
  <c r="HF120" i="38"/>
  <c r="HJ120" i="38"/>
  <c r="HN120" i="38"/>
  <c r="HR120" i="38"/>
  <c r="HV120" i="38"/>
  <c r="HZ120" i="38"/>
  <c r="ID120" i="38"/>
  <c r="IH120" i="38"/>
  <c r="IL120" i="38"/>
  <c r="IP120" i="38"/>
  <c r="IT120" i="38"/>
  <c r="IX120" i="38"/>
  <c r="JB120" i="38"/>
  <c r="JF120" i="38"/>
  <c r="FS120" i="38"/>
  <c r="CX120" i="41" s="1"/>
  <c r="FW120" i="38"/>
  <c r="GA120" i="38"/>
  <c r="GE120" i="38"/>
  <c r="GI120" i="38"/>
  <c r="GM120" i="38"/>
  <c r="GQ120" i="38"/>
  <c r="GU120" i="38"/>
  <c r="GY120" i="38"/>
  <c r="HC120" i="38"/>
  <c r="HG120" i="38"/>
  <c r="HK120" i="38"/>
  <c r="HO120" i="38"/>
  <c r="HS120" i="38"/>
  <c r="HW120" i="38"/>
  <c r="IA120" i="38"/>
  <c r="IE120" i="38"/>
  <c r="II120" i="38"/>
  <c r="IM120" i="38"/>
  <c r="IQ120" i="38"/>
  <c r="IU120" i="38"/>
  <c r="IY120" i="38"/>
  <c r="JC120" i="38"/>
  <c r="JG120" i="38"/>
  <c r="HH7" i="46"/>
  <c r="FS7" i="46"/>
  <c r="HF7" i="46"/>
  <c r="HE7" i="46"/>
  <c r="GG7" i="46"/>
  <c r="HC7" i="46"/>
  <c r="IU7" i="46"/>
  <c r="IU8" i="46" s="1"/>
  <c r="FQ7" i="46"/>
  <c r="IT7" i="46"/>
  <c r="IT8" i="46" s="1"/>
  <c r="JH7" i="46"/>
  <c r="GT7" i="46"/>
  <c r="GD7" i="46"/>
  <c r="IR7" i="46"/>
  <c r="IR8" i="46" s="1"/>
  <c r="JD7" i="46"/>
  <c r="IV7" i="46"/>
  <c r="IV8" i="46" s="1"/>
  <c r="GS7" i="46"/>
  <c r="HG7" i="46"/>
  <c r="GB7" i="46"/>
  <c r="HM7" i="46"/>
  <c r="JF7" i="46"/>
  <c r="IM7" i="46"/>
  <c r="IM8" i="46" s="1"/>
  <c r="IY7" i="46"/>
  <c r="IY8" i="46" s="1"/>
  <c r="IE7" i="46"/>
  <c r="IE8" i="46" s="1"/>
  <c r="GX7" i="46"/>
  <c r="JB7" i="46"/>
  <c r="JB8" i="46" s="1"/>
  <c r="GM7" i="46"/>
  <c r="GV7" i="46"/>
  <c r="GL7" i="46"/>
  <c r="GC7" i="46"/>
  <c r="HN7" i="46"/>
  <c r="GO7" i="46"/>
  <c r="IG7" i="46"/>
  <c r="IG8" i="46" s="1"/>
  <c r="FU7" i="46"/>
  <c r="IB7" i="46"/>
  <c r="IB8" i="46" s="1"/>
  <c r="IA7" i="46"/>
  <c r="IA8" i="46" s="1"/>
  <c r="GR7" i="46"/>
  <c r="GA7" i="46"/>
  <c r="IL7" i="46"/>
  <c r="IL8" i="46" s="1"/>
  <c r="HQ7" i="46"/>
  <c r="IQ7" i="46"/>
  <c r="IQ8" i="46" s="1"/>
  <c r="GF7" i="46"/>
  <c r="JE7" i="46"/>
  <c r="GY7" i="46"/>
  <c r="JL7" i="46"/>
  <c r="HP7" i="46"/>
  <c r="HU7" i="46"/>
  <c r="IO7" i="46"/>
  <c r="IO8" i="46" s="1"/>
  <c r="GP7" i="46"/>
  <c r="JK7" i="46"/>
  <c r="FW7" i="46"/>
  <c r="JA7" i="46"/>
  <c r="JA8" i="46" s="1"/>
  <c r="HZ7" i="46"/>
  <c r="HZ8" i="46" s="1"/>
  <c r="HL7" i="46"/>
  <c r="HJ7" i="46"/>
  <c r="HT7" i="46"/>
  <c r="IZ7" i="46"/>
  <c r="IZ8" i="46" s="1"/>
  <c r="HD7" i="46"/>
  <c r="GZ7" i="46"/>
  <c r="GJ7" i="46"/>
  <c r="HS7" i="46"/>
  <c r="FX7" i="46"/>
  <c r="IJ7" i="46"/>
  <c r="IJ8" i="46" s="1"/>
  <c r="JJ7" i="46"/>
  <c r="JG7" i="46"/>
  <c r="FR7" i="46"/>
  <c r="FZ7" i="46"/>
  <c r="ID7" i="46"/>
  <c r="ID8" i="46" s="1"/>
  <c r="FP7" i="46"/>
  <c r="HX7" i="46"/>
  <c r="HX8" i="46" s="1"/>
  <c r="IH7" i="46"/>
  <c r="IH8" i="46" s="1"/>
  <c r="FY7" i="46"/>
  <c r="GI7" i="46"/>
  <c r="HK7" i="46"/>
  <c r="HR7" i="46"/>
  <c r="GW7" i="46"/>
  <c r="GU7" i="46"/>
  <c r="GH7" i="46"/>
  <c r="IS7" i="46"/>
  <c r="IS8" i="46" s="1"/>
  <c r="JI7" i="46"/>
  <c r="IF7" i="46"/>
  <c r="IF8" i="46" s="1"/>
  <c r="HI7" i="46"/>
  <c r="GK7" i="46"/>
  <c r="HV7" i="46"/>
  <c r="II7" i="46"/>
  <c r="II8" i="46" s="1"/>
  <c r="GQ7" i="46"/>
  <c r="HW7" i="46"/>
  <c r="HW8" i="46" s="1"/>
  <c r="IP7" i="46"/>
  <c r="IP8" i="46" s="1"/>
  <c r="IC7" i="46"/>
  <c r="IC8" i="46" s="1"/>
  <c r="IN7" i="46"/>
  <c r="IN8" i="46" s="1"/>
  <c r="IX7" i="46"/>
  <c r="IX8" i="46" s="1"/>
  <c r="FV7" i="46"/>
  <c r="HY7" i="46"/>
  <c r="HY8" i="46" s="1"/>
  <c r="IK7" i="46"/>
  <c r="IK8" i="46" s="1"/>
  <c r="FT7" i="46"/>
  <c r="HA7" i="46"/>
  <c r="IW7" i="46"/>
  <c r="IW8" i="46" s="1"/>
  <c r="JC7" i="46"/>
  <c r="HO7" i="46"/>
  <c r="GN7" i="46"/>
  <c r="GE7" i="46"/>
  <c r="HB7" i="46"/>
  <c r="L118" i="41"/>
  <c r="H118" i="41"/>
  <c r="JL102" i="46"/>
  <c r="JL90" i="46"/>
  <c r="JL53" i="46"/>
  <c r="JL66" i="46"/>
  <c r="JL36" i="46"/>
  <c r="JL46" i="46"/>
  <c r="JL95" i="46"/>
  <c r="JL77" i="46"/>
  <c r="JL67" i="46"/>
  <c r="JL29" i="46"/>
  <c r="JL35" i="46"/>
  <c r="JL104" i="46"/>
  <c r="JL87" i="46"/>
  <c r="JL73" i="46"/>
  <c r="JL59" i="46"/>
  <c r="JL21" i="46"/>
  <c r="JL27" i="46"/>
  <c r="JL61" i="46"/>
  <c r="JL100" i="46"/>
  <c r="JL28" i="46"/>
  <c r="JL52" i="46"/>
  <c r="JL91" i="46"/>
  <c r="JL31" i="46"/>
  <c r="JL92" i="46"/>
  <c r="JL97" i="46"/>
  <c r="JL60" i="46"/>
  <c r="JL50" i="46"/>
  <c r="JL20" i="46"/>
  <c r="JL30" i="46"/>
  <c r="JL79" i="46"/>
  <c r="JL65" i="46"/>
  <c r="JL51" i="46"/>
  <c r="JL48" i="46"/>
  <c r="JL42" i="46"/>
  <c r="JL106" i="46"/>
  <c r="JL94" i="46"/>
  <c r="JL57" i="46"/>
  <c r="JL70" i="46"/>
  <c r="JL40" i="46"/>
  <c r="JL49" i="46"/>
  <c r="JL74" i="46"/>
  <c r="JL82" i="46"/>
  <c r="JL38" i="46"/>
  <c r="JL41" i="46"/>
  <c r="JL76" i="46"/>
  <c r="JL99" i="46"/>
  <c r="JL81" i="46"/>
  <c r="JL71" i="46"/>
  <c r="JL33" i="46"/>
  <c r="JL39" i="46"/>
  <c r="JL101" i="46"/>
  <c r="JL86" i="46"/>
  <c r="JL72" i="46"/>
  <c r="JL62" i="46"/>
  <c r="JL32" i="46"/>
  <c r="JL26" i="46"/>
  <c r="JL96" i="46"/>
  <c r="JL78" i="46"/>
  <c r="JL64" i="46"/>
  <c r="JL54" i="46"/>
  <c r="JL24" i="46"/>
  <c r="JL34" i="46"/>
  <c r="JL44" i="46"/>
  <c r="JL68" i="46"/>
  <c r="JL84" i="46"/>
  <c r="JL47" i="46"/>
  <c r="JL63" i="46"/>
  <c r="JL103" i="46"/>
  <c r="JL83" i="46"/>
  <c r="JL69" i="46"/>
  <c r="JL55" i="46"/>
  <c r="JL8" i="46"/>
  <c r="JL23" i="46"/>
  <c r="JL88" i="46"/>
  <c r="JL93" i="46"/>
  <c r="JL56" i="46"/>
  <c r="JL45" i="46"/>
  <c r="JL6" i="46"/>
  <c r="JL105" i="46"/>
  <c r="JL80" i="46"/>
  <c r="JL85" i="46"/>
  <c r="JL75" i="46"/>
  <c r="JL37" i="46"/>
  <c r="JL43" i="46"/>
  <c r="JL98" i="46"/>
  <c r="JL5" i="46"/>
  <c r="JL58" i="46"/>
  <c r="JL89" i="46"/>
  <c r="JL22" i="46"/>
  <c r="JL25" i="46"/>
  <c r="JL107" i="46"/>
  <c r="JL109" i="46"/>
  <c r="JL110" i="46"/>
  <c r="JL116" i="46"/>
  <c r="FO116" i="46" s="1"/>
  <c r="JL117" i="46"/>
  <c r="FO117" i="46" s="1"/>
  <c r="JL120" i="46"/>
  <c r="JL112" i="46"/>
  <c r="FO112" i="46" s="1"/>
  <c r="JL114" i="46"/>
  <c r="FO114" i="46" s="1"/>
  <c r="JL108" i="46"/>
  <c r="JL111" i="46"/>
  <c r="FO111" i="46" s="1"/>
  <c r="JL113" i="46"/>
  <c r="FO113" i="46" s="1"/>
  <c r="JL115" i="46"/>
  <c r="FO115" i="46" s="1"/>
  <c r="JL118" i="46"/>
  <c r="FO118" i="46" s="1"/>
  <c r="JL119" i="46"/>
  <c r="FO119" i="46" s="1"/>
  <c r="JM96" i="38"/>
  <c r="JM73" i="38"/>
  <c r="JM71" i="38"/>
  <c r="JM47" i="38"/>
  <c r="JM27" i="38"/>
  <c r="JM98" i="38"/>
  <c r="JM89" i="38"/>
  <c r="JM62" i="38"/>
  <c r="JM49" i="38"/>
  <c r="JM33" i="38"/>
  <c r="JM34" i="38"/>
  <c r="JM88" i="38"/>
  <c r="JM75" i="38"/>
  <c r="JM58" i="38"/>
  <c r="JM39" i="38"/>
  <c r="JM22" i="38"/>
  <c r="JM101" i="38"/>
  <c r="JM82" i="38"/>
  <c r="JM65" i="38"/>
  <c r="JM56" i="38"/>
  <c r="JM28" i="38"/>
  <c r="JM5" i="38"/>
  <c r="JM104" i="38"/>
  <c r="JM91" i="38"/>
  <c r="JM83" i="38"/>
  <c r="JM50" i="38"/>
  <c r="JM45" i="38"/>
  <c r="JM30" i="38"/>
  <c r="JM94" i="38"/>
  <c r="JM74" i="38"/>
  <c r="JM68" i="38"/>
  <c r="JM48" i="38"/>
  <c r="JM20" i="38"/>
  <c r="JM21" i="38"/>
  <c r="JM87" i="38"/>
  <c r="JM69" i="38"/>
  <c r="JM59" i="38"/>
  <c r="JM32" i="38"/>
  <c r="JM25" i="38"/>
  <c r="JM93" i="38"/>
  <c r="JM77" i="38"/>
  <c r="JM60" i="38"/>
  <c r="JM51" i="38"/>
  <c r="JM31" i="38"/>
  <c r="JM102" i="38"/>
  <c r="JM90" i="38"/>
  <c r="JM66" i="38"/>
  <c r="JM53" i="38"/>
  <c r="JM37" i="38"/>
  <c r="JM38" i="38"/>
  <c r="JM92" i="38"/>
  <c r="JM80" i="38"/>
  <c r="JM67" i="38"/>
  <c r="JM44" i="38"/>
  <c r="JM23" i="38"/>
  <c r="JM97" i="38"/>
  <c r="JM81" i="38"/>
  <c r="JM64" i="38"/>
  <c r="JM55" i="38"/>
  <c r="JM42" i="38"/>
  <c r="JM6" i="38"/>
  <c r="JM86" i="38"/>
  <c r="JM72" i="38"/>
  <c r="JM54" i="38"/>
  <c r="JM36" i="38"/>
  <c r="JM8" i="38"/>
  <c r="JM105" i="38"/>
  <c r="JM100" i="38"/>
  <c r="JM78" i="38"/>
  <c r="JM61" i="38"/>
  <c r="JM52" i="38"/>
  <c r="JM24" i="38"/>
  <c r="JM29" i="38"/>
  <c r="JM85" i="38"/>
  <c r="JM79" i="38"/>
  <c r="JM46" i="38"/>
  <c r="JM43" i="38"/>
  <c r="JM26" i="38"/>
  <c r="JM95" i="38"/>
  <c r="JM76" i="38"/>
  <c r="JM63" i="38"/>
  <c r="JM40" i="38"/>
  <c r="JN18" i="38"/>
  <c r="JM99" i="38"/>
  <c r="JM84" i="38"/>
  <c r="JM70" i="38"/>
  <c r="JM57" i="38"/>
  <c r="JM41" i="38"/>
  <c r="JM35" i="38"/>
  <c r="JM103" i="38"/>
  <c r="JM107" i="38"/>
  <c r="JM110" i="38"/>
  <c r="JM120" i="38"/>
  <c r="JM108" i="38"/>
  <c r="JM114" i="38"/>
  <c r="JM115" i="38"/>
  <c r="JM117" i="38"/>
  <c r="JM119" i="38"/>
  <c r="JM106" i="38"/>
  <c r="JM112" i="38"/>
  <c r="JM113" i="38"/>
  <c r="JM118" i="38"/>
  <c r="JM15" i="38"/>
  <c r="JM109" i="38"/>
  <c r="JM111" i="38"/>
  <c r="JM116" i="38"/>
  <c r="AL119" i="41" l="1"/>
  <c r="I118" i="38"/>
  <c r="J118" i="38" s="1"/>
  <c r="I118" i="46"/>
  <c r="J117" i="38"/>
  <c r="FH120" i="38"/>
  <c r="FI120" i="38"/>
  <c r="AD128" i="41"/>
  <c r="Z128" i="41"/>
  <c r="BU109" i="38"/>
  <c r="BV109" i="38" s="1"/>
  <c r="W109" i="38"/>
  <c r="T110" i="38"/>
  <c r="U101" i="38" s="1"/>
  <c r="V101" i="38" s="1"/>
  <c r="U110" i="41"/>
  <c r="V108" i="41"/>
  <c r="T108" i="45"/>
  <c r="T108" i="46"/>
  <c r="W108" i="46" s="1"/>
  <c r="W108" i="41"/>
  <c r="BA119" i="38"/>
  <c r="BB119" i="38" s="1"/>
  <c r="G119" i="38" s="1"/>
  <c r="BA119" i="46"/>
  <c r="BB119" i="46" s="1"/>
  <c r="G119" i="46" s="1"/>
  <c r="AV119" i="45"/>
  <c r="AW119" i="45" s="1"/>
  <c r="F119" i="45" s="1"/>
  <c r="AZ120" i="38"/>
  <c r="BF119" i="46"/>
  <c r="BG119" i="46" s="1"/>
  <c r="H119" i="46" s="1"/>
  <c r="AZ120" i="45"/>
  <c r="BF119" i="45"/>
  <c r="BG119" i="45" s="1"/>
  <c r="H119" i="45" s="1"/>
  <c r="I119" i="45" s="1"/>
  <c r="AV119" i="46"/>
  <c r="AW119" i="46" s="1"/>
  <c r="F119" i="46" s="1"/>
  <c r="BF119" i="38"/>
  <c r="BG119" i="38" s="1"/>
  <c r="H119" i="38" s="1"/>
  <c r="AR120" i="46"/>
  <c r="AR120" i="38"/>
  <c r="AR120" i="45"/>
  <c r="AU120" i="38"/>
  <c r="AV119" i="38"/>
  <c r="AW119" i="38" s="1"/>
  <c r="F119" i="38" s="1"/>
  <c r="AU120" i="46"/>
  <c r="BA119" i="45"/>
  <c r="BB119" i="45" s="1"/>
  <c r="G119" i="45" s="1"/>
  <c r="AZ120" i="46"/>
  <c r="AU120" i="45"/>
  <c r="R120" i="41"/>
  <c r="H119" i="41"/>
  <c r="R119" i="41" s="1"/>
  <c r="R118" i="41" s="1"/>
  <c r="R117" i="41" s="1"/>
  <c r="R116" i="41" s="1"/>
  <c r="R115" i="41" s="1"/>
  <c r="R114" i="41" s="1"/>
  <c r="R113" i="41" s="1"/>
  <c r="R112" i="41" s="1"/>
  <c r="R111" i="41" s="1"/>
  <c r="R110" i="41" s="1"/>
  <c r="R109" i="41" s="1"/>
  <c r="R108" i="41" s="1"/>
  <c r="R107" i="41" s="1"/>
  <c r="R106" i="41" s="1"/>
  <c r="R105" i="41" s="1"/>
  <c r="R104" i="41" s="1"/>
  <c r="R103" i="41" s="1"/>
  <c r="R102" i="41" s="1"/>
  <c r="R101" i="41" s="1"/>
  <c r="R100" i="41" s="1"/>
  <c r="R99" i="41" s="1"/>
  <c r="R98" i="41" s="1"/>
  <c r="R97" i="41" s="1"/>
  <c r="R96" i="41" s="1"/>
  <c r="R95" i="41" s="1"/>
  <c r="R94" i="41" s="1"/>
  <c r="R93" i="41" s="1"/>
  <c r="R92" i="41" s="1"/>
  <c r="R91" i="41" s="1"/>
  <c r="R90" i="41" s="1"/>
  <c r="R89" i="41" s="1"/>
  <c r="R88" i="41" s="1"/>
  <c r="R87" i="41" s="1"/>
  <c r="R86" i="41" s="1"/>
  <c r="R85" i="41" s="1"/>
  <c r="R84" i="41" s="1"/>
  <c r="R83" i="41" s="1"/>
  <c r="R82" i="41" s="1"/>
  <c r="R81" i="41" s="1"/>
  <c r="R80" i="41" s="1"/>
  <c r="R79" i="41" s="1"/>
  <c r="R78" i="41" s="1"/>
  <c r="R77" i="41" s="1"/>
  <c r="R76" i="41" s="1"/>
  <c r="R75" i="41" s="1"/>
  <c r="R74" i="41" s="1"/>
  <c r="R73" i="41" s="1"/>
  <c r="R72" i="41" s="1"/>
  <c r="R71" i="41" s="1"/>
  <c r="R70" i="41" s="1"/>
  <c r="R69" i="41" s="1"/>
  <c r="R68" i="41" s="1"/>
  <c r="R67" i="41" s="1"/>
  <c r="R66" i="41" s="1"/>
  <c r="R65" i="41" s="1"/>
  <c r="R64" i="41" s="1"/>
  <c r="R63" i="41" s="1"/>
  <c r="R62" i="41" s="1"/>
  <c r="R61" i="41" s="1"/>
  <c r="R60" i="41" s="1"/>
  <c r="R59" i="41" s="1"/>
  <c r="R58" i="41" s="1"/>
  <c r="R57" i="41" s="1"/>
  <c r="R56" i="41" s="1"/>
  <c r="R55" i="41" s="1"/>
  <c r="R54" i="41" s="1"/>
  <c r="R53" i="41" s="1"/>
  <c r="R52" i="41" s="1"/>
  <c r="R51" i="41" s="1"/>
  <c r="R50" i="41" s="1"/>
  <c r="R49" i="41" s="1"/>
  <c r="R48" i="41" s="1"/>
  <c r="R47" i="41" s="1"/>
  <c r="R46" i="41" s="1"/>
  <c r="R45" i="41" s="1"/>
  <c r="R44" i="41" s="1"/>
  <c r="R43" i="41" s="1"/>
  <c r="R42" i="41" s="1"/>
  <c r="R41" i="41" s="1"/>
  <c r="R40" i="41" s="1"/>
  <c r="R39" i="41" s="1"/>
  <c r="R38" i="41" s="1"/>
  <c r="R37" i="41" s="1"/>
  <c r="R36" i="41" s="1"/>
  <c r="R35" i="41" s="1"/>
  <c r="R34" i="41" s="1"/>
  <c r="R33" i="41" s="1"/>
  <c r="R32" i="41" s="1"/>
  <c r="R31" i="41" s="1"/>
  <c r="R30" i="41" s="1"/>
  <c r="R29" i="41" s="1"/>
  <c r="R28" i="41" s="1"/>
  <c r="R27" i="41" s="1"/>
  <c r="R26" i="41" s="1"/>
  <c r="R25" i="41" s="1"/>
  <c r="R24" i="41" s="1"/>
  <c r="R23" i="41" s="1"/>
  <c r="R22" i="41" s="1"/>
  <c r="R21" i="41" s="1"/>
  <c r="R20" i="41" s="1"/>
  <c r="L119" i="41"/>
  <c r="S120" i="41"/>
  <c r="M119" i="41"/>
  <c r="I119" i="41"/>
  <c r="AB120" i="41"/>
  <c r="AF120" i="41" s="1"/>
  <c r="BD120" i="38"/>
  <c r="BE120" i="38" s="1"/>
  <c r="BD120" i="46"/>
  <c r="BE120" i="46" s="1"/>
  <c r="EV120" i="38"/>
  <c r="FG120" i="38" s="1"/>
  <c r="BD120" i="45"/>
  <c r="BE120" i="45" s="1"/>
  <c r="JH7" i="38"/>
  <c r="GB7" i="38"/>
  <c r="JJ7" i="38"/>
  <c r="IU7" i="38"/>
  <c r="IU8" i="38" s="1"/>
  <c r="GD7" i="38"/>
  <c r="JG7" i="38"/>
  <c r="HU7" i="38"/>
  <c r="HG7" i="38"/>
  <c r="GK7" i="38"/>
  <c r="HE7" i="38"/>
  <c r="GM7" i="38"/>
  <c r="ID7" i="38"/>
  <c r="ID8" i="38" s="1"/>
  <c r="JK7" i="38"/>
  <c r="IR7" i="38"/>
  <c r="IR8" i="38" s="1"/>
  <c r="IF7" i="38"/>
  <c r="IF8" i="38" s="1"/>
  <c r="GJ7" i="38"/>
  <c r="FV7" i="38"/>
  <c r="GL7" i="38"/>
  <c r="GS7" i="38"/>
  <c r="GV7" i="38"/>
  <c r="HI7" i="38"/>
  <c r="JM7" i="38"/>
  <c r="HA7" i="38"/>
  <c r="IP7" i="38"/>
  <c r="IP8" i="38" s="1"/>
  <c r="HH7" i="38"/>
  <c r="HM7" i="38"/>
  <c r="IT7" i="38"/>
  <c r="IT8" i="38" s="1"/>
  <c r="HN7" i="38"/>
  <c r="IJ7" i="38"/>
  <c r="IJ8" i="38" s="1"/>
  <c r="HC7" i="38"/>
  <c r="JO7" i="38"/>
  <c r="GU7" i="38"/>
  <c r="IH7" i="38"/>
  <c r="IH8" i="38" s="1"/>
  <c r="JE7" i="38"/>
  <c r="JE8" i="38" s="1"/>
  <c r="HW7" i="38"/>
  <c r="HJ7" i="38"/>
  <c r="GE7" i="38"/>
  <c r="GI7" i="38"/>
  <c r="IY7" i="38"/>
  <c r="IY8" i="38" s="1"/>
  <c r="GR7" i="38"/>
  <c r="JA7" i="38"/>
  <c r="JA8" i="38" s="1"/>
  <c r="IG7" i="38"/>
  <c r="IG8" i="38" s="1"/>
  <c r="HS7" i="38"/>
  <c r="IN7" i="38"/>
  <c r="IN8" i="38" s="1"/>
  <c r="GY7" i="38"/>
  <c r="HO7" i="38"/>
  <c r="HP7" i="38"/>
  <c r="HK7" i="38"/>
  <c r="GH7" i="38"/>
  <c r="IE7" i="38"/>
  <c r="IE8" i="38" s="1"/>
  <c r="IM7" i="38"/>
  <c r="IM8" i="38" s="1"/>
  <c r="GP7" i="38"/>
  <c r="IO7" i="38"/>
  <c r="IO8" i="38" s="1"/>
  <c r="FT7" i="38"/>
  <c r="GC7" i="38"/>
  <c r="JC7" i="38"/>
  <c r="JC8" i="38" s="1"/>
  <c r="GO7" i="38"/>
  <c r="IV7" i="38"/>
  <c r="IV8" i="38" s="1"/>
  <c r="JI7" i="38"/>
  <c r="GT7" i="38"/>
  <c r="GQ7" i="38"/>
  <c r="HT7" i="38"/>
  <c r="IA7" i="38"/>
  <c r="IA8" i="38" s="1"/>
  <c r="GN7" i="38"/>
  <c r="IQ7" i="38"/>
  <c r="IQ8" i="38" s="1"/>
  <c r="FX7" i="38"/>
  <c r="FS7" i="38"/>
  <c r="JN7" i="38"/>
  <c r="IZ7" i="38"/>
  <c r="IZ8" i="38" s="1"/>
  <c r="GA7" i="38"/>
  <c r="GX7" i="38"/>
  <c r="HX7" i="38"/>
  <c r="IC7" i="38"/>
  <c r="IC8" i="38" s="1"/>
  <c r="IS7" i="38"/>
  <c r="IS8" i="38" s="1"/>
  <c r="HV7" i="38"/>
  <c r="IL7" i="38"/>
  <c r="IL8" i="38" s="1"/>
  <c r="HB7" i="38"/>
  <c r="II7" i="38"/>
  <c r="II8" i="38" s="1"/>
  <c r="HL7" i="38"/>
  <c r="HF7" i="38"/>
  <c r="IX7" i="38"/>
  <c r="IX8" i="38" s="1"/>
  <c r="HZ7" i="38"/>
  <c r="HZ8" i="38" s="1"/>
  <c r="GZ7" i="38"/>
  <c r="JD7" i="38"/>
  <c r="JD8" i="38" s="1"/>
  <c r="HR7" i="38"/>
  <c r="FY7" i="38"/>
  <c r="GF7" i="38"/>
  <c r="JF7" i="38"/>
  <c r="GG7" i="38"/>
  <c r="FU7" i="38"/>
  <c r="FW7" i="38"/>
  <c r="IB7" i="38"/>
  <c r="IB8" i="38" s="1"/>
  <c r="GW7" i="38"/>
  <c r="IW7" i="38"/>
  <c r="IW8" i="38" s="1"/>
  <c r="IK7" i="38"/>
  <c r="IK8" i="38" s="1"/>
  <c r="HQ7" i="38"/>
  <c r="HY7" i="38"/>
  <c r="JL7" i="38"/>
  <c r="FZ7" i="38"/>
  <c r="HD7" i="38"/>
  <c r="JB7" i="38"/>
  <c r="JB8" i="38" s="1"/>
  <c r="FO120" i="46"/>
  <c r="Z120" i="41"/>
  <c r="AD120" i="41" s="1"/>
  <c r="Q120" i="41"/>
  <c r="K119" i="41"/>
  <c r="G119" i="41"/>
  <c r="JN91" i="38"/>
  <c r="JN79" i="38"/>
  <c r="JN66" i="38"/>
  <c r="JN43" i="38"/>
  <c r="JN35" i="38"/>
  <c r="JN102" i="38"/>
  <c r="JN87" i="38"/>
  <c r="JN69" i="38"/>
  <c r="JN49" i="38"/>
  <c r="JN40" i="38"/>
  <c r="JN21" i="38"/>
  <c r="JN99" i="38"/>
  <c r="JN80" i="38"/>
  <c r="JN71" i="38"/>
  <c r="JN47" i="38"/>
  <c r="JN22" i="38"/>
  <c r="JN88" i="38"/>
  <c r="JN33" i="38"/>
  <c r="JN56" i="38"/>
  <c r="JN73" i="38"/>
  <c r="JN5" i="38"/>
  <c r="JN46" i="38"/>
  <c r="JN89" i="38"/>
  <c r="JN74" i="38"/>
  <c r="JN53" i="38"/>
  <c r="JN44" i="38"/>
  <c r="JN25" i="38"/>
  <c r="JN103" i="38"/>
  <c r="JN77" i="38"/>
  <c r="JN64" i="38"/>
  <c r="JN55" i="38"/>
  <c r="JN23" i="38"/>
  <c r="JN6" i="38"/>
  <c r="JN95" i="38"/>
  <c r="JN83" i="38"/>
  <c r="JN70" i="38"/>
  <c r="JN45" i="38"/>
  <c r="JN29" i="38"/>
  <c r="JN82" i="38"/>
  <c r="JN98" i="38"/>
  <c r="JN36" i="38"/>
  <c r="JN60" i="38"/>
  <c r="JN92" i="38"/>
  <c r="JN26" i="38"/>
  <c r="JN104" i="38"/>
  <c r="JN97" i="38"/>
  <c r="JN81" i="38"/>
  <c r="JN68" i="38"/>
  <c r="JN48" i="38"/>
  <c r="JN27" i="38"/>
  <c r="JN24" i="38"/>
  <c r="JN96" i="38"/>
  <c r="JN72" i="38"/>
  <c r="JN63" i="38"/>
  <c r="JN50" i="38"/>
  <c r="JN30" i="38"/>
  <c r="JN20" i="38"/>
  <c r="JN90" i="38"/>
  <c r="JN78" i="38"/>
  <c r="JN57" i="38"/>
  <c r="JN38" i="38"/>
  <c r="JN32" i="38"/>
  <c r="JN58" i="38"/>
  <c r="JN94" i="38"/>
  <c r="JN8" i="38"/>
  <c r="JN51" i="38"/>
  <c r="JN84" i="38"/>
  <c r="JN93" i="38"/>
  <c r="JN76" i="38"/>
  <c r="JN67" i="38"/>
  <c r="JN54" i="38"/>
  <c r="JN41" i="38"/>
  <c r="JN28" i="38"/>
  <c r="JN85" i="38"/>
  <c r="JN75" i="38"/>
  <c r="JN62" i="38"/>
  <c r="JN39" i="38"/>
  <c r="JN34" i="38"/>
  <c r="JN101" i="38"/>
  <c r="JN86" i="38"/>
  <c r="JN61" i="38"/>
  <c r="JN52" i="38"/>
  <c r="JN31" i="38"/>
  <c r="JN37" i="38"/>
  <c r="JN42" i="38"/>
  <c r="JN65" i="38"/>
  <c r="JN100" i="38"/>
  <c r="JO18" i="38"/>
  <c r="JN59" i="38"/>
  <c r="JN105" i="38"/>
  <c r="JN109" i="38"/>
  <c r="JN111" i="38"/>
  <c r="JN116" i="38"/>
  <c r="JN107" i="38"/>
  <c r="JN110" i="38"/>
  <c r="JN120" i="38"/>
  <c r="JN108" i="38"/>
  <c r="JN114" i="38"/>
  <c r="JN115" i="38"/>
  <c r="JN117" i="38"/>
  <c r="JN119" i="38"/>
  <c r="JN106" i="38"/>
  <c r="JN112" i="38"/>
  <c r="JN113" i="38"/>
  <c r="JN118" i="38"/>
  <c r="JN15" i="38"/>
  <c r="AL120" i="41" l="1"/>
  <c r="I119" i="46"/>
  <c r="J119" i="46" s="1"/>
  <c r="J118" i="46"/>
  <c r="I119" i="38"/>
  <c r="U47" i="38"/>
  <c r="V47" i="38" s="1"/>
  <c r="FP47" i="38" s="1"/>
  <c r="U58" i="38"/>
  <c r="V58" i="38" s="1"/>
  <c r="AA58" i="38" s="1"/>
  <c r="U72" i="38"/>
  <c r="V72" i="38" s="1"/>
  <c r="AA72" i="38" s="1"/>
  <c r="U92" i="38"/>
  <c r="V92" i="38" s="1"/>
  <c r="FP92" i="38" s="1"/>
  <c r="U27" i="38"/>
  <c r="V27" i="38" s="1"/>
  <c r="AA27" i="38" s="1"/>
  <c r="U78" i="38"/>
  <c r="V78" i="38" s="1"/>
  <c r="AA78" i="38" s="1"/>
  <c r="U93" i="38"/>
  <c r="V93" i="38" s="1"/>
  <c r="AA93" i="38" s="1"/>
  <c r="U28" i="38"/>
  <c r="V28" i="38" s="1"/>
  <c r="AA28" i="38" s="1"/>
  <c r="U48" i="38"/>
  <c r="V48" i="38" s="1"/>
  <c r="AA48" i="38" s="1"/>
  <c r="U66" i="38"/>
  <c r="V66" i="38" s="1"/>
  <c r="AA66" i="38" s="1"/>
  <c r="U44" i="38"/>
  <c r="V44" i="38" s="1"/>
  <c r="FP44" i="38" s="1"/>
  <c r="U63" i="38"/>
  <c r="V63" i="38" s="1"/>
  <c r="AA63" i="38" s="1"/>
  <c r="U82" i="38"/>
  <c r="V82" i="38" s="1"/>
  <c r="AA82" i="38" s="1"/>
  <c r="U97" i="38"/>
  <c r="V97" i="38" s="1"/>
  <c r="FP97" i="38" s="1"/>
  <c r="U35" i="38"/>
  <c r="V35" i="38" s="1"/>
  <c r="FP35" i="38" s="1"/>
  <c r="U107" i="38"/>
  <c r="V107" i="38" s="1"/>
  <c r="AA107" i="38" s="1"/>
  <c r="U91" i="38"/>
  <c r="V91" i="38" s="1"/>
  <c r="FP91" i="38" s="1"/>
  <c r="U25" i="38"/>
  <c r="V25" i="38" s="1"/>
  <c r="AA25" i="38" s="1"/>
  <c r="U41" i="38"/>
  <c r="V41" i="38" s="1"/>
  <c r="FP41" i="38" s="1"/>
  <c r="U60" i="38"/>
  <c r="V60" i="38" s="1"/>
  <c r="AA60" i="38" s="1"/>
  <c r="U79" i="38"/>
  <c r="V79" i="38" s="1"/>
  <c r="FP79" i="38" s="1"/>
  <c r="U105" i="38"/>
  <c r="V105" i="38" s="1"/>
  <c r="FP105" i="38" s="1"/>
  <c r="U73" i="38"/>
  <c r="V73" i="38" s="1"/>
  <c r="FP73" i="38" s="1"/>
  <c r="U42" i="38"/>
  <c r="V42" i="38" s="1"/>
  <c r="FP42" i="38" s="1"/>
  <c r="U88" i="38"/>
  <c r="V88" i="38" s="1"/>
  <c r="FP88" i="38" s="1"/>
  <c r="U57" i="38"/>
  <c r="V57" i="38" s="1"/>
  <c r="FP57" i="38" s="1"/>
  <c r="U21" i="38"/>
  <c r="V21" i="38" s="1"/>
  <c r="FP21" i="38" s="1"/>
  <c r="U75" i="38"/>
  <c r="V75" i="38" s="1"/>
  <c r="FP75" i="38" s="1"/>
  <c r="U46" i="38"/>
  <c r="V46" i="38" s="1"/>
  <c r="AA46" i="38" s="1"/>
  <c r="U95" i="38"/>
  <c r="V95" i="38" s="1"/>
  <c r="FP95" i="38" s="1"/>
  <c r="U62" i="38"/>
  <c r="V62" i="38" s="1"/>
  <c r="FP62" i="38" s="1"/>
  <c r="U30" i="38"/>
  <c r="V30" i="38" s="1"/>
  <c r="AA30" i="38" s="1"/>
  <c r="U109" i="38"/>
  <c r="V109" i="38" s="1"/>
  <c r="FP109" i="38" s="1"/>
  <c r="U102" i="38"/>
  <c r="V102" i="38" s="1"/>
  <c r="FP102" i="38" s="1"/>
  <c r="U96" i="38"/>
  <c r="V96" i="38" s="1"/>
  <c r="AA96" i="38" s="1"/>
  <c r="U61" i="38"/>
  <c r="V61" i="38" s="1"/>
  <c r="AA61" i="38" s="1"/>
  <c r="U32" i="38"/>
  <c r="V32" i="38" s="1"/>
  <c r="FP32" i="38" s="1"/>
  <c r="U76" i="38"/>
  <c r="V76" i="38" s="1"/>
  <c r="AA76" i="38" s="1"/>
  <c r="U45" i="38"/>
  <c r="V45" i="38" s="1"/>
  <c r="AA45" i="38" s="1"/>
  <c r="U94" i="38"/>
  <c r="V94" i="38" s="1"/>
  <c r="AA94" i="38" s="1"/>
  <c r="U64" i="38"/>
  <c r="V64" i="38" s="1"/>
  <c r="FP64" i="38" s="1"/>
  <c r="U31" i="38"/>
  <c r="V31" i="38" s="1"/>
  <c r="FP31" i="38" s="1"/>
  <c r="U81" i="38"/>
  <c r="V81" i="38" s="1"/>
  <c r="AA81" i="38" s="1"/>
  <c r="U50" i="38"/>
  <c r="V50" i="38" s="1"/>
  <c r="AA50" i="38" s="1"/>
  <c r="U110" i="38"/>
  <c r="V110" i="38" s="1"/>
  <c r="AA110" i="38" s="1"/>
  <c r="BU110" i="38"/>
  <c r="BV110" i="38" s="1"/>
  <c r="W110" i="38"/>
  <c r="U89" i="38"/>
  <c r="V89" i="38" s="1"/>
  <c r="AA89" i="38" s="1"/>
  <c r="U71" i="38"/>
  <c r="V71" i="38" s="1"/>
  <c r="FP71" i="38" s="1"/>
  <c r="U53" i="38"/>
  <c r="V53" i="38" s="1"/>
  <c r="AA53" i="38" s="1"/>
  <c r="U38" i="38"/>
  <c r="V38" i="38" s="1"/>
  <c r="FP38" i="38" s="1"/>
  <c r="U20" i="38"/>
  <c r="V20" i="38" s="1"/>
  <c r="FP20" i="38" s="1"/>
  <c r="U85" i="38"/>
  <c r="V85" i="38" s="1"/>
  <c r="AA85" i="38" s="1"/>
  <c r="U69" i="38"/>
  <c r="V69" i="38" s="1"/>
  <c r="FP69" i="38" s="1"/>
  <c r="U54" i="38"/>
  <c r="V54" i="38" s="1"/>
  <c r="FP54" i="38" s="1"/>
  <c r="U37" i="38"/>
  <c r="V37" i="38" s="1"/>
  <c r="AA37" i="38" s="1"/>
  <c r="U22" i="38"/>
  <c r="V22" i="38" s="1"/>
  <c r="FP22" i="38" s="1"/>
  <c r="U87" i="38"/>
  <c r="V87" i="38" s="1"/>
  <c r="AA87" i="38" s="1"/>
  <c r="U74" i="38"/>
  <c r="V74" i="38" s="1"/>
  <c r="AA74" i="38" s="1"/>
  <c r="U56" i="38"/>
  <c r="V56" i="38" s="1"/>
  <c r="FP56" i="38" s="1"/>
  <c r="U39" i="38"/>
  <c r="V39" i="38" s="1"/>
  <c r="FP39" i="38" s="1"/>
  <c r="U23" i="38"/>
  <c r="V23" i="38" s="1"/>
  <c r="AA23" i="38" s="1"/>
  <c r="U90" i="38"/>
  <c r="V90" i="38" s="1"/>
  <c r="AA90" i="38" s="1"/>
  <c r="U77" i="38"/>
  <c r="V77" i="38" s="1"/>
  <c r="AA77" i="38" s="1"/>
  <c r="U59" i="38"/>
  <c r="V59" i="38" s="1"/>
  <c r="FP59" i="38" s="1"/>
  <c r="U43" i="38"/>
  <c r="V43" i="38" s="1"/>
  <c r="AA43" i="38" s="1"/>
  <c r="U29" i="38"/>
  <c r="V29" i="38" s="1"/>
  <c r="AA29" i="38" s="1"/>
  <c r="U106" i="38"/>
  <c r="V106" i="38" s="1"/>
  <c r="FP106" i="38" s="1"/>
  <c r="U104" i="38"/>
  <c r="V104" i="38" s="1"/>
  <c r="AA104" i="38" s="1"/>
  <c r="U98" i="38"/>
  <c r="V98" i="38" s="1"/>
  <c r="FP98" i="38" s="1"/>
  <c r="U83" i="38"/>
  <c r="V83" i="38" s="1"/>
  <c r="AA83" i="38" s="1"/>
  <c r="U65" i="38"/>
  <c r="V65" i="38" s="1"/>
  <c r="FP65" i="38" s="1"/>
  <c r="U51" i="38"/>
  <c r="V51" i="38" s="1"/>
  <c r="AA51" i="38" s="1"/>
  <c r="U34" i="38"/>
  <c r="V34" i="38" s="1"/>
  <c r="AA34" i="38" s="1"/>
  <c r="U99" i="38"/>
  <c r="V99" i="38" s="1"/>
  <c r="AA99" i="38" s="1"/>
  <c r="U80" i="38"/>
  <c r="V80" i="38" s="1"/>
  <c r="AA80" i="38" s="1"/>
  <c r="U67" i="38"/>
  <c r="V67" i="38" s="1"/>
  <c r="U49" i="38"/>
  <c r="V49" i="38" s="1"/>
  <c r="AA49" i="38" s="1"/>
  <c r="U33" i="38"/>
  <c r="V33" i="38" s="1"/>
  <c r="AA33" i="38" s="1"/>
  <c r="U100" i="38"/>
  <c r="V100" i="38" s="1"/>
  <c r="AA100" i="38" s="1"/>
  <c r="U84" i="38"/>
  <c r="V84" i="38" s="1"/>
  <c r="AA84" i="38" s="1"/>
  <c r="U68" i="38"/>
  <c r="V68" i="38" s="1"/>
  <c r="AA68" i="38" s="1"/>
  <c r="U52" i="38"/>
  <c r="V52" i="38" s="1"/>
  <c r="FP52" i="38" s="1"/>
  <c r="U36" i="38"/>
  <c r="V36" i="38" s="1"/>
  <c r="AA36" i="38" s="1"/>
  <c r="U24" i="38"/>
  <c r="V24" i="38" s="1"/>
  <c r="U86" i="38"/>
  <c r="V86" i="38" s="1"/>
  <c r="FP86" i="38" s="1"/>
  <c r="U70" i="38"/>
  <c r="V70" i="38" s="1"/>
  <c r="AA70" i="38" s="1"/>
  <c r="U55" i="38"/>
  <c r="V55" i="38" s="1"/>
  <c r="FP55" i="38" s="1"/>
  <c r="U40" i="38"/>
  <c r="V40" i="38" s="1"/>
  <c r="AA40" i="38" s="1"/>
  <c r="U26" i="38"/>
  <c r="V26" i="38" s="1"/>
  <c r="FP26" i="38" s="1"/>
  <c r="U108" i="38"/>
  <c r="V108" i="38" s="1"/>
  <c r="FP108" i="38" s="1"/>
  <c r="U103" i="38"/>
  <c r="V103" i="38" s="1"/>
  <c r="FP103" i="38" s="1"/>
  <c r="T109" i="46"/>
  <c r="W109" i="41"/>
  <c r="T109" i="45"/>
  <c r="V109" i="41"/>
  <c r="BA120" i="38"/>
  <c r="BB120" i="38" s="1"/>
  <c r="G120" i="38" s="1"/>
  <c r="AV120" i="38"/>
  <c r="AW120" i="38" s="1"/>
  <c r="F120" i="38" s="1"/>
  <c r="BA120" i="45"/>
  <c r="BB120" i="45" s="1"/>
  <c r="G120" i="45" s="1"/>
  <c r="BA120" i="46"/>
  <c r="BB120" i="46" s="1"/>
  <c r="G120" i="46" s="1"/>
  <c r="BF120" i="45"/>
  <c r="BG120" i="45" s="1"/>
  <c r="H120" i="45" s="1"/>
  <c r="I19" i="45" s="1"/>
  <c r="BF120" i="46"/>
  <c r="BG120" i="46" s="1"/>
  <c r="H120" i="46" s="1"/>
  <c r="I120" i="46" s="1"/>
  <c r="AV120" i="45"/>
  <c r="AW120" i="45" s="1"/>
  <c r="F120" i="45" s="1"/>
  <c r="AV120" i="46"/>
  <c r="AW120" i="46" s="1"/>
  <c r="F120" i="46" s="1"/>
  <c r="BF120" i="38"/>
  <c r="BG120" i="38" s="1"/>
  <c r="H120" i="38" s="1"/>
  <c r="FP101" i="38"/>
  <c r="AA101" i="38"/>
  <c r="JO96" i="38"/>
  <c r="JO83" i="38"/>
  <c r="JO70" i="38"/>
  <c r="JO57" i="38"/>
  <c r="JO34" i="38"/>
  <c r="JO23" i="38"/>
  <c r="JO87" i="38"/>
  <c r="JO68" i="38"/>
  <c r="JO55" i="38"/>
  <c r="JO39" i="38"/>
  <c r="JO24" i="38"/>
  <c r="JO88" i="38"/>
  <c r="JO77" i="38"/>
  <c r="JO52" i="38"/>
  <c r="JO45" i="38"/>
  <c r="JO32" i="38"/>
  <c r="JO86" i="38"/>
  <c r="JO20" i="38"/>
  <c r="JO46" i="38"/>
  <c r="JO75" i="38"/>
  <c r="JO93" i="38"/>
  <c r="JO40" i="38"/>
  <c r="JO105" i="38"/>
  <c r="JO94" i="38"/>
  <c r="JO78" i="38"/>
  <c r="JO65" i="38"/>
  <c r="JO38" i="38"/>
  <c r="JO21" i="38"/>
  <c r="JO99" i="38"/>
  <c r="JO72" i="38"/>
  <c r="JO67" i="38"/>
  <c r="JO50" i="38"/>
  <c r="JO30" i="38"/>
  <c r="JO97" i="38"/>
  <c r="JO80" i="38"/>
  <c r="JO60" i="38"/>
  <c r="JO47" i="38"/>
  <c r="JO44" i="38"/>
  <c r="JO6" i="38"/>
  <c r="JO64" i="38"/>
  <c r="JO102" i="38"/>
  <c r="JO26" i="38"/>
  <c r="JO62" i="38"/>
  <c r="JO81" i="38"/>
  <c r="JO103" i="38"/>
  <c r="JO89" i="38"/>
  <c r="JO73" i="38"/>
  <c r="JO48" i="38"/>
  <c r="JO43" i="38"/>
  <c r="JO28" i="38"/>
  <c r="JO92" i="38"/>
  <c r="JO79" i="38"/>
  <c r="JO66" i="38"/>
  <c r="JO53" i="38"/>
  <c r="JO33" i="38"/>
  <c r="JO98" i="38"/>
  <c r="JO84" i="38"/>
  <c r="JO59" i="38"/>
  <c r="JO58" i="38"/>
  <c r="JO22" i="38"/>
  <c r="JO31" i="38"/>
  <c r="JO51" i="38"/>
  <c r="JO85" i="38"/>
  <c r="JO5" i="38"/>
  <c r="JO49" i="38"/>
  <c r="JO56" i="38"/>
  <c r="JO100" i="38"/>
  <c r="JO76" i="38"/>
  <c r="JO71" i="38"/>
  <c r="JO54" i="38"/>
  <c r="JO36" i="38"/>
  <c r="JO27" i="38"/>
  <c r="JO90" i="38"/>
  <c r="JO74" i="38"/>
  <c r="JO61" i="38"/>
  <c r="JO41" i="38"/>
  <c r="JO8" i="38"/>
  <c r="JO91" i="38"/>
  <c r="JO82" i="38"/>
  <c r="JO69" i="38"/>
  <c r="JO42" i="38"/>
  <c r="JO25" i="38"/>
  <c r="JO101" i="38"/>
  <c r="JO35" i="38"/>
  <c r="JO63" i="38"/>
  <c r="JO95" i="38"/>
  <c r="JO29" i="38"/>
  <c r="JO37" i="38"/>
  <c r="JO104" i="38"/>
  <c r="JO106" i="38"/>
  <c r="JO112" i="38"/>
  <c r="FR112" i="38" s="1"/>
  <c r="JO113" i="38"/>
  <c r="FR113" i="38" s="1"/>
  <c r="JO118" i="38"/>
  <c r="FR118" i="38" s="1"/>
  <c r="JO15" i="38"/>
  <c r="JO109" i="38"/>
  <c r="JO111" i="38"/>
  <c r="FR111" i="38" s="1"/>
  <c r="JO116" i="38"/>
  <c r="FR116" i="38" s="1"/>
  <c r="JO107" i="38"/>
  <c r="JO110" i="38"/>
  <c r="JO120" i="38"/>
  <c r="FR120" i="38" s="1"/>
  <c r="JO108" i="38"/>
  <c r="JO114" i="38"/>
  <c r="FR114" i="38" s="1"/>
  <c r="JO115" i="38"/>
  <c r="FR115" i="38" s="1"/>
  <c r="JO117" i="38"/>
  <c r="FR117" i="38" s="1"/>
  <c r="JO119" i="38"/>
  <c r="FR119" i="38" s="1"/>
  <c r="DB13" i="41"/>
  <c r="DK13" i="41"/>
  <c r="DG13" i="41"/>
  <c r="DE13" i="41"/>
  <c r="DA13" i="41"/>
  <c r="DF13" i="41"/>
  <c r="DC13" i="41"/>
  <c r="CZ13" i="41"/>
  <c r="DH13" i="41"/>
  <c r="DD13" i="41"/>
  <c r="DI13" i="41"/>
  <c r="DJ13" i="41"/>
  <c r="DM13" i="41"/>
  <c r="DL13" i="41"/>
  <c r="DN13" i="41"/>
  <c r="I120" i="38" l="1"/>
  <c r="J120" i="38" s="1"/>
  <c r="J119" i="38"/>
  <c r="J120" i="46"/>
  <c r="I120" i="45"/>
  <c r="AA47" i="38"/>
  <c r="FP58" i="38"/>
  <c r="V111" i="41"/>
  <c r="T111" i="45"/>
  <c r="FP83" i="38"/>
  <c r="FP70" i="38"/>
  <c r="AA62" i="38"/>
  <c r="AA35" i="38"/>
  <c r="FP63" i="38"/>
  <c r="AA54" i="38"/>
  <c r="FP72" i="38"/>
  <c r="AA73" i="38"/>
  <c r="FP93" i="38"/>
  <c r="FP25" i="38"/>
  <c r="FP81" i="38"/>
  <c r="FP90" i="38"/>
  <c r="FP99" i="38"/>
  <c r="FP74" i="38"/>
  <c r="AA41" i="38"/>
  <c r="AA44" i="38"/>
  <c r="FP33" i="38"/>
  <c r="FP29" i="38"/>
  <c r="AA21" i="38"/>
  <c r="AA108" i="38"/>
  <c r="FP96" i="38"/>
  <c r="AA91" i="38"/>
  <c r="FP48" i="38"/>
  <c r="FP50" i="38"/>
  <c r="FP45" i="38"/>
  <c r="AA52" i="38"/>
  <c r="AA38" i="38"/>
  <c r="FP27" i="38"/>
  <c r="FP82" i="38"/>
  <c r="AA79" i="38"/>
  <c r="FP46" i="38"/>
  <c r="FP110" i="38"/>
  <c r="FP28" i="38"/>
  <c r="FP61" i="38"/>
  <c r="AA92" i="38"/>
  <c r="AA88" i="38"/>
  <c r="AA98" i="38"/>
  <c r="FP78" i="38"/>
  <c r="FP87" i="38"/>
  <c r="AA105" i="38"/>
  <c r="FP66" i="38"/>
  <c r="AA97" i="38"/>
  <c r="AA64" i="38"/>
  <c r="AA86" i="38"/>
  <c r="FP23" i="38"/>
  <c r="AA95" i="38"/>
  <c r="AA57" i="38"/>
  <c r="AA109" i="38"/>
  <c r="AA32" i="38"/>
  <c r="AA26" i="38"/>
  <c r="FP49" i="38"/>
  <c r="FP43" i="38"/>
  <c r="FP30" i="38"/>
  <c r="AA75" i="38"/>
  <c r="FP94" i="38"/>
  <c r="FP37" i="38"/>
  <c r="AA42" i="38"/>
  <c r="FP107" i="38"/>
  <c r="EE8" i="38"/>
  <c r="FP100" i="38"/>
  <c r="AA65" i="38"/>
  <c r="FP60" i="38"/>
  <c r="AA55" i="38"/>
  <c r="FP36" i="38"/>
  <c r="FP80" i="38"/>
  <c r="AA31" i="38"/>
  <c r="FP76" i="38"/>
  <c r="AA69" i="38"/>
  <c r="AA102" i="38"/>
  <c r="FP68" i="38"/>
  <c r="FP34" i="38"/>
  <c r="FP53" i="38"/>
  <c r="AA20" i="38"/>
  <c r="AA59" i="38"/>
  <c r="FP40" i="38"/>
  <c r="FP24" i="38"/>
  <c r="FP67" i="38"/>
  <c r="AA22" i="38"/>
  <c r="FP104" i="38"/>
  <c r="AA24" i="38"/>
  <c r="AA67" i="38"/>
  <c r="FP51" i="38"/>
  <c r="FP77" i="38"/>
  <c r="AA56" i="38"/>
  <c r="FP89" i="38"/>
  <c r="AA103" i="38"/>
  <c r="AA106" i="38"/>
  <c r="X101" i="38"/>
  <c r="Y101" i="38" s="1"/>
  <c r="X103" i="38"/>
  <c r="Y103" i="38" s="1"/>
  <c r="X110" i="38"/>
  <c r="Y110" i="38" s="1"/>
  <c r="X23" i="38"/>
  <c r="Y23" i="38" s="1"/>
  <c r="X38" i="38"/>
  <c r="Y38" i="38" s="1"/>
  <c r="X58" i="38"/>
  <c r="Y58" i="38" s="1"/>
  <c r="X73" i="38"/>
  <c r="Y73" i="38" s="1"/>
  <c r="X88" i="38"/>
  <c r="Y88" i="38" s="1"/>
  <c r="X21" i="38"/>
  <c r="Y21" i="38" s="1"/>
  <c r="X41" i="38"/>
  <c r="Y41" i="38" s="1"/>
  <c r="X57" i="38"/>
  <c r="Y57" i="38" s="1"/>
  <c r="X74" i="38"/>
  <c r="Y74" i="38" s="1"/>
  <c r="X89" i="38"/>
  <c r="Y89" i="38" s="1"/>
  <c r="X27" i="38"/>
  <c r="Y27" i="38" s="1"/>
  <c r="X44" i="38"/>
  <c r="Y44" i="38" s="1"/>
  <c r="X59" i="38"/>
  <c r="Y59" i="38" s="1"/>
  <c r="FO59" i="38" s="1"/>
  <c r="X75" i="38"/>
  <c r="Y75" i="38" s="1"/>
  <c r="X90" i="38"/>
  <c r="Y90" i="38" s="1"/>
  <c r="X28" i="38"/>
  <c r="Y28" i="38" s="1"/>
  <c r="X42" i="38"/>
  <c r="Y42" i="38" s="1"/>
  <c r="X55" i="38"/>
  <c r="Y55" i="38" s="1"/>
  <c r="X70" i="38"/>
  <c r="Y70" i="38" s="1"/>
  <c r="X91" i="38"/>
  <c r="Y91" i="38" s="1"/>
  <c r="X33" i="38"/>
  <c r="Y33" i="38" s="1"/>
  <c r="X67" i="38"/>
  <c r="Y67" i="38" s="1"/>
  <c r="X82" i="38"/>
  <c r="Y82" i="38" s="1"/>
  <c r="X49" i="38"/>
  <c r="Y49" i="38" s="1"/>
  <c r="X81" i="38"/>
  <c r="Y81" i="38" s="1"/>
  <c r="X97" i="38"/>
  <c r="Y97" i="38" s="1"/>
  <c r="X53" i="38"/>
  <c r="Y53" i="38" s="1"/>
  <c r="X83" i="38"/>
  <c r="Y83" i="38" s="1"/>
  <c r="X99" i="38"/>
  <c r="Y99" i="38" s="1"/>
  <c r="X47" i="38"/>
  <c r="Y47" i="38" s="1"/>
  <c r="X65" i="38"/>
  <c r="Y65" i="38" s="1"/>
  <c r="X98" i="38"/>
  <c r="Y98" i="38" s="1"/>
  <c r="X104" i="38"/>
  <c r="Y104" i="38" s="1"/>
  <c r="X109" i="38"/>
  <c r="Y109" i="38" s="1"/>
  <c r="X71" i="38"/>
  <c r="Y71" i="38" s="1"/>
  <c r="X39" i="38"/>
  <c r="Y39" i="38" s="1"/>
  <c r="X69" i="38"/>
  <c r="Y69" i="38" s="1"/>
  <c r="X25" i="38"/>
  <c r="Y25" i="38" s="1"/>
  <c r="X54" i="38"/>
  <c r="Y54" i="38" s="1"/>
  <c r="X26" i="38"/>
  <c r="Y26" i="38" s="1"/>
  <c r="X51" i="38"/>
  <c r="Y51" i="38" s="1"/>
  <c r="FO51" i="38" s="1"/>
  <c r="X85" i="38"/>
  <c r="Y85" i="38" s="1"/>
  <c r="X102" i="38"/>
  <c r="Y102" i="38" s="1"/>
  <c r="X105" i="38"/>
  <c r="Y105" i="38" s="1"/>
  <c r="X106" i="38"/>
  <c r="Y106" i="38" s="1"/>
  <c r="X30" i="38"/>
  <c r="Y30" i="38" s="1"/>
  <c r="X46" i="38"/>
  <c r="Y46" i="38" s="1"/>
  <c r="X60" i="38"/>
  <c r="Y60" i="38" s="1"/>
  <c r="X77" i="38"/>
  <c r="Y77" i="38" s="1"/>
  <c r="X93" i="38"/>
  <c r="Y93" i="38" s="1"/>
  <c r="X29" i="38"/>
  <c r="Y29" i="38" s="1"/>
  <c r="X45" i="38"/>
  <c r="Y45" i="38" s="1"/>
  <c r="X61" i="38"/>
  <c r="Y61" i="38" s="1"/>
  <c r="X78" i="38"/>
  <c r="Y78" i="38" s="1"/>
  <c r="X94" i="38"/>
  <c r="Y94" i="38" s="1"/>
  <c r="X32" i="38"/>
  <c r="Y32" i="38" s="1"/>
  <c r="X48" i="38"/>
  <c r="Y48" i="38" s="1"/>
  <c r="X63" i="38"/>
  <c r="Y63" i="38" s="1"/>
  <c r="X80" i="38"/>
  <c r="Y80" i="38" s="1"/>
  <c r="X95" i="38"/>
  <c r="Y95" i="38" s="1"/>
  <c r="X22" i="38"/>
  <c r="Y22" i="38" s="1"/>
  <c r="FO22" i="38" s="1"/>
  <c r="X43" i="38"/>
  <c r="Y43" i="38" s="1"/>
  <c r="X62" i="38"/>
  <c r="Y62" i="38" s="1"/>
  <c r="X76" i="38"/>
  <c r="Y76" i="38" s="1"/>
  <c r="X92" i="38"/>
  <c r="Y92" i="38" s="1"/>
  <c r="X107" i="38"/>
  <c r="Y107" i="38" s="1"/>
  <c r="X108" i="38"/>
  <c r="Y108" i="38" s="1"/>
  <c r="X50" i="38"/>
  <c r="Y50" i="38" s="1"/>
  <c r="X96" i="38"/>
  <c r="Y96" i="38" s="1"/>
  <c r="X36" i="38"/>
  <c r="Y36" i="38" s="1"/>
  <c r="FO36" i="38" s="1"/>
  <c r="X64" i="38"/>
  <c r="Y64" i="38" s="1"/>
  <c r="X35" i="38"/>
  <c r="Y35" i="38" s="1"/>
  <c r="X68" i="38"/>
  <c r="Y68" i="38" s="1"/>
  <c r="X31" i="38"/>
  <c r="Y31" i="38" s="1"/>
  <c r="X79" i="38"/>
  <c r="Y79" i="38" s="1"/>
  <c r="X24" i="38"/>
  <c r="Y24" i="38" s="1"/>
  <c r="FO24" i="38" s="1"/>
  <c r="X37" i="38"/>
  <c r="Y37" i="38" s="1"/>
  <c r="FO37" i="38" s="1"/>
  <c r="X56" i="38"/>
  <c r="Y56" i="38" s="1"/>
  <c r="X84" i="38"/>
  <c r="Y84" i="38" s="1"/>
  <c r="X20" i="38"/>
  <c r="Y20" i="38" s="1"/>
  <c r="X52" i="38"/>
  <c r="Y52" i="38" s="1"/>
  <c r="X86" i="38"/>
  <c r="Y86" i="38" s="1"/>
  <c r="X40" i="38"/>
  <c r="Y40" i="38" s="1"/>
  <c r="FO40" i="38" s="1"/>
  <c r="X72" i="38"/>
  <c r="Y72" i="38" s="1"/>
  <c r="X87" i="38"/>
  <c r="Y87" i="38" s="1"/>
  <c r="X34" i="38"/>
  <c r="Y34" i="38" s="1"/>
  <c r="X66" i="38"/>
  <c r="Y66" i="38" s="1"/>
  <c r="X100" i="38"/>
  <c r="Y100" i="38" s="1"/>
  <c r="FP84" i="38"/>
  <c r="AA39" i="38"/>
  <c r="FP85" i="38"/>
  <c r="AA71" i="38"/>
  <c r="W109" i="46"/>
  <c r="V110" i="41"/>
  <c r="T110" i="45"/>
  <c r="W110" i="41"/>
  <c r="T110" i="46"/>
  <c r="U24" i="46" s="1"/>
  <c r="V24" i="46" s="1"/>
  <c r="DN58" i="41"/>
  <c r="DN43" i="41"/>
  <c r="DN34" i="41"/>
  <c r="DN23" i="41"/>
  <c r="DN87" i="41"/>
  <c r="DN91" i="41"/>
  <c r="DN95" i="41"/>
  <c r="DN86" i="41"/>
  <c r="DN22" i="41"/>
  <c r="DN72" i="41"/>
  <c r="DN66" i="41"/>
  <c r="DN25" i="41"/>
  <c r="DN61" i="41"/>
  <c r="DN65" i="41"/>
  <c r="DN68" i="41"/>
  <c r="DN62" i="41"/>
  <c r="DN20" i="41"/>
  <c r="DN78" i="41"/>
  <c r="DN63" i="41"/>
  <c r="DN59" i="41"/>
  <c r="DN54" i="41"/>
  <c r="DN30" i="41"/>
  <c r="DN40" i="41"/>
  <c r="DN81" i="41"/>
  <c r="DN69" i="41"/>
  <c r="DN44" i="41"/>
  <c r="DN31" i="41"/>
  <c r="DN90" i="41"/>
  <c r="DN93" i="41"/>
  <c r="DN96" i="41"/>
  <c r="DN99" i="41"/>
  <c r="DN89" i="41"/>
  <c r="DN85" i="41"/>
  <c r="DN29" i="41"/>
  <c r="DN56" i="41"/>
  <c r="DN35" i="41"/>
  <c r="DN53" i="41"/>
  <c r="DN76" i="41"/>
  <c r="DN41" i="41"/>
  <c r="DN48" i="41"/>
  <c r="DN45" i="41"/>
  <c r="DN51" i="41"/>
  <c r="DN33" i="41"/>
  <c r="DN32" i="41"/>
  <c r="DN50" i="41"/>
  <c r="DN36" i="41"/>
  <c r="DN27" i="41"/>
  <c r="DN94" i="41"/>
  <c r="DN97" i="41"/>
  <c r="DN49" i="41"/>
  <c r="DN60" i="41"/>
  <c r="DN42" i="41"/>
  <c r="DN47" i="41"/>
  <c r="DN77" i="41"/>
  <c r="DN46" i="41"/>
  <c r="DN55" i="41"/>
  <c r="DN74" i="41"/>
  <c r="DN38" i="41"/>
  <c r="DN71" i="41"/>
  <c r="DN83" i="41"/>
  <c r="DN73" i="41"/>
  <c r="DN57" i="41"/>
  <c r="DN39" i="41"/>
  <c r="DN84" i="41"/>
  <c r="DN82" i="41"/>
  <c r="DN26" i="41"/>
  <c r="DN75" i="41"/>
  <c r="DN70" i="41"/>
  <c r="DN88" i="41"/>
  <c r="DN98" i="41"/>
  <c r="DN24" i="41"/>
  <c r="DN52" i="41"/>
  <c r="DN28" i="41"/>
  <c r="DN37" i="41"/>
  <c r="DN79" i="41"/>
  <c r="DN80" i="41"/>
  <c r="DN64" i="41"/>
  <c r="DN67" i="41"/>
  <c r="DN92" i="41"/>
  <c r="DN21" i="41"/>
  <c r="DN112" i="41"/>
  <c r="DN113" i="41"/>
  <c r="DN118" i="41"/>
  <c r="DN111" i="41"/>
  <c r="DN116" i="41"/>
  <c r="DN120" i="41"/>
  <c r="DN114" i="41"/>
  <c r="DN115" i="41"/>
  <c r="DN117" i="41"/>
  <c r="DN119" i="41"/>
  <c r="DI30" i="41"/>
  <c r="DI33" i="41"/>
  <c r="DI28" i="41"/>
  <c r="DI29" i="41"/>
  <c r="DI32" i="41"/>
  <c r="DI34" i="41"/>
  <c r="DI59" i="41"/>
  <c r="DI40" i="41"/>
  <c r="DI56" i="41"/>
  <c r="DI51" i="41"/>
  <c r="DI25" i="41"/>
  <c r="DI46" i="41"/>
  <c r="DI71" i="41"/>
  <c r="DI39" i="41"/>
  <c r="DI35" i="41"/>
  <c r="DI61" i="41"/>
  <c r="DI63" i="41"/>
  <c r="DI53" i="41"/>
  <c r="DI68" i="41"/>
  <c r="DI67" i="41"/>
  <c r="DI42" i="41"/>
  <c r="DI20" i="41"/>
  <c r="DI26" i="41"/>
  <c r="DI43" i="41"/>
  <c r="DI64" i="41"/>
  <c r="DI69" i="41"/>
  <c r="DI57" i="41"/>
  <c r="DI38" i="41"/>
  <c r="DI48" i="41"/>
  <c r="DI54" i="41"/>
  <c r="DI66" i="41"/>
  <c r="DI22" i="41"/>
  <c r="DI60" i="41"/>
  <c r="DI72" i="41"/>
  <c r="DI65" i="41"/>
  <c r="DI58" i="41"/>
  <c r="DI37" i="41"/>
  <c r="DI27" i="41"/>
  <c r="DI74" i="41"/>
  <c r="DI50" i="41"/>
  <c r="DI45" i="41"/>
  <c r="DI44" i="41"/>
  <c r="DI31" i="41"/>
  <c r="DI73" i="41"/>
  <c r="DI36" i="41"/>
  <c r="DI49" i="41"/>
  <c r="DI23" i="41"/>
  <c r="DI24" i="41"/>
  <c r="DI62" i="41"/>
  <c r="DI47" i="41"/>
  <c r="DI52" i="41"/>
  <c r="DI21" i="41"/>
  <c r="DI55" i="41"/>
  <c r="DI41" i="41"/>
  <c r="DI70" i="41"/>
  <c r="DI120" i="41"/>
  <c r="DI114" i="41"/>
  <c r="DI115" i="41"/>
  <c r="DI117" i="41"/>
  <c r="DI119" i="41"/>
  <c r="DI112" i="41"/>
  <c r="DI113" i="41"/>
  <c r="DI118" i="41"/>
  <c r="DI111" i="41"/>
  <c r="DI116" i="41"/>
  <c r="DC24" i="41"/>
  <c r="DC25" i="41"/>
  <c r="DC27" i="41"/>
  <c r="DC23" i="41"/>
  <c r="DC26" i="41"/>
  <c r="DC29" i="41"/>
  <c r="DC28" i="41"/>
  <c r="DC20" i="41"/>
  <c r="DC21" i="41"/>
  <c r="DC22" i="41"/>
  <c r="DC38" i="41"/>
  <c r="DC42" i="41"/>
  <c r="DC33" i="41"/>
  <c r="DC35" i="41"/>
  <c r="DC37" i="41"/>
  <c r="DC43" i="41"/>
  <c r="DC41" i="41"/>
  <c r="DC44" i="41"/>
  <c r="DC30" i="41"/>
  <c r="DC31" i="41"/>
  <c r="DC32" i="41"/>
  <c r="DC36" i="41"/>
  <c r="DC39" i="41"/>
  <c r="DC34" i="41"/>
  <c r="DC40" i="41"/>
  <c r="DC120" i="41"/>
  <c r="DC114" i="41"/>
  <c r="DC115" i="41"/>
  <c r="DC117" i="41"/>
  <c r="DC119" i="41"/>
  <c r="DC112" i="41"/>
  <c r="DC113" i="41"/>
  <c r="DC118" i="41"/>
  <c r="DC111" i="41"/>
  <c r="DC116" i="41"/>
  <c r="DG41" i="41"/>
  <c r="DG28" i="41"/>
  <c r="DG44" i="41"/>
  <c r="DG42" i="41"/>
  <c r="DG53" i="41"/>
  <c r="DG32" i="41"/>
  <c r="DG33" i="41"/>
  <c r="DG47" i="41"/>
  <c r="DG54" i="41"/>
  <c r="DG59" i="41"/>
  <c r="DG40" i="41"/>
  <c r="DG58" i="41"/>
  <c r="DG64" i="41"/>
  <c r="DG45" i="41"/>
  <c r="DG29" i="41"/>
  <c r="DG23" i="41"/>
  <c r="DG61" i="41"/>
  <c r="DG62" i="41"/>
  <c r="DG26" i="41"/>
  <c r="DG55" i="41"/>
  <c r="DG30" i="41"/>
  <c r="DG43" i="41"/>
  <c r="DG31" i="41"/>
  <c r="DG63" i="41"/>
  <c r="DG48" i="41"/>
  <c r="DG51" i="41"/>
  <c r="DG49" i="41"/>
  <c r="DG52" i="41"/>
  <c r="DG27" i="41"/>
  <c r="DG34" i="41"/>
  <c r="DG21" i="41"/>
  <c r="DG22" i="41"/>
  <c r="DG37" i="41"/>
  <c r="DG46" i="41"/>
  <c r="DG25" i="41"/>
  <c r="DG56" i="41"/>
  <c r="DG20" i="41"/>
  <c r="DG50" i="41"/>
  <c r="DG24" i="41"/>
  <c r="DG39" i="41"/>
  <c r="DG36" i="41"/>
  <c r="DG38" i="41"/>
  <c r="DG35" i="41"/>
  <c r="DG60" i="41"/>
  <c r="DG57" i="41"/>
  <c r="DG120" i="41"/>
  <c r="DG114" i="41"/>
  <c r="DG115" i="41"/>
  <c r="DG117" i="41"/>
  <c r="DG119" i="41"/>
  <c r="DG112" i="41"/>
  <c r="DG113" i="41"/>
  <c r="DG118" i="41"/>
  <c r="DG111" i="41"/>
  <c r="DG116" i="41"/>
  <c r="DL63" i="41"/>
  <c r="DL53" i="41"/>
  <c r="DL27" i="41"/>
  <c r="DL46" i="41"/>
  <c r="DL62" i="41"/>
  <c r="DL58" i="41"/>
  <c r="DL41" i="41"/>
  <c r="DL65" i="41"/>
  <c r="DL21" i="41"/>
  <c r="DL25" i="41"/>
  <c r="DL74" i="41"/>
  <c r="DL68" i="41"/>
  <c r="DL54" i="41"/>
  <c r="DL88" i="41"/>
  <c r="DL34" i="41"/>
  <c r="DL84" i="41"/>
  <c r="DL81" i="41"/>
  <c r="DL38" i="41"/>
  <c r="DL87" i="41"/>
  <c r="DL67" i="41"/>
  <c r="DL64" i="41"/>
  <c r="DL40" i="41"/>
  <c r="DL86" i="41"/>
  <c r="DL37" i="41"/>
  <c r="DL22" i="41"/>
  <c r="DL39" i="41"/>
  <c r="DL79" i="41"/>
  <c r="DL47" i="41"/>
  <c r="DL83" i="41"/>
  <c r="DL24" i="41"/>
  <c r="DL66" i="41"/>
  <c r="DL75" i="41"/>
  <c r="DL48" i="41"/>
  <c r="DL50" i="41"/>
  <c r="DL33" i="41"/>
  <c r="DL42" i="41"/>
  <c r="DL59" i="41"/>
  <c r="DL61" i="41"/>
  <c r="DL72" i="41"/>
  <c r="DL23" i="41"/>
  <c r="DL57" i="41"/>
  <c r="DL28" i="41"/>
  <c r="DL77" i="41"/>
  <c r="DL36" i="41"/>
  <c r="DL70" i="41"/>
  <c r="DL71" i="41"/>
  <c r="DL35" i="41"/>
  <c r="DL55" i="41"/>
  <c r="DL32" i="41"/>
  <c r="DL45" i="41"/>
  <c r="DL49" i="41"/>
  <c r="DL31" i="41"/>
  <c r="DL51" i="41"/>
  <c r="DL78" i="41"/>
  <c r="DL73" i="41"/>
  <c r="DL52" i="41"/>
  <c r="DL82" i="41"/>
  <c r="DL85" i="41"/>
  <c r="DL60" i="41"/>
  <c r="DL26" i="41"/>
  <c r="DL56" i="41"/>
  <c r="DL43" i="41"/>
  <c r="DL20" i="41"/>
  <c r="DL30" i="41"/>
  <c r="DL69" i="41"/>
  <c r="DL89" i="41"/>
  <c r="DL29" i="41"/>
  <c r="DL80" i="41"/>
  <c r="DL76" i="41"/>
  <c r="DL44" i="41"/>
  <c r="DL112" i="41"/>
  <c r="DL113" i="41"/>
  <c r="DL118" i="41"/>
  <c r="DL111" i="41"/>
  <c r="DL116" i="41"/>
  <c r="DL120" i="41"/>
  <c r="DL114" i="41"/>
  <c r="DL115" i="41"/>
  <c r="DL117" i="41"/>
  <c r="DL119" i="41"/>
  <c r="DD30" i="41"/>
  <c r="DD25" i="41"/>
  <c r="DD26" i="41"/>
  <c r="DD37" i="41"/>
  <c r="DD22" i="41"/>
  <c r="DD20" i="41"/>
  <c r="DD21" i="41"/>
  <c r="DD36" i="41"/>
  <c r="DD38" i="41"/>
  <c r="DD47" i="41"/>
  <c r="DD48" i="41"/>
  <c r="DD41" i="41"/>
  <c r="DD42" i="41"/>
  <c r="DD49" i="41"/>
  <c r="DD28" i="41"/>
  <c r="DD29" i="41"/>
  <c r="DD32" i="41"/>
  <c r="DD33" i="41"/>
  <c r="DD34" i="41"/>
  <c r="DD45" i="41"/>
  <c r="DD23" i="41"/>
  <c r="DD44" i="41"/>
  <c r="DD43" i="41"/>
  <c r="DD46" i="41"/>
  <c r="DD39" i="41"/>
  <c r="DD40" i="41"/>
  <c r="DD31" i="41"/>
  <c r="DD35" i="41"/>
  <c r="DD27" i="41"/>
  <c r="DD24" i="41"/>
  <c r="DD112" i="41"/>
  <c r="DD113" i="41"/>
  <c r="DD118" i="41"/>
  <c r="DD111" i="41"/>
  <c r="DD116" i="41"/>
  <c r="DD120" i="41"/>
  <c r="DD114" i="41"/>
  <c r="DD115" i="41"/>
  <c r="DD117" i="41"/>
  <c r="DD119" i="41"/>
  <c r="DF22" i="41"/>
  <c r="DF43" i="41"/>
  <c r="DF41" i="41"/>
  <c r="DF34" i="41"/>
  <c r="DF50" i="41"/>
  <c r="DF58" i="41"/>
  <c r="DF30" i="41"/>
  <c r="DF24" i="41"/>
  <c r="DF46" i="41"/>
  <c r="DF37" i="41"/>
  <c r="DF35" i="41"/>
  <c r="DF49" i="41"/>
  <c r="DF32" i="41"/>
  <c r="DF25" i="41"/>
  <c r="DF26" i="41"/>
  <c r="DF40" i="41"/>
  <c r="DF21" i="41"/>
  <c r="DF28" i="41"/>
  <c r="DF29" i="41"/>
  <c r="DF55" i="41"/>
  <c r="DF54" i="41"/>
  <c r="DF23" i="41"/>
  <c r="DF20" i="41"/>
  <c r="DF36" i="41"/>
  <c r="DF44" i="41"/>
  <c r="DF31" i="41"/>
  <c r="DF33" i="41"/>
  <c r="DF51" i="41"/>
  <c r="DF42" i="41"/>
  <c r="DF57" i="41"/>
  <c r="DF38" i="41"/>
  <c r="DF27" i="41"/>
  <c r="DF47" i="41"/>
  <c r="DF56" i="41"/>
  <c r="DF45" i="41"/>
  <c r="DF48" i="41"/>
  <c r="DF52" i="41"/>
  <c r="DF59" i="41"/>
  <c r="DF53" i="41"/>
  <c r="DF39" i="41"/>
  <c r="DF112" i="41"/>
  <c r="DF113" i="41"/>
  <c r="DF118" i="41"/>
  <c r="DF111" i="41"/>
  <c r="DF116" i="41"/>
  <c r="DF120" i="41"/>
  <c r="DF114" i="41"/>
  <c r="DF115" i="41"/>
  <c r="DF117" i="41"/>
  <c r="DF119" i="41"/>
  <c r="DK28" i="41"/>
  <c r="DK57" i="41"/>
  <c r="DK76" i="41"/>
  <c r="DK55" i="41"/>
  <c r="DK45" i="41"/>
  <c r="DK43" i="41"/>
  <c r="DK49" i="41"/>
  <c r="DK34" i="41"/>
  <c r="DK30" i="41"/>
  <c r="DK21" i="41"/>
  <c r="DK26" i="41"/>
  <c r="DK65" i="41"/>
  <c r="DK36" i="41"/>
  <c r="DK59" i="41"/>
  <c r="DK74" i="41"/>
  <c r="DK83" i="41"/>
  <c r="DK22" i="41"/>
  <c r="DK24" i="41"/>
  <c r="DK48" i="41"/>
  <c r="DK47" i="41"/>
  <c r="DK70" i="41"/>
  <c r="DK52" i="41"/>
  <c r="DK77" i="41"/>
  <c r="DK80" i="41"/>
  <c r="DK50" i="41"/>
  <c r="DK44" i="41"/>
  <c r="DK33" i="41"/>
  <c r="DK78" i="41"/>
  <c r="DK82" i="41"/>
  <c r="DK84" i="41"/>
  <c r="DK63" i="41"/>
  <c r="DK69" i="41"/>
  <c r="DK64" i="41"/>
  <c r="DK35" i="41"/>
  <c r="DK51" i="41"/>
  <c r="DK20" i="41"/>
  <c r="DK32" i="41"/>
  <c r="DK54" i="41"/>
  <c r="DK73" i="41"/>
  <c r="DK61" i="41"/>
  <c r="DK25" i="41"/>
  <c r="DK81" i="41"/>
  <c r="DK58" i="41"/>
  <c r="DK53" i="41"/>
  <c r="DK23" i="41"/>
  <c r="DK27" i="41"/>
  <c r="DK38" i="41"/>
  <c r="DK42" i="41"/>
  <c r="DK29" i="41"/>
  <c r="DK72" i="41"/>
  <c r="DK37" i="41"/>
  <c r="DK66" i="41"/>
  <c r="DK68" i="41"/>
  <c r="DK60" i="41"/>
  <c r="DK39" i="41"/>
  <c r="DK79" i="41"/>
  <c r="DK46" i="41"/>
  <c r="DK40" i="41"/>
  <c r="DK75" i="41"/>
  <c r="DK71" i="41"/>
  <c r="DK31" i="41"/>
  <c r="DK41" i="41"/>
  <c r="DK67" i="41"/>
  <c r="DK56" i="41"/>
  <c r="DK62" i="41"/>
  <c r="DK120" i="41"/>
  <c r="DK114" i="41"/>
  <c r="DK115" i="41"/>
  <c r="DK117" i="41"/>
  <c r="DK119" i="41"/>
  <c r="DK112" i="41"/>
  <c r="DK113" i="41"/>
  <c r="DK118" i="41"/>
  <c r="DK111" i="41"/>
  <c r="DK116" i="41"/>
  <c r="DM53" i="41"/>
  <c r="DM47" i="41"/>
  <c r="DM37" i="41"/>
  <c r="DM28" i="41"/>
  <c r="DM60" i="41"/>
  <c r="DM55" i="41"/>
  <c r="DM69" i="41"/>
  <c r="DM57" i="41"/>
  <c r="DM40" i="41"/>
  <c r="DM45" i="41"/>
  <c r="DM76" i="41"/>
  <c r="DM71" i="41"/>
  <c r="DM86" i="41"/>
  <c r="DM94" i="41"/>
  <c r="DM52" i="41"/>
  <c r="DM46" i="41"/>
  <c r="DM51" i="41"/>
  <c r="DM33" i="41"/>
  <c r="DM84" i="41"/>
  <c r="DM75" i="41"/>
  <c r="DM78" i="41"/>
  <c r="DM79" i="41"/>
  <c r="DM56" i="41"/>
  <c r="DM38" i="41"/>
  <c r="DM24" i="41"/>
  <c r="DM81" i="41"/>
  <c r="DM82" i="41"/>
  <c r="DM85" i="41"/>
  <c r="DM92" i="41"/>
  <c r="DM65" i="41"/>
  <c r="DM35" i="41"/>
  <c r="DM42" i="41"/>
  <c r="DM27" i="41"/>
  <c r="DM21" i="41"/>
  <c r="DM91" i="41"/>
  <c r="DM88" i="41"/>
  <c r="DM68" i="41"/>
  <c r="DM67" i="41"/>
  <c r="DM43" i="41"/>
  <c r="DM73" i="41"/>
  <c r="DM66" i="41"/>
  <c r="DM39" i="41"/>
  <c r="DM23" i="41"/>
  <c r="DM72" i="41"/>
  <c r="DM61" i="41"/>
  <c r="DM58" i="41"/>
  <c r="DM77" i="41"/>
  <c r="DM49" i="41"/>
  <c r="DM54" i="41"/>
  <c r="DM30" i="41"/>
  <c r="DM32" i="41"/>
  <c r="DM87" i="41"/>
  <c r="DM64" i="41"/>
  <c r="DM31" i="41"/>
  <c r="DM70" i="41"/>
  <c r="DM29" i="41"/>
  <c r="DM80" i="41"/>
  <c r="DM20" i="41"/>
  <c r="DM59" i="41"/>
  <c r="DM44" i="41"/>
  <c r="DM25" i="41"/>
  <c r="DM36" i="41"/>
  <c r="DM41" i="41"/>
  <c r="DM89" i="41"/>
  <c r="DM90" i="41"/>
  <c r="DM93" i="41"/>
  <c r="DM50" i="41"/>
  <c r="DM22" i="41"/>
  <c r="DM48" i="41"/>
  <c r="DM34" i="41"/>
  <c r="DM26" i="41"/>
  <c r="DM83" i="41"/>
  <c r="DM74" i="41"/>
  <c r="DM62" i="41"/>
  <c r="DM63" i="41"/>
  <c r="DM120" i="41"/>
  <c r="DM114" i="41"/>
  <c r="DM115" i="41"/>
  <c r="DM117" i="41"/>
  <c r="DM119" i="41"/>
  <c r="DM112" i="41"/>
  <c r="DM113" i="41"/>
  <c r="DM118" i="41"/>
  <c r="DM111" i="41"/>
  <c r="DM116" i="41"/>
  <c r="DH48" i="41"/>
  <c r="DH26" i="41"/>
  <c r="DH27" i="41"/>
  <c r="DH53" i="41"/>
  <c r="DH45" i="41"/>
  <c r="DH41" i="41"/>
  <c r="DH46" i="41"/>
  <c r="DH56" i="41"/>
  <c r="DH61" i="41"/>
  <c r="DH67" i="41"/>
  <c r="DH57" i="41"/>
  <c r="DH66" i="41"/>
  <c r="DH21" i="41"/>
  <c r="DH55" i="41"/>
  <c r="DH69" i="41"/>
  <c r="DH22" i="41"/>
  <c r="DH38" i="41"/>
  <c r="DH40" i="41"/>
  <c r="DH23" i="41"/>
  <c r="DH31" i="41"/>
  <c r="DH63" i="41"/>
  <c r="DH64" i="41"/>
  <c r="DH33" i="41"/>
  <c r="DH29" i="41"/>
  <c r="DH34" i="41"/>
  <c r="DH59" i="41"/>
  <c r="DH58" i="41"/>
  <c r="DH47" i="41"/>
  <c r="DH65" i="41"/>
  <c r="DH60" i="41"/>
  <c r="DH52" i="41"/>
  <c r="DH20" i="41"/>
  <c r="DH50" i="41"/>
  <c r="DH36" i="41"/>
  <c r="DH24" i="41"/>
  <c r="DH30" i="41"/>
  <c r="DH37" i="41"/>
  <c r="DH44" i="41"/>
  <c r="DH32" i="41"/>
  <c r="DH35" i="41"/>
  <c r="DH68" i="41"/>
  <c r="DH62" i="41"/>
  <c r="DH49" i="41"/>
  <c r="DH42" i="41"/>
  <c r="DH39" i="41"/>
  <c r="DH51" i="41"/>
  <c r="DH28" i="41"/>
  <c r="DH54" i="41"/>
  <c r="DH25" i="41"/>
  <c r="DH43" i="41"/>
  <c r="DH112" i="41"/>
  <c r="DH113" i="41"/>
  <c r="DH118" i="41"/>
  <c r="DH111" i="41"/>
  <c r="DH116" i="41"/>
  <c r="DH120" i="41"/>
  <c r="DH114" i="41"/>
  <c r="DH115" i="41"/>
  <c r="DH117" i="41"/>
  <c r="DH119" i="41"/>
  <c r="DA23" i="41"/>
  <c r="DA21" i="41"/>
  <c r="DA26" i="41"/>
  <c r="DA20" i="41"/>
  <c r="DA25" i="41"/>
  <c r="DA24" i="41"/>
  <c r="DA22" i="41"/>
  <c r="DA27" i="41"/>
  <c r="DA28" i="41"/>
  <c r="DA32" i="41"/>
  <c r="DA34" i="41"/>
  <c r="DA31" i="41"/>
  <c r="DA33" i="41"/>
  <c r="DA30" i="41"/>
  <c r="DA29" i="41"/>
  <c r="DA116" i="41"/>
  <c r="DA118" i="41"/>
  <c r="DA120" i="41"/>
  <c r="DA112" i="41"/>
  <c r="DA117" i="41"/>
  <c r="DA111" i="41"/>
  <c r="DA113" i="41"/>
  <c r="DA115" i="41"/>
  <c r="DA114" i="41"/>
  <c r="DA119" i="41"/>
  <c r="DB24" i="41"/>
  <c r="DB25" i="41"/>
  <c r="DB23" i="41"/>
  <c r="DB28" i="41"/>
  <c r="DB21" i="41"/>
  <c r="DB22" i="41"/>
  <c r="DB20" i="41"/>
  <c r="DB27" i="41"/>
  <c r="DB26" i="41"/>
  <c r="DB33" i="41"/>
  <c r="DB30" i="41"/>
  <c r="DB35" i="41"/>
  <c r="DB36" i="41"/>
  <c r="DB31" i="41"/>
  <c r="DB38" i="41"/>
  <c r="DB29" i="41"/>
  <c r="DB37" i="41"/>
  <c r="DB34" i="41"/>
  <c r="DB32" i="41"/>
  <c r="DB39" i="41"/>
  <c r="DB115" i="41"/>
  <c r="DB117" i="41"/>
  <c r="DB119" i="41"/>
  <c r="DB113" i="41"/>
  <c r="DB111" i="41"/>
  <c r="DB112" i="41"/>
  <c r="DB118" i="41"/>
  <c r="DB120" i="41"/>
  <c r="DB114" i="41"/>
  <c r="DB116" i="41"/>
  <c r="DJ61" i="41"/>
  <c r="DJ46" i="41"/>
  <c r="DJ35" i="41"/>
  <c r="DJ32" i="41"/>
  <c r="DJ45" i="41"/>
  <c r="DJ29" i="41"/>
  <c r="DJ41" i="41"/>
  <c r="DJ62" i="41"/>
  <c r="DJ72" i="41"/>
  <c r="DJ69" i="41"/>
  <c r="DJ73" i="41"/>
  <c r="DJ75" i="41"/>
  <c r="DJ60" i="41"/>
  <c r="DJ49" i="41"/>
  <c r="DJ20" i="41"/>
  <c r="DJ42" i="41"/>
  <c r="DJ44" i="41"/>
  <c r="DJ59" i="41"/>
  <c r="DJ48" i="41"/>
  <c r="DJ65" i="41"/>
  <c r="DJ70" i="41"/>
  <c r="DJ58" i="41"/>
  <c r="DJ78" i="41"/>
  <c r="DJ23" i="41"/>
  <c r="DJ53" i="41"/>
  <c r="DJ55" i="41"/>
  <c r="DJ22" i="41"/>
  <c r="DJ74" i="41"/>
  <c r="DJ79" i="41"/>
  <c r="DJ77" i="41"/>
  <c r="DJ67" i="41"/>
  <c r="DJ38" i="41"/>
  <c r="DJ47" i="41"/>
  <c r="DJ64" i="41"/>
  <c r="DJ21" i="41"/>
  <c r="DJ31" i="41"/>
  <c r="DJ34" i="41"/>
  <c r="DJ39" i="41"/>
  <c r="DJ54" i="41"/>
  <c r="DJ68" i="41"/>
  <c r="DJ71" i="41"/>
  <c r="DJ25" i="41"/>
  <c r="DJ37" i="41"/>
  <c r="DJ43" i="41"/>
  <c r="DJ30" i="41"/>
  <c r="DJ28" i="41"/>
  <c r="DJ26" i="41"/>
  <c r="DJ56" i="41"/>
  <c r="DJ50" i="41"/>
  <c r="DJ52" i="41"/>
  <c r="DJ51" i="41"/>
  <c r="DJ36" i="41"/>
  <c r="DJ33" i="41"/>
  <c r="DJ57" i="41"/>
  <c r="DJ63" i="41"/>
  <c r="DJ76" i="41"/>
  <c r="DJ27" i="41"/>
  <c r="DJ66" i="41"/>
  <c r="DJ40" i="41"/>
  <c r="DJ24" i="41"/>
  <c r="DJ112" i="41"/>
  <c r="DJ113" i="41"/>
  <c r="DJ118" i="41"/>
  <c r="DJ111" i="41"/>
  <c r="DJ116" i="41"/>
  <c r="DJ120" i="41"/>
  <c r="DJ114" i="41"/>
  <c r="DJ115" i="41"/>
  <c r="DJ117" i="41"/>
  <c r="DJ119" i="41"/>
  <c r="CZ24" i="41"/>
  <c r="CZ20" i="41"/>
  <c r="CZ25" i="41"/>
  <c r="CZ21" i="41"/>
  <c r="CZ22" i="41"/>
  <c r="CZ26" i="41"/>
  <c r="CZ28" i="41"/>
  <c r="CZ23" i="41"/>
  <c r="CZ27" i="41"/>
  <c r="CZ29" i="41"/>
  <c r="CZ112" i="41"/>
  <c r="CZ113" i="41"/>
  <c r="CZ114" i="41"/>
  <c r="CZ116" i="41"/>
  <c r="CZ111" i="41"/>
  <c r="CZ115" i="41"/>
  <c r="CZ117" i="41"/>
  <c r="CZ120" i="41"/>
  <c r="CZ118" i="41"/>
  <c r="CZ119" i="41"/>
  <c r="DE26" i="41"/>
  <c r="DE29" i="41"/>
  <c r="DE39" i="41"/>
  <c r="DE46" i="41"/>
  <c r="DE33" i="41"/>
  <c r="DE52" i="41"/>
  <c r="DE49" i="41"/>
  <c r="DE48" i="41"/>
  <c r="DE38" i="41"/>
  <c r="DE24" i="41"/>
  <c r="DE51" i="41"/>
  <c r="DE54" i="41"/>
  <c r="DE40" i="41"/>
  <c r="DE23" i="41"/>
  <c r="DE47" i="41"/>
  <c r="DE31" i="41"/>
  <c r="DE35" i="41"/>
  <c r="DE20" i="41"/>
  <c r="DE21" i="41"/>
  <c r="DE43" i="41"/>
  <c r="DE32" i="41"/>
  <c r="DE41" i="41"/>
  <c r="DE22" i="41"/>
  <c r="DE28" i="41"/>
  <c r="DE50" i="41"/>
  <c r="DE27" i="41"/>
  <c r="DE53" i="41"/>
  <c r="DE37" i="41"/>
  <c r="DE45" i="41"/>
  <c r="DE36" i="41"/>
  <c r="DE44" i="41"/>
  <c r="DE34" i="41"/>
  <c r="DE42" i="41"/>
  <c r="DE30" i="41"/>
  <c r="DE25" i="41"/>
  <c r="DE120" i="41"/>
  <c r="DE114" i="41"/>
  <c r="DE115" i="41"/>
  <c r="DE117" i="41"/>
  <c r="DE119" i="41"/>
  <c r="DE112" i="41"/>
  <c r="DE113" i="41"/>
  <c r="DE118" i="41"/>
  <c r="DE111" i="41"/>
  <c r="DE116" i="41"/>
  <c r="FO67" i="38" l="1"/>
  <c r="FO106" i="38"/>
  <c r="FO84" i="38"/>
  <c r="FO80" i="38"/>
  <c r="T112" i="45"/>
  <c r="Z51" i="38"/>
  <c r="Z36" i="38"/>
  <c r="Z59" i="38"/>
  <c r="Z84" i="38"/>
  <c r="Z22" i="38"/>
  <c r="Z106" i="38"/>
  <c r="Z24" i="38"/>
  <c r="FO100" i="38"/>
  <c r="Z100" i="38"/>
  <c r="Z72" i="38"/>
  <c r="FO72" i="38"/>
  <c r="FO20" i="38"/>
  <c r="Z20" i="38"/>
  <c r="Z35" i="38"/>
  <c r="FO35" i="38"/>
  <c r="Z50" i="38"/>
  <c r="FO50" i="38"/>
  <c r="FO76" i="38"/>
  <c r="Z76" i="38"/>
  <c r="Z95" i="38"/>
  <c r="FO95" i="38"/>
  <c r="Z32" i="38"/>
  <c r="FO32" i="38"/>
  <c r="Z45" i="38"/>
  <c r="FO45" i="38"/>
  <c r="FO60" i="38"/>
  <c r="Z60" i="38"/>
  <c r="FO105" i="38"/>
  <c r="Z105" i="38"/>
  <c r="FO26" i="38"/>
  <c r="Z26" i="38"/>
  <c r="FO39" i="38"/>
  <c r="Z39" i="38"/>
  <c r="FO98" i="38"/>
  <c r="Z98" i="38"/>
  <c r="FO83" i="38"/>
  <c r="Z83" i="38"/>
  <c r="Z49" i="38"/>
  <c r="FO49" i="38"/>
  <c r="FO91" i="38"/>
  <c r="Z91" i="38"/>
  <c r="FO28" i="38"/>
  <c r="Z28" i="38"/>
  <c r="FO44" i="38"/>
  <c r="Z44" i="38"/>
  <c r="Z57" i="38"/>
  <c r="FO57" i="38"/>
  <c r="FO73" i="38"/>
  <c r="Z73" i="38"/>
  <c r="Z110" i="38"/>
  <c r="FO110" i="38"/>
  <c r="FO79" i="38"/>
  <c r="Z79" i="38"/>
  <c r="FO108" i="38"/>
  <c r="Z108" i="38"/>
  <c r="Z29" i="38"/>
  <c r="FO29" i="38"/>
  <c r="FO102" i="38"/>
  <c r="Z102" i="38"/>
  <c r="Z71" i="38"/>
  <c r="FO71" i="38"/>
  <c r="FO65" i="38"/>
  <c r="Z65" i="38"/>
  <c r="DA5" i="38" s="1"/>
  <c r="DA107" i="38" s="1"/>
  <c r="FO82" i="38"/>
  <c r="Z82" i="38"/>
  <c r="Z90" i="38"/>
  <c r="FO90" i="38"/>
  <c r="FO41" i="38"/>
  <c r="Z41" i="38"/>
  <c r="FO103" i="38"/>
  <c r="Z103" i="38"/>
  <c r="FO34" i="38"/>
  <c r="Z34" i="38"/>
  <c r="Z86" i="38"/>
  <c r="FO86" i="38"/>
  <c r="FO56" i="38"/>
  <c r="Z56" i="38"/>
  <c r="FO31" i="38"/>
  <c r="Z31" i="38"/>
  <c r="Z107" i="38"/>
  <c r="FO107" i="38"/>
  <c r="FO43" i="38"/>
  <c r="Z43" i="38"/>
  <c r="FO63" i="38"/>
  <c r="Z63" i="38"/>
  <c r="Z78" i="38"/>
  <c r="FO78" i="38"/>
  <c r="FO93" i="38"/>
  <c r="Z93" i="38"/>
  <c r="Z30" i="38"/>
  <c r="FO30" i="38"/>
  <c r="FO85" i="38"/>
  <c r="Z85" i="38"/>
  <c r="Z25" i="38"/>
  <c r="FO25" i="38"/>
  <c r="Z109" i="38"/>
  <c r="FO109" i="38"/>
  <c r="FO47" i="38"/>
  <c r="Z47" i="38"/>
  <c r="Z97" i="38"/>
  <c r="FO97" i="38"/>
  <c r="FO55" i="38"/>
  <c r="Z55" i="38"/>
  <c r="Z75" i="38"/>
  <c r="FO75" i="38"/>
  <c r="Z89" i="38"/>
  <c r="FO89" i="38"/>
  <c r="Z21" i="38"/>
  <c r="FO21" i="38"/>
  <c r="Z38" i="38"/>
  <c r="FO38" i="38"/>
  <c r="Z101" i="38"/>
  <c r="FO101" i="38"/>
  <c r="Z40" i="38"/>
  <c r="Z80" i="38"/>
  <c r="FO66" i="38"/>
  <c r="Z66" i="38"/>
  <c r="FO64" i="38"/>
  <c r="Z64" i="38"/>
  <c r="FO62" i="38"/>
  <c r="Z62" i="38"/>
  <c r="FO94" i="38"/>
  <c r="Z94" i="38"/>
  <c r="FO46" i="38"/>
  <c r="Z46" i="38"/>
  <c r="Z54" i="38"/>
  <c r="FO54" i="38"/>
  <c r="Z53" i="38"/>
  <c r="FO53" i="38"/>
  <c r="FO70" i="38"/>
  <c r="Z70" i="38"/>
  <c r="Z27" i="38"/>
  <c r="FO27" i="38"/>
  <c r="Z58" i="38"/>
  <c r="FO58" i="38"/>
  <c r="Z87" i="38"/>
  <c r="FO87" i="38"/>
  <c r="FO52" i="38"/>
  <c r="Z52" i="38"/>
  <c r="FO68" i="38"/>
  <c r="Z68" i="38"/>
  <c r="FO96" i="38"/>
  <c r="Z96" i="38"/>
  <c r="FO92" i="38"/>
  <c r="Z92" i="38"/>
  <c r="Z48" i="38"/>
  <c r="FO48" i="38"/>
  <c r="Z61" i="38"/>
  <c r="FO61" i="38"/>
  <c r="FO77" i="38"/>
  <c r="Z77" i="38"/>
  <c r="FO69" i="38"/>
  <c r="Z69" i="38"/>
  <c r="FO104" i="38"/>
  <c r="Z104" i="38"/>
  <c r="FO99" i="38"/>
  <c r="Z99" i="38"/>
  <c r="FO81" i="38"/>
  <c r="Z81" i="38"/>
  <c r="FO33" i="38"/>
  <c r="Z33" i="38"/>
  <c r="FO42" i="38"/>
  <c r="Z42" i="38"/>
  <c r="Z74" i="38"/>
  <c r="FO74" i="38"/>
  <c r="FO88" i="38"/>
  <c r="Z88" i="38"/>
  <c r="Z23" i="38"/>
  <c r="FO23" i="38"/>
  <c r="Z37" i="38"/>
  <c r="Z67" i="38"/>
  <c r="U33" i="46"/>
  <c r="V33" i="46" s="1"/>
  <c r="AA33" i="46" s="1"/>
  <c r="U72" i="46"/>
  <c r="V72" i="46" s="1"/>
  <c r="FM72" i="46" s="1"/>
  <c r="U57" i="46"/>
  <c r="V57" i="46" s="1"/>
  <c r="FM57" i="46" s="1"/>
  <c r="U73" i="46"/>
  <c r="V73" i="46" s="1"/>
  <c r="AA73" i="46" s="1"/>
  <c r="U31" i="46"/>
  <c r="V31" i="46" s="1"/>
  <c r="FM31" i="46" s="1"/>
  <c r="U89" i="46"/>
  <c r="V89" i="46" s="1"/>
  <c r="FM89" i="46" s="1"/>
  <c r="U53" i="46"/>
  <c r="V53" i="46" s="1"/>
  <c r="AA53" i="46" s="1"/>
  <c r="U23" i="46"/>
  <c r="V23" i="46" s="1"/>
  <c r="U102" i="46"/>
  <c r="V102" i="46" s="1"/>
  <c r="AA102" i="46" s="1"/>
  <c r="U21" i="46"/>
  <c r="V21" i="46" s="1"/>
  <c r="FM21" i="46" s="1"/>
  <c r="U41" i="46"/>
  <c r="V41" i="46" s="1"/>
  <c r="FM41" i="46" s="1"/>
  <c r="U75" i="46"/>
  <c r="V75" i="46" s="1"/>
  <c r="U69" i="46"/>
  <c r="V69" i="46" s="1"/>
  <c r="AA69" i="46" s="1"/>
  <c r="U26" i="46"/>
  <c r="V26" i="46" s="1"/>
  <c r="FM26" i="46" s="1"/>
  <c r="U51" i="46"/>
  <c r="V51" i="46" s="1"/>
  <c r="FM51" i="46" s="1"/>
  <c r="U52" i="46"/>
  <c r="V52" i="46" s="1"/>
  <c r="FM52" i="46" s="1"/>
  <c r="U63" i="46"/>
  <c r="V63" i="46" s="1"/>
  <c r="AA63" i="46" s="1"/>
  <c r="U64" i="46"/>
  <c r="V64" i="46" s="1"/>
  <c r="AA64" i="46" s="1"/>
  <c r="U30" i="46"/>
  <c r="V30" i="46" s="1"/>
  <c r="AA30" i="46" s="1"/>
  <c r="U78" i="46"/>
  <c r="V78" i="46" s="1"/>
  <c r="FM78" i="46" s="1"/>
  <c r="U105" i="46"/>
  <c r="V105" i="46" s="1"/>
  <c r="AA105" i="46" s="1"/>
  <c r="U48" i="46"/>
  <c r="V48" i="46" s="1"/>
  <c r="AA48" i="46" s="1"/>
  <c r="U56" i="46"/>
  <c r="V56" i="46" s="1"/>
  <c r="AA56" i="46" s="1"/>
  <c r="U92" i="46"/>
  <c r="V92" i="46" s="1"/>
  <c r="AA92" i="46" s="1"/>
  <c r="U62" i="46"/>
  <c r="V62" i="46" s="1"/>
  <c r="FM62" i="46" s="1"/>
  <c r="U87" i="46"/>
  <c r="V87" i="46" s="1"/>
  <c r="AA87" i="46" s="1"/>
  <c r="U67" i="46"/>
  <c r="V67" i="46" s="1"/>
  <c r="U34" i="46"/>
  <c r="V34" i="46" s="1"/>
  <c r="AA34" i="46" s="1"/>
  <c r="U43" i="46"/>
  <c r="V43" i="46" s="1"/>
  <c r="U29" i="46"/>
  <c r="V29" i="46" s="1"/>
  <c r="U55" i="46"/>
  <c r="V55" i="46" s="1"/>
  <c r="U71" i="46"/>
  <c r="V71" i="46" s="1"/>
  <c r="U81" i="46"/>
  <c r="V81" i="46" s="1"/>
  <c r="AA81" i="46" s="1"/>
  <c r="U97" i="46"/>
  <c r="V97" i="46" s="1"/>
  <c r="AA24" i="46"/>
  <c r="FM24" i="46"/>
  <c r="U98" i="46"/>
  <c r="V98" i="46" s="1"/>
  <c r="U61" i="46"/>
  <c r="V61" i="46" s="1"/>
  <c r="U70" i="46"/>
  <c r="V70" i="46" s="1"/>
  <c r="U20" i="46"/>
  <c r="V20" i="46" s="1"/>
  <c r="U45" i="46"/>
  <c r="V45" i="46" s="1"/>
  <c r="U37" i="46"/>
  <c r="V37" i="46" s="1"/>
  <c r="U88" i="46"/>
  <c r="V88" i="46" s="1"/>
  <c r="U66" i="46"/>
  <c r="V66" i="46" s="1"/>
  <c r="U80" i="46"/>
  <c r="V80" i="46" s="1"/>
  <c r="U95" i="46"/>
  <c r="V95" i="46" s="1"/>
  <c r="U68" i="46"/>
  <c r="V68" i="46" s="1"/>
  <c r="U28" i="46"/>
  <c r="V28" i="46" s="1"/>
  <c r="U38" i="46"/>
  <c r="V38" i="46" s="1"/>
  <c r="U77" i="46"/>
  <c r="V77" i="46" s="1"/>
  <c r="U90" i="46"/>
  <c r="V90" i="46" s="1"/>
  <c r="U79" i="46"/>
  <c r="V79" i="46" s="1"/>
  <c r="W110" i="46"/>
  <c r="X87" i="46" s="1"/>
  <c r="Y87" i="46" s="1"/>
  <c r="FL87" i="46" s="1"/>
  <c r="U83" i="46"/>
  <c r="V83" i="46" s="1"/>
  <c r="U36" i="46"/>
  <c r="V36" i="46" s="1"/>
  <c r="U99" i="46"/>
  <c r="V99" i="46" s="1"/>
  <c r="U76" i="46"/>
  <c r="V76" i="46" s="1"/>
  <c r="U59" i="46"/>
  <c r="V59" i="46" s="1"/>
  <c r="U47" i="46"/>
  <c r="V47" i="46" s="1"/>
  <c r="U60" i="46"/>
  <c r="V60" i="46" s="1"/>
  <c r="U22" i="46"/>
  <c r="V22" i="46" s="1"/>
  <c r="U100" i="46"/>
  <c r="V100" i="46" s="1"/>
  <c r="U58" i="46"/>
  <c r="V58" i="46" s="1"/>
  <c r="U110" i="46"/>
  <c r="V110" i="46" s="1"/>
  <c r="U25" i="46"/>
  <c r="V25" i="46" s="1"/>
  <c r="U46" i="46"/>
  <c r="V46" i="46" s="1"/>
  <c r="U39" i="46"/>
  <c r="V39" i="46" s="1"/>
  <c r="U32" i="46"/>
  <c r="V32" i="46" s="1"/>
  <c r="U44" i="46"/>
  <c r="V44" i="46" s="1"/>
  <c r="U94" i="46"/>
  <c r="V94" i="46" s="1"/>
  <c r="U86" i="46"/>
  <c r="V86" i="46" s="1"/>
  <c r="U49" i="46"/>
  <c r="V49" i="46" s="1"/>
  <c r="U50" i="46"/>
  <c r="V50" i="46" s="1"/>
  <c r="U103" i="46"/>
  <c r="V103" i="46" s="1"/>
  <c r="U82" i="46"/>
  <c r="V82" i="46" s="1"/>
  <c r="U106" i="46"/>
  <c r="V106" i="46" s="1"/>
  <c r="U35" i="46"/>
  <c r="V35" i="46" s="1"/>
  <c r="U108" i="46"/>
  <c r="V108" i="46" s="1"/>
  <c r="U107" i="46"/>
  <c r="V107" i="46" s="1"/>
  <c r="U40" i="46"/>
  <c r="V40" i="46" s="1"/>
  <c r="U91" i="46"/>
  <c r="V91" i="46" s="1"/>
  <c r="U85" i="46"/>
  <c r="V85" i="46" s="1"/>
  <c r="U27" i="46"/>
  <c r="V27" i="46" s="1"/>
  <c r="U104" i="46"/>
  <c r="V104" i="46" s="1"/>
  <c r="U93" i="46"/>
  <c r="V93" i="46" s="1"/>
  <c r="U101" i="46"/>
  <c r="V101" i="46" s="1"/>
  <c r="U65" i="46"/>
  <c r="V65" i="46" s="1"/>
  <c r="U84" i="46"/>
  <c r="V84" i="46" s="1"/>
  <c r="U54" i="46"/>
  <c r="V54" i="46" s="1"/>
  <c r="U96" i="46"/>
  <c r="V96" i="46" s="1"/>
  <c r="U42" i="46"/>
  <c r="V42" i="46" s="1"/>
  <c r="U74" i="46"/>
  <c r="V74" i="46" s="1"/>
  <c r="U109" i="46"/>
  <c r="V109" i="46" s="1"/>
  <c r="J29" i="45"/>
  <c r="J22" i="45"/>
  <c r="J20" i="45"/>
  <c r="J32" i="45"/>
  <c r="J36" i="45"/>
  <c r="J40" i="45"/>
  <c r="J28" i="45"/>
  <c r="J30" i="45"/>
  <c r="J38" i="45"/>
  <c r="J23" i="45"/>
  <c r="J26" i="45"/>
  <c r="J21" i="45"/>
  <c r="J39" i="45"/>
  <c r="J41" i="45"/>
  <c r="J25" i="45"/>
  <c r="J31" i="45"/>
  <c r="J24" i="45"/>
  <c r="J33" i="45"/>
  <c r="J37" i="45"/>
  <c r="J27" i="45"/>
  <c r="J34" i="45"/>
  <c r="J19" i="45"/>
  <c r="J35" i="45"/>
  <c r="J42" i="45"/>
  <c r="J43" i="45"/>
  <c r="J44" i="45"/>
  <c r="J45" i="45"/>
  <c r="J46" i="45"/>
  <c r="J47" i="45"/>
  <c r="J48" i="45"/>
  <c r="J49" i="45"/>
  <c r="J50" i="45"/>
  <c r="J51" i="45"/>
  <c r="J52" i="45"/>
  <c r="J53" i="45"/>
  <c r="J54" i="45"/>
  <c r="J55" i="45"/>
  <c r="J56" i="45"/>
  <c r="J57" i="45"/>
  <c r="J58" i="45"/>
  <c r="J59" i="45"/>
  <c r="J60" i="45"/>
  <c r="J61" i="45"/>
  <c r="J62" i="45"/>
  <c r="J63" i="45"/>
  <c r="J64" i="45"/>
  <c r="J65" i="45"/>
  <c r="J66" i="45"/>
  <c r="J67" i="45"/>
  <c r="J68" i="45"/>
  <c r="J69" i="45"/>
  <c r="J70" i="45"/>
  <c r="J71" i="45"/>
  <c r="J72" i="45"/>
  <c r="J73" i="45"/>
  <c r="J74" i="45"/>
  <c r="J75" i="45"/>
  <c r="J76" i="45"/>
  <c r="J77" i="45"/>
  <c r="J78" i="45"/>
  <c r="J79" i="45"/>
  <c r="J80" i="45"/>
  <c r="J81" i="45"/>
  <c r="J82" i="45"/>
  <c r="J83" i="45"/>
  <c r="J84" i="45"/>
  <c r="J85" i="45"/>
  <c r="J86" i="45"/>
  <c r="J87" i="45"/>
  <c r="J88" i="45"/>
  <c r="J89" i="45"/>
  <c r="J90" i="45"/>
  <c r="J91" i="45"/>
  <c r="J92" i="45"/>
  <c r="J93" i="45"/>
  <c r="J94" i="45"/>
  <c r="J95" i="45"/>
  <c r="J96" i="45"/>
  <c r="J97" i="45"/>
  <c r="J98" i="45"/>
  <c r="J99" i="45"/>
  <c r="J100" i="45"/>
  <c r="J101" i="45"/>
  <c r="J102" i="45"/>
  <c r="J103" i="45"/>
  <c r="J104" i="45"/>
  <c r="J105" i="45"/>
  <c r="J106" i="45"/>
  <c r="J107" i="45"/>
  <c r="J108" i="45"/>
  <c r="J109" i="45"/>
  <c r="J110" i="45"/>
  <c r="J111" i="45"/>
  <c r="J112" i="45"/>
  <c r="J113" i="45"/>
  <c r="J114" i="45"/>
  <c r="J115" i="45"/>
  <c r="J116" i="45"/>
  <c r="J117" i="45"/>
  <c r="J118" i="45"/>
  <c r="J119" i="45"/>
  <c r="J120" i="45"/>
  <c r="DA89" i="38" l="1"/>
  <c r="DA100" i="38"/>
  <c r="DA70" i="38"/>
  <c r="DA85" i="38"/>
  <c r="DA99" i="38"/>
  <c r="DA102" i="38"/>
  <c r="DA73" i="38"/>
  <c r="DA77" i="38"/>
  <c r="DA79" i="38"/>
  <c r="DA105" i="38"/>
  <c r="DA87" i="38"/>
  <c r="DA82" i="38"/>
  <c r="DA94" i="38"/>
  <c r="DA84" i="38"/>
  <c r="DA75" i="38"/>
  <c r="DA78" i="38"/>
  <c r="DA91" i="38"/>
  <c r="DA95" i="38"/>
  <c r="DA88" i="38"/>
  <c r="DA104" i="38"/>
  <c r="DA92" i="38"/>
  <c r="DA67" i="38"/>
  <c r="DA103" i="38"/>
  <c r="DA65" i="38"/>
  <c r="DA80" i="38"/>
  <c r="DA66" i="38"/>
  <c r="DA97" i="38"/>
  <c r="DA86" i="38"/>
  <c r="DA83" i="38"/>
  <c r="DA76" i="38"/>
  <c r="DA74" i="38"/>
  <c r="DA69" i="38"/>
  <c r="DA96" i="38"/>
  <c r="DA93" i="38"/>
  <c r="DA90" i="38"/>
  <c r="DA71" i="38"/>
  <c r="DA108" i="38"/>
  <c r="DA101" i="38"/>
  <c r="DA109" i="38"/>
  <c r="DA110" i="38"/>
  <c r="DA98" i="38"/>
  <c r="DA72" i="38"/>
  <c r="DA81" i="38"/>
  <c r="DA106" i="38"/>
  <c r="DA68" i="38"/>
  <c r="AN8" i="38"/>
  <c r="CB26" i="38" s="1"/>
  <c r="BL26" i="41" s="1"/>
  <c r="AA118" i="41"/>
  <c r="AA117" i="41"/>
  <c r="AA120" i="41"/>
  <c r="W112" i="45"/>
  <c r="AA112" i="41"/>
  <c r="AI111" i="45"/>
  <c r="AI112" i="45"/>
  <c r="AI113" i="45"/>
  <c r="AI114" i="45"/>
  <c r="AI115" i="45"/>
  <c r="AI116" i="45"/>
  <c r="AI117" i="45"/>
  <c r="AI118" i="45"/>
  <c r="AI119" i="45"/>
  <c r="AI120" i="45"/>
  <c r="AA119" i="41"/>
  <c r="AA115" i="41"/>
  <c r="W111" i="45"/>
  <c r="AA111" i="41"/>
  <c r="AA113" i="41"/>
  <c r="T113" i="45"/>
  <c r="AA114" i="41"/>
  <c r="AA116" i="41"/>
  <c r="AN23" i="38"/>
  <c r="AB101" i="38"/>
  <c r="AC101" i="38" s="1"/>
  <c r="AD101" i="38" s="1"/>
  <c r="AB105" i="38"/>
  <c r="AC105" i="38" s="1"/>
  <c r="AD105" i="38" s="1"/>
  <c r="AB109" i="38"/>
  <c r="AC109" i="38" s="1"/>
  <c r="AD109" i="38" s="1"/>
  <c r="AB52" i="38"/>
  <c r="AC52" i="38" s="1"/>
  <c r="AD52" i="38" s="1"/>
  <c r="AB49" i="38"/>
  <c r="AC49" i="38" s="1"/>
  <c r="AD49" i="38" s="1"/>
  <c r="AB38" i="38"/>
  <c r="AC38" i="38" s="1"/>
  <c r="AD38" i="38" s="1"/>
  <c r="AB66" i="38"/>
  <c r="AC66" i="38" s="1"/>
  <c r="AD66" i="38" s="1"/>
  <c r="AB67" i="38"/>
  <c r="AC67" i="38" s="1"/>
  <c r="AD67" i="38" s="1"/>
  <c r="AB40" i="38"/>
  <c r="AC40" i="38" s="1"/>
  <c r="AD40" i="38" s="1"/>
  <c r="AB37" i="38"/>
  <c r="AC37" i="38" s="1"/>
  <c r="AD37" i="38" s="1"/>
  <c r="AB60" i="38"/>
  <c r="AC60" i="38" s="1"/>
  <c r="AD60" i="38" s="1"/>
  <c r="AB57" i="38"/>
  <c r="AC57" i="38" s="1"/>
  <c r="AD57" i="38" s="1"/>
  <c r="AB54" i="38"/>
  <c r="AC54" i="38" s="1"/>
  <c r="AD54" i="38" s="1"/>
  <c r="AB82" i="38"/>
  <c r="AC82" i="38" s="1"/>
  <c r="AD82" i="38" s="1"/>
  <c r="AB75" i="38"/>
  <c r="AC75" i="38" s="1"/>
  <c r="AD75" i="38" s="1"/>
  <c r="AB64" i="38"/>
  <c r="AC64" i="38" s="1"/>
  <c r="AD64" i="38" s="1"/>
  <c r="AB61" i="38"/>
  <c r="AC61" i="38" s="1"/>
  <c r="AD61" i="38" s="1"/>
  <c r="AB62" i="38"/>
  <c r="AC62" i="38" s="1"/>
  <c r="AD62" i="38" s="1"/>
  <c r="AB90" i="38"/>
  <c r="AC90" i="38" s="1"/>
  <c r="AD90" i="38" s="1"/>
  <c r="AB79" i="38"/>
  <c r="AC79" i="38" s="1"/>
  <c r="AD79" i="38" s="1"/>
  <c r="AB71" i="38"/>
  <c r="AC71" i="38" s="1"/>
  <c r="AD71" i="38" s="1"/>
  <c r="AB87" i="38"/>
  <c r="AC87" i="38" s="1"/>
  <c r="AD87" i="38" s="1"/>
  <c r="AB22" i="38"/>
  <c r="AC22" i="38" s="1"/>
  <c r="AD22" i="38" s="1"/>
  <c r="AB102" i="38"/>
  <c r="AC102" i="38" s="1"/>
  <c r="AD102" i="38" s="1"/>
  <c r="AB106" i="38"/>
  <c r="AC106" i="38" s="1"/>
  <c r="AD106" i="38" s="1"/>
  <c r="AB110" i="38"/>
  <c r="AC110" i="38" s="1"/>
  <c r="AD110" i="38" s="1"/>
  <c r="AB68" i="38"/>
  <c r="AC68" i="38" s="1"/>
  <c r="AD68" i="38" s="1"/>
  <c r="AB65" i="38"/>
  <c r="AC65" i="38" s="1"/>
  <c r="AB70" i="38"/>
  <c r="AC70" i="38" s="1"/>
  <c r="AD70" i="38" s="1"/>
  <c r="AB98" i="38"/>
  <c r="AC98" i="38" s="1"/>
  <c r="AD98" i="38" s="1"/>
  <c r="AB83" i="38"/>
  <c r="AC83" i="38" s="1"/>
  <c r="AD83" i="38" s="1"/>
  <c r="AB56" i="38"/>
  <c r="AC56" i="38" s="1"/>
  <c r="AD56" i="38" s="1"/>
  <c r="AB53" i="38"/>
  <c r="AC53" i="38" s="1"/>
  <c r="AD53" i="38" s="1"/>
  <c r="AB76" i="38"/>
  <c r="AC76" i="38" s="1"/>
  <c r="AD76" i="38" s="1"/>
  <c r="AB73" i="38"/>
  <c r="AC73" i="38" s="1"/>
  <c r="AD73" i="38" s="1"/>
  <c r="AB86" i="38"/>
  <c r="AC86" i="38" s="1"/>
  <c r="AD86" i="38" s="1"/>
  <c r="AB27" i="38"/>
  <c r="AC27" i="38" s="1"/>
  <c r="AD27" i="38" s="1"/>
  <c r="AB91" i="38"/>
  <c r="AC91" i="38" s="1"/>
  <c r="AD91" i="38" s="1"/>
  <c r="AB80" i="38"/>
  <c r="AC80" i="38" s="1"/>
  <c r="AD80" i="38" s="1"/>
  <c r="AB77" i="38"/>
  <c r="AC77" i="38" s="1"/>
  <c r="AD77" i="38" s="1"/>
  <c r="AB94" i="38"/>
  <c r="AC94" i="38" s="1"/>
  <c r="AD94" i="38" s="1"/>
  <c r="AB31" i="38"/>
  <c r="AC31" i="38" s="1"/>
  <c r="AD31" i="38" s="1"/>
  <c r="AB95" i="38"/>
  <c r="AC95" i="38" s="1"/>
  <c r="AD95" i="38" s="1"/>
  <c r="AB69" i="38"/>
  <c r="AC69" i="38" s="1"/>
  <c r="AD69" i="38" s="1"/>
  <c r="AB85" i="38"/>
  <c r="AC85" i="38" s="1"/>
  <c r="AD85" i="38" s="1"/>
  <c r="AB42" i="38"/>
  <c r="AC42" i="38" s="1"/>
  <c r="AD42" i="38" s="1"/>
  <c r="AB108" i="38"/>
  <c r="AC108" i="38" s="1"/>
  <c r="AD108" i="38" s="1"/>
  <c r="AB100" i="38"/>
  <c r="AC100" i="38" s="1"/>
  <c r="AD100" i="38" s="1"/>
  <c r="AB26" i="38"/>
  <c r="AC26" i="38" s="1"/>
  <c r="AD26" i="38" s="1"/>
  <c r="AB24" i="38"/>
  <c r="AC24" i="38" s="1"/>
  <c r="AD24" i="38" s="1"/>
  <c r="AB44" i="38"/>
  <c r="AC44" i="38" s="1"/>
  <c r="AD44" i="38" s="1"/>
  <c r="AB30" i="38"/>
  <c r="AC30" i="38" s="1"/>
  <c r="AD30" i="38" s="1"/>
  <c r="AB59" i="38"/>
  <c r="AC59" i="38" s="1"/>
  <c r="AD59" i="38" s="1"/>
  <c r="AB45" i="38"/>
  <c r="AC45" i="38" s="1"/>
  <c r="AD45" i="38" s="1"/>
  <c r="AB58" i="38"/>
  <c r="AC58" i="38" s="1"/>
  <c r="AD58" i="38" s="1"/>
  <c r="AB74" i="38"/>
  <c r="AC74" i="38" s="1"/>
  <c r="AD74" i="38" s="1"/>
  <c r="AB39" i="38"/>
  <c r="AC39" i="38" s="1"/>
  <c r="AD39" i="38" s="1"/>
  <c r="AB103" i="38"/>
  <c r="AC103" i="38" s="1"/>
  <c r="AD103" i="38" s="1"/>
  <c r="AB23" i="38"/>
  <c r="AC23" i="38" s="1"/>
  <c r="AD23" i="38" s="1"/>
  <c r="AB81" i="38"/>
  <c r="AC81" i="38" s="1"/>
  <c r="AD81" i="38" s="1"/>
  <c r="AB35" i="38"/>
  <c r="AC35" i="38" s="1"/>
  <c r="AD35" i="38" s="1"/>
  <c r="AB72" i="38"/>
  <c r="AC72" i="38" s="1"/>
  <c r="AD72" i="38" s="1"/>
  <c r="AB92" i="38"/>
  <c r="AC92" i="38" s="1"/>
  <c r="AD92" i="38" s="1"/>
  <c r="AB29" i="38"/>
  <c r="AC29" i="38" s="1"/>
  <c r="AD29" i="38" s="1"/>
  <c r="AB32" i="38"/>
  <c r="AC32" i="38" s="1"/>
  <c r="AD32" i="38" s="1"/>
  <c r="AB93" i="38"/>
  <c r="AC93" i="38" s="1"/>
  <c r="AD93" i="38" s="1"/>
  <c r="AB47" i="38"/>
  <c r="AC47" i="38" s="1"/>
  <c r="AD47" i="38" s="1"/>
  <c r="AB78" i="38"/>
  <c r="AC78" i="38" s="1"/>
  <c r="AD78" i="38" s="1"/>
  <c r="AB55" i="38"/>
  <c r="AC55" i="38" s="1"/>
  <c r="AD55" i="38" s="1"/>
  <c r="AB104" i="38"/>
  <c r="AC104" i="38" s="1"/>
  <c r="AD104" i="38" s="1"/>
  <c r="AB36" i="38"/>
  <c r="AC36" i="38" s="1"/>
  <c r="AD36" i="38" s="1"/>
  <c r="AB97" i="38"/>
  <c r="AC97" i="38" s="1"/>
  <c r="AD97" i="38" s="1"/>
  <c r="AB51" i="38"/>
  <c r="AC51" i="38" s="1"/>
  <c r="AD51" i="38" s="1"/>
  <c r="AB88" i="38"/>
  <c r="AC88" i="38" s="1"/>
  <c r="AD88" i="38" s="1"/>
  <c r="AB41" i="38"/>
  <c r="AC41" i="38" s="1"/>
  <c r="AD41" i="38" s="1"/>
  <c r="AB50" i="38"/>
  <c r="AC50" i="38" s="1"/>
  <c r="AD50" i="38" s="1"/>
  <c r="AB48" i="38"/>
  <c r="AC48" i="38" s="1"/>
  <c r="AD48" i="38" s="1"/>
  <c r="AB34" i="38"/>
  <c r="AC34" i="38" s="1"/>
  <c r="AD34" i="38" s="1"/>
  <c r="AB63" i="38"/>
  <c r="AC63" i="38" s="1"/>
  <c r="AD63" i="38" s="1"/>
  <c r="AB20" i="38"/>
  <c r="AC20" i="38" s="1"/>
  <c r="AB107" i="38"/>
  <c r="AC107" i="38" s="1"/>
  <c r="AD107" i="38" s="1"/>
  <c r="AB84" i="38"/>
  <c r="AC84" i="38" s="1"/>
  <c r="AD84" i="38" s="1"/>
  <c r="AB21" i="38"/>
  <c r="AC21" i="38" s="1"/>
  <c r="AD21" i="38" s="1"/>
  <c r="AB99" i="38"/>
  <c r="AC99" i="38" s="1"/>
  <c r="AD99" i="38" s="1"/>
  <c r="AB28" i="38"/>
  <c r="AC28" i="38" s="1"/>
  <c r="AD28" i="38" s="1"/>
  <c r="AB89" i="38"/>
  <c r="AC89" i="38" s="1"/>
  <c r="AD89" i="38" s="1"/>
  <c r="AB43" i="38"/>
  <c r="AC43" i="38" s="1"/>
  <c r="AD43" i="38" s="1"/>
  <c r="AB96" i="38"/>
  <c r="AC96" i="38" s="1"/>
  <c r="AD96" i="38" s="1"/>
  <c r="AB33" i="38"/>
  <c r="AC33" i="38" s="1"/>
  <c r="AD33" i="38" s="1"/>
  <c r="AB46" i="38"/>
  <c r="AC46" i="38" s="1"/>
  <c r="AD46" i="38" s="1"/>
  <c r="AB25" i="38"/>
  <c r="AC25" i="38" s="1"/>
  <c r="AD25" i="38" s="1"/>
  <c r="L6" i="45"/>
  <c r="AC6" i="45" s="1"/>
  <c r="L5" i="45"/>
  <c r="AC5" i="45" s="1"/>
  <c r="AA51" i="46"/>
  <c r="AA41" i="46"/>
  <c r="FM56" i="46"/>
  <c r="FM33" i="46"/>
  <c r="AA21" i="46"/>
  <c r="FM30" i="46"/>
  <c r="FM87" i="46"/>
  <c r="FM48" i="46"/>
  <c r="FM64" i="46"/>
  <c r="AA72" i="46"/>
  <c r="FM69" i="46"/>
  <c r="FM81" i="46"/>
  <c r="FM73" i="46"/>
  <c r="AA26" i="46"/>
  <c r="AA89" i="46"/>
  <c r="FM92" i="46"/>
  <c r="X89" i="46"/>
  <c r="Y89" i="46" s="1"/>
  <c r="X104" i="46"/>
  <c r="Y104" i="46" s="1"/>
  <c r="FL104" i="46" s="1"/>
  <c r="AA31" i="46"/>
  <c r="X109" i="46"/>
  <c r="Y109" i="46" s="1"/>
  <c r="FL109" i="46" s="1"/>
  <c r="X20" i="46"/>
  <c r="Y20" i="46" s="1"/>
  <c r="FL20" i="46" s="1"/>
  <c r="X62" i="46"/>
  <c r="Y62" i="46" s="1"/>
  <c r="FL62" i="46" s="1"/>
  <c r="X50" i="46"/>
  <c r="Y50" i="46" s="1"/>
  <c r="FL50" i="46" s="1"/>
  <c r="AA57" i="46"/>
  <c r="FM23" i="46"/>
  <c r="AA23" i="46"/>
  <c r="X46" i="46"/>
  <c r="Y46" i="46" s="1"/>
  <c r="FL46" i="46" s="1"/>
  <c r="X101" i="46"/>
  <c r="Y101" i="46" s="1"/>
  <c r="Z101" i="46" s="1"/>
  <c r="X38" i="46"/>
  <c r="Y38" i="46" s="1"/>
  <c r="FL38" i="46" s="1"/>
  <c r="X43" i="46"/>
  <c r="Y43" i="46" s="1"/>
  <c r="FL43" i="46" s="1"/>
  <c r="X73" i="46"/>
  <c r="Y73" i="46" s="1"/>
  <c r="FL73" i="46" s="1"/>
  <c r="X99" i="46"/>
  <c r="Y99" i="46" s="1"/>
  <c r="FL99" i="46" s="1"/>
  <c r="X78" i="46"/>
  <c r="Y78" i="46" s="1"/>
  <c r="Z78" i="46" s="1"/>
  <c r="AA52" i="46"/>
  <c r="AA78" i="46"/>
  <c r="FM53" i="46"/>
  <c r="X23" i="46"/>
  <c r="Y23" i="46" s="1"/>
  <c r="Z23" i="46" s="1"/>
  <c r="X71" i="46"/>
  <c r="Y71" i="46" s="1"/>
  <c r="Z71" i="46" s="1"/>
  <c r="X55" i="46"/>
  <c r="Y55" i="46" s="1"/>
  <c r="FL55" i="46" s="1"/>
  <c r="X61" i="46"/>
  <c r="Y61" i="46" s="1"/>
  <c r="Z61" i="46" s="1"/>
  <c r="FM63" i="46"/>
  <c r="AA62" i="46"/>
  <c r="X108" i="46"/>
  <c r="Y108" i="46" s="1"/>
  <c r="FL108" i="46" s="1"/>
  <c r="X90" i="46"/>
  <c r="Y90" i="46" s="1"/>
  <c r="FL90" i="46" s="1"/>
  <c r="X60" i="46"/>
  <c r="Y60" i="46" s="1"/>
  <c r="FL60" i="46" s="1"/>
  <c r="X44" i="46"/>
  <c r="Y44" i="46" s="1"/>
  <c r="FL44" i="46" s="1"/>
  <c r="FM43" i="46"/>
  <c r="AA43" i="46"/>
  <c r="FM105" i="46"/>
  <c r="FM55" i="46"/>
  <c r="AA55" i="46"/>
  <c r="FM75" i="46"/>
  <c r="AA75" i="46"/>
  <c r="AA71" i="46"/>
  <c r="FM71" i="46"/>
  <c r="FM102" i="46"/>
  <c r="FM34" i="46"/>
  <c r="FM97" i="46"/>
  <c r="AA97" i="46"/>
  <c r="FM29" i="46"/>
  <c r="AA29" i="46"/>
  <c r="FM67" i="46"/>
  <c r="AA67" i="46"/>
  <c r="FM77" i="46"/>
  <c r="AA77" i="46"/>
  <c r="AA95" i="46"/>
  <c r="FM95" i="46"/>
  <c r="FM61" i="46"/>
  <c r="AA61" i="46"/>
  <c r="AA38" i="46"/>
  <c r="FM38" i="46"/>
  <c r="FM80" i="46"/>
  <c r="AA80" i="46"/>
  <c r="AA98" i="46"/>
  <c r="FM98" i="46"/>
  <c r="AA42" i="46"/>
  <c r="FM42" i="46"/>
  <c r="AA65" i="46"/>
  <c r="FM65" i="46"/>
  <c r="FM27" i="46"/>
  <c r="AA27" i="46"/>
  <c r="FM91" i="46"/>
  <c r="AA91" i="46"/>
  <c r="FM107" i="46"/>
  <c r="AA107" i="46"/>
  <c r="FM35" i="46"/>
  <c r="AA35" i="46"/>
  <c r="FM50" i="46"/>
  <c r="AA50" i="46"/>
  <c r="FM44" i="46"/>
  <c r="AA44" i="46"/>
  <c r="AA25" i="46"/>
  <c r="FM25" i="46"/>
  <c r="AA22" i="46"/>
  <c r="FM22" i="46"/>
  <c r="AA76" i="46"/>
  <c r="FM76" i="46"/>
  <c r="X103" i="46"/>
  <c r="Y103" i="46" s="1"/>
  <c r="X110" i="46"/>
  <c r="Y110" i="46" s="1"/>
  <c r="Z110" i="46" s="1"/>
  <c r="X91" i="46"/>
  <c r="Y91" i="46" s="1"/>
  <c r="X86" i="46"/>
  <c r="Y86" i="46" s="1"/>
  <c r="X33" i="46"/>
  <c r="Y33" i="46" s="1"/>
  <c r="X107" i="46"/>
  <c r="Y107" i="46" s="1"/>
  <c r="Z107" i="46" s="1"/>
  <c r="X28" i="46"/>
  <c r="Y28" i="46" s="1"/>
  <c r="Z28" i="46" s="1"/>
  <c r="X64" i="46"/>
  <c r="Y64" i="46" s="1"/>
  <c r="X66" i="46"/>
  <c r="Y66" i="46" s="1"/>
  <c r="X54" i="46"/>
  <c r="Y54" i="46" s="1"/>
  <c r="Z54" i="46" s="1"/>
  <c r="X75" i="46"/>
  <c r="Y75" i="46" s="1"/>
  <c r="X69" i="46"/>
  <c r="Y69" i="46" s="1"/>
  <c r="X83" i="46"/>
  <c r="Y83" i="46" s="1"/>
  <c r="X76" i="46"/>
  <c r="Y76" i="46" s="1"/>
  <c r="Z76" i="46" s="1"/>
  <c r="X42" i="46"/>
  <c r="Y42" i="46" s="1"/>
  <c r="Z42" i="46" s="1"/>
  <c r="X45" i="46"/>
  <c r="Y45" i="46" s="1"/>
  <c r="X82" i="46"/>
  <c r="Y82" i="46" s="1"/>
  <c r="X67" i="46"/>
  <c r="Y67" i="46" s="1"/>
  <c r="X94" i="46"/>
  <c r="Y94" i="46" s="1"/>
  <c r="Z94" i="46" s="1"/>
  <c r="X29" i="46"/>
  <c r="Y29" i="46" s="1"/>
  <c r="X32" i="46"/>
  <c r="Y32" i="46" s="1"/>
  <c r="X102" i="46"/>
  <c r="Y102" i="46" s="1"/>
  <c r="X25" i="46"/>
  <c r="Y25" i="46" s="1"/>
  <c r="Z25" i="46" s="1"/>
  <c r="X96" i="46"/>
  <c r="Y96" i="46" s="1"/>
  <c r="Z96" i="46" s="1"/>
  <c r="X84" i="46"/>
  <c r="Y84" i="46" s="1"/>
  <c r="X72" i="46"/>
  <c r="Y72" i="46" s="1"/>
  <c r="X81" i="46"/>
  <c r="Y81" i="46" s="1"/>
  <c r="X65" i="46"/>
  <c r="Y65" i="46" s="1"/>
  <c r="Z65" i="46" s="1"/>
  <c r="X41" i="46"/>
  <c r="Y41" i="46" s="1"/>
  <c r="X30" i="46"/>
  <c r="Y30" i="46" s="1"/>
  <c r="X106" i="46"/>
  <c r="Y106" i="46" s="1"/>
  <c r="Z106" i="46" s="1"/>
  <c r="X37" i="46"/>
  <c r="Y37" i="46" s="1"/>
  <c r="X57" i="46"/>
  <c r="Y57" i="46" s="1"/>
  <c r="X53" i="46"/>
  <c r="Y53" i="46" s="1"/>
  <c r="X49" i="46"/>
  <c r="Y49" i="46" s="1"/>
  <c r="Z49" i="46" s="1"/>
  <c r="X39" i="46"/>
  <c r="Y39" i="46" s="1"/>
  <c r="X63" i="46"/>
  <c r="Y63" i="46" s="1"/>
  <c r="X58" i="46"/>
  <c r="Y58" i="46" s="1"/>
  <c r="Z58" i="46" s="1"/>
  <c r="X93" i="46"/>
  <c r="Y93" i="46" s="1"/>
  <c r="Z93" i="46" s="1"/>
  <c r="X68" i="46"/>
  <c r="Y68" i="46" s="1"/>
  <c r="Z68" i="46" s="1"/>
  <c r="X88" i="46"/>
  <c r="Y88" i="46" s="1"/>
  <c r="X59" i="46"/>
  <c r="Y59" i="46" s="1"/>
  <c r="Z59" i="46" s="1"/>
  <c r="X35" i="46"/>
  <c r="Y35" i="46" s="1"/>
  <c r="Z35" i="46" s="1"/>
  <c r="X47" i="46"/>
  <c r="Y47" i="46" s="1"/>
  <c r="X36" i="46"/>
  <c r="Y36" i="46" s="1"/>
  <c r="X21" i="46"/>
  <c r="Y21" i="46" s="1"/>
  <c r="X95" i="46"/>
  <c r="Y95" i="46" s="1"/>
  <c r="Z95" i="46" s="1"/>
  <c r="X92" i="46"/>
  <c r="Y92" i="46" s="1"/>
  <c r="X26" i="46"/>
  <c r="Y26" i="46" s="1"/>
  <c r="X80" i="46"/>
  <c r="Y80" i="46" s="1"/>
  <c r="Z80" i="46" s="1"/>
  <c r="X77" i="46"/>
  <c r="Y77" i="46" s="1"/>
  <c r="X34" i="46"/>
  <c r="Y34" i="46" s="1"/>
  <c r="X48" i="46"/>
  <c r="Y48" i="46" s="1"/>
  <c r="X98" i="46"/>
  <c r="Y98" i="46" s="1"/>
  <c r="X79" i="46"/>
  <c r="Y79" i="46" s="1"/>
  <c r="X70" i="46"/>
  <c r="Y70" i="46" s="1"/>
  <c r="Z70" i="46" s="1"/>
  <c r="X74" i="46"/>
  <c r="Y74" i="46" s="1"/>
  <c r="Z74" i="46" s="1"/>
  <c r="X51" i="46"/>
  <c r="Y51" i="46" s="1"/>
  <c r="FM20" i="46"/>
  <c r="AA20" i="46"/>
  <c r="FM74" i="46"/>
  <c r="AA74" i="46"/>
  <c r="FM84" i="46"/>
  <c r="AA84" i="46"/>
  <c r="AA104" i="46"/>
  <c r="FM104" i="46"/>
  <c r="FM85" i="46"/>
  <c r="AA85" i="46"/>
  <c r="AA103" i="46"/>
  <c r="FM103" i="46"/>
  <c r="AA94" i="46"/>
  <c r="FM94" i="46"/>
  <c r="FM46" i="46"/>
  <c r="AA46" i="46"/>
  <c r="AA100" i="46"/>
  <c r="FM100" i="46"/>
  <c r="FM59" i="46"/>
  <c r="AA59" i="46"/>
  <c r="FM83" i="46"/>
  <c r="AA83" i="46"/>
  <c r="X85" i="46"/>
  <c r="Y85" i="46" s="1"/>
  <c r="Z85" i="46" s="1"/>
  <c r="X40" i="46"/>
  <c r="Y40" i="46" s="1"/>
  <c r="X105" i="46"/>
  <c r="Y105" i="46" s="1"/>
  <c r="X97" i="46"/>
  <c r="Y97" i="46" s="1"/>
  <c r="X27" i="46"/>
  <c r="Y27" i="46" s="1"/>
  <c r="X52" i="46"/>
  <c r="Y52" i="46" s="1"/>
  <c r="X31" i="46"/>
  <c r="Y31" i="46" s="1"/>
  <c r="X100" i="46"/>
  <c r="Y100" i="46" s="1"/>
  <c r="Z100" i="46" s="1"/>
  <c r="X56" i="46"/>
  <c r="Y56" i="46" s="1"/>
  <c r="X22" i="46"/>
  <c r="Y22" i="46" s="1"/>
  <c r="X24" i="46"/>
  <c r="Y24" i="46" s="1"/>
  <c r="Z87" i="46"/>
  <c r="AA109" i="46"/>
  <c r="FM109" i="46"/>
  <c r="AA54" i="46"/>
  <c r="FM54" i="46"/>
  <c r="FM93" i="46"/>
  <c r="AA93" i="46"/>
  <c r="AA82" i="46"/>
  <c r="FM82" i="46"/>
  <c r="AA86" i="46"/>
  <c r="FM86" i="46"/>
  <c r="FM39" i="46"/>
  <c r="AA39" i="46"/>
  <c r="AA58" i="46"/>
  <c r="FM58" i="46"/>
  <c r="AA47" i="46"/>
  <c r="FM47" i="46"/>
  <c r="AA36" i="46"/>
  <c r="FM36" i="46"/>
  <c r="AA90" i="46"/>
  <c r="FM90" i="46"/>
  <c r="FM68" i="46"/>
  <c r="AA68" i="46"/>
  <c r="AA88" i="46"/>
  <c r="FM88" i="46"/>
  <c r="AA45" i="46"/>
  <c r="FM45" i="46"/>
  <c r="AA70" i="46"/>
  <c r="FM70" i="46"/>
  <c r="AA96" i="46"/>
  <c r="FM96" i="46"/>
  <c r="FM101" i="46"/>
  <c r="AA101" i="46"/>
  <c r="AA40" i="46"/>
  <c r="FM40" i="46"/>
  <c r="FM108" i="46"/>
  <c r="AA108" i="46"/>
  <c r="AA106" i="46"/>
  <c r="FM106" i="46"/>
  <c r="AA49" i="46"/>
  <c r="FM49" i="46"/>
  <c r="AA32" i="46"/>
  <c r="FM32" i="46"/>
  <c r="FM110" i="46"/>
  <c r="AA110" i="46"/>
  <c r="FM60" i="46"/>
  <c r="AA60" i="46"/>
  <c r="AA99" i="46"/>
  <c r="FM99" i="46"/>
  <c r="AA79" i="46"/>
  <c r="FM79" i="46"/>
  <c r="AA28" i="46"/>
  <c r="FM28" i="46"/>
  <c r="FM66" i="46"/>
  <c r="AA66" i="46"/>
  <c r="AA37" i="46"/>
  <c r="FM37" i="46"/>
  <c r="AA110" i="41"/>
  <c r="W110" i="45"/>
  <c r="AA106" i="41"/>
  <c r="W106" i="45"/>
  <c r="AA102" i="41"/>
  <c r="W102" i="45"/>
  <c r="AA98" i="41"/>
  <c r="W98" i="45"/>
  <c r="AA94" i="41"/>
  <c r="W94" i="45"/>
  <c r="AA90" i="41"/>
  <c r="W90" i="45"/>
  <c r="AA86" i="41"/>
  <c r="W86" i="45"/>
  <c r="AA82" i="41"/>
  <c r="W82" i="45"/>
  <c r="AA78" i="41"/>
  <c r="W78" i="45"/>
  <c r="AA74" i="41"/>
  <c r="W74" i="45"/>
  <c r="AA70" i="41"/>
  <c r="W70" i="45"/>
  <c r="AA66" i="41"/>
  <c r="W66" i="45"/>
  <c r="AA62" i="41"/>
  <c r="W62" i="45"/>
  <c r="AA58" i="41"/>
  <c r="W58" i="45"/>
  <c r="AA54" i="41"/>
  <c r="W54" i="45"/>
  <c r="AA50" i="41"/>
  <c r="W50" i="45"/>
  <c r="AA46" i="41"/>
  <c r="W46" i="45"/>
  <c r="AA42" i="41"/>
  <c r="W42" i="45"/>
  <c r="AA27" i="41"/>
  <c r="W27" i="45"/>
  <c r="AA31" i="41"/>
  <c r="W31" i="45"/>
  <c r="AA21" i="41"/>
  <c r="W21" i="45"/>
  <c r="W30" i="45"/>
  <c r="AA30" i="41"/>
  <c r="AA32" i="41"/>
  <c r="W32" i="45"/>
  <c r="AA109" i="41"/>
  <c r="W109" i="45"/>
  <c r="AA105" i="41"/>
  <c r="W105" i="45"/>
  <c r="AA101" i="41"/>
  <c r="W101" i="45"/>
  <c r="AA97" i="41"/>
  <c r="W97" i="45"/>
  <c r="AA93" i="41"/>
  <c r="W93" i="45"/>
  <c r="AA89" i="41"/>
  <c r="W89" i="45"/>
  <c r="AA85" i="41"/>
  <c r="W85" i="45"/>
  <c r="AA81" i="41"/>
  <c r="W81" i="45"/>
  <c r="AA77" i="41"/>
  <c r="W77" i="45"/>
  <c r="AA73" i="41"/>
  <c r="W73" i="45"/>
  <c r="AA69" i="41"/>
  <c r="W69" i="45"/>
  <c r="AA65" i="41"/>
  <c r="W65" i="45"/>
  <c r="AA61" i="41"/>
  <c r="W61" i="45"/>
  <c r="AA57" i="41"/>
  <c r="W57" i="45"/>
  <c r="AA53" i="41"/>
  <c r="W53" i="45"/>
  <c r="AA49" i="41"/>
  <c r="W49" i="45"/>
  <c r="AA45" i="41"/>
  <c r="W45" i="45"/>
  <c r="AA35" i="41"/>
  <c r="W35" i="45"/>
  <c r="AA37" i="41"/>
  <c r="W37" i="45"/>
  <c r="AA25" i="41"/>
  <c r="W25" i="45"/>
  <c r="AA26" i="41"/>
  <c r="W26" i="45"/>
  <c r="AA28" i="41"/>
  <c r="W28" i="45"/>
  <c r="W20" i="45"/>
  <c r="AA20" i="41"/>
  <c r="AA108" i="41"/>
  <c r="W108" i="45"/>
  <c r="AA104" i="41"/>
  <c r="W104" i="45"/>
  <c r="AA100" i="41"/>
  <c r="W100" i="45"/>
  <c r="AA96" i="41"/>
  <c r="W96" i="45"/>
  <c r="AA92" i="41"/>
  <c r="W92" i="45"/>
  <c r="AA88" i="41"/>
  <c r="W88" i="45"/>
  <c r="AA84" i="41"/>
  <c r="W84" i="45"/>
  <c r="AA80" i="41"/>
  <c r="W80" i="45"/>
  <c r="AA76" i="41"/>
  <c r="W76" i="45"/>
  <c r="AA72" i="41"/>
  <c r="W72" i="45"/>
  <c r="AA68" i="41"/>
  <c r="W68" i="45"/>
  <c r="AA64" i="41"/>
  <c r="W64" i="45"/>
  <c r="AA60" i="41"/>
  <c r="W60" i="45"/>
  <c r="AA56" i="41"/>
  <c r="W56" i="45"/>
  <c r="AA52" i="41"/>
  <c r="W52" i="45"/>
  <c r="AA48" i="41"/>
  <c r="W48" i="45"/>
  <c r="AA44" i="41"/>
  <c r="W44" i="45"/>
  <c r="AI41" i="45"/>
  <c r="AA19" i="41"/>
  <c r="AN19" i="45"/>
  <c r="AI22" i="45"/>
  <c r="AI26" i="45"/>
  <c r="AI30" i="45"/>
  <c r="AI34" i="45"/>
  <c r="AI38" i="45"/>
  <c r="AI24" i="45"/>
  <c r="AI32" i="45"/>
  <c r="AI40" i="45"/>
  <c r="AI20" i="45"/>
  <c r="AI29" i="45"/>
  <c r="AI37" i="45"/>
  <c r="DV8" i="38"/>
  <c r="AI23" i="45"/>
  <c r="AI27" i="45"/>
  <c r="AI31" i="45"/>
  <c r="AI35" i="45"/>
  <c r="AI39" i="45"/>
  <c r="AO19" i="45"/>
  <c r="AI21" i="45"/>
  <c r="AI28" i="45"/>
  <c r="AI36" i="45"/>
  <c r="FO19" i="45"/>
  <c r="AI25" i="45"/>
  <c r="AI33" i="45"/>
  <c r="AI42" i="45"/>
  <c r="AI43" i="45"/>
  <c r="AI44" i="45"/>
  <c r="AI45" i="45"/>
  <c r="AI46" i="45"/>
  <c r="AI47" i="45"/>
  <c r="AI48" i="45"/>
  <c r="AI49" i="45"/>
  <c r="AI50" i="45"/>
  <c r="AI51" i="45"/>
  <c r="AI52" i="45"/>
  <c r="AI53" i="45"/>
  <c r="AI54" i="45"/>
  <c r="AI55" i="45"/>
  <c r="AI56" i="45"/>
  <c r="AI57" i="45"/>
  <c r="AI58" i="45"/>
  <c r="AI59" i="45"/>
  <c r="AI60" i="45"/>
  <c r="AI61" i="45"/>
  <c r="AI62" i="45"/>
  <c r="AI63" i="45"/>
  <c r="AI64" i="45"/>
  <c r="AI65" i="45"/>
  <c r="AI66" i="45"/>
  <c r="AI67" i="45"/>
  <c r="AI68" i="45"/>
  <c r="AI69" i="45"/>
  <c r="AI70" i="45"/>
  <c r="AI71" i="45"/>
  <c r="AI72" i="45"/>
  <c r="AI73" i="45"/>
  <c r="AI74" i="45"/>
  <c r="AI75" i="45"/>
  <c r="AI76" i="45"/>
  <c r="AI77" i="45"/>
  <c r="AI78" i="45"/>
  <c r="AI79" i="45"/>
  <c r="AI80" i="45"/>
  <c r="AI81" i="45"/>
  <c r="AI82" i="45"/>
  <c r="AI83" i="45"/>
  <c r="AI84" i="45"/>
  <c r="AI85" i="45"/>
  <c r="AI86" i="45"/>
  <c r="AI87" i="45"/>
  <c r="AI88" i="45"/>
  <c r="AI89" i="45"/>
  <c r="AI90" i="45"/>
  <c r="AI91" i="45"/>
  <c r="AI92" i="45"/>
  <c r="AI93" i="45"/>
  <c r="AI94" i="45"/>
  <c r="AI95" i="45"/>
  <c r="AI96" i="45"/>
  <c r="AI97" i="45"/>
  <c r="AI98" i="45"/>
  <c r="AI99" i="45"/>
  <c r="AI100" i="45"/>
  <c r="AI101" i="45"/>
  <c r="AI102" i="45"/>
  <c r="AI103" i="45"/>
  <c r="AI104" i="45"/>
  <c r="AI105" i="45"/>
  <c r="AI106" i="45"/>
  <c r="AI107" i="45"/>
  <c r="AI108" i="45"/>
  <c r="AI109" i="45"/>
  <c r="AI110" i="45"/>
  <c r="AA33" i="41"/>
  <c r="W33" i="45"/>
  <c r="AA41" i="41"/>
  <c r="W41" i="45"/>
  <c r="AA23" i="41"/>
  <c r="W23" i="45"/>
  <c r="AA40" i="41"/>
  <c r="W40" i="45"/>
  <c r="AA22" i="41"/>
  <c r="W22" i="45"/>
  <c r="AA107" i="41"/>
  <c r="W107" i="45"/>
  <c r="AA103" i="41"/>
  <c r="W103" i="45"/>
  <c r="AA99" i="41"/>
  <c r="W99" i="45"/>
  <c r="AA95" i="41"/>
  <c r="W95" i="45"/>
  <c r="AA91" i="41"/>
  <c r="W91" i="45"/>
  <c r="AA87" i="41"/>
  <c r="W87" i="45"/>
  <c r="AA83" i="41"/>
  <c r="W83" i="45"/>
  <c r="AA79" i="41"/>
  <c r="W79" i="45"/>
  <c r="AA75" i="41"/>
  <c r="W75" i="45"/>
  <c r="AA71" i="41"/>
  <c r="W71" i="45"/>
  <c r="AA67" i="41"/>
  <c r="W67" i="45"/>
  <c r="AA63" i="41"/>
  <c r="W63" i="45"/>
  <c r="AA59" i="41"/>
  <c r="W59" i="45"/>
  <c r="AA55" i="41"/>
  <c r="W55" i="45"/>
  <c r="AA51" i="41"/>
  <c r="W51" i="45"/>
  <c r="AA47" i="41"/>
  <c r="W47" i="45"/>
  <c r="AA43" i="41"/>
  <c r="W43" i="45"/>
  <c r="AA34" i="41"/>
  <c r="W34" i="45"/>
  <c r="W24" i="45"/>
  <c r="AA24" i="41"/>
  <c r="AA39" i="41"/>
  <c r="W39" i="45"/>
  <c r="AA38" i="41"/>
  <c r="W38" i="45"/>
  <c r="AA36" i="41"/>
  <c r="W36" i="45"/>
  <c r="AA29" i="41"/>
  <c r="W29" i="45"/>
  <c r="FL71" i="46" l="1"/>
  <c r="AN26" i="38"/>
  <c r="AO26" i="41" s="1"/>
  <c r="AW26" i="41" s="1"/>
  <c r="CB24" i="38"/>
  <c r="BL24" i="41" s="1"/>
  <c r="AN28" i="38"/>
  <c r="AO28" i="41" s="1"/>
  <c r="AW28" i="41" s="1"/>
  <c r="CB21" i="38"/>
  <c r="BL21" i="41" s="1"/>
  <c r="AN24" i="38"/>
  <c r="AO24" i="41" s="1"/>
  <c r="AW24" i="41" s="1"/>
  <c r="CB28" i="38"/>
  <c r="BL28" i="41" s="1"/>
  <c r="CB25" i="38"/>
  <c r="BL25" i="41" s="1"/>
  <c r="CB23" i="38"/>
  <c r="BL23" i="41" s="1"/>
  <c r="CB22" i="38"/>
  <c r="BL22" i="41" s="1"/>
  <c r="AN27" i="38"/>
  <c r="AO27" i="41" s="1"/>
  <c r="AW27" i="41" s="1"/>
  <c r="AN25" i="38"/>
  <c r="AO25" i="41" s="1"/>
  <c r="AW25" i="41" s="1"/>
  <c r="AN29" i="38"/>
  <c r="AO29" i="41" s="1"/>
  <c r="AW29" i="41" s="1"/>
  <c r="AN22" i="38"/>
  <c r="AO22" i="41" s="1"/>
  <c r="AW22" i="41" s="1"/>
  <c r="AN21" i="38"/>
  <c r="CK20" i="38" s="1"/>
  <c r="BS20" i="41" s="1"/>
  <c r="CB27" i="38"/>
  <c r="BL27" i="41" s="1"/>
  <c r="CB29" i="38"/>
  <c r="BL29" i="41" s="1"/>
  <c r="AN79" i="38"/>
  <c r="CC79" i="38" s="1"/>
  <c r="BM79" i="41" s="1"/>
  <c r="AN20" i="38"/>
  <c r="CJ20" i="38" s="1"/>
  <c r="CB20" i="38"/>
  <c r="CH8" i="38"/>
  <c r="CH28" i="38" s="1"/>
  <c r="BT28" i="41" s="1"/>
  <c r="AN62" i="38"/>
  <c r="CK61" i="38" s="1"/>
  <c r="BS61" i="41" s="1"/>
  <c r="CB110" i="38"/>
  <c r="BL110" i="41" s="1"/>
  <c r="AN73" i="38"/>
  <c r="BW73" i="38" s="1"/>
  <c r="AN44" i="38"/>
  <c r="CC44" i="38" s="1"/>
  <c r="BM44" i="41" s="1"/>
  <c r="CB44" i="38"/>
  <c r="BL44" i="41" s="1"/>
  <c r="AN74" i="38"/>
  <c r="AO74" i="41" s="1"/>
  <c r="AW74" i="41" s="1"/>
  <c r="CB64" i="38"/>
  <c r="BL64" i="41" s="1"/>
  <c r="CB53" i="38"/>
  <c r="BL53" i="41" s="1"/>
  <c r="AN38" i="38"/>
  <c r="CK37" i="38" s="1"/>
  <c r="BS37" i="41" s="1"/>
  <c r="CB68" i="38"/>
  <c r="BL68" i="41" s="1"/>
  <c r="AN58" i="38"/>
  <c r="CC58" i="38" s="1"/>
  <c r="BM58" i="41" s="1"/>
  <c r="AN64" i="38"/>
  <c r="CD63" i="38" s="1"/>
  <c r="BN63" i="41" s="1"/>
  <c r="CB39" i="38"/>
  <c r="BL39" i="41" s="1"/>
  <c r="AN33" i="38"/>
  <c r="CK32" i="38" s="1"/>
  <c r="BS32" i="41" s="1"/>
  <c r="CB56" i="38"/>
  <c r="BL56" i="41" s="1"/>
  <c r="AN67" i="38"/>
  <c r="CK66" i="38" s="1"/>
  <c r="BS66" i="41" s="1"/>
  <c r="CB57" i="38"/>
  <c r="BL57" i="41" s="1"/>
  <c r="CB31" i="38"/>
  <c r="BL31" i="41" s="1"/>
  <c r="AN47" i="38"/>
  <c r="CK46" i="38" s="1"/>
  <c r="BS46" i="41" s="1"/>
  <c r="AN63" i="38"/>
  <c r="AO63" i="41" s="1"/>
  <c r="AW63" i="41" s="1"/>
  <c r="CB92" i="38"/>
  <c r="BL92" i="41" s="1"/>
  <c r="AN110" i="38"/>
  <c r="CF110" i="38" s="1"/>
  <c r="CB70" i="38"/>
  <c r="BL70" i="41" s="1"/>
  <c r="AN31" i="38"/>
  <c r="CB95" i="38"/>
  <c r="BL95" i="41" s="1"/>
  <c r="CB82" i="38"/>
  <c r="BL82" i="41" s="1"/>
  <c r="AN87" i="38"/>
  <c r="CK86" i="38" s="1"/>
  <c r="BS86" i="41" s="1"/>
  <c r="CB91" i="38"/>
  <c r="BL91" i="41" s="1"/>
  <c r="CB61" i="38"/>
  <c r="BL61" i="41" s="1"/>
  <c r="AN82" i="38"/>
  <c r="CD81" i="38" s="1"/>
  <c r="BN81" i="41" s="1"/>
  <c r="AN32" i="38"/>
  <c r="CK31" i="38" s="1"/>
  <c r="BS31" i="41" s="1"/>
  <c r="CB98" i="38"/>
  <c r="BL98" i="41" s="1"/>
  <c r="AN86" i="38"/>
  <c r="BW86" i="38" s="1"/>
  <c r="BR87" i="38" s="1"/>
  <c r="CB55" i="38"/>
  <c r="BL55" i="41" s="1"/>
  <c r="AN101" i="38"/>
  <c r="CK100" i="38" s="1"/>
  <c r="BS100" i="41" s="1"/>
  <c r="CB105" i="38"/>
  <c r="BL105" i="41" s="1"/>
  <c r="CB62" i="38"/>
  <c r="BL62" i="41" s="1"/>
  <c r="CB103" i="38"/>
  <c r="BL103" i="41" s="1"/>
  <c r="CB42" i="38"/>
  <c r="BL42" i="41" s="1"/>
  <c r="AN41" i="38"/>
  <c r="AN108" i="38"/>
  <c r="AO108" i="41" s="1"/>
  <c r="AW108" i="41" s="1"/>
  <c r="AN49" i="38"/>
  <c r="AN94" i="38"/>
  <c r="CC94" i="38" s="1"/>
  <c r="CB60" i="38"/>
  <c r="BL60" i="41" s="1"/>
  <c r="AN68" i="38"/>
  <c r="CC68" i="38" s="1"/>
  <c r="BM68" i="41" s="1"/>
  <c r="AN48" i="38"/>
  <c r="CK47" i="38" s="1"/>
  <c r="BS47" i="41" s="1"/>
  <c r="CB52" i="38"/>
  <c r="BL52" i="41" s="1"/>
  <c r="CB79" i="38"/>
  <c r="BL79" i="41" s="1"/>
  <c r="CB46" i="38"/>
  <c r="BL46" i="41" s="1"/>
  <c r="CB65" i="38"/>
  <c r="BL65" i="41" s="1"/>
  <c r="AN97" i="38"/>
  <c r="AO97" i="41" s="1"/>
  <c r="AW97" i="41" s="1"/>
  <c r="AN53" i="38"/>
  <c r="BW53" i="38" s="1"/>
  <c r="CB48" i="38"/>
  <c r="BL48" i="41" s="1"/>
  <c r="CB74" i="38"/>
  <c r="BL74" i="41" s="1"/>
  <c r="CB90" i="38"/>
  <c r="BL90" i="41" s="1"/>
  <c r="CB30" i="38"/>
  <c r="BL30" i="41" s="1"/>
  <c r="AN105" i="38"/>
  <c r="CD104" i="38" s="1"/>
  <c r="BN104" i="41" s="1"/>
  <c r="AN66" i="38"/>
  <c r="AN39" i="38"/>
  <c r="AO39" i="41" s="1"/>
  <c r="AW39" i="41" s="1"/>
  <c r="AN84" i="38"/>
  <c r="AO84" i="41" s="1"/>
  <c r="AW84" i="41" s="1"/>
  <c r="AN60" i="38"/>
  <c r="CK59" i="38" s="1"/>
  <c r="BS59" i="41" s="1"/>
  <c r="AN65" i="38"/>
  <c r="CB67" i="38"/>
  <c r="BL67" i="41" s="1"/>
  <c r="CB34" i="38"/>
  <c r="BL34" i="41" s="1"/>
  <c r="AN45" i="38"/>
  <c r="CC45" i="38" s="1"/>
  <c r="AN102" i="38"/>
  <c r="BW102" i="38" s="1"/>
  <c r="BR103" i="38" s="1"/>
  <c r="CB86" i="38"/>
  <c r="BL86" i="41" s="1"/>
  <c r="CB41" i="38"/>
  <c r="BL41" i="41" s="1"/>
  <c r="AN56" i="38"/>
  <c r="CK55" i="38" s="1"/>
  <c r="BS55" i="41" s="1"/>
  <c r="AN72" i="38"/>
  <c r="CC72" i="38" s="1"/>
  <c r="BM72" i="41" s="1"/>
  <c r="CB101" i="38"/>
  <c r="BL101" i="41" s="1"/>
  <c r="CB83" i="38"/>
  <c r="BL83" i="41" s="1"/>
  <c r="CB50" i="38"/>
  <c r="BL50" i="41" s="1"/>
  <c r="AN85" i="38"/>
  <c r="AO85" i="41" s="1"/>
  <c r="AW85" i="41" s="1"/>
  <c r="AN40" i="38"/>
  <c r="CC40" i="38" s="1"/>
  <c r="BM40" i="41" s="1"/>
  <c r="AN98" i="38"/>
  <c r="CC98" i="38" s="1"/>
  <c r="CB71" i="38"/>
  <c r="BL71" i="41" s="1"/>
  <c r="CB38" i="38"/>
  <c r="BL38" i="41" s="1"/>
  <c r="AN76" i="38"/>
  <c r="CK75" i="38" s="1"/>
  <c r="BS75" i="41" s="1"/>
  <c r="AN78" i="38"/>
  <c r="AO78" i="41" s="1"/>
  <c r="AW78" i="41" s="1"/>
  <c r="AN50" i="38"/>
  <c r="AO50" i="41" s="1"/>
  <c r="AW50" i="41" s="1"/>
  <c r="CB100" i="38"/>
  <c r="BL100" i="41" s="1"/>
  <c r="CB36" i="38"/>
  <c r="BL36" i="41" s="1"/>
  <c r="CB63" i="38"/>
  <c r="BL63" i="41" s="1"/>
  <c r="CB94" i="38"/>
  <c r="BL94" i="41" s="1"/>
  <c r="CB49" i="38"/>
  <c r="BL49" i="41" s="1"/>
  <c r="AN51" i="38"/>
  <c r="AO51" i="41" s="1"/>
  <c r="AW51" i="41" s="1"/>
  <c r="AN93" i="38"/>
  <c r="CB96" i="38"/>
  <c r="BL96" i="41" s="1"/>
  <c r="CB32" i="38"/>
  <c r="BL32" i="41" s="1"/>
  <c r="CB59" i="38"/>
  <c r="BL59" i="41" s="1"/>
  <c r="CB75" i="38"/>
  <c r="BL75" i="41" s="1"/>
  <c r="CB93" i="38"/>
  <c r="BL93" i="41" s="1"/>
  <c r="AN43" i="38"/>
  <c r="CK42" i="38" s="1"/>
  <c r="BS42" i="41" s="1"/>
  <c r="AN99" i="38"/>
  <c r="CK98" i="38" s="1"/>
  <c r="BS98" i="41" s="1"/>
  <c r="AN109" i="38"/>
  <c r="AN54" i="38"/>
  <c r="AO54" i="41" s="1"/>
  <c r="AW54" i="41" s="1"/>
  <c r="AN35" i="38"/>
  <c r="CC35" i="38" s="1"/>
  <c r="BM35" i="41" s="1"/>
  <c r="CB99" i="38"/>
  <c r="BL99" i="41" s="1"/>
  <c r="CB66" i="38"/>
  <c r="BL66" i="41" s="1"/>
  <c r="AN83" i="38"/>
  <c r="CK82" i="38" s="1"/>
  <c r="BS82" i="41" s="1"/>
  <c r="CB73" i="38"/>
  <c r="BL73" i="41" s="1"/>
  <c r="AN71" i="38"/>
  <c r="CB109" i="38"/>
  <c r="BL109" i="41" s="1"/>
  <c r="CB81" i="38"/>
  <c r="BL81" i="41" s="1"/>
  <c r="CB37" i="38"/>
  <c r="BL37" i="41" s="1"/>
  <c r="CB108" i="38"/>
  <c r="BL108" i="41" s="1"/>
  <c r="AN92" i="38"/>
  <c r="CK91" i="38" s="1"/>
  <c r="BS91" i="41" s="1"/>
  <c r="CB69" i="38"/>
  <c r="BL69" i="41" s="1"/>
  <c r="AN104" i="38"/>
  <c r="CC104" i="38" s="1"/>
  <c r="BM104" i="41" s="1"/>
  <c r="AN96" i="38"/>
  <c r="CD95" i="38" s="1"/>
  <c r="BN95" i="41" s="1"/>
  <c r="AN89" i="38"/>
  <c r="CK88" i="38" s="1"/>
  <c r="BS88" i="41" s="1"/>
  <c r="CB106" i="38"/>
  <c r="BL106" i="41" s="1"/>
  <c r="AN90" i="38"/>
  <c r="CD89" i="38" s="1"/>
  <c r="BN89" i="41" s="1"/>
  <c r="AN91" i="38"/>
  <c r="AO91" i="41" s="1"/>
  <c r="AW91" i="41" s="1"/>
  <c r="AN70" i="38"/>
  <c r="CD69" i="38" s="1"/>
  <c r="BN69" i="41" s="1"/>
  <c r="AN80" i="38"/>
  <c r="CD79" i="38" s="1"/>
  <c r="AN95" i="38"/>
  <c r="AN103" i="38"/>
  <c r="BW103" i="38" s="1"/>
  <c r="BR104" i="38" s="1"/>
  <c r="BH104" i="41" s="1"/>
  <c r="AN100" i="38"/>
  <c r="BW100" i="38" s="1"/>
  <c r="CB72" i="38"/>
  <c r="BL72" i="41" s="1"/>
  <c r="CB35" i="38"/>
  <c r="BL35" i="41" s="1"/>
  <c r="CB85" i="38"/>
  <c r="BL85" i="41" s="1"/>
  <c r="AN46" i="38"/>
  <c r="CD45" i="38" s="1"/>
  <c r="BN45" i="41" s="1"/>
  <c r="AN57" i="38"/>
  <c r="BW57" i="38" s="1"/>
  <c r="CB104" i="38"/>
  <c r="BL104" i="41" s="1"/>
  <c r="CB87" i="38"/>
  <c r="BL87" i="41" s="1"/>
  <c r="CB54" i="38"/>
  <c r="BL54" i="41" s="1"/>
  <c r="AN55" i="38"/>
  <c r="AO55" i="41" s="1"/>
  <c r="AW55" i="41" s="1"/>
  <c r="AN36" i="38"/>
  <c r="BW36" i="38" s="1"/>
  <c r="AN61" i="38"/>
  <c r="CK60" i="38" s="1"/>
  <c r="BS60" i="41" s="1"/>
  <c r="CB88" i="38"/>
  <c r="BL88" i="41" s="1"/>
  <c r="CB51" i="38"/>
  <c r="BL51" i="41" s="1"/>
  <c r="Z123" i="41"/>
  <c r="AD123" i="41" s="1"/>
  <c r="AD124" i="41" s="1"/>
  <c r="AN77" i="38"/>
  <c r="CK76" i="38" s="1"/>
  <c r="BS76" i="41" s="1"/>
  <c r="AN75" i="38"/>
  <c r="CB76" i="38"/>
  <c r="BL76" i="41" s="1"/>
  <c r="CB40" i="38"/>
  <c r="BL40" i="41" s="1"/>
  <c r="CB89" i="38"/>
  <c r="BL89" i="41" s="1"/>
  <c r="AN42" i="38"/>
  <c r="CD41" i="38" s="1"/>
  <c r="BN41" i="41" s="1"/>
  <c r="AN30" i="38"/>
  <c r="AN107" i="38"/>
  <c r="AO107" i="41" s="1"/>
  <c r="AW107" i="41" s="1"/>
  <c r="CB84" i="38"/>
  <c r="BL84" i="41" s="1"/>
  <c r="BT8" i="38"/>
  <c r="BT23" i="38" s="1"/>
  <c r="BG23" i="41" s="1"/>
  <c r="CB47" i="38"/>
  <c r="BL47" i="41" s="1"/>
  <c r="CB78" i="38"/>
  <c r="BL78" i="41" s="1"/>
  <c r="CB97" i="38"/>
  <c r="BL97" i="41" s="1"/>
  <c r="CB33" i="38"/>
  <c r="BL33" i="41" s="1"/>
  <c r="AN52" i="38"/>
  <c r="CK51" i="38" s="1"/>
  <c r="BS51" i="41" s="1"/>
  <c r="AN81" i="38"/>
  <c r="CK80" i="38" s="1"/>
  <c r="BS80" i="41" s="1"/>
  <c r="CB107" i="38"/>
  <c r="BL107" i="41" s="1"/>
  <c r="CB80" i="38"/>
  <c r="BL80" i="41" s="1"/>
  <c r="AN88" i="38"/>
  <c r="CC88" i="38" s="1"/>
  <c r="CB43" i="38"/>
  <c r="BL43" i="41" s="1"/>
  <c r="CB58" i="38"/>
  <c r="BL58" i="41" s="1"/>
  <c r="CB77" i="38"/>
  <c r="BL77" i="41" s="1"/>
  <c r="AN34" i="38"/>
  <c r="CC34" i="38" s="1"/>
  <c r="AN69" i="38"/>
  <c r="CD68" i="38" s="1"/>
  <c r="BN68" i="41" s="1"/>
  <c r="AN106" i="38"/>
  <c r="AO106" i="41" s="1"/>
  <c r="AW106" i="41" s="1"/>
  <c r="CB45" i="38"/>
  <c r="BL45" i="41" s="1"/>
  <c r="AN59" i="38"/>
  <c r="CD58" i="38" s="1"/>
  <c r="BN58" i="41" s="1"/>
  <c r="AN37" i="38"/>
  <c r="CC37" i="38" s="1"/>
  <c r="CB102" i="38"/>
  <c r="BL102" i="41" s="1"/>
  <c r="FL101" i="46"/>
  <c r="FL23" i="46"/>
  <c r="W113" i="45"/>
  <c r="T114" i="45"/>
  <c r="AD20" i="38"/>
  <c r="AE20" i="38" s="1"/>
  <c r="AF20" i="38" s="1"/>
  <c r="AJ20" i="38" s="1"/>
  <c r="AK20" i="38" s="1"/>
  <c r="AH20" i="41" s="1"/>
  <c r="AL20" i="41" s="1"/>
  <c r="AJ5" i="38"/>
  <c r="AD65" i="38"/>
  <c r="HL15" i="38" s="1"/>
  <c r="AJ6" i="38"/>
  <c r="AE29" i="41"/>
  <c r="AE38" i="41"/>
  <c r="AE43" i="41"/>
  <c r="AE51" i="41"/>
  <c r="AE59" i="41"/>
  <c r="AE67" i="41"/>
  <c r="AE75" i="41"/>
  <c r="AE83" i="41"/>
  <c r="AE91" i="41"/>
  <c r="AE99" i="41"/>
  <c r="AE107" i="41"/>
  <c r="AE40" i="41"/>
  <c r="AE41" i="41"/>
  <c r="AE73" i="38"/>
  <c r="HT15" i="38"/>
  <c r="GP15" i="38"/>
  <c r="AE43" i="38"/>
  <c r="FT15" i="38"/>
  <c r="AE21" i="38"/>
  <c r="HJ15" i="38"/>
  <c r="AE63" i="38"/>
  <c r="GN15" i="38"/>
  <c r="AE41" i="38"/>
  <c r="AE36" i="38"/>
  <c r="GI15" i="38"/>
  <c r="AE47" i="38"/>
  <c r="GT15" i="38"/>
  <c r="IM15" i="38"/>
  <c r="AE92" i="38"/>
  <c r="AE23" i="38"/>
  <c r="FV15" i="38"/>
  <c r="HE15" i="38"/>
  <c r="AE58" i="38"/>
  <c r="JC15" i="38"/>
  <c r="AE108" i="38"/>
  <c r="IP15" i="38"/>
  <c r="AE95" i="38"/>
  <c r="AE80" i="38"/>
  <c r="IA15" i="38"/>
  <c r="ID15" i="38"/>
  <c r="AE83" i="38"/>
  <c r="AE68" i="38"/>
  <c r="HO15" i="38"/>
  <c r="AE22" i="38"/>
  <c r="FU15" i="38"/>
  <c r="IK15" i="38"/>
  <c r="AE90" i="38"/>
  <c r="HV15" i="38"/>
  <c r="AE75" i="38"/>
  <c r="AE60" i="38"/>
  <c r="HG15" i="38"/>
  <c r="HM15" i="38"/>
  <c r="AE66" i="38"/>
  <c r="AE109" i="38"/>
  <c r="JD15" i="38"/>
  <c r="AE25" i="38"/>
  <c r="FX15" i="38"/>
  <c r="AE44" i="38"/>
  <c r="GQ15" i="38"/>
  <c r="CK29" i="38"/>
  <c r="BS29" i="41" s="1"/>
  <c r="BW30" i="38"/>
  <c r="CD29" i="38"/>
  <c r="BN29" i="41" s="1"/>
  <c r="CK22" i="38"/>
  <c r="BS22" i="41" s="1"/>
  <c r="CC23" i="38"/>
  <c r="BW23" i="38"/>
  <c r="BR24" i="38" s="1"/>
  <c r="BH24" i="41" s="1"/>
  <c r="CD22" i="38"/>
  <c r="BN22" i="41" s="1"/>
  <c r="CJ22" i="38"/>
  <c r="AO23" i="41"/>
  <c r="AW23" i="41" s="1"/>
  <c r="CF22" i="38"/>
  <c r="AE103" i="38"/>
  <c r="IX15" i="38"/>
  <c r="HI15" i="38"/>
  <c r="AE62" i="38"/>
  <c r="CF26" i="38"/>
  <c r="AE82" i="38"/>
  <c r="IC15" i="38"/>
  <c r="IQ15" i="38"/>
  <c r="AE96" i="38"/>
  <c r="AE99" i="38"/>
  <c r="IT15" i="38"/>
  <c r="EL8" i="38"/>
  <c r="AE50" i="38"/>
  <c r="GW15" i="38"/>
  <c r="AE97" i="38"/>
  <c r="IR15" i="38"/>
  <c r="HY15" i="38"/>
  <c r="AE78" i="38"/>
  <c r="GB15" i="38"/>
  <c r="AE29" i="38"/>
  <c r="IB15" i="38"/>
  <c r="AE81" i="38"/>
  <c r="HU15" i="38"/>
  <c r="AE74" i="38"/>
  <c r="AE30" i="38"/>
  <c r="GC15" i="38"/>
  <c r="IU15" i="38"/>
  <c r="AE100" i="38"/>
  <c r="AE69" i="38"/>
  <c r="HP15" i="38"/>
  <c r="HX15" i="38"/>
  <c r="AE77" i="38"/>
  <c r="AE86" i="38"/>
  <c r="IG15" i="38"/>
  <c r="AE56" i="38"/>
  <c r="HC15" i="38"/>
  <c r="IW15" i="38"/>
  <c r="AE102" i="38"/>
  <c r="AE79" i="38"/>
  <c r="HZ15" i="38"/>
  <c r="AE64" i="38"/>
  <c r="HK15" i="38"/>
  <c r="HD15" i="38"/>
  <c r="AE57" i="38"/>
  <c r="AE67" i="38"/>
  <c r="HN15" i="38"/>
  <c r="AE52" i="38"/>
  <c r="GY15" i="38"/>
  <c r="AE46" i="38"/>
  <c r="GS15" i="38"/>
  <c r="IJ15" i="38"/>
  <c r="AE89" i="38"/>
  <c r="IE15" i="38"/>
  <c r="AE84" i="38"/>
  <c r="GG15" i="38"/>
  <c r="AE34" i="38"/>
  <c r="AE88" i="38"/>
  <c r="II15" i="38"/>
  <c r="AE104" i="38"/>
  <c r="IY15" i="38"/>
  <c r="IN15" i="38"/>
  <c r="AE93" i="38"/>
  <c r="AE72" i="38"/>
  <c r="HS15" i="38"/>
  <c r="GR15" i="38"/>
  <c r="AE45" i="38"/>
  <c r="FW15" i="38"/>
  <c r="AE24" i="38"/>
  <c r="GO15" i="38"/>
  <c r="AE42" i="38"/>
  <c r="AE31" i="38"/>
  <c r="GD15" i="38"/>
  <c r="AE91" i="38"/>
  <c r="IL15" i="38"/>
  <c r="AE76" i="38"/>
  <c r="HW15" i="38"/>
  <c r="IS15" i="38"/>
  <c r="AE98" i="38"/>
  <c r="AE110" i="38"/>
  <c r="JE15" i="38"/>
  <c r="JE110" i="38" s="1"/>
  <c r="JE5" i="38" s="1"/>
  <c r="IH15" i="38"/>
  <c r="AE87" i="38"/>
  <c r="GJ15" i="38"/>
  <c r="AE37" i="38"/>
  <c r="AE38" i="38"/>
  <c r="GK15" i="38"/>
  <c r="AE105" i="38"/>
  <c r="IZ15" i="38"/>
  <c r="BW26" i="38"/>
  <c r="CD25" i="38"/>
  <c r="BN25" i="41" s="1"/>
  <c r="CC26" i="38"/>
  <c r="CK25" i="38"/>
  <c r="BS25" i="41" s="1"/>
  <c r="CF25" i="38"/>
  <c r="CK23" i="38"/>
  <c r="BS23" i="41" s="1"/>
  <c r="CF23" i="38"/>
  <c r="CC24" i="38"/>
  <c r="CJ23" i="38"/>
  <c r="BW24" i="38"/>
  <c r="CD23" i="38"/>
  <c r="BN23" i="41" s="1"/>
  <c r="CD24" i="38"/>
  <c r="BN24" i="41" s="1"/>
  <c r="CC25" i="38"/>
  <c r="CK21" i="38"/>
  <c r="BS21" i="41" s="1"/>
  <c r="BW22" i="38"/>
  <c r="CD21" i="38"/>
  <c r="BN21" i="41" s="1"/>
  <c r="CC22" i="38"/>
  <c r="BM22" i="41" s="1"/>
  <c r="GF15" i="38"/>
  <c r="AE33" i="38"/>
  <c r="AE28" i="38"/>
  <c r="GA15" i="38"/>
  <c r="AE107" i="38"/>
  <c r="JB15" i="38"/>
  <c r="GU15" i="38"/>
  <c r="AE48" i="38"/>
  <c r="GX15" i="38"/>
  <c r="AE51" i="38"/>
  <c r="HB15" i="38"/>
  <c r="AE55" i="38"/>
  <c r="AE32" i="38"/>
  <c r="GE15" i="38"/>
  <c r="GH15" i="38"/>
  <c r="AE35" i="38"/>
  <c r="AE39" i="38"/>
  <c r="GL15" i="38"/>
  <c r="HF15" i="38"/>
  <c r="AE59" i="38"/>
  <c r="AE26" i="38"/>
  <c r="FY15" i="38"/>
  <c r="AE85" i="38"/>
  <c r="IF15" i="38"/>
  <c r="IO15" i="38"/>
  <c r="AE94" i="38"/>
  <c r="FZ15" i="38"/>
  <c r="AE27" i="38"/>
  <c r="GZ15" i="38"/>
  <c r="AE53" i="38"/>
  <c r="AE70" i="38"/>
  <c r="HQ15" i="38"/>
  <c r="JA15" i="38"/>
  <c r="AE106" i="38"/>
  <c r="HR15" i="38"/>
  <c r="AE71" i="38"/>
  <c r="AE61" i="38"/>
  <c r="HH15" i="38"/>
  <c r="HA15" i="38"/>
  <c r="AE54" i="38"/>
  <c r="AE40" i="38"/>
  <c r="GM15" i="38"/>
  <c r="AE49" i="38"/>
  <c r="GV15" i="38"/>
  <c r="AE101" i="38"/>
  <c r="IV15" i="38"/>
  <c r="Z55" i="46"/>
  <c r="Z46" i="46"/>
  <c r="Z73" i="46"/>
  <c r="Z20" i="46"/>
  <c r="FL61" i="46"/>
  <c r="Z60" i="46"/>
  <c r="Z43" i="46"/>
  <c r="Z109" i="46"/>
  <c r="Z99" i="46"/>
  <c r="Z62" i="46"/>
  <c r="Z104" i="46"/>
  <c r="Z50" i="46"/>
  <c r="Z38" i="46"/>
  <c r="FL78" i="46"/>
  <c r="Z90" i="46"/>
  <c r="FL89" i="46"/>
  <c r="Z89" i="46"/>
  <c r="Z44" i="46"/>
  <c r="Z108" i="46"/>
  <c r="FL22" i="46"/>
  <c r="Z22" i="46"/>
  <c r="FL52" i="46"/>
  <c r="Z52" i="46"/>
  <c r="FL40" i="46"/>
  <c r="Z40" i="46"/>
  <c r="FL79" i="46"/>
  <c r="Z79" i="46"/>
  <c r="FL77" i="46"/>
  <c r="Z77" i="46"/>
  <c r="FL36" i="46"/>
  <c r="Z36" i="46"/>
  <c r="FL88" i="46"/>
  <c r="Z88" i="46"/>
  <c r="FL63" i="46"/>
  <c r="Z63" i="46"/>
  <c r="FL57" i="46"/>
  <c r="Z57" i="46"/>
  <c r="FL41" i="46"/>
  <c r="Z41" i="46"/>
  <c r="FL84" i="46"/>
  <c r="Z84" i="46"/>
  <c r="FL32" i="46"/>
  <c r="Z32" i="46"/>
  <c r="FL82" i="46"/>
  <c r="Z82" i="46"/>
  <c r="FL83" i="46"/>
  <c r="Z83" i="46"/>
  <c r="FL66" i="46"/>
  <c r="Z66" i="46"/>
  <c r="FL33" i="46"/>
  <c r="Z33" i="46"/>
  <c r="FL103" i="46"/>
  <c r="Z103" i="46"/>
  <c r="FL56" i="46"/>
  <c r="Z56" i="46"/>
  <c r="FL27" i="46"/>
  <c r="Z27" i="46"/>
  <c r="FL85" i="46"/>
  <c r="FL51" i="46"/>
  <c r="Z51" i="46"/>
  <c r="FL98" i="46"/>
  <c r="Z98" i="46"/>
  <c r="FL80" i="46"/>
  <c r="FL47" i="46"/>
  <c r="Z47" i="46"/>
  <c r="FL68" i="46"/>
  <c r="FL39" i="46"/>
  <c r="Z39" i="46"/>
  <c r="FL37" i="46"/>
  <c r="Z37" i="46"/>
  <c r="FL65" i="46"/>
  <c r="FL96" i="46"/>
  <c r="FL29" i="46"/>
  <c r="Z29" i="46"/>
  <c r="FL45" i="46"/>
  <c r="Z45" i="46"/>
  <c r="FL69" i="46"/>
  <c r="Z69" i="46"/>
  <c r="FL64" i="46"/>
  <c r="Z64" i="46"/>
  <c r="FL86" i="46"/>
  <c r="Z86" i="46"/>
  <c r="FL24" i="46"/>
  <c r="Z24" i="46"/>
  <c r="FL31" i="46"/>
  <c r="Z31" i="46"/>
  <c r="FL105" i="46"/>
  <c r="Z105" i="46"/>
  <c r="FL70" i="46"/>
  <c r="FL34" i="46"/>
  <c r="Z34" i="46"/>
  <c r="FL92" i="46"/>
  <c r="Z92" i="46"/>
  <c r="FL21" i="46"/>
  <c r="Z21" i="46"/>
  <c r="FL59" i="46"/>
  <c r="FL58" i="46"/>
  <c r="FL53" i="46"/>
  <c r="Z53" i="46"/>
  <c r="FL30" i="46"/>
  <c r="Z30" i="46"/>
  <c r="FL72" i="46"/>
  <c r="Z72" i="46"/>
  <c r="FL102" i="46"/>
  <c r="Z102" i="46"/>
  <c r="FL67" i="46"/>
  <c r="Z67" i="46"/>
  <c r="FL76" i="46"/>
  <c r="FL54" i="46"/>
  <c r="FL107" i="46"/>
  <c r="FL110" i="46"/>
  <c r="FL100" i="46"/>
  <c r="FL97" i="46"/>
  <c r="Z97" i="46"/>
  <c r="FL74" i="46"/>
  <c r="FL48" i="46"/>
  <c r="Z48" i="46"/>
  <c r="Z26" i="46"/>
  <c r="FL26" i="46"/>
  <c r="FL95" i="46"/>
  <c r="FL35" i="46"/>
  <c r="FL93" i="46"/>
  <c r="FL49" i="46"/>
  <c r="FL106" i="46"/>
  <c r="FL81" i="46"/>
  <c r="Z81" i="46"/>
  <c r="FL25" i="46"/>
  <c r="FL94" i="46"/>
  <c r="FL42" i="46"/>
  <c r="FL75" i="46"/>
  <c r="Z75" i="46"/>
  <c r="FL28" i="46"/>
  <c r="FL91" i="46"/>
  <c r="Z91" i="46"/>
  <c r="AE20" i="41"/>
  <c r="AE39" i="41"/>
  <c r="BB19" i="41"/>
  <c r="AX19" i="41"/>
  <c r="AE111" i="41"/>
  <c r="AE112" i="41"/>
  <c r="AE113" i="41"/>
  <c r="AE114" i="41"/>
  <c r="AE115" i="41"/>
  <c r="AE116" i="41"/>
  <c r="AE117" i="41"/>
  <c r="AE118" i="41"/>
  <c r="AE119" i="41"/>
  <c r="AE120" i="41"/>
  <c r="AE30" i="41"/>
  <c r="AE56" i="41"/>
  <c r="AE72" i="41"/>
  <c r="AE80" i="41"/>
  <c r="AE96" i="41"/>
  <c r="AE104" i="41"/>
  <c r="AE26" i="41"/>
  <c r="AE45" i="41"/>
  <c r="AE61" i="41"/>
  <c r="AE77" i="41"/>
  <c r="AE93" i="41"/>
  <c r="AE109" i="41"/>
  <c r="AE31" i="41"/>
  <c r="AE50" i="41"/>
  <c r="AE66" i="41"/>
  <c r="AE82" i="41"/>
  <c r="AE98" i="41"/>
  <c r="AE48" i="41"/>
  <c r="AE64" i="41"/>
  <c r="AE88" i="41"/>
  <c r="AE37" i="41"/>
  <c r="AE53" i="41"/>
  <c r="AE69" i="41"/>
  <c r="AE85" i="41"/>
  <c r="AE101" i="41"/>
  <c r="AE42" i="41"/>
  <c r="AE58" i="41"/>
  <c r="AE74" i="41"/>
  <c r="AE90" i="41"/>
  <c r="AE106" i="41"/>
  <c r="AE36" i="41"/>
  <c r="AE34" i="41"/>
  <c r="AE47" i="41"/>
  <c r="AE55" i="41"/>
  <c r="AE63" i="41"/>
  <c r="AE71" i="41"/>
  <c r="AE79" i="41"/>
  <c r="AE87" i="41"/>
  <c r="AE95" i="41"/>
  <c r="AE103" i="41"/>
  <c r="AE22" i="41"/>
  <c r="AE23" i="41"/>
  <c r="AE33" i="41"/>
  <c r="AE24" i="41"/>
  <c r="AE44" i="41"/>
  <c r="AE52" i="41"/>
  <c r="AE60" i="41"/>
  <c r="AE68" i="41"/>
  <c r="AE76" i="41"/>
  <c r="AE84" i="41"/>
  <c r="AE92" i="41"/>
  <c r="AE100" i="41"/>
  <c r="AE108" i="41"/>
  <c r="AE28" i="41"/>
  <c r="AE25" i="41"/>
  <c r="AE35" i="41"/>
  <c r="AE49" i="41"/>
  <c r="AE57" i="41"/>
  <c r="AE65" i="41"/>
  <c r="AE73" i="41"/>
  <c r="AE81" i="41"/>
  <c r="AE89" i="41"/>
  <c r="AE97" i="41"/>
  <c r="AE105" i="41"/>
  <c r="AE32" i="41"/>
  <c r="AE21" i="41"/>
  <c r="AE27" i="41"/>
  <c r="AE46" i="41"/>
  <c r="AE54" i="41"/>
  <c r="AE62" i="41"/>
  <c r="AE70" i="41"/>
  <c r="AE78" i="41"/>
  <c r="AE86" i="41"/>
  <c r="AE94" i="41"/>
  <c r="AE102" i="41"/>
  <c r="AE110" i="41"/>
  <c r="BW80" i="38" l="1"/>
  <c r="BR81" i="38" s="1"/>
  <c r="BH81" i="41" s="1"/>
  <c r="CH25" i="38"/>
  <c r="BT25" i="41" s="1"/>
  <c r="CD27" i="38"/>
  <c r="BN27" i="41" s="1"/>
  <c r="CF21" i="38"/>
  <c r="CJ21" i="38"/>
  <c r="CL21" i="38" s="1"/>
  <c r="CC27" i="38"/>
  <c r="BM27" i="41" s="1"/>
  <c r="CK26" i="38"/>
  <c r="BS26" i="41" s="1"/>
  <c r="CC21" i="38"/>
  <c r="BM21" i="41" s="1"/>
  <c r="CJ26" i="38"/>
  <c r="BR26" i="41" s="1"/>
  <c r="BW27" i="38"/>
  <c r="BR28" i="38" s="1"/>
  <c r="BH28" i="41" s="1"/>
  <c r="CD26" i="38"/>
  <c r="BN26" i="41" s="1"/>
  <c r="BT27" i="38"/>
  <c r="BG27" i="41" s="1"/>
  <c r="BW28" i="38"/>
  <c r="BW25" i="38"/>
  <c r="BR26" i="38" s="1"/>
  <c r="BH26" i="41" s="1"/>
  <c r="BT24" i="38"/>
  <c r="BG24" i="41" s="1"/>
  <c r="BI24" i="41" s="1"/>
  <c r="AO8" i="38"/>
  <c r="AO20" i="38" s="1"/>
  <c r="BW29" i="38"/>
  <c r="BR30" i="38" s="1"/>
  <c r="BH30" i="41" s="1"/>
  <c r="CH21" i="38"/>
  <c r="BT21" i="41" s="1"/>
  <c r="CJ29" i="38"/>
  <c r="CL29" i="38" s="1"/>
  <c r="CF24" i="38"/>
  <c r="CH24" i="38"/>
  <c r="BT24" i="41" s="1"/>
  <c r="CH29" i="38"/>
  <c r="BT29" i="41" s="1"/>
  <c r="BT29" i="38"/>
  <c r="BG29" i="41" s="1"/>
  <c r="BT22" i="38"/>
  <c r="BG22" i="41" s="1"/>
  <c r="CK27" i="38"/>
  <c r="BS27" i="41" s="1"/>
  <c r="CJ27" i="38"/>
  <c r="BR27" i="41" s="1"/>
  <c r="CJ24" i="38"/>
  <c r="CJ25" i="38"/>
  <c r="CL25" i="38" s="1"/>
  <c r="CK28" i="38"/>
  <c r="BS28" i="41" s="1"/>
  <c r="CC29" i="38"/>
  <c r="BM29" i="41" s="1"/>
  <c r="CH27" i="38"/>
  <c r="BT27" i="41" s="1"/>
  <c r="CH23" i="38"/>
  <c r="BT23" i="41" s="1"/>
  <c r="BT30" i="38"/>
  <c r="BG30" i="41" s="1"/>
  <c r="BI30" i="41" s="1"/>
  <c r="BT25" i="38"/>
  <c r="BG25" i="41" s="1"/>
  <c r="CJ28" i="38"/>
  <c r="BR28" i="41" s="1"/>
  <c r="CD28" i="38"/>
  <c r="BN28" i="41" s="1"/>
  <c r="CH22" i="38"/>
  <c r="BT22" i="41" s="1"/>
  <c r="BT28" i="38"/>
  <c r="BG28" i="41" s="1"/>
  <c r="CF29" i="38"/>
  <c r="CF27" i="38"/>
  <c r="CC28" i="38"/>
  <c r="BM28" i="41" s="1"/>
  <c r="CK24" i="38"/>
  <c r="BS24" i="41" s="1"/>
  <c r="CF28" i="38"/>
  <c r="CH26" i="38"/>
  <c r="BT26" i="41" s="1"/>
  <c r="BT26" i="38"/>
  <c r="BG26" i="41" s="1"/>
  <c r="CF30" i="38"/>
  <c r="CF64" i="38"/>
  <c r="CF66" i="38"/>
  <c r="CD78" i="38"/>
  <c r="BN78" i="41" s="1"/>
  <c r="CJ109" i="38"/>
  <c r="BR109" i="41" s="1"/>
  <c r="CK78" i="38"/>
  <c r="BS78" i="41" s="1"/>
  <c r="AO79" i="41"/>
  <c r="AW79" i="41" s="1"/>
  <c r="BW79" i="38"/>
  <c r="BR80" i="38" s="1"/>
  <c r="BH80" i="41" s="1"/>
  <c r="AO21" i="41"/>
  <c r="AW21" i="41" s="1"/>
  <c r="CD20" i="38"/>
  <c r="BN20" i="41" s="1"/>
  <c r="BW21" i="38"/>
  <c r="BR22" i="38" s="1"/>
  <c r="BR20" i="41"/>
  <c r="CL20" i="38"/>
  <c r="BL20" i="41"/>
  <c r="AO20" i="41"/>
  <c r="AW20" i="41" s="1"/>
  <c r="CC20" i="38"/>
  <c r="BM20" i="41" s="1"/>
  <c r="BT102" i="38"/>
  <c r="BG102" i="41" s="1"/>
  <c r="BT21" i="38"/>
  <c r="BG21" i="41" s="1"/>
  <c r="BI21" i="41" s="1"/>
  <c r="CH105" i="38"/>
  <c r="BT105" i="41" s="1"/>
  <c r="CH20" i="38"/>
  <c r="BT20" i="41" s="1"/>
  <c r="CF20" i="38"/>
  <c r="AK6" i="38"/>
  <c r="K75" i="10"/>
  <c r="AK5" i="38"/>
  <c r="K74" i="10"/>
  <c r="AO44" i="41"/>
  <c r="AW44" i="41" s="1"/>
  <c r="CH71" i="38"/>
  <c r="BT71" i="41" s="1"/>
  <c r="CH108" i="38"/>
  <c r="BT108" i="41" s="1"/>
  <c r="CD46" i="38"/>
  <c r="BN46" i="41" s="1"/>
  <c r="CH33" i="38"/>
  <c r="BT33" i="41" s="1"/>
  <c r="CH67" i="38"/>
  <c r="BT67" i="41" s="1"/>
  <c r="CH76" i="38"/>
  <c r="BT76" i="41" s="1"/>
  <c r="CH53" i="38"/>
  <c r="BT53" i="41" s="1"/>
  <c r="CH47" i="38"/>
  <c r="BT47" i="41" s="1"/>
  <c r="CH106" i="38"/>
  <c r="BT106" i="41" s="1"/>
  <c r="BT100" i="38"/>
  <c r="BG100" i="41" s="1"/>
  <c r="BW45" i="38"/>
  <c r="BR46" i="38" s="1"/>
  <c r="BH46" i="41" s="1"/>
  <c r="CH80" i="38"/>
  <c r="BT80" i="41" s="1"/>
  <c r="CH74" i="38"/>
  <c r="BT74" i="41" s="1"/>
  <c r="CH99" i="38"/>
  <c r="BT99" i="41" s="1"/>
  <c r="CH93" i="38"/>
  <c r="BT93" i="41" s="1"/>
  <c r="CH102" i="38"/>
  <c r="BT102" i="41" s="1"/>
  <c r="CH51" i="38"/>
  <c r="BT51" i="41" s="1"/>
  <c r="CH84" i="38"/>
  <c r="BT84" i="41" s="1"/>
  <c r="CH89" i="38"/>
  <c r="BT89" i="41" s="1"/>
  <c r="CH78" i="38"/>
  <c r="BT78" i="41" s="1"/>
  <c r="AO101" i="41"/>
  <c r="AW101" i="41" s="1"/>
  <c r="CH104" i="38"/>
  <c r="BT104" i="41" s="1"/>
  <c r="CF31" i="38"/>
  <c r="CK34" i="38"/>
  <c r="BS34" i="41" s="1"/>
  <c r="AO40" i="41"/>
  <c r="AW40" i="41" s="1"/>
  <c r="CD73" i="38"/>
  <c r="BN73" i="41" s="1"/>
  <c r="AO73" i="41"/>
  <c r="AW73" i="41" s="1"/>
  <c r="AO33" i="41"/>
  <c r="AW33" i="41" s="1"/>
  <c r="CC82" i="38"/>
  <c r="BM82" i="41" s="1"/>
  <c r="CC99" i="38"/>
  <c r="BM99" i="41" s="1"/>
  <c r="CK73" i="38"/>
  <c r="BS73" i="41" s="1"/>
  <c r="CK85" i="38"/>
  <c r="BS85" i="41" s="1"/>
  <c r="BW74" i="38"/>
  <c r="BR75" i="38" s="1"/>
  <c r="BH75" i="41" s="1"/>
  <c r="CC74" i="38"/>
  <c r="BM74" i="41" s="1"/>
  <c r="CD72" i="38"/>
  <c r="BN72" i="41" s="1"/>
  <c r="CD93" i="38"/>
  <c r="BN93" i="41" s="1"/>
  <c r="BW85" i="38"/>
  <c r="BR86" i="38" s="1"/>
  <c r="BH86" i="41" s="1"/>
  <c r="CC67" i="38"/>
  <c r="BM67" i="41" s="1"/>
  <c r="CK109" i="38"/>
  <c r="BS109" i="41" s="1"/>
  <c r="CD61" i="38"/>
  <c r="BN61" i="41" s="1"/>
  <c r="CK72" i="38"/>
  <c r="BS72" i="41" s="1"/>
  <c r="AO30" i="41"/>
  <c r="AW30" i="41" s="1"/>
  <c r="CF65" i="38"/>
  <c r="CF88" i="38"/>
  <c r="CJ73" i="38"/>
  <c r="BR73" i="41" s="1"/>
  <c r="CF57" i="38"/>
  <c r="AO64" i="41"/>
  <c r="AW64" i="41" s="1"/>
  <c r="CF74" i="38"/>
  <c r="CJ86" i="38"/>
  <c r="CL86" i="38" s="1"/>
  <c r="CF62" i="38"/>
  <c r="CD64" i="38"/>
  <c r="BN64" i="41" s="1"/>
  <c r="CD30" i="38"/>
  <c r="BN30" i="41" s="1"/>
  <c r="AO38" i="41"/>
  <c r="AW38" i="41" s="1"/>
  <c r="CF63" i="38"/>
  <c r="AO43" i="41"/>
  <c r="AW43" i="41" s="1"/>
  <c r="CC30" i="38"/>
  <c r="CE30" i="38" s="1"/>
  <c r="BO30" i="41" s="1"/>
  <c r="CC55" i="38"/>
  <c r="BM55" i="41" s="1"/>
  <c r="CJ71" i="38"/>
  <c r="BR71" i="41" s="1"/>
  <c r="CF93" i="38"/>
  <c r="CK62" i="38"/>
  <c r="BS62" i="41" s="1"/>
  <c r="BW72" i="38"/>
  <c r="BR73" i="38" s="1"/>
  <c r="BH73" i="41" s="1"/>
  <c r="AO94" i="41"/>
  <c r="AW94" i="41" s="1"/>
  <c r="CK53" i="38"/>
  <c r="BS53" i="41" s="1"/>
  <c r="BW97" i="38"/>
  <c r="BR98" i="38" s="1"/>
  <c r="BH98" i="41" s="1"/>
  <c r="AO83" i="41"/>
  <c r="AW83" i="41" s="1"/>
  <c r="BW63" i="38"/>
  <c r="BR64" i="38" s="1"/>
  <c r="BH64" i="41" s="1"/>
  <c r="CC65" i="38"/>
  <c r="BM65" i="41" s="1"/>
  <c r="CF82" i="38"/>
  <c r="CD37" i="38"/>
  <c r="BN37" i="41" s="1"/>
  <c r="BW64" i="38"/>
  <c r="BR65" i="38" s="1"/>
  <c r="BH65" i="41" s="1"/>
  <c r="CJ87" i="38"/>
  <c r="BR87" i="41" s="1"/>
  <c r="CK96" i="38"/>
  <c r="BS96" i="41" s="1"/>
  <c r="CC31" i="38"/>
  <c r="BM31" i="41" s="1"/>
  <c r="AO67" i="41"/>
  <c r="AW67" i="41" s="1"/>
  <c r="CK63" i="38"/>
  <c r="BS63" i="41" s="1"/>
  <c r="BW62" i="38"/>
  <c r="BR63" i="38" s="1"/>
  <c r="CC63" i="38"/>
  <c r="BM63" i="41" s="1"/>
  <c r="CD62" i="38"/>
  <c r="BN62" i="41" s="1"/>
  <c r="CD84" i="38"/>
  <c r="BN84" i="41" s="1"/>
  <c r="CK101" i="38"/>
  <c r="BS101" i="41" s="1"/>
  <c r="CD65" i="38"/>
  <c r="BN65" i="41" s="1"/>
  <c r="CC97" i="38"/>
  <c r="BM97" i="41" s="1"/>
  <c r="CD96" i="38"/>
  <c r="BN96" i="41" s="1"/>
  <c r="CK95" i="38"/>
  <c r="BS95" i="41" s="1"/>
  <c r="CK67" i="38"/>
  <c r="BS67" i="41" s="1"/>
  <c r="BW94" i="38"/>
  <c r="BR95" i="38" s="1"/>
  <c r="CK93" i="38"/>
  <c r="BS93" i="41" s="1"/>
  <c r="CF73" i="38"/>
  <c r="CK30" i="38"/>
  <c r="BS30" i="41" s="1"/>
  <c r="BW31" i="38"/>
  <c r="BR32" i="38" s="1"/>
  <c r="CD66" i="38"/>
  <c r="BN66" i="41" s="1"/>
  <c r="CC38" i="38"/>
  <c r="BM38" i="41" s="1"/>
  <c r="BW38" i="38"/>
  <c r="BR39" i="38" s="1"/>
  <c r="BH39" i="41" s="1"/>
  <c r="CF43" i="38"/>
  <c r="CC73" i="38"/>
  <c r="CF72" i="38"/>
  <c r="CJ63" i="38"/>
  <c r="BR63" i="41" s="1"/>
  <c r="CC64" i="38"/>
  <c r="BM64" i="41" s="1"/>
  <c r="CC62" i="38"/>
  <c r="BM62" i="41" s="1"/>
  <c r="CC80" i="38"/>
  <c r="BM80" i="41" s="1"/>
  <c r="CF94" i="38"/>
  <c r="CJ62" i="38"/>
  <c r="BR62" i="41" s="1"/>
  <c r="AO65" i="41"/>
  <c r="AW65" i="41" s="1"/>
  <c r="BW66" i="38"/>
  <c r="BR67" i="38" s="1"/>
  <c r="BH67" i="41" s="1"/>
  <c r="CJ58" i="38"/>
  <c r="BR58" i="41" s="1"/>
  <c r="BW83" i="38"/>
  <c r="BR84" i="38" s="1"/>
  <c r="CK33" i="38"/>
  <c r="BS33" i="41" s="1"/>
  <c r="AO31" i="41"/>
  <c r="AW31" i="41" s="1"/>
  <c r="BW67" i="38"/>
  <c r="BR68" i="38" s="1"/>
  <c r="BH68" i="41" s="1"/>
  <c r="CD109" i="38"/>
  <c r="BN109" i="41" s="1"/>
  <c r="CC33" i="38"/>
  <c r="BM33" i="41" s="1"/>
  <c r="AO62" i="41"/>
  <c r="AW62" i="41" s="1"/>
  <c r="BW88" i="38"/>
  <c r="BR89" i="38" s="1"/>
  <c r="CK54" i="38"/>
  <c r="BS54" i="41" s="1"/>
  <c r="CD49" i="38"/>
  <c r="BN49" i="41" s="1"/>
  <c r="AO47" i="41"/>
  <c r="AW47" i="41" s="1"/>
  <c r="CC101" i="38"/>
  <c r="BM101" i="41" s="1"/>
  <c r="CH92" i="38"/>
  <c r="BT92" i="41" s="1"/>
  <c r="CH36" i="38"/>
  <c r="BT36" i="41" s="1"/>
  <c r="CH73" i="38"/>
  <c r="BT73" i="41" s="1"/>
  <c r="CH35" i="38"/>
  <c r="BT35" i="41" s="1"/>
  <c r="CH88" i="38"/>
  <c r="BT88" i="41" s="1"/>
  <c r="CH90" i="38"/>
  <c r="BT90" i="41" s="1"/>
  <c r="CH85" i="38"/>
  <c r="BT85" i="41" s="1"/>
  <c r="CH83" i="38"/>
  <c r="BT83" i="41" s="1"/>
  <c r="CH60" i="38"/>
  <c r="BT60" i="41" s="1"/>
  <c r="CH49" i="38"/>
  <c r="BT49" i="41" s="1"/>
  <c r="CH96" i="38"/>
  <c r="BT96" i="41" s="1"/>
  <c r="CH86" i="38"/>
  <c r="BT86" i="41" s="1"/>
  <c r="CH81" i="38"/>
  <c r="BT81" i="41" s="1"/>
  <c r="CH75" i="38"/>
  <c r="BT75" i="41" s="1"/>
  <c r="CH103" i="38"/>
  <c r="BT103" i="41" s="1"/>
  <c r="CH72" i="38"/>
  <c r="BT72" i="41" s="1"/>
  <c r="CH62" i="38"/>
  <c r="BT62" i="41" s="1"/>
  <c r="CH77" i="38"/>
  <c r="BT77" i="41" s="1"/>
  <c r="CH95" i="38"/>
  <c r="BT95" i="41" s="1"/>
  <c r="CH31" i="38"/>
  <c r="BT31" i="41" s="1"/>
  <c r="CH101" i="38"/>
  <c r="BT101" i="41" s="1"/>
  <c r="CD43" i="38"/>
  <c r="BN43" i="41" s="1"/>
  <c r="CK43" i="38"/>
  <c r="BS43" i="41" s="1"/>
  <c r="CC32" i="38"/>
  <c r="BM32" i="41" s="1"/>
  <c r="BT96" i="38"/>
  <c r="BG96" i="41" s="1"/>
  <c r="BT106" i="38"/>
  <c r="BG106" i="41" s="1"/>
  <c r="CC75" i="38"/>
  <c r="BM75" i="41" s="1"/>
  <c r="CC100" i="38"/>
  <c r="BM100" i="41" s="1"/>
  <c r="AO87" i="41"/>
  <c r="AW87" i="41" s="1"/>
  <c r="BW47" i="38"/>
  <c r="BR48" i="38" s="1"/>
  <c r="BH48" i="41" s="1"/>
  <c r="CH58" i="38"/>
  <c r="BT58" i="41" s="1"/>
  <c r="CH97" i="38"/>
  <c r="BT97" i="41" s="1"/>
  <c r="CH64" i="38"/>
  <c r="BT64" i="41" s="1"/>
  <c r="CH69" i="38"/>
  <c r="BT69" i="41" s="1"/>
  <c r="CH32" i="38"/>
  <c r="BT32" i="41" s="1"/>
  <c r="CH70" i="38"/>
  <c r="BT70" i="41" s="1"/>
  <c r="CH65" i="38"/>
  <c r="BT65" i="41" s="1"/>
  <c r="CH59" i="38"/>
  <c r="BT59" i="41" s="1"/>
  <c r="CH98" i="38"/>
  <c r="BT98" i="41" s="1"/>
  <c r="CH87" i="38"/>
  <c r="BT87" i="41" s="1"/>
  <c r="CH39" i="38"/>
  <c r="BT39" i="41" s="1"/>
  <c r="CH66" i="38"/>
  <c r="BT66" i="41" s="1"/>
  <c r="CH57" i="38"/>
  <c r="BT57" i="41" s="1"/>
  <c r="CH55" i="38"/>
  <c r="BT55" i="41" s="1"/>
  <c r="CH56" i="38"/>
  <c r="BT56" i="41" s="1"/>
  <c r="CH68" i="38"/>
  <c r="BT68" i="41" s="1"/>
  <c r="CH46" i="38"/>
  <c r="BT46" i="41" s="1"/>
  <c r="CH61" i="38"/>
  <c r="BT61" i="41" s="1"/>
  <c r="CH79" i="38"/>
  <c r="BT79" i="41" s="1"/>
  <c r="CH107" i="38"/>
  <c r="BT107" i="41" s="1"/>
  <c r="CH109" i="38"/>
  <c r="BT109" i="41" s="1"/>
  <c r="BW44" i="38"/>
  <c r="BR45" i="38" s="1"/>
  <c r="BH45" i="41" s="1"/>
  <c r="CF69" i="38"/>
  <c r="CF51" i="38"/>
  <c r="AO60" i="41"/>
  <c r="AW60" i="41" s="1"/>
  <c r="AO105" i="41"/>
  <c r="AW105" i="41" s="1"/>
  <c r="FS15" i="38"/>
  <c r="FS104" i="38" s="1"/>
  <c r="BW87" i="38"/>
  <c r="BR88" i="38" s="1"/>
  <c r="CJ100" i="38"/>
  <c r="BR100" i="41" s="1"/>
  <c r="CH82" i="38"/>
  <c r="BT82" i="41" s="1"/>
  <c r="CH52" i="38"/>
  <c r="BT52" i="41" s="1"/>
  <c r="CH91" i="38"/>
  <c r="BT91" i="41" s="1"/>
  <c r="CH38" i="38"/>
  <c r="BT38" i="41" s="1"/>
  <c r="CH100" i="38"/>
  <c r="BT100" i="41" s="1"/>
  <c r="CH44" i="38"/>
  <c r="BT44" i="41" s="1"/>
  <c r="CH50" i="38"/>
  <c r="BT50" i="41" s="1"/>
  <c r="CH41" i="38"/>
  <c r="BT41" i="41" s="1"/>
  <c r="CH40" i="38"/>
  <c r="BT40" i="41" s="1"/>
  <c r="CH54" i="38"/>
  <c r="BT54" i="41" s="1"/>
  <c r="CH43" i="38"/>
  <c r="BT43" i="41" s="1"/>
  <c r="CH42" i="38"/>
  <c r="BT42" i="41" s="1"/>
  <c r="CH37" i="38"/>
  <c r="BT37" i="41" s="1"/>
  <c r="CH34" i="38"/>
  <c r="BT34" i="41" s="1"/>
  <c r="CH48" i="38"/>
  <c r="BT48" i="41" s="1"/>
  <c r="CH94" i="38"/>
  <c r="BT94" i="41" s="1"/>
  <c r="CH30" i="38"/>
  <c r="BT30" i="41" s="1"/>
  <c r="CH45" i="38"/>
  <c r="BT45" i="41" s="1"/>
  <c r="CH63" i="38"/>
  <c r="BT63" i="41" s="1"/>
  <c r="CH110" i="38"/>
  <c r="BT110" i="41" s="1"/>
  <c r="AO32" i="41"/>
  <c r="AW32" i="41" s="1"/>
  <c r="BT58" i="38"/>
  <c r="BG58" i="41" s="1"/>
  <c r="BT37" i="38"/>
  <c r="BG37" i="41" s="1"/>
  <c r="BT85" i="38"/>
  <c r="BG85" i="41" s="1"/>
  <c r="CF41" i="38"/>
  <c r="CJ68" i="38"/>
  <c r="BR68" i="41" s="1"/>
  <c r="BW51" i="38"/>
  <c r="BR52" i="38" s="1"/>
  <c r="CF39" i="38"/>
  <c r="CF101" i="38"/>
  <c r="CC87" i="38"/>
  <c r="BM87" i="41" s="1"/>
  <c r="CD86" i="38"/>
  <c r="BN86" i="41" s="1"/>
  <c r="CC47" i="38"/>
  <c r="BM47" i="41" s="1"/>
  <c r="BW101" i="38"/>
  <c r="BR102" i="38" s="1"/>
  <c r="CF85" i="38"/>
  <c r="CJ31" i="38"/>
  <c r="CL31" i="38" s="1"/>
  <c r="BW32" i="38"/>
  <c r="BR33" i="38" s="1"/>
  <c r="BH33" i="41" s="1"/>
  <c r="BT35" i="38"/>
  <c r="BG35" i="41" s="1"/>
  <c r="CJ35" i="38"/>
  <c r="BR35" i="41" s="1"/>
  <c r="CK45" i="38"/>
  <c r="BS45" i="41" s="1"/>
  <c r="CC50" i="38"/>
  <c r="BM50" i="41" s="1"/>
  <c r="CD55" i="38"/>
  <c r="BN55" i="41" s="1"/>
  <c r="CF44" i="38"/>
  <c r="CD52" i="38"/>
  <c r="BN52" i="41" s="1"/>
  <c r="BW104" i="38"/>
  <c r="BR105" i="38" s="1"/>
  <c r="BH105" i="41" s="1"/>
  <c r="AO92" i="41"/>
  <c r="AW92" i="41" s="1"/>
  <c r="CD100" i="38"/>
  <c r="BN100" i="41" s="1"/>
  <c r="CD31" i="38"/>
  <c r="BN31" i="41" s="1"/>
  <c r="BT80" i="38"/>
  <c r="BG80" i="41" s="1"/>
  <c r="BT108" i="38"/>
  <c r="BG108" i="41" s="1"/>
  <c r="AO58" i="41"/>
  <c r="AW58" i="41" s="1"/>
  <c r="AO76" i="41"/>
  <c r="AW76" i="41" s="1"/>
  <c r="CC39" i="38"/>
  <c r="BM39" i="41" s="1"/>
  <c r="AO104" i="41"/>
  <c r="AW104" i="41" s="1"/>
  <c r="CJ33" i="38"/>
  <c r="AO110" i="41"/>
  <c r="AW110" i="41" s="1"/>
  <c r="CD32" i="38"/>
  <c r="BN32" i="41" s="1"/>
  <c r="CC86" i="38"/>
  <c r="BM86" i="41" s="1"/>
  <c r="AO86" i="41"/>
  <c r="AW86" i="41" s="1"/>
  <c r="CJ57" i="38"/>
  <c r="BR57" i="41" s="1"/>
  <c r="CD57" i="38"/>
  <c r="BN57" i="41" s="1"/>
  <c r="CF81" i="38"/>
  <c r="CK81" i="38"/>
  <c r="BS81" i="41" s="1"/>
  <c r="AO36" i="41"/>
  <c r="AW36" i="41" s="1"/>
  <c r="BW95" i="38"/>
  <c r="BR96" i="38" s="1"/>
  <c r="CJ85" i="38"/>
  <c r="BR85" i="41" s="1"/>
  <c r="BW78" i="38"/>
  <c r="BR79" i="38" s="1"/>
  <c r="BH79" i="41" s="1"/>
  <c r="CJ70" i="38"/>
  <c r="CJ110" i="38"/>
  <c r="CL110" i="38" s="1"/>
  <c r="CC110" i="38"/>
  <c r="CE110" i="38" s="1"/>
  <c r="BO110" i="41" s="1"/>
  <c r="CJ32" i="38"/>
  <c r="CL32" i="38" s="1"/>
  <c r="BW33" i="38"/>
  <c r="CK57" i="38"/>
  <c r="BS57" i="41" s="1"/>
  <c r="AO82" i="41"/>
  <c r="AW82" i="41" s="1"/>
  <c r="BW82" i="38"/>
  <c r="BR83" i="38" s="1"/>
  <c r="CC109" i="38"/>
  <c r="BM109" i="41" s="1"/>
  <c r="CC93" i="38"/>
  <c r="BM93" i="41" s="1"/>
  <c r="BW98" i="38"/>
  <c r="BR99" i="38" s="1"/>
  <c r="CK38" i="38"/>
  <c r="BS38" i="41" s="1"/>
  <c r="CK36" i="38"/>
  <c r="BS36" i="41" s="1"/>
  <c r="CF67" i="38"/>
  <c r="BW108" i="38"/>
  <c r="BR109" i="38" s="1"/>
  <c r="BH109" i="41" s="1"/>
  <c r="BW41" i="38"/>
  <c r="BR42" i="38" s="1"/>
  <c r="CF86" i="38"/>
  <c r="BW110" i="38"/>
  <c r="CF32" i="38"/>
  <c r="CD85" i="38"/>
  <c r="BN85" i="41" s="1"/>
  <c r="BW58" i="38"/>
  <c r="BR59" i="38" s="1"/>
  <c r="BH59" i="41" s="1"/>
  <c r="BW106" i="38"/>
  <c r="BR107" i="38" s="1"/>
  <c r="BH107" i="41" s="1"/>
  <c r="BW81" i="38"/>
  <c r="BR82" i="38" s="1"/>
  <c r="CK106" i="38"/>
  <c r="BS106" i="41" s="1"/>
  <c r="AO95" i="41"/>
  <c r="AW95" i="41" s="1"/>
  <c r="BW90" i="38"/>
  <c r="BR91" i="38" s="1"/>
  <c r="CC69" i="38"/>
  <c r="BM69" i="41" s="1"/>
  <c r="AO69" i="41"/>
  <c r="AW69" i="41" s="1"/>
  <c r="CK39" i="38"/>
  <c r="BS39" i="41" s="1"/>
  <c r="BW76" i="38"/>
  <c r="BR77" i="38" s="1"/>
  <c r="CF38" i="38"/>
  <c r="CD34" i="38"/>
  <c r="BN34" i="41" s="1"/>
  <c r="CD98" i="38"/>
  <c r="BN98" i="41" s="1"/>
  <c r="AO99" i="41"/>
  <c r="AW99" i="41" s="1"/>
  <c r="CC81" i="38"/>
  <c r="BM81" i="41" s="1"/>
  <c r="AO81" i="41"/>
  <c r="AW81" i="41" s="1"/>
  <c r="BW107" i="38"/>
  <c r="BR108" i="38" s="1"/>
  <c r="BH108" i="41" s="1"/>
  <c r="Z124" i="41"/>
  <c r="CF35" i="38"/>
  <c r="CK35" i="38"/>
  <c r="BS35" i="41" s="1"/>
  <c r="CD94" i="38"/>
  <c r="BN94" i="41" s="1"/>
  <c r="CC90" i="38"/>
  <c r="BM90" i="41" s="1"/>
  <c r="AO90" i="41"/>
  <c r="AW90" i="41" s="1"/>
  <c r="CJ99" i="38"/>
  <c r="CJ89" i="38"/>
  <c r="BR89" i="41" s="1"/>
  <c r="CD50" i="38"/>
  <c r="BN50" i="41" s="1"/>
  <c r="CD75" i="38"/>
  <c r="BN75" i="41" s="1"/>
  <c r="CD38" i="38"/>
  <c r="BN38" i="41" s="1"/>
  <c r="CK68" i="38"/>
  <c r="BS68" i="41" s="1"/>
  <c r="CC51" i="38"/>
  <c r="BM51" i="41" s="1"/>
  <c r="BW40" i="38"/>
  <c r="BR41" i="38" s="1"/>
  <c r="BH41" i="41" s="1"/>
  <c r="BW39" i="38"/>
  <c r="BR40" i="38" s="1"/>
  <c r="BH40" i="41" s="1"/>
  <c r="CK103" i="38"/>
  <c r="BS103" i="41" s="1"/>
  <c r="CJ53" i="38"/>
  <c r="BR53" i="41" s="1"/>
  <c r="BW69" i="38"/>
  <c r="BR70" i="38" s="1"/>
  <c r="BH70" i="41" s="1"/>
  <c r="CK50" i="38"/>
  <c r="BS50" i="41" s="1"/>
  <c r="CC76" i="38"/>
  <c r="BM76" i="41" s="1"/>
  <c r="CJ39" i="38"/>
  <c r="BR39" i="41" s="1"/>
  <c r="CD39" i="38"/>
  <c r="BN39" i="41" s="1"/>
  <c r="CJ38" i="38"/>
  <c r="BR38" i="41" s="1"/>
  <c r="CJ52" i="38"/>
  <c r="BR52" i="41" s="1"/>
  <c r="CD103" i="38"/>
  <c r="BN103" i="41" s="1"/>
  <c r="BW35" i="38"/>
  <c r="BR36" i="38" s="1"/>
  <c r="BH36" i="41" s="1"/>
  <c r="AO35" i="41"/>
  <c r="AW35" i="41" s="1"/>
  <c r="CF40" i="38"/>
  <c r="BW99" i="38"/>
  <c r="BR100" i="38" s="1"/>
  <c r="CF37" i="38"/>
  <c r="CJ81" i="38"/>
  <c r="BR81" i="41" s="1"/>
  <c r="CD80" i="38"/>
  <c r="BN80" i="41" s="1"/>
  <c r="CD106" i="38"/>
  <c r="BN106" i="41" s="1"/>
  <c r="CC107" i="38"/>
  <c r="BM107" i="41" s="1"/>
  <c r="CD35" i="38"/>
  <c r="BN35" i="41" s="1"/>
  <c r="CJ94" i="38"/>
  <c r="CK94" i="38"/>
  <c r="BS94" i="41" s="1"/>
  <c r="CK89" i="38"/>
  <c r="BS89" i="41" s="1"/>
  <c r="CF90" i="38"/>
  <c r="CF36" i="38"/>
  <c r="CF53" i="38"/>
  <c r="CC36" i="38"/>
  <c r="BM36" i="41" s="1"/>
  <c r="CC95" i="38"/>
  <c r="BM95" i="41" s="1"/>
  <c r="CJ78" i="38"/>
  <c r="BR78" i="41" s="1"/>
  <c r="AO93" i="41"/>
  <c r="AW93" i="41" s="1"/>
  <c r="CF77" i="38"/>
  <c r="CK97" i="38"/>
  <c r="BS97" i="41" s="1"/>
  <c r="CF84" i="38"/>
  <c r="CF71" i="38"/>
  <c r="CD83" i="38"/>
  <c r="BN83" i="41" s="1"/>
  <c r="CJ105" i="38"/>
  <c r="BR105" i="41" s="1"/>
  <c r="AO68" i="41"/>
  <c r="AW68" i="41" s="1"/>
  <c r="CK70" i="38"/>
  <c r="BS70" i="41" s="1"/>
  <c r="CJ107" i="38"/>
  <c r="BR107" i="41" s="1"/>
  <c r="CK107" i="38"/>
  <c r="BS107" i="41" s="1"/>
  <c r="CF109" i="38"/>
  <c r="CJ61" i="38"/>
  <c r="CL61" i="38" s="1"/>
  <c r="CC103" i="38"/>
  <c r="BM103" i="41" s="1"/>
  <c r="CJ69" i="38"/>
  <c r="BR69" i="41" s="1"/>
  <c r="CF48" i="38"/>
  <c r="CJ108" i="38"/>
  <c r="BR108" i="41" s="1"/>
  <c r="CF83" i="38"/>
  <c r="BW71" i="38"/>
  <c r="BR72" i="38" s="1"/>
  <c r="BH72" i="41" s="1"/>
  <c r="CD107" i="38"/>
  <c r="BN107" i="41" s="1"/>
  <c r="CD76" i="38"/>
  <c r="BN76" i="41" s="1"/>
  <c r="BW61" i="38"/>
  <c r="BR62" i="38" s="1"/>
  <c r="BH62" i="41" s="1"/>
  <c r="CK92" i="38"/>
  <c r="BS92" i="41" s="1"/>
  <c r="CC78" i="38"/>
  <c r="BM78" i="41" s="1"/>
  <c r="AO98" i="41"/>
  <c r="AW98" i="41" s="1"/>
  <c r="CJ96" i="38"/>
  <c r="BR96" i="41" s="1"/>
  <c r="CF103" i="38"/>
  <c r="BW68" i="38"/>
  <c r="BR69" i="38" s="1"/>
  <c r="BH69" i="41" s="1"/>
  <c r="CD67" i="38"/>
  <c r="BN67" i="41" s="1"/>
  <c r="CF107" i="38"/>
  <c r="AO109" i="41"/>
  <c r="AW109" i="41" s="1"/>
  <c r="CF68" i="38"/>
  <c r="CK77" i="38"/>
  <c r="BS77" i="41" s="1"/>
  <c r="CJ67" i="38"/>
  <c r="BR67" i="41" s="1"/>
  <c r="CC108" i="38"/>
  <c r="BM108" i="41" s="1"/>
  <c r="CF50" i="38"/>
  <c r="BW50" i="38"/>
  <c r="BR51" i="38" s="1"/>
  <c r="BH51" i="41" s="1"/>
  <c r="AO56" i="41"/>
  <c r="AW56" i="41" s="1"/>
  <c r="AO45" i="41"/>
  <c r="AW45" i="41" s="1"/>
  <c r="BW60" i="38"/>
  <c r="BR61" i="38" s="1"/>
  <c r="BH61" i="41" s="1"/>
  <c r="CF104" i="38"/>
  <c r="BW105" i="38"/>
  <c r="BR106" i="38" s="1"/>
  <c r="BH106" i="41" s="1"/>
  <c r="CC89" i="38"/>
  <c r="BM89" i="41" s="1"/>
  <c r="CC92" i="38"/>
  <c r="BM92" i="41" s="1"/>
  <c r="BT69" i="38"/>
  <c r="BG69" i="41" s="1"/>
  <c r="BT105" i="38"/>
  <c r="BG105" i="41" s="1"/>
  <c r="BT76" i="38"/>
  <c r="BG76" i="41" s="1"/>
  <c r="BT63" i="38"/>
  <c r="BG63" i="41" s="1"/>
  <c r="BT64" i="38"/>
  <c r="BG64" i="41" s="1"/>
  <c r="BT48" i="38"/>
  <c r="BG48" i="41" s="1"/>
  <c r="BT73" i="38"/>
  <c r="BG73" i="41" s="1"/>
  <c r="BT74" i="38"/>
  <c r="BG74" i="41" s="1"/>
  <c r="BT81" i="38"/>
  <c r="BG81" i="41" s="1"/>
  <c r="BT87" i="38"/>
  <c r="BG87" i="41" s="1"/>
  <c r="BT70" i="38"/>
  <c r="BG70" i="41" s="1"/>
  <c r="BT88" i="38"/>
  <c r="BG88" i="41" s="1"/>
  <c r="BT109" i="38"/>
  <c r="BG109" i="41" s="1"/>
  <c r="BT99" i="38"/>
  <c r="BG99" i="41" s="1"/>
  <c r="BT82" i="38"/>
  <c r="BG82" i="41" s="1"/>
  <c r="BT84" i="38"/>
  <c r="BG84" i="41" s="1"/>
  <c r="BT104" i="38"/>
  <c r="BG104" i="41" s="1"/>
  <c r="BI104" i="41" s="1"/>
  <c r="CC42" i="38"/>
  <c r="BM42" i="41" s="1"/>
  <c r="CJ74" i="38"/>
  <c r="CF45" i="38"/>
  <c r="CJ45" i="38"/>
  <c r="BR45" i="41" s="1"/>
  <c r="AO100" i="41"/>
  <c r="AW100" i="41" s="1"/>
  <c r="BW70" i="38"/>
  <c r="BR71" i="38" s="1"/>
  <c r="AO70" i="41"/>
  <c r="AW70" i="41" s="1"/>
  <c r="CF98" i="38"/>
  <c r="CJ92" i="38"/>
  <c r="BR92" i="41" s="1"/>
  <c r="CJ50" i="38"/>
  <c r="CL50" i="38" s="1"/>
  <c r="CK49" i="38"/>
  <c r="BS49" i="41" s="1"/>
  <c r="CF55" i="38"/>
  <c r="BW56" i="38"/>
  <c r="BR57" i="38" s="1"/>
  <c r="BH57" i="41" s="1"/>
  <c r="CD44" i="38"/>
  <c r="BN44" i="41" s="1"/>
  <c r="CJ44" i="38"/>
  <c r="BR44" i="41" s="1"/>
  <c r="CC60" i="38"/>
  <c r="BM60" i="41" s="1"/>
  <c r="CC105" i="38"/>
  <c r="BM105" i="41" s="1"/>
  <c r="CK104" i="38"/>
  <c r="BS104" i="41" s="1"/>
  <c r="CJ88" i="38"/>
  <c r="BR88" i="41" s="1"/>
  <c r="CD88" i="38"/>
  <c r="BN88" i="41" s="1"/>
  <c r="BW48" i="38"/>
  <c r="BR49" i="38" s="1"/>
  <c r="BH49" i="41" s="1"/>
  <c r="CD91" i="38"/>
  <c r="BN91" i="41" s="1"/>
  <c r="CJ48" i="38"/>
  <c r="BR48" i="41" s="1"/>
  <c r="CF46" i="38"/>
  <c r="CF100" i="38"/>
  <c r="BT57" i="38"/>
  <c r="BG57" i="41" s="1"/>
  <c r="BT97" i="38"/>
  <c r="BG97" i="41" s="1"/>
  <c r="BT101" i="38"/>
  <c r="BG101" i="41" s="1"/>
  <c r="BT31" i="38"/>
  <c r="BG31" i="41" s="1"/>
  <c r="BT32" i="38"/>
  <c r="BG32" i="41" s="1"/>
  <c r="BT75" i="38"/>
  <c r="BG75" i="41" s="1"/>
  <c r="BT91" i="38"/>
  <c r="BG91" i="41" s="1"/>
  <c r="BT42" i="38"/>
  <c r="BG42" i="41" s="1"/>
  <c r="BT89" i="38"/>
  <c r="BG89" i="41" s="1"/>
  <c r="BT55" i="38"/>
  <c r="BG55" i="41" s="1"/>
  <c r="BT54" i="38"/>
  <c r="BG54" i="41" s="1"/>
  <c r="BT72" i="38"/>
  <c r="BG72" i="41" s="1"/>
  <c r="BT65" i="38"/>
  <c r="BG65" i="41" s="1"/>
  <c r="BT67" i="38"/>
  <c r="BG67" i="41" s="1"/>
  <c r="BT66" i="38"/>
  <c r="BG66" i="41" s="1"/>
  <c r="BT68" i="38"/>
  <c r="BG68" i="41" s="1"/>
  <c r="BT103" i="38"/>
  <c r="BG103" i="41" s="1"/>
  <c r="BW42" i="38"/>
  <c r="BR43" i="38" s="1"/>
  <c r="BH43" i="41" s="1"/>
  <c r="CD74" i="38"/>
  <c r="BN74" i="41" s="1"/>
  <c r="BW75" i="38"/>
  <c r="BR76" i="38" s="1"/>
  <c r="BH76" i="41" s="1"/>
  <c r="CC46" i="38"/>
  <c r="BM46" i="41" s="1"/>
  <c r="CD99" i="38"/>
  <c r="BN99" i="41" s="1"/>
  <c r="CC70" i="38"/>
  <c r="BM70" i="41" s="1"/>
  <c r="CJ41" i="38"/>
  <c r="BR41" i="41" s="1"/>
  <c r="CF75" i="38"/>
  <c r="CJ75" i="38"/>
  <c r="BR75" i="41" s="1"/>
  <c r="CC56" i="38"/>
  <c r="BM56" i="41" s="1"/>
  <c r="CK44" i="38"/>
  <c r="BS44" i="41" s="1"/>
  <c r="CD59" i="38"/>
  <c r="BN59" i="41" s="1"/>
  <c r="CJ104" i="38"/>
  <c r="BR104" i="41" s="1"/>
  <c r="AO89" i="41"/>
  <c r="AW89" i="41" s="1"/>
  <c r="BW89" i="38"/>
  <c r="BR90" i="38" s="1"/>
  <c r="BH90" i="41" s="1"/>
  <c r="BW92" i="38"/>
  <c r="BR93" i="38" s="1"/>
  <c r="BH93" i="41" s="1"/>
  <c r="CJ46" i="38"/>
  <c r="CL46" i="38" s="1"/>
  <c r="BT47" i="38"/>
  <c r="BG47" i="41" s="1"/>
  <c r="BT43" i="38"/>
  <c r="BG43" i="41" s="1"/>
  <c r="BT49" i="38"/>
  <c r="BG49" i="41" s="1"/>
  <c r="BT78" i="38"/>
  <c r="BG78" i="41" s="1"/>
  <c r="BT94" i="38"/>
  <c r="BG94" i="41" s="1"/>
  <c r="BT90" i="38"/>
  <c r="BG90" i="41" s="1"/>
  <c r="BT59" i="38"/>
  <c r="BG59" i="41" s="1"/>
  <c r="BT92" i="38"/>
  <c r="BG92" i="41" s="1"/>
  <c r="BT39" i="38"/>
  <c r="BG39" i="41" s="1"/>
  <c r="BT38" i="38"/>
  <c r="BG38" i="41" s="1"/>
  <c r="BT56" i="38"/>
  <c r="BG56" i="41" s="1"/>
  <c r="BT45" i="38"/>
  <c r="BG45" i="41" s="1"/>
  <c r="BT51" i="38"/>
  <c r="BG51" i="41" s="1"/>
  <c r="BT50" i="38"/>
  <c r="BG50" i="41" s="1"/>
  <c r="BT36" i="38"/>
  <c r="BG36" i="41" s="1"/>
  <c r="BT110" i="38"/>
  <c r="BG110" i="41" s="1"/>
  <c r="AO42" i="41"/>
  <c r="AW42" i="41" s="1"/>
  <c r="CK74" i="38"/>
  <c r="BS74" i="41" s="1"/>
  <c r="AO75" i="41"/>
  <c r="AW75" i="41" s="1"/>
  <c r="BW46" i="38"/>
  <c r="BR47" i="38" s="1"/>
  <c r="CF99" i="38"/>
  <c r="CK99" i="38"/>
  <c r="BS99" i="41" s="1"/>
  <c r="CK69" i="38"/>
  <c r="BS69" i="41" s="1"/>
  <c r="CF89" i="38"/>
  <c r="CF56" i="38"/>
  <c r="CJ42" i="38"/>
  <c r="CL42" i="38" s="1"/>
  <c r="CF106" i="38"/>
  <c r="CK105" i="38"/>
  <c r="BS105" i="41" s="1"/>
  <c r="CF105" i="38"/>
  <c r="CC77" i="38"/>
  <c r="BM77" i="41" s="1"/>
  <c r="CJ76" i="38"/>
  <c r="CL76" i="38" s="1"/>
  <c r="CF76" i="38"/>
  <c r="AO77" i="41"/>
  <c r="AW77" i="41" s="1"/>
  <c r="AO61" i="41"/>
  <c r="AW61" i="41" s="1"/>
  <c r="CF60" i="38"/>
  <c r="CD60" i="38"/>
  <c r="BN60" i="41" s="1"/>
  <c r="CJ102" i="38"/>
  <c r="BR102" i="41" s="1"/>
  <c r="AO103" i="41"/>
  <c r="AW103" i="41" s="1"/>
  <c r="CK102" i="38"/>
  <c r="BS102" i="41" s="1"/>
  <c r="CF102" i="38"/>
  <c r="CF91" i="38"/>
  <c r="CK90" i="38"/>
  <c r="BS90" i="41" s="1"/>
  <c r="CD90" i="38"/>
  <c r="BN90" i="41" s="1"/>
  <c r="CF95" i="38"/>
  <c r="CJ95" i="38"/>
  <c r="CL95" i="38" s="1"/>
  <c r="CF70" i="38"/>
  <c r="CD70" i="38"/>
  <c r="BN70" i="41" s="1"/>
  <c r="CJ83" i="38"/>
  <c r="BR83" i="41" s="1"/>
  <c r="CF78" i="38"/>
  <c r="CD47" i="38"/>
  <c r="BN47" i="41" s="1"/>
  <c r="CF47" i="38"/>
  <c r="CD48" i="38"/>
  <c r="BN48" i="41" s="1"/>
  <c r="BW49" i="38"/>
  <c r="BR50" i="38" s="1"/>
  <c r="BH50" i="41" s="1"/>
  <c r="CD108" i="38"/>
  <c r="BN108" i="41" s="1"/>
  <c r="CF108" i="38"/>
  <c r="CD92" i="38"/>
  <c r="BN92" i="41" s="1"/>
  <c r="CF92" i="38"/>
  <c r="CF49" i="38"/>
  <c r="CD77" i="38"/>
  <c r="BN77" i="41" s="1"/>
  <c r="CJ97" i="38"/>
  <c r="BR97" i="41" s="1"/>
  <c r="CD97" i="38"/>
  <c r="BN97" i="41" s="1"/>
  <c r="CJ84" i="38"/>
  <c r="BR84" i="41" s="1"/>
  <c r="CJ55" i="38"/>
  <c r="BR55" i="41" s="1"/>
  <c r="CJ64" i="38"/>
  <c r="BR64" i="41" s="1"/>
  <c r="CK83" i="38"/>
  <c r="BS83" i="41" s="1"/>
  <c r="BW84" i="38"/>
  <c r="BR85" i="38" s="1"/>
  <c r="CK65" i="38"/>
  <c r="BS65" i="41" s="1"/>
  <c r="CJ90" i="38"/>
  <c r="BR90" i="41" s="1"/>
  <c r="AO53" i="41"/>
  <c r="AW53" i="41" s="1"/>
  <c r="AO96" i="41"/>
  <c r="AW96" i="41" s="1"/>
  <c r="CJ103" i="38"/>
  <c r="CC48" i="38"/>
  <c r="CE48" i="38" s="1"/>
  <c r="BO48" i="41" s="1"/>
  <c r="CC71" i="38"/>
  <c r="BM71" i="41" s="1"/>
  <c r="CJ93" i="38"/>
  <c r="BR93" i="41" s="1"/>
  <c r="CJ82" i="38"/>
  <c r="BR82" i="41" s="1"/>
  <c r="AO49" i="41"/>
  <c r="AW49" i="41" s="1"/>
  <c r="CC49" i="38"/>
  <c r="BM49" i="41" s="1"/>
  <c r="CC41" i="38"/>
  <c r="CE41" i="38" s="1"/>
  <c r="BO41" i="41" s="1"/>
  <c r="CK40" i="38"/>
  <c r="BS40" i="41" s="1"/>
  <c r="CJ98" i="38"/>
  <c r="CL98" i="38" s="1"/>
  <c r="AO34" i="41"/>
  <c r="AW34" i="41" s="1"/>
  <c r="CJ30" i="38"/>
  <c r="BR30" i="41" s="1"/>
  <c r="CC106" i="38"/>
  <c r="BM106" i="41" s="1"/>
  <c r="CJ106" i="38"/>
  <c r="CC61" i="38"/>
  <c r="BM61" i="41" s="1"/>
  <c r="CF33" i="38"/>
  <c r="BW34" i="38"/>
  <c r="BR35" i="38" s="1"/>
  <c r="BH35" i="41" s="1"/>
  <c r="CJ34" i="38"/>
  <c r="BR34" i="41" s="1"/>
  <c r="CF34" i="38"/>
  <c r="CD87" i="38"/>
  <c r="BN87" i="41" s="1"/>
  <c r="AO88" i="41"/>
  <c r="AW88" i="41" s="1"/>
  <c r="CK87" i="38"/>
  <c r="BS87" i="41" s="1"/>
  <c r="CC52" i="38"/>
  <c r="BM52" i="41" s="1"/>
  <c r="BW52" i="38"/>
  <c r="BR53" i="38" s="1"/>
  <c r="BH53" i="41" s="1"/>
  <c r="AO52" i="41"/>
  <c r="AW52" i="41" s="1"/>
  <c r="CD51" i="38"/>
  <c r="BN51" i="41" s="1"/>
  <c r="CF54" i="38"/>
  <c r="BW55" i="38"/>
  <c r="BR56" i="38" s="1"/>
  <c r="CD54" i="38"/>
  <c r="BN54" i="41" s="1"/>
  <c r="CK56" i="38"/>
  <c r="BS56" i="41" s="1"/>
  <c r="AO57" i="41"/>
  <c r="AW57" i="41" s="1"/>
  <c r="CC57" i="38"/>
  <c r="BM57" i="41" s="1"/>
  <c r="CJ56" i="38"/>
  <c r="BR56" i="41" s="1"/>
  <c r="CK79" i="38"/>
  <c r="BS79" i="41" s="1"/>
  <c r="CF79" i="38"/>
  <c r="CJ80" i="38"/>
  <c r="CL80" i="38" s="1"/>
  <c r="AO80" i="41"/>
  <c r="AW80" i="41" s="1"/>
  <c r="CJ79" i="38"/>
  <c r="BR79" i="41" s="1"/>
  <c r="CD53" i="38"/>
  <c r="BN53" i="41" s="1"/>
  <c r="CC54" i="38"/>
  <c r="BM54" i="41" s="1"/>
  <c r="BW43" i="38"/>
  <c r="BR44" i="38" s="1"/>
  <c r="BH44" i="41" s="1"/>
  <c r="CF42" i="38"/>
  <c r="CC43" i="38"/>
  <c r="BM43" i="41" s="1"/>
  <c r="CJ43" i="38"/>
  <c r="BR43" i="41" s="1"/>
  <c r="CJ72" i="38"/>
  <c r="CK71" i="38"/>
  <c r="BS71" i="41" s="1"/>
  <c r="CD101" i="38"/>
  <c r="BN101" i="41" s="1"/>
  <c r="CC102" i="38"/>
  <c r="BM102" i="41" s="1"/>
  <c r="AO66" i="41"/>
  <c r="AW66" i="41" s="1"/>
  <c r="CJ65" i="38"/>
  <c r="BR65" i="41" s="1"/>
  <c r="CK52" i="38"/>
  <c r="BS52" i="41" s="1"/>
  <c r="CC53" i="38"/>
  <c r="BM53" i="41" s="1"/>
  <c r="CJ40" i="38"/>
  <c r="BR40" i="41" s="1"/>
  <c r="CD40" i="38"/>
  <c r="BN40" i="41" s="1"/>
  <c r="BW109" i="38"/>
  <c r="BR110" i="38" s="1"/>
  <c r="BH110" i="41" s="1"/>
  <c r="CK108" i="38"/>
  <c r="BS108" i="41" s="1"/>
  <c r="BW93" i="38"/>
  <c r="BR94" i="38" s="1"/>
  <c r="CJ49" i="38"/>
  <c r="BR49" i="41" s="1"/>
  <c r="CJ77" i="38"/>
  <c r="BR77" i="41" s="1"/>
  <c r="CF97" i="38"/>
  <c r="CC85" i="38"/>
  <c r="BM85" i="41" s="1"/>
  <c r="CK84" i="38"/>
  <c r="BS84" i="41" s="1"/>
  <c r="CD71" i="38"/>
  <c r="BN71" i="41" s="1"/>
  <c r="AO72" i="41"/>
  <c r="AW72" i="41" s="1"/>
  <c r="CJ101" i="38"/>
  <c r="AO102" i="41"/>
  <c r="AW102" i="41" s="1"/>
  <c r="CK64" i="38"/>
  <c r="BS64" i="41" s="1"/>
  <c r="BW65" i="38"/>
  <c r="BR66" i="38" s="1"/>
  <c r="CC84" i="38"/>
  <c r="BM84" i="41" s="1"/>
  <c r="CC66" i="38"/>
  <c r="CE66" i="38" s="1"/>
  <c r="BO66" i="41" s="1"/>
  <c r="CC91" i="38"/>
  <c r="BM91" i="41" s="1"/>
  <c r="BW91" i="38"/>
  <c r="BR92" i="38" s="1"/>
  <c r="CF52" i="38"/>
  <c r="CF96" i="38"/>
  <c r="CC96" i="38"/>
  <c r="BM96" i="41" s="1"/>
  <c r="BW96" i="38"/>
  <c r="BR97" i="38" s="1"/>
  <c r="CJ47" i="38"/>
  <c r="CL47" i="38" s="1"/>
  <c r="AO48" i="41"/>
  <c r="AW48" i="41" s="1"/>
  <c r="CJ91" i="38"/>
  <c r="CL91" i="38" s="1"/>
  <c r="AO71" i="41"/>
  <c r="AW71" i="41" s="1"/>
  <c r="CD82" i="38"/>
  <c r="BN82" i="41" s="1"/>
  <c r="CC83" i="38"/>
  <c r="BM83" i="41" s="1"/>
  <c r="CK48" i="38"/>
  <c r="BS48" i="41" s="1"/>
  <c r="BW54" i="38"/>
  <c r="BR55" i="38" s="1"/>
  <c r="BH55" i="41" s="1"/>
  <c r="AO41" i="41"/>
  <c r="AW41" i="41" s="1"/>
  <c r="CD33" i="38"/>
  <c r="BN33" i="41" s="1"/>
  <c r="CJ66" i="38"/>
  <c r="CL66" i="38" s="1"/>
  <c r="CF61" i="38"/>
  <c r="CD105" i="38"/>
  <c r="BN105" i="41" s="1"/>
  <c r="CD42" i="38"/>
  <c r="BN42" i="41" s="1"/>
  <c r="CF87" i="38"/>
  <c r="CF80" i="38"/>
  <c r="CJ51" i="38"/>
  <c r="CL51" i="38" s="1"/>
  <c r="BW77" i="38"/>
  <c r="BR78" i="38" s="1"/>
  <c r="BH78" i="41" s="1"/>
  <c r="BI78" i="41" s="1"/>
  <c r="CJ60" i="38"/>
  <c r="CL60" i="38" s="1"/>
  <c r="CJ54" i="38"/>
  <c r="BR54" i="41" s="1"/>
  <c r="CD56" i="38"/>
  <c r="BN56" i="41" s="1"/>
  <c r="CD102" i="38"/>
  <c r="BN102" i="41" s="1"/>
  <c r="BT93" i="38"/>
  <c r="BG93" i="41" s="1"/>
  <c r="BT62" i="38"/>
  <c r="BG62" i="41" s="1"/>
  <c r="BI62" i="41" s="1"/>
  <c r="BT53" i="38"/>
  <c r="BG53" i="41" s="1"/>
  <c r="BT44" i="38"/>
  <c r="BG44" i="41" s="1"/>
  <c r="BT95" i="38"/>
  <c r="BG95" i="41" s="1"/>
  <c r="BT46" i="38"/>
  <c r="BG46" i="41" s="1"/>
  <c r="BT79" i="38"/>
  <c r="BG79" i="41" s="1"/>
  <c r="BT77" i="38"/>
  <c r="BG77" i="41" s="1"/>
  <c r="BT33" i="38"/>
  <c r="BG33" i="41" s="1"/>
  <c r="BI33" i="41" s="1"/>
  <c r="BT60" i="38"/>
  <c r="BG60" i="41" s="1"/>
  <c r="BT61" i="38"/>
  <c r="BG61" i="41" s="1"/>
  <c r="BT71" i="38"/>
  <c r="BG71" i="41" s="1"/>
  <c r="BT86" i="38"/>
  <c r="BG86" i="41" s="1"/>
  <c r="BT40" i="38"/>
  <c r="BG40" i="41" s="1"/>
  <c r="BT41" i="38"/>
  <c r="BG41" i="41" s="1"/>
  <c r="BT83" i="38"/>
  <c r="BG83" i="41" s="1"/>
  <c r="BT98" i="38"/>
  <c r="BG98" i="41" s="1"/>
  <c r="BT34" i="38"/>
  <c r="BG34" i="41" s="1"/>
  <c r="BT52" i="38"/>
  <c r="BG52" i="41" s="1"/>
  <c r="BT107" i="38"/>
  <c r="BG107" i="41" s="1"/>
  <c r="CK41" i="38"/>
  <c r="BS41" i="41" s="1"/>
  <c r="AO46" i="41"/>
  <c r="AW46" i="41" s="1"/>
  <c r="CJ59" i="38"/>
  <c r="CL59" i="38" s="1"/>
  <c r="CF58" i="38"/>
  <c r="BW59" i="38"/>
  <c r="BR60" i="38" s="1"/>
  <c r="BH60" i="41" s="1"/>
  <c r="CD36" i="38"/>
  <c r="BN36" i="41" s="1"/>
  <c r="AO37" i="41"/>
  <c r="AW37" i="41" s="1"/>
  <c r="CJ36" i="38"/>
  <c r="CL36" i="38" s="1"/>
  <c r="AO59" i="41"/>
  <c r="AW59" i="41" s="1"/>
  <c r="CC59" i="38"/>
  <c r="BM59" i="41" s="1"/>
  <c r="CJ37" i="38"/>
  <c r="BR37" i="41" s="1"/>
  <c r="BW37" i="38"/>
  <c r="BR38" i="38" s="1"/>
  <c r="BH38" i="41" s="1"/>
  <c r="CF59" i="38"/>
  <c r="CK58" i="38"/>
  <c r="BS58" i="41" s="1"/>
  <c r="W114" i="45"/>
  <c r="T115" i="45"/>
  <c r="AE65" i="38"/>
  <c r="AF21" i="38"/>
  <c r="AG21" i="38" s="1"/>
  <c r="AH21" i="38" s="1"/>
  <c r="BH103" i="41"/>
  <c r="CE68" i="38"/>
  <c r="BO68" i="41" s="1"/>
  <c r="CE21" i="38"/>
  <c r="BO21" i="41" s="1"/>
  <c r="IF101" i="38"/>
  <c r="DK101" i="41" s="1"/>
  <c r="IF105" i="38"/>
  <c r="DK105" i="41" s="1"/>
  <c r="IF107" i="38"/>
  <c r="DK107" i="41" s="1"/>
  <c r="IF88" i="38"/>
  <c r="DK88" i="41" s="1"/>
  <c r="IF98" i="38"/>
  <c r="DK98" i="41" s="1"/>
  <c r="IF92" i="38"/>
  <c r="DK92" i="41" s="1"/>
  <c r="IF90" i="38"/>
  <c r="DK90" i="41" s="1"/>
  <c r="IF108" i="38"/>
  <c r="DK108" i="41" s="1"/>
  <c r="IF104" i="38"/>
  <c r="DK104" i="41" s="1"/>
  <c r="IF96" i="38"/>
  <c r="DK96" i="41" s="1"/>
  <c r="IF97" i="38"/>
  <c r="DK97" i="41" s="1"/>
  <c r="IF95" i="38"/>
  <c r="DK95" i="41" s="1"/>
  <c r="IF99" i="38"/>
  <c r="DK99" i="41" s="1"/>
  <c r="IF103" i="38"/>
  <c r="DK103" i="41" s="1"/>
  <c r="IF102" i="38"/>
  <c r="DK102" i="41" s="1"/>
  <c r="IF86" i="38"/>
  <c r="DK86" i="41" s="1"/>
  <c r="IF93" i="38"/>
  <c r="DK93" i="41" s="1"/>
  <c r="IF109" i="38"/>
  <c r="DK109" i="41" s="1"/>
  <c r="IF85" i="38"/>
  <c r="IF91" i="38"/>
  <c r="DK91" i="41" s="1"/>
  <c r="IF87" i="38"/>
  <c r="DK87" i="41" s="1"/>
  <c r="IF106" i="38"/>
  <c r="DK106" i="41" s="1"/>
  <c r="IF89" i="38"/>
  <c r="DK89" i="41" s="1"/>
  <c r="IF110" i="38"/>
  <c r="DK110" i="41" s="1"/>
  <c r="IF94" i="38"/>
  <c r="DK94" i="41" s="1"/>
  <c r="IF100" i="38"/>
  <c r="DK100" i="41" s="1"/>
  <c r="GA101" i="38"/>
  <c r="GA109" i="38"/>
  <c r="GA106" i="38"/>
  <c r="GA64" i="38"/>
  <c r="GA57" i="38"/>
  <c r="GA39" i="38"/>
  <c r="GA53" i="38"/>
  <c r="GA33" i="38"/>
  <c r="GA28" i="38"/>
  <c r="GA75" i="38"/>
  <c r="GA61" i="38"/>
  <c r="GA98" i="38"/>
  <c r="GA74" i="38"/>
  <c r="GA46" i="38"/>
  <c r="GA47" i="38"/>
  <c r="GA90" i="38"/>
  <c r="GA44" i="38"/>
  <c r="GA86" i="38"/>
  <c r="GA34" i="38"/>
  <c r="GA36" i="38"/>
  <c r="GA66" i="38"/>
  <c r="GA110" i="38"/>
  <c r="GA104" i="38"/>
  <c r="GA43" i="38"/>
  <c r="GA32" i="38"/>
  <c r="GA85" i="38"/>
  <c r="GA56" i="38"/>
  <c r="GA62" i="38"/>
  <c r="GA58" i="38"/>
  <c r="GA84" i="38"/>
  <c r="GA87" i="38"/>
  <c r="GA80" i="38"/>
  <c r="GA77" i="38"/>
  <c r="GA63" i="38"/>
  <c r="GA92" i="38"/>
  <c r="GA40" i="38"/>
  <c r="GA30" i="38"/>
  <c r="GA81" i="38"/>
  <c r="GA96" i="38"/>
  <c r="GA65" i="38"/>
  <c r="GA42" i="38"/>
  <c r="GA107" i="38"/>
  <c r="GA51" i="38"/>
  <c r="GA73" i="38"/>
  <c r="GA89" i="38"/>
  <c r="GA48" i="38"/>
  <c r="GA82" i="38"/>
  <c r="GA55" i="38"/>
  <c r="GA35" i="38"/>
  <c r="GA41" i="38"/>
  <c r="GA29" i="38"/>
  <c r="GA68" i="38"/>
  <c r="GA108" i="38"/>
  <c r="GA59" i="38"/>
  <c r="GA52" i="38"/>
  <c r="GA69" i="38"/>
  <c r="GA31" i="38"/>
  <c r="GA67" i="38"/>
  <c r="GA99" i="38"/>
  <c r="GA100" i="38"/>
  <c r="GA49" i="38"/>
  <c r="GA95" i="38"/>
  <c r="GA79" i="38"/>
  <c r="GA83" i="38"/>
  <c r="GA78" i="38"/>
  <c r="GA54" i="38"/>
  <c r="GA102" i="38"/>
  <c r="GA72" i="38"/>
  <c r="GA37" i="38"/>
  <c r="GA50" i="38"/>
  <c r="GA91" i="38"/>
  <c r="GA76" i="38"/>
  <c r="GA103" i="38"/>
  <c r="GA38" i="38"/>
  <c r="GA60" i="38"/>
  <c r="GA70" i="38"/>
  <c r="GA88" i="38"/>
  <c r="GA45" i="38"/>
  <c r="GA97" i="38"/>
  <c r="GA93" i="38"/>
  <c r="GA105" i="38"/>
  <c r="GA94" i="38"/>
  <c r="GA71" i="38"/>
  <c r="IL91" i="38"/>
  <c r="IL94" i="38"/>
  <c r="IL110" i="38"/>
  <c r="IL102" i="38"/>
  <c r="IL97" i="38"/>
  <c r="IL96" i="38"/>
  <c r="IL93" i="38"/>
  <c r="IL95" i="38"/>
  <c r="IL101" i="38"/>
  <c r="IL105" i="38"/>
  <c r="IL106" i="38"/>
  <c r="IL99" i="38"/>
  <c r="IL100" i="38"/>
  <c r="IL103" i="38"/>
  <c r="IL92" i="38"/>
  <c r="IL104" i="38"/>
  <c r="IL107" i="38"/>
  <c r="IL98" i="38"/>
  <c r="IL109" i="38"/>
  <c r="IL108" i="38"/>
  <c r="HN110" i="38"/>
  <c r="HN105" i="38"/>
  <c r="HN67" i="38"/>
  <c r="HN79" i="38"/>
  <c r="HN98" i="38"/>
  <c r="HN95" i="38"/>
  <c r="HN75" i="38"/>
  <c r="HN76" i="38"/>
  <c r="HN82" i="38"/>
  <c r="HN83" i="38"/>
  <c r="HN93" i="38"/>
  <c r="HN101" i="38"/>
  <c r="HN104" i="38"/>
  <c r="HN81" i="38"/>
  <c r="HN74" i="38"/>
  <c r="HN70" i="38"/>
  <c r="HN68" i="38"/>
  <c r="HN92" i="38"/>
  <c r="HN73" i="38"/>
  <c r="HN87" i="38"/>
  <c r="HN94" i="38"/>
  <c r="HN106" i="38"/>
  <c r="HN96" i="38"/>
  <c r="HN91" i="38"/>
  <c r="HN97" i="38"/>
  <c r="HN99" i="38"/>
  <c r="HN103" i="38"/>
  <c r="HN107" i="38"/>
  <c r="HN90" i="38"/>
  <c r="HN69" i="38"/>
  <c r="HN80" i="38"/>
  <c r="HN71" i="38"/>
  <c r="HN102" i="38"/>
  <c r="HN100" i="38"/>
  <c r="HN84" i="38"/>
  <c r="HN72" i="38"/>
  <c r="HN77" i="38"/>
  <c r="HN86" i="38"/>
  <c r="HN109" i="38"/>
  <c r="HN88" i="38"/>
  <c r="HN85" i="38"/>
  <c r="HN89" i="38"/>
  <c r="HN108" i="38"/>
  <c r="HN78" i="38"/>
  <c r="HK101" i="38"/>
  <c r="HK105" i="38"/>
  <c r="HK104" i="38"/>
  <c r="HK110" i="38"/>
  <c r="HK103" i="38"/>
  <c r="HK106" i="38"/>
  <c r="HK108" i="38"/>
  <c r="HK64" i="38"/>
  <c r="HK71" i="38"/>
  <c r="HK88" i="38"/>
  <c r="HK73" i="38"/>
  <c r="HK66" i="38"/>
  <c r="HK76" i="38"/>
  <c r="HK87" i="38"/>
  <c r="HK93" i="38"/>
  <c r="HK83" i="38"/>
  <c r="HK102" i="38"/>
  <c r="HK67" i="38"/>
  <c r="HK78" i="38"/>
  <c r="HK95" i="38"/>
  <c r="HK92" i="38"/>
  <c r="HK81" i="38"/>
  <c r="HK72" i="38"/>
  <c r="HK82" i="38"/>
  <c r="HK86" i="38"/>
  <c r="HK80" i="38"/>
  <c r="HK109" i="38"/>
  <c r="HK79" i="38"/>
  <c r="HK96" i="38"/>
  <c r="HK94" i="38"/>
  <c r="HK84" i="38"/>
  <c r="HK98" i="38"/>
  <c r="HK91" i="38"/>
  <c r="HK70" i="38"/>
  <c r="HK99" i="38"/>
  <c r="HK75" i="38"/>
  <c r="HK77" i="38"/>
  <c r="HK107" i="38"/>
  <c r="HK89" i="38"/>
  <c r="HK100" i="38"/>
  <c r="HK90" i="38"/>
  <c r="HK69" i="38"/>
  <c r="HK97" i="38"/>
  <c r="HK65" i="38"/>
  <c r="HK74" i="38"/>
  <c r="HK68" i="38"/>
  <c r="HK85" i="38"/>
  <c r="HC109" i="38"/>
  <c r="HC107" i="38"/>
  <c r="HC101" i="38"/>
  <c r="HC104" i="38"/>
  <c r="HC105" i="38"/>
  <c r="HC103" i="38"/>
  <c r="HC68" i="38"/>
  <c r="HC94" i="38"/>
  <c r="HC62" i="38"/>
  <c r="HC72" i="38"/>
  <c r="HC87" i="38"/>
  <c r="HC70" i="38"/>
  <c r="HC96" i="38"/>
  <c r="HC91" i="38"/>
  <c r="HC60" i="38"/>
  <c r="HC88" i="38"/>
  <c r="HC86" i="38"/>
  <c r="HC102" i="38"/>
  <c r="HC56" i="38"/>
  <c r="HC83" i="38"/>
  <c r="HC69" i="38"/>
  <c r="HC73" i="38"/>
  <c r="HC90" i="38"/>
  <c r="HC74" i="38"/>
  <c r="HC100" i="38"/>
  <c r="HC59" i="38"/>
  <c r="HC84" i="38"/>
  <c r="HC95" i="38"/>
  <c r="HC65" i="38"/>
  <c r="HC108" i="38"/>
  <c r="HC79" i="38"/>
  <c r="HC66" i="38"/>
  <c r="HC75" i="38"/>
  <c r="HC81" i="38"/>
  <c r="HC63" i="38"/>
  <c r="HC110" i="38"/>
  <c r="HC71" i="38"/>
  <c r="HC98" i="38"/>
  <c r="HC78" i="38"/>
  <c r="HC97" i="38"/>
  <c r="HC99" i="38"/>
  <c r="HC77" i="38"/>
  <c r="HC76" i="38"/>
  <c r="HC89" i="38"/>
  <c r="HC57" i="38"/>
  <c r="HC85" i="38"/>
  <c r="HC64" i="38"/>
  <c r="HC58" i="38"/>
  <c r="HC93" i="38"/>
  <c r="HC61" i="38"/>
  <c r="HC67" i="38"/>
  <c r="HC106" i="38"/>
  <c r="HC92" i="38"/>
  <c r="HC80" i="38"/>
  <c r="HC82" i="38"/>
  <c r="EL105" i="38"/>
  <c r="EL103" i="38"/>
  <c r="EL101" i="38"/>
  <c r="EL104" i="38"/>
  <c r="EL106" i="38"/>
  <c r="EL107" i="38"/>
  <c r="EL110" i="38"/>
  <c r="EL64" i="38"/>
  <c r="EL76" i="38"/>
  <c r="EL97" i="38"/>
  <c r="EL78" i="38"/>
  <c r="EL98" i="38"/>
  <c r="EL54" i="38"/>
  <c r="EL80" i="38"/>
  <c r="EL87" i="38"/>
  <c r="EL82" i="38"/>
  <c r="EL74" i="38"/>
  <c r="EL55" i="38"/>
  <c r="EL59" i="38"/>
  <c r="EL102" i="38"/>
  <c r="EL99" i="38"/>
  <c r="EL91" i="38"/>
  <c r="EL71" i="38"/>
  <c r="EL85" i="38"/>
  <c r="EL77" i="38"/>
  <c r="EL66" i="38"/>
  <c r="EL57" i="38"/>
  <c r="EL69" i="38"/>
  <c r="EL79" i="38"/>
  <c r="EL56" i="38"/>
  <c r="EL63" i="38"/>
  <c r="EL68" i="38"/>
  <c r="EL73" i="38"/>
  <c r="EL109" i="38"/>
  <c r="EL84" i="38"/>
  <c r="EL83" i="38"/>
  <c r="EL53" i="38"/>
  <c r="EL92" i="38"/>
  <c r="EL52" i="38"/>
  <c r="EL100" i="38"/>
  <c r="EL72" i="38"/>
  <c r="EL51" i="38"/>
  <c r="EL65" i="38"/>
  <c r="EL88" i="38"/>
  <c r="EL94" i="38"/>
  <c r="EL67" i="38"/>
  <c r="EL93" i="38"/>
  <c r="EL70" i="38"/>
  <c r="EL81" i="38"/>
  <c r="EL95" i="38"/>
  <c r="EL60" i="38"/>
  <c r="EL58" i="38"/>
  <c r="EL86" i="38"/>
  <c r="EL89" i="38"/>
  <c r="EL96" i="38"/>
  <c r="EL62" i="38"/>
  <c r="EL61" i="38"/>
  <c r="EL108" i="38"/>
  <c r="EL50" i="38"/>
  <c r="EL75" i="38"/>
  <c r="EL90" i="38"/>
  <c r="HI106" i="38"/>
  <c r="HI104" i="38"/>
  <c r="HI87" i="38"/>
  <c r="HI63" i="38"/>
  <c r="HI83" i="38"/>
  <c r="HI67" i="38"/>
  <c r="HI99" i="38"/>
  <c r="HI68" i="38"/>
  <c r="HI84" i="38"/>
  <c r="HI98" i="38"/>
  <c r="HI85" i="38"/>
  <c r="HI108" i="38"/>
  <c r="HI107" i="38"/>
  <c r="HI102" i="38"/>
  <c r="HI89" i="38"/>
  <c r="HI72" i="38"/>
  <c r="HI71" i="38"/>
  <c r="HI74" i="38"/>
  <c r="HI64" i="38"/>
  <c r="HI86" i="38"/>
  <c r="HI94" i="38"/>
  <c r="HI97" i="38"/>
  <c r="HI66" i="38"/>
  <c r="HI76" i="38"/>
  <c r="HI105" i="38"/>
  <c r="HI93" i="38"/>
  <c r="HI95" i="38"/>
  <c r="HI69" i="38"/>
  <c r="HI78" i="38"/>
  <c r="HI62" i="38"/>
  <c r="HI103" i="38"/>
  <c r="HI80" i="38"/>
  <c r="HI77" i="38"/>
  <c r="HI88" i="38"/>
  <c r="HI96" i="38"/>
  <c r="HI92" i="38"/>
  <c r="HI101" i="38"/>
  <c r="HI90" i="38"/>
  <c r="HI100" i="38"/>
  <c r="HI73" i="38"/>
  <c r="HI79" i="38"/>
  <c r="HI75" i="38"/>
  <c r="HI91" i="38"/>
  <c r="HI109" i="38"/>
  <c r="HI65" i="38"/>
  <c r="HI70" i="38"/>
  <c r="HI110" i="38"/>
  <c r="HI82" i="38"/>
  <c r="HI81" i="38"/>
  <c r="HM97" i="38"/>
  <c r="HM102" i="38"/>
  <c r="HM103" i="38"/>
  <c r="HM68" i="38"/>
  <c r="HM91" i="38"/>
  <c r="HM84" i="38"/>
  <c r="HM83" i="38"/>
  <c r="HM76" i="38"/>
  <c r="HM78" i="38"/>
  <c r="HM72" i="38"/>
  <c r="HM100" i="38"/>
  <c r="HM73" i="38"/>
  <c r="HM87" i="38"/>
  <c r="HM101" i="38"/>
  <c r="HM105" i="38"/>
  <c r="HM108" i="38"/>
  <c r="HM70" i="38"/>
  <c r="HM74" i="38"/>
  <c r="HM96" i="38"/>
  <c r="HM95" i="38"/>
  <c r="HM81" i="38"/>
  <c r="HM66" i="38"/>
  <c r="HM93" i="38"/>
  <c r="HM94" i="38"/>
  <c r="HM109" i="38"/>
  <c r="HM88" i="38"/>
  <c r="HM82" i="38"/>
  <c r="HM92" i="38"/>
  <c r="HM104" i="38"/>
  <c r="HM69" i="38"/>
  <c r="HM90" i="38"/>
  <c r="HM89" i="38"/>
  <c r="HM98" i="38"/>
  <c r="HM110" i="38"/>
  <c r="HM75" i="38"/>
  <c r="HM67" i="38"/>
  <c r="HM77" i="38"/>
  <c r="HM106" i="38"/>
  <c r="HM80" i="38"/>
  <c r="HM79" i="38"/>
  <c r="HM107" i="38"/>
  <c r="HM99" i="38"/>
  <c r="HM86" i="38"/>
  <c r="HM71" i="38"/>
  <c r="HM85" i="38"/>
  <c r="ID110" i="38"/>
  <c r="ID109" i="38"/>
  <c r="ID104" i="38"/>
  <c r="ID89" i="38"/>
  <c r="ID99" i="38"/>
  <c r="ID86" i="38"/>
  <c r="ID87" i="38"/>
  <c r="ID84" i="38"/>
  <c r="ID101" i="38"/>
  <c r="ID106" i="38"/>
  <c r="ID107" i="38"/>
  <c r="ID96" i="38"/>
  <c r="ID92" i="38"/>
  <c r="ID91" i="38"/>
  <c r="ID88" i="38"/>
  <c r="ID93" i="38"/>
  <c r="ID102" i="38"/>
  <c r="ID95" i="38"/>
  <c r="ID85" i="38"/>
  <c r="ID103" i="38"/>
  <c r="ID90" i="38"/>
  <c r="ID98" i="38"/>
  <c r="ID97" i="38"/>
  <c r="ID94" i="38"/>
  <c r="ID100" i="38"/>
  <c r="ID108" i="38"/>
  <c r="ID83" i="38"/>
  <c r="ID105" i="38"/>
  <c r="HE105" i="38"/>
  <c r="HE109" i="38"/>
  <c r="HE110" i="38"/>
  <c r="HE102" i="38"/>
  <c r="HE103" i="38"/>
  <c r="HE104" i="38"/>
  <c r="HE88" i="38"/>
  <c r="HE59" i="38"/>
  <c r="HE69" i="38"/>
  <c r="HE86" i="38"/>
  <c r="HE90" i="38"/>
  <c r="HE76" i="38"/>
  <c r="HE92" i="38"/>
  <c r="HE70" i="38"/>
  <c r="HE87" i="38"/>
  <c r="HE58" i="38"/>
  <c r="HE78" i="38"/>
  <c r="HE106" i="38"/>
  <c r="HE96" i="38"/>
  <c r="HE60" i="38"/>
  <c r="HE61" i="38"/>
  <c r="HE64" i="38"/>
  <c r="HE63" i="38"/>
  <c r="HE65" i="38"/>
  <c r="HE91" i="38"/>
  <c r="HE67" i="38"/>
  <c r="HE83" i="38"/>
  <c r="HE84" i="38"/>
  <c r="HE108" i="38"/>
  <c r="HE62" i="38"/>
  <c r="HE94" i="38"/>
  <c r="HE68" i="38"/>
  <c r="HE85" i="38"/>
  <c r="HE93" i="38"/>
  <c r="HE71" i="38"/>
  <c r="HE101" i="38"/>
  <c r="HE81" i="38"/>
  <c r="HE66" i="38"/>
  <c r="HE107" i="38"/>
  <c r="HE75" i="38"/>
  <c r="HE98" i="38"/>
  <c r="HE77" i="38"/>
  <c r="HE97" i="38"/>
  <c r="HE80" i="38"/>
  <c r="HE100" i="38"/>
  <c r="HE82" i="38"/>
  <c r="HE72" i="38"/>
  <c r="HE89" i="38"/>
  <c r="HE95" i="38"/>
  <c r="HE73" i="38"/>
  <c r="HE74" i="38"/>
  <c r="HE79" i="38"/>
  <c r="HE99" i="38"/>
  <c r="HA108" i="38"/>
  <c r="HA102" i="38"/>
  <c r="HA101" i="38"/>
  <c r="HA107" i="38"/>
  <c r="HA105" i="38"/>
  <c r="HA109" i="38"/>
  <c r="HA96" i="38"/>
  <c r="HA57" i="38"/>
  <c r="HA65" i="38"/>
  <c r="HA55" i="38"/>
  <c r="HA66" i="38"/>
  <c r="HA92" i="38"/>
  <c r="HA80" i="38"/>
  <c r="HA59" i="38"/>
  <c r="HA73" i="38"/>
  <c r="HA68" i="38"/>
  <c r="HA58" i="38"/>
  <c r="HA103" i="38"/>
  <c r="HA106" i="38"/>
  <c r="HA70" i="38"/>
  <c r="HA77" i="38"/>
  <c r="HA91" i="38"/>
  <c r="HA89" i="38"/>
  <c r="HA98" i="38"/>
  <c r="HA97" i="38"/>
  <c r="HA76" i="38"/>
  <c r="HA100" i="38"/>
  <c r="HA90" i="38"/>
  <c r="HA63" i="38"/>
  <c r="HA84" i="38"/>
  <c r="HA82" i="38"/>
  <c r="HA104" i="38"/>
  <c r="HA60" i="38"/>
  <c r="HA62" i="38"/>
  <c r="HA95" i="38"/>
  <c r="HA87" i="38"/>
  <c r="HA83" i="38"/>
  <c r="HA75" i="38"/>
  <c r="HA86" i="38"/>
  <c r="HA85" i="38"/>
  <c r="HA93" i="38"/>
  <c r="HA110" i="38"/>
  <c r="HA81" i="38"/>
  <c r="HA71" i="38"/>
  <c r="HA56" i="38"/>
  <c r="HA88" i="38"/>
  <c r="HA79" i="38"/>
  <c r="HA64" i="38"/>
  <c r="HA78" i="38"/>
  <c r="HA72" i="38"/>
  <c r="HA99" i="38"/>
  <c r="HA61" i="38"/>
  <c r="HA94" i="38"/>
  <c r="HA54" i="38"/>
  <c r="HA74" i="38"/>
  <c r="HA69" i="38"/>
  <c r="HA67" i="38"/>
  <c r="GH108" i="38"/>
  <c r="DA108" i="41" s="1"/>
  <c r="GH102" i="38"/>
  <c r="DA102" i="41" s="1"/>
  <c r="GH105" i="38"/>
  <c r="DA105" i="41" s="1"/>
  <c r="GH110" i="38"/>
  <c r="DA110" i="41" s="1"/>
  <c r="GH54" i="38"/>
  <c r="DA54" i="41" s="1"/>
  <c r="GH37" i="38"/>
  <c r="DA37" i="41" s="1"/>
  <c r="GH106" i="38"/>
  <c r="DA106" i="41" s="1"/>
  <c r="GH50" i="38"/>
  <c r="DA50" i="41" s="1"/>
  <c r="GH48" i="38"/>
  <c r="DA48" i="41" s="1"/>
  <c r="GH75" i="38"/>
  <c r="DA75" i="41" s="1"/>
  <c r="GH59" i="38"/>
  <c r="DA59" i="41" s="1"/>
  <c r="GH76" i="38"/>
  <c r="DA76" i="41" s="1"/>
  <c r="GH42" i="38"/>
  <c r="DA42" i="41" s="1"/>
  <c r="GH80" i="38"/>
  <c r="DA80" i="41" s="1"/>
  <c r="GH47" i="38"/>
  <c r="DA47" i="41" s="1"/>
  <c r="GH74" i="38"/>
  <c r="DA74" i="41" s="1"/>
  <c r="GH88" i="38"/>
  <c r="DA88" i="41" s="1"/>
  <c r="GH69" i="38"/>
  <c r="DA69" i="41" s="1"/>
  <c r="GH94" i="38"/>
  <c r="DA94" i="41" s="1"/>
  <c r="GH97" i="38"/>
  <c r="DA97" i="41" s="1"/>
  <c r="GH104" i="38"/>
  <c r="DA104" i="41" s="1"/>
  <c r="GH89" i="38"/>
  <c r="DA89" i="41" s="1"/>
  <c r="GH99" i="38"/>
  <c r="DA99" i="41" s="1"/>
  <c r="GH53" i="38"/>
  <c r="DA53" i="41" s="1"/>
  <c r="GH78" i="38"/>
  <c r="DA78" i="41" s="1"/>
  <c r="GH36" i="38"/>
  <c r="DA36" i="41" s="1"/>
  <c r="GH100" i="38"/>
  <c r="DA100" i="41" s="1"/>
  <c r="GH92" i="38"/>
  <c r="DA92" i="41" s="1"/>
  <c r="GH81" i="38"/>
  <c r="DA81" i="41" s="1"/>
  <c r="GH61" i="38"/>
  <c r="DA61" i="41" s="1"/>
  <c r="GH45" i="38"/>
  <c r="DA45" i="41" s="1"/>
  <c r="GH38" i="38"/>
  <c r="DA38" i="41" s="1"/>
  <c r="GH90" i="38"/>
  <c r="DA90" i="41" s="1"/>
  <c r="GH41" i="38"/>
  <c r="DA41" i="41" s="1"/>
  <c r="GH57" i="38"/>
  <c r="DA57" i="41" s="1"/>
  <c r="GH40" i="38"/>
  <c r="DA40" i="41" s="1"/>
  <c r="GH72" i="38"/>
  <c r="DA72" i="41" s="1"/>
  <c r="GH103" i="38"/>
  <c r="DA103" i="41" s="1"/>
  <c r="GH83" i="38"/>
  <c r="DA83" i="41" s="1"/>
  <c r="GH64" i="38"/>
  <c r="DA64" i="41" s="1"/>
  <c r="GH95" i="38"/>
  <c r="DA95" i="41" s="1"/>
  <c r="GH77" i="38"/>
  <c r="DA77" i="41" s="1"/>
  <c r="GH65" i="38"/>
  <c r="DA65" i="41" s="1"/>
  <c r="GH49" i="38"/>
  <c r="DA49" i="41" s="1"/>
  <c r="GH91" i="38"/>
  <c r="DA91" i="41" s="1"/>
  <c r="GH67" i="38"/>
  <c r="DA67" i="41" s="1"/>
  <c r="GH71" i="38"/>
  <c r="DA71" i="41" s="1"/>
  <c r="GH58" i="38"/>
  <c r="DA58" i="41" s="1"/>
  <c r="GH51" i="38"/>
  <c r="DA51" i="41" s="1"/>
  <c r="GH35" i="38"/>
  <c r="GH86" i="38"/>
  <c r="DA86" i="41" s="1"/>
  <c r="GH55" i="38"/>
  <c r="DA55" i="41" s="1"/>
  <c r="GH39" i="38"/>
  <c r="DA39" i="41" s="1"/>
  <c r="GH62" i="38"/>
  <c r="DA62" i="41" s="1"/>
  <c r="GH52" i="38"/>
  <c r="DA52" i="41" s="1"/>
  <c r="GH84" i="38"/>
  <c r="DA84" i="41" s="1"/>
  <c r="GH60" i="38"/>
  <c r="DA60" i="41" s="1"/>
  <c r="GH70" i="38"/>
  <c r="DA70" i="41" s="1"/>
  <c r="GH73" i="38"/>
  <c r="DA73" i="41" s="1"/>
  <c r="GH87" i="38"/>
  <c r="DA87" i="41" s="1"/>
  <c r="GH43" i="38"/>
  <c r="DA43" i="41" s="1"/>
  <c r="GH96" i="38"/>
  <c r="DA96" i="41" s="1"/>
  <c r="GH68" i="38"/>
  <c r="DA68" i="41" s="1"/>
  <c r="GH85" i="38"/>
  <c r="DA85" i="41" s="1"/>
  <c r="GH79" i="38"/>
  <c r="DA79" i="41" s="1"/>
  <c r="GH44" i="38"/>
  <c r="DA44" i="41" s="1"/>
  <c r="GH66" i="38"/>
  <c r="DA66" i="41" s="1"/>
  <c r="GH46" i="38"/>
  <c r="DA46" i="41" s="1"/>
  <c r="GH98" i="38"/>
  <c r="DA98" i="41" s="1"/>
  <c r="GH107" i="38"/>
  <c r="DA107" i="41" s="1"/>
  <c r="GH63" i="38"/>
  <c r="DA63" i="41" s="1"/>
  <c r="GH82" i="38"/>
  <c r="DA82" i="41" s="1"/>
  <c r="GH101" i="38"/>
  <c r="DA101" i="41" s="1"/>
  <c r="GH109" i="38"/>
  <c r="DA109" i="41" s="1"/>
  <c r="GH56" i="38"/>
  <c r="DA56" i="41" s="1"/>
  <c r="GH93" i="38"/>
  <c r="DA93" i="41" s="1"/>
  <c r="GU103" i="38"/>
  <c r="GU105" i="38"/>
  <c r="GU104" i="38"/>
  <c r="GU102" i="38"/>
  <c r="GU50" i="38"/>
  <c r="GU108" i="38"/>
  <c r="GU78" i="38"/>
  <c r="GU90" i="38"/>
  <c r="GU53" i="38"/>
  <c r="GU92" i="38"/>
  <c r="GU87" i="38"/>
  <c r="GU77" i="38"/>
  <c r="GU70" i="38"/>
  <c r="GU89" i="38"/>
  <c r="GU71" i="38"/>
  <c r="GU106" i="38"/>
  <c r="GU101" i="38"/>
  <c r="GU65" i="38"/>
  <c r="GU52" i="38"/>
  <c r="GU94" i="38"/>
  <c r="GU69" i="38"/>
  <c r="GU49" i="38"/>
  <c r="GU80" i="38"/>
  <c r="GU95" i="38"/>
  <c r="GU72" i="38"/>
  <c r="GU74" i="38"/>
  <c r="GU81" i="38"/>
  <c r="GU48" i="38"/>
  <c r="GU68" i="38"/>
  <c r="GU97" i="38"/>
  <c r="GU88" i="38"/>
  <c r="GU109" i="38"/>
  <c r="GU58" i="38"/>
  <c r="GU86" i="38"/>
  <c r="GU84" i="38"/>
  <c r="GU57" i="38"/>
  <c r="GU55" i="38"/>
  <c r="GU51" i="38"/>
  <c r="GU54" i="38"/>
  <c r="GU67" i="38"/>
  <c r="GU83" i="38"/>
  <c r="GU99" i="38"/>
  <c r="GU60" i="38"/>
  <c r="GU100" i="38"/>
  <c r="GU110" i="38"/>
  <c r="GU75" i="38"/>
  <c r="GU79" i="38"/>
  <c r="GU64" i="38"/>
  <c r="GU76" i="38"/>
  <c r="GU85" i="38"/>
  <c r="GU59" i="38"/>
  <c r="GU61" i="38"/>
  <c r="GU91" i="38"/>
  <c r="GU96" i="38"/>
  <c r="GU107" i="38"/>
  <c r="GU66" i="38"/>
  <c r="GU98" i="38"/>
  <c r="GU63" i="38"/>
  <c r="GU56" i="38"/>
  <c r="GU62" i="38"/>
  <c r="GU93" i="38"/>
  <c r="GU73" i="38"/>
  <c r="GU82" i="38"/>
  <c r="IS109" i="38"/>
  <c r="IS108" i="38"/>
  <c r="IS100" i="38"/>
  <c r="IS101" i="38"/>
  <c r="IS102" i="38"/>
  <c r="IS105" i="38"/>
  <c r="IS104" i="38"/>
  <c r="IS103" i="38"/>
  <c r="IS107" i="38"/>
  <c r="IS98" i="38"/>
  <c r="IS106" i="38"/>
  <c r="IS110" i="38"/>
  <c r="IS99" i="38"/>
  <c r="GO106" i="38"/>
  <c r="GO105" i="38"/>
  <c r="GO102" i="38"/>
  <c r="GO94" i="38"/>
  <c r="GO104" i="38"/>
  <c r="GO107" i="38"/>
  <c r="GO49" i="38"/>
  <c r="GO48" i="38"/>
  <c r="GO74" i="38"/>
  <c r="GO97" i="38"/>
  <c r="GO103" i="38"/>
  <c r="GO89" i="38"/>
  <c r="GO81" i="38"/>
  <c r="GO86" i="38"/>
  <c r="GO95" i="38"/>
  <c r="GO64" i="38"/>
  <c r="GO91" i="38"/>
  <c r="GO55" i="38"/>
  <c r="GO43" i="38"/>
  <c r="GO96" i="38"/>
  <c r="GO54" i="38"/>
  <c r="GO110" i="38"/>
  <c r="GO58" i="38"/>
  <c r="GO57" i="38"/>
  <c r="GO50" i="38"/>
  <c r="GO90" i="38"/>
  <c r="GO59" i="38"/>
  <c r="GO67" i="38"/>
  <c r="GO51" i="38"/>
  <c r="GO60" i="38"/>
  <c r="GO45" i="38"/>
  <c r="GO47" i="38"/>
  <c r="GO92" i="38"/>
  <c r="GO70" i="38"/>
  <c r="GO83" i="38"/>
  <c r="GO52" i="38"/>
  <c r="GO68" i="38"/>
  <c r="GO87" i="38"/>
  <c r="GO65" i="38"/>
  <c r="GO72" i="38"/>
  <c r="GO108" i="38"/>
  <c r="GO80" i="38"/>
  <c r="GO69" i="38"/>
  <c r="GO100" i="38"/>
  <c r="GO88" i="38"/>
  <c r="GO84" i="38"/>
  <c r="GO82" i="38"/>
  <c r="GO77" i="38"/>
  <c r="GO42" i="38"/>
  <c r="GO76" i="38"/>
  <c r="GO78" i="38"/>
  <c r="GO71" i="38"/>
  <c r="GO79" i="38"/>
  <c r="GO98" i="38"/>
  <c r="GO63" i="38"/>
  <c r="GO53" i="38"/>
  <c r="GO101" i="38"/>
  <c r="GO75" i="38"/>
  <c r="GO56" i="38"/>
  <c r="GO61" i="38"/>
  <c r="GO109" i="38"/>
  <c r="GO44" i="38"/>
  <c r="GO99" i="38"/>
  <c r="GO93" i="38"/>
  <c r="GO73" i="38"/>
  <c r="GO46" i="38"/>
  <c r="GO66" i="38"/>
  <c r="GO62" i="38"/>
  <c r="GO85" i="38"/>
  <c r="IN105" i="38"/>
  <c r="IN109" i="38"/>
  <c r="IN95" i="38"/>
  <c r="IN97" i="38"/>
  <c r="IN101" i="38"/>
  <c r="IN107" i="38"/>
  <c r="IN106" i="38"/>
  <c r="IN94" i="38"/>
  <c r="IN100" i="38"/>
  <c r="IN110" i="38"/>
  <c r="IN96" i="38"/>
  <c r="IN102" i="38"/>
  <c r="IN98" i="38"/>
  <c r="IN108" i="38"/>
  <c r="IN99" i="38"/>
  <c r="IN93" i="38"/>
  <c r="IN104" i="38"/>
  <c r="IN103" i="38"/>
  <c r="IE110" i="38"/>
  <c r="IE104" i="38"/>
  <c r="IE107" i="38"/>
  <c r="IE108" i="38"/>
  <c r="IE103" i="38"/>
  <c r="IE101" i="38"/>
  <c r="IE102" i="38"/>
  <c r="IE88" i="38"/>
  <c r="IE92" i="38"/>
  <c r="IE84" i="38"/>
  <c r="IE97" i="38"/>
  <c r="IE87" i="38"/>
  <c r="IE105" i="38"/>
  <c r="IE98" i="38"/>
  <c r="IE96" i="38"/>
  <c r="IE86" i="38"/>
  <c r="IE94" i="38"/>
  <c r="IE106" i="38"/>
  <c r="IE85" i="38"/>
  <c r="IE90" i="38"/>
  <c r="IE91" i="38"/>
  <c r="IE93" i="38"/>
  <c r="IE99" i="38"/>
  <c r="IE95" i="38"/>
  <c r="IE100" i="38"/>
  <c r="IE109" i="38"/>
  <c r="IE89" i="38"/>
  <c r="HX110" i="38"/>
  <c r="HX105" i="38"/>
  <c r="HX104" i="38"/>
  <c r="HX102" i="38"/>
  <c r="HX109" i="38"/>
  <c r="HX108" i="38"/>
  <c r="HX100" i="38"/>
  <c r="HX99" i="38"/>
  <c r="HX88" i="38"/>
  <c r="HX85" i="38"/>
  <c r="HX98" i="38"/>
  <c r="HX89" i="38"/>
  <c r="HX101" i="38"/>
  <c r="HX96" i="38"/>
  <c r="HX77" i="38"/>
  <c r="HX83" i="38"/>
  <c r="HX97" i="38"/>
  <c r="HX92" i="38"/>
  <c r="HX84" i="38"/>
  <c r="HX107" i="38"/>
  <c r="HX82" i="38"/>
  <c r="HX86" i="38"/>
  <c r="HX78" i="38"/>
  <c r="HX94" i="38"/>
  <c r="HX95" i="38"/>
  <c r="HX103" i="38"/>
  <c r="HX81" i="38"/>
  <c r="HX106" i="38"/>
  <c r="HX79" i="38"/>
  <c r="HX80" i="38"/>
  <c r="HX93" i="38"/>
  <c r="HX90" i="38"/>
  <c r="HX87" i="38"/>
  <c r="HX91" i="38"/>
  <c r="HU102" i="38"/>
  <c r="HU107" i="38"/>
  <c r="HU103" i="38"/>
  <c r="HU105" i="38"/>
  <c r="HU104" i="38"/>
  <c r="HU108" i="38"/>
  <c r="HU78" i="38"/>
  <c r="HU96" i="38"/>
  <c r="HU75" i="38"/>
  <c r="HU92" i="38"/>
  <c r="HU81" i="38"/>
  <c r="HU98" i="38"/>
  <c r="HU88" i="38"/>
  <c r="HU106" i="38"/>
  <c r="HU97" i="38"/>
  <c r="HU85" i="38"/>
  <c r="HU74" i="38"/>
  <c r="HU76" i="38"/>
  <c r="HU87" i="38"/>
  <c r="HU100" i="38"/>
  <c r="HU79" i="38"/>
  <c r="HU101" i="38"/>
  <c r="HU82" i="38"/>
  <c r="HU99" i="38"/>
  <c r="HU93" i="38"/>
  <c r="HU91" i="38"/>
  <c r="HU84" i="38"/>
  <c r="HU90" i="38"/>
  <c r="HU109" i="38"/>
  <c r="HU77" i="38"/>
  <c r="HU83" i="38"/>
  <c r="HU86" i="38"/>
  <c r="HU110" i="38"/>
  <c r="HU80" i="38"/>
  <c r="HU95" i="38"/>
  <c r="HU89" i="38"/>
  <c r="HU94" i="38"/>
  <c r="GB105" i="38"/>
  <c r="GB109" i="38"/>
  <c r="GB110" i="38"/>
  <c r="GB101" i="38"/>
  <c r="GB102" i="38"/>
  <c r="GB103" i="38"/>
  <c r="GB99" i="38"/>
  <c r="GB69" i="38"/>
  <c r="GB58" i="38"/>
  <c r="GB70" i="38"/>
  <c r="GB61" i="38"/>
  <c r="GB66" i="38"/>
  <c r="GB45" i="38"/>
  <c r="GB48" i="38"/>
  <c r="GB75" i="38"/>
  <c r="GB37" i="38"/>
  <c r="GB78" i="38"/>
  <c r="GB82" i="38"/>
  <c r="GB92" i="38"/>
  <c r="GB60" i="38"/>
  <c r="GB85" i="38"/>
  <c r="GB54" i="38"/>
  <c r="GB41" i="38"/>
  <c r="GB42" i="38"/>
  <c r="GB108" i="38"/>
  <c r="GB107" i="38"/>
  <c r="GB73" i="38"/>
  <c r="GB94" i="38"/>
  <c r="GB36" i="38"/>
  <c r="GB100" i="38"/>
  <c r="GB96" i="38"/>
  <c r="GB49" i="38"/>
  <c r="GB83" i="38"/>
  <c r="GB31" i="38"/>
  <c r="GB84" i="38"/>
  <c r="GB30" i="38"/>
  <c r="GB35" i="38"/>
  <c r="GB86" i="38"/>
  <c r="GB43" i="38"/>
  <c r="GB68" i="38"/>
  <c r="GB57" i="38"/>
  <c r="GB38" i="38"/>
  <c r="GB62" i="38"/>
  <c r="GB50" i="38"/>
  <c r="GB104" i="38"/>
  <c r="GB47" i="38"/>
  <c r="GB29" i="38"/>
  <c r="GB63" i="38"/>
  <c r="GB74" i="38"/>
  <c r="GB76" i="38"/>
  <c r="GB79" i="38"/>
  <c r="GB59" i="38"/>
  <c r="GB67" i="38"/>
  <c r="GB39" i="38"/>
  <c r="GB95" i="38"/>
  <c r="GB71" i="38"/>
  <c r="GB53" i="38"/>
  <c r="GB81" i="38"/>
  <c r="GB91" i="38"/>
  <c r="GB34" i="38"/>
  <c r="GB32" i="38"/>
  <c r="GB44" i="38"/>
  <c r="GB88" i="38"/>
  <c r="GB77" i="38"/>
  <c r="GB72" i="38"/>
  <c r="GB56" i="38"/>
  <c r="GB80" i="38"/>
  <c r="GB89" i="38"/>
  <c r="GB52" i="38"/>
  <c r="GB51" i="38"/>
  <c r="GB55" i="38"/>
  <c r="GB87" i="38"/>
  <c r="GB65" i="38"/>
  <c r="GB33" i="38"/>
  <c r="GB97" i="38"/>
  <c r="GB90" i="38"/>
  <c r="GB98" i="38"/>
  <c r="GB106" i="38"/>
  <c r="GB40" i="38"/>
  <c r="GB64" i="38"/>
  <c r="GB93" i="38"/>
  <c r="GB46" i="38"/>
  <c r="CE104" i="38"/>
  <c r="BO104" i="41" s="1"/>
  <c r="HG108" i="38"/>
  <c r="DF108" i="41" s="1"/>
  <c r="HG102" i="38"/>
  <c r="DF102" i="41" s="1"/>
  <c r="HG101" i="38"/>
  <c r="DF101" i="41" s="1"/>
  <c r="HG109" i="38"/>
  <c r="DF109" i="41" s="1"/>
  <c r="HG104" i="38"/>
  <c r="DF104" i="41" s="1"/>
  <c r="HG103" i="38"/>
  <c r="DF103" i="41" s="1"/>
  <c r="HG93" i="38"/>
  <c r="DF93" i="41" s="1"/>
  <c r="HG92" i="38"/>
  <c r="DF92" i="41" s="1"/>
  <c r="HG80" i="38"/>
  <c r="DF80" i="41" s="1"/>
  <c r="HG73" i="38"/>
  <c r="DF73" i="41" s="1"/>
  <c r="HG62" i="38"/>
  <c r="DF62" i="41" s="1"/>
  <c r="HG72" i="38"/>
  <c r="DF72" i="41" s="1"/>
  <c r="HG77" i="38"/>
  <c r="DF77" i="41" s="1"/>
  <c r="HG89" i="38"/>
  <c r="DF89" i="41" s="1"/>
  <c r="HG86" i="38"/>
  <c r="DF86" i="41" s="1"/>
  <c r="HG60" i="38"/>
  <c r="HG106" i="38"/>
  <c r="DF106" i="41" s="1"/>
  <c r="HG63" i="38"/>
  <c r="DF63" i="41" s="1"/>
  <c r="HG87" i="38"/>
  <c r="DF87" i="41" s="1"/>
  <c r="HG74" i="38"/>
  <c r="DF74" i="41" s="1"/>
  <c r="HG66" i="38"/>
  <c r="DF66" i="41" s="1"/>
  <c r="HG61" i="38"/>
  <c r="DF61" i="41" s="1"/>
  <c r="HG85" i="38"/>
  <c r="DF85" i="41" s="1"/>
  <c r="HG75" i="38"/>
  <c r="DF75" i="41" s="1"/>
  <c r="HG70" i="38"/>
  <c r="DF70" i="41" s="1"/>
  <c r="HG79" i="38"/>
  <c r="DF79" i="41" s="1"/>
  <c r="HG71" i="38"/>
  <c r="DF71" i="41" s="1"/>
  <c r="HG110" i="38"/>
  <c r="DF110" i="41" s="1"/>
  <c r="HG99" i="38"/>
  <c r="DF99" i="41" s="1"/>
  <c r="HG76" i="38"/>
  <c r="DF76" i="41" s="1"/>
  <c r="HG88" i="38"/>
  <c r="DF88" i="41" s="1"/>
  <c r="HG91" i="38"/>
  <c r="DF91" i="41" s="1"/>
  <c r="HG67" i="38"/>
  <c r="DF67" i="41" s="1"/>
  <c r="HG100" i="38"/>
  <c r="DF100" i="41" s="1"/>
  <c r="HG81" i="38"/>
  <c r="DF81" i="41" s="1"/>
  <c r="HG98" i="38"/>
  <c r="DF98" i="41" s="1"/>
  <c r="HG105" i="38"/>
  <c r="DF105" i="41" s="1"/>
  <c r="HG65" i="38"/>
  <c r="DF65" i="41" s="1"/>
  <c r="HG68" i="38"/>
  <c r="DF68" i="41" s="1"/>
  <c r="HG95" i="38"/>
  <c r="DF95" i="41" s="1"/>
  <c r="HG90" i="38"/>
  <c r="DF90" i="41" s="1"/>
  <c r="HG64" i="38"/>
  <c r="DF64" i="41" s="1"/>
  <c r="HG107" i="38"/>
  <c r="DF107" i="41" s="1"/>
  <c r="HG82" i="38"/>
  <c r="DF82" i="41" s="1"/>
  <c r="HG78" i="38"/>
  <c r="DF78" i="41" s="1"/>
  <c r="HG83" i="38"/>
  <c r="DF83" i="41" s="1"/>
  <c r="HG97" i="38"/>
  <c r="DF97" i="41" s="1"/>
  <c r="HG94" i="38"/>
  <c r="DF94" i="41" s="1"/>
  <c r="HG69" i="38"/>
  <c r="DF69" i="41" s="1"/>
  <c r="HG96" i="38"/>
  <c r="DF96" i="41" s="1"/>
  <c r="HG84" i="38"/>
  <c r="DF84" i="41" s="1"/>
  <c r="IA102" i="38"/>
  <c r="DJ102" i="41" s="1"/>
  <c r="IA101" i="38"/>
  <c r="DJ101" i="41" s="1"/>
  <c r="IA104" i="38"/>
  <c r="DJ104" i="41" s="1"/>
  <c r="IA106" i="38"/>
  <c r="DJ106" i="41" s="1"/>
  <c r="IA110" i="38"/>
  <c r="DJ110" i="41" s="1"/>
  <c r="IA109" i="38"/>
  <c r="DJ109" i="41" s="1"/>
  <c r="IA85" i="38"/>
  <c r="DJ85" i="41" s="1"/>
  <c r="IA88" i="38"/>
  <c r="DJ88" i="41" s="1"/>
  <c r="IA91" i="38"/>
  <c r="DJ91" i="41" s="1"/>
  <c r="IA93" i="38"/>
  <c r="DJ93" i="41" s="1"/>
  <c r="IA97" i="38"/>
  <c r="DJ97" i="41" s="1"/>
  <c r="IA108" i="38"/>
  <c r="DJ108" i="41" s="1"/>
  <c r="IA86" i="38"/>
  <c r="DJ86" i="41" s="1"/>
  <c r="IA98" i="38"/>
  <c r="DJ98" i="41" s="1"/>
  <c r="IA87" i="38"/>
  <c r="DJ87" i="41" s="1"/>
  <c r="IA99" i="38"/>
  <c r="DJ99" i="41" s="1"/>
  <c r="IA84" i="38"/>
  <c r="DJ84" i="41" s="1"/>
  <c r="IA81" i="38"/>
  <c r="DJ81" i="41" s="1"/>
  <c r="IA107" i="38"/>
  <c r="DJ107" i="41" s="1"/>
  <c r="IA92" i="38"/>
  <c r="DJ92" i="41" s="1"/>
  <c r="IA80" i="38"/>
  <c r="IA96" i="38"/>
  <c r="DJ96" i="41" s="1"/>
  <c r="IA90" i="38"/>
  <c r="DJ90" i="41" s="1"/>
  <c r="IA103" i="38"/>
  <c r="DJ103" i="41" s="1"/>
  <c r="IA100" i="38"/>
  <c r="DJ100" i="41" s="1"/>
  <c r="IA82" i="38"/>
  <c r="DJ82" i="41" s="1"/>
  <c r="IA105" i="38"/>
  <c r="DJ105" i="41" s="1"/>
  <c r="IA89" i="38"/>
  <c r="DJ89" i="41" s="1"/>
  <c r="IA83" i="38"/>
  <c r="DJ83" i="41" s="1"/>
  <c r="IA95" i="38"/>
  <c r="DJ95" i="41" s="1"/>
  <c r="IA94" i="38"/>
  <c r="DJ94" i="41" s="1"/>
  <c r="FV109" i="38"/>
  <c r="FV105" i="38"/>
  <c r="FV51" i="38"/>
  <c r="FV58" i="38"/>
  <c r="FV28" i="38"/>
  <c r="FV53" i="38"/>
  <c r="FV78" i="38"/>
  <c r="FV69" i="38"/>
  <c r="FV37" i="38"/>
  <c r="FV80" i="38"/>
  <c r="FV87" i="38"/>
  <c r="FV97" i="38"/>
  <c r="FV98" i="38"/>
  <c r="FV23" i="38"/>
  <c r="FV27" i="38"/>
  <c r="FV39" i="38"/>
  <c r="FV84" i="38"/>
  <c r="FV99" i="38"/>
  <c r="FV25" i="38"/>
  <c r="FV50" i="38"/>
  <c r="FV41" i="38"/>
  <c r="FV55" i="38"/>
  <c r="FV103" i="38"/>
  <c r="FV106" i="38"/>
  <c r="FV107" i="38"/>
  <c r="FV92" i="38"/>
  <c r="FV40" i="38"/>
  <c r="FV44" i="38"/>
  <c r="FV83" i="38"/>
  <c r="FV72" i="38"/>
  <c r="FV90" i="38"/>
  <c r="FV36" i="38"/>
  <c r="FV38" i="38"/>
  <c r="FV68" i="38"/>
  <c r="FV32" i="38"/>
  <c r="FV35" i="38"/>
  <c r="FV70" i="38"/>
  <c r="FV26" i="38"/>
  <c r="FV77" i="38"/>
  <c r="FV100" i="38"/>
  <c r="FV46" i="38"/>
  <c r="FV63" i="38"/>
  <c r="FV56" i="38"/>
  <c r="FV60" i="38"/>
  <c r="FV34" i="38"/>
  <c r="FV102" i="38"/>
  <c r="FV29" i="38"/>
  <c r="FV65" i="38"/>
  <c r="FV48" i="38"/>
  <c r="FV61" i="38"/>
  <c r="FV30" i="38"/>
  <c r="FV75" i="38"/>
  <c r="FV43" i="38"/>
  <c r="FV91" i="38"/>
  <c r="FV66" i="38"/>
  <c r="FV101" i="38"/>
  <c r="FV104" i="38"/>
  <c r="FV86" i="38"/>
  <c r="FV76" i="38"/>
  <c r="FV67" i="38"/>
  <c r="FV59" i="38"/>
  <c r="FV82" i="38"/>
  <c r="FV54" i="38"/>
  <c r="FV85" i="38"/>
  <c r="FV33" i="38"/>
  <c r="FV96" i="38"/>
  <c r="FV88" i="38"/>
  <c r="FV108" i="38"/>
  <c r="FV71" i="38"/>
  <c r="FV79" i="38"/>
  <c r="FV94" i="38"/>
  <c r="FV49" i="38"/>
  <c r="FV89" i="38"/>
  <c r="FV42" i="38"/>
  <c r="FV74" i="38"/>
  <c r="FV110" i="38"/>
  <c r="FV81" i="38"/>
  <c r="FV73" i="38"/>
  <c r="FV57" i="38"/>
  <c r="FV45" i="38"/>
  <c r="FV24" i="38"/>
  <c r="FV62" i="38"/>
  <c r="FV95" i="38"/>
  <c r="FV64" i="38"/>
  <c r="FV52" i="38"/>
  <c r="FV47" i="38"/>
  <c r="FV31" i="38"/>
  <c r="FV93" i="38"/>
  <c r="GT108" i="38"/>
  <c r="GT94" i="38"/>
  <c r="GT67" i="38"/>
  <c r="GT52" i="38"/>
  <c r="GT91" i="38"/>
  <c r="GT48" i="38"/>
  <c r="GT85" i="38"/>
  <c r="GT104" i="38"/>
  <c r="GT74" i="38"/>
  <c r="GT58" i="38"/>
  <c r="GT81" i="38"/>
  <c r="GT75" i="38"/>
  <c r="GT53" i="38"/>
  <c r="GT55" i="38"/>
  <c r="GT56" i="38"/>
  <c r="GT72" i="38"/>
  <c r="GT69" i="38"/>
  <c r="GT93" i="38"/>
  <c r="GT86" i="38"/>
  <c r="GT79" i="38"/>
  <c r="GT64" i="38"/>
  <c r="GT57" i="38"/>
  <c r="GT90" i="38"/>
  <c r="GT110" i="38"/>
  <c r="GT88" i="38"/>
  <c r="GT84" i="38"/>
  <c r="GT95" i="38"/>
  <c r="GT107" i="38"/>
  <c r="GT80" i="38"/>
  <c r="GT92" i="38"/>
  <c r="GT61" i="38"/>
  <c r="GT102" i="38"/>
  <c r="GT83" i="38"/>
  <c r="GT99" i="38"/>
  <c r="GT63" i="38"/>
  <c r="GT96" i="38"/>
  <c r="GT76" i="38"/>
  <c r="GT47" i="38"/>
  <c r="GT77" i="38"/>
  <c r="GT51" i="38"/>
  <c r="GT62" i="38"/>
  <c r="GT97" i="38"/>
  <c r="GT49" i="38"/>
  <c r="GT87" i="38"/>
  <c r="GT101" i="38"/>
  <c r="GT82" i="38"/>
  <c r="GT106" i="38"/>
  <c r="GT89" i="38"/>
  <c r="GT105" i="38"/>
  <c r="GT71" i="38"/>
  <c r="GT66" i="38"/>
  <c r="GT100" i="38"/>
  <c r="GT65" i="38"/>
  <c r="GT103" i="38"/>
  <c r="GT70" i="38"/>
  <c r="GT60" i="38"/>
  <c r="GT59" i="38"/>
  <c r="GT54" i="38"/>
  <c r="GT68" i="38"/>
  <c r="GT73" i="38"/>
  <c r="GT78" i="38"/>
  <c r="GT109" i="38"/>
  <c r="GT50" i="38"/>
  <c r="GT98" i="38"/>
  <c r="IV106" i="38"/>
  <c r="IV105" i="38"/>
  <c r="IV110" i="38"/>
  <c r="IV108" i="38"/>
  <c r="IV107" i="38"/>
  <c r="IV102" i="38"/>
  <c r="IV101" i="38"/>
  <c r="IV104" i="38"/>
  <c r="IV103" i="38"/>
  <c r="IV109" i="38"/>
  <c r="GM102" i="38"/>
  <c r="DB102" i="41" s="1"/>
  <c r="GM109" i="38"/>
  <c r="DB109" i="41" s="1"/>
  <c r="GM101" i="38"/>
  <c r="DB101" i="41" s="1"/>
  <c r="GM106" i="38"/>
  <c r="DB106" i="41" s="1"/>
  <c r="GM104" i="38"/>
  <c r="DB104" i="41" s="1"/>
  <c r="GM108" i="38"/>
  <c r="DB108" i="41" s="1"/>
  <c r="GM62" i="38"/>
  <c r="DB62" i="41" s="1"/>
  <c r="GM60" i="38"/>
  <c r="DB60" i="41" s="1"/>
  <c r="GM70" i="38"/>
  <c r="DB70" i="41" s="1"/>
  <c r="GM46" i="38"/>
  <c r="DB46" i="41" s="1"/>
  <c r="GM96" i="38"/>
  <c r="DB96" i="41" s="1"/>
  <c r="GM59" i="38"/>
  <c r="DB59" i="41" s="1"/>
  <c r="GM78" i="38"/>
  <c r="DB78" i="41" s="1"/>
  <c r="GM58" i="38"/>
  <c r="DB58" i="41" s="1"/>
  <c r="GM83" i="38"/>
  <c r="DB83" i="41" s="1"/>
  <c r="GM93" i="38"/>
  <c r="DB93" i="41" s="1"/>
  <c r="GM82" i="38"/>
  <c r="DB82" i="41" s="1"/>
  <c r="GM64" i="38"/>
  <c r="DB64" i="41" s="1"/>
  <c r="GM61" i="38"/>
  <c r="DB61" i="41" s="1"/>
  <c r="GM75" i="38"/>
  <c r="DB75" i="41" s="1"/>
  <c r="GM68" i="38"/>
  <c r="DB68" i="41" s="1"/>
  <c r="GM103" i="38"/>
  <c r="DB103" i="41" s="1"/>
  <c r="GM66" i="38"/>
  <c r="DB66" i="41" s="1"/>
  <c r="GM85" i="38"/>
  <c r="DB85" i="41" s="1"/>
  <c r="GM47" i="38"/>
  <c r="DB47" i="41" s="1"/>
  <c r="GM77" i="38"/>
  <c r="DB77" i="41" s="1"/>
  <c r="GM88" i="38"/>
  <c r="DB88" i="41" s="1"/>
  <c r="GM100" i="38"/>
  <c r="DB100" i="41" s="1"/>
  <c r="GM90" i="38"/>
  <c r="DB90" i="41" s="1"/>
  <c r="GM56" i="38"/>
  <c r="DB56" i="41" s="1"/>
  <c r="GM80" i="38"/>
  <c r="DB80" i="41" s="1"/>
  <c r="GM72" i="38"/>
  <c r="DB72" i="41" s="1"/>
  <c r="GM95" i="38"/>
  <c r="DB95" i="41" s="1"/>
  <c r="GM81" i="38"/>
  <c r="DB81" i="41" s="1"/>
  <c r="GM44" i="38"/>
  <c r="DB44" i="41" s="1"/>
  <c r="GM87" i="38"/>
  <c r="DB87" i="41" s="1"/>
  <c r="GM94" i="38"/>
  <c r="DB94" i="41" s="1"/>
  <c r="GM99" i="38"/>
  <c r="DB99" i="41" s="1"/>
  <c r="GM110" i="38"/>
  <c r="DB110" i="41" s="1"/>
  <c r="GM79" i="38"/>
  <c r="DB79" i="41" s="1"/>
  <c r="GM51" i="38"/>
  <c r="DB51" i="41" s="1"/>
  <c r="GM76" i="38"/>
  <c r="DB76" i="41" s="1"/>
  <c r="GM67" i="38"/>
  <c r="DB67" i="41" s="1"/>
  <c r="GM53" i="38"/>
  <c r="DB53" i="41" s="1"/>
  <c r="GM86" i="38"/>
  <c r="DB86" i="41" s="1"/>
  <c r="GM49" i="38"/>
  <c r="DB49" i="41" s="1"/>
  <c r="GM40" i="38"/>
  <c r="GM91" i="38"/>
  <c r="DB91" i="41" s="1"/>
  <c r="GM69" i="38"/>
  <c r="DB69" i="41" s="1"/>
  <c r="GM73" i="38"/>
  <c r="DB73" i="41" s="1"/>
  <c r="GM63" i="38"/>
  <c r="DB63" i="41" s="1"/>
  <c r="GM55" i="38"/>
  <c r="DB55" i="41" s="1"/>
  <c r="GM48" i="38"/>
  <c r="DB48" i="41" s="1"/>
  <c r="GM71" i="38"/>
  <c r="DB71" i="41" s="1"/>
  <c r="GM105" i="38"/>
  <c r="DB105" i="41" s="1"/>
  <c r="GM92" i="38"/>
  <c r="DB92" i="41" s="1"/>
  <c r="GM65" i="38"/>
  <c r="DB65" i="41" s="1"/>
  <c r="GM98" i="38"/>
  <c r="DB98" i="41" s="1"/>
  <c r="GM41" i="38"/>
  <c r="DB41" i="41" s="1"/>
  <c r="GM97" i="38"/>
  <c r="DB97" i="41" s="1"/>
  <c r="GM50" i="38"/>
  <c r="DB50" i="41" s="1"/>
  <c r="GM89" i="38"/>
  <c r="DB89" i="41" s="1"/>
  <c r="GM45" i="38"/>
  <c r="DB45" i="41" s="1"/>
  <c r="GM107" i="38"/>
  <c r="DB107" i="41" s="1"/>
  <c r="GM42" i="38"/>
  <c r="DB42" i="41" s="1"/>
  <c r="GM52" i="38"/>
  <c r="DB52" i="41" s="1"/>
  <c r="GM57" i="38"/>
  <c r="DB57" i="41" s="1"/>
  <c r="GM43" i="38"/>
  <c r="DB43" i="41" s="1"/>
  <c r="GM54" i="38"/>
  <c r="DB54" i="41" s="1"/>
  <c r="GM74" i="38"/>
  <c r="DB74" i="41" s="1"/>
  <c r="GM84" i="38"/>
  <c r="DB84" i="41" s="1"/>
  <c r="HH101" i="38"/>
  <c r="HH109" i="38"/>
  <c r="HH108" i="38"/>
  <c r="HH97" i="38"/>
  <c r="HH79" i="38"/>
  <c r="HH71" i="38"/>
  <c r="HH68" i="38"/>
  <c r="HH80" i="38"/>
  <c r="HH78" i="38"/>
  <c r="HH93" i="38"/>
  <c r="HH89" i="38"/>
  <c r="HH98" i="38"/>
  <c r="HH84" i="38"/>
  <c r="HH110" i="38"/>
  <c r="HH106" i="38"/>
  <c r="HH107" i="38"/>
  <c r="HH69" i="38"/>
  <c r="HH88" i="38"/>
  <c r="HH87" i="38"/>
  <c r="HH61" i="38"/>
  <c r="HH82" i="38"/>
  <c r="HH62" i="38"/>
  <c r="HH70" i="38"/>
  <c r="HH100" i="38"/>
  <c r="HH73" i="38"/>
  <c r="HH94" i="38"/>
  <c r="HH66" i="38"/>
  <c r="HH75" i="38"/>
  <c r="HH105" i="38"/>
  <c r="HH99" i="38"/>
  <c r="HH86" i="38"/>
  <c r="HH85" i="38"/>
  <c r="HH72" i="38"/>
  <c r="HH103" i="38"/>
  <c r="HH91" i="38"/>
  <c r="HH74" i="38"/>
  <c r="HH67" i="38"/>
  <c r="HH76" i="38"/>
  <c r="HH83" i="38"/>
  <c r="HH96" i="38"/>
  <c r="HH95" i="38"/>
  <c r="HH81" i="38"/>
  <c r="HH63" i="38"/>
  <c r="HH102" i="38"/>
  <c r="HH77" i="38"/>
  <c r="HH64" i="38"/>
  <c r="HH92" i="38"/>
  <c r="HH104" i="38"/>
  <c r="HH65" i="38"/>
  <c r="HH90" i="38"/>
  <c r="FY109" i="38"/>
  <c r="FY105" i="38"/>
  <c r="FY106" i="38"/>
  <c r="FY69" i="38"/>
  <c r="FY67" i="38"/>
  <c r="FY88" i="38"/>
  <c r="FY35" i="38"/>
  <c r="FY59" i="38"/>
  <c r="FY83" i="38"/>
  <c r="FY28" i="38"/>
  <c r="FY55" i="38"/>
  <c r="FY87" i="38"/>
  <c r="FY52" i="38"/>
  <c r="FY75" i="38"/>
  <c r="FY90" i="38"/>
  <c r="FY70" i="38"/>
  <c r="FY74" i="38"/>
  <c r="FY32" i="38"/>
  <c r="FY91" i="38"/>
  <c r="FY29" i="38"/>
  <c r="FY71" i="38"/>
  <c r="FY40" i="38"/>
  <c r="FY108" i="38"/>
  <c r="FY107" i="38"/>
  <c r="FY26" i="38"/>
  <c r="FY92" i="38"/>
  <c r="FY50" i="38"/>
  <c r="FY85" i="38"/>
  <c r="FY34" i="38"/>
  <c r="FY48" i="38"/>
  <c r="FY96" i="38"/>
  <c r="FY65" i="38"/>
  <c r="FY86" i="38"/>
  <c r="FY82" i="38"/>
  <c r="FY80" i="38"/>
  <c r="FY31" i="38"/>
  <c r="FY58" i="38"/>
  <c r="FY100" i="38"/>
  <c r="FY45" i="38"/>
  <c r="FY41" i="38"/>
  <c r="FY57" i="38"/>
  <c r="FY103" i="38"/>
  <c r="FY37" i="38"/>
  <c r="FY47" i="38"/>
  <c r="FY62" i="38"/>
  <c r="FY46" i="38"/>
  <c r="FY73" i="38"/>
  <c r="FY93" i="38"/>
  <c r="FY77" i="38"/>
  <c r="FY61" i="38"/>
  <c r="FY49" i="38"/>
  <c r="FY64" i="38"/>
  <c r="FY104" i="38"/>
  <c r="FY95" i="38"/>
  <c r="FY38" i="38"/>
  <c r="FY53" i="38"/>
  <c r="FY97" i="38"/>
  <c r="FY39" i="38"/>
  <c r="FY72" i="38"/>
  <c r="FY42" i="38"/>
  <c r="FY68" i="38"/>
  <c r="FY60" i="38"/>
  <c r="FY27" i="38"/>
  <c r="FY84" i="38"/>
  <c r="FY79" i="38"/>
  <c r="FY43" i="38"/>
  <c r="FY89" i="38"/>
  <c r="FY54" i="38"/>
  <c r="FY102" i="38"/>
  <c r="FY66" i="38"/>
  <c r="FY81" i="38"/>
  <c r="FY30" i="38"/>
  <c r="FY63" i="38"/>
  <c r="FY76" i="38"/>
  <c r="FY99" i="38"/>
  <c r="FY110" i="38"/>
  <c r="FY98" i="38"/>
  <c r="FY36" i="38"/>
  <c r="FY56" i="38"/>
  <c r="FY94" i="38"/>
  <c r="FY44" i="38"/>
  <c r="FY33" i="38"/>
  <c r="FY101" i="38"/>
  <c r="FY78" i="38"/>
  <c r="FY51" i="38"/>
  <c r="GL110" i="38"/>
  <c r="GL106" i="38"/>
  <c r="GL108" i="38"/>
  <c r="GL102" i="38"/>
  <c r="GL103" i="38"/>
  <c r="GL104" i="38"/>
  <c r="GL88" i="38"/>
  <c r="GL42" i="38"/>
  <c r="GL89" i="38"/>
  <c r="GL81" i="38"/>
  <c r="GL47" i="38"/>
  <c r="GL43" i="38"/>
  <c r="GL52" i="38"/>
  <c r="GL94" i="38"/>
  <c r="GL69" i="38"/>
  <c r="GL63" i="38"/>
  <c r="GL50" i="38"/>
  <c r="GL97" i="38"/>
  <c r="GL71" i="38"/>
  <c r="GL48" i="38"/>
  <c r="GL73" i="38"/>
  <c r="GL107" i="38"/>
  <c r="GL39" i="38"/>
  <c r="GL100" i="38"/>
  <c r="GL57" i="38"/>
  <c r="GL76" i="38"/>
  <c r="GL64" i="38"/>
  <c r="GL98" i="38"/>
  <c r="GL61" i="38"/>
  <c r="GL92" i="38"/>
  <c r="GL91" i="38"/>
  <c r="GL49" i="38"/>
  <c r="GL68" i="38"/>
  <c r="GL54" i="38"/>
  <c r="GL41" i="38"/>
  <c r="GL67" i="38"/>
  <c r="GL53" i="38"/>
  <c r="GL82" i="38"/>
  <c r="GL105" i="38"/>
  <c r="GL85" i="38"/>
  <c r="GL51" i="38"/>
  <c r="GL80" i="38"/>
  <c r="GL66" i="38"/>
  <c r="GL55" i="38"/>
  <c r="GL84" i="38"/>
  <c r="GL99" i="38"/>
  <c r="GL72" i="38"/>
  <c r="GL101" i="38"/>
  <c r="GL45" i="38"/>
  <c r="GL60" i="38"/>
  <c r="GL59" i="38"/>
  <c r="GL56" i="38"/>
  <c r="GL96" i="38"/>
  <c r="GL65" i="38"/>
  <c r="GL93" i="38"/>
  <c r="GL86" i="38"/>
  <c r="GL79" i="38"/>
  <c r="GL46" i="38"/>
  <c r="GL70" i="38"/>
  <c r="GL74" i="38"/>
  <c r="GL77" i="38"/>
  <c r="GL75" i="38"/>
  <c r="GL58" i="38"/>
  <c r="GL44" i="38"/>
  <c r="GL62" i="38"/>
  <c r="GL78" i="38"/>
  <c r="GL40" i="38"/>
  <c r="GL83" i="38"/>
  <c r="GL109" i="38"/>
  <c r="GL87" i="38"/>
  <c r="GL95" i="38"/>
  <c r="GL90" i="38"/>
  <c r="GE108" i="38"/>
  <c r="GE106" i="38"/>
  <c r="GE34" i="38"/>
  <c r="GE45" i="38"/>
  <c r="GE84" i="38"/>
  <c r="GE60" i="38"/>
  <c r="GE54" i="38"/>
  <c r="GE36" i="38"/>
  <c r="GE33" i="38"/>
  <c r="GE76" i="38"/>
  <c r="GE97" i="38"/>
  <c r="GE51" i="38"/>
  <c r="GE92" i="38"/>
  <c r="GE55" i="38"/>
  <c r="GE66" i="38"/>
  <c r="GE47" i="38"/>
  <c r="GE62" i="38"/>
  <c r="GE59" i="38"/>
  <c r="GE82" i="38"/>
  <c r="GE105" i="38"/>
  <c r="GE107" i="38"/>
  <c r="GE99" i="38"/>
  <c r="GE44" i="38"/>
  <c r="GE83" i="38"/>
  <c r="GE87" i="38"/>
  <c r="GE50" i="38"/>
  <c r="GE32" i="38"/>
  <c r="GE63" i="38"/>
  <c r="GE77" i="38"/>
  <c r="GE91" i="38"/>
  <c r="GE88" i="38"/>
  <c r="GE85" i="38"/>
  <c r="GE43" i="38"/>
  <c r="GE89" i="38"/>
  <c r="GE57" i="38"/>
  <c r="GE65" i="38"/>
  <c r="GE48" i="38"/>
  <c r="GE41" i="38"/>
  <c r="GE103" i="38"/>
  <c r="GE109" i="38"/>
  <c r="GE93" i="38"/>
  <c r="GE94" i="38"/>
  <c r="GE56" i="38"/>
  <c r="GE95" i="38"/>
  <c r="GE35" i="38"/>
  <c r="GE64" i="38"/>
  <c r="GE69" i="38"/>
  <c r="GE58" i="38"/>
  <c r="GE110" i="38"/>
  <c r="GE40" i="38"/>
  <c r="GE37" i="38"/>
  <c r="GE68" i="38"/>
  <c r="GE75" i="38"/>
  <c r="GE49" i="38"/>
  <c r="GE52" i="38"/>
  <c r="GE80" i="38"/>
  <c r="GE98" i="38"/>
  <c r="GE38" i="38"/>
  <c r="GE104" i="38"/>
  <c r="GE72" i="38"/>
  <c r="GE78" i="38"/>
  <c r="GE74" i="38"/>
  <c r="GE79" i="38"/>
  <c r="GE53" i="38"/>
  <c r="GE101" i="38"/>
  <c r="GE67" i="38"/>
  <c r="GE39" i="38"/>
  <c r="GE102" i="38"/>
  <c r="GE42" i="38"/>
  <c r="GE46" i="38"/>
  <c r="GE90" i="38"/>
  <c r="GE61" i="38"/>
  <c r="GE70" i="38"/>
  <c r="GE81" i="38"/>
  <c r="GE71" i="38"/>
  <c r="GE86" i="38"/>
  <c r="GE100" i="38"/>
  <c r="GE96" i="38"/>
  <c r="GE73" i="38"/>
  <c r="JB108" i="38"/>
  <c r="JB109" i="38"/>
  <c r="JB107" i="38"/>
  <c r="JB110" i="38"/>
  <c r="BM24" i="41"/>
  <c r="CE24" i="38"/>
  <c r="BO24" i="41" s="1"/>
  <c r="BM94" i="41"/>
  <c r="BR27" i="38"/>
  <c r="BH27" i="41" s="1"/>
  <c r="IZ110" i="38"/>
  <c r="IZ106" i="38"/>
  <c r="IZ105" i="38"/>
  <c r="IZ108" i="38"/>
  <c r="IZ107" i="38"/>
  <c r="IZ109" i="38"/>
  <c r="HW105" i="38"/>
  <c r="HW106" i="38"/>
  <c r="HW107" i="38"/>
  <c r="HW93" i="38"/>
  <c r="HW98" i="38"/>
  <c r="HW81" i="38"/>
  <c r="HW90" i="38"/>
  <c r="HW82" i="38"/>
  <c r="HW96" i="38"/>
  <c r="HW101" i="38"/>
  <c r="HW104" i="38"/>
  <c r="HW76" i="38"/>
  <c r="HW88" i="38"/>
  <c r="HW97" i="38"/>
  <c r="HW100" i="38"/>
  <c r="HW95" i="38"/>
  <c r="HW79" i="38"/>
  <c r="HW110" i="38"/>
  <c r="HW102" i="38"/>
  <c r="HW83" i="38"/>
  <c r="HW87" i="38"/>
  <c r="HW86" i="38"/>
  <c r="HW103" i="38"/>
  <c r="HW99" i="38"/>
  <c r="HW80" i="38"/>
  <c r="HW89" i="38"/>
  <c r="HW85" i="38"/>
  <c r="HW108" i="38"/>
  <c r="HW84" i="38"/>
  <c r="HW78" i="38"/>
  <c r="HW109" i="38"/>
  <c r="HW91" i="38"/>
  <c r="HW92" i="38"/>
  <c r="HW94" i="38"/>
  <c r="HW77" i="38"/>
  <c r="GD101" i="38"/>
  <c r="GD105" i="38"/>
  <c r="GD104" i="38"/>
  <c r="GD63" i="38"/>
  <c r="GD72" i="38"/>
  <c r="GD35" i="38"/>
  <c r="GD89" i="38"/>
  <c r="GD57" i="38"/>
  <c r="GD75" i="38"/>
  <c r="GD82" i="38"/>
  <c r="GD84" i="38"/>
  <c r="GD32" i="38"/>
  <c r="GD51" i="38"/>
  <c r="GD55" i="38"/>
  <c r="GD66" i="38"/>
  <c r="GD31" i="38"/>
  <c r="GD79" i="38"/>
  <c r="GD33" i="38"/>
  <c r="GD42" i="38"/>
  <c r="GD96" i="38"/>
  <c r="GD110" i="38"/>
  <c r="GD108" i="38"/>
  <c r="GD50" i="38"/>
  <c r="GD38" i="38"/>
  <c r="GD68" i="38"/>
  <c r="GD48" i="38"/>
  <c r="GD83" i="38"/>
  <c r="GD92" i="38"/>
  <c r="GD97" i="38"/>
  <c r="GD49" i="38"/>
  <c r="GD64" i="38"/>
  <c r="GD60" i="38"/>
  <c r="GD85" i="38"/>
  <c r="GD81" i="38"/>
  <c r="GD100" i="38"/>
  <c r="GD61" i="38"/>
  <c r="GD39" i="38"/>
  <c r="GD34" i="38"/>
  <c r="GD95" i="38"/>
  <c r="GD103" i="38"/>
  <c r="GD107" i="38"/>
  <c r="GD78" i="38"/>
  <c r="GD62" i="38"/>
  <c r="GD94" i="38"/>
  <c r="GD43" i="38"/>
  <c r="GD70" i="38"/>
  <c r="GD88" i="38"/>
  <c r="GD41" i="38"/>
  <c r="GD77" i="38"/>
  <c r="GD37" i="38"/>
  <c r="GD109" i="38"/>
  <c r="GD98" i="38"/>
  <c r="GD91" i="38"/>
  <c r="GD56" i="38"/>
  <c r="GD86" i="38"/>
  <c r="GD67" i="38"/>
  <c r="GD36" i="38"/>
  <c r="GD54" i="38"/>
  <c r="GD87" i="38"/>
  <c r="GD76" i="38"/>
  <c r="GD102" i="38"/>
  <c r="GD58" i="38"/>
  <c r="GD99" i="38"/>
  <c r="GD93" i="38"/>
  <c r="GD52" i="38"/>
  <c r="GD71" i="38"/>
  <c r="GD80" i="38"/>
  <c r="GD106" i="38"/>
  <c r="GD74" i="38"/>
  <c r="GD44" i="38"/>
  <c r="GD46" i="38"/>
  <c r="GD47" i="38"/>
  <c r="GD69" i="38"/>
  <c r="GD73" i="38"/>
  <c r="GD59" i="38"/>
  <c r="GD65" i="38"/>
  <c r="GD53" i="38"/>
  <c r="GD40" i="38"/>
  <c r="GD90" i="38"/>
  <c r="GD45" i="38"/>
  <c r="HS88" i="38"/>
  <c r="HS102" i="38"/>
  <c r="HS107" i="38"/>
  <c r="HS75" i="38"/>
  <c r="HS98" i="38"/>
  <c r="HS91" i="38"/>
  <c r="HS82" i="38"/>
  <c r="HS99" i="38"/>
  <c r="HS93" i="38"/>
  <c r="HS78" i="38"/>
  <c r="HS101" i="38"/>
  <c r="HS108" i="38"/>
  <c r="HS105" i="38"/>
  <c r="HS77" i="38"/>
  <c r="HS80" i="38"/>
  <c r="HS97" i="38"/>
  <c r="HS84" i="38"/>
  <c r="HS72" i="38"/>
  <c r="HS73" i="38"/>
  <c r="HS74" i="38"/>
  <c r="HS109" i="38"/>
  <c r="HS86" i="38"/>
  <c r="HS96" i="38"/>
  <c r="HS85" i="38"/>
  <c r="HS95" i="38"/>
  <c r="HS106" i="38"/>
  <c r="HS89" i="38"/>
  <c r="HS79" i="38"/>
  <c r="HS87" i="38"/>
  <c r="HS94" i="38"/>
  <c r="HS104" i="38"/>
  <c r="HS110" i="38"/>
  <c r="HS103" i="38"/>
  <c r="HS76" i="38"/>
  <c r="HS92" i="38"/>
  <c r="HS90" i="38"/>
  <c r="HS83" i="38"/>
  <c r="HS100" i="38"/>
  <c r="HS81" i="38"/>
  <c r="IY110" i="38"/>
  <c r="IY106" i="38"/>
  <c r="IY108" i="38"/>
  <c r="IY107" i="38"/>
  <c r="IY104" i="38"/>
  <c r="IY105" i="38"/>
  <c r="IY109" i="38"/>
  <c r="GY103" i="38"/>
  <c r="GY110" i="38"/>
  <c r="GY108" i="38"/>
  <c r="GY80" i="38"/>
  <c r="GY100" i="38"/>
  <c r="GY70" i="38"/>
  <c r="GY78" i="38"/>
  <c r="GY87" i="38"/>
  <c r="GY81" i="38"/>
  <c r="GY57" i="38"/>
  <c r="GY74" i="38"/>
  <c r="GY84" i="38"/>
  <c r="GY101" i="38"/>
  <c r="GY106" i="38"/>
  <c r="GY104" i="38"/>
  <c r="GY96" i="38"/>
  <c r="GY77" i="38"/>
  <c r="GY59" i="38"/>
  <c r="GY52" i="38"/>
  <c r="GY91" i="38"/>
  <c r="GY86" i="38"/>
  <c r="GY65" i="38"/>
  <c r="GY60" i="38"/>
  <c r="GY56" i="38"/>
  <c r="GY71" i="38"/>
  <c r="GY61" i="38"/>
  <c r="GY89" i="38"/>
  <c r="GY93" i="38"/>
  <c r="GY107" i="38"/>
  <c r="GY64" i="38"/>
  <c r="GY53" i="38"/>
  <c r="GY82" i="38"/>
  <c r="GY97" i="38"/>
  <c r="GY62" i="38"/>
  <c r="GY75" i="38"/>
  <c r="GY92" i="38"/>
  <c r="GY105" i="38"/>
  <c r="GY68" i="38"/>
  <c r="GY95" i="38"/>
  <c r="GY83" i="38"/>
  <c r="GY98" i="38"/>
  <c r="GY67" i="38"/>
  <c r="GY102" i="38"/>
  <c r="GY79" i="38"/>
  <c r="GY69" i="38"/>
  <c r="GY54" i="38"/>
  <c r="GY55" i="38"/>
  <c r="GY90" i="38"/>
  <c r="GY73" i="38"/>
  <c r="GY88" i="38"/>
  <c r="GY85" i="38"/>
  <c r="GY72" i="38"/>
  <c r="GY58" i="38"/>
  <c r="GY99" i="38"/>
  <c r="GY94" i="38"/>
  <c r="GY76" i="38"/>
  <c r="GY66" i="38"/>
  <c r="GY63" i="38"/>
  <c r="GY109" i="38"/>
  <c r="HZ108" i="38"/>
  <c r="HZ103" i="38"/>
  <c r="HZ104" i="38"/>
  <c r="HZ101" i="38"/>
  <c r="HZ105" i="38"/>
  <c r="HZ109" i="38"/>
  <c r="HZ88" i="38"/>
  <c r="HZ92" i="38"/>
  <c r="HZ91" i="38"/>
  <c r="HZ94" i="38"/>
  <c r="HZ99" i="38"/>
  <c r="HZ83" i="38"/>
  <c r="HZ107" i="38"/>
  <c r="HZ97" i="38"/>
  <c r="HZ79" i="38"/>
  <c r="HZ96" i="38"/>
  <c r="HZ89" i="38"/>
  <c r="HZ82" i="38"/>
  <c r="HZ81" i="38"/>
  <c r="HZ87" i="38"/>
  <c r="HZ106" i="38"/>
  <c r="HZ95" i="38"/>
  <c r="HZ84" i="38"/>
  <c r="HZ102" i="38"/>
  <c r="HZ86" i="38"/>
  <c r="HZ90" i="38"/>
  <c r="HZ110" i="38"/>
  <c r="HZ98" i="38"/>
  <c r="HZ100" i="38"/>
  <c r="HZ93" i="38"/>
  <c r="HZ85" i="38"/>
  <c r="HZ80" i="38"/>
  <c r="HL105" i="38"/>
  <c r="DG105" i="41" s="1"/>
  <c r="HL107" i="38"/>
  <c r="DG107" i="41" s="1"/>
  <c r="HL103" i="38"/>
  <c r="DG103" i="41" s="1"/>
  <c r="HL106" i="38"/>
  <c r="DG106" i="41" s="1"/>
  <c r="HL104" i="38"/>
  <c r="DG104" i="41" s="1"/>
  <c r="HL109" i="38"/>
  <c r="DG109" i="41" s="1"/>
  <c r="HL100" i="38"/>
  <c r="DG100" i="41" s="1"/>
  <c r="HL74" i="38"/>
  <c r="DG74" i="41" s="1"/>
  <c r="HL95" i="38"/>
  <c r="DG95" i="41" s="1"/>
  <c r="HL96" i="38"/>
  <c r="DG96" i="41" s="1"/>
  <c r="HL93" i="38"/>
  <c r="DG93" i="41" s="1"/>
  <c r="HL66" i="38"/>
  <c r="DG66" i="41" s="1"/>
  <c r="HL72" i="38"/>
  <c r="DG72" i="41" s="1"/>
  <c r="HL75" i="38"/>
  <c r="DG75" i="41" s="1"/>
  <c r="HL94" i="38"/>
  <c r="DG94" i="41" s="1"/>
  <c r="HL110" i="38"/>
  <c r="DG110" i="41" s="1"/>
  <c r="HL90" i="38"/>
  <c r="DG90" i="41" s="1"/>
  <c r="HL80" i="38"/>
  <c r="DG80" i="41" s="1"/>
  <c r="HL76" i="38"/>
  <c r="DG76" i="41" s="1"/>
  <c r="HL85" i="38"/>
  <c r="DG85" i="41" s="1"/>
  <c r="HL70" i="38"/>
  <c r="DG70" i="41" s="1"/>
  <c r="HL99" i="38"/>
  <c r="DG99" i="41" s="1"/>
  <c r="HL71" i="38"/>
  <c r="DG71" i="41" s="1"/>
  <c r="HL97" i="38"/>
  <c r="DG97" i="41" s="1"/>
  <c r="HL83" i="38"/>
  <c r="DG83" i="41" s="1"/>
  <c r="HL101" i="38"/>
  <c r="DG101" i="41" s="1"/>
  <c r="HL67" i="38"/>
  <c r="DG67" i="41" s="1"/>
  <c r="HL78" i="38"/>
  <c r="DG78" i="41" s="1"/>
  <c r="HL91" i="38"/>
  <c r="DG91" i="41" s="1"/>
  <c r="HL73" i="38"/>
  <c r="DG73" i="41" s="1"/>
  <c r="HL108" i="38"/>
  <c r="DG108" i="41" s="1"/>
  <c r="HL77" i="38"/>
  <c r="DG77" i="41" s="1"/>
  <c r="HL92" i="38"/>
  <c r="DG92" i="41" s="1"/>
  <c r="HL82" i="38"/>
  <c r="DG82" i="41" s="1"/>
  <c r="HL79" i="38"/>
  <c r="DG79" i="41" s="1"/>
  <c r="HL84" i="38"/>
  <c r="DG84" i="41" s="1"/>
  <c r="HL98" i="38"/>
  <c r="DG98" i="41" s="1"/>
  <c r="HL102" i="38"/>
  <c r="DG102" i="41" s="1"/>
  <c r="HL65" i="38"/>
  <c r="HL68" i="38"/>
  <c r="DG68" i="41" s="1"/>
  <c r="HL81" i="38"/>
  <c r="DG81" i="41" s="1"/>
  <c r="HL69" i="38"/>
  <c r="DG69" i="41" s="1"/>
  <c r="HL89" i="38"/>
  <c r="DG89" i="41" s="1"/>
  <c r="HL86" i="38"/>
  <c r="DG86" i="41" s="1"/>
  <c r="HL88" i="38"/>
  <c r="DG88" i="41" s="1"/>
  <c r="HL87" i="38"/>
  <c r="DG87" i="41" s="1"/>
  <c r="IG110" i="38"/>
  <c r="IG105" i="38"/>
  <c r="IG97" i="38"/>
  <c r="IG87" i="38"/>
  <c r="IG93" i="38"/>
  <c r="IG88" i="38"/>
  <c r="IG106" i="38"/>
  <c r="IG107" i="38"/>
  <c r="IG94" i="38"/>
  <c r="IG86" i="38"/>
  <c r="IG89" i="38"/>
  <c r="IG92" i="38"/>
  <c r="IG95" i="38"/>
  <c r="IG109" i="38"/>
  <c r="IG99" i="38"/>
  <c r="IG100" i="38"/>
  <c r="IG101" i="38"/>
  <c r="IG103" i="38"/>
  <c r="IG90" i="38"/>
  <c r="IG98" i="38"/>
  <c r="IG102" i="38"/>
  <c r="IG96" i="38"/>
  <c r="IG104" i="38"/>
  <c r="IG108" i="38"/>
  <c r="IG91" i="38"/>
  <c r="HP103" i="38"/>
  <c r="HP105" i="38"/>
  <c r="HP107" i="38"/>
  <c r="HP108" i="38"/>
  <c r="HP104" i="38"/>
  <c r="HP110" i="38"/>
  <c r="HP100" i="38"/>
  <c r="HP78" i="38"/>
  <c r="HP74" i="38"/>
  <c r="HP81" i="38"/>
  <c r="HP99" i="38"/>
  <c r="HP91" i="38"/>
  <c r="HP69" i="38"/>
  <c r="HP96" i="38"/>
  <c r="HP102" i="38"/>
  <c r="HP75" i="38"/>
  <c r="HP72" i="38"/>
  <c r="HP90" i="38"/>
  <c r="HP83" i="38"/>
  <c r="HP80" i="38"/>
  <c r="HP93" i="38"/>
  <c r="HP82" i="38"/>
  <c r="HP94" i="38"/>
  <c r="HP97" i="38"/>
  <c r="HP77" i="38"/>
  <c r="HP92" i="38"/>
  <c r="HP87" i="38"/>
  <c r="HP109" i="38"/>
  <c r="HP86" i="38"/>
  <c r="HP98" i="38"/>
  <c r="HP71" i="38"/>
  <c r="HP88" i="38"/>
  <c r="HP101" i="38"/>
  <c r="HP79" i="38"/>
  <c r="HP85" i="38"/>
  <c r="HP73" i="38"/>
  <c r="HP89" i="38"/>
  <c r="HP70" i="38"/>
  <c r="HP95" i="38"/>
  <c r="HP106" i="38"/>
  <c r="HP76" i="38"/>
  <c r="HP84" i="38"/>
  <c r="GC84" i="38"/>
  <c r="CZ84" i="41" s="1"/>
  <c r="GC98" i="38"/>
  <c r="CZ98" i="41" s="1"/>
  <c r="GC110" i="38"/>
  <c r="CZ110" i="41" s="1"/>
  <c r="GC108" i="38"/>
  <c r="CZ108" i="41" s="1"/>
  <c r="GC101" i="38"/>
  <c r="CZ101" i="41" s="1"/>
  <c r="GC100" i="38"/>
  <c r="CZ100" i="41" s="1"/>
  <c r="GC40" i="38"/>
  <c r="CZ40" i="41" s="1"/>
  <c r="GC54" i="38"/>
  <c r="CZ54" i="41" s="1"/>
  <c r="GC80" i="38"/>
  <c r="CZ80" i="41" s="1"/>
  <c r="GC37" i="38"/>
  <c r="CZ37" i="41" s="1"/>
  <c r="GC79" i="38"/>
  <c r="CZ79" i="41" s="1"/>
  <c r="GC30" i="38"/>
  <c r="GC88" i="38"/>
  <c r="CZ88" i="41" s="1"/>
  <c r="GC82" i="38"/>
  <c r="CZ82" i="41" s="1"/>
  <c r="GC61" i="38"/>
  <c r="CZ61" i="41" s="1"/>
  <c r="GC99" i="38"/>
  <c r="CZ99" i="41" s="1"/>
  <c r="GC95" i="38"/>
  <c r="CZ95" i="41" s="1"/>
  <c r="GC60" i="38"/>
  <c r="CZ60" i="41" s="1"/>
  <c r="GC72" i="38"/>
  <c r="CZ72" i="41" s="1"/>
  <c r="GC45" i="38"/>
  <c r="CZ45" i="41" s="1"/>
  <c r="GC33" i="38"/>
  <c r="CZ33" i="41" s="1"/>
  <c r="GC38" i="38"/>
  <c r="CZ38" i="41" s="1"/>
  <c r="GC105" i="38"/>
  <c r="CZ105" i="41" s="1"/>
  <c r="GC109" i="38"/>
  <c r="CZ109" i="41" s="1"/>
  <c r="GC107" i="38"/>
  <c r="CZ107" i="41" s="1"/>
  <c r="GC46" i="38"/>
  <c r="CZ46" i="41" s="1"/>
  <c r="GC81" i="38"/>
  <c r="CZ81" i="41" s="1"/>
  <c r="GC64" i="38"/>
  <c r="CZ64" i="41" s="1"/>
  <c r="GC97" i="38"/>
  <c r="CZ97" i="41" s="1"/>
  <c r="GC87" i="38"/>
  <c r="CZ87" i="41" s="1"/>
  <c r="GC59" i="38"/>
  <c r="CZ59" i="41" s="1"/>
  <c r="GC78" i="38"/>
  <c r="CZ78" i="41" s="1"/>
  <c r="GC55" i="38"/>
  <c r="CZ55" i="41" s="1"/>
  <c r="GC53" i="38"/>
  <c r="CZ53" i="41" s="1"/>
  <c r="GC75" i="38"/>
  <c r="CZ75" i="41" s="1"/>
  <c r="GC92" i="38"/>
  <c r="CZ92" i="41" s="1"/>
  <c r="GC32" i="38"/>
  <c r="CZ32" i="41" s="1"/>
  <c r="GC42" i="38"/>
  <c r="CZ42" i="41" s="1"/>
  <c r="GC52" i="38"/>
  <c r="CZ52" i="41" s="1"/>
  <c r="GC36" i="38"/>
  <c r="CZ36" i="41" s="1"/>
  <c r="GC96" i="38"/>
  <c r="CZ96" i="41" s="1"/>
  <c r="GC34" i="38"/>
  <c r="CZ34" i="41" s="1"/>
  <c r="GC103" i="38"/>
  <c r="CZ103" i="41" s="1"/>
  <c r="GC56" i="38"/>
  <c r="CZ56" i="41" s="1"/>
  <c r="GC48" i="38"/>
  <c r="CZ48" i="41" s="1"/>
  <c r="GC41" i="38"/>
  <c r="CZ41" i="41" s="1"/>
  <c r="GC47" i="38"/>
  <c r="CZ47" i="41" s="1"/>
  <c r="GC44" i="38"/>
  <c r="CZ44" i="41" s="1"/>
  <c r="GC77" i="38"/>
  <c r="CZ77" i="41" s="1"/>
  <c r="GC76" i="38"/>
  <c r="CZ76" i="41" s="1"/>
  <c r="GC73" i="38"/>
  <c r="CZ73" i="41" s="1"/>
  <c r="GC58" i="38"/>
  <c r="CZ58" i="41" s="1"/>
  <c r="GC102" i="38"/>
  <c r="CZ102" i="41" s="1"/>
  <c r="GC57" i="38"/>
  <c r="CZ57" i="41" s="1"/>
  <c r="GC91" i="38"/>
  <c r="CZ91" i="41" s="1"/>
  <c r="GC49" i="38"/>
  <c r="CZ49" i="41" s="1"/>
  <c r="GC31" i="38"/>
  <c r="CZ31" i="41" s="1"/>
  <c r="GC71" i="38"/>
  <c r="CZ71" i="41" s="1"/>
  <c r="GC62" i="38"/>
  <c r="CZ62" i="41" s="1"/>
  <c r="GC83" i="38"/>
  <c r="CZ83" i="41" s="1"/>
  <c r="GC106" i="38"/>
  <c r="CZ106" i="41" s="1"/>
  <c r="GC68" i="38"/>
  <c r="CZ68" i="41" s="1"/>
  <c r="GC43" i="38"/>
  <c r="CZ43" i="41" s="1"/>
  <c r="GC69" i="38"/>
  <c r="CZ69" i="41" s="1"/>
  <c r="GC65" i="38"/>
  <c r="CZ65" i="41" s="1"/>
  <c r="GC39" i="38"/>
  <c r="CZ39" i="41" s="1"/>
  <c r="GC51" i="38"/>
  <c r="CZ51" i="41" s="1"/>
  <c r="GC89" i="38"/>
  <c r="CZ89" i="41" s="1"/>
  <c r="GC63" i="38"/>
  <c r="CZ63" i="41" s="1"/>
  <c r="GC85" i="38"/>
  <c r="CZ85" i="41" s="1"/>
  <c r="GC104" i="38"/>
  <c r="CZ104" i="41" s="1"/>
  <c r="GC74" i="38"/>
  <c r="CZ74" i="41" s="1"/>
  <c r="GC93" i="38"/>
  <c r="CZ93" i="41" s="1"/>
  <c r="GC90" i="38"/>
  <c r="CZ90" i="41" s="1"/>
  <c r="GC35" i="38"/>
  <c r="CZ35" i="41" s="1"/>
  <c r="GC86" i="38"/>
  <c r="CZ86" i="41" s="1"/>
  <c r="GC67" i="38"/>
  <c r="CZ67" i="41" s="1"/>
  <c r="GC50" i="38"/>
  <c r="CZ50" i="41" s="1"/>
  <c r="GC66" i="38"/>
  <c r="CZ66" i="41" s="1"/>
  <c r="GC94" i="38"/>
  <c r="CZ94" i="41" s="1"/>
  <c r="GC70" i="38"/>
  <c r="CZ70" i="41" s="1"/>
  <c r="GW101" i="38"/>
  <c r="DD101" i="41" s="1"/>
  <c r="GW103" i="38"/>
  <c r="DD103" i="41" s="1"/>
  <c r="GW106" i="38"/>
  <c r="DD106" i="41" s="1"/>
  <c r="GW102" i="38"/>
  <c r="DD102" i="41" s="1"/>
  <c r="GW109" i="38"/>
  <c r="DD109" i="41" s="1"/>
  <c r="GW104" i="38"/>
  <c r="DD104" i="41" s="1"/>
  <c r="GW110" i="38"/>
  <c r="DD110" i="41" s="1"/>
  <c r="GW100" i="38"/>
  <c r="DD100" i="41" s="1"/>
  <c r="GW62" i="38"/>
  <c r="DD62" i="41" s="1"/>
  <c r="GW85" i="38"/>
  <c r="DD85" i="41" s="1"/>
  <c r="GW57" i="38"/>
  <c r="DD57" i="41" s="1"/>
  <c r="GW61" i="38"/>
  <c r="DD61" i="41" s="1"/>
  <c r="GW91" i="38"/>
  <c r="DD91" i="41" s="1"/>
  <c r="GW81" i="38"/>
  <c r="DD81" i="41" s="1"/>
  <c r="GW87" i="38"/>
  <c r="DD87" i="41" s="1"/>
  <c r="GW99" i="38"/>
  <c r="DD99" i="41" s="1"/>
  <c r="GW93" i="38"/>
  <c r="DD93" i="41" s="1"/>
  <c r="GW68" i="38"/>
  <c r="DD68" i="41" s="1"/>
  <c r="GW82" i="38"/>
  <c r="DD82" i="41" s="1"/>
  <c r="GW108" i="38"/>
  <c r="DD108" i="41" s="1"/>
  <c r="GW66" i="38"/>
  <c r="DD66" i="41" s="1"/>
  <c r="GW70" i="38"/>
  <c r="DD70" i="41" s="1"/>
  <c r="GW95" i="38"/>
  <c r="DD95" i="41" s="1"/>
  <c r="GW76" i="38"/>
  <c r="DD76" i="41" s="1"/>
  <c r="GW92" i="38"/>
  <c r="DD92" i="41" s="1"/>
  <c r="GW52" i="38"/>
  <c r="DD52" i="41" s="1"/>
  <c r="GW80" i="38"/>
  <c r="DD80" i="41" s="1"/>
  <c r="GW78" i="38"/>
  <c r="DD78" i="41" s="1"/>
  <c r="GW63" i="38"/>
  <c r="DD63" i="41" s="1"/>
  <c r="GW71" i="38"/>
  <c r="DD71" i="41" s="1"/>
  <c r="GW75" i="38"/>
  <c r="DD75" i="41" s="1"/>
  <c r="GW56" i="38"/>
  <c r="DD56" i="41" s="1"/>
  <c r="GW83" i="38"/>
  <c r="DD83" i="41" s="1"/>
  <c r="GW105" i="38"/>
  <c r="DD105" i="41" s="1"/>
  <c r="GW97" i="38"/>
  <c r="DD97" i="41" s="1"/>
  <c r="GW94" i="38"/>
  <c r="DD94" i="41" s="1"/>
  <c r="GW79" i="38"/>
  <c r="DD79" i="41" s="1"/>
  <c r="GW86" i="38"/>
  <c r="DD86" i="41" s="1"/>
  <c r="GW84" i="38"/>
  <c r="DD84" i="41" s="1"/>
  <c r="GW54" i="38"/>
  <c r="DD54" i="41" s="1"/>
  <c r="GW59" i="38"/>
  <c r="DD59" i="41" s="1"/>
  <c r="GW74" i="38"/>
  <c r="DD74" i="41" s="1"/>
  <c r="GW98" i="38"/>
  <c r="DD98" i="41" s="1"/>
  <c r="GW90" i="38"/>
  <c r="DD90" i="41" s="1"/>
  <c r="GW69" i="38"/>
  <c r="DD69" i="41" s="1"/>
  <c r="GW60" i="38"/>
  <c r="DD60" i="41" s="1"/>
  <c r="GW67" i="38"/>
  <c r="DD67" i="41" s="1"/>
  <c r="GW107" i="38"/>
  <c r="DD107" i="41" s="1"/>
  <c r="GW77" i="38"/>
  <c r="DD77" i="41" s="1"/>
  <c r="GW64" i="38"/>
  <c r="DD64" i="41" s="1"/>
  <c r="GW51" i="38"/>
  <c r="DD51" i="41" s="1"/>
  <c r="GW96" i="38"/>
  <c r="DD96" i="41" s="1"/>
  <c r="GW50" i="38"/>
  <c r="GW73" i="38"/>
  <c r="DD73" i="41" s="1"/>
  <c r="GW72" i="38"/>
  <c r="DD72" i="41" s="1"/>
  <c r="GW65" i="38"/>
  <c r="DD65" i="41" s="1"/>
  <c r="GW89" i="38"/>
  <c r="DD89" i="41" s="1"/>
  <c r="GW58" i="38"/>
  <c r="DD58" i="41" s="1"/>
  <c r="GW88" i="38"/>
  <c r="DD88" i="41" s="1"/>
  <c r="GW55" i="38"/>
  <c r="DD55" i="41" s="1"/>
  <c r="GW53" i="38"/>
  <c r="DD53" i="41" s="1"/>
  <c r="IQ103" i="38"/>
  <c r="IQ106" i="38"/>
  <c r="IQ108" i="38"/>
  <c r="IQ105" i="38"/>
  <c r="IQ110" i="38"/>
  <c r="IQ102" i="38"/>
  <c r="IQ109" i="38"/>
  <c r="IQ96" i="38"/>
  <c r="IQ104" i="38"/>
  <c r="IQ100" i="38"/>
  <c r="IQ97" i="38"/>
  <c r="IQ107" i="38"/>
  <c r="IQ101" i="38"/>
  <c r="IQ98" i="38"/>
  <c r="IQ99" i="38"/>
  <c r="CE27" i="38"/>
  <c r="BO27" i="41" s="1"/>
  <c r="BM34" i="41"/>
  <c r="BH87" i="41"/>
  <c r="BR74" i="38"/>
  <c r="BH74" i="41" s="1"/>
  <c r="BM23" i="41"/>
  <c r="CE23" i="38"/>
  <c r="BO23" i="41" s="1"/>
  <c r="BR37" i="38"/>
  <c r="BH37" i="41" s="1"/>
  <c r="BR58" i="38"/>
  <c r="BH58" i="41" s="1"/>
  <c r="GQ108" i="38"/>
  <c r="GQ101" i="38"/>
  <c r="GQ104" i="38"/>
  <c r="GQ102" i="38"/>
  <c r="GQ110" i="38"/>
  <c r="GQ106" i="38"/>
  <c r="GQ62" i="38"/>
  <c r="GQ72" i="38"/>
  <c r="GQ94" i="38"/>
  <c r="GQ100" i="38"/>
  <c r="GQ58" i="38"/>
  <c r="GQ92" i="38"/>
  <c r="GQ90" i="38"/>
  <c r="GQ91" i="38"/>
  <c r="GQ99" i="38"/>
  <c r="GQ46" i="38"/>
  <c r="GQ89" i="38"/>
  <c r="GQ59" i="38"/>
  <c r="GQ66" i="38"/>
  <c r="GQ53" i="38"/>
  <c r="GQ50" i="38"/>
  <c r="GQ109" i="38"/>
  <c r="GQ74" i="38"/>
  <c r="GQ84" i="38"/>
  <c r="GQ96" i="38"/>
  <c r="GQ88" i="38"/>
  <c r="GQ97" i="38"/>
  <c r="GQ69" i="38"/>
  <c r="GQ65" i="38"/>
  <c r="GQ77" i="38"/>
  <c r="GQ71" i="38"/>
  <c r="GQ48" i="38"/>
  <c r="GQ67" i="38"/>
  <c r="GQ76" i="38"/>
  <c r="GQ52" i="38"/>
  <c r="GQ82" i="38"/>
  <c r="GQ93" i="38"/>
  <c r="GQ83" i="38"/>
  <c r="GQ75" i="38"/>
  <c r="GQ81" i="38"/>
  <c r="GQ49" i="38"/>
  <c r="GQ51" i="38"/>
  <c r="GQ86" i="38"/>
  <c r="GQ105" i="38"/>
  <c r="GQ70" i="38"/>
  <c r="GQ55" i="38"/>
  <c r="GQ68" i="38"/>
  <c r="GQ107" i="38"/>
  <c r="GQ61" i="38"/>
  <c r="GQ45" i="38"/>
  <c r="GQ79" i="38"/>
  <c r="GQ80" i="38"/>
  <c r="GQ103" i="38"/>
  <c r="GQ57" i="38"/>
  <c r="GQ47" i="38"/>
  <c r="GQ44" i="38"/>
  <c r="GQ54" i="38"/>
  <c r="GQ78" i="38"/>
  <c r="GQ64" i="38"/>
  <c r="GQ60" i="38"/>
  <c r="GQ85" i="38"/>
  <c r="GQ87" i="38"/>
  <c r="GQ56" i="38"/>
  <c r="GQ98" i="38"/>
  <c r="GQ95" i="38"/>
  <c r="GQ63" i="38"/>
  <c r="GQ73" i="38"/>
  <c r="IK101" i="38"/>
  <c r="DL101" i="41" s="1"/>
  <c r="IK105" i="38"/>
  <c r="DL105" i="41" s="1"/>
  <c r="IK106" i="38"/>
  <c r="DL106" i="41" s="1"/>
  <c r="IK100" i="38"/>
  <c r="DL100" i="41" s="1"/>
  <c r="IK93" i="38"/>
  <c r="DL93" i="41" s="1"/>
  <c r="IK99" i="38"/>
  <c r="DL99" i="41" s="1"/>
  <c r="IK110" i="38"/>
  <c r="DL110" i="41" s="1"/>
  <c r="IK108" i="38"/>
  <c r="DL108" i="41" s="1"/>
  <c r="IK104" i="38"/>
  <c r="DL104" i="41" s="1"/>
  <c r="IK96" i="38"/>
  <c r="DL96" i="41" s="1"/>
  <c r="IK98" i="38"/>
  <c r="DL98" i="41" s="1"/>
  <c r="IK94" i="38"/>
  <c r="DL94" i="41" s="1"/>
  <c r="IK107" i="38"/>
  <c r="DL107" i="41" s="1"/>
  <c r="IK91" i="38"/>
  <c r="DL91" i="41" s="1"/>
  <c r="IK103" i="38"/>
  <c r="DL103" i="41" s="1"/>
  <c r="IK95" i="38"/>
  <c r="DL95" i="41" s="1"/>
  <c r="IK92" i="38"/>
  <c r="DL92" i="41" s="1"/>
  <c r="IK90" i="38"/>
  <c r="IK109" i="38"/>
  <c r="DL109" i="41" s="1"/>
  <c r="IK102" i="38"/>
  <c r="DL102" i="41" s="1"/>
  <c r="IK97" i="38"/>
  <c r="DL97" i="41" s="1"/>
  <c r="JC109" i="38"/>
  <c r="JC108" i="38"/>
  <c r="JC110" i="38"/>
  <c r="GN108" i="38"/>
  <c r="GN106" i="38"/>
  <c r="GN102" i="38"/>
  <c r="GN109" i="38"/>
  <c r="GN105" i="38"/>
  <c r="GN43" i="38"/>
  <c r="GN60" i="38"/>
  <c r="GN46" i="38"/>
  <c r="GN41" i="38"/>
  <c r="GN50" i="38"/>
  <c r="GN88" i="38"/>
  <c r="GN95" i="38"/>
  <c r="GN94" i="38"/>
  <c r="GN92" i="38"/>
  <c r="GN100" i="38"/>
  <c r="GN74" i="38"/>
  <c r="GN98" i="38"/>
  <c r="GN61" i="38"/>
  <c r="GN78" i="38"/>
  <c r="GN85" i="38"/>
  <c r="GN103" i="38"/>
  <c r="GN104" i="38"/>
  <c r="GN55" i="38"/>
  <c r="GN67" i="38"/>
  <c r="GN99" i="38"/>
  <c r="GN59" i="38"/>
  <c r="GN72" i="38"/>
  <c r="GN44" i="38"/>
  <c r="GN89" i="38"/>
  <c r="GN87" i="38"/>
  <c r="GN77" i="38"/>
  <c r="GN71" i="38"/>
  <c r="GN62" i="38"/>
  <c r="GN69" i="38"/>
  <c r="GN70" i="38"/>
  <c r="GN49" i="38"/>
  <c r="GN57" i="38"/>
  <c r="GN101" i="38"/>
  <c r="GN73" i="38"/>
  <c r="GN47" i="38"/>
  <c r="GN54" i="38"/>
  <c r="GN76" i="38"/>
  <c r="GN84" i="38"/>
  <c r="GN64" i="38"/>
  <c r="GN66" i="38"/>
  <c r="GN52" i="38"/>
  <c r="GN42" i="38"/>
  <c r="GN56" i="38"/>
  <c r="GN80" i="38"/>
  <c r="GN48" i="38"/>
  <c r="GN58" i="38"/>
  <c r="GN93" i="38"/>
  <c r="GN91" i="38"/>
  <c r="GN107" i="38"/>
  <c r="GN45" i="38"/>
  <c r="GN63" i="38"/>
  <c r="GN97" i="38"/>
  <c r="GN51" i="38"/>
  <c r="GN75" i="38"/>
  <c r="GN81" i="38"/>
  <c r="GN65" i="38"/>
  <c r="GN79" i="38"/>
  <c r="GN86" i="38"/>
  <c r="GN82" i="38"/>
  <c r="GN83" i="38"/>
  <c r="GN110" i="38"/>
  <c r="GN68" i="38"/>
  <c r="GN90" i="38"/>
  <c r="GN96" i="38"/>
  <c r="GN53" i="38"/>
  <c r="AO29" i="38"/>
  <c r="AO25" i="38"/>
  <c r="AO22" i="38"/>
  <c r="AO24" i="38"/>
  <c r="AO26" i="38"/>
  <c r="AO23" i="38"/>
  <c r="AO27" i="38"/>
  <c r="AO30" i="38"/>
  <c r="AO28" i="38"/>
  <c r="HT101" i="38"/>
  <c r="HT106" i="38"/>
  <c r="HT110" i="38"/>
  <c r="HT73" i="38"/>
  <c r="HT96" i="38"/>
  <c r="HT83" i="38"/>
  <c r="HT86" i="38"/>
  <c r="HT94" i="38"/>
  <c r="HT88" i="38"/>
  <c r="HT95" i="38"/>
  <c r="HT109" i="38"/>
  <c r="HT107" i="38"/>
  <c r="HT79" i="38"/>
  <c r="HT77" i="38"/>
  <c r="HT97" i="38"/>
  <c r="HT92" i="38"/>
  <c r="HT75" i="38"/>
  <c r="HT91" i="38"/>
  <c r="HT78" i="38"/>
  <c r="HT103" i="38"/>
  <c r="HT104" i="38"/>
  <c r="HT84" i="38"/>
  <c r="HT80" i="38"/>
  <c r="HT85" i="38"/>
  <c r="HT102" i="38"/>
  <c r="HT99" i="38"/>
  <c r="HT76" i="38"/>
  <c r="HT74" i="38"/>
  <c r="HT82" i="38"/>
  <c r="HT90" i="38"/>
  <c r="HT108" i="38"/>
  <c r="HT87" i="38"/>
  <c r="HT81" i="38"/>
  <c r="HT105" i="38"/>
  <c r="HT93" i="38"/>
  <c r="HT89" i="38"/>
  <c r="HT100" i="38"/>
  <c r="HT98" i="38"/>
  <c r="BM98" i="41"/>
  <c r="GV108" i="38"/>
  <c r="GV107" i="38"/>
  <c r="GV109" i="38"/>
  <c r="GV90" i="38"/>
  <c r="GV66" i="38"/>
  <c r="GV58" i="38"/>
  <c r="GV100" i="38"/>
  <c r="GV79" i="38"/>
  <c r="GV87" i="38"/>
  <c r="GV77" i="38"/>
  <c r="GV83" i="38"/>
  <c r="GV52" i="38"/>
  <c r="GV63" i="38"/>
  <c r="GV65" i="38"/>
  <c r="GV93" i="38"/>
  <c r="GV51" i="38"/>
  <c r="GV105" i="38"/>
  <c r="GV104" i="38"/>
  <c r="GV61" i="38"/>
  <c r="GV57" i="38"/>
  <c r="GV64" i="38"/>
  <c r="GV56" i="38"/>
  <c r="GV74" i="38"/>
  <c r="GV70" i="38"/>
  <c r="GV73" i="38"/>
  <c r="GV82" i="38"/>
  <c r="GV55" i="38"/>
  <c r="GV91" i="38"/>
  <c r="GV80" i="38"/>
  <c r="GV75" i="38"/>
  <c r="GV50" i="38"/>
  <c r="GV110" i="38"/>
  <c r="GV106" i="38"/>
  <c r="GV89" i="38"/>
  <c r="GV72" i="38"/>
  <c r="GV99" i="38"/>
  <c r="GV84" i="38"/>
  <c r="GV92" i="38"/>
  <c r="GV97" i="38"/>
  <c r="GV68" i="38"/>
  <c r="GV101" i="38"/>
  <c r="GV96" i="38"/>
  <c r="GV59" i="38"/>
  <c r="GV54" i="38"/>
  <c r="GV85" i="38"/>
  <c r="GV94" i="38"/>
  <c r="GV86" i="38"/>
  <c r="GV76" i="38"/>
  <c r="GV60" i="38"/>
  <c r="GV95" i="38"/>
  <c r="GV69" i="38"/>
  <c r="GV88" i="38"/>
  <c r="GV78" i="38"/>
  <c r="GV53" i="38"/>
  <c r="GV102" i="38"/>
  <c r="GV67" i="38"/>
  <c r="GV71" i="38"/>
  <c r="GV49" i="38"/>
  <c r="GV103" i="38"/>
  <c r="GV81" i="38"/>
  <c r="GV98" i="38"/>
  <c r="GV62" i="38"/>
  <c r="HQ102" i="38"/>
  <c r="DH102" i="41" s="1"/>
  <c r="HQ105" i="38"/>
  <c r="DH105" i="41" s="1"/>
  <c r="HQ80" i="38"/>
  <c r="DH80" i="41" s="1"/>
  <c r="HQ76" i="38"/>
  <c r="DH76" i="41" s="1"/>
  <c r="HQ79" i="38"/>
  <c r="DH79" i="41" s="1"/>
  <c r="HQ70" i="38"/>
  <c r="HQ95" i="38"/>
  <c r="DH95" i="41" s="1"/>
  <c r="HQ72" i="38"/>
  <c r="DH72" i="41" s="1"/>
  <c r="HQ90" i="38"/>
  <c r="DH90" i="41" s="1"/>
  <c r="HQ108" i="38"/>
  <c r="DH108" i="41" s="1"/>
  <c r="HQ110" i="38"/>
  <c r="DH110" i="41" s="1"/>
  <c r="HQ106" i="38"/>
  <c r="DH106" i="41" s="1"/>
  <c r="HQ100" i="38"/>
  <c r="DH100" i="41" s="1"/>
  <c r="HQ78" i="38"/>
  <c r="DH78" i="41" s="1"/>
  <c r="HQ87" i="38"/>
  <c r="DH87" i="41" s="1"/>
  <c r="HQ89" i="38"/>
  <c r="DH89" i="41" s="1"/>
  <c r="HQ98" i="38"/>
  <c r="DH98" i="41" s="1"/>
  <c r="HQ74" i="38"/>
  <c r="DH74" i="41" s="1"/>
  <c r="HQ82" i="38"/>
  <c r="DH82" i="41" s="1"/>
  <c r="HQ73" i="38"/>
  <c r="DH73" i="41" s="1"/>
  <c r="HQ104" i="38"/>
  <c r="DH104" i="41" s="1"/>
  <c r="HQ85" i="38"/>
  <c r="DH85" i="41" s="1"/>
  <c r="HQ91" i="38"/>
  <c r="DH91" i="41" s="1"/>
  <c r="HQ96" i="38"/>
  <c r="DH96" i="41" s="1"/>
  <c r="HQ71" i="38"/>
  <c r="DH71" i="41" s="1"/>
  <c r="HQ101" i="38"/>
  <c r="DH101" i="41" s="1"/>
  <c r="HQ109" i="38"/>
  <c r="DH109" i="41" s="1"/>
  <c r="HQ88" i="38"/>
  <c r="DH88" i="41" s="1"/>
  <c r="HQ77" i="38"/>
  <c r="DH77" i="41" s="1"/>
  <c r="HQ97" i="38"/>
  <c r="DH97" i="41" s="1"/>
  <c r="HQ93" i="38"/>
  <c r="DH93" i="41" s="1"/>
  <c r="HQ107" i="38"/>
  <c r="DH107" i="41" s="1"/>
  <c r="HQ94" i="38"/>
  <c r="DH94" i="41" s="1"/>
  <c r="HQ75" i="38"/>
  <c r="DH75" i="41" s="1"/>
  <c r="HQ84" i="38"/>
  <c r="DH84" i="41" s="1"/>
  <c r="HQ99" i="38"/>
  <c r="DH99" i="41" s="1"/>
  <c r="HQ92" i="38"/>
  <c r="DH92" i="41" s="1"/>
  <c r="HQ83" i="38"/>
  <c r="DH83" i="41" s="1"/>
  <c r="HQ86" i="38"/>
  <c r="DH86" i="41" s="1"/>
  <c r="HQ103" i="38"/>
  <c r="DH103" i="41" s="1"/>
  <c r="HQ81" i="38"/>
  <c r="DH81" i="41" s="1"/>
  <c r="BM25" i="41"/>
  <c r="CE25" i="38"/>
  <c r="BO25" i="41" s="1"/>
  <c r="BR25" i="38"/>
  <c r="GK101" i="38"/>
  <c r="GK106" i="38"/>
  <c r="GK107" i="38"/>
  <c r="GK103" i="38"/>
  <c r="GK109" i="38"/>
  <c r="GK102" i="38"/>
  <c r="GK105" i="38"/>
  <c r="GK88" i="38"/>
  <c r="GK86" i="38"/>
  <c r="GK42" i="38"/>
  <c r="GK72" i="38"/>
  <c r="GK87" i="38"/>
  <c r="GK83" i="38"/>
  <c r="GK76" i="38"/>
  <c r="GK66" i="38"/>
  <c r="GK70" i="38"/>
  <c r="GK79" i="38"/>
  <c r="GK48" i="38"/>
  <c r="GK94" i="38"/>
  <c r="GK84" i="38"/>
  <c r="GK73" i="38"/>
  <c r="GK80" i="38"/>
  <c r="GK108" i="38"/>
  <c r="GK55" i="38"/>
  <c r="GK60" i="38"/>
  <c r="GK74" i="38"/>
  <c r="GK59" i="38"/>
  <c r="GK46" i="38"/>
  <c r="GK54" i="38"/>
  <c r="GK53" i="38"/>
  <c r="GK85" i="38"/>
  <c r="GK51" i="38"/>
  <c r="GK62" i="38"/>
  <c r="GK38" i="38"/>
  <c r="GK82" i="38"/>
  <c r="GK67" i="38"/>
  <c r="GK75" i="38"/>
  <c r="GK45" i="38"/>
  <c r="GK95" i="38"/>
  <c r="GK77" i="38"/>
  <c r="GK64" i="38"/>
  <c r="GK89" i="38"/>
  <c r="GK81" i="38"/>
  <c r="GK47" i="38"/>
  <c r="GK41" i="38"/>
  <c r="GK68" i="38"/>
  <c r="GK63" i="38"/>
  <c r="GK110" i="38"/>
  <c r="GK61" i="38"/>
  <c r="GK40" i="38"/>
  <c r="GK71" i="38"/>
  <c r="GK100" i="38"/>
  <c r="GK91" i="38"/>
  <c r="GK58" i="38"/>
  <c r="GK69" i="38"/>
  <c r="GK96" i="38"/>
  <c r="GK52" i="38"/>
  <c r="GK97" i="38"/>
  <c r="GK92" i="38"/>
  <c r="GK39" i="38"/>
  <c r="GK93" i="38"/>
  <c r="GK56" i="38"/>
  <c r="GK50" i="38"/>
  <c r="GK57" i="38"/>
  <c r="GK43" i="38"/>
  <c r="GK98" i="38"/>
  <c r="GK49" i="38"/>
  <c r="GK44" i="38"/>
  <c r="GK104" i="38"/>
  <c r="GK99" i="38"/>
  <c r="GK78" i="38"/>
  <c r="GK65" i="38"/>
  <c r="GK90" i="38"/>
  <c r="II101" i="38"/>
  <c r="II107" i="38"/>
  <c r="II103" i="38"/>
  <c r="II108" i="38"/>
  <c r="II109" i="38"/>
  <c r="II88" i="38"/>
  <c r="II91" i="38"/>
  <c r="II92" i="38"/>
  <c r="II102" i="38"/>
  <c r="II106" i="38"/>
  <c r="II96" i="38"/>
  <c r="II100" i="38"/>
  <c r="II90" i="38"/>
  <c r="II98" i="38"/>
  <c r="II95" i="38"/>
  <c r="II93" i="38"/>
  <c r="II104" i="38"/>
  <c r="II99" i="38"/>
  <c r="II105" i="38"/>
  <c r="II97" i="38"/>
  <c r="II94" i="38"/>
  <c r="II110" i="38"/>
  <c r="II89" i="38"/>
  <c r="GS108" i="38"/>
  <c r="GS104" i="38"/>
  <c r="GS101" i="38"/>
  <c r="GS109" i="38"/>
  <c r="GS106" i="38"/>
  <c r="GS107" i="38"/>
  <c r="GS62" i="38"/>
  <c r="GS65" i="38"/>
  <c r="GS46" i="38"/>
  <c r="GS88" i="38"/>
  <c r="GS76" i="38"/>
  <c r="GS90" i="38"/>
  <c r="GS75" i="38"/>
  <c r="GS86" i="38"/>
  <c r="GS81" i="38"/>
  <c r="GS83" i="38"/>
  <c r="GS56" i="38"/>
  <c r="GS52" i="38"/>
  <c r="GS53" i="38"/>
  <c r="GS69" i="38"/>
  <c r="GS103" i="38"/>
  <c r="GS105" i="38"/>
  <c r="GS98" i="38"/>
  <c r="GS70" i="38"/>
  <c r="GS60" i="38"/>
  <c r="GS77" i="38"/>
  <c r="GS96" i="38"/>
  <c r="GS64" i="38"/>
  <c r="GS61" i="38"/>
  <c r="GS48" i="38"/>
  <c r="GS58" i="38"/>
  <c r="GS63" i="38"/>
  <c r="GS99" i="38"/>
  <c r="GS80" i="38"/>
  <c r="GS67" i="38"/>
  <c r="GS74" i="38"/>
  <c r="GS100" i="38"/>
  <c r="GS66" i="38"/>
  <c r="GS54" i="38"/>
  <c r="GS73" i="38"/>
  <c r="GS94" i="38"/>
  <c r="GS57" i="38"/>
  <c r="GS84" i="38"/>
  <c r="GS91" i="38"/>
  <c r="GS50" i="38"/>
  <c r="GS92" i="38"/>
  <c r="GS47" i="38"/>
  <c r="GS82" i="38"/>
  <c r="GS59" i="38"/>
  <c r="GS110" i="38"/>
  <c r="GS51" i="38"/>
  <c r="GS79" i="38"/>
  <c r="GS87" i="38"/>
  <c r="GS93" i="38"/>
  <c r="GS97" i="38"/>
  <c r="GS89" i="38"/>
  <c r="GS49" i="38"/>
  <c r="GS102" i="38"/>
  <c r="GS85" i="38"/>
  <c r="GS72" i="38"/>
  <c r="GS95" i="38"/>
  <c r="GS71" i="38"/>
  <c r="GS55" i="38"/>
  <c r="GS78" i="38"/>
  <c r="GS68" i="38"/>
  <c r="IR110" i="38"/>
  <c r="IR102" i="38"/>
  <c r="IR99" i="38"/>
  <c r="IR107" i="38"/>
  <c r="IR106" i="38"/>
  <c r="IR97" i="38"/>
  <c r="IR100" i="38"/>
  <c r="IR109" i="38"/>
  <c r="IR101" i="38"/>
  <c r="IR105" i="38"/>
  <c r="IR98" i="38"/>
  <c r="IR108" i="38"/>
  <c r="IR104" i="38"/>
  <c r="IR103" i="38"/>
  <c r="BR31" i="38"/>
  <c r="BH31" i="41" s="1"/>
  <c r="BX30" i="38"/>
  <c r="BJ30" i="41" s="1"/>
  <c r="FX103" i="38"/>
  <c r="CY103" i="41" s="1"/>
  <c r="FX29" i="38"/>
  <c r="CY29" i="41" s="1"/>
  <c r="FX47" i="38"/>
  <c r="CY47" i="41" s="1"/>
  <c r="FX25" i="38"/>
  <c r="FX86" i="38"/>
  <c r="CY86" i="41" s="1"/>
  <c r="FX77" i="38"/>
  <c r="CY77" i="41" s="1"/>
  <c r="FX76" i="38"/>
  <c r="CY76" i="41" s="1"/>
  <c r="FX57" i="38"/>
  <c r="CY57" i="41" s="1"/>
  <c r="FX39" i="38"/>
  <c r="CY39" i="41" s="1"/>
  <c r="FX50" i="38"/>
  <c r="CY50" i="41" s="1"/>
  <c r="FX79" i="38"/>
  <c r="CY79" i="41" s="1"/>
  <c r="FX94" i="38"/>
  <c r="CY94" i="41" s="1"/>
  <c r="FX45" i="38"/>
  <c r="CY45" i="41" s="1"/>
  <c r="FX70" i="38"/>
  <c r="CY70" i="41" s="1"/>
  <c r="FX73" i="38"/>
  <c r="CY73" i="41" s="1"/>
  <c r="FX52" i="38"/>
  <c r="CY52" i="41" s="1"/>
  <c r="FX102" i="38"/>
  <c r="CY102" i="41" s="1"/>
  <c r="FX95" i="38"/>
  <c r="CY95" i="41" s="1"/>
  <c r="FX43" i="38"/>
  <c r="CY43" i="41" s="1"/>
  <c r="FX59" i="38"/>
  <c r="CY59" i="41" s="1"/>
  <c r="FX88" i="38"/>
  <c r="CY88" i="41" s="1"/>
  <c r="FX31" i="38"/>
  <c r="CY31" i="41" s="1"/>
  <c r="FX67" i="38"/>
  <c r="CY67" i="41" s="1"/>
  <c r="FX49" i="38"/>
  <c r="CY49" i="41" s="1"/>
  <c r="FX46" i="38"/>
  <c r="CY46" i="41" s="1"/>
  <c r="FX98" i="38"/>
  <c r="CY98" i="41" s="1"/>
  <c r="FX55" i="38"/>
  <c r="CY55" i="41" s="1"/>
  <c r="FX84" i="38"/>
  <c r="CY84" i="41" s="1"/>
  <c r="FX90" i="38"/>
  <c r="CY90" i="41" s="1"/>
  <c r="FX26" i="38"/>
  <c r="CY26" i="41" s="1"/>
  <c r="FX38" i="38"/>
  <c r="CY38" i="41" s="1"/>
  <c r="FX92" i="38"/>
  <c r="CY92" i="41" s="1"/>
  <c r="FX66" i="38"/>
  <c r="CY66" i="41" s="1"/>
  <c r="FX97" i="38"/>
  <c r="CY97" i="41" s="1"/>
  <c r="FX100" i="38"/>
  <c r="CY100" i="41" s="1"/>
  <c r="FX44" i="38"/>
  <c r="CY44" i="41" s="1"/>
  <c r="FX37" i="38"/>
  <c r="CY37" i="41" s="1"/>
  <c r="FX109" i="38"/>
  <c r="CY109" i="41" s="1"/>
  <c r="FX96" i="38"/>
  <c r="CY96" i="41" s="1"/>
  <c r="FX80" i="38"/>
  <c r="CY80" i="41" s="1"/>
  <c r="FX54" i="38"/>
  <c r="CY54" i="41" s="1"/>
  <c r="FX64" i="38"/>
  <c r="CY64" i="41" s="1"/>
  <c r="FX104" i="38"/>
  <c r="CY104" i="41" s="1"/>
  <c r="FX56" i="38"/>
  <c r="CY56" i="41" s="1"/>
  <c r="FX41" i="38"/>
  <c r="CY41" i="41" s="1"/>
  <c r="FX107" i="38"/>
  <c r="CY107" i="41" s="1"/>
  <c r="FX62" i="38"/>
  <c r="CY62" i="41" s="1"/>
  <c r="FX83" i="38"/>
  <c r="CY83" i="41" s="1"/>
  <c r="FX106" i="38"/>
  <c r="CY106" i="41" s="1"/>
  <c r="FX30" i="38"/>
  <c r="CY30" i="41" s="1"/>
  <c r="FX93" i="38"/>
  <c r="CY93" i="41" s="1"/>
  <c r="FX89" i="38"/>
  <c r="CY89" i="41" s="1"/>
  <c r="FX42" i="38"/>
  <c r="CY42" i="41" s="1"/>
  <c r="FX40" i="38"/>
  <c r="CY40" i="41" s="1"/>
  <c r="FX82" i="38"/>
  <c r="CY82" i="41" s="1"/>
  <c r="FX91" i="38"/>
  <c r="CY91" i="41" s="1"/>
  <c r="FX53" i="38"/>
  <c r="CY53" i="41" s="1"/>
  <c r="FX99" i="38"/>
  <c r="CY99" i="41" s="1"/>
  <c r="FX68" i="38"/>
  <c r="CY68" i="41" s="1"/>
  <c r="FX34" i="38"/>
  <c r="CY34" i="41" s="1"/>
  <c r="FX72" i="38"/>
  <c r="CY72" i="41" s="1"/>
  <c r="FX87" i="38"/>
  <c r="CY87" i="41" s="1"/>
  <c r="FX85" i="38"/>
  <c r="CY85" i="41" s="1"/>
  <c r="FX110" i="38"/>
  <c r="CY110" i="41" s="1"/>
  <c r="FX61" i="38"/>
  <c r="CY61" i="41" s="1"/>
  <c r="FX105" i="38"/>
  <c r="CY105" i="41" s="1"/>
  <c r="FX58" i="38"/>
  <c r="CY58" i="41" s="1"/>
  <c r="FX32" i="38"/>
  <c r="CY32" i="41" s="1"/>
  <c r="FX108" i="38"/>
  <c r="CY108" i="41" s="1"/>
  <c r="FX48" i="38"/>
  <c r="CY48" i="41" s="1"/>
  <c r="FX63" i="38"/>
  <c r="CY63" i="41" s="1"/>
  <c r="FX81" i="38"/>
  <c r="CY81" i="41" s="1"/>
  <c r="FX74" i="38"/>
  <c r="CY74" i="41" s="1"/>
  <c r="FX65" i="38"/>
  <c r="CY65" i="41" s="1"/>
  <c r="FX60" i="38"/>
  <c r="CY60" i="41" s="1"/>
  <c r="FX75" i="38"/>
  <c r="CY75" i="41" s="1"/>
  <c r="FX71" i="38"/>
  <c r="CY71" i="41" s="1"/>
  <c r="FX33" i="38"/>
  <c r="CY33" i="41" s="1"/>
  <c r="FX27" i="38"/>
  <c r="CY27" i="41" s="1"/>
  <c r="FX28" i="38"/>
  <c r="CY28" i="41" s="1"/>
  <c r="FX101" i="38"/>
  <c r="CY101" i="41" s="1"/>
  <c r="FX78" i="38"/>
  <c r="CY78" i="41" s="1"/>
  <c r="FX36" i="38"/>
  <c r="CY36" i="41" s="1"/>
  <c r="FX35" i="38"/>
  <c r="CY35" i="41" s="1"/>
  <c r="FX51" i="38"/>
  <c r="CY51" i="41" s="1"/>
  <c r="FX69" i="38"/>
  <c r="CY69" i="41" s="1"/>
  <c r="HV105" i="38"/>
  <c r="DI105" i="41" s="1"/>
  <c r="HV106" i="38"/>
  <c r="DI106" i="41" s="1"/>
  <c r="HV96" i="38"/>
  <c r="DI96" i="41" s="1"/>
  <c r="HV97" i="38"/>
  <c r="DI97" i="41" s="1"/>
  <c r="HV92" i="38"/>
  <c r="DI92" i="41" s="1"/>
  <c r="HV81" i="38"/>
  <c r="DI81" i="41" s="1"/>
  <c r="HV82" i="38"/>
  <c r="DI82" i="41" s="1"/>
  <c r="HV79" i="38"/>
  <c r="DI79" i="41" s="1"/>
  <c r="HV86" i="38"/>
  <c r="DI86" i="41" s="1"/>
  <c r="HV108" i="38"/>
  <c r="DI108" i="41" s="1"/>
  <c r="HV109" i="38"/>
  <c r="DI109" i="41" s="1"/>
  <c r="HV85" i="38"/>
  <c r="DI85" i="41" s="1"/>
  <c r="HV99" i="38"/>
  <c r="DI99" i="41" s="1"/>
  <c r="HV77" i="38"/>
  <c r="DI77" i="41" s="1"/>
  <c r="HV84" i="38"/>
  <c r="DI84" i="41" s="1"/>
  <c r="HV80" i="38"/>
  <c r="DI80" i="41" s="1"/>
  <c r="HV94" i="38"/>
  <c r="DI94" i="41" s="1"/>
  <c r="HV83" i="38"/>
  <c r="DI83" i="41" s="1"/>
  <c r="HV101" i="38"/>
  <c r="DI101" i="41" s="1"/>
  <c r="HV93" i="38"/>
  <c r="DI93" i="41" s="1"/>
  <c r="HV88" i="38"/>
  <c r="DI88" i="41" s="1"/>
  <c r="HV90" i="38"/>
  <c r="DI90" i="41" s="1"/>
  <c r="HV110" i="38"/>
  <c r="DI110" i="41" s="1"/>
  <c r="HV107" i="38"/>
  <c r="DI107" i="41" s="1"/>
  <c r="HV100" i="38"/>
  <c r="DI100" i="41" s="1"/>
  <c r="HV91" i="38"/>
  <c r="DI91" i="41" s="1"/>
  <c r="HV89" i="38"/>
  <c r="DI89" i="41" s="1"/>
  <c r="HV87" i="38"/>
  <c r="DI87" i="41" s="1"/>
  <c r="HV98" i="38"/>
  <c r="DI98" i="41" s="1"/>
  <c r="HV102" i="38"/>
  <c r="DI102" i="41" s="1"/>
  <c r="HV95" i="38"/>
  <c r="DI95" i="41" s="1"/>
  <c r="HV103" i="38"/>
  <c r="DI103" i="41" s="1"/>
  <c r="HV76" i="38"/>
  <c r="DI76" i="41" s="1"/>
  <c r="HV75" i="38"/>
  <c r="HV78" i="38"/>
  <c r="DI78" i="41" s="1"/>
  <c r="HV104" i="38"/>
  <c r="DI104" i="41" s="1"/>
  <c r="IP110" i="38"/>
  <c r="DM110" i="41" s="1"/>
  <c r="IP109" i="38"/>
  <c r="DM109" i="41" s="1"/>
  <c r="IP104" i="38"/>
  <c r="DM104" i="41" s="1"/>
  <c r="IP96" i="38"/>
  <c r="DM96" i="41" s="1"/>
  <c r="IP98" i="38"/>
  <c r="DM98" i="41" s="1"/>
  <c r="IP101" i="38"/>
  <c r="DM101" i="41" s="1"/>
  <c r="IP106" i="38"/>
  <c r="DM106" i="41" s="1"/>
  <c r="IP97" i="38"/>
  <c r="DM97" i="41" s="1"/>
  <c r="IP99" i="38"/>
  <c r="DM99" i="41" s="1"/>
  <c r="IP108" i="38"/>
  <c r="DM108" i="41" s="1"/>
  <c r="IP95" i="38"/>
  <c r="IP105" i="38"/>
  <c r="DM105" i="41" s="1"/>
  <c r="IP100" i="38"/>
  <c r="DM100" i="41" s="1"/>
  <c r="IP102" i="38"/>
  <c r="DM102" i="41" s="1"/>
  <c r="IP103" i="38"/>
  <c r="DM103" i="41" s="1"/>
  <c r="IP107" i="38"/>
  <c r="DM107" i="41" s="1"/>
  <c r="IM108" i="38"/>
  <c r="IM109" i="38"/>
  <c r="IM104" i="38"/>
  <c r="IM107" i="38"/>
  <c r="IM102" i="38"/>
  <c r="IM101" i="38"/>
  <c r="IM110" i="38"/>
  <c r="IM99" i="38"/>
  <c r="IM98" i="38"/>
  <c r="IM103" i="38"/>
  <c r="IM96" i="38"/>
  <c r="IM94" i="38"/>
  <c r="IM106" i="38"/>
  <c r="IM93" i="38"/>
  <c r="IM95" i="38"/>
  <c r="IM92" i="38"/>
  <c r="IM97" i="38"/>
  <c r="IM105" i="38"/>
  <c r="IM100" i="38"/>
  <c r="HJ102" i="38"/>
  <c r="HJ105" i="38"/>
  <c r="HJ104" i="38"/>
  <c r="HJ107" i="38"/>
  <c r="HJ106" i="38"/>
  <c r="HJ108" i="38"/>
  <c r="HJ110" i="38"/>
  <c r="HJ100" i="38"/>
  <c r="HJ87" i="38"/>
  <c r="HJ71" i="38"/>
  <c r="HJ69" i="38"/>
  <c r="HJ76" i="38"/>
  <c r="HJ72" i="38"/>
  <c r="HJ89" i="38"/>
  <c r="HJ70" i="38"/>
  <c r="HJ86" i="38"/>
  <c r="HJ103" i="38"/>
  <c r="HJ96" i="38"/>
  <c r="HJ82" i="38"/>
  <c r="HJ78" i="38"/>
  <c r="HJ95" i="38"/>
  <c r="HJ63" i="38"/>
  <c r="HJ85" i="38"/>
  <c r="HJ99" i="38"/>
  <c r="HJ80" i="38"/>
  <c r="HJ93" i="38"/>
  <c r="HJ101" i="38"/>
  <c r="HJ67" i="38"/>
  <c r="HJ68" i="38"/>
  <c r="HJ65" i="38"/>
  <c r="HJ98" i="38"/>
  <c r="HJ97" i="38"/>
  <c r="HJ77" i="38"/>
  <c r="HJ74" i="38"/>
  <c r="HJ109" i="38"/>
  <c r="HJ73" i="38"/>
  <c r="HJ88" i="38"/>
  <c r="HJ91" i="38"/>
  <c r="HJ92" i="38"/>
  <c r="HJ79" i="38"/>
  <c r="HJ94" i="38"/>
  <c r="HJ83" i="38"/>
  <c r="HJ84" i="38"/>
  <c r="HJ64" i="38"/>
  <c r="HJ66" i="38"/>
  <c r="HJ75" i="38"/>
  <c r="HJ81" i="38"/>
  <c r="HJ90" i="38"/>
  <c r="HR103" i="38"/>
  <c r="HR104" i="38"/>
  <c r="HR107" i="38"/>
  <c r="HR105" i="38"/>
  <c r="HR110" i="38"/>
  <c r="HR108" i="38"/>
  <c r="HR106" i="38"/>
  <c r="HR100" i="38"/>
  <c r="HR77" i="38"/>
  <c r="HR88" i="38"/>
  <c r="HR99" i="38"/>
  <c r="HR93" i="38"/>
  <c r="HR83" i="38"/>
  <c r="HR75" i="38"/>
  <c r="HR81" i="38"/>
  <c r="HR101" i="38"/>
  <c r="HR79" i="38"/>
  <c r="HR96" i="38"/>
  <c r="HR71" i="38"/>
  <c r="HR94" i="38"/>
  <c r="HR84" i="38"/>
  <c r="HR72" i="38"/>
  <c r="HR82" i="38"/>
  <c r="HR85" i="38"/>
  <c r="HR87" i="38"/>
  <c r="HR74" i="38"/>
  <c r="HR97" i="38"/>
  <c r="HR89" i="38"/>
  <c r="HR95" i="38"/>
  <c r="HR86" i="38"/>
  <c r="HR102" i="38"/>
  <c r="HR76" i="38"/>
  <c r="HR91" i="38"/>
  <c r="HR73" i="38"/>
  <c r="HR78" i="38"/>
  <c r="HR109" i="38"/>
  <c r="HR92" i="38"/>
  <c r="HR80" i="38"/>
  <c r="HR98" i="38"/>
  <c r="HR90" i="38"/>
  <c r="FZ103" i="38"/>
  <c r="FZ30" i="38"/>
  <c r="FZ45" i="38"/>
  <c r="FZ42" i="38"/>
  <c r="FZ71" i="38"/>
  <c r="FZ81" i="38"/>
  <c r="FZ64" i="38"/>
  <c r="FZ52" i="38"/>
  <c r="FZ80" i="38"/>
  <c r="FZ28" i="38"/>
  <c r="FZ47" i="38"/>
  <c r="FZ94" i="38"/>
  <c r="FZ104" i="38"/>
  <c r="FZ67" i="38"/>
  <c r="FZ58" i="38"/>
  <c r="FZ40" i="38"/>
  <c r="FZ76" i="38"/>
  <c r="FZ59" i="38"/>
  <c r="FZ54" i="38"/>
  <c r="FZ37" i="38"/>
  <c r="FZ70" i="38"/>
  <c r="FZ78" i="38"/>
  <c r="FZ89" i="38"/>
  <c r="FZ50" i="38"/>
  <c r="FZ60" i="38"/>
  <c r="FZ84" i="38"/>
  <c r="FZ51" i="38"/>
  <c r="FZ49" i="38"/>
  <c r="FZ77" i="38"/>
  <c r="FZ90" i="38"/>
  <c r="FZ102" i="38"/>
  <c r="FZ105" i="38"/>
  <c r="FZ108" i="38"/>
  <c r="FZ83" i="38"/>
  <c r="FZ68" i="38"/>
  <c r="FZ65" i="38"/>
  <c r="FZ29" i="38"/>
  <c r="FZ99" i="38"/>
  <c r="FZ55" i="38"/>
  <c r="FZ95" i="38"/>
  <c r="FZ43" i="38"/>
  <c r="FZ87" i="38"/>
  <c r="FZ106" i="38"/>
  <c r="FZ31" i="38"/>
  <c r="FZ74" i="38"/>
  <c r="FZ57" i="38"/>
  <c r="FZ36" i="38"/>
  <c r="FZ107" i="38"/>
  <c r="FZ75" i="38"/>
  <c r="FZ53" i="38"/>
  <c r="FZ96" i="38"/>
  <c r="FZ48" i="38"/>
  <c r="FZ97" i="38"/>
  <c r="FZ86" i="38"/>
  <c r="FZ88" i="38"/>
  <c r="FZ38" i="38"/>
  <c r="FZ91" i="38"/>
  <c r="FZ33" i="38"/>
  <c r="FZ101" i="38"/>
  <c r="FZ63" i="38"/>
  <c r="FZ46" i="38"/>
  <c r="FZ62" i="38"/>
  <c r="FZ85" i="38"/>
  <c r="FZ82" i="38"/>
  <c r="FZ61" i="38"/>
  <c r="FZ73" i="38"/>
  <c r="FZ44" i="38"/>
  <c r="FZ66" i="38"/>
  <c r="FZ56" i="38"/>
  <c r="FZ98" i="38"/>
  <c r="FZ92" i="38"/>
  <c r="FZ100" i="38"/>
  <c r="FZ72" i="38"/>
  <c r="FZ110" i="38"/>
  <c r="FZ109" i="38"/>
  <c r="FZ41" i="38"/>
  <c r="FZ34" i="38"/>
  <c r="FZ69" i="38"/>
  <c r="FZ27" i="38"/>
  <c r="FZ32" i="38"/>
  <c r="FZ39" i="38"/>
  <c r="FZ35" i="38"/>
  <c r="FZ93" i="38"/>
  <c r="FZ79" i="38"/>
  <c r="HF102" i="38"/>
  <c r="HF105" i="38"/>
  <c r="HF94" i="38"/>
  <c r="HF86" i="38"/>
  <c r="HF76" i="38"/>
  <c r="HF95" i="38"/>
  <c r="HF80" i="38"/>
  <c r="HF87" i="38"/>
  <c r="HF98" i="38"/>
  <c r="HF69" i="38"/>
  <c r="HF97" i="38"/>
  <c r="HF78" i="38"/>
  <c r="HF82" i="38"/>
  <c r="HF103" i="38"/>
  <c r="HF101" i="38"/>
  <c r="HF106" i="38"/>
  <c r="HF59" i="38"/>
  <c r="HF90" i="38"/>
  <c r="HF73" i="38"/>
  <c r="HF89" i="38"/>
  <c r="HF63" i="38"/>
  <c r="HF84" i="38"/>
  <c r="HF71" i="38"/>
  <c r="HF93" i="38"/>
  <c r="HF74" i="38"/>
  <c r="HF66" i="38"/>
  <c r="HF108" i="38"/>
  <c r="HF65" i="38"/>
  <c r="HF77" i="38"/>
  <c r="HF70" i="38"/>
  <c r="HF88" i="38"/>
  <c r="HF91" i="38"/>
  <c r="HF75" i="38"/>
  <c r="HF109" i="38"/>
  <c r="HF67" i="38"/>
  <c r="HF60" i="38"/>
  <c r="HF79" i="38"/>
  <c r="HF100" i="38"/>
  <c r="HF96" i="38"/>
  <c r="HF104" i="38"/>
  <c r="HF99" i="38"/>
  <c r="HF81" i="38"/>
  <c r="HF61" i="38"/>
  <c r="HF107" i="38"/>
  <c r="HF72" i="38"/>
  <c r="HF92" i="38"/>
  <c r="HF64" i="38"/>
  <c r="HF83" i="38"/>
  <c r="HF110" i="38"/>
  <c r="HF62" i="38"/>
  <c r="HF68" i="38"/>
  <c r="HF85" i="38"/>
  <c r="HB105" i="38"/>
  <c r="DE105" i="41" s="1"/>
  <c r="HB103" i="38"/>
  <c r="DE103" i="41" s="1"/>
  <c r="HB102" i="38"/>
  <c r="DE102" i="41" s="1"/>
  <c r="HB67" i="38"/>
  <c r="DE67" i="41" s="1"/>
  <c r="HB108" i="38"/>
  <c r="DE108" i="41" s="1"/>
  <c r="HB104" i="38"/>
  <c r="DE104" i="41" s="1"/>
  <c r="HB107" i="38"/>
  <c r="DE107" i="41" s="1"/>
  <c r="HB83" i="38"/>
  <c r="DE83" i="41" s="1"/>
  <c r="HB78" i="38"/>
  <c r="DE78" i="41" s="1"/>
  <c r="HB89" i="38"/>
  <c r="DE89" i="41" s="1"/>
  <c r="HB77" i="38"/>
  <c r="DE77" i="41" s="1"/>
  <c r="HB61" i="38"/>
  <c r="DE61" i="41" s="1"/>
  <c r="HB95" i="38"/>
  <c r="DE95" i="41" s="1"/>
  <c r="HB110" i="38"/>
  <c r="DE110" i="41" s="1"/>
  <c r="HB75" i="38"/>
  <c r="DE75" i="41" s="1"/>
  <c r="HB84" i="38"/>
  <c r="DE84" i="41" s="1"/>
  <c r="HB81" i="38"/>
  <c r="DE81" i="41" s="1"/>
  <c r="HB87" i="38"/>
  <c r="DE87" i="41" s="1"/>
  <c r="HB64" i="38"/>
  <c r="DE64" i="41" s="1"/>
  <c r="HB57" i="38"/>
  <c r="DE57" i="41" s="1"/>
  <c r="HB65" i="38"/>
  <c r="DE65" i="41" s="1"/>
  <c r="HB70" i="38"/>
  <c r="DE70" i="41" s="1"/>
  <c r="HB91" i="38"/>
  <c r="DE91" i="41" s="1"/>
  <c r="HB55" i="38"/>
  <c r="HB97" i="38"/>
  <c r="DE97" i="41" s="1"/>
  <c r="HB86" i="38"/>
  <c r="DE86" i="41" s="1"/>
  <c r="HB92" i="38"/>
  <c r="DE92" i="41" s="1"/>
  <c r="HB71" i="38"/>
  <c r="DE71" i="41" s="1"/>
  <c r="HB106" i="38"/>
  <c r="DE106" i="41" s="1"/>
  <c r="HB109" i="38"/>
  <c r="DE109" i="41" s="1"/>
  <c r="HB72" i="38"/>
  <c r="DE72" i="41" s="1"/>
  <c r="HB58" i="38"/>
  <c r="DE58" i="41" s="1"/>
  <c r="HB96" i="38"/>
  <c r="DE96" i="41" s="1"/>
  <c r="HB76" i="38"/>
  <c r="DE76" i="41" s="1"/>
  <c r="HB101" i="38"/>
  <c r="DE101" i="41" s="1"/>
  <c r="HB59" i="38"/>
  <c r="DE59" i="41" s="1"/>
  <c r="HB94" i="38"/>
  <c r="DE94" i="41" s="1"/>
  <c r="HB88" i="38"/>
  <c r="DE88" i="41" s="1"/>
  <c r="HB100" i="38"/>
  <c r="DE100" i="41" s="1"/>
  <c r="HB74" i="38"/>
  <c r="DE74" i="41" s="1"/>
  <c r="HB80" i="38"/>
  <c r="DE80" i="41" s="1"/>
  <c r="HB62" i="38"/>
  <c r="DE62" i="41" s="1"/>
  <c r="HB69" i="38"/>
  <c r="DE69" i="41" s="1"/>
  <c r="HB90" i="38"/>
  <c r="DE90" i="41" s="1"/>
  <c r="HB60" i="38"/>
  <c r="DE60" i="41" s="1"/>
  <c r="HB82" i="38"/>
  <c r="DE82" i="41" s="1"/>
  <c r="HB99" i="38"/>
  <c r="DE99" i="41" s="1"/>
  <c r="HB63" i="38"/>
  <c r="DE63" i="41" s="1"/>
  <c r="HB79" i="38"/>
  <c r="DE79" i="41" s="1"/>
  <c r="HB93" i="38"/>
  <c r="DE93" i="41" s="1"/>
  <c r="HB68" i="38"/>
  <c r="DE68" i="41" s="1"/>
  <c r="HB85" i="38"/>
  <c r="DE85" i="41" s="1"/>
  <c r="HB98" i="38"/>
  <c r="DE98" i="41" s="1"/>
  <c r="HB73" i="38"/>
  <c r="DE73" i="41" s="1"/>
  <c r="HB66" i="38"/>
  <c r="DE66" i="41" s="1"/>
  <c r="HB56" i="38"/>
  <c r="DE56" i="41" s="1"/>
  <c r="BR23" i="41"/>
  <c r="CL23" i="38"/>
  <c r="IH105" i="38"/>
  <c r="IH104" i="38"/>
  <c r="IH98" i="38"/>
  <c r="IH89" i="38"/>
  <c r="IH100" i="38"/>
  <c r="IH94" i="38"/>
  <c r="IH110" i="38"/>
  <c r="IH106" i="38"/>
  <c r="IH102" i="38"/>
  <c r="IH91" i="38"/>
  <c r="IH92" i="38"/>
  <c r="IH90" i="38"/>
  <c r="IH109" i="38"/>
  <c r="IH95" i="38"/>
  <c r="IH87" i="38"/>
  <c r="IH101" i="38"/>
  <c r="IH88" i="38"/>
  <c r="IH97" i="38"/>
  <c r="IH108" i="38"/>
  <c r="IH103" i="38"/>
  <c r="IH96" i="38"/>
  <c r="IH99" i="38"/>
  <c r="IH93" i="38"/>
  <c r="IH107" i="38"/>
  <c r="GR110" i="38"/>
  <c r="DC110" i="41" s="1"/>
  <c r="GR105" i="38"/>
  <c r="DC105" i="41" s="1"/>
  <c r="GR104" i="38"/>
  <c r="DC104" i="41" s="1"/>
  <c r="GR102" i="38"/>
  <c r="DC102" i="41" s="1"/>
  <c r="GR108" i="38"/>
  <c r="DC108" i="41" s="1"/>
  <c r="GR101" i="38"/>
  <c r="DC101" i="41" s="1"/>
  <c r="GR47" i="38"/>
  <c r="DC47" i="41" s="1"/>
  <c r="GR75" i="38"/>
  <c r="DC75" i="41" s="1"/>
  <c r="GR53" i="38"/>
  <c r="DC53" i="41" s="1"/>
  <c r="GR57" i="38"/>
  <c r="DC57" i="41" s="1"/>
  <c r="GR88" i="38"/>
  <c r="DC88" i="41" s="1"/>
  <c r="GR54" i="38"/>
  <c r="DC54" i="41" s="1"/>
  <c r="GR65" i="38"/>
  <c r="DC65" i="41" s="1"/>
  <c r="GR71" i="38"/>
  <c r="DC71" i="41" s="1"/>
  <c r="GR99" i="38"/>
  <c r="DC99" i="41" s="1"/>
  <c r="GR95" i="38"/>
  <c r="DC95" i="41" s="1"/>
  <c r="GR94" i="38"/>
  <c r="DC94" i="41" s="1"/>
  <c r="GR103" i="38"/>
  <c r="DC103" i="41" s="1"/>
  <c r="GR84" i="38"/>
  <c r="DC84" i="41" s="1"/>
  <c r="GR64" i="38"/>
  <c r="DC64" i="41" s="1"/>
  <c r="GR80" i="38"/>
  <c r="DC80" i="41" s="1"/>
  <c r="GR100" i="38"/>
  <c r="DC100" i="41" s="1"/>
  <c r="GR59" i="38"/>
  <c r="DC59" i="41" s="1"/>
  <c r="GR69" i="38"/>
  <c r="DC69" i="41" s="1"/>
  <c r="GR48" i="38"/>
  <c r="DC48" i="41" s="1"/>
  <c r="GR81" i="38"/>
  <c r="DC81" i="41" s="1"/>
  <c r="GR96" i="38"/>
  <c r="DC96" i="41" s="1"/>
  <c r="GR55" i="38"/>
  <c r="DC55" i="41" s="1"/>
  <c r="GR49" i="38"/>
  <c r="DC49" i="41" s="1"/>
  <c r="GR90" i="38"/>
  <c r="DC90" i="41" s="1"/>
  <c r="GR58" i="38"/>
  <c r="DC58" i="41" s="1"/>
  <c r="GR70" i="38"/>
  <c r="DC70" i="41" s="1"/>
  <c r="GR87" i="38"/>
  <c r="DC87" i="41" s="1"/>
  <c r="GR60" i="38"/>
  <c r="DC60" i="41" s="1"/>
  <c r="GR68" i="38"/>
  <c r="DC68" i="41" s="1"/>
  <c r="GR106" i="38"/>
  <c r="DC106" i="41" s="1"/>
  <c r="GR52" i="38"/>
  <c r="DC52" i="41" s="1"/>
  <c r="GR50" i="38"/>
  <c r="DC50" i="41" s="1"/>
  <c r="GR74" i="38"/>
  <c r="DC74" i="41" s="1"/>
  <c r="GR85" i="38"/>
  <c r="DC85" i="41" s="1"/>
  <c r="GR77" i="38"/>
  <c r="DC77" i="41" s="1"/>
  <c r="GR72" i="38"/>
  <c r="DC72" i="41" s="1"/>
  <c r="GR67" i="38"/>
  <c r="DC67" i="41" s="1"/>
  <c r="GR83" i="38"/>
  <c r="DC83" i="41" s="1"/>
  <c r="GR86" i="38"/>
  <c r="DC86" i="41" s="1"/>
  <c r="GR51" i="38"/>
  <c r="DC51" i="41" s="1"/>
  <c r="GR92" i="38"/>
  <c r="DC92" i="41" s="1"/>
  <c r="GR45" i="38"/>
  <c r="GR78" i="38"/>
  <c r="DC78" i="41" s="1"/>
  <c r="GR91" i="38"/>
  <c r="DC91" i="41" s="1"/>
  <c r="GR61" i="38"/>
  <c r="DC61" i="41" s="1"/>
  <c r="GR89" i="38"/>
  <c r="DC89" i="41" s="1"/>
  <c r="GR76" i="38"/>
  <c r="DC76" i="41" s="1"/>
  <c r="GR73" i="38"/>
  <c r="DC73" i="41" s="1"/>
  <c r="GR97" i="38"/>
  <c r="DC97" i="41" s="1"/>
  <c r="GR56" i="38"/>
  <c r="DC56" i="41" s="1"/>
  <c r="GR66" i="38"/>
  <c r="DC66" i="41" s="1"/>
  <c r="GR82" i="38"/>
  <c r="DC82" i="41" s="1"/>
  <c r="GR98" i="38"/>
  <c r="DC98" i="41" s="1"/>
  <c r="GR79" i="38"/>
  <c r="DC79" i="41" s="1"/>
  <c r="GR46" i="38"/>
  <c r="DC46" i="41" s="1"/>
  <c r="GR107" i="38"/>
  <c r="DC107" i="41" s="1"/>
  <c r="GR63" i="38"/>
  <c r="DC63" i="41" s="1"/>
  <c r="GR93" i="38"/>
  <c r="DC93" i="41" s="1"/>
  <c r="GR109" i="38"/>
  <c r="DC109" i="41" s="1"/>
  <c r="GR62" i="38"/>
  <c r="DC62" i="41" s="1"/>
  <c r="IW108" i="38"/>
  <c r="IW106" i="38"/>
  <c r="IW103" i="38"/>
  <c r="IW105" i="38"/>
  <c r="IW104" i="38"/>
  <c r="IW102" i="38"/>
  <c r="IW110" i="38"/>
  <c r="IW107" i="38"/>
  <c r="IW109" i="38"/>
  <c r="IU108" i="38"/>
  <c r="DN108" i="41" s="1"/>
  <c r="IU109" i="38"/>
  <c r="DN109" i="41" s="1"/>
  <c r="IU104" i="38"/>
  <c r="DN104" i="41" s="1"/>
  <c r="IU110" i="38"/>
  <c r="DN110" i="41" s="1"/>
  <c r="IU102" i="38"/>
  <c r="DN102" i="41" s="1"/>
  <c r="IU101" i="38"/>
  <c r="DN101" i="41" s="1"/>
  <c r="IU103" i="38"/>
  <c r="DN103" i="41" s="1"/>
  <c r="IU105" i="38"/>
  <c r="DN105" i="41" s="1"/>
  <c r="IU100" i="38"/>
  <c r="IU106" i="38"/>
  <c r="DN106" i="41" s="1"/>
  <c r="IU107" i="38"/>
  <c r="DN107" i="41" s="1"/>
  <c r="CE22" i="38"/>
  <c r="BO22" i="41" s="1"/>
  <c r="IX107" i="38"/>
  <c r="IX108" i="38"/>
  <c r="IX109" i="38"/>
  <c r="IX104" i="38"/>
  <c r="IX110" i="38"/>
  <c r="IX105" i="38"/>
  <c r="IX103" i="38"/>
  <c r="IX106" i="38"/>
  <c r="BM88" i="41"/>
  <c r="BR101" i="38"/>
  <c r="JD109" i="38"/>
  <c r="JD110" i="38"/>
  <c r="HO103" i="38"/>
  <c r="HO106" i="38"/>
  <c r="HO94" i="38"/>
  <c r="HO95" i="38"/>
  <c r="HO92" i="38"/>
  <c r="HO68" i="38"/>
  <c r="HO86" i="38"/>
  <c r="HO96" i="38"/>
  <c r="HO73" i="38"/>
  <c r="HO78" i="38"/>
  <c r="HO108" i="38"/>
  <c r="HO105" i="38"/>
  <c r="HO90" i="38"/>
  <c r="HO93" i="38"/>
  <c r="HO87" i="38"/>
  <c r="HO77" i="38"/>
  <c r="HO98" i="38"/>
  <c r="HO89" i="38"/>
  <c r="HO72" i="38"/>
  <c r="HO79" i="38"/>
  <c r="HO110" i="38"/>
  <c r="HO104" i="38"/>
  <c r="HO88" i="38"/>
  <c r="HO81" i="38"/>
  <c r="HO91" i="38"/>
  <c r="HO84" i="38"/>
  <c r="HO109" i="38"/>
  <c r="HO97" i="38"/>
  <c r="HO70" i="38"/>
  <c r="HO99" i="38"/>
  <c r="HO69" i="38"/>
  <c r="HO107" i="38"/>
  <c r="HO82" i="38"/>
  <c r="HO80" i="38"/>
  <c r="HO101" i="38"/>
  <c r="HO74" i="38"/>
  <c r="HO102" i="38"/>
  <c r="HO83" i="38"/>
  <c r="HO85" i="38"/>
  <c r="HO75" i="38"/>
  <c r="HO76" i="38"/>
  <c r="HO100" i="38"/>
  <c r="HO71" i="38"/>
  <c r="GP101" i="38"/>
  <c r="GP104" i="38"/>
  <c r="GP105" i="38"/>
  <c r="GP44" i="38"/>
  <c r="GP48" i="38"/>
  <c r="GP66" i="38"/>
  <c r="GP65" i="38"/>
  <c r="GP92" i="38"/>
  <c r="GP58" i="38"/>
  <c r="GP53" i="38"/>
  <c r="GP69" i="38"/>
  <c r="GP59" i="38"/>
  <c r="GP90" i="38"/>
  <c r="GP75" i="38"/>
  <c r="GP54" i="38"/>
  <c r="GP57" i="38"/>
  <c r="GP97" i="38"/>
  <c r="GP103" i="38"/>
  <c r="GP109" i="38"/>
  <c r="GP55" i="38"/>
  <c r="GP91" i="38"/>
  <c r="GP93" i="38"/>
  <c r="GP81" i="38"/>
  <c r="GP78" i="38"/>
  <c r="GP86" i="38"/>
  <c r="GP64" i="38"/>
  <c r="GP83" i="38"/>
  <c r="GP45" i="38"/>
  <c r="GP94" i="38"/>
  <c r="GP89" i="38"/>
  <c r="GP60" i="38"/>
  <c r="GP47" i="38"/>
  <c r="GP61" i="38"/>
  <c r="GP95" i="38"/>
  <c r="GP107" i="38"/>
  <c r="GP96" i="38"/>
  <c r="GP77" i="38"/>
  <c r="GP51" i="38"/>
  <c r="GP76" i="38"/>
  <c r="GP56" i="38"/>
  <c r="GP73" i="38"/>
  <c r="GP84" i="38"/>
  <c r="GP102" i="38"/>
  <c r="GP74" i="38"/>
  <c r="GP63" i="38"/>
  <c r="GP46" i="38"/>
  <c r="GP100" i="38"/>
  <c r="GP79" i="38"/>
  <c r="GP99" i="38"/>
  <c r="GP82" i="38"/>
  <c r="GP106" i="38"/>
  <c r="GP52" i="38"/>
  <c r="GP88" i="38"/>
  <c r="GP98" i="38"/>
  <c r="GP50" i="38"/>
  <c r="GP49" i="38"/>
  <c r="GP72" i="38"/>
  <c r="GP85" i="38"/>
  <c r="GP68" i="38"/>
  <c r="GP80" i="38"/>
  <c r="GP110" i="38"/>
  <c r="GP71" i="38"/>
  <c r="GP67" i="38"/>
  <c r="GP70" i="38"/>
  <c r="GP62" i="38"/>
  <c r="GP108" i="38"/>
  <c r="GP43" i="38"/>
  <c r="GP87" i="38"/>
  <c r="AG20" i="38"/>
  <c r="AH20" i="38" s="1"/>
  <c r="BM45" i="41"/>
  <c r="CE45" i="38"/>
  <c r="BO45" i="41" s="1"/>
  <c r="JA106" i="38"/>
  <c r="JA108" i="38"/>
  <c r="JA107" i="38"/>
  <c r="JA109" i="38"/>
  <c r="JA110" i="38"/>
  <c r="GZ101" i="38"/>
  <c r="GZ104" i="38"/>
  <c r="GZ105" i="38"/>
  <c r="GZ102" i="38"/>
  <c r="GZ103" i="38"/>
  <c r="GZ107" i="38"/>
  <c r="GZ58" i="38"/>
  <c r="GZ78" i="38"/>
  <c r="GZ94" i="38"/>
  <c r="GZ91" i="38"/>
  <c r="GZ92" i="38"/>
  <c r="GZ60" i="38"/>
  <c r="GZ89" i="38"/>
  <c r="GZ87" i="38"/>
  <c r="GZ96" i="38"/>
  <c r="GZ83" i="38"/>
  <c r="GZ100" i="38"/>
  <c r="GZ84" i="38"/>
  <c r="GZ67" i="38"/>
  <c r="GZ110" i="38"/>
  <c r="GZ74" i="38"/>
  <c r="GZ71" i="38"/>
  <c r="GZ70" i="38"/>
  <c r="GZ57" i="38"/>
  <c r="GZ54" i="38"/>
  <c r="GZ97" i="38"/>
  <c r="GZ76" i="38"/>
  <c r="GZ72" i="38"/>
  <c r="GZ59" i="38"/>
  <c r="GZ75" i="38"/>
  <c r="GZ106" i="38"/>
  <c r="GZ69" i="38"/>
  <c r="GZ90" i="38"/>
  <c r="GZ108" i="38"/>
  <c r="GZ80" i="38"/>
  <c r="GZ81" i="38"/>
  <c r="GZ68" i="38"/>
  <c r="GZ95" i="38"/>
  <c r="GZ53" i="38"/>
  <c r="GZ64" i="38"/>
  <c r="GZ77" i="38"/>
  <c r="GZ65" i="38"/>
  <c r="GZ61" i="38"/>
  <c r="GZ99" i="38"/>
  <c r="GZ56" i="38"/>
  <c r="GZ82" i="38"/>
  <c r="GZ88" i="38"/>
  <c r="GZ55" i="38"/>
  <c r="GZ86" i="38"/>
  <c r="GZ73" i="38"/>
  <c r="GZ62" i="38"/>
  <c r="GZ85" i="38"/>
  <c r="GZ98" i="38"/>
  <c r="GZ63" i="38"/>
  <c r="GZ66" i="38"/>
  <c r="GZ109" i="38"/>
  <c r="GZ79" i="38"/>
  <c r="GZ93" i="38"/>
  <c r="IO107" i="38"/>
  <c r="IO104" i="38"/>
  <c r="IO102" i="38"/>
  <c r="IO105" i="38"/>
  <c r="IO101" i="38"/>
  <c r="IO103" i="38"/>
  <c r="IO97" i="38"/>
  <c r="IO99" i="38"/>
  <c r="IO109" i="38"/>
  <c r="IO106" i="38"/>
  <c r="IO94" i="38"/>
  <c r="IO108" i="38"/>
  <c r="IO96" i="38"/>
  <c r="IO95" i="38"/>
  <c r="IO100" i="38"/>
  <c r="IO98" i="38"/>
  <c r="IO110" i="38"/>
  <c r="GX107" i="38"/>
  <c r="GX109" i="38"/>
  <c r="GX59" i="38"/>
  <c r="GX67" i="38"/>
  <c r="GX90" i="38"/>
  <c r="GX51" i="38"/>
  <c r="GX86" i="38"/>
  <c r="GX63" i="38"/>
  <c r="GX52" i="38"/>
  <c r="GX81" i="38"/>
  <c r="GX53" i="38"/>
  <c r="GX83" i="38"/>
  <c r="GX61" i="38"/>
  <c r="GX100" i="38"/>
  <c r="GX101" i="38"/>
  <c r="GX104" i="38"/>
  <c r="GX106" i="38"/>
  <c r="GX89" i="38"/>
  <c r="GX71" i="38"/>
  <c r="GX91" i="38"/>
  <c r="GX97" i="38"/>
  <c r="GX78" i="38"/>
  <c r="GX68" i="38"/>
  <c r="GX55" i="38"/>
  <c r="GX87" i="38"/>
  <c r="GX73" i="38"/>
  <c r="GX62" i="38"/>
  <c r="GX65" i="38"/>
  <c r="GX60" i="38"/>
  <c r="GX85" i="38"/>
  <c r="GX103" i="38"/>
  <c r="GX98" i="38"/>
  <c r="GX95" i="38"/>
  <c r="GX92" i="38"/>
  <c r="GX84" i="38"/>
  <c r="GX74" i="38"/>
  <c r="GX79" i="38"/>
  <c r="GX108" i="38"/>
  <c r="GX102" i="38"/>
  <c r="GX70" i="38"/>
  <c r="GX66" i="38"/>
  <c r="GX77" i="38"/>
  <c r="GX93" i="38"/>
  <c r="GX88" i="38"/>
  <c r="GX58" i="38"/>
  <c r="GX99" i="38"/>
  <c r="GX75" i="38"/>
  <c r="GX72" i="38"/>
  <c r="GX82" i="38"/>
  <c r="GX110" i="38"/>
  <c r="GX94" i="38"/>
  <c r="GX54" i="38"/>
  <c r="GX56" i="38"/>
  <c r="GX105" i="38"/>
  <c r="GX80" i="38"/>
  <c r="GX76" i="38"/>
  <c r="GX57" i="38"/>
  <c r="GX69" i="38"/>
  <c r="GX96" i="38"/>
  <c r="GX64" i="38"/>
  <c r="GF106" i="38"/>
  <c r="GF104" i="38"/>
  <c r="GF84" i="38"/>
  <c r="GF108" i="38"/>
  <c r="GF58" i="38"/>
  <c r="GF48" i="38"/>
  <c r="GF103" i="38"/>
  <c r="GF45" i="38"/>
  <c r="GF67" i="38"/>
  <c r="GF107" i="38"/>
  <c r="GF101" i="38"/>
  <c r="GF75" i="38"/>
  <c r="GF68" i="38"/>
  <c r="GF51" i="38"/>
  <c r="GF88" i="38"/>
  <c r="GF42" i="38"/>
  <c r="GF36" i="38"/>
  <c r="GF91" i="38"/>
  <c r="GF94" i="38"/>
  <c r="GF74" i="38"/>
  <c r="GF52" i="38"/>
  <c r="GF89" i="38"/>
  <c r="GF100" i="38"/>
  <c r="GF71" i="38"/>
  <c r="GF54" i="38"/>
  <c r="GF50" i="38"/>
  <c r="GF83" i="38"/>
  <c r="GF105" i="38"/>
  <c r="GF60" i="38"/>
  <c r="GF33" i="38"/>
  <c r="GF87" i="38"/>
  <c r="GF78" i="38"/>
  <c r="GF80" i="38"/>
  <c r="GF76" i="38"/>
  <c r="GF97" i="38"/>
  <c r="GF40" i="38"/>
  <c r="GF38" i="38"/>
  <c r="GF43" i="38"/>
  <c r="GF95" i="38"/>
  <c r="GF49" i="38"/>
  <c r="GF81" i="38"/>
  <c r="GF70" i="38"/>
  <c r="GF37" i="38"/>
  <c r="GF102" i="38"/>
  <c r="GF53" i="38"/>
  <c r="GF77" i="38"/>
  <c r="GF64" i="38"/>
  <c r="GF69" i="38"/>
  <c r="GF57" i="38"/>
  <c r="GF47" i="38"/>
  <c r="GF79" i="38"/>
  <c r="GF92" i="38"/>
  <c r="GF41" i="38"/>
  <c r="GF39" i="38"/>
  <c r="GF61" i="38"/>
  <c r="GF65" i="38"/>
  <c r="GF55" i="38"/>
  <c r="GF46" i="38"/>
  <c r="GF35" i="38"/>
  <c r="GF59" i="38"/>
  <c r="GF96" i="38"/>
  <c r="GF86" i="38"/>
  <c r="GF98" i="38"/>
  <c r="GF110" i="38"/>
  <c r="GF109" i="38"/>
  <c r="GF62" i="38"/>
  <c r="GF34" i="38"/>
  <c r="GF63" i="38"/>
  <c r="GF93" i="38"/>
  <c r="GF73" i="38"/>
  <c r="GF99" i="38"/>
  <c r="GF90" i="38"/>
  <c r="GF56" i="38"/>
  <c r="GF82" i="38"/>
  <c r="GF85" i="38"/>
  <c r="GF66" i="38"/>
  <c r="GF72" i="38"/>
  <c r="GF44" i="38"/>
  <c r="BM37" i="41"/>
  <c r="BR54" i="38"/>
  <c r="BH54" i="41" s="1"/>
  <c r="BR23" i="38"/>
  <c r="BM26" i="41"/>
  <c r="GJ103" i="38"/>
  <c r="GJ107" i="38"/>
  <c r="GJ110" i="38"/>
  <c r="GJ105" i="38"/>
  <c r="GJ104" i="38"/>
  <c r="GJ102" i="38"/>
  <c r="GJ75" i="38"/>
  <c r="GJ67" i="38"/>
  <c r="GJ60" i="38"/>
  <c r="GJ53" i="38"/>
  <c r="GJ57" i="38"/>
  <c r="GJ43" i="38"/>
  <c r="GJ93" i="38"/>
  <c r="GJ69" i="38"/>
  <c r="GJ46" i="38"/>
  <c r="GJ58" i="38"/>
  <c r="GJ49" i="38"/>
  <c r="GJ79" i="38"/>
  <c r="GJ100" i="38"/>
  <c r="GJ89" i="38"/>
  <c r="GJ61" i="38"/>
  <c r="GJ85" i="38"/>
  <c r="GJ108" i="38"/>
  <c r="GJ109" i="38"/>
  <c r="GJ84" i="38"/>
  <c r="GJ38" i="38"/>
  <c r="GJ83" i="38"/>
  <c r="GJ50" i="38"/>
  <c r="GJ45" i="38"/>
  <c r="GJ90" i="38"/>
  <c r="GJ80" i="38"/>
  <c r="GJ72" i="38"/>
  <c r="GJ77" i="38"/>
  <c r="GJ94" i="38"/>
  <c r="GJ65" i="38"/>
  <c r="GJ70" i="38"/>
  <c r="GJ98" i="38"/>
  <c r="GJ62" i="38"/>
  <c r="GJ64" i="38"/>
  <c r="GJ86" i="38"/>
  <c r="GJ106" i="38"/>
  <c r="GJ37" i="38"/>
  <c r="GJ88" i="38"/>
  <c r="GJ56" i="38"/>
  <c r="GJ41" i="38"/>
  <c r="GJ52" i="38"/>
  <c r="GJ55" i="38"/>
  <c r="GJ95" i="38"/>
  <c r="GJ51" i="38"/>
  <c r="GJ63" i="38"/>
  <c r="GJ99" i="38"/>
  <c r="GJ44" i="38"/>
  <c r="GJ76" i="38"/>
  <c r="GJ96" i="38"/>
  <c r="GJ48" i="38"/>
  <c r="GJ68" i="38"/>
  <c r="GJ66" i="38"/>
  <c r="GJ40" i="38"/>
  <c r="GJ71" i="38"/>
  <c r="GJ73" i="38"/>
  <c r="GJ59" i="38"/>
  <c r="GJ54" i="38"/>
  <c r="GJ81" i="38"/>
  <c r="GJ39" i="38"/>
  <c r="GJ87" i="38"/>
  <c r="GJ82" i="38"/>
  <c r="GJ78" i="38"/>
  <c r="GJ97" i="38"/>
  <c r="GJ92" i="38"/>
  <c r="GJ101" i="38"/>
  <c r="GJ42" i="38"/>
  <c r="GJ74" i="38"/>
  <c r="GJ47" i="38"/>
  <c r="GJ91" i="38"/>
  <c r="FW109" i="38"/>
  <c r="FW67" i="38"/>
  <c r="FW104" i="38"/>
  <c r="FW103" i="38"/>
  <c r="FW102" i="38"/>
  <c r="FW105" i="38"/>
  <c r="FW42" i="38"/>
  <c r="FW88" i="38"/>
  <c r="FW59" i="38"/>
  <c r="FW49" i="38"/>
  <c r="FW89" i="38"/>
  <c r="FW25" i="38"/>
  <c r="FW95" i="38"/>
  <c r="FW86" i="38"/>
  <c r="FW52" i="38"/>
  <c r="FW39" i="38"/>
  <c r="FW97" i="38"/>
  <c r="FW45" i="38"/>
  <c r="FW29" i="38"/>
  <c r="FW75" i="38"/>
  <c r="FW33" i="38"/>
  <c r="FW60" i="38"/>
  <c r="FW74" i="38"/>
  <c r="FW65" i="38"/>
  <c r="FW51" i="38"/>
  <c r="FW78" i="38"/>
  <c r="FW57" i="38"/>
  <c r="FW76" i="38"/>
  <c r="FW83" i="38"/>
  <c r="FW71" i="38"/>
  <c r="FW68" i="38"/>
  <c r="FW37" i="38"/>
  <c r="FW110" i="38"/>
  <c r="FW24" i="38"/>
  <c r="FW53" i="38"/>
  <c r="FW48" i="38"/>
  <c r="FW69" i="38"/>
  <c r="FW87" i="38"/>
  <c r="FW80" i="38"/>
  <c r="FW47" i="38"/>
  <c r="FW36" i="38"/>
  <c r="FW70" i="38"/>
  <c r="FW27" i="38"/>
  <c r="FW32" i="38"/>
  <c r="FW90" i="38"/>
  <c r="FW54" i="38"/>
  <c r="FW38" i="38"/>
  <c r="FW107" i="38"/>
  <c r="FW108" i="38"/>
  <c r="FW26" i="38"/>
  <c r="FW64" i="38"/>
  <c r="FW100" i="38"/>
  <c r="FW40" i="38"/>
  <c r="FW92" i="38"/>
  <c r="FW94" i="38"/>
  <c r="FW79" i="38"/>
  <c r="FW85" i="38"/>
  <c r="FW91" i="38"/>
  <c r="FW106" i="38"/>
  <c r="FW35" i="38"/>
  <c r="FW28" i="38"/>
  <c r="FW61" i="38"/>
  <c r="FW31" i="38"/>
  <c r="FW58" i="38"/>
  <c r="FW50" i="38"/>
  <c r="FW43" i="38"/>
  <c r="FW81" i="38"/>
  <c r="FW84" i="38"/>
  <c r="FW55" i="38"/>
  <c r="FW77" i="38"/>
  <c r="FW96" i="38"/>
  <c r="FW30" i="38"/>
  <c r="FW44" i="38"/>
  <c r="FW41" i="38"/>
  <c r="FW56" i="38"/>
  <c r="FW34" i="38"/>
  <c r="FW63" i="38"/>
  <c r="FW62" i="38"/>
  <c r="FW93" i="38"/>
  <c r="FW99" i="38"/>
  <c r="FW73" i="38"/>
  <c r="FW98" i="38"/>
  <c r="FW82" i="38"/>
  <c r="FW66" i="38"/>
  <c r="FW46" i="38"/>
  <c r="FW72" i="38"/>
  <c r="FW101" i="38"/>
  <c r="GG105" i="38"/>
  <c r="GG104" i="38"/>
  <c r="GG51" i="38"/>
  <c r="GG68" i="38"/>
  <c r="GG94" i="38"/>
  <c r="GG54" i="38"/>
  <c r="GG58" i="38"/>
  <c r="GG88" i="38"/>
  <c r="GG52" i="38"/>
  <c r="GG45" i="38"/>
  <c r="GG83" i="38"/>
  <c r="GG34" i="38"/>
  <c r="GG71" i="38"/>
  <c r="GG61" i="38"/>
  <c r="GG42" i="38"/>
  <c r="GG75" i="38"/>
  <c r="GG43" i="38"/>
  <c r="GG81" i="38"/>
  <c r="GG82" i="38"/>
  <c r="GG110" i="38"/>
  <c r="GG108" i="38"/>
  <c r="GG101" i="38"/>
  <c r="GG49" i="38"/>
  <c r="GG56" i="38"/>
  <c r="GG59" i="38"/>
  <c r="GG41" i="38"/>
  <c r="GG66" i="38"/>
  <c r="GG90" i="38"/>
  <c r="GG95" i="38"/>
  <c r="GG72" i="38"/>
  <c r="GG47" i="38"/>
  <c r="GG69" i="38"/>
  <c r="GG44" i="38"/>
  <c r="GG97" i="38"/>
  <c r="GG79" i="38"/>
  <c r="GG100" i="38"/>
  <c r="GG99" i="38"/>
  <c r="GG39" i="38"/>
  <c r="GG96" i="38"/>
  <c r="GG107" i="38"/>
  <c r="GG60" i="38"/>
  <c r="GG74" i="38"/>
  <c r="GG80" i="38"/>
  <c r="GG98" i="38"/>
  <c r="GG63" i="38"/>
  <c r="GG85" i="38"/>
  <c r="GG57" i="38"/>
  <c r="GG50" i="38"/>
  <c r="GG103" i="38"/>
  <c r="GG109" i="38"/>
  <c r="GG65" i="38"/>
  <c r="GG55" i="38"/>
  <c r="GG67" i="38"/>
  <c r="GG38" i="38"/>
  <c r="GG40" i="38"/>
  <c r="GG91" i="38"/>
  <c r="GG36" i="38"/>
  <c r="GG64" i="38"/>
  <c r="GG106" i="38"/>
  <c r="GG62" i="38"/>
  <c r="GG73" i="38"/>
  <c r="GG46" i="38"/>
  <c r="GG84" i="38"/>
  <c r="GG78" i="38"/>
  <c r="GG35" i="38"/>
  <c r="GG102" i="38"/>
  <c r="GG76" i="38"/>
  <c r="GG37" i="38"/>
  <c r="GG77" i="38"/>
  <c r="GG70" i="38"/>
  <c r="GG87" i="38"/>
  <c r="GG93" i="38"/>
  <c r="GG89" i="38"/>
  <c r="GG86" i="38"/>
  <c r="GG48" i="38"/>
  <c r="GG92" i="38"/>
  <c r="GG53" i="38"/>
  <c r="IJ102" i="38"/>
  <c r="IJ104" i="38"/>
  <c r="IJ109" i="38"/>
  <c r="IJ103" i="38"/>
  <c r="IJ107" i="38"/>
  <c r="IJ97" i="38"/>
  <c r="IJ89" i="38"/>
  <c r="IJ96" i="38"/>
  <c r="IJ110" i="38"/>
  <c r="IJ106" i="38"/>
  <c r="IJ95" i="38"/>
  <c r="IJ93" i="38"/>
  <c r="IJ94" i="38"/>
  <c r="IJ98" i="38"/>
  <c r="IJ90" i="38"/>
  <c r="IJ92" i="38"/>
  <c r="IJ108" i="38"/>
  <c r="IJ99" i="38"/>
  <c r="IJ105" i="38"/>
  <c r="IJ100" i="38"/>
  <c r="IJ101" i="38"/>
  <c r="IJ91" i="38"/>
  <c r="HD110" i="38"/>
  <c r="HD71" i="38"/>
  <c r="HD103" i="38"/>
  <c r="HD70" i="38"/>
  <c r="HD57" i="38"/>
  <c r="HD81" i="38"/>
  <c r="HD80" i="38"/>
  <c r="HD102" i="38"/>
  <c r="HD77" i="38"/>
  <c r="HD76" i="38"/>
  <c r="HD78" i="38"/>
  <c r="HD58" i="38"/>
  <c r="HD95" i="38"/>
  <c r="HD91" i="38"/>
  <c r="HD88" i="38"/>
  <c r="HD105" i="38"/>
  <c r="HD65" i="38"/>
  <c r="HD104" i="38"/>
  <c r="HD90" i="38"/>
  <c r="HD84" i="38"/>
  <c r="HD94" i="38"/>
  <c r="HD61" i="38"/>
  <c r="HD60" i="38"/>
  <c r="HD101" i="38"/>
  <c r="HD64" i="38"/>
  <c r="HD96" i="38"/>
  <c r="HD89" i="38"/>
  <c r="HD87" i="38"/>
  <c r="HD86" i="38"/>
  <c r="HD67" i="38"/>
  <c r="HD106" i="38"/>
  <c r="HD59" i="38"/>
  <c r="HD108" i="38"/>
  <c r="HD83" i="38"/>
  <c r="HD63" i="38"/>
  <c r="HD73" i="38"/>
  <c r="HD82" i="38"/>
  <c r="HD92" i="38"/>
  <c r="HD100" i="38"/>
  <c r="HD72" i="38"/>
  <c r="HD79" i="38"/>
  <c r="HD85" i="38"/>
  <c r="HD93" i="38"/>
  <c r="HD75" i="38"/>
  <c r="HD62" i="38"/>
  <c r="HD74" i="38"/>
  <c r="HD97" i="38"/>
  <c r="HD66" i="38"/>
  <c r="HD99" i="38"/>
  <c r="HD69" i="38"/>
  <c r="HD107" i="38"/>
  <c r="HD98" i="38"/>
  <c r="HD68" i="38"/>
  <c r="HD109" i="38"/>
  <c r="IB102" i="38"/>
  <c r="IB109" i="38"/>
  <c r="IB93" i="38"/>
  <c r="IB97" i="38"/>
  <c r="IB82" i="38"/>
  <c r="IB100" i="38"/>
  <c r="IB89" i="38"/>
  <c r="IB101" i="38"/>
  <c r="IB106" i="38"/>
  <c r="IB105" i="38"/>
  <c r="IB86" i="38"/>
  <c r="IB95" i="38"/>
  <c r="IB85" i="38"/>
  <c r="IB98" i="38"/>
  <c r="IB84" i="38"/>
  <c r="IB110" i="38"/>
  <c r="IB96" i="38"/>
  <c r="IB99" i="38"/>
  <c r="IB87" i="38"/>
  <c r="IB107" i="38"/>
  <c r="IB92" i="38"/>
  <c r="IB81" i="38"/>
  <c r="IB103" i="38"/>
  <c r="IB90" i="38"/>
  <c r="IB91" i="38"/>
  <c r="IB83" i="38"/>
  <c r="IB108" i="38"/>
  <c r="IB88" i="38"/>
  <c r="IB104" i="38"/>
  <c r="IB94" i="38"/>
  <c r="HY104" i="38"/>
  <c r="HY103" i="38"/>
  <c r="HY94" i="38"/>
  <c r="HY106" i="38"/>
  <c r="HY109" i="38"/>
  <c r="HY96" i="38"/>
  <c r="HY97" i="38"/>
  <c r="HY91" i="38"/>
  <c r="HY89" i="38"/>
  <c r="HY95" i="38"/>
  <c r="HY99" i="38"/>
  <c r="HY90" i="38"/>
  <c r="HY108" i="38"/>
  <c r="HY83" i="38"/>
  <c r="HY92" i="38"/>
  <c r="HY87" i="38"/>
  <c r="HY107" i="38"/>
  <c r="HY105" i="38"/>
  <c r="HY78" i="38"/>
  <c r="HY86" i="38"/>
  <c r="HY81" i="38"/>
  <c r="HY88" i="38"/>
  <c r="HY102" i="38"/>
  <c r="HY84" i="38"/>
  <c r="HY80" i="38"/>
  <c r="HY93" i="38"/>
  <c r="HY79" i="38"/>
  <c r="HY82" i="38"/>
  <c r="HY110" i="38"/>
  <c r="HY98" i="38"/>
  <c r="HY101" i="38"/>
  <c r="HY100" i="38"/>
  <c r="HY85" i="38"/>
  <c r="IT101" i="38"/>
  <c r="IT109" i="38"/>
  <c r="IT105" i="38"/>
  <c r="IT99" i="38"/>
  <c r="IT110" i="38"/>
  <c r="IT106" i="38"/>
  <c r="IT108" i="38"/>
  <c r="IT107" i="38"/>
  <c r="IT102" i="38"/>
  <c r="IT103" i="38"/>
  <c r="IT100" i="38"/>
  <c r="IT104" i="38"/>
  <c r="IC108" i="38"/>
  <c r="IC107" i="38"/>
  <c r="IC109" i="38"/>
  <c r="IC87" i="38"/>
  <c r="IC95" i="38"/>
  <c r="IC97" i="38"/>
  <c r="IC83" i="38"/>
  <c r="IC110" i="38"/>
  <c r="IC101" i="38"/>
  <c r="IC89" i="38"/>
  <c r="IC91" i="38"/>
  <c r="IC94" i="38"/>
  <c r="IC98" i="38"/>
  <c r="IC93" i="38"/>
  <c r="IC103" i="38"/>
  <c r="IC104" i="38"/>
  <c r="IC92" i="38"/>
  <c r="IC84" i="38"/>
  <c r="IC106" i="38"/>
  <c r="IC100" i="38"/>
  <c r="IC99" i="38"/>
  <c r="IC88" i="38"/>
  <c r="IC90" i="38"/>
  <c r="IC102" i="38"/>
  <c r="IC96" i="38"/>
  <c r="IC82" i="38"/>
  <c r="IC105" i="38"/>
  <c r="IC85" i="38"/>
  <c r="IC86" i="38"/>
  <c r="CL22" i="38"/>
  <c r="BR22" i="41"/>
  <c r="CE58" i="38"/>
  <c r="BO58" i="41" s="1"/>
  <c r="BN79" i="41"/>
  <c r="CE79" i="38"/>
  <c r="BO79" i="41" s="1"/>
  <c r="FU106" i="38"/>
  <c r="FU102" i="38"/>
  <c r="FU101" i="38"/>
  <c r="FU107" i="38"/>
  <c r="FU104" i="38"/>
  <c r="FU105" i="38"/>
  <c r="FU103" i="38"/>
  <c r="FU25" i="38"/>
  <c r="FU34" i="38"/>
  <c r="FU38" i="38"/>
  <c r="FU32" i="38"/>
  <c r="FU93" i="38"/>
  <c r="FU60" i="38"/>
  <c r="FU61" i="38"/>
  <c r="FU94" i="38"/>
  <c r="FU46" i="38"/>
  <c r="FU51" i="38"/>
  <c r="FU72" i="38"/>
  <c r="FU40" i="38"/>
  <c r="FU80" i="38"/>
  <c r="FU59" i="38"/>
  <c r="FU63" i="38"/>
  <c r="FU45" i="38"/>
  <c r="FU81" i="38"/>
  <c r="FU70" i="38"/>
  <c r="FU97" i="38"/>
  <c r="FU37" i="38"/>
  <c r="FU110" i="38"/>
  <c r="FU26" i="38"/>
  <c r="FU71" i="38"/>
  <c r="FU73" i="38"/>
  <c r="FU53" i="38"/>
  <c r="FU48" i="38"/>
  <c r="FU90" i="38"/>
  <c r="FU66" i="38"/>
  <c r="FU74" i="38"/>
  <c r="FU65" i="38"/>
  <c r="FU83" i="38"/>
  <c r="FU30" i="38"/>
  <c r="FU23" i="38"/>
  <c r="FU68" i="38"/>
  <c r="FU69" i="38"/>
  <c r="FU84" i="38"/>
  <c r="FU108" i="38"/>
  <c r="FU33" i="38"/>
  <c r="FU54" i="38"/>
  <c r="FU42" i="38"/>
  <c r="FU87" i="38"/>
  <c r="FU62" i="38"/>
  <c r="FU64" i="38"/>
  <c r="FU36" i="38"/>
  <c r="FU55" i="38"/>
  <c r="FU50" i="38"/>
  <c r="FU75" i="38"/>
  <c r="FU52" i="38"/>
  <c r="FU39" i="38"/>
  <c r="FU49" i="38"/>
  <c r="FU92" i="38"/>
  <c r="FU22" i="38"/>
  <c r="FU24" i="38"/>
  <c r="FU99" i="38"/>
  <c r="FU27" i="38"/>
  <c r="FU67" i="38"/>
  <c r="FU98" i="38"/>
  <c r="FU29" i="38"/>
  <c r="FU47" i="38"/>
  <c r="FU57" i="38"/>
  <c r="FU96" i="38"/>
  <c r="FU95" i="38"/>
  <c r="FU77" i="38"/>
  <c r="FU89" i="38"/>
  <c r="FU76" i="38"/>
  <c r="FU86" i="38"/>
  <c r="FU82" i="38"/>
  <c r="FU41" i="38"/>
  <c r="FU43" i="38"/>
  <c r="FU31" i="38"/>
  <c r="FU78" i="38"/>
  <c r="FU35" i="38"/>
  <c r="FU88" i="38"/>
  <c r="FU109" i="38"/>
  <c r="FU28" i="38"/>
  <c r="FU44" i="38"/>
  <c r="FU56" i="38"/>
  <c r="FU91" i="38"/>
  <c r="FU79" i="38"/>
  <c r="FU85" i="38"/>
  <c r="FU100" i="38"/>
  <c r="FU58" i="38"/>
  <c r="GI103" i="38"/>
  <c r="GI109" i="38"/>
  <c r="GI102" i="38"/>
  <c r="GI108" i="38"/>
  <c r="GI106" i="38"/>
  <c r="GI110" i="38"/>
  <c r="GI60" i="38"/>
  <c r="GI77" i="38"/>
  <c r="GI55" i="38"/>
  <c r="GI98" i="38"/>
  <c r="GI79" i="38"/>
  <c r="GI49" i="38"/>
  <c r="GI78" i="38"/>
  <c r="GI87" i="38"/>
  <c r="GI89" i="38"/>
  <c r="GI61" i="38"/>
  <c r="GI75" i="38"/>
  <c r="GI84" i="38"/>
  <c r="GI67" i="38"/>
  <c r="GI44" i="38"/>
  <c r="GI48" i="38"/>
  <c r="GI63" i="38"/>
  <c r="GI105" i="38"/>
  <c r="GI104" i="38"/>
  <c r="GI40" i="38"/>
  <c r="GI88" i="38"/>
  <c r="GI97" i="38"/>
  <c r="GI70" i="38"/>
  <c r="GI65" i="38"/>
  <c r="GI39" i="38"/>
  <c r="GI62" i="38"/>
  <c r="GI52" i="38"/>
  <c r="GI94" i="38"/>
  <c r="GI81" i="38"/>
  <c r="GI83" i="38"/>
  <c r="GI71" i="38"/>
  <c r="GI82" i="38"/>
  <c r="GI72" i="38"/>
  <c r="GI50" i="38"/>
  <c r="GI68" i="38"/>
  <c r="GI53" i="38"/>
  <c r="GI101" i="38"/>
  <c r="GI96" i="38"/>
  <c r="GI69" i="38"/>
  <c r="GI95" i="38"/>
  <c r="GI92" i="38"/>
  <c r="GI85" i="38"/>
  <c r="GI59" i="38"/>
  <c r="GI41" i="38"/>
  <c r="GI90" i="38"/>
  <c r="GI57" i="38"/>
  <c r="GI51" i="38"/>
  <c r="GI45" i="38"/>
  <c r="GI58" i="38"/>
  <c r="GI107" i="38"/>
  <c r="GI46" i="38"/>
  <c r="GI64" i="38"/>
  <c r="GI36" i="38"/>
  <c r="GI37" i="38"/>
  <c r="GI42" i="38"/>
  <c r="GI100" i="38"/>
  <c r="GI74" i="38"/>
  <c r="GI86" i="38"/>
  <c r="GI66" i="38"/>
  <c r="GI38" i="38"/>
  <c r="GI93" i="38"/>
  <c r="GI54" i="38"/>
  <c r="GI43" i="38"/>
  <c r="GI91" i="38"/>
  <c r="GI47" i="38"/>
  <c r="GI99" i="38"/>
  <c r="GI76" i="38"/>
  <c r="GI80" i="38"/>
  <c r="GI56" i="38"/>
  <c r="GI73" i="38"/>
  <c r="FT103" i="38"/>
  <c r="FT36" i="38"/>
  <c r="FT105" i="38"/>
  <c r="FT81" i="38"/>
  <c r="FT47" i="38"/>
  <c r="FT22" i="38"/>
  <c r="FT31" i="38"/>
  <c r="FT86" i="38"/>
  <c r="FT48" i="38"/>
  <c r="FT25" i="38"/>
  <c r="FT26" i="38"/>
  <c r="FT76" i="38"/>
  <c r="FT64" i="38"/>
  <c r="FT71" i="38"/>
  <c r="FT24" i="38"/>
  <c r="FT104" i="38"/>
  <c r="FT106" i="38"/>
  <c r="FT102" i="38"/>
  <c r="FT43" i="38"/>
  <c r="FT57" i="38"/>
  <c r="FT42" i="38"/>
  <c r="FT94" i="38"/>
  <c r="FT78" i="38"/>
  <c r="FT37" i="38"/>
  <c r="FT84" i="38"/>
  <c r="FT40" i="38"/>
  <c r="FT83" i="38"/>
  <c r="FT77" i="38"/>
  <c r="FT59" i="38"/>
  <c r="FT110" i="38"/>
  <c r="FT45" i="38"/>
  <c r="FT55" i="38"/>
  <c r="FT88" i="38"/>
  <c r="FT96" i="38"/>
  <c r="FT28" i="38"/>
  <c r="FT70" i="38"/>
  <c r="FT95" i="38"/>
  <c r="FT108" i="38"/>
  <c r="FT109" i="38"/>
  <c r="FT65" i="38"/>
  <c r="FT92" i="38"/>
  <c r="FT69" i="38"/>
  <c r="FT51" i="38"/>
  <c r="FT29" i="38"/>
  <c r="FT30" i="38"/>
  <c r="FT54" i="38"/>
  <c r="FT87" i="38"/>
  <c r="FT21" i="38"/>
  <c r="FT61" i="38"/>
  <c r="FT50" i="38"/>
  <c r="FT38" i="38"/>
  <c r="FT91" i="38"/>
  <c r="FT75" i="38"/>
  <c r="FT80" i="38"/>
  <c r="FT23" i="38"/>
  <c r="FT52" i="38"/>
  <c r="FT62" i="38"/>
  <c r="FT68" i="38"/>
  <c r="FT89" i="38"/>
  <c r="FT67" i="38"/>
  <c r="FT53" i="38"/>
  <c r="FT100" i="38"/>
  <c r="FT58" i="38"/>
  <c r="FT56" i="38"/>
  <c r="FT98" i="38"/>
  <c r="FT99" i="38"/>
  <c r="FT32" i="38"/>
  <c r="FT39" i="38"/>
  <c r="FT73" i="38"/>
  <c r="FT46" i="38"/>
  <c r="FT82" i="38"/>
  <c r="FT35" i="38"/>
  <c r="FT72" i="38"/>
  <c r="FT60" i="38"/>
  <c r="FT107" i="38"/>
  <c r="FT66" i="38"/>
  <c r="FT79" i="38"/>
  <c r="FT85" i="38"/>
  <c r="FT93" i="38"/>
  <c r="FT44" i="38"/>
  <c r="FT33" i="38"/>
  <c r="FT41" i="38"/>
  <c r="FT34" i="38"/>
  <c r="FT27" i="38"/>
  <c r="FT101" i="38"/>
  <c r="FT63" i="38"/>
  <c r="FT97" i="38"/>
  <c r="FT90" i="38"/>
  <c r="FT74" i="38"/>
  <c r="FT49" i="38"/>
  <c r="AB104" i="46"/>
  <c r="AC104" i="46" s="1"/>
  <c r="AD104" i="46" s="1"/>
  <c r="IV15" i="46" s="1"/>
  <c r="AB30" i="46"/>
  <c r="AC30" i="46" s="1"/>
  <c r="AD30" i="46" s="1"/>
  <c r="FZ15" i="46" s="1"/>
  <c r="AB26" i="46"/>
  <c r="AC26" i="46" s="1"/>
  <c r="AD26" i="46" s="1"/>
  <c r="FV15" i="46" s="1"/>
  <c r="FV26" i="46" s="1"/>
  <c r="AB36" i="46"/>
  <c r="AC36" i="46" s="1"/>
  <c r="AD36" i="46" s="1"/>
  <c r="AB51" i="46"/>
  <c r="AC51" i="46" s="1"/>
  <c r="AD51" i="46" s="1"/>
  <c r="GU15" i="46" s="1"/>
  <c r="GU75" i="46" s="1"/>
  <c r="AB45" i="46"/>
  <c r="AC45" i="46" s="1"/>
  <c r="AD45" i="46" s="1"/>
  <c r="AE45" i="46" s="1"/>
  <c r="AB41" i="46"/>
  <c r="AC41" i="46" s="1"/>
  <c r="AD41" i="46" s="1"/>
  <c r="AB107" i="46"/>
  <c r="AC107" i="46" s="1"/>
  <c r="AD107" i="46" s="1"/>
  <c r="AE107" i="46" s="1"/>
  <c r="AB81" i="46"/>
  <c r="AC81" i="46" s="1"/>
  <c r="AD81" i="46" s="1"/>
  <c r="AE81" i="46" s="1"/>
  <c r="AB39" i="46"/>
  <c r="AC39" i="46" s="1"/>
  <c r="AD39" i="46" s="1"/>
  <c r="AE39" i="46" s="1"/>
  <c r="AB96" i="46"/>
  <c r="AC96" i="46" s="1"/>
  <c r="AD96" i="46" s="1"/>
  <c r="AB33" i="46"/>
  <c r="AC33" i="46" s="1"/>
  <c r="AD33" i="46" s="1"/>
  <c r="AB28" i="46"/>
  <c r="AC28" i="46" s="1"/>
  <c r="AD28" i="46" s="1"/>
  <c r="AB77" i="46"/>
  <c r="AC77" i="46" s="1"/>
  <c r="AD77" i="46" s="1"/>
  <c r="AB49" i="46"/>
  <c r="AC49" i="46" s="1"/>
  <c r="AD49" i="46" s="1"/>
  <c r="GS15" i="46" s="1"/>
  <c r="GS77" i="46" s="1"/>
  <c r="AB84" i="46"/>
  <c r="AC84" i="46" s="1"/>
  <c r="AD84" i="46" s="1"/>
  <c r="AB25" i="46"/>
  <c r="AC25" i="46" s="1"/>
  <c r="AD25" i="46" s="1"/>
  <c r="AB85" i="46"/>
  <c r="AC85" i="46" s="1"/>
  <c r="AD85" i="46" s="1"/>
  <c r="IC15" i="46" s="1"/>
  <c r="IC92" i="46" s="1"/>
  <c r="AB78" i="46"/>
  <c r="AC78" i="46" s="1"/>
  <c r="AD78" i="46" s="1"/>
  <c r="AB67" i="46"/>
  <c r="AC67" i="46" s="1"/>
  <c r="AD67" i="46" s="1"/>
  <c r="AE67" i="46" s="1"/>
  <c r="AB91" i="46"/>
  <c r="AC91" i="46" s="1"/>
  <c r="AD91" i="46" s="1"/>
  <c r="AE91" i="46" s="1"/>
  <c r="AB76" i="46"/>
  <c r="AC76" i="46" s="1"/>
  <c r="AD76" i="46" s="1"/>
  <c r="HT15" i="46" s="1"/>
  <c r="HT93" i="46" s="1"/>
  <c r="AB53" i="46"/>
  <c r="AC53" i="46" s="1"/>
  <c r="AD53" i="46" s="1"/>
  <c r="AE53" i="46" s="1"/>
  <c r="AB46" i="46"/>
  <c r="AC46" i="46" s="1"/>
  <c r="AD46" i="46" s="1"/>
  <c r="AB37" i="46"/>
  <c r="AC37" i="46" s="1"/>
  <c r="AD37" i="46" s="1"/>
  <c r="GG15" i="46" s="1"/>
  <c r="GG91" i="46" s="1"/>
  <c r="AB56" i="46"/>
  <c r="AC56" i="46" s="1"/>
  <c r="AD56" i="46" s="1"/>
  <c r="AE56" i="46" s="1"/>
  <c r="AB65" i="46"/>
  <c r="AC65" i="46" s="1"/>
  <c r="AB68" i="46"/>
  <c r="AC68" i="46" s="1"/>
  <c r="AD68" i="46" s="1"/>
  <c r="AB92" i="46"/>
  <c r="AC92" i="46" s="1"/>
  <c r="AD92" i="46" s="1"/>
  <c r="AB62" i="46"/>
  <c r="AC62" i="46" s="1"/>
  <c r="AD62" i="46" s="1"/>
  <c r="AB83" i="46"/>
  <c r="AC83" i="46" s="1"/>
  <c r="AD83" i="46" s="1"/>
  <c r="AB73" i="46"/>
  <c r="AC73" i="46" s="1"/>
  <c r="AD73" i="46" s="1"/>
  <c r="AB47" i="46"/>
  <c r="AC47" i="46" s="1"/>
  <c r="AD47" i="46" s="1"/>
  <c r="GQ15" i="46" s="1"/>
  <c r="GQ92" i="46" s="1"/>
  <c r="AB101" i="46"/>
  <c r="AC101" i="46" s="1"/>
  <c r="AD101" i="46" s="1"/>
  <c r="AB99" i="46"/>
  <c r="AC99" i="46" s="1"/>
  <c r="AD99" i="46" s="1"/>
  <c r="AB89" i="46"/>
  <c r="AC89" i="46" s="1"/>
  <c r="AD89" i="46" s="1"/>
  <c r="AB70" i="46"/>
  <c r="AC70" i="46" s="1"/>
  <c r="AD70" i="46" s="1"/>
  <c r="HN15" i="46" s="1"/>
  <c r="HN100" i="46" s="1"/>
  <c r="AB63" i="46"/>
  <c r="AC63" i="46" s="1"/>
  <c r="AD63" i="46" s="1"/>
  <c r="AB48" i="46"/>
  <c r="AC48" i="46" s="1"/>
  <c r="AD48" i="46" s="1"/>
  <c r="AE48" i="46" s="1"/>
  <c r="AB102" i="46"/>
  <c r="AC102" i="46" s="1"/>
  <c r="AD102" i="46" s="1"/>
  <c r="AE102" i="46" s="1"/>
  <c r="AB98" i="46"/>
  <c r="AC98" i="46" s="1"/>
  <c r="AD98" i="46" s="1"/>
  <c r="IP15" i="46" s="1"/>
  <c r="IP110" i="46" s="1"/>
  <c r="AB50" i="46"/>
  <c r="AC50" i="46" s="1"/>
  <c r="AD50" i="46" s="1"/>
  <c r="AB57" i="46"/>
  <c r="AC57" i="46" s="1"/>
  <c r="AD57" i="46" s="1"/>
  <c r="AE57" i="46" s="1"/>
  <c r="AB38" i="46"/>
  <c r="AC38" i="46" s="1"/>
  <c r="AD38" i="46" s="1"/>
  <c r="AB31" i="46"/>
  <c r="AC31" i="46" s="1"/>
  <c r="AD31" i="46" s="1"/>
  <c r="AE31" i="46" s="1"/>
  <c r="AB108" i="46"/>
  <c r="AC108" i="46" s="1"/>
  <c r="AD108" i="46" s="1"/>
  <c r="AB34" i="46"/>
  <c r="AC34" i="46" s="1"/>
  <c r="AD34" i="46" s="1"/>
  <c r="AE34" i="46" s="1"/>
  <c r="AB69" i="46"/>
  <c r="AC69" i="46" s="1"/>
  <c r="AD69" i="46" s="1"/>
  <c r="HM15" i="46" s="1"/>
  <c r="HM102" i="46" s="1"/>
  <c r="AB35" i="46"/>
  <c r="AC35" i="46" s="1"/>
  <c r="AD35" i="46" s="1"/>
  <c r="AB32" i="46"/>
  <c r="AC32" i="46" s="1"/>
  <c r="AD32" i="46" s="1"/>
  <c r="AB59" i="46"/>
  <c r="AC59" i="46" s="1"/>
  <c r="AD59" i="46" s="1"/>
  <c r="AB21" i="46"/>
  <c r="AC21" i="46" s="1"/>
  <c r="AD21" i="46" s="1"/>
  <c r="AB110" i="46"/>
  <c r="AC110" i="46" s="1"/>
  <c r="AD110" i="46" s="1"/>
  <c r="AB52" i="46"/>
  <c r="AC52" i="46" s="1"/>
  <c r="AD52" i="46" s="1"/>
  <c r="GV15" i="46" s="1"/>
  <c r="GV82" i="46" s="1"/>
  <c r="AB87" i="46"/>
  <c r="AC87" i="46" s="1"/>
  <c r="AD87" i="46" s="1"/>
  <c r="AB61" i="46"/>
  <c r="AC61" i="46" s="1"/>
  <c r="AD61" i="46" s="1"/>
  <c r="AB75" i="46"/>
  <c r="AC75" i="46" s="1"/>
  <c r="AD75" i="46" s="1"/>
  <c r="HS15" i="46" s="1"/>
  <c r="HS80" i="46" s="1"/>
  <c r="AB94" i="46"/>
  <c r="AC94" i="46" s="1"/>
  <c r="AD94" i="46" s="1"/>
  <c r="AB54" i="46"/>
  <c r="AC54" i="46" s="1"/>
  <c r="AD54" i="46" s="1"/>
  <c r="AB44" i="46"/>
  <c r="AC44" i="46" s="1"/>
  <c r="AD44" i="46" s="1"/>
  <c r="AB72" i="46"/>
  <c r="AC72" i="46" s="1"/>
  <c r="AD72" i="46" s="1"/>
  <c r="HP15" i="46" s="1"/>
  <c r="HP100" i="46" s="1"/>
  <c r="AB60" i="46"/>
  <c r="AC60" i="46" s="1"/>
  <c r="AD60" i="46" s="1"/>
  <c r="AE60" i="46" s="1"/>
  <c r="AB79" i="46"/>
  <c r="AC79" i="46" s="1"/>
  <c r="AD79" i="46" s="1"/>
  <c r="HW15" i="46" s="1"/>
  <c r="AB64" i="46"/>
  <c r="AC64" i="46" s="1"/>
  <c r="AD64" i="46" s="1"/>
  <c r="AB103" i="46"/>
  <c r="AC103" i="46" s="1"/>
  <c r="AD103" i="46" s="1"/>
  <c r="AB58" i="46"/>
  <c r="AC58" i="46" s="1"/>
  <c r="AD58" i="46" s="1"/>
  <c r="AB88" i="46"/>
  <c r="AC88" i="46" s="1"/>
  <c r="AD88" i="46" s="1"/>
  <c r="IF15" i="46" s="1"/>
  <c r="IF102" i="46" s="1"/>
  <c r="AB66" i="46"/>
  <c r="AC66" i="46" s="1"/>
  <c r="AD66" i="46" s="1"/>
  <c r="HJ15" i="46" s="1"/>
  <c r="HJ95" i="46" s="1"/>
  <c r="AB55" i="46"/>
  <c r="AC55" i="46" s="1"/>
  <c r="AD55" i="46" s="1"/>
  <c r="AB29" i="46"/>
  <c r="AC29" i="46" s="1"/>
  <c r="AD29" i="46" s="1"/>
  <c r="AE29" i="46" s="1"/>
  <c r="AB42" i="46"/>
  <c r="AC42" i="46" s="1"/>
  <c r="AD42" i="46" s="1"/>
  <c r="AB95" i="46"/>
  <c r="AC95" i="46" s="1"/>
  <c r="AD95" i="46" s="1"/>
  <c r="AB82" i="46"/>
  <c r="AC82" i="46" s="1"/>
  <c r="AD82" i="46" s="1"/>
  <c r="AB90" i="46"/>
  <c r="AC90" i="46" s="1"/>
  <c r="AD90" i="46" s="1"/>
  <c r="AB20" i="46"/>
  <c r="AC20" i="46" s="1"/>
  <c r="AB24" i="46"/>
  <c r="AC24" i="46" s="1"/>
  <c r="AD24" i="46" s="1"/>
  <c r="AE24" i="46" s="1"/>
  <c r="AB43" i="46"/>
  <c r="AC43" i="46" s="1"/>
  <c r="AD43" i="46" s="1"/>
  <c r="AB109" i="46"/>
  <c r="AC109" i="46" s="1"/>
  <c r="AD109" i="46" s="1"/>
  <c r="AB74" i="46"/>
  <c r="AC74" i="46" s="1"/>
  <c r="AD74" i="46" s="1"/>
  <c r="AB40" i="46"/>
  <c r="AC40" i="46" s="1"/>
  <c r="AD40" i="46" s="1"/>
  <c r="AB106" i="46"/>
  <c r="AC106" i="46" s="1"/>
  <c r="AD106" i="46" s="1"/>
  <c r="IX15" i="46" s="1"/>
  <c r="AB100" i="46"/>
  <c r="AC100" i="46" s="1"/>
  <c r="AD100" i="46" s="1"/>
  <c r="AB23" i="46"/>
  <c r="AC23" i="46" s="1"/>
  <c r="AD23" i="46" s="1"/>
  <c r="AB80" i="46"/>
  <c r="AC80" i="46" s="1"/>
  <c r="AD80" i="46" s="1"/>
  <c r="HX15" i="46" s="1"/>
  <c r="AB86" i="46"/>
  <c r="AC86" i="46" s="1"/>
  <c r="AD86" i="46" s="1"/>
  <c r="AB71" i="46"/>
  <c r="AC71" i="46" s="1"/>
  <c r="AD71" i="46" s="1"/>
  <c r="AB22" i="46"/>
  <c r="AC22" i="46" s="1"/>
  <c r="AD22" i="46" s="1"/>
  <c r="AB105" i="46"/>
  <c r="AC105" i="46" s="1"/>
  <c r="AD105" i="46" s="1"/>
  <c r="AB97" i="46"/>
  <c r="AC97" i="46" s="1"/>
  <c r="AD97" i="46" s="1"/>
  <c r="AB93" i="46"/>
  <c r="AC93" i="46" s="1"/>
  <c r="AD93" i="46" s="1"/>
  <c r="IK15" i="46" s="1"/>
  <c r="IK100" i="46" s="1"/>
  <c r="AB27" i="46"/>
  <c r="AC27" i="46" s="1"/>
  <c r="AD27" i="46" s="1"/>
  <c r="IT15" i="46"/>
  <c r="AN8" i="46"/>
  <c r="AN20" i="46" s="1"/>
  <c r="AQ20" i="41" s="1"/>
  <c r="AY20" i="41" s="1"/>
  <c r="HD15" i="46"/>
  <c r="HD66" i="46" s="1"/>
  <c r="AS20" i="41" l="1"/>
  <c r="BA20" i="41" s="1"/>
  <c r="BI28" i="41"/>
  <c r="AO91" i="38"/>
  <c r="CX91" i="38" s="1"/>
  <c r="DC91" i="38" s="1"/>
  <c r="AO49" i="38"/>
  <c r="CW49" i="38" s="1"/>
  <c r="DB49" i="38" s="1"/>
  <c r="AO104" i="38"/>
  <c r="CX104" i="38" s="1"/>
  <c r="DC104" i="38" s="1"/>
  <c r="BI26" i="41"/>
  <c r="AO51" i="38"/>
  <c r="CX51" i="38" s="1"/>
  <c r="DC51" i="38" s="1"/>
  <c r="AO87" i="38"/>
  <c r="CX87" i="38" s="1"/>
  <c r="DC87" i="38" s="1"/>
  <c r="AO95" i="38"/>
  <c r="CX95" i="38" s="1"/>
  <c r="DC95" i="38" s="1"/>
  <c r="AO100" i="38"/>
  <c r="CX100" i="38" s="1"/>
  <c r="DC100" i="38" s="1"/>
  <c r="BR21" i="41"/>
  <c r="AO55" i="38"/>
  <c r="CX55" i="38" s="1"/>
  <c r="DC55" i="38" s="1"/>
  <c r="AO82" i="38"/>
  <c r="CX82" i="38" s="1"/>
  <c r="DC82" i="38" s="1"/>
  <c r="AO43" i="38"/>
  <c r="CW43" i="38" s="1"/>
  <c r="DB43" i="38" s="1"/>
  <c r="AO40" i="38"/>
  <c r="CW40" i="38" s="1"/>
  <c r="DB40" i="38" s="1"/>
  <c r="AO66" i="38"/>
  <c r="CX66" i="38" s="1"/>
  <c r="DC66" i="38" s="1"/>
  <c r="AO47" i="38"/>
  <c r="CW47" i="38" s="1"/>
  <c r="DB47" i="38" s="1"/>
  <c r="AO69" i="38"/>
  <c r="CX69" i="38" s="1"/>
  <c r="DC69" i="38" s="1"/>
  <c r="AO57" i="38"/>
  <c r="CX57" i="38" s="1"/>
  <c r="DC57" i="38" s="1"/>
  <c r="AO85" i="38"/>
  <c r="CX85" i="38" s="1"/>
  <c r="DC85" i="38" s="1"/>
  <c r="AO102" i="38"/>
  <c r="CX102" i="38" s="1"/>
  <c r="DC102" i="38" s="1"/>
  <c r="AO62" i="38"/>
  <c r="CX62" i="38" s="1"/>
  <c r="DC62" i="38" s="1"/>
  <c r="AO56" i="38"/>
  <c r="CX56" i="38" s="1"/>
  <c r="DC56" i="38" s="1"/>
  <c r="AO58" i="38"/>
  <c r="CX58" i="38" s="1"/>
  <c r="DC58" i="38" s="1"/>
  <c r="AO109" i="38"/>
  <c r="CX109" i="38" s="1"/>
  <c r="DC109" i="38" s="1"/>
  <c r="AO90" i="38"/>
  <c r="CX90" i="38" s="1"/>
  <c r="DC90" i="38" s="1"/>
  <c r="AO45" i="38"/>
  <c r="CW45" i="38" s="1"/>
  <c r="DB45" i="38" s="1"/>
  <c r="AO89" i="38"/>
  <c r="CX89" i="38" s="1"/>
  <c r="DC89" i="38" s="1"/>
  <c r="AO67" i="38"/>
  <c r="CX67" i="38" s="1"/>
  <c r="DC67" i="38" s="1"/>
  <c r="AO93" i="38"/>
  <c r="CX93" i="38" s="1"/>
  <c r="DC93" i="38" s="1"/>
  <c r="AO79" i="38"/>
  <c r="CX79" i="38" s="1"/>
  <c r="DC79" i="38" s="1"/>
  <c r="AO54" i="38"/>
  <c r="CX54" i="38" s="1"/>
  <c r="DC54" i="38" s="1"/>
  <c r="AO80" i="38"/>
  <c r="CX80" i="38" s="1"/>
  <c r="DC80" i="38" s="1"/>
  <c r="CN8" i="38"/>
  <c r="CN20" i="38" s="1"/>
  <c r="BY20" i="41" s="1"/>
  <c r="AO77" i="38"/>
  <c r="CX77" i="38" s="1"/>
  <c r="DC77" i="38" s="1"/>
  <c r="AO37" i="38"/>
  <c r="CW37" i="38" s="1"/>
  <c r="DB37" i="38" s="1"/>
  <c r="AO63" i="38"/>
  <c r="CX63" i="38" s="1"/>
  <c r="DC63" i="38" s="1"/>
  <c r="AO78" i="38"/>
  <c r="CX78" i="38" s="1"/>
  <c r="DC78" i="38" s="1"/>
  <c r="AO71" i="38"/>
  <c r="CX71" i="38" s="1"/>
  <c r="DC71" i="38" s="1"/>
  <c r="AO101" i="38"/>
  <c r="CX101" i="38" s="1"/>
  <c r="DC101" i="38" s="1"/>
  <c r="BX28" i="38"/>
  <c r="BJ28" i="41" s="1"/>
  <c r="CL24" i="38"/>
  <c r="AO84" i="38"/>
  <c r="CX84" i="38" s="1"/>
  <c r="DC84" i="38" s="1"/>
  <c r="AO68" i="38"/>
  <c r="CX68" i="38" s="1"/>
  <c r="DC68" i="38" s="1"/>
  <c r="AO75" i="38"/>
  <c r="CX75" i="38" s="1"/>
  <c r="DC75" i="38" s="1"/>
  <c r="AO103" i="38"/>
  <c r="CX103" i="38" s="1"/>
  <c r="DC103" i="38" s="1"/>
  <c r="AO53" i="38"/>
  <c r="CX53" i="38" s="1"/>
  <c r="DC53" i="38" s="1"/>
  <c r="AO34" i="38"/>
  <c r="AO59" i="38"/>
  <c r="CX59" i="38" s="1"/>
  <c r="DC59" i="38" s="1"/>
  <c r="AO36" i="38"/>
  <c r="CW36" i="38" s="1"/>
  <c r="DB36" i="38" s="1"/>
  <c r="AO108" i="38"/>
  <c r="CX108" i="38" s="1"/>
  <c r="DC108" i="38" s="1"/>
  <c r="AO83" i="38"/>
  <c r="CX83" i="38" s="1"/>
  <c r="DC83" i="38" s="1"/>
  <c r="AO31" i="38"/>
  <c r="AO97" i="38"/>
  <c r="CX97" i="38" s="1"/>
  <c r="DC97" i="38" s="1"/>
  <c r="AO64" i="38"/>
  <c r="CX64" i="38" s="1"/>
  <c r="DC64" i="38" s="1"/>
  <c r="AO50" i="38"/>
  <c r="AO99" i="38"/>
  <c r="CX99" i="38" s="1"/>
  <c r="DC99" i="38" s="1"/>
  <c r="AO41" i="38"/>
  <c r="CW41" i="38" s="1"/>
  <c r="DB41" i="38" s="1"/>
  <c r="AO110" i="38"/>
  <c r="CX110" i="38" s="1"/>
  <c r="DC110" i="38" s="1"/>
  <c r="AO92" i="38"/>
  <c r="CX92" i="38" s="1"/>
  <c r="DC92" i="38" s="1"/>
  <c r="AO21" i="38"/>
  <c r="AO61" i="38"/>
  <c r="CX61" i="38" s="1"/>
  <c r="DC61" i="38" s="1"/>
  <c r="AO94" i="38"/>
  <c r="CX94" i="38" s="1"/>
  <c r="DC94" i="38" s="1"/>
  <c r="AO39" i="38"/>
  <c r="CW39" i="38" s="1"/>
  <c r="DB39" i="38" s="1"/>
  <c r="AO107" i="38"/>
  <c r="CX107" i="38" s="1"/>
  <c r="DC107" i="38" s="1"/>
  <c r="BI27" i="41"/>
  <c r="CE69" i="38"/>
  <c r="BO69" i="41" s="1"/>
  <c r="CL27" i="38"/>
  <c r="BR29" i="38"/>
  <c r="BH29" i="41" s="1"/>
  <c r="BI29" i="41" s="1"/>
  <c r="AO38" i="38"/>
  <c r="CW38" i="38" s="1"/>
  <c r="DB38" i="38" s="1"/>
  <c r="AO42" i="38"/>
  <c r="CW42" i="38" s="1"/>
  <c r="DB42" i="38" s="1"/>
  <c r="AO76" i="38"/>
  <c r="CX76" i="38" s="1"/>
  <c r="DC76" i="38" s="1"/>
  <c r="AO98" i="38"/>
  <c r="CX98" i="38" s="1"/>
  <c r="DC98" i="38" s="1"/>
  <c r="AO52" i="38"/>
  <c r="CX52" i="38" s="1"/>
  <c r="DC52" i="38" s="1"/>
  <c r="AO74" i="38"/>
  <c r="CX74" i="38" s="1"/>
  <c r="DC74" i="38" s="1"/>
  <c r="AO88" i="38"/>
  <c r="CX88" i="38" s="1"/>
  <c r="DC88" i="38" s="1"/>
  <c r="AO44" i="38"/>
  <c r="CW44" i="38" s="1"/>
  <c r="DB44" i="38" s="1"/>
  <c r="AO73" i="38"/>
  <c r="CX73" i="38" s="1"/>
  <c r="DC73" i="38" s="1"/>
  <c r="AO32" i="38"/>
  <c r="AO60" i="38"/>
  <c r="CX60" i="38" s="1"/>
  <c r="DC60" i="38" s="1"/>
  <c r="AO48" i="38"/>
  <c r="CW48" i="38" s="1"/>
  <c r="DB48" i="38" s="1"/>
  <c r="AO33" i="38"/>
  <c r="AO65" i="38"/>
  <c r="CX65" i="38" s="1"/>
  <c r="DC65" i="38" s="1"/>
  <c r="AO70" i="38"/>
  <c r="CX70" i="38" s="1"/>
  <c r="DC70" i="38" s="1"/>
  <c r="AO46" i="38"/>
  <c r="CW46" i="38" s="1"/>
  <c r="DB46" i="38" s="1"/>
  <c r="AO106" i="38"/>
  <c r="CX106" i="38" s="1"/>
  <c r="DC106" i="38" s="1"/>
  <c r="AO35" i="38"/>
  <c r="CW35" i="38" s="1"/>
  <c r="DB35" i="38" s="1"/>
  <c r="AO96" i="38"/>
  <c r="CX96" i="38" s="1"/>
  <c r="DC96" i="38" s="1"/>
  <c r="AO72" i="38"/>
  <c r="CX72" i="38" s="1"/>
  <c r="DC72" i="38" s="1"/>
  <c r="AO86" i="38"/>
  <c r="CX86" i="38" s="1"/>
  <c r="DC86" i="38" s="1"/>
  <c r="AO81" i="38"/>
  <c r="CX81" i="38" s="1"/>
  <c r="DC81" i="38" s="1"/>
  <c r="AO105" i="38"/>
  <c r="CX105" i="38" s="1"/>
  <c r="DC105" i="38" s="1"/>
  <c r="BR25" i="41"/>
  <c r="CE26" i="38"/>
  <c r="BO26" i="41" s="1"/>
  <c r="CL26" i="38"/>
  <c r="BR24" i="41"/>
  <c r="CE29" i="38"/>
  <c r="BO29" i="41" s="1"/>
  <c r="BR29" i="41"/>
  <c r="BX24" i="38"/>
  <c r="BJ24" i="41" s="1"/>
  <c r="BX26" i="38"/>
  <c r="BJ26" i="41" s="1"/>
  <c r="BH22" i="41"/>
  <c r="BI22" i="41" s="1"/>
  <c r="BX22" i="38"/>
  <c r="BJ22" i="41" s="1"/>
  <c r="CE28" i="38"/>
  <c r="BO28" i="41" s="1"/>
  <c r="CL28" i="38"/>
  <c r="BI80" i="41"/>
  <c r="BX21" i="38"/>
  <c r="BJ21" i="41" s="1"/>
  <c r="CE20" i="38"/>
  <c r="BO20" i="41" s="1"/>
  <c r="BX100" i="38"/>
  <c r="BJ100" i="41" s="1"/>
  <c r="FS102" i="38"/>
  <c r="CX102" i="41" s="1"/>
  <c r="CE63" i="38"/>
  <c r="BO63" i="41" s="1"/>
  <c r="CE37" i="38"/>
  <c r="BO37" i="41" s="1"/>
  <c r="BM110" i="41"/>
  <c r="BI38" i="41"/>
  <c r="CE73" i="38"/>
  <c r="BO73" i="41" s="1"/>
  <c r="BI64" i="41"/>
  <c r="BI108" i="41"/>
  <c r="CE55" i="38"/>
  <c r="BO55" i="41" s="1"/>
  <c r="CL67" i="38"/>
  <c r="BR86" i="41"/>
  <c r="CE81" i="38"/>
  <c r="BO81" i="41" s="1"/>
  <c r="BI87" i="41"/>
  <c r="BR42" i="41"/>
  <c r="BI90" i="41"/>
  <c r="CE36" i="38"/>
  <c r="BO36" i="41" s="1"/>
  <c r="BI68" i="41"/>
  <c r="BI58" i="41"/>
  <c r="CL30" i="38"/>
  <c r="BM41" i="41"/>
  <c r="BI31" i="41"/>
  <c r="CL72" i="38"/>
  <c r="BI35" i="41"/>
  <c r="BR80" i="41"/>
  <c r="BI109" i="41"/>
  <c r="CL109" i="38"/>
  <c r="CE72" i="38"/>
  <c r="BO72" i="41" s="1"/>
  <c r="CE65" i="38"/>
  <c r="BO65" i="41" s="1"/>
  <c r="CL73" i="38"/>
  <c r="BM73" i="41"/>
  <c r="CL85" i="38"/>
  <c r="CE100" i="38"/>
  <c r="BO100" i="41" s="1"/>
  <c r="CE95" i="38"/>
  <c r="BO95" i="41" s="1"/>
  <c r="CL82" i="38"/>
  <c r="CE88" i="38"/>
  <c r="BO88" i="41" s="1"/>
  <c r="BR60" i="41"/>
  <c r="BX62" i="38"/>
  <c r="BJ62" i="41" s="1"/>
  <c r="CE109" i="38"/>
  <c r="BO109" i="41" s="1"/>
  <c r="CL63" i="38"/>
  <c r="CE94" i="38"/>
  <c r="BO94" i="41" s="1"/>
  <c r="CL34" i="38"/>
  <c r="CL93" i="38"/>
  <c r="BR31" i="41"/>
  <c r="CE31" i="38"/>
  <c r="BO31" i="41" s="1"/>
  <c r="CL53" i="38"/>
  <c r="BX96" i="38"/>
  <c r="BJ96" i="41" s="1"/>
  <c r="CL33" i="38"/>
  <c r="CE64" i="38"/>
  <c r="BO64" i="41" s="1"/>
  <c r="BX105" i="38"/>
  <c r="BJ105" i="41" s="1"/>
  <c r="BM30" i="41"/>
  <c r="BX81" i="38"/>
  <c r="BJ81" i="41" s="1"/>
  <c r="BR95" i="41"/>
  <c r="BR91" i="41"/>
  <c r="BI51" i="41"/>
  <c r="CL52" i="38"/>
  <c r="CL48" i="38"/>
  <c r="CL96" i="38"/>
  <c r="BR61" i="41"/>
  <c r="CE75" i="38"/>
  <c r="BO75" i="41" s="1"/>
  <c r="CL100" i="38"/>
  <c r="CL62" i="38"/>
  <c r="CL101" i="38"/>
  <c r="BX94" i="38"/>
  <c r="BJ94" i="41" s="1"/>
  <c r="FS30" i="38"/>
  <c r="CX30" i="41" s="1"/>
  <c r="FS38" i="38"/>
  <c r="CX38" i="41" s="1"/>
  <c r="FS29" i="38"/>
  <c r="CX29" i="41" s="1"/>
  <c r="FS35" i="38"/>
  <c r="CX35" i="41" s="1"/>
  <c r="FS46" i="38"/>
  <c r="CX46" i="41" s="1"/>
  <c r="FS62" i="38"/>
  <c r="FR62" i="38" s="1"/>
  <c r="FS31" i="38"/>
  <c r="FR31" i="38" s="1"/>
  <c r="FS33" i="38"/>
  <c r="FR33" i="38" s="1"/>
  <c r="FS67" i="38"/>
  <c r="CX67" i="41" s="1"/>
  <c r="FS73" i="38"/>
  <c r="CX73" i="41" s="1"/>
  <c r="FS36" i="38"/>
  <c r="FR36" i="38" s="1"/>
  <c r="FS65" i="38"/>
  <c r="CX65" i="41" s="1"/>
  <c r="FS76" i="38"/>
  <c r="FR76" i="38" s="1"/>
  <c r="FS72" i="38"/>
  <c r="CX72" i="41" s="1"/>
  <c r="FS61" i="38"/>
  <c r="FR61" i="38" s="1"/>
  <c r="FS60" i="38"/>
  <c r="CX60" i="41" s="1"/>
  <c r="FS88" i="38"/>
  <c r="FR88" i="38" s="1"/>
  <c r="FS44" i="38"/>
  <c r="FR44" i="38" s="1"/>
  <c r="FS84" i="38"/>
  <c r="FR84" i="38" s="1"/>
  <c r="FS101" i="38"/>
  <c r="FR101" i="38" s="1"/>
  <c r="FS99" i="38"/>
  <c r="FR99" i="38" s="1"/>
  <c r="FS87" i="38"/>
  <c r="CX87" i="41" s="1"/>
  <c r="FS80" i="38"/>
  <c r="FR80" i="38" s="1"/>
  <c r="FS20" i="38"/>
  <c r="FR20" i="38" s="1"/>
  <c r="FS83" i="38"/>
  <c r="CX83" i="41" s="1"/>
  <c r="FS86" i="38"/>
  <c r="CX86" i="41" s="1"/>
  <c r="FS22" i="38"/>
  <c r="FR22" i="38" s="1"/>
  <c r="FS40" i="38"/>
  <c r="CX40" i="41" s="1"/>
  <c r="FS56" i="38"/>
  <c r="CX56" i="41" s="1"/>
  <c r="FS50" i="38"/>
  <c r="CX50" i="41" s="1"/>
  <c r="FS24" i="38"/>
  <c r="FR24" i="38" s="1"/>
  <c r="FS59" i="38"/>
  <c r="CX59" i="41" s="1"/>
  <c r="FS66" i="38"/>
  <c r="CX66" i="41" s="1"/>
  <c r="FS90" i="38"/>
  <c r="FR90" i="38" s="1"/>
  <c r="FS96" i="38"/>
  <c r="CX96" i="41" s="1"/>
  <c r="FS69" i="38"/>
  <c r="FR69" i="38" s="1"/>
  <c r="FS57" i="38"/>
  <c r="FR57" i="38" s="1"/>
  <c r="FS75" i="38"/>
  <c r="FR75" i="38" s="1"/>
  <c r="FS39" i="38"/>
  <c r="CX39" i="41" s="1"/>
  <c r="FS27" i="38"/>
  <c r="FR27" i="38" s="1"/>
  <c r="FS26" i="38"/>
  <c r="FR26" i="38" s="1"/>
  <c r="FS109" i="38"/>
  <c r="CX109" i="41" s="1"/>
  <c r="FS34" i="38"/>
  <c r="CX34" i="41" s="1"/>
  <c r="FS63" i="38"/>
  <c r="FR63" i="38" s="1"/>
  <c r="BX104" i="38"/>
  <c r="BJ104" i="41" s="1"/>
  <c r="BX101" i="38"/>
  <c r="BJ101" i="41" s="1"/>
  <c r="CE67" i="38"/>
  <c r="BO67" i="41" s="1"/>
  <c r="BR33" i="41"/>
  <c r="FS95" i="38"/>
  <c r="FR95" i="38" s="1"/>
  <c r="FS107" i="38"/>
  <c r="FR107" i="38" s="1"/>
  <c r="FS23" i="38"/>
  <c r="CX23" i="41" s="1"/>
  <c r="FS89" i="38"/>
  <c r="CX89" i="41" s="1"/>
  <c r="FS97" i="38"/>
  <c r="CX97" i="41" s="1"/>
  <c r="FS55" i="38"/>
  <c r="CX55" i="41" s="1"/>
  <c r="FS98" i="38"/>
  <c r="FR98" i="38" s="1"/>
  <c r="FS70" i="38"/>
  <c r="CX70" i="41" s="1"/>
  <c r="FS77" i="38"/>
  <c r="FR77" i="38" s="1"/>
  <c r="FS91" i="38"/>
  <c r="CX91" i="41" s="1"/>
  <c r="FS81" i="38"/>
  <c r="CX81" i="41" s="1"/>
  <c r="FS78" i="38"/>
  <c r="CX78" i="41" s="1"/>
  <c r="FS37" i="38"/>
  <c r="CX37" i="41" s="1"/>
  <c r="FS28" i="38"/>
  <c r="FR28" i="38" s="1"/>
  <c r="FS25" i="38"/>
  <c r="FR25" i="38" s="1"/>
  <c r="FS93" i="38"/>
  <c r="CX93" i="41" s="1"/>
  <c r="FS106" i="38"/>
  <c r="CX106" i="41" s="1"/>
  <c r="FS43" i="38"/>
  <c r="CX43" i="41" s="1"/>
  <c r="FS58" i="38"/>
  <c r="CX58" i="41" s="1"/>
  <c r="FS68" i="38"/>
  <c r="CX68" i="41" s="1"/>
  <c r="FS85" i="38"/>
  <c r="CX85" i="41" s="1"/>
  <c r="FS42" i="38"/>
  <c r="CX42" i="41" s="1"/>
  <c r="FS110" i="38"/>
  <c r="FR110" i="38" s="1"/>
  <c r="CE71" i="38"/>
  <c r="BO71" i="41" s="1"/>
  <c r="BR66" i="41"/>
  <c r="BR32" i="41"/>
  <c r="BI67" i="41"/>
  <c r="BX88" i="38"/>
  <c r="BJ88" i="41" s="1"/>
  <c r="CE93" i="38"/>
  <c r="BO93" i="41" s="1"/>
  <c r="BR110" i="41"/>
  <c r="CL77" i="38"/>
  <c r="CL45" i="38"/>
  <c r="CE61" i="38"/>
  <c r="BO61" i="41" s="1"/>
  <c r="CE101" i="38"/>
  <c r="BO101" i="41" s="1"/>
  <c r="FS47" i="38"/>
  <c r="FR47" i="38" s="1"/>
  <c r="FS71" i="38"/>
  <c r="CX71" i="41" s="1"/>
  <c r="FS51" i="38"/>
  <c r="FR51" i="38" s="1"/>
  <c r="FS103" i="38"/>
  <c r="CX103" i="41" s="1"/>
  <c r="FS94" i="38"/>
  <c r="FR94" i="38" s="1"/>
  <c r="FS49" i="38"/>
  <c r="CX49" i="41" s="1"/>
  <c r="FS100" i="38"/>
  <c r="FR100" i="38" s="1"/>
  <c r="FS79" i="38"/>
  <c r="CX79" i="41" s="1"/>
  <c r="FS105" i="38"/>
  <c r="CX105" i="41" s="1"/>
  <c r="FS92" i="38"/>
  <c r="CX92" i="41" s="1"/>
  <c r="FS53" i="38"/>
  <c r="FR53" i="38" s="1"/>
  <c r="FS108" i="38"/>
  <c r="CX108" i="41" s="1"/>
  <c r="FS45" i="38"/>
  <c r="FR45" i="38" s="1"/>
  <c r="FS41" i="38"/>
  <c r="CX41" i="41" s="1"/>
  <c r="FS21" i="38"/>
  <c r="CX21" i="41" s="1"/>
  <c r="FS52" i="38"/>
  <c r="FR52" i="38" s="1"/>
  <c r="FS82" i="38"/>
  <c r="FR82" i="38" s="1"/>
  <c r="FS48" i="38"/>
  <c r="FR48" i="38" s="1"/>
  <c r="FS74" i="38"/>
  <c r="FR74" i="38" s="1"/>
  <c r="FS64" i="38"/>
  <c r="FR64" i="38" s="1"/>
  <c r="FS54" i="38"/>
  <c r="FR54" i="38" s="1"/>
  <c r="FS32" i="38"/>
  <c r="FR32" i="38" s="1"/>
  <c r="CE96" i="38"/>
  <c r="BO96" i="41" s="1"/>
  <c r="CE50" i="38"/>
  <c r="BO50" i="41" s="1"/>
  <c r="CE62" i="38"/>
  <c r="BO62" i="41" s="1"/>
  <c r="CE57" i="38"/>
  <c r="BO57" i="41" s="1"/>
  <c r="CL54" i="38"/>
  <c r="CL43" i="38"/>
  <c r="BI106" i="41"/>
  <c r="BI37" i="41"/>
  <c r="BX87" i="38"/>
  <c r="BJ87" i="41" s="1"/>
  <c r="CE99" i="38"/>
  <c r="BO99" i="41" s="1"/>
  <c r="CL75" i="38"/>
  <c r="CE78" i="38"/>
  <c r="BO78" i="41" s="1"/>
  <c r="BX83" i="38"/>
  <c r="BJ83" i="41" s="1"/>
  <c r="CL78" i="38"/>
  <c r="BR98" i="41"/>
  <c r="BI43" i="41"/>
  <c r="BI48" i="41"/>
  <c r="CE86" i="38"/>
  <c r="BO86" i="41" s="1"/>
  <c r="BI45" i="41"/>
  <c r="BX84" i="38"/>
  <c r="BJ84" i="41" s="1"/>
  <c r="CE43" i="38"/>
  <c r="BO43" i="41" s="1"/>
  <c r="CE52" i="38"/>
  <c r="BO52" i="41" s="1"/>
  <c r="CE39" i="38"/>
  <c r="BO39" i="41" s="1"/>
  <c r="BI105" i="41"/>
  <c r="CE53" i="38"/>
  <c r="BO53" i="41" s="1"/>
  <c r="CE74" i="38"/>
  <c r="BO74" i="41" s="1"/>
  <c r="BI54" i="41"/>
  <c r="BX109" i="38"/>
  <c r="BJ109" i="41" s="1"/>
  <c r="CE32" i="38"/>
  <c r="BO32" i="41" s="1"/>
  <c r="BI98" i="41"/>
  <c r="BH100" i="41"/>
  <c r="BI100" i="41" s="1"/>
  <c r="CE49" i="38"/>
  <c r="BO49" i="41" s="1"/>
  <c r="BI107" i="41"/>
  <c r="CL106" i="38"/>
  <c r="BI110" i="41"/>
  <c r="BI69" i="41"/>
  <c r="CL94" i="38"/>
  <c r="CL89" i="38"/>
  <c r="BX33" i="38"/>
  <c r="BJ33" i="41" s="1"/>
  <c r="CL70" i="38"/>
  <c r="CL57" i="38"/>
  <c r="BI86" i="41"/>
  <c r="CE103" i="38"/>
  <c r="BO103" i="41" s="1"/>
  <c r="CL41" i="38"/>
  <c r="BI39" i="41"/>
  <c r="CE97" i="38"/>
  <c r="BO97" i="41" s="1"/>
  <c r="BX95" i="38"/>
  <c r="BJ95" i="41" s="1"/>
  <c r="BI81" i="41"/>
  <c r="BX64" i="38"/>
  <c r="BJ64" i="41" s="1"/>
  <c r="BX80" i="38"/>
  <c r="BJ80" i="41" s="1"/>
  <c r="BX86" i="38"/>
  <c r="BJ86" i="41" s="1"/>
  <c r="BX90" i="38"/>
  <c r="BJ90" i="41" s="1"/>
  <c r="CE33" i="38"/>
  <c r="BO33" i="41" s="1"/>
  <c r="BR70" i="41"/>
  <c r="BR34" i="38"/>
  <c r="BX34" i="38" s="1"/>
  <c r="BJ34" i="41" s="1"/>
  <c r="BI75" i="41"/>
  <c r="CL44" i="38"/>
  <c r="BR94" i="41"/>
  <c r="BR46" i="41"/>
  <c r="CE76" i="38"/>
  <c r="BO76" i="41" s="1"/>
  <c r="BI55" i="41"/>
  <c r="BM48" i="41"/>
  <c r="CL88" i="38"/>
  <c r="CL79" i="38"/>
  <c r="CE80" i="38"/>
  <c r="BO80" i="41" s="1"/>
  <c r="CL71" i="38"/>
  <c r="CL49" i="38"/>
  <c r="CE98" i="38"/>
  <c r="BO98" i="41" s="1"/>
  <c r="BI74" i="41"/>
  <c r="BX110" i="38"/>
  <c r="BJ110" i="41" s="1"/>
  <c r="CE42" i="38"/>
  <c r="BO42" i="41" s="1"/>
  <c r="BM66" i="41"/>
  <c r="BX67" i="38"/>
  <c r="BJ67" i="41" s="1"/>
  <c r="BI50" i="41"/>
  <c r="BR36" i="41"/>
  <c r="BR106" i="41"/>
  <c r="CL68" i="38"/>
  <c r="CE40" i="38"/>
  <c r="BO40" i="41" s="1"/>
  <c r="CL39" i="38"/>
  <c r="CE107" i="38"/>
  <c r="BO107" i="41" s="1"/>
  <c r="BX48" i="38"/>
  <c r="BJ48" i="41" s="1"/>
  <c r="BI53" i="41"/>
  <c r="CL103" i="38"/>
  <c r="BI49" i="41"/>
  <c r="BI93" i="41"/>
  <c r="BI57" i="41"/>
  <c r="CL74" i="38"/>
  <c r="CE108" i="38"/>
  <c r="BO108" i="41" s="1"/>
  <c r="BI72" i="41"/>
  <c r="CL99" i="38"/>
  <c r="CE35" i="38"/>
  <c r="BO35" i="41" s="1"/>
  <c r="CE84" i="38"/>
  <c r="BO84" i="41" s="1"/>
  <c r="BR99" i="41"/>
  <c r="CL38" i="38"/>
  <c r="BX43" i="38"/>
  <c r="BJ43" i="41" s="1"/>
  <c r="CL35" i="38"/>
  <c r="CL81" i="38"/>
  <c r="BI103" i="41"/>
  <c r="BI59" i="41"/>
  <c r="CL92" i="38"/>
  <c r="CL56" i="38"/>
  <c r="BR59" i="41"/>
  <c r="CE38" i="38"/>
  <c r="BO38" i="41" s="1"/>
  <c r="CL69" i="38"/>
  <c r="BX98" i="38"/>
  <c r="BJ98" i="41" s="1"/>
  <c r="CL107" i="38"/>
  <c r="CE34" i="38"/>
  <c r="BO34" i="41" s="1"/>
  <c r="BI76" i="41"/>
  <c r="BX53" i="38"/>
  <c r="BJ53" i="41" s="1"/>
  <c r="CE70" i="38"/>
  <c r="BO70" i="41" s="1"/>
  <c r="BR47" i="41"/>
  <c r="CL104" i="38"/>
  <c r="BX72" i="38"/>
  <c r="BJ72" i="41" s="1"/>
  <c r="BH94" i="41"/>
  <c r="BI94" i="41" s="1"/>
  <c r="BR51" i="41"/>
  <c r="CE89" i="38"/>
  <c r="BO89" i="41" s="1"/>
  <c r="BX93" i="38"/>
  <c r="BJ93" i="41" s="1"/>
  <c r="CE102" i="38"/>
  <c r="BO102" i="41" s="1"/>
  <c r="BI73" i="41"/>
  <c r="BR101" i="41"/>
  <c r="BR74" i="41"/>
  <c r="BX49" i="38"/>
  <c r="BJ49" i="41" s="1"/>
  <c r="BI41" i="41"/>
  <c r="CE106" i="38"/>
  <c r="BO106" i="41" s="1"/>
  <c r="BR103" i="41"/>
  <c r="CL97" i="38"/>
  <c r="CE77" i="38"/>
  <c r="BO77" i="41" s="1"/>
  <c r="CL55" i="38"/>
  <c r="BX57" i="38"/>
  <c r="BJ57" i="41" s="1"/>
  <c r="BR50" i="41"/>
  <c r="BI70" i="41"/>
  <c r="CL40" i="38"/>
  <c r="BX79" i="38"/>
  <c r="BJ79" i="41" s="1"/>
  <c r="CE91" i="38"/>
  <c r="BO91" i="41" s="1"/>
  <c r="CL84" i="38"/>
  <c r="BR76" i="41"/>
  <c r="BR72" i="41"/>
  <c r="CL37" i="38"/>
  <c r="CE85" i="38"/>
  <c r="BO85" i="41" s="1"/>
  <c r="BX35" i="38"/>
  <c r="BJ35" i="41" s="1"/>
  <c r="CE105" i="38"/>
  <c r="BO105" i="41" s="1"/>
  <c r="CE90" i="38"/>
  <c r="BO90" i="41" s="1"/>
  <c r="CL102" i="38"/>
  <c r="CE46" i="38"/>
  <c r="BO46" i="41" s="1"/>
  <c r="BI65" i="41"/>
  <c r="BI79" i="41"/>
  <c r="CE56" i="38"/>
  <c r="BO56" i="41" s="1"/>
  <c r="BX103" i="38"/>
  <c r="BJ103" i="41" s="1"/>
  <c r="CE82" i="38"/>
  <c r="BO82" i="41" s="1"/>
  <c r="BI36" i="41"/>
  <c r="BI61" i="41"/>
  <c r="CE54" i="38"/>
  <c r="BO54" i="41" s="1"/>
  <c r="CE44" i="38"/>
  <c r="BO44" i="41" s="1"/>
  <c r="BI44" i="41"/>
  <c r="CL65" i="38"/>
  <c r="CL90" i="38"/>
  <c r="CL64" i="38"/>
  <c r="CL83" i="38"/>
  <c r="BX44" i="38"/>
  <c r="BJ44" i="41" s="1"/>
  <c r="CE92" i="38"/>
  <c r="BO92" i="41" s="1"/>
  <c r="BI60" i="41"/>
  <c r="CE51" i="38"/>
  <c r="BO51" i="41" s="1"/>
  <c r="BI40" i="41"/>
  <c r="CE47" i="38"/>
  <c r="BO47" i="41" s="1"/>
  <c r="CE60" i="38"/>
  <c r="BO60" i="41" s="1"/>
  <c r="CE83" i="38"/>
  <c r="BO83" i="41" s="1"/>
  <c r="BX78" i="38"/>
  <c r="BJ78" i="41" s="1"/>
  <c r="CE87" i="38"/>
  <c r="BO87" i="41" s="1"/>
  <c r="CL87" i="38"/>
  <c r="CE59" i="38"/>
  <c r="BO59" i="41" s="1"/>
  <c r="BI46" i="41"/>
  <c r="BX107" i="38"/>
  <c r="BJ107" i="41" s="1"/>
  <c r="CL105" i="38"/>
  <c r="BX91" i="38"/>
  <c r="BJ91" i="41" s="1"/>
  <c r="CL108" i="38"/>
  <c r="CL58" i="38"/>
  <c r="T116" i="45"/>
  <c r="W115" i="45"/>
  <c r="AD20" i="46"/>
  <c r="FP15" i="46" s="1"/>
  <c r="AJ5" i="46"/>
  <c r="AD65" i="46"/>
  <c r="HI15" i="46" s="1"/>
  <c r="HI110" i="46" s="1"/>
  <c r="AJ6" i="46"/>
  <c r="BX41" i="38"/>
  <c r="BJ41" i="41" s="1"/>
  <c r="IY15" i="46"/>
  <c r="IY110" i="46" s="1"/>
  <c r="AF22" i="38"/>
  <c r="AF23" i="38" s="1"/>
  <c r="BX73" i="38"/>
  <c r="BJ73" i="41" s="1"/>
  <c r="AE85" i="46"/>
  <c r="AJ21" i="38"/>
  <c r="AK21" i="38" s="1"/>
  <c r="AH21" i="41" s="1"/>
  <c r="AL21" i="41" s="1"/>
  <c r="AE30" i="46"/>
  <c r="AE104" i="46"/>
  <c r="BX54" i="38"/>
  <c r="BJ54" i="41" s="1"/>
  <c r="BX70" i="38"/>
  <c r="BJ70" i="41" s="1"/>
  <c r="IO5" i="38"/>
  <c r="AE75" i="46"/>
  <c r="BX106" i="38"/>
  <c r="BJ106" i="41" s="1"/>
  <c r="BX60" i="38"/>
  <c r="BJ60" i="41" s="1"/>
  <c r="GS87" i="46"/>
  <c r="BX58" i="38"/>
  <c r="BJ58" i="41" s="1"/>
  <c r="IY5" i="38"/>
  <c r="BX61" i="38"/>
  <c r="BJ61" i="41" s="1"/>
  <c r="HA5" i="38"/>
  <c r="HA8" i="38" s="1"/>
  <c r="GO15" i="46"/>
  <c r="GO100" i="46" s="1"/>
  <c r="BX75" i="38"/>
  <c r="BJ75" i="41" s="1"/>
  <c r="BX108" i="38"/>
  <c r="BJ108" i="41" s="1"/>
  <c r="BX36" i="38"/>
  <c r="BJ36" i="41" s="1"/>
  <c r="BX51" i="38"/>
  <c r="BJ51" i="41" s="1"/>
  <c r="IH5" i="38"/>
  <c r="BX102" i="38"/>
  <c r="BJ102" i="41" s="1"/>
  <c r="BH102" i="41"/>
  <c r="BI102" i="41" s="1"/>
  <c r="GJ5" i="38"/>
  <c r="GJ8" i="38" s="1"/>
  <c r="GF5" i="38"/>
  <c r="GF8" i="38" s="1"/>
  <c r="DM95" i="41"/>
  <c r="IP5" i="38"/>
  <c r="GW5" i="38"/>
  <c r="GW8" i="38" s="1"/>
  <c r="DD50" i="41"/>
  <c r="HM5" i="38"/>
  <c r="HM8" i="38" s="1"/>
  <c r="HK5" i="38"/>
  <c r="HK8" i="38" s="1"/>
  <c r="GS61" i="46"/>
  <c r="GR15" i="46"/>
  <c r="GR83" i="46" s="1"/>
  <c r="HD5" i="38"/>
  <c r="HD8" i="38" s="1"/>
  <c r="IJ5" i="38"/>
  <c r="GG5" i="38"/>
  <c r="GG8" i="38" s="1"/>
  <c r="JA5" i="38"/>
  <c r="HB5" i="38"/>
  <c r="HB8" i="38" s="1"/>
  <c r="DE55" i="41"/>
  <c r="CY25" i="41"/>
  <c r="FX5" i="38"/>
  <c r="FX8" i="38" s="1"/>
  <c r="BX71" i="38"/>
  <c r="BJ71" i="41" s="1"/>
  <c r="BH71" i="41"/>
  <c r="BI71" i="41" s="1"/>
  <c r="BH25" i="41"/>
  <c r="BI25" i="41" s="1"/>
  <c r="BX25" i="38"/>
  <c r="BJ25" i="41" s="1"/>
  <c r="GV5" i="38"/>
  <c r="GV8" i="38" s="1"/>
  <c r="CQ29" i="38"/>
  <c r="BX29" i="41" s="1"/>
  <c r="AS30" i="41"/>
  <c r="BA30" i="41" s="1"/>
  <c r="CP29" i="38"/>
  <c r="CQ28" i="38"/>
  <c r="BX28" i="41" s="1"/>
  <c r="AS29" i="41"/>
  <c r="BA29" i="41" s="1"/>
  <c r="CP28" i="38"/>
  <c r="JC5" i="38"/>
  <c r="GQ5" i="38"/>
  <c r="GQ8" i="38" s="1"/>
  <c r="IQ5" i="38"/>
  <c r="BX59" i="38"/>
  <c r="BJ59" i="41" s="1"/>
  <c r="BH47" i="41"/>
  <c r="BI47" i="41" s="1"/>
  <c r="BX47" i="38"/>
  <c r="BJ47" i="41" s="1"/>
  <c r="BX92" i="38"/>
  <c r="BJ92" i="41" s="1"/>
  <c r="BH92" i="41"/>
  <c r="BI92" i="41" s="1"/>
  <c r="BX40" i="38"/>
  <c r="BJ40" i="41" s="1"/>
  <c r="BH77" i="41"/>
  <c r="BI77" i="41" s="1"/>
  <c r="BX77" i="38"/>
  <c r="BJ77" i="41" s="1"/>
  <c r="AE79" i="46"/>
  <c r="GZ15" i="46"/>
  <c r="GZ98" i="46" s="1"/>
  <c r="HT92" i="46"/>
  <c r="IK94" i="46"/>
  <c r="FT5" i="38"/>
  <c r="FT8" i="38" s="1"/>
  <c r="IB5" i="38"/>
  <c r="FW5" i="38"/>
  <c r="FW8" i="38" s="1"/>
  <c r="BH42" i="41"/>
  <c r="BI42" i="41" s="1"/>
  <c r="BX42" i="38"/>
  <c r="BJ42" i="41" s="1"/>
  <c r="GZ5" i="38"/>
  <c r="GZ8" i="38" s="1"/>
  <c r="JD5" i="38"/>
  <c r="BH56" i="41"/>
  <c r="BI56" i="41" s="1"/>
  <c r="BX56" i="38"/>
  <c r="BJ56" i="41" s="1"/>
  <c r="FZ5" i="38"/>
  <c r="FZ8" i="38" s="1"/>
  <c r="HR5" i="38"/>
  <c r="HR8" i="38" s="1"/>
  <c r="HJ5" i="38"/>
  <c r="HJ8" i="38" s="1"/>
  <c r="GK5" i="38"/>
  <c r="GK8" i="38" s="1"/>
  <c r="CN25" i="38"/>
  <c r="BY25" i="41" s="1"/>
  <c r="CN27" i="38"/>
  <c r="BY27" i="41" s="1"/>
  <c r="CN24" i="38"/>
  <c r="BY24" i="41" s="1"/>
  <c r="CN23" i="38"/>
  <c r="BY23" i="41" s="1"/>
  <c r="CN34" i="38"/>
  <c r="BY34" i="41" s="1"/>
  <c r="CN29" i="38"/>
  <c r="BY29" i="41" s="1"/>
  <c r="CN31" i="38"/>
  <c r="BY31" i="41" s="1"/>
  <c r="CN30" i="38"/>
  <c r="BY30" i="41" s="1"/>
  <c r="CN32" i="38"/>
  <c r="BY32" i="41" s="1"/>
  <c r="CN26" i="38"/>
  <c r="BY26" i="41" s="1"/>
  <c r="CN21" i="38"/>
  <c r="BY21" i="41" s="1"/>
  <c r="CN22" i="38"/>
  <c r="BY22" i="41" s="1"/>
  <c r="CN28" i="38"/>
  <c r="BY28" i="41" s="1"/>
  <c r="CN33" i="38"/>
  <c r="BY33" i="41" s="1"/>
  <c r="AS28" i="41"/>
  <c r="BA28" i="41" s="1"/>
  <c r="CQ27" i="38"/>
  <c r="BX27" i="41" s="1"/>
  <c r="CP27" i="38"/>
  <c r="CQ22" i="38"/>
  <c r="BX22" i="41" s="1"/>
  <c r="AS23" i="41"/>
  <c r="BA23" i="41" s="1"/>
  <c r="CP22" i="38"/>
  <c r="AS24" i="41"/>
  <c r="BA24" i="41" s="1"/>
  <c r="CP23" i="38"/>
  <c r="CQ23" i="38"/>
  <c r="BX23" i="41" s="1"/>
  <c r="AS104" i="41"/>
  <c r="BA104" i="41" s="1"/>
  <c r="CQ21" i="38"/>
  <c r="BX21" i="41" s="1"/>
  <c r="AS22" i="41"/>
  <c r="BA22" i="41" s="1"/>
  <c r="CP24" i="38"/>
  <c r="CQ24" i="38"/>
  <c r="BX24" i="41" s="1"/>
  <c r="AS25" i="41"/>
  <c r="BA25" i="41" s="1"/>
  <c r="CQ90" i="38"/>
  <c r="BX90" i="41" s="1"/>
  <c r="DL90" i="41"/>
  <c r="IK5" i="38"/>
  <c r="BH96" i="41"/>
  <c r="BI96" i="41" s="1"/>
  <c r="BX74" i="38"/>
  <c r="BJ74" i="41" s="1"/>
  <c r="CZ30" i="41"/>
  <c r="GC5" i="38"/>
  <c r="GC8" i="38" s="1"/>
  <c r="HS5" i="38"/>
  <c r="HS8" i="38" s="1"/>
  <c r="IZ5" i="38"/>
  <c r="BH95" i="41"/>
  <c r="BI95" i="41" s="1"/>
  <c r="JB5" i="38"/>
  <c r="BH66" i="41"/>
  <c r="BI66" i="41" s="1"/>
  <c r="BX66" i="38"/>
  <c r="BJ66" i="41" s="1"/>
  <c r="GT5" i="38"/>
  <c r="GT8" i="38" s="1"/>
  <c r="FV5" i="38"/>
  <c r="FV8" i="38" s="1"/>
  <c r="IA5" i="38"/>
  <c r="DJ80" i="41"/>
  <c r="HG5" i="38"/>
  <c r="HG8" i="38" s="1"/>
  <c r="DF60" i="41"/>
  <c r="BX46" i="38"/>
  <c r="BJ46" i="41" s="1"/>
  <c r="BX32" i="38"/>
  <c r="BJ32" i="41" s="1"/>
  <c r="BH32" i="41"/>
  <c r="BI32" i="41" s="1"/>
  <c r="HU5" i="38"/>
  <c r="HU8" i="38" s="1"/>
  <c r="HX5" i="38"/>
  <c r="HX8" i="38" s="1"/>
  <c r="IE5" i="38"/>
  <c r="IN5" i="38"/>
  <c r="GO5" i="38"/>
  <c r="GO8" i="38" s="1"/>
  <c r="IS5" i="38"/>
  <c r="BX69" i="38"/>
  <c r="BJ69" i="41" s="1"/>
  <c r="ID5" i="38"/>
  <c r="HC5" i="38"/>
  <c r="HC8" i="38" s="1"/>
  <c r="GA5" i="38"/>
  <c r="GA8" i="38" s="1"/>
  <c r="IF5" i="38"/>
  <c r="DK85" i="41"/>
  <c r="BX76" i="38"/>
  <c r="BJ76" i="41" s="1"/>
  <c r="BX50" i="38"/>
  <c r="BJ50" i="41" s="1"/>
  <c r="BH97" i="41"/>
  <c r="BI97" i="41" s="1"/>
  <c r="BX97" i="38"/>
  <c r="BJ97" i="41" s="1"/>
  <c r="GX5" i="38"/>
  <c r="GX8" i="38" s="1"/>
  <c r="BH101" i="41"/>
  <c r="BI101" i="41" s="1"/>
  <c r="HF5" i="38"/>
  <c r="HF8" i="38" s="1"/>
  <c r="CP31" i="38"/>
  <c r="CQ31" i="38"/>
  <c r="BX31" i="41" s="1"/>
  <c r="CQ34" i="38"/>
  <c r="BX34" i="41" s="1"/>
  <c r="HL5" i="38"/>
  <c r="HL8" i="38" s="1"/>
  <c r="DG65" i="41"/>
  <c r="HZ5" i="38"/>
  <c r="GD5" i="38"/>
  <c r="GD8" i="38" s="1"/>
  <c r="FY5" i="38"/>
  <c r="FY8" i="38" s="1"/>
  <c r="BH83" i="41"/>
  <c r="BI83" i="41" s="1"/>
  <c r="BX39" i="38"/>
  <c r="BJ39" i="41" s="1"/>
  <c r="BH99" i="41"/>
  <c r="BI99" i="41" s="1"/>
  <c r="BX52" i="38"/>
  <c r="BJ52" i="41" s="1"/>
  <c r="BH52" i="41"/>
  <c r="BI52" i="41" s="1"/>
  <c r="AE26" i="46"/>
  <c r="BH89" i="41"/>
  <c r="BI89" i="41" s="1"/>
  <c r="BX89" i="38"/>
  <c r="BJ89" i="41" s="1"/>
  <c r="IT5" i="38"/>
  <c r="IX5" i="38"/>
  <c r="DI75" i="41"/>
  <c r="HV5" i="38"/>
  <c r="HV8" i="38" s="1"/>
  <c r="IR5" i="38"/>
  <c r="II5" i="38"/>
  <c r="AS27" i="41"/>
  <c r="BA27" i="41" s="1"/>
  <c r="CQ26" i="38"/>
  <c r="BX26" i="41" s="1"/>
  <c r="CP26" i="38"/>
  <c r="CQ25" i="38"/>
  <c r="BX25" i="41" s="1"/>
  <c r="CP25" i="38"/>
  <c r="AS26" i="41"/>
  <c r="BA26" i="41" s="1"/>
  <c r="BH88" i="41"/>
  <c r="BI88" i="41" s="1"/>
  <c r="FR104" i="38"/>
  <c r="CX104" i="41"/>
  <c r="GE5" i="38"/>
  <c r="GE8" i="38" s="1"/>
  <c r="GL5" i="38"/>
  <c r="GL8" i="38" s="1"/>
  <c r="IV5" i="38"/>
  <c r="BH63" i="41"/>
  <c r="BI63" i="41" s="1"/>
  <c r="BX63" i="38"/>
  <c r="BJ63" i="41" s="1"/>
  <c r="BX31" i="38"/>
  <c r="BJ31" i="41" s="1"/>
  <c r="GU5" i="38"/>
  <c r="GU8" i="38" s="1"/>
  <c r="HE5" i="38"/>
  <c r="HE8" i="38" s="1"/>
  <c r="BH82" i="41"/>
  <c r="BI82" i="41" s="1"/>
  <c r="HN5" i="38"/>
  <c r="HN8" i="38" s="1"/>
  <c r="HT103" i="46"/>
  <c r="FY15" i="46"/>
  <c r="FY100" i="46" s="1"/>
  <c r="IK97" i="46"/>
  <c r="HT77" i="46"/>
  <c r="AE52" i="46"/>
  <c r="GI5" i="38"/>
  <c r="GI8" i="38" s="1"/>
  <c r="FU5" i="38"/>
  <c r="FU8" i="38" s="1"/>
  <c r="IC5" i="38"/>
  <c r="HY5" i="38"/>
  <c r="HY8" i="38" s="1"/>
  <c r="BH84" i="41"/>
  <c r="BI84" i="41" s="1"/>
  <c r="BH23" i="41"/>
  <c r="BI23" i="41" s="1"/>
  <c r="BX23" i="38"/>
  <c r="BJ23" i="41" s="1"/>
  <c r="BX85" i="38"/>
  <c r="BJ85" i="41" s="1"/>
  <c r="BH85" i="41"/>
  <c r="BI85" i="41" s="1"/>
  <c r="GP5" i="38"/>
  <c r="GP8" i="38" s="1"/>
  <c r="HO5" i="38"/>
  <c r="HO8" i="38" s="1"/>
  <c r="BX55" i="38"/>
  <c r="BJ55" i="41" s="1"/>
  <c r="BX38" i="38"/>
  <c r="BJ38" i="41" s="1"/>
  <c r="DN100" i="41"/>
  <c r="IU5" i="38"/>
  <c r="IW5" i="38"/>
  <c r="DC45" i="41"/>
  <c r="GR5" i="38"/>
  <c r="GR8" i="38" s="1"/>
  <c r="IM5" i="38"/>
  <c r="GS5" i="38"/>
  <c r="GS8" i="38" s="1"/>
  <c r="HQ5" i="38"/>
  <c r="HQ8" i="38" s="1"/>
  <c r="DH70" i="41"/>
  <c r="BX45" i="38"/>
  <c r="BJ45" i="41" s="1"/>
  <c r="HT5" i="38"/>
  <c r="HT8" i="38" s="1"/>
  <c r="CQ33" i="38"/>
  <c r="BX33" i="41" s="1"/>
  <c r="GN5" i="38"/>
  <c r="GN8" i="38" s="1"/>
  <c r="HP5" i="38"/>
  <c r="HP8" i="38" s="1"/>
  <c r="IG5" i="38"/>
  <c r="GY5" i="38"/>
  <c r="GY8" i="38" s="1"/>
  <c r="HW5" i="38"/>
  <c r="HW8" i="38" s="1"/>
  <c r="BX68" i="38"/>
  <c r="BJ68" i="41" s="1"/>
  <c r="BX37" i="38"/>
  <c r="BJ37" i="41" s="1"/>
  <c r="HH5" i="38"/>
  <c r="HH8" i="38" s="1"/>
  <c r="GM5" i="38"/>
  <c r="GM8" i="38" s="1"/>
  <c r="DB40" i="41"/>
  <c r="BX65" i="38"/>
  <c r="BJ65" i="41" s="1"/>
  <c r="BX27" i="38"/>
  <c r="BJ27" i="41" s="1"/>
  <c r="BH91" i="41"/>
  <c r="BI91" i="41" s="1"/>
  <c r="BX82" i="38"/>
  <c r="BJ82" i="41" s="1"/>
  <c r="GB5" i="38"/>
  <c r="GB8" i="38" s="1"/>
  <c r="GH5" i="38"/>
  <c r="GH8" i="38" s="1"/>
  <c r="DA35" i="41"/>
  <c r="BX99" i="38"/>
  <c r="BJ99" i="41" s="1"/>
  <c r="HI5" i="38"/>
  <c r="HI8" i="38" s="1"/>
  <c r="IL5" i="38"/>
  <c r="HT82" i="46"/>
  <c r="HT96" i="46"/>
  <c r="HT79" i="46"/>
  <c r="HT94" i="46"/>
  <c r="IK96" i="46"/>
  <c r="HT108" i="46"/>
  <c r="IK103" i="46"/>
  <c r="HT97" i="46"/>
  <c r="HT95" i="46"/>
  <c r="GS73" i="46"/>
  <c r="GS64" i="46"/>
  <c r="GS67" i="46"/>
  <c r="AE80" i="46"/>
  <c r="GS66" i="46"/>
  <c r="GI15" i="46"/>
  <c r="GI103" i="46" s="1"/>
  <c r="GS71" i="46"/>
  <c r="GS104" i="46"/>
  <c r="FT15" i="46"/>
  <c r="FT84" i="46" s="1"/>
  <c r="AE92" i="46"/>
  <c r="IJ15" i="46"/>
  <c r="IJ98" i="46" s="1"/>
  <c r="AE106" i="46"/>
  <c r="AE51" i="46"/>
  <c r="AE47" i="46"/>
  <c r="AE69" i="46"/>
  <c r="AE98" i="46"/>
  <c r="AE93" i="46"/>
  <c r="HT104" i="46"/>
  <c r="IK110" i="46"/>
  <c r="HZ15" i="46"/>
  <c r="HZ101" i="46" s="1"/>
  <c r="AE82" i="46"/>
  <c r="AE27" i="46"/>
  <c r="FW15" i="46"/>
  <c r="FW92" i="46" s="1"/>
  <c r="AE74" i="46"/>
  <c r="HR15" i="46"/>
  <c r="HR88" i="46" s="1"/>
  <c r="IE15" i="46"/>
  <c r="AE87" i="46"/>
  <c r="GS101" i="46"/>
  <c r="GS100" i="46"/>
  <c r="GS110" i="46"/>
  <c r="GS70" i="46"/>
  <c r="GS105" i="46"/>
  <c r="GS102" i="46"/>
  <c r="GS91" i="46"/>
  <c r="GS95" i="46"/>
  <c r="GS86" i="46"/>
  <c r="GS93" i="46"/>
  <c r="GS74" i="46"/>
  <c r="GS56" i="46"/>
  <c r="GS80" i="46"/>
  <c r="GS49" i="46"/>
  <c r="GS54" i="46"/>
  <c r="GS69" i="46"/>
  <c r="GS98" i="46"/>
  <c r="GS82" i="46"/>
  <c r="GS103" i="46"/>
  <c r="GS99" i="46"/>
  <c r="GS50" i="46"/>
  <c r="GS60" i="46"/>
  <c r="GS109" i="46"/>
  <c r="GD15" i="46"/>
  <c r="GD93" i="46" s="1"/>
  <c r="GS53" i="46"/>
  <c r="GS97" i="46"/>
  <c r="HA15" i="46"/>
  <c r="HA83" i="46" s="1"/>
  <c r="GS92" i="46"/>
  <c r="GS72" i="46"/>
  <c r="AE105" i="46"/>
  <c r="IW15" i="46"/>
  <c r="IW107" i="46" s="1"/>
  <c r="GJ15" i="46"/>
  <c r="GJ103" i="46" s="1"/>
  <c r="AE40" i="46"/>
  <c r="IM15" i="46"/>
  <c r="AE95" i="46"/>
  <c r="HH15" i="46"/>
  <c r="HH68" i="46" s="1"/>
  <c r="AE64" i="46"/>
  <c r="AE44" i="46"/>
  <c r="GN15" i="46"/>
  <c r="GN74" i="46" s="1"/>
  <c r="AE61" i="46"/>
  <c r="HE15" i="46"/>
  <c r="HE85" i="46" s="1"/>
  <c r="AE38" i="46"/>
  <c r="GH15" i="46"/>
  <c r="GH39" i="46" s="1"/>
  <c r="IG15" i="46"/>
  <c r="IG98" i="46" s="1"/>
  <c r="AE89" i="46"/>
  <c r="HQ15" i="46"/>
  <c r="AE73" i="46"/>
  <c r="AE68" i="46"/>
  <c r="HL15" i="46"/>
  <c r="HL75" i="46" s="1"/>
  <c r="AE46" i="46"/>
  <c r="GP15" i="46"/>
  <c r="IB15" i="46"/>
  <c r="IB106" i="46" s="1"/>
  <c r="AE84" i="46"/>
  <c r="GC15" i="46"/>
  <c r="GC80" i="46" s="1"/>
  <c r="AE33" i="46"/>
  <c r="GF15" i="46"/>
  <c r="GF54" i="46" s="1"/>
  <c r="AE36" i="46"/>
  <c r="HT98" i="46"/>
  <c r="HT78" i="46"/>
  <c r="AE72" i="46"/>
  <c r="GS85" i="46"/>
  <c r="GW15" i="46"/>
  <c r="GW103" i="46" s="1"/>
  <c r="AE66" i="46"/>
  <c r="FR15" i="46"/>
  <c r="FR39" i="46" s="1"/>
  <c r="AE22" i="46"/>
  <c r="AE59" i="46"/>
  <c r="HC15" i="46"/>
  <c r="HC67" i="46" s="1"/>
  <c r="AE99" i="46"/>
  <c r="IQ15" i="46"/>
  <c r="IQ106" i="46" s="1"/>
  <c r="AE96" i="46"/>
  <c r="IN15" i="46"/>
  <c r="IN100" i="46" s="1"/>
  <c r="GS68" i="46"/>
  <c r="GS76" i="46"/>
  <c r="AE88" i="46"/>
  <c r="GS78" i="46"/>
  <c r="GS90" i="46"/>
  <c r="GS89" i="46"/>
  <c r="GS59" i="46"/>
  <c r="GS57" i="46"/>
  <c r="GS96" i="46"/>
  <c r="GS79" i="46"/>
  <c r="GS63" i="46"/>
  <c r="IK108" i="46"/>
  <c r="IK102" i="46"/>
  <c r="IK106" i="46"/>
  <c r="IK109" i="46"/>
  <c r="IK107" i="46"/>
  <c r="IK105" i="46"/>
  <c r="IK95" i="46"/>
  <c r="IK99" i="46"/>
  <c r="IK98" i="46"/>
  <c r="IK93" i="46"/>
  <c r="IK101" i="46"/>
  <c r="AE71" i="46"/>
  <c r="HO15" i="46"/>
  <c r="HO85" i="46" s="1"/>
  <c r="AE100" i="46"/>
  <c r="IR15" i="46"/>
  <c r="JA15" i="46"/>
  <c r="AE109" i="46"/>
  <c r="IH15" i="46"/>
  <c r="IH94" i="46" s="1"/>
  <c r="AE90" i="46"/>
  <c r="HB15" i="46"/>
  <c r="AE58" i="46"/>
  <c r="IL15" i="46"/>
  <c r="AE94" i="46"/>
  <c r="GB15" i="46"/>
  <c r="GB53" i="46" s="1"/>
  <c r="AE32" i="46"/>
  <c r="AE108" i="46"/>
  <c r="IZ15" i="46"/>
  <c r="IZ110" i="46" s="1"/>
  <c r="AE50" i="46"/>
  <c r="GT15" i="46"/>
  <c r="GT61" i="46" s="1"/>
  <c r="AE63" i="46"/>
  <c r="HG15" i="46"/>
  <c r="HG95" i="46" s="1"/>
  <c r="AE101" i="46"/>
  <c r="IS15" i="46"/>
  <c r="IS101" i="46" s="1"/>
  <c r="HF15" i="46"/>
  <c r="HF75" i="46" s="1"/>
  <c r="AE62" i="46"/>
  <c r="HT80" i="46"/>
  <c r="HT81" i="46"/>
  <c r="HT109" i="46"/>
  <c r="HT100" i="46"/>
  <c r="HT102" i="46"/>
  <c r="HT91" i="46"/>
  <c r="HT99" i="46"/>
  <c r="HT84" i="46"/>
  <c r="HT90" i="46"/>
  <c r="HT85" i="46"/>
  <c r="HT106" i="46"/>
  <c r="HT76" i="46"/>
  <c r="HT101" i="46"/>
  <c r="HT110" i="46"/>
  <c r="HT89" i="46"/>
  <c r="HT87" i="46"/>
  <c r="HT83" i="46"/>
  <c r="HU15" i="46"/>
  <c r="HU80" i="46" s="1"/>
  <c r="AE77" i="46"/>
  <c r="HT88" i="46"/>
  <c r="GS83" i="46"/>
  <c r="GA15" i="46"/>
  <c r="GA78" i="46" s="1"/>
  <c r="HT107" i="46"/>
  <c r="HT105" i="46"/>
  <c r="AE37" i="46"/>
  <c r="AE23" i="46"/>
  <c r="FS15" i="46"/>
  <c r="GL15" i="46"/>
  <c r="AE42" i="46"/>
  <c r="GX15" i="46"/>
  <c r="AE54" i="46"/>
  <c r="AE83" i="46"/>
  <c r="IA15" i="46"/>
  <c r="IA93" i="46" s="1"/>
  <c r="HV15" i="46"/>
  <c r="AE78" i="46"/>
  <c r="AE41" i="46"/>
  <c r="GK15" i="46"/>
  <c r="GK65" i="46" s="1"/>
  <c r="GS107" i="46"/>
  <c r="GS106" i="46"/>
  <c r="GS62" i="46"/>
  <c r="GS55" i="46"/>
  <c r="GS108" i="46"/>
  <c r="GS51" i="46"/>
  <c r="GS52" i="46"/>
  <c r="GS94" i="46"/>
  <c r="GS75" i="46"/>
  <c r="AE97" i="46"/>
  <c r="IO15" i="46"/>
  <c r="AE86" i="46"/>
  <c r="ID15" i="46"/>
  <c r="ID99" i="46" s="1"/>
  <c r="AE43" i="46"/>
  <c r="GM15" i="46"/>
  <c r="AE55" i="46"/>
  <c r="GY15" i="46"/>
  <c r="GY56" i="46" s="1"/>
  <c r="AE103" i="46"/>
  <c r="IU15" i="46"/>
  <c r="IU103" i="46" s="1"/>
  <c r="AE110" i="46"/>
  <c r="JB15" i="46"/>
  <c r="JB110" i="46" s="1"/>
  <c r="JB5" i="46" s="1"/>
  <c r="GE15" i="46"/>
  <c r="AE35" i="46"/>
  <c r="GS88" i="46"/>
  <c r="GS84" i="46"/>
  <c r="GS65" i="46"/>
  <c r="HT86" i="46"/>
  <c r="IK104" i="46"/>
  <c r="II15" i="46"/>
  <c r="II91" i="46" s="1"/>
  <c r="HK15" i="46"/>
  <c r="HK95" i="46" s="1"/>
  <c r="GS81" i="46"/>
  <c r="GS58" i="46"/>
  <c r="AE76" i="46"/>
  <c r="AE49" i="46"/>
  <c r="FU15" i="46"/>
  <c r="AE25" i="46"/>
  <c r="AE28" i="46"/>
  <c r="FX15" i="46"/>
  <c r="FX75" i="46" s="1"/>
  <c r="AE70" i="46"/>
  <c r="HY15" i="46"/>
  <c r="HY107" i="46" s="1"/>
  <c r="GY81" i="46"/>
  <c r="HJ85" i="46"/>
  <c r="HJ79" i="46"/>
  <c r="HP97" i="46"/>
  <c r="IF93" i="46"/>
  <c r="GV67" i="46"/>
  <c r="IF96" i="46"/>
  <c r="GG57" i="46"/>
  <c r="GG75" i="46"/>
  <c r="GG76" i="46"/>
  <c r="GQ51" i="46"/>
  <c r="GG96" i="46"/>
  <c r="GG79" i="46"/>
  <c r="GG93" i="46"/>
  <c r="GG85" i="46"/>
  <c r="GG70" i="46"/>
  <c r="GG41" i="46"/>
  <c r="GG64" i="46"/>
  <c r="GG98" i="46"/>
  <c r="GG82" i="46"/>
  <c r="GG53" i="46"/>
  <c r="GG67" i="46"/>
  <c r="GG77" i="46"/>
  <c r="GG39" i="46"/>
  <c r="HN94" i="46"/>
  <c r="GG84" i="46"/>
  <c r="GG42" i="46"/>
  <c r="GG92" i="46"/>
  <c r="GG88" i="46"/>
  <c r="GG65" i="46"/>
  <c r="GG54" i="46"/>
  <c r="GG110" i="46"/>
  <c r="GG80" i="46"/>
  <c r="GG103" i="46"/>
  <c r="GG47" i="46"/>
  <c r="GG59" i="46"/>
  <c r="GG97" i="46"/>
  <c r="GG52" i="46"/>
  <c r="GG63" i="46"/>
  <c r="GG66" i="46"/>
  <c r="GG94" i="46"/>
  <c r="GG68" i="46"/>
  <c r="GG107" i="46"/>
  <c r="GG74" i="46"/>
  <c r="GG40" i="46"/>
  <c r="GG69" i="46"/>
  <c r="GG105" i="46"/>
  <c r="GG51" i="46"/>
  <c r="GG37" i="46"/>
  <c r="GG72" i="46"/>
  <c r="GG86" i="46"/>
  <c r="IF103" i="46"/>
  <c r="IF97" i="46"/>
  <c r="IF106" i="46"/>
  <c r="IF94" i="46"/>
  <c r="IF95" i="46"/>
  <c r="IF107" i="46"/>
  <c r="IF92" i="46"/>
  <c r="IF98" i="46"/>
  <c r="GV57" i="46"/>
  <c r="GV94" i="46"/>
  <c r="HJ80" i="46"/>
  <c r="HJ88" i="46"/>
  <c r="HJ98" i="46"/>
  <c r="HJ86" i="46"/>
  <c r="HJ106" i="46"/>
  <c r="GV63" i="46"/>
  <c r="HM83" i="46"/>
  <c r="GG58" i="46"/>
  <c r="GG102" i="46"/>
  <c r="GG106" i="46"/>
  <c r="GG95" i="46"/>
  <c r="GG56" i="46"/>
  <c r="GG83" i="46"/>
  <c r="HP103" i="46"/>
  <c r="HP82" i="46"/>
  <c r="IP103" i="46"/>
  <c r="FV67" i="46"/>
  <c r="HJ77" i="46"/>
  <c r="HP96" i="46"/>
  <c r="HJ107" i="46"/>
  <c r="HJ93" i="46"/>
  <c r="HJ105" i="46"/>
  <c r="HJ102" i="46"/>
  <c r="HJ82" i="46"/>
  <c r="HJ103" i="46"/>
  <c r="HJ67" i="46"/>
  <c r="HN96" i="46"/>
  <c r="HN79" i="46"/>
  <c r="HJ72" i="46"/>
  <c r="HN75" i="46"/>
  <c r="HJ83" i="46"/>
  <c r="HJ76" i="46"/>
  <c r="HJ74" i="46"/>
  <c r="HJ69" i="46"/>
  <c r="HJ70" i="46"/>
  <c r="HJ97" i="46"/>
  <c r="HJ96" i="46"/>
  <c r="HJ66" i="46"/>
  <c r="HJ92" i="46"/>
  <c r="HJ94" i="46"/>
  <c r="HJ75" i="46"/>
  <c r="HP88" i="46"/>
  <c r="HJ84" i="46"/>
  <c r="HP83" i="46"/>
  <c r="HJ68" i="46"/>
  <c r="HN74" i="46"/>
  <c r="HJ91" i="46"/>
  <c r="HN82" i="46"/>
  <c r="HN103" i="46"/>
  <c r="GV64" i="46"/>
  <c r="GU96" i="46"/>
  <c r="HN92" i="46"/>
  <c r="GV75" i="46"/>
  <c r="HP84" i="46"/>
  <c r="HP98" i="46"/>
  <c r="IF91" i="46"/>
  <c r="GG48" i="46"/>
  <c r="GG81" i="46"/>
  <c r="HN72" i="46"/>
  <c r="HN88" i="46"/>
  <c r="HN84" i="46"/>
  <c r="GQ64" i="46"/>
  <c r="HM79" i="46"/>
  <c r="HN91" i="46"/>
  <c r="GQ59" i="46"/>
  <c r="HM97" i="46"/>
  <c r="GQ79" i="46"/>
  <c r="GQ97" i="46"/>
  <c r="GQ96" i="46"/>
  <c r="HD103" i="46"/>
  <c r="HD82" i="46"/>
  <c r="GV103" i="46"/>
  <c r="GQ57" i="46"/>
  <c r="GQ52" i="46"/>
  <c r="HD63" i="46"/>
  <c r="HN98" i="46"/>
  <c r="HD77" i="46"/>
  <c r="HD96" i="46"/>
  <c r="GV66" i="46"/>
  <c r="HD67" i="46"/>
  <c r="HP107" i="46"/>
  <c r="HN97" i="46"/>
  <c r="HP72" i="46"/>
  <c r="HM72" i="46"/>
  <c r="HP75" i="46"/>
  <c r="HN83" i="46"/>
  <c r="HM98" i="46"/>
  <c r="HP86" i="46"/>
  <c r="HN86" i="46"/>
  <c r="HP76" i="46"/>
  <c r="HN95" i="46"/>
  <c r="HN93" i="46"/>
  <c r="HP106" i="46"/>
  <c r="HM105" i="46"/>
  <c r="IF105" i="46"/>
  <c r="HN80" i="46"/>
  <c r="HP95" i="46"/>
  <c r="HP102" i="46"/>
  <c r="FV82" i="46"/>
  <c r="HM103" i="46"/>
  <c r="HP77" i="46"/>
  <c r="HN77" i="46"/>
  <c r="HP79" i="46"/>
  <c r="HP92" i="46"/>
  <c r="HP94" i="46"/>
  <c r="HM88" i="46"/>
  <c r="HN76" i="46"/>
  <c r="HP74" i="46"/>
  <c r="HN106" i="46"/>
  <c r="FV79" i="46"/>
  <c r="IT110" i="46"/>
  <c r="IT106" i="46"/>
  <c r="GQ56" i="46"/>
  <c r="FV68" i="46"/>
  <c r="FV106" i="46"/>
  <c r="GQ54" i="46"/>
  <c r="FV58" i="46"/>
  <c r="HW102" i="46"/>
  <c r="HW100" i="46"/>
  <c r="HW91" i="46"/>
  <c r="HW106" i="46"/>
  <c r="HW81" i="46"/>
  <c r="HW110" i="46"/>
  <c r="HW88" i="46"/>
  <c r="FV47" i="46"/>
  <c r="FV37" i="46"/>
  <c r="FV36" i="46"/>
  <c r="FV41" i="46"/>
  <c r="FV103" i="46"/>
  <c r="HW103" i="46"/>
  <c r="FV51" i="46"/>
  <c r="GQ47" i="46"/>
  <c r="FV64" i="46"/>
  <c r="IC102" i="46"/>
  <c r="IC95" i="46"/>
  <c r="IC86" i="46"/>
  <c r="FV59" i="46"/>
  <c r="GQ53" i="46"/>
  <c r="GQ67" i="46"/>
  <c r="GQ77" i="46"/>
  <c r="FV63" i="46"/>
  <c r="GQ66" i="46"/>
  <c r="FV107" i="46"/>
  <c r="FV39" i="46"/>
  <c r="GQ80" i="46"/>
  <c r="GQ58" i="46"/>
  <c r="GQ49" i="46"/>
  <c r="GQ48" i="46"/>
  <c r="GQ76" i="46"/>
  <c r="GQ102" i="46"/>
  <c r="GQ105" i="46"/>
  <c r="GQ91" i="46"/>
  <c r="GQ100" i="46"/>
  <c r="GQ70" i="46"/>
  <c r="GQ98" i="46"/>
  <c r="GQ88" i="46"/>
  <c r="GQ103" i="46"/>
  <c r="HW97" i="46"/>
  <c r="FV42" i="46"/>
  <c r="HS105" i="46"/>
  <c r="FV77" i="46"/>
  <c r="GU94" i="46"/>
  <c r="GU79" i="46"/>
  <c r="HW79" i="46"/>
  <c r="FV66" i="46"/>
  <c r="HW92" i="46"/>
  <c r="GQ72" i="46"/>
  <c r="FV88" i="46"/>
  <c r="GQ84" i="46"/>
  <c r="HW83" i="46"/>
  <c r="GQ83" i="46"/>
  <c r="FV56" i="46"/>
  <c r="GQ65" i="46"/>
  <c r="IT105" i="46"/>
  <c r="FV45" i="46"/>
  <c r="FV81" i="46"/>
  <c r="FV105" i="46"/>
  <c r="FV40" i="46"/>
  <c r="FV30" i="46"/>
  <c r="FV34" i="46"/>
  <c r="FV110" i="46"/>
  <c r="FV93" i="46"/>
  <c r="FV80" i="46"/>
  <c r="FV35" i="46"/>
  <c r="FV54" i="46"/>
  <c r="FV70" i="46"/>
  <c r="FV69" i="46"/>
  <c r="FV65" i="46"/>
  <c r="GQ82" i="46"/>
  <c r="FV53" i="46"/>
  <c r="FV97" i="46"/>
  <c r="FV57" i="46"/>
  <c r="GQ63" i="46"/>
  <c r="FV92" i="46"/>
  <c r="FV72" i="46"/>
  <c r="GV81" i="46"/>
  <c r="GV76" i="46"/>
  <c r="GV105" i="46"/>
  <c r="GV91" i="46"/>
  <c r="GV65" i="46"/>
  <c r="GV68" i="46"/>
  <c r="HW98" i="46"/>
  <c r="FV29" i="46"/>
  <c r="HW95" i="46"/>
  <c r="GU77" i="46"/>
  <c r="HW80" i="46"/>
  <c r="HN107" i="46"/>
  <c r="HM95" i="46"/>
  <c r="HN85" i="46"/>
  <c r="HP110" i="46"/>
  <c r="GG49" i="46"/>
  <c r="HJ81" i="46"/>
  <c r="GG100" i="46"/>
  <c r="HJ100" i="46"/>
  <c r="HP81" i="46"/>
  <c r="HP85" i="46"/>
  <c r="HM69" i="46"/>
  <c r="HM81" i="46"/>
  <c r="IP100" i="46"/>
  <c r="IX110" i="46"/>
  <c r="IX108" i="46"/>
  <c r="IX109" i="46"/>
  <c r="HX104" i="46"/>
  <c r="HX109" i="46"/>
  <c r="HX87" i="46"/>
  <c r="HX101" i="46"/>
  <c r="HX108" i="46"/>
  <c r="HX89" i="46"/>
  <c r="HX99" i="46"/>
  <c r="HX90" i="46"/>
  <c r="FZ104" i="46"/>
  <c r="FZ109" i="46"/>
  <c r="FZ78" i="46"/>
  <c r="FZ46" i="46"/>
  <c r="FZ101" i="46"/>
  <c r="FZ43" i="46"/>
  <c r="FZ99" i="46"/>
  <c r="FZ108" i="46"/>
  <c r="FZ87" i="46"/>
  <c r="FZ60" i="46"/>
  <c r="FZ44" i="46"/>
  <c r="FZ61" i="46"/>
  <c r="FZ55" i="46"/>
  <c r="FZ89" i="46"/>
  <c r="FZ38" i="46"/>
  <c r="FZ62" i="46"/>
  <c r="FZ50" i="46"/>
  <c r="FZ71" i="46"/>
  <c r="FZ73" i="46"/>
  <c r="FZ90" i="46"/>
  <c r="HD89" i="46"/>
  <c r="HD104" i="46"/>
  <c r="HD101" i="46"/>
  <c r="HD78" i="46"/>
  <c r="HD61" i="46"/>
  <c r="HD60" i="46"/>
  <c r="HD73" i="46"/>
  <c r="HD62" i="46"/>
  <c r="HD109" i="46"/>
  <c r="HD87" i="46"/>
  <c r="HD99" i="46"/>
  <c r="HD71" i="46"/>
  <c r="HD108" i="46"/>
  <c r="HD90" i="46"/>
  <c r="AE21" i="46"/>
  <c r="AO8" i="46"/>
  <c r="AO20" i="46" s="1"/>
  <c r="AU20" i="41" s="1"/>
  <c r="BC20" i="41" s="1"/>
  <c r="FQ15" i="46"/>
  <c r="FZ94" i="46"/>
  <c r="HX84" i="46"/>
  <c r="HX98" i="46"/>
  <c r="FZ34" i="46"/>
  <c r="FZ76" i="46"/>
  <c r="FZ107" i="46"/>
  <c r="IX107" i="46"/>
  <c r="HD102" i="46"/>
  <c r="HX110" i="46"/>
  <c r="FZ35" i="46"/>
  <c r="FZ41" i="46"/>
  <c r="HX82" i="46"/>
  <c r="IC101" i="46"/>
  <c r="IC99" i="46"/>
  <c r="IC109" i="46"/>
  <c r="IC87" i="46"/>
  <c r="IC104" i="46"/>
  <c r="IC89" i="46"/>
  <c r="IC90" i="46"/>
  <c r="IC108" i="46"/>
  <c r="FZ53" i="46"/>
  <c r="HS79" i="46"/>
  <c r="FZ31" i="46"/>
  <c r="AN84" i="46"/>
  <c r="AQ84" i="41" s="1"/>
  <c r="AY84" i="41" s="1"/>
  <c r="AB131" i="41"/>
  <c r="AN46" i="46"/>
  <c r="AQ46" i="41" s="1"/>
  <c r="AY46" i="41" s="1"/>
  <c r="AN50" i="46"/>
  <c r="AQ50" i="41" s="1"/>
  <c r="AY50" i="41" s="1"/>
  <c r="AN73" i="46"/>
  <c r="AQ73" i="41" s="1"/>
  <c r="AY73" i="41" s="1"/>
  <c r="AN89" i="46"/>
  <c r="AQ89" i="41" s="1"/>
  <c r="AY89" i="41" s="1"/>
  <c r="AN60" i="46"/>
  <c r="AQ60" i="41" s="1"/>
  <c r="AY60" i="41" s="1"/>
  <c r="AN62" i="46"/>
  <c r="AQ62" i="41" s="1"/>
  <c r="AY62" i="41" s="1"/>
  <c r="AN38" i="46"/>
  <c r="AQ38" i="41" s="1"/>
  <c r="AY38" i="41" s="1"/>
  <c r="AN87" i="46"/>
  <c r="AQ87" i="41" s="1"/>
  <c r="AY87" i="41" s="1"/>
  <c r="AN109" i="46"/>
  <c r="AQ109" i="41" s="1"/>
  <c r="AY109" i="41" s="1"/>
  <c r="AN101" i="46"/>
  <c r="AQ101" i="41" s="1"/>
  <c r="AY101" i="41" s="1"/>
  <c r="AN44" i="46"/>
  <c r="AQ44" i="41" s="1"/>
  <c r="AY44" i="41" s="1"/>
  <c r="AN108" i="46"/>
  <c r="AQ108" i="41" s="1"/>
  <c r="AY108" i="41" s="1"/>
  <c r="AN71" i="46"/>
  <c r="AQ71" i="41" s="1"/>
  <c r="AY71" i="41" s="1"/>
  <c r="AN104" i="46"/>
  <c r="AQ104" i="41" s="1"/>
  <c r="AY104" i="41" s="1"/>
  <c r="AN55" i="46"/>
  <c r="AQ55" i="41" s="1"/>
  <c r="AY55" i="41" s="1"/>
  <c r="AN90" i="46"/>
  <c r="AQ90" i="41" s="1"/>
  <c r="AY90" i="41" s="1"/>
  <c r="AN99" i="46"/>
  <c r="AQ99" i="41" s="1"/>
  <c r="AY99" i="41" s="1"/>
  <c r="AN43" i="46"/>
  <c r="AQ43" i="41" s="1"/>
  <c r="AY43" i="41" s="1"/>
  <c r="AN78" i="46"/>
  <c r="AQ78" i="41" s="1"/>
  <c r="AY78" i="41" s="1"/>
  <c r="AN23" i="46"/>
  <c r="AQ23" i="41" s="1"/>
  <c r="AY23" i="41" s="1"/>
  <c r="AN61" i="46"/>
  <c r="AQ61" i="41" s="1"/>
  <c r="AY61" i="41" s="1"/>
  <c r="AN22" i="46"/>
  <c r="AQ22" i="41" s="1"/>
  <c r="AY22" i="41" s="1"/>
  <c r="AN52" i="46"/>
  <c r="AQ52" i="41" s="1"/>
  <c r="AY52" i="41" s="1"/>
  <c r="AN88" i="46"/>
  <c r="AQ88" i="41" s="1"/>
  <c r="AY88" i="41" s="1"/>
  <c r="AN63" i="46"/>
  <c r="AQ63" i="41" s="1"/>
  <c r="AY63" i="41" s="1"/>
  <c r="AN83" i="46"/>
  <c r="AQ83" i="41" s="1"/>
  <c r="AY83" i="41" s="1"/>
  <c r="AN98" i="46"/>
  <c r="AQ98" i="41" s="1"/>
  <c r="AY98" i="41" s="1"/>
  <c r="AN68" i="46"/>
  <c r="AQ68" i="41" s="1"/>
  <c r="AY68" i="41" s="1"/>
  <c r="AN65" i="46"/>
  <c r="AQ65" i="41" s="1"/>
  <c r="AY65" i="41" s="1"/>
  <c r="AN86" i="46"/>
  <c r="AQ86" i="41" s="1"/>
  <c r="AY86" i="41" s="1"/>
  <c r="AN31" i="46"/>
  <c r="AQ31" i="41" s="1"/>
  <c r="AY31" i="41" s="1"/>
  <c r="AN92" i="46"/>
  <c r="AQ92" i="41" s="1"/>
  <c r="AY92" i="41" s="1"/>
  <c r="AN30" i="46"/>
  <c r="AQ30" i="41" s="1"/>
  <c r="AY30" i="41" s="1"/>
  <c r="AN72" i="46"/>
  <c r="AQ72" i="41" s="1"/>
  <c r="AY72" i="41" s="1"/>
  <c r="AN76" i="46"/>
  <c r="AQ76" i="41" s="1"/>
  <c r="AY76" i="41" s="1"/>
  <c r="AN107" i="46"/>
  <c r="AQ107" i="41" s="1"/>
  <c r="AY107" i="41" s="1"/>
  <c r="AN74" i="46"/>
  <c r="AQ74" i="41" s="1"/>
  <c r="AY74" i="41" s="1"/>
  <c r="AN95" i="46"/>
  <c r="AQ95" i="41" s="1"/>
  <c r="AY95" i="41" s="1"/>
  <c r="AN93" i="46"/>
  <c r="AQ93" i="41" s="1"/>
  <c r="AY93" i="41" s="1"/>
  <c r="AN106" i="46"/>
  <c r="AQ106" i="41" s="1"/>
  <c r="AY106" i="41" s="1"/>
  <c r="AN91" i="46"/>
  <c r="AQ91" i="41" s="1"/>
  <c r="AY91" i="41" s="1"/>
  <c r="AN36" i="46"/>
  <c r="AQ36" i="41" s="1"/>
  <c r="AY36" i="41" s="1"/>
  <c r="AN41" i="46"/>
  <c r="AQ41" i="41" s="1"/>
  <c r="AY41" i="41" s="1"/>
  <c r="AN82" i="46"/>
  <c r="AQ82" i="41" s="1"/>
  <c r="AY82" i="41" s="1"/>
  <c r="AN29" i="46"/>
  <c r="AQ29" i="41" s="1"/>
  <c r="AY29" i="41" s="1"/>
  <c r="AN24" i="46"/>
  <c r="AQ24" i="41" s="1"/>
  <c r="AY24" i="41" s="1"/>
  <c r="AN42" i="46"/>
  <c r="AQ42" i="41" s="1"/>
  <c r="AY42" i="41" s="1"/>
  <c r="AN40" i="46"/>
  <c r="AQ40" i="41" s="1"/>
  <c r="AY40" i="41" s="1"/>
  <c r="AN77" i="46"/>
  <c r="AQ77" i="41" s="1"/>
  <c r="AY77" i="41" s="1"/>
  <c r="AN32" i="46"/>
  <c r="AQ32" i="41" s="1"/>
  <c r="AY32" i="41" s="1"/>
  <c r="AN33" i="46"/>
  <c r="AQ33" i="41" s="1"/>
  <c r="AY33" i="41" s="1"/>
  <c r="AN51" i="46"/>
  <c r="AQ51" i="41" s="1"/>
  <c r="AY51" i="41" s="1"/>
  <c r="AN96" i="46"/>
  <c r="AQ96" i="41" s="1"/>
  <c r="AY96" i="41" s="1"/>
  <c r="AN69" i="46"/>
  <c r="AQ69" i="41" s="1"/>
  <c r="AY69" i="41" s="1"/>
  <c r="AN70" i="46"/>
  <c r="AQ70" i="41" s="1"/>
  <c r="AY70" i="41" s="1"/>
  <c r="AN110" i="46"/>
  <c r="AQ110" i="41" s="1"/>
  <c r="AY110" i="41" s="1"/>
  <c r="AN49" i="46"/>
  <c r="AQ49" i="41" s="1"/>
  <c r="AY49" i="41" s="1"/>
  <c r="AN28" i="46"/>
  <c r="AQ28" i="41" s="1"/>
  <c r="AY28" i="41" s="1"/>
  <c r="AN79" i="46"/>
  <c r="AQ79" i="41" s="1"/>
  <c r="AY79" i="41" s="1"/>
  <c r="AN57" i="46"/>
  <c r="AQ57" i="41" s="1"/>
  <c r="AY57" i="41" s="1"/>
  <c r="AN66" i="46"/>
  <c r="AQ66" i="41" s="1"/>
  <c r="AY66" i="41" s="1"/>
  <c r="AN27" i="46"/>
  <c r="AQ27" i="41" s="1"/>
  <c r="AY27" i="41" s="1"/>
  <c r="AN80" i="46"/>
  <c r="AQ80" i="41" s="1"/>
  <c r="AY80" i="41" s="1"/>
  <c r="AN45" i="46"/>
  <c r="AQ45" i="41" s="1"/>
  <c r="AY45" i="41" s="1"/>
  <c r="AN105" i="46"/>
  <c r="AQ105" i="41" s="1"/>
  <c r="AY105" i="41" s="1"/>
  <c r="AN21" i="46"/>
  <c r="AQ21" i="41" s="1"/>
  <c r="AY21" i="41" s="1"/>
  <c r="AN58" i="46"/>
  <c r="AQ58" i="41" s="1"/>
  <c r="AY58" i="41" s="1"/>
  <c r="AN102" i="46"/>
  <c r="AQ102" i="41" s="1"/>
  <c r="AY102" i="41" s="1"/>
  <c r="AN100" i="46"/>
  <c r="AQ100" i="41" s="1"/>
  <c r="AY100" i="41" s="1"/>
  <c r="AN48" i="46"/>
  <c r="AQ48" i="41" s="1"/>
  <c r="AY48" i="41" s="1"/>
  <c r="AN81" i="46"/>
  <c r="AQ81" i="41" s="1"/>
  <c r="AY81" i="41" s="1"/>
  <c r="AN94" i="46"/>
  <c r="AQ94" i="41" s="1"/>
  <c r="AY94" i="41" s="1"/>
  <c r="AN75" i="46"/>
  <c r="AQ75" i="41" s="1"/>
  <c r="AY75" i="41" s="1"/>
  <c r="AN103" i="46"/>
  <c r="AQ103" i="41" s="1"/>
  <c r="AY103" i="41" s="1"/>
  <c r="AN56" i="46"/>
  <c r="AQ56" i="41" s="1"/>
  <c r="AY56" i="41" s="1"/>
  <c r="AN47" i="46"/>
  <c r="AQ47" i="41" s="1"/>
  <c r="AY47" i="41" s="1"/>
  <c r="AN37" i="46"/>
  <c r="AQ37" i="41" s="1"/>
  <c r="AY37" i="41" s="1"/>
  <c r="AN64" i="46"/>
  <c r="AQ64" i="41" s="1"/>
  <c r="AY64" i="41" s="1"/>
  <c r="AN34" i="46"/>
  <c r="AQ34" i="41" s="1"/>
  <c r="AY34" i="41" s="1"/>
  <c r="AN59" i="46"/>
  <c r="AQ59" i="41" s="1"/>
  <c r="AY59" i="41" s="1"/>
  <c r="AN97" i="46"/>
  <c r="AQ97" i="41" s="1"/>
  <c r="AY97" i="41" s="1"/>
  <c r="AN25" i="46"/>
  <c r="AQ25" i="41" s="1"/>
  <c r="AY25" i="41" s="1"/>
  <c r="AN85" i="46"/>
  <c r="AQ85" i="41" s="1"/>
  <c r="AY85" i="41" s="1"/>
  <c r="AN39" i="46"/>
  <c r="AQ39" i="41" s="1"/>
  <c r="AY39" i="41" s="1"/>
  <c r="AN53" i="46"/>
  <c r="AQ53" i="41" s="1"/>
  <c r="AY53" i="41" s="1"/>
  <c r="AN67" i="46"/>
  <c r="AQ67" i="41" s="1"/>
  <c r="AY67" i="41" s="1"/>
  <c r="AN54" i="46"/>
  <c r="AQ54" i="41" s="1"/>
  <c r="AY54" i="41" s="1"/>
  <c r="AN26" i="46"/>
  <c r="AQ26" i="41" s="1"/>
  <c r="AY26" i="41" s="1"/>
  <c r="AN35" i="46"/>
  <c r="AQ35" i="41" s="1"/>
  <c r="AY35" i="41" s="1"/>
  <c r="HD75" i="46"/>
  <c r="HD88" i="46"/>
  <c r="HD84" i="46"/>
  <c r="GV83" i="46"/>
  <c r="HD83" i="46"/>
  <c r="GV56" i="46"/>
  <c r="HX86" i="46"/>
  <c r="HM74" i="46"/>
  <c r="FZ74" i="46"/>
  <c r="HM93" i="46"/>
  <c r="HS77" i="46"/>
  <c r="HM85" i="46"/>
  <c r="HD85" i="46"/>
  <c r="HX85" i="46"/>
  <c r="HX102" i="46"/>
  <c r="IC110" i="46"/>
  <c r="FZ49" i="46"/>
  <c r="FZ81" i="46"/>
  <c r="GU52" i="46"/>
  <c r="GV80" i="46"/>
  <c r="FZ80" i="46"/>
  <c r="GV58" i="46"/>
  <c r="HM100" i="46"/>
  <c r="FZ36" i="46"/>
  <c r="HW82" i="46"/>
  <c r="HM82" i="46"/>
  <c r="IC103" i="46"/>
  <c r="FZ64" i="46"/>
  <c r="GV59" i="46"/>
  <c r="FZ67" i="46"/>
  <c r="FZ97" i="46"/>
  <c r="HX97" i="46"/>
  <c r="FV104" i="46"/>
  <c r="FV109" i="46"/>
  <c r="FV101" i="46"/>
  <c r="FV46" i="46"/>
  <c r="FV89" i="46"/>
  <c r="FV50" i="46"/>
  <c r="FV99" i="46"/>
  <c r="FV44" i="46"/>
  <c r="FV60" i="46"/>
  <c r="FV43" i="46"/>
  <c r="FV55" i="46"/>
  <c r="FV62" i="46"/>
  <c r="FV38" i="46"/>
  <c r="FV78" i="46"/>
  <c r="FV87" i="46"/>
  <c r="FV90" i="46"/>
  <c r="FV73" i="46"/>
  <c r="FV61" i="46"/>
  <c r="FV108" i="46"/>
  <c r="FV71" i="46"/>
  <c r="GU70" i="46"/>
  <c r="HS81" i="46"/>
  <c r="HS85" i="46"/>
  <c r="FZ57" i="46"/>
  <c r="FZ96" i="46"/>
  <c r="FV96" i="46"/>
  <c r="HM92" i="46"/>
  <c r="HX92" i="46"/>
  <c r="GV72" i="46"/>
  <c r="HD72" i="46"/>
  <c r="HW94" i="46"/>
  <c r="GQ94" i="46"/>
  <c r="HM94" i="46"/>
  <c r="FV75" i="46"/>
  <c r="GV88" i="46"/>
  <c r="GV84" i="46"/>
  <c r="HW84" i="46"/>
  <c r="FZ84" i="46"/>
  <c r="FZ83" i="46"/>
  <c r="FV83" i="46"/>
  <c r="GV98" i="46"/>
  <c r="IP98" i="46"/>
  <c r="FV98" i="46"/>
  <c r="GQ68" i="46"/>
  <c r="FZ68" i="46"/>
  <c r="GV86" i="46"/>
  <c r="FV86" i="46"/>
  <c r="FZ30" i="46"/>
  <c r="HD76" i="46"/>
  <c r="HD107" i="46"/>
  <c r="GV107" i="46"/>
  <c r="IC107" i="46"/>
  <c r="GV74" i="46"/>
  <c r="GQ74" i="46"/>
  <c r="GQ95" i="46"/>
  <c r="FV95" i="46"/>
  <c r="HD95" i="46"/>
  <c r="GQ93" i="46"/>
  <c r="HX93" i="46"/>
  <c r="IX106" i="46"/>
  <c r="GQ106" i="46"/>
  <c r="GV106" i="46"/>
  <c r="HM106" i="46"/>
  <c r="HM91" i="46"/>
  <c r="FV91" i="46"/>
  <c r="GU66" i="46"/>
  <c r="IF88" i="46"/>
  <c r="IF89" i="46"/>
  <c r="IF109" i="46"/>
  <c r="IF99" i="46"/>
  <c r="IF104" i="46"/>
  <c r="IF108" i="46"/>
  <c r="IF90" i="46"/>
  <c r="IF101" i="46"/>
  <c r="FV33" i="46"/>
  <c r="HW85" i="46"/>
  <c r="FV85" i="46"/>
  <c r="IC85" i="46"/>
  <c r="FZ85" i="46"/>
  <c r="GV69" i="46"/>
  <c r="GQ69" i="46"/>
  <c r="HW105" i="46"/>
  <c r="IC105" i="46"/>
  <c r="HN70" i="46"/>
  <c r="FZ70" i="46"/>
  <c r="HN102" i="46"/>
  <c r="IP102" i="46"/>
  <c r="GV102" i="46"/>
  <c r="GV54" i="46"/>
  <c r="GQ110" i="46"/>
  <c r="HN110" i="46"/>
  <c r="FV48" i="46"/>
  <c r="FV49" i="46"/>
  <c r="GQ81" i="46"/>
  <c r="HN81" i="46"/>
  <c r="FV27" i="46"/>
  <c r="HX80" i="46"/>
  <c r="GG104" i="46"/>
  <c r="GG101" i="46"/>
  <c r="GG78" i="46"/>
  <c r="GG109" i="46"/>
  <c r="GG89" i="46"/>
  <c r="GG50" i="46"/>
  <c r="GG87" i="46"/>
  <c r="GG60" i="46"/>
  <c r="GG44" i="46"/>
  <c r="GG38" i="46"/>
  <c r="GG73" i="46"/>
  <c r="GG99" i="46"/>
  <c r="GG46" i="46"/>
  <c r="GG43" i="46"/>
  <c r="GG55" i="46"/>
  <c r="GG62" i="46"/>
  <c r="GG61" i="46"/>
  <c r="GG108" i="46"/>
  <c r="GG71" i="46"/>
  <c r="GG90" i="46"/>
  <c r="GG45" i="46"/>
  <c r="HD100" i="46"/>
  <c r="HD92" i="46"/>
  <c r="FZ72" i="46"/>
  <c r="HD98" i="46"/>
  <c r="FZ86" i="46"/>
  <c r="HD86" i="46"/>
  <c r="HD74" i="46"/>
  <c r="HX95" i="46"/>
  <c r="HD91" i="46"/>
  <c r="HX91" i="46"/>
  <c r="FZ32" i="46"/>
  <c r="FZ69" i="46"/>
  <c r="FZ102" i="46"/>
  <c r="FZ54" i="46"/>
  <c r="HX81" i="46"/>
  <c r="HX100" i="46"/>
  <c r="FZ82" i="46"/>
  <c r="FZ51" i="46"/>
  <c r="FZ59" i="46"/>
  <c r="IC97" i="46"/>
  <c r="IV104" i="46"/>
  <c r="IV109" i="46"/>
  <c r="IV108" i="46"/>
  <c r="HS106" i="46"/>
  <c r="HS95" i="46"/>
  <c r="HS91" i="46"/>
  <c r="HS87" i="46"/>
  <c r="HS90" i="46"/>
  <c r="HS88" i="46"/>
  <c r="HS75" i="46"/>
  <c r="HS99" i="46"/>
  <c r="HS93" i="46"/>
  <c r="HS96" i="46"/>
  <c r="HS97" i="46"/>
  <c r="HS109" i="46"/>
  <c r="HS83" i="46"/>
  <c r="HS98" i="46"/>
  <c r="HS86" i="46"/>
  <c r="HS89" i="46"/>
  <c r="HS108" i="46"/>
  <c r="HS101" i="46"/>
  <c r="HS84" i="46"/>
  <c r="HS107" i="46"/>
  <c r="HS76" i="46"/>
  <c r="HS104" i="46"/>
  <c r="HS82" i="46"/>
  <c r="HS78" i="46"/>
  <c r="HS103" i="46"/>
  <c r="HS92" i="46"/>
  <c r="HS110" i="46"/>
  <c r="HS102" i="46"/>
  <c r="GU110" i="46"/>
  <c r="GU103" i="46"/>
  <c r="GU82" i="46"/>
  <c r="GU87" i="46"/>
  <c r="GU74" i="46"/>
  <c r="GU67" i="46"/>
  <c r="GU93" i="46"/>
  <c r="GU68" i="46"/>
  <c r="GU51" i="46"/>
  <c r="GU91" i="46"/>
  <c r="GU99" i="46"/>
  <c r="GU108" i="46"/>
  <c r="GU84" i="46"/>
  <c r="GU86" i="46"/>
  <c r="GU85" i="46"/>
  <c r="GU65" i="46"/>
  <c r="GU95" i="46"/>
  <c r="GU63" i="46"/>
  <c r="GU97" i="46"/>
  <c r="GU72" i="46"/>
  <c r="GU89" i="46"/>
  <c r="GU76" i="46"/>
  <c r="GU104" i="46"/>
  <c r="GU60" i="46"/>
  <c r="GU88" i="46"/>
  <c r="GU73" i="46"/>
  <c r="GU55" i="46"/>
  <c r="GU62" i="46"/>
  <c r="GU90" i="46"/>
  <c r="GU101" i="46"/>
  <c r="GU105" i="46"/>
  <c r="GU83" i="46"/>
  <c r="GU61" i="46"/>
  <c r="GU109" i="46"/>
  <c r="GU102" i="46"/>
  <c r="GU59" i="46"/>
  <c r="GU53" i="46"/>
  <c r="GU58" i="46"/>
  <c r="GU98" i="46"/>
  <c r="GU71" i="46"/>
  <c r="GU107" i="46"/>
  <c r="GU54" i="46"/>
  <c r="GU78" i="46"/>
  <c r="GU106" i="46"/>
  <c r="GU100" i="46"/>
  <c r="GU56" i="46"/>
  <c r="GU92" i="46"/>
  <c r="FZ63" i="46"/>
  <c r="FZ66" i="46"/>
  <c r="IT104" i="46"/>
  <c r="IT109" i="46"/>
  <c r="IT108" i="46"/>
  <c r="HX94" i="46"/>
  <c r="FZ75" i="46"/>
  <c r="GV104" i="46"/>
  <c r="GV101" i="46"/>
  <c r="GV109" i="46"/>
  <c r="GV108" i="46"/>
  <c r="GV90" i="46"/>
  <c r="GV73" i="46"/>
  <c r="GV55" i="46"/>
  <c r="GV89" i="46"/>
  <c r="GV87" i="46"/>
  <c r="GV99" i="46"/>
  <c r="GV61" i="46"/>
  <c r="GV62" i="46"/>
  <c r="GV60" i="46"/>
  <c r="GV78" i="46"/>
  <c r="GV71" i="46"/>
  <c r="HD65" i="46"/>
  <c r="HM104" i="46"/>
  <c r="HM109" i="46"/>
  <c r="HM89" i="46"/>
  <c r="HM78" i="46"/>
  <c r="HM73" i="46"/>
  <c r="HM90" i="46"/>
  <c r="HM99" i="46"/>
  <c r="HM87" i="46"/>
  <c r="HM108" i="46"/>
  <c r="HM101" i="46"/>
  <c r="HM71" i="46"/>
  <c r="HM76" i="46"/>
  <c r="IV107" i="46"/>
  <c r="GV95" i="46"/>
  <c r="HX106" i="46"/>
  <c r="HD106" i="46"/>
  <c r="FZ106" i="46"/>
  <c r="IV106" i="46"/>
  <c r="GU57" i="46"/>
  <c r="GV85" i="46"/>
  <c r="IP104" i="46"/>
  <c r="IP101" i="46"/>
  <c r="IP99" i="46"/>
  <c r="IP108" i="46"/>
  <c r="IP109" i="46"/>
  <c r="HD105" i="46"/>
  <c r="IV105" i="46"/>
  <c r="GV70" i="46"/>
  <c r="HD70" i="46"/>
  <c r="GV110" i="46"/>
  <c r="FZ110" i="46"/>
  <c r="HD110" i="46"/>
  <c r="IV110" i="46"/>
  <c r="HD81" i="46"/>
  <c r="GU64" i="46"/>
  <c r="HW104" i="46"/>
  <c r="HW101" i="46"/>
  <c r="HW109" i="46"/>
  <c r="HW108" i="46"/>
  <c r="HW87" i="46"/>
  <c r="HW90" i="46"/>
  <c r="HW99" i="46"/>
  <c r="HW89" i="46"/>
  <c r="FZ103" i="46"/>
  <c r="HX103" i="46"/>
  <c r="IT103" i="46"/>
  <c r="FZ47" i="46"/>
  <c r="FZ37" i="46"/>
  <c r="HD64" i="46"/>
  <c r="GV53" i="46"/>
  <c r="GV97" i="46"/>
  <c r="HD97" i="46"/>
  <c r="FZ42" i="46"/>
  <c r="GU81" i="46"/>
  <c r="HS100" i="46"/>
  <c r="HM77" i="46"/>
  <c r="FZ77" i="46"/>
  <c r="GV77" i="46"/>
  <c r="FZ39" i="46"/>
  <c r="GV96" i="46"/>
  <c r="HM96" i="46"/>
  <c r="HW96" i="46"/>
  <c r="IC96" i="46"/>
  <c r="HX96" i="46"/>
  <c r="GV52" i="46"/>
  <c r="FZ52" i="46"/>
  <c r="FV52" i="46"/>
  <c r="GV79" i="46"/>
  <c r="FZ79" i="46"/>
  <c r="HD79" i="46"/>
  <c r="GQ104" i="46"/>
  <c r="GQ60" i="46"/>
  <c r="GQ87" i="46"/>
  <c r="GQ55" i="46"/>
  <c r="GQ50" i="46"/>
  <c r="GQ62" i="46"/>
  <c r="GQ101" i="46"/>
  <c r="GQ99" i="46"/>
  <c r="GQ61" i="46"/>
  <c r="GQ71" i="46"/>
  <c r="GQ90" i="46"/>
  <c r="GQ78" i="46"/>
  <c r="GQ89" i="46"/>
  <c r="GQ73" i="46"/>
  <c r="GQ109" i="46"/>
  <c r="GQ108" i="46"/>
  <c r="FV31" i="46"/>
  <c r="GV92" i="46"/>
  <c r="FZ92" i="46"/>
  <c r="FV94" i="46"/>
  <c r="IC94" i="46"/>
  <c r="HD94" i="46"/>
  <c r="GQ75" i="46"/>
  <c r="HM75" i="46"/>
  <c r="FZ88" i="46"/>
  <c r="IC88" i="46"/>
  <c r="HX88" i="46"/>
  <c r="FV84" i="46"/>
  <c r="HM84" i="46"/>
  <c r="HX83" i="46"/>
  <c r="FZ56" i="46"/>
  <c r="FZ98" i="46"/>
  <c r="IC98" i="46"/>
  <c r="HD68" i="46"/>
  <c r="FZ65" i="46"/>
  <c r="HW86" i="46"/>
  <c r="GQ86" i="46"/>
  <c r="HM86" i="46"/>
  <c r="HP109" i="46"/>
  <c r="HP104" i="46"/>
  <c r="HP73" i="46"/>
  <c r="HP99" i="46"/>
  <c r="HP87" i="46"/>
  <c r="HP78" i="46"/>
  <c r="HP90" i="46"/>
  <c r="HP89" i="46"/>
  <c r="HP101" i="46"/>
  <c r="HP108" i="46"/>
  <c r="FV76" i="46"/>
  <c r="GQ107" i="46"/>
  <c r="HM107" i="46"/>
  <c r="HX107" i="46"/>
  <c r="HW107" i="46"/>
  <c r="IP107" i="46"/>
  <c r="IT107" i="46"/>
  <c r="FV74" i="46"/>
  <c r="FZ95" i="46"/>
  <c r="HP93" i="46"/>
  <c r="GV93" i="46"/>
  <c r="HW93" i="46"/>
  <c r="FZ93" i="46"/>
  <c r="IC93" i="46"/>
  <c r="HD93" i="46"/>
  <c r="IP106" i="46"/>
  <c r="IC106" i="46"/>
  <c r="FZ91" i="46"/>
  <c r="HP91" i="46"/>
  <c r="IC91" i="46"/>
  <c r="GU69" i="46"/>
  <c r="HS94" i="46"/>
  <c r="FZ40" i="46"/>
  <c r="HN104" i="46"/>
  <c r="HN101" i="46"/>
  <c r="HN87" i="46"/>
  <c r="HN78" i="46"/>
  <c r="HN99" i="46"/>
  <c r="HN89" i="46"/>
  <c r="HN71" i="46"/>
  <c r="HN73" i="46"/>
  <c r="HN109" i="46"/>
  <c r="HN90" i="46"/>
  <c r="HN108" i="46"/>
  <c r="FV32" i="46"/>
  <c r="FZ33" i="46"/>
  <c r="GQ85" i="46"/>
  <c r="HD69" i="46"/>
  <c r="HP105" i="46"/>
  <c r="FZ105" i="46"/>
  <c r="HX105" i="46"/>
  <c r="HN105" i="46"/>
  <c r="IP105" i="46"/>
  <c r="HM70" i="46"/>
  <c r="FV102" i="46"/>
  <c r="IT102" i="46"/>
  <c r="HM110" i="46"/>
  <c r="IF110" i="46"/>
  <c r="FZ48" i="46"/>
  <c r="FV28" i="46"/>
  <c r="GU80" i="46"/>
  <c r="HJ110" i="46"/>
  <c r="HJ87" i="46"/>
  <c r="HJ89" i="46"/>
  <c r="HJ101" i="46"/>
  <c r="HJ104" i="46"/>
  <c r="HJ99" i="46"/>
  <c r="HJ71" i="46"/>
  <c r="HJ73" i="46"/>
  <c r="HJ108" i="46"/>
  <c r="HJ90" i="46"/>
  <c r="HJ78" i="46"/>
  <c r="HJ109" i="46"/>
  <c r="HP80" i="46"/>
  <c r="HM80" i="46"/>
  <c r="HD80" i="46"/>
  <c r="FZ45" i="46"/>
  <c r="FZ58" i="46"/>
  <c r="GV100" i="46"/>
  <c r="FZ100" i="46"/>
  <c r="FV100" i="46"/>
  <c r="IC100" i="46"/>
  <c r="IF100" i="46"/>
  <c r="CX50" i="38" l="1"/>
  <c r="DC50" i="38" s="1"/>
  <c r="CW50" i="38"/>
  <c r="AS35" i="41"/>
  <c r="BA35" i="41" s="1"/>
  <c r="AS74" i="41"/>
  <c r="BA74" i="41" s="1"/>
  <c r="CQ41" i="38"/>
  <c r="BX41" i="41" s="1"/>
  <c r="AS64" i="41"/>
  <c r="BA64" i="41" s="1"/>
  <c r="CQ78" i="38"/>
  <c r="BX78" i="41" s="1"/>
  <c r="AS56" i="41"/>
  <c r="BA56" i="41" s="1"/>
  <c r="CQ39" i="38"/>
  <c r="BX39" i="41" s="1"/>
  <c r="CQ105" i="38"/>
  <c r="BX105" i="41" s="1"/>
  <c r="CP32" i="38"/>
  <c r="BW32" i="41" s="1"/>
  <c r="CQ72" i="38"/>
  <c r="BX72" i="41" s="1"/>
  <c r="AS52" i="41"/>
  <c r="BA52" i="41" s="1"/>
  <c r="CQ37" i="38"/>
  <c r="BX37" i="41" s="1"/>
  <c r="CQ60" i="38"/>
  <c r="BX60" i="41" s="1"/>
  <c r="CQ40" i="38"/>
  <c r="BX40" i="41" s="1"/>
  <c r="AS97" i="41"/>
  <c r="BA97" i="41" s="1"/>
  <c r="CQ35" i="38"/>
  <c r="BX35" i="41" s="1"/>
  <c r="AS103" i="41"/>
  <c r="BA103" i="41" s="1"/>
  <c r="AS78" i="41"/>
  <c r="BA78" i="41" s="1"/>
  <c r="CQ92" i="38"/>
  <c r="BX92" i="41" s="1"/>
  <c r="CQ89" i="38"/>
  <c r="BX89" i="41" s="1"/>
  <c r="CQ61" i="38"/>
  <c r="BX61" i="41" s="1"/>
  <c r="CQ68" i="38"/>
  <c r="BX68" i="41" s="1"/>
  <c r="AS43" i="41"/>
  <c r="BA43" i="41" s="1"/>
  <c r="CQ99" i="38"/>
  <c r="BX99" i="41" s="1"/>
  <c r="AS65" i="41"/>
  <c r="BA65" i="41" s="1"/>
  <c r="CQ107" i="38"/>
  <c r="BX107" i="41" s="1"/>
  <c r="CQ52" i="38"/>
  <c r="BX52" i="41" s="1"/>
  <c r="CQ76" i="38"/>
  <c r="BX76" i="41" s="1"/>
  <c r="AS45" i="41"/>
  <c r="BA45" i="41" s="1"/>
  <c r="CQ56" i="38"/>
  <c r="BX56" i="41" s="1"/>
  <c r="AS51" i="41"/>
  <c r="BA51" i="41" s="1"/>
  <c r="CQ71" i="38"/>
  <c r="BX71" i="41" s="1"/>
  <c r="CQ45" i="38"/>
  <c r="BX45" i="41" s="1"/>
  <c r="AS98" i="41"/>
  <c r="BA98" i="41" s="1"/>
  <c r="AS107" i="41"/>
  <c r="BA107" i="41" s="1"/>
  <c r="CQ20" i="38"/>
  <c r="BX20" i="41" s="1"/>
  <c r="CP30" i="38"/>
  <c r="BW30" i="41" s="1"/>
  <c r="CQ74" i="38"/>
  <c r="BX74" i="41" s="1"/>
  <c r="CQ62" i="38"/>
  <c r="BX62" i="41" s="1"/>
  <c r="CQ79" i="38"/>
  <c r="BX79" i="41" s="1"/>
  <c r="CQ108" i="38"/>
  <c r="BX108" i="41" s="1"/>
  <c r="CQ101" i="38"/>
  <c r="BX101" i="41" s="1"/>
  <c r="AS47" i="41"/>
  <c r="BA47" i="41" s="1"/>
  <c r="AS95" i="41"/>
  <c r="BA95" i="41" s="1"/>
  <c r="CQ103" i="38"/>
  <c r="BX103" i="41" s="1"/>
  <c r="CQ80" i="38"/>
  <c r="BX80" i="41" s="1"/>
  <c r="AS32" i="41"/>
  <c r="BA32" i="41" s="1"/>
  <c r="CQ109" i="38"/>
  <c r="BX109" i="41" s="1"/>
  <c r="CQ70" i="38"/>
  <c r="BX70" i="41" s="1"/>
  <c r="AS91" i="41"/>
  <c r="BA91" i="41" s="1"/>
  <c r="AS96" i="41"/>
  <c r="BA96" i="41" s="1"/>
  <c r="AS70" i="41"/>
  <c r="BA70" i="41" s="1"/>
  <c r="AS60" i="41"/>
  <c r="BA60" i="41" s="1"/>
  <c r="AS88" i="41"/>
  <c r="BA88" i="41" s="1"/>
  <c r="AS39" i="41"/>
  <c r="BA39" i="41" s="1"/>
  <c r="AS92" i="41"/>
  <c r="BA92" i="41" s="1"/>
  <c r="CP49" i="38"/>
  <c r="BW49" i="41" s="1"/>
  <c r="CQ82" i="38"/>
  <c r="BX82" i="41" s="1"/>
  <c r="AS68" i="41"/>
  <c r="BA68" i="41" s="1"/>
  <c r="CQ100" i="38"/>
  <c r="BX100" i="41" s="1"/>
  <c r="CQ36" i="38"/>
  <c r="BX36" i="41" s="1"/>
  <c r="AS54" i="41"/>
  <c r="BA54" i="41" s="1"/>
  <c r="CQ88" i="38"/>
  <c r="BX88" i="41" s="1"/>
  <c r="CQ57" i="38"/>
  <c r="BX57" i="41" s="1"/>
  <c r="AS85" i="41"/>
  <c r="BA85" i="41" s="1"/>
  <c r="CQ65" i="38"/>
  <c r="BX65" i="41" s="1"/>
  <c r="AS55" i="41"/>
  <c r="BA55" i="41" s="1"/>
  <c r="AS87" i="41"/>
  <c r="BA87" i="41" s="1"/>
  <c r="CQ48" i="38"/>
  <c r="BX48" i="41" s="1"/>
  <c r="AS110" i="41"/>
  <c r="BA110" i="41" s="1"/>
  <c r="AS49" i="41"/>
  <c r="BA49" i="41" s="1"/>
  <c r="CP64" i="38"/>
  <c r="BW64" i="41" s="1"/>
  <c r="CQ50" i="38"/>
  <c r="BX50" i="41" s="1"/>
  <c r="CP48" i="38"/>
  <c r="CP98" i="38"/>
  <c r="BW98" i="41" s="1"/>
  <c r="CP104" i="38"/>
  <c r="BW104" i="41" s="1"/>
  <c r="CP76" i="38"/>
  <c r="BW76" i="41" s="1"/>
  <c r="AS37" i="41"/>
  <c r="BA37" i="41" s="1"/>
  <c r="CQ54" i="38"/>
  <c r="BX54" i="41" s="1"/>
  <c r="CQ53" i="38"/>
  <c r="BX53" i="41" s="1"/>
  <c r="CN98" i="38"/>
  <c r="BY98" i="41" s="1"/>
  <c r="AS50" i="41"/>
  <c r="BA50" i="41" s="1"/>
  <c r="CQ69" i="38"/>
  <c r="BX69" i="41" s="1"/>
  <c r="CQ91" i="38"/>
  <c r="BX91" i="41" s="1"/>
  <c r="CQ84" i="38"/>
  <c r="BX84" i="41" s="1"/>
  <c r="AS101" i="41"/>
  <c r="BA101" i="41" s="1"/>
  <c r="AS89" i="41"/>
  <c r="BA89" i="41" s="1"/>
  <c r="CP87" i="38"/>
  <c r="BW87" i="41" s="1"/>
  <c r="CQ104" i="38"/>
  <c r="BX104" i="41" s="1"/>
  <c r="CQ42" i="38"/>
  <c r="BX42" i="41" s="1"/>
  <c r="CN53" i="38"/>
  <c r="BY53" i="41" s="1"/>
  <c r="AS58" i="41"/>
  <c r="BA58" i="41" s="1"/>
  <c r="CQ95" i="38"/>
  <c r="BX95" i="41" s="1"/>
  <c r="CQ75" i="38"/>
  <c r="BX75" i="41" s="1"/>
  <c r="CP58" i="38"/>
  <c r="BW58" i="41" s="1"/>
  <c r="CP67" i="38"/>
  <c r="BW67" i="41" s="1"/>
  <c r="CP88" i="38"/>
  <c r="BW88" i="41" s="1"/>
  <c r="CP91" i="38"/>
  <c r="BW91" i="41" s="1"/>
  <c r="AS83" i="41"/>
  <c r="BA83" i="41" s="1"/>
  <c r="AS66" i="41"/>
  <c r="BA66" i="41" s="1"/>
  <c r="AS105" i="41"/>
  <c r="BA105" i="41" s="1"/>
  <c r="CN85" i="38"/>
  <c r="BY85" i="41" s="1"/>
  <c r="CN45" i="38"/>
  <c r="BY45" i="41" s="1"/>
  <c r="CN97" i="38"/>
  <c r="BY97" i="41" s="1"/>
  <c r="AS93" i="41"/>
  <c r="BA93" i="41" s="1"/>
  <c r="CQ59" i="38"/>
  <c r="BX59" i="41" s="1"/>
  <c r="CQ38" i="38"/>
  <c r="BX38" i="41" s="1"/>
  <c r="AS31" i="41"/>
  <c r="BA31" i="41" s="1"/>
  <c r="CQ86" i="38"/>
  <c r="BX86" i="41" s="1"/>
  <c r="CP54" i="38"/>
  <c r="BW54" i="41" s="1"/>
  <c r="CP39" i="38"/>
  <c r="CR39" i="38" s="1"/>
  <c r="AS76" i="41"/>
  <c r="BA76" i="41" s="1"/>
  <c r="CP85" i="38"/>
  <c r="BW85" i="41" s="1"/>
  <c r="CQ49" i="38"/>
  <c r="BX49" i="41" s="1"/>
  <c r="CQ67" i="38"/>
  <c r="BX67" i="41" s="1"/>
  <c r="CP101" i="38"/>
  <c r="CP50" i="38"/>
  <c r="BW50" i="41" s="1"/>
  <c r="AS67" i="41"/>
  <c r="BA67" i="41" s="1"/>
  <c r="CQ87" i="38"/>
  <c r="BX87" i="41" s="1"/>
  <c r="CP84" i="38"/>
  <c r="BW84" i="41" s="1"/>
  <c r="CP55" i="38"/>
  <c r="BW55" i="41" s="1"/>
  <c r="AS72" i="41"/>
  <c r="BA72" i="41" s="1"/>
  <c r="CN73" i="38"/>
  <c r="BY73" i="41" s="1"/>
  <c r="CN76" i="38"/>
  <c r="BY76" i="41" s="1"/>
  <c r="CN89" i="38"/>
  <c r="BY89" i="41" s="1"/>
  <c r="CN88" i="38"/>
  <c r="BY88" i="41" s="1"/>
  <c r="CN36" i="38"/>
  <c r="BY36" i="41" s="1"/>
  <c r="CN38" i="38"/>
  <c r="BY38" i="41" s="1"/>
  <c r="CN50" i="38"/>
  <c r="BY50" i="41" s="1"/>
  <c r="CN78" i="38"/>
  <c r="BY78" i="41" s="1"/>
  <c r="CN55" i="38"/>
  <c r="BY55" i="41" s="1"/>
  <c r="CN49" i="38"/>
  <c r="BY49" i="41" s="1"/>
  <c r="CN58" i="38"/>
  <c r="BY58" i="41" s="1"/>
  <c r="AS90" i="41"/>
  <c r="BA90" i="41" s="1"/>
  <c r="CP38" i="38"/>
  <c r="CR38" i="38" s="1"/>
  <c r="CP68" i="38"/>
  <c r="BW68" i="41" s="1"/>
  <c r="CQ46" i="38"/>
  <c r="BX46" i="41" s="1"/>
  <c r="CN71" i="38"/>
  <c r="BY71" i="41" s="1"/>
  <c r="CN63" i="38"/>
  <c r="BY63" i="41" s="1"/>
  <c r="CN108" i="38"/>
  <c r="BY108" i="41" s="1"/>
  <c r="CN84" i="38"/>
  <c r="BY84" i="41" s="1"/>
  <c r="CN43" i="38"/>
  <c r="BY43" i="41" s="1"/>
  <c r="CN103" i="38"/>
  <c r="BY103" i="41" s="1"/>
  <c r="CP61" i="38"/>
  <c r="BW61" i="41" s="1"/>
  <c r="CP81" i="38"/>
  <c r="BW81" i="41" s="1"/>
  <c r="CP95" i="38"/>
  <c r="BW95" i="41" s="1"/>
  <c r="AS69" i="41"/>
  <c r="BA69" i="41" s="1"/>
  <c r="CP100" i="38"/>
  <c r="CN83" i="38"/>
  <c r="BY83" i="41" s="1"/>
  <c r="CN96" i="38"/>
  <c r="BY96" i="41" s="1"/>
  <c r="CN44" i="38"/>
  <c r="BY44" i="41" s="1"/>
  <c r="CN62" i="38"/>
  <c r="BY62" i="41" s="1"/>
  <c r="CN52" i="38"/>
  <c r="BY52" i="41" s="1"/>
  <c r="CN72" i="38"/>
  <c r="BY72" i="41" s="1"/>
  <c r="CN67" i="38"/>
  <c r="BY67" i="41" s="1"/>
  <c r="CN69" i="38"/>
  <c r="BY69" i="41" s="1"/>
  <c r="CN91" i="38"/>
  <c r="BY91" i="41" s="1"/>
  <c r="CN42" i="38"/>
  <c r="BY42" i="41" s="1"/>
  <c r="CP43" i="38"/>
  <c r="BW43" i="41" s="1"/>
  <c r="CP93" i="38"/>
  <c r="BW93" i="41" s="1"/>
  <c r="CP82" i="38"/>
  <c r="AS80" i="41"/>
  <c r="BA80" i="41" s="1"/>
  <c r="AS62" i="41"/>
  <c r="BA62" i="41" s="1"/>
  <c r="AS44" i="41"/>
  <c r="BA44" i="41" s="1"/>
  <c r="AS100" i="41"/>
  <c r="BA100" i="41" s="1"/>
  <c r="CQ77" i="38"/>
  <c r="BX77" i="41" s="1"/>
  <c r="AS63" i="41"/>
  <c r="BA63" i="41" s="1"/>
  <c r="CP36" i="38"/>
  <c r="AS82" i="41"/>
  <c r="BA82" i="41" s="1"/>
  <c r="CN93" i="38"/>
  <c r="BY93" i="41" s="1"/>
  <c r="CN110" i="38"/>
  <c r="BY110" i="41" s="1"/>
  <c r="CN81" i="38"/>
  <c r="BY81" i="41" s="1"/>
  <c r="CN51" i="38"/>
  <c r="BY51" i="41" s="1"/>
  <c r="CN105" i="38"/>
  <c r="BY105" i="41" s="1"/>
  <c r="CN64" i="38"/>
  <c r="BY64" i="41" s="1"/>
  <c r="CN77" i="38"/>
  <c r="BY77" i="41" s="1"/>
  <c r="CN95" i="38"/>
  <c r="BY95" i="41" s="1"/>
  <c r="CN46" i="38"/>
  <c r="BY46" i="41" s="1"/>
  <c r="CN41" i="38"/>
  <c r="BY41" i="41" s="1"/>
  <c r="CN60" i="38"/>
  <c r="BY60" i="41" s="1"/>
  <c r="CN54" i="38"/>
  <c r="BY54" i="41" s="1"/>
  <c r="CN61" i="38"/>
  <c r="BY61" i="41" s="1"/>
  <c r="CN66" i="38"/>
  <c r="BY66" i="41" s="1"/>
  <c r="CN100" i="38"/>
  <c r="BY100" i="41" s="1"/>
  <c r="CN75" i="38"/>
  <c r="BY75" i="41" s="1"/>
  <c r="CN90" i="38"/>
  <c r="BY90" i="41" s="1"/>
  <c r="CP92" i="38"/>
  <c r="CR92" i="38" s="1"/>
  <c r="CQ66" i="38"/>
  <c r="BX66" i="41" s="1"/>
  <c r="CP44" i="38"/>
  <c r="BW44" i="41" s="1"/>
  <c r="AS109" i="41"/>
  <c r="BA109" i="41" s="1"/>
  <c r="CP90" i="38"/>
  <c r="BW90" i="41" s="1"/>
  <c r="CN39" i="38"/>
  <c r="BY39" i="41" s="1"/>
  <c r="CN40" i="38"/>
  <c r="BY40" i="41" s="1"/>
  <c r="CN109" i="38"/>
  <c r="BY109" i="41" s="1"/>
  <c r="CN65" i="38"/>
  <c r="BY65" i="41" s="1"/>
  <c r="CN47" i="38"/>
  <c r="BY47" i="41" s="1"/>
  <c r="CN104" i="38"/>
  <c r="BY104" i="41" s="1"/>
  <c r="CN87" i="38"/>
  <c r="BY87" i="41" s="1"/>
  <c r="CN99" i="38"/>
  <c r="BY99" i="41" s="1"/>
  <c r="CN56" i="38"/>
  <c r="BY56" i="41" s="1"/>
  <c r="CP78" i="38"/>
  <c r="CR78" i="38" s="1"/>
  <c r="CP89" i="38"/>
  <c r="BW89" i="41" s="1"/>
  <c r="CP37" i="38"/>
  <c r="BW37" i="41" s="1"/>
  <c r="CP99" i="38"/>
  <c r="BW99" i="41" s="1"/>
  <c r="CQ106" i="38"/>
  <c r="BX106" i="41" s="1"/>
  <c r="CP96" i="38"/>
  <c r="BW96" i="41" s="1"/>
  <c r="AS102" i="41"/>
  <c r="BA102" i="41" s="1"/>
  <c r="CP47" i="38"/>
  <c r="BW47" i="41" s="1"/>
  <c r="CP97" i="38"/>
  <c r="BW97" i="41" s="1"/>
  <c r="CN80" i="38"/>
  <c r="BY80" i="41" s="1"/>
  <c r="CN70" i="38"/>
  <c r="BY70" i="41" s="1"/>
  <c r="CN102" i="38"/>
  <c r="BY102" i="41" s="1"/>
  <c r="CN37" i="38"/>
  <c r="BY37" i="41" s="1"/>
  <c r="CN82" i="38"/>
  <c r="BY82" i="41" s="1"/>
  <c r="CN101" i="38"/>
  <c r="BY101" i="41" s="1"/>
  <c r="CN79" i="38"/>
  <c r="BY79" i="41" s="1"/>
  <c r="CN94" i="38"/>
  <c r="BY94" i="41" s="1"/>
  <c r="CN48" i="38"/>
  <c r="BY48" i="41" s="1"/>
  <c r="CN86" i="38"/>
  <c r="BY86" i="41" s="1"/>
  <c r="CN106" i="38"/>
  <c r="BY106" i="41" s="1"/>
  <c r="CN92" i="38"/>
  <c r="BY92" i="41" s="1"/>
  <c r="CN35" i="38"/>
  <c r="BY35" i="41" s="1"/>
  <c r="CN57" i="38"/>
  <c r="BY57" i="41" s="1"/>
  <c r="CN68" i="38"/>
  <c r="BY68" i="41" s="1"/>
  <c r="CN59" i="38"/>
  <c r="BY59" i="41" s="1"/>
  <c r="CN74" i="38"/>
  <c r="BY74" i="41" s="1"/>
  <c r="CN107" i="38"/>
  <c r="BY107" i="41" s="1"/>
  <c r="CP108" i="38"/>
  <c r="BW108" i="41" s="1"/>
  <c r="CP42" i="38"/>
  <c r="BW42" i="41" s="1"/>
  <c r="CP94" i="38"/>
  <c r="BW94" i="41" s="1"/>
  <c r="CP107" i="38"/>
  <c r="BW107" i="41" s="1"/>
  <c r="CQ83" i="38"/>
  <c r="BX83" i="41" s="1"/>
  <c r="CQ47" i="38"/>
  <c r="BX47" i="41" s="1"/>
  <c r="CQ97" i="38"/>
  <c r="BX97" i="41" s="1"/>
  <c r="CP62" i="38"/>
  <c r="BW62" i="41" s="1"/>
  <c r="CQ81" i="38"/>
  <c r="BX81" i="41" s="1"/>
  <c r="CP66" i="38"/>
  <c r="BW66" i="41" s="1"/>
  <c r="CP69" i="38"/>
  <c r="BW69" i="41" s="1"/>
  <c r="AS59" i="41"/>
  <c r="BA59" i="41" s="1"/>
  <c r="CP56" i="38"/>
  <c r="CQ73" i="38"/>
  <c r="BX73" i="41" s="1"/>
  <c r="CQ94" i="38"/>
  <c r="BX94" i="41" s="1"/>
  <c r="AS21" i="41"/>
  <c r="BA21" i="41" s="1"/>
  <c r="CP102" i="38"/>
  <c r="CQ93" i="38"/>
  <c r="BX93" i="41" s="1"/>
  <c r="CP109" i="38"/>
  <c r="CP63" i="38"/>
  <c r="BW63" i="41" s="1"/>
  <c r="AS108" i="41"/>
  <c r="BA108" i="41" s="1"/>
  <c r="CP83" i="38"/>
  <c r="BW83" i="41" s="1"/>
  <c r="CQ55" i="38"/>
  <c r="BX55" i="41" s="1"/>
  <c r="AS57" i="41"/>
  <c r="BA57" i="41" s="1"/>
  <c r="CQ64" i="38"/>
  <c r="BX64" i="41" s="1"/>
  <c r="AS42" i="41"/>
  <c r="BA42" i="41" s="1"/>
  <c r="CP70" i="38"/>
  <c r="AS77" i="41"/>
  <c r="BA77" i="41" s="1"/>
  <c r="CP53" i="38"/>
  <c r="BW53" i="41" s="1"/>
  <c r="AS79" i="41"/>
  <c r="BA79" i="41" s="1"/>
  <c r="CQ44" i="38"/>
  <c r="BX44" i="41" s="1"/>
  <c r="CP57" i="38"/>
  <c r="BW57" i="41" s="1"/>
  <c r="AS40" i="41"/>
  <c r="BA40" i="41" s="1"/>
  <c r="CP80" i="38"/>
  <c r="BW80" i="41" s="1"/>
  <c r="CP110" i="38"/>
  <c r="BW110" i="41" s="1"/>
  <c r="CQ63" i="38"/>
  <c r="BX63" i="41" s="1"/>
  <c r="AS53" i="41"/>
  <c r="BA53" i="41" s="1"/>
  <c r="AS84" i="41"/>
  <c r="BA84" i="41" s="1"/>
  <c r="CP79" i="38"/>
  <c r="BW79" i="41" s="1"/>
  <c r="CP71" i="38"/>
  <c r="BW71" i="41" s="1"/>
  <c r="CP45" i="38"/>
  <c r="CR45" i="38" s="1"/>
  <c r="AS71" i="41"/>
  <c r="BA71" i="41" s="1"/>
  <c r="AS81" i="41"/>
  <c r="BA81" i="41" s="1"/>
  <c r="AS94" i="41"/>
  <c r="BA94" i="41" s="1"/>
  <c r="CP65" i="38"/>
  <c r="CP77" i="38"/>
  <c r="BW77" i="41" s="1"/>
  <c r="CP34" i="38"/>
  <c r="BW34" i="41" s="1"/>
  <c r="CP105" i="38"/>
  <c r="BW105" i="41" s="1"/>
  <c r="CP72" i="38"/>
  <c r="CP41" i="38"/>
  <c r="BW41" i="41" s="1"/>
  <c r="CP35" i="38"/>
  <c r="BW35" i="41" s="1"/>
  <c r="CP106" i="38"/>
  <c r="BW106" i="41" s="1"/>
  <c r="CP74" i="38"/>
  <c r="CP60" i="38"/>
  <c r="BW60" i="41" s="1"/>
  <c r="AS41" i="41"/>
  <c r="BA41" i="41" s="1"/>
  <c r="CQ96" i="38"/>
  <c r="BX96" i="41" s="1"/>
  <c r="AS36" i="41"/>
  <c r="BA36" i="41" s="1"/>
  <c r="CP33" i="38"/>
  <c r="BW33" i="41" s="1"/>
  <c r="CP52" i="38"/>
  <c r="BW52" i="41" s="1"/>
  <c r="CQ102" i="38"/>
  <c r="BX102" i="41" s="1"/>
  <c r="CP86" i="38"/>
  <c r="CP103" i="38"/>
  <c r="BW103" i="41" s="1"/>
  <c r="AS86" i="41"/>
  <c r="BA86" i="41" s="1"/>
  <c r="AS106" i="41"/>
  <c r="BA106" i="41" s="1"/>
  <c r="CQ32" i="38"/>
  <c r="BX32" i="41" s="1"/>
  <c r="AS73" i="41"/>
  <c r="BA73" i="41" s="1"/>
  <c r="CP51" i="38"/>
  <c r="BW51" i="41" s="1"/>
  <c r="AS38" i="41"/>
  <c r="BA38" i="41" s="1"/>
  <c r="AS61" i="41"/>
  <c r="BA61" i="41" s="1"/>
  <c r="CQ98" i="38"/>
  <c r="BX98" i="41" s="1"/>
  <c r="CQ30" i="38"/>
  <c r="BX30" i="41" s="1"/>
  <c r="CQ58" i="38"/>
  <c r="BX58" i="41" s="1"/>
  <c r="AS75" i="41"/>
  <c r="BA75" i="41" s="1"/>
  <c r="AS46" i="41"/>
  <c r="BA46" i="41" s="1"/>
  <c r="AS48" i="41"/>
  <c r="BA48" i="41" s="1"/>
  <c r="CQ43" i="38"/>
  <c r="BX43" i="41" s="1"/>
  <c r="CP21" i="38"/>
  <c r="BW21" i="41" s="1"/>
  <c r="CQ85" i="38"/>
  <c r="BX85" i="41" s="1"/>
  <c r="AS33" i="41"/>
  <c r="BA33" i="41" s="1"/>
  <c r="CP59" i="38"/>
  <c r="BW59" i="41" s="1"/>
  <c r="CQ51" i="38"/>
  <c r="BX51" i="41" s="1"/>
  <c r="CP75" i="38"/>
  <c r="BW75" i="41" s="1"/>
  <c r="BX29" i="38"/>
  <c r="BJ29" i="41" s="1"/>
  <c r="CP20" i="38"/>
  <c r="BW20" i="41" s="1"/>
  <c r="CP40" i="38"/>
  <c r="BW40" i="41" s="1"/>
  <c r="AS99" i="41"/>
  <c r="BA99" i="41" s="1"/>
  <c r="AS34" i="41"/>
  <c r="BA34" i="41" s="1"/>
  <c r="CP46" i="38"/>
  <c r="CP73" i="38"/>
  <c r="FR86" i="38"/>
  <c r="CX76" i="41"/>
  <c r="CR20" i="38"/>
  <c r="FR83" i="38"/>
  <c r="AK5" i="46"/>
  <c r="M74" i="10"/>
  <c r="AK6" i="46"/>
  <c r="M75" i="10"/>
  <c r="FR102" i="38"/>
  <c r="CX25" i="41"/>
  <c r="CX31" i="41"/>
  <c r="FR72" i="38"/>
  <c r="BH34" i="41"/>
  <c r="BI34" i="41" s="1"/>
  <c r="FR106" i="38"/>
  <c r="FR39" i="38"/>
  <c r="CX74" i="41"/>
  <c r="CX53" i="41"/>
  <c r="FR29" i="38"/>
  <c r="CX54" i="41"/>
  <c r="FR96" i="38"/>
  <c r="CX47" i="41"/>
  <c r="CX51" i="41"/>
  <c r="FR97" i="38"/>
  <c r="CX88" i="41"/>
  <c r="FR30" i="38"/>
  <c r="FR67" i="38"/>
  <c r="FR66" i="38"/>
  <c r="CX99" i="41"/>
  <c r="FR21" i="38"/>
  <c r="FR60" i="38"/>
  <c r="FR34" i="38"/>
  <c r="FR81" i="38"/>
  <c r="FR105" i="38"/>
  <c r="FR43" i="38"/>
  <c r="CX63" i="41"/>
  <c r="CX69" i="41"/>
  <c r="CX27" i="41"/>
  <c r="FR35" i="38"/>
  <c r="CX107" i="41"/>
  <c r="FR108" i="38"/>
  <c r="FR73" i="38"/>
  <c r="FR42" i="38"/>
  <c r="CX77" i="41"/>
  <c r="CX95" i="41"/>
  <c r="FR103" i="38"/>
  <c r="FR109" i="38"/>
  <c r="CX75" i="41"/>
  <c r="CX90" i="41"/>
  <c r="FR87" i="38"/>
  <c r="FR38" i="38"/>
  <c r="FR46" i="38"/>
  <c r="CX44" i="41"/>
  <c r="FR50" i="38"/>
  <c r="FR91" i="38"/>
  <c r="CX62" i="41"/>
  <c r="FR85" i="38"/>
  <c r="FR37" i="38"/>
  <c r="FR55" i="38"/>
  <c r="CX26" i="41"/>
  <c r="CX57" i="41"/>
  <c r="CX64" i="41"/>
  <c r="CX100" i="41"/>
  <c r="FR56" i="38"/>
  <c r="FR79" i="38"/>
  <c r="FR65" i="38"/>
  <c r="CX52" i="41"/>
  <c r="AE20" i="46"/>
  <c r="AF20" i="46" s="1"/>
  <c r="AJ20" i="46" s="1"/>
  <c r="AK20" i="46" s="1"/>
  <c r="AJ20" i="41" s="1"/>
  <c r="CX110" i="41"/>
  <c r="CX98" i="41"/>
  <c r="CX82" i="41"/>
  <c r="CX33" i="41"/>
  <c r="CX36" i="41"/>
  <c r="CX61" i="41"/>
  <c r="CX101" i="41"/>
  <c r="CX45" i="41"/>
  <c r="CX94" i="41"/>
  <c r="CX24" i="41"/>
  <c r="CX22" i="41"/>
  <c r="CX80" i="41"/>
  <c r="FR58" i="38"/>
  <c r="FR23" i="38"/>
  <c r="CX84" i="41"/>
  <c r="FR59" i="38"/>
  <c r="FR40" i="38"/>
  <c r="CX20" i="41"/>
  <c r="FS5" i="38"/>
  <c r="FR5" i="38" s="1"/>
  <c r="FR68" i="38"/>
  <c r="FR78" i="38"/>
  <c r="FR89" i="38"/>
  <c r="FR41" i="38"/>
  <c r="FR49" i="38"/>
  <c r="CX32" i="41"/>
  <c r="FR93" i="38"/>
  <c r="FR70" i="38"/>
  <c r="FR92" i="38"/>
  <c r="FR71" i="38"/>
  <c r="CX48" i="41"/>
  <c r="CX28" i="41"/>
  <c r="T117" i="45"/>
  <c r="W116" i="45"/>
  <c r="FP87" i="46"/>
  <c r="FP96" i="46"/>
  <c r="HL99" i="46"/>
  <c r="AE65" i="46"/>
  <c r="IJ92" i="46"/>
  <c r="IY107" i="46"/>
  <c r="GW60" i="46"/>
  <c r="IY109" i="46"/>
  <c r="II101" i="46"/>
  <c r="GC105" i="46"/>
  <c r="GZ102" i="46"/>
  <c r="GA86" i="46"/>
  <c r="IY108" i="46"/>
  <c r="FW78" i="46"/>
  <c r="AJ22" i="38"/>
  <c r="AK22" i="38" s="1"/>
  <c r="AH22" i="41" s="1"/>
  <c r="AL22" i="41" s="1"/>
  <c r="GC84" i="46"/>
  <c r="GC79" i="46"/>
  <c r="HF97" i="46"/>
  <c r="GC64" i="46"/>
  <c r="IJ109" i="46"/>
  <c r="GZ68" i="46"/>
  <c r="GZ101" i="46"/>
  <c r="GZ76" i="46"/>
  <c r="IH100" i="46"/>
  <c r="IH109" i="46"/>
  <c r="GZ81" i="46"/>
  <c r="GC70" i="46"/>
  <c r="FW46" i="46"/>
  <c r="IJ108" i="46"/>
  <c r="GZ75" i="46"/>
  <c r="GZ107" i="46"/>
  <c r="HF70" i="46"/>
  <c r="IH98" i="46"/>
  <c r="AG22" i="38"/>
  <c r="AH22" i="38" s="1"/>
  <c r="GW80" i="46"/>
  <c r="GW101" i="46"/>
  <c r="FW104" i="46"/>
  <c r="GC67" i="46"/>
  <c r="IJ105" i="46"/>
  <c r="GZ69" i="46"/>
  <c r="IJ107" i="46"/>
  <c r="GZ88" i="46"/>
  <c r="GC94" i="46"/>
  <c r="FW43" i="46"/>
  <c r="GZ71" i="46"/>
  <c r="GZ80" i="46"/>
  <c r="HK81" i="46"/>
  <c r="GW108" i="46"/>
  <c r="GW104" i="46"/>
  <c r="GC103" i="46"/>
  <c r="GC68" i="46"/>
  <c r="FW61" i="46"/>
  <c r="FW99" i="46"/>
  <c r="GZ58" i="46"/>
  <c r="HK99" i="46"/>
  <c r="GC40" i="46"/>
  <c r="GC91" i="46"/>
  <c r="GZ94" i="46"/>
  <c r="GZ72" i="46"/>
  <c r="GZ63" i="46"/>
  <c r="GZ62" i="46"/>
  <c r="GC46" i="46"/>
  <c r="GZ65" i="46"/>
  <c r="GW72" i="46"/>
  <c r="IH101" i="46"/>
  <c r="GW78" i="46"/>
  <c r="GW99" i="46"/>
  <c r="FW89" i="46"/>
  <c r="HK109" i="46"/>
  <c r="GZ90" i="46"/>
  <c r="GZ104" i="46"/>
  <c r="GC50" i="46"/>
  <c r="GZ93" i="46"/>
  <c r="GZ92" i="46"/>
  <c r="GZ96" i="46"/>
  <c r="HF77" i="46"/>
  <c r="FX62" i="46"/>
  <c r="GD68" i="46"/>
  <c r="FT88" i="46"/>
  <c r="GJ96" i="46"/>
  <c r="HK104" i="46"/>
  <c r="FW76" i="46"/>
  <c r="GW97" i="46"/>
  <c r="HK110" i="46"/>
  <c r="HK108" i="46"/>
  <c r="HF62" i="46"/>
  <c r="GC45" i="46"/>
  <c r="FW49" i="46"/>
  <c r="FW96" i="46"/>
  <c r="IN104" i="46"/>
  <c r="GO92" i="46"/>
  <c r="HK83" i="46"/>
  <c r="FX36" i="46"/>
  <c r="IB104" i="46"/>
  <c r="FY99" i="46"/>
  <c r="FR51" i="46"/>
  <c r="FT51" i="46"/>
  <c r="IH90" i="46"/>
  <c r="GC102" i="46"/>
  <c r="GW87" i="46"/>
  <c r="GW89" i="46"/>
  <c r="GC53" i="46"/>
  <c r="FW108" i="46"/>
  <c r="FW62" i="46"/>
  <c r="FW50" i="46"/>
  <c r="HK90" i="46"/>
  <c r="HK101" i="46"/>
  <c r="GZ105" i="46"/>
  <c r="GC85" i="46"/>
  <c r="GC93" i="46"/>
  <c r="FT61" i="46"/>
  <c r="GZ61" i="46"/>
  <c r="GZ99" i="46"/>
  <c r="GW105" i="46"/>
  <c r="FT69" i="46"/>
  <c r="GZ110" i="46"/>
  <c r="FW106" i="46"/>
  <c r="FW66" i="46"/>
  <c r="FW59" i="46"/>
  <c r="FX79" i="46"/>
  <c r="FW36" i="46"/>
  <c r="GB107" i="46"/>
  <c r="IA107" i="46"/>
  <c r="GD80" i="46"/>
  <c r="GJ74" i="46"/>
  <c r="FT103" i="46"/>
  <c r="FT64" i="46"/>
  <c r="GJ76" i="46"/>
  <c r="FT34" i="46"/>
  <c r="HH108" i="46"/>
  <c r="FR87" i="46"/>
  <c r="FT26" i="46"/>
  <c r="FT38" i="46"/>
  <c r="FT75" i="46"/>
  <c r="FT41" i="46"/>
  <c r="GF45" i="46"/>
  <c r="FT93" i="46"/>
  <c r="FT58" i="46"/>
  <c r="FR88" i="46"/>
  <c r="FT76" i="46"/>
  <c r="FT78" i="46"/>
  <c r="FT105" i="46"/>
  <c r="GD37" i="46"/>
  <c r="FT97" i="46"/>
  <c r="GJ73" i="46"/>
  <c r="GF109" i="46"/>
  <c r="FT54" i="46"/>
  <c r="FT71" i="46"/>
  <c r="FT55" i="46"/>
  <c r="FT24" i="46"/>
  <c r="IU104" i="46"/>
  <c r="GO102" i="46"/>
  <c r="FY94" i="46"/>
  <c r="IH99" i="46"/>
  <c r="IH104" i="46"/>
  <c r="GC48" i="46"/>
  <c r="GO54" i="46"/>
  <c r="IJ102" i="46"/>
  <c r="GW71" i="46"/>
  <c r="GW73" i="46"/>
  <c r="GW62" i="46"/>
  <c r="GW55" i="46"/>
  <c r="GZ85" i="46"/>
  <c r="GC95" i="46"/>
  <c r="GO74" i="46"/>
  <c r="GZ86" i="46"/>
  <c r="GC92" i="46"/>
  <c r="GZ66" i="46"/>
  <c r="GO60" i="46"/>
  <c r="GN51" i="46"/>
  <c r="GC106" i="46"/>
  <c r="FY83" i="46"/>
  <c r="FW109" i="46"/>
  <c r="FW90" i="46"/>
  <c r="FW101" i="46"/>
  <c r="FW87" i="46"/>
  <c r="FW60" i="46"/>
  <c r="HK100" i="46"/>
  <c r="GC49" i="46"/>
  <c r="HK89" i="46"/>
  <c r="HK87" i="46"/>
  <c r="IJ104" i="46"/>
  <c r="GC65" i="46"/>
  <c r="GZ84" i="46"/>
  <c r="GC88" i="46"/>
  <c r="GZ77" i="46"/>
  <c r="GZ78" i="46"/>
  <c r="GZ87" i="46"/>
  <c r="GZ89" i="46"/>
  <c r="GC58" i="46"/>
  <c r="GC89" i="46"/>
  <c r="GC99" i="46"/>
  <c r="HF101" i="46"/>
  <c r="GZ64" i="46"/>
  <c r="GW107" i="46"/>
  <c r="GZ91" i="46"/>
  <c r="GZ74" i="46"/>
  <c r="GZ83" i="46"/>
  <c r="GZ82" i="46"/>
  <c r="GZ57" i="46"/>
  <c r="GW68" i="46"/>
  <c r="FW33" i="46"/>
  <c r="FW65" i="46"/>
  <c r="FW97" i="46"/>
  <c r="FW75" i="46"/>
  <c r="GN92" i="46"/>
  <c r="GO78" i="46"/>
  <c r="FY47" i="46"/>
  <c r="HZ97" i="46"/>
  <c r="HG103" i="46"/>
  <c r="IH108" i="46"/>
  <c r="GW90" i="46"/>
  <c r="GW109" i="46"/>
  <c r="GW61" i="46"/>
  <c r="GW110" i="46"/>
  <c r="GZ106" i="46"/>
  <c r="IJ93" i="46"/>
  <c r="GZ95" i="46"/>
  <c r="GC76" i="46"/>
  <c r="GZ59" i="46"/>
  <c r="GO50" i="46"/>
  <c r="GC36" i="46"/>
  <c r="FY71" i="46"/>
  <c r="FW71" i="46"/>
  <c r="FW73" i="46"/>
  <c r="FW38" i="46"/>
  <c r="FW44" i="46"/>
  <c r="FW55" i="46"/>
  <c r="GW81" i="46"/>
  <c r="HK71" i="46"/>
  <c r="HK73" i="46"/>
  <c r="HK78" i="46"/>
  <c r="GZ70" i="46"/>
  <c r="GC86" i="46"/>
  <c r="GC98" i="46"/>
  <c r="GZ56" i="46"/>
  <c r="GZ97" i="46"/>
  <c r="GZ108" i="46"/>
  <c r="GZ109" i="46"/>
  <c r="GZ60" i="46"/>
  <c r="GZ73" i="46"/>
  <c r="GC81" i="46"/>
  <c r="GC62" i="46"/>
  <c r="HF90" i="46"/>
  <c r="GZ103" i="46"/>
  <c r="GZ79" i="46"/>
  <c r="GW54" i="46"/>
  <c r="GZ100" i="46"/>
  <c r="GZ67" i="46"/>
  <c r="HF81" i="46"/>
  <c r="IH103" i="46"/>
  <c r="HF67" i="46"/>
  <c r="FW45" i="46"/>
  <c r="FX28" i="46"/>
  <c r="FX82" i="46"/>
  <c r="GI97" i="46"/>
  <c r="II93" i="46"/>
  <c r="GR108" i="46"/>
  <c r="GI96" i="46"/>
  <c r="II107" i="46"/>
  <c r="GA61" i="46"/>
  <c r="HL71" i="46"/>
  <c r="FT25" i="46"/>
  <c r="FT47" i="46"/>
  <c r="FT28" i="46"/>
  <c r="GJ56" i="46"/>
  <c r="GH43" i="46"/>
  <c r="GR98" i="46"/>
  <c r="GT78" i="46"/>
  <c r="GI94" i="46"/>
  <c r="HL110" i="46"/>
  <c r="HL81" i="46"/>
  <c r="GI39" i="46"/>
  <c r="HL98" i="46"/>
  <c r="GT55" i="46"/>
  <c r="GR105" i="46"/>
  <c r="GA84" i="46"/>
  <c r="GA44" i="46"/>
  <c r="GA43" i="46"/>
  <c r="GI65" i="46"/>
  <c r="GI67" i="46"/>
  <c r="II108" i="46"/>
  <c r="HL87" i="46"/>
  <c r="GR74" i="46"/>
  <c r="GR104" i="46"/>
  <c r="ID109" i="46"/>
  <c r="GR65" i="46"/>
  <c r="GR67" i="46"/>
  <c r="HE94" i="46"/>
  <c r="HU96" i="46"/>
  <c r="FT107" i="46"/>
  <c r="GA76" i="46"/>
  <c r="GA104" i="46"/>
  <c r="GA56" i="46"/>
  <c r="GB104" i="46"/>
  <c r="GI41" i="46"/>
  <c r="II104" i="46"/>
  <c r="HU92" i="46"/>
  <c r="ID100" i="46"/>
  <c r="HU106" i="46"/>
  <c r="FR23" i="46"/>
  <c r="FR90" i="46"/>
  <c r="HL78" i="46"/>
  <c r="FT33" i="46"/>
  <c r="ID95" i="46"/>
  <c r="FT30" i="46"/>
  <c r="FT29" i="46"/>
  <c r="ID88" i="46"/>
  <c r="GR61" i="46"/>
  <c r="GD109" i="46"/>
  <c r="FT101" i="46"/>
  <c r="FT44" i="46"/>
  <c r="ID87" i="46"/>
  <c r="FT95" i="46"/>
  <c r="GR106" i="46"/>
  <c r="FT100" i="46"/>
  <c r="GR53" i="46"/>
  <c r="GT101" i="46"/>
  <c r="HL80" i="46"/>
  <c r="GR49" i="46"/>
  <c r="ID102" i="46"/>
  <c r="ID105" i="46"/>
  <c r="GA41" i="46"/>
  <c r="GA42" i="46"/>
  <c r="GA106" i="46"/>
  <c r="GB44" i="46"/>
  <c r="FT63" i="46"/>
  <c r="GJ67" i="46"/>
  <c r="GI74" i="46"/>
  <c r="GJ46" i="46"/>
  <c r="FY80" i="46"/>
  <c r="HY87" i="46"/>
  <c r="GF104" i="46"/>
  <c r="FR44" i="46"/>
  <c r="GR69" i="46"/>
  <c r="HL90" i="46"/>
  <c r="HL89" i="46"/>
  <c r="FT32" i="46"/>
  <c r="II98" i="46"/>
  <c r="GR55" i="46"/>
  <c r="GJ72" i="46"/>
  <c r="IB92" i="46"/>
  <c r="GD57" i="46"/>
  <c r="FT109" i="46"/>
  <c r="FT99" i="46"/>
  <c r="FT73" i="46"/>
  <c r="GR100" i="46"/>
  <c r="GR94" i="46"/>
  <c r="FT85" i="46"/>
  <c r="GR88" i="46"/>
  <c r="GR52" i="46"/>
  <c r="FT57" i="46"/>
  <c r="GR103" i="46"/>
  <c r="GR97" i="46"/>
  <c r="GB72" i="46"/>
  <c r="IN98" i="46"/>
  <c r="IO106" i="46"/>
  <c r="IO109" i="46"/>
  <c r="FP27" i="46"/>
  <c r="FP95" i="46"/>
  <c r="FP106" i="46"/>
  <c r="FP20" i="46"/>
  <c r="FO20" i="46" s="1"/>
  <c r="FP55" i="46"/>
  <c r="FP73" i="46"/>
  <c r="FP33" i="46"/>
  <c r="FP78" i="46"/>
  <c r="FP105" i="46"/>
  <c r="FP59" i="46"/>
  <c r="FP39" i="46"/>
  <c r="FP26" i="46"/>
  <c r="FP28" i="46"/>
  <c r="FP68" i="46"/>
  <c r="FP41" i="46"/>
  <c r="FP49" i="46"/>
  <c r="FP94" i="46"/>
  <c r="FP52" i="46"/>
  <c r="FP71" i="46"/>
  <c r="FP24" i="46"/>
  <c r="FP36" i="46"/>
  <c r="FP90" i="46"/>
  <c r="FP30" i="46"/>
  <c r="FP91" i="46"/>
  <c r="FP75" i="46"/>
  <c r="FP99" i="46"/>
  <c r="FP25" i="46"/>
  <c r="FP76" i="46"/>
  <c r="FP66" i="46"/>
  <c r="FP46" i="46"/>
  <c r="FP40" i="46"/>
  <c r="FP64" i="46"/>
  <c r="FP77" i="46"/>
  <c r="FP48" i="46"/>
  <c r="FP100" i="46"/>
  <c r="FP86" i="46"/>
  <c r="HA81" i="46"/>
  <c r="GO49" i="46"/>
  <c r="HA75" i="46"/>
  <c r="GO52" i="46"/>
  <c r="FY52" i="46"/>
  <c r="GO71" i="46"/>
  <c r="GO46" i="46"/>
  <c r="GO109" i="46"/>
  <c r="HA102" i="46"/>
  <c r="FY67" i="46"/>
  <c r="HA88" i="46"/>
  <c r="FY62" i="46"/>
  <c r="FY88" i="46"/>
  <c r="FY105" i="46"/>
  <c r="FY89" i="46"/>
  <c r="FY41" i="46"/>
  <c r="FY104" i="46"/>
  <c r="GO66" i="46"/>
  <c r="GO106" i="46"/>
  <c r="GO82" i="46"/>
  <c r="IQ103" i="46"/>
  <c r="GH100" i="46"/>
  <c r="FP84" i="46"/>
  <c r="FP93" i="46"/>
  <c r="GM56" i="46"/>
  <c r="GM93" i="46"/>
  <c r="GM72" i="46"/>
  <c r="HG80" i="46"/>
  <c r="HG99" i="46"/>
  <c r="HG98" i="46"/>
  <c r="HG67" i="46"/>
  <c r="HG69" i="46"/>
  <c r="HG86" i="46"/>
  <c r="HG89" i="46"/>
  <c r="IQ109" i="46"/>
  <c r="IQ107" i="46"/>
  <c r="IQ102" i="46"/>
  <c r="IQ110" i="46"/>
  <c r="GN53" i="46"/>
  <c r="GN75" i="46"/>
  <c r="GN84" i="46"/>
  <c r="GN97" i="46"/>
  <c r="GN62" i="46"/>
  <c r="GN67" i="46"/>
  <c r="GN52" i="46"/>
  <c r="GN72" i="46"/>
  <c r="GN48" i="46"/>
  <c r="GN108" i="46"/>
  <c r="HA57" i="46"/>
  <c r="HA106" i="46"/>
  <c r="HA64" i="46"/>
  <c r="HA73" i="46"/>
  <c r="HA63" i="46"/>
  <c r="FY82" i="46"/>
  <c r="FY85" i="46"/>
  <c r="FY35" i="46"/>
  <c r="FY40" i="46"/>
  <c r="FY30" i="46"/>
  <c r="FY29" i="46"/>
  <c r="FY93" i="46"/>
  <c r="FY108" i="46"/>
  <c r="FY70" i="46"/>
  <c r="FY43" i="46"/>
  <c r="FY91" i="46"/>
  <c r="FY92" i="46"/>
  <c r="FY42" i="46"/>
  <c r="FY44" i="46"/>
  <c r="FY76" i="46"/>
  <c r="FY53" i="46"/>
  <c r="FY84" i="46"/>
  <c r="FY95" i="46"/>
  <c r="FY69" i="46"/>
  <c r="FY75" i="46"/>
  <c r="FY72" i="46"/>
  <c r="FY110" i="46"/>
  <c r="FY56" i="46"/>
  <c r="FY65" i="46"/>
  <c r="FY60" i="46"/>
  <c r="FY38" i="46"/>
  <c r="FY54" i="46"/>
  <c r="FY98" i="46"/>
  <c r="FY32" i="46"/>
  <c r="FY39" i="46"/>
  <c r="FY90" i="46"/>
  <c r="FY46" i="46"/>
  <c r="FY34" i="46"/>
  <c r="FY37" i="46"/>
  <c r="FY96" i="46"/>
  <c r="FY86" i="46"/>
  <c r="FY79" i="46"/>
  <c r="FY77" i="46"/>
  <c r="FY97" i="46"/>
  <c r="FY58" i="46"/>
  <c r="FY102" i="46"/>
  <c r="FY49" i="46"/>
  <c r="FY103" i="46"/>
  <c r="FY87" i="46"/>
  <c r="FY51" i="46"/>
  <c r="FY73" i="46"/>
  <c r="FY50" i="46"/>
  <c r="FY31" i="46"/>
  <c r="FY45" i="46"/>
  <c r="FY63" i="46"/>
  <c r="FY81" i="46"/>
  <c r="FY64" i="46"/>
  <c r="FY66" i="46"/>
  <c r="IU109" i="46"/>
  <c r="HG100" i="46"/>
  <c r="GN70" i="46"/>
  <c r="GO107" i="46"/>
  <c r="GO68" i="46"/>
  <c r="GO56" i="46"/>
  <c r="GN88" i="46"/>
  <c r="GO61" i="46"/>
  <c r="GO87" i="46"/>
  <c r="GO73" i="46"/>
  <c r="FY36" i="46"/>
  <c r="HA70" i="46"/>
  <c r="FY33" i="46"/>
  <c r="FY55" i="46"/>
  <c r="FY101" i="46"/>
  <c r="FY107" i="46"/>
  <c r="FY57" i="46"/>
  <c r="FY106" i="46"/>
  <c r="GO88" i="46"/>
  <c r="GO47" i="46"/>
  <c r="GN106" i="46"/>
  <c r="HA61" i="46"/>
  <c r="GO53" i="46"/>
  <c r="FP98" i="46"/>
  <c r="FP53" i="46"/>
  <c r="FP54" i="46"/>
  <c r="GP79" i="46"/>
  <c r="GP51" i="46"/>
  <c r="GP92" i="46"/>
  <c r="GP85" i="46"/>
  <c r="GP103" i="46"/>
  <c r="GP105" i="46"/>
  <c r="GP66" i="46"/>
  <c r="GP104" i="46"/>
  <c r="GP63" i="46"/>
  <c r="GP106" i="46"/>
  <c r="GP88" i="46"/>
  <c r="GP69" i="46"/>
  <c r="GP61" i="46"/>
  <c r="GH71" i="46"/>
  <c r="GH95" i="46"/>
  <c r="GH52" i="46"/>
  <c r="GH41" i="46"/>
  <c r="GH63" i="46"/>
  <c r="GH45" i="46"/>
  <c r="GH109" i="46"/>
  <c r="GH60" i="46"/>
  <c r="HZ100" i="46"/>
  <c r="HZ96" i="46"/>
  <c r="HZ107" i="46"/>
  <c r="HZ89" i="46"/>
  <c r="HZ94" i="46"/>
  <c r="HZ86" i="46"/>
  <c r="HZ99" i="46"/>
  <c r="HZ98" i="46"/>
  <c r="HZ90" i="46"/>
  <c r="GO69" i="46"/>
  <c r="GO103" i="46"/>
  <c r="GO95" i="46"/>
  <c r="GO91" i="46"/>
  <c r="GO94" i="46"/>
  <c r="GO77" i="46"/>
  <c r="GO51" i="46"/>
  <c r="GO59" i="46"/>
  <c r="GO63" i="46"/>
  <c r="GO76" i="46"/>
  <c r="GO93" i="46"/>
  <c r="GO105" i="46"/>
  <c r="GO64" i="46"/>
  <c r="GO57" i="46"/>
  <c r="GO45" i="46"/>
  <c r="GO96" i="46"/>
  <c r="GO70" i="46"/>
  <c r="GO84" i="46"/>
  <c r="GO83" i="46"/>
  <c r="GO89" i="46"/>
  <c r="GO101" i="46"/>
  <c r="GO104" i="46"/>
  <c r="GO99" i="46"/>
  <c r="GO67" i="46"/>
  <c r="GO86" i="46"/>
  <c r="GO80" i="46"/>
  <c r="GO58" i="46"/>
  <c r="GO97" i="46"/>
  <c r="GO72" i="46"/>
  <c r="GO110" i="46"/>
  <c r="GO81" i="46"/>
  <c r="GO79" i="46"/>
  <c r="GO98" i="46"/>
  <c r="GO48" i="46"/>
  <c r="GO85" i="46"/>
  <c r="IO104" i="46"/>
  <c r="HA110" i="46"/>
  <c r="FY48" i="46"/>
  <c r="GO65" i="46"/>
  <c r="GO75" i="46"/>
  <c r="GO108" i="46"/>
  <c r="GO90" i="46"/>
  <c r="GO55" i="46"/>
  <c r="GO62" i="46"/>
  <c r="HA97" i="46"/>
  <c r="FY59" i="46"/>
  <c r="FY68" i="46"/>
  <c r="FY61" i="46"/>
  <c r="FY109" i="46"/>
  <c r="FY74" i="46"/>
  <c r="FY78" i="46"/>
  <c r="HG108" i="46"/>
  <c r="HZ93" i="46"/>
  <c r="FP81" i="46"/>
  <c r="FP45" i="46"/>
  <c r="FP72" i="46"/>
  <c r="FP109" i="46"/>
  <c r="HF106" i="46"/>
  <c r="HF66" i="46"/>
  <c r="HO76" i="46"/>
  <c r="FX91" i="46"/>
  <c r="HE67" i="46"/>
  <c r="HL82" i="46"/>
  <c r="HC102" i="46"/>
  <c r="IN103" i="46"/>
  <c r="CR23" i="38"/>
  <c r="BW23" i="41"/>
  <c r="BW29" i="41"/>
  <c r="CR29" i="38"/>
  <c r="GD86" i="46"/>
  <c r="GB83" i="46"/>
  <c r="GB38" i="46"/>
  <c r="GJ82" i="46"/>
  <c r="GI73" i="46"/>
  <c r="GI91" i="46"/>
  <c r="GF46" i="46"/>
  <c r="FR96" i="46"/>
  <c r="FR53" i="46"/>
  <c r="FR43" i="46"/>
  <c r="FR61" i="46"/>
  <c r="GR48" i="46"/>
  <c r="GR91" i="46"/>
  <c r="GR109" i="46"/>
  <c r="GR89" i="46"/>
  <c r="GR72" i="46"/>
  <c r="GR63" i="46"/>
  <c r="GJ85" i="46"/>
  <c r="GJ93" i="46"/>
  <c r="GR82" i="46"/>
  <c r="GR57" i="46"/>
  <c r="HY100" i="46"/>
  <c r="GB52" i="46"/>
  <c r="CR25" i="38"/>
  <c r="BW25" i="41"/>
  <c r="IO108" i="46"/>
  <c r="GB58" i="46"/>
  <c r="GF80" i="46"/>
  <c r="GB81" i="46"/>
  <c r="FT49" i="46"/>
  <c r="GR85" i="46"/>
  <c r="IW106" i="46"/>
  <c r="HA86" i="46"/>
  <c r="FT65" i="46"/>
  <c r="GN98" i="46"/>
  <c r="GN56" i="46"/>
  <c r="GN83" i="46"/>
  <c r="GB71" i="46"/>
  <c r="GB60" i="46"/>
  <c r="GB99" i="46"/>
  <c r="GJ75" i="46"/>
  <c r="FT66" i="46"/>
  <c r="FT77" i="46"/>
  <c r="IA101" i="46"/>
  <c r="GI53" i="46"/>
  <c r="GI105" i="46"/>
  <c r="GI55" i="46"/>
  <c r="GI99" i="46"/>
  <c r="GI50" i="46"/>
  <c r="GJ109" i="46"/>
  <c r="GJ43" i="46"/>
  <c r="IB87" i="46"/>
  <c r="HY108" i="46"/>
  <c r="HH90" i="46"/>
  <c r="HZ87" i="46"/>
  <c r="HZ104" i="46"/>
  <c r="GF44" i="46"/>
  <c r="FR101" i="46"/>
  <c r="FR106" i="46"/>
  <c r="FR108" i="46"/>
  <c r="FR85" i="46"/>
  <c r="FR49" i="46"/>
  <c r="FR65" i="46"/>
  <c r="FT48" i="46"/>
  <c r="HG70" i="46"/>
  <c r="FT74" i="46"/>
  <c r="GR68" i="46"/>
  <c r="GR56" i="46"/>
  <c r="HG71" i="46"/>
  <c r="HG109" i="46"/>
  <c r="FT94" i="46"/>
  <c r="GR78" i="46"/>
  <c r="GR90" i="46"/>
  <c r="GR50" i="46"/>
  <c r="GR60" i="46"/>
  <c r="FT92" i="46"/>
  <c r="GI52" i="46"/>
  <c r="FT53" i="46"/>
  <c r="GD60" i="46"/>
  <c r="GD73" i="46"/>
  <c r="FT90" i="46"/>
  <c r="FT87" i="46"/>
  <c r="FT89" i="46"/>
  <c r="FT50" i="46"/>
  <c r="FT104" i="46"/>
  <c r="GK74" i="46"/>
  <c r="GN46" i="46"/>
  <c r="HA105" i="46"/>
  <c r="HA60" i="46"/>
  <c r="GP101" i="46"/>
  <c r="GR58" i="46"/>
  <c r="FT86" i="46"/>
  <c r="HG107" i="46"/>
  <c r="GR76" i="46"/>
  <c r="GR95" i="46"/>
  <c r="FT72" i="46"/>
  <c r="GN63" i="46"/>
  <c r="GR66" i="46"/>
  <c r="GD54" i="46"/>
  <c r="FT27" i="46"/>
  <c r="FT102" i="46"/>
  <c r="FT70" i="46"/>
  <c r="HG94" i="46"/>
  <c r="FT96" i="46"/>
  <c r="FT59" i="46"/>
  <c r="GR64" i="46"/>
  <c r="GN69" i="46"/>
  <c r="GP54" i="46"/>
  <c r="HZ83" i="46"/>
  <c r="HZ91" i="46"/>
  <c r="HZ95" i="46"/>
  <c r="GP83" i="46"/>
  <c r="HZ92" i="46"/>
  <c r="HY82" i="46"/>
  <c r="GB39" i="46"/>
  <c r="GR51" i="46"/>
  <c r="HZ110" i="46"/>
  <c r="GB57" i="46"/>
  <c r="GB82" i="46"/>
  <c r="HG72" i="46"/>
  <c r="IQ105" i="46"/>
  <c r="IQ99" i="46"/>
  <c r="FP65" i="46"/>
  <c r="FP69" i="46"/>
  <c r="FP80" i="46"/>
  <c r="GH89" i="46"/>
  <c r="HZ84" i="46"/>
  <c r="GM66" i="46"/>
  <c r="GM102" i="46"/>
  <c r="GH88" i="46"/>
  <c r="HH97" i="46"/>
  <c r="GH49" i="46"/>
  <c r="GH81" i="46"/>
  <c r="GH76" i="46"/>
  <c r="GH57" i="46"/>
  <c r="GP67" i="46"/>
  <c r="GH84" i="46"/>
  <c r="IG94" i="46"/>
  <c r="GM109" i="46"/>
  <c r="FP85" i="46"/>
  <c r="FP88" i="46"/>
  <c r="FP101" i="46"/>
  <c r="FP62" i="46"/>
  <c r="FP103" i="46"/>
  <c r="FP35" i="46"/>
  <c r="FP74" i="46"/>
  <c r="FP92" i="46"/>
  <c r="FP50" i="46"/>
  <c r="FP51" i="46"/>
  <c r="FP63" i="46"/>
  <c r="FP60" i="46"/>
  <c r="FP56" i="46"/>
  <c r="FP31" i="46"/>
  <c r="FP97" i="46"/>
  <c r="FP57" i="46"/>
  <c r="FP37" i="46"/>
  <c r="FP70" i="46"/>
  <c r="FP108" i="46"/>
  <c r="FP107" i="46"/>
  <c r="FT36" i="46"/>
  <c r="BW26" i="41"/>
  <c r="CR26" i="38"/>
  <c r="CR34" i="38"/>
  <c r="CR31" i="38"/>
  <c r="BW31" i="41"/>
  <c r="CR27" i="38"/>
  <c r="BW27" i="41"/>
  <c r="GJ54" i="46"/>
  <c r="GD74" i="46"/>
  <c r="GB55" i="46"/>
  <c r="GD84" i="46"/>
  <c r="GD88" i="46"/>
  <c r="GJ57" i="46"/>
  <c r="IA84" i="46"/>
  <c r="GI104" i="46"/>
  <c r="GI107" i="46"/>
  <c r="GI68" i="46"/>
  <c r="GJ99" i="46"/>
  <c r="HR102" i="46"/>
  <c r="HH78" i="46"/>
  <c r="GF89" i="46"/>
  <c r="FR68" i="46"/>
  <c r="FR99" i="46"/>
  <c r="GR102" i="46"/>
  <c r="GR107" i="46"/>
  <c r="GR73" i="46"/>
  <c r="GR99" i="46"/>
  <c r="GD78" i="46"/>
  <c r="GR86" i="46"/>
  <c r="GR80" i="46"/>
  <c r="GR84" i="46"/>
  <c r="GR96" i="46"/>
  <c r="CR30" i="38"/>
  <c r="BW28" i="41"/>
  <c r="CR28" i="38"/>
  <c r="IO101" i="46"/>
  <c r="GD100" i="46"/>
  <c r="FT45" i="46"/>
  <c r="GR81" i="46"/>
  <c r="FT35" i="46"/>
  <c r="GR110" i="46"/>
  <c r="HG110" i="46"/>
  <c r="HG102" i="46"/>
  <c r="GB85" i="46"/>
  <c r="FT40" i="46"/>
  <c r="HA91" i="46"/>
  <c r="GD106" i="46"/>
  <c r="GB93" i="46"/>
  <c r="GJ86" i="46"/>
  <c r="GB65" i="46"/>
  <c r="FT98" i="46"/>
  <c r="FT56" i="46"/>
  <c r="FT83" i="46"/>
  <c r="GB87" i="46"/>
  <c r="GB62" i="46"/>
  <c r="GB101" i="46"/>
  <c r="GN94" i="46"/>
  <c r="GN80" i="46"/>
  <c r="GI71" i="46"/>
  <c r="GI90" i="46"/>
  <c r="GI44" i="46"/>
  <c r="GI61" i="46"/>
  <c r="GI110" i="46"/>
  <c r="GJ55" i="46"/>
  <c r="GJ78" i="46"/>
  <c r="IB84" i="46"/>
  <c r="IB99" i="46"/>
  <c r="HY99" i="46"/>
  <c r="HH73" i="46"/>
  <c r="HZ108" i="46"/>
  <c r="HZ109" i="46"/>
  <c r="GF60" i="46"/>
  <c r="GF43" i="46"/>
  <c r="FR56" i="46"/>
  <c r="FR74" i="46"/>
  <c r="FR104" i="46"/>
  <c r="FR91" i="46"/>
  <c r="FR76" i="46"/>
  <c r="FR109" i="46"/>
  <c r="FT81" i="46"/>
  <c r="GR54" i="46"/>
  <c r="GD102" i="46"/>
  <c r="GJ70" i="46"/>
  <c r="GB105" i="46"/>
  <c r="FT91" i="46"/>
  <c r="FT106" i="46"/>
  <c r="HG93" i="46"/>
  <c r="GN95" i="46"/>
  <c r="HA95" i="46"/>
  <c r="GN68" i="46"/>
  <c r="HG78" i="46"/>
  <c r="GR62" i="46"/>
  <c r="GR71" i="46"/>
  <c r="GR101" i="46"/>
  <c r="GR87" i="46"/>
  <c r="FT42" i="46"/>
  <c r="GJ53" i="46"/>
  <c r="GD90" i="46"/>
  <c r="FT108" i="46"/>
  <c r="FT46" i="46"/>
  <c r="FT62" i="46"/>
  <c r="FT43" i="46"/>
  <c r="FT60" i="46"/>
  <c r="GN104" i="46"/>
  <c r="IZ109" i="46"/>
  <c r="GP99" i="46"/>
  <c r="GR75" i="46"/>
  <c r="GR93" i="46"/>
  <c r="GR70" i="46"/>
  <c r="GD81" i="46"/>
  <c r="FT80" i="46"/>
  <c r="FT110" i="46"/>
  <c r="GB40" i="46"/>
  <c r="GR92" i="46"/>
  <c r="FT79" i="46"/>
  <c r="FT39" i="46"/>
  <c r="FT37" i="46"/>
  <c r="HZ102" i="46"/>
  <c r="IB95" i="46"/>
  <c r="GP86" i="46"/>
  <c r="FT52" i="46"/>
  <c r="FT82" i="46"/>
  <c r="FT68" i="46"/>
  <c r="FT31" i="46"/>
  <c r="FT67" i="46"/>
  <c r="GR59" i="46"/>
  <c r="FR48" i="46"/>
  <c r="HZ85" i="46"/>
  <c r="GR79" i="46"/>
  <c r="HZ103" i="46"/>
  <c r="GR77" i="46"/>
  <c r="IQ104" i="46"/>
  <c r="IQ100" i="46"/>
  <c r="IQ108" i="46"/>
  <c r="FP29" i="46"/>
  <c r="FP102" i="46"/>
  <c r="FP58" i="46"/>
  <c r="GH86" i="46"/>
  <c r="GM90" i="46"/>
  <c r="IQ101" i="46"/>
  <c r="HZ106" i="46"/>
  <c r="HZ88" i="46"/>
  <c r="GH53" i="46"/>
  <c r="HZ82" i="46"/>
  <c r="HZ105" i="46"/>
  <c r="FP32" i="46"/>
  <c r="FP22" i="46"/>
  <c r="FP89" i="46"/>
  <c r="FP42" i="46"/>
  <c r="FP82" i="46"/>
  <c r="FP110" i="46"/>
  <c r="FP34" i="46"/>
  <c r="FP61" i="46"/>
  <c r="FP43" i="46"/>
  <c r="FP21" i="46"/>
  <c r="FP79" i="46"/>
  <c r="FP38" i="46"/>
  <c r="FP83" i="46"/>
  <c r="FP23" i="46"/>
  <c r="FP67" i="46"/>
  <c r="FP104" i="46"/>
  <c r="FP47" i="46"/>
  <c r="FP44" i="46"/>
  <c r="CR33" i="38"/>
  <c r="BW24" i="41"/>
  <c r="CR24" i="38"/>
  <c r="BW22" i="41"/>
  <c r="CR22" i="38"/>
  <c r="HY91" i="46"/>
  <c r="GB35" i="46"/>
  <c r="GI70" i="46"/>
  <c r="GJ91" i="46"/>
  <c r="GD76" i="46"/>
  <c r="GJ98" i="46"/>
  <c r="GB90" i="46"/>
  <c r="GB61" i="46"/>
  <c r="GB50" i="46"/>
  <c r="GB73" i="46"/>
  <c r="GB46" i="46"/>
  <c r="GJ88" i="46"/>
  <c r="GJ94" i="46"/>
  <c r="GD77" i="46"/>
  <c r="HR75" i="46"/>
  <c r="GD42" i="46"/>
  <c r="IA102" i="46"/>
  <c r="GI78" i="46"/>
  <c r="GI81" i="46"/>
  <c r="GI62" i="46"/>
  <c r="GI88" i="46"/>
  <c r="GI86" i="46"/>
  <c r="GI93" i="46"/>
  <c r="GI51" i="46"/>
  <c r="GI102" i="46"/>
  <c r="GI108" i="46"/>
  <c r="GI101" i="46"/>
  <c r="GJ108" i="46"/>
  <c r="GJ104" i="46"/>
  <c r="GJ60" i="46"/>
  <c r="GJ89" i="46"/>
  <c r="IB88" i="46"/>
  <c r="IB96" i="46"/>
  <c r="IB109" i="46"/>
  <c r="IB101" i="46"/>
  <c r="HY101" i="46"/>
  <c r="HY104" i="46"/>
  <c r="HH71" i="46"/>
  <c r="HH101" i="46"/>
  <c r="GF108" i="46"/>
  <c r="GF90" i="46"/>
  <c r="GF73" i="46"/>
  <c r="GF55" i="46"/>
  <c r="FR36" i="46"/>
  <c r="FR42" i="46"/>
  <c r="FR22" i="46"/>
  <c r="FR50" i="46"/>
  <c r="FR84" i="46"/>
  <c r="FR30" i="46"/>
  <c r="FR24" i="46"/>
  <c r="FR67" i="46"/>
  <c r="FR62" i="46"/>
  <c r="FR71" i="46"/>
  <c r="FR82" i="46"/>
  <c r="FR64" i="46"/>
  <c r="GI45" i="46"/>
  <c r="GB95" i="46"/>
  <c r="GD52" i="46"/>
  <c r="GJ97" i="46"/>
  <c r="GD101" i="46"/>
  <c r="GD43" i="46"/>
  <c r="GJ51" i="46"/>
  <c r="GJ102" i="46"/>
  <c r="GB86" i="46"/>
  <c r="GB80" i="46"/>
  <c r="GJ64" i="46"/>
  <c r="GF36" i="46"/>
  <c r="HY94" i="46"/>
  <c r="IG107" i="46"/>
  <c r="HY85" i="46"/>
  <c r="HY97" i="46"/>
  <c r="HY86" i="46"/>
  <c r="HY103" i="46"/>
  <c r="HY106" i="46"/>
  <c r="HY81" i="46"/>
  <c r="HY98" i="46"/>
  <c r="HY110" i="46"/>
  <c r="HY96" i="46"/>
  <c r="HY88" i="46"/>
  <c r="HY93" i="46"/>
  <c r="HY105" i="46"/>
  <c r="HY83" i="46"/>
  <c r="HY95" i="46"/>
  <c r="HY84" i="46"/>
  <c r="HY92" i="46"/>
  <c r="HY102" i="46"/>
  <c r="HY90" i="46"/>
  <c r="HY109" i="46"/>
  <c r="GK104" i="46"/>
  <c r="GK106" i="46"/>
  <c r="GK73" i="46"/>
  <c r="GK98" i="46"/>
  <c r="GK71" i="46"/>
  <c r="GB66" i="46"/>
  <c r="GB94" i="46"/>
  <c r="GB59" i="46"/>
  <c r="GB42" i="46"/>
  <c r="GB75" i="46"/>
  <c r="GB102" i="46"/>
  <c r="GB76" i="46"/>
  <c r="GB32" i="46"/>
  <c r="GB98" i="46"/>
  <c r="GB91" i="46"/>
  <c r="GB54" i="46"/>
  <c r="GB36" i="46"/>
  <c r="GB64" i="46"/>
  <c r="GB97" i="46"/>
  <c r="GB92" i="46"/>
  <c r="GB47" i="46"/>
  <c r="GB67" i="46"/>
  <c r="GB103" i="46"/>
  <c r="GB37" i="46"/>
  <c r="GB79" i="46"/>
  <c r="GB100" i="46"/>
  <c r="GB33" i="46"/>
  <c r="GB34" i="46"/>
  <c r="GB88" i="46"/>
  <c r="GB77" i="46"/>
  <c r="GB49" i="46"/>
  <c r="GB69" i="46"/>
  <c r="GB96" i="46"/>
  <c r="GB51" i="46"/>
  <c r="GB63" i="46"/>
  <c r="GB70" i="46"/>
  <c r="GB74" i="46"/>
  <c r="GB68" i="46"/>
  <c r="GB106" i="46"/>
  <c r="GB110" i="46"/>
  <c r="FR52" i="46"/>
  <c r="FR54" i="46"/>
  <c r="FR45" i="46"/>
  <c r="FR70" i="46"/>
  <c r="FR94" i="46"/>
  <c r="FR77" i="46"/>
  <c r="FR27" i="46"/>
  <c r="FR80" i="46"/>
  <c r="FR57" i="46"/>
  <c r="FR92" i="46"/>
  <c r="FR110" i="46"/>
  <c r="FR83" i="46"/>
  <c r="FR41" i="46"/>
  <c r="FR37" i="46"/>
  <c r="FR69" i="46"/>
  <c r="FR32" i="46"/>
  <c r="FR89" i="46"/>
  <c r="FR25" i="46"/>
  <c r="FR78" i="46"/>
  <c r="FR107" i="46"/>
  <c r="FR98" i="46"/>
  <c r="FR26" i="46"/>
  <c r="FR33" i="46"/>
  <c r="FR55" i="46"/>
  <c r="FR73" i="46"/>
  <c r="FR47" i="46"/>
  <c r="GF69" i="46"/>
  <c r="GF76" i="46"/>
  <c r="GF93" i="46"/>
  <c r="GF85" i="46"/>
  <c r="GF98" i="46"/>
  <c r="GF63" i="46"/>
  <c r="GF64" i="46"/>
  <c r="GF84" i="46"/>
  <c r="GF81" i="46"/>
  <c r="GF58" i="46"/>
  <c r="GF100" i="46"/>
  <c r="GF82" i="46"/>
  <c r="GF39" i="46"/>
  <c r="GF68" i="46"/>
  <c r="GF66" i="46"/>
  <c r="GF41" i="46"/>
  <c r="GF92" i="46"/>
  <c r="GF70" i="46"/>
  <c r="GF37" i="46"/>
  <c r="GF42" i="46"/>
  <c r="GF75" i="46"/>
  <c r="GF83" i="46"/>
  <c r="GF74" i="46"/>
  <c r="GF105" i="46"/>
  <c r="GF48" i="46"/>
  <c r="GF49" i="46"/>
  <c r="GF97" i="46"/>
  <c r="GF95" i="46"/>
  <c r="GF96" i="46"/>
  <c r="GF106" i="46"/>
  <c r="GF65" i="46"/>
  <c r="GF87" i="46"/>
  <c r="GF62" i="46"/>
  <c r="GF99" i="46"/>
  <c r="GF50" i="46"/>
  <c r="GF78" i="46"/>
  <c r="IB105" i="46"/>
  <c r="IB93" i="46"/>
  <c r="IB85" i="46"/>
  <c r="IB91" i="46"/>
  <c r="IB110" i="46"/>
  <c r="IB86" i="46"/>
  <c r="IB94" i="46"/>
  <c r="IB103" i="46"/>
  <c r="IB89" i="46"/>
  <c r="IB90" i="46"/>
  <c r="IG97" i="46"/>
  <c r="IG104" i="46"/>
  <c r="IG110" i="46"/>
  <c r="IG106" i="46"/>
  <c r="IG89" i="46"/>
  <c r="IG92" i="46"/>
  <c r="IG101" i="46"/>
  <c r="IG105" i="46"/>
  <c r="IG108" i="46"/>
  <c r="HH66" i="46"/>
  <c r="HH98" i="46"/>
  <c r="HH69" i="46"/>
  <c r="HH85" i="46"/>
  <c r="HH95" i="46"/>
  <c r="HH102" i="46"/>
  <c r="HH74" i="46"/>
  <c r="HH77" i="46"/>
  <c r="HH107" i="46"/>
  <c r="HH106" i="46"/>
  <c r="HH70" i="46"/>
  <c r="HH110" i="46"/>
  <c r="HH79" i="46"/>
  <c r="HH88" i="46"/>
  <c r="HH65" i="46"/>
  <c r="HH99" i="46"/>
  <c r="HH87" i="46"/>
  <c r="GJ84" i="46"/>
  <c r="GJ45" i="46"/>
  <c r="GJ106" i="46"/>
  <c r="GJ80" i="46"/>
  <c r="GJ48" i="46"/>
  <c r="GJ81" i="46"/>
  <c r="GJ83" i="46"/>
  <c r="GJ79" i="46"/>
  <c r="GJ49" i="46"/>
  <c r="GJ42" i="46"/>
  <c r="GJ50" i="46"/>
  <c r="GJ61" i="46"/>
  <c r="GJ62" i="46"/>
  <c r="GJ90" i="46"/>
  <c r="GJ110" i="46"/>
  <c r="GD51" i="46"/>
  <c r="GD92" i="46"/>
  <c r="GD107" i="46"/>
  <c r="GD58" i="46"/>
  <c r="GD95" i="46"/>
  <c r="GD103" i="46"/>
  <c r="GD72" i="46"/>
  <c r="GD67" i="46"/>
  <c r="GD41" i="46"/>
  <c r="GD53" i="46"/>
  <c r="GD40" i="46"/>
  <c r="GD85" i="46"/>
  <c r="GD70" i="46"/>
  <c r="GD63" i="46"/>
  <c r="GD94" i="46"/>
  <c r="GD98" i="46"/>
  <c r="GD47" i="46"/>
  <c r="GD64" i="46"/>
  <c r="GD48" i="46"/>
  <c r="GD66" i="46"/>
  <c r="GD65" i="46"/>
  <c r="GD55" i="46"/>
  <c r="GD89" i="46"/>
  <c r="GD104" i="46"/>
  <c r="GD62" i="46"/>
  <c r="GD71" i="46"/>
  <c r="GD97" i="46"/>
  <c r="GD79" i="46"/>
  <c r="GD75" i="46"/>
  <c r="GD69" i="46"/>
  <c r="GD110" i="46"/>
  <c r="GD35" i="46"/>
  <c r="GD91" i="46"/>
  <c r="GD44" i="46"/>
  <c r="GD99" i="46"/>
  <c r="GD50" i="46"/>
  <c r="GD46" i="46"/>
  <c r="GD87" i="46"/>
  <c r="GD39" i="46"/>
  <c r="GD96" i="46"/>
  <c r="GD49" i="46"/>
  <c r="GD45" i="46"/>
  <c r="HI91" i="46"/>
  <c r="HI71" i="46"/>
  <c r="HI96" i="46"/>
  <c r="GI54" i="46"/>
  <c r="GI85" i="46"/>
  <c r="GI63" i="46"/>
  <c r="GI58" i="46"/>
  <c r="GI69" i="46"/>
  <c r="GI80" i="46"/>
  <c r="GI40" i="46"/>
  <c r="GI47" i="46"/>
  <c r="GI92" i="46"/>
  <c r="GI100" i="46"/>
  <c r="GI75" i="46"/>
  <c r="GI46" i="46"/>
  <c r="GI98" i="46"/>
  <c r="GI76" i="46"/>
  <c r="GI57" i="46"/>
  <c r="GI77" i="46"/>
  <c r="GI83" i="46"/>
  <c r="GI56" i="46"/>
  <c r="GI84" i="46"/>
  <c r="GI109" i="46"/>
  <c r="GI49" i="46"/>
  <c r="GI82" i="46"/>
  <c r="GI42" i="46"/>
  <c r="GI66" i="46"/>
  <c r="IB100" i="46"/>
  <c r="GJ58" i="46"/>
  <c r="GB45" i="46"/>
  <c r="IB102" i="46"/>
  <c r="GD105" i="46"/>
  <c r="IB107" i="46"/>
  <c r="IB98" i="46"/>
  <c r="GB108" i="46"/>
  <c r="GB89" i="46"/>
  <c r="GB43" i="46"/>
  <c r="GB109" i="46"/>
  <c r="GB78" i="46"/>
  <c r="GJ77" i="46"/>
  <c r="GI48" i="46"/>
  <c r="GJ59" i="46"/>
  <c r="GJ41" i="46"/>
  <c r="IA87" i="46"/>
  <c r="IA98" i="46"/>
  <c r="GI106" i="46"/>
  <c r="GI72" i="46"/>
  <c r="GI89" i="46"/>
  <c r="GI87" i="46"/>
  <c r="GI43" i="46"/>
  <c r="GI79" i="46"/>
  <c r="GI64" i="46"/>
  <c r="GI60" i="46"/>
  <c r="GI59" i="46"/>
  <c r="GI95" i="46"/>
  <c r="GJ101" i="46"/>
  <c r="GJ44" i="46"/>
  <c r="GJ71" i="46"/>
  <c r="GJ87" i="46"/>
  <c r="IB108" i="46"/>
  <c r="HY89" i="46"/>
  <c r="HH109" i="46"/>
  <c r="HH89" i="46"/>
  <c r="HH104" i="46"/>
  <c r="GF38" i="46"/>
  <c r="GF71" i="46"/>
  <c r="GF61" i="46"/>
  <c r="GF101" i="46"/>
  <c r="FR40" i="46"/>
  <c r="FR34" i="46"/>
  <c r="FR86" i="46"/>
  <c r="FR97" i="46"/>
  <c r="FR29" i="46"/>
  <c r="FR38" i="46"/>
  <c r="FR103" i="46"/>
  <c r="FR60" i="46"/>
  <c r="FR95" i="46"/>
  <c r="FR93" i="46"/>
  <c r="FR46" i="46"/>
  <c r="GB56" i="46"/>
  <c r="GB84" i="46"/>
  <c r="GJ63" i="46"/>
  <c r="GD108" i="46"/>
  <c r="GD61" i="46"/>
  <c r="GD38" i="46"/>
  <c r="GK64" i="46"/>
  <c r="GJ105" i="46"/>
  <c r="GJ40" i="46"/>
  <c r="GD56" i="46"/>
  <c r="GB48" i="46"/>
  <c r="GF86" i="46"/>
  <c r="HH84" i="46"/>
  <c r="FR105" i="46"/>
  <c r="HH94" i="46"/>
  <c r="IB97" i="46"/>
  <c r="HH64" i="46"/>
  <c r="HH82" i="46"/>
  <c r="GB41" i="46"/>
  <c r="IH102" i="46"/>
  <c r="FX105" i="46"/>
  <c r="FX95" i="46"/>
  <c r="FX60" i="46"/>
  <c r="FX83" i="46"/>
  <c r="FX100" i="46"/>
  <c r="FX71" i="46"/>
  <c r="HK105" i="46"/>
  <c r="HK67" i="46"/>
  <c r="HK96" i="46"/>
  <c r="HK88" i="46"/>
  <c r="HK106" i="46"/>
  <c r="HK80" i="46"/>
  <c r="HF63" i="46"/>
  <c r="HF94" i="46"/>
  <c r="HF105" i="46"/>
  <c r="HF100" i="46"/>
  <c r="HF103" i="46"/>
  <c r="HF72" i="46"/>
  <c r="HF88" i="46"/>
  <c r="HF89" i="46"/>
  <c r="HF91" i="46"/>
  <c r="HF95" i="46"/>
  <c r="HF86" i="46"/>
  <c r="HF109" i="46"/>
  <c r="HF108" i="46"/>
  <c r="GW96" i="46"/>
  <c r="GW66" i="46"/>
  <c r="GW59" i="46"/>
  <c r="GW63" i="46"/>
  <c r="GW76" i="46"/>
  <c r="GW94" i="46"/>
  <c r="GW85" i="46"/>
  <c r="GW93" i="46"/>
  <c r="GC107" i="46"/>
  <c r="GC38" i="46"/>
  <c r="GC78" i="46"/>
  <c r="GC71" i="46"/>
  <c r="GC35" i="46"/>
  <c r="GC44" i="46"/>
  <c r="GC43" i="46"/>
  <c r="GC69" i="46"/>
  <c r="GC110" i="46"/>
  <c r="FW52" i="46"/>
  <c r="FW98" i="46"/>
  <c r="FW95" i="46"/>
  <c r="FW70" i="46"/>
  <c r="FW47" i="46"/>
  <c r="FW86" i="46"/>
  <c r="FW107" i="46"/>
  <c r="FW84" i="46"/>
  <c r="FW27" i="46"/>
  <c r="FW85" i="46"/>
  <c r="FW110" i="46"/>
  <c r="GA103" i="46"/>
  <c r="GT107" i="46"/>
  <c r="IJ103" i="46"/>
  <c r="HL92" i="46"/>
  <c r="HE73" i="46"/>
  <c r="HE61" i="46"/>
  <c r="HE69" i="46"/>
  <c r="HE95" i="46"/>
  <c r="HC104" i="46"/>
  <c r="HC95" i="46"/>
  <c r="HC110" i="46"/>
  <c r="HC66" i="46"/>
  <c r="GY95" i="46"/>
  <c r="GY68" i="46"/>
  <c r="GY85" i="46"/>
  <c r="GT108" i="46"/>
  <c r="II110" i="46"/>
  <c r="ID93" i="46"/>
  <c r="IJ95" i="46"/>
  <c r="GA75" i="46"/>
  <c r="GA96" i="46"/>
  <c r="GA107" i="46"/>
  <c r="GA70" i="46"/>
  <c r="II96" i="46"/>
  <c r="II99" i="46"/>
  <c r="IJ100" i="46"/>
  <c r="HU101" i="46"/>
  <c r="HL108" i="46"/>
  <c r="HL101" i="46"/>
  <c r="IJ101" i="46"/>
  <c r="ID86" i="46"/>
  <c r="IJ106" i="46"/>
  <c r="HL74" i="46"/>
  <c r="HL106" i="46"/>
  <c r="HE89" i="46"/>
  <c r="HE83" i="46"/>
  <c r="HC77" i="46"/>
  <c r="HC61" i="46"/>
  <c r="HC62" i="46"/>
  <c r="GY69" i="46"/>
  <c r="FX45" i="46"/>
  <c r="FX38" i="46"/>
  <c r="FX47" i="46"/>
  <c r="FX41" i="46"/>
  <c r="FX44" i="46"/>
  <c r="FX29" i="46"/>
  <c r="FX53" i="46"/>
  <c r="FX46" i="46"/>
  <c r="FX35" i="46"/>
  <c r="FX33" i="46"/>
  <c r="FX106" i="46"/>
  <c r="FX30" i="46"/>
  <c r="FX94" i="46"/>
  <c r="FX101" i="46"/>
  <c r="FX90" i="46"/>
  <c r="FX97" i="46"/>
  <c r="FX109" i="46"/>
  <c r="FX84" i="46"/>
  <c r="FX48" i="46"/>
  <c r="FX103" i="46"/>
  <c r="FX61" i="46"/>
  <c r="FX34" i="46"/>
  <c r="FX78" i="46"/>
  <c r="FX72" i="46"/>
  <c r="FX65" i="46"/>
  <c r="FX81" i="46"/>
  <c r="FX76" i="46"/>
  <c r="FX39" i="46"/>
  <c r="FX54" i="46"/>
  <c r="FX32" i="46"/>
  <c r="FX93" i="46"/>
  <c r="FX86" i="46"/>
  <c r="FX92" i="46"/>
  <c r="FX55" i="46"/>
  <c r="FX108" i="46"/>
  <c r="FX42" i="46"/>
  <c r="FX52" i="46"/>
  <c r="FX73" i="46"/>
  <c r="FX59" i="46"/>
  <c r="FX104" i="46"/>
  <c r="FX98" i="46"/>
  <c r="FX102" i="46"/>
  <c r="FX51" i="46"/>
  <c r="FX99" i="46"/>
  <c r="FX74" i="46"/>
  <c r="FX80" i="46"/>
  <c r="FX85" i="46"/>
  <c r="FX107" i="46"/>
  <c r="FX50" i="46"/>
  <c r="FX64" i="46"/>
  <c r="FX63" i="46"/>
  <c r="FX69" i="46"/>
  <c r="FX37" i="46"/>
  <c r="FX68" i="46"/>
  <c r="FX49" i="46"/>
  <c r="FX96" i="46"/>
  <c r="FX66" i="46"/>
  <c r="FX40" i="46"/>
  <c r="FX56" i="46"/>
  <c r="FX87" i="46"/>
  <c r="FX43" i="46"/>
  <c r="FX110" i="46"/>
  <c r="FX67" i="46"/>
  <c r="FX89" i="46"/>
  <c r="FX58" i="46"/>
  <c r="HK68" i="46"/>
  <c r="HK77" i="46"/>
  <c r="HK75" i="46"/>
  <c r="HK102" i="46"/>
  <c r="HK82" i="46"/>
  <c r="HK74" i="46"/>
  <c r="HK70" i="46"/>
  <c r="HK103" i="46"/>
  <c r="HK79" i="46"/>
  <c r="HK72" i="46"/>
  <c r="HK84" i="46"/>
  <c r="HK93" i="46"/>
  <c r="HK94" i="46"/>
  <c r="HK91" i="46"/>
  <c r="HK97" i="46"/>
  <c r="HK98" i="46"/>
  <c r="HK76" i="46"/>
  <c r="HK69" i="46"/>
  <c r="HF80" i="46"/>
  <c r="HF85" i="46"/>
  <c r="HF69" i="46"/>
  <c r="HF98" i="46"/>
  <c r="HF76" i="46"/>
  <c r="HF102" i="46"/>
  <c r="HF107" i="46"/>
  <c r="HF84" i="46"/>
  <c r="HF74" i="46"/>
  <c r="HF65" i="46"/>
  <c r="HF104" i="46"/>
  <c r="HF73" i="46"/>
  <c r="HF71" i="46"/>
  <c r="HF92" i="46"/>
  <c r="HF93" i="46"/>
  <c r="HF82" i="46"/>
  <c r="HF64" i="46"/>
  <c r="HF68" i="46"/>
  <c r="HF83" i="46"/>
  <c r="HF110" i="46"/>
  <c r="HF99" i="46"/>
  <c r="HF87" i="46"/>
  <c r="HF78" i="46"/>
  <c r="IH110" i="46"/>
  <c r="IH93" i="46"/>
  <c r="IH107" i="46"/>
  <c r="IH105" i="46"/>
  <c r="IH92" i="46"/>
  <c r="IH91" i="46"/>
  <c r="IH96" i="46"/>
  <c r="IH95" i="46"/>
  <c r="IH97" i="46"/>
  <c r="IH106" i="46"/>
  <c r="GW83" i="46"/>
  <c r="GW102" i="46"/>
  <c r="GW58" i="46"/>
  <c r="GW95" i="46"/>
  <c r="GW91" i="46"/>
  <c r="GW74" i="46"/>
  <c r="GW100" i="46"/>
  <c r="GW106" i="46"/>
  <c r="GW70" i="46"/>
  <c r="GW65" i="46"/>
  <c r="GC52" i="46"/>
  <c r="GC42" i="46"/>
  <c r="GC57" i="46"/>
  <c r="GC96" i="46"/>
  <c r="GC66" i="46"/>
  <c r="GC74" i="46"/>
  <c r="GC33" i="46"/>
  <c r="GC55" i="46"/>
  <c r="GC60" i="46"/>
  <c r="GC73" i="46"/>
  <c r="GC104" i="46"/>
  <c r="GC101" i="46"/>
  <c r="GC34" i="46"/>
  <c r="GC54" i="46"/>
  <c r="GC41" i="46"/>
  <c r="GC56" i="46"/>
  <c r="GC83" i="46"/>
  <c r="GC87" i="46"/>
  <c r="GC109" i="46"/>
  <c r="GC61" i="46"/>
  <c r="GC90" i="46"/>
  <c r="GC108" i="46"/>
  <c r="FW58" i="46"/>
  <c r="FW34" i="46"/>
  <c r="FW91" i="46"/>
  <c r="FW48" i="46"/>
  <c r="FW77" i="46"/>
  <c r="FW29" i="46"/>
  <c r="FW37" i="46"/>
  <c r="FW40" i="46"/>
  <c r="FW51" i="46"/>
  <c r="FW67" i="46"/>
  <c r="FW63" i="46"/>
  <c r="FW30" i="46"/>
  <c r="FW28" i="46"/>
  <c r="FW100" i="46"/>
  <c r="FW31" i="46"/>
  <c r="FW105" i="46"/>
  <c r="FW64" i="46"/>
  <c r="FW39" i="46"/>
  <c r="FW56" i="46"/>
  <c r="FW82" i="46"/>
  <c r="FW94" i="46"/>
  <c r="FW83" i="46"/>
  <c r="FW69" i="46"/>
  <c r="FW102" i="46"/>
  <c r="FW81" i="46"/>
  <c r="FW93" i="46"/>
  <c r="FW35" i="46"/>
  <c r="FW41" i="46"/>
  <c r="FW57" i="46"/>
  <c r="FW79" i="46"/>
  <c r="FW74" i="46"/>
  <c r="FW80" i="46"/>
  <c r="FW53" i="46"/>
  <c r="FW72" i="46"/>
  <c r="FW68" i="46"/>
  <c r="FW54" i="46"/>
  <c r="FW103" i="46"/>
  <c r="FW42" i="46"/>
  <c r="FW88" i="46"/>
  <c r="FW32" i="46"/>
  <c r="II92" i="46"/>
  <c r="II97" i="46"/>
  <c r="II105" i="46"/>
  <c r="GY75" i="46"/>
  <c r="GY97" i="46"/>
  <c r="GY55" i="46"/>
  <c r="GY76" i="46"/>
  <c r="GY63" i="46"/>
  <c r="GY60" i="46"/>
  <c r="GY59" i="46"/>
  <c r="GY93" i="46"/>
  <c r="GY80" i="46"/>
  <c r="GY82" i="46"/>
  <c r="GY84" i="46"/>
  <c r="GY104" i="46"/>
  <c r="GY74" i="46"/>
  <c r="GY78" i="46"/>
  <c r="GY61" i="46"/>
  <c r="GY64" i="46"/>
  <c r="GY72" i="46"/>
  <c r="ID98" i="46"/>
  <c r="ID91" i="46"/>
  <c r="ID107" i="46"/>
  <c r="ID94" i="46"/>
  <c r="ID104" i="46"/>
  <c r="ID89" i="46"/>
  <c r="ID101" i="46"/>
  <c r="GA83" i="46"/>
  <c r="GA100" i="46"/>
  <c r="GA33" i="46"/>
  <c r="GA79" i="46"/>
  <c r="GT79" i="46"/>
  <c r="GT110" i="46"/>
  <c r="HO109" i="46"/>
  <c r="HO99" i="46"/>
  <c r="HO83" i="46"/>
  <c r="IN108" i="46"/>
  <c r="IN105" i="46"/>
  <c r="IN107" i="46"/>
  <c r="IN96" i="46"/>
  <c r="IN106" i="46"/>
  <c r="IN102" i="46"/>
  <c r="IN109" i="46"/>
  <c r="IN110" i="46"/>
  <c r="IN97" i="46"/>
  <c r="IN99" i="46"/>
  <c r="IN101" i="46"/>
  <c r="HC80" i="46"/>
  <c r="HC105" i="46"/>
  <c r="HC101" i="46"/>
  <c r="HC78" i="46"/>
  <c r="HC99" i="46"/>
  <c r="HC90" i="46"/>
  <c r="HC72" i="46"/>
  <c r="HC63" i="46"/>
  <c r="HC100" i="46"/>
  <c r="HC96" i="46"/>
  <c r="HC87" i="46"/>
  <c r="HC103" i="46"/>
  <c r="HC97" i="46"/>
  <c r="HC84" i="46"/>
  <c r="HC74" i="46"/>
  <c r="HC65" i="46"/>
  <c r="HC89" i="46"/>
  <c r="HC64" i="46"/>
  <c r="HC109" i="46"/>
  <c r="HC69" i="46"/>
  <c r="HC88" i="46"/>
  <c r="HC94" i="46"/>
  <c r="HC71" i="46"/>
  <c r="HC68" i="46"/>
  <c r="HC70" i="46"/>
  <c r="HC73" i="46"/>
  <c r="HC82" i="46"/>
  <c r="HC98" i="46"/>
  <c r="HC85" i="46"/>
  <c r="HC108" i="46"/>
  <c r="HC106" i="46"/>
  <c r="HC60" i="46"/>
  <c r="HC107" i="46"/>
  <c r="HC92" i="46"/>
  <c r="HC59" i="46"/>
  <c r="HC83" i="46"/>
  <c r="HC75" i="46"/>
  <c r="HC86" i="46"/>
  <c r="HL93" i="46"/>
  <c r="HL103" i="46"/>
  <c r="HL86" i="46"/>
  <c r="HL72" i="46"/>
  <c r="HL96" i="46"/>
  <c r="HL79" i="46"/>
  <c r="HL85" i="46"/>
  <c r="HL68" i="46"/>
  <c r="HL76" i="46"/>
  <c r="HL94" i="46"/>
  <c r="HL83" i="46"/>
  <c r="HL97" i="46"/>
  <c r="HL84" i="46"/>
  <c r="HL100" i="46"/>
  <c r="HL105" i="46"/>
  <c r="HL95" i="46"/>
  <c r="HL88" i="46"/>
  <c r="HL77" i="46"/>
  <c r="HL91" i="46"/>
  <c r="HL69" i="46"/>
  <c r="HE87" i="46"/>
  <c r="HE77" i="46"/>
  <c r="HE72" i="46"/>
  <c r="HE62" i="46"/>
  <c r="HE74" i="46"/>
  <c r="HE97" i="46"/>
  <c r="HE109" i="46"/>
  <c r="HE79" i="46"/>
  <c r="HE92" i="46"/>
  <c r="HE63" i="46"/>
  <c r="HE84" i="46"/>
  <c r="HE99" i="46"/>
  <c r="HE96" i="46"/>
  <c r="HE82" i="46"/>
  <c r="HE65" i="46"/>
  <c r="HE105" i="46"/>
  <c r="HE107" i="46"/>
  <c r="HE103" i="46"/>
  <c r="HE71" i="46"/>
  <c r="HE75" i="46"/>
  <c r="HE86" i="46"/>
  <c r="HE110" i="46"/>
  <c r="HE102" i="46"/>
  <c r="HE108" i="46"/>
  <c r="HE101" i="46"/>
  <c r="HE100" i="46"/>
  <c r="HE81" i="46"/>
  <c r="HE90" i="46"/>
  <c r="HE78" i="46"/>
  <c r="HE93" i="46"/>
  <c r="HE68" i="46"/>
  <c r="HE98" i="46"/>
  <c r="HE106" i="46"/>
  <c r="HE88" i="46"/>
  <c r="HE64" i="46"/>
  <c r="HE91" i="46"/>
  <c r="HE104" i="46"/>
  <c r="HE70" i="46"/>
  <c r="HE80" i="46"/>
  <c r="HE76" i="46"/>
  <c r="IJ110" i="46"/>
  <c r="IJ97" i="46"/>
  <c r="IJ96" i="46"/>
  <c r="IJ94" i="46"/>
  <c r="GT71" i="46"/>
  <c r="ID110" i="46"/>
  <c r="HL102" i="46"/>
  <c r="HL70" i="46"/>
  <c r="GA45" i="46"/>
  <c r="II95" i="46"/>
  <c r="GA38" i="46"/>
  <c r="GA74" i="46"/>
  <c r="GA60" i="46"/>
  <c r="GA55" i="46"/>
  <c r="GA53" i="46"/>
  <c r="II94" i="46"/>
  <c r="ID103" i="46"/>
  <c r="II109" i="46"/>
  <c r="HU86" i="46"/>
  <c r="HL109" i="46"/>
  <c r="HL73" i="46"/>
  <c r="HL104" i="46"/>
  <c r="IJ99" i="46"/>
  <c r="IS103" i="46"/>
  <c r="ID90" i="46"/>
  <c r="ID108" i="46"/>
  <c r="II102" i="46"/>
  <c r="HK85" i="46"/>
  <c r="HK92" i="46"/>
  <c r="HK86" i="46"/>
  <c r="HF96" i="46"/>
  <c r="HK107" i="46"/>
  <c r="FX57" i="46"/>
  <c r="FX77" i="46"/>
  <c r="FX31" i="46"/>
  <c r="FX70" i="46"/>
  <c r="HL107" i="46"/>
  <c r="HE66" i="46"/>
  <c r="HF79" i="46"/>
  <c r="HC91" i="46"/>
  <c r="HC76" i="46"/>
  <c r="FX88" i="46"/>
  <c r="HC79" i="46"/>
  <c r="GY87" i="46"/>
  <c r="GY94" i="46"/>
  <c r="HG81" i="46"/>
  <c r="HG66" i="46"/>
  <c r="HG92" i="46"/>
  <c r="HG96" i="46"/>
  <c r="HG97" i="46"/>
  <c r="HG82" i="46"/>
  <c r="HG63" i="46"/>
  <c r="GT109" i="46"/>
  <c r="GT87" i="46"/>
  <c r="GT73" i="46"/>
  <c r="GA59" i="46"/>
  <c r="IS106" i="46"/>
  <c r="GA77" i="46"/>
  <c r="GA101" i="46"/>
  <c r="GA87" i="46"/>
  <c r="GA54" i="46"/>
  <c r="GA90" i="46"/>
  <c r="GA65" i="46"/>
  <c r="GA57" i="46"/>
  <c r="GA51" i="46"/>
  <c r="GA40" i="46"/>
  <c r="GA88" i="46"/>
  <c r="GA50" i="46"/>
  <c r="HG83" i="46"/>
  <c r="IA83" i="46"/>
  <c r="IA86" i="46"/>
  <c r="IA103" i="46"/>
  <c r="HU108" i="46"/>
  <c r="HU110" i="46"/>
  <c r="HG91" i="46"/>
  <c r="HG74" i="46"/>
  <c r="HG90" i="46"/>
  <c r="HG73" i="46"/>
  <c r="HG101" i="46"/>
  <c r="GK79" i="46"/>
  <c r="GK83" i="46"/>
  <c r="GK55" i="46"/>
  <c r="GK62" i="46"/>
  <c r="IZ108" i="46"/>
  <c r="HG76" i="46"/>
  <c r="HG106" i="46"/>
  <c r="GK70" i="46"/>
  <c r="GT81" i="46"/>
  <c r="HG75" i="46"/>
  <c r="HG64" i="46"/>
  <c r="HG79" i="46"/>
  <c r="HG77" i="46"/>
  <c r="GT95" i="46"/>
  <c r="HO78" i="46"/>
  <c r="II100" i="46"/>
  <c r="II103" i="46"/>
  <c r="II106" i="46"/>
  <c r="GY90" i="46"/>
  <c r="GY98" i="46"/>
  <c r="GY106" i="46"/>
  <c r="GY79" i="46"/>
  <c r="GY62" i="46"/>
  <c r="GY109" i="46"/>
  <c r="GY86" i="46"/>
  <c r="GY70" i="46"/>
  <c r="GY83" i="46"/>
  <c r="GY107" i="46"/>
  <c r="GY58" i="46"/>
  <c r="GY105" i="46"/>
  <c r="GY57" i="46"/>
  <c r="GY100" i="46"/>
  <c r="GY73" i="46"/>
  <c r="GY65" i="46"/>
  <c r="GY102" i="46"/>
  <c r="GY71" i="46"/>
  <c r="GY77" i="46"/>
  <c r="GY96" i="46"/>
  <c r="GY88" i="46"/>
  <c r="GY110" i="46"/>
  <c r="GY89" i="46"/>
  <c r="GY108" i="46"/>
  <c r="GY92" i="46"/>
  <c r="GY103" i="46"/>
  <c r="GY91" i="46"/>
  <c r="GY66" i="46"/>
  <c r="ID96" i="46"/>
  <c r="ID106" i="46"/>
  <c r="ID97" i="46"/>
  <c r="ID92" i="46"/>
  <c r="GW86" i="46"/>
  <c r="GW82" i="46"/>
  <c r="GW53" i="46"/>
  <c r="GW75" i="46"/>
  <c r="GW98" i="46"/>
  <c r="GW79" i="46"/>
  <c r="GW56" i="46"/>
  <c r="GW88" i="46"/>
  <c r="GW64" i="46"/>
  <c r="GW67" i="46"/>
  <c r="GW77" i="46"/>
  <c r="GW92" i="46"/>
  <c r="GW84" i="46"/>
  <c r="GW57" i="46"/>
  <c r="GW69" i="46"/>
  <c r="GC47" i="46"/>
  <c r="GC72" i="46"/>
  <c r="GC39" i="46"/>
  <c r="GC77" i="46"/>
  <c r="GC82" i="46"/>
  <c r="GC51" i="46"/>
  <c r="GC63" i="46"/>
  <c r="GC59" i="46"/>
  <c r="GC75" i="46"/>
  <c r="GC97" i="46"/>
  <c r="GT52" i="46"/>
  <c r="GT68" i="46"/>
  <c r="HO88" i="46"/>
  <c r="HO96" i="46"/>
  <c r="HO105" i="46"/>
  <c r="HO77" i="46"/>
  <c r="HO84" i="46"/>
  <c r="HO98" i="46"/>
  <c r="IK5" i="46"/>
  <c r="GA36" i="46"/>
  <c r="GT89" i="46"/>
  <c r="GT60" i="46"/>
  <c r="GT50" i="46"/>
  <c r="IS110" i="46"/>
  <c r="GK105" i="46"/>
  <c r="GA105" i="46"/>
  <c r="GA95" i="46"/>
  <c r="GA46" i="46"/>
  <c r="GA93" i="46"/>
  <c r="GA68" i="46"/>
  <c r="GA91" i="46"/>
  <c r="GA58" i="46"/>
  <c r="GA73" i="46"/>
  <c r="GA99" i="46"/>
  <c r="HG65" i="46"/>
  <c r="IA91" i="46"/>
  <c r="IA89" i="46"/>
  <c r="HU104" i="46"/>
  <c r="HU103" i="46"/>
  <c r="HG85" i="46"/>
  <c r="HG104" i="46"/>
  <c r="HG87" i="46"/>
  <c r="GK101" i="46"/>
  <c r="GK58" i="46"/>
  <c r="HG68" i="46"/>
  <c r="HG105" i="46"/>
  <c r="HG84" i="46"/>
  <c r="GT70" i="46"/>
  <c r="HG88" i="46"/>
  <c r="HO81" i="46"/>
  <c r="HO100" i="46"/>
  <c r="GM105" i="46"/>
  <c r="GM46" i="46"/>
  <c r="GM48" i="46"/>
  <c r="GM108" i="46"/>
  <c r="GM68" i="46"/>
  <c r="GM70" i="46"/>
  <c r="GM97" i="46"/>
  <c r="GM73" i="46"/>
  <c r="GM64" i="46"/>
  <c r="GM95" i="46"/>
  <c r="GM80" i="46"/>
  <c r="FR28" i="46"/>
  <c r="FR72" i="46"/>
  <c r="FR58" i="46"/>
  <c r="FR31" i="46"/>
  <c r="FR35" i="46"/>
  <c r="FR81" i="46"/>
  <c r="FR79" i="46"/>
  <c r="FR63" i="46"/>
  <c r="FR102" i="46"/>
  <c r="FR59" i="46"/>
  <c r="FR100" i="46"/>
  <c r="FR75" i="46"/>
  <c r="FR66" i="46"/>
  <c r="GF56" i="46"/>
  <c r="GF88" i="46"/>
  <c r="GF77" i="46"/>
  <c r="GF107" i="46"/>
  <c r="GF40" i="46"/>
  <c r="GF67" i="46"/>
  <c r="GF110" i="46"/>
  <c r="GF59" i="46"/>
  <c r="GF52" i="46"/>
  <c r="GF51" i="46"/>
  <c r="GF57" i="46"/>
  <c r="GF79" i="46"/>
  <c r="GF94" i="46"/>
  <c r="GF103" i="46"/>
  <c r="GF53" i="46"/>
  <c r="GF47" i="46"/>
  <c r="GF72" i="46"/>
  <c r="GF91" i="46"/>
  <c r="GF102" i="46"/>
  <c r="IG95" i="46"/>
  <c r="IG96" i="46"/>
  <c r="IG100" i="46"/>
  <c r="IG91" i="46"/>
  <c r="IG109" i="46"/>
  <c r="IG90" i="46"/>
  <c r="IG102" i="46"/>
  <c r="IG103" i="46"/>
  <c r="IG93" i="46"/>
  <c r="IG99" i="46"/>
  <c r="HH81" i="46"/>
  <c r="HH83" i="46"/>
  <c r="HH103" i="46"/>
  <c r="HH86" i="46"/>
  <c r="HH72" i="46"/>
  <c r="HH76" i="46"/>
  <c r="HH91" i="46"/>
  <c r="HH100" i="46"/>
  <c r="HH75" i="46"/>
  <c r="HH67" i="46"/>
  <c r="HH80" i="46"/>
  <c r="HH96" i="46"/>
  <c r="HH92" i="46"/>
  <c r="HH105" i="46"/>
  <c r="HH93" i="46"/>
  <c r="GJ100" i="46"/>
  <c r="GJ95" i="46"/>
  <c r="GJ65" i="46"/>
  <c r="GJ107" i="46"/>
  <c r="GJ47" i="46"/>
  <c r="GJ66" i="46"/>
  <c r="GJ92" i="46"/>
  <c r="GJ68" i="46"/>
  <c r="GJ52" i="46"/>
  <c r="GJ69" i="46"/>
  <c r="GD83" i="46"/>
  <c r="GD36" i="46"/>
  <c r="GD82" i="46"/>
  <c r="GD34" i="46"/>
  <c r="GD59" i="46"/>
  <c r="GS5" i="46"/>
  <c r="GS8" i="46" s="1"/>
  <c r="HR92" i="46"/>
  <c r="HR84" i="46"/>
  <c r="HR97" i="46"/>
  <c r="HR86" i="46"/>
  <c r="HR101" i="46"/>
  <c r="HR109" i="46"/>
  <c r="HR83" i="46"/>
  <c r="HR96" i="46"/>
  <c r="HR80" i="46"/>
  <c r="HR108" i="46"/>
  <c r="HR87" i="46"/>
  <c r="HR89" i="46"/>
  <c r="HR99" i="46"/>
  <c r="HR77" i="46"/>
  <c r="HR78" i="46"/>
  <c r="HR82" i="46"/>
  <c r="HR110" i="46"/>
  <c r="HR106" i="46"/>
  <c r="HR76" i="46"/>
  <c r="HR90" i="46"/>
  <c r="HR93" i="46"/>
  <c r="HR74" i="46"/>
  <c r="HR79" i="46"/>
  <c r="HR104" i="46"/>
  <c r="HR85" i="46"/>
  <c r="HR81" i="46"/>
  <c r="HR94" i="46"/>
  <c r="HR107" i="46"/>
  <c r="HI67" i="46"/>
  <c r="GK96" i="46"/>
  <c r="GK100" i="46"/>
  <c r="GK97" i="46"/>
  <c r="GK85" i="46"/>
  <c r="GK59" i="46"/>
  <c r="GK41" i="46"/>
  <c r="GK103" i="46"/>
  <c r="GK68" i="46"/>
  <c r="GK91" i="46"/>
  <c r="GK44" i="46"/>
  <c r="GK75" i="46"/>
  <c r="GK95" i="46"/>
  <c r="GK107" i="46"/>
  <c r="GK90" i="46"/>
  <c r="GK88" i="46"/>
  <c r="GK84" i="46"/>
  <c r="GK66" i="46"/>
  <c r="GK80" i="46"/>
  <c r="GK93" i="46"/>
  <c r="GK76" i="46"/>
  <c r="GK87" i="46"/>
  <c r="GK42" i="46"/>
  <c r="GK72" i="46"/>
  <c r="GK61" i="46"/>
  <c r="GK108" i="46"/>
  <c r="GK46" i="46"/>
  <c r="GK49" i="46"/>
  <c r="GK48" i="46"/>
  <c r="GK53" i="46"/>
  <c r="GK69" i="46"/>
  <c r="GK52" i="46"/>
  <c r="GK51" i="46"/>
  <c r="GK57" i="46"/>
  <c r="GK63" i="46"/>
  <c r="GK67" i="46"/>
  <c r="GK77" i="46"/>
  <c r="GK47" i="46"/>
  <c r="GK99" i="46"/>
  <c r="GK109" i="46"/>
  <c r="GK82" i="46"/>
  <c r="GK78" i="46"/>
  <c r="GK89" i="46"/>
  <c r="GK110" i="46"/>
  <c r="GK56" i="46"/>
  <c r="GK60" i="46"/>
  <c r="GK50" i="46"/>
  <c r="GK102" i="46"/>
  <c r="GK43" i="46"/>
  <c r="GK86" i="46"/>
  <c r="GK45" i="46"/>
  <c r="GK81" i="46"/>
  <c r="GK94" i="46"/>
  <c r="GK54" i="46"/>
  <c r="GK92" i="46"/>
  <c r="IA110" i="46"/>
  <c r="IA96" i="46"/>
  <c r="IA104" i="46"/>
  <c r="IA90" i="46"/>
  <c r="IA94" i="46"/>
  <c r="IA95" i="46"/>
  <c r="IA99" i="46"/>
  <c r="IA106" i="46"/>
  <c r="IA105" i="46"/>
  <c r="IA109" i="46"/>
  <c r="IA97" i="46"/>
  <c r="IA88" i="46"/>
  <c r="IA108" i="46"/>
  <c r="IA85" i="46"/>
  <c r="IA92" i="46"/>
  <c r="IA100" i="46"/>
  <c r="GA92" i="46"/>
  <c r="GA63" i="46"/>
  <c r="GA49" i="46"/>
  <c r="GA110" i="46"/>
  <c r="GA82" i="46"/>
  <c r="GA64" i="46"/>
  <c r="GA48" i="46"/>
  <c r="GA102" i="46"/>
  <c r="GA39" i="46"/>
  <c r="GA32" i="46"/>
  <c r="GA52" i="46"/>
  <c r="GA80" i="46"/>
  <c r="GA47" i="46"/>
  <c r="GA66" i="46"/>
  <c r="GA81" i="46"/>
  <c r="GA94" i="46"/>
  <c r="GA97" i="46"/>
  <c r="GA98" i="46"/>
  <c r="GA108" i="46"/>
  <c r="GA69" i="46"/>
  <c r="GA37" i="46"/>
  <c r="GA109" i="46"/>
  <c r="GA71" i="46"/>
  <c r="GA85" i="46"/>
  <c r="GA89" i="46"/>
  <c r="GA34" i="46"/>
  <c r="GA62" i="46"/>
  <c r="GA72" i="46"/>
  <c r="GA35" i="46"/>
  <c r="GA67" i="46"/>
  <c r="GA31" i="46"/>
  <c r="HU85" i="46"/>
  <c r="HU107" i="46"/>
  <c r="HU98" i="46"/>
  <c r="HU95" i="46"/>
  <c r="HU83" i="46"/>
  <c r="HU102" i="46"/>
  <c r="HU90" i="46"/>
  <c r="HU97" i="46"/>
  <c r="HU109" i="46"/>
  <c r="HU84" i="46"/>
  <c r="HU100" i="46"/>
  <c r="HU79" i="46"/>
  <c r="HU94" i="46"/>
  <c r="HU82" i="46"/>
  <c r="HU78" i="46"/>
  <c r="HU87" i="46"/>
  <c r="HU88" i="46"/>
  <c r="HU105" i="46"/>
  <c r="HU81" i="46"/>
  <c r="HU91" i="46"/>
  <c r="HU77" i="46"/>
  <c r="HU89" i="46"/>
  <c r="HU93" i="46"/>
  <c r="HU99" i="46"/>
  <c r="IS109" i="46"/>
  <c r="IS105" i="46"/>
  <c r="IS102" i="46"/>
  <c r="IS104" i="46"/>
  <c r="IS107" i="46"/>
  <c r="IS108" i="46"/>
  <c r="GT54" i="46"/>
  <c r="GT72" i="46"/>
  <c r="GT67" i="46"/>
  <c r="GT84" i="46"/>
  <c r="GT56" i="46"/>
  <c r="GT86" i="46"/>
  <c r="GT82" i="46"/>
  <c r="GT65" i="46"/>
  <c r="GT100" i="46"/>
  <c r="GT106" i="46"/>
  <c r="GT80" i="46"/>
  <c r="GT93" i="46"/>
  <c r="GT75" i="46"/>
  <c r="GT64" i="46"/>
  <c r="GT77" i="46"/>
  <c r="GT53" i="46"/>
  <c r="GT88" i="46"/>
  <c r="GT59" i="46"/>
  <c r="GT96" i="46"/>
  <c r="GT63" i="46"/>
  <c r="GT94" i="46"/>
  <c r="GT58" i="46"/>
  <c r="GT74" i="46"/>
  <c r="GT102" i="46"/>
  <c r="GT98" i="46"/>
  <c r="GT92" i="46"/>
  <c r="GT103" i="46"/>
  <c r="GT57" i="46"/>
  <c r="GT83" i="46"/>
  <c r="GT69" i="46"/>
  <c r="GT51" i="46"/>
  <c r="GT97" i="46"/>
  <c r="GT66" i="46"/>
  <c r="GT105" i="46"/>
  <c r="GT85" i="46"/>
  <c r="GT76" i="46"/>
  <c r="GT91" i="46"/>
  <c r="GT104" i="46"/>
  <c r="GT62" i="46"/>
  <c r="GT99" i="46"/>
  <c r="GT90" i="46"/>
  <c r="HO108" i="46"/>
  <c r="HO74" i="46"/>
  <c r="HO93" i="46"/>
  <c r="HO110" i="46"/>
  <c r="HO90" i="46"/>
  <c r="HO102" i="46"/>
  <c r="HO101" i="46"/>
  <c r="HO73" i="46"/>
  <c r="HO92" i="46"/>
  <c r="HO80" i="46"/>
  <c r="HO94" i="46"/>
  <c r="HO82" i="46"/>
  <c r="HO95" i="46"/>
  <c r="HO103" i="46"/>
  <c r="HO91" i="46"/>
  <c r="HO75" i="46"/>
  <c r="HO71" i="46"/>
  <c r="HO97" i="46"/>
  <c r="HO72" i="46"/>
  <c r="HO86" i="46"/>
  <c r="HO104" i="46"/>
  <c r="HO106" i="46"/>
  <c r="HO87" i="46"/>
  <c r="HO79" i="46"/>
  <c r="HO107" i="46"/>
  <c r="HO89" i="46"/>
  <c r="HI108" i="46"/>
  <c r="HI79" i="46"/>
  <c r="HI107" i="46"/>
  <c r="HI77" i="46"/>
  <c r="HI72" i="46"/>
  <c r="HI101" i="46"/>
  <c r="HI86" i="46"/>
  <c r="HI85" i="46"/>
  <c r="HI81" i="46"/>
  <c r="HI100" i="46"/>
  <c r="HI87" i="46"/>
  <c r="HI102" i="46"/>
  <c r="HI90" i="46"/>
  <c r="HI83" i="46"/>
  <c r="HI106" i="46"/>
  <c r="HI88" i="46"/>
  <c r="HI104" i="46"/>
  <c r="HI93" i="46"/>
  <c r="HI99" i="46"/>
  <c r="HI92" i="46"/>
  <c r="HI68" i="46"/>
  <c r="HI97" i="46"/>
  <c r="HI73" i="46"/>
  <c r="HI98" i="46"/>
  <c r="HI105" i="46"/>
  <c r="HI103" i="46"/>
  <c r="HI94" i="46"/>
  <c r="HI65" i="46"/>
  <c r="HI66" i="46"/>
  <c r="HI75" i="46"/>
  <c r="HI69" i="46"/>
  <c r="HI84" i="46"/>
  <c r="HI95" i="46"/>
  <c r="HR105" i="46"/>
  <c r="HR100" i="46"/>
  <c r="HR103" i="46"/>
  <c r="HR91" i="46"/>
  <c r="HI74" i="46"/>
  <c r="HI76" i="46"/>
  <c r="HI109" i="46"/>
  <c r="HI70" i="46"/>
  <c r="HI82" i="46"/>
  <c r="HI89" i="46"/>
  <c r="FU90" i="46"/>
  <c r="FU61" i="46"/>
  <c r="FU43" i="46"/>
  <c r="FU58" i="46"/>
  <c r="FU55" i="46"/>
  <c r="FU73" i="46"/>
  <c r="FU101" i="46"/>
  <c r="FU100" i="46"/>
  <c r="FU45" i="46"/>
  <c r="FU27" i="46"/>
  <c r="FU62" i="46"/>
  <c r="FU109" i="46"/>
  <c r="FU80" i="46"/>
  <c r="FU81" i="46"/>
  <c r="FU48" i="46"/>
  <c r="FU71" i="46"/>
  <c r="FU70" i="46"/>
  <c r="FU69" i="46"/>
  <c r="FU32" i="46"/>
  <c r="FU76" i="46"/>
  <c r="FU86" i="46"/>
  <c r="FU29" i="46"/>
  <c r="FU98" i="46"/>
  <c r="FU99" i="46"/>
  <c r="FU104" i="46"/>
  <c r="FU49" i="46"/>
  <c r="FU35" i="46"/>
  <c r="FU110" i="46"/>
  <c r="FU54" i="46"/>
  <c r="FU105" i="46"/>
  <c r="FU93" i="46"/>
  <c r="FU95" i="46"/>
  <c r="FU107" i="46"/>
  <c r="FU68" i="46"/>
  <c r="FU87" i="46"/>
  <c r="FU50" i="46"/>
  <c r="FU83" i="46"/>
  <c r="FU84" i="46"/>
  <c r="FU28" i="46"/>
  <c r="FU26" i="46"/>
  <c r="FU102" i="46"/>
  <c r="FU85" i="46"/>
  <c r="FU91" i="46"/>
  <c r="FU74" i="46"/>
  <c r="FU30" i="46"/>
  <c r="FU34" i="46"/>
  <c r="FU46" i="46"/>
  <c r="FU44" i="46"/>
  <c r="FU60" i="46"/>
  <c r="FU66" i="46"/>
  <c r="FU79" i="46"/>
  <c r="FU67" i="46"/>
  <c r="FU59" i="46"/>
  <c r="FU64" i="46"/>
  <c r="FU89" i="46"/>
  <c r="FU78" i="46"/>
  <c r="FU33" i="46"/>
  <c r="FU38" i="46"/>
  <c r="FU75" i="46"/>
  <c r="FU94" i="46"/>
  <c r="FU63" i="46"/>
  <c r="FU96" i="46"/>
  <c r="FU57" i="46"/>
  <c r="FU97" i="46"/>
  <c r="FU82" i="46"/>
  <c r="FU52" i="46"/>
  <c r="FU103" i="46"/>
  <c r="FU36" i="46"/>
  <c r="FU40" i="46"/>
  <c r="FU106" i="46"/>
  <c r="FU65" i="46"/>
  <c r="FU88" i="46"/>
  <c r="FU92" i="46"/>
  <c r="FU39" i="46"/>
  <c r="FU77" i="46"/>
  <c r="FU42" i="46"/>
  <c r="FU25" i="46"/>
  <c r="FU53" i="46"/>
  <c r="FU37" i="46"/>
  <c r="FU47" i="46"/>
  <c r="FU51" i="46"/>
  <c r="FU41" i="46"/>
  <c r="FU108" i="46"/>
  <c r="FU56" i="46"/>
  <c r="FU72" i="46"/>
  <c r="FU31" i="46"/>
  <c r="IU105" i="46"/>
  <c r="IU106" i="46"/>
  <c r="IU107" i="46"/>
  <c r="IU110" i="46"/>
  <c r="IU108" i="46"/>
  <c r="GM106" i="46"/>
  <c r="GM79" i="46"/>
  <c r="GM49" i="46"/>
  <c r="GM44" i="46"/>
  <c r="GM104" i="46"/>
  <c r="GM89" i="46"/>
  <c r="GM45" i="46"/>
  <c r="GM88" i="46"/>
  <c r="GM52" i="46"/>
  <c r="GM53" i="46"/>
  <c r="GM55" i="46"/>
  <c r="GM81" i="46"/>
  <c r="GM54" i="46"/>
  <c r="GM60" i="46"/>
  <c r="GM100" i="46"/>
  <c r="GM85" i="46"/>
  <c r="GM74" i="46"/>
  <c r="GM57" i="46"/>
  <c r="GM84" i="46"/>
  <c r="GM47" i="46"/>
  <c r="GM86" i="46"/>
  <c r="GM99" i="46"/>
  <c r="GM43" i="46"/>
  <c r="GM94" i="46"/>
  <c r="GM75" i="46"/>
  <c r="GM82" i="46"/>
  <c r="GM77" i="46"/>
  <c r="GM50" i="46"/>
  <c r="GM98" i="46"/>
  <c r="GM83" i="46"/>
  <c r="GM96" i="46"/>
  <c r="GM101" i="46"/>
  <c r="GM58" i="46"/>
  <c r="GM63" i="46"/>
  <c r="GM87" i="46"/>
  <c r="GM62" i="46"/>
  <c r="GM91" i="46"/>
  <c r="GM71" i="46"/>
  <c r="GM110" i="46"/>
  <c r="GM103" i="46"/>
  <c r="GM92" i="46"/>
  <c r="GM107" i="46"/>
  <c r="GM65" i="46"/>
  <c r="GM61" i="46"/>
  <c r="GM59" i="46"/>
  <c r="GM76" i="46"/>
  <c r="GM69" i="46"/>
  <c r="GM78" i="46"/>
  <c r="GM67" i="46"/>
  <c r="IO105" i="46"/>
  <c r="IO103" i="46"/>
  <c r="IO97" i="46"/>
  <c r="IO107" i="46"/>
  <c r="IO102" i="46"/>
  <c r="IO98" i="46"/>
  <c r="IO100" i="46"/>
  <c r="IO110" i="46"/>
  <c r="IO99" i="46"/>
  <c r="HT5" i="46"/>
  <c r="HT8" i="46" s="1"/>
  <c r="GP49" i="46"/>
  <c r="GP98" i="46"/>
  <c r="GP91" i="46"/>
  <c r="GP102" i="46"/>
  <c r="GP48" i="46"/>
  <c r="GP76" i="46"/>
  <c r="GP47" i="46"/>
  <c r="GP59" i="46"/>
  <c r="GP60" i="46"/>
  <c r="GP62" i="46"/>
  <c r="GP46" i="46"/>
  <c r="GP71" i="46"/>
  <c r="GP77" i="46"/>
  <c r="GP95" i="46"/>
  <c r="GP81" i="46"/>
  <c r="GP110" i="46"/>
  <c r="GP53" i="46"/>
  <c r="GP96" i="46"/>
  <c r="GP72" i="46"/>
  <c r="GP75" i="46"/>
  <c r="GP84" i="46"/>
  <c r="GP82" i="46"/>
  <c r="GP97" i="46"/>
  <c r="GP68" i="46"/>
  <c r="GP107" i="46"/>
  <c r="GP50" i="46"/>
  <c r="GP73" i="46"/>
  <c r="GP90" i="46"/>
  <c r="GP109" i="46"/>
  <c r="GP56" i="46"/>
  <c r="GP80" i="46"/>
  <c r="GP70" i="46"/>
  <c r="GP58" i="46"/>
  <c r="GP74" i="46"/>
  <c r="GP100" i="46"/>
  <c r="GP64" i="46"/>
  <c r="GP57" i="46"/>
  <c r="GP52" i="46"/>
  <c r="GP94" i="46"/>
  <c r="GP65" i="46"/>
  <c r="GP93" i="46"/>
  <c r="GP89" i="46"/>
  <c r="GP87" i="46"/>
  <c r="GP55" i="46"/>
  <c r="GP78" i="46"/>
  <c r="GP108" i="46"/>
  <c r="GH54" i="46"/>
  <c r="GH77" i="46"/>
  <c r="GH78" i="46"/>
  <c r="GH44" i="46"/>
  <c r="GH97" i="46"/>
  <c r="GH65" i="46"/>
  <c r="GH64" i="46"/>
  <c r="GH92" i="46"/>
  <c r="GH104" i="46"/>
  <c r="GH107" i="46"/>
  <c r="GH110" i="46"/>
  <c r="GH67" i="46"/>
  <c r="GH87" i="46"/>
  <c r="GH98" i="46"/>
  <c r="GH40" i="46"/>
  <c r="GH70" i="46"/>
  <c r="GH93" i="46"/>
  <c r="GH99" i="46"/>
  <c r="GH94" i="46"/>
  <c r="GH85" i="46"/>
  <c r="GH58" i="46"/>
  <c r="GH96" i="46"/>
  <c r="GH59" i="46"/>
  <c r="GH48" i="46"/>
  <c r="GH51" i="46"/>
  <c r="GH42" i="46"/>
  <c r="GH108" i="46"/>
  <c r="GH103" i="46"/>
  <c r="GH73" i="46"/>
  <c r="GH90" i="46"/>
  <c r="GH74" i="46"/>
  <c r="GH50" i="46"/>
  <c r="GH66" i="46"/>
  <c r="GH72" i="46"/>
  <c r="GH62" i="46"/>
  <c r="GH91" i="46"/>
  <c r="GH102" i="46"/>
  <c r="GH55" i="46"/>
  <c r="GH38" i="46"/>
  <c r="GH106" i="46"/>
  <c r="GH82" i="46"/>
  <c r="GH101" i="46"/>
  <c r="GH47" i="46"/>
  <c r="GH79" i="46"/>
  <c r="GH46" i="46"/>
  <c r="GH80" i="46"/>
  <c r="GH75" i="46"/>
  <c r="GH83" i="46"/>
  <c r="GH56" i="46"/>
  <c r="GH105" i="46"/>
  <c r="GH69" i="46"/>
  <c r="GH68" i="46"/>
  <c r="GH61" i="46"/>
  <c r="GN57" i="46"/>
  <c r="GN54" i="46"/>
  <c r="GN59" i="46"/>
  <c r="GN103" i="46"/>
  <c r="GN77" i="46"/>
  <c r="GN65" i="46"/>
  <c r="GN86" i="46"/>
  <c r="GN55" i="46"/>
  <c r="GN50" i="46"/>
  <c r="GN78" i="46"/>
  <c r="GN89" i="46"/>
  <c r="GN71" i="46"/>
  <c r="GN82" i="46"/>
  <c r="GN100" i="46"/>
  <c r="GN85" i="46"/>
  <c r="GN44" i="46"/>
  <c r="GN61" i="46"/>
  <c r="GN101" i="46"/>
  <c r="GN109" i="46"/>
  <c r="GN49" i="46"/>
  <c r="GN96" i="46"/>
  <c r="GN76" i="46"/>
  <c r="GN91" i="46"/>
  <c r="GN110" i="46"/>
  <c r="GN58" i="46"/>
  <c r="GN47" i="46"/>
  <c r="GN66" i="46"/>
  <c r="GN87" i="46"/>
  <c r="GN99" i="46"/>
  <c r="GN60" i="46"/>
  <c r="GN73" i="46"/>
  <c r="GN90" i="46"/>
  <c r="GN105" i="46"/>
  <c r="GN107" i="46"/>
  <c r="GN102" i="46"/>
  <c r="GN93" i="46"/>
  <c r="GN45" i="46"/>
  <c r="GN64" i="46"/>
  <c r="GN79" i="46"/>
  <c r="GN81" i="46"/>
  <c r="IW110" i="46"/>
  <c r="IW105" i="46"/>
  <c r="IW108" i="46"/>
  <c r="IW109" i="46"/>
  <c r="HA96" i="46"/>
  <c r="HA104" i="46"/>
  <c r="HA62" i="46"/>
  <c r="HA90" i="46"/>
  <c r="HA108" i="46"/>
  <c r="HA92" i="46"/>
  <c r="HA76" i="46"/>
  <c r="HA93" i="46"/>
  <c r="HA85" i="46"/>
  <c r="HA59" i="46"/>
  <c r="HA74" i="46"/>
  <c r="HA67" i="46"/>
  <c r="HA109" i="46"/>
  <c r="HA89" i="46"/>
  <c r="HA101" i="46"/>
  <c r="HA71" i="46"/>
  <c r="HA84" i="46"/>
  <c r="HA68" i="46"/>
  <c r="HA72" i="46"/>
  <c r="HA65" i="46"/>
  <c r="HA66" i="46"/>
  <c r="HA107" i="46"/>
  <c r="HA69" i="46"/>
  <c r="HA82" i="46"/>
  <c r="HA78" i="46"/>
  <c r="HA99" i="46"/>
  <c r="HA87" i="46"/>
  <c r="HA100" i="46"/>
  <c r="HA103" i="46"/>
  <c r="HA80" i="46"/>
  <c r="HA58" i="46"/>
  <c r="HA98" i="46"/>
  <c r="HA77" i="46"/>
  <c r="HA94" i="46"/>
  <c r="HA79" i="46"/>
  <c r="HR95" i="46"/>
  <c r="HR98" i="46"/>
  <c r="HI80" i="46"/>
  <c r="HI78" i="46"/>
  <c r="GM51" i="46"/>
  <c r="HV101" i="46"/>
  <c r="HV90" i="46"/>
  <c r="HV99" i="46"/>
  <c r="HV81" i="46"/>
  <c r="HV78" i="46"/>
  <c r="HV109" i="46"/>
  <c r="HV80" i="46"/>
  <c r="HV104" i="46"/>
  <c r="HV108" i="46"/>
  <c r="HV105" i="46"/>
  <c r="HV87" i="46"/>
  <c r="HV100" i="46"/>
  <c r="HV84" i="46"/>
  <c r="HV91" i="46"/>
  <c r="HV107" i="46"/>
  <c r="HV89" i="46"/>
  <c r="HV110" i="46"/>
  <c r="HV85" i="46"/>
  <c r="HV93" i="46"/>
  <c r="HV86" i="46"/>
  <c r="HV83" i="46"/>
  <c r="HV88" i="46"/>
  <c r="HV106" i="46"/>
  <c r="HV98" i="46"/>
  <c r="HV82" i="46"/>
  <c r="HV102" i="46"/>
  <c r="HV95" i="46"/>
  <c r="HV94" i="46"/>
  <c r="HV79" i="46"/>
  <c r="HV96" i="46"/>
  <c r="HV97" i="46"/>
  <c r="HV92" i="46"/>
  <c r="HV103" i="46"/>
  <c r="GX90" i="46"/>
  <c r="GX58" i="46"/>
  <c r="GX100" i="46"/>
  <c r="GX80" i="46"/>
  <c r="GX81" i="46"/>
  <c r="GX85" i="46"/>
  <c r="GX110" i="46"/>
  <c r="GX107" i="46"/>
  <c r="GX98" i="46"/>
  <c r="GX54" i="46"/>
  <c r="GX102" i="46"/>
  <c r="GX69" i="46"/>
  <c r="GX93" i="46"/>
  <c r="GX95" i="46"/>
  <c r="GX76" i="46"/>
  <c r="GX86" i="46"/>
  <c r="GX70" i="46"/>
  <c r="GX105" i="46"/>
  <c r="GX91" i="46"/>
  <c r="GX106" i="46"/>
  <c r="GX65" i="46"/>
  <c r="GX56" i="46"/>
  <c r="GX88" i="46"/>
  <c r="GX79" i="46"/>
  <c r="GX89" i="46"/>
  <c r="GX62" i="46"/>
  <c r="GX77" i="46"/>
  <c r="GX108" i="46"/>
  <c r="GX59" i="46"/>
  <c r="GX64" i="46"/>
  <c r="GX103" i="46"/>
  <c r="GX74" i="46"/>
  <c r="GX75" i="46"/>
  <c r="GX104" i="46"/>
  <c r="GX63" i="46"/>
  <c r="GX96" i="46"/>
  <c r="GX68" i="46"/>
  <c r="GX94" i="46"/>
  <c r="GX55" i="46"/>
  <c r="GX61" i="46"/>
  <c r="GX87" i="46"/>
  <c r="GX66" i="46"/>
  <c r="GX71" i="46"/>
  <c r="GX67" i="46"/>
  <c r="GX84" i="46"/>
  <c r="GX72" i="46"/>
  <c r="GX92" i="46"/>
  <c r="GX82" i="46"/>
  <c r="GX83" i="46"/>
  <c r="GX99" i="46"/>
  <c r="GX60" i="46"/>
  <c r="GX78" i="46"/>
  <c r="GX97" i="46"/>
  <c r="GX101" i="46"/>
  <c r="GX109" i="46"/>
  <c r="GX73" i="46"/>
  <c r="GX57" i="46"/>
  <c r="IL100" i="46"/>
  <c r="IL110" i="46"/>
  <c r="IL107" i="46"/>
  <c r="IL98" i="46"/>
  <c r="IL102" i="46"/>
  <c r="IL95" i="46"/>
  <c r="IL109" i="46"/>
  <c r="IL101" i="46"/>
  <c r="IL94" i="46"/>
  <c r="IL106" i="46"/>
  <c r="IL108" i="46"/>
  <c r="IL96" i="46"/>
  <c r="IL97" i="46"/>
  <c r="IL103" i="46"/>
  <c r="IL105" i="46"/>
  <c r="IL104" i="46"/>
  <c r="IL99" i="46"/>
  <c r="IE101" i="46"/>
  <c r="IE100" i="46"/>
  <c r="IE102" i="46"/>
  <c r="IE105" i="46"/>
  <c r="IE93" i="46"/>
  <c r="IE110" i="46"/>
  <c r="IE91" i="46"/>
  <c r="IE95" i="46"/>
  <c r="IE98" i="46"/>
  <c r="IE106" i="46"/>
  <c r="IE88" i="46"/>
  <c r="IE107" i="46"/>
  <c r="IE94" i="46"/>
  <c r="IE109" i="46"/>
  <c r="IE99" i="46"/>
  <c r="IE92" i="46"/>
  <c r="IE108" i="46"/>
  <c r="IE90" i="46"/>
  <c r="IE89" i="46"/>
  <c r="IE96" i="46"/>
  <c r="IE97" i="46"/>
  <c r="IE104" i="46"/>
  <c r="IE87" i="46"/>
  <c r="IE103" i="46"/>
  <c r="GE109" i="46"/>
  <c r="GE58" i="46"/>
  <c r="GE108" i="46"/>
  <c r="GE80" i="46"/>
  <c r="GE49" i="46"/>
  <c r="GE35" i="46"/>
  <c r="GE54" i="46"/>
  <c r="GE102" i="46"/>
  <c r="GE105" i="46"/>
  <c r="GE81" i="46"/>
  <c r="GE69" i="46"/>
  <c r="GE91" i="46"/>
  <c r="GE106" i="46"/>
  <c r="GE93" i="46"/>
  <c r="GE95" i="46"/>
  <c r="GE74" i="46"/>
  <c r="GE86" i="46"/>
  <c r="GE68" i="46"/>
  <c r="GE56" i="46"/>
  <c r="GE83" i="46"/>
  <c r="GE100" i="46"/>
  <c r="GE45" i="46"/>
  <c r="GE85" i="46"/>
  <c r="GE65" i="46"/>
  <c r="GE71" i="46"/>
  <c r="GE48" i="46"/>
  <c r="GE110" i="46"/>
  <c r="GE40" i="46"/>
  <c r="GE107" i="46"/>
  <c r="GE70" i="46"/>
  <c r="GE72" i="46"/>
  <c r="GE92" i="46"/>
  <c r="GE63" i="46"/>
  <c r="GE39" i="46"/>
  <c r="GE104" i="46"/>
  <c r="GE101" i="46"/>
  <c r="GE73" i="46"/>
  <c r="GE78" i="46"/>
  <c r="GE50" i="46"/>
  <c r="GE57" i="46"/>
  <c r="GE67" i="46"/>
  <c r="GE37" i="46"/>
  <c r="GE41" i="46"/>
  <c r="GE36" i="46"/>
  <c r="GE44" i="46"/>
  <c r="GE77" i="46"/>
  <c r="GE42" i="46"/>
  <c r="GE97" i="46"/>
  <c r="GE76" i="46"/>
  <c r="GE98" i="46"/>
  <c r="GE66" i="46"/>
  <c r="GE89" i="46"/>
  <c r="GE61" i="46"/>
  <c r="GE60" i="46"/>
  <c r="GE43" i="46"/>
  <c r="GE53" i="46"/>
  <c r="GE59" i="46"/>
  <c r="GE64" i="46"/>
  <c r="GE47" i="46"/>
  <c r="GE46" i="46"/>
  <c r="GE84" i="46"/>
  <c r="GE88" i="46"/>
  <c r="GE94" i="46"/>
  <c r="GE52" i="46"/>
  <c r="GE96" i="46"/>
  <c r="GE87" i="46"/>
  <c r="GE99" i="46"/>
  <c r="GE38" i="46"/>
  <c r="GE62" i="46"/>
  <c r="GE82" i="46"/>
  <c r="GE75" i="46"/>
  <c r="GE79" i="46"/>
  <c r="GE55" i="46"/>
  <c r="GE90" i="46"/>
  <c r="GE51" i="46"/>
  <c r="GE103" i="46"/>
  <c r="GL101" i="46"/>
  <c r="GL58" i="46"/>
  <c r="GL45" i="46"/>
  <c r="GL80" i="46"/>
  <c r="GL100" i="46"/>
  <c r="GL110" i="46"/>
  <c r="GL102" i="46"/>
  <c r="GL85" i="46"/>
  <c r="GL65" i="46"/>
  <c r="GL88" i="46"/>
  <c r="GL81" i="46"/>
  <c r="GL70" i="46"/>
  <c r="GL106" i="46"/>
  <c r="GL86" i="46"/>
  <c r="GL98" i="46"/>
  <c r="GL83" i="46"/>
  <c r="GL105" i="46"/>
  <c r="GL74" i="46"/>
  <c r="GL107" i="46"/>
  <c r="GL76" i="46"/>
  <c r="GL68" i="46"/>
  <c r="GL56" i="46"/>
  <c r="GL84" i="46"/>
  <c r="GL93" i="46"/>
  <c r="GL79" i="46"/>
  <c r="GL42" i="46"/>
  <c r="GL53" i="46"/>
  <c r="GL47" i="46"/>
  <c r="GL104" i="46"/>
  <c r="GL89" i="46"/>
  <c r="GL43" i="46"/>
  <c r="GL108" i="46"/>
  <c r="GL62" i="46"/>
  <c r="GL59" i="46"/>
  <c r="GL55" i="46"/>
  <c r="GL61" i="46"/>
  <c r="GL49" i="46"/>
  <c r="GL69" i="46"/>
  <c r="GL91" i="46"/>
  <c r="GL52" i="46"/>
  <c r="GL77" i="46"/>
  <c r="GL64" i="46"/>
  <c r="GL51" i="46"/>
  <c r="GL109" i="46"/>
  <c r="GL46" i="46"/>
  <c r="GL44" i="46"/>
  <c r="GL90" i="46"/>
  <c r="GL71" i="46"/>
  <c r="GL103" i="46"/>
  <c r="GL82" i="46"/>
  <c r="GL97" i="46"/>
  <c r="GL50" i="46"/>
  <c r="GL48" i="46"/>
  <c r="GL54" i="46"/>
  <c r="GL95" i="46"/>
  <c r="GL75" i="46"/>
  <c r="GL94" i="46"/>
  <c r="GL72" i="46"/>
  <c r="GL66" i="46"/>
  <c r="GL63" i="46"/>
  <c r="GL57" i="46"/>
  <c r="GL67" i="46"/>
  <c r="GL87" i="46"/>
  <c r="GL60" i="46"/>
  <c r="GL73" i="46"/>
  <c r="GL78" i="46"/>
  <c r="GL92" i="46"/>
  <c r="GL96" i="46"/>
  <c r="GL99" i="46"/>
  <c r="HB71" i="46"/>
  <c r="HB108" i="46"/>
  <c r="HB100" i="46"/>
  <c r="HB80" i="46"/>
  <c r="HB58" i="46"/>
  <c r="HB81" i="46"/>
  <c r="HB70" i="46"/>
  <c r="HB69" i="46"/>
  <c r="HB109" i="46"/>
  <c r="HB110" i="46"/>
  <c r="HB93" i="46"/>
  <c r="HB95" i="46"/>
  <c r="HB76" i="46"/>
  <c r="HB98" i="46"/>
  <c r="HB83" i="46"/>
  <c r="HB102" i="46"/>
  <c r="HB105" i="46"/>
  <c r="HB91" i="46"/>
  <c r="HB68" i="46"/>
  <c r="HB85" i="46"/>
  <c r="HB106" i="46"/>
  <c r="HB107" i="46"/>
  <c r="HB86" i="46"/>
  <c r="HB65" i="46"/>
  <c r="HB72" i="46"/>
  <c r="HB77" i="46"/>
  <c r="HB103" i="46"/>
  <c r="HB82" i="46"/>
  <c r="HB62" i="46"/>
  <c r="HB99" i="46"/>
  <c r="HB89" i="46"/>
  <c r="HB64" i="46"/>
  <c r="HB84" i="46"/>
  <c r="HB88" i="46"/>
  <c r="HB92" i="46"/>
  <c r="HB97" i="46"/>
  <c r="HB67" i="46"/>
  <c r="HB90" i="46"/>
  <c r="HB101" i="46"/>
  <c r="HB73" i="46"/>
  <c r="HB66" i="46"/>
  <c r="HB60" i="46"/>
  <c r="HB74" i="46"/>
  <c r="HB75" i="46"/>
  <c r="HB94" i="46"/>
  <c r="HB63" i="46"/>
  <c r="HB79" i="46"/>
  <c r="HB59" i="46"/>
  <c r="HB104" i="46"/>
  <c r="HB78" i="46"/>
  <c r="HB87" i="46"/>
  <c r="HB96" i="46"/>
  <c r="HB61" i="46"/>
  <c r="JA109" i="46"/>
  <c r="JA110" i="46"/>
  <c r="HC93" i="46"/>
  <c r="HC81" i="46"/>
  <c r="GC100" i="46"/>
  <c r="GC37" i="46"/>
  <c r="HQ89" i="46"/>
  <c r="HQ78" i="46"/>
  <c r="HQ81" i="46"/>
  <c r="HQ104" i="46"/>
  <c r="HQ90" i="46"/>
  <c r="HQ100" i="46"/>
  <c r="HQ87" i="46"/>
  <c r="HQ99" i="46"/>
  <c r="HQ80" i="46"/>
  <c r="HQ109" i="46"/>
  <c r="HQ105" i="46"/>
  <c r="HQ85" i="46"/>
  <c r="HQ76" i="46"/>
  <c r="HQ98" i="46"/>
  <c r="HQ73" i="46"/>
  <c r="HQ110" i="46"/>
  <c r="HQ106" i="46"/>
  <c r="HQ74" i="46"/>
  <c r="HQ107" i="46"/>
  <c r="HQ86" i="46"/>
  <c r="HQ83" i="46"/>
  <c r="HQ91" i="46"/>
  <c r="HQ93" i="46"/>
  <c r="HQ101" i="46"/>
  <c r="HQ95" i="46"/>
  <c r="HQ75" i="46"/>
  <c r="HQ94" i="46"/>
  <c r="HQ92" i="46"/>
  <c r="HQ96" i="46"/>
  <c r="HQ97" i="46"/>
  <c r="HQ102" i="46"/>
  <c r="HQ88" i="46"/>
  <c r="HQ82" i="46"/>
  <c r="HQ108" i="46"/>
  <c r="HQ79" i="46"/>
  <c r="HQ77" i="46"/>
  <c r="HQ103" i="46"/>
  <c r="HQ84" i="46"/>
  <c r="IM101" i="46"/>
  <c r="IM108" i="46"/>
  <c r="IM100" i="46"/>
  <c r="IM110" i="46"/>
  <c r="IM106" i="46"/>
  <c r="IM107" i="46"/>
  <c r="IM102" i="46"/>
  <c r="IM95" i="46"/>
  <c r="IM98" i="46"/>
  <c r="IM97" i="46"/>
  <c r="IM99" i="46"/>
  <c r="IM104" i="46"/>
  <c r="IM109" i="46"/>
  <c r="IM105" i="46"/>
  <c r="IM96" i="46"/>
  <c r="IM103" i="46"/>
  <c r="GY99" i="46"/>
  <c r="GY101" i="46"/>
  <c r="GY67" i="46"/>
  <c r="FS101" i="46"/>
  <c r="FS78" i="46"/>
  <c r="FS73" i="46"/>
  <c r="FS80" i="46"/>
  <c r="FS60" i="46"/>
  <c r="FS23" i="46"/>
  <c r="FS50" i="46"/>
  <c r="FS62" i="46"/>
  <c r="FS71" i="46"/>
  <c r="FS55" i="46"/>
  <c r="FS100" i="46"/>
  <c r="FS109" i="46"/>
  <c r="FS108" i="46"/>
  <c r="FS61" i="46"/>
  <c r="FS46" i="46"/>
  <c r="FS44" i="46"/>
  <c r="FS89" i="46"/>
  <c r="FS45" i="46"/>
  <c r="FS110" i="46"/>
  <c r="FS69" i="46"/>
  <c r="FS104" i="46"/>
  <c r="FS87" i="46"/>
  <c r="FS28" i="46"/>
  <c r="FS49" i="46"/>
  <c r="FS26" i="46"/>
  <c r="FS54" i="46"/>
  <c r="FS70" i="46"/>
  <c r="FS40" i="46"/>
  <c r="FS106" i="46"/>
  <c r="FS74" i="46"/>
  <c r="FS30" i="46"/>
  <c r="FS34" i="46"/>
  <c r="FS65" i="46"/>
  <c r="FS90" i="46"/>
  <c r="FS38" i="46"/>
  <c r="FS27" i="46"/>
  <c r="FS48" i="46"/>
  <c r="FS32" i="46"/>
  <c r="FS29" i="46"/>
  <c r="FS43" i="46"/>
  <c r="FS58" i="46"/>
  <c r="FS81" i="46"/>
  <c r="FS102" i="46"/>
  <c r="FS105" i="46"/>
  <c r="FS33" i="46"/>
  <c r="FS95" i="46"/>
  <c r="FS76" i="46"/>
  <c r="FS24" i="46"/>
  <c r="FS68" i="46"/>
  <c r="FS98" i="46"/>
  <c r="FS84" i="46"/>
  <c r="FS88" i="46"/>
  <c r="FS85" i="46"/>
  <c r="FS83" i="46"/>
  <c r="FS66" i="46"/>
  <c r="FS96" i="46"/>
  <c r="FS25" i="46"/>
  <c r="FS82" i="46"/>
  <c r="FS35" i="46"/>
  <c r="FS79" i="46"/>
  <c r="FS37" i="46"/>
  <c r="FS47" i="46"/>
  <c r="FS103" i="46"/>
  <c r="FS99" i="46"/>
  <c r="FS93" i="46"/>
  <c r="FS86" i="46"/>
  <c r="FS75" i="46"/>
  <c r="FS94" i="46"/>
  <c r="FS72" i="46"/>
  <c r="FS92" i="46"/>
  <c r="FS39" i="46"/>
  <c r="FS42" i="46"/>
  <c r="FS41" i="46"/>
  <c r="FS36" i="46"/>
  <c r="FS91" i="46"/>
  <c r="FS63" i="46"/>
  <c r="FS57" i="46"/>
  <c r="FS67" i="46"/>
  <c r="FS53" i="46"/>
  <c r="FS59" i="46"/>
  <c r="FS107" i="46"/>
  <c r="FS56" i="46"/>
  <c r="FS31" i="46"/>
  <c r="FS77" i="46"/>
  <c r="FS64" i="46"/>
  <c r="FS51" i="46"/>
  <c r="FS52" i="46"/>
  <c r="FS97" i="46"/>
  <c r="IR101" i="46"/>
  <c r="IR108" i="46"/>
  <c r="IR105" i="46"/>
  <c r="IR102" i="46"/>
  <c r="IR100" i="46"/>
  <c r="IR106" i="46"/>
  <c r="IR107" i="46"/>
  <c r="IR110" i="46"/>
  <c r="IR103" i="46"/>
  <c r="IR104" i="46"/>
  <c r="IR109" i="46"/>
  <c r="IX5" i="46"/>
  <c r="FV5" i="46"/>
  <c r="FV8" i="46" s="1"/>
  <c r="GQ5" i="46"/>
  <c r="GQ8" i="46" s="1"/>
  <c r="HJ5" i="46"/>
  <c r="HJ8" i="46" s="1"/>
  <c r="HM5" i="46"/>
  <c r="HM8" i="46" s="1"/>
  <c r="HP5" i="46"/>
  <c r="HP8" i="46" s="1"/>
  <c r="GG5" i="46"/>
  <c r="GG8" i="46" s="1"/>
  <c r="HW5" i="46"/>
  <c r="IV5" i="46"/>
  <c r="IP5" i="46"/>
  <c r="IT5" i="46"/>
  <c r="HX5" i="46"/>
  <c r="AB132" i="41"/>
  <c r="AF131" i="41"/>
  <c r="AF132" i="41" s="1"/>
  <c r="GU5" i="46"/>
  <c r="GU8" i="46" s="1"/>
  <c r="HS5" i="46"/>
  <c r="HS8" i="46" s="1"/>
  <c r="AO105" i="46"/>
  <c r="AU105" i="41" s="1"/>
  <c r="BC105" i="41" s="1"/>
  <c r="AO70" i="46"/>
  <c r="AU70" i="41" s="1"/>
  <c r="BC70" i="41" s="1"/>
  <c r="AO57" i="46"/>
  <c r="AU57" i="41" s="1"/>
  <c r="BC57" i="41" s="1"/>
  <c r="AO21" i="46"/>
  <c r="AU21" i="41" s="1"/>
  <c r="BC21" i="41" s="1"/>
  <c r="AO25" i="46"/>
  <c r="AU25" i="41" s="1"/>
  <c r="BC25" i="41" s="1"/>
  <c r="AO22" i="46"/>
  <c r="AU22" i="41" s="1"/>
  <c r="BC22" i="41" s="1"/>
  <c r="AO66" i="46"/>
  <c r="AU66" i="41" s="1"/>
  <c r="BC66" i="41" s="1"/>
  <c r="AO109" i="46"/>
  <c r="AU109" i="41" s="1"/>
  <c r="BC109" i="41" s="1"/>
  <c r="AO53" i="46"/>
  <c r="AU53" i="41" s="1"/>
  <c r="BC53" i="41" s="1"/>
  <c r="AO69" i="46"/>
  <c r="AU69" i="41" s="1"/>
  <c r="BC69" i="41" s="1"/>
  <c r="AO47" i="46"/>
  <c r="AU47" i="41" s="1"/>
  <c r="BC47" i="41" s="1"/>
  <c r="AO61" i="46"/>
  <c r="AU61" i="41" s="1"/>
  <c r="BC61" i="41" s="1"/>
  <c r="AO103" i="46"/>
  <c r="AU103" i="41" s="1"/>
  <c r="BC103" i="41" s="1"/>
  <c r="AO73" i="46"/>
  <c r="AU73" i="41" s="1"/>
  <c r="BC73" i="41" s="1"/>
  <c r="AO36" i="46"/>
  <c r="AU36" i="41" s="1"/>
  <c r="BC36" i="41" s="1"/>
  <c r="AO55" i="46"/>
  <c r="AU55" i="41" s="1"/>
  <c r="BC55" i="41" s="1"/>
  <c r="AO85" i="46"/>
  <c r="AU85" i="41" s="1"/>
  <c r="BC85" i="41" s="1"/>
  <c r="AO59" i="46"/>
  <c r="AU59" i="41" s="1"/>
  <c r="BC59" i="41" s="1"/>
  <c r="AO48" i="46"/>
  <c r="AU48" i="41" s="1"/>
  <c r="BC48" i="41" s="1"/>
  <c r="AO38" i="46"/>
  <c r="AU38" i="41" s="1"/>
  <c r="BC38" i="41" s="1"/>
  <c r="AO40" i="46"/>
  <c r="AU40" i="41" s="1"/>
  <c r="BC40" i="41" s="1"/>
  <c r="AO77" i="46"/>
  <c r="AU77" i="41" s="1"/>
  <c r="BC77" i="41" s="1"/>
  <c r="AO50" i="46"/>
  <c r="AU50" i="41" s="1"/>
  <c r="BC50" i="41" s="1"/>
  <c r="AO101" i="46"/>
  <c r="AU101" i="41" s="1"/>
  <c r="BC101" i="41" s="1"/>
  <c r="AO98" i="46"/>
  <c r="AU98" i="41" s="1"/>
  <c r="BC98" i="41" s="1"/>
  <c r="AO28" i="46"/>
  <c r="AU28" i="41" s="1"/>
  <c r="BC28" i="41" s="1"/>
  <c r="AO99" i="46"/>
  <c r="AU99" i="41" s="1"/>
  <c r="BC99" i="41" s="1"/>
  <c r="AO71" i="46"/>
  <c r="AU71" i="41" s="1"/>
  <c r="BC71" i="41" s="1"/>
  <c r="AO100" i="46"/>
  <c r="AU100" i="41" s="1"/>
  <c r="BC100" i="41" s="1"/>
  <c r="AO102" i="46"/>
  <c r="AU102" i="41" s="1"/>
  <c r="BC102" i="41" s="1"/>
  <c r="AO80" i="46"/>
  <c r="AU80" i="41" s="1"/>
  <c r="BC80" i="41" s="1"/>
  <c r="AO95" i="46"/>
  <c r="AU95" i="41" s="1"/>
  <c r="BC95" i="41" s="1"/>
  <c r="AO110" i="46"/>
  <c r="AU110" i="41" s="1"/>
  <c r="BC110" i="41" s="1"/>
  <c r="AO30" i="46"/>
  <c r="AU30" i="41" s="1"/>
  <c r="BC30" i="41" s="1"/>
  <c r="AO86" i="46"/>
  <c r="AU86" i="41" s="1"/>
  <c r="BC86" i="41" s="1"/>
  <c r="AO75" i="46"/>
  <c r="AU75" i="41" s="1"/>
  <c r="BC75" i="41" s="1"/>
  <c r="AO72" i="46"/>
  <c r="AU72" i="41" s="1"/>
  <c r="BC72" i="41" s="1"/>
  <c r="AO34" i="46"/>
  <c r="AU34" i="41" s="1"/>
  <c r="BC34" i="41" s="1"/>
  <c r="AO91" i="46"/>
  <c r="AU91" i="41" s="1"/>
  <c r="BC91" i="41" s="1"/>
  <c r="AO41" i="46"/>
  <c r="AU41" i="41" s="1"/>
  <c r="BC41" i="41" s="1"/>
  <c r="AO78" i="46"/>
  <c r="AU78" i="41" s="1"/>
  <c r="BC78" i="41" s="1"/>
  <c r="AO23" i="46"/>
  <c r="AU23" i="41" s="1"/>
  <c r="BC23" i="41" s="1"/>
  <c r="AO29" i="46"/>
  <c r="AU29" i="41" s="1"/>
  <c r="BC29" i="41" s="1"/>
  <c r="AO51" i="46"/>
  <c r="AU51" i="41" s="1"/>
  <c r="BC51" i="41" s="1"/>
  <c r="AO32" i="46"/>
  <c r="AU32" i="41" s="1"/>
  <c r="BC32" i="41" s="1"/>
  <c r="AO107" i="46"/>
  <c r="AU107" i="41" s="1"/>
  <c r="BC107" i="41" s="1"/>
  <c r="AO97" i="46"/>
  <c r="AU97" i="41" s="1"/>
  <c r="BC97" i="41" s="1"/>
  <c r="AO64" i="46"/>
  <c r="AU64" i="41" s="1"/>
  <c r="BC64" i="41" s="1"/>
  <c r="AO79" i="46"/>
  <c r="AU79" i="41" s="1"/>
  <c r="BC79" i="41" s="1"/>
  <c r="AO45" i="46"/>
  <c r="AU45" i="41" s="1"/>
  <c r="BC45" i="41" s="1"/>
  <c r="AO27" i="46"/>
  <c r="AU27" i="41" s="1"/>
  <c r="BC27" i="41" s="1"/>
  <c r="AO60" i="46"/>
  <c r="AU60" i="41" s="1"/>
  <c r="BC60" i="41" s="1"/>
  <c r="AO49" i="46"/>
  <c r="AU49" i="41" s="1"/>
  <c r="BC49" i="41" s="1"/>
  <c r="AO93" i="46"/>
  <c r="AU93" i="41" s="1"/>
  <c r="BC93" i="41" s="1"/>
  <c r="AO54" i="46"/>
  <c r="AU54" i="41" s="1"/>
  <c r="BC54" i="41" s="1"/>
  <c r="AO81" i="46"/>
  <c r="AU81" i="41" s="1"/>
  <c r="BC81" i="41" s="1"/>
  <c r="AO37" i="46"/>
  <c r="AU37" i="41" s="1"/>
  <c r="BC37" i="41" s="1"/>
  <c r="AO24" i="46"/>
  <c r="AU24" i="41" s="1"/>
  <c r="BC24" i="41" s="1"/>
  <c r="AO82" i="46"/>
  <c r="AU82" i="41" s="1"/>
  <c r="BC82" i="41" s="1"/>
  <c r="AO39" i="46"/>
  <c r="AU39" i="41" s="1"/>
  <c r="BC39" i="41" s="1"/>
  <c r="AO31" i="46"/>
  <c r="AU31" i="41" s="1"/>
  <c r="BC31" i="41" s="1"/>
  <c r="AO67" i="46"/>
  <c r="AU67" i="41" s="1"/>
  <c r="BC67" i="41" s="1"/>
  <c r="AO35" i="46"/>
  <c r="AU35" i="41" s="1"/>
  <c r="BC35" i="41" s="1"/>
  <c r="AO88" i="46"/>
  <c r="AU88" i="41" s="1"/>
  <c r="BC88" i="41" s="1"/>
  <c r="AO43" i="46"/>
  <c r="AU43" i="41" s="1"/>
  <c r="BC43" i="41" s="1"/>
  <c r="AO92" i="46"/>
  <c r="AU92" i="41" s="1"/>
  <c r="BC92" i="41" s="1"/>
  <c r="AO63" i="46"/>
  <c r="AU63" i="41" s="1"/>
  <c r="BC63" i="41" s="1"/>
  <c r="AO104" i="46"/>
  <c r="AU104" i="41" s="1"/>
  <c r="BC104" i="41" s="1"/>
  <c r="AO58" i="46"/>
  <c r="AU58" i="41" s="1"/>
  <c r="BC58" i="41" s="1"/>
  <c r="AO90" i="46"/>
  <c r="AU90" i="41" s="1"/>
  <c r="BC90" i="41" s="1"/>
  <c r="AO46" i="46"/>
  <c r="AU46" i="41" s="1"/>
  <c r="BC46" i="41" s="1"/>
  <c r="AO62" i="46"/>
  <c r="AU62" i="41" s="1"/>
  <c r="BC62" i="41" s="1"/>
  <c r="AO74" i="46"/>
  <c r="AU74" i="41" s="1"/>
  <c r="BC74" i="41" s="1"/>
  <c r="AO44" i="46"/>
  <c r="AU44" i="41" s="1"/>
  <c r="BC44" i="41" s="1"/>
  <c r="AO68" i="46"/>
  <c r="AU68" i="41" s="1"/>
  <c r="BC68" i="41" s="1"/>
  <c r="AO96" i="46"/>
  <c r="AU96" i="41" s="1"/>
  <c r="BC96" i="41" s="1"/>
  <c r="AO65" i="46"/>
  <c r="AU65" i="41" s="1"/>
  <c r="BC65" i="41" s="1"/>
  <c r="AO94" i="46"/>
  <c r="AU94" i="41" s="1"/>
  <c r="BC94" i="41" s="1"/>
  <c r="AO84" i="46"/>
  <c r="AU84" i="41" s="1"/>
  <c r="BC84" i="41" s="1"/>
  <c r="AO89" i="46"/>
  <c r="AU89" i="41" s="1"/>
  <c r="BC89" i="41" s="1"/>
  <c r="AO106" i="46"/>
  <c r="AU106" i="41" s="1"/>
  <c r="BC106" i="41" s="1"/>
  <c r="AO87" i="46"/>
  <c r="AU87" i="41" s="1"/>
  <c r="BC87" i="41" s="1"/>
  <c r="AO76" i="46"/>
  <c r="AU76" i="41" s="1"/>
  <c r="BC76" i="41" s="1"/>
  <c r="AO33" i="46"/>
  <c r="AU33" i="41" s="1"/>
  <c r="BC33" i="41" s="1"/>
  <c r="AO56" i="46"/>
  <c r="AU56" i="41" s="1"/>
  <c r="BC56" i="41" s="1"/>
  <c r="AO42" i="46"/>
  <c r="AU42" i="41" s="1"/>
  <c r="BC42" i="41" s="1"/>
  <c r="AO52" i="46"/>
  <c r="AU52" i="41" s="1"/>
  <c r="BC52" i="41" s="1"/>
  <c r="AO83" i="46"/>
  <c r="AU83" i="41" s="1"/>
  <c r="BC83" i="41" s="1"/>
  <c r="AO26" i="46"/>
  <c r="AU26" i="41" s="1"/>
  <c r="BC26" i="41" s="1"/>
  <c r="AO108" i="46"/>
  <c r="AU108" i="41" s="1"/>
  <c r="BC108" i="41" s="1"/>
  <c r="GV5" i="46"/>
  <c r="GV8" i="46" s="1"/>
  <c r="HN5" i="46"/>
  <c r="HN8" i="46" s="1"/>
  <c r="IC5" i="46"/>
  <c r="IF5" i="46"/>
  <c r="FZ5" i="46"/>
  <c r="FZ8" i="46" s="1"/>
  <c r="FQ110" i="46"/>
  <c r="FQ65" i="46"/>
  <c r="FQ22" i="46"/>
  <c r="FQ68" i="46"/>
  <c r="FQ90" i="46"/>
  <c r="FQ53" i="46"/>
  <c r="FQ83" i="46"/>
  <c r="FQ95" i="46"/>
  <c r="FQ64" i="46"/>
  <c r="FQ29" i="46"/>
  <c r="FQ82" i="46"/>
  <c r="FQ109" i="46"/>
  <c r="FQ59" i="46"/>
  <c r="FQ44" i="46"/>
  <c r="FQ67" i="46"/>
  <c r="FQ99" i="46"/>
  <c r="FQ32" i="46"/>
  <c r="FQ81" i="46"/>
  <c r="FQ62" i="46"/>
  <c r="FQ50" i="46"/>
  <c r="FQ48" i="46"/>
  <c r="FQ23" i="46"/>
  <c r="FQ60" i="46"/>
  <c r="FQ92" i="46"/>
  <c r="FQ91" i="46"/>
  <c r="FQ101" i="46"/>
  <c r="FQ27" i="46"/>
  <c r="FQ74" i="46"/>
  <c r="FQ55" i="46"/>
  <c r="FQ98" i="46"/>
  <c r="FQ84" i="46"/>
  <c r="FQ30" i="46"/>
  <c r="FQ87" i="46"/>
  <c r="FQ63" i="46"/>
  <c r="FQ86" i="46"/>
  <c r="FQ78" i="46"/>
  <c r="FQ93" i="46"/>
  <c r="FQ89" i="46"/>
  <c r="FQ56" i="46"/>
  <c r="FQ104" i="46"/>
  <c r="FQ71" i="46"/>
  <c r="FQ38" i="46"/>
  <c r="FQ107" i="46"/>
  <c r="FQ61" i="46"/>
  <c r="FQ88" i="46"/>
  <c r="FQ34" i="46"/>
  <c r="FQ69" i="46"/>
  <c r="FQ106" i="46"/>
  <c r="FQ77" i="46"/>
  <c r="FQ35" i="46"/>
  <c r="FQ33" i="46"/>
  <c r="FQ97" i="46"/>
  <c r="FQ51" i="46"/>
  <c r="FQ108" i="46"/>
  <c r="FQ66" i="46"/>
  <c r="FQ76" i="46"/>
  <c r="FQ46" i="46"/>
  <c r="FQ43" i="46"/>
  <c r="FQ80" i="46"/>
  <c r="FQ24" i="46"/>
  <c r="FQ37" i="46"/>
  <c r="FQ73" i="46"/>
  <c r="FQ42" i="46"/>
  <c r="FQ105" i="46"/>
  <c r="FQ31" i="46"/>
  <c r="FQ45" i="46"/>
  <c r="FQ94" i="46"/>
  <c r="FQ103" i="46"/>
  <c r="FQ75" i="46"/>
  <c r="FQ28" i="46"/>
  <c r="FQ57" i="46"/>
  <c r="FQ25" i="46"/>
  <c r="FQ72" i="46"/>
  <c r="FQ36" i="46"/>
  <c r="FQ100" i="46"/>
  <c r="FQ102" i="46"/>
  <c r="FQ52" i="46"/>
  <c r="FQ40" i="46"/>
  <c r="FQ21" i="46"/>
  <c r="FQ26" i="46"/>
  <c r="FQ41" i="46"/>
  <c r="FQ58" i="46"/>
  <c r="FQ85" i="46"/>
  <c r="FQ49" i="46"/>
  <c r="FQ79" i="46"/>
  <c r="FQ96" i="46"/>
  <c r="FQ39" i="46"/>
  <c r="FQ70" i="46"/>
  <c r="FQ47" i="46"/>
  <c r="FQ54" i="46"/>
  <c r="HD5" i="46"/>
  <c r="HD8" i="46" s="1"/>
  <c r="AJ23" i="38"/>
  <c r="AK23" i="38" s="1"/>
  <c r="AF24" i="38"/>
  <c r="AG23" i="38"/>
  <c r="AH23" i="38" s="1"/>
  <c r="CR109" i="38" l="1"/>
  <c r="DB50" i="38"/>
  <c r="DK21" i="38" s="1"/>
  <c r="CY50" i="38"/>
  <c r="CR70" i="38"/>
  <c r="CR36" i="38"/>
  <c r="CR48" i="38"/>
  <c r="CR82" i="38"/>
  <c r="CR74" i="38"/>
  <c r="CR72" i="38"/>
  <c r="CR65" i="38"/>
  <c r="CR56" i="38"/>
  <c r="CR100" i="38"/>
  <c r="CR101" i="38"/>
  <c r="CR64" i="38"/>
  <c r="BW45" i="41"/>
  <c r="CR108" i="38"/>
  <c r="BW74" i="41"/>
  <c r="CR53" i="38"/>
  <c r="BW65" i="41"/>
  <c r="BW101" i="41"/>
  <c r="BW36" i="41"/>
  <c r="BW56" i="41"/>
  <c r="CR91" i="38"/>
  <c r="BW48" i="41"/>
  <c r="CR76" i="38"/>
  <c r="CR107" i="38"/>
  <c r="FS8" i="38"/>
  <c r="FR8" i="38" s="1"/>
  <c r="F13" i="38" s="1"/>
  <c r="K1" i="10" s="1"/>
  <c r="CR49" i="38"/>
  <c r="BW92" i="41"/>
  <c r="CR87" i="38"/>
  <c r="CR54" i="38"/>
  <c r="CR37" i="38"/>
  <c r="CR88" i="38"/>
  <c r="CR42" i="38"/>
  <c r="CR105" i="38"/>
  <c r="BW39" i="41"/>
  <c r="CR90" i="38"/>
  <c r="CR57" i="38"/>
  <c r="CR104" i="38"/>
  <c r="CR63" i="38"/>
  <c r="CR84" i="38"/>
  <c r="CR71" i="38"/>
  <c r="CR85" i="38"/>
  <c r="BW38" i="41"/>
  <c r="CR62" i="38"/>
  <c r="CR102" i="38"/>
  <c r="CR67" i="38"/>
  <c r="CR103" i="38"/>
  <c r="CR95" i="38"/>
  <c r="BW78" i="41"/>
  <c r="CR83" i="38"/>
  <c r="CR60" i="38"/>
  <c r="BW72" i="41"/>
  <c r="CR81" i="38"/>
  <c r="CR41" i="38"/>
  <c r="CR68" i="38"/>
  <c r="CR61" i="38"/>
  <c r="CR66" i="38"/>
  <c r="CR50" i="38"/>
  <c r="CR86" i="38"/>
  <c r="BW100" i="41"/>
  <c r="CR99" i="38"/>
  <c r="BW82" i="41"/>
  <c r="BW102" i="41"/>
  <c r="CR46" i="38"/>
  <c r="CR89" i="38"/>
  <c r="CR69" i="38"/>
  <c r="CR106" i="38"/>
  <c r="CR77" i="38"/>
  <c r="CR44" i="38"/>
  <c r="CR79" i="38"/>
  <c r="CR94" i="38"/>
  <c r="CR97" i="38"/>
  <c r="CR75" i="38"/>
  <c r="CR80" i="38"/>
  <c r="CR35" i="38"/>
  <c r="CR93" i="38"/>
  <c r="CR73" i="38"/>
  <c r="BW109" i="41"/>
  <c r="CR52" i="38"/>
  <c r="CR98" i="38"/>
  <c r="CR47" i="38"/>
  <c r="AG20" i="46"/>
  <c r="AH20" i="46" s="1"/>
  <c r="BW70" i="41"/>
  <c r="CR55" i="38"/>
  <c r="CR110" i="38"/>
  <c r="CR51" i="38"/>
  <c r="BW86" i="41"/>
  <c r="BW73" i="41"/>
  <c r="CR21" i="38"/>
  <c r="CR59" i="38"/>
  <c r="BW46" i="41"/>
  <c r="CR58" i="38"/>
  <c r="CR40" i="38"/>
  <c r="CR32" i="38"/>
  <c r="CR43" i="38"/>
  <c r="CR96" i="38"/>
  <c r="AF21" i="46"/>
  <c r="AG21" i="46" s="1"/>
  <c r="AH21" i="46" s="1"/>
  <c r="T118" i="45"/>
  <c r="W117" i="45"/>
  <c r="IY5" i="46"/>
  <c r="GZ5" i="46"/>
  <c r="GZ8" i="46" s="1"/>
  <c r="GO5" i="46"/>
  <c r="GO8" i="46" s="1"/>
  <c r="FY5" i="46"/>
  <c r="FY8" i="46" s="1"/>
  <c r="IZ5" i="46"/>
  <c r="HL5" i="46"/>
  <c r="HL8" i="46" s="1"/>
  <c r="GB5" i="46"/>
  <c r="GB8" i="46" s="1"/>
  <c r="HY5" i="46"/>
  <c r="FP5" i="46"/>
  <c r="FP8" i="46" s="1"/>
  <c r="IQ5" i="46"/>
  <c r="HZ5" i="46"/>
  <c r="FT5" i="46"/>
  <c r="FT8" i="46" s="1"/>
  <c r="GR5" i="46"/>
  <c r="GR8" i="46" s="1"/>
  <c r="IB5" i="46"/>
  <c r="FO22" i="46"/>
  <c r="GI5" i="46"/>
  <c r="GI8" i="46" s="1"/>
  <c r="IO5" i="46"/>
  <c r="HH5" i="46"/>
  <c r="HH8" i="46" s="1"/>
  <c r="GW5" i="46"/>
  <c r="GW8" i="46" s="1"/>
  <c r="IJ5" i="46"/>
  <c r="HC5" i="46"/>
  <c r="HC8" i="46" s="1"/>
  <c r="FW5" i="46"/>
  <c r="FW8" i="46" s="1"/>
  <c r="HE5" i="46"/>
  <c r="HE8" i="46" s="1"/>
  <c r="GY5" i="46"/>
  <c r="GY8" i="46" s="1"/>
  <c r="IN5" i="46"/>
  <c r="HF5" i="46"/>
  <c r="HF8" i="46" s="1"/>
  <c r="HK5" i="46"/>
  <c r="HK8" i="46" s="1"/>
  <c r="FX5" i="46"/>
  <c r="FX8" i="46" s="1"/>
  <c r="FO39" i="46"/>
  <c r="FO85" i="46"/>
  <c r="FO100" i="46"/>
  <c r="FO57" i="46"/>
  <c r="FO94" i="46"/>
  <c r="FO42" i="46"/>
  <c r="FO80" i="46"/>
  <c r="FO66" i="46"/>
  <c r="FO33" i="46"/>
  <c r="FO69" i="46"/>
  <c r="FO107" i="46"/>
  <c r="FO56" i="46"/>
  <c r="FO86" i="46"/>
  <c r="FO84" i="46"/>
  <c r="FO27" i="46"/>
  <c r="FO60" i="46"/>
  <c r="FO62" i="46"/>
  <c r="FO67" i="46"/>
  <c r="FO82" i="46"/>
  <c r="FO83" i="46"/>
  <c r="IH5" i="46"/>
  <c r="FO29" i="46"/>
  <c r="GC5" i="46"/>
  <c r="GC8" i="46" s="1"/>
  <c r="IE5" i="46"/>
  <c r="IW5" i="46"/>
  <c r="IS5" i="46"/>
  <c r="IA5" i="46"/>
  <c r="GD5" i="46"/>
  <c r="GD8" i="46" s="1"/>
  <c r="ID5" i="46"/>
  <c r="II5" i="46"/>
  <c r="HQ5" i="46"/>
  <c r="HQ8" i="46" s="1"/>
  <c r="HA5" i="46"/>
  <c r="HA8" i="46" s="1"/>
  <c r="GN5" i="46"/>
  <c r="GN8" i="46" s="1"/>
  <c r="GH5" i="46"/>
  <c r="GH8" i="46" s="1"/>
  <c r="GP5" i="46"/>
  <c r="GP8" i="46" s="1"/>
  <c r="GM5" i="46"/>
  <c r="GM8" i="46" s="1"/>
  <c r="IU5" i="46"/>
  <c r="HI5" i="46"/>
  <c r="HI8" i="46" s="1"/>
  <c r="HO5" i="46"/>
  <c r="HO8" i="46" s="1"/>
  <c r="GT5" i="46"/>
  <c r="GT8" i="46" s="1"/>
  <c r="HU5" i="46"/>
  <c r="HU8" i="46" s="1"/>
  <c r="GA5" i="46"/>
  <c r="GA8" i="46" s="1"/>
  <c r="HR5" i="46"/>
  <c r="HR8" i="46" s="1"/>
  <c r="FR5" i="46"/>
  <c r="FR8" i="46" s="1"/>
  <c r="FO52" i="46"/>
  <c r="FO31" i="46"/>
  <c r="FO71" i="46"/>
  <c r="GK5" i="46"/>
  <c r="GK8" i="46" s="1"/>
  <c r="GJ5" i="46"/>
  <c r="GJ8" i="46" s="1"/>
  <c r="IG5" i="46"/>
  <c r="GF5" i="46"/>
  <c r="GF8" i="46" s="1"/>
  <c r="HG5" i="46"/>
  <c r="HG8" i="46" s="1"/>
  <c r="FO24" i="46"/>
  <c r="FO30" i="46"/>
  <c r="FO70" i="46"/>
  <c r="FO49" i="46"/>
  <c r="FO26" i="46"/>
  <c r="FO102" i="46"/>
  <c r="FO25" i="46"/>
  <c r="FO103" i="46"/>
  <c r="FO105" i="46"/>
  <c r="FO76" i="46"/>
  <c r="FO97" i="46"/>
  <c r="FO106" i="46"/>
  <c r="FO61" i="46"/>
  <c r="FO104" i="46"/>
  <c r="FO78" i="46"/>
  <c r="FO74" i="46"/>
  <c r="FO92" i="46"/>
  <c r="FO50" i="46"/>
  <c r="FO99" i="46"/>
  <c r="FO109" i="46"/>
  <c r="FO95" i="46"/>
  <c r="FO68" i="46"/>
  <c r="JA5" i="46"/>
  <c r="IL5" i="46"/>
  <c r="GX5" i="46"/>
  <c r="GX8" i="46" s="1"/>
  <c r="FS5" i="46"/>
  <c r="FS8" i="46" s="1"/>
  <c r="FO54" i="46"/>
  <c r="FO96" i="46"/>
  <c r="FO58" i="46"/>
  <c r="FO40" i="46"/>
  <c r="FO36" i="46"/>
  <c r="FO28" i="46"/>
  <c r="FO45" i="46"/>
  <c r="FO73" i="46"/>
  <c r="FO43" i="46"/>
  <c r="FO108" i="46"/>
  <c r="FO35" i="46"/>
  <c r="FO34" i="46"/>
  <c r="FO38" i="46"/>
  <c r="FO89" i="46"/>
  <c r="FO63" i="46"/>
  <c r="FO98" i="46"/>
  <c r="FO101" i="46"/>
  <c r="FO23" i="46"/>
  <c r="FO81" i="46"/>
  <c r="FO44" i="46"/>
  <c r="FO53" i="46"/>
  <c r="FO65" i="46"/>
  <c r="IR5" i="46"/>
  <c r="IM5" i="46"/>
  <c r="HB5" i="46"/>
  <c r="HB8" i="46" s="1"/>
  <c r="GL5" i="46"/>
  <c r="GL8" i="46" s="1"/>
  <c r="GE5" i="46"/>
  <c r="GE8" i="46" s="1"/>
  <c r="HV5" i="46"/>
  <c r="HV8" i="46" s="1"/>
  <c r="FO47" i="46"/>
  <c r="FO79" i="46"/>
  <c r="FO41" i="46"/>
  <c r="FO72" i="46"/>
  <c r="FO75" i="46"/>
  <c r="FO37" i="46"/>
  <c r="FO46" i="46"/>
  <c r="FO51" i="46"/>
  <c r="FO77" i="46"/>
  <c r="FO88" i="46"/>
  <c r="FO93" i="46"/>
  <c r="FO87" i="46"/>
  <c r="FO55" i="46"/>
  <c r="FO91" i="46"/>
  <c r="FO48" i="46"/>
  <c r="FO32" i="46"/>
  <c r="FO59" i="46"/>
  <c r="FO64" i="46"/>
  <c r="FO90" i="46"/>
  <c r="FO110" i="46"/>
  <c r="FU5" i="46"/>
  <c r="FU8" i="46" s="1"/>
  <c r="FQ5" i="46"/>
  <c r="FO21" i="46"/>
  <c r="AF25" i="38"/>
  <c r="AJ24" i="38"/>
  <c r="AK24" i="38" s="1"/>
  <c r="AG24" i="38"/>
  <c r="AH24" i="38" s="1"/>
  <c r="AH23" i="41"/>
  <c r="AL23" i="41" s="1"/>
  <c r="CY51" i="38" l="1"/>
  <c r="DD50" i="38"/>
  <c r="AJ21" i="46"/>
  <c r="AK21" i="46" s="1"/>
  <c r="AJ21" i="41" s="1"/>
  <c r="AF22" i="46"/>
  <c r="AJ22" i="46" s="1"/>
  <c r="AK22" i="46" s="1"/>
  <c r="AJ22" i="41" s="1"/>
  <c r="T119" i="45"/>
  <c r="T120" i="45"/>
  <c r="U113" i="45"/>
  <c r="V113" i="45" s="1"/>
  <c r="U118" i="45"/>
  <c r="V118" i="45" s="1"/>
  <c r="W118" i="45"/>
  <c r="U116" i="45"/>
  <c r="V116" i="45" s="1"/>
  <c r="U112" i="45"/>
  <c r="V112" i="45" s="1"/>
  <c r="U114" i="45"/>
  <c r="V114" i="45" s="1"/>
  <c r="FQ8" i="46"/>
  <c r="FO8" i="46" s="1"/>
  <c r="F13" i="46" s="1"/>
  <c r="M1" i="10" s="1"/>
  <c r="FO5" i="46"/>
  <c r="AH24" i="41"/>
  <c r="AL24" i="41" s="1"/>
  <c r="AJ25" i="38"/>
  <c r="AK25" i="38" s="1"/>
  <c r="AG25" i="38"/>
  <c r="AH25" i="38" s="1"/>
  <c r="AF26" i="38"/>
  <c r="CY52" i="38" l="1"/>
  <c r="DD51" i="38"/>
  <c r="AF23" i="46"/>
  <c r="AG23" i="46" s="1"/>
  <c r="AH23" i="46" s="1"/>
  <c r="AG22" i="46"/>
  <c r="AH22" i="46" s="1"/>
  <c r="U81" i="45"/>
  <c r="V81" i="45" s="1"/>
  <c r="FM81" i="45" s="1"/>
  <c r="U51" i="45"/>
  <c r="V51" i="45" s="1"/>
  <c r="AA51" i="45" s="1"/>
  <c r="U46" i="45"/>
  <c r="V46" i="45" s="1"/>
  <c r="FM46" i="45" s="1"/>
  <c r="U27" i="45"/>
  <c r="V27" i="45" s="1"/>
  <c r="FM27" i="45" s="1"/>
  <c r="U39" i="45"/>
  <c r="V39" i="45" s="1"/>
  <c r="FM39" i="45" s="1"/>
  <c r="U60" i="45"/>
  <c r="V60" i="45" s="1"/>
  <c r="AA60" i="45" s="1"/>
  <c r="U53" i="45"/>
  <c r="V53" i="45" s="1"/>
  <c r="FM53" i="45" s="1"/>
  <c r="U42" i="45"/>
  <c r="V42" i="45" s="1"/>
  <c r="FM42" i="45" s="1"/>
  <c r="U99" i="45"/>
  <c r="V99" i="45" s="1"/>
  <c r="AA99" i="45" s="1"/>
  <c r="U101" i="45"/>
  <c r="V101" i="45" s="1"/>
  <c r="FM101" i="45" s="1"/>
  <c r="U24" i="45"/>
  <c r="V24" i="45" s="1"/>
  <c r="FM24" i="45" s="1"/>
  <c r="U69" i="45"/>
  <c r="V69" i="45" s="1"/>
  <c r="FM69" i="45" s="1"/>
  <c r="U95" i="45"/>
  <c r="V95" i="45" s="1"/>
  <c r="AA95" i="45" s="1"/>
  <c r="U30" i="45"/>
  <c r="V30" i="45" s="1"/>
  <c r="FM30" i="45" s="1"/>
  <c r="U72" i="45"/>
  <c r="V72" i="45" s="1"/>
  <c r="AA72" i="45" s="1"/>
  <c r="U79" i="45"/>
  <c r="V79" i="45" s="1"/>
  <c r="AA79" i="45" s="1"/>
  <c r="U94" i="45"/>
  <c r="V94" i="45" s="1"/>
  <c r="AA94" i="45" s="1"/>
  <c r="U54" i="45"/>
  <c r="V54" i="45" s="1"/>
  <c r="FM54" i="45" s="1"/>
  <c r="U86" i="45"/>
  <c r="V86" i="45" s="1"/>
  <c r="AA86" i="45" s="1"/>
  <c r="U29" i="45"/>
  <c r="V29" i="45" s="1"/>
  <c r="FM29" i="45" s="1"/>
  <c r="U73" i="45"/>
  <c r="V73" i="45" s="1"/>
  <c r="AA73" i="45" s="1"/>
  <c r="U43" i="45"/>
  <c r="V43" i="45" s="1"/>
  <c r="FM43" i="45" s="1"/>
  <c r="U106" i="45"/>
  <c r="V106" i="45" s="1"/>
  <c r="AA106" i="45" s="1"/>
  <c r="U25" i="45"/>
  <c r="V25" i="45" s="1"/>
  <c r="FM25" i="45" s="1"/>
  <c r="U75" i="45"/>
  <c r="V75" i="45" s="1"/>
  <c r="AA75" i="45" s="1"/>
  <c r="U78" i="45"/>
  <c r="V78" i="45" s="1"/>
  <c r="FM78" i="45" s="1"/>
  <c r="U31" i="45"/>
  <c r="V31" i="45" s="1"/>
  <c r="FM31" i="45" s="1"/>
  <c r="U110" i="45"/>
  <c r="V110" i="45" s="1"/>
  <c r="AA110" i="45" s="1"/>
  <c r="U56" i="45"/>
  <c r="V56" i="45" s="1"/>
  <c r="AA56" i="45" s="1"/>
  <c r="U65" i="45"/>
  <c r="V65" i="45" s="1"/>
  <c r="FM65" i="45" s="1"/>
  <c r="U62" i="45"/>
  <c r="V62" i="45" s="1"/>
  <c r="AA62" i="45" s="1"/>
  <c r="U109" i="45"/>
  <c r="V109" i="45" s="1"/>
  <c r="FM109" i="45" s="1"/>
  <c r="U70" i="45"/>
  <c r="V70" i="45" s="1"/>
  <c r="FM70" i="45" s="1"/>
  <c r="U90" i="45"/>
  <c r="V90" i="45" s="1"/>
  <c r="FM90" i="45" s="1"/>
  <c r="U57" i="45"/>
  <c r="V57" i="45" s="1"/>
  <c r="FM57" i="45" s="1"/>
  <c r="U61" i="45"/>
  <c r="V61" i="45" s="1"/>
  <c r="FM61" i="45" s="1"/>
  <c r="U58" i="45"/>
  <c r="V58" i="45" s="1"/>
  <c r="FM58" i="45" s="1"/>
  <c r="U97" i="45"/>
  <c r="V97" i="45" s="1"/>
  <c r="AA97" i="45" s="1"/>
  <c r="U64" i="45"/>
  <c r="V64" i="45" s="1"/>
  <c r="FM64" i="45" s="1"/>
  <c r="U80" i="45"/>
  <c r="V80" i="45" s="1"/>
  <c r="AA80" i="45" s="1"/>
  <c r="U55" i="45"/>
  <c r="V55" i="45" s="1"/>
  <c r="AA55" i="45" s="1"/>
  <c r="U93" i="45"/>
  <c r="V93" i="45" s="1"/>
  <c r="AA93" i="45" s="1"/>
  <c r="U21" i="45"/>
  <c r="V21" i="45" s="1"/>
  <c r="FM21" i="45" s="1"/>
  <c r="U44" i="45"/>
  <c r="V44" i="45" s="1"/>
  <c r="FM44" i="45" s="1"/>
  <c r="U59" i="45"/>
  <c r="V59" i="45" s="1"/>
  <c r="AA59" i="45" s="1"/>
  <c r="U32" i="45"/>
  <c r="V32" i="45" s="1"/>
  <c r="AA32" i="45" s="1"/>
  <c r="FM118" i="45"/>
  <c r="AA118" i="45"/>
  <c r="FM113" i="45"/>
  <c r="AA113" i="45"/>
  <c r="U37" i="45"/>
  <c r="V37" i="45" s="1"/>
  <c r="U66" i="45"/>
  <c r="V66" i="45" s="1"/>
  <c r="U104" i="45"/>
  <c r="V104" i="45" s="1"/>
  <c r="U71" i="45"/>
  <c r="V71" i="45" s="1"/>
  <c r="FM114" i="45"/>
  <c r="AA114" i="45"/>
  <c r="AA39" i="45"/>
  <c r="X118" i="45"/>
  <c r="Y118" i="45" s="1"/>
  <c r="U34" i="45"/>
  <c r="V34" i="45" s="1"/>
  <c r="U120" i="45"/>
  <c r="V120" i="45" s="1"/>
  <c r="W120" i="45"/>
  <c r="U111" i="45"/>
  <c r="V111" i="45" s="1"/>
  <c r="U23" i="45"/>
  <c r="V23" i="45" s="1"/>
  <c r="U100" i="45"/>
  <c r="V100" i="45" s="1"/>
  <c r="U38" i="45"/>
  <c r="V38" i="45" s="1"/>
  <c r="U82" i="45"/>
  <c r="V82" i="45" s="1"/>
  <c r="U40" i="45"/>
  <c r="V40" i="45" s="1"/>
  <c r="U76" i="45"/>
  <c r="V76" i="45" s="1"/>
  <c r="U87" i="45"/>
  <c r="V87" i="45" s="1"/>
  <c r="U85" i="45"/>
  <c r="V85" i="45" s="1"/>
  <c r="U28" i="45"/>
  <c r="V28" i="45" s="1"/>
  <c r="FM112" i="45"/>
  <c r="AA112" i="45"/>
  <c r="FM116" i="45"/>
  <c r="AA116" i="45"/>
  <c r="V119" i="45"/>
  <c r="U119" i="45"/>
  <c r="W119" i="45"/>
  <c r="U117" i="45"/>
  <c r="V117" i="45" s="1"/>
  <c r="U48" i="45"/>
  <c r="V48" i="45" s="1"/>
  <c r="U50" i="45"/>
  <c r="V50" i="45" s="1"/>
  <c r="U108" i="45"/>
  <c r="V108" i="45" s="1"/>
  <c r="U22" i="45"/>
  <c r="V22" i="45" s="1"/>
  <c r="U68" i="45"/>
  <c r="V68" i="45" s="1"/>
  <c r="U45" i="45"/>
  <c r="V45" i="45" s="1"/>
  <c r="U74" i="45"/>
  <c r="V74" i="45" s="1"/>
  <c r="U107" i="45"/>
  <c r="V107" i="45" s="1"/>
  <c r="U89" i="45"/>
  <c r="V89" i="45" s="1"/>
  <c r="U63" i="45"/>
  <c r="V63" i="45" s="1"/>
  <c r="U103" i="45"/>
  <c r="V103" i="45" s="1"/>
  <c r="U102" i="45"/>
  <c r="V102" i="45" s="1"/>
  <c r="U88" i="45"/>
  <c r="V88" i="45" s="1"/>
  <c r="U84" i="45"/>
  <c r="V84" i="45" s="1"/>
  <c r="U52" i="45"/>
  <c r="V52" i="45" s="1"/>
  <c r="U105" i="45"/>
  <c r="V105" i="45" s="1"/>
  <c r="U91" i="45"/>
  <c r="V91" i="45" s="1"/>
  <c r="U96" i="45"/>
  <c r="V96" i="45" s="1"/>
  <c r="U98" i="45"/>
  <c r="V98" i="45" s="1"/>
  <c r="U92" i="45"/>
  <c r="V92" i="45" s="1"/>
  <c r="U26" i="45"/>
  <c r="V26" i="45" s="1"/>
  <c r="U35" i="45"/>
  <c r="V35" i="45" s="1"/>
  <c r="U83" i="45"/>
  <c r="V83" i="45" s="1"/>
  <c r="U49" i="45"/>
  <c r="V49" i="45" s="1"/>
  <c r="U77" i="45"/>
  <c r="V77" i="45" s="1"/>
  <c r="U41" i="45"/>
  <c r="V41" i="45" s="1"/>
  <c r="U20" i="45"/>
  <c r="V20" i="45" s="1"/>
  <c r="U33" i="45"/>
  <c r="V33" i="45" s="1"/>
  <c r="U67" i="45"/>
  <c r="V67" i="45" s="1"/>
  <c r="U115" i="45"/>
  <c r="V115" i="45" s="1"/>
  <c r="U47" i="45"/>
  <c r="V47" i="45" s="1"/>
  <c r="U36" i="45"/>
  <c r="V36" i="45" s="1"/>
  <c r="AJ26" i="38"/>
  <c r="AK26" i="38" s="1"/>
  <c r="AG26" i="38"/>
  <c r="AH26" i="38" s="1"/>
  <c r="AF27" i="38"/>
  <c r="AH25" i="41"/>
  <c r="CY53" i="38" l="1"/>
  <c r="DD52" i="38"/>
  <c r="AI136" i="41"/>
  <c r="AL25" i="41"/>
  <c r="AF24" i="46"/>
  <c r="AG24" i="46" s="1"/>
  <c r="AH24" i="46" s="1"/>
  <c r="AJ23" i="46"/>
  <c r="AK23" i="46" s="1"/>
  <c r="AJ23" i="41" s="1"/>
  <c r="AA81" i="45"/>
  <c r="AA46" i="45"/>
  <c r="FM51" i="45"/>
  <c r="AA27" i="45"/>
  <c r="AA42" i="45"/>
  <c r="AA53" i="45"/>
  <c r="FM99" i="45"/>
  <c r="FM60" i="45"/>
  <c r="AA101" i="45"/>
  <c r="FM97" i="45"/>
  <c r="AA30" i="45"/>
  <c r="AA24" i="45"/>
  <c r="FM73" i="45"/>
  <c r="FM80" i="45"/>
  <c r="FM110" i="45"/>
  <c r="AA61" i="45"/>
  <c r="AA29" i="45"/>
  <c r="FM79" i="45"/>
  <c r="FM75" i="45"/>
  <c r="AA109" i="45"/>
  <c r="AA69" i="45"/>
  <c r="AA44" i="45"/>
  <c r="AA25" i="45"/>
  <c r="X83" i="45"/>
  <c r="Y83" i="45" s="1"/>
  <c r="FL83" i="45" s="1"/>
  <c r="FM95" i="45"/>
  <c r="FM72" i="45"/>
  <c r="FM59" i="45"/>
  <c r="FM94" i="45"/>
  <c r="FM56" i="45"/>
  <c r="AA31" i="45"/>
  <c r="FM86" i="45"/>
  <c r="AA54" i="45"/>
  <c r="AA57" i="45"/>
  <c r="FM62" i="45"/>
  <c r="AA21" i="45"/>
  <c r="FM106" i="45"/>
  <c r="AA65" i="45"/>
  <c r="AA64" i="45"/>
  <c r="FM93" i="45"/>
  <c r="AA90" i="45"/>
  <c r="FM55" i="45"/>
  <c r="AA58" i="45"/>
  <c r="AA70" i="45"/>
  <c r="AA78" i="45"/>
  <c r="AA43" i="45"/>
  <c r="FM32" i="45"/>
  <c r="X110" i="45"/>
  <c r="Y110" i="45" s="1"/>
  <c r="FL110" i="45" s="1"/>
  <c r="X33" i="45"/>
  <c r="Y33" i="45" s="1"/>
  <c r="Z33" i="45" s="1"/>
  <c r="X70" i="45"/>
  <c r="Y70" i="45" s="1"/>
  <c r="Z70" i="45" s="1"/>
  <c r="X102" i="45"/>
  <c r="Y102" i="45" s="1"/>
  <c r="FL102" i="45" s="1"/>
  <c r="X78" i="45"/>
  <c r="Y78" i="45" s="1"/>
  <c r="FL78" i="45" s="1"/>
  <c r="X80" i="45"/>
  <c r="Y80" i="45" s="1"/>
  <c r="Z80" i="45" s="1"/>
  <c r="X32" i="45"/>
  <c r="Y32" i="45" s="1"/>
  <c r="Z32" i="45" s="1"/>
  <c r="X106" i="45"/>
  <c r="Y106" i="45" s="1"/>
  <c r="FL106" i="45" s="1"/>
  <c r="X65" i="45"/>
  <c r="Y65" i="45" s="1"/>
  <c r="Z65" i="45" s="1"/>
  <c r="X64" i="45"/>
  <c r="Y64" i="45" s="1"/>
  <c r="Z64" i="45" s="1"/>
  <c r="X97" i="45"/>
  <c r="Y97" i="45" s="1"/>
  <c r="Z97" i="45" s="1"/>
  <c r="X61" i="45"/>
  <c r="Y61" i="45" s="1"/>
  <c r="Z61" i="45" s="1"/>
  <c r="X98" i="45"/>
  <c r="Y98" i="45" s="1"/>
  <c r="FL98" i="45" s="1"/>
  <c r="X59" i="45"/>
  <c r="Y59" i="45" s="1"/>
  <c r="FL59" i="45" s="1"/>
  <c r="FL70" i="45"/>
  <c r="FM120" i="45"/>
  <c r="AA120" i="45"/>
  <c r="FM33" i="45"/>
  <c r="AA33" i="45"/>
  <c r="AA105" i="45"/>
  <c r="FM105" i="45"/>
  <c r="AA22" i="45"/>
  <c r="FM22" i="45"/>
  <c r="FM119" i="45"/>
  <c r="AA119" i="45"/>
  <c r="FM85" i="45"/>
  <c r="AA85" i="45"/>
  <c r="FM111" i="45"/>
  <c r="AA111" i="45"/>
  <c r="AA66" i="45"/>
  <c r="FM66" i="45"/>
  <c r="AA83" i="45"/>
  <c r="FM83" i="45"/>
  <c r="Z83" i="45"/>
  <c r="FM52" i="45"/>
  <c r="AA52" i="45"/>
  <c r="AA74" i="45"/>
  <c r="FM74" i="45"/>
  <c r="AA41" i="45"/>
  <c r="FM41" i="45"/>
  <c r="FM35" i="45"/>
  <c r="AA35" i="45"/>
  <c r="FM84" i="45"/>
  <c r="AA84" i="45"/>
  <c r="AA63" i="45"/>
  <c r="FM63" i="45"/>
  <c r="AA50" i="45"/>
  <c r="FM50" i="45"/>
  <c r="DT8" i="38"/>
  <c r="X100" i="45"/>
  <c r="Y100" i="45" s="1"/>
  <c r="Z100" i="45" s="1"/>
  <c r="FM67" i="45"/>
  <c r="AA67" i="45"/>
  <c r="AA77" i="45"/>
  <c r="FM77" i="45"/>
  <c r="FM26" i="45"/>
  <c r="AA26" i="45"/>
  <c r="AA91" i="45"/>
  <c r="FM91" i="45"/>
  <c r="AA88" i="45"/>
  <c r="FM88" i="45"/>
  <c r="FM89" i="45"/>
  <c r="AA89" i="45"/>
  <c r="FM68" i="45"/>
  <c r="AA68" i="45"/>
  <c r="AA48" i="45"/>
  <c r="FM48" i="45"/>
  <c r="X52" i="45"/>
  <c r="Y52" i="45" s="1"/>
  <c r="X62" i="45"/>
  <c r="Y62" i="45" s="1"/>
  <c r="FM28" i="45"/>
  <c r="AA28" i="45"/>
  <c r="FM40" i="45"/>
  <c r="AA40" i="45"/>
  <c r="FM23" i="45"/>
  <c r="AA23" i="45"/>
  <c r="X49" i="45"/>
  <c r="Y49" i="45" s="1"/>
  <c r="Z49" i="45" s="1"/>
  <c r="X89" i="45"/>
  <c r="Y89" i="45" s="1"/>
  <c r="Z89" i="45" s="1"/>
  <c r="X46" i="45"/>
  <c r="Y46" i="45" s="1"/>
  <c r="X92" i="45"/>
  <c r="Y92" i="45" s="1"/>
  <c r="Z92" i="45" s="1"/>
  <c r="X25" i="45"/>
  <c r="Y25" i="45" s="1"/>
  <c r="X69" i="45"/>
  <c r="Y69" i="45" s="1"/>
  <c r="X87" i="45"/>
  <c r="Y87" i="45" s="1"/>
  <c r="Z87" i="45" s="1"/>
  <c r="X58" i="45"/>
  <c r="Y58" i="45" s="1"/>
  <c r="AA104" i="45"/>
  <c r="FM104" i="45"/>
  <c r="X20" i="45"/>
  <c r="Y20" i="45" s="1"/>
  <c r="FL20" i="45" s="1"/>
  <c r="X51" i="45"/>
  <c r="Y51" i="45" s="1"/>
  <c r="X75" i="45"/>
  <c r="Y75" i="45" s="1"/>
  <c r="AA49" i="45"/>
  <c r="FM49" i="45"/>
  <c r="FM102" i="45"/>
  <c r="AA102" i="45"/>
  <c r="FM117" i="45"/>
  <c r="AA117" i="45"/>
  <c r="FL118" i="45"/>
  <c r="FM20" i="45"/>
  <c r="AA20" i="45"/>
  <c r="AA98" i="45"/>
  <c r="FM98" i="45"/>
  <c r="AA103" i="45"/>
  <c r="FM103" i="45"/>
  <c r="AA108" i="45"/>
  <c r="FM108" i="45"/>
  <c r="X119" i="45"/>
  <c r="Y119" i="45" s="1"/>
  <c r="Z119" i="45" s="1"/>
  <c r="X21" i="45"/>
  <c r="Y21" i="45" s="1"/>
  <c r="X115" i="45"/>
  <c r="Y115" i="45" s="1"/>
  <c r="Z115" i="45" s="1"/>
  <c r="X107" i="45"/>
  <c r="Y107" i="45" s="1"/>
  <c r="Z107" i="45" s="1"/>
  <c r="X31" i="45"/>
  <c r="Y31" i="45" s="1"/>
  <c r="X26" i="45"/>
  <c r="Y26" i="45" s="1"/>
  <c r="X35" i="45"/>
  <c r="Y35" i="45" s="1"/>
  <c r="X29" i="45"/>
  <c r="Y29" i="45" s="1"/>
  <c r="X27" i="45"/>
  <c r="Y27" i="45" s="1"/>
  <c r="X81" i="45"/>
  <c r="Y81" i="45" s="1"/>
  <c r="X99" i="45"/>
  <c r="Y99" i="45" s="1"/>
  <c r="X30" i="45"/>
  <c r="Y30" i="45" s="1"/>
  <c r="X90" i="45"/>
  <c r="Y90" i="45" s="1"/>
  <c r="X66" i="45"/>
  <c r="Y66" i="45" s="1"/>
  <c r="X108" i="45"/>
  <c r="Y108" i="45" s="1"/>
  <c r="Z108" i="45" s="1"/>
  <c r="X71" i="45"/>
  <c r="Y71" i="45" s="1"/>
  <c r="Z71" i="45" s="1"/>
  <c r="X82" i="45"/>
  <c r="Y82" i="45" s="1"/>
  <c r="X77" i="45"/>
  <c r="Y77" i="45" s="1"/>
  <c r="Z77" i="45" s="1"/>
  <c r="X41" i="45"/>
  <c r="Y41" i="45" s="1"/>
  <c r="Z41" i="45" s="1"/>
  <c r="X96" i="45"/>
  <c r="Y96" i="45" s="1"/>
  <c r="X93" i="45"/>
  <c r="Y93" i="45" s="1"/>
  <c r="X50" i="45"/>
  <c r="Y50" i="45" s="1"/>
  <c r="X56" i="45"/>
  <c r="Y56" i="45" s="1"/>
  <c r="X95" i="45"/>
  <c r="Y95" i="45" s="1"/>
  <c r="X42" i="45"/>
  <c r="Y42" i="45" s="1"/>
  <c r="X109" i="45"/>
  <c r="Y109" i="45" s="1"/>
  <c r="X74" i="45"/>
  <c r="Y74" i="45" s="1"/>
  <c r="X88" i="45"/>
  <c r="Y88" i="45" s="1"/>
  <c r="X36" i="45"/>
  <c r="Y36" i="45" s="1"/>
  <c r="X113" i="45"/>
  <c r="Y113" i="45" s="1"/>
  <c r="X57" i="45"/>
  <c r="Y57" i="45" s="1"/>
  <c r="X22" i="45"/>
  <c r="Y22" i="45" s="1"/>
  <c r="Z22" i="45" s="1"/>
  <c r="X48" i="45"/>
  <c r="Y48" i="45" s="1"/>
  <c r="X94" i="45"/>
  <c r="Y94" i="45" s="1"/>
  <c r="X34" i="45"/>
  <c r="Y34" i="45" s="1"/>
  <c r="Z34" i="45" s="1"/>
  <c r="X38" i="45"/>
  <c r="Y38" i="45" s="1"/>
  <c r="Z38" i="45" s="1"/>
  <c r="X84" i="45"/>
  <c r="Y84" i="45" s="1"/>
  <c r="X54" i="45"/>
  <c r="Y54" i="45" s="1"/>
  <c r="X23" i="45"/>
  <c r="Y23" i="45" s="1"/>
  <c r="X60" i="45"/>
  <c r="Y60" i="45" s="1"/>
  <c r="X47" i="45"/>
  <c r="Y47" i="45" s="1"/>
  <c r="Z47" i="45" s="1"/>
  <c r="FM87" i="45"/>
  <c r="AA87" i="45"/>
  <c r="FM38" i="45"/>
  <c r="AA38" i="45"/>
  <c r="X120" i="45"/>
  <c r="Y120" i="45" s="1"/>
  <c r="X114" i="45"/>
  <c r="Y114" i="45" s="1"/>
  <c r="X111" i="45"/>
  <c r="Y111" i="45" s="1"/>
  <c r="X55" i="45"/>
  <c r="Y55" i="45" s="1"/>
  <c r="X112" i="45"/>
  <c r="Y112" i="45" s="1"/>
  <c r="X24" i="45"/>
  <c r="Y24" i="45" s="1"/>
  <c r="X53" i="45"/>
  <c r="Y53" i="45" s="1"/>
  <c r="X91" i="45"/>
  <c r="Y91" i="45" s="1"/>
  <c r="Z91" i="45" s="1"/>
  <c r="X40" i="45"/>
  <c r="Y40" i="45" s="1"/>
  <c r="X103" i="45"/>
  <c r="Y103" i="45" s="1"/>
  <c r="Z103" i="45" s="1"/>
  <c r="X79" i="45"/>
  <c r="Y79" i="45" s="1"/>
  <c r="X63" i="45"/>
  <c r="Y63" i="45" s="1"/>
  <c r="X104" i="45"/>
  <c r="Y104" i="45" s="1"/>
  <c r="X76" i="45"/>
  <c r="Y76" i="45" s="1"/>
  <c r="Z76" i="45" s="1"/>
  <c r="X44" i="45"/>
  <c r="Y44" i="45" s="1"/>
  <c r="X28" i="45"/>
  <c r="Y28" i="45" s="1"/>
  <c r="Z28" i="45" s="1"/>
  <c r="X45" i="45"/>
  <c r="Y45" i="45" s="1"/>
  <c r="Z45" i="45" s="1"/>
  <c r="X39" i="45"/>
  <c r="Y39" i="45" s="1"/>
  <c r="Z118" i="45"/>
  <c r="FM36" i="45"/>
  <c r="AA36" i="45"/>
  <c r="AA92" i="45"/>
  <c r="FM92" i="45"/>
  <c r="FM107" i="45"/>
  <c r="AA107" i="45"/>
  <c r="FM82" i="45"/>
  <c r="AA82" i="45"/>
  <c r="FM47" i="45"/>
  <c r="AA47" i="45"/>
  <c r="FM115" i="45"/>
  <c r="AA115" i="45"/>
  <c r="FM96" i="45"/>
  <c r="AA96" i="45"/>
  <c r="FM45" i="45"/>
  <c r="AA45" i="45"/>
  <c r="FM76" i="45"/>
  <c r="AA76" i="45"/>
  <c r="FM100" i="45"/>
  <c r="AA100" i="45"/>
  <c r="FM34" i="45"/>
  <c r="AA34" i="45"/>
  <c r="X117" i="45"/>
  <c r="Y117" i="45" s="1"/>
  <c r="X86" i="45"/>
  <c r="Y86" i="45" s="1"/>
  <c r="X72" i="45"/>
  <c r="Y72" i="45" s="1"/>
  <c r="X68" i="45"/>
  <c r="Y68" i="45" s="1"/>
  <c r="X85" i="45"/>
  <c r="Y85" i="45" s="1"/>
  <c r="X37" i="45"/>
  <c r="Y37" i="45" s="1"/>
  <c r="Z37" i="45" s="1"/>
  <c r="X116" i="45"/>
  <c r="Y116" i="45" s="1"/>
  <c r="X73" i="45"/>
  <c r="Y73" i="45" s="1"/>
  <c r="AA71" i="45"/>
  <c r="FM71" i="45"/>
  <c r="AA37" i="45"/>
  <c r="FM37" i="45"/>
  <c r="X67" i="45"/>
  <c r="Y67" i="45" s="1"/>
  <c r="X101" i="45"/>
  <c r="Y101" i="45" s="1"/>
  <c r="X105" i="45"/>
  <c r="Y105" i="45" s="1"/>
  <c r="X43" i="45"/>
  <c r="Y43" i="45" s="1"/>
  <c r="AJ24" i="46"/>
  <c r="AK24" i="46" s="1"/>
  <c r="AJ24" i="41" s="1"/>
  <c r="AF28" i="38"/>
  <c r="AJ27" i="38"/>
  <c r="AK27" i="38" s="1"/>
  <c r="AG27" i="38"/>
  <c r="AH27" i="38" s="1"/>
  <c r="AH26" i="41"/>
  <c r="CY54" i="38" l="1"/>
  <c r="DD53" i="38"/>
  <c r="AI137" i="41"/>
  <c r="AL26" i="41"/>
  <c r="AF25" i="46"/>
  <c r="AG25" i="46" s="1"/>
  <c r="AH25" i="46" s="1"/>
  <c r="Z110" i="45"/>
  <c r="FL97" i="45"/>
  <c r="FL80" i="45"/>
  <c r="Z106" i="45"/>
  <c r="Z102" i="45"/>
  <c r="FL32" i="45"/>
  <c r="Z20" i="45"/>
  <c r="Z59" i="45"/>
  <c r="FL33" i="45"/>
  <c r="FL64" i="45"/>
  <c r="FL65" i="45"/>
  <c r="FL61" i="45"/>
  <c r="Z78" i="45"/>
  <c r="Z98" i="45"/>
  <c r="FL101" i="45"/>
  <c r="Z101" i="45"/>
  <c r="FL68" i="45"/>
  <c r="FL104" i="45"/>
  <c r="FL120" i="45"/>
  <c r="FL84" i="45"/>
  <c r="FL42" i="45"/>
  <c r="Z42" i="45"/>
  <c r="FL82" i="45"/>
  <c r="FL27" i="45"/>
  <c r="Z27" i="45"/>
  <c r="FL75" i="45"/>
  <c r="Z75" i="45"/>
  <c r="FL62" i="45"/>
  <c r="Z62" i="45"/>
  <c r="Z68" i="45"/>
  <c r="Z120" i="45"/>
  <c r="FL67" i="45"/>
  <c r="FL116" i="45"/>
  <c r="Z116" i="45"/>
  <c r="Z82" i="45"/>
  <c r="FL63" i="45"/>
  <c r="FL91" i="45"/>
  <c r="FL60" i="45"/>
  <c r="Z60" i="45"/>
  <c r="FL86" i="45"/>
  <c r="Z86" i="45"/>
  <c r="FL39" i="45"/>
  <c r="Z39" i="45"/>
  <c r="FL79" i="45"/>
  <c r="Z79" i="45"/>
  <c r="FL111" i="45"/>
  <c r="FL23" i="45"/>
  <c r="FL57" i="45"/>
  <c r="Z57" i="45"/>
  <c r="FL74" i="45"/>
  <c r="FL41" i="45"/>
  <c r="FL99" i="45"/>
  <c r="Z99" i="45"/>
  <c r="FL35" i="45"/>
  <c r="FL105" i="45"/>
  <c r="FL85" i="45"/>
  <c r="FL117" i="45"/>
  <c r="FL45" i="45"/>
  <c r="FL76" i="45"/>
  <c r="FL103" i="45"/>
  <c r="FL24" i="45"/>
  <c r="Z24" i="45"/>
  <c r="FL114" i="45"/>
  <c r="Z114" i="45"/>
  <c r="FL47" i="45"/>
  <c r="FL54" i="45"/>
  <c r="Z54" i="45"/>
  <c r="FL94" i="45"/>
  <c r="Z94" i="45"/>
  <c r="FL113" i="45"/>
  <c r="Z113" i="45"/>
  <c r="Z109" i="45"/>
  <c r="FL109" i="45"/>
  <c r="FL50" i="45"/>
  <c r="DS8" i="38"/>
  <c r="FL77" i="45"/>
  <c r="FL66" i="45"/>
  <c r="FL81" i="45"/>
  <c r="Z81" i="45"/>
  <c r="FL26" i="45"/>
  <c r="FL21" i="45"/>
  <c r="Z21" i="45"/>
  <c r="Z117" i="45"/>
  <c r="Z104" i="45"/>
  <c r="FL87" i="45"/>
  <c r="FL46" i="45"/>
  <c r="Z46" i="45"/>
  <c r="Z26" i="45"/>
  <c r="Z50" i="45"/>
  <c r="Z63" i="45"/>
  <c r="Z74" i="45"/>
  <c r="Z66" i="45"/>
  <c r="Z111" i="45"/>
  <c r="FL43" i="45"/>
  <c r="Z43" i="45"/>
  <c r="FL40" i="45"/>
  <c r="Z48" i="45"/>
  <c r="FL48" i="45"/>
  <c r="FL93" i="45"/>
  <c r="Z93" i="45"/>
  <c r="FL31" i="45"/>
  <c r="Z31" i="45"/>
  <c r="FL89" i="45"/>
  <c r="Z72" i="45"/>
  <c r="FL72" i="45"/>
  <c r="FL44" i="45"/>
  <c r="Z44" i="45"/>
  <c r="FL55" i="45"/>
  <c r="Z55" i="45"/>
  <c r="FL38" i="45"/>
  <c r="FL22" i="45"/>
  <c r="Z88" i="45"/>
  <c r="FL88" i="45"/>
  <c r="FL95" i="45"/>
  <c r="Z95" i="45"/>
  <c r="Z96" i="45"/>
  <c r="FL96" i="45"/>
  <c r="FL71" i="45"/>
  <c r="FL30" i="45"/>
  <c r="Z30" i="45"/>
  <c r="FL29" i="45"/>
  <c r="Z29" i="45"/>
  <c r="FL107" i="45"/>
  <c r="FL51" i="45"/>
  <c r="Z51" i="45"/>
  <c r="FL25" i="45"/>
  <c r="Z25" i="45"/>
  <c r="FL49" i="45"/>
  <c r="Z40" i="45"/>
  <c r="FL52" i="45"/>
  <c r="Z67" i="45"/>
  <c r="FL100" i="45"/>
  <c r="Z35" i="45"/>
  <c r="FL73" i="45"/>
  <c r="Z73" i="45"/>
  <c r="FL28" i="45"/>
  <c r="FL112" i="45"/>
  <c r="Z112" i="45"/>
  <c r="FL36" i="45"/>
  <c r="FL90" i="45"/>
  <c r="Z90" i="45"/>
  <c r="FL119" i="45"/>
  <c r="FL69" i="45"/>
  <c r="Z69" i="45"/>
  <c r="Z36" i="45"/>
  <c r="FL37" i="45"/>
  <c r="FL53" i="45"/>
  <c r="Z53" i="45"/>
  <c r="FL34" i="45"/>
  <c r="FL56" i="45"/>
  <c r="Z56" i="45"/>
  <c r="FL108" i="45"/>
  <c r="FL115" i="45"/>
  <c r="FL58" i="45"/>
  <c r="Z58" i="45"/>
  <c r="FL92" i="45"/>
  <c r="Z23" i="45"/>
  <c r="Z84" i="45"/>
  <c r="Z52" i="45"/>
  <c r="Z85" i="45"/>
  <c r="Z105" i="45"/>
  <c r="AH27" i="41"/>
  <c r="AL27" i="41" s="1"/>
  <c r="AF29" i="38"/>
  <c r="AJ28" i="38"/>
  <c r="AK28" i="38" s="1"/>
  <c r="AG28" i="38"/>
  <c r="AH28" i="38" s="1"/>
  <c r="CY55" i="38" l="1"/>
  <c r="DD54" i="38"/>
  <c r="AJ25" i="46"/>
  <c r="AK25" i="46" s="1"/>
  <c r="AJ25" i="41" s="1"/>
  <c r="AF26" i="46"/>
  <c r="AG26" i="46" s="1"/>
  <c r="AH26" i="46" s="1"/>
  <c r="AN8" i="45"/>
  <c r="AN25" i="45" s="1"/>
  <c r="AP25" i="41" s="1"/>
  <c r="AX25" i="41" s="1"/>
  <c r="AN115" i="45"/>
  <c r="AP115" i="41" s="1"/>
  <c r="AX115" i="41" s="1"/>
  <c r="AN112" i="45"/>
  <c r="AP112" i="41" s="1"/>
  <c r="AX112" i="41" s="1"/>
  <c r="AN111" i="45"/>
  <c r="AP111" i="41" s="1"/>
  <c r="AX111" i="41" s="1"/>
  <c r="AB111" i="45"/>
  <c r="AC111" i="45" s="1"/>
  <c r="AD111" i="45" s="1"/>
  <c r="AB112" i="45"/>
  <c r="AC112" i="45" s="1"/>
  <c r="AB113" i="45"/>
  <c r="AC113" i="45" s="1"/>
  <c r="AD113" i="45" s="1"/>
  <c r="AB114" i="45"/>
  <c r="AC114" i="45" s="1"/>
  <c r="AD114" i="45" s="1"/>
  <c r="AB115" i="45"/>
  <c r="AC115" i="45" s="1"/>
  <c r="AD115" i="45" s="1"/>
  <c r="AB116" i="45"/>
  <c r="AC116" i="45" s="1"/>
  <c r="AB117" i="45"/>
  <c r="AC117" i="45" s="1"/>
  <c r="AD117" i="45" s="1"/>
  <c r="AB118" i="45"/>
  <c r="AC118" i="45" s="1"/>
  <c r="AD118" i="45" s="1"/>
  <c r="AB119" i="45"/>
  <c r="AC119" i="45" s="1"/>
  <c r="AD119" i="45" s="1"/>
  <c r="AB120" i="45"/>
  <c r="AC120" i="45" s="1"/>
  <c r="AD120" i="45" s="1"/>
  <c r="AB44" i="45"/>
  <c r="AC44" i="45" s="1"/>
  <c r="AD44" i="45" s="1"/>
  <c r="AB30" i="45"/>
  <c r="AC30" i="45" s="1"/>
  <c r="AD30" i="45" s="1"/>
  <c r="AB27" i="45"/>
  <c r="AC27" i="45" s="1"/>
  <c r="AD27" i="45" s="1"/>
  <c r="AB87" i="45"/>
  <c r="AC87" i="45" s="1"/>
  <c r="AD87" i="45" s="1"/>
  <c r="AB66" i="45"/>
  <c r="AC66" i="45" s="1"/>
  <c r="AD66" i="45" s="1"/>
  <c r="AB85" i="45"/>
  <c r="AC85" i="45" s="1"/>
  <c r="AD85" i="45" s="1"/>
  <c r="AB104" i="45"/>
  <c r="AC104" i="45" s="1"/>
  <c r="AD104" i="45" s="1"/>
  <c r="AB34" i="45"/>
  <c r="AC34" i="45" s="1"/>
  <c r="AD34" i="45" s="1"/>
  <c r="AB91" i="45"/>
  <c r="AC91" i="45" s="1"/>
  <c r="AD91" i="45" s="1"/>
  <c r="AB50" i="45"/>
  <c r="AC50" i="45" s="1"/>
  <c r="AD50" i="45" s="1"/>
  <c r="AB88" i="45"/>
  <c r="AC88" i="45" s="1"/>
  <c r="AD88" i="45" s="1"/>
  <c r="AB65" i="45"/>
  <c r="AC65" i="45" s="1"/>
  <c r="AB29" i="45"/>
  <c r="AC29" i="45" s="1"/>
  <c r="AD29" i="45" s="1"/>
  <c r="AB79" i="45"/>
  <c r="AC79" i="45" s="1"/>
  <c r="AD79" i="45" s="1"/>
  <c r="AB109" i="45"/>
  <c r="AC109" i="45" s="1"/>
  <c r="AD109" i="45" s="1"/>
  <c r="AB38" i="45"/>
  <c r="AC38" i="45" s="1"/>
  <c r="AD38" i="45" s="1"/>
  <c r="AB92" i="45"/>
  <c r="AC92" i="45" s="1"/>
  <c r="AD92" i="45" s="1"/>
  <c r="AB25" i="45"/>
  <c r="AC25" i="45" s="1"/>
  <c r="AD25" i="45" s="1"/>
  <c r="AB94" i="45"/>
  <c r="AC94" i="45" s="1"/>
  <c r="AD94" i="45" s="1"/>
  <c r="AB105" i="45"/>
  <c r="AC105" i="45" s="1"/>
  <c r="AD105" i="45" s="1"/>
  <c r="AB68" i="45"/>
  <c r="AC68" i="45" s="1"/>
  <c r="AD68" i="45" s="1"/>
  <c r="AB51" i="45"/>
  <c r="AC51" i="45" s="1"/>
  <c r="AD51" i="45" s="1"/>
  <c r="AB89" i="45"/>
  <c r="AC89" i="45" s="1"/>
  <c r="AD89" i="45" s="1"/>
  <c r="AB98" i="45"/>
  <c r="AC98" i="45" s="1"/>
  <c r="AD98" i="45" s="1"/>
  <c r="AB72" i="45"/>
  <c r="AC72" i="45" s="1"/>
  <c r="AD72" i="45" s="1"/>
  <c r="AB35" i="45"/>
  <c r="AC35" i="45" s="1"/>
  <c r="AD35" i="45" s="1"/>
  <c r="AB69" i="45"/>
  <c r="AC69" i="45" s="1"/>
  <c r="AD69" i="45" s="1"/>
  <c r="AB103" i="45"/>
  <c r="AC103" i="45" s="1"/>
  <c r="AD103" i="45" s="1"/>
  <c r="AB40" i="45"/>
  <c r="AC40" i="45" s="1"/>
  <c r="AD40" i="45" s="1"/>
  <c r="AB63" i="45"/>
  <c r="AC63" i="45" s="1"/>
  <c r="AD63" i="45" s="1"/>
  <c r="AB82" i="45"/>
  <c r="AC82" i="45" s="1"/>
  <c r="AD82" i="45" s="1"/>
  <c r="AB93" i="45"/>
  <c r="AC93" i="45" s="1"/>
  <c r="AD93" i="45" s="1"/>
  <c r="AB100" i="45"/>
  <c r="AC100" i="45" s="1"/>
  <c r="AD100" i="45" s="1"/>
  <c r="AB26" i="45"/>
  <c r="AC26" i="45" s="1"/>
  <c r="AD26" i="45" s="1"/>
  <c r="AB37" i="45"/>
  <c r="AC37" i="45" s="1"/>
  <c r="AD37" i="45" s="1"/>
  <c r="AB60" i="45"/>
  <c r="AC60" i="45" s="1"/>
  <c r="AD60" i="45" s="1"/>
  <c r="AB83" i="45"/>
  <c r="AC83" i="45" s="1"/>
  <c r="AD83" i="45" s="1"/>
  <c r="AB86" i="45"/>
  <c r="AC86" i="45" s="1"/>
  <c r="AD86" i="45" s="1"/>
  <c r="AB97" i="45"/>
  <c r="AC97" i="45" s="1"/>
  <c r="AD97" i="45" s="1"/>
  <c r="AB42" i="45"/>
  <c r="AC42" i="45" s="1"/>
  <c r="AD42" i="45" s="1"/>
  <c r="AB53" i="45"/>
  <c r="AC53" i="45" s="1"/>
  <c r="AD53" i="45" s="1"/>
  <c r="AB76" i="45"/>
  <c r="AC76" i="45" s="1"/>
  <c r="AD76" i="45" s="1"/>
  <c r="AB99" i="45"/>
  <c r="AC99" i="45" s="1"/>
  <c r="AD99" i="45" s="1"/>
  <c r="AB23" i="45"/>
  <c r="AC23" i="45" s="1"/>
  <c r="AD23" i="45" s="1"/>
  <c r="AB102" i="45"/>
  <c r="AC102" i="45" s="1"/>
  <c r="AD102" i="45" s="1"/>
  <c r="AB43" i="45"/>
  <c r="AC43" i="45" s="1"/>
  <c r="AD43" i="45" s="1"/>
  <c r="AB62" i="45"/>
  <c r="AC62" i="45" s="1"/>
  <c r="AD62" i="45" s="1"/>
  <c r="AB73" i="45"/>
  <c r="AC73" i="45" s="1"/>
  <c r="AD73" i="45" s="1"/>
  <c r="AB96" i="45"/>
  <c r="AC96" i="45" s="1"/>
  <c r="AD96" i="45" s="1"/>
  <c r="AB21" i="45"/>
  <c r="AC21" i="45" s="1"/>
  <c r="AD21" i="45" s="1"/>
  <c r="AB107" i="45"/>
  <c r="AC107" i="45" s="1"/>
  <c r="AD107" i="45" s="1"/>
  <c r="AB20" i="45"/>
  <c r="AC20" i="45" s="1"/>
  <c r="AB67" i="45"/>
  <c r="AC67" i="45" s="1"/>
  <c r="AD67" i="45" s="1"/>
  <c r="AB70" i="45"/>
  <c r="AC70" i="45" s="1"/>
  <c r="AD70" i="45" s="1"/>
  <c r="AB81" i="45"/>
  <c r="AC81" i="45" s="1"/>
  <c r="AD81" i="45" s="1"/>
  <c r="AB90" i="45"/>
  <c r="AC90" i="45" s="1"/>
  <c r="AD90" i="45" s="1"/>
  <c r="AB41" i="45"/>
  <c r="AC41" i="45" s="1"/>
  <c r="AD41" i="45" s="1"/>
  <c r="AB64" i="45"/>
  <c r="AC64" i="45" s="1"/>
  <c r="AD64" i="45" s="1"/>
  <c r="AB71" i="45"/>
  <c r="AC71" i="45" s="1"/>
  <c r="AD71" i="45" s="1"/>
  <c r="AB101" i="45"/>
  <c r="AC101" i="45" s="1"/>
  <c r="AD101" i="45" s="1"/>
  <c r="AB46" i="45"/>
  <c r="AC46" i="45" s="1"/>
  <c r="AD46" i="45" s="1"/>
  <c r="AB57" i="45"/>
  <c r="AC57" i="45" s="1"/>
  <c r="AD57" i="45" s="1"/>
  <c r="AB80" i="45"/>
  <c r="AC80" i="45" s="1"/>
  <c r="AD80" i="45" s="1"/>
  <c r="AB106" i="45"/>
  <c r="AC106" i="45" s="1"/>
  <c r="AD106" i="45" s="1"/>
  <c r="AB24" i="45"/>
  <c r="AC24" i="45" s="1"/>
  <c r="AD24" i="45" s="1"/>
  <c r="AB47" i="45"/>
  <c r="AC47" i="45" s="1"/>
  <c r="AD47" i="45" s="1"/>
  <c r="AB77" i="45"/>
  <c r="AC77" i="45" s="1"/>
  <c r="AD77" i="45" s="1"/>
  <c r="AB84" i="45"/>
  <c r="AC84" i="45" s="1"/>
  <c r="AD84" i="45" s="1"/>
  <c r="AB74" i="45"/>
  <c r="AC74" i="45" s="1"/>
  <c r="AD74" i="45" s="1"/>
  <c r="AB48" i="45"/>
  <c r="AC48" i="45" s="1"/>
  <c r="AD48" i="45" s="1"/>
  <c r="AB55" i="45"/>
  <c r="AC55" i="45" s="1"/>
  <c r="AD55" i="45" s="1"/>
  <c r="AB75" i="45"/>
  <c r="AC75" i="45" s="1"/>
  <c r="AD75" i="45" s="1"/>
  <c r="AB45" i="45"/>
  <c r="AC45" i="45" s="1"/>
  <c r="AD45" i="45" s="1"/>
  <c r="AB52" i="45"/>
  <c r="AC52" i="45" s="1"/>
  <c r="AD52" i="45" s="1"/>
  <c r="AB31" i="45"/>
  <c r="AC31" i="45" s="1"/>
  <c r="AD31" i="45" s="1"/>
  <c r="AB61" i="45"/>
  <c r="AC61" i="45" s="1"/>
  <c r="AD61" i="45" s="1"/>
  <c r="AB110" i="45"/>
  <c r="AC110" i="45" s="1"/>
  <c r="AD110" i="45" s="1"/>
  <c r="AB28" i="45"/>
  <c r="AC28" i="45" s="1"/>
  <c r="AD28" i="45" s="1"/>
  <c r="AB54" i="45"/>
  <c r="AC54" i="45" s="1"/>
  <c r="AD54" i="45" s="1"/>
  <c r="AB59" i="45"/>
  <c r="AC59" i="45" s="1"/>
  <c r="AD59" i="45" s="1"/>
  <c r="AB78" i="45"/>
  <c r="AC78" i="45" s="1"/>
  <c r="AD78" i="45" s="1"/>
  <c r="AB36" i="45"/>
  <c r="AC36" i="45" s="1"/>
  <c r="AD36" i="45" s="1"/>
  <c r="AB108" i="45"/>
  <c r="AC108" i="45" s="1"/>
  <c r="AD108" i="45" s="1"/>
  <c r="AB56" i="45"/>
  <c r="AC56" i="45" s="1"/>
  <c r="AD56" i="45" s="1"/>
  <c r="AB22" i="45"/>
  <c r="AC22" i="45" s="1"/>
  <c r="AD22" i="45" s="1"/>
  <c r="AB33" i="45"/>
  <c r="AC33" i="45" s="1"/>
  <c r="AD33" i="45" s="1"/>
  <c r="AB95" i="45"/>
  <c r="AC95" i="45" s="1"/>
  <c r="AD95" i="45" s="1"/>
  <c r="AB49" i="45"/>
  <c r="AC49" i="45" s="1"/>
  <c r="AD49" i="45" s="1"/>
  <c r="AB58" i="45"/>
  <c r="AC58" i="45" s="1"/>
  <c r="AD58" i="45" s="1"/>
  <c r="AB32" i="45"/>
  <c r="AC32" i="45" s="1"/>
  <c r="AD32" i="45" s="1"/>
  <c r="AB39" i="45"/>
  <c r="AC39" i="45" s="1"/>
  <c r="AD39" i="45" s="1"/>
  <c r="AN26" i="45"/>
  <c r="AP26" i="41" s="1"/>
  <c r="AX26" i="41" s="1"/>
  <c r="AN117" i="45"/>
  <c r="AP117" i="41" s="1"/>
  <c r="AX117" i="41" s="1"/>
  <c r="AN116" i="45"/>
  <c r="AP116" i="41" s="1"/>
  <c r="AX116" i="41" s="1"/>
  <c r="AN118" i="45"/>
  <c r="AP118" i="41" s="1"/>
  <c r="AX118" i="41" s="1"/>
  <c r="AN23" i="45"/>
  <c r="AP23" i="41" s="1"/>
  <c r="AX23" i="41" s="1"/>
  <c r="AD116" i="45"/>
  <c r="AN27" i="45"/>
  <c r="AP27" i="41" s="1"/>
  <c r="AX27" i="41" s="1"/>
  <c r="AN120" i="45"/>
  <c r="AP120" i="41" s="1"/>
  <c r="AX120" i="41" s="1"/>
  <c r="AN119" i="45"/>
  <c r="AP119" i="41" s="1"/>
  <c r="AX119" i="41" s="1"/>
  <c r="AN29" i="45"/>
  <c r="AP29" i="41" s="1"/>
  <c r="AX29" i="41" s="1"/>
  <c r="AD112" i="45"/>
  <c r="AN21" i="45"/>
  <c r="AP21" i="41" s="1"/>
  <c r="AX21" i="41" s="1"/>
  <c r="AN113" i="45"/>
  <c r="AP113" i="41" s="1"/>
  <c r="AX113" i="41" s="1"/>
  <c r="AN114" i="45"/>
  <c r="AP114" i="41" s="1"/>
  <c r="AX114" i="41" s="1"/>
  <c r="AN24" i="45"/>
  <c r="AP24" i="41" s="1"/>
  <c r="AX24" i="41" s="1"/>
  <c r="AH28" i="41"/>
  <c r="AL28" i="41" s="1"/>
  <c r="AF30" i="38"/>
  <c r="AG29" i="38"/>
  <c r="AH29" i="38" s="1"/>
  <c r="AJ29" i="38"/>
  <c r="AK29" i="38" s="1"/>
  <c r="CY56" i="38" l="1"/>
  <c r="DD55" i="38"/>
  <c r="AN22" i="45"/>
  <c r="AP22" i="41" s="1"/>
  <c r="AX22" i="41" s="1"/>
  <c r="AN28" i="45"/>
  <c r="AP28" i="41" s="1"/>
  <c r="AX28" i="41" s="1"/>
  <c r="AN67" i="45"/>
  <c r="AP67" i="41" s="1"/>
  <c r="AX67" i="41" s="1"/>
  <c r="AN20" i="45"/>
  <c r="AP20" i="41" s="1"/>
  <c r="AX20" i="41" s="1"/>
  <c r="AN46" i="45"/>
  <c r="AP46" i="41" s="1"/>
  <c r="AX46" i="41" s="1"/>
  <c r="AF27" i="46"/>
  <c r="AJ27" i="46" s="1"/>
  <c r="AK27" i="46" s="1"/>
  <c r="AJ27" i="41" s="1"/>
  <c r="AN41" i="45"/>
  <c r="AP41" i="41" s="1"/>
  <c r="AX41" i="41" s="1"/>
  <c r="AN76" i="45"/>
  <c r="AP76" i="41" s="1"/>
  <c r="AX76" i="41" s="1"/>
  <c r="AN55" i="45"/>
  <c r="AP55" i="41" s="1"/>
  <c r="AX55" i="41" s="1"/>
  <c r="AN37" i="45"/>
  <c r="AP37" i="41" s="1"/>
  <c r="AX37" i="41" s="1"/>
  <c r="AN110" i="45"/>
  <c r="AP110" i="41" s="1"/>
  <c r="AX110" i="41" s="1"/>
  <c r="AN65" i="45"/>
  <c r="AP65" i="41" s="1"/>
  <c r="AX65" i="41" s="1"/>
  <c r="AN57" i="45"/>
  <c r="AP57" i="41" s="1"/>
  <c r="AX57" i="41" s="1"/>
  <c r="AN66" i="45"/>
  <c r="AP66" i="41" s="1"/>
  <c r="AX66" i="41" s="1"/>
  <c r="AN97" i="45"/>
  <c r="AP97" i="41" s="1"/>
  <c r="AX97" i="41" s="1"/>
  <c r="AN90" i="45"/>
  <c r="AP90" i="41" s="1"/>
  <c r="AX90" i="41" s="1"/>
  <c r="AN32" i="45"/>
  <c r="AP32" i="41" s="1"/>
  <c r="AX32" i="41" s="1"/>
  <c r="AN30" i="45"/>
  <c r="AP30" i="41" s="1"/>
  <c r="AX30" i="41" s="1"/>
  <c r="AN34" i="45"/>
  <c r="AP34" i="41" s="1"/>
  <c r="AX34" i="41" s="1"/>
  <c r="AN62" i="45"/>
  <c r="AP62" i="41" s="1"/>
  <c r="AX62" i="41" s="1"/>
  <c r="AN78" i="45"/>
  <c r="AP78" i="41" s="1"/>
  <c r="AX78" i="41" s="1"/>
  <c r="AN93" i="45"/>
  <c r="AP93" i="41" s="1"/>
  <c r="AX93" i="41" s="1"/>
  <c r="AN56" i="45"/>
  <c r="AP56" i="41" s="1"/>
  <c r="AX56" i="41" s="1"/>
  <c r="AN104" i="45"/>
  <c r="AP104" i="41" s="1"/>
  <c r="AX104" i="41" s="1"/>
  <c r="AN70" i="45"/>
  <c r="AP70" i="41" s="1"/>
  <c r="AX70" i="41" s="1"/>
  <c r="AN103" i="45"/>
  <c r="AP103" i="41" s="1"/>
  <c r="AX103" i="41" s="1"/>
  <c r="AN91" i="45"/>
  <c r="AP91" i="41" s="1"/>
  <c r="AX91" i="41" s="1"/>
  <c r="AN47" i="45"/>
  <c r="AP47" i="41" s="1"/>
  <c r="AX47" i="41" s="1"/>
  <c r="AN44" i="45"/>
  <c r="AP44" i="41" s="1"/>
  <c r="AX44" i="41" s="1"/>
  <c r="AN108" i="45"/>
  <c r="AP108" i="41" s="1"/>
  <c r="AX108" i="41" s="1"/>
  <c r="AN61" i="45"/>
  <c r="AP61" i="41" s="1"/>
  <c r="AX61" i="41" s="1"/>
  <c r="AN63" i="45"/>
  <c r="AP63" i="41" s="1"/>
  <c r="AX63" i="41" s="1"/>
  <c r="AN60" i="45"/>
  <c r="AP60" i="41" s="1"/>
  <c r="AX60" i="41" s="1"/>
  <c r="AN88" i="45"/>
  <c r="AP88" i="41" s="1"/>
  <c r="AX88" i="41" s="1"/>
  <c r="AN107" i="45"/>
  <c r="AP107" i="41" s="1"/>
  <c r="AX107" i="41" s="1"/>
  <c r="AN54" i="45"/>
  <c r="AP54" i="41" s="1"/>
  <c r="AX54" i="41" s="1"/>
  <c r="AJ26" i="46"/>
  <c r="AK26" i="46" s="1"/>
  <c r="AJ26" i="41" s="1"/>
  <c r="AN109" i="45"/>
  <c r="AP109" i="41" s="1"/>
  <c r="AX109" i="41" s="1"/>
  <c r="AN31" i="45"/>
  <c r="AP31" i="41" s="1"/>
  <c r="AX31" i="41" s="1"/>
  <c r="AN38" i="45"/>
  <c r="AP38" i="41" s="1"/>
  <c r="AX38" i="41" s="1"/>
  <c r="AN72" i="45"/>
  <c r="AP72" i="41" s="1"/>
  <c r="AX72" i="41" s="1"/>
  <c r="AN101" i="45"/>
  <c r="AP101" i="41" s="1"/>
  <c r="AX101" i="41" s="1"/>
  <c r="AN33" i="45"/>
  <c r="AP33" i="41" s="1"/>
  <c r="AX33" i="41" s="1"/>
  <c r="AN64" i="45"/>
  <c r="AP64" i="41" s="1"/>
  <c r="AX64" i="41" s="1"/>
  <c r="AN59" i="45"/>
  <c r="AP59" i="41" s="1"/>
  <c r="AX59" i="41" s="1"/>
  <c r="AN80" i="45"/>
  <c r="AP80" i="41" s="1"/>
  <c r="AX80" i="41" s="1"/>
  <c r="AA127" i="41"/>
  <c r="AA128" i="41" s="1"/>
  <c r="AN74" i="45"/>
  <c r="AP74" i="41" s="1"/>
  <c r="AX74" i="41" s="1"/>
  <c r="AN81" i="45"/>
  <c r="AP81" i="41" s="1"/>
  <c r="AX81" i="41" s="1"/>
  <c r="AN43" i="45"/>
  <c r="AP43" i="41" s="1"/>
  <c r="AX43" i="41" s="1"/>
  <c r="AN53" i="45"/>
  <c r="AP53" i="41" s="1"/>
  <c r="AX53" i="41" s="1"/>
  <c r="AN86" i="45"/>
  <c r="AP86" i="41" s="1"/>
  <c r="AX86" i="41" s="1"/>
  <c r="AN99" i="45"/>
  <c r="AP99" i="41" s="1"/>
  <c r="AX99" i="41" s="1"/>
  <c r="AN94" i="45"/>
  <c r="AP94" i="41" s="1"/>
  <c r="AX94" i="41" s="1"/>
  <c r="AN96" i="45"/>
  <c r="AP96" i="41" s="1"/>
  <c r="AX96" i="41" s="1"/>
  <c r="AN84" i="45"/>
  <c r="AP84" i="41" s="1"/>
  <c r="AX84" i="41" s="1"/>
  <c r="AN50" i="45"/>
  <c r="AP50" i="41" s="1"/>
  <c r="AX50" i="41" s="1"/>
  <c r="AN89" i="45"/>
  <c r="AP89" i="41" s="1"/>
  <c r="AX89" i="41" s="1"/>
  <c r="AN69" i="45"/>
  <c r="AP69" i="41" s="1"/>
  <c r="AX69" i="41" s="1"/>
  <c r="AN68" i="45"/>
  <c r="AP68" i="41" s="1"/>
  <c r="AX68" i="41" s="1"/>
  <c r="AN75" i="45"/>
  <c r="AP75" i="41" s="1"/>
  <c r="AX75" i="41" s="1"/>
  <c r="AN105" i="45"/>
  <c r="AP105" i="41" s="1"/>
  <c r="AX105" i="41" s="1"/>
  <c r="AN83" i="45"/>
  <c r="AP83" i="41" s="1"/>
  <c r="AX83" i="41" s="1"/>
  <c r="AN98" i="45"/>
  <c r="AP98" i="41" s="1"/>
  <c r="AX98" i="41" s="1"/>
  <c r="AN102" i="45"/>
  <c r="AP102" i="41" s="1"/>
  <c r="AX102" i="41" s="1"/>
  <c r="AN106" i="45"/>
  <c r="AP106" i="41" s="1"/>
  <c r="AX106" i="41" s="1"/>
  <c r="AN85" i="45"/>
  <c r="AP85" i="41" s="1"/>
  <c r="AX85" i="41" s="1"/>
  <c r="AN40" i="45"/>
  <c r="AP40" i="41" s="1"/>
  <c r="AX40" i="41" s="1"/>
  <c r="AN42" i="45"/>
  <c r="AP42" i="41" s="1"/>
  <c r="AX42" i="41" s="1"/>
  <c r="AN39" i="45"/>
  <c r="AP39" i="41" s="1"/>
  <c r="AX39" i="41" s="1"/>
  <c r="AN35" i="45"/>
  <c r="AP35" i="41" s="1"/>
  <c r="AX35" i="41" s="1"/>
  <c r="AN77" i="45"/>
  <c r="AP77" i="41" s="1"/>
  <c r="AX77" i="41" s="1"/>
  <c r="AN73" i="45"/>
  <c r="AP73" i="41" s="1"/>
  <c r="AX73" i="41" s="1"/>
  <c r="AN48" i="45"/>
  <c r="AP48" i="41" s="1"/>
  <c r="AX48" i="41" s="1"/>
  <c r="AN82" i="45"/>
  <c r="AP82" i="41" s="1"/>
  <c r="AX82" i="41" s="1"/>
  <c r="AN79" i="45"/>
  <c r="AP79" i="41" s="1"/>
  <c r="AX79" i="41" s="1"/>
  <c r="AN45" i="45"/>
  <c r="AP45" i="41" s="1"/>
  <c r="AX45" i="41" s="1"/>
  <c r="AN71" i="45"/>
  <c r="AP71" i="41" s="1"/>
  <c r="AX71" i="41" s="1"/>
  <c r="AN92" i="45"/>
  <c r="AP92" i="41" s="1"/>
  <c r="AX92" i="41" s="1"/>
  <c r="AN51" i="45"/>
  <c r="AP51" i="41" s="1"/>
  <c r="AX51" i="41" s="1"/>
  <c r="AN100" i="45"/>
  <c r="AP100" i="41" s="1"/>
  <c r="AX100" i="41" s="1"/>
  <c r="AN95" i="45"/>
  <c r="AP95" i="41" s="1"/>
  <c r="AX95" i="41" s="1"/>
  <c r="AN52" i="45"/>
  <c r="AP52" i="41" s="1"/>
  <c r="AX52" i="41" s="1"/>
  <c r="AN36" i="45"/>
  <c r="AP36" i="41" s="1"/>
  <c r="AX36" i="41" s="1"/>
  <c r="AN87" i="45"/>
  <c r="AP87" i="41" s="1"/>
  <c r="AX87" i="41" s="1"/>
  <c r="AN58" i="45"/>
  <c r="AP58" i="41" s="1"/>
  <c r="AX58" i="41" s="1"/>
  <c r="AN49" i="45"/>
  <c r="AP49" i="41" s="1"/>
  <c r="AX49" i="41" s="1"/>
  <c r="AD20" i="45"/>
  <c r="AE20" i="45" s="1"/>
  <c r="AJ5" i="45"/>
  <c r="GB15" i="45"/>
  <c r="AE32" i="45"/>
  <c r="GC15" i="45"/>
  <c r="AE33" i="45"/>
  <c r="AE36" i="45"/>
  <c r="GF15" i="45"/>
  <c r="AE28" i="45"/>
  <c r="FX15" i="45"/>
  <c r="GV15" i="45"/>
  <c r="AE52" i="45"/>
  <c r="GR15" i="45"/>
  <c r="AE48" i="45"/>
  <c r="GQ15" i="45"/>
  <c r="AE47" i="45"/>
  <c r="AE57" i="45"/>
  <c r="HA15" i="45"/>
  <c r="AE64" i="45"/>
  <c r="HH15" i="45"/>
  <c r="AE70" i="45"/>
  <c r="HN15" i="45"/>
  <c r="DU8" i="38"/>
  <c r="DW8" i="38" s="1"/>
  <c r="AE21" i="45"/>
  <c r="AO8" i="45"/>
  <c r="AO20" i="45" s="1"/>
  <c r="FQ15" i="45"/>
  <c r="GM15" i="45"/>
  <c r="AE43" i="45"/>
  <c r="AE76" i="45"/>
  <c r="HT15" i="45"/>
  <c r="AE86" i="45"/>
  <c r="ID15" i="45"/>
  <c r="AE26" i="45"/>
  <c r="FV15" i="45"/>
  <c r="HG15" i="45"/>
  <c r="AE63" i="45"/>
  <c r="AE35" i="45"/>
  <c r="GE15" i="45"/>
  <c r="AE51" i="45"/>
  <c r="GU15" i="45"/>
  <c r="AE25" i="45"/>
  <c r="FU15" i="45"/>
  <c r="HW15" i="45"/>
  <c r="AE79" i="45"/>
  <c r="GT15" i="45"/>
  <c r="AE50" i="45"/>
  <c r="AE85" i="45"/>
  <c r="IC15" i="45"/>
  <c r="FZ15" i="45"/>
  <c r="AE30" i="45"/>
  <c r="JJ15" i="45"/>
  <c r="AE118" i="45"/>
  <c r="JF15" i="45"/>
  <c r="AE114" i="45"/>
  <c r="JE15" i="45"/>
  <c r="AE113" i="45"/>
  <c r="JD15" i="45"/>
  <c r="AE112" i="45"/>
  <c r="GI15" i="45"/>
  <c r="AE39" i="45"/>
  <c r="IM15" i="45"/>
  <c r="AE95" i="45"/>
  <c r="AE108" i="45"/>
  <c r="IZ15" i="45"/>
  <c r="AE54" i="45"/>
  <c r="GX15" i="45"/>
  <c r="AE31" i="45"/>
  <c r="GA15" i="45"/>
  <c r="GY15" i="45"/>
  <c r="AE55" i="45"/>
  <c r="AE77" i="45"/>
  <c r="HU15" i="45"/>
  <c r="AE80" i="45"/>
  <c r="HX15" i="45"/>
  <c r="AE71" i="45"/>
  <c r="HO15" i="45"/>
  <c r="HY15" i="45"/>
  <c r="AE81" i="45"/>
  <c r="AE107" i="45"/>
  <c r="IY15" i="45"/>
  <c r="AE62" i="45"/>
  <c r="HF15" i="45"/>
  <c r="IQ15" i="45"/>
  <c r="AE99" i="45"/>
  <c r="IO15" i="45"/>
  <c r="AE97" i="45"/>
  <c r="AE37" i="45"/>
  <c r="GG15" i="45"/>
  <c r="HZ15" i="45"/>
  <c r="AE82" i="45"/>
  <c r="AE69" i="45"/>
  <c r="HM15" i="45"/>
  <c r="IG15" i="45"/>
  <c r="AE89" i="45"/>
  <c r="AE94" i="45"/>
  <c r="IL15" i="45"/>
  <c r="AE109" i="45"/>
  <c r="JA15" i="45"/>
  <c r="IF15" i="45"/>
  <c r="AE88" i="45"/>
  <c r="AE104" i="45"/>
  <c r="IV15" i="45"/>
  <c r="FW15" i="45"/>
  <c r="AE27" i="45"/>
  <c r="JK15" i="45"/>
  <c r="AE119" i="45"/>
  <c r="JG15" i="45"/>
  <c r="AE115" i="45"/>
  <c r="JC15" i="45"/>
  <c r="AE111" i="45"/>
  <c r="JH15" i="45"/>
  <c r="AE116" i="45"/>
  <c r="GS15" i="45"/>
  <c r="AE49" i="45"/>
  <c r="GZ15" i="45"/>
  <c r="AE56" i="45"/>
  <c r="AE59" i="45"/>
  <c r="HC15" i="45"/>
  <c r="AE61" i="45"/>
  <c r="HE15" i="45"/>
  <c r="HS15" i="45"/>
  <c r="AE75" i="45"/>
  <c r="AE84" i="45"/>
  <c r="IB15" i="45"/>
  <c r="IX15" i="45"/>
  <c r="AE106" i="45"/>
  <c r="AE101" i="45"/>
  <c r="IS15" i="45"/>
  <c r="IH15" i="45"/>
  <c r="AE90" i="45"/>
  <c r="AE73" i="45"/>
  <c r="HQ15" i="45"/>
  <c r="AE23" i="45"/>
  <c r="FS15" i="45"/>
  <c r="GL15" i="45"/>
  <c r="AE42" i="45"/>
  <c r="AE60" i="45"/>
  <c r="HD15" i="45"/>
  <c r="IK15" i="45"/>
  <c r="AE93" i="45"/>
  <c r="IU15" i="45"/>
  <c r="AE103" i="45"/>
  <c r="IP15" i="45"/>
  <c r="AE98" i="45"/>
  <c r="AE105" i="45"/>
  <c r="IW15" i="45"/>
  <c r="GH15" i="45"/>
  <c r="AE38" i="45"/>
  <c r="AJ6" i="45"/>
  <c r="AD65" i="45"/>
  <c r="GD15" i="45"/>
  <c r="AE34" i="45"/>
  <c r="IE15" i="45"/>
  <c r="AE87" i="45"/>
  <c r="JL15" i="45"/>
  <c r="JL120" i="45" s="1"/>
  <c r="JL5" i="45" s="1"/>
  <c r="AE120" i="45"/>
  <c r="AE58" i="45"/>
  <c r="HB15" i="45"/>
  <c r="AE22" i="45"/>
  <c r="FR15" i="45"/>
  <c r="AE78" i="45"/>
  <c r="HV15" i="45"/>
  <c r="JB15" i="45"/>
  <c r="AE110" i="45"/>
  <c r="GO15" i="45"/>
  <c r="AE45" i="45"/>
  <c r="AE74" i="45"/>
  <c r="HR15" i="45"/>
  <c r="AE24" i="45"/>
  <c r="FT15" i="45"/>
  <c r="AE46" i="45"/>
  <c r="GP15" i="45"/>
  <c r="GK15" i="45"/>
  <c r="AE41" i="45"/>
  <c r="AE67" i="45"/>
  <c r="HK15" i="45"/>
  <c r="AE96" i="45"/>
  <c r="IN15" i="45"/>
  <c r="IT15" i="45"/>
  <c r="AE102" i="45"/>
  <c r="AE53" i="45"/>
  <c r="GW15" i="45"/>
  <c r="AE83" i="45"/>
  <c r="IA15" i="45"/>
  <c r="IR15" i="45"/>
  <c r="AE100" i="45"/>
  <c r="AE40" i="45"/>
  <c r="GJ15" i="45"/>
  <c r="AE72" i="45"/>
  <c r="HP15" i="45"/>
  <c r="HL15" i="45"/>
  <c r="AE68" i="45"/>
  <c r="AE92" i="45"/>
  <c r="IJ15" i="45"/>
  <c r="FY15" i="45"/>
  <c r="AE29" i="45"/>
  <c r="AE91" i="45"/>
  <c r="II15" i="45"/>
  <c r="AE66" i="45"/>
  <c r="HJ15" i="45"/>
  <c r="GN15" i="45"/>
  <c r="AE44" i="45"/>
  <c r="JI15" i="45"/>
  <c r="AE117" i="45"/>
  <c r="AG30" i="38"/>
  <c r="AH30" i="38" s="1"/>
  <c r="AF31" i="38"/>
  <c r="AJ30" i="38"/>
  <c r="AK30" i="38" s="1"/>
  <c r="AH29" i="41"/>
  <c r="AL29" i="41" s="1"/>
  <c r="CY57" i="38" l="1"/>
  <c r="DD56" i="38"/>
  <c r="EO20" i="38"/>
  <c r="CD20" i="41" s="1"/>
  <c r="AT20" i="41"/>
  <c r="BB20" i="41" s="1"/>
  <c r="AK6" i="45"/>
  <c r="L75" i="10"/>
  <c r="AK5" i="45"/>
  <c r="L74" i="10"/>
  <c r="AF28" i="46"/>
  <c r="AF29" i="46" s="1"/>
  <c r="AG27" i="46"/>
  <c r="AH27" i="46" s="1"/>
  <c r="FP15" i="45"/>
  <c r="FP33" i="45" s="1"/>
  <c r="AE127" i="41"/>
  <c r="AE128" i="41" s="1"/>
  <c r="JH118" i="45"/>
  <c r="JH117" i="45"/>
  <c r="JH116" i="45"/>
  <c r="JH119" i="45"/>
  <c r="JH120" i="45"/>
  <c r="IF98" i="45"/>
  <c r="IF118" i="45"/>
  <c r="IF102" i="45"/>
  <c r="IF106" i="45"/>
  <c r="IF110" i="45"/>
  <c r="IF97" i="45"/>
  <c r="IF115" i="45"/>
  <c r="IF108" i="45"/>
  <c r="IF109" i="45"/>
  <c r="IF114" i="45"/>
  <c r="IF91" i="45"/>
  <c r="IF116" i="45"/>
  <c r="IF105" i="45"/>
  <c r="IF104" i="45"/>
  <c r="IF101" i="45"/>
  <c r="IF88" i="45"/>
  <c r="IF117" i="45"/>
  <c r="IF99" i="45"/>
  <c r="IF92" i="45"/>
  <c r="IF100" i="45"/>
  <c r="IF93" i="45"/>
  <c r="IF96" i="45"/>
  <c r="IF95" i="45"/>
  <c r="IF119" i="45"/>
  <c r="IF94" i="45"/>
  <c r="IF107" i="45"/>
  <c r="IF111" i="45"/>
  <c r="IF89" i="45"/>
  <c r="IF113" i="45"/>
  <c r="IF112" i="45"/>
  <c r="IF90" i="45"/>
  <c r="IF103" i="45"/>
  <c r="IF120" i="45"/>
  <c r="JI118" i="45"/>
  <c r="JI117" i="45"/>
  <c r="JI119" i="45"/>
  <c r="JI120" i="45"/>
  <c r="FY103" i="45"/>
  <c r="FY98" i="45"/>
  <c r="FY118" i="45"/>
  <c r="FY106" i="45"/>
  <c r="FY65" i="45"/>
  <c r="FY59" i="45"/>
  <c r="FY102" i="45"/>
  <c r="FY70" i="45"/>
  <c r="FY32" i="45"/>
  <c r="FY80" i="45"/>
  <c r="FY64" i="45"/>
  <c r="FY110" i="45"/>
  <c r="FY97" i="45"/>
  <c r="FY61" i="45"/>
  <c r="FY83" i="45"/>
  <c r="FY78" i="45"/>
  <c r="FY33" i="45"/>
  <c r="FY56" i="45"/>
  <c r="FY38" i="45"/>
  <c r="FY55" i="45"/>
  <c r="FY44" i="45"/>
  <c r="FY89" i="45"/>
  <c r="FY117" i="45"/>
  <c r="FY84" i="45"/>
  <c r="FY58" i="45"/>
  <c r="FY87" i="45"/>
  <c r="FY47" i="45"/>
  <c r="FY114" i="45"/>
  <c r="FY116" i="45"/>
  <c r="FY71" i="45"/>
  <c r="FY104" i="45"/>
  <c r="FY101" i="45"/>
  <c r="FY94" i="45"/>
  <c r="FY35" i="45"/>
  <c r="FY86" i="45"/>
  <c r="FY42" i="45"/>
  <c r="FY31" i="45"/>
  <c r="FY93" i="45"/>
  <c r="FY41" i="45"/>
  <c r="FY76" i="45"/>
  <c r="FY105" i="45"/>
  <c r="FY73" i="45"/>
  <c r="FY88" i="45"/>
  <c r="FY113" i="45"/>
  <c r="FY45" i="45"/>
  <c r="FY99" i="45"/>
  <c r="FY79" i="45"/>
  <c r="FY36" i="45"/>
  <c r="FY112" i="45"/>
  <c r="FY51" i="45"/>
  <c r="FY53" i="45"/>
  <c r="FY90" i="45"/>
  <c r="FY30" i="45"/>
  <c r="FY115" i="45"/>
  <c r="FY108" i="45"/>
  <c r="FY68" i="45"/>
  <c r="FY60" i="45"/>
  <c r="FY82" i="45"/>
  <c r="FY119" i="45"/>
  <c r="FY107" i="45"/>
  <c r="FY72" i="45"/>
  <c r="FY48" i="45"/>
  <c r="FY43" i="45"/>
  <c r="FY81" i="45"/>
  <c r="FY109" i="45"/>
  <c r="FY77" i="45"/>
  <c r="FY54" i="45"/>
  <c r="FY111" i="45"/>
  <c r="FY92" i="45"/>
  <c r="FY37" i="45"/>
  <c r="FY57" i="45"/>
  <c r="FY63" i="45"/>
  <c r="FY91" i="45"/>
  <c r="FY52" i="45"/>
  <c r="FY75" i="45"/>
  <c r="FY50" i="45"/>
  <c r="FY39" i="45"/>
  <c r="FY34" i="45"/>
  <c r="FY46" i="45"/>
  <c r="FY74" i="45"/>
  <c r="FY96" i="45"/>
  <c r="FY66" i="45"/>
  <c r="FY62" i="45"/>
  <c r="FY49" i="45"/>
  <c r="FY95" i="45"/>
  <c r="FY69" i="45"/>
  <c r="FY29" i="45"/>
  <c r="FY40" i="45"/>
  <c r="FY85" i="45"/>
  <c r="FY67" i="45"/>
  <c r="FY120" i="45"/>
  <c r="FY100" i="45"/>
  <c r="HL68" i="45"/>
  <c r="HL80" i="45"/>
  <c r="HL110" i="45"/>
  <c r="HL78" i="45"/>
  <c r="HL83" i="45"/>
  <c r="HL98" i="45"/>
  <c r="HL118" i="45"/>
  <c r="HL106" i="45"/>
  <c r="HL97" i="45"/>
  <c r="HL102" i="45"/>
  <c r="HL70" i="45"/>
  <c r="HL108" i="45"/>
  <c r="HL89" i="45"/>
  <c r="HL117" i="45"/>
  <c r="HL116" i="45"/>
  <c r="HL84" i="45"/>
  <c r="HL71" i="45"/>
  <c r="HL115" i="45"/>
  <c r="HL93" i="45"/>
  <c r="HL91" i="45"/>
  <c r="HL76" i="45"/>
  <c r="HL105" i="45"/>
  <c r="HL104" i="45"/>
  <c r="HL101" i="45"/>
  <c r="HL79" i="45"/>
  <c r="HL75" i="45"/>
  <c r="HL77" i="45"/>
  <c r="HL94" i="45"/>
  <c r="HL100" i="45"/>
  <c r="HL69" i="45"/>
  <c r="HL72" i="45"/>
  <c r="HL114" i="45"/>
  <c r="HL87" i="45"/>
  <c r="HL73" i="45"/>
  <c r="HL96" i="45"/>
  <c r="HL88" i="45"/>
  <c r="HL112" i="45"/>
  <c r="HL95" i="45"/>
  <c r="HL103" i="45"/>
  <c r="HL111" i="45"/>
  <c r="HL85" i="45"/>
  <c r="HL119" i="45"/>
  <c r="HL90" i="45"/>
  <c r="HL86" i="45"/>
  <c r="HL107" i="45"/>
  <c r="HL92" i="45"/>
  <c r="HL81" i="45"/>
  <c r="HL109" i="45"/>
  <c r="HL113" i="45"/>
  <c r="HL82" i="45"/>
  <c r="HL74" i="45"/>
  <c r="HL120" i="45"/>
  <c r="HL99" i="45"/>
  <c r="IT108" i="45"/>
  <c r="IT106" i="45"/>
  <c r="IT118" i="45"/>
  <c r="IT110" i="45"/>
  <c r="IT102" i="45"/>
  <c r="IT117" i="45"/>
  <c r="IT109" i="45"/>
  <c r="IT116" i="45"/>
  <c r="IT104" i="45"/>
  <c r="IT115" i="45"/>
  <c r="IT105" i="45"/>
  <c r="IT111" i="45"/>
  <c r="IT107" i="45"/>
  <c r="IT112" i="45"/>
  <c r="IT119" i="45"/>
  <c r="IT114" i="45"/>
  <c r="IT103" i="45"/>
  <c r="IT113" i="45"/>
  <c r="IT120" i="45"/>
  <c r="JB110" i="45"/>
  <c r="JB118" i="45"/>
  <c r="JB117" i="45"/>
  <c r="JB116" i="45"/>
  <c r="JB114" i="45"/>
  <c r="JB115" i="45"/>
  <c r="JB111" i="45"/>
  <c r="JB120" i="45"/>
  <c r="JB113" i="45"/>
  <c r="JB112" i="45"/>
  <c r="JB119" i="45"/>
  <c r="GD89" i="45"/>
  <c r="GD61" i="45"/>
  <c r="GD98" i="45"/>
  <c r="GD59" i="45"/>
  <c r="GD102" i="45"/>
  <c r="GD70" i="45"/>
  <c r="GD83" i="45"/>
  <c r="GD110" i="45"/>
  <c r="GD64" i="45"/>
  <c r="GD78" i="45"/>
  <c r="GD118" i="45"/>
  <c r="GD80" i="45"/>
  <c r="GD106" i="45"/>
  <c r="GD65" i="45"/>
  <c r="GD97" i="45"/>
  <c r="GD91" i="45"/>
  <c r="GD116" i="45"/>
  <c r="GD108" i="45"/>
  <c r="GD44" i="45"/>
  <c r="GD109" i="45"/>
  <c r="GD114" i="45"/>
  <c r="GD58" i="45"/>
  <c r="GD105" i="45"/>
  <c r="GD62" i="45"/>
  <c r="GD101" i="45"/>
  <c r="GD88" i="45"/>
  <c r="GD77" i="45"/>
  <c r="GD94" i="45"/>
  <c r="GD54" i="45"/>
  <c r="GD35" i="45"/>
  <c r="GD99" i="45"/>
  <c r="GD111" i="45"/>
  <c r="GD92" i="45"/>
  <c r="GD115" i="45"/>
  <c r="GD84" i="45"/>
  <c r="GD75" i="45"/>
  <c r="GD68" i="45"/>
  <c r="GD73" i="45"/>
  <c r="GD50" i="45"/>
  <c r="GD113" i="45"/>
  <c r="GD42" i="45"/>
  <c r="GD112" i="45"/>
  <c r="GD49" i="45"/>
  <c r="GD51" i="45"/>
  <c r="GD95" i="45"/>
  <c r="GD53" i="45"/>
  <c r="GD37" i="45"/>
  <c r="GD69" i="45"/>
  <c r="GD119" i="45"/>
  <c r="GD107" i="45"/>
  <c r="GD40" i="45"/>
  <c r="GD81" i="45"/>
  <c r="GD93" i="45"/>
  <c r="GD41" i="45"/>
  <c r="GD71" i="45"/>
  <c r="GD45" i="45"/>
  <c r="GD46" i="45"/>
  <c r="GD56" i="45"/>
  <c r="GD117" i="45"/>
  <c r="GD96" i="45"/>
  <c r="GD79" i="45"/>
  <c r="GD90" i="45"/>
  <c r="GD72" i="45"/>
  <c r="GD85" i="45"/>
  <c r="GD103" i="45"/>
  <c r="GD67" i="45"/>
  <c r="GD120" i="45"/>
  <c r="GD38" i="45"/>
  <c r="GD104" i="45"/>
  <c r="GD82" i="45"/>
  <c r="GD48" i="45"/>
  <c r="GD55" i="45"/>
  <c r="GD47" i="45"/>
  <c r="GD87" i="45"/>
  <c r="GD66" i="45"/>
  <c r="GD86" i="45"/>
  <c r="GD100" i="45"/>
  <c r="GD43" i="45"/>
  <c r="GD74" i="45"/>
  <c r="GD76" i="45"/>
  <c r="GD39" i="45"/>
  <c r="GD60" i="45"/>
  <c r="GD36" i="45"/>
  <c r="GD34" i="45"/>
  <c r="GD57" i="45"/>
  <c r="GD63" i="45"/>
  <c r="GD52" i="45"/>
  <c r="GH79" i="45"/>
  <c r="GH83" i="45"/>
  <c r="GH80" i="45"/>
  <c r="GH106" i="45"/>
  <c r="GH110" i="45"/>
  <c r="GH70" i="45"/>
  <c r="GH64" i="45"/>
  <c r="GH102" i="45"/>
  <c r="GH118" i="45"/>
  <c r="GH59" i="45"/>
  <c r="GH61" i="45"/>
  <c r="GH98" i="45"/>
  <c r="GH97" i="45"/>
  <c r="GH65" i="45"/>
  <c r="GH78" i="45"/>
  <c r="GH56" i="45"/>
  <c r="GH55" i="45"/>
  <c r="GH47" i="45"/>
  <c r="GH114" i="45"/>
  <c r="GH91" i="45"/>
  <c r="GH108" i="45"/>
  <c r="GH93" i="45"/>
  <c r="GH109" i="45"/>
  <c r="GH117" i="45"/>
  <c r="GH66" i="45"/>
  <c r="GH73" i="45"/>
  <c r="GH96" i="45"/>
  <c r="GH54" i="45"/>
  <c r="GH45" i="45"/>
  <c r="GH101" i="45"/>
  <c r="GH77" i="45"/>
  <c r="GH50" i="45"/>
  <c r="GH113" i="45"/>
  <c r="GH94" i="45"/>
  <c r="GH52" i="45"/>
  <c r="GH90" i="45"/>
  <c r="GH43" i="45"/>
  <c r="GH46" i="45"/>
  <c r="GH44" i="45"/>
  <c r="GH41" i="45"/>
  <c r="GH84" i="45"/>
  <c r="GH71" i="45"/>
  <c r="GH87" i="45"/>
  <c r="GH86" i="45"/>
  <c r="GH60" i="45"/>
  <c r="GH82" i="45"/>
  <c r="GH92" i="45"/>
  <c r="GH48" i="45"/>
  <c r="GH40" i="45"/>
  <c r="GH105" i="45"/>
  <c r="GH88" i="45"/>
  <c r="GH39" i="45"/>
  <c r="GH42" i="45"/>
  <c r="GH95" i="45"/>
  <c r="GH53" i="45"/>
  <c r="GH69" i="45"/>
  <c r="GH49" i="45"/>
  <c r="GH72" i="45"/>
  <c r="GH85" i="45"/>
  <c r="GH104" i="45"/>
  <c r="GH99" i="45"/>
  <c r="GH100" i="45"/>
  <c r="GH51" i="45"/>
  <c r="GH81" i="45"/>
  <c r="GH74" i="45"/>
  <c r="GH67" i="45"/>
  <c r="GH120" i="45"/>
  <c r="GH115" i="45"/>
  <c r="GH38" i="45"/>
  <c r="GH89" i="45"/>
  <c r="GH68" i="45"/>
  <c r="GH111" i="45"/>
  <c r="GH57" i="45"/>
  <c r="GH116" i="45"/>
  <c r="GH58" i="45"/>
  <c r="GH76" i="45"/>
  <c r="GH62" i="45"/>
  <c r="GH112" i="45"/>
  <c r="GH119" i="45"/>
  <c r="GH107" i="45"/>
  <c r="GH103" i="45"/>
  <c r="GH75" i="45"/>
  <c r="GH63" i="45"/>
  <c r="IK98" i="45"/>
  <c r="IK102" i="45"/>
  <c r="IK106" i="45"/>
  <c r="IK118" i="45"/>
  <c r="IK97" i="45"/>
  <c r="IK110" i="45"/>
  <c r="IK93" i="45"/>
  <c r="IK116" i="45"/>
  <c r="IK114" i="45"/>
  <c r="IK104" i="45"/>
  <c r="IK108" i="45"/>
  <c r="IK117" i="45"/>
  <c r="IK101" i="45"/>
  <c r="IK113" i="45"/>
  <c r="IK112" i="45"/>
  <c r="IK95" i="45"/>
  <c r="IK107" i="45"/>
  <c r="IK115" i="45"/>
  <c r="IK105" i="45"/>
  <c r="IK94" i="45"/>
  <c r="IK100" i="45"/>
  <c r="IK119" i="45"/>
  <c r="IK120" i="45"/>
  <c r="IK109" i="45"/>
  <c r="IK111" i="45"/>
  <c r="IK96" i="45"/>
  <c r="IK99" i="45"/>
  <c r="IK103" i="45"/>
  <c r="GL80" i="45"/>
  <c r="GL97" i="45"/>
  <c r="GL83" i="45"/>
  <c r="GL65" i="45"/>
  <c r="GL59" i="45"/>
  <c r="GL61" i="45"/>
  <c r="GL98" i="45"/>
  <c r="GL110" i="45"/>
  <c r="GL64" i="45"/>
  <c r="GL70" i="45"/>
  <c r="GL118" i="45"/>
  <c r="GL106" i="45"/>
  <c r="GL78" i="45"/>
  <c r="GL102" i="45"/>
  <c r="GL115" i="45"/>
  <c r="GL55" i="45"/>
  <c r="GL93" i="45"/>
  <c r="GL116" i="45"/>
  <c r="GL58" i="45"/>
  <c r="GL56" i="45"/>
  <c r="GL44" i="45"/>
  <c r="GL117" i="45"/>
  <c r="GL71" i="45"/>
  <c r="GL87" i="45"/>
  <c r="GL105" i="45"/>
  <c r="GL99" i="45"/>
  <c r="GL60" i="45"/>
  <c r="GL82" i="45"/>
  <c r="GL89" i="45"/>
  <c r="GL114" i="45"/>
  <c r="GL91" i="45"/>
  <c r="GL104" i="45"/>
  <c r="GL101" i="45"/>
  <c r="GL88" i="45"/>
  <c r="GL92" i="45"/>
  <c r="GL49" i="45"/>
  <c r="GL43" i="45"/>
  <c r="GL109" i="45"/>
  <c r="GL47" i="45"/>
  <c r="GL75" i="45"/>
  <c r="GL77" i="45"/>
  <c r="GL42" i="45"/>
  <c r="GL52" i="45"/>
  <c r="GL90" i="45"/>
  <c r="GL48" i="45"/>
  <c r="GL108" i="45"/>
  <c r="GL62" i="45"/>
  <c r="GL113" i="45"/>
  <c r="GL45" i="45"/>
  <c r="GL100" i="45"/>
  <c r="GL53" i="45"/>
  <c r="GL69" i="45"/>
  <c r="GL46" i="45"/>
  <c r="GL103" i="45"/>
  <c r="GL85" i="45"/>
  <c r="GL120" i="45"/>
  <c r="GL94" i="45"/>
  <c r="GL107" i="45"/>
  <c r="GL72" i="45"/>
  <c r="GL81" i="45"/>
  <c r="GL57" i="45"/>
  <c r="GL84" i="45"/>
  <c r="GL68" i="45"/>
  <c r="GL96" i="45"/>
  <c r="GL79" i="45"/>
  <c r="GL86" i="45"/>
  <c r="GL95" i="45"/>
  <c r="GL73" i="45"/>
  <c r="GL50" i="45"/>
  <c r="GL111" i="45"/>
  <c r="GL112" i="45"/>
  <c r="GL51" i="45"/>
  <c r="GL119" i="45"/>
  <c r="GL74" i="45"/>
  <c r="GL66" i="45"/>
  <c r="GL76" i="45"/>
  <c r="GL54" i="45"/>
  <c r="GL63" i="45"/>
  <c r="GL67" i="45"/>
  <c r="IX118" i="45"/>
  <c r="IX106" i="45"/>
  <c r="IX110" i="45"/>
  <c r="IX108" i="45"/>
  <c r="IX117" i="45"/>
  <c r="IX113" i="45"/>
  <c r="IX114" i="45"/>
  <c r="IX107" i="45"/>
  <c r="IX115" i="45"/>
  <c r="IX112" i="45"/>
  <c r="IX119" i="45"/>
  <c r="IX120" i="45"/>
  <c r="IX109" i="45"/>
  <c r="IX111" i="45"/>
  <c r="IX116" i="45"/>
  <c r="JC118" i="45"/>
  <c r="JC116" i="45"/>
  <c r="JC115" i="45"/>
  <c r="JC117" i="45"/>
  <c r="JC111" i="45"/>
  <c r="JC112" i="45"/>
  <c r="JC119" i="45"/>
  <c r="JC113" i="45"/>
  <c r="JC114" i="45"/>
  <c r="JC120" i="45"/>
  <c r="II102" i="45"/>
  <c r="II110" i="45"/>
  <c r="II106" i="45"/>
  <c r="II98" i="45"/>
  <c r="II97" i="45"/>
  <c r="II118" i="45"/>
  <c r="II115" i="45"/>
  <c r="II108" i="45"/>
  <c r="II117" i="45"/>
  <c r="II114" i="45"/>
  <c r="II105" i="45"/>
  <c r="II113" i="45"/>
  <c r="II93" i="45"/>
  <c r="II101" i="45"/>
  <c r="II112" i="45"/>
  <c r="II95" i="45"/>
  <c r="II107" i="45"/>
  <c r="II109" i="45"/>
  <c r="II116" i="45"/>
  <c r="II92" i="45"/>
  <c r="II100" i="45"/>
  <c r="II119" i="45"/>
  <c r="II103" i="45"/>
  <c r="II96" i="45"/>
  <c r="II111" i="45"/>
  <c r="II94" i="45"/>
  <c r="II91" i="45"/>
  <c r="II104" i="45"/>
  <c r="II99" i="45"/>
  <c r="II120" i="45"/>
  <c r="IJ96" i="45"/>
  <c r="IJ98" i="45"/>
  <c r="IJ106" i="45"/>
  <c r="IJ118" i="45"/>
  <c r="IJ110" i="45"/>
  <c r="IJ97" i="45"/>
  <c r="IJ102" i="45"/>
  <c r="IJ93" i="45"/>
  <c r="IJ114" i="45"/>
  <c r="IJ117" i="45"/>
  <c r="IJ116" i="45"/>
  <c r="IJ108" i="45"/>
  <c r="IJ109" i="45"/>
  <c r="IJ101" i="45"/>
  <c r="IJ99" i="45"/>
  <c r="IJ111" i="45"/>
  <c r="IJ92" i="45"/>
  <c r="IJ95" i="45"/>
  <c r="IJ119" i="45"/>
  <c r="IJ107" i="45"/>
  <c r="IJ105" i="45"/>
  <c r="IJ104" i="45"/>
  <c r="IJ113" i="45"/>
  <c r="IJ94" i="45"/>
  <c r="IJ103" i="45"/>
  <c r="IJ115" i="45"/>
  <c r="IJ120" i="45"/>
  <c r="IJ100" i="45"/>
  <c r="IJ112" i="45"/>
  <c r="HP97" i="45"/>
  <c r="HP102" i="45"/>
  <c r="HP98" i="45"/>
  <c r="HP83" i="45"/>
  <c r="HP106" i="45"/>
  <c r="HP110" i="45"/>
  <c r="HP80" i="45"/>
  <c r="HP118" i="45"/>
  <c r="HP78" i="45"/>
  <c r="HP115" i="45"/>
  <c r="HP93" i="45"/>
  <c r="HP91" i="45"/>
  <c r="HP108" i="45"/>
  <c r="HP89" i="45"/>
  <c r="HP96" i="45"/>
  <c r="HP88" i="45"/>
  <c r="HP79" i="45"/>
  <c r="HP114" i="45"/>
  <c r="HP117" i="45"/>
  <c r="HP87" i="45"/>
  <c r="HP76" i="45"/>
  <c r="HP94" i="45"/>
  <c r="HP82" i="45"/>
  <c r="HP92" i="45"/>
  <c r="HP95" i="45"/>
  <c r="HP90" i="45"/>
  <c r="HP116" i="45"/>
  <c r="HP84" i="45"/>
  <c r="HP105" i="45"/>
  <c r="HP75" i="45"/>
  <c r="HP119" i="45"/>
  <c r="HP107" i="45"/>
  <c r="HP103" i="45"/>
  <c r="HP73" i="45"/>
  <c r="HP99" i="45"/>
  <c r="HP112" i="45"/>
  <c r="HP85" i="45"/>
  <c r="HP74" i="45"/>
  <c r="HP81" i="45"/>
  <c r="HP77" i="45"/>
  <c r="HP101" i="45"/>
  <c r="HP111" i="45"/>
  <c r="HP109" i="45"/>
  <c r="HP104" i="45"/>
  <c r="HP113" i="45"/>
  <c r="HP86" i="45"/>
  <c r="HP100" i="45"/>
  <c r="HP72" i="45"/>
  <c r="HP120" i="45"/>
  <c r="GW90" i="45"/>
  <c r="GW106" i="45"/>
  <c r="GW64" i="45"/>
  <c r="GW59" i="45"/>
  <c r="GW61" i="45"/>
  <c r="GW98" i="45"/>
  <c r="GW118" i="45"/>
  <c r="GW110" i="45"/>
  <c r="GW97" i="45"/>
  <c r="GW78" i="45"/>
  <c r="GW83" i="45"/>
  <c r="GW80" i="45"/>
  <c r="GW65" i="45"/>
  <c r="GW102" i="45"/>
  <c r="GW70" i="45"/>
  <c r="GW115" i="45"/>
  <c r="GW89" i="45"/>
  <c r="GW116" i="45"/>
  <c r="GW58" i="45"/>
  <c r="GW71" i="45"/>
  <c r="GW56" i="45"/>
  <c r="GW62" i="45"/>
  <c r="GW68" i="45"/>
  <c r="GW77" i="45"/>
  <c r="GW113" i="45"/>
  <c r="GW54" i="45"/>
  <c r="GW79" i="45"/>
  <c r="GW86" i="45"/>
  <c r="GW60" i="45"/>
  <c r="GW82" i="45"/>
  <c r="GW91" i="45"/>
  <c r="GW87" i="45"/>
  <c r="GW105" i="45"/>
  <c r="GW101" i="45"/>
  <c r="GW100" i="45"/>
  <c r="GW53" i="45"/>
  <c r="GW69" i="45"/>
  <c r="GW119" i="45"/>
  <c r="GW81" i="45"/>
  <c r="GW108" i="45"/>
  <c r="GW55" i="45"/>
  <c r="GW114" i="45"/>
  <c r="GW66" i="45"/>
  <c r="GW76" i="45"/>
  <c r="GW75" i="45"/>
  <c r="GW104" i="45"/>
  <c r="GW73" i="45"/>
  <c r="GW96" i="45"/>
  <c r="GW88" i="45"/>
  <c r="GW99" i="45"/>
  <c r="GW111" i="45"/>
  <c r="GW92" i="45"/>
  <c r="GW95" i="45"/>
  <c r="GW72" i="45"/>
  <c r="GW84" i="45"/>
  <c r="GW67" i="45"/>
  <c r="GW112" i="45"/>
  <c r="GW103" i="45"/>
  <c r="GW57" i="45"/>
  <c r="GW120" i="45"/>
  <c r="GW117" i="45"/>
  <c r="GW94" i="45"/>
  <c r="GW85" i="45"/>
  <c r="GW74" i="45"/>
  <c r="GW107" i="45"/>
  <c r="GW93" i="45"/>
  <c r="GW109" i="45"/>
  <c r="GW63" i="45"/>
  <c r="IN118" i="45"/>
  <c r="IN97" i="45"/>
  <c r="IN102" i="45"/>
  <c r="IN106" i="45"/>
  <c r="IN110" i="45"/>
  <c r="IN98" i="45"/>
  <c r="IN109" i="45"/>
  <c r="IN117" i="45"/>
  <c r="IN108" i="45"/>
  <c r="IN105" i="45"/>
  <c r="IN104" i="45"/>
  <c r="IN99" i="45"/>
  <c r="IN115" i="45"/>
  <c r="IN119" i="45"/>
  <c r="IN96" i="45"/>
  <c r="IN111" i="45"/>
  <c r="IN112" i="45"/>
  <c r="IN100" i="45"/>
  <c r="IN107" i="45"/>
  <c r="IN103" i="45"/>
  <c r="IN120" i="45"/>
  <c r="IN114" i="45"/>
  <c r="IN113" i="45"/>
  <c r="IN116" i="45"/>
  <c r="IN101" i="45"/>
  <c r="FT88" i="45"/>
  <c r="FT61" i="45"/>
  <c r="FT98" i="45"/>
  <c r="FT106" i="45"/>
  <c r="FT110" i="45"/>
  <c r="FT64" i="45"/>
  <c r="FT33" i="45"/>
  <c r="FT65" i="45"/>
  <c r="FT78" i="45"/>
  <c r="FT59" i="45"/>
  <c r="FT83" i="45"/>
  <c r="FT32" i="45"/>
  <c r="FT80" i="45"/>
  <c r="FT97" i="45"/>
  <c r="FT118" i="45"/>
  <c r="FT102" i="45"/>
  <c r="FT70" i="45"/>
  <c r="FT115" i="45"/>
  <c r="FT55" i="45"/>
  <c r="FT116" i="45"/>
  <c r="FT58" i="45"/>
  <c r="FT31" i="45"/>
  <c r="FT109" i="45"/>
  <c r="FT114" i="45"/>
  <c r="FT117" i="45"/>
  <c r="FT71" i="45"/>
  <c r="FT101" i="45"/>
  <c r="FT54" i="45"/>
  <c r="FT82" i="45"/>
  <c r="FT38" i="45"/>
  <c r="FT44" i="45"/>
  <c r="FT93" i="45"/>
  <c r="FT47" i="45"/>
  <c r="FT41" i="45"/>
  <c r="FT91" i="45"/>
  <c r="FT104" i="45"/>
  <c r="FT68" i="45"/>
  <c r="FT77" i="45"/>
  <c r="FT79" i="45"/>
  <c r="FT51" i="45"/>
  <c r="FT34" i="45"/>
  <c r="FT81" i="45"/>
  <c r="FT56" i="45"/>
  <c r="FT66" i="45"/>
  <c r="FT105" i="45"/>
  <c r="FT96" i="45"/>
  <c r="FT50" i="45"/>
  <c r="FT94" i="45"/>
  <c r="FT45" i="45"/>
  <c r="FT39" i="45"/>
  <c r="FT42" i="45"/>
  <c r="FT100" i="45"/>
  <c r="FT25" i="45"/>
  <c r="FT40" i="45"/>
  <c r="FT24" i="45"/>
  <c r="FT84" i="45"/>
  <c r="FT87" i="45"/>
  <c r="FT28" i="45"/>
  <c r="FT99" i="45"/>
  <c r="FT86" i="45"/>
  <c r="FT60" i="45"/>
  <c r="FT52" i="45"/>
  <c r="FT49" i="45"/>
  <c r="FT37" i="45"/>
  <c r="FT43" i="45"/>
  <c r="FT67" i="45"/>
  <c r="FT46" i="45"/>
  <c r="FT63" i="45"/>
  <c r="FT73" i="45"/>
  <c r="FT69" i="45"/>
  <c r="FT90" i="45"/>
  <c r="FT103" i="45"/>
  <c r="FT85" i="45"/>
  <c r="FT120" i="45"/>
  <c r="FT89" i="45"/>
  <c r="FT76" i="45"/>
  <c r="FT27" i="45"/>
  <c r="FT30" i="45"/>
  <c r="FT57" i="45"/>
  <c r="FT72" i="45"/>
  <c r="FT26" i="45"/>
  <c r="FT74" i="45"/>
  <c r="FT108" i="45"/>
  <c r="FT62" i="45"/>
  <c r="FT75" i="45"/>
  <c r="FT113" i="45"/>
  <c r="FT35" i="45"/>
  <c r="FT111" i="45"/>
  <c r="FT92" i="45"/>
  <c r="FT36" i="45"/>
  <c r="FT112" i="45"/>
  <c r="FT95" i="45"/>
  <c r="FT53" i="45"/>
  <c r="FT29" i="45"/>
  <c r="FT48" i="45"/>
  <c r="FT119" i="45"/>
  <c r="FT107" i="45"/>
  <c r="HV103" i="45"/>
  <c r="HV118" i="45"/>
  <c r="HV80" i="45"/>
  <c r="HV110" i="45"/>
  <c r="HV97" i="45"/>
  <c r="HV98" i="45"/>
  <c r="HV83" i="45"/>
  <c r="HV106" i="45"/>
  <c r="HV78" i="45"/>
  <c r="HV102" i="45"/>
  <c r="HV89" i="45"/>
  <c r="HV91" i="45"/>
  <c r="HV84" i="45"/>
  <c r="HV114" i="45"/>
  <c r="HV116" i="45"/>
  <c r="HV87" i="45"/>
  <c r="HV113" i="45"/>
  <c r="HV115" i="45"/>
  <c r="HV108" i="45"/>
  <c r="HV109" i="45"/>
  <c r="HV101" i="45"/>
  <c r="HV100" i="45"/>
  <c r="HV81" i="45"/>
  <c r="HV93" i="45"/>
  <c r="HV117" i="45"/>
  <c r="HV105" i="45"/>
  <c r="HV88" i="45"/>
  <c r="HV111" i="45"/>
  <c r="HV86" i="45"/>
  <c r="HV82" i="45"/>
  <c r="HV112" i="45"/>
  <c r="HV79" i="45"/>
  <c r="HV92" i="45"/>
  <c r="HV120" i="45"/>
  <c r="HV107" i="45"/>
  <c r="HV96" i="45"/>
  <c r="HV119" i="45"/>
  <c r="HV90" i="45"/>
  <c r="HV85" i="45"/>
  <c r="HV104" i="45"/>
  <c r="HV99" i="45"/>
  <c r="HV94" i="45"/>
  <c r="HV95" i="45"/>
  <c r="HB79" i="45"/>
  <c r="HB97" i="45"/>
  <c r="HB78" i="45"/>
  <c r="HB64" i="45"/>
  <c r="HB59" i="45"/>
  <c r="HB98" i="45"/>
  <c r="HB65" i="45"/>
  <c r="HB83" i="45"/>
  <c r="HB80" i="45"/>
  <c r="HB106" i="45"/>
  <c r="HB61" i="45"/>
  <c r="HB110" i="45"/>
  <c r="HB102" i="45"/>
  <c r="HB70" i="45"/>
  <c r="HB118" i="45"/>
  <c r="HB89" i="45"/>
  <c r="HB116" i="45"/>
  <c r="HB58" i="45"/>
  <c r="HB115" i="45"/>
  <c r="HB114" i="45"/>
  <c r="HB87" i="45"/>
  <c r="HB66" i="45"/>
  <c r="HB76" i="45"/>
  <c r="HB75" i="45"/>
  <c r="HB88" i="45"/>
  <c r="HB94" i="45"/>
  <c r="HB60" i="45"/>
  <c r="HB109" i="45"/>
  <c r="HB117" i="45"/>
  <c r="HB91" i="45"/>
  <c r="HB84" i="45"/>
  <c r="HB71" i="45"/>
  <c r="HB73" i="45"/>
  <c r="HB77" i="45"/>
  <c r="HB113" i="45"/>
  <c r="HB111" i="45"/>
  <c r="HB119" i="45"/>
  <c r="HB62" i="45"/>
  <c r="HB99" i="45"/>
  <c r="HB86" i="45"/>
  <c r="HB112" i="45"/>
  <c r="HB69" i="45"/>
  <c r="HB107" i="45"/>
  <c r="HB81" i="45"/>
  <c r="HB93" i="45"/>
  <c r="HB104" i="45"/>
  <c r="HB72" i="45"/>
  <c r="HB74" i="45"/>
  <c r="HB90" i="45"/>
  <c r="HB92" i="45"/>
  <c r="HB108" i="45"/>
  <c r="HB96" i="45"/>
  <c r="HB67" i="45"/>
  <c r="HB105" i="45"/>
  <c r="HB82" i="45"/>
  <c r="HB100" i="45"/>
  <c r="HB103" i="45"/>
  <c r="HB85" i="45"/>
  <c r="HB63" i="45"/>
  <c r="HB120" i="45"/>
  <c r="HB68" i="45"/>
  <c r="HB101" i="45"/>
  <c r="HB95" i="45"/>
  <c r="AE65" i="45"/>
  <c r="HI15" i="45"/>
  <c r="IW109" i="45"/>
  <c r="IW110" i="45"/>
  <c r="IW106" i="45"/>
  <c r="IW118" i="45"/>
  <c r="IW114" i="45"/>
  <c r="IW115" i="45"/>
  <c r="IW108" i="45"/>
  <c r="IW116" i="45"/>
  <c r="IW111" i="45"/>
  <c r="IW117" i="45"/>
  <c r="IW105" i="45"/>
  <c r="IW113" i="45"/>
  <c r="IW119" i="45"/>
  <c r="IW112" i="45"/>
  <c r="IW107" i="45"/>
  <c r="IW120" i="45"/>
  <c r="HD66" i="45"/>
  <c r="HD110" i="45"/>
  <c r="HD65" i="45"/>
  <c r="HD78" i="45"/>
  <c r="HD61" i="45"/>
  <c r="HD97" i="45"/>
  <c r="HD64" i="45"/>
  <c r="HD102" i="45"/>
  <c r="HD70" i="45"/>
  <c r="HD98" i="45"/>
  <c r="HD83" i="45"/>
  <c r="HD118" i="45"/>
  <c r="HD80" i="45"/>
  <c r="HD106" i="45"/>
  <c r="HD115" i="45"/>
  <c r="HD89" i="45"/>
  <c r="HD114" i="45"/>
  <c r="HD117" i="45"/>
  <c r="HD87" i="45"/>
  <c r="HD91" i="45"/>
  <c r="HD116" i="45"/>
  <c r="HD71" i="45"/>
  <c r="HD104" i="45"/>
  <c r="HD73" i="45"/>
  <c r="HD94" i="45"/>
  <c r="HD99" i="45"/>
  <c r="HD109" i="45"/>
  <c r="HD84" i="45"/>
  <c r="HD76" i="45"/>
  <c r="HD105" i="45"/>
  <c r="HD79" i="45"/>
  <c r="HD107" i="45"/>
  <c r="HD62" i="45"/>
  <c r="HD77" i="45"/>
  <c r="HD112" i="45"/>
  <c r="HD72" i="45"/>
  <c r="HD81" i="45"/>
  <c r="HD108" i="45"/>
  <c r="HD101" i="45"/>
  <c r="HD88" i="45"/>
  <c r="HD113" i="45"/>
  <c r="HD86" i="45"/>
  <c r="HD69" i="45"/>
  <c r="HD90" i="45"/>
  <c r="HD85" i="45"/>
  <c r="HD100" i="45"/>
  <c r="HD74" i="45"/>
  <c r="HD120" i="45"/>
  <c r="HD93" i="45"/>
  <c r="HD92" i="45"/>
  <c r="HD63" i="45"/>
  <c r="HD111" i="45"/>
  <c r="HD60" i="45"/>
  <c r="HD95" i="45"/>
  <c r="HD119" i="45"/>
  <c r="HD68" i="45"/>
  <c r="HD96" i="45"/>
  <c r="HD82" i="45"/>
  <c r="HD67" i="45"/>
  <c r="HD75" i="45"/>
  <c r="HD103" i="45"/>
  <c r="FS56" i="45"/>
  <c r="FS33" i="45"/>
  <c r="FS64" i="45"/>
  <c r="FS78" i="45"/>
  <c r="FS65" i="45"/>
  <c r="FS97" i="45"/>
  <c r="FS59" i="45"/>
  <c r="FS61" i="45"/>
  <c r="FS83" i="45"/>
  <c r="FS80" i="45"/>
  <c r="FS98" i="45"/>
  <c r="FS32" i="45"/>
  <c r="FS118" i="45"/>
  <c r="FS110" i="45"/>
  <c r="FS102" i="45"/>
  <c r="FS70" i="45"/>
  <c r="FS106" i="45"/>
  <c r="FS38" i="45"/>
  <c r="FS44" i="45"/>
  <c r="FS31" i="45"/>
  <c r="FS91" i="45"/>
  <c r="FS116" i="45"/>
  <c r="FS58" i="45"/>
  <c r="FS71" i="45"/>
  <c r="FS108" i="45"/>
  <c r="FS55" i="45"/>
  <c r="FS109" i="45"/>
  <c r="FS47" i="45"/>
  <c r="FS84" i="45"/>
  <c r="FS105" i="45"/>
  <c r="FS75" i="45"/>
  <c r="FS68" i="45"/>
  <c r="FS101" i="45"/>
  <c r="FS88" i="45"/>
  <c r="FS50" i="45"/>
  <c r="FS94" i="45"/>
  <c r="FS99" i="45"/>
  <c r="FS111" i="45"/>
  <c r="FS24" i="45"/>
  <c r="FS117" i="45"/>
  <c r="FS87" i="45"/>
  <c r="FS76" i="45"/>
  <c r="FS62" i="45"/>
  <c r="FS104" i="45"/>
  <c r="FS42" i="45"/>
  <c r="FS52" i="45"/>
  <c r="FS25" i="45"/>
  <c r="FS90" i="45"/>
  <c r="FS72" i="45"/>
  <c r="FS48" i="45"/>
  <c r="FS43" i="45"/>
  <c r="FS26" i="45"/>
  <c r="FS115" i="45"/>
  <c r="FS114" i="45"/>
  <c r="FS66" i="45"/>
  <c r="FS27" i="45"/>
  <c r="FS28" i="45"/>
  <c r="FS77" i="45"/>
  <c r="FS39" i="45"/>
  <c r="FS86" i="45"/>
  <c r="FS60" i="45"/>
  <c r="FS92" i="45"/>
  <c r="FS36" i="45"/>
  <c r="FS112" i="45"/>
  <c r="FS49" i="45"/>
  <c r="FS51" i="45"/>
  <c r="FS34" i="45"/>
  <c r="FS53" i="45"/>
  <c r="FS69" i="45"/>
  <c r="FS29" i="45"/>
  <c r="FS89" i="45"/>
  <c r="FS113" i="45"/>
  <c r="FS79" i="45"/>
  <c r="FS82" i="45"/>
  <c r="FS95" i="45"/>
  <c r="FS107" i="45"/>
  <c r="FS30" i="45"/>
  <c r="FS57" i="45"/>
  <c r="FS40" i="45"/>
  <c r="FS46" i="45"/>
  <c r="FS74" i="45"/>
  <c r="FS35" i="45"/>
  <c r="FS37" i="45"/>
  <c r="FS119" i="45"/>
  <c r="FS85" i="45"/>
  <c r="FS63" i="45"/>
  <c r="FS67" i="45"/>
  <c r="FS41" i="45"/>
  <c r="FS23" i="45"/>
  <c r="FS103" i="45"/>
  <c r="FS93" i="45"/>
  <c r="FS73" i="45"/>
  <c r="FS96" i="45"/>
  <c r="FS54" i="45"/>
  <c r="FS45" i="45"/>
  <c r="FS100" i="45"/>
  <c r="FS81" i="45"/>
  <c r="FS120" i="45"/>
  <c r="AF20" i="45"/>
  <c r="AJ20" i="45" s="1"/>
  <c r="AK20" i="45" s="1"/>
  <c r="AI20" i="41" s="1"/>
  <c r="IS102" i="45"/>
  <c r="IS106" i="45"/>
  <c r="IS110" i="45"/>
  <c r="IS118" i="45"/>
  <c r="IS115" i="45"/>
  <c r="IS114" i="45"/>
  <c r="IS116" i="45"/>
  <c r="IS109" i="45"/>
  <c r="IS101" i="45"/>
  <c r="IS111" i="45"/>
  <c r="IS104" i="45"/>
  <c r="IS119" i="45"/>
  <c r="IS108" i="45"/>
  <c r="IS112" i="45"/>
  <c r="IS103" i="45"/>
  <c r="IS117" i="45"/>
  <c r="IS105" i="45"/>
  <c r="IS120" i="45"/>
  <c r="IS113" i="45"/>
  <c r="IS107" i="45"/>
  <c r="IB86" i="45"/>
  <c r="IB118" i="45"/>
  <c r="IB97" i="45"/>
  <c r="IB106" i="45"/>
  <c r="IB102" i="45"/>
  <c r="IB98" i="45"/>
  <c r="IB110" i="45"/>
  <c r="IB108" i="45"/>
  <c r="IB109" i="45"/>
  <c r="IB117" i="45"/>
  <c r="IB87" i="45"/>
  <c r="IB93" i="45"/>
  <c r="IB116" i="45"/>
  <c r="IB84" i="45"/>
  <c r="IB96" i="45"/>
  <c r="IB94" i="45"/>
  <c r="IB105" i="45"/>
  <c r="IB101" i="45"/>
  <c r="IB119" i="45"/>
  <c r="IB89" i="45"/>
  <c r="IB91" i="45"/>
  <c r="IB104" i="45"/>
  <c r="IB88" i="45"/>
  <c r="IB113" i="45"/>
  <c r="IB90" i="45"/>
  <c r="IB115" i="45"/>
  <c r="IB111" i="45"/>
  <c r="IB92" i="45"/>
  <c r="IB95" i="45"/>
  <c r="IB103" i="45"/>
  <c r="IB85" i="45"/>
  <c r="IB112" i="45"/>
  <c r="IB100" i="45"/>
  <c r="IB114" i="45"/>
  <c r="IB99" i="45"/>
  <c r="IB107" i="45"/>
  <c r="IB120" i="45"/>
  <c r="HE93" i="45"/>
  <c r="HE98" i="45"/>
  <c r="HE70" i="45"/>
  <c r="HE83" i="45"/>
  <c r="HE106" i="45"/>
  <c r="HE102" i="45"/>
  <c r="HE61" i="45"/>
  <c r="HE118" i="45"/>
  <c r="HE80" i="45"/>
  <c r="HE110" i="45"/>
  <c r="HE97" i="45"/>
  <c r="HE64" i="45"/>
  <c r="HE65" i="45"/>
  <c r="HE78" i="45"/>
  <c r="HE116" i="45"/>
  <c r="HE115" i="45"/>
  <c r="HE108" i="45"/>
  <c r="HE89" i="45"/>
  <c r="HE87" i="45"/>
  <c r="HE66" i="45"/>
  <c r="HE76" i="45"/>
  <c r="HE75" i="45"/>
  <c r="HE92" i="45"/>
  <c r="HE109" i="45"/>
  <c r="HE114" i="45"/>
  <c r="HE117" i="45"/>
  <c r="HE101" i="45"/>
  <c r="HE88" i="45"/>
  <c r="HE111" i="45"/>
  <c r="HE72" i="45"/>
  <c r="HE84" i="45"/>
  <c r="HE71" i="45"/>
  <c r="HE104" i="45"/>
  <c r="HE68" i="45"/>
  <c r="HE73" i="45"/>
  <c r="HE82" i="45"/>
  <c r="HE69" i="45"/>
  <c r="HE119" i="45"/>
  <c r="HE90" i="45"/>
  <c r="HE103" i="45"/>
  <c r="HE77" i="45"/>
  <c r="HE107" i="45"/>
  <c r="HE74" i="45"/>
  <c r="HE95" i="45"/>
  <c r="HE67" i="45"/>
  <c r="HE91" i="45"/>
  <c r="HE112" i="45"/>
  <c r="HE100" i="45"/>
  <c r="HE105" i="45"/>
  <c r="HE96" i="45"/>
  <c r="HE99" i="45"/>
  <c r="HE86" i="45"/>
  <c r="HE63" i="45"/>
  <c r="HE85" i="45"/>
  <c r="HE113" i="45"/>
  <c r="HE94" i="45"/>
  <c r="HE79" i="45"/>
  <c r="HE81" i="45"/>
  <c r="HE62" i="45"/>
  <c r="HE120" i="45"/>
  <c r="IL108" i="45"/>
  <c r="IL102" i="45"/>
  <c r="IL98" i="45"/>
  <c r="IL106" i="45"/>
  <c r="IL110" i="45"/>
  <c r="IL97" i="45"/>
  <c r="IL118" i="45"/>
  <c r="IL114" i="45"/>
  <c r="IL116" i="45"/>
  <c r="IL115" i="45"/>
  <c r="IL105" i="45"/>
  <c r="IL113" i="45"/>
  <c r="IL111" i="45"/>
  <c r="IL94" i="45"/>
  <c r="IL107" i="45"/>
  <c r="IL109" i="45"/>
  <c r="IL95" i="45"/>
  <c r="IL103" i="45"/>
  <c r="IL112" i="45"/>
  <c r="IL99" i="45"/>
  <c r="IL119" i="45"/>
  <c r="IL120" i="45"/>
  <c r="IL117" i="45"/>
  <c r="IL101" i="45"/>
  <c r="IL96" i="45"/>
  <c r="IL104" i="45"/>
  <c r="IL100" i="45"/>
  <c r="HM108" i="45"/>
  <c r="HM118" i="45"/>
  <c r="HM83" i="45"/>
  <c r="HM106" i="45"/>
  <c r="HM98" i="45"/>
  <c r="HM80" i="45"/>
  <c r="HM97" i="45"/>
  <c r="HM78" i="45"/>
  <c r="HM102" i="45"/>
  <c r="HM70" i="45"/>
  <c r="HM110" i="45"/>
  <c r="HM114" i="45"/>
  <c r="HM91" i="45"/>
  <c r="HM84" i="45"/>
  <c r="HM93" i="45"/>
  <c r="HM87" i="45"/>
  <c r="HM73" i="45"/>
  <c r="HM86" i="45"/>
  <c r="HM115" i="45"/>
  <c r="HM89" i="45"/>
  <c r="HM76" i="45"/>
  <c r="HM75" i="45"/>
  <c r="HM96" i="45"/>
  <c r="HM94" i="45"/>
  <c r="HM99" i="45"/>
  <c r="HM100" i="45"/>
  <c r="HM69" i="45"/>
  <c r="HM81" i="45"/>
  <c r="HM117" i="45"/>
  <c r="HM101" i="45"/>
  <c r="HM88" i="45"/>
  <c r="HM77" i="45"/>
  <c r="HM113" i="45"/>
  <c r="HM111" i="45"/>
  <c r="HM119" i="45"/>
  <c r="HM90" i="45"/>
  <c r="HM72" i="45"/>
  <c r="HM104" i="45"/>
  <c r="HM74" i="45"/>
  <c r="HM120" i="45"/>
  <c r="HM95" i="45"/>
  <c r="HM103" i="45"/>
  <c r="HM85" i="45"/>
  <c r="HM116" i="45"/>
  <c r="HM79" i="45"/>
  <c r="HM109" i="45"/>
  <c r="HM71" i="45"/>
  <c r="HM92" i="45"/>
  <c r="HM105" i="45"/>
  <c r="HM82" i="45"/>
  <c r="HM112" i="45"/>
  <c r="HM107" i="45"/>
  <c r="GG81" i="45"/>
  <c r="GG118" i="45"/>
  <c r="GG80" i="45"/>
  <c r="GG78" i="45"/>
  <c r="GG59" i="45"/>
  <c r="GG102" i="45"/>
  <c r="GG70" i="45"/>
  <c r="GG61" i="45"/>
  <c r="GG98" i="45"/>
  <c r="GG64" i="45"/>
  <c r="GG106" i="45"/>
  <c r="GG97" i="45"/>
  <c r="GG83" i="45"/>
  <c r="GG110" i="45"/>
  <c r="GG65" i="45"/>
  <c r="GG55" i="45"/>
  <c r="GG109" i="45"/>
  <c r="GG41" i="45"/>
  <c r="GG58" i="45"/>
  <c r="GG115" i="45"/>
  <c r="GG56" i="45"/>
  <c r="GG44" i="45"/>
  <c r="GG47" i="45"/>
  <c r="GG116" i="45"/>
  <c r="GG66" i="45"/>
  <c r="GG104" i="45"/>
  <c r="GG73" i="45"/>
  <c r="GG96" i="45"/>
  <c r="GG77" i="45"/>
  <c r="GG111" i="45"/>
  <c r="GG114" i="45"/>
  <c r="GG101" i="45"/>
  <c r="GG113" i="45"/>
  <c r="GG39" i="45"/>
  <c r="GG92" i="45"/>
  <c r="GG52" i="45"/>
  <c r="GG49" i="45"/>
  <c r="GG72" i="45"/>
  <c r="GG108" i="45"/>
  <c r="GG117" i="45"/>
  <c r="GG91" i="45"/>
  <c r="GG87" i="45"/>
  <c r="GG68" i="45"/>
  <c r="GG50" i="45"/>
  <c r="GG94" i="45"/>
  <c r="GG51" i="45"/>
  <c r="GG95" i="45"/>
  <c r="GG107" i="45"/>
  <c r="GG103" i="45"/>
  <c r="GG75" i="45"/>
  <c r="GG88" i="45"/>
  <c r="GG45" i="45"/>
  <c r="GG60" i="45"/>
  <c r="GG100" i="45"/>
  <c r="GG43" i="45"/>
  <c r="GG46" i="45"/>
  <c r="GG67" i="45"/>
  <c r="GG53" i="45"/>
  <c r="GG38" i="45"/>
  <c r="GG86" i="45"/>
  <c r="GG89" i="45"/>
  <c r="GG93" i="45"/>
  <c r="GG71" i="45"/>
  <c r="GG42" i="45"/>
  <c r="GG69" i="45"/>
  <c r="GG119" i="45"/>
  <c r="GG90" i="45"/>
  <c r="GG54" i="45"/>
  <c r="GG79" i="45"/>
  <c r="GG48" i="45"/>
  <c r="GG120" i="45"/>
  <c r="GG84" i="45"/>
  <c r="GG76" i="45"/>
  <c r="GG82" i="45"/>
  <c r="GG37" i="45"/>
  <c r="GG40" i="45"/>
  <c r="GG85" i="45"/>
  <c r="GG74" i="45"/>
  <c r="GG57" i="45"/>
  <c r="GG105" i="45"/>
  <c r="GG62" i="45"/>
  <c r="GG99" i="45"/>
  <c r="GG112" i="45"/>
  <c r="GG63" i="45"/>
  <c r="IY107" i="45"/>
  <c r="IY118" i="45"/>
  <c r="IY110" i="45"/>
  <c r="IY109" i="45"/>
  <c r="IY117" i="45"/>
  <c r="IY113" i="45"/>
  <c r="IY114" i="45"/>
  <c r="IY112" i="45"/>
  <c r="IY116" i="45"/>
  <c r="IY120" i="45"/>
  <c r="IY115" i="45"/>
  <c r="IY108" i="45"/>
  <c r="IY111" i="45"/>
  <c r="IY119" i="45"/>
  <c r="HO105" i="45"/>
  <c r="HO83" i="45"/>
  <c r="HO80" i="45"/>
  <c r="HO110" i="45"/>
  <c r="HO106" i="45"/>
  <c r="HO78" i="45"/>
  <c r="HO98" i="45"/>
  <c r="HO118" i="45"/>
  <c r="HO97" i="45"/>
  <c r="HO102" i="45"/>
  <c r="HO89" i="45"/>
  <c r="HO84" i="45"/>
  <c r="HO87" i="45"/>
  <c r="HO76" i="45"/>
  <c r="HO94" i="45"/>
  <c r="HO79" i="45"/>
  <c r="HO116" i="45"/>
  <c r="HO101" i="45"/>
  <c r="HO96" i="45"/>
  <c r="HO113" i="45"/>
  <c r="HO72" i="45"/>
  <c r="HO108" i="45"/>
  <c r="HO93" i="45"/>
  <c r="HO114" i="45"/>
  <c r="HO71" i="45"/>
  <c r="HO104" i="45"/>
  <c r="HO77" i="45"/>
  <c r="HO82" i="45"/>
  <c r="HO92" i="45"/>
  <c r="HO100" i="45"/>
  <c r="HO119" i="45"/>
  <c r="HO107" i="45"/>
  <c r="HO99" i="45"/>
  <c r="HO112" i="45"/>
  <c r="HO95" i="45"/>
  <c r="HO90" i="45"/>
  <c r="HO103" i="45"/>
  <c r="HO120" i="45"/>
  <c r="HO115" i="45"/>
  <c r="HO109" i="45"/>
  <c r="HO88" i="45"/>
  <c r="HO117" i="45"/>
  <c r="HO91" i="45"/>
  <c r="HO73" i="45"/>
  <c r="HO111" i="45"/>
  <c r="HO85" i="45"/>
  <c r="HO75" i="45"/>
  <c r="HO86" i="45"/>
  <c r="HO74" i="45"/>
  <c r="HO81" i="45"/>
  <c r="HU86" i="45"/>
  <c r="HU102" i="45"/>
  <c r="HU78" i="45"/>
  <c r="HU80" i="45"/>
  <c r="HU98" i="45"/>
  <c r="HU83" i="45"/>
  <c r="HU118" i="45"/>
  <c r="HU106" i="45"/>
  <c r="HU110" i="45"/>
  <c r="HU97" i="45"/>
  <c r="HU117" i="45"/>
  <c r="HU93" i="45"/>
  <c r="HU116" i="45"/>
  <c r="HU84" i="45"/>
  <c r="HU94" i="45"/>
  <c r="HU99" i="45"/>
  <c r="HU100" i="45"/>
  <c r="HU119" i="45"/>
  <c r="HU90" i="45"/>
  <c r="HU109" i="45"/>
  <c r="HU79" i="45"/>
  <c r="HU95" i="45"/>
  <c r="HU107" i="45"/>
  <c r="HU113" i="45"/>
  <c r="HU81" i="45"/>
  <c r="HU85" i="45"/>
  <c r="HU114" i="45"/>
  <c r="HU105" i="45"/>
  <c r="HU104" i="45"/>
  <c r="HU112" i="45"/>
  <c r="HU91" i="45"/>
  <c r="HU87" i="45"/>
  <c r="HU111" i="45"/>
  <c r="HU82" i="45"/>
  <c r="HU120" i="45"/>
  <c r="HU92" i="45"/>
  <c r="HU115" i="45"/>
  <c r="HU108" i="45"/>
  <c r="HU89" i="45"/>
  <c r="HU101" i="45"/>
  <c r="HU96" i="45"/>
  <c r="HU88" i="45"/>
  <c r="HU77" i="45"/>
  <c r="HU103" i="45"/>
  <c r="GA105" i="45"/>
  <c r="GA61" i="45"/>
  <c r="GA98" i="45"/>
  <c r="GA83" i="45"/>
  <c r="GA32" i="45"/>
  <c r="GA80" i="45"/>
  <c r="GA59" i="45"/>
  <c r="GA102" i="45"/>
  <c r="GA118" i="45"/>
  <c r="GA65" i="45"/>
  <c r="GA106" i="45"/>
  <c r="GA33" i="45"/>
  <c r="GA110" i="45"/>
  <c r="GA97" i="45"/>
  <c r="GA64" i="45"/>
  <c r="GA78" i="45"/>
  <c r="GA70" i="45"/>
  <c r="GA38" i="45"/>
  <c r="GA89" i="45"/>
  <c r="GA93" i="45"/>
  <c r="GA84" i="45"/>
  <c r="GA108" i="45"/>
  <c r="GA31" i="45"/>
  <c r="GA47" i="45"/>
  <c r="GA114" i="45"/>
  <c r="GA71" i="45"/>
  <c r="GA96" i="45"/>
  <c r="GA86" i="45"/>
  <c r="GA76" i="45"/>
  <c r="GA68" i="45"/>
  <c r="GA73" i="45"/>
  <c r="GA94" i="45"/>
  <c r="GA45" i="45"/>
  <c r="GA35" i="45"/>
  <c r="GA111" i="45"/>
  <c r="GA79" i="45"/>
  <c r="GA39" i="45"/>
  <c r="GA60" i="45"/>
  <c r="GA92" i="45"/>
  <c r="GA36" i="45"/>
  <c r="GA95" i="45"/>
  <c r="GA34" i="45"/>
  <c r="GA37" i="45"/>
  <c r="GA69" i="45"/>
  <c r="GA119" i="45"/>
  <c r="GA90" i="45"/>
  <c r="GA117" i="45"/>
  <c r="GA75" i="45"/>
  <c r="GA104" i="45"/>
  <c r="GA77" i="45"/>
  <c r="GA50" i="45"/>
  <c r="GA99" i="45"/>
  <c r="GA107" i="45"/>
  <c r="GA43" i="45"/>
  <c r="GA46" i="45"/>
  <c r="GA81" i="45"/>
  <c r="GA44" i="45"/>
  <c r="GA41" i="45"/>
  <c r="GA91" i="45"/>
  <c r="GA116" i="45"/>
  <c r="GA87" i="45"/>
  <c r="GA66" i="45"/>
  <c r="GA62" i="45"/>
  <c r="GA101" i="45"/>
  <c r="GA51" i="45"/>
  <c r="GA120" i="45"/>
  <c r="GA112" i="45"/>
  <c r="GA100" i="45"/>
  <c r="GA53" i="45"/>
  <c r="GA48" i="45"/>
  <c r="GA56" i="45"/>
  <c r="GA55" i="45"/>
  <c r="GA58" i="45"/>
  <c r="GA54" i="45"/>
  <c r="GA42" i="45"/>
  <c r="GA40" i="45"/>
  <c r="GA57" i="45"/>
  <c r="GA109" i="45"/>
  <c r="GA88" i="45"/>
  <c r="GA63" i="45"/>
  <c r="GA67" i="45"/>
  <c r="GA52" i="45"/>
  <c r="GA82" i="45"/>
  <c r="GA49" i="45"/>
  <c r="GA103" i="45"/>
  <c r="GA85" i="45"/>
  <c r="GA74" i="45"/>
  <c r="GA115" i="45"/>
  <c r="GA113" i="45"/>
  <c r="GA72" i="45"/>
  <c r="IZ110" i="45"/>
  <c r="IZ118" i="45"/>
  <c r="IZ108" i="45"/>
  <c r="IZ114" i="45"/>
  <c r="IZ109" i="45"/>
  <c r="IZ116" i="45"/>
  <c r="IZ115" i="45"/>
  <c r="IZ112" i="45"/>
  <c r="IZ119" i="45"/>
  <c r="IZ117" i="45"/>
  <c r="IZ120" i="45"/>
  <c r="IZ113" i="45"/>
  <c r="IZ111" i="45"/>
  <c r="FU40" i="45"/>
  <c r="FU61" i="45"/>
  <c r="FU102" i="45"/>
  <c r="FU64" i="45"/>
  <c r="FU59" i="45"/>
  <c r="FU98" i="45"/>
  <c r="FU83" i="45"/>
  <c r="FU32" i="45"/>
  <c r="FU78" i="45"/>
  <c r="FU70" i="45"/>
  <c r="FU80" i="45"/>
  <c r="FU110" i="45"/>
  <c r="FU65" i="45"/>
  <c r="FU118" i="45"/>
  <c r="FU106" i="45"/>
  <c r="FU97" i="45"/>
  <c r="FU33" i="45"/>
  <c r="FU115" i="45"/>
  <c r="FU38" i="45"/>
  <c r="FU31" i="45"/>
  <c r="FU108" i="45"/>
  <c r="FU44" i="45"/>
  <c r="FU114" i="45"/>
  <c r="FU41" i="45"/>
  <c r="FU76" i="45"/>
  <c r="FU77" i="45"/>
  <c r="FU45" i="45"/>
  <c r="FU111" i="45"/>
  <c r="FU82" i="45"/>
  <c r="FU55" i="45"/>
  <c r="FU89" i="45"/>
  <c r="FU109" i="45"/>
  <c r="FU91" i="45"/>
  <c r="FU58" i="45"/>
  <c r="FU71" i="45"/>
  <c r="FU87" i="45"/>
  <c r="FU66" i="45"/>
  <c r="FU62" i="45"/>
  <c r="FU75" i="45"/>
  <c r="FU27" i="45"/>
  <c r="FU68" i="45"/>
  <c r="FU35" i="45"/>
  <c r="FU99" i="45"/>
  <c r="FU86" i="45"/>
  <c r="FU60" i="45"/>
  <c r="FU42" i="45"/>
  <c r="FU112" i="45"/>
  <c r="FU49" i="45"/>
  <c r="FU25" i="45"/>
  <c r="FU116" i="45"/>
  <c r="FU84" i="45"/>
  <c r="FU104" i="45"/>
  <c r="FU101" i="45"/>
  <c r="FU113" i="45"/>
  <c r="FU94" i="45"/>
  <c r="FU39" i="45"/>
  <c r="FU36" i="45"/>
  <c r="FU100" i="45"/>
  <c r="FU52" i="45"/>
  <c r="FU51" i="45"/>
  <c r="FU37" i="45"/>
  <c r="FU119" i="45"/>
  <c r="FU30" i="45"/>
  <c r="FU72" i="45"/>
  <c r="FU46" i="45"/>
  <c r="FU26" i="45"/>
  <c r="FU93" i="45"/>
  <c r="FU73" i="45"/>
  <c r="FU96" i="45"/>
  <c r="FU29" i="45"/>
  <c r="FU81" i="45"/>
  <c r="FU103" i="45"/>
  <c r="FU57" i="45"/>
  <c r="FU63" i="45"/>
  <c r="FU92" i="45"/>
  <c r="FU34" i="45"/>
  <c r="FU107" i="45"/>
  <c r="FU48" i="45"/>
  <c r="FU43" i="45"/>
  <c r="FU85" i="45"/>
  <c r="FU67" i="45"/>
  <c r="FU120" i="45"/>
  <c r="FU47" i="45"/>
  <c r="FU88" i="45"/>
  <c r="FU95" i="45"/>
  <c r="FU74" i="45"/>
  <c r="FU54" i="45"/>
  <c r="FU117" i="45"/>
  <c r="FU56" i="45"/>
  <c r="FU105" i="45"/>
  <c r="FU53" i="45"/>
  <c r="FU69" i="45"/>
  <c r="FU90" i="45"/>
  <c r="FU28" i="45"/>
  <c r="FU50" i="45"/>
  <c r="FU79" i="45"/>
  <c r="GE63" i="45"/>
  <c r="GE61" i="45"/>
  <c r="GE83" i="45"/>
  <c r="GE59" i="45"/>
  <c r="GE64" i="45"/>
  <c r="GE70" i="45"/>
  <c r="GE80" i="45"/>
  <c r="GE118" i="45"/>
  <c r="GE110" i="45"/>
  <c r="GE97" i="45"/>
  <c r="GE98" i="45"/>
  <c r="GE106" i="45"/>
  <c r="GE65" i="45"/>
  <c r="GE78" i="45"/>
  <c r="GE102" i="45"/>
  <c r="GE44" i="45"/>
  <c r="GE115" i="45"/>
  <c r="GE38" i="45"/>
  <c r="GE109" i="45"/>
  <c r="GE117" i="45"/>
  <c r="GE58" i="45"/>
  <c r="GE75" i="45"/>
  <c r="GE104" i="45"/>
  <c r="GE96" i="45"/>
  <c r="GE35" i="45"/>
  <c r="GE111" i="45"/>
  <c r="GE79" i="45"/>
  <c r="GE39" i="45"/>
  <c r="GE47" i="45"/>
  <c r="GE114" i="45"/>
  <c r="GE77" i="45"/>
  <c r="GE94" i="45"/>
  <c r="GE54" i="45"/>
  <c r="GE60" i="45"/>
  <c r="GE82" i="45"/>
  <c r="GE42" i="45"/>
  <c r="GE92" i="45"/>
  <c r="GE51" i="45"/>
  <c r="GE95" i="45"/>
  <c r="GE53" i="45"/>
  <c r="GE48" i="45"/>
  <c r="GE46" i="45"/>
  <c r="GE81" i="45"/>
  <c r="GE56" i="45"/>
  <c r="GE93" i="45"/>
  <c r="GE91" i="45"/>
  <c r="GE87" i="45"/>
  <c r="GE76" i="45"/>
  <c r="GE68" i="45"/>
  <c r="GE113" i="45"/>
  <c r="GE45" i="45"/>
  <c r="GE52" i="45"/>
  <c r="GE69" i="45"/>
  <c r="GE108" i="45"/>
  <c r="GE36" i="45"/>
  <c r="GE119" i="45"/>
  <c r="GE72" i="45"/>
  <c r="GE74" i="45"/>
  <c r="GE67" i="45"/>
  <c r="GE120" i="45"/>
  <c r="GE89" i="45"/>
  <c r="GE41" i="45"/>
  <c r="GE84" i="45"/>
  <c r="GE71" i="45"/>
  <c r="GE105" i="45"/>
  <c r="GE50" i="45"/>
  <c r="GE100" i="45"/>
  <c r="GE40" i="45"/>
  <c r="GE66" i="45"/>
  <c r="GE62" i="45"/>
  <c r="GE90" i="45"/>
  <c r="GE103" i="45"/>
  <c r="GE85" i="45"/>
  <c r="GE55" i="45"/>
  <c r="GE101" i="45"/>
  <c r="GE99" i="45"/>
  <c r="GE86" i="45"/>
  <c r="GE112" i="45"/>
  <c r="GE49" i="45"/>
  <c r="GE37" i="45"/>
  <c r="GE107" i="45"/>
  <c r="GE43" i="45"/>
  <c r="GE57" i="45"/>
  <c r="GE116" i="45"/>
  <c r="GE73" i="45"/>
  <c r="GE88" i="45"/>
  <c r="FV62" i="45"/>
  <c r="FV70" i="45"/>
  <c r="FV33" i="45"/>
  <c r="FV61" i="45"/>
  <c r="FV83" i="45"/>
  <c r="FV32" i="45"/>
  <c r="FV110" i="45"/>
  <c r="FV64" i="45"/>
  <c r="FV59" i="45"/>
  <c r="FV78" i="45"/>
  <c r="FV98" i="45"/>
  <c r="FV118" i="45"/>
  <c r="FV106" i="45"/>
  <c r="FV97" i="45"/>
  <c r="FV80" i="45"/>
  <c r="FV65" i="45"/>
  <c r="FV102" i="45"/>
  <c r="FV55" i="45"/>
  <c r="FV89" i="45"/>
  <c r="FV109" i="45"/>
  <c r="FV117" i="45"/>
  <c r="FV71" i="45"/>
  <c r="FV87" i="45"/>
  <c r="FV44" i="45"/>
  <c r="FV31" i="45"/>
  <c r="FV93" i="45"/>
  <c r="FV47" i="45"/>
  <c r="FV116" i="45"/>
  <c r="FV84" i="45"/>
  <c r="FV66" i="45"/>
  <c r="FV27" i="45"/>
  <c r="FV104" i="45"/>
  <c r="FV28" i="45"/>
  <c r="FV73" i="45"/>
  <c r="FV50" i="45"/>
  <c r="FV113" i="45"/>
  <c r="FV45" i="45"/>
  <c r="FV91" i="45"/>
  <c r="FV101" i="45"/>
  <c r="FV96" i="45"/>
  <c r="FV88" i="45"/>
  <c r="FV99" i="45"/>
  <c r="FV60" i="45"/>
  <c r="FV82" i="45"/>
  <c r="FV49" i="45"/>
  <c r="FV95" i="45"/>
  <c r="FV119" i="45"/>
  <c r="FV40" i="45"/>
  <c r="FV81" i="45"/>
  <c r="FV108" i="45"/>
  <c r="FV41" i="45"/>
  <c r="FV77" i="45"/>
  <c r="FV94" i="45"/>
  <c r="FV54" i="45"/>
  <c r="FV35" i="45"/>
  <c r="FV111" i="45"/>
  <c r="FV79" i="45"/>
  <c r="FV92" i="45"/>
  <c r="FV112" i="45"/>
  <c r="FV107" i="45"/>
  <c r="FV72" i="45"/>
  <c r="FV48" i="45"/>
  <c r="FV43" i="45"/>
  <c r="FV114" i="45"/>
  <c r="FV68" i="45"/>
  <c r="FV46" i="45"/>
  <c r="FV26" i="45"/>
  <c r="FV120" i="45"/>
  <c r="FV36" i="45"/>
  <c r="FV29" i="45"/>
  <c r="FV74" i="45"/>
  <c r="FV63" i="45"/>
  <c r="FV58" i="45"/>
  <c r="FV75" i="45"/>
  <c r="FV39" i="45"/>
  <c r="FV90" i="45"/>
  <c r="FV30" i="45"/>
  <c r="FV76" i="45"/>
  <c r="FV105" i="45"/>
  <c r="FV37" i="45"/>
  <c r="FV100" i="45"/>
  <c r="FV103" i="45"/>
  <c r="FV57" i="45"/>
  <c r="FV115" i="45"/>
  <c r="FV56" i="45"/>
  <c r="FV38" i="45"/>
  <c r="FV86" i="45"/>
  <c r="FV42" i="45"/>
  <c r="FV52" i="45"/>
  <c r="FV34" i="45"/>
  <c r="FV53" i="45"/>
  <c r="FV69" i="45"/>
  <c r="FV85" i="45"/>
  <c r="FV51" i="45"/>
  <c r="FV67" i="45"/>
  <c r="HT86" i="45"/>
  <c r="HT110" i="45"/>
  <c r="HT78" i="45"/>
  <c r="HT102" i="45"/>
  <c r="HT98" i="45"/>
  <c r="HT80" i="45"/>
  <c r="HT83" i="45"/>
  <c r="HT118" i="45"/>
  <c r="HT106" i="45"/>
  <c r="HT97" i="45"/>
  <c r="HT117" i="45"/>
  <c r="HT87" i="45"/>
  <c r="HT115" i="45"/>
  <c r="HT89" i="45"/>
  <c r="HT93" i="45"/>
  <c r="HT114" i="45"/>
  <c r="HT116" i="45"/>
  <c r="HT113" i="45"/>
  <c r="HT111" i="45"/>
  <c r="HT84" i="45"/>
  <c r="HT76" i="45"/>
  <c r="HT88" i="45"/>
  <c r="HT99" i="45"/>
  <c r="HT79" i="45"/>
  <c r="HT119" i="45"/>
  <c r="HT108" i="45"/>
  <c r="HT105" i="45"/>
  <c r="HT104" i="45"/>
  <c r="HT101" i="45"/>
  <c r="HT96" i="45"/>
  <c r="HT90" i="45"/>
  <c r="HT109" i="45"/>
  <c r="HT91" i="45"/>
  <c r="HT77" i="45"/>
  <c r="HT112" i="45"/>
  <c r="HT107" i="45"/>
  <c r="HT103" i="45"/>
  <c r="HT81" i="45"/>
  <c r="HT92" i="45"/>
  <c r="HT100" i="45"/>
  <c r="HT82" i="45"/>
  <c r="HT85" i="45"/>
  <c r="HT120" i="45"/>
  <c r="HT94" i="45"/>
  <c r="HT95" i="45"/>
  <c r="FQ98" i="45"/>
  <c r="FQ83" i="45"/>
  <c r="FQ97" i="45"/>
  <c r="FQ33" i="45"/>
  <c r="FQ70" i="45"/>
  <c r="FQ61" i="45"/>
  <c r="FQ32" i="45"/>
  <c r="FQ118" i="45"/>
  <c r="FQ80" i="45"/>
  <c r="FQ110" i="45"/>
  <c r="FQ65" i="45"/>
  <c r="FQ106" i="45"/>
  <c r="FQ64" i="45"/>
  <c r="FQ78" i="45"/>
  <c r="FQ59" i="45"/>
  <c r="FQ102" i="45"/>
  <c r="FQ115" i="45"/>
  <c r="FQ56" i="45"/>
  <c r="FQ93" i="45"/>
  <c r="FQ21" i="45"/>
  <c r="FQ114" i="45"/>
  <c r="FQ24" i="45"/>
  <c r="FQ91" i="45"/>
  <c r="FQ44" i="45"/>
  <c r="FQ117" i="45"/>
  <c r="FQ41" i="45"/>
  <c r="FQ84" i="45"/>
  <c r="FQ76" i="45"/>
  <c r="FQ23" i="45"/>
  <c r="FQ68" i="45"/>
  <c r="FQ113" i="45"/>
  <c r="FQ94" i="45"/>
  <c r="FQ54" i="45"/>
  <c r="FQ39" i="45"/>
  <c r="FQ42" i="45"/>
  <c r="FQ22" i="45"/>
  <c r="FQ108" i="45"/>
  <c r="FQ31" i="45"/>
  <c r="FQ116" i="45"/>
  <c r="FQ105" i="45"/>
  <c r="FQ96" i="45"/>
  <c r="FQ88" i="45"/>
  <c r="FQ99" i="45"/>
  <c r="FQ79" i="45"/>
  <c r="FQ92" i="45"/>
  <c r="FQ51" i="45"/>
  <c r="FQ95" i="45"/>
  <c r="FQ53" i="45"/>
  <c r="FQ29" i="45"/>
  <c r="FQ30" i="45"/>
  <c r="FQ72" i="45"/>
  <c r="FQ38" i="45"/>
  <c r="FQ47" i="45"/>
  <c r="FQ66" i="45"/>
  <c r="FQ62" i="45"/>
  <c r="FQ101" i="45"/>
  <c r="FQ86" i="45"/>
  <c r="FQ34" i="45"/>
  <c r="FQ37" i="45"/>
  <c r="FQ69" i="45"/>
  <c r="FQ107" i="45"/>
  <c r="FQ26" i="45"/>
  <c r="FQ87" i="45"/>
  <c r="FQ111" i="45"/>
  <c r="FQ36" i="45"/>
  <c r="FQ112" i="45"/>
  <c r="FQ52" i="45"/>
  <c r="FQ25" i="45"/>
  <c r="FQ90" i="45"/>
  <c r="FQ48" i="45"/>
  <c r="FQ74" i="45"/>
  <c r="FQ67" i="45"/>
  <c r="FQ103" i="45"/>
  <c r="FQ57" i="45"/>
  <c r="FQ89" i="45"/>
  <c r="FQ71" i="45"/>
  <c r="FQ73" i="45"/>
  <c r="FQ43" i="45"/>
  <c r="FQ63" i="45"/>
  <c r="FQ58" i="45"/>
  <c r="FQ28" i="45"/>
  <c r="FQ77" i="45"/>
  <c r="FQ35" i="45"/>
  <c r="FQ60" i="45"/>
  <c r="FQ100" i="45"/>
  <c r="FQ109" i="45"/>
  <c r="FQ45" i="45"/>
  <c r="FQ82" i="45"/>
  <c r="FQ120" i="45"/>
  <c r="FQ55" i="45"/>
  <c r="FQ75" i="45"/>
  <c r="FQ27" i="45"/>
  <c r="FQ50" i="45"/>
  <c r="FQ119" i="45"/>
  <c r="FQ40" i="45"/>
  <c r="FQ46" i="45"/>
  <c r="FQ81" i="45"/>
  <c r="FQ85" i="45"/>
  <c r="FQ104" i="45"/>
  <c r="FQ49" i="45"/>
  <c r="HN79" i="45"/>
  <c r="HN118" i="45"/>
  <c r="HN106" i="45"/>
  <c r="HN110" i="45"/>
  <c r="HN98" i="45"/>
  <c r="HN83" i="45"/>
  <c r="HN80" i="45"/>
  <c r="HN97" i="45"/>
  <c r="HN78" i="45"/>
  <c r="HN102" i="45"/>
  <c r="HN70" i="45"/>
  <c r="HN108" i="45"/>
  <c r="HN89" i="45"/>
  <c r="HN93" i="45"/>
  <c r="HN109" i="45"/>
  <c r="HN91" i="45"/>
  <c r="HN84" i="45"/>
  <c r="HN114" i="45"/>
  <c r="HN117" i="45"/>
  <c r="HN116" i="45"/>
  <c r="HN87" i="45"/>
  <c r="HN76" i="45"/>
  <c r="HN105" i="45"/>
  <c r="HN101" i="45"/>
  <c r="HN96" i="45"/>
  <c r="HN99" i="45"/>
  <c r="HN111" i="45"/>
  <c r="HN86" i="45"/>
  <c r="HN82" i="45"/>
  <c r="HN92" i="45"/>
  <c r="HN90" i="45"/>
  <c r="HN115" i="45"/>
  <c r="HN113" i="45"/>
  <c r="HN100" i="45"/>
  <c r="HN88" i="45"/>
  <c r="HN94" i="45"/>
  <c r="HN107" i="45"/>
  <c r="HN85" i="45"/>
  <c r="HN74" i="45"/>
  <c r="HN75" i="45"/>
  <c r="HN104" i="45"/>
  <c r="HN73" i="45"/>
  <c r="HN77" i="45"/>
  <c r="HN81" i="45"/>
  <c r="HN95" i="45"/>
  <c r="HN71" i="45"/>
  <c r="HN119" i="45"/>
  <c r="HN72" i="45"/>
  <c r="HN120" i="45"/>
  <c r="HN112" i="45"/>
  <c r="HN103" i="45"/>
  <c r="HA83" i="45"/>
  <c r="HA61" i="45"/>
  <c r="HA80" i="45"/>
  <c r="HA110" i="45"/>
  <c r="HA65" i="45"/>
  <c r="HA59" i="45"/>
  <c r="HA102" i="45"/>
  <c r="HA70" i="45"/>
  <c r="HA97" i="45"/>
  <c r="HA78" i="45"/>
  <c r="HA98" i="45"/>
  <c r="HA106" i="45"/>
  <c r="HA118" i="45"/>
  <c r="HA64" i="45"/>
  <c r="HA93" i="45"/>
  <c r="HA114" i="45"/>
  <c r="HA91" i="45"/>
  <c r="HA84" i="45"/>
  <c r="HA87" i="45"/>
  <c r="HA115" i="45"/>
  <c r="HA89" i="45"/>
  <c r="HA117" i="45"/>
  <c r="HA58" i="45"/>
  <c r="HA66" i="45"/>
  <c r="HA76" i="45"/>
  <c r="HA105" i="45"/>
  <c r="HA62" i="45"/>
  <c r="HA77" i="45"/>
  <c r="HA82" i="45"/>
  <c r="HA92" i="45"/>
  <c r="HA116" i="45"/>
  <c r="HA75" i="45"/>
  <c r="HA112" i="45"/>
  <c r="HA88" i="45"/>
  <c r="HA99" i="45"/>
  <c r="HA79" i="45"/>
  <c r="HA60" i="45"/>
  <c r="HA81" i="45"/>
  <c r="HA94" i="45"/>
  <c r="HA111" i="45"/>
  <c r="HA100" i="45"/>
  <c r="HA95" i="45"/>
  <c r="HA72" i="45"/>
  <c r="HA57" i="45"/>
  <c r="HA90" i="45"/>
  <c r="HA120" i="45"/>
  <c r="HA96" i="45"/>
  <c r="HA107" i="45"/>
  <c r="HA63" i="45"/>
  <c r="HA67" i="45"/>
  <c r="HA108" i="45"/>
  <c r="HA109" i="45"/>
  <c r="HA86" i="45"/>
  <c r="HA85" i="45"/>
  <c r="HA71" i="45"/>
  <c r="HA104" i="45"/>
  <c r="HA68" i="45"/>
  <c r="HA101" i="45"/>
  <c r="HA73" i="45"/>
  <c r="HA113" i="45"/>
  <c r="HA119" i="45"/>
  <c r="HA103" i="45"/>
  <c r="HA74" i="45"/>
  <c r="HA69" i="45"/>
  <c r="FX86" i="45"/>
  <c r="FX98" i="45"/>
  <c r="FX83" i="45"/>
  <c r="FX80" i="45"/>
  <c r="FX59" i="45"/>
  <c r="FX70" i="45"/>
  <c r="FX106" i="45"/>
  <c r="FX78" i="45"/>
  <c r="FX118" i="45"/>
  <c r="FX64" i="45"/>
  <c r="FX102" i="45"/>
  <c r="FX61" i="45"/>
  <c r="FX32" i="45"/>
  <c r="FX110" i="45"/>
  <c r="FX97" i="45"/>
  <c r="FX33" i="45"/>
  <c r="FX65" i="45"/>
  <c r="FX115" i="45"/>
  <c r="FX93" i="45"/>
  <c r="FX109" i="45"/>
  <c r="FX47" i="45"/>
  <c r="FX41" i="45"/>
  <c r="FX84" i="45"/>
  <c r="FX108" i="45"/>
  <c r="FX56" i="45"/>
  <c r="FX89" i="45"/>
  <c r="FX91" i="45"/>
  <c r="FX116" i="45"/>
  <c r="FX58" i="45"/>
  <c r="FX76" i="45"/>
  <c r="FX105" i="45"/>
  <c r="FX62" i="45"/>
  <c r="FX28" i="45"/>
  <c r="FX88" i="45"/>
  <c r="FX38" i="45"/>
  <c r="FX71" i="45"/>
  <c r="FX75" i="45"/>
  <c r="FX73" i="45"/>
  <c r="FX96" i="45"/>
  <c r="FX50" i="45"/>
  <c r="FX79" i="45"/>
  <c r="FX39" i="45"/>
  <c r="FX51" i="45"/>
  <c r="FX69" i="45"/>
  <c r="FX30" i="45"/>
  <c r="FX72" i="45"/>
  <c r="FX43" i="45"/>
  <c r="FX46" i="45"/>
  <c r="FX31" i="45"/>
  <c r="FX114" i="45"/>
  <c r="FX101" i="45"/>
  <c r="FX94" i="45"/>
  <c r="FX54" i="45"/>
  <c r="FX111" i="45"/>
  <c r="FX82" i="45"/>
  <c r="FX42" i="45"/>
  <c r="FX36" i="45"/>
  <c r="FX52" i="45"/>
  <c r="FX95" i="45"/>
  <c r="FX34" i="45"/>
  <c r="FX53" i="45"/>
  <c r="FX37" i="45"/>
  <c r="FX119" i="45"/>
  <c r="FX90" i="45"/>
  <c r="FX29" i="45"/>
  <c r="FX48" i="45"/>
  <c r="FX40" i="45"/>
  <c r="FX81" i="45"/>
  <c r="FX103" i="45"/>
  <c r="FX55" i="45"/>
  <c r="FX117" i="45"/>
  <c r="FX68" i="45"/>
  <c r="FX92" i="45"/>
  <c r="FX107" i="45"/>
  <c r="FX63" i="45"/>
  <c r="FX67" i="45"/>
  <c r="FX120" i="45"/>
  <c r="FX44" i="45"/>
  <c r="FX112" i="45"/>
  <c r="FX57" i="45"/>
  <c r="FX66" i="45"/>
  <c r="FX104" i="45"/>
  <c r="FX77" i="45"/>
  <c r="FX113" i="45"/>
  <c r="FX45" i="45"/>
  <c r="FX35" i="45"/>
  <c r="FX99" i="45"/>
  <c r="FX60" i="45"/>
  <c r="FX49" i="45"/>
  <c r="FX87" i="45"/>
  <c r="FX100" i="45"/>
  <c r="FX74" i="45"/>
  <c r="FX85" i="45"/>
  <c r="GO86" i="45"/>
  <c r="GO106" i="45"/>
  <c r="GO64" i="45"/>
  <c r="GO59" i="45"/>
  <c r="GO110" i="45"/>
  <c r="GO61" i="45"/>
  <c r="GO97" i="45"/>
  <c r="GO102" i="45"/>
  <c r="GO98" i="45"/>
  <c r="GO83" i="45"/>
  <c r="GO118" i="45"/>
  <c r="GO78" i="45"/>
  <c r="GO70" i="45"/>
  <c r="GO80" i="45"/>
  <c r="GO65" i="45"/>
  <c r="GO56" i="45"/>
  <c r="GO114" i="45"/>
  <c r="GO84" i="45"/>
  <c r="GO55" i="45"/>
  <c r="GO93" i="45"/>
  <c r="GO91" i="45"/>
  <c r="GO58" i="45"/>
  <c r="GO62" i="45"/>
  <c r="GO104" i="45"/>
  <c r="GO45" i="45"/>
  <c r="GO111" i="45"/>
  <c r="GO79" i="45"/>
  <c r="GO89" i="45"/>
  <c r="GO109" i="45"/>
  <c r="GO71" i="45"/>
  <c r="GO87" i="45"/>
  <c r="GO105" i="45"/>
  <c r="GO75" i="45"/>
  <c r="GO94" i="45"/>
  <c r="GO82" i="45"/>
  <c r="GO112" i="45"/>
  <c r="GO53" i="45"/>
  <c r="GO119" i="45"/>
  <c r="GO90" i="45"/>
  <c r="GO48" i="45"/>
  <c r="GO46" i="45"/>
  <c r="GO108" i="45"/>
  <c r="GO47" i="45"/>
  <c r="GO66" i="45"/>
  <c r="GO68" i="45"/>
  <c r="GO73" i="45"/>
  <c r="GO96" i="45"/>
  <c r="GO54" i="45"/>
  <c r="GO100" i="45"/>
  <c r="GO49" i="45"/>
  <c r="GO69" i="45"/>
  <c r="GO107" i="45"/>
  <c r="GO72" i="45"/>
  <c r="GO50" i="45"/>
  <c r="GO113" i="45"/>
  <c r="GO60" i="45"/>
  <c r="GO103" i="45"/>
  <c r="GO85" i="45"/>
  <c r="GO63" i="45"/>
  <c r="GO67" i="45"/>
  <c r="GO120" i="45"/>
  <c r="GO81" i="45"/>
  <c r="GO74" i="45"/>
  <c r="GO116" i="45"/>
  <c r="GO76" i="45"/>
  <c r="GO88" i="45"/>
  <c r="GO99" i="45"/>
  <c r="GO51" i="45"/>
  <c r="GO115" i="45"/>
  <c r="GO117" i="45"/>
  <c r="GO101" i="45"/>
  <c r="GO77" i="45"/>
  <c r="GO92" i="45"/>
  <c r="GO52" i="45"/>
  <c r="GO57" i="45"/>
  <c r="GO95" i="45"/>
  <c r="IE95" i="45"/>
  <c r="IE118" i="45"/>
  <c r="IE98" i="45"/>
  <c r="IE97" i="45"/>
  <c r="IE106" i="45"/>
  <c r="IE110" i="45"/>
  <c r="IE102" i="45"/>
  <c r="IE115" i="45"/>
  <c r="IE108" i="45"/>
  <c r="IE109" i="45"/>
  <c r="IE114" i="45"/>
  <c r="IE89" i="45"/>
  <c r="IE117" i="45"/>
  <c r="IE91" i="45"/>
  <c r="IE87" i="45"/>
  <c r="IE92" i="45"/>
  <c r="IE104" i="45"/>
  <c r="IE101" i="45"/>
  <c r="IE119" i="45"/>
  <c r="IE90" i="45"/>
  <c r="IE93" i="45"/>
  <c r="IE88" i="45"/>
  <c r="IE111" i="45"/>
  <c r="IE103" i="45"/>
  <c r="IE94" i="45"/>
  <c r="IE100" i="45"/>
  <c r="IE99" i="45"/>
  <c r="IE116" i="45"/>
  <c r="IE105" i="45"/>
  <c r="IE96" i="45"/>
  <c r="IE112" i="45"/>
  <c r="IE107" i="45"/>
  <c r="IE120" i="45"/>
  <c r="IE113" i="45"/>
  <c r="FP118" i="45"/>
  <c r="FP114" i="45"/>
  <c r="FP117" i="45"/>
  <c r="FP113" i="45"/>
  <c r="FP111" i="45"/>
  <c r="FP112" i="45"/>
  <c r="FP116" i="45"/>
  <c r="FP119" i="45"/>
  <c r="FP115" i="45"/>
  <c r="FP120" i="45"/>
  <c r="GZ67" i="45"/>
  <c r="GZ97" i="45"/>
  <c r="GZ65" i="45"/>
  <c r="GZ98" i="45"/>
  <c r="GZ118" i="45"/>
  <c r="GZ110" i="45"/>
  <c r="GZ78" i="45"/>
  <c r="GZ70" i="45"/>
  <c r="GZ106" i="45"/>
  <c r="GZ61" i="45"/>
  <c r="GZ83" i="45"/>
  <c r="GZ80" i="45"/>
  <c r="GZ64" i="45"/>
  <c r="GZ59" i="45"/>
  <c r="GZ102" i="45"/>
  <c r="GZ115" i="45"/>
  <c r="GZ108" i="45"/>
  <c r="GZ71" i="45"/>
  <c r="GZ87" i="45"/>
  <c r="GZ109" i="45"/>
  <c r="GZ114" i="45"/>
  <c r="GZ91" i="45"/>
  <c r="GZ116" i="45"/>
  <c r="GZ84" i="45"/>
  <c r="GZ104" i="45"/>
  <c r="GZ68" i="45"/>
  <c r="GZ79" i="45"/>
  <c r="GZ117" i="45"/>
  <c r="GZ96" i="45"/>
  <c r="GZ99" i="45"/>
  <c r="GZ100" i="45"/>
  <c r="GZ119" i="45"/>
  <c r="GZ90" i="45"/>
  <c r="GZ89" i="45"/>
  <c r="GZ66" i="45"/>
  <c r="GZ62" i="45"/>
  <c r="GZ75" i="45"/>
  <c r="GZ88" i="45"/>
  <c r="GZ111" i="45"/>
  <c r="GZ86" i="45"/>
  <c r="GZ60" i="45"/>
  <c r="GZ112" i="45"/>
  <c r="GZ95" i="45"/>
  <c r="GZ103" i="45"/>
  <c r="GZ56" i="45"/>
  <c r="GZ73" i="45"/>
  <c r="GZ113" i="45"/>
  <c r="GZ69" i="45"/>
  <c r="GZ107" i="45"/>
  <c r="GZ81" i="45"/>
  <c r="GZ57" i="45"/>
  <c r="GZ72" i="45"/>
  <c r="GZ74" i="45"/>
  <c r="GZ76" i="45"/>
  <c r="GZ101" i="45"/>
  <c r="GZ94" i="45"/>
  <c r="GZ82" i="45"/>
  <c r="GZ85" i="45"/>
  <c r="GZ93" i="45"/>
  <c r="GZ77" i="45"/>
  <c r="GZ120" i="45"/>
  <c r="GZ58" i="45"/>
  <c r="GZ105" i="45"/>
  <c r="GZ92" i="45"/>
  <c r="GZ63" i="45"/>
  <c r="FW43" i="45"/>
  <c r="FW83" i="45"/>
  <c r="FW110" i="45"/>
  <c r="FW97" i="45"/>
  <c r="FW102" i="45"/>
  <c r="FW70" i="45"/>
  <c r="FW64" i="45"/>
  <c r="FW78" i="45"/>
  <c r="FW59" i="45"/>
  <c r="FW61" i="45"/>
  <c r="FW32" i="45"/>
  <c r="FW118" i="45"/>
  <c r="FW80" i="45"/>
  <c r="FW106" i="45"/>
  <c r="FW65" i="45"/>
  <c r="FW98" i="45"/>
  <c r="FW33" i="45"/>
  <c r="FW89" i="45"/>
  <c r="FW31" i="45"/>
  <c r="FW91" i="45"/>
  <c r="FW116" i="45"/>
  <c r="FW66" i="45"/>
  <c r="FW55" i="45"/>
  <c r="FW93" i="45"/>
  <c r="FW109" i="45"/>
  <c r="FW117" i="45"/>
  <c r="FW41" i="45"/>
  <c r="FW84" i="45"/>
  <c r="FW87" i="45"/>
  <c r="FW68" i="45"/>
  <c r="FW73" i="45"/>
  <c r="FW88" i="45"/>
  <c r="FW50" i="45"/>
  <c r="FW99" i="45"/>
  <c r="FW111" i="45"/>
  <c r="FW86" i="45"/>
  <c r="FW108" i="45"/>
  <c r="FW56" i="45"/>
  <c r="FW105" i="45"/>
  <c r="FW104" i="45"/>
  <c r="FW113" i="45"/>
  <c r="FW79" i="45"/>
  <c r="FW60" i="45"/>
  <c r="FW95" i="45"/>
  <c r="FW69" i="45"/>
  <c r="FW72" i="45"/>
  <c r="FW38" i="45"/>
  <c r="FW76" i="45"/>
  <c r="FW62" i="45"/>
  <c r="FW75" i="45"/>
  <c r="FW101" i="45"/>
  <c r="FW28" i="45"/>
  <c r="FW77" i="45"/>
  <c r="FW94" i="45"/>
  <c r="FW54" i="45"/>
  <c r="FW45" i="45"/>
  <c r="FW39" i="45"/>
  <c r="FW92" i="45"/>
  <c r="FW112" i="45"/>
  <c r="FW90" i="45"/>
  <c r="FW29" i="45"/>
  <c r="FW48" i="45"/>
  <c r="FW40" i="45"/>
  <c r="FW115" i="45"/>
  <c r="FW44" i="45"/>
  <c r="FW114" i="45"/>
  <c r="FW58" i="45"/>
  <c r="FW71" i="45"/>
  <c r="FW27" i="45"/>
  <c r="FW96" i="45"/>
  <c r="FW35" i="45"/>
  <c r="FW52" i="45"/>
  <c r="FW49" i="45"/>
  <c r="FW51" i="45"/>
  <c r="FW34" i="45"/>
  <c r="FW30" i="45"/>
  <c r="FW85" i="45"/>
  <c r="FW63" i="45"/>
  <c r="FW82" i="45"/>
  <c r="FW53" i="45"/>
  <c r="FW57" i="45"/>
  <c r="FW37" i="45"/>
  <c r="FW42" i="45"/>
  <c r="FW81" i="45"/>
  <c r="FW120" i="45"/>
  <c r="FW67" i="45"/>
  <c r="FW47" i="45"/>
  <c r="FW100" i="45"/>
  <c r="FW119" i="45"/>
  <c r="FW107" i="45"/>
  <c r="FW46" i="45"/>
  <c r="FW103" i="45"/>
  <c r="FW36" i="45"/>
  <c r="FW74" i="45"/>
  <c r="GI49" i="45"/>
  <c r="GI98" i="45"/>
  <c r="GI110" i="45"/>
  <c r="GI64" i="45"/>
  <c r="GI78" i="45"/>
  <c r="GI59" i="45"/>
  <c r="GI97" i="45"/>
  <c r="GI102" i="45"/>
  <c r="GI61" i="45"/>
  <c r="GI83" i="45"/>
  <c r="GI80" i="45"/>
  <c r="GI106" i="45"/>
  <c r="GI118" i="45"/>
  <c r="GI65" i="45"/>
  <c r="GI70" i="45"/>
  <c r="GI56" i="45"/>
  <c r="GI89" i="45"/>
  <c r="GI47" i="45"/>
  <c r="GI91" i="45"/>
  <c r="GI58" i="45"/>
  <c r="GI66" i="45"/>
  <c r="GI108" i="45"/>
  <c r="GI93" i="45"/>
  <c r="GI101" i="45"/>
  <c r="GI73" i="45"/>
  <c r="GI77" i="45"/>
  <c r="GI54" i="45"/>
  <c r="GI79" i="45"/>
  <c r="GI86" i="45"/>
  <c r="GI60" i="45"/>
  <c r="GI82" i="45"/>
  <c r="GI92" i="45"/>
  <c r="GI109" i="45"/>
  <c r="GI114" i="45"/>
  <c r="GI76" i="45"/>
  <c r="GI94" i="45"/>
  <c r="GI39" i="45"/>
  <c r="GI100" i="45"/>
  <c r="GI52" i="45"/>
  <c r="GI90" i="45"/>
  <c r="GI48" i="45"/>
  <c r="GI115" i="45"/>
  <c r="GI104" i="45"/>
  <c r="GI111" i="45"/>
  <c r="GI53" i="45"/>
  <c r="GI119" i="45"/>
  <c r="GI40" i="45"/>
  <c r="GI41" i="45"/>
  <c r="GI116" i="45"/>
  <c r="GI105" i="45"/>
  <c r="GI75" i="45"/>
  <c r="GI50" i="45"/>
  <c r="GI43" i="45"/>
  <c r="GI81" i="45"/>
  <c r="GI67" i="45"/>
  <c r="GI120" i="45"/>
  <c r="GI69" i="45"/>
  <c r="GI85" i="45"/>
  <c r="GI74" i="45"/>
  <c r="GI57" i="45"/>
  <c r="GI117" i="45"/>
  <c r="GI113" i="45"/>
  <c r="GI42" i="45"/>
  <c r="GI51" i="45"/>
  <c r="GI46" i="45"/>
  <c r="GI44" i="45"/>
  <c r="GI71" i="45"/>
  <c r="GI87" i="45"/>
  <c r="GI62" i="45"/>
  <c r="GI68" i="45"/>
  <c r="GI96" i="45"/>
  <c r="GI112" i="45"/>
  <c r="GI95" i="45"/>
  <c r="GI55" i="45"/>
  <c r="GI88" i="45"/>
  <c r="GI45" i="45"/>
  <c r="GI99" i="45"/>
  <c r="GI72" i="45"/>
  <c r="GI103" i="45"/>
  <c r="GI84" i="45"/>
  <c r="GI107" i="45"/>
  <c r="GI63" i="45"/>
  <c r="JD118" i="45"/>
  <c r="JD115" i="45"/>
  <c r="JD117" i="45"/>
  <c r="JD116" i="45"/>
  <c r="JD112" i="45"/>
  <c r="JD113" i="45"/>
  <c r="JD114" i="45"/>
  <c r="JD119" i="45"/>
  <c r="JD120" i="45"/>
  <c r="JF118" i="45"/>
  <c r="JF116" i="45"/>
  <c r="JF114" i="45"/>
  <c r="JF117" i="45"/>
  <c r="JF115" i="45"/>
  <c r="JF119" i="45"/>
  <c r="JF120" i="45"/>
  <c r="FZ73" i="45"/>
  <c r="FZ32" i="45"/>
  <c r="FZ97" i="45"/>
  <c r="FZ64" i="45"/>
  <c r="FZ65" i="45"/>
  <c r="FZ78" i="45"/>
  <c r="FZ98" i="45"/>
  <c r="FZ80" i="45"/>
  <c r="FZ33" i="45"/>
  <c r="FZ83" i="45"/>
  <c r="FZ106" i="45"/>
  <c r="FZ59" i="45"/>
  <c r="FZ61" i="45"/>
  <c r="FZ118" i="45"/>
  <c r="FZ110" i="45"/>
  <c r="FZ102" i="45"/>
  <c r="FZ70" i="45"/>
  <c r="FZ108" i="45"/>
  <c r="FZ89" i="45"/>
  <c r="FZ91" i="45"/>
  <c r="FZ84" i="45"/>
  <c r="FZ56" i="45"/>
  <c r="FZ38" i="45"/>
  <c r="FZ55" i="45"/>
  <c r="FZ116" i="45"/>
  <c r="FZ71" i="45"/>
  <c r="FZ76" i="45"/>
  <c r="FZ101" i="45"/>
  <c r="FZ45" i="45"/>
  <c r="FZ79" i="45"/>
  <c r="FZ42" i="45"/>
  <c r="FZ115" i="45"/>
  <c r="FZ44" i="45"/>
  <c r="FZ104" i="45"/>
  <c r="FZ96" i="45"/>
  <c r="FZ77" i="45"/>
  <c r="FZ113" i="45"/>
  <c r="FZ94" i="45"/>
  <c r="FZ54" i="45"/>
  <c r="FZ82" i="45"/>
  <c r="FZ112" i="45"/>
  <c r="FZ52" i="45"/>
  <c r="FZ53" i="45"/>
  <c r="FZ37" i="45"/>
  <c r="FZ72" i="45"/>
  <c r="FZ40" i="45"/>
  <c r="FZ43" i="45"/>
  <c r="FZ109" i="45"/>
  <c r="FZ47" i="45"/>
  <c r="FZ58" i="45"/>
  <c r="FZ35" i="45"/>
  <c r="FZ99" i="45"/>
  <c r="FZ100" i="45"/>
  <c r="FZ49" i="45"/>
  <c r="FZ95" i="45"/>
  <c r="FZ103" i="45"/>
  <c r="FZ31" i="45"/>
  <c r="FZ62" i="45"/>
  <c r="FZ68" i="45"/>
  <c r="FZ34" i="45"/>
  <c r="FZ90" i="45"/>
  <c r="FZ48" i="45"/>
  <c r="FZ85" i="45"/>
  <c r="FZ74" i="45"/>
  <c r="FZ120" i="45"/>
  <c r="FZ93" i="45"/>
  <c r="FZ105" i="45"/>
  <c r="FZ36" i="45"/>
  <c r="FZ114" i="45"/>
  <c r="FZ117" i="45"/>
  <c r="FZ75" i="45"/>
  <c r="FZ50" i="45"/>
  <c r="FZ119" i="45"/>
  <c r="FZ46" i="45"/>
  <c r="FZ41" i="45"/>
  <c r="FZ87" i="45"/>
  <c r="FZ66" i="45"/>
  <c r="FZ88" i="45"/>
  <c r="FZ111" i="45"/>
  <c r="FZ39" i="45"/>
  <c r="FZ86" i="45"/>
  <c r="FZ60" i="45"/>
  <c r="FZ92" i="45"/>
  <c r="FZ51" i="45"/>
  <c r="FZ69" i="45"/>
  <c r="FZ107" i="45"/>
  <c r="FZ30" i="45"/>
  <c r="FZ81" i="45"/>
  <c r="FZ57" i="45"/>
  <c r="FZ63" i="45"/>
  <c r="FZ67" i="45"/>
  <c r="GT82" i="45"/>
  <c r="GT61" i="45"/>
  <c r="GT118" i="45"/>
  <c r="GT80" i="45"/>
  <c r="GT64" i="45"/>
  <c r="GT70" i="45"/>
  <c r="GT65" i="45"/>
  <c r="GT78" i="45"/>
  <c r="GT83" i="45"/>
  <c r="GT106" i="45"/>
  <c r="GT110" i="45"/>
  <c r="GT59" i="45"/>
  <c r="GT98" i="45"/>
  <c r="GT97" i="45"/>
  <c r="GT102" i="45"/>
  <c r="GT56" i="45"/>
  <c r="GT109" i="45"/>
  <c r="GT71" i="45"/>
  <c r="GT87" i="45"/>
  <c r="GT116" i="45"/>
  <c r="GT84" i="45"/>
  <c r="GT62" i="45"/>
  <c r="GT54" i="45"/>
  <c r="GT60" i="45"/>
  <c r="GT52" i="45"/>
  <c r="GT53" i="45"/>
  <c r="GT69" i="45"/>
  <c r="GT108" i="45"/>
  <c r="GT93" i="45"/>
  <c r="GT114" i="45"/>
  <c r="GT117" i="45"/>
  <c r="GT105" i="45"/>
  <c r="GT104" i="45"/>
  <c r="GT96" i="45"/>
  <c r="GT50" i="45"/>
  <c r="GT94" i="45"/>
  <c r="GT99" i="45"/>
  <c r="GT111" i="45"/>
  <c r="GT79" i="45"/>
  <c r="GT92" i="45"/>
  <c r="GT112" i="45"/>
  <c r="GT51" i="45"/>
  <c r="GT95" i="45"/>
  <c r="GT66" i="45"/>
  <c r="GT73" i="45"/>
  <c r="GT107" i="45"/>
  <c r="GT81" i="45"/>
  <c r="GT68" i="45"/>
  <c r="GT101" i="45"/>
  <c r="GT88" i="45"/>
  <c r="GT74" i="45"/>
  <c r="GT115" i="45"/>
  <c r="GT113" i="45"/>
  <c r="GT90" i="45"/>
  <c r="GT57" i="45"/>
  <c r="GT89" i="45"/>
  <c r="GT77" i="45"/>
  <c r="GT103" i="45"/>
  <c r="GT55" i="45"/>
  <c r="GT91" i="45"/>
  <c r="GT58" i="45"/>
  <c r="GT76" i="45"/>
  <c r="GT75" i="45"/>
  <c r="GT86" i="45"/>
  <c r="GT100" i="45"/>
  <c r="GT119" i="45"/>
  <c r="GT85" i="45"/>
  <c r="GT63" i="45"/>
  <c r="GT67" i="45"/>
  <c r="GT120" i="45"/>
  <c r="GT72" i="45"/>
  <c r="AO98" i="45"/>
  <c r="AO64" i="45"/>
  <c r="AO97" i="45"/>
  <c r="AO110" i="45"/>
  <c r="AO106" i="45"/>
  <c r="AO80" i="45"/>
  <c r="AO118" i="45"/>
  <c r="AO70" i="45"/>
  <c r="AO78" i="45"/>
  <c r="AO33" i="45"/>
  <c r="AO65" i="45"/>
  <c r="AO61" i="45"/>
  <c r="AO102" i="45"/>
  <c r="AO59" i="45"/>
  <c r="AO32" i="45"/>
  <c r="AO83" i="45"/>
  <c r="AO42" i="45"/>
  <c r="AO82" i="45"/>
  <c r="AO116" i="45"/>
  <c r="AO60" i="45"/>
  <c r="AO86" i="45"/>
  <c r="AO39" i="45"/>
  <c r="AO79" i="45"/>
  <c r="AO111" i="45"/>
  <c r="AO99" i="45"/>
  <c r="AO35" i="45"/>
  <c r="AO117" i="45"/>
  <c r="AO45" i="45"/>
  <c r="AO54" i="45"/>
  <c r="AO94" i="45"/>
  <c r="AO77" i="45"/>
  <c r="AO22" i="45"/>
  <c r="AO88" i="45"/>
  <c r="AO96" i="45"/>
  <c r="AO73" i="45"/>
  <c r="AO28" i="45"/>
  <c r="AO115" i="45"/>
  <c r="AO38" i="45"/>
  <c r="AO108" i="45"/>
  <c r="AO67" i="45"/>
  <c r="AO63" i="45"/>
  <c r="AO57" i="45"/>
  <c r="AO74" i="45"/>
  <c r="AO103" i="45"/>
  <c r="AO26" i="45"/>
  <c r="AO43" i="45"/>
  <c r="AO48" i="45"/>
  <c r="AO30" i="45"/>
  <c r="AO29" i="45"/>
  <c r="AO107" i="45"/>
  <c r="AO112" i="45"/>
  <c r="AO90" i="45"/>
  <c r="AO119" i="45"/>
  <c r="AO69" i="45"/>
  <c r="AO37" i="45"/>
  <c r="AO53" i="45"/>
  <c r="AO120" i="45"/>
  <c r="AO84" i="45"/>
  <c r="AO91" i="45"/>
  <c r="AO41" i="45"/>
  <c r="AO24" i="45"/>
  <c r="AO114" i="45"/>
  <c r="AO47" i="45"/>
  <c r="AO109" i="45"/>
  <c r="AO50" i="45"/>
  <c r="AO21" i="45"/>
  <c r="AO93" i="45"/>
  <c r="AO31" i="45"/>
  <c r="AO89" i="45"/>
  <c r="AO44" i="45"/>
  <c r="AO55" i="45"/>
  <c r="AO56" i="45"/>
  <c r="AO101" i="45"/>
  <c r="AO68" i="45"/>
  <c r="AO104" i="45"/>
  <c r="AO27" i="45"/>
  <c r="AO75" i="45"/>
  <c r="AO62" i="45"/>
  <c r="AO23" i="45"/>
  <c r="AO105" i="45"/>
  <c r="AO76" i="45"/>
  <c r="AO113" i="45"/>
  <c r="AO66" i="45"/>
  <c r="AO87" i="45"/>
  <c r="AO95" i="45"/>
  <c r="AO71" i="45"/>
  <c r="AO51" i="45"/>
  <c r="AO25" i="45"/>
  <c r="AO49" i="45"/>
  <c r="AO52" i="45"/>
  <c r="AO100" i="45"/>
  <c r="AO36" i="45"/>
  <c r="AO58" i="45"/>
  <c r="AO92" i="45"/>
  <c r="AO85" i="45"/>
  <c r="AO81" i="45"/>
  <c r="AO46" i="45"/>
  <c r="AO40" i="45"/>
  <c r="AO72" i="45"/>
  <c r="AO34" i="45"/>
  <c r="GR98" i="45"/>
  <c r="GR118" i="45"/>
  <c r="GR110" i="45"/>
  <c r="GR78" i="45"/>
  <c r="GR102" i="45"/>
  <c r="GR70" i="45"/>
  <c r="GR61" i="45"/>
  <c r="GR80" i="45"/>
  <c r="GR106" i="45"/>
  <c r="GR83" i="45"/>
  <c r="GR97" i="45"/>
  <c r="GR64" i="45"/>
  <c r="GR65" i="45"/>
  <c r="GR59" i="45"/>
  <c r="GR108" i="45"/>
  <c r="GR117" i="45"/>
  <c r="GR58" i="45"/>
  <c r="GR55" i="45"/>
  <c r="GR89" i="45"/>
  <c r="GR93" i="45"/>
  <c r="GR114" i="45"/>
  <c r="GR116" i="45"/>
  <c r="GR104" i="45"/>
  <c r="GR101" i="45"/>
  <c r="GR111" i="45"/>
  <c r="GR86" i="45"/>
  <c r="GR82" i="45"/>
  <c r="GR71" i="45"/>
  <c r="GR62" i="45"/>
  <c r="GR49" i="45"/>
  <c r="GR51" i="45"/>
  <c r="GR107" i="45"/>
  <c r="GR91" i="45"/>
  <c r="GR84" i="45"/>
  <c r="GR87" i="45"/>
  <c r="GR76" i="45"/>
  <c r="GR105" i="45"/>
  <c r="GR75" i="45"/>
  <c r="GR73" i="45"/>
  <c r="GR94" i="45"/>
  <c r="GR54" i="45"/>
  <c r="GR100" i="45"/>
  <c r="GR95" i="45"/>
  <c r="GR69" i="45"/>
  <c r="GR119" i="45"/>
  <c r="GR90" i="45"/>
  <c r="GR48" i="45"/>
  <c r="GR115" i="45"/>
  <c r="GR109" i="45"/>
  <c r="GR66" i="45"/>
  <c r="GR96" i="45"/>
  <c r="GR50" i="45"/>
  <c r="GR81" i="45"/>
  <c r="GR103" i="45"/>
  <c r="GR92" i="45"/>
  <c r="GR52" i="45"/>
  <c r="GR53" i="45"/>
  <c r="GR72" i="45"/>
  <c r="GR120" i="45"/>
  <c r="GR113" i="45"/>
  <c r="GR99" i="45"/>
  <c r="GR56" i="45"/>
  <c r="GR88" i="45"/>
  <c r="GR68" i="45"/>
  <c r="GR77" i="45"/>
  <c r="GR79" i="45"/>
  <c r="GR112" i="45"/>
  <c r="GR74" i="45"/>
  <c r="GR63" i="45"/>
  <c r="GR67" i="45"/>
  <c r="GR60" i="45"/>
  <c r="GR85" i="45"/>
  <c r="GR57" i="45"/>
  <c r="GC61" i="45"/>
  <c r="GC98" i="45"/>
  <c r="GC106" i="45"/>
  <c r="GC97" i="45"/>
  <c r="GC65" i="45"/>
  <c r="GC110" i="45"/>
  <c r="GC33" i="45"/>
  <c r="GC64" i="45"/>
  <c r="GC83" i="45"/>
  <c r="GC80" i="45"/>
  <c r="GC78" i="45"/>
  <c r="GC59" i="45"/>
  <c r="GC102" i="45"/>
  <c r="GC70" i="45"/>
  <c r="GC118" i="45"/>
  <c r="GC109" i="45"/>
  <c r="GC66" i="45"/>
  <c r="GC115" i="45"/>
  <c r="GC56" i="45"/>
  <c r="GC38" i="45"/>
  <c r="GC44" i="45"/>
  <c r="GC41" i="45"/>
  <c r="GC58" i="45"/>
  <c r="GC71" i="45"/>
  <c r="GC75" i="45"/>
  <c r="GC104" i="45"/>
  <c r="GC101" i="45"/>
  <c r="GC42" i="45"/>
  <c r="GC55" i="45"/>
  <c r="GC93" i="45"/>
  <c r="GC47" i="45"/>
  <c r="GC116" i="45"/>
  <c r="GC73" i="45"/>
  <c r="GC77" i="45"/>
  <c r="GC113" i="45"/>
  <c r="GC45" i="45"/>
  <c r="GC35" i="45"/>
  <c r="GC95" i="45"/>
  <c r="GC34" i="45"/>
  <c r="GC40" i="45"/>
  <c r="GC89" i="45"/>
  <c r="GC50" i="45"/>
  <c r="GC54" i="45"/>
  <c r="GC111" i="45"/>
  <c r="GC36" i="45"/>
  <c r="GC100" i="45"/>
  <c r="GC49" i="45"/>
  <c r="GC107" i="45"/>
  <c r="GC72" i="45"/>
  <c r="GC46" i="45"/>
  <c r="GC103" i="45"/>
  <c r="GC114" i="45"/>
  <c r="GC76" i="45"/>
  <c r="GC105" i="45"/>
  <c r="GC68" i="45"/>
  <c r="GC99" i="45"/>
  <c r="GC39" i="45"/>
  <c r="GC86" i="45"/>
  <c r="GC92" i="45"/>
  <c r="GC112" i="45"/>
  <c r="GC90" i="45"/>
  <c r="GC74" i="45"/>
  <c r="GC57" i="45"/>
  <c r="GC52" i="45"/>
  <c r="GC37" i="45"/>
  <c r="GC85" i="45"/>
  <c r="GC63" i="45"/>
  <c r="GC120" i="45"/>
  <c r="GC84" i="45"/>
  <c r="GC96" i="45"/>
  <c r="GC79" i="45"/>
  <c r="GC117" i="45"/>
  <c r="GC60" i="45"/>
  <c r="GC53" i="45"/>
  <c r="GC119" i="45"/>
  <c r="GC48" i="45"/>
  <c r="GC67" i="45"/>
  <c r="GC87" i="45"/>
  <c r="GC94" i="45"/>
  <c r="GC51" i="45"/>
  <c r="GC43" i="45"/>
  <c r="GC108" i="45"/>
  <c r="GC91" i="45"/>
  <c r="GC82" i="45"/>
  <c r="GC69" i="45"/>
  <c r="GC81" i="45"/>
  <c r="GC62" i="45"/>
  <c r="GC88" i="45"/>
  <c r="HJ89" i="45"/>
  <c r="HJ78" i="45"/>
  <c r="HJ70" i="45"/>
  <c r="HJ98" i="45"/>
  <c r="HJ83" i="45"/>
  <c r="HJ118" i="45"/>
  <c r="HJ106" i="45"/>
  <c r="HJ80" i="45"/>
  <c r="HJ110" i="45"/>
  <c r="HJ97" i="45"/>
  <c r="HJ102" i="45"/>
  <c r="HJ114" i="45"/>
  <c r="HJ116" i="45"/>
  <c r="HJ84" i="45"/>
  <c r="HJ87" i="45"/>
  <c r="HJ71" i="45"/>
  <c r="HJ68" i="45"/>
  <c r="HJ101" i="45"/>
  <c r="HJ113" i="45"/>
  <c r="HJ111" i="45"/>
  <c r="HJ115" i="45"/>
  <c r="HJ104" i="45"/>
  <c r="HJ112" i="45"/>
  <c r="HJ93" i="45"/>
  <c r="HJ73" i="45"/>
  <c r="HJ77" i="45"/>
  <c r="HJ79" i="45"/>
  <c r="HJ92" i="45"/>
  <c r="HJ91" i="45"/>
  <c r="HJ94" i="45"/>
  <c r="HJ86" i="45"/>
  <c r="HJ95" i="45"/>
  <c r="HJ119" i="45"/>
  <c r="HJ107" i="45"/>
  <c r="HJ67" i="45"/>
  <c r="HJ66" i="45"/>
  <c r="HJ76" i="45"/>
  <c r="HJ69" i="45"/>
  <c r="HJ81" i="45"/>
  <c r="HJ96" i="45"/>
  <c r="HJ82" i="45"/>
  <c r="HJ74" i="45"/>
  <c r="HJ120" i="45"/>
  <c r="HJ108" i="45"/>
  <c r="HJ75" i="45"/>
  <c r="HJ109" i="45"/>
  <c r="HJ117" i="45"/>
  <c r="HJ105" i="45"/>
  <c r="HJ88" i="45"/>
  <c r="HJ99" i="45"/>
  <c r="HJ90" i="45"/>
  <c r="HJ72" i="45"/>
  <c r="HJ103" i="45"/>
  <c r="HJ100" i="45"/>
  <c r="HJ85" i="45"/>
  <c r="GJ61" i="45"/>
  <c r="GJ106" i="45"/>
  <c r="GJ65" i="45"/>
  <c r="GJ118" i="45"/>
  <c r="GJ97" i="45"/>
  <c r="GJ64" i="45"/>
  <c r="GJ59" i="45"/>
  <c r="GJ98" i="45"/>
  <c r="GJ83" i="45"/>
  <c r="GJ78" i="45"/>
  <c r="GJ102" i="45"/>
  <c r="GJ80" i="45"/>
  <c r="GJ110" i="45"/>
  <c r="GJ70" i="45"/>
  <c r="GJ115" i="45"/>
  <c r="GJ56" i="45"/>
  <c r="GJ71" i="45"/>
  <c r="GJ93" i="45"/>
  <c r="GJ84" i="45"/>
  <c r="GJ87" i="45"/>
  <c r="GJ105" i="45"/>
  <c r="GJ62" i="45"/>
  <c r="GJ101" i="45"/>
  <c r="GJ113" i="45"/>
  <c r="GJ94" i="45"/>
  <c r="GJ99" i="45"/>
  <c r="GJ79" i="45"/>
  <c r="GJ60" i="45"/>
  <c r="GJ109" i="45"/>
  <c r="GJ114" i="45"/>
  <c r="GJ41" i="45"/>
  <c r="GJ75" i="45"/>
  <c r="GJ104" i="45"/>
  <c r="GJ68" i="45"/>
  <c r="GJ73" i="45"/>
  <c r="GJ95" i="45"/>
  <c r="GJ119" i="45"/>
  <c r="GJ107" i="45"/>
  <c r="GJ108" i="45"/>
  <c r="GJ89" i="45"/>
  <c r="GJ91" i="45"/>
  <c r="GJ58" i="45"/>
  <c r="GJ76" i="45"/>
  <c r="GJ50" i="45"/>
  <c r="GJ45" i="45"/>
  <c r="GJ111" i="45"/>
  <c r="GJ42" i="45"/>
  <c r="GJ100" i="45"/>
  <c r="GJ53" i="45"/>
  <c r="GJ43" i="45"/>
  <c r="GJ81" i="45"/>
  <c r="GJ96" i="45"/>
  <c r="GJ51" i="45"/>
  <c r="GJ40" i="45"/>
  <c r="GJ103" i="45"/>
  <c r="GJ74" i="45"/>
  <c r="GJ49" i="45"/>
  <c r="GJ48" i="45"/>
  <c r="GJ67" i="45"/>
  <c r="GJ117" i="45"/>
  <c r="GJ46" i="45"/>
  <c r="GJ120" i="45"/>
  <c r="GJ55" i="45"/>
  <c r="GJ44" i="45"/>
  <c r="GJ88" i="45"/>
  <c r="GJ86" i="45"/>
  <c r="GJ82" i="45"/>
  <c r="GJ63" i="45"/>
  <c r="GJ66" i="45"/>
  <c r="GJ72" i="45"/>
  <c r="GJ47" i="45"/>
  <c r="GJ116" i="45"/>
  <c r="GJ77" i="45"/>
  <c r="GJ54" i="45"/>
  <c r="GJ92" i="45"/>
  <c r="GJ112" i="45"/>
  <c r="GJ52" i="45"/>
  <c r="GJ69" i="45"/>
  <c r="GJ90" i="45"/>
  <c r="GJ57" i="45"/>
  <c r="GJ85" i="45"/>
  <c r="IA105" i="45"/>
  <c r="IA83" i="45"/>
  <c r="IA97" i="45"/>
  <c r="IA98" i="45"/>
  <c r="IA118" i="45"/>
  <c r="IA106" i="45"/>
  <c r="IA110" i="45"/>
  <c r="IA102" i="45"/>
  <c r="IA93" i="45"/>
  <c r="IA115" i="45"/>
  <c r="IA109" i="45"/>
  <c r="IA91" i="45"/>
  <c r="IA88" i="45"/>
  <c r="IA99" i="45"/>
  <c r="IA108" i="45"/>
  <c r="IA86" i="45"/>
  <c r="IA95" i="45"/>
  <c r="IA117" i="45"/>
  <c r="IA104" i="45"/>
  <c r="IA101" i="45"/>
  <c r="IA111" i="45"/>
  <c r="IA92" i="45"/>
  <c r="IA90" i="45"/>
  <c r="IA84" i="45"/>
  <c r="IA119" i="45"/>
  <c r="IA107" i="45"/>
  <c r="IA85" i="45"/>
  <c r="IA116" i="45"/>
  <c r="IA96" i="45"/>
  <c r="IA94" i="45"/>
  <c r="IA100" i="45"/>
  <c r="IA120" i="45"/>
  <c r="IA113" i="45"/>
  <c r="IA89" i="45"/>
  <c r="IA114" i="45"/>
  <c r="IA103" i="45"/>
  <c r="IA87" i="45"/>
  <c r="IA112" i="45"/>
  <c r="HK98" i="45"/>
  <c r="HK110" i="45"/>
  <c r="HK102" i="45"/>
  <c r="HK97" i="45"/>
  <c r="HK83" i="45"/>
  <c r="HK118" i="45"/>
  <c r="HK78" i="45"/>
  <c r="HK80" i="45"/>
  <c r="HK70" i="45"/>
  <c r="HK106" i="45"/>
  <c r="HK93" i="45"/>
  <c r="HK91" i="45"/>
  <c r="HK84" i="45"/>
  <c r="HK89" i="45"/>
  <c r="HK109" i="45"/>
  <c r="HK117" i="45"/>
  <c r="HK105" i="45"/>
  <c r="HK68" i="45"/>
  <c r="HK73" i="45"/>
  <c r="HK86" i="45"/>
  <c r="HK82" i="45"/>
  <c r="HK94" i="45"/>
  <c r="HK111" i="45"/>
  <c r="HK92" i="45"/>
  <c r="HK90" i="45"/>
  <c r="HK107" i="45"/>
  <c r="HK115" i="45"/>
  <c r="HK114" i="45"/>
  <c r="HK116" i="45"/>
  <c r="HK87" i="45"/>
  <c r="HK76" i="45"/>
  <c r="HK75" i="45"/>
  <c r="HK96" i="45"/>
  <c r="HK99" i="45"/>
  <c r="HK119" i="45"/>
  <c r="HK72" i="45"/>
  <c r="HK81" i="45"/>
  <c r="HK71" i="45"/>
  <c r="HK101" i="45"/>
  <c r="HK113" i="45"/>
  <c r="HK112" i="45"/>
  <c r="HK100" i="45"/>
  <c r="HK67" i="45"/>
  <c r="HK120" i="45"/>
  <c r="HK69" i="45"/>
  <c r="HK103" i="45"/>
  <c r="HK74" i="45"/>
  <c r="HK108" i="45"/>
  <c r="HK79" i="45"/>
  <c r="HK104" i="45"/>
  <c r="HK88" i="45"/>
  <c r="HK77" i="45"/>
  <c r="HK95" i="45"/>
  <c r="HK85" i="45"/>
  <c r="GP93" i="45"/>
  <c r="GP83" i="45"/>
  <c r="GP118" i="45"/>
  <c r="GP80" i="45"/>
  <c r="GP106" i="45"/>
  <c r="GP70" i="45"/>
  <c r="GP61" i="45"/>
  <c r="GP110" i="45"/>
  <c r="GP65" i="45"/>
  <c r="GP102" i="45"/>
  <c r="GP98" i="45"/>
  <c r="GP64" i="45"/>
  <c r="GP78" i="45"/>
  <c r="GP59" i="45"/>
  <c r="GP97" i="45"/>
  <c r="GP116" i="45"/>
  <c r="GP71" i="45"/>
  <c r="GP115" i="45"/>
  <c r="GP55" i="45"/>
  <c r="GP117" i="45"/>
  <c r="GP58" i="45"/>
  <c r="GP104" i="45"/>
  <c r="GP88" i="45"/>
  <c r="GP77" i="45"/>
  <c r="GP50" i="45"/>
  <c r="GP113" i="45"/>
  <c r="GP54" i="45"/>
  <c r="GP111" i="45"/>
  <c r="GP86" i="45"/>
  <c r="GP108" i="45"/>
  <c r="GP89" i="45"/>
  <c r="GP91" i="45"/>
  <c r="GP87" i="45"/>
  <c r="GP62" i="45"/>
  <c r="GP112" i="45"/>
  <c r="GP95" i="45"/>
  <c r="GP69" i="45"/>
  <c r="GP90" i="45"/>
  <c r="GP72" i="45"/>
  <c r="GP48" i="45"/>
  <c r="GP81" i="45"/>
  <c r="GP84" i="45"/>
  <c r="GP76" i="45"/>
  <c r="GP75" i="45"/>
  <c r="GP99" i="45"/>
  <c r="GP60" i="45"/>
  <c r="GP52" i="45"/>
  <c r="GP51" i="45"/>
  <c r="GP103" i="45"/>
  <c r="GP109" i="45"/>
  <c r="GP47" i="45"/>
  <c r="GP82" i="45"/>
  <c r="GP100" i="45"/>
  <c r="GP63" i="45"/>
  <c r="GP94" i="45"/>
  <c r="GP119" i="45"/>
  <c r="GP56" i="45"/>
  <c r="GP105" i="45"/>
  <c r="GP101" i="45"/>
  <c r="GP92" i="45"/>
  <c r="GP49" i="45"/>
  <c r="GP107" i="45"/>
  <c r="GP120" i="45"/>
  <c r="GP114" i="45"/>
  <c r="GP66" i="45"/>
  <c r="GP68" i="45"/>
  <c r="GP73" i="45"/>
  <c r="GP96" i="45"/>
  <c r="GP46" i="45"/>
  <c r="GP85" i="45"/>
  <c r="GP74" i="45"/>
  <c r="GP79" i="45"/>
  <c r="GP53" i="45"/>
  <c r="GP57" i="45"/>
  <c r="GP67" i="45"/>
  <c r="HR80" i="45"/>
  <c r="HR78" i="45"/>
  <c r="HR102" i="45"/>
  <c r="HR98" i="45"/>
  <c r="HR97" i="45"/>
  <c r="HR106" i="45"/>
  <c r="HR110" i="45"/>
  <c r="HR83" i="45"/>
  <c r="HR118" i="45"/>
  <c r="HR108" i="45"/>
  <c r="HR109" i="45"/>
  <c r="HR114" i="45"/>
  <c r="HR87" i="45"/>
  <c r="HR115" i="45"/>
  <c r="HR89" i="45"/>
  <c r="HR117" i="45"/>
  <c r="HR91" i="45"/>
  <c r="HR105" i="45"/>
  <c r="HR75" i="45"/>
  <c r="HR99" i="45"/>
  <c r="HR79" i="45"/>
  <c r="HR82" i="45"/>
  <c r="HR93" i="45"/>
  <c r="HR77" i="45"/>
  <c r="HR113" i="45"/>
  <c r="HR86" i="45"/>
  <c r="HR107" i="45"/>
  <c r="HR76" i="45"/>
  <c r="HR104" i="45"/>
  <c r="HR101" i="45"/>
  <c r="HR94" i="45"/>
  <c r="HR112" i="45"/>
  <c r="HR100" i="45"/>
  <c r="HR116" i="45"/>
  <c r="HR96" i="45"/>
  <c r="HR119" i="45"/>
  <c r="HR90" i="45"/>
  <c r="HR81" i="45"/>
  <c r="HR103" i="45"/>
  <c r="HR84" i="45"/>
  <c r="HR88" i="45"/>
  <c r="HR92" i="45"/>
  <c r="HR120" i="45"/>
  <c r="HR95" i="45"/>
  <c r="HR85" i="45"/>
  <c r="HR74" i="45"/>
  <c r="HR111" i="45"/>
  <c r="FR101" i="45"/>
  <c r="FR32" i="45"/>
  <c r="FR106" i="45"/>
  <c r="FR65" i="45"/>
  <c r="FR78" i="45"/>
  <c r="FR102" i="45"/>
  <c r="FR70" i="45"/>
  <c r="FR97" i="45"/>
  <c r="FR59" i="45"/>
  <c r="FR61" i="45"/>
  <c r="FR98" i="45"/>
  <c r="FR83" i="45"/>
  <c r="FR80" i="45"/>
  <c r="FR64" i="45"/>
  <c r="FR110" i="45"/>
  <c r="FR33" i="45"/>
  <c r="FR118" i="45"/>
  <c r="FR108" i="45"/>
  <c r="FR47" i="45"/>
  <c r="FR38" i="45"/>
  <c r="FR89" i="45"/>
  <c r="FR109" i="45"/>
  <c r="FR24" i="45"/>
  <c r="FR41" i="45"/>
  <c r="FR71" i="45"/>
  <c r="FR75" i="45"/>
  <c r="FR27" i="45"/>
  <c r="FR73" i="45"/>
  <c r="FR77" i="45"/>
  <c r="FR39" i="45"/>
  <c r="FR86" i="45"/>
  <c r="FR58" i="45"/>
  <c r="FR87" i="45"/>
  <c r="FR66" i="45"/>
  <c r="FR23" i="45"/>
  <c r="FR68" i="45"/>
  <c r="FR28" i="45"/>
  <c r="FR88" i="45"/>
  <c r="FR50" i="45"/>
  <c r="FR54" i="45"/>
  <c r="FR45" i="45"/>
  <c r="FR36" i="45"/>
  <c r="FR100" i="45"/>
  <c r="FR95" i="45"/>
  <c r="FR119" i="45"/>
  <c r="FR40" i="45"/>
  <c r="FR56" i="45"/>
  <c r="FR55" i="45"/>
  <c r="FR114" i="45"/>
  <c r="FR79" i="45"/>
  <c r="FR49" i="45"/>
  <c r="FR25" i="45"/>
  <c r="FR51" i="45"/>
  <c r="FR53" i="45"/>
  <c r="FR37" i="45"/>
  <c r="FR90" i="45"/>
  <c r="FR72" i="45"/>
  <c r="FR46" i="45"/>
  <c r="FR22" i="45"/>
  <c r="FR93" i="45"/>
  <c r="FR117" i="45"/>
  <c r="FR76" i="45"/>
  <c r="FR105" i="45"/>
  <c r="FR104" i="45"/>
  <c r="FR94" i="45"/>
  <c r="FR35" i="45"/>
  <c r="FR99" i="45"/>
  <c r="FR60" i="45"/>
  <c r="FR112" i="45"/>
  <c r="FR57" i="45"/>
  <c r="FR63" i="45"/>
  <c r="FR67" i="45"/>
  <c r="FR69" i="45"/>
  <c r="FR30" i="45"/>
  <c r="FR84" i="45"/>
  <c r="FR82" i="45"/>
  <c r="FR34" i="45"/>
  <c r="FR48" i="45"/>
  <c r="FR43" i="45"/>
  <c r="FR103" i="45"/>
  <c r="FR85" i="45"/>
  <c r="FR115" i="45"/>
  <c r="FR31" i="45"/>
  <c r="FR116" i="45"/>
  <c r="FR111" i="45"/>
  <c r="FR81" i="45"/>
  <c r="FR74" i="45"/>
  <c r="FR29" i="45"/>
  <c r="FR44" i="45"/>
  <c r="FR91" i="45"/>
  <c r="FR62" i="45"/>
  <c r="FR96" i="45"/>
  <c r="FR42" i="45"/>
  <c r="FR92" i="45"/>
  <c r="FR52" i="45"/>
  <c r="FR107" i="45"/>
  <c r="FR26" i="45"/>
  <c r="FR120" i="45"/>
  <c r="FR113" i="45"/>
  <c r="HQ85" i="45"/>
  <c r="HQ98" i="45"/>
  <c r="HQ83" i="45"/>
  <c r="HQ118" i="45"/>
  <c r="HQ80" i="45"/>
  <c r="HQ97" i="45"/>
  <c r="HQ102" i="45"/>
  <c r="HQ106" i="45"/>
  <c r="HQ110" i="45"/>
  <c r="HQ78" i="45"/>
  <c r="HQ109" i="45"/>
  <c r="HQ114" i="45"/>
  <c r="HQ91" i="45"/>
  <c r="HQ116" i="45"/>
  <c r="HQ108" i="45"/>
  <c r="HQ117" i="45"/>
  <c r="HQ84" i="45"/>
  <c r="HQ87" i="45"/>
  <c r="HQ105" i="45"/>
  <c r="HQ104" i="45"/>
  <c r="HQ96" i="45"/>
  <c r="HQ94" i="45"/>
  <c r="HQ99" i="45"/>
  <c r="HQ79" i="45"/>
  <c r="HQ92" i="45"/>
  <c r="HQ75" i="45"/>
  <c r="HQ113" i="45"/>
  <c r="HQ111" i="45"/>
  <c r="HQ86" i="45"/>
  <c r="HQ82" i="45"/>
  <c r="HQ112" i="45"/>
  <c r="HQ100" i="45"/>
  <c r="HQ119" i="45"/>
  <c r="HQ107" i="45"/>
  <c r="HQ89" i="45"/>
  <c r="HQ73" i="45"/>
  <c r="HQ76" i="45"/>
  <c r="HQ101" i="45"/>
  <c r="HQ81" i="45"/>
  <c r="HQ103" i="45"/>
  <c r="HQ95" i="45"/>
  <c r="HQ120" i="45"/>
  <c r="HQ93" i="45"/>
  <c r="HQ88" i="45"/>
  <c r="HQ115" i="45"/>
  <c r="HQ90" i="45"/>
  <c r="HQ77" i="45"/>
  <c r="HQ74" i="45"/>
  <c r="HC106" i="45"/>
  <c r="HC102" i="45"/>
  <c r="HC78" i="45"/>
  <c r="HC97" i="45"/>
  <c r="HC64" i="45"/>
  <c r="HC61" i="45"/>
  <c r="HC98" i="45"/>
  <c r="HC83" i="45"/>
  <c r="HC80" i="45"/>
  <c r="HC110" i="45"/>
  <c r="HC65" i="45"/>
  <c r="HC118" i="45"/>
  <c r="HC59" i="45"/>
  <c r="HC70" i="45"/>
  <c r="HC114" i="45"/>
  <c r="HC84" i="45"/>
  <c r="HC87" i="45"/>
  <c r="HC93" i="45"/>
  <c r="HC116" i="45"/>
  <c r="HC71" i="45"/>
  <c r="HC62" i="45"/>
  <c r="HC73" i="45"/>
  <c r="HC77" i="45"/>
  <c r="HC113" i="45"/>
  <c r="HC94" i="45"/>
  <c r="HC99" i="45"/>
  <c r="HC111" i="45"/>
  <c r="HC82" i="45"/>
  <c r="HC108" i="45"/>
  <c r="HC109" i="45"/>
  <c r="HC76" i="45"/>
  <c r="HC105" i="45"/>
  <c r="HC104" i="45"/>
  <c r="HC88" i="45"/>
  <c r="HC92" i="45"/>
  <c r="HC68" i="45"/>
  <c r="HC96" i="45"/>
  <c r="HC86" i="45"/>
  <c r="HC119" i="45"/>
  <c r="HC81" i="45"/>
  <c r="HC103" i="45"/>
  <c r="HC75" i="45"/>
  <c r="HC69" i="45"/>
  <c r="HC90" i="45"/>
  <c r="HC85" i="45"/>
  <c r="HC63" i="45"/>
  <c r="HC115" i="45"/>
  <c r="HC91" i="45"/>
  <c r="HC112" i="45"/>
  <c r="HC107" i="45"/>
  <c r="HC72" i="45"/>
  <c r="HC117" i="45"/>
  <c r="HC101" i="45"/>
  <c r="HC79" i="45"/>
  <c r="HC60" i="45"/>
  <c r="HC89" i="45"/>
  <c r="HC66" i="45"/>
  <c r="HC100" i="45"/>
  <c r="HC95" i="45"/>
  <c r="HC67" i="45"/>
  <c r="HC120" i="45"/>
  <c r="HC74" i="45"/>
  <c r="IV107" i="45"/>
  <c r="IV106" i="45"/>
  <c r="IV110" i="45"/>
  <c r="IV118" i="45"/>
  <c r="IV115" i="45"/>
  <c r="IV111" i="45"/>
  <c r="IV109" i="45"/>
  <c r="IV117" i="45"/>
  <c r="IV105" i="45"/>
  <c r="IV108" i="45"/>
  <c r="IV119" i="45"/>
  <c r="IV114" i="45"/>
  <c r="IV113" i="45"/>
  <c r="IV120" i="45"/>
  <c r="IV116" i="45"/>
  <c r="IV104" i="45"/>
  <c r="IV112" i="45"/>
  <c r="JA118" i="45"/>
  <c r="JA110" i="45"/>
  <c r="JA115" i="45"/>
  <c r="JA117" i="45"/>
  <c r="JA109" i="45"/>
  <c r="JA116" i="45"/>
  <c r="JA113" i="45"/>
  <c r="JA111" i="45"/>
  <c r="JA112" i="45"/>
  <c r="JA120" i="45"/>
  <c r="JA114" i="45"/>
  <c r="JA119" i="45"/>
  <c r="HF97" i="45"/>
  <c r="HF98" i="45"/>
  <c r="HF118" i="45"/>
  <c r="HF110" i="45"/>
  <c r="HF64" i="45"/>
  <c r="HF78" i="45"/>
  <c r="HF70" i="45"/>
  <c r="HF102" i="45"/>
  <c r="HF83" i="45"/>
  <c r="HF80" i="45"/>
  <c r="HF65" i="45"/>
  <c r="HF106" i="45"/>
  <c r="HF109" i="45"/>
  <c r="HF116" i="45"/>
  <c r="HF87" i="45"/>
  <c r="HF115" i="45"/>
  <c r="HF93" i="45"/>
  <c r="HF66" i="45"/>
  <c r="HF75" i="45"/>
  <c r="HF73" i="45"/>
  <c r="HF82" i="45"/>
  <c r="HF104" i="45"/>
  <c r="HF68" i="45"/>
  <c r="HF96" i="45"/>
  <c r="HF99" i="45"/>
  <c r="HF79" i="45"/>
  <c r="HF86" i="45"/>
  <c r="HF112" i="45"/>
  <c r="HF90" i="45"/>
  <c r="HF72" i="45"/>
  <c r="HF117" i="45"/>
  <c r="HF91" i="45"/>
  <c r="HF62" i="45"/>
  <c r="HF88" i="45"/>
  <c r="HF113" i="45"/>
  <c r="HF111" i="45"/>
  <c r="HF100" i="45"/>
  <c r="HF95" i="45"/>
  <c r="HF107" i="45"/>
  <c r="HF103" i="45"/>
  <c r="HF89" i="45"/>
  <c r="HF114" i="45"/>
  <c r="HF71" i="45"/>
  <c r="HF105" i="45"/>
  <c r="HF77" i="45"/>
  <c r="HF92" i="45"/>
  <c r="HF85" i="45"/>
  <c r="HF119" i="45"/>
  <c r="HF63" i="45"/>
  <c r="HF74" i="45"/>
  <c r="HF67" i="45"/>
  <c r="HF120" i="45"/>
  <c r="HF101" i="45"/>
  <c r="HF69" i="45"/>
  <c r="HF108" i="45"/>
  <c r="HF84" i="45"/>
  <c r="HF76" i="45"/>
  <c r="HF94" i="45"/>
  <c r="HF81" i="45"/>
  <c r="HX118" i="45"/>
  <c r="HX102" i="45"/>
  <c r="HX98" i="45"/>
  <c r="HX97" i="45"/>
  <c r="HX83" i="45"/>
  <c r="HX80" i="45"/>
  <c r="HX106" i="45"/>
  <c r="HX110" i="45"/>
  <c r="HX109" i="45"/>
  <c r="HX114" i="45"/>
  <c r="HX89" i="45"/>
  <c r="HX91" i="45"/>
  <c r="HX116" i="45"/>
  <c r="HX87" i="45"/>
  <c r="HX101" i="45"/>
  <c r="HX96" i="45"/>
  <c r="HX88" i="45"/>
  <c r="HX99" i="45"/>
  <c r="HX108" i="45"/>
  <c r="HX93" i="45"/>
  <c r="HX84" i="45"/>
  <c r="HX94" i="45"/>
  <c r="HX100" i="45"/>
  <c r="HX115" i="45"/>
  <c r="HX113" i="45"/>
  <c r="HX92" i="45"/>
  <c r="HX90" i="45"/>
  <c r="HX82" i="45"/>
  <c r="HX85" i="45"/>
  <c r="HX112" i="45"/>
  <c r="HX119" i="45"/>
  <c r="HX105" i="45"/>
  <c r="HX104" i="45"/>
  <c r="HX103" i="45"/>
  <c r="HX111" i="45"/>
  <c r="HX107" i="45"/>
  <c r="HX81" i="45"/>
  <c r="HX117" i="45"/>
  <c r="HX95" i="45"/>
  <c r="HX86" i="45"/>
  <c r="HX120" i="45"/>
  <c r="GX90" i="45"/>
  <c r="GX98" i="45"/>
  <c r="GX118" i="45"/>
  <c r="GX110" i="45"/>
  <c r="GX78" i="45"/>
  <c r="GX102" i="45"/>
  <c r="GX61" i="45"/>
  <c r="GX83" i="45"/>
  <c r="GX80" i="45"/>
  <c r="GX65" i="45"/>
  <c r="GX106" i="45"/>
  <c r="GX59" i="45"/>
  <c r="GX70" i="45"/>
  <c r="GX97" i="45"/>
  <c r="GX64" i="45"/>
  <c r="GX89" i="45"/>
  <c r="GX91" i="45"/>
  <c r="GX108" i="45"/>
  <c r="GX71" i="45"/>
  <c r="GX62" i="45"/>
  <c r="GX101" i="45"/>
  <c r="GX77" i="45"/>
  <c r="GX113" i="45"/>
  <c r="GX60" i="45"/>
  <c r="GX115" i="45"/>
  <c r="GX56" i="45"/>
  <c r="GX55" i="45"/>
  <c r="GX105" i="45"/>
  <c r="GX104" i="45"/>
  <c r="GX88" i="45"/>
  <c r="GX111" i="45"/>
  <c r="GX86" i="45"/>
  <c r="GX69" i="45"/>
  <c r="GX119" i="45"/>
  <c r="GX109" i="45"/>
  <c r="GX117" i="45"/>
  <c r="GX66" i="45"/>
  <c r="GX73" i="45"/>
  <c r="GX96" i="45"/>
  <c r="GX54" i="45"/>
  <c r="GX99" i="45"/>
  <c r="GX100" i="45"/>
  <c r="GX107" i="45"/>
  <c r="GX58" i="45"/>
  <c r="GX76" i="45"/>
  <c r="GX79" i="45"/>
  <c r="GX82" i="45"/>
  <c r="GX112" i="45"/>
  <c r="GX103" i="45"/>
  <c r="GX85" i="45"/>
  <c r="GX57" i="45"/>
  <c r="GX63" i="45"/>
  <c r="GX120" i="45"/>
  <c r="GX74" i="45"/>
  <c r="GX68" i="45"/>
  <c r="GX81" i="45"/>
  <c r="GX93" i="45"/>
  <c r="GX84" i="45"/>
  <c r="GX87" i="45"/>
  <c r="GX92" i="45"/>
  <c r="GX95" i="45"/>
  <c r="GX114" i="45"/>
  <c r="GX116" i="45"/>
  <c r="GX75" i="45"/>
  <c r="GX94" i="45"/>
  <c r="GX72" i="45"/>
  <c r="GX67" i="45"/>
  <c r="IC118" i="45"/>
  <c r="IC102" i="45"/>
  <c r="IC110" i="45"/>
  <c r="IC98" i="45"/>
  <c r="IC106" i="45"/>
  <c r="IC97" i="45"/>
  <c r="IC108" i="45"/>
  <c r="IC93" i="45"/>
  <c r="IC91" i="45"/>
  <c r="IC104" i="45"/>
  <c r="IC88" i="45"/>
  <c r="IC99" i="45"/>
  <c r="IC89" i="45"/>
  <c r="IC116" i="45"/>
  <c r="IC105" i="45"/>
  <c r="IC113" i="45"/>
  <c r="IC111" i="45"/>
  <c r="IC119" i="45"/>
  <c r="IC115" i="45"/>
  <c r="IC117" i="45"/>
  <c r="IC92" i="45"/>
  <c r="IC112" i="45"/>
  <c r="IC94" i="45"/>
  <c r="IC86" i="45"/>
  <c r="IC120" i="45"/>
  <c r="IC100" i="45"/>
  <c r="IC107" i="45"/>
  <c r="IC101" i="45"/>
  <c r="IC95" i="45"/>
  <c r="IC103" i="45"/>
  <c r="IC114" i="45"/>
  <c r="IC96" i="45"/>
  <c r="IC109" i="45"/>
  <c r="IC90" i="45"/>
  <c r="IC87" i="45"/>
  <c r="IC85" i="45"/>
  <c r="GU103" i="45"/>
  <c r="GU80" i="45"/>
  <c r="GU70" i="45"/>
  <c r="GU83" i="45"/>
  <c r="GU78" i="45"/>
  <c r="GU102" i="45"/>
  <c r="GU98" i="45"/>
  <c r="GU118" i="45"/>
  <c r="GU61" i="45"/>
  <c r="GU106" i="45"/>
  <c r="GU64" i="45"/>
  <c r="GU110" i="45"/>
  <c r="GU97" i="45"/>
  <c r="GU65" i="45"/>
  <c r="GU59" i="45"/>
  <c r="GU115" i="45"/>
  <c r="GU108" i="45"/>
  <c r="GU56" i="45"/>
  <c r="GU93" i="45"/>
  <c r="GU109" i="45"/>
  <c r="GU71" i="45"/>
  <c r="GU114" i="45"/>
  <c r="GU117" i="45"/>
  <c r="GU91" i="45"/>
  <c r="GU87" i="45"/>
  <c r="GU105" i="45"/>
  <c r="GU104" i="45"/>
  <c r="GU96" i="45"/>
  <c r="GU113" i="45"/>
  <c r="GU99" i="45"/>
  <c r="GU60" i="45"/>
  <c r="GU55" i="45"/>
  <c r="GU116" i="45"/>
  <c r="GU66" i="45"/>
  <c r="GU62" i="45"/>
  <c r="GU54" i="45"/>
  <c r="GU82" i="45"/>
  <c r="GU112" i="45"/>
  <c r="GU119" i="45"/>
  <c r="GU58" i="45"/>
  <c r="GU68" i="45"/>
  <c r="GU88" i="45"/>
  <c r="GU111" i="45"/>
  <c r="GU69" i="45"/>
  <c r="GU107" i="45"/>
  <c r="GU89" i="45"/>
  <c r="GU100" i="45"/>
  <c r="GU72" i="45"/>
  <c r="GU85" i="45"/>
  <c r="GU57" i="45"/>
  <c r="GU77" i="45"/>
  <c r="GU120" i="45"/>
  <c r="GU84" i="45"/>
  <c r="GU76" i="45"/>
  <c r="GU75" i="45"/>
  <c r="GU101" i="45"/>
  <c r="GU73" i="45"/>
  <c r="GU79" i="45"/>
  <c r="GU86" i="45"/>
  <c r="GU52" i="45"/>
  <c r="GU51" i="45"/>
  <c r="GU94" i="45"/>
  <c r="GU95" i="45"/>
  <c r="GU90" i="45"/>
  <c r="GU81" i="45"/>
  <c r="GU74" i="45"/>
  <c r="GU63" i="45"/>
  <c r="GU67" i="45"/>
  <c r="GU92" i="45"/>
  <c r="GU53" i="45"/>
  <c r="ID100" i="45"/>
  <c r="ID98" i="45"/>
  <c r="ID118" i="45"/>
  <c r="ID106" i="45"/>
  <c r="ID102" i="45"/>
  <c r="ID97" i="45"/>
  <c r="ID110" i="45"/>
  <c r="ID115" i="45"/>
  <c r="ID108" i="45"/>
  <c r="ID93" i="45"/>
  <c r="ID109" i="45"/>
  <c r="ID114" i="45"/>
  <c r="ID117" i="45"/>
  <c r="ID87" i="45"/>
  <c r="ID89" i="45"/>
  <c r="ID104" i="45"/>
  <c r="ID88" i="45"/>
  <c r="ID113" i="45"/>
  <c r="ID86" i="45"/>
  <c r="ID107" i="45"/>
  <c r="ID101" i="45"/>
  <c r="ID96" i="45"/>
  <c r="ID95" i="45"/>
  <c r="ID116" i="45"/>
  <c r="ID112" i="45"/>
  <c r="ID91" i="45"/>
  <c r="ID105" i="45"/>
  <c r="ID94" i="45"/>
  <c r="ID111" i="45"/>
  <c r="ID119" i="45"/>
  <c r="ID99" i="45"/>
  <c r="ID92" i="45"/>
  <c r="ID103" i="45"/>
  <c r="ID90" i="45"/>
  <c r="ID120" i="45"/>
  <c r="HH106" i="45"/>
  <c r="HH97" i="45"/>
  <c r="HH64" i="45"/>
  <c r="HH78" i="45"/>
  <c r="HH65" i="45"/>
  <c r="HH70" i="45"/>
  <c r="HH83" i="45"/>
  <c r="HH102" i="45"/>
  <c r="HH98" i="45"/>
  <c r="HH118" i="45"/>
  <c r="HH80" i="45"/>
  <c r="HH110" i="45"/>
  <c r="HH115" i="45"/>
  <c r="HH89" i="45"/>
  <c r="HH117" i="45"/>
  <c r="HH71" i="45"/>
  <c r="HH87" i="45"/>
  <c r="HH91" i="45"/>
  <c r="HH76" i="45"/>
  <c r="HH68" i="45"/>
  <c r="HH96" i="45"/>
  <c r="HH86" i="45"/>
  <c r="HH93" i="45"/>
  <c r="HH84" i="45"/>
  <c r="HH75" i="45"/>
  <c r="HH73" i="45"/>
  <c r="HH111" i="45"/>
  <c r="HH82" i="45"/>
  <c r="HH69" i="45"/>
  <c r="HH107" i="45"/>
  <c r="HH113" i="45"/>
  <c r="HH99" i="45"/>
  <c r="HH112" i="45"/>
  <c r="HH95" i="45"/>
  <c r="HH119" i="45"/>
  <c r="HH81" i="45"/>
  <c r="HH108" i="45"/>
  <c r="HH114" i="45"/>
  <c r="HH104" i="45"/>
  <c r="HH92" i="45"/>
  <c r="HH67" i="45"/>
  <c r="HH120" i="45"/>
  <c r="HH90" i="45"/>
  <c r="HH66" i="45"/>
  <c r="HH101" i="45"/>
  <c r="HH74" i="45"/>
  <c r="HH109" i="45"/>
  <c r="HH116" i="45"/>
  <c r="HH105" i="45"/>
  <c r="HH94" i="45"/>
  <c r="HH79" i="45"/>
  <c r="HH72" i="45"/>
  <c r="HH103" i="45"/>
  <c r="HH85" i="45"/>
  <c r="HH88" i="45"/>
  <c r="HH77" i="45"/>
  <c r="HH100" i="45"/>
  <c r="GF88" i="45"/>
  <c r="GF98" i="45"/>
  <c r="GF106" i="45"/>
  <c r="GF97" i="45"/>
  <c r="GF65" i="45"/>
  <c r="GF78" i="45"/>
  <c r="GF102" i="45"/>
  <c r="GF80" i="45"/>
  <c r="GF110" i="45"/>
  <c r="GF70" i="45"/>
  <c r="GF61" i="45"/>
  <c r="GF59" i="45"/>
  <c r="GF83" i="45"/>
  <c r="GF118" i="45"/>
  <c r="GF64" i="45"/>
  <c r="GF55" i="45"/>
  <c r="GF44" i="45"/>
  <c r="GF109" i="45"/>
  <c r="GF47" i="45"/>
  <c r="GF41" i="45"/>
  <c r="GF84" i="45"/>
  <c r="GF91" i="45"/>
  <c r="GF116" i="45"/>
  <c r="GF75" i="45"/>
  <c r="GF77" i="45"/>
  <c r="GF39" i="45"/>
  <c r="GF42" i="45"/>
  <c r="GF56" i="45"/>
  <c r="GF89" i="45"/>
  <c r="GF58" i="45"/>
  <c r="GF66" i="45"/>
  <c r="GF101" i="45"/>
  <c r="GF73" i="45"/>
  <c r="GF60" i="45"/>
  <c r="GF92" i="45"/>
  <c r="GF112" i="45"/>
  <c r="GF52" i="45"/>
  <c r="GF37" i="45"/>
  <c r="GF119" i="45"/>
  <c r="GF90" i="45"/>
  <c r="GF107" i="45"/>
  <c r="GF81" i="45"/>
  <c r="GF115" i="45"/>
  <c r="GF38" i="45"/>
  <c r="GF93" i="45"/>
  <c r="GF114" i="45"/>
  <c r="GF117" i="45"/>
  <c r="GF71" i="45"/>
  <c r="GF105" i="45"/>
  <c r="GF68" i="45"/>
  <c r="GF96" i="45"/>
  <c r="GF94" i="45"/>
  <c r="GF79" i="45"/>
  <c r="GF82" i="45"/>
  <c r="GF49" i="45"/>
  <c r="GF53" i="45"/>
  <c r="GF69" i="45"/>
  <c r="GF43" i="45"/>
  <c r="GF46" i="45"/>
  <c r="GF76" i="45"/>
  <c r="GF54" i="45"/>
  <c r="GF99" i="45"/>
  <c r="GF100" i="45"/>
  <c r="GF74" i="45"/>
  <c r="GF63" i="45"/>
  <c r="GF36" i="45"/>
  <c r="GF51" i="45"/>
  <c r="GF72" i="45"/>
  <c r="GF85" i="45"/>
  <c r="GF87" i="45"/>
  <c r="GF104" i="45"/>
  <c r="GF108" i="45"/>
  <c r="GF113" i="45"/>
  <c r="GF111" i="45"/>
  <c r="GF40" i="45"/>
  <c r="GF103" i="45"/>
  <c r="GF95" i="45"/>
  <c r="GF50" i="45"/>
  <c r="GF48" i="45"/>
  <c r="GF57" i="45"/>
  <c r="GF67" i="45"/>
  <c r="GF120" i="45"/>
  <c r="GF62" i="45"/>
  <c r="GF45" i="45"/>
  <c r="GF86" i="45"/>
  <c r="GN73" i="45"/>
  <c r="GN106" i="45"/>
  <c r="GN97" i="45"/>
  <c r="GN65" i="45"/>
  <c r="GN59" i="45"/>
  <c r="GN64" i="45"/>
  <c r="GN102" i="45"/>
  <c r="GN70" i="45"/>
  <c r="GN98" i="45"/>
  <c r="GN80" i="45"/>
  <c r="GN110" i="45"/>
  <c r="GN78" i="45"/>
  <c r="GN61" i="45"/>
  <c r="GN83" i="45"/>
  <c r="GN118" i="45"/>
  <c r="GN115" i="45"/>
  <c r="GN93" i="45"/>
  <c r="GN47" i="45"/>
  <c r="GN91" i="45"/>
  <c r="GN58" i="45"/>
  <c r="GN87" i="45"/>
  <c r="GN108" i="45"/>
  <c r="GN55" i="45"/>
  <c r="GN89" i="45"/>
  <c r="GN114" i="45"/>
  <c r="GN71" i="45"/>
  <c r="GN105" i="45"/>
  <c r="GN77" i="45"/>
  <c r="GN50" i="45"/>
  <c r="GN113" i="45"/>
  <c r="GN45" i="45"/>
  <c r="GN111" i="45"/>
  <c r="GN56" i="45"/>
  <c r="GN44" i="45"/>
  <c r="GN117" i="45"/>
  <c r="GN66" i="45"/>
  <c r="GN62" i="45"/>
  <c r="GN75" i="45"/>
  <c r="GN68" i="45"/>
  <c r="GN101" i="45"/>
  <c r="GN96" i="45"/>
  <c r="GN54" i="45"/>
  <c r="GN99" i="45"/>
  <c r="GN92" i="45"/>
  <c r="GN49" i="45"/>
  <c r="GN46" i="45"/>
  <c r="GN109" i="45"/>
  <c r="GN116" i="45"/>
  <c r="GN76" i="45"/>
  <c r="GN94" i="45"/>
  <c r="GN86" i="45"/>
  <c r="GN60" i="45"/>
  <c r="GN82" i="45"/>
  <c r="GN112" i="45"/>
  <c r="GN53" i="45"/>
  <c r="GN69" i="45"/>
  <c r="GN119" i="45"/>
  <c r="GN84" i="45"/>
  <c r="GN107" i="45"/>
  <c r="GN48" i="45"/>
  <c r="GN74" i="45"/>
  <c r="GN52" i="45"/>
  <c r="GN72" i="45"/>
  <c r="GN63" i="45"/>
  <c r="GN100" i="45"/>
  <c r="GN67" i="45"/>
  <c r="GN104" i="45"/>
  <c r="GN88" i="45"/>
  <c r="GN95" i="45"/>
  <c r="GN85" i="45"/>
  <c r="GN57" i="45"/>
  <c r="GN79" i="45"/>
  <c r="GN51" i="45"/>
  <c r="GN90" i="45"/>
  <c r="GN120" i="45"/>
  <c r="GN81" i="45"/>
  <c r="GN103" i="45"/>
  <c r="IR118" i="45"/>
  <c r="IR110" i="45"/>
  <c r="IR106" i="45"/>
  <c r="IR102" i="45"/>
  <c r="IR115" i="45"/>
  <c r="IR116" i="45"/>
  <c r="IR108" i="45"/>
  <c r="IR117" i="45"/>
  <c r="IR113" i="45"/>
  <c r="IR111" i="45"/>
  <c r="IR105" i="45"/>
  <c r="IR101" i="45"/>
  <c r="IR109" i="45"/>
  <c r="IR114" i="45"/>
  <c r="IR100" i="45"/>
  <c r="IR103" i="45"/>
  <c r="IR120" i="45"/>
  <c r="IR107" i="45"/>
  <c r="IR104" i="45"/>
  <c r="IR112" i="45"/>
  <c r="IR119" i="45"/>
  <c r="GK52" i="45"/>
  <c r="GK110" i="45"/>
  <c r="GK97" i="45"/>
  <c r="GK65" i="45"/>
  <c r="GK102" i="45"/>
  <c r="GK70" i="45"/>
  <c r="GK61" i="45"/>
  <c r="GK98" i="45"/>
  <c r="GK118" i="45"/>
  <c r="GK59" i="45"/>
  <c r="GK78" i="45"/>
  <c r="GK80" i="45"/>
  <c r="GK106" i="45"/>
  <c r="GK64" i="45"/>
  <c r="GK83" i="45"/>
  <c r="GK44" i="45"/>
  <c r="GK117" i="45"/>
  <c r="GK41" i="45"/>
  <c r="GK56" i="45"/>
  <c r="GK55" i="45"/>
  <c r="GK93" i="45"/>
  <c r="GK109" i="45"/>
  <c r="GK116" i="45"/>
  <c r="GK84" i="45"/>
  <c r="GK105" i="45"/>
  <c r="GK99" i="45"/>
  <c r="GK111" i="45"/>
  <c r="GK60" i="45"/>
  <c r="GK92" i="45"/>
  <c r="GK114" i="45"/>
  <c r="GK68" i="45"/>
  <c r="GK96" i="45"/>
  <c r="GK50" i="45"/>
  <c r="GK51" i="45"/>
  <c r="GK48" i="45"/>
  <c r="GK81" i="45"/>
  <c r="GK91" i="45"/>
  <c r="GK58" i="45"/>
  <c r="GK76" i="45"/>
  <c r="GK75" i="45"/>
  <c r="GK104" i="45"/>
  <c r="GK113" i="45"/>
  <c r="GK82" i="45"/>
  <c r="GK100" i="45"/>
  <c r="GK49" i="45"/>
  <c r="GK95" i="45"/>
  <c r="GK53" i="45"/>
  <c r="GK69" i="45"/>
  <c r="GK119" i="45"/>
  <c r="GK90" i="45"/>
  <c r="GK46" i="45"/>
  <c r="GK103" i="45"/>
  <c r="GK115" i="45"/>
  <c r="GK87" i="45"/>
  <c r="GK66" i="45"/>
  <c r="GK88" i="45"/>
  <c r="GK79" i="45"/>
  <c r="GK86" i="45"/>
  <c r="GK42" i="45"/>
  <c r="GK107" i="45"/>
  <c r="GK57" i="45"/>
  <c r="GK112" i="45"/>
  <c r="GK74" i="45"/>
  <c r="GK47" i="45"/>
  <c r="GK85" i="45"/>
  <c r="GK67" i="45"/>
  <c r="GK120" i="45"/>
  <c r="GK89" i="45"/>
  <c r="GK62" i="45"/>
  <c r="GK45" i="45"/>
  <c r="GK72" i="45"/>
  <c r="GK63" i="45"/>
  <c r="GK101" i="45"/>
  <c r="GK108" i="45"/>
  <c r="GK73" i="45"/>
  <c r="GK77" i="45"/>
  <c r="GK94" i="45"/>
  <c r="GK54" i="45"/>
  <c r="GK43" i="45"/>
  <c r="GK71" i="45"/>
  <c r="IU108" i="45"/>
  <c r="IU118" i="45"/>
  <c r="IU110" i="45"/>
  <c r="IU106" i="45"/>
  <c r="IU109" i="45"/>
  <c r="IU117" i="45"/>
  <c r="IU113" i="45"/>
  <c r="IU105" i="45"/>
  <c r="IU111" i="45"/>
  <c r="IU119" i="45"/>
  <c r="IU114" i="45"/>
  <c r="IU116" i="45"/>
  <c r="IU104" i="45"/>
  <c r="IU112" i="45"/>
  <c r="IU103" i="45"/>
  <c r="IU120" i="45"/>
  <c r="IU115" i="45"/>
  <c r="IU107" i="45"/>
  <c r="JG118" i="45"/>
  <c r="JG117" i="45"/>
  <c r="JG115" i="45"/>
  <c r="JG119" i="45"/>
  <c r="JG116" i="45"/>
  <c r="JG120" i="45"/>
  <c r="IQ99" i="45"/>
  <c r="IQ102" i="45"/>
  <c r="IQ118" i="45"/>
  <c r="IQ110" i="45"/>
  <c r="IQ106" i="45"/>
  <c r="IQ114" i="45"/>
  <c r="IQ109" i="45"/>
  <c r="IQ116" i="45"/>
  <c r="IQ101" i="45"/>
  <c r="IQ117" i="45"/>
  <c r="IQ105" i="45"/>
  <c r="IQ100" i="45"/>
  <c r="IQ119" i="45"/>
  <c r="IQ107" i="45"/>
  <c r="IQ112" i="45"/>
  <c r="IQ103" i="45"/>
  <c r="IQ108" i="45"/>
  <c r="IQ113" i="45"/>
  <c r="IQ104" i="45"/>
  <c r="IQ115" i="45"/>
  <c r="IQ120" i="45"/>
  <c r="IQ111" i="45"/>
  <c r="IP100" i="45"/>
  <c r="IP110" i="45"/>
  <c r="IP102" i="45"/>
  <c r="IP98" i="45"/>
  <c r="IP118" i="45"/>
  <c r="IP106" i="45"/>
  <c r="IP115" i="45"/>
  <c r="IP108" i="45"/>
  <c r="IP109" i="45"/>
  <c r="IP114" i="45"/>
  <c r="IP117" i="45"/>
  <c r="IP113" i="45"/>
  <c r="IP105" i="45"/>
  <c r="IP104" i="45"/>
  <c r="IP107" i="45"/>
  <c r="IP99" i="45"/>
  <c r="IP101" i="45"/>
  <c r="IP111" i="45"/>
  <c r="IP116" i="45"/>
  <c r="IP103" i="45"/>
  <c r="IP120" i="45"/>
  <c r="IP112" i="45"/>
  <c r="IP119" i="45"/>
  <c r="IH97" i="45"/>
  <c r="IH98" i="45"/>
  <c r="IH118" i="45"/>
  <c r="IH102" i="45"/>
  <c r="IH106" i="45"/>
  <c r="IH110" i="45"/>
  <c r="IH109" i="45"/>
  <c r="IH116" i="45"/>
  <c r="IH108" i="45"/>
  <c r="IH114" i="45"/>
  <c r="IH96" i="45"/>
  <c r="IH100" i="45"/>
  <c r="IH95" i="45"/>
  <c r="IH107" i="45"/>
  <c r="IH113" i="45"/>
  <c r="IH90" i="45"/>
  <c r="IH104" i="45"/>
  <c r="IH94" i="45"/>
  <c r="IH92" i="45"/>
  <c r="IH120" i="45"/>
  <c r="IH103" i="45"/>
  <c r="IH117" i="45"/>
  <c r="IH111" i="45"/>
  <c r="IH105" i="45"/>
  <c r="IH99" i="45"/>
  <c r="IH115" i="45"/>
  <c r="IH93" i="45"/>
  <c r="IH101" i="45"/>
  <c r="IH112" i="45"/>
  <c r="IH119" i="45"/>
  <c r="IH91" i="45"/>
  <c r="HS91" i="45"/>
  <c r="HS83" i="45"/>
  <c r="HS97" i="45"/>
  <c r="HS102" i="45"/>
  <c r="HS78" i="45"/>
  <c r="HS98" i="45"/>
  <c r="HS118" i="45"/>
  <c r="HS80" i="45"/>
  <c r="HS106" i="45"/>
  <c r="HS110" i="45"/>
  <c r="HS93" i="45"/>
  <c r="HS114" i="45"/>
  <c r="HS109" i="45"/>
  <c r="HS75" i="45"/>
  <c r="HS82" i="45"/>
  <c r="HS117" i="45"/>
  <c r="HS84" i="45"/>
  <c r="HS99" i="45"/>
  <c r="HS111" i="45"/>
  <c r="HS86" i="45"/>
  <c r="HS81" i="45"/>
  <c r="HS89" i="45"/>
  <c r="HS104" i="45"/>
  <c r="HS101" i="45"/>
  <c r="HS96" i="45"/>
  <c r="HS77" i="45"/>
  <c r="HS113" i="45"/>
  <c r="HS79" i="45"/>
  <c r="HS119" i="45"/>
  <c r="HS116" i="45"/>
  <c r="HS87" i="45"/>
  <c r="HS100" i="45"/>
  <c r="HS90" i="45"/>
  <c r="HS107" i="45"/>
  <c r="HS120" i="45"/>
  <c r="HS112" i="45"/>
  <c r="HS115" i="45"/>
  <c r="HS105" i="45"/>
  <c r="HS88" i="45"/>
  <c r="HS108" i="45"/>
  <c r="HS76" i="45"/>
  <c r="HS95" i="45"/>
  <c r="HS94" i="45"/>
  <c r="HS92" i="45"/>
  <c r="HS103" i="45"/>
  <c r="HS85" i="45"/>
  <c r="GS91" i="45"/>
  <c r="GS83" i="45"/>
  <c r="GS118" i="45"/>
  <c r="GS110" i="45"/>
  <c r="GS64" i="45"/>
  <c r="GS65" i="45"/>
  <c r="GS59" i="45"/>
  <c r="GS70" i="45"/>
  <c r="GS98" i="45"/>
  <c r="GS106" i="45"/>
  <c r="GS97" i="45"/>
  <c r="GS61" i="45"/>
  <c r="GS80" i="45"/>
  <c r="GS78" i="45"/>
  <c r="GS102" i="45"/>
  <c r="GS115" i="45"/>
  <c r="GS108" i="45"/>
  <c r="GS116" i="45"/>
  <c r="GS56" i="45"/>
  <c r="GS55" i="45"/>
  <c r="GS109" i="45"/>
  <c r="GS84" i="45"/>
  <c r="GS58" i="45"/>
  <c r="GS68" i="45"/>
  <c r="GS101" i="45"/>
  <c r="GS88" i="45"/>
  <c r="GS86" i="45"/>
  <c r="GS82" i="45"/>
  <c r="GS93" i="45"/>
  <c r="GS66" i="45"/>
  <c r="GS96" i="45"/>
  <c r="GS77" i="45"/>
  <c r="GS113" i="45"/>
  <c r="GS94" i="45"/>
  <c r="GS111" i="45"/>
  <c r="GS95" i="45"/>
  <c r="GS107" i="45"/>
  <c r="GS89" i="45"/>
  <c r="GS105" i="45"/>
  <c r="GS99" i="45"/>
  <c r="GS100" i="45"/>
  <c r="GS52" i="45"/>
  <c r="GS119" i="45"/>
  <c r="GS90" i="45"/>
  <c r="GS72" i="45"/>
  <c r="GS81" i="45"/>
  <c r="GS75" i="45"/>
  <c r="GS54" i="45"/>
  <c r="GS49" i="45"/>
  <c r="GS53" i="45"/>
  <c r="GS103" i="45"/>
  <c r="GS85" i="45"/>
  <c r="GS63" i="45"/>
  <c r="GS87" i="45"/>
  <c r="GS92" i="45"/>
  <c r="GS112" i="45"/>
  <c r="GS62" i="45"/>
  <c r="GS104" i="45"/>
  <c r="GS73" i="45"/>
  <c r="GS50" i="45"/>
  <c r="GS69" i="45"/>
  <c r="GS67" i="45"/>
  <c r="GS114" i="45"/>
  <c r="GS117" i="45"/>
  <c r="GS71" i="45"/>
  <c r="GS79" i="45"/>
  <c r="GS60" i="45"/>
  <c r="GS51" i="45"/>
  <c r="GS74" i="45"/>
  <c r="GS57" i="45"/>
  <c r="GS76" i="45"/>
  <c r="GS120" i="45"/>
  <c r="JK119" i="45"/>
  <c r="JK120" i="45"/>
  <c r="IG106" i="45"/>
  <c r="IG97" i="45"/>
  <c r="IG102" i="45"/>
  <c r="IG98" i="45"/>
  <c r="IG118" i="45"/>
  <c r="IG110" i="45"/>
  <c r="IG89" i="45"/>
  <c r="IG93" i="45"/>
  <c r="IG114" i="45"/>
  <c r="IG104" i="45"/>
  <c r="IG96" i="45"/>
  <c r="IG94" i="45"/>
  <c r="IG99" i="45"/>
  <c r="IG108" i="45"/>
  <c r="IG116" i="45"/>
  <c r="IG100" i="45"/>
  <c r="IG95" i="45"/>
  <c r="IG107" i="45"/>
  <c r="IG115" i="45"/>
  <c r="IG105" i="45"/>
  <c r="IG113" i="45"/>
  <c r="IG92" i="45"/>
  <c r="IG112" i="45"/>
  <c r="IG119" i="45"/>
  <c r="IG117" i="45"/>
  <c r="IG101" i="45"/>
  <c r="IG90" i="45"/>
  <c r="IG120" i="45"/>
  <c r="IG109" i="45"/>
  <c r="IG91" i="45"/>
  <c r="IG111" i="45"/>
  <c r="IG103" i="45"/>
  <c r="HZ93" i="45"/>
  <c r="HZ118" i="45"/>
  <c r="HZ102" i="45"/>
  <c r="HZ98" i="45"/>
  <c r="HZ83" i="45"/>
  <c r="HZ97" i="45"/>
  <c r="HZ106" i="45"/>
  <c r="HZ110" i="45"/>
  <c r="HZ115" i="45"/>
  <c r="HZ109" i="45"/>
  <c r="HZ87" i="45"/>
  <c r="HZ104" i="45"/>
  <c r="HZ96" i="45"/>
  <c r="HZ88" i="45"/>
  <c r="HZ99" i="45"/>
  <c r="HZ114" i="45"/>
  <c r="HZ94" i="45"/>
  <c r="HZ111" i="45"/>
  <c r="HZ86" i="45"/>
  <c r="HZ100" i="45"/>
  <c r="HZ89" i="45"/>
  <c r="HZ91" i="45"/>
  <c r="HZ116" i="45"/>
  <c r="HZ84" i="45"/>
  <c r="HZ105" i="45"/>
  <c r="HZ92" i="45"/>
  <c r="HZ107" i="45"/>
  <c r="HZ103" i="45"/>
  <c r="HZ95" i="45"/>
  <c r="HZ119" i="45"/>
  <c r="HZ85" i="45"/>
  <c r="HZ112" i="45"/>
  <c r="HZ90" i="45"/>
  <c r="HZ108" i="45"/>
  <c r="HZ120" i="45"/>
  <c r="HZ117" i="45"/>
  <c r="HZ101" i="45"/>
  <c r="HZ113" i="45"/>
  <c r="HZ82" i="45"/>
  <c r="IO110" i="45"/>
  <c r="IO106" i="45"/>
  <c r="IO97" i="45"/>
  <c r="IO102" i="45"/>
  <c r="IO98" i="45"/>
  <c r="IO118" i="45"/>
  <c r="IO115" i="45"/>
  <c r="IO108" i="45"/>
  <c r="IO114" i="45"/>
  <c r="IO111" i="45"/>
  <c r="IO113" i="45"/>
  <c r="IO100" i="45"/>
  <c r="IO101" i="45"/>
  <c r="IO112" i="45"/>
  <c r="IO109" i="45"/>
  <c r="IO105" i="45"/>
  <c r="IO104" i="45"/>
  <c r="IO103" i="45"/>
  <c r="IO107" i="45"/>
  <c r="IO116" i="45"/>
  <c r="IO117" i="45"/>
  <c r="IO99" i="45"/>
  <c r="IO120" i="45"/>
  <c r="IO119" i="45"/>
  <c r="HY82" i="45"/>
  <c r="HY98" i="45"/>
  <c r="HY83" i="45"/>
  <c r="HY118" i="45"/>
  <c r="HY106" i="45"/>
  <c r="HY110" i="45"/>
  <c r="HY97" i="45"/>
  <c r="HY102" i="45"/>
  <c r="HY108" i="45"/>
  <c r="HY93" i="45"/>
  <c r="HY114" i="45"/>
  <c r="HY115" i="45"/>
  <c r="HY101" i="45"/>
  <c r="HY96" i="45"/>
  <c r="HY113" i="45"/>
  <c r="HY91" i="45"/>
  <c r="HY116" i="45"/>
  <c r="HY87" i="45"/>
  <c r="HY99" i="45"/>
  <c r="HY112" i="45"/>
  <c r="HY107" i="45"/>
  <c r="HY94" i="45"/>
  <c r="HY100" i="45"/>
  <c r="HY81" i="45"/>
  <c r="HY111" i="45"/>
  <c r="HY95" i="45"/>
  <c r="HY103" i="45"/>
  <c r="HY89" i="45"/>
  <c r="HY109" i="45"/>
  <c r="HY105" i="45"/>
  <c r="HY119" i="45"/>
  <c r="HY92" i="45"/>
  <c r="HY85" i="45"/>
  <c r="HY117" i="45"/>
  <c r="HY84" i="45"/>
  <c r="HY104" i="45"/>
  <c r="HY88" i="45"/>
  <c r="HY86" i="45"/>
  <c r="HY120" i="45"/>
  <c r="HY90" i="45"/>
  <c r="GY73" i="45"/>
  <c r="GY98" i="45"/>
  <c r="GY106" i="45"/>
  <c r="GY110" i="45"/>
  <c r="GY78" i="45"/>
  <c r="GY61" i="45"/>
  <c r="GY83" i="45"/>
  <c r="GY97" i="45"/>
  <c r="GY102" i="45"/>
  <c r="GY118" i="45"/>
  <c r="GY80" i="45"/>
  <c r="GY64" i="45"/>
  <c r="GY65" i="45"/>
  <c r="GY70" i="45"/>
  <c r="GY59" i="45"/>
  <c r="GY117" i="45"/>
  <c r="GY116" i="45"/>
  <c r="GY84" i="45"/>
  <c r="GY89" i="45"/>
  <c r="GY109" i="45"/>
  <c r="GY66" i="45"/>
  <c r="GY62" i="45"/>
  <c r="GY75" i="45"/>
  <c r="GY68" i="45"/>
  <c r="GY96" i="45"/>
  <c r="GY94" i="45"/>
  <c r="GY82" i="45"/>
  <c r="GY115" i="45"/>
  <c r="GY77" i="45"/>
  <c r="GY79" i="45"/>
  <c r="GY90" i="45"/>
  <c r="GY72" i="45"/>
  <c r="GY108" i="45"/>
  <c r="GY55" i="45"/>
  <c r="GY114" i="45"/>
  <c r="GY71" i="45"/>
  <c r="GY105" i="45"/>
  <c r="GY99" i="45"/>
  <c r="GY86" i="45"/>
  <c r="GY100" i="45"/>
  <c r="GY107" i="45"/>
  <c r="GY91" i="45"/>
  <c r="GY104" i="45"/>
  <c r="GY88" i="45"/>
  <c r="GY111" i="45"/>
  <c r="GY119" i="45"/>
  <c r="GY81" i="45"/>
  <c r="GY74" i="45"/>
  <c r="GY63" i="45"/>
  <c r="GY69" i="45"/>
  <c r="GY60" i="45"/>
  <c r="GY112" i="45"/>
  <c r="GY76" i="45"/>
  <c r="GY101" i="45"/>
  <c r="GY113" i="45"/>
  <c r="GY85" i="45"/>
  <c r="GY93" i="45"/>
  <c r="GY92" i="45"/>
  <c r="GY120" i="45"/>
  <c r="GY56" i="45"/>
  <c r="GY87" i="45"/>
  <c r="GY95" i="45"/>
  <c r="GY57" i="45"/>
  <c r="GY67" i="45"/>
  <c r="GY58" i="45"/>
  <c r="GY103" i="45"/>
  <c r="IM101" i="45"/>
  <c r="IM106" i="45"/>
  <c r="IM102" i="45"/>
  <c r="IM98" i="45"/>
  <c r="IM110" i="45"/>
  <c r="IM118" i="45"/>
  <c r="IM97" i="45"/>
  <c r="IM109" i="45"/>
  <c r="IM114" i="45"/>
  <c r="IM115" i="45"/>
  <c r="IM108" i="45"/>
  <c r="IM117" i="45"/>
  <c r="IM116" i="45"/>
  <c r="IM105" i="45"/>
  <c r="IM96" i="45"/>
  <c r="IM113" i="45"/>
  <c r="IM104" i="45"/>
  <c r="IM99" i="45"/>
  <c r="IM112" i="45"/>
  <c r="IM95" i="45"/>
  <c r="IM107" i="45"/>
  <c r="IM103" i="45"/>
  <c r="IM100" i="45"/>
  <c r="IM120" i="45"/>
  <c r="IM111" i="45"/>
  <c r="IM119" i="45"/>
  <c r="JE118" i="45"/>
  <c r="JE117" i="45"/>
  <c r="JE115" i="45"/>
  <c r="JE116" i="45"/>
  <c r="JE120" i="45"/>
  <c r="JE119" i="45"/>
  <c r="JE113" i="45"/>
  <c r="JE114" i="45"/>
  <c r="JJ118" i="45"/>
  <c r="JJ120" i="45"/>
  <c r="JJ119" i="45"/>
  <c r="HW82" i="45"/>
  <c r="HW110" i="45"/>
  <c r="HW98" i="45"/>
  <c r="HW83" i="45"/>
  <c r="HW97" i="45"/>
  <c r="HW106" i="45"/>
  <c r="HW102" i="45"/>
  <c r="HW118" i="45"/>
  <c r="HW80" i="45"/>
  <c r="HW115" i="45"/>
  <c r="HW89" i="45"/>
  <c r="HW117" i="45"/>
  <c r="HW84" i="45"/>
  <c r="HW87" i="45"/>
  <c r="HW91" i="45"/>
  <c r="HW94" i="45"/>
  <c r="HW111" i="45"/>
  <c r="HW79" i="45"/>
  <c r="HW108" i="45"/>
  <c r="HW96" i="45"/>
  <c r="HW92" i="45"/>
  <c r="HW112" i="45"/>
  <c r="HW100" i="45"/>
  <c r="HW109" i="45"/>
  <c r="HW116" i="45"/>
  <c r="HW88" i="45"/>
  <c r="HW99" i="45"/>
  <c r="HW86" i="45"/>
  <c r="HW95" i="45"/>
  <c r="HW119" i="45"/>
  <c r="HW105" i="45"/>
  <c r="HW113" i="45"/>
  <c r="HW101" i="45"/>
  <c r="HW85" i="45"/>
  <c r="HW93" i="45"/>
  <c r="HW104" i="45"/>
  <c r="HW107" i="45"/>
  <c r="HW90" i="45"/>
  <c r="HW114" i="45"/>
  <c r="HW81" i="45"/>
  <c r="HW103" i="45"/>
  <c r="HW120" i="45"/>
  <c r="HG67" i="45"/>
  <c r="HG64" i="45"/>
  <c r="HG65" i="45"/>
  <c r="HG70" i="45"/>
  <c r="HG98" i="45"/>
  <c r="HG106" i="45"/>
  <c r="HG97" i="45"/>
  <c r="HG102" i="45"/>
  <c r="HG83" i="45"/>
  <c r="HG118" i="45"/>
  <c r="HG80" i="45"/>
  <c r="HG110" i="45"/>
  <c r="HG78" i="45"/>
  <c r="HG108" i="45"/>
  <c r="HG89" i="45"/>
  <c r="HG117" i="45"/>
  <c r="HG66" i="45"/>
  <c r="HG75" i="45"/>
  <c r="HG68" i="45"/>
  <c r="HG94" i="45"/>
  <c r="HG99" i="45"/>
  <c r="HG115" i="45"/>
  <c r="HG93" i="45"/>
  <c r="HG91" i="45"/>
  <c r="HG84" i="45"/>
  <c r="HG71" i="45"/>
  <c r="HG76" i="45"/>
  <c r="HG88" i="45"/>
  <c r="HG82" i="45"/>
  <c r="HG112" i="45"/>
  <c r="HG81" i="45"/>
  <c r="HG116" i="45"/>
  <c r="HG87" i="45"/>
  <c r="HG105" i="45"/>
  <c r="HG73" i="45"/>
  <c r="HG86" i="45"/>
  <c r="HG90" i="45"/>
  <c r="HG104" i="45"/>
  <c r="HG101" i="45"/>
  <c r="HG119" i="45"/>
  <c r="HG107" i="45"/>
  <c r="HG100" i="45"/>
  <c r="HG69" i="45"/>
  <c r="HG74" i="45"/>
  <c r="HG77" i="45"/>
  <c r="HG113" i="45"/>
  <c r="HG95" i="45"/>
  <c r="HG120" i="45"/>
  <c r="HG114" i="45"/>
  <c r="HG79" i="45"/>
  <c r="HG109" i="45"/>
  <c r="HG111" i="45"/>
  <c r="HG72" i="45"/>
  <c r="HG63" i="45"/>
  <c r="HG96" i="45"/>
  <c r="HG92" i="45"/>
  <c r="HG103" i="45"/>
  <c r="HG85" i="45"/>
  <c r="GM46" i="45"/>
  <c r="GM83" i="45"/>
  <c r="GM110" i="45"/>
  <c r="GM65" i="45"/>
  <c r="GM102" i="45"/>
  <c r="GM64" i="45"/>
  <c r="GM106" i="45"/>
  <c r="GM78" i="45"/>
  <c r="GM70" i="45"/>
  <c r="GM118" i="45"/>
  <c r="GM61" i="45"/>
  <c r="GM98" i="45"/>
  <c r="GM97" i="45"/>
  <c r="GM59" i="45"/>
  <c r="GM80" i="45"/>
  <c r="GM108" i="45"/>
  <c r="GM44" i="45"/>
  <c r="GM91" i="45"/>
  <c r="GM47" i="45"/>
  <c r="GM114" i="45"/>
  <c r="GM117" i="45"/>
  <c r="GM84" i="45"/>
  <c r="GM87" i="45"/>
  <c r="GM76" i="45"/>
  <c r="GM73" i="45"/>
  <c r="GM88" i="45"/>
  <c r="GM92" i="45"/>
  <c r="GM55" i="45"/>
  <c r="GM66" i="45"/>
  <c r="GM62" i="45"/>
  <c r="GM54" i="45"/>
  <c r="GM79" i="45"/>
  <c r="GM86" i="45"/>
  <c r="GM100" i="45"/>
  <c r="GM43" i="45"/>
  <c r="GM81" i="45"/>
  <c r="GM56" i="45"/>
  <c r="GM68" i="45"/>
  <c r="GM101" i="45"/>
  <c r="GM82" i="45"/>
  <c r="GM112" i="45"/>
  <c r="GM51" i="45"/>
  <c r="GM95" i="45"/>
  <c r="GM72" i="45"/>
  <c r="GM115" i="45"/>
  <c r="GM89" i="45"/>
  <c r="GM113" i="45"/>
  <c r="GM99" i="45"/>
  <c r="GM52" i="45"/>
  <c r="GM69" i="45"/>
  <c r="GM48" i="45"/>
  <c r="GM103" i="45"/>
  <c r="GM74" i="45"/>
  <c r="GM49" i="45"/>
  <c r="GM119" i="45"/>
  <c r="GM67" i="45"/>
  <c r="GM93" i="45"/>
  <c r="GM111" i="45"/>
  <c r="GM90" i="45"/>
  <c r="GM63" i="45"/>
  <c r="GM109" i="45"/>
  <c r="GM116" i="45"/>
  <c r="GM58" i="45"/>
  <c r="GM104" i="45"/>
  <c r="GM45" i="45"/>
  <c r="GM57" i="45"/>
  <c r="GM71" i="45"/>
  <c r="GM105" i="45"/>
  <c r="GM96" i="45"/>
  <c r="GM50" i="45"/>
  <c r="GM94" i="45"/>
  <c r="GM60" i="45"/>
  <c r="GM53" i="45"/>
  <c r="GM107" i="45"/>
  <c r="GM85" i="45"/>
  <c r="GM120" i="45"/>
  <c r="GM75" i="45"/>
  <c r="GM77" i="45"/>
  <c r="GQ78" i="45"/>
  <c r="GQ61" i="45"/>
  <c r="GQ98" i="45"/>
  <c r="GQ65" i="45"/>
  <c r="GQ102" i="45"/>
  <c r="GQ64" i="45"/>
  <c r="GQ70" i="45"/>
  <c r="GQ83" i="45"/>
  <c r="GQ80" i="45"/>
  <c r="GQ110" i="45"/>
  <c r="GQ118" i="45"/>
  <c r="GQ106" i="45"/>
  <c r="GQ97" i="45"/>
  <c r="GQ59" i="45"/>
  <c r="GQ115" i="45"/>
  <c r="GQ55" i="45"/>
  <c r="GQ109" i="45"/>
  <c r="GQ71" i="45"/>
  <c r="GQ108" i="45"/>
  <c r="GQ89" i="45"/>
  <c r="GQ47" i="45"/>
  <c r="GQ87" i="45"/>
  <c r="GQ66" i="45"/>
  <c r="GQ76" i="45"/>
  <c r="GQ105" i="45"/>
  <c r="GQ62" i="45"/>
  <c r="GQ79" i="45"/>
  <c r="GQ86" i="45"/>
  <c r="GQ58" i="45"/>
  <c r="GQ96" i="45"/>
  <c r="GQ50" i="45"/>
  <c r="GQ60" i="45"/>
  <c r="GQ82" i="45"/>
  <c r="GQ100" i="45"/>
  <c r="GQ56" i="45"/>
  <c r="GQ117" i="45"/>
  <c r="GQ116" i="45"/>
  <c r="GQ84" i="45"/>
  <c r="GQ75" i="45"/>
  <c r="GQ104" i="45"/>
  <c r="GQ101" i="45"/>
  <c r="GQ88" i="45"/>
  <c r="GQ113" i="45"/>
  <c r="GQ99" i="45"/>
  <c r="GQ111" i="45"/>
  <c r="GQ92" i="45"/>
  <c r="GQ52" i="45"/>
  <c r="GQ119" i="45"/>
  <c r="GQ81" i="45"/>
  <c r="GQ103" i="45"/>
  <c r="GQ114" i="45"/>
  <c r="GQ68" i="45"/>
  <c r="GQ77" i="45"/>
  <c r="GQ72" i="45"/>
  <c r="GQ67" i="45"/>
  <c r="GQ120" i="45"/>
  <c r="GQ112" i="45"/>
  <c r="GQ51" i="45"/>
  <c r="GQ107" i="45"/>
  <c r="GQ85" i="45"/>
  <c r="GQ49" i="45"/>
  <c r="GQ57" i="45"/>
  <c r="GQ91" i="45"/>
  <c r="GQ94" i="45"/>
  <c r="GQ54" i="45"/>
  <c r="GQ74" i="45"/>
  <c r="GQ93" i="45"/>
  <c r="GQ73" i="45"/>
  <c r="GQ95" i="45"/>
  <c r="GQ53" i="45"/>
  <c r="GQ90" i="45"/>
  <c r="GQ48" i="45"/>
  <c r="GQ63" i="45"/>
  <c r="GQ69" i="45"/>
  <c r="GV71" i="45"/>
  <c r="GV61" i="45"/>
  <c r="GV83" i="45"/>
  <c r="GV80" i="45"/>
  <c r="GV78" i="45"/>
  <c r="GV98" i="45"/>
  <c r="GV110" i="45"/>
  <c r="GV64" i="45"/>
  <c r="GV70" i="45"/>
  <c r="GV106" i="45"/>
  <c r="GV97" i="45"/>
  <c r="GV118" i="45"/>
  <c r="GV59" i="45"/>
  <c r="GV102" i="45"/>
  <c r="GV65" i="45"/>
  <c r="GV93" i="45"/>
  <c r="GV114" i="45"/>
  <c r="GV87" i="45"/>
  <c r="GV56" i="45"/>
  <c r="GV117" i="45"/>
  <c r="GV91" i="45"/>
  <c r="GV84" i="45"/>
  <c r="GV58" i="45"/>
  <c r="GV73" i="45"/>
  <c r="GV96" i="45"/>
  <c r="GV77" i="45"/>
  <c r="GV113" i="45"/>
  <c r="GV54" i="45"/>
  <c r="GV111" i="45"/>
  <c r="GV82" i="45"/>
  <c r="GV109" i="45"/>
  <c r="GV116" i="45"/>
  <c r="GV88" i="45"/>
  <c r="GV92" i="45"/>
  <c r="GV112" i="45"/>
  <c r="GV69" i="45"/>
  <c r="GV107" i="45"/>
  <c r="GV72" i="45"/>
  <c r="GV66" i="45"/>
  <c r="GV76" i="45"/>
  <c r="GV62" i="45"/>
  <c r="GV101" i="45"/>
  <c r="GV79" i="45"/>
  <c r="GV52" i="45"/>
  <c r="GV95" i="45"/>
  <c r="GV90" i="45"/>
  <c r="GV81" i="45"/>
  <c r="GV103" i="45"/>
  <c r="GV55" i="45"/>
  <c r="GV75" i="45"/>
  <c r="GV53" i="45"/>
  <c r="GV63" i="45"/>
  <c r="GV67" i="45"/>
  <c r="GV119" i="45"/>
  <c r="GV60" i="45"/>
  <c r="GV115" i="45"/>
  <c r="GV108" i="45"/>
  <c r="GV104" i="45"/>
  <c r="GV94" i="45"/>
  <c r="GV120" i="45"/>
  <c r="GV99" i="45"/>
  <c r="GV86" i="45"/>
  <c r="GV89" i="45"/>
  <c r="GV68" i="45"/>
  <c r="GV100" i="45"/>
  <c r="GV85" i="45"/>
  <c r="GV74" i="45"/>
  <c r="GV105" i="45"/>
  <c r="GV57" i="45"/>
  <c r="GB87" i="45"/>
  <c r="GB83" i="45"/>
  <c r="GB118" i="45"/>
  <c r="GB97" i="45"/>
  <c r="GB33" i="45"/>
  <c r="GB78" i="45"/>
  <c r="GB59" i="45"/>
  <c r="GB70" i="45"/>
  <c r="GB61" i="45"/>
  <c r="GB80" i="45"/>
  <c r="GB98" i="45"/>
  <c r="GB32" i="45"/>
  <c r="GB64" i="45"/>
  <c r="GB65" i="45"/>
  <c r="GB106" i="45"/>
  <c r="GB110" i="45"/>
  <c r="GB102" i="45"/>
  <c r="GB108" i="45"/>
  <c r="GB38" i="45"/>
  <c r="GB55" i="45"/>
  <c r="GB89" i="45"/>
  <c r="GB47" i="45"/>
  <c r="GB41" i="45"/>
  <c r="GB71" i="45"/>
  <c r="GB114" i="45"/>
  <c r="GB66" i="45"/>
  <c r="GB76" i="45"/>
  <c r="GB68" i="45"/>
  <c r="GB96" i="45"/>
  <c r="GB88" i="45"/>
  <c r="GB77" i="45"/>
  <c r="GB50" i="45"/>
  <c r="GB113" i="45"/>
  <c r="GB94" i="45"/>
  <c r="GB99" i="45"/>
  <c r="GB39" i="45"/>
  <c r="GB86" i="45"/>
  <c r="GB60" i="45"/>
  <c r="GB92" i="45"/>
  <c r="GB109" i="45"/>
  <c r="GB104" i="45"/>
  <c r="GB111" i="45"/>
  <c r="GB42" i="45"/>
  <c r="GB52" i="45"/>
  <c r="GB119" i="45"/>
  <c r="GB90" i="45"/>
  <c r="GB107" i="45"/>
  <c r="GB44" i="45"/>
  <c r="GB117" i="45"/>
  <c r="GB91" i="45"/>
  <c r="GB58" i="45"/>
  <c r="GB35" i="45"/>
  <c r="GB112" i="45"/>
  <c r="GB51" i="45"/>
  <c r="GB34" i="45"/>
  <c r="GB37" i="45"/>
  <c r="GB69" i="45"/>
  <c r="GB43" i="45"/>
  <c r="GB81" i="45"/>
  <c r="GB93" i="45"/>
  <c r="GB62" i="45"/>
  <c r="GB82" i="45"/>
  <c r="GB100" i="45"/>
  <c r="GB49" i="45"/>
  <c r="GB95" i="45"/>
  <c r="GB57" i="45"/>
  <c r="GB120" i="45"/>
  <c r="GB36" i="45"/>
  <c r="GB72" i="45"/>
  <c r="GB103" i="45"/>
  <c r="GB45" i="45"/>
  <c r="GB53" i="45"/>
  <c r="GB63" i="45"/>
  <c r="GB56" i="45"/>
  <c r="GB75" i="45"/>
  <c r="GB73" i="45"/>
  <c r="GB40" i="45"/>
  <c r="GB115" i="45"/>
  <c r="GB116" i="45"/>
  <c r="GB84" i="45"/>
  <c r="GB105" i="45"/>
  <c r="GB101" i="45"/>
  <c r="GB54" i="45"/>
  <c r="GB79" i="45"/>
  <c r="GB48" i="45"/>
  <c r="GB46" i="45"/>
  <c r="GB85" i="45"/>
  <c r="GB74" i="45"/>
  <c r="GB67" i="45"/>
  <c r="AH30" i="41"/>
  <c r="AL30" i="41" s="1"/>
  <c r="AF32" i="38"/>
  <c r="AG31" i="38"/>
  <c r="AH31" i="38" s="1"/>
  <c r="AJ31" i="38"/>
  <c r="AK31" i="38" s="1"/>
  <c r="CY58" i="38" l="1"/>
  <c r="DD57" i="38"/>
  <c r="AJ28" i="46"/>
  <c r="AK28" i="46" s="1"/>
  <c r="AJ28" i="41" s="1"/>
  <c r="AG28" i="46"/>
  <c r="AH28" i="46" s="1"/>
  <c r="FP103" i="45"/>
  <c r="FP28" i="45"/>
  <c r="FO28" i="45" s="1"/>
  <c r="FP55" i="45"/>
  <c r="FP49" i="45"/>
  <c r="FO49" i="45" s="1"/>
  <c r="FP84" i="45"/>
  <c r="FP97" i="45"/>
  <c r="FP85" i="45"/>
  <c r="FP82" i="45"/>
  <c r="FP29" i="45"/>
  <c r="FO29" i="45" s="1"/>
  <c r="FP60" i="45"/>
  <c r="FO60" i="45" s="1"/>
  <c r="FP93" i="45"/>
  <c r="FP22" i="45"/>
  <c r="FO22" i="45" s="1"/>
  <c r="FP65" i="45"/>
  <c r="FP87" i="45"/>
  <c r="FP74" i="45"/>
  <c r="FP73" i="45"/>
  <c r="FP106" i="45"/>
  <c r="FP52" i="45"/>
  <c r="FO52" i="45" s="1"/>
  <c r="FP68" i="45"/>
  <c r="FP107" i="45"/>
  <c r="FP104" i="45"/>
  <c r="FP24" i="45"/>
  <c r="FO24" i="45" s="1"/>
  <c r="FP102" i="45"/>
  <c r="FP27" i="45"/>
  <c r="FO27" i="45" s="1"/>
  <c r="FP39" i="45"/>
  <c r="FO39" i="45" s="1"/>
  <c r="FP57" i="45"/>
  <c r="FO57" i="45" s="1"/>
  <c r="FP38" i="45"/>
  <c r="FO38" i="45" s="1"/>
  <c r="FP79" i="45"/>
  <c r="FP81" i="45"/>
  <c r="FP36" i="45"/>
  <c r="FO36" i="45" s="1"/>
  <c r="FP86" i="45"/>
  <c r="FP75" i="45"/>
  <c r="FP59" i="45"/>
  <c r="FO59" i="45" s="1"/>
  <c r="FP70" i="45"/>
  <c r="FP67" i="45"/>
  <c r="FP31" i="45"/>
  <c r="FO31" i="45" s="1"/>
  <c r="FP99" i="45"/>
  <c r="FP66" i="45"/>
  <c r="FP26" i="45"/>
  <c r="FO26" i="45" s="1"/>
  <c r="FP37" i="45"/>
  <c r="FO37" i="45" s="1"/>
  <c r="FP72" i="45"/>
  <c r="FP77" i="45"/>
  <c r="FP89" i="45"/>
  <c r="FP46" i="45"/>
  <c r="FO46" i="45" s="1"/>
  <c r="FP53" i="45"/>
  <c r="FO53" i="45" s="1"/>
  <c r="FP92" i="45"/>
  <c r="FP35" i="45"/>
  <c r="FO35" i="45" s="1"/>
  <c r="FP88" i="45"/>
  <c r="FP62" i="45"/>
  <c r="FO62" i="45" s="1"/>
  <c r="FP41" i="45"/>
  <c r="FO41" i="45" s="1"/>
  <c r="FP71" i="45"/>
  <c r="FP109" i="45"/>
  <c r="FP110" i="45"/>
  <c r="FP98" i="45"/>
  <c r="FP80" i="45"/>
  <c r="FP20" i="45"/>
  <c r="FO20" i="45" s="1"/>
  <c r="FP23" i="45"/>
  <c r="FO23" i="45" s="1"/>
  <c r="FP25" i="45"/>
  <c r="FO25" i="45" s="1"/>
  <c r="FP76" i="45"/>
  <c r="FP40" i="45"/>
  <c r="FO40" i="45" s="1"/>
  <c r="FP90" i="45"/>
  <c r="FP69" i="45"/>
  <c r="FP105" i="45"/>
  <c r="FP50" i="45"/>
  <c r="FO50" i="45" s="1"/>
  <c r="FP91" i="45"/>
  <c r="FP108" i="45"/>
  <c r="FP78" i="45"/>
  <c r="FP32" i="45"/>
  <c r="FO32" i="45" s="1"/>
  <c r="FP61" i="45"/>
  <c r="FO61" i="45" s="1"/>
  <c r="FP34" i="45"/>
  <c r="FO34" i="45" s="1"/>
  <c r="FP63" i="45"/>
  <c r="FO63" i="45" s="1"/>
  <c r="FP54" i="45"/>
  <c r="FO54" i="45" s="1"/>
  <c r="FP47" i="45"/>
  <c r="FO47" i="45" s="1"/>
  <c r="FP43" i="45"/>
  <c r="FO43" i="45" s="1"/>
  <c r="FP51" i="45"/>
  <c r="FO51" i="45" s="1"/>
  <c r="FP30" i="45"/>
  <c r="FO30" i="45" s="1"/>
  <c r="FP95" i="45"/>
  <c r="FP101" i="45"/>
  <c r="FP44" i="45"/>
  <c r="FO44" i="45" s="1"/>
  <c r="FP48" i="45"/>
  <c r="FO48" i="45" s="1"/>
  <c r="FP100" i="45"/>
  <c r="FP45" i="45"/>
  <c r="FO45" i="45" s="1"/>
  <c r="FP42" i="45"/>
  <c r="FO42" i="45" s="1"/>
  <c r="FP94" i="45"/>
  <c r="FP96" i="45"/>
  <c r="FP58" i="45"/>
  <c r="FO58" i="45" s="1"/>
  <c r="FP21" i="45"/>
  <c r="FO21" i="45" s="1"/>
  <c r="FP56" i="45"/>
  <c r="FO56" i="45" s="1"/>
  <c r="FP64" i="45"/>
  <c r="FO64" i="45" s="1"/>
  <c r="FP83" i="45"/>
  <c r="JB5" i="45"/>
  <c r="ID5" i="45"/>
  <c r="GU5" i="45"/>
  <c r="GU8" i="45" s="1"/>
  <c r="HY5" i="45"/>
  <c r="HZ5" i="45"/>
  <c r="GS5" i="45"/>
  <c r="GS8" i="45" s="1"/>
  <c r="IU5" i="45"/>
  <c r="GF5" i="45"/>
  <c r="GF8" i="45" s="1"/>
  <c r="HU5" i="45"/>
  <c r="HU8" i="45" s="1"/>
  <c r="GG5" i="45"/>
  <c r="GG8" i="45" s="1"/>
  <c r="GD5" i="45"/>
  <c r="GD8" i="45" s="1"/>
  <c r="IA5" i="45"/>
  <c r="EO49" i="38"/>
  <c r="CD49" i="41" s="1"/>
  <c r="AT49" i="41"/>
  <c r="BB49" i="41" s="1"/>
  <c r="EO75" i="38"/>
  <c r="AT75" i="41"/>
  <c r="BB75" i="41" s="1"/>
  <c r="EO24" i="38"/>
  <c r="CD24" i="41" s="1"/>
  <c r="AT24" i="41"/>
  <c r="BB24" i="41" s="1"/>
  <c r="AT29" i="41"/>
  <c r="BB29" i="41" s="1"/>
  <c r="EO29" i="38"/>
  <c r="CD29" i="41" s="1"/>
  <c r="EO88" i="38"/>
  <c r="AT88" i="41"/>
  <c r="BB88" i="41" s="1"/>
  <c r="AT86" i="41"/>
  <c r="BB86" i="41" s="1"/>
  <c r="EO86" i="38"/>
  <c r="AT78" i="41"/>
  <c r="BB78" i="41" s="1"/>
  <c r="EO78" i="38"/>
  <c r="HW5" i="45"/>
  <c r="JE5" i="45"/>
  <c r="JK5" i="45"/>
  <c r="JG5" i="45"/>
  <c r="GN5" i="45"/>
  <c r="GN8" i="45" s="1"/>
  <c r="AF21" i="45"/>
  <c r="HX5" i="45"/>
  <c r="HF5" i="45"/>
  <c r="HF8" i="45" s="1"/>
  <c r="JA5" i="45"/>
  <c r="HQ5" i="45"/>
  <c r="HQ8" i="45" s="1"/>
  <c r="AT40" i="41"/>
  <c r="BB40" i="41" s="1"/>
  <c r="EO40" i="38"/>
  <c r="CD40" i="41" s="1"/>
  <c r="AT92" i="41"/>
  <c r="BB92" i="41" s="1"/>
  <c r="EO92" i="38"/>
  <c r="AT52" i="41"/>
  <c r="BB52" i="41" s="1"/>
  <c r="EO52" i="38"/>
  <c r="AT71" i="41"/>
  <c r="BB71" i="41" s="1"/>
  <c r="EO71" i="38"/>
  <c r="AT113" i="41"/>
  <c r="BB113" i="41" s="1"/>
  <c r="EO113" i="38"/>
  <c r="CD113" i="41" s="1"/>
  <c r="EO62" i="38"/>
  <c r="AT62" i="41"/>
  <c r="BB62" i="41" s="1"/>
  <c r="AT68" i="41"/>
  <c r="BB68" i="41" s="1"/>
  <c r="EO68" i="38"/>
  <c r="EO44" i="38"/>
  <c r="CD44" i="41" s="1"/>
  <c r="AT44" i="41"/>
  <c r="BB44" i="41" s="1"/>
  <c r="EO21" i="38"/>
  <c r="CD21" i="41" s="1"/>
  <c r="AT21" i="41"/>
  <c r="BB21" i="41" s="1"/>
  <c r="AT114" i="41"/>
  <c r="BB114" i="41" s="1"/>
  <c r="EO114" i="38"/>
  <c r="CD114" i="41" s="1"/>
  <c r="EO84" i="38"/>
  <c r="AT84" i="41"/>
  <c r="BB84" i="41" s="1"/>
  <c r="AT69" i="41"/>
  <c r="BB69" i="41" s="1"/>
  <c r="EO69" i="38"/>
  <c r="EO107" i="38"/>
  <c r="AT107" i="41"/>
  <c r="BB107" i="41" s="1"/>
  <c r="EO43" i="38"/>
  <c r="CD43" i="41" s="1"/>
  <c r="AT43" i="41"/>
  <c r="BB43" i="41" s="1"/>
  <c r="AT57" i="41"/>
  <c r="BB57" i="41" s="1"/>
  <c r="EO57" i="38"/>
  <c r="AT38" i="41"/>
  <c r="BB38" i="41" s="1"/>
  <c r="EO38" i="38"/>
  <c r="CD38" i="41" s="1"/>
  <c r="EO96" i="38"/>
  <c r="AT96" i="41"/>
  <c r="BB96" i="41" s="1"/>
  <c r="EO94" i="38"/>
  <c r="AT94" i="41"/>
  <c r="BB94" i="41" s="1"/>
  <c r="EO35" i="38"/>
  <c r="CD35" i="41" s="1"/>
  <c r="AT35" i="41"/>
  <c r="BB35" i="41" s="1"/>
  <c r="AT39" i="41"/>
  <c r="BB39" i="41" s="1"/>
  <c r="EO39" i="38"/>
  <c r="CD39" i="41" s="1"/>
  <c r="AT82" i="41"/>
  <c r="BB82" i="41" s="1"/>
  <c r="EO82" i="38"/>
  <c r="AT59" i="41"/>
  <c r="BB59" i="41" s="1"/>
  <c r="EO59" i="38"/>
  <c r="EO33" i="38"/>
  <c r="CD33" i="41" s="1"/>
  <c r="AT33" i="41"/>
  <c r="BB33" i="41" s="1"/>
  <c r="AT80" i="41"/>
  <c r="BB80" i="41" s="1"/>
  <c r="EO80" i="38"/>
  <c r="AT64" i="41"/>
  <c r="BB64" i="41" s="1"/>
  <c r="EO64" i="38"/>
  <c r="FZ5" i="45"/>
  <c r="FZ8" i="45" s="1"/>
  <c r="GI5" i="45"/>
  <c r="GI8" i="45" s="1"/>
  <c r="IE5" i="45"/>
  <c r="HA5" i="45"/>
  <c r="HA8" i="45" s="1"/>
  <c r="HN5" i="45"/>
  <c r="HN8" i="45" s="1"/>
  <c r="FV5" i="45"/>
  <c r="FV8" i="45" s="1"/>
  <c r="GE5" i="45"/>
  <c r="GE8" i="45" s="1"/>
  <c r="FU5" i="45"/>
  <c r="FU8" i="45" s="1"/>
  <c r="HE5" i="45"/>
  <c r="HE8" i="45" s="1"/>
  <c r="AG20" i="45"/>
  <c r="AH20" i="45" s="1"/>
  <c r="HD5" i="45"/>
  <c r="HD8" i="45" s="1"/>
  <c r="HB5" i="45"/>
  <c r="HB8" i="45" s="1"/>
  <c r="HV5" i="45"/>
  <c r="HV8" i="45" s="1"/>
  <c r="IN5" i="45"/>
  <c r="HP5" i="45"/>
  <c r="HP8" i="45" s="1"/>
  <c r="IJ5" i="45"/>
  <c r="II5" i="45"/>
  <c r="IK5" i="45"/>
  <c r="IT5" i="45"/>
  <c r="IG5" i="45"/>
  <c r="HH5" i="45"/>
  <c r="HH8" i="45" s="1"/>
  <c r="AT95" i="41"/>
  <c r="BB95" i="41" s="1"/>
  <c r="EO95" i="38"/>
  <c r="AT89" i="41"/>
  <c r="BB89" i="41" s="1"/>
  <c r="EO89" i="38"/>
  <c r="EO120" i="38"/>
  <c r="CD120" i="41" s="1"/>
  <c r="AT120" i="41"/>
  <c r="BB120" i="41" s="1"/>
  <c r="AT63" i="41"/>
  <c r="BB63" i="41" s="1"/>
  <c r="EO63" i="38"/>
  <c r="EO54" i="38"/>
  <c r="AT54" i="41"/>
  <c r="BB54" i="41" s="1"/>
  <c r="EO42" i="38"/>
  <c r="CD42" i="41" s="1"/>
  <c r="AT42" i="41"/>
  <c r="BB42" i="41" s="1"/>
  <c r="EO98" i="38"/>
  <c r="AT98" i="41"/>
  <c r="BB98" i="41" s="1"/>
  <c r="HI81" i="45"/>
  <c r="HI83" i="45"/>
  <c r="HI80" i="45"/>
  <c r="HI70" i="45"/>
  <c r="HI98" i="45"/>
  <c r="HI118" i="45"/>
  <c r="FO118" i="45" s="1"/>
  <c r="HI110" i="45"/>
  <c r="HI97" i="45"/>
  <c r="HI102" i="45"/>
  <c r="HI106" i="45"/>
  <c r="HI65" i="45"/>
  <c r="HI78" i="45"/>
  <c r="HI115" i="45"/>
  <c r="FO115" i="45" s="1"/>
  <c r="HI117" i="45"/>
  <c r="FO117" i="45" s="1"/>
  <c r="HI89" i="45"/>
  <c r="HI75" i="45"/>
  <c r="HI88" i="45"/>
  <c r="HI77" i="45"/>
  <c r="HI94" i="45"/>
  <c r="HI111" i="45"/>
  <c r="FO111" i="45" s="1"/>
  <c r="HI79" i="45"/>
  <c r="HI116" i="45"/>
  <c r="FO116" i="45" s="1"/>
  <c r="HI84" i="45"/>
  <c r="HI66" i="45"/>
  <c r="HI76" i="45"/>
  <c r="HI96" i="45"/>
  <c r="HI113" i="45"/>
  <c r="FO113" i="45" s="1"/>
  <c r="HI109" i="45"/>
  <c r="HI71" i="45"/>
  <c r="HI73" i="45"/>
  <c r="HI86" i="45"/>
  <c r="HI82" i="45"/>
  <c r="HI92" i="45"/>
  <c r="HI95" i="45"/>
  <c r="HI119" i="45"/>
  <c r="FO119" i="45" s="1"/>
  <c r="HI120" i="45"/>
  <c r="FO120" i="45" s="1"/>
  <c r="HI112" i="45"/>
  <c r="FO112" i="45" s="1"/>
  <c r="HI69" i="45"/>
  <c r="HI108" i="45"/>
  <c r="HI114" i="45"/>
  <c r="FO114" i="45" s="1"/>
  <c r="HI99" i="45"/>
  <c r="HI87" i="45"/>
  <c r="HI68" i="45"/>
  <c r="HI90" i="45"/>
  <c r="HI93" i="45"/>
  <c r="HI91" i="45"/>
  <c r="HI104" i="45"/>
  <c r="HI101" i="45"/>
  <c r="HI100" i="45"/>
  <c r="HI72" i="45"/>
  <c r="HI85" i="45"/>
  <c r="HI74" i="45"/>
  <c r="HI67" i="45"/>
  <c r="HI105" i="45"/>
  <c r="HI107" i="45"/>
  <c r="HI103" i="45"/>
  <c r="HL5" i="45"/>
  <c r="HL8" i="45" s="1"/>
  <c r="GV5" i="45"/>
  <c r="GV8" i="45" s="1"/>
  <c r="HG5" i="45"/>
  <c r="HG8" i="45" s="1"/>
  <c r="IO5" i="45"/>
  <c r="IV5" i="45"/>
  <c r="FR5" i="45"/>
  <c r="FR8" i="45" s="1"/>
  <c r="HR5" i="45"/>
  <c r="HR8" i="45" s="1"/>
  <c r="GP5" i="45"/>
  <c r="GP8" i="45" s="1"/>
  <c r="HK5" i="45"/>
  <c r="HK8" i="45" s="1"/>
  <c r="GJ5" i="45"/>
  <c r="GJ8" i="45" s="1"/>
  <c r="GC5" i="45"/>
  <c r="GC8" i="45" s="1"/>
  <c r="EO34" i="38"/>
  <c r="CD34" i="41" s="1"/>
  <c r="AT34" i="41"/>
  <c r="BB34" i="41" s="1"/>
  <c r="AT81" i="41"/>
  <c r="BB81" i="41" s="1"/>
  <c r="EO81" i="38"/>
  <c r="EO36" i="38"/>
  <c r="CD36" i="41" s="1"/>
  <c r="AT36" i="41"/>
  <c r="BB36" i="41" s="1"/>
  <c r="EO25" i="38"/>
  <c r="CD25" i="41" s="1"/>
  <c r="AT25" i="41"/>
  <c r="BB25" i="41" s="1"/>
  <c r="EO87" i="38"/>
  <c r="AT87" i="41"/>
  <c r="BB87" i="41" s="1"/>
  <c r="AT105" i="41"/>
  <c r="BB105" i="41" s="1"/>
  <c r="EO105" i="38"/>
  <c r="AT27" i="41"/>
  <c r="BB27" i="41" s="1"/>
  <c r="EO27" i="38"/>
  <c r="CD27" i="41" s="1"/>
  <c r="EO56" i="38"/>
  <c r="AT56" i="41"/>
  <c r="BB56" i="41" s="1"/>
  <c r="EO31" i="38"/>
  <c r="CD31" i="41" s="1"/>
  <c r="AT31" i="41"/>
  <c r="BB31" i="41" s="1"/>
  <c r="EO109" i="38"/>
  <c r="AT109" i="41"/>
  <c r="BB109" i="41" s="1"/>
  <c r="EO41" i="38"/>
  <c r="CD41" i="41" s="1"/>
  <c r="AT41" i="41"/>
  <c r="BB41" i="41" s="1"/>
  <c r="EO53" i="38"/>
  <c r="AT53" i="41"/>
  <c r="BB53" i="41" s="1"/>
  <c r="AT90" i="41"/>
  <c r="BB90" i="41" s="1"/>
  <c r="EO90" i="38"/>
  <c r="EO30" i="38"/>
  <c r="CD30" i="41" s="1"/>
  <c r="AT30" i="41"/>
  <c r="BB30" i="41" s="1"/>
  <c r="EO103" i="38"/>
  <c r="AT103" i="41"/>
  <c r="BB103" i="41" s="1"/>
  <c r="EO67" i="38"/>
  <c r="AT67" i="41"/>
  <c r="BB67" i="41" s="1"/>
  <c r="EO28" i="38"/>
  <c r="CD28" i="41" s="1"/>
  <c r="AT28" i="41"/>
  <c r="BB28" i="41" s="1"/>
  <c r="EO22" i="38"/>
  <c r="CD22" i="41" s="1"/>
  <c r="AT22" i="41"/>
  <c r="BB22" i="41" s="1"/>
  <c r="AT45" i="41"/>
  <c r="BB45" i="41" s="1"/>
  <c r="EO45" i="38"/>
  <c r="CD45" i="41" s="1"/>
  <c r="AT111" i="41"/>
  <c r="BB111" i="41" s="1"/>
  <c r="EO111" i="38"/>
  <c r="CD111" i="41" s="1"/>
  <c r="AT60" i="41"/>
  <c r="BB60" i="41" s="1"/>
  <c r="EO60" i="38"/>
  <c r="AT83" i="41"/>
  <c r="BB83" i="41" s="1"/>
  <c r="EO83" i="38"/>
  <c r="AT61" i="41"/>
  <c r="BB61" i="41" s="1"/>
  <c r="EO61" i="38"/>
  <c r="AT70" i="41"/>
  <c r="BB70" i="41" s="1"/>
  <c r="EO70" i="38"/>
  <c r="AT110" i="41"/>
  <c r="BB110" i="41" s="1"/>
  <c r="EO110" i="38"/>
  <c r="JD5" i="45"/>
  <c r="FW5" i="45"/>
  <c r="FW8" i="45" s="1"/>
  <c r="FO55" i="45"/>
  <c r="GO5" i="45"/>
  <c r="GO8" i="45" s="1"/>
  <c r="IB5" i="45"/>
  <c r="IW5" i="45"/>
  <c r="IX5" i="45"/>
  <c r="JI5" i="45"/>
  <c r="GB5" i="45"/>
  <c r="GB8" i="45" s="1"/>
  <c r="GX5" i="45"/>
  <c r="GX8" i="45" s="1"/>
  <c r="AT46" i="41"/>
  <c r="BB46" i="41" s="1"/>
  <c r="EO46" i="38"/>
  <c r="CD46" i="41" s="1"/>
  <c r="EO58" i="38"/>
  <c r="AT58" i="41"/>
  <c r="BB58" i="41" s="1"/>
  <c r="AT76" i="41"/>
  <c r="BB76" i="41" s="1"/>
  <c r="EO76" i="38"/>
  <c r="AT101" i="41"/>
  <c r="BB101" i="41" s="1"/>
  <c r="EO101" i="38"/>
  <c r="EO50" i="38"/>
  <c r="AT50" i="41"/>
  <c r="BB50" i="41" s="1"/>
  <c r="AT119" i="41"/>
  <c r="BB119" i="41" s="1"/>
  <c r="EO119" i="38"/>
  <c r="CD119" i="41" s="1"/>
  <c r="AT26" i="41"/>
  <c r="BB26" i="41" s="1"/>
  <c r="EO26" i="38"/>
  <c r="CD26" i="41" s="1"/>
  <c r="AT115" i="41"/>
  <c r="BB115" i="41" s="1"/>
  <c r="EO115" i="38"/>
  <c r="CD115" i="41" s="1"/>
  <c r="AT99" i="41"/>
  <c r="BB99" i="41" s="1"/>
  <c r="EO99" i="38"/>
  <c r="EO102" i="38"/>
  <c r="AT102" i="41"/>
  <c r="BB102" i="41" s="1"/>
  <c r="EO106" i="38"/>
  <c r="AT106" i="41"/>
  <c r="BB106" i="41" s="1"/>
  <c r="GT5" i="45"/>
  <c r="GT8" i="45" s="1"/>
  <c r="FO33" i="45"/>
  <c r="GA5" i="45"/>
  <c r="GA8" i="45" s="1"/>
  <c r="HO5" i="45"/>
  <c r="HO8" i="45" s="1"/>
  <c r="HM5" i="45"/>
  <c r="HM8" i="45" s="1"/>
  <c r="IL5" i="45"/>
  <c r="GL5" i="45"/>
  <c r="GL8" i="45" s="1"/>
  <c r="GH5" i="45"/>
  <c r="GH8" i="45" s="1"/>
  <c r="HS5" i="45"/>
  <c r="HS8" i="45" s="1"/>
  <c r="IP5" i="45"/>
  <c r="GK5" i="45"/>
  <c r="GK8" i="45" s="1"/>
  <c r="IR5" i="45"/>
  <c r="IC5" i="45"/>
  <c r="GQ5" i="45"/>
  <c r="GQ8" i="45" s="1"/>
  <c r="GM5" i="45"/>
  <c r="GM8" i="45" s="1"/>
  <c r="JJ5" i="45"/>
  <c r="IM5" i="45"/>
  <c r="GY5" i="45"/>
  <c r="GY8" i="45" s="1"/>
  <c r="IH5" i="45"/>
  <c r="IQ5" i="45"/>
  <c r="HC5" i="45"/>
  <c r="HC8" i="45" s="1"/>
  <c r="HJ5" i="45"/>
  <c r="HJ8" i="45" s="1"/>
  <c r="GR5" i="45"/>
  <c r="GR8" i="45" s="1"/>
  <c r="AT72" i="41"/>
  <c r="BB72" i="41" s="1"/>
  <c r="EO72" i="38"/>
  <c r="EO85" i="38"/>
  <c r="AT85" i="41"/>
  <c r="BB85" i="41" s="1"/>
  <c r="EO100" i="38"/>
  <c r="AT100" i="41"/>
  <c r="BB100" i="41" s="1"/>
  <c r="EO51" i="38"/>
  <c r="AT51" i="41"/>
  <c r="BB51" i="41" s="1"/>
  <c r="AT66" i="41"/>
  <c r="BB66" i="41" s="1"/>
  <c r="EO66" i="38"/>
  <c r="EO23" i="38"/>
  <c r="CD23" i="41" s="1"/>
  <c r="AT23" i="41"/>
  <c r="BB23" i="41" s="1"/>
  <c r="AT104" i="41"/>
  <c r="BB104" i="41" s="1"/>
  <c r="EO104" i="38"/>
  <c r="AT55" i="41"/>
  <c r="BB55" i="41" s="1"/>
  <c r="EO55" i="38"/>
  <c r="AT93" i="41"/>
  <c r="BB93" i="41" s="1"/>
  <c r="EO93" i="38"/>
  <c r="AT47" i="41"/>
  <c r="BB47" i="41" s="1"/>
  <c r="EO47" i="38"/>
  <c r="CD47" i="41" s="1"/>
  <c r="EO91" i="38"/>
  <c r="AT91" i="41"/>
  <c r="BB91" i="41" s="1"/>
  <c r="EO37" i="38"/>
  <c r="CD37" i="41" s="1"/>
  <c r="AT37" i="41"/>
  <c r="BB37" i="41" s="1"/>
  <c r="AT112" i="41"/>
  <c r="BB112" i="41" s="1"/>
  <c r="EO112" i="38"/>
  <c r="CD112" i="41" s="1"/>
  <c r="AT48" i="41"/>
  <c r="BB48" i="41" s="1"/>
  <c r="EO48" i="38"/>
  <c r="CD48" i="41" s="1"/>
  <c r="EO74" i="38"/>
  <c r="AT74" i="41"/>
  <c r="BB74" i="41" s="1"/>
  <c r="EO108" i="38"/>
  <c r="AT108" i="41"/>
  <c r="BB108" i="41" s="1"/>
  <c r="EO73" i="38"/>
  <c r="AT73" i="41"/>
  <c r="BB73" i="41" s="1"/>
  <c r="EO77" i="38"/>
  <c r="AT77" i="41"/>
  <c r="BB77" i="41" s="1"/>
  <c r="AT117" i="41"/>
  <c r="BB117" i="41" s="1"/>
  <c r="EO117" i="38"/>
  <c r="CD117" i="41" s="1"/>
  <c r="EO79" i="38"/>
  <c r="AT79" i="41"/>
  <c r="BB79" i="41" s="1"/>
  <c r="AT116" i="41"/>
  <c r="BB116" i="41" s="1"/>
  <c r="EO116" i="38"/>
  <c r="CD116" i="41" s="1"/>
  <c r="EO32" i="38"/>
  <c r="CD32" i="41" s="1"/>
  <c r="AT32" i="41"/>
  <c r="BB32" i="41" s="1"/>
  <c r="EO65" i="38"/>
  <c r="AT65" i="41"/>
  <c r="BB65" i="41" s="1"/>
  <c r="AT118" i="41"/>
  <c r="BB118" i="41" s="1"/>
  <c r="EO118" i="38"/>
  <c r="CD118" i="41" s="1"/>
  <c r="EO97" i="38"/>
  <c r="AT97" i="41"/>
  <c r="BB97" i="41" s="1"/>
  <c r="JF5" i="45"/>
  <c r="GZ5" i="45"/>
  <c r="GZ8" i="45" s="1"/>
  <c r="FX5" i="45"/>
  <c r="FX8" i="45" s="1"/>
  <c r="FQ5" i="45"/>
  <c r="FQ8" i="45" s="1"/>
  <c r="HT5" i="45"/>
  <c r="HT8" i="45" s="1"/>
  <c r="IZ5" i="45"/>
  <c r="IY5" i="45"/>
  <c r="IS5" i="45"/>
  <c r="FS5" i="45"/>
  <c r="FS8" i="45" s="1"/>
  <c r="FT5" i="45"/>
  <c r="FT8" i="45" s="1"/>
  <c r="GW5" i="45"/>
  <c r="GW8" i="45" s="1"/>
  <c r="JC5" i="45"/>
  <c r="FY5" i="45"/>
  <c r="FY8" i="45" s="1"/>
  <c r="IF5" i="45"/>
  <c r="JH5" i="45"/>
  <c r="AG29" i="46"/>
  <c r="AH29" i="46" s="1"/>
  <c r="AF30" i="46"/>
  <c r="AJ29" i="46"/>
  <c r="AK29" i="46" s="1"/>
  <c r="AJ29" i="41" s="1"/>
  <c r="AF33" i="38"/>
  <c r="AG32" i="38"/>
  <c r="AH32" i="38" s="1"/>
  <c r="AJ32" i="38"/>
  <c r="AK32" i="38" s="1"/>
  <c r="AH31" i="41"/>
  <c r="AL31" i="41" s="1"/>
  <c r="CY59" i="38" l="1"/>
  <c r="DD58" i="38"/>
  <c r="FO103" i="45"/>
  <c r="FO87" i="45"/>
  <c r="FO69" i="45"/>
  <c r="FO77" i="45"/>
  <c r="FO83" i="45"/>
  <c r="FO97" i="45"/>
  <c r="FO104" i="45"/>
  <c r="FO84" i="45"/>
  <c r="FO73" i="45"/>
  <c r="FO106" i="45"/>
  <c r="FO82" i="45"/>
  <c r="FO107" i="45"/>
  <c r="FO94" i="45"/>
  <c r="FO85" i="45"/>
  <c r="FO68" i="45"/>
  <c r="FO93" i="45"/>
  <c r="FO102" i="45"/>
  <c r="FO74" i="45"/>
  <c r="FO108" i="45"/>
  <c r="FO92" i="45"/>
  <c r="FO98" i="45"/>
  <c r="FO101" i="45"/>
  <c r="FO66" i="45"/>
  <c r="FO70" i="45"/>
  <c r="FO105" i="45"/>
  <c r="FO72" i="45"/>
  <c r="FO91" i="45"/>
  <c r="FO95" i="45"/>
  <c r="FO96" i="45"/>
  <c r="FO90" i="45"/>
  <c r="FO100" i="45"/>
  <c r="FO99" i="45"/>
  <c r="FO81" i="45"/>
  <c r="FO86" i="45"/>
  <c r="FO89" i="45"/>
  <c r="FO110" i="45"/>
  <c r="FO80" i="45"/>
  <c r="FP5" i="45"/>
  <c r="FP8" i="45" s="1"/>
  <c r="FO67" i="45"/>
  <c r="FO71" i="45"/>
  <c r="FO76" i="45"/>
  <c r="FO79" i="45"/>
  <c r="FO88" i="45"/>
  <c r="FO109" i="45"/>
  <c r="FO75" i="45"/>
  <c r="FO78" i="45"/>
  <c r="AG21" i="45"/>
  <c r="AH21" i="45" s="1"/>
  <c r="AJ21" i="45"/>
  <c r="AF22" i="45"/>
  <c r="FO65" i="45"/>
  <c r="HI5" i="45"/>
  <c r="HI8" i="45" s="1"/>
  <c r="AJ30" i="46"/>
  <c r="AK30" i="46" s="1"/>
  <c r="AJ30" i="41" s="1"/>
  <c r="AG30" i="46"/>
  <c r="AH30" i="46" s="1"/>
  <c r="AF31" i="46"/>
  <c r="AH32" i="41"/>
  <c r="AL32" i="41" s="1"/>
  <c r="AJ33" i="38"/>
  <c r="AK33" i="38" s="1"/>
  <c r="AG33" i="38"/>
  <c r="AH33" i="38" s="1"/>
  <c r="AF34" i="38"/>
  <c r="CY60" i="38" l="1"/>
  <c r="DD59" i="38"/>
  <c r="FO8" i="45"/>
  <c r="F13" i="45" s="1"/>
  <c r="L1" i="10" s="1"/>
  <c r="AK21" i="45"/>
  <c r="AI21" i="41" s="1"/>
  <c r="FO5" i="45"/>
  <c r="AJ22" i="45"/>
  <c r="AK22" i="45" s="1"/>
  <c r="AI22" i="41" s="1"/>
  <c r="AF23" i="45"/>
  <c r="AG22" i="45"/>
  <c r="AH22" i="45" s="1"/>
  <c r="AF32" i="46"/>
  <c r="AJ31" i="46"/>
  <c r="AK31" i="46" s="1"/>
  <c r="AJ31" i="41" s="1"/>
  <c r="AG31" i="46"/>
  <c r="AH31" i="46" s="1"/>
  <c r="AH33" i="41"/>
  <c r="AL33" i="41" s="1"/>
  <c r="AF35" i="38"/>
  <c r="AG34" i="38"/>
  <c r="AH34" i="38" s="1"/>
  <c r="AJ34" i="38"/>
  <c r="AK34" i="38" s="1"/>
  <c r="CY61" i="38" l="1"/>
  <c r="DD60" i="38"/>
  <c r="AJ23" i="45"/>
  <c r="AK23" i="45" s="1"/>
  <c r="AI23" i="41" s="1"/>
  <c r="AF24" i="45"/>
  <c r="AG23" i="45"/>
  <c r="AH23" i="45" s="1"/>
  <c r="AJ32" i="46"/>
  <c r="AK32" i="46" s="1"/>
  <c r="AJ32" i="41" s="1"/>
  <c r="AF33" i="46"/>
  <c r="AG32" i="46"/>
  <c r="AH32" i="46" s="1"/>
  <c r="AG35" i="38"/>
  <c r="AH35" i="38" s="1"/>
  <c r="AF36" i="38"/>
  <c r="AJ35" i="38"/>
  <c r="AK35" i="38" s="1"/>
  <c r="AH34" i="41"/>
  <c r="AL34" i="41" s="1"/>
  <c r="CY62" i="38" l="1"/>
  <c r="DD61" i="38"/>
  <c r="AJ24" i="45"/>
  <c r="AK24" i="45" s="1"/>
  <c r="AI24" i="41" s="1"/>
  <c r="AG24" i="45"/>
  <c r="AH24" i="45" s="1"/>
  <c r="AF25" i="45"/>
  <c r="AJ33" i="46"/>
  <c r="AK33" i="46" s="1"/>
  <c r="AJ33" i="41" s="1"/>
  <c r="AF34" i="46"/>
  <c r="AG33" i="46"/>
  <c r="AH33" i="46" s="1"/>
  <c r="AH35" i="41"/>
  <c r="AL35" i="41" s="1"/>
  <c r="AF37" i="38"/>
  <c r="AJ36" i="38"/>
  <c r="AK36" i="38" s="1"/>
  <c r="AG36" i="38"/>
  <c r="AH36" i="38" s="1"/>
  <c r="CY63" i="38" l="1"/>
  <c r="DD62" i="38"/>
  <c r="AJ25" i="45"/>
  <c r="AK25" i="45" s="1"/>
  <c r="AI25" i="41" s="1"/>
  <c r="AJ136" i="41" s="1"/>
  <c r="AG25" i="45"/>
  <c r="AH25" i="45" s="1"/>
  <c r="AF26" i="45"/>
  <c r="AG34" i="46"/>
  <c r="AH34" i="46" s="1"/>
  <c r="AF35" i="46"/>
  <c r="AJ34" i="46"/>
  <c r="AK34" i="46" s="1"/>
  <c r="AJ34" i="41" s="1"/>
  <c r="AJ37" i="38"/>
  <c r="AK37" i="38" s="1"/>
  <c r="AG37" i="38"/>
  <c r="AH37" i="38" s="1"/>
  <c r="AF38" i="38"/>
  <c r="AH36" i="41"/>
  <c r="AL36" i="41" s="1"/>
  <c r="CY64" i="38" l="1"/>
  <c r="DD63" i="38"/>
  <c r="AF27" i="45"/>
  <c r="AJ26" i="45"/>
  <c r="AK26" i="45" s="1"/>
  <c r="AI26" i="41" s="1"/>
  <c r="AJ137" i="41" s="1"/>
  <c r="AI139" i="41" s="1"/>
  <c r="AG26" i="45"/>
  <c r="AH26" i="45" s="1"/>
  <c r="AF36" i="46"/>
  <c r="AJ35" i="46"/>
  <c r="AK35" i="46" s="1"/>
  <c r="AJ35" i="41" s="1"/>
  <c r="AG35" i="46"/>
  <c r="AH35" i="46" s="1"/>
  <c r="AJ38" i="38"/>
  <c r="AK38" i="38" s="1"/>
  <c r="AG38" i="38"/>
  <c r="AH38" i="38" s="1"/>
  <c r="AF39" i="38"/>
  <c r="AH37" i="41"/>
  <c r="AL37" i="41" s="1"/>
  <c r="CY65" i="38" l="1"/>
  <c r="DD64" i="38"/>
  <c r="AJ27" i="45"/>
  <c r="AK27" i="45" s="1"/>
  <c r="AI27" i="41" s="1"/>
  <c r="AG27" i="45"/>
  <c r="AH27" i="45" s="1"/>
  <c r="AF28" i="45"/>
  <c r="AJ36" i="46"/>
  <c r="AK36" i="46" s="1"/>
  <c r="AJ36" i="41" s="1"/>
  <c r="AG36" i="46"/>
  <c r="AH36" i="46" s="1"/>
  <c r="AF37" i="46"/>
  <c r="AJ39" i="38"/>
  <c r="AK39" i="38" s="1"/>
  <c r="AG39" i="38"/>
  <c r="AH39" i="38" s="1"/>
  <c r="AF40" i="38"/>
  <c r="AH38" i="41"/>
  <c r="AL38" i="41" s="1"/>
  <c r="CZ65" i="38" l="1"/>
  <c r="DD65" i="38"/>
  <c r="DK24" i="38" s="1"/>
  <c r="AF29" i="45"/>
  <c r="AG28" i="45"/>
  <c r="AH28" i="45" s="1"/>
  <c r="AJ28" i="45"/>
  <c r="AK28" i="45" s="1"/>
  <c r="AI28" i="41" s="1"/>
  <c r="AJ37" i="46"/>
  <c r="AK37" i="46" s="1"/>
  <c r="AJ37" i="41" s="1"/>
  <c r="AF38" i="46"/>
  <c r="AG37" i="46"/>
  <c r="AH37" i="46" s="1"/>
  <c r="AJ40" i="38"/>
  <c r="AK40" i="38" s="1"/>
  <c r="AF41" i="38"/>
  <c r="AG40" i="38"/>
  <c r="AH40" i="38" s="1"/>
  <c r="AH39" i="41"/>
  <c r="AL39" i="41" s="1"/>
  <c r="CZ66" i="38" l="1"/>
  <c r="DF65" i="38"/>
  <c r="DE65" i="38"/>
  <c r="AG29" i="45"/>
  <c r="AH29" i="45" s="1"/>
  <c r="AJ29" i="45"/>
  <c r="AK29" i="45" s="1"/>
  <c r="AI29" i="41" s="1"/>
  <c r="AF30" i="45"/>
  <c r="AF39" i="46"/>
  <c r="AG38" i="46"/>
  <c r="AH38" i="46" s="1"/>
  <c r="AJ38" i="46"/>
  <c r="AK38" i="46" s="1"/>
  <c r="AJ38" i="41" s="1"/>
  <c r="AJ41" i="38"/>
  <c r="AK41" i="38" s="1"/>
  <c r="AF42" i="38"/>
  <c r="AG41" i="38"/>
  <c r="AH41" i="38" s="1"/>
  <c r="AH40" i="41"/>
  <c r="AL40" i="41" s="1"/>
  <c r="CZ67" i="38" l="1"/>
  <c r="DF66" i="38"/>
  <c r="DE66" i="38"/>
  <c r="AJ30" i="45"/>
  <c r="AG30" i="45"/>
  <c r="AH30" i="45" s="1"/>
  <c r="AF31" i="45"/>
  <c r="AG39" i="46"/>
  <c r="AH39" i="46" s="1"/>
  <c r="AF40" i="46"/>
  <c r="AJ39" i="46"/>
  <c r="AK39" i="46" s="1"/>
  <c r="AJ39" i="41" s="1"/>
  <c r="AH41" i="41"/>
  <c r="AL41" i="41" s="1"/>
  <c r="AF43" i="38"/>
  <c r="AJ42" i="38"/>
  <c r="AK42" i="38" s="1"/>
  <c r="AG42" i="38"/>
  <c r="AH42" i="38" s="1"/>
  <c r="CZ68" i="38" l="1"/>
  <c r="DF67" i="38"/>
  <c r="DE67" i="38"/>
  <c r="AK30" i="45"/>
  <c r="AI30" i="41" s="1"/>
  <c r="AJ31" i="45"/>
  <c r="AK31" i="45" s="1"/>
  <c r="AI31" i="41" s="1"/>
  <c r="AG31" i="45"/>
  <c r="AH31" i="45" s="1"/>
  <c r="AF32" i="45"/>
  <c r="AJ40" i="46"/>
  <c r="AK40" i="46" s="1"/>
  <c r="AJ40" i="41" s="1"/>
  <c r="AG40" i="46"/>
  <c r="AH40" i="46" s="1"/>
  <c r="AF41" i="46"/>
  <c r="AJ43" i="38"/>
  <c r="AK43" i="38" s="1"/>
  <c r="AG43" i="38"/>
  <c r="AH43" i="38" s="1"/>
  <c r="AF44" i="38"/>
  <c r="AH42" i="41"/>
  <c r="AL42" i="41" s="1"/>
  <c r="CZ69" i="38" l="1"/>
  <c r="DE68" i="38"/>
  <c r="DF68" i="38"/>
  <c r="AF33" i="45"/>
  <c r="AJ32" i="45"/>
  <c r="AK32" i="45" s="1"/>
  <c r="AI32" i="41" s="1"/>
  <c r="AG32" i="45"/>
  <c r="AH32" i="45" s="1"/>
  <c r="AJ41" i="46"/>
  <c r="AK41" i="46" s="1"/>
  <c r="AJ41" i="41" s="1"/>
  <c r="AF42" i="46"/>
  <c r="AG41" i="46"/>
  <c r="AH41" i="46" s="1"/>
  <c r="AJ44" i="38"/>
  <c r="AK44" i="38" s="1"/>
  <c r="AF45" i="38"/>
  <c r="AG44" i="38"/>
  <c r="AH44" i="38" s="1"/>
  <c r="AH43" i="41"/>
  <c r="AL43" i="41" s="1"/>
  <c r="CZ70" i="38" l="1"/>
  <c r="DF69" i="38"/>
  <c r="DE69" i="38"/>
  <c r="AG33" i="45"/>
  <c r="AH33" i="45" s="1"/>
  <c r="AJ33" i="45"/>
  <c r="AK33" i="45" s="1"/>
  <c r="AI33" i="41" s="1"/>
  <c r="AF34" i="45"/>
  <c r="AF43" i="46"/>
  <c r="AJ42" i="46"/>
  <c r="AK42" i="46" s="1"/>
  <c r="AJ42" i="41" s="1"/>
  <c r="AG42" i="46"/>
  <c r="AH42" i="46" s="1"/>
  <c r="AJ45" i="38"/>
  <c r="AK45" i="38" s="1"/>
  <c r="AF46" i="38"/>
  <c r="AG45" i="38"/>
  <c r="AH45" i="38" s="1"/>
  <c r="AH44" i="41"/>
  <c r="AL44" i="41" s="1"/>
  <c r="CZ71" i="38" l="1"/>
  <c r="DF70" i="38"/>
  <c r="DE70" i="38"/>
  <c r="AJ34" i="45"/>
  <c r="AK34" i="45" s="1"/>
  <c r="AI34" i="41" s="1"/>
  <c r="AG34" i="45"/>
  <c r="AH34" i="45" s="1"/>
  <c r="AF35" i="45"/>
  <c r="AG43" i="46"/>
  <c r="AH43" i="46" s="1"/>
  <c r="AF44" i="46"/>
  <c r="AJ43" i="46"/>
  <c r="AK43" i="46" s="1"/>
  <c r="AJ43" i="41" s="1"/>
  <c r="AJ46" i="38"/>
  <c r="AK46" i="38" s="1"/>
  <c r="AG46" i="38"/>
  <c r="AH46" i="38" s="1"/>
  <c r="AF47" i="38"/>
  <c r="AH45" i="41"/>
  <c r="AL45" i="41" s="1"/>
  <c r="CZ72" i="38" l="1"/>
  <c r="DF71" i="38"/>
  <c r="DE71" i="38"/>
  <c r="AJ35" i="45"/>
  <c r="AF36" i="45"/>
  <c r="AG35" i="45"/>
  <c r="AH35" i="45" s="1"/>
  <c r="AF45" i="46"/>
  <c r="AG44" i="46"/>
  <c r="AH44" i="46" s="1"/>
  <c r="AJ44" i="46"/>
  <c r="AK44" i="46" s="1"/>
  <c r="AJ44" i="41" s="1"/>
  <c r="AJ47" i="38"/>
  <c r="AK47" i="38" s="1"/>
  <c r="AF48" i="38"/>
  <c r="AG47" i="38"/>
  <c r="AH47" i="38" s="1"/>
  <c r="AH46" i="41"/>
  <c r="AL46" i="41" s="1"/>
  <c r="CZ73" i="38" l="1"/>
  <c r="DE72" i="38"/>
  <c r="DF72" i="38"/>
  <c r="AK35" i="45"/>
  <c r="AI35" i="41" s="1"/>
  <c r="DY8" i="38"/>
  <c r="AJ36" i="45"/>
  <c r="AK36" i="45" s="1"/>
  <c r="AI36" i="41" s="1"/>
  <c r="AF37" i="45"/>
  <c r="AG36" i="45"/>
  <c r="AH36" i="45" s="1"/>
  <c r="AG45" i="46"/>
  <c r="AH45" i="46" s="1"/>
  <c r="AJ45" i="46"/>
  <c r="AK45" i="46" s="1"/>
  <c r="AJ45" i="41" s="1"/>
  <c r="AF46" i="46"/>
  <c r="AF49" i="38"/>
  <c r="AJ48" i="38"/>
  <c r="AK48" i="38" s="1"/>
  <c r="AG48" i="38"/>
  <c r="AH48" i="38" s="1"/>
  <c r="AH47" i="41"/>
  <c r="AL47" i="41" s="1"/>
  <c r="CZ74" i="38" l="1"/>
  <c r="DF73" i="38"/>
  <c r="DE73" i="38"/>
  <c r="AG37" i="45"/>
  <c r="AH37" i="45" s="1"/>
  <c r="AF38" i="45"/>
  <c r="AJ37" i="45"/>
  <c r="AK37" i="45" s="1"/>
  <c r="AI37" i="41" s="1"/>
  <c r="AJ46" i="46"/>
  <c r="AK46" i="46" s="1"/>
  <c r="AJ46" i="41" s="1"/>
  <c r="AF47" i="46"/>
  <c r="AG46" i="46"/>
  <c r="AH46" i="46" s="1"/>
  <c r="AH48" i="41"/>
  <c r="AL48" i="41" s="1"/>
  <c r="AJ49" i="38"/>
  <c r="AK49" i="38" s="1"/>
  <c r="AF50" i="38"/>
  <c r="AG49" i="38"/>
  <c r="AH49" i="38" s="1"/>
  <c r="CZ75" i="38" l="1"/>
  <c r="DF74" i="38"/>
  <c r="DE74" i="38"/>
  <c r="AF39" i="45"/>
  <c r="AJ38" i="45"/>
  <c r="AK38" i="45" s="1"/>
  <c r="AI38" i="41" s="1"/>
  <c r="AG38" i="45"/>
  <c r="AH38" i="45" s="1"/>
  <c r="AF48" i="46"/>
  <c r="AG47" i="46"/>
  <c r="AH47" i="46" s="1"/>
  <c r="AJ47" i="46"/>
  <c r="AK47" i="46" s="1"/>
  <c r="AJ47" i="41" s="1"/>
  <c r="AH49" i="41"/>
  <c r="AL49" i="41" s="1"/>
  <c r="AG50" i="38"/>
  <c r="AH50" i="38" s="1"/>
  <c r="AF51" i="38"/>
  <c r="AJ50" i="38"/>
  <c r="CZ76" i="38" l="1"/>
  <c r="DF75" i="38"/>
  <c r="DE75" i="38"/>
  <c r="AJ39" i="45"/>
  <c r="AK39" i="45" s="1"/>
  <c r="AI39" i="41" s="1"/>
  <c r="AF40" i="45"/>
  <c r="AG39" i="45"/>
  <c r="AH39" i="45" s="1"/>
  <c r="AG48" i="46"/>
  <c r="AH48" i="46" s="1"/>
  <c r="AJ48" i="46"/>
  <c r="AK48" i="46" s="1"/>
  <c r="AJ48" i="41" s="1"/>
  <c r="AF49" i="46"/>
  <c r="AK50" i="38"/>
  <c r="ED8" i="38"/>
  <c r="EH8" i="38" s="1"/>
  <c r="EM8" i="38" s="1"/>
  <c r="AG51" i="38"/>
  <c r="AH51" i="38" s="1"/>
  <c r="AJ51" i="38"/>
  <c r="AK51" i="38" s="1"/>
  <c r="AF52" i="38"/>
  <c r="CZ77" i="38" l="1"/>
  <c r="DE76" i="38"/>
  <c r="DF76" i="38"/>
  <c r="AJ40" i="45"/>
  <c r="AK40" i="45" s="1"/>
  <c r="AI40" i="41" s="1"/>
  <c r="AG40" i="45"/>
  <c r="AH40" i="45" s="1"/>
  <c r="AF41" i="45"/>
  <c r="AG49" i="46"/>
  <c r="AH49" i="46" s="1"/>
  <c r="AF50" i="46"/>
  <c r="AJ49" i="46"/>
  <c r="AK49" i="46" s="1"/>
  <c r="AJ49" i="41" s="1"/>
  <c r="EM109" i="38"/>
  <c r="EM107" i="38"/>
  <c r="EM102" i="38"/>
  <c r="EM110" i="38"/>
  <c r="EM101" i="38"/>
  <c r="EM106" i="38"/>
  <c r="EM104" i="38"/>
  <c r="EM105" i="38"/>
  <c r="EM108" i="38"/>
  <c r="EM103" i="38"/>
  <c r="EM94" i="38"/>
  <c r="EM82" i="38"/>
  <c r="EM64" i="38"/>
  <c r="EM97" i="38"/>
  <c r="EM81" i="38"/>
  <c r="EM66" i="38"/>
  <c r="EM98" i="38"/>
  <c r="EM83" i="38"/>
  <c r="EM65" i="38"/>
  <c r="EM51" i="38"/>
  <c r="EM85" i="38"/>
  <c r="EM67" i="38"/>
  <c r="EM62" i="38"/>
  <c r="EM92" i="38"/>
  <c r="EM75" i="38"/>
  <c r="EM60" i="38"/>
  <c r="EM95" i="38"/>
  <c r="EM79" i="38"/>
  <c r="EM59" i="38"/>
  <c r="EM96" i="38"/>
  <c r="EM78" i="38"/>
  <c r="EM61" i="38"/>
  <c r="EM99" i="38"/>
  <c r="EM76" i="38"/>
  <c r="EM63" i="38"/>
  <c r="EM80" i="38"/>
  <c r="EM87" i="38"/>
  <c r="EM74" i="38"/>
  <c r="EM56" i="38"/>
  <c r="EM90" i="38"/>
  <c r="EM77" i="38"/>
  <c r="EM55" i="38"/>
  <c r="EM91" i="38"/>
  <c r="EM73" i="38"/>
  <c r="EM58" i="38"/>
  <c r="EM93" i="38"/>
  <c r="EM72" i="38"/>
  <c r="EM57" i="38"/>
  <c r="EM100" i="38"/>
  <c r="EM84" i="38"/>
  <c r="EM68" i="38"/>
  <c r="EM52" i="38"/>
  <c r="EM86" i="38"/>
  <c r="EM70" i="38"/>
  <c r="EM50" i="38"/>
  <c r="EM89" i="38"/>
  <c r="EM71" i="38"/>
  <c r="EM53" i="38"/>
  <c r="EM88" i="38"/>
  <c r="EM69" i="38"/>
  <c r="EM54" i="38"/>
  <c r="AJ52" i="38"/>
  <c r="AK52" i="38" s="1"/>
  <c r="AG52" i="38"/>
  <c r="AH52" i="38" s="1"/>
  <c r="AF53" i="38"/>
  <c r="AH50" i="41"/>
  <c r="AL50" i="41" s="1"/>
  <c r="AH51" i="41"/>
  <c r="AL51" i="41" s="1"/>
  <c r="CZ78" i="38" l="1"/>
  <c r="DF77" i="38"/>
  <c r="DE77" i="38"/>
  <c r="AF42" i="45"/>
  <c r="AG41" i="45"/>
  <c r="AH41" i="45" s="1"/>
  <c r="AJ41" i="45"/>
  <c r="AK41" i="45" s="1"/>
  <c r="AI41" i="41" s="1"/>
  <c r="AG50" i="46"/>
  <c r="AH50" i="46" s="1"/>
  <c r="AF51" i="46"/>
  <c r="AJ50" i="46"/>
  <c r="AK50" i="46" s="1"/>
  <c r="AJ50" i="41" s="1"/>
  <c r="CE105" i="41"/>
  <c r="CD105" i="41"/>
  <c r="CF105" i="41"/>
  <c r="EN105" i="38"/>
  <c r="CE104" i="41"/>
  <c r="CD104" i="41"/>
  <c r="CF104" i="41"/>
  <c r="EN104" i="38"/>
  <c r="CE103" i="41"/>
  <c r="CD103" i="41"/>
  <c r="EN103" i="38"/>
  <c r="CF103" i="41"/>
  <c r="CE106" i="41"/>
  <c r="CD106" i="41"/>
  <c r="CF106" i="41"/>
  <c r="EN106" i="38"/>
  <c r="CE107" i="41"/>
  <c r="CD107" i="41"/>
  <c r="CF107" i="41"/>
  <c r="EN107" i="38"/>
  <c r="CE110" i="41"/>
  <c r="CD110" i="41"/>
  <c r="EN110" i="38"/>
  <c r="CF110" i="41"/>
  <c r="CE102" i="41"/>
  <c r="CD102" i="41"/>
  <c r="CF102" i="41"/>
  <c r="EN102" i="38"/>
  <c r="CE108" i="41"/>
  <c r="CD108" i="41"/>
  <c r="CF108" i="41"/>
  <c r="EN108" i="38"/>
  <c r="CE101" i="41"/>
  <c r="CD101" i="41"/>
  <c r="CF101" i="41"/>
  <c r="EN101" i="38"/>
  <c r="CE109" i="41"/>
  <c r="CD109" i="41"/>
  <c r="CF109" i="41"/>
  <c r="EN109" i="38"/>
  <c r="EN54" i="38"/>
  <c r="CD54" i="41"/>
  <c r="CF54" i="41"/>
  <c r="CE54" i="41"/>
  <c r="EN71" i="38"/>
  <c r="CD71" i="41"/>
  <c r="CE71" i="41"/>
  <c r="CF71" i="41"/>
  <c r="EN86" i="38"/>
  <c r="CD86" i="41"/>
  <c r="CE86" i="41"/>
  <c r="CF86" i="41"/>
  <c r="CF100" i="41"/>
  <c r="CD100" i="41"/>
  <c r="EN100" i="38"/>
  <c r="CE100" i="41"/>
  <c r="CE58" i="41"/>
  <c r="EN58" i="38"/>
  <c r="CF58" i="41"/>
  <c r="CD58" i="41"/>
  <c r="CE77" i="41"/>
  <c r="EN77" i="38"/>
  <c r="CF77" i="41"/>
  <c r="CD77" i="41"/>
  <c r="CE87" i="41"/>
  <c r="CF87" i="41"/>
  <c r="EN87" i="38"/>
  <c r="CD87" i="41"/>
  <c r="CE99" i="41"/>
  <c r="CF99" i="41"/>
  <c r="EN99" i="38"/>
  <c r="CD99" i="41"/>
  <c r="CE59" i="41"/>
  <c r="EN59" i="38"/>
  <c r="CF59" i="41"/>
  <c r="CD59" i="41"/>
  <c r="CE75" i="41"/>
  <c r="EN75" i="38"/>
  <c r="CF75" i="41"/>
  <c r="CD75" i="41"/>
  <c r="CF85" i="41"/>
  <c r="CD85" i="41"/>
  <c r="CE85" i="41"/>
  <c r="EN85" i="38"/>
  <c r="EN98" i="38"/>
  <c r="CD98" i="41"/>
  <c r="CE98" i="41"/>
  <c r="CF98" i="41"/>
  <c r="CF64" i="41"/>
  <c r="CD64" i="41"/>
  <c r="CE64" i="41"/>
  <c r="EN64" i="38"/>
  <c r="AF54" i="38"/>
  <c r="AJ53" i="38"/>
  <c r="AK53" i="38" s="1"/>
  <c r="AG53" i="38"/>
  <c r="AH53" i="38" s="1"/>
  <c r="CF69" i="41"/>
  <c r="CD69" i="41"/>
  <c r="CE69" i="41"/>
  <c r="EN69" i="38"/>
  <c r="CF89" i="41"/>
  <c r="CD89" i="41"/>
  <c r="EN89" i="38"/>
  <c r="CE89" i="41"/>
  <c r="EN52" i="38"/>
  <c r="CD52" i="41"/>
  <c r="CE52" i="41"/>
  <c r="CF52" i="41"/>
  <c r="CE57" i="41"/>
  <c r="EN57" i="38"/>
  <c r="CF57" i="41"/>
  <c r="CD57" i="41"/>
  <c r="CE73" i="41"/>
  <c r="EN73" i="38"/>
  <c r="CF73" i="41"/>
  <c r="CD73" i="41"/>
  <c r="CE90" i="41"/>
  <c r="CF90" i="41"/>
  <c r="EN90" i="38"/>
  <c r="CD90" i="41"/>
  <c r="EN80" i="38"/>
  <c r="CD80" i="41"/>
  <c r="CE80" i="41"/>
  <c r="CF80" i="41"/>
  <c r="CE61" i="41"/>
  <c r="EN61" i="38"/>
  <c r="CF61" i="41"/>
  <c r="CD61" i="41"/>
  <c r="CE79" i="41"/>
  <c r="EN79" i="38"/>
  <c r="CF79" i="41"/>
  <c r="CD79" i="41"/>
  <c r="CE92" i="41"/>
  <c r="CF92" i="41"/>
  <c r="EN92" i="38"/>
  <c r="CD92" i="41"/>
  <c r="EN51" i="38"/>
  <c r="CD51" i="41"/>
  <c r="CE51" i="41"/>
  <c r="CF51" i="41"/>
  <c r="CF66" i="41"/>
  <c r="CD66" i="41"/>
  <c r="CE66" i="41"/>
  <c r="EN66" i="38"/>
  <c r="EN82" i="38"/>
  <c r="CD82" i="41"/>
  <c r="CE82" i="41"/>
  <c r="CF82" i="41"/>
  <c r="CF88" i="41"/>
  <c r="CD88" i="41"/>
  <c r="CE88" i="41"/>
  <c r="EN88" i="38"/>
  <c r="EN50" i="38"/>
  <c r="CD50" i="41"/>
  <c r="CE50" i="41"/>
  <c r="CF50" i="41"/>
  <c r="EN68" i="38"/>
  <c r="CD68" i="41"/>
  <c r="CF68" i="41"/>
  <c r="CE68" i="41"/>
  <c r="CE72" i="41"/>
  <c r="EN72" i="38"/>
  <c r="CF72" i="41"/>
  <c r="CD72" i="41"/>
  <c r="CE91" i="41"/>
  <c r="CF91" i="41"/>
  <c r="EN91" i="38"/>
  <c r="CD91" i="41"/>
  <c r="CE56" i="41"/>
  <c r="EN56" i="38"/>
  <c r="CF56" i="41"/>
  <c r="CD56" i="41"/>
  <c r="CE63" i="41"/>
  <c r="CF63" i="41"/>
  <c r="EN63" i="38"/>
  <c r="CD63" i="41"/>
  <c r="CE78" i="41"/>
  <c r="CF78" i="41"/>
  <c r="EN78" i="38"/>
  <c r="CD78" i="41"/>
  <c r="CE95" i="41"/>
  <c r="EN95" i="38"/>
  <c r="CF95" i="41"/>
  <c r="CD95" i="41"/>
  <c r="EN62" i="38"/>
  <c r="CD62" i="41"/>
  <c r="CF62" i="41"/>
  <c r="CE62" i="41"/>
  <c r="EN65" i="38"/>
  <c r="CD65" i="41"/>
  <c r="CE65" i="41"/>
  <c r="CF65" i="41"/>
  <c r="EN81" i="38"/>
  <c r="CD81" i="41"/>
  <c r="CE81" i="41"/>
  <c r="CF81" i="41"/>
  <c r="EN94" i="38"/>
  <c r="CD94" i="41"/>
  <c r="CE94" i="41"/>
  <c r="CF94" i="41"/>
  <c r="AI140" i="41"/>
  <c r="AH52" i="41"/>
  <c r="AL52" i="41" s="1"/>
  <c r="EN53" i="38"/>
  <c r="CD53" i="41"/>
  <c r="CE53" i="41"/>
  <c r="CF53" i="41"/>
  <c r="CF70" i="41"/>
  <c r="CD70" i="41"/>
  <c r="EN70" i="38"/>
  <c r="CE70" i="41"/>
  <c r="CF84" i="41"/>
  <c r="CD84" i="41"/>
  <c r="CE84" i="41"/>
  <c r="EN84" i="38"/>
  <c r="CE93" i="41"/>
  <c r="EN93" i="38"/>
  <c r="CF93" i="41"/>
  <c r="CD93" i="41"/>
  <c r="CE55" i="41"/>
  <c r="CF55" i="41"/>
  <c r="EN55" i="38"/>
  <c r="CD55" i="41"/>
  <c r="CE74" i="41"/>
  <c r="CF74" i="41"/>
  <c r="EN74" i="38"/>
  <c r="CD74" i="41"/>
  <c r="CE76" i="41"/>
  <c r="EN76" i="38"/>
  <c r="CF76" i="41"/>
  <c r="CD76" i="41"/>
  <c r="CE96" i="41"/>
  <c r="EN96" i="38"/>
  <c r="CF96" i="41"/>
  <c r="CD96" i="41"/>
  <c r="CE60" i="41"/>
  <c r="EN60" i="38"/>
  <c r="CF60" i="41"/>
  <c r="CD60" i="41"/>
  <c r="CF67" i="41"/>
  <c r="CD67" i="41"/>
  <c r="CE67" i="41"/>
  <c r="EN67" i="38"/>
  <c r="EN83" i="38"/>
  <c r="CD83" i="41"/>
  <c r="CE83" i="41"/>
  <c r="CF83" i="41"/>
  <c r="CF97" i="41"/>
  <c r="CD97" i="41"/>
  <c r="CE97" i="41"/>
  <c r="EN97" i="38"/>
  <c r="CZ79" i="38" l="1"/>
  <c r="DF78" i="38"/>
  <c r="DE78" i="38"/>
  <c r="AJ42" i="45"/>
  <c r="AK42" i="45" s="1"/>
  <c r="AI42" i="41" s="1"/>
  <c r="AG42" i="45"/>
  <c r="AH42" i="45" s="1"/>
  <c r="AF43" i="45"/>
  <c r="AG51" i="46"/>
  <c r="AH51" i="46" s="1"/>
  <c r="AJ51" i="46"/>
  <c r="AK51" i="46" s="1"/>
  <c r="AJ51" i="41" s="1"/>
  <c r="AF52" i="46"/>
  <c r="CE5" i="41"/>
  <c r="AH53" i="41"/>
  <c r="AL53" i="41" s="1"/>
  <c r="CE4" i="41"/>
  <c r="AG54" i="38"/>
  <c r="AH54" i="38" s="1"/>
  <c r="AJ54" i="38"/>
  <c r="AK54" i="38" s="1"/>
  <c r="AF55" i="38"/>
  <c r="CZ80" i="38" l="1"/>
  <c r="DF79" i="38"/>
  <c r="DE79" i="38"/>
  <c r="AF44" i="45"/>
  <c r="AJ43" i="45"/>
  <c r="AK43" i="45" s="1"/>
  <c r="AI43" i="41" s="1"/>
  <c r="AG43" i="45"/>
  <c r="AH43" i="45" s="1"/>
  <c r="AJ52" i="46"/>
  <c r="AK52" i="46" s="1"/>
  <c r="AJ52" i="41" s="1"/>
  <c r="AF53" i="46"/>
  <c r="AG52" i="46"/>
  <c r="AH52" i="46" s="1"/>
  <c r="AJ55" i="38"/>
  <c r="AK55" i="38" s="1"/>
  <c r="AG55" i="38"/>
  <c r="AH55" i="38" s="1"/>
  <c r="AF56" i="38"/>
  <c r="AH54" i="41"/>
  <c r="AL54" i="41" s="1"/>
  <c r="CZ81" i="38" l="1"/>
  <c r="DE80" i="38"/>
  <c r="DF80" i="38"/>
  <c r="AG44" i="45"/>
  <c r="AH44" i="45" s="1"/>
  <c r="AF45" i="45"/>
  <c r="AJ44" i="45"/>
  <c r="AK44" i="45" s="1"/>
  <c r="AI44" i="41" s="1"/>
  <c r="AG53" i="46"/>
  <c r="AH53" i="46" s="1"/>
  <c r="AF54" i="46"/>
  <c r="AJ53" i="46"/>
  <c r="AK53" i="46" s="1"/>
  <c r="AJ53" i="41" s="1"/>
  <c r="AJ56" i="38"/>
  <c r="AK56" i="38" s="1"/>
  <c r="AF57" i="38"/>
  <c r="AG56" i="38"/>
  <c r="AH56" i="38" s="1"/>
  <c r="AH55" i="41"/>
  <c r="AL55" i="41" s="1"/>
  <c r="CZ82" i="38" l="1"/>
  <c r="DF81" i="38"/>
  <c r="DE81" i="38"/>
  <c r="AJ45" i="45"/>
  <c r="AK45" i="45" s="1"/>
  <c r="AI45" i="41" s="1"/>
  <c r="AF46" i="45"/>
  <c r="AG45" i="45"/>
  <c r="AH45" i="45" s="1"/>
  <c r="AG54" i="46"/>
  <c r="AH54" i="46" s="1"/>
  <c r="AJ54" i="46"/>
  <c r="AK54" i="46" s="1"/>
  <c r="AJ54" i="41" s="1"/>
  <c r="AF55" i="46"/>
  <c r="AG57" i="38"/>
  <c r="AH57" i="38" s="1"/>
  <c r="AJ57" i="38"/>
  <c r="AK57" i="38" s="1"/>
  <c r="AF58" i="38"/>
  <c r="AH56" i="41"/>
  <c r="AL56" i="41" s="1"/>
  <c r="CZ83" i="38" l="1"/>
  <c r="DF82" i="38"/>
  <c r="DE82" i="38"/>
  <c r="AG46" i="45"/>
  <c r="AH46" i="45" s="1"/>
  <c r="AJ46" i="45"/>
  <c r="AK46" i="45" s="1"/>
  <c r="AI46" i="41" s="1"/>
  <c r="AF47" i="45"/>
  <c r="AF56" i="46"/>
  <c r="AJ55" i="46"/>
  <c r="AK55" i="46" s="1"/>
  <c r="AJ55" i="41" s="1"/>
  <c r="AG55" i="46"/>
  <c r="AH55" i="46" s="1"/>
  <c r="AG58" i="38"/>
  <c r="AH58" i="38" s="1"/>
  <c r="AF59" i="38"/>
  <c r="AJ58" i="38"/>
  <c r="AK58" i="38" s="1"/>
  <c r="AH57" i="41"/>
  <c r="AL57" i="41" s="1"/>
  <c r="CZ84" i="38" l="1"/>
  <c r="DF83" i="38"/>
  <c r="DE83" i="38"/>
  <c r="AJ47" i="45"/>
  <c r="AK47" i="45" s="1"/>
  <c r="AI47" i="41" s="1"/>
  <c r="AG47" i="45"/>
  <c r="AH47" i="45" s="1"/>
  <c r="AF48" i="45"/>
  <c r="AF57" i="46"/>
  <c r="AJ56" i="46"/>
  <c r="AK56" i="46" s="1"/>
  <c r="AJ56" i="41" s="1"/>
  <c r="AG56" i="46"/>
  <c r="AH56" i="46" s="1"/>
  <c r="AH58" i="41"/>
  <c r="AL58" i="41" s="1"/>
  <c r="AF60" i="38"/>
  <c r="AJ59" i="38"/>
  <c r="AK59" i="38" s="1"/>
  <c r="AG59" i="38"/>
  <c r="AH59" i="38" s="1"/>
  <c r="CZ85" i="38" l="1"/>
  <c r="DE84" i="38"/>
  <c r="DF84" i="38"/>
  <c r="AG48" i="45"/>
  <c r="AH48" i="45" s="1"/>
  <c r="AF49" i="45"/>
  <c r="AJ48" i="45"/>
  <c r="AK48" i="45" s="1"/>
  <c r="AI48" i="41" s="1"/>
  <c r="AG57" i="46"/>
  <c r="AH57" i="46" s="1"/>
  <c r="AJ57" i="46"/>
  <c r="AK57" i="46" s="1"/>
  <c r="AJ57" i="41" s="1"/>
  <c r="AF58" i="46"/>
  <c r="AH59" i="41"/>
  <c r="AL59" i="41" s="1"/>
  <c r="AF61" i="38"/>
  <c r="AG60" i="38"/>
  <c r="AH60" i="38" s="1"/>
  <c r="AJ60" i="38"/>
  <c r="AK60" i="38" s="1"/>
  <c r="CZ86" i="38" l="1"/>
  <c r="DF85" i="38"/>
  <c r="DE85" i="38"/>
  <c r="AF50" i="45"/>
  <c r="AG49" i="45"/>
  <c r="AH49" i="45" s="1"/>
  <c r="AJ49" i="45"/>
  <c r="AK49" i="45" s="1"/>
  <c r="AI49" i="41" s="1"/>
  <c r="AJ58" i="46"/>
  <c r="AK58" i="46" s="1"/>
  <c r="AJ58" i="41" s="1"/>
  <c r="AG58" i="46"/>
  <c r="AH58" i="46" s="1"/>
  <c r="AF59" i="46"/>
  <c r="AJ61" i="38"/>
  <c r="AK61" i="38" s="1"/>
  <c r="AF62" i="38"/>
  <c r="AG61" i="38"/>
  <c r="AH61" i="38" s="1"/>
  <c r="AH60" i="41"/>
  <c r="AL60" i="41" s="1"/>
  <c r="CZ87" i="38" l="1"/>
  <c r="DF86" i="38"/>
  <c r="DE86" i="38"/>
  <c r="AG50" i="45"/>
  <c r="AH50" i="45" s="1"/>
  <c r="AJ50" i="45"/>
  <c r="AK50" i="45" s="1"/>
  <c r="AI50" i="41" s="1"/>
  <c r="AF51" i="45"/>
  <c r="AJ59" i="46"/>
  <c r="AK59" i="46" s="1"/>
  <c r="AJ59" i="41" s="1"/>
  <c r="AG59" i="46"/>
  <c r="AH59" i="46" s="1"/>
  <c r="AF60" i="46"/>
  <c r="AJ62" i="38"/>
  <c r="AK62" i="38" s="1"/>
  <c r="AG62" i="38"/>
  <c r="AH62" i="38" s="1"/>
  <c r="AF63" i="38"/>
  <c r="AH61" i="41"/>
  <c r="AL61" i="41" s="1"/>
  <c r="CZ88" i="38" l="1"/>
  <c r="DF87" i="38"/>
  <c r="DE87" i="38"/>
  <c r="AJ51" i="45"/>
  <c r="AK51" i="45" s="1"/>
  <c r="AI51" i="41" s="1"/>
  <c r="AF52" i="45"/>
  <c r="AG51" i="45"/>
  <c r="AH51" i="45" s="1"/>
  <c r="AG60" i="46"/>
  <c r="AH60" i="46" s="1"/>
  <c r="AF61" i="46"/>
  <c r="AJ60" i="46"/>
  <c r="AK60" i="46" s="1"/>
  <c r="AJ60" i="41" s="1"/>
  <c r="AF64" i="38"/>
  <c r="AG63" i="38"/>
  <c r="AH63" i="38" s="1"/>
  <c r="AJ63" i="38"/>
  <c r="AK63" i="38" s="1"/>
  <c r="AH62" i="41"/>
  <c r="AL62" i="41" s="1"/>
  <c r="CZ89" i="38" l="1"/>
  <c r="DE88" i="38"/>
  <c r="DF88" i="38"/>
  <c r="AF53" i="45"/>
  <c r="AJ52" i="45"/>
  <c r="AK52" i="45" s="1"/>
  <c r="AI52" i="41" s="1"/>
  <c r="AG52" i="45"/>
  <c r="AH52" i="45" s="1"/>
  <c r="AG61" i="46"/>
  <c r="AH61" i="46" s="1"/>
  <c r="AJ61" i="46"/>
  <c r="AK61" i="46" s="1"/>
  <c r="AJ61" i="41" s="1"/>
  <c r="AF62" i="46"/>
  <c r="AH63" i="41"/>
  <c r="AL63" i="41" s="1"/>
  <c r="AJ64" i="38"/>
  <c r="AK64" i="38" s="1"/>
  <c r="AG64" i="38"/>
  <c r="AH64" i="38" s="1"/>
  <c r="AF65" i="38"/>
  <c r="CZ90" i="38" l="1"/>
  <c r="DF89" i="38"/>
  <c r="DE89" i="38"/>
  <c r="AG53" i="45"/>
  <c r="AH53" i="45" s="1"/>
  <c r="AJ53" i="45"/>
  <c r="AK53" i="45" s="1"/>
  <c r="AI53" i="41" s="1"/>
  <c r="AF54" i="45"/>
  <c r="AJ62" i="46"/>
  <c r="AK62" i="46" s="1"/>
  <c r="AJ62" i="41" s="1"/>
  <c r="AF63" i="46"/>
  <c r="AG62" i="46"/>
  <c r="AH62" i="46" s="1"/>
  <c r="AH64" i="41"/>
  <c r="AL64" i="41" s="1"/>
  <c r="AG65" i="38"/>
  <c r="AH65" i="38" s="1"/>
  <c r="AJ65" i="38"/>
  <c r="AK65" i="38" s="1"/>
  <c r="AF66" i="38"/>
  <c r="CZ91" i="38" l="1"/>
  <c r="DF90" i="38"/>
  <c r="DE90" i="38"/>
  <c r="AF55" i="45"/>
  <c r="AJ54" i="45"/>
  <c r="AK54" i="45" s="1"/>
  <c r="AI54" i="41" s="1"/>
  <c r="AG54" i="45"/>
  <c r="AH54" i="45" s="1"/>
  <c r="AJ63" i="46"/>
  <c r="AK63" i="46" s="1"/>
  <c r="AJ63" i="41" s="1"/>
  <c r="AF64" i="46"/>
  <c r="AG63" i="46"/>
  <c r="AH63" i="46" s="1"/>
  <c r="AJ66" i="38"/>
  <c r="AK66" i="38" s="1"/>
  <c r="AG66" i="38"/>
  <c r="AH66" i="38" s="1"/>
  <c r="AF67" i="38"/>
  <c r="AH65" i="41"/>
  <c r="AL65" i="41" s="1"/>
  <c r="CZ92" i="38" l="1"/>
  <c r="DF91" i="38"/>
  <c r="DE91" i="38"/>
  <c r="AJ55" i="45"/>
  <c r="AK55" i="45" s="1"/>
  <c r="AI55" i="41" s="1"/>
  <c r="AG55" i="45"/>
  <c r="AH55" i="45" s="1"/>
  <c r="AF56" i="45"/>
  <c r="AJ64" i="46"/>
  <c r="AK64" i="46" s="1"/>
  <c r="AJ64" i="41" s="1"/>
  <c r="AF65" i="46"/>
  <c r="AG64" i="46"/>
  <c r="AH64" i="46" s="1"/>
  <c r="AG67" i="38"/>
  <c r="AH67" i="38" s="1"/>
  <c r="AJ67" i="38"/>
  <c r="AK67" i="38" s="1"/>
  <c r="AF68" i="38"/>
  <c r="AH66" i="41"/>
  <c r="AL66" i="41" s="1"/>
  <c r="CZ93" i="38" l="1"/>
  <c r="DE92" i="38"/>
  <c r="DF92" i="38"/>
  <c r="AG56" i="45"/>
  <c r="AH56" i="45" s="1"/>
  <c r="AF57" i="45"/>
  <c r="AJ56" i="45"/>
  <c r="AK56" i="45" s="1"/>
  <c r="AI56" i="41" s="1"/>
  <c r="AG65" i="46"/>
  <c r="AH65" i="46" s="1"/>
  <c r="AF66" i="46"/>
  <c r="AJ65" i="46"/>
  <c r="AK65" i="46" s="1"/>
  <c r="AJ65" i="41" s="1"/>
  <c r="AJ68" i="38"/>
  <c r="AK68" i="38" s="1"/>
  <c r="AG68" i="38"/>
  <c r="AH68" i="38" s="1"/>
  <c r="AF69" i="38"/>
  <c r="AH67" i="41"/>
  <c r="AL67" i="41" s="1"/>
  <c r="CZ94" i="38" l="1"/>
  <c r="DF93" i="38"/>
  <c r="DE93" i="38"/>
  <c r="AF58" i="45"/>
  <c r="AJ57" i="45"/>
  <c r="AK57" i="45" s="1"/>
  <c r="AI57" i="41" s="1"/>
  <c r="AG57" i="45"/>
  <c r="AH57" i="45" s="1"/>
  <c r="AF67" i="46"/>
  <c r="AJ66" i="46"/>
  <c r="AK66" i="46" s="1"/>
  <c r="AJ66" i="41" s="1"/>
  <c r="AG66" i="46"/>
  <c r="AH66" i="46" s="1"/>
  <c r="AG69" i="38"/>
  <c r="AH69" i="38" s="1"/>
  <c r="AJ69" i="38"/>
  <c r="AK69" i="38" s="1"/>
  <c r="AF70" i="38"/>
  <c r="AH68" i="41"/>
  <c r="AL68" i="41" s="1"/>
  <c r="CZ95" i="38" l="1"/>
  <c r="DF94" i="38"/>
  <c r="DE94" i="38"/>
  <c r="AF59" i="45"/>
  <c r="AG58" i="45"/>
  <c r="AH58" i="45" s="1"/>
  <c r="AJ58" i="45"/>
  <c r="AK58" i="45" s="1"/>
  <c r="AI58" i="41" s="1"/>
  <c r="AJ67" i="46"/>
  <c r="AK67" i="46" s="1"/>
  <c r="AJ67" i="41" s="1"/>
  <c r="AF68" i="46"/>
  <c r="AG67" i="46"/>
  <c r="AH67" i="46" s="1"/>
  <c r="AJ70" i="38"/>
  <c r="AK70" i="38" s="1"/>
  <c r="AG70" i="38"/>
  <c r="AH70" i="38" s="1"/>
  <c r="AF71" i="38"/>
  <c r="AH69" i="41"/>
  <c r="AL69" i="41" s="1"/>
  <c r="CZ96" i="38" l="1"/>
  <c r="DF95" i="38"/>
  <c r="DE95" i="38"/>
  <c r="AJ59" i="45"/>
  <c r="AK59" i="45" s="1"/>
  <c r="AI59" i="41" s="1"/>
  <c r="AF60" i="45"/>
  <c r="AG59" i="45"/>
  <c r="AH59" i="45" s="1"/>
  <c r="AG68" i="46"/>
  <c r="AH68" i="46" s="1"/>
  <c r="AF69" i="46"/>
  <c r="AJ68" i="46"/>
  <c r="AK68" i="46" s="1"/>
  <c r="AJ68" i="41" s="1"/>
  <c r="AJ71" i="38"/>
  <c r="AK71" i="38" s="1"/>
  <c r="AG71" i="38"/>
  <c r="AH71" i="38" s="1"/>
  <c r="AF72" i="38"/>
  <c r="AH70" i="41"/>
  <c r="AL70" i="41" s="1"/>
  <c r="CZ97" i="38" l="1"/>
  <c r="DE96" i="38"/>
  <c r="DF96" i="38"/>
  <c r="AJ60" i="45"/>
  <c r="AK60" i="45" s="1"/>
  <c r="AI60" i="41" s="1"/>
  <c r="AF61" i="45"/>
  <c r="AG60" i="45"/>
  <c r="AH60" i="45" s="1"/>
  <c r="AJ69" i="46"/>
  <c r="AK69" i="46" s="1"/>
  <c r="AJ69" i="41" s="1"/>
  <c r="AG69" i="46"/>
  <c r="AH69" i="46" s="1"/>
  <c r="AF70" i="46"/>
  <c r="AJ72" i="38"/>
  <c r="AK72" i="38" s="1"/>
  <c r="AF73" i="38"/>
  <c r="AG72" i="38"/>
  <c r="AH72" i="38" s="1"/>
  <c r="AH71" i="41"/>
  <c r="AL71" i="41" s="1"/>
  <c r="CZ98" i="38" l="1"/>
  <c r="DF97" i="38"/>
  <c r="DE97" i="38"/>
  <c r="AF62" i="45"/>
  <c r="AJ61" i="45"/>
  <c r="AK61" i="45" s="1"/>
  <c r="AI61" i="41" s="1"/>
  <c r="AG61" i="45"/>
  <c r="AH61" i="45" s="1"/>
  <c r="AG70" i="46"/>
  <c r="AH70" i="46" s="1"/>
  <c r="AJ70" i="46"/>
  <c r="AK70" i="46" s="1"/>
  <c r="AJ70" i="41" s="1"/>
  <c r="AF71" i="46"/>
  <c r="AJ73" i="38"/>
  <c r="AK73" i="38" s="1"/>
  <c r="AG73" i="38"/>
  <c r="AH73" i="38" s="1"/>
  <c r="AF74" i="38"/>
  <c r="AH72" i="41"/>
  <c r="AL72" i="41" s="1"/>
  <c r="CZ99" i="38" l="1"/>
  <c r="DF98" i="38"/>
  <c r="DE98" i="38"/>
  <c r="AJ62" i="45"/>
  <c r="AK62" i="45" s="1"/>
  <c r="AI62" i="41" s="1"/>
  <c r="AG62" i="45"/>
  <c r="AH62" i="45" s="1"/>
  <c r="AF63" i="45"/>
  <c r="AG71" i="46"/>
  <c r="AH71" i="46" s="1"/>
  <c r="AF72" i="46"/>
  <c r="AJ71" i="46"/>
  <c r="AK71" i="46" s="1"/>
  <c r="AJ71" i="41" s="1"/>
  <c r="AJ74" i="38"/>
  <c r="AK74" i="38" s="1"/>
  <c r="AG74" i="38"/>
  <c r="AH74" i="38" s="1"/>
  <c r="AF75" i="38"/>
  <c r="AH73" i="41"/>
  <c r="AL73" i="41" s="1"/>
  <c r="CZ100" i="38" l="1"/>
  <c r="DF99" i="38"/>
  <c r="DE99" i="38"/>
  <c r="AF64" i="45"/>
  <c r="AJ63" i="45"/>
  <c r="AK63" i="45" s="1"/>
  <c r="AI63" i="41" s="1"/>
  <c r="AG63" i="45"/>
  <c r="AH63" i="45" s="1"/>
  <c r="AJ72" i="46"/>
  <c r="AK72" i="46" s="1"/>
  <c r="AJ72" i="41" s="1"/>
  <c r="AG72" i="46"/>
  <c r="AH72" i="46" s="1"/>
  <c r="AF73" i="46"/>
  <c r="AJ75" i="38"/>
  <c r="AK75" i="38" s="1"/>
  <c r="AG75" i="38"/>
  <c r="AH75" i="38" s="1"/>
  <c r="AF76" i="38"/>
  <c r="AH74" i="41"/>
  <c r="AL74" i="41" s="1"/>
  <c r="CZ101" i="38" l="1"/>
  <c r="DE100" i="38"/>
  <c r="DF100" i="38"/>
  <c r="AJ64" i="45"/>
  <c r="AK64" i="45" s="1"/>
  <c r="AI64" i="41" s="1"/>
  <c r="AG64" i="45"/>
  <c r="AH64" i="45" s="1"/>
  <c r="AF65" i="45"/>
  <c r="AJ73" i="46"/>
  <c r="AK73" i="46" s="1"/>
  <c r="AJ73" i="41" s="1"/>
  <c r="AF74" i="46"/>
  <c r="AG73" i="46"/>
  <c r="AH73" i="46" s="1"/>
  <c r="AJ76" i="38"/>
  <c r="AK76" i="38" s="1"/>
  <c r="AG76" i="38"/>
  <c r="AH76" i="38" s="1"/>
  <c r="AF77" i="38"/>
  <c r="AH75" i="41"/>
  <c r="AL75" i="41" s="1"/>
  <c r="CZ102" i="38" l="1"/>
  <c r="DF101" i="38"/>
  <c r="DE101" i="38"/>
  <c r="AG65" i="45"/>
  <c r="AH65" i="45" s="1"/>
  <c r="AF66" i="45"/>
  <c r="AJ65" i="45"/>
  <c r="AK65" i="45" s="1"/>
  <c r="AI65" i="41" s="1"/>
  <c r="AF75" i="46"/>
  <c r="AG74" i="46"/>
  <c r="AH74" i="46" s="1"/>
  <c r="AJ74" i="46"/>
  <c r="AK74" i="46" s="1"/>
  <c r="AJ74" i="41" s="1"/>
  <c r="AJ77" i="38"/>
  <c r="AK77" i="38" s="1"/>
  <c r="AG77" i="38"/>
  <c r="AH77" i="38" s="1"/>
  <c r="AF78" i="38"/>
  <c r="AH76" i="41"/>
  <c r="AL76" i="41" s="1"/>
  <c r="CZ103" i="38" l="1"/>
  <c r="DF102" i="38"/>
  <c r="DE102" i="38"/>
  <c r="AJ66" i="45"/>
  <c r="AK66" i="45" s="1"/>
  <c r="AI66" i="41" s="1"/>
  <c r="AG66" i="45"/>
  <c r="AH66" i="45" s="1"/>
  <c r="AF67" i="45"/>
  <c r="AJ75" i="46"/>
  <c r="AK75" i="46" s="1"/>
  <c r="AJ75" i="41" s="1"/>
  <c r="AG75" i="46"/>
  <c r="AH75" i="46" s="1"/>
  <c r="AF76" i="46"/>
  <c r="AJ78" i="38"/>
  <c r="AK78" i="38" s="1"/>
  <c r="AF79" i="38"/>
  <c r="AG78" i="38"/>
  <c r="AH78" i="38" s="1"/>
  <c r="AH77" i="41"/>
  <c r="AL77" i="41" s="1"/>
  <c r="CZ104" i="38" l="1"/>
  <c r="DF103" i="38"/>
  <c r="DE103" i="38"/>
  <c r="AJ67" i="45"/>
  <c r="AK67" i="45" s="1"/>
  <c r="AI67" i="41" s="1"/>
  <c r="AF68" i="45"/>
  <c r="AG67" i="45"/>
  <c r="AH67" i="45" s="1"/>
  <c r="AJ76" i="46"/>
  <c r="AK76" i="46" s="1"/>
  <c r="AJ76" i="41" s="1"/>
  <c r="AG76" i="46"/>
  <c r="AH76" i="46" s="1"/>
  <c r="AF77" i="46"/>
  <c r="AJ79" i="38"/>
  <c r="AK79" i="38" s="1"/>
  <c r="AG79" i="38"/>
  <c r="AH79" i="38" s="1"/>
  <c r="AF80" i="38"/>
  <c r="AH78" i="41"/>
  <c r="AL78" i="41" s="1"/>
  <c r="CZ105" i="38" l="1"/>
  <c r="DE104" i="38"/>
  <c r="DF104" i="38"/>
  <c r="AF69" i="45"/>
  <c r="AG68" i="45"/>
  <c r="AH68" i="45" s="1"/>
  <c r="AJ68" i="45"/>
  <c r="AK68" i="45" s="1"/>
  <c r="AI68" i="41" s="1"/>
  <c r="AF78" i="46"/>
  <c r="AJ77" i="46"/>
  <c r="AK77" i="46" s="1"/>
  <c r="AJ77" i="41" s="1"/>
  <c r="AG77" i="46"/>
  <c r="AH77" i="46" s="1"/>
  <c r="AH79" i="41"/>
  <c r="AL79" i="41" s="1"/>
  <c r="AG80" i="38"/>
  <c r="AH80" i="38" s="1"/>
  <c r="AJ80" i="38"/>
  <c r="AK80" i="38" s="1"/>
  <c r="AF81" i="38"/>
  <c r="CZ106" i="38" l="1"/>
  <c r="DF105" i="38"/>
  <c r="DE105" i="38"/>
  <c r="AJ69" i="45"/>
  <c r="AK69" i="45" s="1"/>
  <c r="AI69" i="41" s="1"/>
  <c r="AG69" i="45"/>
  <c r="AH69" i="45" s="1"/>
  <c r="AF70" i="45"/>
  <c r="AJ78" i="46"/>
  <c r="AK78" i="46" s="1"/>
  <c r="AJ78" i="41" s="1"/>
  <c r="AF79" i="46"/>
  <c r="AG78" i="46"/>
  <c r="AH78" i="46" s="1"/>
  <c r="AJ81" i="38"/>
  <c r="AK81" i="38" s="1"/>
  <c r="AG81" i="38"/>
  <c r="AH81" i="38" s="1"/>
  <c r="AF82" i="38"/>
  <c r="AH80" i="41"/>
  <c r="AL80" i="41" s="1"/>
  <c r="CZ107" i="38" l="1"/>
  <c r="DF106" i="38"/>
  <c r="DE106" i="38"/>
  <c r="AG70" i="45"/>
  <c r="AH70" i="45" s="1"/>
  <c r="AJ70" i="45"/>
  <c r="AK70" i="45" s="1"/>
  <c r="AI70" i="41" s="1"/>
  <c r="AF71" i="45"/>
  <c r="AJ79" i="46"/>
  <c r="AK79" i="46" s="1"/>
  <c r="AJ79" i="41" s="1"/>
  <c r="AG79" i="46"/>
  <c r="AH79" i="46" s="1"/>
  <c r="AF80" i="46"/>
  <c r="AH81" i="41"/>
  <c r="AL81" i="41" s="1"/>
  <c r="AG82" i="38"/>
  <c r="AH82" i="38" s="1"/>
  <c r="AJ82" i="38"/>
  <c r="AK82" i="38" s="1"/>
  <c r="AF83" i="38"/>
  <c r="CZ108" i="38" l="1"/>
  <c r="DF107" i="38"/>
  <c r="DE107" i="38"/>
  <c r="AJ71" i="45"/>
  <c r="AK71" i="45" s="1"/>
  <c r="AI71" i="41" s="1"/>
  <c r="AG71" i="45"/>
  <c r="AH71" i="45" s="1"/>
  <c r="AF72" i="45"/>
  <c r="AG80" i="46"/>
  <c r="AH80" i="46" s="1"/>
  <c r="AF81" i="46"/>
  <c r="AJ80" i="46"/>
  <c r="AK80" i="46" s="1"/>
  <c r="AJ80" i="41" s="1"/>
  <c r="AJ83" i="38"/>
  <c r="AK83" i="38" s="1"/>
  <c r="AG83" i="38"/>
  <c r="AH83" i="38" s="1"/>
  <c r="AF84" i="38"/>
  <c r="AH82" i="41"/>
  <c r="AL82" i="41" s="1"/>
  <c r="CZ109" i="38" l="1"/>
  <c r="DE108" i="38"/>
  <c r="DF108" i="38"/>
  <c r="AJ72" i="45"/>
  <c r="AK72" i="45" s="1"/>
  <c r="AI72" i="41" s="1"/>
  <c r="AG72" i="45"/>
  <c r="AH72" i="45" s="1"/>
  <c r="AF73" i="45"/>
  <c r="AF82" i="46"/>
  <c r="AJ81" i="46"/>
  <c r="AK81" i="46" s="1"/>
  <c r="AJ81" i="41" s="1"/>
  <c r="AG81" i="46"/>
  <c r="AH81" i="46" s="1"/>
  <c r="AJ84" i="38"/>
  <c r="AK84" i="38" s="1"/>
  <c r="AF85" i="38"/>
  <c r="AG84" i="38"/>
  <c r="AH84" i="38" s="1"/>
  <c r="AH83" i="41"/>
  <c r="AL83" i="41" s="1"/>
  <c r="CZ110" i="38" l="1"/>
  <c r="DF109" i="38"/>
  <c r="DE109" i="38"/>
  <c r="AJ73" i="45"/>
  <c r="AK73" i="45" s="1"/>
  <c r="AI73" i="41" s="1"/>
  <c r="AG73" i="45"/>
  <c r="AH73" i="45" s="1"/>
  <c r="AF74" i="45"/>
  <c r="AF83" i="46"/>
  <c r="AJ82" i="46"/>
  <c r="AK82" i="46" s="1"/>
  <c r="AJ82" i="41" s="1"/>
  <c r="AG82" i="46"/>
  <c r="AH82" i="46" s="1"/>
  <c r="AJ85" i="38"/>
  <c r="AK85" i="38" s="1"/>
  <c r="AF86" i="38"/>
  <c r="AG85" i="38"/>
  <c r="AH85" i="38" s="1"/>
  <c r="AH84" i="41"/>
  <c r="AL84" i="41" s="1"/>
  <c r="DF110" i="38" l="1"/>
  <c r="DE110" i="38"/>
  <c r="AG74" i="45"/>
  <c r="AH74" i="45" s="1"/>
  <c r="AF75" i="45"/>
  <c r="AJ74" i="45"/>
  <c r="AK74" i="45" s="1"/>
  <c r="AI74" i="41" s="1"/>
  <c r="AG83" i="46"/>
  <c r="AH83" i="46" s="1"/>
  <c r="AJ83" i="46"/>
  <c r="AK83" i="46" s="1"/>
  <c r="AJ83" i="41" s="1"/>
  <c r="AF84" i="46"/>
  <c r="AJ86" i="38"/>
  <c r="AK86" i="38" s="1"/>
  <c r="AG86" i="38"/>
  <c r="AH86" i="38" s="1"/>
  <c r="AF87" i="38"/>
  <c r="AH85" i="41"/>
  <c r="AL85" i="41" s="1"/>
  <c r="AG75" i="45" l="1"/>
  <c r="AH75" i="45" s="1"/>
  <c r="AJ75" i="45"/>
  <c r="AK75" i="45" s="1"/>
  <c r="AI75" i="41" s="1"/>
  <c r="AF76" i="45"/>
  <c r="AG84" i="46"/>
  <c r="AH84" i="46" s="1"/>
  <c r="AF85" i="46"/>
  <c r="AJ84" i="46"/>
  <c r="AK84" i="46" s="1"/>
  <c r="AJ84" i="41" s="1"/>
  <c r="AJ87" i="38"/>
  <c r="AK87" i="38" s="1"/>
  <c r="AG87" i="38"/>
  <c r="AH87" i="38" s="1"/>
  <c r="AF88" i="38"/>
  <c r="AH86" i="41"/>
  <c r="AL86" i="41" s="1"/>
  <c r="AJ76" i="45" l="1"/>
  <c r="AK76" i="45" s="1"/>
  <c r="AI76" i="41" s="1"/>
  <c r="AG76" i="45"/>
  <c r="AH76" i="45" s="1"/>
  <c r="AF77" i="45"/>
  <c r="AF86" i="46"/>
  <c r="AG85" i="46"/>
  <c r="AH85" i="46" s="1"/>
  <c r="AJ85" i="46"/>
  <c r="AK85" i="46" s="1"/>
  <c r="AJ85" i="41" s="1"/>
  <c r="AJ88" i="38"/>
  <c r="AK88" i="38" s="1"/>
  <c r="AG88" i="38"/>
  <c r="AH88" i="38" s="1"/>
  <c r="AF89" i="38"/>
  <c r="AH87" i="41"/>
  <c r="AL87" i="41" s="1"/>
  <c r="AF78" i="45" l="1"/>
  <c r="AJ77" i="45"/>
  <c r="AK77" i="45" s="1"/>
  <c r="AI77" i="41" s="1"/>
  <c r="AG77" i="45"/>
  <c r="AH77" i="45" s="1"/>
  <c r="AJ86" i="46"/>
  <c r="AK86" i="46" s="1"/>
  <c r="AJ86" i="41" s="1"/>
  <c r="AG86" i="46"/>
  <c r="AH86" i="46" s="1"/>
  <c r="AF87" i="46"/>
  <c r="AJ89" i="38"/>
  <c r="AK89" i="38" s="1"/>
  <c r="AF90" i="38"/>
  <c r="AG89" i="38"/>
  <c r="AH89" i="38" s="1"/>
  <c r="AH88" i="41"/>
  <c r="AL88" i="41" s="1"/>
  <c r="AG78" i="45" l="1"/>
  <c r="AH78" i="45" s="1"/>
  <c r="AF79" i="45"/>
  <c r="AJ78" i="45"/>
  <c r="AK78" i="45" s="1"/>
  <c r="AI78" i="41" s="1"/>
  <c r="AJ87" i="46"/>
  <c r="AK87" i="46" s="1"/>
  <c r="AJ87" i="41" s="1"/>
  <c r="AG87" i="46"/>
  <c r="AH87" i="46" s="1"/>
  <c r="AF88" i="46"/>
  <c r="AJ90" i="38"/>
  <c r="AK90" i="38" s="1"/>
  <c r="AF91" i="38"/>
  <c r="AG90" i="38"/>
  <c r="AH90" i="38" s="1"/>
  <c r="AH89" i="41"/>
  <c r="AL89" i="41" s="1"/>
  <c r="AF80" i="45" l="1"/>
  <c r="AG79" i="45"/>
  <c r="AH79" i="45" s="1"/>
  <c r="AJ79" i="45"/>
  <c r="AK79" i="45" s="1"/>
  <c r="AI79" i="41" s="1"/>
  <c r="AG88" i="46"/>
  <c r="AH88" i="46" s="1"/>
  <c r="AF89" i="46"/>
  <c r="AJ88" i="46"/>
  <c r="AK88" i="46" s="1"/>
  <c r="AJ88" i="41" s="1"/>
  <c r="AG91" i="38"/>
  <c r="AH91" i="38" s="1"/>
  <c r="AF92" i="38"/>
  <c r="AJ91" i="38"/>
  <c r="AK91" i="38" s="1"/>
  <c r="AH90" i="41"/>
  <c r="AL90" i="41" s="1"/>
  <c r="AG80" i="45" l="1"/>
  <c r="AH80" i="45" s="1"/>
  <c r="AJ80" i="45"/>
  <c r="AK80" i="45" s="1"/>
  <c r="AI80" i="41" s="1"/>
  <c r="AF81" i="45"/>
  <c r="AF90" i="46"/>
  <c r="AG89" i="46"/>
  <c r="AH89" i="46" s="1"/>
  <c r="AJ89" i="46"/>
  <c r="AK89" i="46" s="1"/>
  <c r="AJ89" i="41" s="1"/>
  <c r="AH91" i="41"/>
  <c r="AL91" i="41" s="1"/>
  <c r="AJ92" i="38"/>
  <c r="AK92" i="38" s="1"/>
  <c r="AG92" i="38"/>
  <c r="AH92" i="38" s="1"/>
  <c r="AF93" i="38"/>
  <c r="AG81" i="45" l="1"/>
  <c r="AH81" i="45" s="1"/>
  <c r="AJ81" i="45"/>
  <c r="AK81" i="45" s="1"/>
  <c r="AI81" i="41" s="1"/>
  <c r="AF82" i="45"/>
  <c r="AF91" i="46"/>
  <c r="AJ90" i="46"/>
  <c r="AK90" i="46" s="1"/>
  <c r="AJ90" i="41" s="1"/>
  <c r="AG90" i="46"/>
  <c r="AH90" i="46" s="1"/>
  <c r="AH92" i="41"/>
  <c r="AL92" i="41" s="1"/>
  <c r="AJ93" i="38"/>
  <c r="AK93" i="38" s="1"/>
  <c r="AF94" i="38"/>
  <c r="AG93" i="38"/>
  <c r="AH93" i="38" s="1"/>
  <c r="AJ82" i="45" l="1"/>
  <c r="AK82" i="45" s="1"/>
  <c r="AI82" i="41" s="1"/>
  <c r="AG82" i="45"/>
  <c r="AH82" i="45" s="1"/>
  <c r="AF83" i="45"/>
  <c r="AG91" i="46"/>
  <c r="AH91" i="46" s="1"/>
  <c r="AJ91" i="46"/>
  <c r="AK91" i="46" s="1"/>
  <c r="AJ91" i="41" s="1"/>
  <c r="AF92" i="46"/>
  <c r="AH93" i="41"/>
  <c r="AL93" i="41" s="1"/>
  <c r="AJ94" i="38"/>
  <c r="AK94" i="38" s="1"/>
  <c r="AF95" i="38"/>
  <c r="AG94" i="38"/>
  <c r="AH94" i="38" s="1"/>
  <c r="AF84" i="45" l="1"/>
  <c r="AG83" i="45"/>
  <c r="AH83" i="45" s="1"/>
  <c r="AJ83" i="45"/>
  <c r="AK83" i="45" s="1"/>
  <c r="AI83" i="41" s="1"/>
  <c r="AG92" i="46"/>
  <c r="AH92" i="46" s="1"/>
  <c r="AF93" i="46"/>
  <c r="AJ92" i="46"/>
  <c r="AK92" i="46" s="1"/>
  <c r="AJ92" i="41" s="1"/>
  <c r="AH94" i="41"/>
  <c r="AL94" i="41" s="1"/>
  <c r="AJ95" i="38"/>
  <c r="AK95" i="38" s="1"/>
  <c r="AG95" i="38"/>
  <c r="AH95" i="38" s="1"/>
  <c r="AF96" i="38"/>
  <c r="AG84" i="45" l="1"/>
  <c r="AH84" i="45" s="1"/>
  <c r="AJ84" i="45"/>
  <c r="AK84" i="45" s="1"/>
  <c r="AI84" i="41" s="1"/>
  <c r="AF85" i="45"/>
  <c r="AJ93" i="46"/>
  <c r="AK93" i="46" s="1"/>
  <c r="AJ93" i="41" s="1"/>
  <c r="AF94" i="46"/>
  <c r="AG93" i="46"/>
  <c r="AH93" i="46" s="1"/>
  <c r="AH95" i="41"/>
  <c r="AL95" i="41" s="1"/>
  <c r="AF97" i="38"/>
  <c r="AG96" i="38"/>
  <c r="AH96" i="38" s="1"/>
  <c r="AJ96" i="38"/>
  <c r="AK96" i="38" s="1"/>
  <c r="AF86" i="45" l="1"/>
  <c r="AG85" i="45"/>
  <c r="AH85" i="45" s="1"/>
  <c r="AJ85" i="45"/>
  <c r="AK85" i="45" s="1"/>
  <c r="AI85" i="41" s="1"/>
  <c r="AG94" i="46"/>
  <c r="AH94" i="46" s="1"/>
  <c r="AF95" i="46"/>
  <c r="AJ94" i="46"/>
  <c r="AK94" i="46" s="1"/>
  <c r="AJ94" i="41" s="1"/>
  <c r="AJ97" i="38"/>
  <c r="AK97" i="38" s="1"/>
  <c r="AF98" i="38"/>
  <c r="AG97" i="38"/>
  <c r="AH97" i="38" s="1"/>
  <c r="AH96" i="41"/>
  <c r="AL96" i="41" s="1"/>
  <c r="AF87" i="45" l="1"/>
  <c r="AG86" i="45"/>
  <c r="AH86" i="45" s="1"/>
  <c r="AJ86" i="45"/>
  <c r="AK86" i="45" s="1"/>
  <c r="AI86" i="41" s="1"/>
  <c r="AG95" i="46"/>
  <c r="AH95" i="46" s="1"/>
  <c r="AF96" i="46"/>
  <c r="AJ95" i="46"/>
  <c r="AK95" i="46" s="1"/>
  <c r="AJ95" i="41" s="1"/>
  <c r="AJ98" i="38"/>
  <c r="AK98" i="38" s="1"/>
  <c r="AF99" i="38"/>
  <c r="AG98" i="38"/>
  <c r="AH98" i="38" s="1"/>
  <c r="AH97" i="41"/>
  <c r="AL97" i="41" s="1"/>
  <c r="AG87" i="45" l="1"/>
  <c r="AH87" i="45" s="1"/>
  <c r="AF88" i="45"/>
  <c r="AJ87" i="45"/>
  <c r="AK87" i="45" s="1"/>
  <c r="AI87" i="41" s="1"/>
  <c r="AG96" i="46"/>
  <c r="AH96" i="46" s="1"/>
  <c r="AF97" i="46"/>
  <c r="AJ96" i="46"/>
  <c r="AK96" i="46" s="1"/>
  <c r="AJ96" i="41" s="1"/>
  <c r="AJ99" i="38"/>
  <c r="AK99" i="38" s="1"/>
  <c r="AF100" i="38"/>
  <c r="AF101" i="38" s="1"/>
  <c r="AG99" i="38"/>
  <c r="AH98" i="41"/>
  <c r="AL98" i="41" s="1"/>
  <c r="AJ88" i="45" l="1"/>
  <c r="AK88" i="45" s="1"/>
  <c r="AI88" i="41" s="1"/>
  <c r="AF89" i="45"/>
  <c r="AG88" i="45"/>
  <c r="AH88" i="45" s="1"/>
  <c r="AF98" i="46"/>
  <c r="AJ97" i="46"/>
  <c r="AK97" i="46" s="1"/>
  <c r="AJ97" i="41" s="1"/>
  <c r="AG97" i="46"/>
  <c r="AH97" i="46" s="1"/>
  <c r="AJ101" i="38"/>
  <c r="AK101" i="38" s="1"/>
  <c r="AH101" i="41" s="1"/>
  <c r="AL101" i="41" s="1"/>
  <c r="AF102" i="38"/>
  <c r="AG101" i="38"/>
  <c r="AH101" i="38" s="1"/>
  <c r="AH99" i="38"/>
  <c r="AJ100" i="38"/>
  <c r="AK100" i="38" s="1"/>
  <c r="AG100" i="38"/>
  <c r="AH100" i="38" s="1"/>
  <c r="AH99" i="41"/>
  <c r="AL99" i="41" s="1"/>
  <c r="AF90" i="45" l="1"/>
  <c r="AJ89" i="45"/>
  <c r="AK89" i="45" s="1"/>
  <c r="AI89" i="41" s="1"/>
  <c r="AG89" i="45"/>
  <c r="AH89" i="45" s="1"/>
  <c r="AG98" i="46"/>
  <c r="AH98" i="46" s="1"/>
  <c r="AF99" i="46"/>
  <c r="AJ98" i="46"/>
  <c r="AK98" i="46" s="1"/>
  <c r="AJ98" i="41" s="1"/>
  <c r="AJ102" i="38"/>
  <c r="AK102" i="38" s="1"/>
  <c r="AH102" i="41" s="1"/>
  <c r="AL102" i="41" s="1"/>
  <c r="AF103" i="38"/>
  <c r="AG102" i="38"/>
  <c r="AH102" i="38" s="1"/>
  <c r="AH100" i="41"/>
  <c r="AL100" i="41" s="1"/>
  <c r="AG90" i="45" l="1"/>
  <c r="AH90" i="45" s="1"/>
  <c r="AF91" i="45"/>
  <c r="AJ90" i="45"/>
  <c r="AK90" i="45" s="1"/>
  <c r="AI90" i="41" s="1"/>
  <c r="AG99" i="46"/>
  <c r="AH99" i="46" s="1"/>
  <c r="AJ99" i="46"/>
  <c r="AK99" i="46" s="1"/>
  <c r="AJ99" i="41" s="1"/>
  <c r="AF100" i="46"/>
  <c r="AJ103" i="38"/>
  <c r="AK103" i="38" s="1"/>
  <c r="AH103" i="41" s="1"/>
  <c r="AL103" i="41" s="1"/>
  <c r="AF104" i="38"/>
  <c r="AG103" i="38"/>
  <c r="AH103" i="38" s="1"/>
  <c r="AJ91" i="45" l="1"/>
  <c r="AK91" i="45" s="1"/>
  <c r="AI91" i="41" s="1"/>
  <c r="AG91" i="45"/>
  <c r="AH91" i="45" s="1"/>
  <c r="AF92" i="45"/>
  <c r="AF101" i="46"/>
  <c r="AG100" i="46"/>
  <c r="AH100" i="46" s="1"/>
  <c r="AJ100" i="46"/>
  <c r="AK100" i="46" s="1"/>
  <c r="AJ100" i="41" s="1"/>
  <c r="AJ104" i="38"/>
  <c r="AK104" i="38" s="1"/>
  <c r="AH104" i="41" s="1"/>
  <c r="AL104" i="41" s="1"/>
  <c r="AG104" i="38"/>
  <c r="AF105" i="38"/>
  <c r="AJ92" i="45" l="1"/>
  <c r="AK92" i="45" s="1"/>
  <c r="AI92" i="41" s="1"/>
  <c r="AF93" i="45"/>
  <c r="AG92" i="45"/>
  <c r="AH92" i="45" s="1"/>
  <c r="AG101" i="46"/>
  <c r="AH101" i="46" s="1"/>
  <c r="AJ101" i="46"/>
  <c r="AK101" i="46" s="1"/>
  <c r="AJ101" i="41" s="1"/>
  <c r="AF102" i="46"/>
  <c r="AJ105" i="38"/>
  <c r="AK105" i="38" s="1"/>
  <c r="AH105" i="41" s="1"/>
  <c r="AL105" i="41" s="1"/>
  <c r="AF106" i="38"/>
  <c r="AG105" i="38"/>
  <c r="AH105" i="38" s="1"/>
  <c r="AH104" i="38"/>
  <c r="AJ93" i="45" l="1"/>
  <c r="AK93" i="45" s="1"/>
  <c r="AI93" i="41" s="1"/>
  <c r="AF94" i="45"/>
  <c r="AG93" i="45"/>
  <c r="AH93" i="45" s="1"/>
  <c r="AG102" i="46"/>
  <c r="AH102" i="46" s="1"/>
  <c r="AF103" i="46"/>
  <c r="AJ102" i="46"/>
  <c r="AK102" i="46" s="1"/>
  <c r="AJ102" i="41" s="1"/>
  <c r="AJ106" i="38"/>
  <c r="AK106" i="38" s="1"/>
  <c r="AH106" i="41" s="1"/>
  <c r="AL106" i="41" s="1"/>
  <c r="AF107" i="38"/>
  <c r="AG106" i="38"/>
  <c r="AF95" i="45" l="1"/>
  <c r="AJ94" i="45"/>
  <c r="AK94" i="45" s="1"/>
  <c r="AI94" i="41" s="1"/>
  <c r="AG94" i="45"/>
  <c r="AH94" i="45" s="1"/>
  <c r="AF104" i="46"/>
  <c r="AG103" i="46"/>
  <c r="AH103" i="46" s="1"/>
  <c r="AJ103" i="46"/>
  <c r="AK103" i="46" s="1"/>
  <c r="AJ103" i="41" s="1"/>
  <c r="AH106" i="38"/>
  <c r="AJ107" i="38"/>
  <c r="AK107" i="38" s="1"/>
  <c r="AH107" i="41" s="1"/>
  <c r="AL107" i="41" s="1"/>
  <c r="AG107" i="38"/>
  <c r="AH107" i="38" s="1"/>
  <c r="AF108" i="38"/>
  <c r="AG95" i="45" l="1"/>
  <c r="AH95" i="45" s="1"/>
  <c r="AF96" i="45"/>
  <c r="AJ95" i="45"/>
  <c r="AK95" i="45" s="1"/>
  <c r="AI95" i="41" s="1"/>
  <c r="AJ104" i="46"/>
  <c r="AK104" i="46" s="1"/>
  <c r="AJ104" i="41" s="1"/>
  <c r="AF105" i="46"/>
  <c r="AG104" i="46"/>
  <c r="AH104" i="46" s="1"/>
  <c r="AJ108" i="38"/>
  <c r="AK108" i="38" s="1"/>
  <c r="AH108" i="41" s="1"/>
  <c r="AL108" i="41" s="1"/>
  <c r="AF109" i="38"/>
  <c r="AG108" i="38"/>
  <c r="AH108" i="38" s="1"/>
  <c r="AG96" i="45" l="1"/>
  <c r="AH96" i="45" s="1"/>
  <c r="AJ96" i="45"/>
  <c r="AK96" i="45" s="1"/>
  <c r="AI96" i="41" s="1"/>
  <c r="AF97" i="45"/>
  <c r="AG105" i="46"/>
  <c r="AH105" i="46" s="1"/>
  <c r="AF106" i="46"/>
  <c r="AJ105" i="46"/>
  <c r="AK105" i="46" s="1"/>
  <c r="AJ105" i="41" s="1"/>
  <c r="AJ109" i="38"/>
  <c r="AK109" i="38" s="1"/>
  <c r="AH109" i="41" s="1"/>
  <c r="AL109" i="41" s="1"/>
  <c r="AF110" i="38"/>
  <c r="AG109" i="38"/>
  <c r="AH109" i="38" s="1"/>
  <c r="AG97" i="45" l="1"/>
  <c r="AH97" i="45" s="1"/>
  <c r="AJ97" i="45"/>
  <c r="AK97" i="45" s="1"/>
  <c r="AI97" i="41" s="1"/>
  <c r="AF98" i="45"/>
  <c r="AF107" i="46"/>
  <c r="AG106" i="46"/>
  <c r="AH106" i="46" s="1"/>
  <c r="AJ106" i="46"/>
  <c r="AK106" i="46" s="1"/>
  <c r="AJ106" i="41" s="1"/>
  <c r="AJ110" i="38"/>
  <c r="AK110" i="38" s="1"/>
  <c r="AH110" i="41" s="1"/>
  <c r="AL110" i="41" s="1"/>
  <c r="AG110" i="38"/>
  <c r="AG98" i="45" l="1"/>
  <c r="AH98" i="45" s="1"/>
  <c r="AJ98" i="45"/>
  <c r="AK98" i="45" s="1"/>
  <c r="AI98" i="41" s="1"/>
  <c r="AF99" i="45"/>
  <c r="AJ107" i="46"/>
  <c r="AK107" i="46" s="1"/>
  <c r="AJ107" i="41" s="1"/>
  <c r="AG107" i="46"/>
  <c r="AH107" i="46" s="1"/>
  <c r="AF108" i="46"/>
  <c r="AH110" i="38"/>
  <c r="AH17" i="38" s="1"/>
  <c r="AH15" i="38" s="1"/>
  <c r="AG17" i="38"/>
  <c r="AG99" i="45" l="1"/>
  <c r="AH99" i="45" s="1"/>
  <c r="AF100" i="45"/>
  <c r="AJ99" i="45"/>
  <c r="AK99" i="45" s="1"/>
  <c r="AI99" i="41" s="1"/>
  <c r="AJ108" i="46"/>
  <c r="AK108" i="46" s="1"/>
  <c r="AJ108" i="41" s="1"/>
  <c r="AG108" i="46"/>
  <c r="AH108" i="46" s="1"/>
  <c r="AF109" i="46"/>
  <c r="AJ100" i="45" l="1"/>
  <c r="AK100" i="45" s="1"/>
  <c r="AI100" i="41" s="1"/>
  <c r="AF101" i="45"/>
  <c r="AG100" i="45"/>
  <c r="AH100" i="45" s="1"/>
  <c r="AF110" i="46"/>
  <c r="AG109" i="46"/>
  <c r="AJ109" i="46"/>
  <c r="AK109" i="46" s="1"/>
  <c r="AJ109" i="41" s="1"/>
  <c r="AF102" i="45" l="1"/>
  <c r="AG101" i="45"/>
  <c r="AH101" i="45" s="1"/>
  <c r="AJ101" i="45"/>
  <c r="AK101" i="45" s="1"/>
  <c r="AI101" i="41" s="1"/>
  <c r="AH109" i="46"/>
  <c r="AG110" i="46"/>
  <c r="AH110" i="46" s="1"/>
  <c r="AJ110" i="46"/>
  <c r="AK110" i="46" s="1"/>
  <c r="AJ110" i="41" s="1"/>
  <c r="AH17" i="46" l="1"/>
  <c r="AH15" i="46" s="1"/>
  <c r="AJ102" i="45"/>
  <c r="AK102" i="45" s="1"/>
  <c r="AI102" i="41" s="1"/>
  <c r="AG102" i="45"/>
  <c r="AH102" i="45" s="1"/>
  <c r="AF103" i="45"/>
  <c r="AG17" i="46"/>
  <c r="AF104" i="45" l="1"/>
  <c r="AJ103" i="45"/>
  <c r="AK103" i="45" s="1"/>
  <c r="AI103" i="41" s="1"/>
  <c r="AG103" i="45"/>
  <c r="AH103" i="45" s="1"/>
  <c r="AF105" i="45" l="1"/>
  <c r="AG104" i="45"/>
  <c r="AJ104" i="45"/>
  <c r="AK104" i="45" s="1"/>
  <c r="AI104" i="41" s="1"/>
  <c r="AG105" i="45" l="1"/>
  <c r="AH105" i="45" s="1"/>
  <c r="AJ105" i="45"/>
  <c r="AK105" i="45" s="1"/>
  <c r="AI105" i="41" s="1"/>
  <c r="AF106" i="45"/>
  <c r="AH104" i="45"/>
  <c r="AF107" i="45" l="1"/>
  <c r="AG106" i="45"/>
  <c r="AJ106" i="45"/>
  <c r="AK106" i="45" s="1"/>
  <c r="AI106" i="41" s="1"/>
  <c r="AH106" i="45" l="1"/>
  <c r="AF108" i="45"/>
  <c r="AG107" i="45"/>
  <c r="AH107" i="45" s="1"/>
  <c r="AJ107" i="45"/>
  <c r="AK107" i="45" s="1"/>
  <c r="AI107" i="41" s="1"/>
  <c r="AG108" i="45" l="1"/>
  <c r="AF109" i="45"/>
  <c r="AJ108" i="45"/>
  <c r="AK108" i="45" s="1"/>
  <c r="AI108" i="41" s="1"/>
  <c r="AJ109" i="45" l="1"/>
  <c r="AK109" i="45" s="1"/>
  <c r="AI109" i="41" s="1"/>
  <c r="AG109" i="45"/>
  <c r="AH109" i="45" s="1"/>
  <c r="AF110" i="45"/>
  <c r="AH108" i="45"/>
  <c r="AF111" i="45" l="1"/>
  <c r="AG110" i="45"/>
  <c r="AJ110" i="45"/>
  <c r="AK110" i="45" s="1"/>
  <c r="AI110" i="41" s="1"/>
  <c r="AH110" i="45" l="1"/>
  <c r="AJ111" i="45"/>
  <c r="AK111" i="45" s="1"/>
  <c r="AI111" i="41" s="1"/>
  <c r="AF112" i="45"/>
  <c r="AG111" i="45"/>
  <c r="AH111" i="45" s="1"/>
  <c r="AJ112" i="45" l="1"/>
  <c r="AK112" i="45" s="1"/>
  <c r="AI112" i="41" s="1"/>
  <c r="AF113" i="45"/>
  <c r="AG112" i="45"/>
  <c r="AH112" i="45" l="1"/>
  <c r="AJ113" i="45"/>
  <c r="AK113" i="45" s="1"/>
  <c r="AI113" i="41" s="1"/>
  <c r="AF114" i="45"/>
  <c r="AG113" i="45"/>
  <c r="AH113" i="45" s="1"/>
  <c r="AJ114" i="45" l="1"/>
  <c r="AK114" i="45" s="1"/>
  <c r="AI114" i="41" s="1"/>
  <c r="AF115" i="45"/>
  <c r="AG114" i="45"/>
  <c r="AH114" i="45" s="1"/>
  <c r="AJ115" i="45" l="1"/>
  <c r="AK115" i="45" s="1"/>
  <c r="AI115" i="41" s="1"/>
  <c r="AF116" i="45"/>
  <c r="AG115" i="45"/>
  <c r="AH115" i="45" s="1"/>
  <c r="AJ116" i="45" l="1"/>
  <c r="AK116" i="45" s="1"/>
  <c r="AI116" i="41" s="1"/>
  <c r="AG116" i="45"/>
  <c r="AH116" i="45" s="1"/>
  <c r="AF117" i="45"/>
  <c r="AJ117" i="45" l="1"/>
  <c r="AK117" i="45" s="1"/>
  <c r="AI117" i="41" s="1"/>
  <c r="AG117" i="45"/>
  <c r="AH117" i="45" s="1"/>
  <c r="AF118" i="45"/>
  <c r="AJ118" i="45" l="1"/>
  <c r="AK118" i="45" s="1"/>
  <c r="AI118" i="41" s="1"/>
  <c r="AF119" i="45"/>
  <c r="AG118" i="45"/>
  <c r="AH118" i="45" s="1"/>
  <c r="AJ119" i="45" l="1"/>
  <c r="AK119" i="45" s="1"/>
  <c r="AI119" i="41" s="1"/>
  <c r="AG119" i="45"/>
  <c r="AH119" i="45" s="1"/>
  <c r="AF120" i="45"/>
  <c r="AJ120" i="45" l="1"/>
  <c r="AK120" i="45" s="1"/>
  <c r="AI120" i="41" s="1"/>
  <c r="AG120" i="45"/>
  <c r="AH120" i="45" l="1"/>
  <c r="AH17" i="45" s="1"/>
  <c r="AH15" i="45" s="1"/>
  <c r="AG17" i="45"/>
</calcChain>
</file>

<file path=xl/sharedStrings.xml><?xml version="1.0" encoding="utf-8"?>
<sst xmlns="http://schemas.openxmlformats.org/spreadsheetml/2006/main" count="698" uniqueCount="301">
  <si>
    <t>M</t>
  </si>
  <si>
    <t>F</t>
  </si>
  <si>
    <t>q_x</t>
  </si>
  <si>
    <t>w_x</t>
  </si>
  <si>
    <t>Männer</t>
  </si>
  <si>
    <t>l_x</t>
  </si>
  <si>
    <t>D_x</t>
  </si>
  <si>
    <t>a_x</t>
  </si>
  <si>
    <t>K_x</t>
  </si>
  <si>
    <t>Geschlecht</t>
  </si>
  <si>
    <t>Frauen</t>
  </si>
  <si>
    <t>x</t>
  </si>
  <si>
    <t>s_x</t>
  </si>
  <si>
    <t>1 - s_x</t>
  </si>
  <si>
    <t>N_x</t>
  </si>
  <si>
    <t>O_x</t>
  </si>
  <si>
    <t>U_x</t>
  </si>
  <si>
    <t>GrA_x</t>
  </si>
  <si>
    <t>p_x</t>
  </si>
  <si>
    <t>z°p_x</t>
  </si>
  <si>
    <t>.</t>
  </si>
  <si>
    <t>Berechnungsalter</t>
  </si>
  <si>
    <t>Kopfschäden</t>
  </si>
  <si>
    <t>Rd'Stellen</t>
  </si>
  <si>
    <t>G</t>
  </si>
  <si>
    <t>Zillmerung</t>
  </si>
  <si>
    <t>k_x</t>
  </si>
  <si>
    <t>r</t>
  </si>
  <si>
    <t>alphaZx</t>
  </si>
  <si>
    <t>jun</t>
  </si>
  <si>
    <t>sen</t>
  </si>
  <si>
    <t>B°Z_x</t>
  </si>
  <si>
    <t>b°Z_x</t>
  </si>
  <si>
    <t>B~°Z_x</t>
  </si>
  <si>
    <t>b~°Z_x</t>
  </si>
  <si>
    <t>normierte Kopfschäden</t>
  </si>
  <si>
    <t>z_x</t>
  </si>
  <si>
    <t>b^r_js</t>
  </si>
  <si>
    <t>S</t>
  </si>
  <si>
    <t>SZ</t>
  </si>
  <si>
    <t>x_r</t>
  </si>
  <si>
    <t>x_N</t>
  </si>
  <si>
    <t>i.O.</t>
  </si>
  <si>
    <t>Achtung</t>
  </si>
  <si>
    <t>Beitrags-Monotonisierung</t>
  </si>
  <si>
    <t>Meldung</t>
  </si>
  <si>
    <t>x_0</t>
  </si>
  <si>
    <t>Ausscheideordnung</t>
  </si>
  <si>
    <t>restliche Vertragsdauer</t>
  </si>
  <si>
    <t>verzinste Sparprämie</t>
  </si>
  <si>
    <t>Zins auf vorhandene AR</t>
  </si>
  <si>
    <t>geerbte AR</t>
  </si>
  <si>
    <t>Zuführung</t>
  </si>
  <si>
    <t>Grenzalter</t>
  </si>
  <si>
    <t>Reduktionsschritt</t>
  </si>
  <si>
    <t>x_J</t>
  </si>
  <si>
    <t>KJ</t>
  </si>
  <si>
    <t>Abweichg. auf Grund Numerik</t>
  </si>
  <si>
    <t>Nettoprämie</t>
  </si>
  <si>
    <t>Risikoanteil</t>
  </si>
  <si>
    <t>geerbte diskontierte AR</t>
  </si>
  <si>
    <t>MF</t>
  </si>
  <si>
    <t>Frauen+Männer</t>
  </si>
  <si>
    <t>ungezillmerte Alterungsrückstellung</t>
  </si>
  <si>
    <t>Nettoprämie: Aufteilung</t>
  </si>
  <si>
    <t>Erhöhung</t>
  </si>
  <si>
    <t>Umrechnung von Voll- auf GKV-Ergänzungsversicherung</t>
  </si>
  <si>
    <t>i3</t>
  </si>
  <si>
    <t>i2</t>
  </si>
  <si>
    <t>i1</t>
  </si>
  <si>
    <t>ungezillmerte Alterungsrückstellung: Zuführung</t>
  </si>
  <si>
    <t>Sto 0</t>
  </si>
  <si>
    <t>PKV 2013</t>
  </si>
  <si>
    <t>PKV 2014</t>
  </si>
  <si>
    <t>PKV 2015</t>
  </si>
  <si>
    <t>PKV 0</t>
  </si>
  <si>
    <t>1_Amb_N_0-100</t>
  </si>
  <si>
    <t>F S-Kosten</t>
  </si>
  <si>
    <t>2013</t>
  </si>
  <si>
    <t>M Bestand</t>
  </si>
  <si>
    <t>F Bestand</t>
  </si>
  <si>
    <t>MF S-Kosten</t>
  </si>
  <si>
    <t>M vSK</t>
  </si>
  <si>
    <t>F vSK</t>
  </si>
  <si>
    <t>1_Amb_N_251-400</t>
  </si>
  <si>
    <t>1_Amb_N_901-1100</t>
  </si>
  <si>
    <t>2_Stat_N_EB</t>
  </si>
  <si>
    <t>2_Stat_N_ZB</t>
  </si>
  <si>
    <t>2_Stat_N_MB</t>
  </si>
  <si>
    <t>3_Zahn_N_Ers_70-80</t>
  </si>
  <si>
    <t>3_Zahn_N_Ers_50-65</t>
  </si>
  <si>
    <t>3_Zahn_N_Beh</t>
  </si>
  <si>
    <t>ja</t>
  </si>
  <si>
    <t>nein</t>
  </si>
  <si>
    <t>Primo kompakt 2013</t>
  </si>
  <si>
    <t>Secundo kompakt 2013</t>
  </si>
  <si>
    <t>Tertio kompakt 2013</t>
  </si>
  <si>
    <t>Anzahl der Personen des verteuernden Geschlechts werden erhöht</t>
  </si>
  <si>
    <t>lambdax-Vorsicht</t>
  </si>
  <si>
    <t>2012</t>
  </si>
  <si>
    <t>D:\LMU\2015\Material 2015\WK-Tafeln 2012\[AmbSo_0-100_12.xls]männlich</t>
  </si>
  <si>
    <t>D:\LMU\2015\Material 2015\WK-Tafeln 2012\[S_AmbSo_0-100_12.xls]weiblich</t>
  </si>
  <si>
    <t>D:\LMU\2015\Material 2015\WK-Tafeln 2012\[AmbSo_251-400_12.xls]männlich</t>
  </si>
  <si>
    <t>D:\LMU\2015\Material 2015\WK-Tafeln 2012\[S_AmbSo_251-400_12.xls]weiblich</t>
  </si>
  <si>
    <t>D:\LMU\2015\Material 2015\WK-Tafeln 2012\[AmbSo_901-1100_12.xls]männlich</t>
  </si>
  <si>
    <t>D:\LMU\2015\Material 2015\WK-Tafeln 2012\[S_AmbSo_901-1100_12.xls]weiblich</t>
  </si>
  <si>
    <t>D:\LMU\2015\Material 2015\WK-Tafeln 2012\[Stat_EB_12.xls]männlich</t>
  </si>
  <si>
    <t>D:\LMU\2015\Material 2015\WK-Tafeln 2012\[S_Stat_EB_12.xls]weiblich</t>
  </si>
  <si>
    <t>D:\LMU\2015\Material 2015\WK-Tafeln 2012\[Stat_ZB_12.xls]männlich</t>
  </si>
  <si>
    <t>D:\LMU\2015\Material 2015\WK-Tafeln 2012\[S_Stat_ZB_12.xls]weiblich</t>
  </si>
  <si>
    <t>D:\LMU\2015\Material 2015\WK-Tafeln 2012\[Stat_MB_12.xls]männlich</t>
  </si>
  <si>
    <t>D:\LMU\2015\Material 2015\WK-Tafeln 2012\[S_Stat_MB_12.xls]weiblich</t>
  </si>
  <si>
    <t>D:\LMU\2015\Material 2015\WK-Tafeln 2012\[Zahnbeh_12.xls]männlich</t>
  </si>
  <si>
    <t>D:\LMU\2015\Material 2015\WK-Tafeln 2012\[S_Zahnbeh_12.xls]weiblich</t>
  </si>
  <si>
    <t>D:\LMU\2015\Material 2015\WK-Tafeln 2012\[ZaErs70-80_12.xls]männlich</t>
  </si>
  <si>
    <t>D:\LMU\2015\Material 2015\WK-Tafeln 2012\[S_ZaErs70-80_12.xls]weiblich</t>
  </si>
  <si>
    <t>D:\LMU\2015\Material 2015\WK-Tafeln 2012\[ZaErs50-65_12.xls]männlich</t>
  </si>
  <si>
    <t>D:\LMU\2015\Material 2015\WK-Tafeln 2012\[S_ZaErs50-65_12.xls]weiblich</t>
  </si>
  <si>
    <t>Primo kompakt 2012</t>
  </si>
  <si>
    <t>Secundo kompakt 2012</t>
  </si>
  <si>
    <t>Tertio kompakt 2012</t>
  </si>
  <si>
    <t>Tarif</t>
  </si>
  <si>
    <t>Rechnungsmäßig-Lebende</t>
  </si>
  <si>
    <t>Verzinsung und Vererbung</t>
  </si>
  <si>
    <t>ungezillmerte Alterungsrückstellung: Fortschreibung</t>
  </si>
  <si>
    <t xml:space="preserve"> − </t>
  </si>
  <si>
    <t>vorhandende AR des Vorjahres</t>
  </si>
  <si>
    <t>Sparprämie des Vorjahres</t>
  </si>
  <si>
    <t>GKV-Erg Primo stationär 2013</t>
  </si>
  <si>
    <t>Primo zahn 2013</t>
  </si>
  <si>
    <t>x_KM</t>
  </si>
  <si>
    <t>^quer</t>
  </si>
  <si>
    <t>normierte gez. Alterungsrückstellung</t>
  </si>
  <si>
    <t>GKV-Erg Primo stationär 2012</t>
  </si>
  <si>
    <t>Vollversicherung</t>
  </si>
  <si>
    <t>GKV-Ergänzungs-Versicherung</t>
  </si>
  <si>
    <t>λ_x</t>
  </si>
  <si>
    <t>α^Z_x</t>
  </si>
  <si>
    <t>Δ_js</t>
  </si>
  <si>
    <t>Δ~^r_js</t>
  </si>
  <si>
    <t>V_x;x+m</t>
  </si>
  <si>
    <t>x+m</t>
  </si>
  <si>
    <t>normierte ungezillmerte Alterungsrückstellung</t>
  </si>
  <si>
    <t>Nix</t>
  </si>
  <si>
    <t>v_x;x+m</t>
  </si>
  <si>
    <t>v</t>
  </si>
  <si>
    <t>Tarifänderung i2 -&gt; i1</t>
  </si>
  <si>
    <t>v^Z_x;x+m</t>
  </si>
  <si>
    <t>V^Z_x;x+m</t>
  </si>
  <si>
    <t>gezillmerte Alterungsrückstellung</t>
  </si>
  <si>
    <t>glvert</t>
  </si>
  <si>
    <t>mSK</t>
  </si>
  <si>
    <t>oSK</t>
  </si>
  <si>
    <t xml:space="preserve"> Frauen mit SM-Leistungen</t>
  </si>
  <si>
    <t xml:space="preserve"> Frauen mit gleichverteilten SM-Leistungen</t>
  </si>
  <si>
    <t xml:space="preserve"> Frauen ohne SM-Leistungen</t>
  </si>
  <si>
    <t xml:space="preserve"> SM-Leistungen</t>
  </si>
  <si>
    <t xml:space="preserve"> gleichverteilte SM-Leistungen</t>
  </si>
  <si>
    <t>SM-Leistung</t>
  </si>
  <si>
    <t xml:space="preserve"> Frauen mit einzelalterverteilte SM-Leistungen</t>
  </si>
  <si>
    <t xml:space="preserve"> einzelalterverteilte SM-Leistungen</t>
  </si>
  <si>
    <t>Gezillmerte Nettoprämie: Aufteilung</t>
  </si>
  <si>
    <t>Gez. Nettoprämie</t>
  </si>
  <si>
    <t>eigener Anteil an Sparbeitrag</t>
  </si>
  <si>
    <t>Berechnungen runden</t>
  </si>
  <si>
    <t>2014</t>
  </si>
  <si>
    <t>Primo kompakt 2014</t>
  </si>
  <si>
    <t>Secundo kompakt 2014</t>
  </si>
  <si>
    <t>Tertio kompakt 2014</t>
  </si>
  <si>
    <t>Primo zahn 2014</t>
  </si>
  <si>
    <t>GKV-Erg Primo stationär 2014</t>
  </si>
  <si>
    <t>PKV 2016</t>
  </si>
  <si>
    <t>PKV 2017</t>
  </si>
  <si>
    <t>Primo zahn 2012</t>
  </si>
  <si>
    <t>max. mögl. Anzahl Jahr mit neg. AR, MIN( 15 ; Restlaufzeithalbe )</t>
  </si>
  <si>
    <t>Γ_js</t>
  </si>
  <si>
    <t>ambulanter Selbstbehalt 30 Euro, stationäre allgemeine Krankenhausleistungen mit Einbettzimmer, Zahnbehandlung und 80 Prozent Erstattung Zahnersatz</t>
  </si>
  <si>
    <t>Stornowahrscheinlichkeiten</t>
  </si>
  <si>
    <t xml:space="preserve">, </t>
  </si>
  <si>
    <t>γ_js</t>
  </si>
  <si>
    <t>x_ω</t>
  </si>
  <si>
    <t>Sto BaFin N 2012</t>
  </si>
  <si>
    <t>Sto BaFin N 2013</t>
  </si>
  <si>
    <t>Sto BaFin N 2014</t>
  </si>
  <si>
    <t>Sto BaFin N 2015</t>
  </si>
  <si>
    <t>GKV-Sto BaFin N 2012</t>
  </si>
  <si>
    <t>GKV-Sto BaFin N 2013</t>
  </si>
  <si>
    <t>GKV-Sto BaFin N 2014</t>
  </si>
  <si>
    <t>2015</t>
  </si>
  <si>
    <t>Geschl</t>
  </si>
  <si>
    <t>Zins</t>
  </si>
  <si>
    <t>Zuschläge</t>
  </si>
  <si>
    <t>Mors</t>
  </si>
  <si>
    <t>GES-Storno</t>
  </si>
  <si>
    <t>PKV-Storno</t>
  </si>
  <si>
    <t>Kosten</t>
  </si>
  <si>
    <t>Normierung</t>
  </si>
  <si>
    <t>w_x^GES</t>
  </si>
  <si>
    <t>w_x^PKV</t>
  </si>
  <si>
    <t>κ_x</t>
  </si>
  <si>
    <t>σ</t>
  </si>
  <si>
    <t>Ω</t>
  </si>
  <si>
    <t>η</t>
  </si>
  <si>
    <t>μ</t>
  </si>
  <si>
    <t>Rechnungszins</t>
  </si>
  <si>
    <r>
      <t>x_</t>
    </r>
    <r>
      <rPr>
        <sz val="8"/>
        <color indexed="13"/>
        <rFont val="Calibri"/>
        <family val="2"/>
      </rPr>
      <t>α</t>
    </r>
  </si>
  <si>
    <t>x_s</t>
  </si>
  <si>
    <t>Kalkulationsanfangsalter</t>
  </si>
  <si>
    <t>Kalkulationsendalter</t>
  </si>
  <si>
    <t>erstes Jugendlichenalter</t>
  </si>
  <si>
    <t>Eintrittsalter</t>
  </si>
  <si>
    <t>erstes Senioralter</t>
  </si>
  <si>
    <t>Bezugsalter dynamischer Kostensatz</t>
  </si>
  <si>
    <t>Storno</t>
  </si>
  <si>
    <t>kappa</t>
  </si>
  <si>
    <t>ÜW</t>
  </si>
  <si>
    <t>oÜW</t>
  </si>
  <si>
    <t>mÜW</t>
  </si>
  <si>
    <t>Übertragungswertanspruch</t>
  </si>
  <si>
    <t>Versicherungsart</t>
  </si>
  <si>
    <t>Kopfschaden</t>
  </si>
  <si>
    <t>Maximierungsalter</t>
  </si>
  <si>
    <t>Normierungsalter</t>
  </si>
  <si>
    <t>Maximierung</t>
  </si>
  <si>
    <t>EF</t>
  </si>
  <si>
    <t>VA</t>
  </si>
  <si>
    <t>Omega-Zuschlag</t>
  </si>
  <si>
    <t>Sicherheitszuschlag</t>
  </si>
  <si>
    <t>altersabhängige Zuschläge</t>
  </si>
  <si>
    <t>Kostensatz</t>
  </si>
  <si>
    <t>dynamisch</t>
  </si>
  <si>
    <t>fest</t>
  </si>
  <si>
    <t>ohne</t>
  </si>
  <si>
    <t>erste VJ</t>
  </si>
  <si>
    <t>spätere VJ</t>
  </si>
  <si>
    <t>Mindestwert</t>
  </si>
  <si>
    <t>α^σ</t>
  </si>
  <si>
    <t>derzeit nicht implementiert</t>
  </si>
  <si>
    <t>α^u</t>
  </si>
  <si>
    <t>α^m</t>
  </si>
  <si>
    <t>β</t>
  </si>
  <si>
    <t>ρ</t>
  </si>
  <si>
    <t>Durschnittsalter PKV</t>
  </si>
  <si>
    <t>bezogen auf PKV-Beiträge</t>
  </si>
  <si>
    <t>Versuch einer Kostenfestlegung</t>
  </si>
  <si>
    <t>J</t>
  </si>
  <si>
    <t>K</t>
  </si>
  <si>
    <t>GKS_K</t>
  </si>
  <si>
    <t>GKS_J</t>
  </si>
  <si>
    <t>zahn</t>
  </si>
  <si>
    <t>Zuschlag in den ersten VJ</t>
  </si>
  <si>
    <t>l_x-Startwert</t>
  </si>
  <si>
    <t>euBRE-Zuschlag</t>
  </si>
  <si>
    <t>Optionszuschlag</t>
  </si>
  <si>
    <t>Ο_x</t>
  </si>
  <si>
    <t>Β</t>
  </si>
  <si>
    <t>altersunabhängige Zuschläge</t>
  </si>
  <si>
    <t>SB</t>
  </si>
  <si>
    <t>C:\06-0 LMU\2017\Skript\Skriptzubehoer\WK-Tafeln 2015\[1_Amb_N_0-100.xls]</t>
  </si>
  <si>
    <t>C:\06-0 LMU\2017\Skript\Skriptzubehoer\WK-Tafeln 2015\[1_Amb_N_251-400.xls]</t>
  </si>
  <si>
    <t>C:\06-0 LMU\2017\Skript\Skriptzubehoer\WK-Tafeln 2015\[1_Amb_N_901-1100.xls]</t>
  </si>
  <si>
    <t>C:\06-0 LMU\2017\Skript\Skriptzubehoer\WK-Tafeln 2015\[2_Stat_N_EB]</t>
  </si>
  <si>
    <t>C:\06-0 LMU\2017\Skript\Skriptzubehoer\WK-Tafeln 2015\[2_Stat_N_ZB]</t>
  </si>
  <si>
    <t>C:\06-0 LMU\2017\Skript\Skriptzubehoer\WK-Tafeln 2015\[2_Stat_N_MB]</t>
  </si>
  <si>
    <t>C:\06-0 LMU\2017\Skript\Skriptzubehoer\WK-Tafeln 2015\[3_Zahn_N_Beh]</t>
  </si>
  <si>
    <t>C:\06-0 LMU\2017\Skript\Skriptzubehoer\WK-Tafeln 2015\[3_Zahn_N_Ers_70-80]</t>
  </si>
  <si>
    <t>C:\06-0 LMU\2017\Skript\Skriptzubehoer\WK-Tafeln 2015\[3_Zahn_N_Ers_50-65]</t>
  </si>
  <si>
    <t>C:\06-0 LMU\2017\Skript\Skriptzubehoer\WK-Tafeln 2015\[1_Amb_N_1401-1700.xls]</t>
  </si>
  <si>
    <t>C:\06-0 LMU\2017\Skript\Skriptzubehoer\WK-Tafeln 2015\[1_Amb_N_551-700.xls]</t>
  </si>
  <si>
    <t>1_Amb_N_551-700</t>
  </si>
  <si>
    <t>1_Amb_N_1401-1700</t>
  </si>
  <si>
    <t>Primo kompakt 2015</t>
  </si>
  <si>
    <t>Secundo kompakt 2015</t>
  </si>
  <si>
    <t>Tertio kompakt 2015</t>
  </si>
  <si>
    <t>Primo zahn 2015</t>
  </si>
  <si>
    <t>GKV-Erg Primo stationär 2015</t>
  </si>
  <si>
    <t>Ambulant SB 600 2015</t>
  </si>
  <si>
    <t>Ambulant SB 1600 2015</t>
  </si>
  <si>
    <t>Ambulant SB 30 2015</t>
  </si>
  <si>
    <t>KHK VP alle VJ</t>
  </si>
  <si>
    <t>KHK VP oe 3 VJ</t>
  </si>
  <si>
    <t>KHK AR</t>
  </si>
  <si>
    <t>GKV-Sto BaFin N 2015</t>
  </si>
  <si>
    <t>Fehler</t>
  </si>
  <si>
    <t xml:space="preserve"> Beitrag abzgl. Beitragsrückzahlung</t>
  </si>
  <si>
    <t>mSML</t>
  </si>
  <si>
    <t>vSML</t>
  </si>
  <si>
    <t>oSML</t>
  </si>
  <si>
    <t>SML</t>
  </si>
  <si>
    <t>Verteilung SM-Leistungen</t>
  </si>
  <si>
    <t>ohne SM-Leistungen</t>
  </si>
  <si>
    <t>mit gleichverteilten SM-Leistungen</t>
  </si>
  <si>
    <t>mit einzelalterverteilten SM-Leistungen</t>
  </si>
  <si>
    <t>mit kompletten SM-Leistungen</t>
  </si>
  <si>
    <t>kappa_x</t>
  </si>
  <si>
    <t>angenommen</t>
  </si>
  <si>
    <t>kappax-Sto BaFin N 2015</t>
  </si>
  <si>
    <t>RisAwV</t>
  </si>
  <si>
    <t>Tarifänderung 1</t>
  </si>
  <si>
    <t>Tarifänderung 2</t>
  </si>
  <si>
    <t>x+m+k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</si>
</sst>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#,##0.000000"/>
    <numFmt numFmtId="165" formatCode="0.000000"/>
    <numFmt numFmtId="166" formatCode="#,##0.00000"/>
    <numFmt numFmtId="167" formatCode="#,##0.0000"/>
    <numFmt numFmtId="168" formatCode="#,##0.000"/>
    <numFmt numFmtId="169" formatCode="#,##0.0"/>
    <numFmt numFmtId="170" formatCode="0.0%"/>
    <numFmt numFmtId="171" formatCode="0.0"/>
    <numFmt numFmtId="172" formatCode="0.0000"/>
    <numFmt numFmtId="173" formatCode="\+\ 0.0\ %;\-\ 0.0\ %;0.0\ %"/>
    <numFmt numFmtId="174" formatCode="#,##0.0000000000"/>
  </numFmts>
  <fonts count="4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8"/>
      <color indexed="13"/>
      <name val="Arial"/>
      <family val="2"/>
    </font>
    <font>
      <sz val="8"/>
      <color indexed="44"/>
      <name val="Arial"/>
      <family val="2"/>
    </font>
    <font>
      <sz val="8"/>
      <color indexed="63"/>
      <name val="Arial"/>
      <family val="2"/>
    </font>
    <font>
      <b/>
      <sz val="8"/>
      <color indexed="13"/>
      <name val="Arial"/>
      <family val="2"/>
    </font>
    <font>
      <b/>
      <sz val="8"/>
      <color indexed="8"/>
      <name val="Arial"/>
      <family val="2"/>
    </font>
    <font>
      <sz val="8"/>
      <color indexed="54"/>
      <name val="Arial"/>
      <family val="2"/>
    </font>
    <font>
      <u/>
      <sz val="8"/>
      <name val="Arial"/>
      <family val="2"/>
    </font>
    <font>
      <u/>
      <sz val="8"/>
      <color indexed="54"/>
      <name val="Arial"/>
      <family val="2"/>
    </font>
    <font>
      <sz val="8"/>
      <color indexed="10"/>
      <name val="Arial"/>
      <family val="2"/>
    </font>
    <font>
      <sz val="8"/>
      <color indexed="8"/>
      <name val="Arial"/>
      <family val="2"/>
    </font>
    <font>
      <sz val="8"/>
      <color indexed="40"/>
      <name val="Arial"/>
      <family val="2"/>
    </font>
    <font>
      <u/>
      <sz val="8"/>
      <color indexed="8"/>
      <name val="Arial"/>
      <family val="2"/>
    </font>
    <font>
      <i/>
      <sz val="8"/>
      <name val="Arial"/>
      <family val="2"/>
    </font>
    <font>
      <u/>
      <sz val="8"/>
      <color indexed="40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u/>
      <sz val="8"/>
      <color theme="1"/>
      <name val="Arial"/>
      <family val="2"/>
    </font>
    <font>
      <sz val="8"/>
      <color rgb="FFC00000"/>
      <name val="Arial"/>
      <family val="2"/>
    </font>
    <font>
      <sz val="8"/>
      <color rgb="FF00B050"/>
      <name val="Arial"/>
      <family val="2"/>
    </font>
    <font>
      <u/>
      <sz val="8"/>
      <color rgb="FF00B050"/>
      <name val="Arial"/>
      <family val="2"/>
    </font>
    <font>
      <sz val="8"/>
      <color theme="0"/>
      <name val="Arial"/>
      <family val="2"/>
    </font>
    <font>
      <sz val="8"/>
      <color indexed="13"/>
      <name val="Calibri"/>
      <family val="2"/>
    </font>
    <font>
      <sz val="8"/>
      <color theme="2" tint="-0.499984740745262"/>
      <name val="Arial"/>
      <family val="2"/>
    </font>
    <font>
      <sz val="8"/>
      <name val="Verdana"/>
      <family val="2"/>
    </font>
    <font>
      <sz val="8"/>
      <color indexed="13"/>
      <name val="Verdana"/>
      <family val="2"/>
    </font>
    <font>
      <sz val="8"/>
      <color indexed="40"/>
      <name val="Verdana"/>
      <family val="2"/>
    </font>
    <font>
      <sz val="8"/>
      <color indexed="8"/>
      <name val="Verdana"/>
      <family val="2"/>
    </font>
    <font>
      <u/>
      <sz val="8"/>
      <color indexed="8"/>
      <name val="Verdana"/>
      <family val="2"/>
    </font>
    <font>
      <sz val="8"/>
      <color indexed="11"/>
      <name val="Verdana"/>
      <family val="2"/>
    </font>
    <font>
      <sz val="8"/>
      <color indexed="41"/>
      <name val="Verdana"/>
      <family val="2"/>
    </font>
    <font>
      <sz val="8"/>
      <color indexed="44"/>
      <name val="Verdana"/>
      <family val="2"/>
    </font>
    <font>
      <sz val="8"/>
      <color theme="0"/>
      <name val="Verdana"/>
      <family val="2"/>
    </font>
    <font>
      <sz val="8"/>
      <color rgb="FF00B050"/>
      <name val="Verdana"/>
      <family val="2"/>
    </font>
    <font>
      <sz val="8"/>
      <color theme="1"/>
      <name val="Verdana"/>
      <family val="2"/>
    </font>
    <font>
      <sz val="8"/>
      <color indexed="63"/>
      <name val="Verdana"/>
      <family val="2"/>
    </font>
    <font>
      <sz val="8"/>
      <color rgb="FFFF0000"/>
      <name val="Verdana"/>
      <family val="2"/>
    </font>
    <font>
      <b/>
      <sz val="8"/>
      <color indexed="13"/>
      <name val="Verdana"/>
      <family val="2"/>
    </font>
    <font>
      <sz val="8"/>
      <color indexed="54"/>
      <name val="Verdana"/>
      <family val="2"/>
    </font>
    <font>
      <b/>
      <sz val="8"/>
      <color indexed="40"/>
      <name val="Verdana"/>
      <family val="2"/>
    </font>
    <font>
      <b/>
      <sz val="8"/>
      <name val="Verdana"/>
      <family val="2"/>
    </font>
    <font>
      <u/>
      <sz val="8"/>
      <color rgb="FF00B050"/>
      <name val="Verdana"/>
      <family val="2"/>
    </font>
    <font>
      <u/>
      <sz val="8"/>
      <name val="Verdana"/>
      <family val="2"/>
    </font>
    <font>
      <u/>
      <sz val="8"/>
      <color theme="1"/>
      <name val="Verdana"/>
      <family val="2"/>
    </font>
  </fonts>
  <fills count="49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gray0625">
        <fgColor theme="0"/>
        <bgColor rgb="FF00B050"/>
      </patternFill>
    </fill>
    <fill>
      <patternFill patternType="gray0625">
        <fgColor theme="1"/>
        <bgColor theme="0" tint="-0.249977111117893"/>
      </patternFill>
    </fill>
    <fill>
      <patternFill patternType="gray0625">
        <fgColor theme="0"/>
        <bgColor theme="0" tint="-0.14993743705557422"/>
      </patternFill>
    </fill>
    <fill>
      <patternFill patternType="gray0625">
        <fgColor theme="0"/>
        <bgColor theme="0" tint="-0.14996795556505021"/>
      </patternFill>
    </fill>
    <fill>
      <patternFill patternType="gray0625">
        <fgColor theme="0"/>
        <bgColor theme="5" tint="0.59999389629810485"/>
      </patternFill>
    </fill>
    <fill>
      <patternFill patternType="solid">
        <fgColor theme="5" tint="0.59999389629810485"/>
        <bgColor indexed="64"/>
      </patternFill>
    </fill>
    <fill>
      <patternFill patternType="gray0625">
        <fgColor theme="0"/>
        <bgColor theme="5" tint="0.39997558519241921"/>
      </patternFill>
    </fill>
    <fill>
      <patternFill patternType="solid">
        <fgColor rgb="FF084AAD"/>
        <bgColor indexed="64"/>
      </patternFill>
    </fill>
    <fill>
      <patternFill patternType="solid">
        <fgColor rgb="FF00703A"/>
        <bgColor indexed="64"/>
      </patternFill>
    </fill>
    <fill>
      <patternFill patternType="solid">
        <fgColor rgb="FFA5161D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0625">
        <fgColor theme="0"/>
        <bgColor theme="0" tint="-0.14999847407452621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gray0625">
        <bgColor indexed="50"/>
      </patternFill>
    </fill>
    <fill>
      <patternFill patternType="gray0625">
        <bgColor theme="0" tint="-0.14999847407452621"/>
      </patternFill>
    </fill>
    <fill>
      <patternFill patternType="gray0625">
        <bgColor theme="0" tint="-4.9989318521683403E-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80">
    <xf numFmtId="0" fontId="0" fillId="0" borderId="0" xfId="0"/>
    <xf numFmtId="0" fontId="2" fillId="0" borderId="0" xfId="0" applyFont="1"/>
    <xf numFmtId="0" fontId="3" fillId="0" borderId="0" xfId="0" applyFont="1"/>
    <xf numFmtId="0" fontId="5" fillId="2" borderId="0" xfId="0" applyFont="1" applyFill="1"/>
    <xf numFmtId="0" fontId="5" fillId="4" borderId="0" xfId="0" applyFont="1" applyFill="1"/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3" fontId="6" fillId="0" borderId="0" xfId="0" applyNumberFormat="1" applyFont="1" applyAlignment="1">
      <alignment horizontal="right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right" wrapText="1"/>
    </xf>
    <xf numFmtId="3" fontId="6" fillId="0" borderId="0" xfId="0" applyNumberFormat="1" applyFont="1" applyAlignment="1">
      <alignment horizontal="right" wrapText="1"/>
    </xf>
    <xf numFmtId="3" fontId="6" fillId="0" borderId="0" xfId="0" applyNumberFormat="1" applyFont="1" applyAlignment="1">
      <alignment horizontal="right" shrinkToFit="1"/>
    </xf>
    <xf numFmtId="0" fontId="5" fillId="4" borderId="0" xfId="0" applyFont="1" applyFill="1" applyAlignment="1">
      <alignment horizontal="left"/>
    </xf>
    <xf numFmtId="164" fontId="5" fillId="4" borderId="0" xfId="0" applyNumberFormat="1" applyFont="1" applyFill="1" applyAlignment="1">
      <alignment horizontal="left"/>
    </xf>
    <xf numFmtId="0" fontId="8" fillId="2" borderId="0" xfId="0" applyFont="1" applyFill="1"/>
    <xf numFmtId="0" fontId="2" fillId="10" borderId="0" xfId="0" applyFont="1" applyFill="1"/>
    <xf numFmtId="0" fontId="2" fillId="0" borderId="0" xfId="0" applyFont="1" applyAlignment="1"/>
    <xf numFmtId="0" fontId="2" fillId="4" borderId="0" xfId="0" applyFont="1" applyFill="1" applyAlignment="1"/>
    <xf numFmtId="0" fontId="2" fillId="12" borderId="0" xfId="0" applyFont="1" applyFill="1" applyAlignment="1"/>
    <xf numFmtId="0" fontId="2" fillId="10" borderId="0" xfId="0" applyFont="1" applyFill="1" applyAlignment="1"/>
    <xf numFmtId="0" fontId="2" fillId="4" borderId="0" xfId="0" applyFont="1" applyFill="1" applyAlignment="1">
      <alignment horizontal="left"/>
    </xf>
    <xf numFmtId="167" fontId="8" fillId="4" borderId="0" xfId="0" applyNumberFormat="1" applyFont="1" applyFill="1" applyAlignment="1">
      <alignment horizontal="right"/>
    </xf>
    <xf numFmtId="0" fontId="2" fillId="0" borderId="0" xfId="0" applyFont="1" applyAlignment="1">
      <alignment horizontal="right"/>
    </xf>
    <xf numFmtId="4" fontId="8" fillId="4" borderId="0" xfId="0" applyNumberFormat="1" applyFont="1" applyFill="1" applyAlignment="1">
      <alignment horizontal="right"/>
    </xf>
    <xf numFmtId="4" fontId="3" fillId="4" borderId="0" xfId="0" applyNumberFormat="1" applyFont="1" applyFill="1" applyAlignment="1">
      <alignment horizontal="right"/>
    </xf>
    <xf numFmtId="3" fontId="2" fillId="4" borderId="0" xfId="0" applyNumberFormat="1" applyFont="1" applyFill="1" applyAlignment="1">
      <alignment horizontal="right"/>
    </xf>
    <xf numFmtId="167" fontId="10" fillId="4" borderId="0" xfId="0" applyNumberFormat="1" applyFont="1" applyFill="1" applyAlignment="1">
      <alignment horizontal="right"/>
    </xf>
    <xf numFmtId="4" fontId="2" fillId="4" borderId="0" xfId="0" applyNumberFormat="1" applyFont="1" applyFill="1" applyAlignment="1">
      <alignment horizontal="right"/>
    </xf>
    <xf numFmtId="0" fontId="2" fillId="13" borderId="0" xfId="0" applyFont="1" applyFill="1" applyAlignment="1"/>
    <xf numFmtId="0" fontId="4" fillId="14" borderId="0" xfId="0" applyFont="1" applyFill="1" applyAlignment="1">
      <alignment horizontal="center" vertical="center"/>
    </xf>
    <xf numFmtId="167" fontId="11" fillId="14" borderId="0" xfId="0" applyNumberFormat="1" applyFont="1" applyFill="1" applyAlignment="1">
      <alignment horizontal="right"/>
    </xf>
    <xf numFmtId="167" fontId="2" fillId="4" borderId="0" xfId="0" applyNumberFormat="1" applyFont="1" applyFill="1" applyAlignment="1">
      <alignment horizontal="right"/>
    </xf>
    <xf numFmtId="0" fontId="2" fillId="2" borderId="0" xfId="0" applyFont="1" applyFill="1"/>
    <xf numFmtId="4" fontId="10" fillId="4" borderId="0" xfId="0" applyNumberFormat="1" applyFont="1" applyFill="1" applyAlignment="1">
      <alignment horizontal="left"/>
    </xf>
    <xf numFmtId="0" fontId="9" fillId="0" borderId="0" xfId="0" applyFont="1"/>
    <xf numFmtId="165" fontId="2" fillId="0" borderId="0" xfId="0" applyNumberFormat="1" applyFont="1" applyAlignment="1"/>
    <xf numFmtId="0" fontId="2" fillId="2" borderId="0" xfId="0" applyFont="1" applyFill="1" applyAlignment="1"/>
    <xf numFmtId="4" fontId="10" fillId="4" borderId="0" xfId="0" applyNumberFormat="1" applyFont="1" applyFill="1" applyAlignment="1">
      <alignment horizontal="right"/>
    </xf>
    <xf numFmtId="3" fontId="8" fillId="4" borderId="0" xfId="0" applyNumberFormat="1" applyFont="1" applyFill="1" applyAlignment="1">
      <alignment horizontal="right"/>
    </xf>
    <xf numFmtId="0" fontId="2" fillId="4" borderId="0" xfId="0" applyFont="1" applyFill="1"/>
    <xf numFmtId="0" fontId="2" fillId="2" borderId="0" xfId="0" applyFont="1" applyFill="1" applyAlignment="1">
      <alignment horizontal="left"/>
    </xf>
    <xf numFmtId="3" fontId="2" fillId="4" borderId="0" xfId="0" applyNumberFormat="1" applyFont="1" applyFill="1" applyAlignment="1">
      <alignment horizontal="left"/>
    </xf>
    <xf numFmtId="3" fontId="2" fillId="2" borderId="0" xfId="0" applyNumberFormat="1" applyFont="1" applyFill="1" applyAlignment="1">
      <alignment horizontal="left"/>
    </xf>
    <xf numFmtId="167" fontId="11" fillId="8" borderId="0" xfId="0" applyNumberFormat="1" applyFont="1" applyFill="1" applyAlignment="1">
      <alignment horizontal="right"/>
    </xf>
    <xf numFmtId="0" fontId="9" fillId="10" borderId="0" xfId="0" applyFont="1" applyFill="1"/>
    <xf numFmtId="0" fontId="12" fillId="2" borderId="0" xfId="0" applyFont="1" applyFill="1" applyAlignment="1">
      <alignment horizontal="right" vertical="center" wrapText="1"/>
    </xf>
    <xf numFmtId="167" fontId="12" fillId="4" borderId="0" xfId="0" applyNumberFormat="1" applyFont="1" applyFill="1" applyBorder="1" applyAlignment="1">
      <alignment shrinkToFit="1"/>
    </xf>
    <xf numFmtId="167" fontId="12" fillId="15" borderId="0" xfId="0" applyNumberFormat="1" applyFont="1" applyFill="1" applyBorder="1" applyAlignment="1">
      <alignment shrinkToFit="1"/>
    </xf>
    <xf numFmtId="167" fontId="12" fillId="3" borderId="0" xfId="0" applyNumberFormat="1" applyFont="1" applyFill="1" applyBorder="1" applyAlignment="1">
      <alignment shrinkToFit="1"/>
    </xf>
    <xf numFmtId="4" fontId="13" fillId="4" borderId="0" xfId="0" applyNumberFormat="1" applyFont="1" applyFill="1"/>
    <xf numFmtId="4" fontId="13" fillId="0" borderId="0" xfId="0" applyNumberFormat="1" applyFont="1" applyFill="1"/>
    <xf numFmtId="4" fontId="13" fillId="2" borderId="0" xfId="0" applyNumberFormat="1" applyFont="1" applyFill="1"/>
    <xf numFmtId="9" fontId="4" fillId="5" borderId="0" xfId="1" applyFont="1" applyFill="1" applyBorder="1"/>
    <xf numFmtId="9" fontId="4" fillId="7" borderId="0" xfId="1" applyFont="1" applyFill="1" applyBorder="1"/>
    <xf numFmtId="4" fontId="12" fillId="4" borderId="0" xfId="0" applyNumberFormat="1" applyFont="1" applyFill="1"/>
    <xf numFmtId="4" fontId="14" fillId="4" borderId="0" xfId="0" applyNumberFormat="1" applyFont="1" applyFill="1"/>
    <xf numFmtId="0" fontId="12" fillId="0" borderId="0" xfId="0" applyFont="1" applyFill="1" applyBorder="1"/>
    <xf numFmtId="0" fontId="14" fillId="4" borderId="0" xfId="0" applyFont="1" applyFill="1" applyBorder="1"/>
    <xf numFmtId="0" fontId="3" fillId="4" borderId="0" xfId="0" applyFont="1" applyFill="1" applyAlignment="1"/>
    <xf numFmtId="0" fontId="13" fillId="4" borderId="0" xfId="0" applyFont="1" applyFill="1" applyBorder="1"/>
    <xf numFmtId="167" fontId="13" fillId="4" borderId="0" xfId="0" applyNumberFormat="1" applyFont="1" applyFill="1"/>
    <xf numFmtId="165" fontId="9" fillId="4" borderId="0" xfId="0" applyNumberFormat="1" applyFont="1" applyFill="1" applyAlignment="1">
      <alignment horizontal="left"/>
    </xf>
    <xf numFmtId="0" fontId="14" fillId="16" borderId="0" xfId="0" applyFont="1" applyFill="1" applyBorder="1"/>
    <xf numFmtId="0" fontId="2" fillId="16" borderId="0" xfId="0" applyFont="1" applyFill="1" applyAlignment="1"/>
    <xf numFmtId="165" fontId="9" fillId="16" borderId="0" xfId="0" applyNumberFormat="1" applyFont="1" applyFill="1" applyAlignment="1">
      <alignment horizontal="left" vertical="center"/>
    </xf>
    <xf numFmtId="165" fontId="9" fillId="2" borderId="0" xfId="0" applyNumberFormat="1" applyFont="1" applyFill="1" applyAlignment="1"/>
    <xf numFmtId="165" fontId="8" fillId="4" borderId="0" xfId="0" applyNumberFormat="1" applyFont="1" applyFill="1" applyAlignment="1">
      <alignment horizontal="left" vertical="center"/>
    </xf>
    <xf numFmtId="165" fontId="2" fillId="4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1" fontId="2" fillId="4" borderId="0" xfId="0" applyNumberFormat="1" applyFont="1" applyFill="1" applyAlignment="1">
      <alignment horizontal="left" vertical="center"/>
    </xf>
    <xf numFmtId="165" fontId="2" fillId="16" borderId="0" xfId="0" applyNumberFormat="1" applyFont="1" applyFill="1" applyAlignment="1">
      <alignment horizontal="left" vertical="center"/>
    </xf>
    <xf numFmtId="0" fontId="15" fillId="16" borderId="0" xfId="0" applyFont="1" applyFill="1" applyAlignment="1"/>
    <xf numFmtId="0" fontId="2" fillId="0" borderId="0" xfId="0" applyFont="1" applyFill="1" applyAlignment="1"/>
    <xf numFmtId="0" fontId="2" fillId="0" borderId="0" xfId="0" applyFont="1" applyFill="1"/>
    <xf numFmtId="0" fontId="2" fillId="2" borderId="0" xfId="0" applyFont="1" applyFill="1" applyAlignment="1">
      <alignment horizontal="right"/>
    </xf>
    <xf numFmtId="3" fontId="10" fillId="4" borderId="0" xfId="0" applyNumberFormat="1" applyFont="1" applyFill="1" applyAlignment="1">
      <alignment horizontal="right"/>
    </xf>
    <xf numFmtId="4" fontId="8" fillId="4" borderId="0" xfId="0" applyNumberFormat="1" applyFont="1" applyFill="1" applyAlignment="1">
      <alignment horizontal="left"/>
    </xf>
    <xf numFmtId="164" fontId="12" fillId="4" borderId="0" xfId="0" applyNumberFormat="1" applyFont="1" applyFill="1" applyBorder="1" applyAlignment="1">
      <alignment wrapText="1"/>
    </xf>
    <xf numFmtId="4" fontId="12" fillId="4" borderId="0" xfId="0" applyNumberFormat="1" applyFont="1" applyFill="1" applyAlignment="1">
      <alignment wrapText="1"/>
    </xf>
    <xf numFmtId="4" fontId="14" fillId="4" borderId="0" xfId="0" applyNumberFormat="1" applyFont="1" applyFill="1" applyAlignment="1">
      <alignment wrapText="1"/>
    </xf>
    <xf numFmtId="4" fontId="13" fillId="2" borderId="0" xfId="0" applyNumberFormat="1" applyFont="1" applyFill="1" applyAlignment="1">
      <alignment wrapText="1"/>
    </xf>
    <xf numFmtId="1" fontId="8" fillId="4" borderId="0" xfId="0" applyNumberFormat="1" applyFont="1" applyFill="1" applyAlignment="1">
      <alignment horizontal="left" vertical="center"/>
    </xf>
    <xf numFmtId="0" fontId="9" fillId="16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16" fillId="2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7" borderId="0" xfId="0" applyFont="1" applyFill="1" applyAlignment="1">
      <alignment horizontal="center"/>
    </xf>
    <xf numFmtId="0" fontId="2" fillId="7" borderId="0" xfId="0" applyFont="1" applyFill="1" applyAlignment="1"/>
    <xf numFmtId="3" fontId="2" fillId="7" borderId="0" xfId="0" applyNumberFormat="1" applyFont="1" applyFill="1" applyAlignment="1"/>
    <xf numFmtId="4" fontId="2" fillId="7" borderId="0" xfId="0" applyNumberFormat="1" applyFont="1" applyFill="1" applyAlignment="1"/>
    <xf numFmtId="0" fontId="2" fillId="12" borderId="0" xfId="0" applyFont="1" applyFill="1"/>
    <xf numFmtId="0" fontId="9" fillId="4" borderId="0" xfId="0" applyFont="1" applyFill="1"/>
    <xf numFmtId="167" fontId="12" fillId="12" borderId="0" xfId="0" applyNumberFormat="1" applyFont="1" applyFill="1" applyBorder="1" applyAlignment="1">
      <alignment shrinkToFit="1"/>
    </xf>
    <xf numFmtId="167" fontId="14" fillId="12" borderId="0" xfId="0" applyNumberFormat="1" applyFont="1" applyFill="1" applyBorder="1" applyAlignment="1">
      <alignment shrinkToFit="1"/>
    </xf>
    <xf numFmtId="4" fontId="4" fillId="19" borderId="0" xfId="0" applyNumberFormat="1" applyFont="1" applyFill="1"/>
    <xf numFmtId="0" fontId="2" fillId="0" borderId="0" xfId="0" applyFont="1" applyAlignment="1">
      <alignment horizontal="right" vertical="center"/>
    </xf>
    <xf numFmtId="0" fontId="2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right" vertical="center"/>
    </xf>
    <xf numFmtId="164" fontId="2" fillId="0" borderId="0" xfId="0" applyNumberFormat="1" applyFont="1" applyAlignment="1">
      <alignment horizontal="right" vertical="center" shrinkToFit="1"/>
    </xf>
    <xf numFmtId="0" fontId="2" fillId="2" borderId="0" xfId="0" applyFont="1" applyFill="1" applyAlignment="1">
      <alignment horizontal="left" vertical="center"/>
    </xf>
    <xf numFmtId="0" fontId="2" fillId="0" borderId="0" xfId="0" applyFont="1" applyAlignment="1">
      <alignment horizontal="right" vertical="center" wrapText="1"/>
    </xf>
    <xf numFmtId="4" fontId="2" fillId="0" borderId="0" xfId="0" applyNumberFormat="1" applyFont="1"/>
    <xf numFmtId="164" fontId="3" fillId="2" borderId="0" xfId="0" applyNumberFormat="1" applyFont="1" applyFill="1" applyAlignment="1">
      <alignment horizontal="left"/>
    </xf>
    <xf numFmtId="0" fontId="21" fillId="22" borderId="0" xfId="0" applyFont="1" applyFill="1"/>
    <xf numFmtId="0" fontId="21" fillId="21" borderId="0" xfId="0" applyFont="1" applyFill="1"/>
    <xf numFmtId="3" fontId="21" fillId="23" borderId="0" xfId="0" applyNumberFormat="1" applyFont="1" applyFill="1" applyAlignment="1">
      <alignment horizontal="right"/>
    </xf>
    <xf numFmtId="165" fontId="12" fillId="2" borderId="0" xfId="0" applyNumberFormat="1" applyFont="1" applyFill="1" applyAlignment="1">
      <alignment horizontal="left" vertical="center"/>
    </xf>
    <xf numFmtId="1" fontId="12" fillId="2" borderId="0" xfId="0" applyNumberFormat="1" applyFont="1" applyFill="1" applyAlignment="1">
      <alignment horizontal="left" vertical="center"/>
    </xf>
    <xf numFmtId="3" fontId="4" fillId="14" borderId="0" xfId="0" applyNumberFormat="1" applyFont="1" applyFill="1" applyAlignment="1">
      <alignment horizontal="center"/>
    </xf>
    <xf numFmtId="3" fontId="13" fillId="4" borderId="0" xfId="0" applyNumberFormat="1" applyFont="1" applyFill="1" applyAlignment="1">
      <alignment horizontal="right"/>
    </xf>
    <xf numFmtId="4" fontId="12" fillId="4" borderId="0" xfId="0" applyNumberFormat="1" applyFont="1" applyFill="1" applyAlignment="1">
      <alignment horizontal="right"/>
    </xf>
    <xf numFmtId="4" fontId="13" fillId="4" borderId="0" xfId="0" applyNumberFormat="1" applyFont="1" applyFill="1" applyAlignment="1">
      <alignment horizontal="left"/>
    </xf>
    <xf numFmtId="4" fontId="13" fillId="4" borderId="0" xfId="0" applyNumberFormat="1" applyFont="1" applyFill="1" applyAlignment="1">
      <alignment horizontal="right"/>
    </xf>
    <xf numFmtId="4" fontId="16" fillId="4" borderId="0" xfId="0" applyNumberFormat="1" applyFont="1" applyFill="1" applyAlignment="1">
      <alignment horizontal="right"/>
    </xf>
    <xf numFmtId="0" fontId="18" fillId="0" borderId="0" xfId="0" applyFont="1"/>
    <xf numFmtId="0" fontId="2" fillId="0" borderId="0" xfId="0" applyFont="1" applyAlignment="1">
      <alignment horizontal="center"/>
    </xf>
    <xf numFmtId="0" fontId="21" fillId="23" borderId="0" xfId="0" applyFont="1" applyFill="1" applyAlignment="1">
      <alignment horizontal="left"/>
    </xf>
    <xf numFmtId="0" fontId="2" fillId="0" borderId="0" xfId="0" applyFont="1" applyBorder="1"/>
    <xf numFmtId="0" fontId="2" fillId="4" borderId="0" xfId="0" applyFont="1" applyFill="1" applyBorder="1"/>
    <xf numFmtId="0" fontId="2" fillId="0" borderId="0" xfId="0" applyFont="1" applyBorder="1" applyAlignment="1">
      <alignment wrapText="1"/>
    </xf>
    <xf numFmtId="0" fontId="3" fillId="4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2" fillId="4" borderId="0" xfId="0" applyFont="1" applyFill="1" applyBorder="1" applyAlignment="1">
      <alignment wrapText="1"/>
    </xf>
    <xf numFmtId="164" fontId="3" fillId="4" borderId="0" xfId="0" applyNumberFormat="1" applyFont="1" applyFill="1" applyBorder="1" applyAlignment="1">
      <alignment wrapText="1"/>
    </xf>
    <xf numFmtId="167" fontId="4" fillId="24" borderId="0" xfId="0" applyNumberFormat="1" applyFont="1" applyFill="1" applyBorder="1" applyAlignment="1">
      <alignment shrinkToFit="1"/>
    </xf>
    <xf numFmtId="0" fontId="2" fillId="0" borderId="0" xfId="0" applyFont="1" applyBorder="1" applyAlignment="1">
      <alignment shrinkToFit="1"/>
    </xf>
    <xf numFmtId="167" fontId="3" fillId="0" borderId="0" xfId="0" applyNumberFormat="1" applyFont="1" applyBorder="1" applyAlignment="1">
      <alignment shrinkToFit="1"/>
    </xf>
    <xf numFmtId="167" fontId="20" fillId="4" borderId="0" xfId="0" applyNumberFormat="1" applyFont="1" applyFill="1" applyBorder="1" applyAlignment="1">
      <alignment shrinkToFit="1"/>
    </xf>
    <xf numFmtId="164" fontId="20" fillId="4" borderId="0" xfId="0" quotePrefix="1" applyNumberFormat="1" applyFont="1" applyFill="1" applyBorder="1"/>
    <xf numFmtId="167" fontId="20" fillId="4" borderId="0" xfId="0" applyNumberFormat="1" applyFont="1" applyFill="1" applyBorder="1" applyAlignment="1">
      <alignment vertical="center" shrinkToFit="1"/>
    </xf>
    <xf numFmtId="0" fontId="2" fillId="0" borderId="0" xfId="0" applyFont="1" applyFill="1" applyBorder="1"/>
    <xf numFmtId="0" fontId="2" fillId="0" borderId="0" xfId="0" applyFont="1" applyFill="1" applyBorder="1" applyAlignment="1">
      <alignment wrapText="1"/>
    </xf>
    <xf numFmtId="0" fontId="3" fillId="2" borderId="0" xfId="0" applyFont="1" applyFill="1" applyAlignment="1">
      <alignment horizontal="right" vertical="center" wrapText="1"/>
    </xf>
    <xf numFmtId="4" fontId="2" fillId="2" borderId="0" xfId="0" applyNumberFormat="1" applyFont="1" applyFill="1" applyBorder="1"/>
    <xf numFmtId="4" fontId="2" fillId="4" borderId="0" xfId="0" applyNumberFormat="1" applyFont="1" applyFill="1" applyBorder="1"/>
    <xf numFmtId="0" fontId="20" fillId="2" borderId="0" xfId="0" applyFont="1" applyFill="1" applyAlignment="1">
      <alignment horizontal="right" vertical="center" wrapText="1"/>
    </xf>
    <xf numFmtId="0" fontId="13" fillId="2" borderId="0" xfId="0" applyFont="1" applyFill="1" applyAlignment="1">
      <alignment horizontal="right" vertical="top" wrapText="1"/>
    </xf>
    <xf numFmtId="167" fontId="13" fillId="4" borderId="0" xfId="0" applyNumberFormat="1" applyFont="1" applyFill="1" applyAlignment="1">
      <alignment horizontal="right" vertical="top" wrapText="1"/>
    </xf>
    <xf numFmtId="164" fontId="2" fillId="0" borderId="0" xfId="0" applyNumberFormat="1" applyFont="1"/>
    <xf numFmtId="164" fontId="3" fillId="0" borderId="0" xfId="0" applyNumberFormat="1" applyFont="1"/>
    <xf numFmtId="0" fontId="3" fillId="0" borderId="0" xfId="0" applyFont="1" applyAlignment="1">
      <alignment horizontal="right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3" borderId="0" xfId="0" applyFont="1" applyFill="1"/>
    <xf numFmtId="164" fontId="2" fillId="3" borderId="0" xfId="0" applyNumberFormat="1" applyFont="1" applyFill="1"/>
    <xf numFmtId="164" fontId="2" fillId="3" borderId="0" xfId="0" applyNumberFormat="1" applyFont="1" applyFill="1" applyAlignment="1">
      <alignment horizontal="left"/>
    </xf>
    <xf numFmtId="164" fontId="3" fillId="4" borderId="0" xfId="0" applyNumberFormat="1" applyFont="1" applyFill="1"/>
    <xf numFmtId="166" fontId="2" fillId="0" borderId="0" xfId="0" applyNumberFormat="1" applyFont="1"/>
    <xf numFmtId="164" fontId="2" fillId="4" borderId="0" xfId="0" applyNumberFormat="1" applyFont="1" applyFill="1"/>
    <xf numFmtId="0" fontId="3" fillId="2" borderId="0" xfId="0" applyFont="1" applyFill="1" applyAlignment="1">
      <alignment horizontal="right" vertical="top" wrapText="1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right" shrinkToFit="1"/>
    </xf>
    <xf numFmtId="164" fontId="3" fillId="2" borderId="0" xfId="0" applyNumberFormat="1" applyFont="1" applyFill="1" applyAlignment="1">
      <alignment horizontal="center"/>
    </xf>
    <xf numFmtId="164" fontId="3" fillId="4" borderId="0" xfId="0" applyNumberFormat="1" applyFont="1" applyFill="1" applyAlignment="1">
      <alignment horizontal="left"/>
    </xf>
    <xf numFmtId="0" fontId="4" fillId="5" borderId="1" xfId="0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left" vertical="top"/>
    </xf>
    <xf numFmtId="167" fontId="10" fillId="0" borderId="0" xfId="0" applyNumberFormat="1" applyFont="1" applyFill="1" applyAlignment="1">
      <alignment horizontal="right"/>
    </xf>
    <xf numFmtId="0" fontId="4" fillId="5" borderId="0" xfId="0" applyFont="1" applyFill="1" applyAlignment="1">
      <alignment horizontal="center" vertical="center"/>
    </xf>
    <xf numFmtId="170" fontId="4" fillId="5" borderId="0" xfId="1" applyNumberFormat="1" applyFont="1" applyFill="1" applyAlignment="1">
      <alignment horizontal="center" vertical="center"/>
    </xf>
    <xf numFmtId="173" fontId="4" fillId="5" borderId="0" xfId="1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7" borderId="0" xfId="0" applyFont="1" applyFill="1" applyAlignment="1">
      <alignment horizontal="center" vertical="center"/>
    </xf>
    <xf numFmtId="3" fontId="4" fillId="5" borderId="0" xfId="0" applyNumberFormat="1" applyFont="1" applyFill="1" applyAlignment="1">
      <alignment horizontal="center" vertical="center"/>
    </xf>
    <xf numFmtId="171" fontId="4" fillId="5" borderId="0" xfId="0" applyNumberFormat="1" applyFont="1" applyFill="1" applyAlignment="1">
      <alignment horizontal="center" vertical="center"/>
    </xf>
    <xf numFmtId="9" fontId="4" fillId="7" borderId="0" xfId="1" applyFont="1" applyFill="1" applyAlignment="1">
      <alignment horizontal="center" vertical="center"/>
    </xf>
    <xf numFmtId="0" fontId="8" fillId="20" borderId="0" xfId="0" applyFont="1" applyFill="1" applyAlignment="1">
      <alignment horizontal="left" vertical="center"/>
    </xf>
    <xf numFmtId="0" fontId="2" fillId="25" borderId="0" xfId="0" applyFont="1" applyFill="1"/>
    <xf numFmtId="2" fontId="2" fillId="25" borderId="0" xfId="0" applyNumberFormat="1" applyFont="1" applyFill="1"/>
    <xf numFmtId="164" fontId="2" fillId="0" borderId="0" xfId="0" applyNumberFormat="1" applyFont="1" applyAlignment="1">
      <alignment horizontal="center" shrinkToFit="1"/>
    </xf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left" vertical="center"/>
    </xf>
    <xf numFmtId="4" fontId="3" fillId="0" borderId="0" xfId="0" applyNumberFormat="1" applyFont="1" applyAlignment="1">
      <alignment horizontal="right" shrinkToFit="1"/>
    </xf>
    <xf numFmtId="0" fontId="4" fillId="26" borderId="0" xfId="0" applyFont="1" applyFill="1" applyAlignment="1">
      <alignment horizontal="center"/>
    </xf>
    <xf numFmtId="0" fontId="2" fillId="0" borderId="0" xfId="0" applyFont="1" applyAlignment="1">
      <alignment vertical="center"/>
    </xf>
    <xf numFmtId="172" fontId="2" fillId="4" borderId="0" xfId="0" applyNumberFormat="1" applyFont="1" applyFill="1"/>
    <xf numFmtId="0" fontId="2" fillId="21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172" fontId="3" fillId="4" borderId="0" xfId="0" applyNumberFormat="1" applyFont="1" applyFill="1"/>
    <xf numFmtId="165" fontId="2" fillId="0" borderId="0" xfId="0" applyNumberFormat="1" applyFont="1" applyAlignment="1">
      <alignment vertical="center"/>
    </xf>
    <xf numFmtId="167" fontId="9" fillId="4" borderId="0" xfId="0" applyNumberFormat="1" applyFont="1" applyFill="1"/>
    <xf numFmtId="0" fontId="2" fillId="0" borderId="0" xfId="0" applyFont="1" applyFill="1" applyAlignment="1">
      <alignment vertical="center" wrapText="1"/>
    </xf>
    <xf numFmtId="164" fontId="2" fillId="21" borderId="0" xfId="0" applyNumberFormat="1" applyFont="1" applyFill="1" applyAlignment="1">
      <alignment horizontal="left"/>
    </xf>
    <xf numFmtId="0" fontId="2" fillId="21" borderId="0" xfId="0" applyFont="1" applyFill="1" applyAlignment="1">
      <alignment horizontal="center" vertical="center"/>
    </xf>
    <xf numFmtId="164" fontId="2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center" vertical="center" shrinkToFit="1"/>
    </xf>
    <xf numFmtId="164" fontId="3" fillId="4" borderId="0" xfId="0" applyNumberFormat="1" applyFont="1" applyFill="1" applyAlignment="1">
      <alignment horizontal="left" vertical="center"/>
    </xf>
    <xf numFmtId="167" fontId="2" fillId="12" borderId="0" xfId="0" applyNumberFormat="1" applyFont="1" applyFill="1" applyAlignment="1">
      <alignment shrinkToFit="1"/>
    </xf>
    <xf numFmtId="167" fontId="4" fillId="27" borderId="0" xfId="0" applyNumberFormat="1" applyFont="1" applyFill="1" applyBorder="1" applyAlignment="1">
      <alignment shrinkToFit="1"/>
    </xf>
    <xf numFmtId="0" fontId="18" fillId="22" borderId="0" xfId="0" applyFont="1" applyFill="1" applyAlignment="1">
      <alignment horizontal="left" vertical="center"/>
    </xf>
    <xf numFmtId="164" fontId="3" fillId="22" borderId="0" xfId="0" applyNumberFormat="1" applyFont="1" applyFill="1" applyAlignment="1">
      <alignment horizontal="left"/>
    </xf>
    <xf numFmtId="164" fontId="3" fillId="22" borderId="0" xfId="0" applyNumberFormat="1" applyFont="1" applyFill="1" applyAlignment="1">
      <alignment horizontal="center"/>
    </xf>
    <xf numFmtId="0" fontId="2" fillId="22" borderId="0" xfId="0" applyFont="1" applyFill="1" applyAlignment="1">
      <alignment horizontal="right" vertical="center"/>
    </xf>
    <xf numFmtId="164" fontId="17" fillId="4" borderId="0" xfId="0" applyNumberFormat="1" applyFont="1" applyFill="1" applyAlignment="1">
      <alignment horizontal="center"/>
    </xf>
    <xf numFmtId="0" fontId="2" fillId="22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23" fillId="36" borderId="0" xfId="0" applyFont="1" applyFill="1" applyAlignment="1">
      <alignment horizontal="center" vertical="center"/>
    </xf>
    <xf numFmtId="0" fontId="23" fillId="37" borderId="0" xfId="0" applyFont="1" applyFill="1" applyAlignment="1">
      <alignment horizontal="center" vertical="center"/>
    </xf>
    <xf numFmtId="0" fontId="23" fillId="38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right"/>
    </xf>
    <xf numFmtId="0" fontId="6" fillId="0" borderId="0" xfId="0" applyFont="1" applyFill="1" applyAlignment="1">
      <alignment horizontal="right" vertical="center" wrapText="1"/>
    </xf>
    <xf numFmtId="0" fontId="2" fillId="0" borderId="0" xfId="0" applyFont="1" applyFill="1" applyAlignment="1">
      <alignment vertical="center"/>
    </xf>
    <xf numFmtId="171" fontId="4" fillId="0" borderId="0" xfId="0" applyNumberFormat="1" applyFont="1" applyFill="1" applyAlignment="1">
      <alignment horizontal="left" vertical="center"/>
    </xf>
    <xf numFmtId="164" fontId="17" fillId="4" borderId="1" xfId="0" applyNumberFormat="1" applyFont="1" applyFill="1" applyBorder="1" applyAlignment="1">
      <alignment horizontal="center" vertical="center"/>
    </xf>
    <xf numFmtId="164" fontId="3" fillId="23" borderId="0" xfId="0" applyNumberFormat="1" applyFont="1" applyFill="1" applyAlignment="1">
      <alignment horizontal="left"/>
    </xf>
    <xf numFmtId="0" fontId="17" fillId="23" borderId="0" xfId="0" applyFont="1" applyFill="1" applyAlignment="1">
      <alignment horizontal="right"/>
    </xf>
    <xf numFmtId="0" fontId="2" fillId="23" borderId="0" xfId="0" applyFont="1" applyFill="1" applyAlignment="1">
      <alignment horizontal="right" vertical="center"/>
    </xf>
    <xf numFmtId="0" fontId="2" fillId="23" borderId="0" xfId="0" applyFont="1" applyFill="1" applyAlignment="1">
      <alignment horizontal="right"/>
    </xf>
    <xf numFmtId="164" fontId="2" fillId="23" borderId="0" xfId="0" applyNumberFormat="1" applyFont="1" applyFill="1" applyAlignment="1">
      <alignment horizontal="right" vertical="center"/>
    </xf>
    <xf numFmtId="0" fontId="4" fillId="21" borderId="0" xfId="0" applyFont="1" applyFill="1" applyAlignment="1">
      <alignment horizontal="center" vertical="center"/>
    </xf>
    <xf numFmtId="0" fontId="2" fillId="21" borderId="0" xfId="0" applyFont="1" applyFill="1" applyAlignment="1">
      <alignment horizontal="right"/>
    </xf>
    <xf numFmtId="170" fontId="21" fillId="23" borderId="0" xfId="1" applyNumberFormat="1" applyFont="1" applyFill="1" applyAlignment="1">
      <alignment horizontal="center" vertical="center"/>
    </xf>
    <xf numFmtId="0" fontId="2" fillId="23" borderId="0" xfId="0" applyFont="1" applyFill="1" applyAlignment="1">
      <alignment horizontal="left" vertical="center"/>
    </xf>
    <xf numFmtId="0" fontId="2" fillId="21" borderId="0" xfId="0" applyFont="1" applyFill="1" applyAlignment="1">
      <alignment horizontal="right" vertical="center"/>
    </xf>
    <xf numFmtId="0" fontId="9" fillId="21" borderId="0" xfId="0" applyFont="1" applyFill="1" applyAlignment="1">
      <alignment horizontal="center" vertical="center"/>
    </xf>
    <xf numFmtId="4" fontId="13" fillId="4" borderId="0" xfId="0" applyNumberFormat="1" applyFont="1" applyFill="1" applyAlignment="1">
      <alignment horizontal="right" vertical="top" wrapText="1"/>
    </xf>
    <xf numFmtId="164" fontId="2" fillId="0" borderId="0" xfId="0" applyNumberFormat="1" applyFont="1" applyFill="1" applyAlignment="1">
      <alignment horizontal="right" shrinkToFit="1"/>
    </xf>
    <xf numFmtId="0" fontId="3" fillId="0" borderId="0" xfId="0" applyFont="1" applyFill="1" applyAlignment="1">
      <alignment horizontal="left" vertical="center"/>
    </xf>
    <xf numFmtId="164" fontId="3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center"/>
    </xf>
    <xf numFmtId="164" fontId="23" fillId="36" borderId="0" xfId="0" applyNumberFormat="1" applyFont="1" applyFill="1" applyAlignment="1">
      <alignment horizontal="center"/>
    </xf>
    <xf numFmtId="164" fontId="23" fillId="37" borderId="0" xfId="0" applyNumberFormat="1" applyFont="1" applyFill="1" applyAlignment="1">
      <alignment horizontal="center"/>
    </xf>
    <xf numFmtId="164" fontId="23" fillId="38" borderId="0" xfId="0" applyNumberFormat="1" applyFont="1" applyFill="1" applyAlignment="1">
      <alignment horizontal="center"/>
    </xf>
    <xf numFmtId="170" fontId="12" fillId="23" borderId="0" xfId="1" applyNumberFormat="1" applyFont="1" applyFill="1" applyAlignment="1">
      <alignment horizontal="center" vertical="center"/>
    </xf>
    <xf numFmtId="3" fontId="3" fillId="23" borderId="0" xfId="0" applyNumberFormat="1" applyFont="1" applyFill="1" applyAlignment="1">
      <alignment horizontal="left"/>
    </xf>
    <xf numFmtId="0" fontId="2" fillId="21" borderId="0" xfId="0" applyFont="1" applyFill="1" applyAlignment="1">
      <alignment horizontal="left"/>
    </xf>
    <xf numFmtId="170" fontId="4" fillId="5" borderId="0" xfId="1" applyNumberFormat="1" applyFont="1" applyFill="1" applyAlignment="1">
      <alignment horizontal="right" vertical="center"/>
    </xf>
    <xf numFmtId="170" fontId="19" fillId="21" borderId="0" xfId="1" applyNumberFormat="1" applyFont="1" applyFill="1" applyAlignment="1">
      <alignment horizontal="right" vertical="center"/>
    </xf>
    <xf numFmtId="164" fontId="24" fillId="2" borderId="0" xfId="0" applyNumberFormat="1" applyFont="1" applyFill="1" applyAlignment="1">
      <alignment horizontal="center"/>
    </xf>
    <xf numFmtId="170" fontId="17" fillId="23" borderId="0" xfId="1" applyNumberFormat="1" applyFont="1" applyFill="1" applyAlignment="1">
      <alignment horizontal="left" vertical="center"/>
    </xf>
    <xf numFmtId="3" fontId="21" fillId="0" borderId="0" xfId="0" applyNumberFormat="1" applyFont="1" applyAlignment="1">
      <alignment horizontal="center" vertical="center" shrinkToFit="1"/>
    </xf>
    <xf numFmtId="4" fontId="12" fillId="23" borderId="0" xfId="1" applyNumberFormat="1" applyFont="1" applyFill="1" applyAlignment="1">
      <alignment horizontal="center" vertical="center"/>
    </xf>
    <xf numFmtId="170" fontId="14" fillId="23" borderId="0" xfId="1" applyNumberFormat="1" applyFont="1" applyFill="1" applyAlignment="1">
      <alignment horizontal="center" vertical="center"/>
    </xf>
    <xf numFmtId="164" fontId="2" fillId="23" borderId="0" xfId="0" applyNumberFormat="1" applyFont="1" applyFill="1" applyAlignment="1">
      <alignment horizontal="right" vertical="center" shrinkToFit="1"/>
    </xf>
    <xf numFmtId="170" fontId="19" fillId="23" borderId="0" xfId="1" applyNumberFormat="1" applyFont="1" applyFill="1" applyAlignment="1">
      <alignment horizontal="left" vertical="center"/>
    </xf>
    <xf numFmtId="0" fontId="2" fillId="0" borderId="0" xfId="0" applyFont="1" applyAlignment="1">
      <alignment horizontal="right" vertical="top"/>
    </xf>
    <xf numFmtId="164" fontId="2" fillId="0" borderId="0" xfId="0" applyNumberFormat="1" applyFont="1" applyAlignment="1">
      <alignment horizontal="right" vertical="top"/>
    </xf>
    <xf numFmtId="167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/>
    </xf>
    <xf numFmtId="164" fontId="2" fillId="0" borderId="0" xfId="0" applyNumberFormat="1" applyFont="1" applyAlignment="1">
      <alignment horizontal="center" vertical="top"/>
    </xf>
    <xf numFmtId="164" fontId="3" fillId="0" borderId="0" xfId="0" applyNumberFormat="1" applyFont="1" applyAlignment="1">
      <alignment horizontal="center" vertical="top"/>
    </xf>
    <xf numFmtId="167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left" vertical="top"/>
    </xf>
    <xf numFmtId="164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right" vertical="top" wrapText="1"/>
    </xf>
    <xf numFmtId="0" fontId="2" fillId="2" borderId="0" xfId="0" applyFont="1" applyFill="1" applyAlignment="1">
      <alignment horizontal="right" vertical="top" wrapText="1"/>
    </xf>
    <xf numFmtId="167" fontId="2" fillId="0" borderId="0" xfId="0" applyNumberFormat="1" applyFont="1" applyAlignment="1">
      <alignment horizontal="right" vertical="top" wrapText="1"/>
    </xf>
    <xf numFmtId="164" fontId="2" fillId="0" borderId="0" xfId="0" applyNumberFormat="1" applyFont="1" applyAlignment="1">
      <alignment horizontal="right" vertical="top" wrapText="1"/>
    </xf>
    <xf numFmtId="4" fontId="2" fillId="2" borderId="0" xfId="0" applyNumberFormat="1" applyFont="1" applyFill="1" applyAlignment="1">
      <alignment horizontal="right" vertical="top" wrapText="1"/>
    </xf>
    <xf numFmtId="164" fontId="2" fillId="0" borderId="0" xfId="0" applyNumberFormat="1" applyFont="1" applyAlignment="1">
      <alignment horizontal="left"/>
    </xf>
    <xf numFmtId="167" fontId="2" fillId="0" borderId="0" xfId="0" applyNumberFormat="1" applyFont="1"/>
    <xf numFmtId="4" fontId="3" fillId="4" borderId="0" xfId="0" applyNumberFormat="1" applyFont="1" applyFill="1"/>
    <xf numFmtId="4" fontId="2" fillId="4" borderId="0" xfId="0" applyNumberFormat="1" applyFont="1" applyFill="1"/>
    <xf numFmtId="171" fontId="17" fillId="23" borderId="0" xfId="1" applyNumberFormat="1" applyFont="1" applyFill="1" applyAlignment="1">
      <alignment horizontal="center" vertical="center"/>
    </xf>
    <xf numFmtId="164" fontId="18" fillId="4" borderId="0" xfId="0" applyNumberFormat="1" applyFont="1" applyFill="1" applyAlignment="1">
      <alignment horizontal="left" vertical="center"/>
    </xf>
    <xf numFmtId="171" fontId="4" fillId="5" borderId="0" xfId="0" applyNumberFormat="1" applyFont="1" applyFill="1" applyAlignment="1">
      <alignment horizontal="right" vertical="center"/>
    </xf>
    <xf numFmtId="0" fontId="2" fillId="40" borderId="0" xfId="0" applyFont="1" applyFill="1" applyAlignment="1">
      <alignment horizontal="right" vertical="center"/>
    </xf>
    <xf numFmtId="3" fontId="21" fillId="40" borderId="0" xfId="0" applyNumberFormat="1" applyFont="1" applyFill="1" applyAlignment="1">
      <alignment horizontal="center" vertical="center" shrinkToFit="1"/>
    </xf>
    <xf numFmtId="0" fontId="2" fillId="40" borderId="0" xfId="0" applyFont="1" applyFill="1"/>
    <xf numFmtId="0" fontId="2" fillId="40" borderId="0" xfId="0" applyFont="1" applyFill="1" applyAlignment="1">
      <alignment vertical="center"/>
    </xf>
    <xf numFmtId="0" fontId="18" fillId="40" borderId="0" xfId="0" applyFont="1" applyFill="1" applyAlignment="1">
      <alignment vertical="center"/>
    </xf>
    <xf numFmtId="0" fontId="18" fillId="40" borderId="0" xfId="0" applyFont="1" applyFill="1" applyAlignment="1">
      <alignment horizontal="center" vertical="center"/>
    </xf>
    <xf numFmtId="0" fontId="17" fillId="40" borderId="0" xfId="0" applyFont="1" applyFill="1" applyAlignment="1">
      <alignment vertical="center"/>
    </xf>
    <xf numFmtId="170" fontId="19" fillId="22" borderId="0" xfId="1" applyNumberFormat="1" applyFont="1" applyFill="1" applyAlignment="1">
      <alignment horizontal="center" vertical="center"/>
    </xf>
    <xf numFmtId="171" fontId="17" fillId="23" borderId="0" xfId="0" applyNumberFormat="1" applyFont="1" applyFill="1" applyAlignment="1">
      <alignment horizontal="center" vertical="center"/>
    </xf>
    <xf numFmtId="0" fontId="17" fillId="23" borderId="0" xfId="0" applyFont="1" applyFill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right" wrapText="1"/>
    </xf>
    <xf numFmtId="0" fontId="18" fillId="0" borderId="0" xfId="0" applyFont="1" applyFill="1" applyAlignment="1">
      <alignment vertical="center"/>
    </xf>
    <xf numFmtId="0" fontId="18" fillId="0" borderId="0" xfId="0" applyFont="1" applyFill="1" applyAlignment="1">
      <alignment horizontal="center" vertical="center"/>
    </xf>
    <xf numFmtId="164" fontId="17" fillId="2" borderId="0" xfId="0" applyNumberFormat="1" applyFont="1" applyFill="1" applyAlignment="1">
      <alignment horizontal="right" vertical="center"/>
    </xf>
    <xf numFmtId="0" fontId="23" fillId="34" borderId="0" xfId="0" applyFont="1" applyFill="1" applyAlignment="1">
      <alignment horizontal="center" vertical="center"/>
    </xf>
    <xf numFmtId="0" fontId="23" fillId="22" borderId="0" xfId="0" applyFont="1" applyFill="1" applyAlignment="1">
      <alignment horizontal="center" vertical="center"/>
    </xf>
    <xf numFmtId="167" fontId="25" fillId="4" borderId="0" xfId="0" applyNumberFormat="1" applyFont="1" applyFill="1" applyBorder="1" applyAlignment="1">
      <alignment shrinkToFit="1"/>
    </xf>
    <xf numFmtId="167" fontId="3" fillId="0" borderId="0" xfId="0" applyNumberFormat="1" applyFont="1" applyBorder="1" applyAlignment="1"/>
    <xf numFmtId="167" fontId="3" fillId="0" borderId="0" xfId="0" quotePrefix="1" applyNumberFormat="1" applyFont="1" applyBorder="1" applyAlignment="1"/>
    <xf numFmtId="0" fontId="25" fillId="0" borderId="0" xfId="0" applyFont="1" applyBorder="1"/>
    <xf numFmtId="167" fontId="25" fillId="0" borderId="0" xfId="0" quotePrefix="1" applyNumberFormat="1" applyFont="1" applyBorder="1" applyAlignment="1"/>
    <xf numFmtId="0" fontId="25" fillId="0" borderId="0" xfId="0" applyFont="1"/>
    <xf numFmtId="0" fontId="25" fillId="0" borderId="0" xfId="0" applyFont="1" applyFill="1" applyBorder="1"/>
    <xf numFmtId="4" fontId="25" fillId="2" borderId="0" xfId="0" applyNumberFormat="1" applyFont="1" applyFill="1"/>
    <xf numFmtId="4" fontId="13" fillId="4" borderId="0" xfId="0" applyNumberFormat="1" applyFont="1" applyFill="1" applyAlignment="1">
      <alignment horizontal="right" wrapText="1"/>
    </xf>
    <xf numFmtId="167" fontId="13" fillId="4" borderId="0" xfId="0" applyNumberFormat="1" applyFont="1" applyFill="1" applyAlignment="1">
      <alignment horizontal="right" wrapText="1"/>
    </xf>
    <xf numFmtId="0" fontId="2" fillId="0" borderId="0" xfId="0" applyFont="1" applyAlignment="1">
      <alignment horizontal="right" wrapText="1"/>
    </xf>
    <xf numFmtId="167" fontId="2" fillId="0" borderId="0" xfId="0" applyNumberFormat="1" applyFont="1" applyAlignment="1">
      <alignment horizontal="right" wrapText="1"/>
    </xf>
    <xf numFmtId="164" fontId="21" fillId="23" borderId="0" xfId="0" applyNumberFormat="1" applyFont="1" applyFill="1" applyAlignment="1">
      <alignment horizontal="left"/>
    </xf>
    <xf numFmtId="164" fontId="21" fillId="23" borderId="2" xfId="0" applyNumberFormat="1" applyFont="1" applyFill="1" applyBorder="1" applyAlignment="1">
      <alignment horizontal="left"/>
    </xf>
    <xf numFmtId="0" fontId="19" fillId="4" borderId="0" xfId="0" applyFont="1" applyFill="1" applyBorder="1"/>
    <xf numFmtId="0" fontId="17" fillId="4" borderId="0" xfId="0" applyFont="1" applyFill="1" applyBorder="1"/>
    <xf numFmtId="4" fontId="17" fillId="2" borderId="0" xfId="0" applyNumberFormat="1" applyFont="1" applyFill="1"/>
    <xf numFmtId="0" fontId="17" fillId="0" borderId="0" xfId="0" applyFont="1" applyFill="1" applyBorder="1"/>
    <xf numFmtId="0" fontId="19" fillId="16" borderId="0" xfId="0" applyFont="1" applyFill="1" applyBorder="1"/>
    <xf numFmtId="4" fontId="16" fillId="4" borderId="0" xfId="0" applyNumberFormat="1" applyFont="1" applyFill="1" applyAlignment="1">
      <alignment horizontal="right" wrapText="1"/>
    </xf>
    <xf numFmtId="4" fontId="17" fillId="4" borderId="0" xfId="0" applyNumberFormat="1" applyFont="1" applyFill="1" applyAlignment="1">
      <alignment horizontal="right" wrapText="1"/>
    </xf>
    <xf numFmtId="164" fontId="2" fillId="43" borderId="0" xfId="0" applyNumberFormat="1" applyFont="1" applyFill="1" applyAlignment="1">
      <alignment horizontal="right" vertical="top"/>
    </xf>
    <xf numFmtId="167" fontId="18" fillId="23" borderId="0" xfId="0" applyNumberFormat="1" applyFont="1" applyFill="1"/>
    <xf numFmtId="167" fontId="12" fillId="41" borderId="0" xfId="0" applyNumberFormat="1" applyFont="1" applyFill="1"/>
    <xf numFmtId="0" fontId="21" fillId="4" borderId="0" xfId="0" applyFont="1" applyFill="1" applyBorder="1" applyAlignment="1">
      <alignment wrapText="1"/>
    </xf>
    <xf numFmtId="0" fontId="22" fillId="4" borderId="0" xfId="0" applyFont="1" applyFill="1" applyBorder="1"/>
    <xf numFmtId="4" fontId="8" fillId="44" borderId="0" xfId="0" applyNumberFormat="1" applyFont="1" applyFill="1" applyAlignment="1">
      <alignment horizontal="right"/>
    </xf>
    <xf numFmtId="170" fontId="4" fillId="24" borderId="0" xfId="1" applyNumberFormat="1" applyFont="1" applyFill="1" applyAlignment="1">
      <alignment horizontal="right" vertical="center"/>
    </xf>
    <xf numFmtId="4" fontId="21" fillId="0" borderId="0" xfId="0" applyNumberFormat="1" applyFont="1" applyAlignment="1">
      <alignment horizontal="center" vertical="center" shrinkToFit="1"/>
    </xf>
    <xf numFmtId="0" fontId="26" fillId="0" borderId="0" xfId="0" applyFont="1" applyBorder="1" applyAlignment="1"/>
    <xf numFmtId="164" fontId="27" fillId="4" borderId="0" xfId="0" quotePrefix="1" applyNumberFormat="1" applyFont="1" applyFill="1" applyBorder="1" applyAlignment="1"/>
    <xf numFmtId="0" fontId="26" fillId="4" borderId="0" xfId="0" applyFont="1" applyFill="1" applyBorder="1" applyAlignment="1"/>
    <xf numFmtId="0" fontId="26" fillId="4" borderId="0" xfId="0" applyFont="1" applyFill="1" applyAlignment="1"/>
    <xf numFmtId="0" fontId="26" fillId="0" borderId="0" xfId="0" applyFont="1" applyFill="1" applyBorder="1" applyAlignment="1"/>
    <xf numFmtId="0" fontId="26" fillId="0" borderId="0" xfId="0" applyFont="1" applyAlignment="1"/>
    <xf numFmtId="0" fontId="27" fillId="4" borderId="0" xfId="0" applyFont="1" applyFill="1" applyBorder="1" applyAlignment="1"/>
    <xf numFmtId="0" fontId="26" fillId="3" borderId="0" xfId="0" applyFont="1" applyFill="1" applyBorder="1" applyAlignment="1">
      <alignment wrapText="1"/>
    </xf>
    <xf numFmtId="0" fontId="26" fillId="4" borderId="0" xfId="0" applyFont="1" applyFill="1" applyBorder="1" applyAlignment="1">
      <alignment wrapText="1"/>
    </xf>
    <xf numFmtId="0" fontId="27" fillId="4" borderId="0" xfId="0" applyFont="1" applyFill="1" applyBorder="1" applyAlignment="1">
      <alignment wrapText="1"/>
    </xf>
    <xf numFmtId="4" fontId="28" fillId="2" borderId="0" xfId="0" applyNumberFormat="1" applyFont="1" applyFill="1" applyAlignment="1"/>
    <xf numFmtId="4" fontId="29" fillId="4" borderId="0" xfId="0" applyNumberFormat="1" applyFont="1" applyFill="1" applyAlignment="1"/>
    <xf numFmtId="4" fontId="30" fillId="4" borderId="0" xfId="0" applyNumberFormat="1" applyFont="1" applyFill="1" applyAlignment="1"/>
    <xf numFmtId="4" fontId="28" fillId="2" borderId="0" xfId="0" applyNumberFormat="1" applyFont="1" applyFill="1" applyAlignment="1">
      <alignment wrapText="1"/>
    </xf>
    <xf numFmtId="4" fontId="29" fillId="4" borderId="0" xfId="0" applyNumberFormat="1" applyFont="1" applyFill="1" applyAlignment="1">
      <alignment wrapText="1"/>
    </xf>
    <xf numFmtId="167" fontId="29" fillId="4" borderId="0" xfId="0" applyNumberFormat="1" applyFont="1" applyFill="1" applyAlignment="1">
      <alignment wrapText="1"/>
    </xf>
    <xf numFmtId="0" fontId="26" fillId="0" borderId="0" xfId="0" applyFont="1" applyBorder="1"/>
    <xf numFmtId="167" fontId="31" fillId="4" borderId="0" xfId="0" applyNumberFormat="1" applyFont="1" applyFill="1" applyBorder="1" applyAlignment="1"/>
    <xf numFmtId="0" fontId="31" fillId="0" borderId="0" xfId="0" applyFont="1" applyBorder="1"/>
    <xf numFmtId="0" fontId="26" fillId="0" borderId="0" xfId="0" applyFont="1"/>
    <xf numFmtId="0" fontId="31" fillId="0" borderId="0" xfId="0" applyFont="1"/>
    <xf numFmtId="0" fontId="31" fillId="0" borderId="0" xfId="0" applyFont="1" applyFill="1" applyBorder="1"/>
    <xf numFmtId="4" fontId="28" fillId="2" borderId="0" xfId="0" applyNumberFormat="1" applyFont="1" applyFill="1"/>
    <xf numFmtId="0" fontId="30" fillId="4" borderId="0" xfId="0" applyFont="1" applyFill="1" applyBorder="1"/>
    <xf numFmtId="0" fontId="28" fillId="4" borderId="0" xfId="0" applyFont="1" applyFill="1" applyBorder="1"/>
    <xf numFmtId="0" fontId="26" fillId="0" borderId="0" xfId="0" applyFont="1" applyFill="1" applyBorder="1"/>
    <xf numFmtId="0" fontId="30" fillId="16" borderId="0" xfId="0" applyFont="1" applyFill="1" applyBorder="1"/>
    <xf numFmtId="167" fontId="29" fillId="4" borderId="0" xfId="0" applyNumberFormat="1" applyFont="1" applyFill="1" applyBorder="1" applyAlignment="1"/>
    <xf numFmtId="0" fontId="29" fillId="0" borderId="0" xfId="0" applyFont="1" applyAlignment="1"/>
    <xf numFmtId="0" fontId="29" fillId="0" borderId="0" xfId="0" applyFont="1" applyBorder="1" applyAlignment="1"/>
    <xf numFmtId="0" fontId="29" fillId="0" borderId="0" xfId="0" applyFont="1" applyFill="1" applyBorder="1" applyAlignment="1"/>
    <xf numFmtId="0" fontId="29" fillId="0" borderId="0" xfId="0" applyFont="1" applyFill="1" applyBorder="1" applyAlignment="1">
      <alignment wrapText="1"/>
    </xf>
    <xf numFmtId="167" fontId="32" fillId="4" borderId="0" xfId="0" applyNumberFormat="1" applyFont="1" applyFill="1" applyBorder="1" applyAlignment="1"/>
    <xf numFmtId="164" fontId="29" fillId="4" borderId="0" xfId="0" applyNumberFormat="1" applyFont="1" applyFill="1" applyBorder="1" applyAlignment="1"/>
    <xf numFmtId="0" fontId="27" fillId="0" borderId="0" xfId="0" applyFont="1"/>
    <xf numFmtId="0" fontId="27" fillId="7" borderId="0" xfId="0" applyFont="1" applyFill="1" applyBorder="1"/>
    <xf numFmtId="167" fontId="26" fillId="2" borderId="0" xfId="0" applyNumberFormat="1" applyFont="1" applyFill="1" applyBorder="1" applyAlignment="1">
      <alignment shrinkToFit="1"/>
    </xf>
    <xf numFmtId="167" fontId="26" fillId="12" borderId="0" xfId="0" applyNumberFormat="1" applyFont="1" applyFill="1" applyAlignment="1">
      <alignment shrinkToFit="1"/>
    </xf>
    <xf numFmtId="0" fontId="26" fillId="0" borderId="0" xfId="0" applyFont="1" applyBorder="1" applyAlignment="1">
      <alignment shrinkToFit="1"/>
    </xf>
    <xf numFmtId="167" fontId="29" fillId="12" borderId="0" xfId="0" applyNumberFormat="1" applyFont="1" applyFill="1" applyBorder="1" applyAlignment="1">
      <alignment shrinkToFit="1"/>
    </xf>
    <xf numFmtId="167" fontId="30" fillId="12" borderId="0" xfId="0" applyNumberFormat="1" applyFont="1" applyFill="1" applyBorder="1" applyAlignment="1">
      <alignment shrinkToFit="1"/>
    </xf>
    <xf numFmtId="9" fontId="33" fillId="5" borderId="0" xfId="1" applyFont="1" applyFill="1" applyBorder="1"/>
    <xf numFmtId="9" fontId="33" fillId="7" borderId="0" xfId="1" applyFont="1" applyFill="1" applyBorder="1"/>
    <xf numFmtId="167" fontId="33" fillId="17" borderId="0" xfId="0" applyNumberFormat="1" applyFont="1" applyFill="1" applyBorder="1" applyAlignment="1">
      <alignment shrinkToFit="1"/>
    </xf>
    <xf numFmtId="4" fontId="29" fillId="4" borderId="0" xfId="0" applyNumberFormat="1" applyFont="1" applyFill="1"/>
    <xf numFmtId="4" fontId="30" fillId="4" borderId="0" xfId="0" applyNumberFormat="1" applyFont="1" applyFill="1"/>
    <xf numFmtId="167" fontId="32" fillId="4" borderId="0" xfId="0" applyNumberFormat="1" applyFont="1" applyFill="1" applyBorder="1" applyAlignment="1">
      <alignment shrinkToFit="1"/>
    </xf>
    <xf numFmtId="167" fontId="29" fillId="3" borderId="0" xfId="0" applyNumberFormat="1" applyFont="1" applyFill="1" applyBorder="1" applyAlignment="1">
      <alignment shrinkToFit="1"/>
    </xf>
    <xf numFmtId="167" fontId="29" fillId="4" borderId="0" xfId="0" applyNumberFormat="1" applyFont="1" applyFill="1" applyBorder="1" applyAlignment="1">
      <alignment shrinkToFit="1"/>
    </xf>
    <xf numFmtId="167" fontId="29" fillId="15" borderId="0" xfId="0" applyNumberFormat="1" applyFont="1" applyFill="1" applyBorder="1" applyAlignment="1">
      <alignment shrinkToFit="1"/>
    </xf>
    <xf numFmtId="167" fontId="29" fillId="41" borderId="0" xfId="0" applyNumberFormat="1" applyFont="1" applyFill="1"/>
    <xf numFmtId="4" fontId="26" fillId="0" borderId="0" xfId="0" applyNumberFormat="1" applyFont="1" applyFill="1" applyBorder="1"/>
    <xf numFmtId="4" fontId="28" fillId="0" borderId="0" xfId="0" applyNumberFormat="1" applyFont="1" applyFill="1"/>
    <xf numFmtId="167" fontId="32" fillId="43" borderId="0" xfId="0" applyNumberFormat="1" applyFont="1" applyFill="1" applyBorder="1" applyAlignment="1">
      <alignment shrinkToFit="1"/>
    </xf>
    <xf numFmtId="0" fontId="27" fillId="2" borderId="0" xfId="0" applyFont="1" applyFill="1" applyAlignment="1">
      <alignment horizontal="right" vertical="center" wrapText="1"/>
    </xf>
    <xf numFmtId="0" fontId="26" fillId="2" borderId="0" xfId="0" applyFont="1" applyFill="1" applyAlignment="1">
      <alignment horizontal="right" vertical="center" wrapText="1"/>
    </xf>
    <xf numFmtId="164" fontId="27" fillId="4" borderId="0" xfId="0" quotePrefix="1" applyNumberFormat="1" applyFont="1" applyFill="1" applyBorder="1"/>
    <xf numFmtId="0" fontId="26" fillId="4" borderId="0" xfId="0" applyFont="1" applyFill="1" applyBorder="1"/>
    <xf numFmtId="0" fontId="26" fillId="4" borderId="0" xfId="0" applyFont="1" applyFill="1"/>
    <xf numFmtId="4" fontId="26" fillId="2" borderId="0" xfId="0" applyNumberFormat="1" applyFont="1" applyFill="1" applyBorder="1"/>
    <xf numFmtId="4" fontId="26" fillId="4" borderId="0" xfId="0" applyNumberFormat="1" applyFont="1" applyFill="1" applyBorder="1"/>
    <xf numFmtId="0" fontId="26" fillId="0" borderId="0" xfId="0" applyFont="1" applyBorder="1" applyAlignment="1">
      <alignment wrapText="1"/>
    </xf>
    <xf numFmtId="0" fontId="26" fillId="0" borderId="0" xfId="0" applyFont="1" applyFill="1" applyBorder="1" applyAlignment="1">
      <alignment wrapText="1"/>
    </xf>
    <xf numFmtId="4" fontId="30" fillId="4" borderId="0" xfId="0" applyNumberFormat="1" applyFont="1" applyFill="1" applyAlignment="1">
      <alignment wrapText="1"/>
    </xf>
    <xf numFmtId="0" fontId="29" fillId="0" borderId="0" xfId="0" applyFont="1" applyFill="1" applyBorder="1"/>
    <xf numFmtId="164" fontId="27" fillId="4" borderId="0" xfId="0" applyNumberFormat="1" applyFont="1" applyFill="1" applyBorder="1" applyAlignment="1">
      <alignment wrapText="1"/>
    </xf>
    <xf numFmtId="164" fontId="29" fillId="4" borderId="0" xfId="0" applyNumberFormat="1" applyFont="1" applyFill="1" applyBorder="1" applyAlignment="1">
      <alignment wrapText="1"/>
    </xf>
    <xf numFmtId="167" fontId="33" fillId="5" borderId="0" xfId="0" applyNumberFormat="1" applyFont="1" applyFill="1" applyBorder="1" applyAlignment="1">
      <alignment shrinkToFit="1"/>
    </xf>
    <xf numFmtId="0" fontId="26" fillId="0" borderId="0" xfId="0" applyFont="1" applyAlignment="1">
      <alignment shrinkToFit="1"/>
    </xf>
    <xf numFmtId="167" fontId="27" fillId="0" borderId="0" xfId="0" applyNumberFormat="1" applyFont="1" applyBorder="1" applyAlignment="1">
      <alignment shrinkToFit="1"/>
    </xf>
    <xf numFmtId="167" fontId="27" fillId="4" borderId="0" xfId="0" applyNumberFormat="1" applyFont="1" applyFill="1" applyBorder="1" applyAlignment="1">
      <alignment shrinkToFit="1"/>
    </xf>
    <xf numFmtId="167" fontId="27" fillId="4" borderId="0" xfId="0" applyNumberFormat="1" applyFont="1" applyFill="1" applyBorder="1" applyAlignment="1">
      <alignment vertical="center" shrinkToFit="1"/>
    </xf>
    <xf numFmtId="0" fontId="2" fillId="23" borderId="0" xfId="0" applyFont="1" applyFill="1" applyAlignment="1"/>
    <xf numFmtId="0" fontId="23" fillId="21" borderId="0" xfId="0" applyFont="1" applyFill="1" applyAlignment="1">
      <alignment horizontal="center"/>
    </xf>
    <xf numFmtId="165" fontId="2" fillId="23" borderId="0" xfId="0" applyNumberFormat="1" applyFont="1" applyFill="1" applyAlignment="1"/>
    <xf numFmtId="0" fontId="2" fillId="45" borderId="0" xfId="0" applyFont="1" applyFill="1" applyAlignment="1"/>
    <xf numFmtId="0" fontId="23" fillId="39" borderId="0" xfId="0" applyFont="1" applyFill="1" applyAlignment="1">
      <alignment horizontal="center" vertical="center"/>
    </xf>
    <xf numFmtId="172" fontId="3" fillId="43" borderId="0" xfId="0" applyNumberFormat="1" applyFont="1" applyFill="1"/>
    <xf numFmtId="172" fontId="17" fillId="43" borderId="0" xfId="0" applyNumberFormat="1" applyFont="1" applyFill="1"/>
    <xf numFmtId="0" fontId="4" fillId="46" borderId="0" xfId="0" applyFont="1" applyFill="1" applyAlignment="1">
      <alignment horizontal="center" vertical="center"/>
    </xf>
    <xf numFmtId="0" fontId="34" fillId="36" borderId="0" xfId="0" applyFont="1" applyFill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33" fillId="19" borderId="0" xfId="0" applyFont="1" applyFill="1" applyAlignment="1">
      <alignment horizontal="center" vertical="center"/>
    </xf>
    <xf numFmtId="0" fontId="26" fillId="9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right" vertical="center"/>
    </xf>
    <xf numFmtId="0" fontId="35" fillId="32" borderId="0" xfId="0" applyFont="1" applyFill="1" applyAlignment="1">
      <alignment horizontal="right" vertical="center" wrapText="1"/>
    </xf>
    <xf numFmtId="0" fontId="35" fillId="34" borderId="0" xfId="0" applyFont="1" applyFill="1" applyAlignment="1">
      <alignment horizontal="center" vertical="center"/>
    </xf>
    <xf numFmtId="4" fontId="26" fillId="0" borderId="0" xfId="0" applyNumberFormat="1" applyFont="1" applyAlignment="1">
      <alignment horizontal="right" vertical="center"/>
    </xf>
    <xf numFmtId="0" fontId="26" fillId="12" borderId="0" xfId="0" applyFont="1" applyFill="1" applyAlignment="1">
      <alignment vertical="center"/>
    </xf>
    <xf numFmtId="0" fontId="26" fillId="12" borderId="0" xfId="0" applyFont="1" applyFill="1" applyAlignment="1">
      <alignment horizontal="right" vertical="center"/>
    </xf>
    <xf numFmtId="164" fontId="36" fillId="4" borderId="0" xfId="0" applyNumberFormat="1" applyFont="1" applyFill="1" applyAlignment="1">
      <alignment horizontal="center" vertical="center"/>
    </xf>
    <xf numFmtId="0" fontId="37" fillId="18" borderId="0" xfId="0" applyFont="1" applyFill="1" applyAlignment="1">
      <alignment horizontal="left" vertical="center" wrapText="1"/>
    </xf>
    <xf numFmtId="164" fontId="36" fillId="0" borderId="0" xfId="0" applyNumberFormat="1" applyFont="1" applyFill="1" applyAlignment="1">
      <alignment horizontal="center" vertical="center"/>
    </xf>
    <xf numFmtId="0" fontId="35" fillId="22" borderId="0" xfId="0" applyFont="1" applyFill="1" applyAlignment="1">
      <alignment horizontal="right" vertical="center" wrapText="1"/>
    </xf>
    <xf numFmtId="4" fontId="35" fillId="23" borderId="0" xfId="0" applyNumberFormat="1" applyFont="1" applyFill="1" applyAlignment="1">
      <alignment horizontal="right" vertical="center" wrapText="1"/>
    </xf>
    <xf numFmtId="0" fontId="26" fillId="0" borderId="0" xfId="0" applyNumberFormat="1" applyFont="1" applyAlignment="1">
      <alignment horizontal="right" vertical="center"/>
    </xf>
    <xf numFmtId="0" fontId="38" fillId="22" borderId="0" xfId="0" applyFont="1" applyFill="1" applyAlignment="1">
      <alignment horizontal="right" vertical="center" wrapText="1"/>
    </xf>
    <xf numFmtId="0" fontId="35" fillId="22" borderId="0" xfId="0" applyFont="1" applyFill="1" applyAlignment="1">
      <alignment horizontal="center" vertical="center" wrapText="1"/>
    </xf>
    <xf numFmtId="0" fontId="26" fillId="12" borderId="0" xfId="0" applyFont="1" applyFill="1" applyAlignment="1">
      <alignment vertical="center" wrapText="1"/>
    </xf>
    <xf numFmtId="0" fontId="27" fillId="4" borderId="0" xfId="0" applyFont="1" applyFill="1" applyAlignment="1">
      <alignment horizontal="right" vertical="center" wrapText="1"/>
    </xf>
    <xf numFmtId="0" fontId="29" fillId="4" borderId="0" xfId="0" applyFont="1" applyFill="1" applyAlignment="1">
      <alignment horizontal="right" vertical="center" wrapText="1"/>
    </xf>
    <xf numFmtId="10" fontId="28" fillId="12" borderId="0" xfId="0" applyNumberFormat="1" applyFont="1" applyFill="1" applyAlignment="1">
      <alignment horizontal="left" vertical="center"/>
    </xf>
    <xf numFmtId="10" fontId="28" fillId="0" borderId="0" xfId="0" applyNumberFormat="1" applyFont="1" applyFill="1" applyAlignment="1">
      <alignment horizontal="left" vertical="center"/>
    </xf>
    <xf numFmtId="1" fontId="35" fillId="23" borderId="0" xfId="0" applyNumberFormat="1" applyFont="1" applyFill="1" applyAlignment="1">
      <alignment horizontal="right" vertical="center" wrapText="1"/>
    </xf>
    <xf numFmtId="1" fontId="35" fillId="23" borderId="0" xfId="0" applyNumberFormat="1" applyFont="1" applyFill="1" applyAlignment="1">
      <alignment horizontal="center" vertical="center" wrapText="1"/>
    </xf>
    <xf numFmtId="0" fontId="26" fillId="12" borderId="0" xfId="0" applyNumberFormat="1" applyFont="1" applyFill="1" applyAlignment="1">
      <alignment horizontal="left" vertical="center"/>
    </xf>
    <xf numFmtId="0" fontId="26" fillId="0" borderId="0" xfId="0" applyNumberFormat="1" applyFont="1" applyFill="1" applyAlignment="1">
      <alignment horizontal="left" vertical="center"/>
    </xf>
    <xf numFmtId="0" fontId="35" fillId="42" borderId="0" xfId="0" applyFont="1" applyFill="1" applyAlignment="1">
      <alignment horizontal="right" vertical="center" wrapText="1"/>
    </xf>
    <xf numFmtId="0" fontId="26" fillId="32" borderId="0" xfId="0" applyFont="1" applyFill="1" applyAlignment="1">
      <alignment horizontal="right" vertical="center"/>
    </xf>
    <xf numFmtId="1" fontId="26" fillId="32" borderId="0" xfId="0" applyNumberFormat="1" applyFont="1" applyFill="1" applyAlignment="1">
      <alignment horizontal="right" vertical="center"/>
    </xf>
    <xf numFmtId="0" fontId="35" fillId="2" borderId="0" xfId="0" applyFont="1" applyFill="1" applyAlignment="1">
      <alignment horizontal="right" vertical="center" wrapText="1"/>
    </xf>
    <xf numFmtId="0" fontId="28" fillId="2" borderId="0" xfId="0" applyFont="1" applyFill="1" applyAlignment="1">
      <alignment horizontal="right" vertical="center" wrapText="1"/>
    </xf>
    <xf numFmtId="165" fontId="26" fillId="0" borderId="0" xfId="0" applyNumberFormat="1" applyFont="1" applyAlignment="1">
      <alignment horizontal="left" vertical="center"/>
    </xf>
    <xf numFmtId="10" fontId="26" fillId="12" borderId="0" xfId="0" applyNumberFormat="1" applyFont="1" applyFill="1" applyAlignment="1">
      <alignment horizontal="left" vertical="center"/>
    </xf>
    <xf numFmtId="10" fontId="26" fillId="0" borderId="0" xfId="0" applyNumberFormat="1" applyFont="1" applyFill="1" applyAlignment="1">
      <alignment horizontal="left" vertical="center"/>
    </xf>
    <xf numFmtId="167" fontId="26" fillId="23" borderId="0" xfId="0" applyNumberFormat="1" applyFont="1" applyFill="1" applyAlignment="1">
      <alignment horizontal="right" vertical="center" shrinkToFit="1"/>
    </xf>
    <xf numFmtId="4" fontId="26" fillId="4" borderId="0" xfId="0" applyNumberFormat="1" applyFont="1" applyFill="1" applyAlignment="1">
      <alignment horizontal="right" vertical="center"/>
    </xf>
    <xf numFmtId="0" fontId="26" fillId="22" borderId="0" xfId="0" applyFont="1" applyFill="1" applyAlignment="1">
      <alignment horizontal="right" vertical="center"/>
    </xf>
    <xf numFmtId="1" fontId="26" fillId="22" borderId="0" xfId="0" applyNumberFormat="1" applyFont="1" applyFill="1" applyAlignment="1">
      <alignment horizontal="right" vertical="center"/>
    </xf>
    <xf numFmtId="4" fontId="26" fillId="4" borderId="0" xfId="0" applyNumberFormat="1" applyFont="1" applyFill="1" applyAlignment="1">
      <alignment horizontal="right" vertical="center" shrinkToFit="1"/>
    </xf>
    <xf numFmtId="168" fontId="26" fillId="22" borderId="0" xfId="0" applyNumberFormat="1" applyFont="1" applyFill="1" applyAlignment="1">
      <alignment horizontal="right" vertical="center"/>
    </xf>
    <xf numFmtId="1" fontId="28" fillId="4" borderId="0" xfId="0" applyNumberFormat="1" applyFont="1" applyFill="1" applyAlignment="1">
      <alignment horizontal="right" vertical="center" wrapText="1"/>
    </xf>
    <xf numFmtId="4" fontId="37" fillId="4" borderId="0" xfId="0" applyNumberFormat="1" applyFont="1" applyFill="1" applyAlignment="1">
      <alignment horizontal="left" vertical="center"/>
    </xf>
    <xf numFmtId="3" fontId="36" fillId="22" borderId="0" xfId="0" applyNumberFormat="1" applyFont="1" applyFill="1"/>
    <xf numFmtId="0" fontId="26" fillId="21" borderId="0" xfId="0" applyFont="1" applyFill="1" applyAlignment="1">
      <alignment horizontal="center" vertical="center"/>
    </xf>
    <xf numFmtId="165" fontId="26" fillId="12" borderId="0" xfId="0" applyNumberFormat="1" applyFont="1" applyFill="1" applyAlignment="1">
      <alignment horizontal="left" vertical="center"/>
    </xf>
    <xf numFmtId="165" fontId="26" fillId="0" borderId="0" xfId="0" applyNumberFormat="1" applyFont="1" applyFill="1" applyAlignment="1">
      <alignment horizontal="left" vertical="center"/>
    </xf>
    <xf numFmtId="0" fontId="37" fillId="2" borderId="0" xfId="0" applyFont="1" applyFill="1" applyAlignment="1">
      <alignment horizontal="right" vertical="center" wrapText="1"/>
    </xf>
    <xf numFmtId="0" fontId="33" fillId="28" borderId="0" xfId="0" applyFont="1" applyFill="1" applyAlignment="1">
      <alignment horizontal="center" vertical="center"/>
    </xf>
    <xf numFmtId="0" fontId="26" fillId="0" borderId="0" xfId="0" applyFont="1" applyAlignment="1">
      <alignment horizontal="left" vertical="center"/>
    </xf>
    <xf numFmtId="1" fontId="26" fillId="21" borderId="0" xfId="0" applyNumberFormat="1" applyFont="1" applyFill="1" applyAlignment="1">
      <alignment horizontal="center" vertical="center"/>
    </xf>
    <xf numFmtId="170" fontId="39" fillId="0" borderId="0" xfId="1" applyNumberFormat="1" applyFont="1" applyAlignment="1">
      <alignment horizontal="right" vertical="center"/>
    </xf>
    <xf numFmtId="168" fontId="33" fillId="8" borderId="0" xfId="0" applyNumberFormat="1" applyFont="1" applyFill="1" applyAlignment="1">
      <alignment horizontal="right" vertical="center"/>
    </xf>
    <xf numFmtId="0" fontId="29" fillId="2" borderId="0" xfId="0" applyFont="1" applyFill="1" applyAlignment="1">
      <alignment horizontal="right" vertical="center" wrapText="1"/>
    </xf>
    <xf numFmtId="169" fontId="26" fillId="22" borderId="0" xfId="0" applyNumberFormat="1" applyFont="1" applyFill="1" applyAlignment="1">
      <alignment horizontal="right" vertical="center"/>
    </xf>
    <xf numFmtId="167" fontId="26" fillId="0" borderId="0" xfId="0" applyNumberFormat="1" applyFont="1" applyAlignment="1">
      <alignment horizontal="right" vertical="center"/>
    </xf>
    <xf numFmtId="0" fontId="37" fillId="4" borderId="0" xfId="0" applyFont="1" applyFill="1" applyAlignment="1">
      <alignment horizontal="right" vertical="center" wrapText="1"/>
    </xf>
    <xf numFmtId="0" fontId="26" fillId="4" borderId="0" xfId="0" applyFont="1" applyFill="1" applyAlignment="1">
      <alignment horizontal="right" vertical="center" wrapText="1"/>
    </xf>
    <xf numFmtId="0" fontId="28" fillId="4" borderId="0" xfId="0" applyFont="1" applyFill="1" applyAlignment="1">
      <alignment horizontal="right" vertical="center" wrapText="1"/>
    </xf>
    <xf numFmtId="168" fontId="33" fillId="19" borderId="0" xfId="0" applyNumberFormat="1" applyFont="1" applyFill="1" applyAlignment="1">
      <alignment horizontal="right" vertical="center"/>
    </xf>
    <xf numFmtId="4" fontId="28" fillId="4" borderId="0" xfId="0" applyNumberFormat="1" applyFont="1" applyFill="1" applyAlignment="1">
      <alignment horizontal="right" vertical="center" wrapText="1"/>
    </xf>
    <xf numFmtId="169" fontId="33" fillId="19" borderId="0" xfId="0" applyNumberFormat="1" applyFont="1" applyFill="1" applyAlignment="1">
      <alignment horizontal="right" vertical="center"/>
    </xf>
    <xf numFmtId="171" fontId="29" fillId="4" borderId="0" xfId="0" applyNumberFormat="1" applyFont="1" applyFill="1" applyAlignment="1">
      <alignment horizontal="right" vertical="center" wrapText="1"/>
    </xf>
    <xf numFmtId="2" fontId="29" fillId="4" borderId="0" xfId="0" applyNumberFormat="1" applyFont="1" applyFill="1" applyAlignment="1">
      <alignment horizontal="right" vertical="center" wrapText="1"/>
    </xf>
    <xf numFmtId="170" fontId="29" fillId="4" borderId="0" xfId="1" applyNumberFormat="1" applyFont="1" applyFill="1" applyAlignment="1">
      <alignment horizontal="right" vertical="center" wrapText="1"/>
    </xf>
    <xf numFmtId="172" fontId="28" fillId="4" borderId="0" xfId="0" applyNumberFormat="1" applyFont="1" applyFill="1" applyAlignment="1">
      <alignment horizontal="right" vertical="center" wrapText="1"/>
    </xf>
    <xf numFmtId="0" fontId="26" fillId="4" borderId="0" xfId="0" applyFont="1" applyFill="1" applyAlignment="1">
      <alignment horizontal="right" vertical="center"/>
    </xf>
    <xf numFmtId="0" fontId="26" fillId="22" borderId="0" xfId="0" applyFont="1" applyFill="1" applyAlignment="1">
      <alignment horizontal="center" vertical="center"/>
    </xf>
    <xf numFmtId="1" fontId="37" fillId="12" borderId="0" xfId="0" applyNumberFormat="1" applyFont="1" applyFill="1" applyAlignment="1">
      <alignment horizontal="left" vertical="center" wrapText="1"/>
    </xf>
    <xf numFmtId="1" fontId="37" fillId="0" borderId="0" xfId="0" applyNumberFormat="1" applyFont="1" applyFill="1" applyAlignment="1">
      <alignment horizontal="left" vertical="center" wrapText="1"/>
    </xf>
    <xf numFmtId="0" fontId="26" fillId="2" borderId="0" xfId="0" applyFont="1" applyFill="1" applyAlignment="1">
      <alignment horizontal="right" vertical="center"/>
    </xf>
    <xf numFmtId="0" fontId="28" fillId="0" borderId="0" xfId="0" applyFont="1" applyAlignment="1">
      <alignment horizontal="right" vertical="center"/>
    </xf>
    <xf numFmtId="0" fontId="28" fillId="4" borderId="0" xfId="0" applyFont="1" applyFill="1" applyAlignment="1">
      <alignment horizontal="right" vertical="center"/>
    </xf>
    <xf numFmtId="0" fontId="29" fillId="4" borderId="0" xfId="0" applyFont="1" applyFill="1" applyAlignment="1">
      <alignment horizontal="right" vertical="center"/>
    </xf>
    <xf numFmtId="1" fontId="26" fillId="12" borderId="0" xfId="0" applyNumberFormat="1" applyFont="1" applyFill="1" applyAlignment="1">
      <alignment horizontal="left" vertical="center"/>
    </xf>
    <xf numFmtId="1" fontId="26" fillId="0" borderId="0" xfId="0" applyNumberFormat="1" applyFont="1" applyFill="1" applyAlignment="1">
      <alignment horizontal="left" vertical="center"/>
    </xf>
    <xf numFmtId="0" fontId="26" fillId="0" borderId="0" xfId="0" applyFont="1" applyAlignment="1">
      <alignment horizontal="center" vertical="center"/>
    </xf>
    <xf numFmtId="165" fontId="35" fillId="22" borderId="0" xfId="0" applyNumberFormat="1" applyFont="1" applyFill="1" applyAlignment="1">
      <alignment horizontal="center" vertical="center" wrapText="1"/>
    </xf>
    <xf numFmtId="0" fontId="33" fillId="14" borderId="0" xfId="0" applyFont="1" applyFill="1"/>
    <xf numFmtId="0" fontId="33" fillId="14" borderId="0" xfId="0" applyFont="1" applyFill="1" applyAlignment="1">
      <alignment horizontal="right" vertical="center"/>
    </xf>
    <xf numFmtId="170" fontId="26" fillId="12" borderId="0" xfId="0" applyNumberFormat="1" applyFont="1" applyFill="1" applyAlignment="1">
      <alignment horizontal="left" vertical="center"/>
    </xf>
    <xf numFmtId="170" fontId="26" fillId="0" borderId="0" xfId="0" applyNumberFormat="1" applyFont="1" applyFill="1" applyAlignment="1">
      <alignment horizontal="left" vertical="center"/>
    </xf>
    <xf numFmtId="0" fontId="37" fillId="2" borderId="0" xfId="0" applyFont="1" applyFill="1" applyAlignment="1">
      <alignment horizontal="center" vertical="center" wrapText="1"/>
    </xf>
    <xf numFmtId="0" fontId="40" fillId="2" borderId="0" xfId="0" applyFont="1" applyFill="1" applyAlignment="1">
      <alignment horizontal="center" vertical="center"/>
    </xf>
    <xf numFmtId="0" fontId="27" fillId="4" borderId="0" xfId="0" applyFont="1" applyFill="1" applyAlignment="1">
      <alignment horizontal="right" vertical="center"/>
    </xf>
    <xf numFmtId="0" fontId="39" fillId="0" borderId="0" xfId="0" applyFont="1" applyAlignment="1">
      <alignment horizontal="right" vertical="center" wrapText="1"/>
    </xf>
    <xf numFmtId="0" fontId="39" fillId="0" borderId="0" xfId="0" applyFont="1" applyAlignment="1">
      <alignment horizontal="center" vertical="center" wrapText="1"/>
    </xf>
    <xf numFmtId="173" fontId="35" fillId="23" borderId="0" xfId="0" applyNumberFormat="1" applyFont="1" applyFill="1" applyAlignment="1">
      <alignment horizontal="center" vertical="center" wrapText="1"/>
    </xf>
    <xf numFmtId="3" fontId="35" fillId="23" borderId="0" xfId="0" applyNumberFormat="1" applyFont="1" applyFill="1" applyAlignment="1">
      <alignment horizontal="center" vertical="center" wrapText="1"/>
    </xf>
    <xf numFmtId="170" fontId="37" fillId="4" borderId="0" xfId="1" applyNumberFormat="1" applyFont="1" applyFill="1" applyAlignment="1">
      <alignment horizontal="right" vertical="center" wrapText="1"/>
    </xf>
    <xf numFmtId="1" fontId="37" fillId="4" borderId="0" xfId="0" applyNumberFormat="1" applyFont="1" applyFill="1" applyAlignment="1">
      <alignment horizontal="right" vertical="center" wrapText="1"/>
    </xf>
    <xf numFmtId="1" fontId="26" fillId="4" borderId="0" xfId="0" applyNumberFormat="1" applyFont="1" applyFill="1" applyAlignment="1">
      <alignment horizontal="center" vertical="center" wrapText="1"/>
    </xf>
    <xf numFmtId="1" fontId="26" fillId="4" borderId="0" xfId="0" applyNumberFormat="1" applyFont="1" applyFill="1" applyAlignment="1">
      <alignment horizontal="right" vertical="center" wrapText="1"/>
    </xf>
    <xf numFmtId="1" fontId="29" fillId="4" borderId="0" xfId="0" applyNumberFormat="1" applyFont="1" applyFill="1" applyAlignment="1">
      <alignment horizontal="right" vertical="center" wrapText="1"/>
    </xf>
    <xf numFmtId="0" fontId="41" fillId="0" borderId="0" xfId="0" applyFont="1" applyAlignment="1">
      <alignment horizontal="right" vertical="center" wrapText="1"/>
    </xf>
    <xf numFmtId="1" fontId="35" fillId="32" borderId="0" xfId="0" applyNumberFormat="1" applyFont="1" applyFill="1" applyAlignment="1">
      <alignment horizontal="right" vertical="center" wrapText="1"/>
    </xf>
    <xf numFmtId="1" fontId="35" fillId="22" borderId="0" xfId="0" applyNumberFormat="1" applyFont="1" applyFill="1" applyAlignment="1">
      <alignment horizontal="right" vertical="center" wrapText="1"/>
    </xf>
    <xf numFmtId="171" fontId="26" fillId="12" borderId="0" xfId="0" applyNumberFormat="1" applyFont="1" applyFill="1" applyAlignment="1">
      <alignment horizontal="left" vertical="center"/>
    </xf>
    <xf numFmtId="171" fontId="26" fillId="0" borderId="0" xfId="0" applyNumberFormat="1" applyFont="1" applyFill="1" applyAlignment="1">
      <alignment horizontal="left" vertical="center"/>
    </xf>
    <xf numFmtId="1" fontId="26" fillId="0" borderId="0" xfId="0" applyNumberFormat="1" applyFont="1" applyAlignment="1">
      <alignment horizontal="center" vertical="center"/>
    </xf>
    <xf numFmtId="1" fontId="26" fillId="0" borderId="0" xfId="0" applyNumberFormat="1" applyFont="1" applyAlignment="1">
      <alignment horizontal="right" vertical="center"/>
    </xf>
    <xf numFmtId="0" fontId="26" fillId="2" borderId="0" xfId="0" applyFont="1" applyFill="1" applyAlignment="1">
      <alignment horizontal="left" vertical="center"/>
    </xf>
    <xf numFmtId="0" fontId="37" fillId="15" borderId="0" xfId="0" applyFont="1" applyFill="1" applyAlignment="1">
      <alignment horizontal="right" vertical="center" wrapText="1"/>
    </xf>
    <xf numFmtId="164" fontId="26" fillId="0" borderId="0" xfId="0" applyNumberFormat="1" applyFont="1" applyAlignment="1">
      <alignment horizontal="right" vertical="center" shrinkToFit="1"/>
    </xf>
    <xf numFmtId="167" fontId="26" fillId="0" borderId="0" xfId="0" applyNumberFormat="1" applyFont="1" applyAlignment="1">
      <alignment horizontal="right" vertical="center" shrinkToFit="1"/>
    </xf>
    <xf numFmtId="0" fontId="27" fillId="0" borderId="0" xfId="0" applyFont="1" applyAlignment="1">
      <alignment horizontal="right" vertical="center"/>
    </xf>
    <xf numFmtId="0" fontId="37" fillId="22" borderId="0" xfId="0" applyFont="1" applyFill="1" applyAlignment="1">
      <alignment horizontal="right" vertical="center" wrapText="1"/>
    </xf>
    <xf numFmtId="4" fontId="26" fillId="4" borderId="0" xfId="0" applyNumberFormat="1" applyFont="1" applyFill="1" applyAlignment="1">
      <alignment horizontal="right" vertical="center" wrapText="1"/>
    </xf>
    <xf numFmtId="4" fontId="29" fillId="4" borderId="0" xfId="0" applyNumberFormat="1" applyFont="1" applyFill="1" applyAlignment="1">
      <alignment horizontal="right" vertical="center" wrapText="1"/>
    </xf>
    <xf numFmtId="167" fontId="26" fillId="4" borderId="0" xfId="0" applyNumberFormat="1" applyFont="1" applyFill="1" applyAlignment="1">
      <alignment horizontal="right" vertical="center" shrinkToFit="1"/>
    </xf>
    <xf numFmtId="0" fontId="26" fillId="0" borderId="0" xfId="0" applyFont="1" applyAlignment="1">
      <alignment horizontal="right" vertical="center" wrapText="1"/>
    </xf>
    <xf numFmtId="0" fontId="26" fillId="0" borderId="0" xfId="0" applyFont="1" applyFill="1" applyAlignment="1">
      <alignment horizontal="right" vertical="center" wrapText="1"/>
    </xf>
    <xf numFmtId="165" fontId="36" fillId="22" borderId="0" xfId="0" applyNumberFormat="1" applyFont="1" applyFill="1" applyAlignment="1">
      <alignment horizontal="center" vertical="center" wrapText="1"/>
    </xf>
    <xf numFmtId="171" fontId="35" fillId="22" borderId="0" xfId="0" applyNumberFormat="1" applyFont="1" applyFill="1" applyAlignment="1">
      <alignment horizontal="center" vertical="center" wrapText="1"/>
    </xf>
    <xf numFmtId="170" fontId="35" fillId="22" borderId="0" xfId="1" applyNumberFormat="1" applyFont="1" applyFill="1" applyAlignment="1">
      <alignment horizontal="center" vertical="center" wrapText="1"/>
    </xf>
    <xf numFmtId="0" fontId="26" fillId="11" borderId="0" xfId="0" applyFont="1" applyFill="1" applyAlignment="1">
      <alignment horizontal="center" vertical="center"/>
    </xf>
    <xf numFmtId="165" fontId="37" fillId="4" borderId="0" xfId="0" applyNumberFormat="1" applyFont="1" applyFill="1" applyAlignment="1">
      <alignment horizontal="right" vertical="center" wrapText="1"/>
    </xf>
    <xf numFmtId="165" fontId="26" fillId="4" borderId="0" xfId="0" applyNumberFormat="1" applyFont="1" applyFill="1" applyAlignment="1">
      <alignment horizontal="right" vertical="center" wrapText="1"/>
    </xf>
    <xf numFmtId="165" fontId="26" fillId="15" borderId="0" xfId="0" applyNumberFormat="1" applyFont="1" applyFill="1" applyAlignment="1">
      <alignment horizontal="right" vertical="center" wrapText="1"/>
    </xf>
    <xf numFmtId="4" fontId="27" fillId="4" borderId="0" xfId="0" applyNumberFormat="1" applyFont="1" applyFill="1" applyAlignment="1">
      <alignment horizontal="right" vertical="center" wrapText="1"/>
    </xf>
    <xf numFmtId="0" fontId="35" fillId="22" borderId="0" xfId="0" applyFont="1" applyFill="1" applyAlignment="1">
      <alignment horizontal="right" vertical="center"/>
    </xf>
    <xf numFmtId="167" fontId="26" fillId="22" borderId="0" xfId="0" applyNumberFormat="1" applyFont="1" applyFill="1" applyAlignment="1">
      <alignment horizontal="right" vertical="center" shrinkToFit="1"/>
    </xf>
    <xf numFmtId="0" fontId="42" fillId="0" borderId="0" xfId="0" applyFont="1" applyAlignment="1">
      <alignment horizontal="right" vertical="center"/>
    </xf>
    <xf numFmtId="0" fontId="42" fillId="0" borderId="0" xfId="0" applyFont="1" applyFill="1" applyAlignment="1">
      <alignment horizontal="right" vertical="center"/>
    </xf>
    <xf numFmtId="0" fontId="35" fillId="21" borderId="0" xfId="0" applyFont="1" applyFill="1" applyAlignment="1">
      <alignment horizontal="center" vertical="center"/>
    </xf>
    <xf numFmtId="0" fontId="43" fillId="21" borderId="0" xfId="0" applyFont="1" applyFill="1" applyAlignment="1">
      <alignment horizontal="center" vertical="center"/>
    </xf>
    <xf numFmtId="0" fontId="43" fillId="30" borderId="0" xfId="0" applyFont="1" applyFill="1" applyAlignment="1">
      <alignment horizontal="center" vertical="center"/>
    </xf>
    <xf numFmtId="4" fontId="26" fillId="0" borderId="0" xfId="0" applyNumberFormat="1" applyFont="1" applyAlignment="1">
      <alignment horizontal="right" vertical="center" shrinkToFit="1"/>
    </xf>
    <xf numFmtId="0" fontId="44" fillId="9" borderId="0" xfId="0" applyFont="1" applyFill="1" applyAlignment="1">
      <alignment horizontal="center" vertical="center"/>
    </xf>
    <xf numFmtId="168" fontId="33" fillId="28" borderId="0" xfId="0" applyNumberFormat="1" applyFont="1" applyFill="1" applyAlignment="1">
      <alignment horizontal="left" vertical="center"/>
    </xf>
    <xf numFmtId="165" fontId="35" fillId="4" borderId="0" xfId="0" applyNumberFormat="1" applyFont="1" applyFill="1" applyAlignment="1">
      <alignment horizontal="center" vertical="center" wrapText="1"/>
    </xf>
    <xf numFmtId="165" fontId="35" fillId="0" borderId="0" xfId="0" applyNumberFormat="1" applyFont="1" applyFill="1" applyAlignment="1">
      <alignment horizontal="center" vertical="center" wrapText="1"/>
    </xf>
    <xf numFmtId="0" fontId="35" fillId="33" borderId="0" xfId="0" applyFont="1" applyFill="1" applyAlignment="1">
      <alignment horizontal="center" vertical="center"/>
    </xf>
    <xf numFmtId="0" fontId="26" fillId="4" borderId="0" xfId="0" applyFont="1" applyFill="1" applyAlignment="1">
      <alignment horizontal="center" vertical="center"/>
    </xf>
    <xf numFmtId="0" fontId="33" fillId="26" borderId="0" xfId="0" applyFont="1" applyFill="1" applyAlignment="1">
      <alignment horizontal="center" vertical="center"/>
    </xf>
    <xf numFmtId="0" fontId="33" fillId="35" borderId="0" xfId="0" applyFont="1" applyFill="1" applyAlignment="1">
      <alignment horizontal="center" vertical="center"/>
    </xf>
    <xf numFmtId="0" fontId="35" fillId="34" borderId="0" xfId="0" applyNumberFormat="1" applyFont="1" applyFill="1" applyAlignment="1">
      <alignment horizontal="center" vertical="center"/>
    </xf>
    <xf numFmtId="0" fontId="33" fillId="29" borderId="0" xfId="0" applyFont="1" applyFill="1" applyAlignment="1">
      <alignment horizontal="center" vertical="center"/>
    </xf>
    <xf numFmtId="10" fontId="26" fillId="31" borderId="0" xfId="0" applyNumberFormat="1" applyFont="1" applyFill="1" applyAlignment="1">
      <alignment horizontal="right" vertical="center"/>
    </xf>
    <xf numFmtId="9" fontId="35" fillId="22" borderId="0" xfId="1" applyFont="1" applyFill="1" applyAlignment="1">
      <alignment horizontal="right" vertical="center"/>
    </xf>
    <xf numFmtId="10" fontId="26" fillId="22" borderId="0" xfId="0" applyNumberFormat="1" applyFont="1" applyFill="1" applyAlignment="1">
      <alignment horizontal="right" vertical="center"/>
    </xf>
    <xf numFmtId="0" fontId="45" fillId="22" borderId="0" xfId="0" applyFont="1" applyFill="1" applyAlignment="1">
      <alignment horizontal="center"/>
    </xf>
    <xf numFmtId="0" fontId="36" fillId="22" borderId="0" xfId="0" applyFont="1" applyFill="1" applyAlignment="1">
      <alignment horizontal="center"/>
    </xf>
    <xf numFmtId="168" fontId="33" fillId="6" borderId="0" xfId="0" applyNumberFormat="1" applyFont="1" applyFill="1" applyAlignment="1">
      <alignment horizontal="right" vertical="center"/>
    </xf>
    <xf numFmtId="169" fontId="38" fillId="23" borderId="0" xfId="0" applyNumberFormat="1" applyFont="1" applyFill="1"/>
    <xf numFmtId="4" fontId="26" fillId="15" borderId="0" xfId="0" applyNumberFormat="1" applyFont="1" applyFill="1" applyAlignment="1">
      <alignment horizontal="right" vertical="center" shrinkToFit="1"/>
    </xf>
    <xf numFmtId="10" fontId="26" fillId="4" borderId="0" xfId="0" applyNumberFormat="1" applyFont="1" applyFill="1" applyAlignment="1">
      <alignment horizontal="right" vertical="center"/>
    </xf>
    <xf numFmtId="168" fontId="26" fillId="47" borderId="0" xfId="0" applyNumberFormat="1" applyFont="1" applyFill="1" applyAlignment="1">
      <alignment horizontal="right" vertical="center"/>
    </xf>
    <xf numFmtId="168" fontId="26" fillId="48" borderId="0" xfId="0" applyNumberFormat="1" applyFont="1" applyFill="1" applyAlignment="1">
      <alignment horizontal="right" vertical="center"/>
    </xf>
    <xf numFmtId="4" fontId="37" fillId="4" borderId="0" xfId="0" applyNumberFormat="1" applyFont="1" applyFill="1" applyAlignment="1">
      <alignment horizontal="right" vertical="center"/>
    </xf>
    <xf numFmtId="0" fontId="35" fillId="23" borderId="0" xfId="0" applyFont="1" applyFill="1"/>
    <xf numFmtId="0" fontId="27" fillId="0" borderId="0" xfId="0" applyFont="1" applyFill="1" applyAlignment="1">
      <alignment horizontal="right" vertical="center"/>
    </xf>
    <xf numFmtId="167" fontId="35" fillId="23" borderId="0" xfId="0" applyNumberFormat="1" applyFont="1" applyFill="1" applyAlignment="1">
      <alignment horizontal="right" vertical="center"/>
    </xf>
    <xf numFmtId="4" fontId="35" fillId="23" borderId="0" xfId="0" applyNumberFormat="1" applyFont="1" applyFill="1" applyAlignment="1">
      <alignment horizontal="right" vertical="center"/>
    </xf>
    <xf numFmtId="4" fontId="26" fillId="23" borderId="0" xfId="0" applyNumberFormat="1" applyFont="1" applyFill="1" applyAlignment="1">
      <alignment horizontal="right" vertical="center"/>
    </xf>
    <xf numFmtId="168" fontId="26" fillId="23" borderId="0" xfId="0" applyNumberFormat="1" applyFont="1" applyFill="1" applyAlignment="1">
      <alignment horizontal="right" vertical="center"/>
    </xf>
    <xf numFmtId="169" fontId="26" fillId="23" borderId="0" xfId="0" applyNumberFormat="1" applyFont="1" applyFill="1"/>
    <xf numFmtId="10" fontId="26" fillId="23" borderId="0" xfId="1" applyNumberFormat="1" applyFont="1" applyFill="1" applyAlignment="1">
      <alignment horizontal="right" vertical="center"/>
    </xf>
    <xf numFmtId="167" fontId="26" fillId="4" borderId="0" xfId="0" applyNumberFormat="1" applyFont="1" applyFill="1" applyAlignment="1">
      <alignment horizontal="right" vertical="center"/>
    </xf>
    <xf numFmtId="3" fontId="26" fillId="4" borderId="0" xfId="0" applyNumberFormat="1" applyFont="1" applyFill="1" applyAlignment="1">
      <alignment horizontal="right" vertical="center" shrinkToFit="1"/>
    </xf>
    <xf numFmtId="174" fontId="26" fillId="4" borderId="0" xfId="0" applyNumberFormat="1" applyFont="1" applyFill="1" applyAlignment="1">
      <alignment horizontal="right" vertical="center" shrinkToFit="1"/>
    </xf>
    <xf numFmtId="167" fontId="26" fillId="41" borderId="0" xfId="0" applyNumberFormat="1" applyFont="1" applyFill="1" applyAlignment="1">
      <alignment horizontal="right" vertical="center" shrinkToFit="1"/>
    </xf>
    <xf numFmtId="167" fontId="37" fillId="4" borderId="0" xfId="0" applyNumberFormat="1" applyFont="1" applyFill="1" applyAlignment="1">
      <alignment horizontal="right" vertical="center"/>
    </xf>
    <xf numFmtId="167" fontId="37" fillId="2" borderId="0" xfId="0" applyNumberFormat="1" applyFont="1" applyFill="1" applyAlignment="1">
      <alignment horizontal="right" vertical="center"/>
    </xf>
    <xf numFmtId="164" fontId="26" fillId="4" borderId="0" xfId="0" applyNumberFormat="1" applyFont="1" applyFill="1" applyAlignment="1">
      <alignment horizontal="right" vertical="center" shrinkToFit="1"/>
    </xf>
    <xf numFmtId="0" fontId="29" fillId="2" borderId="0" xfId="0" applyFont="1" applyFill="1"/>
    <xf numFmtId="4" fontId="26" fillId="2" borderId="0" xfId="0" applyNumberFormat="1" applyFont="1" applyFill="1" applyAlignment="1">
      <alignment horizontal="right"/>
    </xf>
    <xf numFmtId="167" fontId="26" fillId="2" borderId="0" xfId="0" applyNumberFormat="1" applyFont="1" applyFill="1" applyAlignment="1">
      <alignment horizontal="right" vertical="center" shrinkToFit="1"/>
    </xf>
    <xf numFmtId="4" fontId="26" fillId="4" borderId="0" xfId="0" applyNumberFormat="1" applyFont="1" applyFill="1" applyAlignment="1">
      <alignment horizontal="right"/>
    </xf>
    <xf numFmtId="4" fontId="26" fillId="2" borderId="0" xfId="0" applyNumberFormat="1" applyFont="1" applyFill="1" applyAlignment="1">
      <alignment horizontal="right" vertical="center" shrinkToFit="1"/>
    </xf>
    <xf numFmtId="169" fontId="26" fillId="0" borderId="0" xfId="0" applyNumberFormat="1" applyFont="1" applyAlignment="1">
      <alignment horizontal="right" vertical="center" shrinkToFit="1"/>
    </xf>
    <xf numFmtId="4" fontId="28" fillId="4" borderId="0" xfId="0" applyNumberFormat="1" applyFont="1" applyFill="1" applyAlignment="1">
      <alignment horizontal="right" vertical="center" shrinkToFit="1"/>
    </xf>
    <xf numFmtId="4" fontId="29" fillId="4" borderId="0" xfId="0" applyNumberFormat="1" applyFont="1" applyFill="1" applyAlignment="1">
      <alignment horizontal="right" vertical="center"/>
    </xf>
    <xf numFmtId="0" fontId="36" fillId="2" borderId="0" xfId="0" applyFont="1" applyFill="1"/>
    <xf numFmtId="4" fontId="26" fillId="23" borderId="0" xfId="0" applyNumberFormat="1" applyFont="1" applyFill="1" applyAlignment="1">
      <alignment horizontal="right" vertical="center" shrinkToFit="1"/>
    </xf>
    <xf numFmtId="4" fontId="26" fillId="0" borderId="0" xfId="0" applyNumberFormat="1" applyFont="1"/>
    <xf numFmtId="4" fontId="26" fillId="0" borderId="0" xfId="0" applyNumberFormat="1" applyFont="1" applyFill="1"/>
    <xf numFmtId="0" fontId="33" fillId="14" borderId="0" xfId="0" applyFont="1" applyFill="1" applyAlignment="1">
      <alignment horizontal="center" vertical="center"/>
    </xf>
    <xf numFmtId="0" fontId="37" fillId="2" borderId="0" xfId="0" applyFont="1" applyFill="1"/>
    <xf numFmtId="10" fontId="26" fillId="4" borderId="0" xfId="1" applyNumberFormat="1" applyFont="1" applyFill="1" applyAlignment="1">
      <alignment horizontal="right" vertical="center"/>
    </xf>
    <xf numFmtId="0" fontId="26" fillId="21" borderId="0" xfId="0" applyFont="1" applyFill="1"/>
    <xf numFmtId="168" fontId="26" fillId="0" borderId="0" xfId="0" applyNumberFormat="1" applyFont="1" applyAlignment="1">
      <alignment horizontal="right" vertical="center"/>
    </xf>
    <xf numFmtId="4" fontId="26" fillId="22" borderId="0" xfId="0" applyNumberFormat="1" applyFont="1" applyFill="1" applyAlignment="1">
      <alignment horizontal="right" vertical="center"/>
    </xf>
    <xf numFmtId="4" fontId="26" fillId="21" borderId="0" xfId="0" applyNumberFormat="1" applyFont="1" applyFill="1" applyAlignment="1">
      <alignment horizontal="right" vertical="center"/>
    </xf>
    <xf numFmtId="4" fontId="26" fillId="21" borderId="0" xfId="0" applyNumberFormat="1" applyFont="1" applyFill="1" applyAlignment="1">
      <alignment horizontal="right"/>
    </xf>
    <xf numFmtId="0" fontId="35" fillId="0" borderId="0" xfId="0" applyFont="1" applyAlignment="1">
      <alignment horizontal="left" vertical="center"/>
    </xf>
    <xf numFmtId="0" fontId="38" fillId="0" borderId="0" xfId="0" applyFont="1" applyAlignment="1">
      <alignment horizontal="left" vertical="center"/>
    </xf>
    <xf numFmtId="168" fontId="26" fillId="0" borderId="0" xfId="0" applyNumberFormat="1" applyFont="1" applyAlignment="1">
      <alignment horizontal="left" vertical="center"/>
    </xf>
    <xf numFmtId="1" fontId="26" fillId="21" borderId="0" xfId="0" applyNumberFormat="1" applyFont="1" applyFill="1"/>
    <xf numFmtId="3" fontId="26" fillId="21" borderId="0" xfId="0" applyNumberFormat="1" applyFont="1" applyFill="1" applyAlignment="1">
      <alignment horizontal="right" vertical="center" shrinkToFit="1"/>
    </xf>
    <xf numFmtId="0" fontId="37" fillId="2" borderId="0" xfId="0" applyFont="1" applyFill="1" applyAlignment="1">
      <alignment horizontal="center" vertical="center" wrapText="1"/>
    </xf>
    <xf numFmtId="4" fontId="26" fillId="4" borderId="0" xfId="0" applyNumberFormat="1" applyFont="1" applyFill="1" applyAlignment="1">
      <alignment horizontal="center" vertical="center" textRotation="90" wrapText="1"/>
    </xf>
    <xf numFmtId="4" fontId="13" fillId="4" borderId="0" xfId="0" applyNumberFormat="1" applyFont="1" applyFill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4" fontId="13" fillId="4" borderId="0" xfId="0" applyNumberFormat="1" applyFont="1" applyFill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</cellXfs>
  <cellStyles count="2">
    <cellStyle name="Prozent" xfId="1" builtinId="5"/>
    <cellStyle name="Standard" xfId="0" builtinId="0"/>
  </cellStyles>
  <dxfs count="68"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gradientFill type="path" left="0.5" right="0.5" top="0.5" bottom="0.5">
          <stop position="0">
            <color rgb="FF33CC33"/>
          </stop>
          <stop position="1">
            <color theme="0" tint="-0.1490218817712943"/>
          </stop>
        </gradientFill>
      </fill>
    </dxf>
    <dxf>
      <fill>
        <gradientFill type="path" left="0.5" right="0.5" top="0.5" bottom="0.5">
          <stop position="0">
            <color rgb="FFFF3300"/>
          </stop>
          <stop position="1">
            <color theme="0" tint="-0.1490218817712943"/>
          </stop>
        </gradientFill>
      </fill>
    </dxf>
    <dxf>
      <fill>
        <gradientFill type="path" left="0.5" right="0.5" top="0.5" bottom="0.5">
          <stop position="0">
            <color rgb="FF33CC33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rgb="FFFF330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rgb="FF33CC33"/>
          </stop>
          <stop position="1">
            <color theme="0" tint="-0.1490218817712943"/>
          </stop>
        </gradientFill>
      </fill>
    </dxf>
    <dxf>
      <fill>
        <gradientFill type="path" left="0.5" right="0.5" top="0.5" bottom="0.5">
          <stop position="0">
            <color rgb="FFFF3300"/>
          </stop>
          <stop position="1">
            <color theme="0" tint="-0.1490218817712943"/>
          </stop>
        </gradientFill>
      </fill>
    </dxf>
    <dxf>
      <fill>
        <patternFill>
          <bgColor indexed="37"/>
        </patternFill>
      </fill>
    </dxf>
    <dxf>
      <fill>
        <patternFill>
          <bgColor indexed="37"/>
        </patternFill>
      </fill>
    </dxf>
    <dxf>
      <fill>
        <patternFill>
          <bgColor indexed="45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gradientFill type="path" left="0.5" right="0.5" top="0.5" bottom="0.5">
          <stop position="0">
            <color rgb="FF33CC33"/>
          </stop>
          <stop position="1">
            <color theme="0" tint="-0.1490218817712943"/>
          </stop>
        </gradientFill>
      </fill>
    </dxf>
    <dxf>
      <fill>
        <gradientFill type="path" left="0.5" right="0.5" top="0.5" bottom="0.5">
          <stop position="0">
            <color rgb="FFFF3300"/>
          </stop>
          <stop position="1">
            <color theme="0" tint="-0.1490218817712943"/>
          </stop>
        </gradientFill>
      </fill>
    </dxf>
    <dxf>
      <fill>
        <gradientFill type="path" left="0.5" right="0.5" top="0.5" bottom="0.5">
          <stop position="0">
            <color rgb="FF33CC33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rgb="FFFF330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rgb="FF33CC33"/>
          </stop>
          <stop position="1">
            <color theme="0" tint="-0.1490218817712943"/>
          </stop>
        </gradientFill>
      </fill>
    </dxf>
    <dxf>
      <fill>
        <gradientFill type="path" left="0.5" right="0.5" top="0.5" bottom="0.5">
          <stop position="0">
            <color rgb="FFFF3300"/>
          </stop>
          <stop position="1">
            <color theme="0" tint="-0.1490218817712943"/>
          </stop>
        </gradientFill>
      </fill>
    </dxf>
    <dxf>
      <fill>
        <patternFill>
          <bgColor indexed="37"/>
        </patternFill>
      </fill>
    </dxf>
    <dxf>
      <fill>
        <patternFill>
          <bgColor indexed="37"/>
        </patternFill>
      </fill>
    </dxf>
    <dxf>
      <fill>
        <patternFill>
          <bgColor indexed="45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gradientFill type="path" left="0.5" right="0.5" top="0.5" bottom="0.5">
          <stop position="0">
            <color rgb="FF33CC33"/>
          </stop>
          <stop position="1">
            <color theme="0" tint="-0.1490218817712943"/>
          </stop>
        </gradientFill>
      </fill>
    </dxf>
    <dxf>
      <fill>
        <gradientFill type="path" left="0.5" right="0.5" top="0.5" bottom="0.5">
          <stop position="0">
            <color rgb="FFFF3300"/>
          </stop>
          <stop position="1">
            <color theme="0" tint="-0.1490218817712943"/>
          </stop>
        </gradientFill>
      </fill>
    </dxf>
    <dxf>
      <fill>
        <gradientFill type="path" left="0.5" right="0.5" top="0.5" bottom="0.5">
          <stop position="0">
            <color rgb="FF33CC33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rgb="FFFF330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rgb="FF33CC33"/>
          </stop>
          <stop position="1">
            <color theme="0" tint="-0.1490218817712943"/>
          </stop>
        </gradientFill>
      </fill>
    </dxf>
    <dxf>
      <fill>
        <gradientFill type="path" left="0.5" right="0.5" top="0.5" bottom="0.5">
          <stop position="0">
            <color rgb="FFFF3300"/>
          </stop>
          <stop position="1">
            <color theme="0" tint="-0.1490218817712943"/>
          </stop>
        </gradientFill>
      </fill>
    </dxf>
    <dxf>
      <fill>
        <patternFill>
          <bgColor indexed="37"/>
        </patternFill>
      </fill>
    </dxf>
    <dxf>
      <fill>
        <patternFill>
          <bgColor indexed="37"/>
        </patternFill>
      </fill>
    </dxf>
    <dxf>
      <fill>
        <patternFill>
          <bgColor indexed="4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gradientFill type="path" left="0.5" right="0.5" top="0.5" bottom="0.5">
          <stop position="0">
            <color rgb="FF33CC33"/>
          </stop>
          <stop position="1">
            <color theme="0" tint="-0.1490218817712943"/>
          </stop>
        </gradientFill>
      </fill>
    </dxf>
    <dxf>
      <fill>
        <gradientFill type="path" left="0.5" right="0.5" top="0.5" bottom="0.5">
          <stop position="0">
            <color rgb="FFFF3300"/>
          </stop>
          <stop position="1">
            <color theme="0" tint="-0.1490218817712943"/>
          </stop>
        </gradient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66FF"/>
      <rgbColor rgb="00EAEAEA"/>
      <rgbColor rgb="00CC0000"/>
      <rgbColor rgb="00A5161D"/>
      <rgbColor rgb="00FF0000"/>
      <rgbColor rgb="00FF6600"/>
      <rgbColor rgb="0099FF99"/>
      <rgbColor rgb="00A1BAE0"/>
      <rgbColor rgb="002E66BA"/>
      <rgbColor rgb="00179C69"/>
      <rgbColor rgb="005482C7"/>
      <rgbColor rgb="00777777"/>
      <rgbColor rgb="00084AAD"/>
      <rgbColor rgb="00FF33CC"/>
      <rgbColor rgb="00FFC800"/>
      <rgbColor rgb="00FFFFFF"/>
      <rgbColor rgb="00000000"/>
      <rgbColor rgb="00707061"/>
      <rgbColor rgb="00D8D8D5"/>
      <rgbColor rgb="00113388"/>
      <rgbColor rgb="00426BB3"/>
      <rgbColor rgb="00819CCC"/>
      <rgbColor rgb="00C6CEE2"/>
      <rgbColor rgb="00216F2C"/>
      <rgbColor rgb="00FBBC01"/>
      <rgbColor rgb="00C60000"/>
      <rgbColor rgb="00FFFFFF"/>
      <rgbColor rgb="003F5429"/>
      <rgbColor rgb="00C7D8B5"/>
      <rgbColor rgb="00F1701A"/>
      <rgbColor rgb="00FED4A6"/>
      <rgbColor rgb="00009900"/>
      <rgbColor rgb="00CC9900"/>
      <rgbColor rgb="00FFFF00"/>
      <rgbColor rgb="00FFFF66"/>
      <rgbColor rgb="00FFFFFF"/>
      <rgbColor rgb="00FFFFCC"/>
      <rgbColor rgb="0099CCFF"/>
      <rgbColor rgb="00FFFF99"/>
      <rgbColor rgb="00808080"/>
      <rgbColor rgb="00969696"/>
      <rgbColor rgb="00C0C0C0"/>
      <rgbColor rgb="00FF3300"/>
      <rgbColor rgb="00DDDDDD"/>
      <rgbColor rgb="007A9ED4"/>
      <rgbColor rgb="00008D47"/>
      <rgbColor rgb="005F5F5F"/>
      <rgbColor rgb="005AB38E"/>
      <rgbColor rgb="00B2B2B2"/>
      <rgbColor rgb="0084C6A9"/>
      <rgbColor rgb="00A8D5C0"/>
      <rgbColor rgb="00CCE6DA"/>
      <rgbColor rgb="00FF99FF"/>
      <rgbColor rgb="00008D47"/>
      <rgbColor rgb="0000703A"/>
    </indexedColors>
    <mruColors>
      <color rgb="FF084AAD"/>
      <color rgb="FF00703A"/>
      <color rgb="FFA5161D"/>
      <color rgb="FFCCFFCC"/>
      <color rgb="FFFFCCFF"/>
      <color rgb="FFCCECFF"/>
      <color rgb="FF33CC33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chartsheet" Target="chartsheets/sheet9.xml"/><Relationship Id="rId18" Type="http://schemas.openxmlformats.org/officeDocument/2006/relationships/chartsheet" Target="chartsheets/sheet14.xml"/><Relationship Id="rId26" Type="http://schemas.openxmlformats.org/officeDocument/2006/relationships/worksheet" Target="worksheets/sheet6.xml"/><Relationship Id="rId3" Type="http://schemas.openxmlformats.org/officeDocument/2006/relationships/worksheet" Target="worksheets/sheet3.xml"/><Relationship Id="rId21" Type="http://schemas.openxmlformats.org/officeDocument/2006/relationships/chartsheet" Target="chartsheets/sheet17.xml"/><Relationship Id="rId34" Type="http://schemas.openxmlformats.org/officeDocument/2006/relationships/theme" Target="theme/theme1.xml"/><Relationship Id="rId7" Type="http://schemas.openxmlformats.org/officeDocument/2006/relationships/chartsheet" Target="chartsheets/sheet3.xml"/><Relationship Id="rId12" Type="http://schemas.openxmlformats.org/officeDocument/2006/relationships/chartsheet" Target="chartsheets/sheet8.xml"/><Relationship Id="rId17" Type="http://schemas.openxmlformats.org/officeDocument/2006/relationships/chartsheet" Target="chartsheets/sheet13.xml"/><Relationship Id="rId25" Type="http://schemas.openxmlformats.org/officeDocument/2006/relationships/worksheet" Target="worksheets/sheet5.xml"/><Relationship Id="rId33" Type="http://schemas.openxmlformats.org/officeDocument/2006/relationships/worksheet" Target="worksheets/sheet13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hartsheet" Target="chartsheets/sheet12.xml"/><Relationship Id="rId20" Type="http://schemas.openxmlformats.org/officeDocument/2006/relationships/chartsheet" Target="chartsheets/sheet16.xml"/><Relationship Id="rId29" Type="http://schemas.openxmlformats.org/officeDocument/2006/relationships/worksheet" Target="worksheets/sheet9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chartsheet" Target="chartsheets/sheet20.xml"/><Relationship Id="rId32" Type="http://schemas.openxmlformats.org/officeDocument/2006/relationships/worksheet" Target="worksheets/sheet12.xml"/><Relationship Id="rId37" Type="http://schemas.openxmlformats.org/officeDocument/2006/relationships/calcChain" Target="calcChain.xml"/><Relationship Id="rId5" Type="http://schemas.openxmlformats.org/officeDocument/2006/relationships/chartsheet" Target="chartsheets/sheet1.xml"/><Relationship Id="rId15" Type="http://schemas.openxmlformats.org/officeDocument/2006/relationships/chartsheet" Target="chartsheets/sheet11.xml"/><Relationship Id="rId23" Type="http://schemas.openxmlformats.org/officeDocument/2006/relationships/chartsheet" Target="chartsheets/sheet19.xml"/><Relationship Id="rId28" Type="http://schemas.openxmlformats.org/officeDocument/2006/relationships/worksheet" Target="worksheets/sheet8.xml"/><Relationship Id="rId36" Type="http://schemas.openxmlformats.org/officeDocument/2006/relationships/sharedStrings" Target="sharedStrings.xml"/><Relationship Id="rId10" Type="http://schemas.openxmlformats.org/officeDocument/2006/relationships/chartsheet" Target="chartsheets/sheet6.xml"/><Relationship Id="rId19" Type="http://schemas.openxmlformats.org/officeDocument/2006/relationships/chartsheet" Target="chartsheets/sheet15.xml"/><Relationship Id="rId31" Type="http://schemas.openxmlformats.org/officeDocument/2006/relationships/worksheet" Target="worksheets/sheet11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chartsheet" Target="chartsheets/sheet10.xml"/><Relationship Id="rId22" Type="http://schemas.openxmlformats.org/officeDocument/2006/relationships/chartsheet" Target="chartsheets/sheet18.xml"/><Relationship Id="rId27" Type="http://schemas.openxmlformats.org/officeDocument/2006/relationships/worksheet" Target="worksheets/sheet7.xml"/><Relationship Id="rId30" Type="http://schemas.openxmlformats.org/officeDocument/2006/relationships/worksheet" Target="worksheets/sheet10.xml"/><Relationship Id="rId35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'i1'!$DJ$14</c:f>
          <c:strCache>
            <c:ptCount val="1"/>
            <c:pt idx="0">
              <c:v>Tarifl. AR bei RisAwV in den Altern 50-65
Frauen+Männer − λ_x: + 50,0 % − x_ω: 110 − r: 2,5 % − q_x: PKV 2017 − w_x: Sto BaFin N 2015 − K_x: Primo kompakt 2015 − x_KM: 70 − Δ_js: 8,6 % − Γ_js: 802 / 679 Euro − α^Z_x: 2 MB (ab 70 abzgl. 0,5 MB) | x_0: 35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spc="0" baseline="0">
              <a:solidFill>
                <a:schemeClr val="tx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9.1455650782596543E-2"/>
          <c:y val="0.15426370815745702"/>
          <c:w val="0.87599954071361619"/>
          <c:h val="0.67010985062593387"/>
        </c:manualLayout>
      </c:layout>
      <c:scatterChart>
        <c:scatterStyle val="lineMarker"/>
        <c:varyColors val="0"/>
        <c:ser>
          <c:idx val="0"/>
          <c:order val="0"/>
          <c:tx>
            <c:strRef>
              <c:f>'i1'!$DB$19</c:f>
              <c:strCache>
                <c:ptCount val="1"/>
                <c:pt idx="0">
                  <c:v> V^Z_35;35+μ1, erster Ansparprozess bis 50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rgbClr val="00703A"/>
              </a:solidFill>
              <a:ln w="12700">
                <a:solidFill>
                  <a:srgbClr val="00703A"/>
                </a:solidFill>
              </a:ln>
              <a:effectLst/>
            </c:spPr>
          </c:marker>
          <c:xVal>
            <c:numRef>
              <c:f>'i1'!$CV$20:$CV$120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'i1'!$DB$20:$DB$120</c:f>
              <c:numCache>
                <c:formatCode>#,##0.00</c:formatCode>
                <c:ptCount val="10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-854.02</c:v>
                </c:pt>
                <c:pt idx="16">
                  <c:v>1173.4000000000001</c:v>
                </c:pt>
                <c:pt idx="17">
                  <c:v>3309.72</c:v>
                </c:pt>
                <c:pt idx="18">
                  <c:v>5554.7</c:v>
                </c:pt>
                <c:pt idx="19">
                  <c:v>7901.21</c:v>
                </c:pt>
                <c:pt idx="20">
                  <c:v>10342.1</c:v>
                </c:pt>
                <c:pt idx="21">
                  <c:v>12880.19</c:v>
                </c:pt>
                <c:pt idx="22">
                  <c:v>15507.09</c:v>
                </c:pt>
                <c:pt idx="23">
                  <c:v>18214.169999999998</c:v>
                </c:pt>
                <c:pt idx="24">
                  <c:v>21013.62</c:v>
                </c:pt>
                <c:pt idx="25">
                  <c:v>23890.86</c:v>
                </c:pt>
                <c:pt idx="26">
                  <c:v>26852.77</c:v>
                </c:pt>
                <c:pt idx="27">
                  <c:v>29875.08</c:v>
                </c:pt>
                <c:pt idx="28">
                  <c:v>32970.93</c:v>
                </c:pt>
                <c:pt idx="29">
                  <c:v>36129.300000000003</c:v>
                </c:pt>
                <c:pt idx="30">
                  <c:v>39354.6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7BF-414A-83C7-6A101A566A7B}"/>
            </c:ext>
          </c:extLst>
        </c:ser>
        <c:ser>
          <c:idx val="1"/>
          <c:order val="1"/>
          <c:tx>
            <c:strRef>
              <c:f>'i1'!$DC$19</c:f>
              <c:strCache>
                <c:ptCount val="1"/>
                <c:pt idx="0">
                  <c:v> V^Z_35;35+μ1, Vergleichswert ohne weitere Relevanz ab 50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diamond"/>
            <c:size val="4"/>
            <c:spPr>
              <a:noFill/>
              <a:ln w="3175">
                <a:solidFill>
                  <a:srgbClr val="00703A"/>
                </a:solidFill>
              </a:ln>
              <a:effectLst/>
            </c:spPr>
          </c:marker>
          <c:xVal>
            <c:numRef>
              <c:f>'i1'!$CV$20:$CV$120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'i1'!$DC$20:$DC$120</c:f>
              <c:numCache>
                <c:formatCode>#,##0.00</c:formatCode>
                <c:ptCount val="10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39354.6</c:v>
                </c:pt>
                <c:pt idx="31">
                  <c:v>42644.61</c:v>
                </c:pt>
                <c:pt idx="32">
                  <c:v>45994.03</c:v>
                </c:pt>
                <c:pt idx="33">
                  <c:v>49415.97</c:v>
                </c:pt>
                <c:pt idx="34">
                  <c:v>52915.83</c:v>
                </c:pt>
                <c:pt idx="35">
                  <c:v>56444.79</c:v>
                </c:pt>
                <c:pt idx="36">
                  <c:v>59848.37</c:v>
                </c:pt>
                <c:pt idx="37">
                  <c:v>62986.49</c:v>
                </c:pt>
                <c:pt idx="38">
                  <c:v>65807.45</c:v>
                </c:pt>
                <c:pt idx="39">
                  <c:v>68380.41</c:v>
                </c:pt>
                <c:pt idx="40">
                  <c:v>70778.710000000006</c:v>
                </c:pt>
                <c:pt idx="41">
                  <c:v>73030.06</c:v>
                </c:pt>
                <c:pt idx="42">
                  <c:v>75114.14</c:v>
                </c:pt>
                <c:pt idx="43">
                  <c:v>77019.42</c:v>
                </c:pt>
                <c:pt idx="44">
                  <c:v>78735.45</c:v>
                </c:pt>
                <c:pt idx="45">
                  <c:v>80230.490000000005</c:v>
                </c:pt>
                <c:pt idx="46">
                  <c:v>81476.58</c:v>
                </c:pt>
                <c:pt idx="47">
                  <c:v>82455.929999999993</c:v>
                </c:pt>
                <c:pt idx="48">
                  <c:v>83158.61</c:v>
                </c:pt>
                <c:pt idx="49">
                  <c:v>83578.850000000006</c:v>
                </c:pt>
                <c:pt idx="50">
                  <c:v>83723.100000000006</c:v>
                </c:pt>
                <c:pt idx="51">
                  <c:v>83581.31</c:v>
                </c:pt>
                <c:pt idx="52">
                  <c:v>83148.22</c:v>
                </c:pt>
                <c:pt idx="53">
                  <c:v>82433.72</c:v>
                </c:pt>
                <c:pt idx="54">
                  <c:v>81434.64</c:v>
                </c:pt>
                <c:pt idx="55">
                  <c:v>80141.399999999994</c:v>
                </c:pt>
                <c:pt idx="56">
                  <c:v>78564.490000000005</c:v>
                </c:pt>
                <c:pt idx="57">
                  <c:v>76670.899999999994</c:v>
                </c:pt>
                <c:pt idx="58">
                  <c:v>74497.08</c:v>
                </c:pt>
                <c:pt idx="59">
                  <c:v>72071.17</c:v>
                </c:pt>
                <c:pt idx="60">
                  <c:v>69422.570000000007</c:v>
                </c:pt>
                <c:pt idx="61">
                  <c:v>66592.570000000007</c:v>
                </c:pt>
                <c:pt idx="62">
                  <c:v>63612.1</c:v>
                </c:pt>
                <c:pt idx="63">
                  <c:v>60515.93</c:v>
                </c:pt>
                <c:pt idx="64">
                  <c:v>57350.94</c:v>
                </c:pt>
                <c:pt idx="65">
                  <c:v>54163.15</c:v>
                </c:pt>
                <c:pt idx="66">
                  <c:v>51012.77</c:v>
                </c:pt>
                <c:pt idx="67">
                  <c:v>47958.11</c:v>
                </c:pt>
                <c:pt idx="68">
                  <c:v>45001.98</c:v>
                </c:pt>
                <c:pt idx="69">
                  <c:v>42197.01</c:v>
                </c:pt>
                <c:pt idx="70">
                  <c:v>39593.85</c:v>
                </c:pt>
                <c:pt idx="71">
                  <c:v>37209.17</c:v>
                </c:pt>
                <c:pt idx="72">
                  <c:v>34979.75</c:v>
                </c:pt>
                <c:pt idx="73">
                  <c:v>32953.78</c:v>
                </c:pt>
                <c:pt idx="74">
                  <c:v>31171</c:v>
                </c:pt>
                <c:pt idx="75">
                  <c:v>29593.52</c:v>
                </c:pt>
                <c:pt idx="76">
                  <c:v>28281.3</c:v>
                </c:pt>
                <c:pt idx="77">
                  <c:v>27204.36</c:v>
                </c:pt>
                <c:pt idx="78">
                  <c:v>26334.28</c:v>
                </c:pt>
                <c:pt idx="79">
                  <c:v>25728.98</c:v>
                </c:pt>
                <c:pt idx="80">
                  <c:v>25203.41</c:v>
                </c:pt>
                <c:pt idx="81">
                  <c:v>24633.08</c:v>
                </c:pt>
                <c:pt idx="82">
                  <c:v>24007.42</c:v>
                </c:pt>
                <c:pt idx="83">
                  <c:v>23286.560000000001</c:v>
                </c:pt>
                <c:pt idx="84">
                  <c:v>22472.880000000001</c:v>
                </c:pt>
                <c:pt idx="85">
                  <c:v>21480.240000000002</c:v>
                </c:pt>
                <c:pt idx="86">
                  <c:v>20219.09</c:v>
                </c:pt>
                <c:pt idx="87">
                  <c:v>18540.38</c:v>
                </c:pt>
                <c:pt idx="88">
                  <c:v>16192.63</c:v>
                </c:pt>
                <c:pt idx="89">
                  <c:v>12775.57</c:v>
                </c:pt>
                <c:pt idx="90">
                  <c:v>7695.3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7BF-414A-83C7-6A101A566A7B}"/>
            </c:ext>
          </c:extLst>
        </c:ser>
        <c:ser>
          <c:idx val="2"/>
          <c:order val="2"/>
          <c:tx>
            <c:strRef>
              <c:f>'i1'!$DD$19</c:f>
              <c:strCache>
                <c:ptCount val="1"/>
                <c:pt idx="0">
                  <c:v> V^Z_35;50, Verzinsung/Vererbung während RisAwV 50-65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square"/>
            <c:size val="5"/>
            <c:spPr>
              <a:solidFill>
                <a:srgbClr val="084AAD"/>
              </a:solidFill>
              <a:ln w="12700">
                <a:solidFill>
                  <a:srgbClr val="084AAD"/>
                </a:solidFill>
              </a:ln>
              <a:effectLst/>
            </c:spPr>
          </c:marker>
          <c:xVal>
            <c:numRef>
              <c:f>'i1'!$CV$20:$CV$120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'i1'!$DD$20:$DD$120</c:f>
              <c:numCache>
                <c:formatCode>#,##0.00</c:formatCode>
                <c:ptCount val="10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39354.6</c:v>
                </c:pt>
                <c:pt idx="31">
                  <c:v>41381.32</c:v>
                </c:pt>
                <c:pt idx="32">
                  <c:v>43525.8</c:v>
                </c:pt>
                <c:pt idx="33">
                  <c:v>45809.599999999999</c:v>
                </c:pt>
                <c:pt idx="34">
                  <c:v>48247.88</c:v>
                </c:pt>
                <c:pt idx="35">
                  <c:v>50810.73</c:v>
                </c:pt>
                <c:pt idx="36">
                  <c:v>53367.16</c:v>
                </c:pt>
                <c:pt idx="37">
                  <c:v>55806.31</c:v>
                </c:pt>
                <c:pt idx="38">
                  <c:v>58102.07</c:v>
                </c:pt>
                <c:pt idx="39">
                  <c:v>60332.959999999999</c:v>
                </c:pt>
                <c:pt idx="40">
                  <c:v>62579.82</c:v>
                </c:pt>
                <c:pt idx="41">
                  <c:v>64884.08</c:v>
                </c:pt>
                <c:pt idx="42">
                  <c:v>67259.61</c:v>
                </c:pt>
                <c:pt idx="43">
                  <c:v>69714.97</c:v>
                </c:pt>
                <c:pt idx="44">
                  <c:v>72259.929999999993</c:v>
                </c:pt>
                <c:pt idx="45">
                  <c:v>74890.289999999994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7BF-414A-83C7-6A101A566A7B}"/>
            </c:ext>
          </c:extLst>
        </c:ser>
        <c:ser>
          <c:idx val="3"/>
          <c:order val="3"/>
          <c:tx>
            <c:strRef>
              <c:f>'i1'!$DE$19</c:f>
              <c:strCache>
                <c:ptCount val="1"/>
                <c:pt idx="0">
                  <c:v> Rabattrückstellung aus verzinster/vererbter V^Z_35;50 ab 65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square"/>
            <c:size val="5"/>
            <c:spPr>
              <a:solidFill>
                <a:srgbClr val="00703A"/>
              </a:solidFill>
              <a:ln w="19050">
                <a:solidFill>
                  <a:srgbClr val="084AAD"/>
                </a:solidFill>
              </a:ln>
              <a:effectLst/>
            </c:spPr>
          </c:marker>
          <c:xVal>
            <c:numRef>
              <c:f>'i1'!$CV$20:$CV$120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'i1'!$DE$20:$DE$120</c:f>
              <c:numCache>
                <c:formatCode>#,##0.00</c:formatCode>
                <c:ptCount val="10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74890.289999999994</c:v>
                </c:pt>
                <c:pt idx="46">
                  <c:v>73048</c:v>
                </c:pt>
                <c:pt idx="47">
                  <c:v>71132</c:v>
                </c:pt>
                <c:pt idx="48">
                  <c:v>69146</c:v>
                </c:pt>
                <c:pt idx="49">
                  <c:v>67095</c:v>
                </c:pt>
                <c:pt idx="50">
                  <c:v>64990</c:v>
                </c:pt>
                <c:pt idx="51">
                  <c:v>62833</c:v>
                </c:pt>
                <c:pt idx="52">
                  <c:v>60633</c:v>
                </c:pt>
                <c:pt idx="53">
                  <c:v>58403</c:v>
                </c:pt>
                <c:pt idx="54">
                  <c:v>56150</c:v>
                </c:pt>
                <c:pt idx="55">
                  <c:v>53873</c:v>
                </c:pt>
                <c:pt idx="56">
                  <c:v>51581</c:v>
                </c:pt>
                <c:pt idx="57">
                  <c:v>49281</c:v>
                </c:pt>
                <c:pt idx="58">
                  <c:v>46975</c:v>
                </c:pt>
                <c:pt idx="59">
                  <c:v>44675</c:v>
                </c:pt>
                <c:pt idx="60">
                  <c:v>42405</c:v>
                </c:pt>
                <c:pt idx="61">
                  <c:v>40159</c:v>
                </c:pt>
                <c:pt idx="62">
                  <c:v>37970</c:v>
                </c:pt>
                <c:pt idx="63">
                  <c:v>35827</c:v>
                </c:pt>
                <c:pt idx="64">
                  <c:v>33748</c:v>
                </c:pt>
                <c:pt idx="65">
                  <c:v>31744</c:v>
                </c:pt>
                <c:pt idx="66">
                  <c:v>29819</c:v>
                </c:pt>
                <c:pt idx="67">
                  <c:v>27982</c:v>
                </c:pt>
                <c:pt idx="68">
                  <c:v>26256</c:v>
                </c:pt>
                <c:pt idx="69">
                  <c:v>24617</c:v>
                </c:pt>
                <c:pt idx="70">
                  <c:v>23096</c:v>
                </c:pt>
                <c:pt idx="71">
                  <c:v>21701</c:v>
                </c:pt>
                <c:pt idx="72">
                  <c:v>20396</c:v>
                </c:pt>
                <c:pt idx="73">
                  <c:v>19209</c:v>
                </c:pt>
                <c:pt idx="74">
                  <c:v>18162</c:v>
                </c:pt>
                <c:pt idx="75">
                  <c:v>17233</c:v>
                </c:pt>
                <c:pt idx="76">
                  <c:v>16456</c:v>
                </c:pt>
                <c:pt idx="77">
                  <c:v>15812</c:v>
                </c:pt>
                <c:pt idx="78">
                  <c:v>15305</c:v>
                </c:pt>
                <c:pt idx="79">
                  <c:v>14952</c:v>
                </c:pt>
                <c:pt idx="80">
                  <c:v>14644</c:v>
                </c:pt>
                <c:pt idx="81">
                  <c:v>14310</c:v>
                </c:pt>
                <c:pt idx="82">
                  <c:v>13943</c:v>
                </c:pt>
                <c:pt idx="83">
                  <c:v>13518</c:v>
                </c:pt>
                <c:pt idx="84">
                  <c:v>13037</c:v>
                </c:pt>
                <c:pt idx="85">
                  <c:v>12449</c:v>
                </c:pt>
                <c:pt idx="86">
                  <c:v>11700</c:v>
                </c:pt>
                <c:pt idx="87">
                  <c:v>10699</c:v>
                </c:pt>
                <c:pt idx="88">
                  <c:v>9314</c:v>
                </c:pt>
                <c:pt idx="89">
                  <c:v>7327</c:v>
                </c:pt>
                <c:pt idx="90">
                  <c:v>4401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7BF-414A-83C7-6A101A566A7B}"/>
            </c:ext>
          </c:extLst>
        </c:ser>
        <c:ser>
          <c:idx val="4"/>
          <c:order val="4"/>
          <c:tx>
            <c:strRef>
              <c:f>'i1'!$DF$19</c:f>
              <c:strCache>
                <c:ptCount val="1"/>
                <c:pt idx="0">
                  <c:v> V_65;65+μ2, zweiter Ansparprozess ab 65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rgbClr val="00703A"/>
              </a:solidFill>
              <a:ln w="12700">
                <a:solidFill>
                  <a:srgbClr val="00703A"/>
                </a:solidFill>
              </a:ln>
              <a:effectLst/>
            </c:spPr>
          </c:marker>
          <c:xVal>
            <c:numRef>
              <c:f>'i1'!$CV$20:$CV$120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'i1'!$DF$20:$DF$120</c:f>
              <c:numCache>
                <c:formatCode>#,##0.00</c:formatCode>
                <c:ptCount val="10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74891.209999999992</c:v>
                </c:pt>
                <c:pt idx="46">
                  <c:v>76268.5</c:v>
                </c:pt>
                <c:pt idx="47">
                  <c:v>77384.55</c:v>
                </c:pt>
                <c:pt idx="48">
                  <c:v>78228.41</c:v>
                </c:pt>
                <c:pt idx="49">
                  <c:v>78794.62</c:v>
                </c:pt>
                <c:pt idx="50">
                  <c:v>79089.279999999999</c:v>
                </c:pt>
                <c:pt idx="51">
                  <c:v>79101.55</c:v>
                </c:pt>
                <c:pt idx="52">
                  <c:v>78825.240000000005</c:v>
                </c:pt>
                <c:pt idx="53">
                  <c:v>78269.570000000007</c:v>
                </c:pt>
                <c:pt idx="54">
                  <c:v>77431.320000000007</c:v>
                </c:pt>
                <c:pt idx="55">
                  <c:v>76300.83</c:v>
                </c:pt>
                <c:pt idx="56">
                  <c:v>74887.709999999992</c:v>
                </c:pt>
                <c:pt idx="57">
                  <c:v>73157.929999999993</c:v>
                </c:pt>
                <c:pt idx="58">
                  <c:v>71148.5</c:v>
                </c:pt>
                <c:pt idx="59">
                  <c:v>68886.39</c:v>
                </c:pt>
                <c:pt idx="60">
                  <c:v>66400.009999999995</c:v>
                </c:pt>
                <c:pt idx="61">
                  <c:v>63729.82</c:v>
                </c:pt>
                <c:pt idx="62">
                  <c:v>60905.82</c:v>
                </c:pt>
                <c:pt idx="63">
                  <c:v>57962.14</c:v>
                </c:pt>
                <c:pt idx="64">
                  <c:v>54945.75</c:v>
                </c:pt>
                <c:pt idx="65">
                  <c:v>51900.479999999996</c:v>
                </c:pt>
                <c:pt idx="66">
                  <c:v>48887.69</c:v>
                </c:pt>
                <c:pt idx="67">
                  <c:v>45964.34</c:v>
                </c:pt>
                <c:pt idx="68">
                  <c:v>43131.72</c:v>
                </c:pt>
                <c:pt idx="69">
                  <c:v>40443.9</c:v>
                </c:pt>
                <c:pt idx="70">
                  <c:v>37949.07</c:v>
                </c:pt>
                <c:pt idx="71">
                  <c:v>35663.42</c:v>
                </c:pt>
                <c:pt idx="72">
                  <c:v>33526.85</c:v>
                </c:pt>
                <c:pt idx="73">
                  <c:v>31585.379999999997</c:v>
                </c:pt>
                <c:pt idx="74">
                  <c:v>29876.71</c:v>
                </c:pt>
                <c:pt idx="75">
                  <c:v>28365.45</c:v>
                </c:pt>
                <c:pt idx="76">
                  <c:v>27108.82</c:v>
                </c:pt>
                <c:pt idx="77">
                  <c:v>26078.080000000002</c:v>
                </c:pt>
                <c:pt idx="78">
                  <c:v>25244.120000000003</c:v>
                </c:pt>
                <c:pt idx="79">
                  <c:v>24663.919999999998</c:v>
                </c:pt>
                <c:pt idx="80">
                  <c:v>24159.89</c:v>
                </c:pt>
                <c:pt idx="81">
                  <c:v>23613.39</c:v>
                </c:pt>
                <c:pt idx="82">
                  <c:v>23013.93</c:v>
                </c:pt>
                <c:pt idx="83">
                  <c:v>22323.010000000002</c:v>
                </c:pt>
                <c:pt idx="84">
                  <c:v>21543.16</c:v>
                </c:pt>
                <c:pt idx="85">
                  <c:v>20592.849999999999</c:v>
                </c:pt>
                <c:pt idx="86">
                  <c:v>19385.580000000002</c:v>
                </c:pt>
                <c:pt idx="87">
                  <c:v>17777.95</c:v>
                </c:pt>
                <c:pt idx="88">
                  <c:v>15528.85</c:v>
                </c:pt>
                <c:pt idx="89">
                  <c:v>12253.869999999999</c:v>
                </c:pt>
                <c:pt idx="90">
                  <c:v>7381.8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7BF-414A-83C7-6A101A566A7B}"/>
            </c:ext>
          </c:extLst>
        </c:ser>
        <c:ser>
          <c:idx val="5"/>
          <c:order val="5"/>
          <c:spPr>
            <a:ln w="25400" cap="rnd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'i1'!$DJ$20:$DJ$21</c:f>
              <c:numCache>
                <c:formatCode>0</c:formatCode>
                <c:ptCount val="2"/>
                <c:pt idx="0">
                  <c:v>50</c:v>
                </c:pt>
                <c:pt idx="1">
                  <c:v>50</c:v>
                </c:pt>
              </c:numCache>
            </c:numRef>
          </c:xVal>
          <c:yVal>
            <c:numRef>
              <c:f>'i1'!$DK$20:$DK$21</c:f>
              <c:numCache>
                <c:formatCode>#,##0</c:formatCode>
                <c:ptCount val="2"/>
                <c:pt idx="0">
                  <c:v>0</c:v>
                </c:pt>
                <c:pt idx="1">
                  <c:v>59031.899999999994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57BF-414A-83C7-6A101A566A7B}"/>
            </c:ext>
          </c:extLst>
        </c:ser>
        <c:ser>
          <c:idx val="6"/>
          <c:order val="6"/>
          <c:spPr>
            <a:ln w="25400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'i1'!$DJ$23:$DJ$24</c:f>
              <c:numCache>
                <c:formatCode>0</c:formatCode>
                <c:ptCount val="2"/>
                <c:pt idx="0">
                  <c:v>65</c:v>
                </c:pt>
                <c:pt idx="1">
                  <c:v>65</c:v>
                </c:pt>
              </c:numCache>
            </c:numRef>
          </c:xVal>
          <c:yVal>
            <c:numRef>
              <c:f>'i1'!$DK$23:$DK$24</c:f>
              <c:numCache>
                <c:formatCode>#,##0</c:formatCode>
                <c:ptCount val="2"/>
                <c:pt idx="0">
                  <c:v>0</c:v>
                </c:pt>
                <c:pt idx="1">
                  <c:v>82379.319000000003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57BF-414A-83C7-6A101A566A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9383976"/>
        <c:axId val="459384632"/>
      </c:scatterChart>
      <c:valAx>
        <c:axId val="459383976"/>
        <c:scaling>
          <c:orientation val="minMax"/>
          <c:max val="111"/>
          <c:min val="20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459384632"/>
        <c:crosses val="autoZero"/>
        <c:crossBetween val="midCat"/>
        <c:majorUnit val="10"/>
        <c:minorUnit val="10"/>
      </c:valAx>
      <c:valAx>
        <c:axId val="459384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4593839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5"/>
        <c:delete val="1"/>
      </c:legendEntry>
      <c:legendEntry>
        <c:idx val="6"/>
        <c:delete val="1"/>
      </c:legendEntry>
      <c:layout>
        <c:manualLayout>
          <c:xMode val="edge"/>
          <c:yMode val="edge"/>
          <c:x val="0"/>
          <c:y val="0.85046424706093704"/>
          <c:w val="1"/>
          <c:h val="0.14953575293906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>
          <a:solidFill>
            <a:schemeClr val="tx1"/>
          </a:solidFill>
          <a:latin typeface="Verdana" panose="020B0604030504040204" pitchFamily="34" charset="0"/>
          <a:ea typeface="Verdana" panose="020B0604030504040204" pitchFamily="34" charset="0"/>
          <a:cs typeface="Verdana" panose="020B0604030504040204" pitchFamily="34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DDat!$K$17</c:f>
          <c:strCache>
            <c:ptCount val="1"/>
            <c:pt idx="0">
              <c:v>Stornowahrscheinlichkeiten
Frauen+Männer − λ_x: + 50,0 % − x_ω: 110 − r: 2,5 % − q_x: PKV 2017 − w_x: Sto BaFin N 2015 − K_x: Primo kompakt 2015 − x_KM: 70 − Δ_js: 8,6 % − Γ_js: 802 / 679 Euro − α^Z_x: 2 MB (ab 70 abzgl. 0,5 MB)</c:v>
            </c:pt>
          </c:strCache>
        </c:strRef>
      </c:tx>
      <c:layout>
        <c:manualLayout>
          <c:xMode val="edge"/>
          <c:yMode val="edge"/>
          <c:x val="0.12839244718710852"/>
          <c:y val="2.0304436224159592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5.0104384133611693E-2"/>
          <c:y val="0.14890016920473773"/>
          <c:w val="0.92693110647181631"/>
          <c:h val="0.69881556683587143"/>
        </c:manualLayout>
      </c:layout>
      <c:scatterChart>
        <c:scatterStyle val="lineMarker"/>
        <c:varyColors val="0"/>
        <c:ser>
          <c:idx val="0"/>
          <c:order val="0"/>
          <c:tx>
            <c:strRef>
              <c:f>DDat!$K$18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84AAD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DDat!$K$20:$K$111</c:f>
              <c:numCache>
                <c:formatCode>#,##0.0000</c:formatCode>
                <c:ptCount val="92"/>
                <c:pt idx="0">
                  <c:v>0.1709</c:v>
                </c:pt>
                <c:pt idx="1">
                  <c:v>0.14710000000000001</c:v>
                </c:pt>
                <c:pt idx="2">
                  <c:v>0.1113</c:v>
                </c:pt>
                <c:pt idx="3">
                  <c:v>9.2999999999999999E-2</c:v>
                </c:pt>
                <c:pt idx="4">
                  <c:v>9.2700000000000005E-2</c:v>
                </c:pt>
                <c:pt idx="5">
                  <c:v>0.10290000000000001</c:v>
                </c:pt>
                <c:pt idx="6">
                  <c:v>0.11260000000000001</c:v>
                </c:pt>
                <c:pt idx="7">
                  <c:v>0.111</c:v>
                </c:pt>
                <c:pt idx="8">
                  <c:v>9.9699999999999997E-2</c:v>
                </c:pt>
                <c:pt idx="9">
                  <c:v>8.5099999999999995E-2</c:v>
                </c:pt>
                <c:pt idx="10">
                  <c:v>7.4399999999999994E-2</c:v>
                </c:pt>
                <c:pt idx="11">
                  <c:v>6.7900000000000002E-2</c:v>
                </c:pt>
                <c:pt idx="12">
                  <c:v>6.2600000000000003E-2</c:v>
                </c:pt>
                <c:pt idx="13">
                  <c:v>5.7299999999999997E-2</c:v>
                </c:pt>
                <c:pt idx="14">
                  <c:v>5.2600000000000001E-2</c:v>
                </c:pt>
                <c:pt idx="15">
                  <c:v>4.8000000000000001E-2</c:v>
                </c:pt>
                <c:pt idx="16">
                  <c:v>4.41E-2</c:v>
                </c:pt>
                <c:pt idx="17">
                  <c:v>4.0399999999999998E-2</c:v>
                </c:pt>
                <c:pt idx="18">
                  <c:v>3.7100000000000001E-2</c:v>
                </c:pt>
                <c:pt idx="19">
                  <c:v>3.4200000000000001E-2</c:v>
                </c:pt>
                <c:pt idx="20">
                  <c:v>3.1699999999999999E-2</c:v>
                </c:pt>
                <c:pt idx="21">
                  <c:v>2.9700000000000001E-2</c:v>
                </c:pt>
                <c:pt idx="22">
                  <c:v>2.8000000000000001E-2</c:v>
                </c:pt>
                <c:pt idx="23">
                  <c:v>2.6700000000000002E-2</c:v>
                </c:pt>
                <c:pt idx="24">
                  <c:v>2.5600000000000001E-2</c:v>
                </c:pt>
                <c:pt idx="25">
                  <c:v>2.5000000000000001E-2</c:v>
                </c:pt>
                <c:pt idx="26">
                  <c:v>2.4199999999999999E-2</c:v>
                </c:pt>
                <c:pt idx="27">
                  <c:v>2.4E-2</c:v>
                </c:pt>
                <c:pt idx="28">
                  <c:v>2.3800000000000002E-2</c:v>
                </c:pt>
                <c:pt idx="29">
                  <c:v>2.3800000000000002E-2</c:v>
                </c:pt>
                <c:pt idx="30">
                  <c:v>2.3900000000000001E-2</c:v>
                </c:pt>
                <c:pt idx="31">
                  <c:v>2.41E-2</c:v>
                </c:pt>
                <c:pt idx="32">
                  <c:v>2.4500000000000001E-2</c:v>
                </c:pt>
                <c:pt idx="33">
                  <c:v>2.4899999999999999E-2</c:v>
                </c:pt>
                <c:pt idx="34">
                  <c:v>2.47E-2</c:v>
                </c:pt>
                <c:pt idx="35">
                  <c:v>2.18E-2</c:v>
                </c:pt>
                <c:pt idx="36">
                  <c:v>1.72E-2</c:v>
                </c:pt>
                <c:pt idx="37">
                  <c:v>1.2699999999999999E-2</c:v>
                </c:pt>
                <c:pt idx="38">
                  <c:v>9.7999999999999997E-3</c:v>
                </c:pt>
                <c:pt idx="39">
                  <c:v>8.3999999999999995E-3</c:v>
                </c:pt>
                <c:pt idx="40">
                  <c:v>7.7000000000000002E-3</c:v>
                </c:pt>
                <c:pt idx="41">
                  <c:v>7.1999999999999998E-3</c:v>
                </c:pt>
                <c:pt idx="42">
                  <c:v>6.7000000000000002E-3</c:v>
                </c:pt>
                <c:pt idx="43">
                  <c:v>6.4000000000000003E-3</c:v>
                </c:pt>
                <c:pt idx="44">
                  <c:v>5.8999999999999999E-3</c:v>
                </c:pt>
                <c:pt idx="45">
                  <c:v>5.3E-3</c:v>
                </c:pt>
                <c:pt idx="46">
                  <c:v>4.7000000000000002E-3</c:v>
                </c:pt>
                <c:pt idx="47">
                  <c:v>4.1000000000000003E-3</c:v>
                </c:pt>
                <c:pt idx="48">
                  <c:v>3.7000000000000002E-3</c:v>
                </c:pt>
                <c:pt idx="49">
                  <c:v>3.3E-3</c:v>
                </c:pt>
                <c:pt idx="50">
                  <c:v>3.0000000000000001E-3</c:v>
                </c:pt>
                <c:pt idx="51">
                  <c:v>2.8E-3</c:v>
                </c:pt>
                <c:pt idx="52">
                  <c:v>2.7000000000000001E-3</c:v>
                </c:pt>
                <c:pt idx="53">
                  <c:v>2.5999999999999999E-3</c:v>
                </c:pt>
                <c:pt idx="54">
                  <c:v>2.5000000000000001E-3</c:v>
                </c:pt>
                <c:pt idx="55">
                  <c:v>2.3E-3</c:v>
                </c:pt>
                <c:pt idx="56">
                  <c:v>2.2000000000000001E-3</c:v>
                </c:pt>
                <c:pt idx="57">
                  <c:v>2E-3</c:v>
                </c:pt>
                <c:pt idx="58">
                  <c:v>1.9E-3</c:v>
                </c:pt>
                <c:pt idx="59">
                  <c:v>1.8E-3</c:v>
                </c:pt>
                <c:pt idx="60">
                  <c:v>1.6999999999999999E-3</c:v>
                </c:pt>
                <c:pt idx="61">
                  <c:v>1.6999999999999999E-3</c:v>
                </c:pt>
                <c:pt idx="62">
                  <c:v>1.6000000000000001E-3</c:v>
                </c:pt>
                <c:pt idx="63">
                  <c:v>1.5E-3</c:v>
                </c:pt>
                <c:pt idx="64">
                  <c:v>1.5E-3</c:v>
                </c:pt>
                <c:pt idx="65">
                  <c:v>1.4E-3</c:v>
                </c:pt>
                <c:pt idx="66">
                  <c:v>1.5E-3</c:v>
                </c:pt>
                <c:pt idx="67">
                  <c:v>1.4E-3</c:v>
                </c:pt>
                <c:pt idx="68">
                  <c:v>1.4E-3</c:v>
                </c:pt>
                <c:pt idx="69">
                  <c:v>1.4E-3</c:v>
                </c:pt>
                <c:pt idx="70">
                  <c:v>1.4E-3</c:v>
                </c:pt>
                <c:pt idx="71">
                  <c:v>1.5E-3</c:v>
                </c:pt>
                <c:pt idx="72">
                  <c:v>1.4E-3</c:v>
                </c:pt>
                <c:pt idx="73">
                  <c:v>1.4E-3</c:v>
                </c:pt>
                <c:pt idx="74">
                  <c:v>1.5E-3</c:v>
                </c:pt>
                <c:pt idx="75">
                  <c:v>1.4E-3</c:v>
                </c:pt>
                <c:pt idx="76">
                  <c:v>1.4E-3</c:v>
                </c:pt>
                <c:pt idx="77">
                  <c:v>1.2999999999999999E-3</c:v>
                </c:pt>
                <c:pt idx="78">
                  <c:v>1.5E-3</c:v>
                </c:pt>
                <c:pt idx="79">
                  <c:v>1.4E-3</c:v>
                </c:pt>
                <c:pt idx="80">
                  <c:v>1.5E-3</c:v>
                </c:pt>
                <c:pt idx="81">
                  <c:v>1.4E-3</c:v>
                </c:pt>
                <c:pt idx="82">
                  <c:v>1.4E-3</c:v>
                </c:pt>
                <c:pt idx="83">
                  <c:v>1.4E-3</c:v>
                </c:pt>
                <c:pt idx="84">
                  <c:v>1.4E-3</c:v>
                </c:pt>
                <c:pt idx="85">
                  <c:v>1.4E-3</c:v>
                </c:pt>
                <c:pt idx="86">
                  <c:v>1.4E-3</c:v>
                </c:pt>
                <c:pt idx="87">
                  <c:v>1.4E-3</c:v>
                </c:pt>
                <c:pt idx="88">
                  <c:v>1.4E-3</c:v>
                </c:pt>
                <c:pt idx="89">
                  <c:v>1.4E-3</c:v>
                </c:pt>
                <c:pt idx="90">
                  <c:v>#N/A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1B-40A1-AFD3-69E9FD227104}"/>
            </c:ext>
          </c:extLst>
        </c:ser>
        <c:ser>
          <c:idx val="1"/>
          <c:order val="1"/>
          <c:tx>
            <c:strRef>
              <c:f>DDat!$L$18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0703A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DDat!$L$20:$L$111</c:f>
              <c:numCache>
                <c:formatCode>#,##0.0000</c:formatCode>
                <c:ptCount val="92"/>
                <c:pt idx="0">
                  <c:v>0.1709</c:v>
                </c:pt>
                <c:pt idx="1">
                  <c:v>0.14710000000000001</c:v>
                </c:pt>
                <c:pt idx="2">
                  <c:v>0.1113</c:v>
                </c:pt>
                <c:pt idx="3">
                  <c:v>9.2999999999999999E-2</c:v>
                </c:pt>
                <c:pt idx="4">
                  <c:v>9.2700000000000005E-2</c:v>
                </c:pt>
                <c:pt idx="5">
                  <c:v>0.10290000000000001</c:v>
                </c:pt>
                <c:pt idx="6">
                  <c:v>0.11260000000000001</c:v>
                </c:pt>
                <c:pt idx="7">
                  <c:v>0.111</c:v>
                </c:pt>
                <c:pt idx="8">
                  <c:v>9.9699999999999997E-2</c:v>
                </c:pt>
                <c:pt idx="9">
                  <c:v>8.5099999999999995E-2</c:v>
                </c:pt>
                <c:pt idx="10">
                  <c:v>7.4399999999999994E-2</c:v>
                </c:pt>
                <c:pt idx="11">
                  <c:v>6.7900000000000002E-2</c:v>
                </c:pt>
                <c:pt idx="12">
                  <c:v>6.2600000000000003E-2</c:v>
                </c:pt>
                <c:pt idx="13">
                  <c:v>5.7299999999999997E-2</c:v>
                </c:pt>
                <c:pt idx="14">
                  <c:v>5.2600000000000001E-2</c:v>
                </c:pt>
                <c:pt idx="15">
                  <c:v>4.8000000000000001E-2</c:v>
                </c:pt>
                <c:pt idx="16">
                  <c:v>4.41E-2</c:v>
                </c:pt>
                <c:pt idx="17">
                  <c:v>4.0399999999999998E-2</c:v>
                </c:pt>
                <c:pt idx="18">
                  <c:v>3.7100000000000001E-2</c:v>
                </c:pt>
                <c:pt idx="19">
                  <c:v>3.4200000000000001E-2</c:v>
                </c:pt>
                <c:pt idx="20">
                  <c:v>3.1699999999999999E-2</c:v>
                </c:pt>
                <c:pt idx="21">
                  <c:v>2.9700000000000001E-2</c:v>
                </c:pt>
                <c:pt idx="22">
                  <c:v>2.8000000000000001E-2</c:v>
                </c:pt>
                <c:pt idx="23">
                  <c:v>2.6700000000000002E-2</c:v>
                </c:pt>
                <c:pt idx="24">
                  <c:v>2.5600000000000001E-2</c:v>
                </c:pt>
                <c:pt idx="25">
                  <c:v>2.5000000000000001E-2</c:v>
                </c:pt>
                <c:pt idx="26">
                  <c:v>2.4199999999999999E-2</c:v>
                </c:pt>
                <c:pt idx="27">
                  <c:v>2.4E-2</c:v>
                </c:pt>
                <c:pt idx="28">
                  <c:v>2.3800000000000002E-2</c:v>
                </c:pt>
                <c:pt idx="29">
                  <c:v>2.3800000000000002E-2</c:v>
                </c:pt>
                <c:pt idx="30">
                  <c:v>2.3900000000000001E-2</c:v>
                </c:pt>
                <c:pt idx="31">
                  <c:v>2.41E-2</c:v>
                </c:pt>
                <c:pt idx="32">
                  <c:v>2.4500000000000001E-2</c:v>
                </c:pt>
                <c:pt idx="33">
                  <c:v>2.4899999999999999E-2</c:v>
                </c:pt>
                <c:pt idx="34">
                  <c:v>2.47E-2</c:v>
                </c:pt>
                <c:pt idx="35">
                  <c:v>2.18E-2</c:v>
                </c:pt>
                <c:pt idx="36">
                  <c:v>1.72E-2</c:v>
                </c:pt>
                <c:pt idx="37">
                  <c:v>1.2699999999999999E-2</c:v>
                </c:pt>
                <c:pt idx="38">
                  <c:v>9.7999999999999997E-3</c:v>
                </c:pt>
                <c:pt idx="39">
                  <c:v>8.3999999999999995E-3</c:v>
                </c:pt>
                <c:pt idx="40">
                  <c:v>7.7000000000000002E-3</c:v>
                </c:pt>
                <c:pt idx="41">
                  <c:v>7.1999999999999998E-3</c:v>
                </c:pt>
                <c:pt idx="42">
                  <c:v>6.7000000000000002E-3</c:v>
                </c:pt>
                <c:pt idx="43">
                  <c:v>6.4000000000000003E-3</c:v>
                </c:pt>
                <c:pt idx="44">
                  <c:v>5.8999999999999999E-3</c:v>
                </c:pt>
                <c:pt idx="45">
                  <c:v>5.3E-3</c:v>
                </c:pt>
                <c:pt idx="46">
                  <c:v>4.7000000000000002E-3</c:v>
                </c:pt>
                <c:pt idx="47">
                  <c:v>4.1000000000000003E-3</c:v>
                </c:pt>
                <c:pt idx="48">
                  <c:v>3.7000000000000002E-3</c:v>
                </c:pt>
                <c:pt idx="49">
                  <c:v>3.3E-3</c:v>
                </c:pt>
                <c:pt idx="50">
                  <c:v>3.0000000000000001E-3</c:v>
                </c:pt>
                <c:pt idx="51">
                  <c:v>2.8E-3</c:v>
                </c:pt>
                <c:pt idx="52">
                  <c:v>2.7000000000000001E-3</c:v>
                </c:pt>
                <c:pt idx="53">
                  <c:v>2.5999999999999999E-3</c:v>
                </c:pt>
                <c:pt idx="54">
                  <c:v>2.5000000000000001E-3</c:v>
                </c:pt>
                <c:pt idx="55">
                  <c:v>2.3E-3</c:v>
                </c:pt>
                <c:pt idx="56">
                  <c:v>2.2000000000000001E-3</c:v>
                </c:pt>
                <c:pt idx="57">
                  <c:v>2E-3</c:v>
                </c:pt>
                <c:pt idx="58">
                  <c:v>1.9E-3</c:v>
                </c:pt>
                <c:pt idx="59">
                  <c:v>1.8E-3</c:v>
                </c:pt>
                <c:pt idx="60">
                  <c:v>1.6999999999999999E-3</c:v>
                </c:pt>
                <c:pt idx="61">
                  <c:v>1.6999999999999999E-3</c:v>
                </c:pt>
                <c:pt idx="62">
                  <c:v>1.6000000000000001E-3</c:v>
                </c:pt>
                <c:pt idx="63">
                  <c:v>1.5E-3</c:v>
                </c:pt>
                <c:pt idx="64">
                  <c:v>1.5E-3</c:v>
                </c:pt>
                <c:pt idx="65">
                  <c:v>1.4E-3</c:v>
                </c:pt>
                <c:pt idx="66">
                  <c:v>1.5E-3</c:v>
                </c:pt>
                <c:pt idx="67">
                  <c:v>1.4E-3</c:v>
                </c:pt>
                <c:pt idx="68">
                  <c:v>1.4E-3</c:v>
                </c:pt>
                <c:pt idx="69">
                  <c:v>1.4E-3</c:v>
                </c:pt>
                <c:pt idx="70">
                  <c:v>1.4E-3</c:v>
                </c:pt>
                <c:pt idx="71">
                  <c:v>1.5E-3</c:v>
                </c:pt>
                <c:pt idx="72">
                  <c:v>1.4E-3</c:v>
                </c:pt>
                <c:pt idx="73">
                  <c:v>1.4E-3</c:v>
                </c:pt>
                <c:pt idx="74">
                  <c:v>1.5E-3</c:v>
                </c:pt>
                <c:pt idx="75">
                  <c:v>1.4E-3</c:v>
                </c:pt>
                <c:pt idx="76">
                  <c:v>1.4E-3</c:v>
                </c:pt>
                <c:pt idx="77">
                  <c:v>1.2999999999999999E-3</c:v>
                </c:pt>
                <c:pt idx="78">
                  <c:v>1.5E-3</c:v>
                </c:pt>
                <c:pt idx="79">
                  <c:v>1.4E-3</c:v>
                </c:pt>
                <c:pt idx="80">
                  <c:v>1.5E-3</c:v>
                </c:pt>
                <c:pt idx="81">
                  <c:v>1.4E-3</c:v>
                </c:pt>
                <c:pt idx="82">
                  <c:v>1.4E-3</c:v>
                </c:pt>
                <c:pt idx="83">
                  <c:v>1.4E-3</c:v>
                </c:pt>
                <c:pt idx="84">
                  <c:v>1.4E-3</c:v>
                </c:pt>
                <c:pt idx="85">
                  <c:v>1.4E-3</c:v>
                </c:pt>
                <c:pt idx="86">
                  <c:v>1.4E-3</c:v>
                </c:pt>
                <c:pt idx="87">
                  <c:v>1.4E-3</c:v>
                </c:pt>
                <c:pt idx="88">
                  <c:v>1.4E-3</c:v>
                </c:pt>
                <c:pt idx="89">
                  <c:v>1.4E-3</c:v>
                </c:pt>
                <c:pt idx="90">
                  <c:v>#N/A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1B-40A1-AFD3-69E9FD227104}"/>
            </c:ext>
          </c:extLst>
        </c:ser>
        <c:ser>
          <c:idx val="2"/>
          <c:order val="2"/>
          <c:tx>
            <c:strRef>
              <c:f>DDat!$M$18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A5161D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DDat!$M$20:$M$111</c:f>
              <c:numCache>
                <c:formatCode>#,##0.0000</c:formatCode>
                <c:ptCount val="92"/>
                <c:pt idx="0">
                  <c:v>0.1709</c:v>
                </c:pt>
                <c:pt idx="1">
                  <c:v>0.14710000000000001</c:v>
                </c:pt>
                <c:pt idx="2">
                  <c:v>0.1113</c:v>
                </c:pt>
                <c:pt idx="3">
                  <c:v>9.2999999999999999E-2</c:v>
                </c:pt>
                <c:pt idx="4">
                  <c:v>9.2700000000000005E-2</c:v>
                </c:pt>
                <c:pt idx="5">
                  <c:v>0.10290000000000001</c:v>
                </c:pt>
                <c:pt idx="6">
                  <c:v>0.11260000000000001</c:v>
                </c:pt>
                <c:pt idx="7">
                  <c:v>0.111</c:v>
                </c:pt>
                <c:pt idx="8">
                  <c:v>9.9699999999999997E-2</c:v>
                </c:pt>
                <c:pt idx="9">
                  <c:v>8.5099999999999995E-2</c:v>
                </c:pt>
                <c:pt idx="10">
                  <c:v>7.4399999999999994E-2</c:v>
                </c:pt>
                <c:pt idx="11">
                  <c:v>6.7900000000000002E-2</c:v>
                </c:pt>
                <c:pt idx="12">
                  <c:v>6.2600000000000003E-2</c:v>
                </c:pt>
                <c:pt idx="13">
                  <c:v>5.7299999999999997E-2</c:v>
                </c:pt>
                <c:pt idx="14">
                  <c:v>5.2600000000000001E-2</c:v>
                </c:pt>
                <c:pt idx="15">
                  <c:v>4.8000000000000001E-2</c:v>
                </c:pt>
                <c:pt idx="16">
                  <c:v>4.41E-2</c:v>
                </c:pt>
                <c:pt idx="17">
                  <c:v>4.0399999999999998E-2</c:v>
                </c:pt>
                <c:pt idx="18">
                  <c:v>3.7100000000000001E-2</c:v>
                </c:pt>
                <c:pt idx="19">
                  <c:v>3.4200000000000001E-2</c:v>
                </c:pt>
                <c:pt idx="20">
                  <c:v>3.1699999999999999E-2</c:v>
                </c:pt>
                <c:pt idx="21">
                  <c:v>2.9700000000000001E-2</c:v>
                </c:pt>
                <c:pt idx="22">
                  <c:v>2.8000000000000001E-2</c:v>
                </c:pt>
                <c:pt idx="23">
                  <c:v>2.6700000000000002E-2</c:v>
                </c:pt>
                <c:pt idx="24">
                  <c:v>2.5600000000000001E-2</c:v>
                </c:pt>
                <c:pt idx="25">
                  <c:v>2.5000000000000001E-2</c:v>
                </c:pt>
                <c:pt idx="26">
                  <c:v>2.4199999999999999E-2</c:v>
                </c:pt>
                <c:pt idx="27">
                  <c:v>2.4E-2</c:v>
                </c:pt>
                <c:pt idx="28">
                  <c:v>2.3800000000000002E-2</c:v>
                </c:pt>
                <c:pt idx="29">
                  <c:v>2.3800000000000002E-2</c:v>
                </c:pt>
                <c:pt idx="30">
                  <c:v>2.3900000000000001E-2</c:v>
                </c:pt>
                <c:pt idx="31">
                  <c:v>2.41E-2</c:v>
                </c:pt>
                <c:pt idx="32">
                  <c:v>2.4500000000000001E-2</c:v>
                </c:pt>
                <c:pt idx="33">
                  <c:v>2.4899999999999999E-2</c:v>
                </c:pt>
                <c:pt idx="34">
                  <c:v>2.47E-2</c:v>
                </c:pt>
                <c:pt idx="35">
                  <c:v>2.18E-2</c:v>
                </c:pt>
                <c:pt idx="36">
                  <c:v>1.72E-2</c:v>
                </c:pt>
                <c:pt idx="37">
                  <c:v>1.2699999999999999E-2</c:v>
                </c:pt>
                <c:pt idx="38">
                  <c:v>9.7999999999999997E-3</c:v>
                </c:pt>
                <c:pt idx="39">
                  <c:v>8.3999999999999995E-3</c:v>
                </c:pt>
                <c:pt idx="40">
                  <c:v>7.7000000000000002E-3</c:v>
                </c:pt>
                <c:pt idx="41">
                  <c:v>7.1999999999999998E-3</c:v>
                </c:pt>
                <c:pt idx="42">
                  <c:v>6.7000000000000002E-3</c:v>
                </c:pt>
                <c:pt idx="43">
                  <c:v>6.4000000000000003E-3</c:v>
                </c:pt>
                <c:pt idx="44">
                  <c:v>5.8999999999999999E-3</c:v>
                </c:pt>
                <c:pt idx="45">
                  <c:v>5.3E-3</c:v>
                </c:pt>
                <c:pt idx="46">
                  <c:v>4.7000000000000002E-3</c:v>
                </c:pt>
                <c:pt idx="47">
                  <c:v>4.1000000000000003E-3</c:v>
                </c:pt>
                <c:pt idx="48">
                  <c:v>3.7000000000000002E-3</c:v>
                </c:pt>
                <c:pt idx="49">
                  <c:v>3.3E-3</c:v>
                </c:pt>
                <c:pt idx="50">
                  <c:v>3.0000000000000001E-3</c:v>
                </c:pt>
                <c:pt idx="51">
                  <c:v>2.8E-3</c:v>
                </c:pt>
                <c:pt idx="52">
                  <c:v>2.7000000000000001E-3</c:v>
                </c:pt>
                <c:pt idx="53">
                  <c:v>2.5999999999999999E-3</c:v>
                </c:pt>
                <c:pt idx="54">
                  <c:v>2.5000000000000001E-3</c:v>
                </c:pt>
                <c:pt idx="55">
                  <c:v>2.3E-3</c:v>
                </c:pt>
                <c:pt idx="56">
                  <c:v>2.2000000000000001E-3</c:v>
                </c:pt>
                <c:pt idx="57">
                  <c:v>2E-3</c:v>
                </c:pt>
                <c:pt idx="58">
                  <c:v>1.9E-3</c:v>
                </c:pt>
                <c:pt idx="59">
                  <c:v>1.8E-3</c:v>
                </c:pt>
                <c:pt idx="60">
                  <c:v>1.6999999999999999E-3</c:v>
                </c:pt>
                <c:pt idx="61">
                  <c:v>1.6999999999999999E-3</c:v>
                </c:pt>
                <c:pt idx="62">
                  <c:v>1.6000000000000001E-3</c:v>
                </c:pt>
                <c:pt idx="63">
                  <c:v>1.5E-3</c:v>
                </c:pt>
                <c:pt idx="64">
                  <c:v>1.5E-3</c:v>
                </c:pt>
                <c:pt idx="65">
                  <c:v>1.4E-3</c:v>
                </c:pt>
                <c:pt idx="66">
                  <c:v>1.5E-3</c:v>
                </c:pt>
                <c:pt idx="67">
                  <c:v>1.4E-3</c:v>
                </c:pt>
                <c:pt idx="68">
                  <c:v>1.4E-3</c:v>
                </c:pt>
                <c:pt idx="69">
                  <c:v>1.4E-3</c:v>
                </c:pt>
                <c:pt idx="70">
                  <c:v>1.4E-3</c:v>
                </c:pt>
                <c:pt idx="71">
                  <c:v>1.5E-3</c:v>
                </c:pt>
                <c:pt idx="72">
                  <c:v>1.4E-3</c:v>
                </c:pt>
                <c:pt idx="73">
                  <c:v>1.4E-3</c:v>
                </c:pt>
                <c:pt idx="74">
                  <c:v>1.5E-3</c:v>
                </c:pt>
                <c:pt idx="75">
                  <c:v>1.4E-3</c:v>
                </c:pt>
                <c:pt idx="76">
                  <c:v>1.4E-3</c:v>
                </c:pt>
                <c:pt idx="77">
                  <c:v>1.2999999999999999E-3</c:v>
                </c:pt>
                <c:pt idx="78">
                  <c:v>1.5E-3</c:v>
                </c:pt>
                <c:pt idx="79">
                  <c:v>1.4E-3</c:v>
                </c:pt>
                <c:pt idx="80">
                  <c:v>1.5E-3</c:v>
                </c:pt>
                <c:pt idx="81">
                  <c:v>1.4E-3</c:v>
                </c:pt>
                <c:pt idx="82">
                  <c:v>1.4E-3</c:v>
                </c:pt>
                <c:pt idx="83">
                  <c:v>1.4E-3</c:v>
                </c:pt>
                <c:pt idx="84">
                  <c:v>1.4E-3</c:v>
                </c:pt>
                <c:pt idx="85">
                  <c:v>1.4E-3</c:v>
                </c:pt>
                <c:pt idx="86">
                  <c:v>1.4E-3</c:v>
                </c:pt>
                <c:pt idx="87">
                  <c:v>1.4E-3</c:v>
                </c:pt>
                <c:pt idx="88">
                  <c:v>1.4E-3</c:v>
                </c:pt>
                <c:pt idx="89">
                  <c:v>1.4E-3</c:v>
                </c:pt>
                <c:pt idx="90">
                  <c:v>#N/A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F1B-40A1-AFD3-69E9FD2271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347360"/>
        <c:axId val="1"/>
      </c:scatterChart>
      <c:valAx>
        <c:axId val="379347360"/>
        <c:scaling>
          <c:orientation val="minMax"/>
          <c:max val="111"/>
          <c:min val="2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1"/>
        <c:crosses val="autoZero"/>
        <c:crossBetween val="midCat"/>
      </c:valAx>
      <c:valAx>
        <c:axId val="1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#,##0.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37934736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2543786488740619E-2"/>
          <c:y val="0.90418353576248323"/>
          <c:w val="0.92577147623019174"/>
          <c:h val="9.1767881241565458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de-DE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DDat!$G$17</c:f>
          <c:strCache>
            <c:ptCount val="1"/>
            <c:pt idx="0">
              <c:v>Ausscheideordnung
Frauen+Männer − λ_x: + 50,0 % − x_ω: 110 − r: 2,5 % − q_x: PKV 2017 − w_x: Sto BaFin N 2015 − K_x: Primo kompakt 2015 − x_KM: 70 − Δ_js: 8,6 % − Γ_js: 802 / 679 Euro − α^Z_x: 2 MB (ab 70 abzgl. 0,5 MB)</c:v>
            </c:pt>
          </c:strCache>
        </c:strRef>
      </c:tx>
      <c:layout>
        <c:manualLayout>
          <c:xMode val="edge"/>
          <c:yMode val="edge"/>
          <c:x val="0.12839239527941421"/>
          <c:y val="2.030439148126618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5.0104384133611693E-2"/>
          <c:y val="0.14890016920473773"/>
          <c:w val="0.92693110647181631"/>
          <c:h val="0.69881556683587143"/>
        </c:manualLayout>
      </c:layout>
      <c:scatterChart>
        <c:scatterStyle val="lineMarker"/>
        <c:varyColors val="0"/>
        <c:ser>
          <c:idx val="0"/>
          <c:order val="0"/>
          <c:tx>
            <c:strRef>
              <c:f>DDat!$G$18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84AAD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DDat!$G$20:$G$111</c:f>
              <c:numCache>
                <c:formatCode>#,##0.0000</c:formatCode>
                <c:ptCount val="92"/>
                <c:pt idx="0">
                  <c:v>0.17119999999999999</c:v>
                </c:pt>
                <c:pt idx="1">
                  <c:v>0.1474</c:v>
                </c:pt>
                <c:pt idx="2">
                  <c:v>0.1116</c:v>
                </c:pt>
                <c:pt idx="3">
                  <c:v>9.3299999999999994E-2</c:v>
                </c:pt>
                <c:pt idx="4">
                  <c:v>9.2999999999999999E-2</c:v>
                </c:pt>
                <c:pt idx="5">
                  <c:v>0.1032</c:v>
                </c:pt>
                <c:pt idx="6">
                  <c:v>0.1129</c:v>
                </c:pt>
                <c:pt idx="7">
                  <c:v>0.1113</c:v>
                </c:pt>
                <c:pt idx="8">
                  <c:v>0.1</c:v>
                </c:pt>
                <c:pt idx="9">
                  <c:v>8.5400000000000004E-2</c:v>
                </c:pt>
                <c:pt idx="10">
                  <c:v>7.4700000000000003E-2</c:v>
                </c:pt>
                <c:pt idx="11">
                  <c:v>6.8199999999999997E-2</c:v>
                </c:pt>
                <c:pt idx="12">
                  <c:v>6.2899999999999998E-2</c:v>
                </c:pt>
                <c:pt idx="13">
                  <c:v>5.7599999999999998E-2</c:v>
                </c:pt>
                <c:pt idx="14">
                  <c:v>5.2900000000000003E-2</c:v>
                </c:pt>
                <c:pt idx="15">
                  <c:v>4.8300000000000003E-2</c:v>
                </c:pt>
                <c:pt idx="16">
                  <c:v>4.4400000000000002E-2</c:v>
                </c:pt>
                <c:pt idx="17">
                  <c:v>4.07E-2</c:v>
                </c:pt>
                <c:pt idx="18">
                  <c:v>3.7499999999999999E-2</c:v>
                </c:pt>
                <c:pt idx="19">
                  <c:v>3.4599999999999999E-2</c:v>
                </c:pt>
                <c:pt idx="20">
                  <c:v>3.2099999999999997E-2</c:v>
                </c:pt>
                <c:pt idx="21">
                  <c:v>3.0200000000000001E-2</c:v>
                </c:pt>
                <c:pt idx="22">
                  <c:v>2.8500000000000001E-2</c:v>
                </c:pt>
                <c:pt idx="23">
                  <c:v>2.7300000000000001E-2</c:v>
                </c:pt>
                <c:pt idx="24">
                  <c:v>2.6200000000000001E-2</c:v>
                </c:pt>
                <c:pt idx="25">
                  <c:v>2.5700000000000001E-2</c:v>
                </c:pt>
                <c:pt idx="26">
                  <c:v>2.5000000000000001E-2</c:v>
                </c:pt>
                <c:pt idx="27">
                  <c:v>2.4899999999999999E-2</c:v>
                </c:pt>
                <c:pt idx="28">
                  <c:v>2.4799999999999999E-2</c:v>
                </c:pt>
                <c:pt idx="29">
                  <c:v>2.5000000000000001E-2</c:v>
                </c:pt>
                <c:pt idx="30">
                  <c:v>2.52E-2</c:v>
                </c:pt>
                <c:pt idx="31">
                  <c:v>2.5499999999999998E-2</c:v>
                </c:pt>
                <c:pt idx="32">
                  <c:v>2.6100000000000002E-2</c:v>
                </c:pt>
                <c:pt idx="33">
                  <c:v>2.6800000000000001E-2</c:v>
                </c:pt>
                <c:pt idx="34">
                  <c:v>2.6700000000000002E-2</c:v>
                </c:pt>
                <c:pt idx="35">
                  <c:v>2.41E-2</c:v>
                </c:pt>
                <c:pt idx="36">
                  <c:v>1.9800000000000002E-2</c:v>
                </c:pt>
                <c:pt idx="37">
                  <c:v>1.55E-2</c:v>
                </c:pt>
                <c:pt idx="38">
                  <c:v>1.29E-2</c:v>
                </c:pt>
                <c:pt idx="39">
                  <c:v>1.18E-2</c:v>
                </c:pt>
                <c:pt idx="40">
                  <c:v>1.14E-2</c:v>
                </c:pt>
                <c:pt idx="41">
                  <c:v>1.12E-2</c:v>
                </c:pt>
                <c:pt idx="42">
                  <c:v>1.11E-2</c:v>
                </c:pt>
                <c:pt idx="43">
                  <c:v>1.11E-2</c:v>
                </c:pt>
                <c:pt idx="44">
                  <c:v>1.0999999999999999E-2</c:v>
                </c:pt>
                <c:pt idx="45">
                  <c:v>1.09E-2</c:v>
                </c:pt>
                <c:pt idx="46">
                  <c:v>1.0800000000000001E-2</c:v>
                </c:pt>
                <c:pt idx="47">
                  <c:v>1.0800000000000001E-2</c:v>
                </c:pt>
                <c:pt idx="48">
                  <c:v>1.09E-2</c:v>
                </c:pt>
                <c:pt idx="49">
                  <c:v>1.12E-2</c:v>
                </c:pt>
                <c:pt idx="50">
                  <c:v>1.1599999999999999E-2</c:v>
                </c:pt>
                <c:pt idx="51">
                  <c:v>1.2200000000000001E-2</c:v>
                </c:pt>
                <c:pt idx="52">
                  <c:v>1.3100000000000001E-2</c:v>
                </c:pt>
                <c:pt idx="53">
                  <c:v>1.4200000000000001E-2</c:v>
                </c:pt>
                <c:pt idx="54">
                  <c:v>1.54E-2</c:v>
                </c:pt>
                <c:pt idx="55">
                  <c:v>1.6899999999999998E-2</c:v>
                </c:pt>
                <c:pt idx="56">
                  <c:v>1.8700000000000001E-2</c:v>
                </c:pt>
                <c:pt idx="57">
                  <c:v>2.07E-2</c:v>
                </c:pt>
                <c:pt idx="58">
                  <c:v>2.3199999999999998E-2</c:v>
                </c:pt>
                <c:pt idx="59">
                  <c:v>2.6499999999999999E-2</c:v>
                </c:pt>
                <c:pt idx="60">
                  <c:v>0.03</c:v>
                </c:pt>
                <c:pt idx="61">
                  <c:v>3.4700000000000002E-2</c:v>
                </c:pt>
                <c:pt idx="62">
                  <c:v>3.9600000000000003E-2</c:v>
                </c:pt>
                <c:pt idx="63">
                  <c:v>4.5499999999999999E-2</c:v>
                </c:pt>
                <c:pt idx="64">
                  <c:v>5.2400000000000002E-2</c:v>
                </c:pt>
                <c:pt idx="65">
                  <c:v>6.0100000000000001E-2</c:v>
                </c:pt>
                <c:pt idx="66">
                  <c:v>6.8900000000000003E-2</c:v>
                </c:pt>
                <c:pt idx="67">
                  <c:v>7.9399999999999998E-2</c:v>
                </c:pt>
                <c:pt idx="68">
                  <c:v>0.09</c:v>
                </c:pt>
                <c:pt idx="69">
                  <c:v>0.1028</c:v>
                </c:pt>
                <c:pt idx="70">
                  <c:v>0.11700000000000001</c:v>
                </c:pt>
                <c:pt idx="71">
                  <c:v>0.13059999999999999</c:v>
                </c:pt>
                <c:pt idx="72">
                  <c:v>0.14649999999999999</c:v>
                </c:pt>
                <c:pt idx="73">
                  <c:v>0.1643</c:v>
                </c:pt>
                <c:pt idx="74">
                  <c:v>0.18149999999999999</c:v>
                </c:pt>
                <c:pt idx="75">
                  <c:v>0.20069999999999999</c:v>
                </c:pt>
                <c:pt idx="76">
                  <c:v>0.2185</c:v>
                </c:pt>
                <c:pt idx="77">
                  <c:v>0.23580000000000001</c:v>
                </c:pt>
                <c:pt idx="78">
                  <c:v>0.2525</c:v>
                </c:pt>
                <c:pt idx="79">
                  <c:v>0.26150000000000001</c:v>
                </c:pt>
                <c:pt idx="80">
                  <c:v>0.26629999999999998</c:v>
                </c:pt>
                <c:pt idx="81">
                  <c:v>0.27150000000000002</c:v>
                </c:pt>
                <c:pt idx="82">
                  <c:v>0.27650000000000002</c:v>
                </c:pt>
                <c:pt idx="83">
                  <c:v>0.28310000000000002</c:v>
                </c:pt>
                <c:pt idx="84">
                  <c:v>0.28889999999999999</c:v>
                </c:pt>
                <c:pt idx="85">
                  <c:v>0.29480000000000001</c:v>
                </c:pt>
                <c:pt idx="86">
                  <c:v>0.30059999999999998</c:v>
                </c:pt>
                <c:pt idx="87">
                  <c:v>0.30649999999999999</c:v>
                </c:pt>
                <c:pt idx="88">
                  <c:v>0.31230000000000002</c:v>
                </c:pt>
                <c:pt idx="89">
                  <c:v>0.31819999999999998</c:v>
                </c:pt>
                <c:pt idx="90">
                  <c:v>#N/A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172-410F-BC47-02EBFC9CEB18}"/>
            </c:ext>
          </c:extLst>
        </c:ser>
        <c:ser>
          <c:idx val="1"/>
          <c:order val="1"/>
          <c:tx>
            <c:strRef>
              <c:f>DDat!$H$18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0703A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DDat!$H$20:$H$111</c:f>
              <c:numCache>
                <c:formatCode>#,##0.0000</c:formatCode>
                <c:ptCount val="92"/>
                <c:pt idx="0">
                  <c:v>0.17119999999999999</c:v>
                </c:pt>
                <c:pt idx="1">
                  <c:v>0.1474</c:v>
                </c:pt>
                <c:pt idx="2">
                  <c:v>0.1116</c:v>
                </c:pt>
                <c:pt idx="3">
                  <c:v>9.3299999999999994E-2</c:v>
                </c:pt>
                <c:pt idx="4">
                  <c:v>9.2999999999999999E-2</c:v>
                </c:pt>
                <c:pt idx="5">
                  <c:v>0.1032</c:v>
                </c:pt>
                <c:pt idx="6">
                  <c:v>0.1129</c:v>
                </c:pt>
                <c:pt idx="7">
                  <c:v>0.1113</c:v>
                </c:pt>
                <c:pt idx="8">
                  <c:v>0.1</c:v>
                </c:pt>
                <c:pt idx="9">
                  <c:v>8.5400000000000004E-2</c:v>
                </c:pt>
                <c:pt idx="10">
                  <c:v>7.4700000000000003E-2</c:v>
                </c:pt>
                <c:pt idx="11">
                  <c:v>6.8199999999999997E-2</c:v>
                </c:pt>
                <c:pt idx="12">
                  <c:v>6.2899999999999998E-2</c:v>
                </c:pt>
                <c:pt idx="13">
                  <c:v>5.7599999999999998E-2</c:v>
                </c:pt>
                <c:pt idx="14">
                  <c:v>5.2900000000000003E-2</c:v>
                </c:pt>
                <c:pt idx="15">
                  <c:v>4.8300000000000003E-2</c:v>
                </c:pt>
                <c:pt idx="16">
                  <c:v>4.4400000000000002E-2</c:v>
                </c:pt>
                <c:pt idx="17">
                  <c:v>4.07E-2</c:v>
                </c:pt>
                <c:pt idx="18">
                  <c:v>3.7499999999999999E-2</c:v>
                </c:pt>
                <c:pt idx="19">
                  <c:v>3.4599999999999999E-2</c:v>
                </c:pt>
                <c:pt idx="20">
                  <c:v>3.2099999999999997E-2</c:v>
                </c:pt>
                <c:pt idx="21">
                  <c:v>3.0200000000000001E-2</c:v>
                </c:pt>
                <c:pt idx="22">
                  <c:v>2.8500000000000001E-2</c:v>
                </c:pt>
                <c:pt idx="23">
                  <c:v>2.7300000000000001E-2</c:v>
                </c:pt>
                <c:pt idx="24">
                  <c:v>2.6200000000000001E-2</c:v>
                </c:pt>
                <c:pt idx="25">
                  <c:v>2.5700000000000001E-2</c:v>
                </c:pt>
                <c:pt idx="26">
                  <c:v>2.5000000000000001E-2</c:v>
                </c:pt>
                <c:pt idx="27">
                  <c:v>2.4899999999999999E-2</c:v>
                </c:pt>
                <c:pt idx="28">
                  <c:v>2.4799999999999999E-2</c:v>
                </c:pt>
                <c:pt idx="29">
                  <c:v>2.5000000000000001E-2</c:v>
                </c:pt>
                <c:pt idx="30">
                  <c:v>2.52E-2</c:v>
                </c:pt>
                <c:pt idx="31">
                  <c:v>2.5499999999999998E-2</c:v>
                </c:pt>
                <c:pt idx="32">
                  <c:v>2.6100000000000002E-2</c:v>
                </c:pt>
                <c:pt idx="33">
                  <c:v>2.6800000000000001E-2</c:v>
                </c:pt>
                <c:pt idx="34">
                  <c:v>2.6700000000000002E-2</c:v>
                </c:pt>
                <c:pt idx="35">
                  <c:v>2.41E-2</c:v>
                </c:pt>
                <c:pt idx="36">
                  <c:v>1.9800000000000002E-2</c:v>
                </c:pt>
                <c:pt idx="37">
                  <c:v>1.55E-2</c:v>
                </c:pt>
                <c:pt idx="38">
                  <c:v>1.29E-2</c:v>
                </c:pt>
                <c:pt idx="39">
                  <c:v>1.18E-2</c:v>
                </c:pt>
                <c:pt idx="40">
                  <c:v>1.14E-2</c:v>
                </c:pt>
                <c:pt idx="41">
                  <c:v>1.12E-2</c:v>
                </c:pt>
                <c:pt idx="42">
                  <c:v>1.11E-2</c:v>
                </c:pt>
                <c:pt idx="43">
                  <c:v>1.11E-2</c:v>
                </c:pt>
                <c:pt idx="44">
                  <c:v>1.0999999999999999E-2</c:v>
                </c:pt>
                <c:pt idx="45">
                  <c:v>1.09E-2</c:v>
                </c:pt>
                <c:pt idx="46">
                  <c:v>1.0800000000000001E-2</c:v>
                </c:pt>
                <c:pt idx="47">
                  <c:v>1.0800000000000001E-2</c:v>
                </c:pt>
                <c:pt idx="48">
                  <c:v>1.09E-2</c:v>
                </c:pt>
                <c:pt idx="49">
                  <c:v>1.12E-2</c:v>
                </c:pt>
                <c:pt idx="50">
                  <c:v>1.1599999999999999E-2</c:v>
                </c:pt>
                <c:pt idx="51">
                  <c:v>1.2200000000000001E-2</c:v>
                </c:pt>
                <c:pt idx="52">
                  <c:v>1.3100000000000001E-2</c:v>
                </c:pt>
                <c:pt idx="53">
                  <c:v>1.4200000000000001E-2</c:v>
                </c:pt>
                <c:pt idx="54">
                  <c:v>1.54E-2</c:v>
                </c:pt>
                <c:pt idx="55">
                  <c:v>1.6899999999999998E-2</c:v>
                </c:pt>
                <c:pt idx="56">
                  <c:v>1.8700000000000001E-2</c:v>
                </c:pt>
                <c:pt idx="57">
                  <c:v>2.07E-2</c:v>
                </c:pt>
                <c:pt idx="58">
                  <c:v>2.3199999999999998E-2</c:v>
                </c:pt>
                <c:pt idx="59">
                  <c:v>2.6499999999999999E-2</c:v>
                </c:pt>
                <c:pt idx="60">
                  <c:v>0.03</c:v>
                </c:pt>
                <c:pt idx="61">
                  <c:v>3.4700000000000002E-2</c:v>
                </c:pt>
                <c:pt idx="62">
                  <c:v>3.9600000000000003E-2</c:v>
                </c:pt>
                <c:pt idx="63">
                  <c:v>4.5499999999999999E-2</c:v>
                </c:pt>
                <c:pt idx="64">
                  <c:v>5.2400000000000002E-2</c:v>
                </c:pt>
                <c:pt idx="65">
                  <c:v>6.0100000000000001E-2</c:v>
                </c:pt>
                <c:pt idx="66">
                  <c:v>6.8900000000000003E-2</c:v>
                </c:pt>
                <c:pt idx="67">
                  <c:v>7.9399999999999998E-2</c:v>
                </c:pt>
                <c:pt idx="68">
                  <c:v>0.09</c:v>
                </c:pt>
                <c:pt idx="69">
                  <c:v>0.1028</c:v>
                </c:pt>
                <c:pt idx="70">
                  <c:v>0.11700000000000001</c:v>
                </c:pt>
                <c:pt idx="71">
                  <c:v>0.13059999999999999</c:v>
                </c:pt>
                <c:pt idx="72">
                  <c:v>0.14649999999999999</c:v>
                </c:pt>
                <c:pt idx="73">
                  <c:v>0.1643</c:v>
                </c:pt>
                <c:pt idx="74">
                  <c:v>0.18149999999999999</c:v>
                </c:pt>
                <c:pt idx="75">
                  <c:v>0.20069999999999999</c:v>
                </c:pt>
                <c:pt idx="76">
                  <c:v>0.2185</c:v>
                </c:pt>
                <c:pt idx="77">
                  <c:v>0.23580000000000001</c:v>
                </c:pt>
                <c:pt idx="78">
                  <c:v>0.2525</c:v>
                </c:pt>
                <c:pt idx="79">
                  <c:v>0.26150000000000001</c:v>
                </c:pt>
                <c:pt idx="80">
                  <c:v>0.26629999999999998</c:v>
                </c:pt>
                <c:pt idx="81">
                  <c:v>0.27150000000000002</c:v>
                </c:pt>
                <c:pt idx="82">
                  <c:v>0.27650000000000002</c:v>
                </c:pt>
                <c:pt idx="83">
                  <c:v>0.28310000000000002</c:v>
                </c:pt>
                <c:pt idx="84">
                  <c:v>0.28889999999999999</c:v>
                </c:pt>
                <c:pt idx="85">
                  <c:v>0.29480000000000001</c:v>
                </c:pt>
                <c:pt idx="86">
                  <c:v>0.30059999999999998</c:v>
                </c:pt>
                <c:pt idx="87">
                  <c:v>0.30649999999999999</c:v>
                </c:pt>
                <c:pt idx="88">
                  <c:v>0.31230000000000002</c:v>
                </c:pt>
                <c:pt idx="89">
                  <c:v>0.31819999999999998</c:v>
                </c:pt>
                <c:pt idx="90">
                  <c:v>#N/A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172-410F-BC47-02EBFC9CEB18}"/>
            </c:ext>
          </c:extLst>
        </c:ser>
        <c:ser>
          <c:idx val="2"/>
          <c:order val="2"/>
          <c:tx>
            <c:strRef>
              <c:f>DDat!$I$18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A5161D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DDat!$I$20:$I$111</c:f>
              <c:numCache>
                <c:formatCode>#,##0.0000</c:formatCode>
                <c:ptCount val="92"/>
                <c:pt idx="0">
                  <c:v>0.17119999999999999</c:v>
                </c:pt>
                <c:pt idx="1">
                  <c:v>0.1474</c:v>
                </c:pt>
                <c:pt idx="2">
                  <c:v>0.1116</c:v>
                </c:pt>
                <c:pt idx="3">
                  <c:v>9.3299999999999994E-2</c:v>
                </c:pt>
                <c:pt idx="4">
                  <c:v>9.2999999999999999E-2</c:v>
                </c:pt>
                <c:pt idx="5">
                  <c:v>0.1032</c:v>
                </c:pt>
                <c:pt idx="6">
                  <c:v>0.1129</c:v>
                </c:pt>
                <c:pt idx="7">
                  <c:v>0.1113</c:v>
                </c:pt>
                <c:pt idx="8">
                  <c:v>0.1</c:v>
                </c:pt>
                <c:pt idx="9">
                  <c:v>8.5400000000000004E-2</c:v>
                </c:pt>
                <c:pt idx="10">
                  <c:v>7.4700000000000003E-2</c:v>
                </c:pt>
                <c:pt idx="11">
                  <c:v>6.8199999999999997E-2</c:v>
                </c:pt>
                <c:pt idx="12">
                  <c:v>6.2899999999999998E-2</c:v>
                </c:pt>
                <c:pt idx="13">
                  <c:v>5.7599999999999998E-2</c:v>
                </c:pt>
                <c:pt idx="14">
                  <c:v>5.2900000000000003E-2</c:v>
                </c:pt>
                <c:pt idx="15">
                  <c:v>4.8300000000000003E-2</c:v>
                </c:pt>
                <c:pt idx="16">
                  <c:v>4.4400000000000002E-2</c:v>
                </c:pt>
                <c:pt idx="17">
                  <c:v>4.07E-2</c:v>
                </c:pt>
                <c:pt idx="18">
                  <c:v>3.7499999999999999E-2</c:v>
                </c:pt>
                <c:pt idx="19">
                  <c:v>3.4599999999999999E-2</c:v>
                </c:pt>
                <c:pt idx="20">
                  <c:v>3.2099999999999997E-2</c:v>
                </c:pt>
                <c:pt idx="21">
                  <c:v>3.0200000000000001E-2</c:v>
                </c:pt>
                <c:pt idx="22">
                  <c:v>2.8500000000000001E-2</c:v>
                </c:pt>
                <c:pt idx="23">
                  <c:v>2.7300000000000001E-2</c:v>
                </c:pt>
                <c:pt idx="24">
                  <c:v>2.6200000000000001E-2</c:v>
                </c:pt>
                <c:pt idx="25">
                  <c:v>2.5700000000000001E-2</c:v>
                </c:pt>
                <c:pt idx="26">
                  <c:v>2.5000000000000001E-2</c:v>
                </c:pt>
                <c:pt idx="27">
                  <c:v>2.4899999999999999E-2</c:v>
                </c:pt>
                <c:pt idx="28">
                  <c:v>2.4799999999999999E-2</c:v>
                </c:pt>
                <c:pt idx="29">
                  <c:v>2.5000000000000001E-2</c:v>
                </c:pt>
                <c:pt idx="30">
                  <c:v>2.52E-2</c:v>
                </c:pt>
                <c:pt idx="31">
                  <c:v>2.5499999999999998E-2</c:v>
                </c:pt>
                <c:pt idx="32">
                  <c:v>2.6100000000000002E-2</c:v>
                </c:pt>
                <c:pt idx="33">
                  <c:v>2.6800000000000001E-2</c:v>
                </c:pt>
                <c:pt idx="34">
                  <c:v>2.6700000000000002E-2</c:v>
                </c:pt>
                <c:pt idx="35">
                  <c:v>2.41E-2</c:v>
                </c:pt>
                <c:pt idx="36">
                  <c:v>1.9800000000000002E-2</c:v>
                </c:pt>
                <c:pt idx="37">
                  <c:v>1.55E-2</c:v>
                </c:pt>
                <c:pt idx="38">
                  <c:v>1.29E-2</c:v>
                </c:pt>
                <c:pt idx="39">
                  <c:v>1.18E-2</c:v>
                </c:pt>
                <c:pt idx="40">
                  <c:v>1.14E-2</c:v>
                </c:pt>
                <c:pt idx="41">
                  <c:v>1.12E-2</c:v>
                </c:pt>
                <c:pt idx="42">
                  <c:v>1.11E-2</c:v>
                </c:pt>
                <c:pt idx="43">
                  <c:v>1.11E-2</c:v>
                </c:pt>
                <c:pt idx="44">
                  <c:v>1.0999999999999999E-2</c:v>
                </c:pt>
                <c:pt idx="45">
                  <c:v>1.09E-2</c:v>
                </c:pt>
                <c:pt idx="46">
                  <c:v>1.0800000000000001E-2</c:v>
                </c:pt>
                <c:pt idx="47">
                  <c:v>1.0800000000000001E-2</c:v>
                </c:pt>
                <c:pt idx="48">
                  <c:v>1.09E-2</c:v>
                </c:pt>
                <c:pt idx="49">
                  <c:v>1.12E-2</c:v>
                </c:pt>
                <c:pt idx="50">
                  <c:v>1.1599999999999999E-2</c:v>
                </c:pt>
                <c:pt idx="51">
                  <c:v>1.2200000000000001E-2</c:v>
                </c:pt>
                <c:pt idx="52">
                  <c:v>1.3100000000000001E-2</c:v>
                </c:pt>
                <c:pt idx="53">
                  <c:v>1.4200000000000001E-2</c:v>
                </c:pt>
                <c:pt idx="54">
                  <c:v>1.54E-2</c:v>
                </c:pt>
                <c:pt idx="55">
                  <c:v>1.6899999999999998E-2</c:v>
                </c:pt>
                <c:pt idx="56">
                  <c:v>1.8700000000000001E-2</c:v>
                </c:pt>
                <c:pt idx="57">
                  <c:v>2.07E-2</c:v>
                </c:pt>
                <c:pt idx="58">
                  <c:v>2.3199999999999998E-2</c:v>
                </c:pt>
                <c:pt idx="59">
                  <c:v>2.6499999999999999E-2</c:v>
                </c:pt>
                <c:pt idx="60">
                  <c:v>0.03</c:v>
                </c:pt>
                <c:pt idx="61">
                  <c:v>3.4700000000000002E-2</c:v>
                </c:pt>
                <c:pt idx="62">
                  <c:v>3.9600000000000003E-2</c:v>
                </c:pt>
                <c:pt idx="63">
                  <c:v>4.5499999999999999E-2</c:v>
                </c:pt>
                <c:pt idx="64">
                  <c:v>5.2400000000000002E-2</c:v>
                </c:pt>
                <c:pt idx="65">
                  <c:v>6.0100000000000001E-2</c:v>
                </c:pt>
                <c:pt idx="66">
                  <c:v>6.8900000000000003E-2</c:v>
                </c:pt>
                <c:pt idx="67">
                  <c:v>7.9399999999999998E-2</c:v>
                </c:pt>
                <c:pt idx="68">
                  <c:v>0.09</c:v>
                </c:pt>
                <c:pt idx="69">
                  <c:v>0.1028</c:v>
                </c:pt>
                <c:pt idx="70">
                  <c:v>0.11700000000000001</c:v>
                </c:pt>
                <c:pt idx="71">
                  <c:v>0.13059999999999999</c:v>
                </c:pt>
                <c:pt idx="72">
                  <c:v>0.14649999999999999</c:v>
                </c:pt>
                <c:pt idx="73">
                  <c:v>0.1643</c:v>
                </c:pt>
                <c:pt idx="74">
                  <c:v>0.18149999999999999</c:v>
                </c:pt>
                <c:pt idx="75">
                  <c:v>0.20069999999999999</c:v>
                </c:pt>
                <c:pt idx="76">
                  <c:v>0.2185</c:v>
                </c:pt>
                <c:pt idx="77">
                  <c:v>0.23580000000000001</c:v>
                </c:pt>
                <c:pt idx="78">
                  <c:v>0.2525</c:v>
                </c:pt>
                <c:pt idx="79">
                  <c:v>0.26150000000000001</c:v>
                </c:pt>
                <c:pt idx="80">
                  <c:v>0.26629999999999998</c:v>
                </c:pt>
                <c:pt idx="81">
                  <c:v>0.27150000000000002</c:v>
                </c:pt>
                <c:pt idx="82">
                  <c:v>0.27650000000000002</c:v>
                </c:pt>
                <c:pt idx="83">
                  <c:v>0.28310000000000002</c:v>
                </c:pt>
                <c:pt idx="84">
                  <c:v>0.28889999999999999</c:v>
                </c:pt>
                <c:pt idx="85">
                  <c:v>0.29480000000000001</c:v>
                </c:pt>
                <c:pt idx="86">
                  <c:v>0.30059999999999998</c:v>
                </c:pt>
                <c:pt idx="87">
                  <c:v>0.30649999999999999</c:v>
                </c:pt>
                <c:pt idx="88">
                  <c:v>0.31230000000000002</c:v>
                </c:pt>
                <c:pt idx="89">
                  <c:v>0.31819999999999998</c:v>
                </c:pt>
                <c:pt idx="90">
                  <c:v>#N/A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172-410F-BC47-02EBFC9CEB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553464"/>
        <c:axId val="1"/>
      </c:scatterChart>
      <c:valAx>
        <c:axId val="379553464"/>
        <c:scaling>
          <c:orientation val="minMax"/>
          <c:max val="111"/>
          <c:min val="2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1"/>
        <c:crosses val="autoZero"/>
        <c:crossBetween val="midCat"/>
      </c:valAx>
      <c:valAx>
        <c:axId val="1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#,##0.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379553464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2543786488740619E-2"/>
          <c:y val="0.90418353576248323"/>
          <c:w val="0.9241034195162634"/>
          <c:h val="9.1767881241565458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de-DE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DDat!$Q$17</c:f>
          <c:strCache>
            <c:ptCount val="1"/>
            <c:pt idx="0">
              <c:v>restliche Vertragsdauer
Frauen+Männer − λ_x: + 50,0 % − x_ω: 110 − r: 2,5 % − q_x: PKV 2017 − w_x: Sto BaFin N 2015 − K_x: Primo kompakt 2015 − x_KM: 70 − Δ_js: 8,6 % − Γ_js: 802 / 679 Euro − α^Z_x: 2 MB (ab 70 abzgl. 0,5 MB)</c:v>
            </c:pt>
          </c:strCache>
        </c:strRef>
      </c:tx>
      <c:layout>
        <c:manualLayout>
          <c:xMode val="edge"/>
          <c:yMode val="edge"/>
          <c:x val="0.12839239527941421"/>
          <c:y val="2.030439148126618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000" b="1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4.1753653444676408E-2"/>
          <c:y val="0.13367174280879865"/>
          <c:w val="0.93319415448851772"/>
          <c:h val="0.72250423011844334"/>
        </c:manualLayout>
      </c:layout>
      <c:scatterChart>
        <c:scatterStyle val="lineMarker"/>
        <c:varyColors val="0"/>
        <c:ser>
          <c:idx val="0"/>
          <c:order val="0"/>
          <c:tx>
            <c:strRef>
              <c:f>DDat!$Q$18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84AAD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DDat!$Q$20:$Q$111</c:f>
              <c:numCache>
                <c:formatCode>#,##0.00</c:formatCode>
                <c:ptCount val="92"/>
                <c:pt idx="0">
                  <c:v>13.198912431175559</c:v>
                </c:pt>
                <c:pt idx="1">
                  <c:v>14.822046852287114</c:v>
                </c:pt>
                <c:pt idx="2">
                  <c:v>16.298084508898796</c:v>
                </c:pt>
                <c:pt idx="3">
                  <c:v>17.282625516545245</c:v>
                </c:pt>
                <c:pt idx="4">
                  <c:v>18.009568232651642</c:v>
                </c:pt>
                <c:pt idx="5">
                  <c:v>18.804926386605995</c:v>
                </c:pt>
                <c:pt idx="6">
                  <c:v>19.911380894966541</c:v>
                </c:pt>
                <c:pt idx="7">
                  <c:v>21.381840711268786</c:v>
                </c:pt>
                <c:pt idx="8">
                  <c:v>22.997063926261713</c:v>
                </c:pt>
                <c:pt idx="9">
                  <c:v>24.496737695846345</c:v>
                </c:pt>
                <c:pt idx="10">
                  <c:v>25.737412744201123</c:v>
                </c:pt>
                <c:pt idx="11">
                  <c:v>26.774843557982408</c:v>
                </c:pt>
                <c:pt idx="12">
                  <c:v>27.697943290386789</c:v>
                </c:pt>
                <c:pt idx="13">
                  <c:v>28.52352287950783</c:v>
                </c:pt>
                <c:pt idx="14">
                  <c:v>29.236335822907289</c:v>
                </c:pt>
                <c:pt idx="15">
                  <c:v>29.84139565294825</c:v>
                </c:pt>
                <c:pt idx="16">
                  <c:v>30.330509249709205</c:v>
                </c:pt>
                <c:pt idx="17">
                  <c:v>30.716522864911266</c:v>
                </c:pt>
                <c:pt idx="18">
                  <c:v>30.998512316179781</c:v>
                </c:pt>
                <c:pt idx="19">
                  <c:v>31.186766042784189</c:v>
                </c:pt>
                <c:pt idx="20">
                  <c:v>31.286581772098806</c:v>
                </c:pt>
                <c:pt idx="21">
                  <c:v>31.307605922201471</c:v>
                </c:pt>
                <c:pt idx="22">
                  <c:v>31.266968366881283</c:v>
                </c:pt>
                <c:pt idx="23">
                  <c:v>31.169550557777956</c:v>
                </c:pt>
                <c:pt idx="24">
                  <c:v>31.030328526552847</c:v>
                </c:pt>
                <c:pt idx="25">
                  <c:v>30.851744225254514</c:v>
                </c:pt>
                <c:pt idx="26">
                  <c:v>30.652359874016746</c:v>
                </c:pt>
                <c:pt idx="27">
                  <c:v>30.425497306683845</c:v>
                </c:pt>
                <c:pt idx="28">
                  <c:v>30.189670091973998</c:v>
                </c:pt>
                <c:pt idx="29">
                  <c:v>29.944698617692779</c:v>
                </c:pt>
                <c:pt idx="30">
                  <c:v>29.699690889941312</c:v>
                </c:pt>
                <c:pt idx="31">
                  <c:v>29.454545434900815</c:v>
                </c:pt>
                <c:pt idx="32">
                  <c:v>29.212206705901298</c:v>
                </c:pt>
                <c:pt idx="33">
                  <c:v>28.981678515146626</c:v>
                </c:pt>
                <c:pt idx="34">
                  <c:v>28.766007516591273</c:v>
                </c:pt>
                <c:pt idx="35">
                  <c:v>28.541413250376319</c:v>
                </c:pt>
                <c:pt idx="36">
                  <c:v>28.233900246312452</c:v>
                </c:pt>
                <c:pt idx="37">
                  <c:v>27.794123899523012</c:v>
                </c:pt>
                <c:pt idx="38">
                  <c:v>27.223843473360091</c:v>
                </c:pt>
                <c:pt idx="39">
                  <c:v>26.573086286455364</c:v>
                </c:pt>
                <c:pt idx="40">
                  <c:v>25.884422471620486</c:v>
                </c:pt>
                <c:pt idx="41">
                  <c:v>25.177141889156871</c:v>
                </c:pt>
                <c:pt idx="42">
                  <c:v>24.456656441299423</c:v>
                </c:pt>
                <c:pt idx="43">
                  <c:v>23.725560159065044</c:v>
                </c:pt>
                <c:pt idx="44">
                  <c:v>22.986257618631857</c:v>
                </c:pt>
                <c:pt idx="45">
                  <c:v>22.236357551700561</c:v>
                </c:pt>
                <c:pt idx="46">
                  <c:v>21.475894805075889</c:v>
                </c:pt>
                <c:pt idx="47">
                  <c:v>20.704907809417598</c:v>
                </c:pt>
                <c:pt idx="48">
                  <c:v>19.92550324445774</c:v>
                </c:pt>
                <c:pt idx="49">
                  <c:v>19.139574607681467</c:v>
                </c:pt>
                <c:pt idx="50">
                  <c:v>18.350702475406013</c:v>
                </c:pt>
                <c:pt idx="51">
                  <c:v>17.560200804741008</c:v>
                </c:pt>
                <c:pt idx="52">
                  <c:v>16.770905856186484</c:v>
                </c:pt>
                <c:pt idx="53">
                  <c:v>15.98688403707213</c:v>
                </c:pt>
                <c:pt idx="54">
                  <c:v>15.209965547851624</c:v>
                </c:pt>
                <c:pt idx="55">
                  <c:v>14.440042197696144</c:v>
                </c:pt>
                <c:pt idx="56">
                  <c:v>13.679678768890392</c:v>
                </c:pt>
                <c:pt idx="57">
                  <c:v>12.930835390696416</c:v>
                </c:pt>
                <c:pt idx="58">
                  <c:v>12.193592760845926</c:v>
                </c:pt>
                <c:pt idx="59">
                  <c:v>11.471327560243576</c:v>
                </c:pt>
                <c:pt idx="60">
                  <c:v>10.76998208550958</c:v>
                </c:pt>
                <c:pt idx="61">
                  <c:v>10.087610397432558</c:v>
                </c:pt>
                <c:pt idx="62">
                  <c:v>9.4322598129416306</c:v>
                </c:pt>
                <c:pt idx="63">
                  <c:v>8.8005620709513011</c:v>
                </c:pt>
                <c:pt idx="64">
                  <c:v>8.1962410381888962</c:v>
                </c:pt>
                <c:pt idx="65">
                  <c:v>7.6218246498405398</c:v>
                </c:pt>
                <c:pt idx="66">
                  <c:v>7.0772152886908604</c:v>
                </c:pt>
                <c:pt idx="67">
                  <c:v>6.5639193305669217</c:v>
                </c:pt>
                <c:pt idx="68">
                  <c:v>6.0869208457168389</c:v>
                </c:pt>
                <c:pt idx="69">
                  <c:v>5.6394734568316913</c:v>
                </c:pt>
                <c:pt idx="70">
                  <c:v>5.2283475889787017</c:v>
                </c:pt>
                <c:pt idx="71">
                  <c:v>4.8548670316859583</c:v>
                </c:pt>
                <c:pt idx="72">
                  <c:v>4.509048805711938</c:v>
                </c:pt>
                <c:pt idx="73">
                  <c:v>4.1971866499261132</c:v>
                </c:pt>
                <c:pt idx="74">
                  <c:v>3.9240596505039038</c:v>
                </c:pt>
                <c:pt idx="75">
                  <c:v>3.6833349425826563</c:v>
                </c:pt>
                <c:pt idx="76">
                  <c:v>3.4826535000408558</c:v>
                </c:pt>
                <c:pt idx="77">
                  <c:v>3.3165751759959776</c:v>
                </c:pt>
                <c:pt idx="78">
                  <c:v>3.1856518921695591</c:v>
                </c:pt>
                <c:pt idx="79">
                  <c:v>3.0928453406950625</c:v>
                </c:pt>
                <c:pt idx="80">
                  <c:v>3.010961869593856</c:v>
                </c:pt>
                <c:pt idx="81">
                  <c:v>2.9223277492079265</c:v>
                </c:pt>
                <c:pt idx="82">
                  <c:v>2.8250895665174012</c:v>
                </c:pt>
                <c:pt idx="83">
                  <c:v>2.713669062221701</c:v>
                </c:pt>
                <c:pt idx="84">
                  <c:v>2.5878352102408995</c:v>
                </c:pt>
                <c:pt idx="85">
                  <c:v>2.4360641404034582</c:v>
                </c:pt>
                <c:pt idx="86">
                  <c:v>2.2454114299538541</c:v>
                </c:pt>
                <c:pt idx="87">
                  <c:v>1.9955839719099999</c:v>
                </c:pt>
                <c:pt idx="88">
                  <c:v>1.65657386</c:v>
                </c:pt>
                <c:pt idx="89">
                  <c:v>1.1818</c:v>
                </c:pt>
                <c:pt idx="90">
                  <c:v>0.5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F77-4D5A-A9A1-7BFCB75716AE}"/>
            </c:ext>
          </c:extLst>
        </c:ser>
        <c:ser>
          <c:idx val="1"/>
          <c:order val="1"/>
          <c:tx>
            <c:strRef>
              <c:f>DDat!$R$18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0703A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DDat!$R$20:$R$111</c:f>
              <c:numCache>
                <c:formatCode>#,##0.00</c:formatCode>
                <c:ptCount val="92"/>
                <c:pt idx="0">
                  <c:v>13.198912431175559</c:v>
                </c:pt>
                <c:pt idx="1">
                  <c:v>14.822046852287114</c:v>
                </c:pt>
                <c:pt idx="2">
                  <c:v>16.298084508898796</c:v>
                </c:pt>
                <c:pt idx="3">
                  <c:v>17.282625516545245</c:v>
                </c:pt>
                <c:pt idx="4">
                  <c:v>18.009568232651642</c:v>
                </c:pt>
                <c:pt idx="5">
                  <c:v>18.804926386605995</c:v>
                </c:pt>
                <c:pt idx="6">
                  <c:v>19.911380894966541</c:v>
                </c:pt>
                <c:pt idx="7">
                  <c:v>21.381840711268786</c:v>
                </c:pt>
                <c:pt idx="8">
                  <c:v>22.997063926261713</c:v>
                </c:pt>
                <c:pt idx="9">
                  <c:v>24.496737695846345</c:v>
                </c:pt>
                <c:pt idx="10">
                  <c:v>25.737412744201123</c:v>
                </c:pt>
                <c:pt idx="11">
                  <c:v>26.774843557982408</c:v>
                </c:pt>
                <c:pt idx="12">
                  <c:v>27.697943290386789</c:v>
                </c:pt>
                <c:pt idx="13">
                  <c:v>28.52352287950783</c:v>
                </c:pt>
                <c:pt idx="14">
                  <c:v>29.236335822907289</c:v>
                </c:pt>
                <c:pt idx="15">
                  <c:v>29.84139565294825</c:v>
                </c:pt>
                <c:pt idx="16">
                  <c:v>30.330509249709205</c:v>
                </c:pt>
                <c:pt idx="17">
                  <c:v>30.716522864911266</c:v>
                </c:pt>
                <c:pt idx="18">
                  <c:v>30.998512316179781</c:v>
                </c:pt>
                <c:pt idx="19">
                  <c:v>31.186766042784189</c:v>
                </c:pt>
                <c:pt idx="20">
                  <c:v>31.286581772098806</c:v>
                </c:pt>
                <c:pt idx="21">
                  <c:v>31.307605922201471</c:v>
                </c:pt>
                <c:pt idx="22">
                  <c:v>31.266968366881283</c:v>
                </c:pt>
                <c:pt idx="23">
                  <c:v>31.169550557777956</c:v>
                </c:pt>
                <c:pt idx="24">
                  <c:v>31.030328526552847</c:v>
                </c:pt>
                <c:pt idx="25">
                  <c:v>30.851744225254514</c:v>
                </c:pt>
                <c:pt idx="26">
                  <c:v>30.652359874016746</c:v>
                </c:pt>
                <c:pt idx="27">
                  <c:v>30.425497306683845</c:v>
                </c:pt>
                <c:pt idx="28">
                  <c:v>30.189670091973998</c:v>
                </c:pt>
                <c:pt idx="29">
                  <c:v>29.944698617692779</c:v>
                </c:pt>
                <c:pt idx="30">
                  <c:v>29.699690889941312</c:v>
                </c:pt>
                <c:pt idx="31">
                  <c:v>29.454545434900815</c:v>
                </c:pt>
                <c:pt idx="32">
                  <c:v>29.212206705901298</c:v>
                </c:pt>
                <c:pt idx="33">
                  <c:v>28.981678515146626</c:v>
                </c:pt>
                <c:pt idx="34">
                  <c:v>28.766007516591273</c:v>
                </c:pt>
                <c:pt idx="35">
                  <c:v>28.541413250376319</c:v>
                </c:pt>
                <c:pt idx="36">
                  <c:v>28.233900246312452</c:v>
                </c:pt>
                <c:pt idx="37">
                  <c:v>27.794123899523012</c:v>
                </c:pt>
                <c:pt idx="38">
                  <c:v>27.223843473360091</c:v>
                </c:pt>
                <c:pt idx="39">
                  <c:v>26.573086286455364</c:v>
                </c:pt>
                <c:pt idx="40">
                  <c:v>25.884422471620486</c:v>
                </c:pt>
                <c:pt idx="41">
                  <c:v>25.177141889156871</c:v>
                </c:pt>
                <c:pt idx="42">
                  <c:v>24.456656441299423</c:v>
                </c:pt>
                <c:pt idx="43">
                  <c:v>23.725560159065044</c:v>
                </c:pt>
                <c:pt idx="44">
                  <c:v>22.986257618631857</c:v>
                </c:pt>
                <c:pt idx="45">
                  <c:v>22.236357551700561</c:v>
                </c:pt>
                <c:pt idx="46">
                  <c:v>21.475894805075889</c:v>
                </c:pt>
                <c:pt idx="47">
                  <c:v>20.704907809417598</c:v>
                </c:pt>
                <c:pt idx="48">
                  <c:v>19.92550324445774</c:v>
                </c:pt>
                <c:pt idx="49">
                  <c:v>19.139574607681467</c:v>
                </c:pt>
                <c:pt idx="50">
                  <c:v>18.350702475406013</c:v>
                </c:pt>
                <c:pt idx="51">
                  <c:v>17.560200804741008</c:v>
                </c:pt>
                <c:pt idx="52">
                  <c:v>16.770905856186484</c:v>
                </c:pt>
                <c:pt idx="53">
                  <c:v>15.98688403707213</c:v>
                </c:pt>
                <c:pt idx="54">
                  <c:v>15.209965547851624</c:v>
                </c:pt>
                <c:pt idx="55">
                  <c:v>14.440042197696144</c:v>
                </c:pt>
                <c:pt idx="56">
                  <c:v>13.679678768890392</c:v>
                </c:pt>
                <c:pt idx="57">
                  <c:v>12.930835390696416</c:v>
                </c:pt>
                <c:pt idx="58">
                  <c:v>12.193592760845926</c:v>
                </c:pt>
                <c:pt idx="59">
                  <c:v>11.471327560243576</c:v>
                </c:pt>
                <c:pt idx="60">
                  <c:v>10.76998208550958</c:v>
                </c:pt>
                <c:pt idx="61">
                  <c:v>10.087610397432558</c:v>
                </c:pt>
                <c:pt idx="62">
                  <c:v>9.4322598129416306</c:v>
                </c:pt>
                <c:pt idx="63">
                  <c:v>8.8005620709513011</c:v>
                </c:pt>
                <c:pt idx="64">
                  <c:v>8.1962410381888962</c:v>
                </c:pt>
                <c:pt idx="65">
                  <c:v>7.6218246498405398</c:v>
                </c:pt>
                <c:pt idx="66">
                  <c:v>7.0772152886908604</c:v>
                </c:pt>
                <c:pt idx="67">
                  <c:v>6.5639193305669217</c:v>
                </c:pt>
                <c:pt idx="68">
                  <c:v>6.0869208457168389</c:v>
                </c:pt>
                <c:pt idx="69">
                  <c:v>5.6394734568316913</c:v>
                </c:pt>
                <c:pt idx="70">
                  <c:v>5.2283475889787017</c:v>
                </c:pt>
                <c:pt idx="71">
                  <c:v>4.8548670316859583</c:v>
                </c:pt>
                <c:pt idx="72">
                  <c:v>4.509048805711938</c:v>
                </c:pt>
                <c:pt idx="73">
                  <c:v>4.1971866499261132</c:v>
                </c:pt>
                <c:pt idx="74">
                  <c:v>3.9240596505039038</c:v>
                </c:pt>
                <c:pt idx="75">
                  <c:v>3.6833349425826563</c:v>
                </c:pt>
                <c:pt idx="76">
                  <c:v>3.4826535000408558</c:v>
                </c:pt>
                <c:pt idx="77">
                  <c:v>3.3165751759959776</c:v>
                </c:pt>
                <c:pt idx="78">
                  <c:v>3.1856518921695591</c:v>
                </c:pt>
                <c:pt idx="79">
                  <c:v>3.0928453406950625</c:v>
                </c:pt>
                <c:pt idx="80">
                  <c:v>3.010961869593856</c:v>
                </c:pt>
                <c:pt idx="81">
                  <c:v>2.9223277492079265</c:v>
                </c:pt>
                <c:pt idx="82">
                  <c:v>2.8250895665174012</c:v>
                </c:pt>
                <c:pt idx="83">
                  <c:v>2.713669062221701</c:v>
                </c:pt>
                <c:pt idx="84">
                  <c:v>2.5878352102408995</c:v>
                </c:pt>
                <c:pt idx="85">
                  <c:v>2.4360641404034582</c:v>
                </c:pt>
                <c:pt idx="86">
                  <c:v>2.2454114299538541</c:v>
                </c:pt>
                <c:pt idx="87">
                  <c:v>1.9955839719099999</c:v>
                </c:pt>
                <c:pt idx="88">
                  <c:v>1.65657386</c:v>
                </c:pt>
                <c:pt idx="89">
                  <c:v>1.1818</c:v>
                </c:pt>
                <c:pt idx="90">
                  <c:v>0.5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F77-4D5A-A9A1-7BFCB75716AE}"/>
            </c:ext>
          </c:extLst>
        </c:ser>
        <c:ser>
          <c:idx val="2"/>
          <c:order val="2"/>
          <c:tx>
            <c:strRef>
              <c:f>DDat!$S$18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A5161D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DDat!$S$20:$S$111</c:f>
              <c:numCache>
                <c:formatCode>#,##0.00</c:formatCode>
                <c:ptCount val="92"/>
                <c:pt idx="0">
                  <c:v>13.198912431175559</c:v>
                </c:pt>
                <c:pt idx="1">
                  <c:v>14.822046852287114</c:v>
                </c:pt>
                <c:pt idx="2">
                  <c:v>16.298084508898796</c:v>
                </c:pt>
                <c:pt idx="3">
                  <c:v>17.282625516545245</c:v>
                </c:pt>
                <c:pt idx="4">
                  <c:v>18.009568232651642</c:v>
                </c:pt>
                <c:pt idx="5">
                  <c:v>18.804926386605995</c:v>
                </c:pt>
                <c:pt idx="6">
                  <c:v>19.911380894966541</c:v>
                </c:pt>
                <c:pt idx="7">
                  <c:v>21.381840711268786</c:v>
                </c:pt>
                <c:pt idx="8">
                  <c:v>22.997063926261713</c:v>
                </c:pt>
                <c:pt idx="9">
                  <c:v>24.496737695846345</c:v>
                </c:pt>
                <c:pt idx="10">
                  <c:v>25.737412744201123</c:v>
                </c:pt>
                <c:pt idx="11">
                  <c:v>26.774843557982408</c:v>
                </c:pt>
                <c:pt idx="12">
                  <c:v>27.697943290386789</c:v>
                </c:pt>
                <c:pt idx="13">
                  <c:v>28.52352287950783</c:v>
                </c:pt>
                <c:pt idx="14">
                  <c:v>29.236335822907289</c:v>
                </c:pt>
                <c:pt idx="15">
                  <c:v>29.84139565294825</c:v>
                </c:pt>
                <c:pt idx="16">
                  <c:v>30.330509249709205</c:v>
                </c:pt>
                <c:pt idx="17">
                  <c:v>30.716522864911266</c:v>
                </c:pt>
                <c:pt idx="18">
                  <c:v>30.998512316179781</c:v>
                </c:pt>
                <c:pt idx="19">
                  <c:v>31.186766042784189</c:v>
                </c:pt>
                <c:pt idx="20">
                  <c:v>31.286581772098806</c:v>
                </c:pt>
                <c:pt idx="21">
                  <c:v>31.307605922201471</c:v>
                </c:pt>
                <c:pt idx="22">
                  <c:v>31.266968366881283</c:v>
                </c:pt>
                <c:pt idx="23">
                  <c:v>31.169550557777956</c:v>
                </c:pt>
                <c:pt idx="24">
                  <c:v>31.030328526552847</c:v>
                </c:pt>
                <c:pt idx="25">
                  <c:v>30.851744225254514</c:v>
                </c:pt>
                <c:pt idx="26">
                  <c:v>30.652359874016746</c:v>
                </c:pt>
                <c:pt idx="27">
                  <c:v>30.425497306683845</c:v>
                </c:pt>
                <c:pt idx="28">
                  <c:v>30.189670091973998</c:v>
                </c:pt>
                <c:pt idx="29">
                  <c:v>29.944698617692779</c:v>
                </c:pt>
                <c:pt idx="30">
                  <c:v>29.699690889941312</c:v>
                </c:pt>
                <c:pt idx="31">
                  <c:v>29.454545434900815</c:v>
                </c:pt>
                <c:pt idx="32">
                  <c:v>29.212206705901298</c:v>
                </c:pt>
                <c:pt idx="33">
                  <c:v>28.981678515146626</c:v>
                </c:pt>
                <c:pt idx="34">
                  <c:v>28.766007516591273</c:v>
                </c:pt>
                <c:pt idx="35">
                  <c:v>28.541413250376319</c:v>
                </c:pt>
                <c:pt idx="36">
                  <c:v>28.233900246312452</c:v>
                </c:pt>
                <c:pt idx="37">
                  <c:v>27.794123899523012</c:v>
                </c:pt>
                <c:pt idx="38">
                  <c:v>27.223843473360091</c:v>
                </c:pt>
                <c:pt idx="39">
                  <c:v>26.573086286455364</c:v>
                </c:pt>
                <c:pt idx="40">
                  <c:v>25.884422471620486</c:v>
                </c:pt>
                <c:pt idx="41">
                  <c:v>25.177141889156871</c:v>
                </c:pt>
                <c:pt idx="42">
                  <c:v>24.456656441299423</c:v>
                </c:pt>
                <c:pt idx="43">
                  <c:v>23.725560159065044</c:v>
                </c:pt>
                <c:pt idx="44">
                  <c:v>22.986257618631857</c:v>
                </c:pt>
                <c:pt idx="45">
                  <c:v>22.236357551700561</c:v>
                </c:pt>
                <c:pt idx="46">
                  <c:v>21.475894805075889</c:v>
                </c:pt>
                <c:pt idx="47">
                  <c:v>20.704907809417598</c:v>
                </c:pt>
                <c:pt idx="48">
                  <c:v>19.92550324445774</c:v>
                </c:pt>
                <c:pt idx="49">
                  <c:v>19.139574607681467</c:v>
                </c:pt>
                <c:pt idx="50">
                  <c:v>18.350702475406013</c:v>
                </c:pt>
                <c:pt idx="51">
                  <c:v>17.560200804741008</c:v>
                </c:pt>
                <c:pt idx="52">
                  <c:v>16.770905856186484</c:v>
                </c:pt>
                <c:pt idx="53">
                  <c:v>15.98688403707213</c:v>
                </c:pt>
                <c:pt idx="54">
                  <c:v>15.209965547851624</c:v>
                </c:pt>
                <c:pt idx="55">
                  <c:v>14.440042197696144</c:v>
                </c:pt>
                <c:pt idx="56">
                  <c:v>13.679678768890392</c:v>
                </c:pt>
                <c:pt idx="57">
                  <c:v>12.930835390696416</c:v>
                </c:pt>
                <c:pt idx="58">
                  <c:v>12.193592760845926</c:v>
                </c:pt>
                <c:pt idx="59">
                  <c:v>11.471327560243576</c:v>
                </c:pt>
                <c:pt idx="60">
                  <c:v>10.76998208550958</c:v>
                </c:pt>
                <c:pt idx="61">
                  <c:v>10.087610397432558</c:v>
                </c:pt>
                <c:pt idx="62">
                  <c:v>9.4322598129416306</c:v>
                </c:pt>
                <c:pt idx="63">
                  <c:v>8.8005620709513011</c:v>
                </c:pt>
                <c:pt idx="64">
                  <c:v>8.1962410381888962</c:v>
                </c:pt>
                <c:pt idx="65">
                  <c:v>7.6218246498405398</c:v>
                </c:pt>
                <c:pt idx="66">
                  <c:v>7.0772152886908604</c:v>
                </c:pt>
                <c:pt idx="67">
                  <c:v>6.5639193305669217</c:v>
                </c:pt>
                <c:pt idx="68">
                  <c:v>6.0869208457168389</c:v>
                </c:pt>
                <c:pt idx="69">
                  <c:v>5.6394734568316913</c:v>
                </c:pt>
                <c:pt idx="70">
                  <c:v>5.2283475889787017</c:v>
                </c:pt>
                <c:pt idx="71">
                  <c:v>4.8548670316859583</c:v>
                </c:pt>
                <c:pt idx="72">
                  <c:v>4.509048805711938</c:v>
                </c:pt>
                <c:pt idx="73">
                  <c:v>4.1971866499261132</c:v>
                </c:pt>
                <c:pt idx="74">
                  <c:v>3.9240596505039038</c:v>
                </c:pt>
                <c:pt idx="75">
                  <c:v>3.6833349425826563</c:v>
                </c:pt>
                <c:pt idx="76">
                  <c:v>3.4826535000408558</c:v>
                </c:pt>
                <c:pt idx="77">
                  <c:v>3.3165751759959776</c:v>
                </c:pt>
                <c:pt idx="78">
                  <c:v>3.1856518921695591</c:v>
                </c:pt>
                <c:pt idx="79">
                  <c:v>3.0928453406950625</c:v>
                </c:pt>
                <c:pt idx="80">
                  <c:v>3.010961869593856</c:v>
                </c:pt>
                <c:pt idx="81">
                  <c:v>2.9223277492079265</c:v>
                </c:pt>
                <c:pt idx="82">
                  <c:v>2.8250895665174012</c:v>
                </c:pt>
                <c:pt idx="83">
                  <c:v>2.713669062221701</c:v>
                </c:pt>
                <c:pt idx="84">
                  <c:v>2.5878352102408995</c:v>
                </c:pt>
                <c:pt idx="85">
                  <c:v>2.4360641404034582</c:v>
                </c:pt>
                <c:pt idx="86">
                  <c:v>2.2454114299538541</c:v>
                </c:pt>
                <c:pt idx="87">
                  <c:v>1.9955839719099999</c:v>
                </c:pt>
                <c:pt idx="88">
                  <c:v>1.65657386</c:v>
                </c:pt>
                <c:pt idx="89">
                  <c:v>1.1818</c:v>
                </c:pt>
                <c:pt idx="90">
                  <c:v>0.5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F77-4D5A-A9A1-7BFCB75716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557544"/>
        <c:axId val="1"/>
      </c:scatterChart>
      <c:valAx>
        <c:axId val="378557544"/>
        <c:scaling>
          <c:orientation val="minMax"/>
          <c:max val="111"/>
          <c:min val="2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1"/>
        <c:crosses val="autoZero"/>
        <c:crossBetween val="midCat"/>
      </c:valAx>
      <c:valAx>
        <c:axId val="1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378557544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5871559633027519E-2"/>
          <c:y val="0.90148448043184881"/>
          <c:w val="0.93244370308590474"/>
          <c:h val="9.851551956815114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de-DE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DDat!$U$17</c:f>
          <c:strCache>
            <c:ptCount val="1"/>
            <c:pt idx="0">
              <c:v>Rechnungsmäßig-Lebende
Frauen+Männer − λ_x: + 50,0 % − x_ω: 110 − r: 2,5 % − q_x: PKV 2017 − w_x: Sto BaFin N 2015 − K_x: Primo kompakt 2015 − x_KM: 70 − Δ_js: 8,6 % − Γ_js: 802 / 679 Euro − α^Z_x: 2 MB (ab 70 abzgl. 0,5 MB)</c:v>
            </c:pt>
          </c:strCache>
        </c:strRef>
      </c:tx>
      <c:layout>
        <c:manualLayout>
          <c:xMode val="edge"/>
          <c:yMode val="edge"/>
          <c:x val="0.1283923492912897"/>
          <c:y val="3.299965096218646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7.9331941544885182E-2"/>
          <c:y val="0.13367174280879865"/>
          <c:w val="0.89561586638830892"/>
          <c:h val="0.72250423011844334"/>
        </c:manualLayout>
      </c:layout>
      <c:scatterChart>
        <c:scatterStyle val="lineMarker"/>
        <c:varyColors val="0"/>
        <c:ser>
          <c:idx val="0"/>
          <c:order val="0"/>
          <c:tx>
            <c:strRef>
              <c:f>DDat!$Q$18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84AAD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DDat!$U$20:$U$111</c:f>
              <c:numCache>
                <c:formatCode>#,##0</c:formatCode>
                <c:ptCount val="92"/>
                <c:pt idx="0">
                  <c:v>5000000</c:v>
                </c:pt>
                <c:pt idx="1">
                  <c:v>4144000</c:v>
                </c:pt>
                <c:pt idx="2">
                  <c:v>3533174</c:v>
                </c:pt>
                <c:pt idx="3">
                  <c:v>3138871</c:v>
                </c:pt>
                <c:pt idx="4">
                  <c:v>2846014</c:v>
                </c:pt>
                <c:pt idx="5">
                  <c:v>2581334</c:v>
                </c:pt>
                <c:pt idx="6">
                  <c:v>2314940</c:v>
                </c:pt>
                <c:pt idx="7">
                  <c:v>2053583</c:v>
                </c:pt>
                <c:pt idx="8">
                  <c:v>1825019</c:v>
                </c:pt>
                <c:pt idx="9">
                  <c:v>1642517</c:v>
                </c:pt>
                <c:pt idx="10">
                  <c:v>1502246</c:v>
                </c:pt>
                <c:pt idx="11">
                  <c:v>1390028</c:v>
                </c:pt>
                <c:pt idx="12">
                  <c:v>1295228</c:v>
                </c:pt>
                <c:pt idx="13">
                  <c:v>1213758</c:v>
                </c:pt>
                <c:pt idx="14">
                  <c:v>1143845</c:v>
                </c:pt>
                <c:pt idx="15">
                  <c:v>1083335</c:v>
                </c:pt>
                <c:pt idx="16">
                  <c:v>1031009</c:v>
                </c:pt>
                <c:pt idx="17">
                  <c:v>985232</c:v>
                </c:pt>
                <c:pt idx="18">
                  <c:v>945133</c:v>
                </c:pt>
                <c:pt idx="19">
                  <c:v>909690</c:v>
                </c:pt>
                <c:pt idx="20">
                  <c:v>878214</c:v>
                </c:pt>
                <c:pt idx="21">
                  <c:v>850023</c:v>
                </c:pt>
                <c:pt idx="22">
                  <c:v>824352</c:v>
                </c:pt>
                <c:pt idx="23">
                  <c:v>800857</c:v>
                </c:pt>
                <c:pt idx="24">
                  <c:v>778993</c:v>
                </c:pt>
                <c:pt idx="25">
                  <c:v>758583</c:v>
                </c:pt>
                <c:pt idx="26">
                  <c:v>739087</c:v>
                </c:pt>
                <c:pt idx="27">
                  <c:v>720609</c:v>
                </c:pt>
                <c:pt idx="28">
                  <c:v>702665</c:v>
                </c:pt>
                <c:pt idx="29">
                  <c:v>685238</c:v>
                </c:pt>
                <c:pt idx="30">
                  <c:v>668107</c:v>
                </c:pt>
                <c:pt idx="31">
                  <c:v>651270</c:v>
                </c:pt>
                <c:pt idx="32">
                  <c:v>634662</c:v>
                </c:pt>
                <c:pt idx="33">
                  <c:v>618097</c:v>
                </c:pt>
                <c:pt idx="34">
                  <c:v>601532</c:v>
                </c:pt>
                <c:pt idx="35">
                  <c:v>585471</c:v>
                </c:pt>
                <c:pt idx="36">
                  <c:v>571361</c:v>
                </c:pt>
                <c:pt idx="37">
                  <c:v>560048</c:v>
                </c:pt>
                <c:pt idx="38">
                  <c:v>551367</c:v>
                </c:pt>
                <c:pt idx="39">
                  <c:v>544254</c:v>
                </c:pt>
                <c:pt idx="40">
                  <c:v>537831</c:v>
                </c:pt>
                <c:pt idx="41">
                  <c:v>531699</c:v>
                </c:pt>
                <c:pt idx="42">
                  <c:v>525743</c:v>
                </c:pt>
                <c:pt idx="43">
                  <c:v>519907</c:v>
                </c:pt>
                <c:pt idx="44">
                  <c:v>514136</c:v>
                </c:pt>
                <c:pt idx="45">
                  <c:v>508480</c:v>
                </c:pt>
                <c:pt idx="46">
                  <c:v>502937</c:v>
                </c:pt>
                <c:pt idx="47">
                  <c:v>497505</c:v>
                </c:pt>
                <c:pt idx="48">
                  <c:v>492131</c:v>
                </c:pt>
                <c:pt idx="49">
                  <c:v>486766</c:v>
                </c:pt>
                <c:pt idx="50">
                  <c:v>481314</c:v>
                </c:pt>
                <c:pt idx="51">
                  <c:v>475730</c:v>
                </c:pt>
                <c:pt idx="52">
                  <c:v>469926</c:v>
                </c:pt>
                <c:pt idx="53">
                  <c:v>463769</c:v>
                </c:pt>
                <c:pt idx="54">
                  <c:v>457183</c:v>
                </c:pt>
                <c:pt idx="55">
                  <c:v>450142</c:v>
                </c:pt>
                <c:pt idx="56">
                  <c:v>442534</c:v>
                </c:pt>
                <c:pt idx="57">
                  <c:v>434258</c:v>
                </c:pt>
                <c:pt idx="58">
                  <c:v>425268</c:v>
                </c:pt>
                <c:pt idx="59">
                  <c:v>415401</c:v>
                </c:pt>
                <c:pt idx="60">
                  <c:v>404392</c:v>
                </c:pt>
                <c:pt idx="61">
                  <c:v>392260</c:v>
                </c:pt>
                <c:pt idx="62">
                  <c:v>378648</c:v>
                </c:pt>
                <c:pt idx="63">
                  <c:v>363653</c:v>
                </c:pt>
                <c:pt idx="64">
                  <c:v>347106</c:v>
                </c:pt>
                <c:pt idx="65">
                  <c:v>328917</c:v>
                </c:pt>
                <c:pt idx="66">
                  <c:v>309149</c:v>
                </c:pt>
                <c:pt idx="67">
                  <c:v>287848</c:v>
                </c:pt>
                <c:pt idx="68">
                  <c:v>264992</c:v>
                </c:pt>
                <c:pt idx="69">
                  <c:v>241142</c:v>
                </c:pt>
                <c:pt idx="70">
                  <c:v>216352</c:v>
                </c:pt>
                <c:pt idx="71">
                  <c:v>191038</c:v>
                </c:pt>
                <c:pt idx="72">
                  <c:v>166088</c:v>
                </c:pt>
                <c:pt idx="73">
                  <c:v>141756</c:v>
                </c:pt>
                <c:pt idx="74">
                  <c:v>118465</c:v>
                </c:pt>
                <c:pt idx="75">
                  <c:v>96963</c:v>
                </c:pt>
                <c:pt idx="76">
                  <c:v>77502</c:v>
                </c:pt>
                <c:pt idx="77">
                  <c:v>60567</c:v>
                </c:pt>
                <c:pt idx="78">
                  <c:v>46285</c:v>
                </c:pt>
                <c:pt idx="79">
                  <c:v>34598</c:v>
                </c:pt>
                <c:pt idx="80">
                  <c:v>25550</c:v>
                </c:pt>
                <c:pt idx="81">
                  <c:v>18746</c:v>
                </c:pt>
                <c:pt idx="82">
                  <c:v>13656</c:v>
                </c:pt>
                <c:pt idx="83">
                  <c:v>9880</c:v>
                </c:pt>
                <c:pt idx="84">
                  <c:v>7082</c:v>
                </c:pt>
                <c:pt idx="85">
                  <c:v>5036</c:v>
                </c:pt>
                <c:pt idx="86">
                  <c:v>3551</c:v>
                </c:pt>
                <c:pt idx="87">
                  <c:v>2483</c:v>
                </c:pt>
                <c:pt idx="88">
                  <c:v>1721</c:v>
                </c:pt>
                <c:pt idx="89">
                  <c:v>1183</c:v>
                </c:pt>
                <c:pt idx="90">
                  <c:v>806</c:v>
                </c:pt>
                <c:pt idx="9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B41-4586-915E-BC550F294015}"/>
            </c:ext>
          </c:extLst>
        </c:ser>
        <c:ser>
          <c:idx val="1"/>
          <c:order val="1"/>
          <c:tx>
            <c:strRef>
              <c:f>DDat!$R$18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0703A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DDat!$V$20:$V$111</c:f>
              <c:numCache>
                <c:formatCode>#,##0</c:formatCode>
                <c:ptCount val="92"/>
                <c:pt idx="0">
                  <c:v>5000000</c:v>
                </c:pt>
                <c:pt idx="1">
                  <c:v>4144000</c:v>
                </c:pt>
                <c:pt idx="2">
                  <c:v>3533174</c:v>
                </c:pt>
                <c:pt idx="3">
                  <c:v>3138871</c:v>
                </c:pt>
                <c:pt idx="4">
                  <c:v>2846014</c:v>
                </c:pt>
                <c:pt idx="5">
                  <c:v>2581334</c:v>
                </c:pt>
                <c:pt idx="6">
                  <c:v>2314940</c:v>
                </c:pt>
                <c:pt idx="7">
                  <c:v>2053583</c:v>
                </c:pt>
                <c:pt idx="8">
                  <c:v>1825019</c:v>
                </c:pt>
                <c:pt idx="9">
                  <c:v>1642517</c:v>
                </c:pt>
                <c:pt idx="10">
                  <c:v>1502246</c:v>
                </c:pt>
                <c:pt idx="11">
                  <c:v>1390028</c:v>
                </c:pt>
                <c:pt idx="12">
                  <c:v>1295228</c:v>
                </c:pt>
                <c:pt idx="13">
                  <c:v>1213758</c:v>
                </c:pt>
                <c:pt idx="14">
                  <c:v>1143845</c:v>
                </c:pt>
                <c:pt idx="15">
                  <c:v>1083335</c:v>
                </c:pt>
                <c:pt idx="16">
                  <c:v>1031009</c:v>
                </c:pt>
                <c:pt idx="17">
                  <c:v>985232</c:v>
                </c:pt>
                <c:pt idx="18">
                  <c:v>945133</c:v>
                </c:pt>
                <c:pt idx="19">
                  <c:v>909690</c:v>
                </c:pt>
                <c:pt idx="20">
                  <c:v>878214</c:v>
                </c:pt>
                <c:pt idx="21">
                  <c:v>850023</c:v>
                </c:pt>
                <c:pt idx="22">
                  <c:v>824352</c:v>
                </c:pt>
                <c:pt idx="23">
                  <c:v>800857</c:v>
                </c:pt>
                <c:pt idx="24">
                  <c:v>778993</c:v>
                </c:pt>
                <c:pt idx="25">
                  <c:v>758583</c:v>
                </c:pt>
                <c:pt idx="26">
                  <c:v>739087</c:v>
                </c:pt>
                <c:pt idx="27">
                  <c:v>720609</c:v>
                </c:pt>
                <c:pt idx="28">
                  <c:v>702665</c:v>
                </c:pt>
                <c:pt idx="29">
                  <c:v>685238</c:v>
                </c:pt>
                <c:pt idx="30">
                  <c:v>668107</c:v>
                </c:pt>
                <c:pt idx="31">
                  <c:v>651270</c:v>
                </c:pt>
                <c:pt idx="32">
                  <c:v>634662</c:v>
                </c:pt>
                <c:pt idx="33">
                  <c:v>618097</c:v>
                </c:pt>
                <c:pt idx="34">
                  <c:v>601532</c:v>
                </c:pt>
                <c:pt idx="35">
                  <c:v>585471</c:v>
                </c:pt>
                <c:pt idx="36">
                  <c:v>571361</c:v>
                </c:pt>
                <c:pt idx="37">
                  <c:v>560048</c:v>
                </c:pt>
                <c:pt idx="38">
                  <c:v>551367</c:v>
                </c:pt>
                <c:pt idx="39">
                  <c:v>544254</c:v>
                </c:pt>
                <c:pt idx="40">
                  <c:v>537831</c:v>
                </c:pt>
                <c:pt idx="41">
                  <c:v>531699</c:v>
                </c:pt>
                <c:pt idx="42">
                  <c:v>525743</c:v>
                </c:pt>
                <c:pt idx="43">
                  <c:v>519907</c:v>
                </c:pt>
                <c:pt idx="44">
                  <c:v>514136</c:v>
                </c:pt>
                <c:pt idx="45">
                  <c:v>508480</c:v>
                </c:pt>
                <c:pt idx="46">
                  <c:v>502937</c:v>
                </c:pt>
                <c:pt idx="47">
                  <c:v>497505</c:v>
                </c:pt>
                <c:pt idx="48">
                  <c:v>492131</c:v>
                </c:pt>
                <c:pt idx="49">
                  <c:v>486766</c:v>
                </c:pt>
                <c:pt idx="50">
                  <c:v>481314</c:v>
                </c:pt>
                <c:pt idx="51">
                  <c:v>475730</c:v>
                </c:pt>
                <c:pt idx="52">
                  <c:v>469926</c:v>
                </c:pt>
                <c:pt idx="53">
                  <c:v>463769</c:v>
                </c:pt>
                <c:pt idx="54">
                  <c:v>457183</c:v>
                </c:pt>
                <c:pt idx="55">
                  <c:v>450142</c:v>
                </c:pt>
                <c:pt idx="56">
                  <c:v>442534</c:v>
                </c:pt>
                <c:pt idx="57">
                  <c:v>434258</c:v>
                </c:pt>
                <c:pt idx="58">
                  <c:v>425268</c:v>
                </c:pt>
                <c:pt idx="59">
                  <c:v>415401</c:v>
                </c:pt>
                <c:pt idx="60">
                  <c:v>404392</c:v>
                </c:pt>
                <c:pt idx="61">
                  <c:v>392260</c:v>
                </c:pt>
                <c:pt idx="62">
                  <c:v>378648</c:v>
                </c:pt>
                <c:pt idx="63">
                  <c:v>363653</c:v>
                </c:pt>
                <c:pt idx="64">
                  <c:v>347106</c:v>
                </c:pt>
                <c:pt idx="65">
                  <c:v>328917</c:v>
                </c:pt>
                <c:pt idx="66">
                  <c:v>309149</c:v>
                </c:pt>
                <c:pt idx="67">
                  <c:v>287848</c:v>
                </c:pt>
                <c:pt idx="68">
                  <c:v>264992</c:v>
                </c:pt>
                <c:pt idx="69">
                  <c:v>241142</c:v>
                </c:pt>
                <c:pt idx="70">
                  <c:v>216352</c:v>
                </c:pt>
                <c:pt idx="71">
                  <c:v>191038</c:v>
                </c:pt>
                <c:pt idx="72">
                  <c:v>166088</c:v>
                </c:pt>
                <c:pt idx="73">
                  <c:v>141756</c:v>
                </c:pt>
                <c:pt idx="74">
                  <c:v>118465</c:v>
                </c:pt>
                <c:pt idx="75">
                  <c:v>96963</c:v>
                </c:pt>
                <c:pt idx="76">
                  <c:v>77502</c:v>
                </c:pt>
                <c:pt idx="77">
                  <c:v>60567</c:v>
                </c:pt>
                <c:pt idx="78">
                  <c:v>46285</c:v>
                </c:pt>
                <c:pt idx="79">
                  <c:v>34598</c:v>
                </c:pt>
                <c:pt idx="80">
                  <c:v>25550</c:v>
                </c:pt>
                <c:pt idx="81">
                  <c:v>18746</c:v>
                </c:pt>
                <c:pt idx="82">
                  <c:v>13656</c:v>
                </c:pt>
                <c:pt idx="83">
                  <c:v>9880</c:v>
                </c:pt>
                <c:pt idx="84">
                  <c:v>7082</c:v>
                </c:pt>
                <c:pt idx="85">
                  <c:v>5036</c:v>
                </c:pt>
                <c:pt idx="86">
                  <c:v>3551</c:v>
                </c:pt>
                <c:pt idx="87">
                  <c:v>2483</c:v>
                </c:pt>
                <c:pt idx="88">
                  <c:v>1721</c:v>
                </c:pt>
                <c:pt idx="89">
                  <c:v>1183</c:v>
                </c:pt>
                <c:pt idx="90">
                  <c:v>806</c:v>
                </c:pt>
                <c:pt idx="9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B41-4586-915E-BC550F294015}"/>
            </c:ext>
          </c:extLst>
        </c:ser>
        <c:ser>
          <c:idx val="2"/>
          <c:order val="2"/>
          <c:tx>
            <c:strRef>
              <c:f>DDat!$S$18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A5161D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DDat!$W$20:$W$111</c:f>
              <c:numCache>
                <c:formatCode>#,##0</c:formatCode>
                <c:ptCount val="92"/>
                <c:pt idx="0">
                  <c:v>5000000</c:v>
                </c:pt>
                <c:pt idx="1">
                  <c:v>4144000</c:v>
                </c:pt>
                <c:pt idx="2">
                  <c:v>3533174</c:v>
                </c:pt>
                <c:pt idx="3">
                  <c:v>3138871</c:v>
                </c:pt>
                <c:pt idx="4">
                  <c:v>2846014</c:v>
                </c:pt>
                <c:pt idx="5">
                  <c:v>2581334</c:v>
                </c:pt>
                <c:pt idx="6">
                  <c:v>2314940</c:v>
                </c:pt>
                <c:pt idx="7">
                  <c:v>2053583</c:v>
                </c:pt>
                <c:pt idx="8">
                  <c:v>1825019</c:v>
                </c:pt>
                <c:pt idx="9">
                  <c:v>1642517</c:v>
                </c:pt>
                <c:pt idx="10">
                  <c:v>1502246</c:v>
                </c:pt>
                <c:pt idx="11">
                  <c:v>1390028</c:v>
                </c:pt>
                <c:pt idx="12">
                  <c:v>1295228</c:v>
                </c:pt>
                <c:pt idx="13">
                  <c:v>1213758</c:v>
                </c:pt>
                <c:pt idx="14">
                  <c:v>1143845</c:v>
                </c:pt>
                <c:pt idx="15">
                  <c:v>1083335</c:v>
                </c:pt>
                <c:pt idx="16">
                  <c:v>1031009</c:v>
                </c:pt>
                <c:pt idx="17">
                  <c:v>985232</c:v>
                </c:pt>
                <c:pt idx="18">
                  <c:v>945133</c:v>
                </c:pt>
                <c:pt idx="19">
                  <c:v>909690</c:v>
                </c:pt>
                <c:pt idx="20">
                  <c:v>878214</c:v>
                </c:pt>
                <c:pt idx="21">
                  <c:v>850023</c:v>
                </c:pt>
                <c:pt idx="22">
                  <c:v>824352</c:v>
                </c:pt>
                <c:pt idx="23">
                  <c:v>800857</c:v>
                </c:pt>
                <c:pt idx="24">
                  <c:v>778993</c:v>
                </c:pt>
                <c:pt idx="25">
                  <c:v>758583</c:v>
                </c:pt>
                <c:pt idx="26">
                  <c:v>739087</c:v>
                </c:pt>
                <c:pt idx="27">
                  <c:v>720609</c:v>
                </c:pt>
                <c:pt idx="28">
                  <c:v>702665</c:v>
                </c:pt>
                <c:pt idx="29">
                  <c:v>685238</c:v>
                </c:pt>
                <c:pt idx="30">
                  <c:v>668107</c:v>
                </c:pt>
                <c:pt idx="31">
                  <c:v>651270</c:v>
                </c:pt>
                <c:pt idx="32">
                  <c:v>634662</c:v>
                </c:pt>
                <c:pt idx="33">
                  <c:v>618097</c:v>
                </c:pt>
                <c:pt idx="34">
                  <c:v>601532</c:v>
                </c:pt>
                <c:pt idx="35">
                  <c:v>585471</c:v>
                </c:pt>
                <c:pt idx="36">
                  <c:v>571361</c:v>
                </c:pt>
                <c:pt idx="37">
                  <c:v>560048</c:v>
                </c:pt>
                <c:pt idx="38">
                  <c:v>551367</c:v>
                </c:pt>
                <c:pt idx="39">
                  <c:v>544254</c:v>
                </c:pt>
                <c:pt idx="40">
                  <c:v>537831</c:v>
                </c:pt>
                <c:pt idx="41">
                  <c:v>531699</c:v>
                </c:pt>
                <c:pt idx="42">
                  <c:v>525743</c:v>
                </c:pt>
                <c:pt idx="43">
                  <c:v>519907</c:v>
                </c:pt>
                <c:pt idx="44">
                  <c:v>514136</c:v>
                </c:pt>
                <c:pt idx="45">
                  <c:v>508480</c:v>
                </c:pt>
                <c:pt idx="46">
                  <c:v>502937</c:v>
                </c:pt>
                <c:pt idx="47">
                  <c:v>497505</c:v>
                </c:pt>
                <c:pt idx="48">
                  <c:v>492131</c:v>
                </c:pt>
                <c:pt idx="49">
                  <c:v>486766</c:v>
                </c:pt>
                <c:pt idx="50">
                  <c:v>481314</c:v>
                </c:pt>
                <c:pt idx="51">
                  <c:v>475730</c:v>
                </c:pt>
                <c:pt idx="52">
                  <c:v>469926</c:v>
                </c:pt>
                <c:pt idx="53">
                  <c:v>463769</c:v>
                </c:pt>
                <c:pt idx="54">
                  <c:v>457183</c:v>
                </c:pt>
                <c:pt idx="55">
                  <c:v>450142</c:v>
                </c:pt>
                <c:pt idx="56">
                  <c:v>442534</c:v>
                </c:pt>
                <c:pt idx="57">
                  <c:v>434258</c:v>
                </c:pt>
                <c:pt idx="58">
                  <c:v>425268</c:v>
                </c:pt>
                <c:pt idx="59">
                  <c:v>415401</c:v>
                </c:pt>
                <c:pt idx="60">
                  <c:v>404392</c:v>
                </c:pt>
                <c:pt idx="61">
                  <c:v>392260</c:v>
                </c:pt>
                <c:pt idx="62">
                  <c:v>378648</c:v>
                </c:pt>
                <c:pt idx="63">
                  <c:v>363653</c:v>
                </c:pt>
                <c:pt idx="64">
                  <c:v>347106</c:v>
                </c:pt>
                <c:pt idx="65">
                  <c:v>328917</c:v>
                </c:pt>
                <c:pt idx="66">
                  <c:v>309149</c:v>
                </c:pt>
                <c:pt idx="67">
                  <c:v>287848</c:v>
                </c:pt>
                <c:pt idx="68">
                  <c:v>264992</c:v>
                </c:pt>
                <c:pt idx="69">
                  <c:v>241142</c:v>
                </c:pt>
                <c:pt idx="70">
                  <c:v>216352</c:v>
                </c:pt>
                <c:pt idx="71">
                  <c:v>191038</c:v>
                </c:pt>
                <c:pt idx="72">
                  <c:v>166088</c:v>
                </c:pt>
                <c:pt idx="73">
                  <c:v>141756</c:v>
                </c:pt>
                <c:pt idx="74">
                  <c:v>118465</c:v>
                </c:pt>
                <c:pt idx="75">
                  <c:v>96963</c:v>
                </c:pt>
                <c:pt idx="76">
                  <c:v>77502</c:v>
                </c:pt>
                <c:pt idx="77">
                  <c:v>60567</c:v>
                </c:pt>
                <c:pt idx="78">
                  <c:v>46285</c:v>
                </c:pt>
                <c:pt idx="79">
                  <c:v>34598</c:v>
                </c:pt>
                <c:pt idx="80">
                  <c:v>25550</c:v>
                </c:pt>
                <c:pt idx="81">
                  <c:v>18746</c:v>
                </c:pt>
                <c:pt idx="82">
                  <c:v>13656</c:v>
                </c:pt>
                <c:pt idx="83">
                  <c:v>9880</c:v>
                </c:pt>
                <c:pt idx="84">
                  <c:v>7082</c:v>
                </c:pt>
                <c:pt idx="85">
                  <c:v>5036</c:v>
                </c:pt>
                <c:pt idx="86">
                  <c:v>3551</c:v>
                </c:pt>
                <c:pt idx="87">
                  <c:v>2483</c:v>
                </c:pt>
                <c:pt idx="88">
                  <c:v>1721</c:v>
                </c:pt>
                <c:pt idx="89">
                  <c:v>1183</c:v>
                </c:pt>
                <c:pt idx="90">
                  <c:v>806</c:v>
                </c:pt>
                <c:pt idx="9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B41-4586-915E-BC550F2940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551168"/>
        <c:axId val="1"/>
      </c:scatterChart>
      <c:valAx>
        <c:axId val="379551168"/>
        <c:scaling>
          <c:orientation val="minMax"/>
          <c:max val="111"/>
          <c:min val="2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1"/>
        <c:crosses val="autoZero"/>
        <c:crossBetween val="midCat"/>
      </c:valAx>
      <c:valAx>
        <c:axId val="1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379551168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2535446205170968E-2"/>
          <c:y val="0.90148448043184881"/>
          <c:w val="0.93244370308590474"/>
          <c:h val="9.851551956815114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de-DE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DDat!$Z$17</c:f>
          <c:strCache>
            <c:ptCount val="1"/>
            <c:pt idx="0">
              <c:v>normierte Kopfschäden
Frauen+Männer − λ_x: + 50,0 % − x_ω: 110 − r: 2,5 % − q_x: PKV 2017 − w_x: Sto BaFin N 2015 − K_x: Primo kompakt 2015 − x_KM: 70 − Δ_js: 8,6 % − Γ_js: 802 / 679 Euro − α^Z_x: 2 MB (ab 70 abzgl. 0,5 MB)</c:v>
            </c:pt>
          </c:strCache>
        </c:strRef>
      </c:tx>
      <c:layout>
        <c:manualLayout>
          <c:xMode val="edge"/>
          <c:yMode val="edge"/>
          <c:x val="0.12839244718710852"/>
          <c:y val="2.0304436224159592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4.5929018789144051E-2"/>
          <c:y val="0.15736040609137056"/>
          <c:w val="0.92901878914405012"/>
          <c:h val="0.69373942470389172"/>
        </c:manualLayout>
      </c:layout>
      <c:scatterChart>
        <c:scatterStyle val="lineMarker"/>
        <c:varyColors val="0"/>
        <c:ser>
          <c:idx val="0"/>
          <c:order val="0"/>
          <c:tx>
            <c:strRef>
              <c:f>DDat!$Z$18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84AAD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DDat!$Z$20:$Z$111</c:f>
              <c:numCache>
                <c:formatCode>#,##0.0000</c:formatCode>
                <c:ptCount val="92"/>
                <c:pt idx="0">
                  <c:v>0.82199999999999995</c:v>
                </c:pt>
                <c:pt idx="1">
                  <c:v>0.83099999999999996</c:v>
                </c:pt>
                <c:pt idx="2">
                  <c:v>0.84799999999999998</c:v>
                </c:pt>
                <c:pt idx="3">
                  <c:v>0.85799999999999998</c:v>
                </c:pt>
                <c:pt idx="4">
                  <c:v>0.872</c:v>
                </c:pt>
                <c:pt idx="5">
                  <c:v>0.89900000000000002</c:v>
                </c:pt>
                <c:pt idx="6">
                  <c:v>0.90900000000000003</c:v>
                </c:pt>
                <c:pt idx="7">
                  <c:v>0.89800000000000002</c:v>
                </c:pt>
                <c:pt idx="8">
                  <c:v>0.88100000000000001</c:v>
                </c:pt>
                <c:pt idx="9">
                  <c:v>0.88500000000000001</c:v>
                </c:pt>
                <c:pt idx="10">
                  <c:v>0.89400000000000002</c:v>
                </c:pt>
                <c:pt idx="11">
                  <c:v>0.89400000000000002</c:v>
                </c:pt>
                <c:pt idx="12">
                  <c:v>0.91400000000000003</c:v>
                </c:pt>
                <c:pt idx="13">
                  <c:v>0.91800000000000004</c:v>
                </c:pt>
                <c:pt idx="14">
                  <c:v>0.93300000000000005</c:v>
                </c:pt>
                <c:pt idx="15">
                  <c:v>0.94099999999999995</c:v>
                </c:pt>
                <c:pt idx="16">
                  <c:v>0.95599999999999996</c:v>
                </c:pt>
                <c:pt idx="17">
                  <c:v>0.96699999999999997</c:v>
                </c:pt>
                <c:pt idx="18">
                  <c:v>0.97899999999999998</c:v>
                </c:pt>
                <c:pt idx="19">
                  <c:v>0.99099999999999999</c:v>
                </c:pt>
                <c:pt idx="20">
                  <c:v>1</c:v>
                </c:pt>
                <c:pt idx="21">
                  <c:v>1.014</c:v>
                </c:pt>
                <c:pt idx="22">
                  <c:v>1.0309999999999999</c:v>
                </c:pt>
                <c:pt idx="23">
                  <c:v>1.0449999999999999</c:v>
                </c:pt>
                <c:pt idx="24">
                  <c:v>1.0660000000000001</c:v>
                </c:pt>
                <c:pt idx="25">
                  <c:v>1.0900000000000001</c:v>
                </c:pt>
                <c:pt idx="26">
                  <c:v>1.123</c:v>
                </c:pt>
                <c:pt idx="27">
                  <c:v>1.159</c:v>
                </c:pt>
                <c:pt idx="28">
                  <c:v>1.2010000000000001</c:v>
                </c:pt>
                <c:pt idx="29">
                  <c:v>1.248</c:v>
                </c:pt>
                <c:pt idx="30">
                  <c:v>1.298</c:v>
                </c:pt>
                <c:pt idx="31">
                  <c:v>1.355</c:v>
                </c:pt>
                <c:pt idx="32">
                  <c:v>1.415</c:v>
                </c:pt>
                <c:pt idx="33">
                  <c:v>1.4790000000000001</c:v>
                </c:pt>
                <c:pt idx="34">
                  <c:v>1.548</c:v>
                </c:pt>
                <c:pt idx="35">
                  <c:v>1.6180000000000001</c:v>
                </c:pt>
                <c:pt idx="36">
                  <c:v>1.6910000000000001</c:v>
                </c:pt>
                <c:pt idx="37">
                  <c:v>1.77</c:v>
                </c:pt>
                <c:pt idx="38">
                  <c:v>1.855</c:v>
                </c:pt>
                <c:pt idx="39">
                  <c:v>1.9450000000000001</c:v>
                </c:pt>
                <c:pt idx="40">
                  <c:v>2.0409999999999999</c:v>
                </c:pt>
                <c:pt idx="41">
                  <c:v>2.15</c:v>
                </c:pt>
                <c:pt idx="42">
                  <c:v>2.2650000000000001</c:v>
                </c:pt>
                <c:pt idx="43">
                  <c:v>2.3849999999999998</c:v>
                </c:pt>
                <c:pt idx="44">
                  <c:v>2.5129999999999999</c:v>
                </c:pt>
                <c:pt idx="45">
                  <c:v>2.65</c:v>
                </c:pt>
                <c:pt idx="46">
                  <c:v>2.7909999999999999</c:v>
                </c:pt>
                <c:pt idx="47">
                  <c:v>2.9359999999999999</c:v>
                </c:pt>
                <c:pt idx="48">
                  <c:v>3.0830000000000002</c:v>
                </c:pt>
                <c:pt idx="49">
                  <c:v>3.23</c:v>
                </c:pt>
                <c:pt idx="50">
                  <c:v>3.3809999999999998</c:v>
                </c:pt>
                <c:pt idx="51">
                  <c:v>3.5369999999999999</c:v>
                </c:pt>
                <c:pt idx="52">
                  <c:v>3.6949999999999998</c:v>
                </c:pt>
                <c:pt idx="53">
                  <c:v>3.8559999999999999</c:v>
                </c:pt>
                <c:pt idx="54">
                  <c:v>4.0190000000000001</c:v>
                </c:pt>
                <c:pt idx="55">
                  <c:v>4.181</c:v>
                </c:pt>
                <c:pt idx="56">
                  <c:v>4.3609999999999998</c:v>
                </c:pt>
                <c:pt idx="57">
                  <c:v>4.5209999999999999</c:v>
                </c:pt>
                <c:pt idx="58">
                  <c:v>4.6749999999999998</c:v>
                </c:pt>
                <c:pt idx="59">
                  <c:v>4.83</c:v>
                </c:pt>
                <c:pt idx="60">
                  <c:v>4.9580000000000002</c:v>
                </c:pt>
                <c:pt idx="61">
                  <c:v>5.0940000000000003</c:v>
                </c:pt>
                <c:pt idx="62">
                  <c:v>5.202</c:v>
                </c:pt>
                <c:pt idx="63">
                  <c:v>5.298</c:v>
                </c:pt>
                <c:pt idx="64">
                  <c:v>5.3789999999999996</c:v>
                </c:pt>
                <c:pt idx="65">
                  <c:v>5.431</c:v>
                </c:pt>
                <c:pt idx="66">
                  <c:v>5.4610000000000003</c:v>
                </c:pt>
                <c:pt idx="67">
                  <c:v>5.5049999999999999</c:v>
                </c:pt>
                <c:pt idx="68">
                  <c:v>5.5049999999999999</c:v>
                </c:pt>
                <c:pt idx="69">
                  <c:v>5.5049999999999999</c:v>
                </c:pt>
                <c:pt idx="70">
                  <c:v>5.5049999999999999</c:v>
                </c:pt>
                <c:pt idx="71">
                  <c:v>5.5049999999999999</c:v>
                </c:pt>
                <c:pt idx="72">
                  <c:v>5.5049999999999999</c:v>
                </c:pt>
                <c:pt idx="73">
                  <c:v>5.5049999999999999</c:v>
                </c:pt>
                <c:pt idx="74">
                  <c:v>5.5049999999999999</c:v>
                </c:pt>
                <c:pt idx="75">
                  <c:v>5.5049999999999999</c:v>
                </c:pt>
                <c:pt idx="76">
                  <c:v>5.5049999999999999</c:v>
                </c:pt>
                <c:pt idx="77">
                  <c:v>5.52</c:v>
                </c:pt>
                <c:pt idx="78">
                  <c:v>5.52</c:v>
                </c:pt>
                <c:pt idx="79">
                  <c:v>5.52</c:v>
                </c:pt>
                <c:pt idx="80">
                  <c:v>5.52</c:v>
                </c:pt>
                <c:pt idx="81">
                  <c:v>5.52</c:v>
                </c:pt>
                <c:pt idx="82">
                  <c:v>5.52</c:v>
                </c:pt>
                <c:pt idx="83">
                  <c:v>5.52</c:v>
                </c:pt>
                <c:pt idx="84">
                  <c:v>5.52</c:v>
                </c:pt>
                <c:pt idx="85">
                  <c:v>5.52</c:v>
                </c:pt>
                <c:pt idx="86">
                  <c:v>5.52</c:v>
                </c:pt>
                <c:pt idx="87">
                  <c:v>5.53</c:v>
                </c:pt>
                <c:pt idx="88">
                  <c:v>5.5460000000000003</c:v>
                </c:pt>
                <c:pt idx="89">
                  <c:v>5.5629999999999997</c:v>
                </c:pt>
                <c:pt idx="90">
                  <c:v>5.58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7F6-4CFF-A3C4-984CF5E3C678}"/>
            </c:ext>
          </c:extLst>
        </c:ser>
        <c:ser>
          <c:idx val="1"/>
          <c:order val="1"/>
          <c:tx>
            <c:strRef>
              <c:f>DDat!$AA$18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0703A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DDat!$AA$20:$AA$111</c:f>
              <c:numCache>
                <c:formatCode>#,##0.0000</c:formatCode>
                <c:ptCount val="92"/>
                <c:pt idx="0">
                  <c:v>0.82199999999999995</c:v>
                </c:pt>
                <c:pt idx="1">
                  <c:v>0.83099999999999996</c:v>
                </c:pt>
                <c:pt idx="2">
                  <c:v>0.84799999999999998</c:v>
                </c:pt>
                <c:pt idx="3">
                  <c:v>0.85799999999999998</c:v>
                </c:pt>
                <c:pt idx="4">
                  <c:v>0.872</c:v>
                </c:pt>
                <c:pt idx="5">
                  <c:v>0.89900000000000002</c:v>
                </c:pt>
                <c:pt idx="6">
                  <c:v>0.90900000000000003</c:v>
                </c:pt>
                <c:pt idx="7">
                  <c:v>0.89800000000000002</c:v>
                </c:pt>
                <c:pt idx="8">
                  <c:v>0.88100000000000001</c:v>
                </c:pt>
                <c:pt idx="9">
                  <c:v>0.88500000000000001</c:v>
                </c:pt>
                <c:pt idx="10">
                  <c:v>0.89400000000000002</c:v>
                </c:pt>
                <c:pt idx="11">
                  <c:v>0.89400000000000002</c:v>
                </c:pt>
                <c:pt idx="12">
                  <c:v>0.91400000000000003</c:v>
                </c:pt>
                <c:pt idx="13">
                  <c:v>0.91800000000000004</c:v>
                </c:pt>
                <c:pt idx="14">
                  <c:v>0.93300000000000005</c:v>
                </c:pt>
                <c:pt idx="15">
                  <c:v>0.94099999999999995</c:v>
                </c:pt>
                <c:pt idx="16">
                  <c:v>0.95599999999999996</c:v>
                </c:pt>
                <c:pt idx="17">
                  <c:v>0.96699999999999997</c:v>
                </c:pt>
                <c:pt idx="18">
                  <c:v>0.97899999999999998</c:v>
                </c:pt>
                <c:pt idx="19">
                  <c:v>0.99099999999999999</c:v>
                </c:pt>
                <c:pt idx="20">
                  <c:v>1</c:v>
                </c:pt>
                <c:pt idx="21">
                  <c:v>1.014</c:v>
                </c:pt>
                <c:pt idx="22">
                  <c:v>1.0309999999999999</c:v>
                </c:pt>
                <c:pt idx="23">
                  <c:v>1.0449999999999999</c:v>
                </c:pt>
                <c:pt idx="24">
                  <c:v>1.0660000000000001</c:v>
                </c:pt>
                <c:pt idx="25">
                  <c:v>1.0900000000000001</c:v>
                </c:pt>
                <c:pt idx="26">
                  <c:v>1.123</c:v>
                </c:pt>
                <c:pt idx="27">
                  <c:v>1.159</c:v>
                </c:pt>
                <c:pt idx="28">
                  <c:v>1.2010000000000001</c:v>
                </c:pt>
                <c:pt idx="29">
                  <c:v>1.248</c:v>
                </c:pt>
                <c:pt idx="30">
                  <c:v>1.298</c:v>
                </c:pt>
                <c:pt idx="31">
                  <c:v>1.355</c:v>
                </c:pt>
                <c:pt idx="32">
                  <c:v>1.415</c:v>
                </c:pt>
                <c:pt idx="33">
                  <c:v>1.4790000000000001</c:v>
                </c:pt>
                <c:pt idx="34">
                  <c:v>1.548</c:v>
                </c:pt>
                <c:pt idx="35">
                  <c:v>1.6180000000000001</c:v>
                </c:pt>
                <c:pt idx="36">
                  <c:v>1.6910000000000001</c:v>
                </c:pt>
                <c:pt idx="37">
                  <c:v>1.77</c:v>
                </c:pt>
                <c:pt idx="38">
                  <c:v>1.855</c:v>
                </c:pt>
                <c:pt idx="39">
                  <c:v>1.9450000000000001</c:v>
                </c:pt>
                <c:pt idx="40">
                  <c:v>2.0409999999999999</c:v>
                </c:pt>
                <c:pt idx="41">
                  <c:v>2.15</c:v>
                </c:pt>
                <c:pt idx="42">
                  <c:v>2.2650000000000001</c:v>
                </c:pt>
                <c:pt idx="43">
                  <c:v>2.3849999999999998</c:v>
                </c:pt>
                <c:pt idx="44">
                  <c:v>2.5129999999999999</c:v>
                </c:pt>
                <c:pt idx="45">
                  <c:v>2.65</c:v>
                </c:pt>
                <c:pt idx="46">
                  <c:v>2.7909999999999999</c:v>
                </c:pt>
                <c:pt idx="47">
                  <c:v>2.9359999999999999</c:v>
                </c:pt>
                <c:pt idx="48">
                  <c:v>3.0830000000000002</c:v>
                </c:pt>
                <c:pt idx="49">
                  <c:v>3.23</c:v>
                </c:pt>
                <c:pt idx="50">
                  <c:v>3.3809999999999998</c:v>
                </c:pt>
                <c:pt idx="51">
                  <c:v>3.5369999999999999</c:v>
                </c:pt>
                <c:pt idx="52">
                  <c:v>3.6949999999999998</c:v>
                </c:pt>
                <c:pt idx="53">
                  <c:v>3.8559999999999999</c:v>
                </c:pt>
                <c:pt idx="54">
                  <c:v>4.0190000000000001</c:v>
                </c:pt>
                <c:pt idx="55">
                  <c:v>4.181</c:v>
                </c:pt>
                <c:pt idx="56">
                  <c:v>4.3609999999999998</c:v>
                </c:pt>
                <c:pt idx="57">
                  <c:v>4.5209999999999999</c:v>
                </c:pt>
                <c:pt idx="58">
                  <c:v>4.6749999999999998</c:v>
                </c:pt>
                <c:pt idx="59">
                  <c:v>4.83</c:v>
                </c:pt>
                <c:pt idx="60">
                  <c:v>4.9580000000000002</c:v>
                </c:pt>
                <c:pt idx="61">
                  <c:v>5.0940000000000003</c:v>
                </c:pt>
                <c:pt idx="62">
                  <c:v>5.202</c:v>
                </c:pt>
                <c:pt idx="63">
                  <c:v>5.298</c:v>
                </c:pt>
                <c:pt idx="64">
                  <c:v>5.3789999999999996</c:v>
                </c:pt>
                <c:pt idx="65">
                  <c:v>5.431</c:v>
                </c:pt>
                <c:pt idx="66">
                  <c:v>5.4610000000000003</c:v>
                </c:pt>
                <c:pt idx="67">
                  <c:v>5.5049999999999999</c:v>
                </c:pt>
                <c:pt idx="68">
                  <c:v>5.5049999999999999</c:v>
                </c:pt>
                <c:pt idx="69">
                  <c:v>5.5049999999999999</c:v>
                </c:pt>
                <c:pt idx="70">
                  <c:v>5.5049999999999999</c:v>
                </c:pt>
                <c:pt idx="71">
                  <c:v>5.5049999999999999</c:v>
                </c:pt>
                <c:pt idx="72">
                  <c:v>5.5049999999999999</c:v>
                </c:pt>
                <c:pt idx="73">
                  <c:v>5.5049999999999999</c:v>
                </c:pt>
                <c:pt idx="74">
                  <c:v>5.5049999999999999</c:v>
                </c:pt>
                <c:pt idx="75">
                  <c:v>5.5049999999999999</c:v>
                </c:pt>
                <c:pt idx="76">
                  <c:v>5.5049999999999999</c:v>
                </c:pt>
                <c:pt idx="77">
                  <c:v>5.52</c:v>
                </c:pt>
                <c:pt idx="78">
                  <c:v>5.52</c:v>
                </c:pt>
                <c:pt idx="79">
                  <c:v>5.52</c:v>
                </c:pt>
                <c:pt idx="80">
                  <c:v>5.52</c:v>
                </c:pt>
                <c:pt idx="81">
                  <c:v>5.52</c:v>
                </c:pt>
                <c:pt idx="82">
                  <c:v>5.52</c:v>
                </c:pt>
                <c:pt idx="83">
                  <c:v>5.52</c:v>
                </c:pt>
                <c:pt idx="84">
                  <c:v>5.52</c:v>
                </c:pt>
                <c:pt idx="85">
                  <c:v>5.52</c:v>
                </c:pt>
                <c:pt idx="86">
                  <c:v>5.52</c:v>
                </c:pt>
                <c:pt idx="87">
                  <c:v>5.53</c:v>
                </c:pt>
                <c:pt idx="88">
                  <c:v>5.5460000000000003</c:v>
                </c:pt>
                <c:pt idx="89">
                  <c:v>5.5629999999999997</c:v>
                </c:pt>
                <c:pt idx="90">
                  <c:v>5.58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7F6-4CFF-A3C4-984CF5E3C678}"/>
            </c:ext>
          </c:extLst>
        </c:ser>
        <c:ser>
          <c:idx val="2"/>
          <c:order val="2"/>
          <c:tx>
            <c:strRef>
              <c:f>DDat!$AB$18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A5161D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DDat!$AB$20:$AB$111</c:f>
              <c:numCache>
                <c:formatCode>#,##0.0000</c:formatCode>
                <c:ptCount val="92"/>
                <c:pt idx="0">
                  <c:v>0.82199999999999995</c:v>
                </c:pt>
                <c:pt idx="1">
                  <c:v>0.83099999999999996</c:v>
                </c:pt>
                <c:pt idx="2">
                  <c:v>0.84799999999999998</c:v>
                </c:pt>
                <c:pt idx="3">
                  <c:v>0.85799999999999998</c:v>
                </c:pt>
                <c:pt idx="4">
                  <c:v>0.872</c:v>
                </c:pt>
                <c:pt idx="5">
                  <c:v>0.89900000000000002</c:v>
                </c:pt>
                <c:pt idx="6">
                  <c:v>0.90900000000000003</c:v>
                </c:pt>
                <c:pt idx="7">
                  <c:v>0.89800000000000002</c:v>
                </c:pt>
                <c:pt idx="8">
                  <c:v>0.88100000000000001</c:v>
                </c:pt>
                <c:pt idx="9">
                  <c:v>0.88500000000000001</c:v>
                </c:pt>
                <c:pt idx="10">
                  <c:v>0.89400000000000002</c:v>
                </c:pt>
                <c:pt idx="11">
                  <c:v>0.89400000000000002</c:v>
                </c:pt>
                <c:pt idx="12">
                  <c:v>0.91400000000000003</c:v>
                </c:pt>
                <c:pt idx="13">
                  <c:v>0.91800000000000004</c:v>
                </c:pt>
                <c:pt idx="14">
                  <c:v>0.93300000000000005</c:v>
                </c:pt>
                <c:pt idx="15">
                  <c:v>0.94099999999999995</c:v>
                </c:pt>
                <c:pt idx="16">
                  <c:v>0.95599999999999996</c:v>
                </c:pt>
                <c:pt idx="17">
                  <c:v>0.96699999999999997</c:v>
                </c:pt>
                <c:pt idx="18">
                  <c:v>0.97899999999999998</c:v>
                </c:pt>
                <c:pt idx="19">
                  <c:v>0.99099999999999999</c:v>
                </c:pt>
                <c:pt idx="20">
                  <c:v>1</c:v>
                </c:pt>
                <c:pt idx="21">
                  <c:v>1.014</c:v>
                </c:pt>
                <c:pt idx="22">
                  <c:v>1.0309999999999999</c:v>
                </c:pt>
                <c:pt idx="23">
                  <c:v>1.0449999999999999</c:v>
                </c:pt>
                <c:pt idx="24">
                  <c:v>1.0660000000000001</c:v>
                </c:pt>
                <c:pt idx="25">
                  <c:v>1.0900000000000001</c:v>
                </c:pt>
                <c:pt idx="26">
                  <c:v>1.123</c:v>
                </c:pt>
                <c:pt idx="27">
                  <c:v>1.159</c:v>
                </c:pt>
                <c:pt idx="28">
                  <c:v>1.2010000000000001</c:v>
                </c:pt>
                <c:pt idx="29">
                  <c:v>1.248</c:v>
                </c:pt>
                <c:pt idx="30">
                  <c:v>1.298</c:v>
                </c:pt>
                <c:pt idx="31">
                  <c:v>1.355</c:v>
                </c:pt>
                <c:pt idx="32">
                  <c:v>1.415</c:v>
                </c:pt>
                <c:pt idx="33">
                  <c:v>1.4790000000000001</c:v>
                </c:pt>
                <c:pt idx="34">
                  <c:v>1.548</c:v>
                </c:pt>
                <c:pt idx="35">
                  <c:v>1.6180000000000001</c:v>
                </c:pt>
                <c:pt idx="36">
                  <c:v>1.6910000000000001</c:v>
                </c:pt>
                <c:pt idx="37">
                  <c:v>1.77</c:v>
                </c:pt>
                <c:pt idx="38">
                  <c:v>1.855</c:v>
                </c:pt>
                <c:pt idx="39">
                  <c:v>1.9450000000000001</c:v>
                </c:pt>
                <c:pt idx="40">
                  <c:v>2.0409999999999999</c:v>
                </c:pt>
                <c:pt idx="41">
                  <c:v>2.15</c:v>
                </c:pt>
                <c:pt idx="42">
                  <c:v>2.2650000000000001</c:v>
                </c:pt>
                <c:pt idx="43">
                  <c:v>2.3849999999999998</c:v>
                </c:pt>
                <c:pt idx="44">
                  <c:v>2.5129999999999999</c:v>
                </c:pt>
                <c:pt idx="45">
                  <c:v>2.65</c:v>
                </c:pt>
                <c:pt idx="46">
                  <c:v>2.7909999999999999</c:v>
                </c:pt>
                <c:pt idx="47">
                  <c:v>2.9359999999999999</c:v>
                </c:pt>
                <c:pt idx="48">
                  <c:v>3.0830000000000002</c:v>
                </c:pt>
                <c:pt idx="49">
                  <c:v>3.23</c:v>
                </c:pt>
                <c:pt idx="50">
                  <c:v>3.3809999999999998</c:v>
                </c:pt>
                <c:pt idx="51">
                  <c:v>3.5369999999999999</c:v>
                </c:pt>
                <c:pt idx="52">
                  <c:v>3.6949999999999998</c:v>
                </c:pt>
                <c:pt idx="53">
                  <c:v>3.8559999999999999</c:v>
                </c:pt>
                <c:pt idx="54">
                  <c:v>4.0190000000000001</c:v>
                </c:pt>
                <c:pt idx="55">
                  <c:v>4.181</c:v>
                </c:pt>
                <c:pt idx="56">
                  <c:v>4.3609999999999998</c:v>
                </c:pt>
                <c:pt idx="57">
                  <c:v>4.5209999999999999</c:v>
                </c:pt>
                <c:pt idx="58">
                  <c:v>4.6749999999999998</c:v>
                </c:pt>
                <c:pt idx="59">
                  <c:v>4.83</c:v>
                </c:pt>
                <c:pt idx="60">
                  <c:v>4.9580000000000002</c:v>
                </c:pt>
                <c:pt idx="61">
                  <c:v>5.0940000000000003</c:v>
                </c:pt>
                <c:pt idx="62">
                  <c:v>5.202</c:v>
                </c:pt>
                <c:pt idx="63">
                  <c:v>5.298</c:v>
                </c:pt>
                <c:pt idx="64">
                  <c:v>5.3789999999999996</c:v>
                </c:pt>
                <c:pt idx="65">
                  <c:v>5.431</c:v>
                </c:pt>
                <c:pt idx="66">
                  <c:v>5.4610000000000003</c:v>
                </c:pt>
                <c:pt idx="67">
                  <c:v>5.5049999999999999</c:v>
                </c:pt>
                <c:pt idx="68">
                  <c:v>5.5049999999999999</c:v>
                </c:pt>
                <c:pt idx="69">
                  <c:v>5.5049999999999999</c:v>
                </c:pt>
                <c:pt idx="70">
                  <c:v>5.5049999999999999</c:v>
                </c:pt>
                <c:pt idx="71">
                  <c:v>5.5049999999999999</c:v>
                </c:pt>
                <c:pt idx="72">
                  <c:v>5.5049999999999999</c:v>
                </c:pt>
                <c:pt idx="73">
                  <c:v>5.5049999999999999</c:v>
                </c:pt>
                <c:pt idx="74">
                  <c:v>5.5049999999999999</c:v>
                </c:pt>
                <c:pt idx="75">
                  <c:v>5.5049999999999999</c:v>
                </c:pt>
                <c:pt idx="76">
                  <c:v>5.5049999999999999</c:v>
                </c:pt>
                <c:pt idx="77">
                  <c:v>5.52</c:v>
                </c:pt>
                <c:pt idx="78">
                  <c:v>5.52</c:v>
                </c:pt>
                <c:pt idx="79">
                  <c:v>5.52</c:v>
                </c:pt>
                <c:pt idx="80">
                  <c:v>5.52</c:v>
                </c:pt>
                <c:pt idx="81">
                  <c:v>5.52</c:v>
                </c:pt>
                <c:pt idx="82">
                  <c:v>5.52</c:v>
                </c:pt>
                <c:pt idx="83">
                  <c:v>5.52</c:v>
                </c:pt>
                <c:pt idx="84">
                  <c:v>5.52</c:v>
                </c:pt>
                <c:pt idx="85">
                  <c:v>5.52</c:v>
                </c:pt>
                <c:pt idx="86">
                  <c:v>5.52</c:v>
                </c:pt>
                <c:pt idx="87">
                  <c:v>5.53</c:v>
                </c:pt>
                <c:pt idx="88">
                  <c:v>5.5460000000000003</c:v>
                </c:pt>
                <c:pt idx="89">
                  <c:v>5.5629999999999997</c:v>
                </c:pt>
                <c:pt idx="90">
                  <c:v>5.58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7F6-4CFF-A3C4-984CF5E3C678}"/>
            </c:ext>
          </c:extLst>
        </c:ser>
        <c:ser>
          <c:idx val="3"/>
          <c:order val="3"/>
          <c:tx>
            <c:strRef>
              <c:f>DDat!$Z$122</c:f>
              <c:strCache>
                <c:ptCount val="1"/>
                <c:pt idx="0">
                  <c:v>p_35</c:v>
                </c:pt>
              </c:strCache>
            </c:strRef>
          </c:tx>
          <c:spPr>
            <a:ln w="12700">
              <a:solidFill>
                <a:srgbClr val="084AAD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84AAD"/>
                      </a:solidFill>
                      <a:latin typeface="Times New Roman"/>
                      <a:ea typeface="Times New Roman"/>
                      <a:cs typeface="Times New Roman"/>
                    </a:defRPr>
                  </a:pPr>
                  <a:endParaRPr lang="de-DE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7F6-4CFF-A3C4-984CF5E3C678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DDat!$Y$123:$Y$124</c:f>
              <c:numCache>
                <c:formatCode>General</c:formatCode>
                <c:ptCount val="2"/>
                <c:pt idx="0">
                  <c:v>20</c:v>
                </c:pt>
                <c:pt idx="1">
                  <c:v>110</c:v>
                </c:pt>
              </c:numCache>
            </c:numRef>
          </c:xVal>
          <c:yVal>
            <c:numRef>
              <c:f>DDat!$Z$123:$Z$124</c:f>
              <c:numCache>
                <c:formatCode>#,##0.0000</c:formatCode>
                <c:ptCount val="2"/>
                <c:pt idx="0">
                  <c:v>1.8541000000000001</c:v>
                </c:pt>
                <c:pt idx="1">
                  <c:v>1.8541000000000001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7F6-4CFF-A3C4-984CF5E3C678}"/>
            </c:ext>
          </c:extLst>
        </c:ser>
        <c:ser>
          <c:idx val="4"/>
          <c:order val="4"/>
          <c:tx>
            <c:strRef>
              <c:f>DDat!$AA$126</c:f>
              <c:strCache>
                <c:ptCount val="1"/>
                <c:pt idx="0">
                  <c:v>p_35</c:v>
                </c:pt>
              </c:strCache>
            </c:strRef>
          </c:tx>
          <c:spPr>
            <a:ln w="12700">
              <a:solidFill>
                <a:srgbClr val="00703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703A"/>
                      </a:solidFill>
                      <a:latin typeface="Times New Roman"/>
                      <a:ea typeface="Times New Roman"/>
                      <a:cs typeface="Times New Roman"/>
                    </a:defRPr>
                  </a:pPr>
                  <a:endParaRPr lang="de-DE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7F6-4CFF-A3C4-984CF5E3C678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DDat!$Z$127:$Z$128</c:f>
              <c:numCache>
                <c:formatCode>General</c:formatCode>
                <c:ptCount val="2"/>
                <c:pt idx="0">
                  <c:v>20</c:v>
                </c:pt>
                <c:pt idx="1">
                  <c:v>110</c:v>
                </c:pt>
              </c:numCache>
            </c:numRef>
          </c:xVal>
          <c:yVal>
            <c:numRef>
              <c:f>DDat!$AA$127:$AA$128</c:f>
              <c:numCache>
                <c:formatCode>#,##0.0000</c:formatCode>
                <c:ptCount val="2"/>
                <c:pt idx="0">
                  <c:v>1.8541000000000001</c:v>
                </c:pt>
                <c:pt idx="1">
                  <c:v>1.8541000000000001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7F6-4CFF-A3C4-984CF5E3C678}"/>
            </c:ext>
          </c:extLst>
        </c:ser>
        <c:ser>
          <c:idx val="5"/>
          <c:order val="5"/>
          <c:tx>
            <c:strRef>
              <c:f>DDat!$AB$130</c:f>
              <c:strCache>
                <c:ptCount val="1"/>
                <c:pt idx="0">
                  <c:v>p_35</c:v>
                </c:pt>
              </c:strCache>
            </c:strRef>
          </c:tx>
          <c:spPr>
            <a:ln w="12700">
              <a:solidFill>
                <a:srgbClr val="A5161D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A5161D"/>
                      </a:solidFill>
                      <a:latin typeface="Times New Roman"/>
                      <a:ea typeface="Times New Roman"/>
                      <a:cs typeface="Times New Roman"/>
                    </a:defRPr>
                  </a:pPr>
                  <a:endParaRPr lang="de-DE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7F6-4CFF-A3C4-984CF5E3C678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DDat!$AA$131:$AA$132</c:f>
              <c:numCache>
                <c:formatCode>General</c:formatCode>
                <c:ptCount val="2"/>
                <c:pt idx="0">
                  <c:v>20</c:v>
                </c:pt>
                <c:pt idx="1">
                  <c:v>110</c:v>
                </c:pt>
              </c:numCache>
            </c:numRef>
          </c:xVal>
          <c:yVal>
            <c:numRef>
              <c:f>DDat!$AB$131:$AB$132</c:f>
              <c:numCache>
                <c:formatCode>#,##0.0000</c:formatCode>
                <c:ptCount val="2"/>
                <c:pt idx="0">
                  <c:v>1.8541000000000001</c:v>
                </c:pt>
                <c:pt idx="1">
                  <c:v>1.8541000000000001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57F6-4CFF-A3C4-984CF5E3C6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546576"/>
        <c:axId val="1"/>
      </c:scatterChart>
      <c:valAx>
        <c:axId val="379546576"/>
        <c:scaling>
          <c:orientation val="minMax"/>
          <c:max val="111"/>
          <c:min val="2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#,##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379546576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5.8381984987489567E-2"/>
          <c:y val="0.90688259109311742"/>
          <c:w val="0.93244370308590474"/>
          <c:h val="9.1767881241565458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de-DE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DDat!$AD$17</c:f>
          <c:strCache>
            <c:ptCount val="1"/>
            <c:pt idx="0">
              <c:v>Kopfschäden
Frauen+Männer − λ_x: + 50,0 % − x_ω: 110 − r: 2,5 % − q_x: PKV 2017 − w_x: Sto BaFin N 2015 − K_x: Primo kompakt 2015 − x_KM: 70 − Δ_js: 8,6 % − Γ_js: 802 / 679 Euro − α^Z_x: 2 MB (ab 70 abzgl. 0,5 MB)</c:v>
            </c:pt>
          </c:strCache>
        </c:strRef>
      </c:tx>
      <c:layout>
        <c:manualLayout>
          <c:xMode val="edge"/>
          <c:yMode val="edge"/>
          <c:x val="0.12839239527941421"/>
          <c:y val="2.030439148126618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7.0981210855949897E-2"/>
          <c:y val="0.15736040609137056"/>
          <c:w val="0.90396659707724425"/>
          <c:h val="0.69543147208121825"/>
        </c:manualLayout>
      </c:layout>
      <c:scatterChart>
        <c:scatterStyle val="lineMarker"/>
        <c:varyColors val="0"/>
        <c:ser>
          <c:idx val="0"/>
          <c:order val="0"/>
          <c:tx>
            <c:strRef>
              <c:f>DDat!$AD$18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84AAD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DDat!$AD$20:$AD$111</c:f>
              <c:numCache>
                <c:formatCode>#,##0</c:formatCode>
                <c:ptCount val="92"/>
                <c:pt idx="0">
                  <c:v>1707.9433799999999</c:v>
                </c:pt>
                <c:pt idx="1">
                  <c:v>1726.6434899999999</c:v>
                </c:pt>
                <c:pt idx="2">
                  <c:v>1761.9659199999999</c:v>
                </c:pt>
                <c:pt idx="3">
                  <c:v>1782.7438199999999</c:v>
                </c:pt>
                <c:pt idx="4">
                  <c:v>1811.8328799999999</c:v>
                </c:pt>
                <c:pt idx="5">
                  <c:v>1867.9332099999999</c:v>
                </c:pt>
                <c:pt idx="6">
                  <c:v>1888.71111</c:v>
                </c:pt>
                <c:pt idx="7">
                  <c:v>1865.8554200000001</c:v>
                </c:pt>
                <c:pt idx="8">
                  <c:v>1830.5329899999999</c:v>
                </c:pt>
                <c:pt idx="9">
                  <c:v>1838.8441499999999</c:v>
                </c:pt>
                <c:pt idx="10">
                  <c:v>1857.5442599999999</c:v>
                </c:pt>
                <c:pt idx="11">
                  <c:v>1857.5442599999999</c:v>
                </c:pt>
                <c:pt idx="12">
                  <c:v>1899.10006</c:v>
                </c:pt>
                <c:pt idx="13">
                  <c:v>1907.41122</c:v>
                </c:pt>
                <c:pt idx="14">
                  <c:v>1938.57807</c:v>
                </c:pt>
                <c:pt idx="15">
                  <c:v>1955.20039</c:v>
                </c:pt>
                <c:pt idx="16">
                  <c:v>1986.3672399999998</c:v>
                </c:pt>
                <c:pt idx="17">
                  <c:v>2009.2229299999999</c:v>
                </c:pt>
                <c:pt idx="18">
                  <c:v>2034.1564099999998</c:v>
                </c:pt>
                <c:pt idx="19">
                  <c:v>2059.0898899999997</c:v>
                </c:pt>
                <c:pt idx="20">
                  <c:v>2077.79</c:v>
                </c:pt>
                <c:pt idx="21">
                  <c:v>2106.8790600000002</c:v>
                </c:pt>
                <c:pt idx="22">
                  <c:v>2142.2014899999999</c:v>
                </c:pt>
                <c:pt idx="23">
                  <c:v>2171.2905499999997</c:v>
                </c:pt>
                <c:pt idx="24">
                  <c:v>2214.9241400000001</c:v>
                </c:pt>
                <c:pt idx="25">
                  <c:v>2264.7910999999999</c:v>
                </c:pt>
                <c:pt idx="26">
                  <c:v>2333.35817</c:v>
                </c:pt>
                <c:pt idx="27">
                  <c:v>2408.15861</c:v>
                </c:pt>
                <c:pt idx="28">
                  <c:v>2495.4257900000002</c:v>
                </c:pt>
                <c:pt idx="29">
                  <c:v>2593.0819200000001</c:v>
                </c:pt>
                <c:pt idx="30">
                  <c:v>2696.9714199999999</c:v>
                </c:pt>
                <c:pt idx="31">
                  <c:v>2815.4054499999997</c:v>
                </c:pt>
                <c:pt idx="32">
                  <c:v>2940.07285</c:v>
                </c:pt>
                <c:pt idx="33">
                  <c:v>3073.05141</c:v>
                </c:pt>
                <c:pt idx="34">
                  <c:v>3216.4189200000001</c:v>
                </c:pt>
                <c:pt idx="35">
                  <c:v>3361.8642199999999</c:v>
                </c:pt>
                <c:pt idx="36">
                  <c:v>3513.5428900000002</c:v>
                </c:pt>
                <c:pt idx="37">
                  <c:v>3677.6882999999998</c:v>
                </c:pt>
                <c:pt idx="38">
                  <c:v>3854.3004499999997</c:v>
                </c:pt>
                <c:pt idx="39">
                  <c:v>4041.3015500000001</c:v>
                </c:pt>
                <c:pt idx="40">
                  <c:v>4240.7693899999995</c:v>
                </c:pt>
                <c:pt idx="41">
                  <c:v>4467.2484999999997</c:v>
                </c:pt>
                <c:pt idx="42">
                  <c:v>4706.1943499999998</c:v>
                </c:pt>
                <c:pt idx="43">
                  <c:v>4955.5291499999994</c:v>
                </c:pt>
                <c:pt idx="44">
                  <c:v>5221.4862699999994</c:v>
                </c:pt>
                <c:pt idx="45">
                  <c:v>5506.1435000000001</c:v>
                </c:pt>
                <c:pt idx="46">
                  <c:v>5799.1118900000001</c:v>
                </c:pt>
                <c:pt idx="47">
                  <c:v>6100.3914399999994</c:v>
                </c:pt>
                <c:pt idx="48">
                  <c:v>6405.8265700000002</c:v>
                </c:pt>
                <c:pt idx="49">
                  <c:v>6711.2617</c:v>
                </c:pt>
                <c:pt idx="50">
                  <c:v>7025.0079899999992</c:v>
                </c:pt>
                <c:pt idx="51">
                  <c:v>7349.1432299999997</c:v>
                </c:pt>
                <c:pt idx="52">
                  <c:v>7677.4340499999998</c:v>
                </c:pt>
                <c:pt idx="53">
                  <c:v>8011.9582399999999</c:v>
                </c:pt>
                <c:pt idx="54">
                  <c:v>8350.6380100000006</c:v>
                </c:pt>
                <c:pt idx="55">
                  <c:v>8687.23999</c:v>
                </c:pt>
                <c:pt idx="56">
                  <c:v>9061.242189999999</c:v>
                </c:pt>
                <c:pt idx="57">
                  <c:v>9393.6885899999997</c:v>
                </c:pt>
                <c:pt idx="58">
                  <c:v>9713.6682499999988</c:v>
                </c:pt>
                <c:pt idx="59">
                  <c:v>10035.725700000001</c:v>
                </c:pt>
                <c:pt idx="60">
                  <c:v>10301.68282</c:v>
                </c:pt>
                <c:pt idx="61">
                  <c:v>10584.262260000001</c:v>
                </c:pt>
                <c:pt idx="62">
                  <c:v>10808.66358</c:v>
                </c:pt>
                <c:pt idx="63">
                  <c:v>11008.13142</c:v>
                </c:pt>
                <c:pt idx="64">
                  <c:v>11176.432409999999</c:v>
                </c:pt>
                <c:pt idx="65">
                  <c:v>11284.477489999999</c:v>
                </c:pt>
                <c:pt idx="66">
                  <c:v>11346.81119</c:v>
                </c:pt>
                <c:pt idx="67">
                  <c:v>11438.23395</c:v>
                </c:pt>
                <c:pt idx="68">
                  <c:v>11438.23395</c:v>
                </c:pt>
                <c:pt idx="69">
                  <c:v>11438.23395</c:v>
                </c:pt>
                <c:pt idx="70">
                  <c:v>11438.23395</c:v>
                </c:pt>
                <c:pt idx="71">
                  <c:v>11438.23395</c:v>
                </c:pt>
                <c:pt idx="72">
                  <c:v>11438.23395</c:v>
                </c:pt>
                <c:pt idx="73">
                  <c:v>11438.23395</c:v>
                </c:pt>
                <c:pt idx="74">
                  <c:v>11438.23395</c:v>
                </c:pt>
                <c:pt idx="75">
                  <c:v>11438.23395</c:v>
                </c:pt>
                <c:pt idx="76">
                  <c:v>11438.23395</c:v>
                </c:pt>
                <c:pt idx="77">
                  <c:v>11469.400799999999</c:v>
                </c:pt>
                <c:pt idx="78">
                  <c:v>11469.400799999999</c:v>
                </c:pt>
                <c:pt idx="79">
                  <c:v>11469.400799999999</c:v>
                </c:pt>
                <c:pt idx="80">
                  <c:v>11469.400799999999</c:v>
                </c:pt>
                <c:pt idx="81">
                  <c:v>11469.400799999999</c:v>
                </c:pt>
                <c:pt idx="82">
                  <c:v>11469.400799999999</c:v>
                </c:pt>
                <c:pt idx="83">
                  <c:v>11469.400799999999</c:v>
                </c:pt>
                <c:pt idx="84">
                  <c:v>11469.400799999999</c:v>
                </c:pt>
                <c:pt idx="85">
                  <c:v>11469.400799999999</c:v>
                </c:pt>
                <c:pt idx="86">
                  <c:v>11469.400799999999</c:v>
                </c:pt>
                <c:pt idx="87">
                  <c:v>11490.1787</c:v>
                </c:pt>
                <c:pt idx="88">
                  <c:v>11523.423340000001</c:v>
                </c:pt>
                <c:pt idx="89">
                  <c:v>11558.74577</c:v>
                </c:pt>
                <c:pt idx="90">
                  <c:v>11594.0682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F3B-43A9-835D-75E077AA1FCA}"/>
            </c:ext>
          </c:extLst>
        </c:ser>
        <c:ser>
          <c:idx val="1"/>
          <c:order val="1"/>
          <c:tx>
            <c:strRef>
              <c:f>DDat!$AE$18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0703A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DDat!$AE$20:$AE$111</c:f>
              <c:numCache>
                <c:formatCode>#,##0</c:formatCode>
                <c:ptCount val="92"/>
                <c:pt idx="0">
                  <c:v>1707.9433799999999</c:v>
                </c:pt>
                <c:pt idx="1">
                  <c:v>1726.6434899999999</c:v>
                </c:pt>
                <c:pt idx="2">
                  <c:v>1761.9659199999999</c:v>
                </c:pt>
                <c:pt idx="3">
                  <c:v>1782.7438199999999</c:v>
                </c:pt>
                <c:pt idx="4">
                  <c:v>1811.8328799999999</c:v>
                </c:pt>
                <c:pt idx="5">
                  <c:v>1867.9332099999999</c:v>
                </c:pt>
                <c:pt idx="6">
                  <c:v>1888.71111</c:v>
                </c:pt>
                <c:pt idx="7">
                  <c:v>1865.8554200000001</c:v>
                </c:pt>
                <c:pt idx="8">
                  <c:v>1830.5329899999999</c:v>
                </c:pt>
                <c:pt idx="9">
                  <c:v>1838.8441499999999</c:v>
                </c:pt>
                <c:pt idx="10">
                  <c:v>1857.5442599999999</c:v>
                </c:pt>
                <c:pt idx="11">
                  <c:v>1857.5442599999999</c:v>
                </c:pt>
                <c:pt idx="12">
                  <c:v>1899.10006</c:v>
                </c:pt>
                <c:pt idx="13">
                  <c:v>1907.41122</c:v>
                </c:pt>
                <c:pt idx="14">
                  <c:v>1938.57807</c:v>
                </c:pt>
                <c:pt idx="15">
                  <c:v>1955.20039</c:v>
                </c:pt>
                <c:pt idx="16">
                  <c:v>1986.3672399999998</c:v>
                </c:pt>
                <c:pt idx="17">
                  <c:v>2009.2229299999999</c:v>
                </c:pt>
                <c:pt idx="18">
                  <c:v>2034.1564099999998</c:v>
                </c:pt>
                <c:pt idx="19">
                  <c:v>2059.0898899999997</c:v>
                </c:pt>
                <c:pt idx="20">
                  <c:v>2077.79</c:v>
                </c:pt>
                <c:pt idx="21">
                  <c:v>2106.8790600000002</c:v>
                </c:pt>
                <c:pt idx="22">
                  <c:v>2142.2014899999999</c:v>
                </c:pt>
                <c:pt idx="23">
                  <c:v>2171.2905499999997</c:v>
                </c:pt>
                <c:pt idx="24">
                  <c:v>2214.9241400000001</c:v>
                </c:pt>
                <c:pt idx="25">
                  <c:v>2264.7910999999999</c:v>
                </c:pt>
                <c:pt idx="26">
                  <c:v>2333.35817</c:v>
                </c:pt>
                <c:pt idx="27">
                  <c:v>2408.15861</c:v>
                </c:pt>
                <c:pt idx="28">
                  <c:v>2495.4257900000002</c:v>
                </c:pt>
                <c:pt idx="29">
                  <c:v>2593.0819200000001</c:v>
                </c:pt>
                <c:pt idx="30">
                  <c:v>2696.9714199999999</c:v>
                </c:pt>
                <c:pt idx="31">
                  <c:v>2815.4054499999997</c:v>
                </c:pt>
                <c:pt idx="32">
                  <c:v>2940.07285</c:v>
                </c:pt>
                <c:pt idx="33">
                  <c:v>3073.05141</c:v>
                </c:pt>
                <c:pt idx="34">
                  <c:v>3216.4189200000001</c:v>
                </c:pt>
                <c:pt idx="35">
                  <c:v>3361.8642199999999</c:v>
                </c:pt>
                <c:pt idx="36">
                  <c:v>3513.5428900000002</c:v>
                </c:pt>
                <c:pt idx="37">
                  <c:v>3677.6882999999998</c:v>
                </c:pt>
                <c:pt idx="38">
                  <c:v>3854.3004499999997</c:v>
                </c:pt>
                <c:pt idx="39">
                  <c:v>4041.3015500000001</c:v>
                </c:pt>
                <c:pt idx="40">
                  <c:v>4240.7693899999995</c:v>
                </c:pt>
                <c:pt idx="41">
                  <c:v>4467.2484999999997</c:v>
                </c:pt>
                <c:pt idx="42">
                  <c:v>4706.1943499999998</c:v>
                </c:pt>
                <c:pt idx="43">
                  <c:v>4955.5291499999994</c:v>
                </c:pt>
                <c:pt idx="44">
                  <c:v>5221.4862699999994</c:v>
                </c:pt>
                <c:pt idx="45">
                  <c:v>5506.1435000000001</c:v>
                </c:pt>
                <c:pt idx="46">
                  <c:v>5799.1118900000001</c:v>
                </c:pt>
                <c:pt idx="47">
                  <c:v>6100.3914399999994</c:v>
                </c:pt>
                <c:pt idx="48">
                  <c:v>6405.8265700000002</c:v>
                </c:pt>
                <c:pt idx="49">
                  <c:v>6711.2617</c:v>
                </c:pt>
                <c:pt idx="50">
                  <c:v>7025.0079899999992</c:v>
                </c:pt>
                <c:pt idx="51">
                  <c:v>7349.1432299999997</c:v>
                </c:pt>
                <c:pt idx="52">
                  <c:v>7677.4340499999998</c:v>
                </c:pt>
                <c:pt idx="53">
                  <c:v>8011.9582399999999</c:v>
                </c:pt>
                <c:pt idx="54">
                  <c:v>8350.6380100000006</c:v>
                </c:pt>
                <c:pt idx="55">
                  <c:v>8687.23999</c:v>
                </c:pt>
                <c:pt idx="56">
                  <c:v>9061.242189999999</c:v>
                </c:pt>
                <c:pt idx="57">
                  <c:v>9393.6885899999997</c:v>
                </c:pt>
                <c:pt idx="58">
                  <c:v>9713.6682499999988</c:v>
                </c:pt>
                <c:pt idx="59">
                  <c:v>10035.725700000001</c:v>
                </c:pt>
                <c:pt idx="60">
                  <c:v>10301.68282</c:v>
                </c:pt>
                <c:pt idx="61">
                  <c:v>10584.262260000001</c:v>
                </c:pt>
                <c:pt idx="62">
                  <c:v>10808.66358</c:v>
                </c:pt>
                <c:pt idx="63">
                  <c:v>11008.13142</c:v>
                </c:pt>
                <c:pt idx="64">
                  <c:v>11176.432409999999</c:v>
                </c:pt>
                <c:pt idx="65">
                  <c:v>11284.477489999999</c:v>
                </c:pt>
                <c:pt idx="66">
                  <c:v>11346.81119</c:v>
                </c:pt>
                <c:pt idx="67">
                  <c:v>11438.23395</c:v>
                </c:pt>
                <c:pt idx="68">
                  <c:v>11438.23395</c:v>
                </c:pt>
                <c:pt idx="69">
                  <c:v>11438.23395</c:v>
                </c:pt>
                <c:pt idx="70">
                  <c:v>11438.23395</c:v>
                </c:pt>
                <c:pt idx="71">
                  <c:v>11438.23395</c:v>
                </c:pt>
                <c:pt idx="72">
                  <c:v>11438.23395</c:v>
                </c:pt>
                <c:pt idx="73">
                  <c:v>11438.23395</c:v>
                </c:pt>
                <c:pt idx="74">
                  <c:v>11438.23395</c:v>
                </c:pt>
                <c:pt idx="75">
                  <c:v>11438.23395</c:v>
                </c:pt>
                <c:pt idx="76">
                  <c:v>11438.23395</c:v>
                </c:pt>
                <c:pt idx="77">
                  <c:v>11469.400799999999</c:v>
                </c:pt>
                <c:pt idx="78">
                  <c:v>11469.400799999999</c:v>
                </c:pt>
                <c:pt idx="79">
                  <c:v>11469.400799999999</c:v>
                </c:pt>
                <c:pt idx="80">
                  <c:v>11469.400799999999</c:v>
                </c:pt>
                <c:pt idx="81">
                  <c:v>11469.400799999999</c:v>
                </c:pt>
                <c:pt idx="82">
                  <c:v>11469.400799999999</c:v>
                </c:pt>
                <c:pt idx="83">
                  <c:v>11469.400799999999</c:v>
                </c:pt>
                <c:pt idx="84">
                  <c:v>11469.400799999999</c:v>
                </c:pt>
                <c:pt idx="85">
                  <c:v>11469.400799999999</c:v>
                </c:pt>
                <c:pt idx="86">
                  <c:v>11469.400799999999</c:v>
                </c:pt>
                <c:pt idx="87">
                  <c:v>11490.1787</c:v>
                </c:pt>
                <c:pt idx="88">
                  <c:v>11523.423340000001</c:v>
                </c:pt>
                <c:pt idx="89">
                  <c:v>11558.74577</c:v>
                </c:pt>
                <c:pt idx="90">
                  <c:v>11594.0682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F3B-43A9-835D-75E077AA1FCA}"/>
            </c:ext>
          </c:extLst>
        </c:ser>
        <c:ser>
          <c:idx val="2"/>
          <c:order val="2"/>
          <c:tx>
            <c:strRef>
              <c:f>DDat!$AF$18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A5161D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DDat!$AF$20:$AF$111</c:f>
              <c:numCache>
                <c:formatCode>#,##0</c:formatCode>
                <c:ptCount val="92"/>
                <c:pt idx="0">
                  <c:v>1707.9433799999999</c:v>
                </c:pt>
                <c:pt idx="1">
                  <c:v>1726.6434899999999</c:v>
                </c:pt>
                <c:pt idx="2">
                  <c:v>1761.9659199999999</c:v>
                </c:pt>
                <c:pt idx="3">
                  <c:v>1782.7438199999999</c:v>
                </c:pt>
                <c:pt idx="4">
                  <c:v>1811.8328799999999</c:v>
                </c:pt>
                <c:pt idx="5">
                  <c:v>1867.9332099999999</c:v>
                </c:pt>
                <c:pt idx="6">
                  <c:v>1888.71111</c:v>
                </c:pt>
                <c:pt idx="7">
                  <c:v>1865.8554200000001</c:v>
                </c:pt>
                <c:pt idx="8">
                  <c:v>1830.5329899999999</c:v>
                </c:pt>
                <c:pt idx="9">
                  <c:v>1838.8441499999999</c:v>
                </c:pt>
                <c:pt idx="10">
                  <c:v>1857.5442599999999</c:v>
                </c:pt>
                <c:pt idx="11">
                  <c:v>1857.5442599999999</c:v>
                </c:pt>
                <c:pt idx="12">
                  <c:v>1899.10006</c:v>
                </c:pt>
                <c:pt idx="13">
                  <c:v>1907.41122</c:v>
                </c:pt>
                <c:pt idx="14">
                  <c:v>1938.57807</c:v>
                </c:pt>
                <c:pt idx="15">
                  <c:v>1955.20039</c:v>
                </c:pt>
                <c:pt idx="16">
                  <c:v>1986.3672399999998</c:v>
                </c:pt>
                <c:pt idx="17">
                  <c:v>2009.2229299999999</c:v>
                </c:pt>
                <c:pt idx="18">
                  <c:v>2034.1564099999998</c:v>
                </c:pt>
                <c:pt idx="19">
                  <c:v>2059.0898899999997</c:v>
                </c:pt>
                <c:pt idx="20">
                  <c:v>2077.79</c:v>
                </c:pt>
                <c:pt idx="21">
                  <c:v>2106.8790600000002</c:v>
                </c:pt>
                <c:pt idx="22">
                  <c:v>2142.2014899999999</c:v>
                </c:pt>
                <c:pt idx="23">
                  <c:v>2171.2905499999997</c:v>
                </c:pt>
                <c:pt idx="24">
                  <c:v>2214.9241400000001</c:v>
                </c:pt>
                <c:pt idx="25">
                  <c:v>2264.7910999999999</c:v>
                </c:pt>
                <c:pt idx="26">
                  <c:v>2333.35817</c:v>
                </c:pt>
                <c:pt idx="27">
                  <c:v>2408.15861</c:v>
                </c:pt>
                <c:pt idx="28">
                  <c:v>2495.4257900000002</c:v>
                </c:pt>
                <c:pt idx="29">
                  <c:v>2593.0819200000001</c:v>
                </c:pt>
                <c:pt idx="30">
                  <c:v>2696.9714199999999</c:v>
                </c:pt>
                <c:pt idx="31">
                  <c:v>2815.4054499999997</c:v>
                </c:pt>
                <c:pt idx="32">
                  <c:v>2940.07285</c:v>
                </c:pt>
                <c:pt idx="33">
                  <c:v>3073.05141</c:v>
                </c:pt>
                <c:pt idx="34">
                  <c:v>3216.4189200000001</c:v>
                </c:pt>
                <c:pt idx="35">
                  <c:v>3361.8642199999999</c:v>
                </c:pt>
                <c:pt idx="36">
                  <c:v>3513.5428900000002</c:v>
                </c:pt>
                <c:pt idx="37">
                  <c:v>3677.6882999999998</c:v>
                </c:pt>
                <c:pt idx="38">
                  <c:v>3854.3004499999997</c:v>
                </c:pt>
                <c:pt idx="39">
                  <c:v>4041.3015500000001</c:v>
                </c:pt>
                <c:pt idx="40">
                  <c:v>4240.7693899999995</c:v>
                </c:pt>
                <c:pt idx="41">
                  <c:v>4467.2484999999997</c:v>
                </c:pt>
                <c:pt idx="42">
                  <c:v>4706.1943499999998</c:v>
                </c:pt>
                <c:pt idx="43">
                  <c:v>4955.5291499999994</c:v>
                </c:pt>
                <c:pt idx="44">
                  <c:v>5221.4862699999994</c:v>
                </c:pt>
                <c:pt idx="45">
                  <c:v>5506.1435000000001</c:v>
                </c:pt>
                <c:pt idx="46">
                  <c:v>5799.1118900000001</c:v>
                </c:pt>
                <c:pt idx="47">
                  <c:v>6100.3914399999994</c:v>
                </c:pt>
                <c:pt idx="48">
                  <c:v>6405.8265700000002</c:v>
                </c:pt>
                <c:pt idx="49">
                  <c:v>6711.2617</c:v>
                </c:pt>
                <c:pt idx="50">
                  <c:v>7025.0079899999992</c:v>
                </c:pt>
                <c:pt idx="51">
                  <c:v>7349.1432299999997</c:v>
                </c:pt>
                <c:pt idx="52">
                  <c:v>7677.4340499999998</c:v>
                </c:pt>
                <c:pt idx="53">
                  <c:v>8011.9582399999999</c:v>
                </c:pt>
                <c:pt idx="54">
                  <c:v>8350.6380100000006</c:v>
                </c:pt>
                <c:pt idx="55">
                  <c:v>8687.23999</c:v>
                </c:pt>
                <c:pt idx="56">
                  <c:v>9061.242189999999</c:v>
                </c:pt>
                <c:pt idx="57">
                  <c:v>9393.6885899999997</c:v>
                </c:pt>
                <c:pt idx="58">
                  <c:v>9713.6682499999988</c:v>
                </c:pt>
                <c:pt idx="59">
                  <c:v>10035.725700000001</c:v>
                </c:pt>
                <c:pt idx="60">
                  <c:v>10301.68282</c:v>
                </c:pt>
                <c:pt idx="61">
                  <c:v>10584.262260000001</c:v>
                </c:pt>
                <c:pt idx="62">
                  <c:v>10808.66358</c:v>
                </c:pt>
                <c:pt idx="63">
                  <c:v>11008.13142</c:v>
                </c:pt>
                <c:pt idx="64">
                  <c:v>11176.432409999999</c:v>
                </c:pt>
                <c:pt idx="65">
                  <c:v>11284.477489999999</c:v>
                </c:pt>
                <c:pt idx="66">
                  <c:v>11346.81119</c:v>
                </c:pt>
                <c:pt idx="67">
                  <c:v>11438.23395</c:v>
                </c:pt>
                <c:pt idx="68">
                  <c:v>11438.23395</c:v>
                </c:pt>
                <c:pt idx="69">
                  <c:v>11438.23395</c:v>
                </c:pt>
                <c:pt idx="70">
                  <c:v>11438.23395</c:v>
                </c:pt>
                <c:pt idx="71">
                  <c:v>11438.23395</c:v>
                </c:pt>
                <c:pt idx="72">
                  <c:v>11438.23395</c:v>
                </c:pt>
                <c:pt idx="73">
                  <c:v>11438.23395</c:v>
                </c:pt>
                <c:pt idx="74">
                  <c:v>11438.23395</c:v>
                </c:pt>
                <c:pt idx="75">
                  <c:v>11438.23395</c:v>
                </c:pt>
                <c:pt idx="76">
                  <c:v>11438.23395</c:v>
                </c:pt>
                <c:pt idx="77">
                  <c:v>11469.400799999999</c:v>
                </c:pt>
                <c:pt idx="78">
                  <c:v>11469.400799999999</c:v>
                </c:pt>
                <c:pt idx="79">
                  <c:v>11469.400799999999</c:v>
                </c:pt>
                <c:pt idx="80">
                  <c:v>11469.400799999999</c:v>
                </c:pt>
                <c:pt idx="81">
                  <c:v>11469.400799999999</c:v>
                </c:pt>
                <c:pt idx="82">
                  <c:v>11469.400799999999</c:v>
                </c:pt>
                <c:pt idx="83">
                  <c:v>11469.400799999999</c:v>
                </c:pt>
                <c:pt idx="84">
                  <c:v>11469.400799999999</c:v>
                </c:pt>
                <c:pt idx="85">
                  <c:v>11469.400799999999</c:v>
                </c:pt>
                <c:pt idx="86">
                  <c:v>11469.400799999999</c:v>
                </c:pt>
                <c:pt idx="87">
                  <c:v>11490.1787</c:v>
                </c:pt>
                <c:pt idx="88">
                  <c:v>11523.423340000001</c:v>
                </c:pt>
                <c:pt idx="89">
                  <c:v>11558.74577</c:v>
                </c:pt>
                <c:pt idx="90">
                  <c:v>11594.0682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F3B-43A9-835D-75E077AA1FCA}"/>
            </c:ext>
          </c:extLst>
        </c:ser>
        <c:ser>
          <c:idx val="3"/>
          <c:order val="3"/>
          <c:tx>
            <c:strRef>
              <c:f>DDat!$AD$122</c:f>
              <c:strCache>
                <c:ptCount val="1"/>
                <c:pt idx="0">
                  <c:v>P_35</c:v>
                </c:pt>
              </c:strCache>
            </c:strRef>
          </c:tx>
          <c:spPr>
            <a:ln w="12700">
              <a:solidFill>
                <a:srgbClr val="084AAD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84AAD"/>
                      </a:solidFill>
                      <a:latin typeface="Times New Roman"/>
                      <a:ea typeface="Times New Roman"/>
                      <a:cs typeface="Times New Roman"/>
                    </a:defRPr>
                  </a:pPr>
                  <a:endParaRPr lang="de-DE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F3B-43A9-835D-75E077AA1FCA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DDat!$Y$123:$Y$124</c:f>
              <c:numCache>
                <c:formatCode>General</c:formatCode>
                <c:ptCount val="2"/>
                <c:pt idx="0">
                  <c:v>20</c:v>
                </c:pt>
                <c:pt idx="1">
                  <c:v>110</c:v>
                </c:pt>
              </c:numCache>
            </c:numRef>
          </c:xVal>
          <c:yVal>
            <c:numRef>
              <c:f>DDat!$AD$123:$AD$124</c:f>
              <c:numCache>
                <c:formatCode>#,##0.0000</c:formatCode>
                <c:ptCount val="2"/>
                <c:pt idx="0">
                  <c:v>3852.4304390000002</c:v>
                </c:pt>
                <c:pt idx="1">
                  <c:v>3852.4304390000002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6F3B-43A9-835D-75E077AA1FCA}"/>
            </c:ext>
          </c:extLst>
        </c:ser>
        <c:ser>
          <c:idx val="4"/>
          <c:order val="4"/>
          <c:tx>
            <c:strRef>
              <c:f>DDat!$AE$126</c:f>
              <c:strCache>
                <c:ptCount val="1"/>
                <c:pt idx="0">
                  <c:v>P_35</c:v>
                </c:pt>
              </c:strCache>
            </c:strRef>
          </c:tx>
          <c:spPr>
            <a:ln w="12700">
              <a:solidFill>
                <a:srgbClr val="00703A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703A"/>
                      </a:solidFill>
                      <a:latin typeface="Times New Roman"/>
                      <a:ea typeface="Times New Roman"/>
                      <a:cs typeface="Times New Roman"/>
                    </a:defRPr>
                  </a:pPr>
                  <a:endParaRPr lang="de-DE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F3B-43A9-835D-75E077AA1FCA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DDat!$Z$127:$Z$128</c:f>
              <c:numCache>
                <c:formatCode>General</c:formatCode>
                <c:ptCount val="2"/>
                <c:pt idx="0">
                  <c:v>20</c:v>
                </c:pt>
                <c:pt idx="1">
                  <c:v>110</c:v>
                </c:pt>
              </c:numCache>
            </c:numRef>
          </c:xVal>
          <c:yVal>
            <c:numRef>
              <c:f>DDat!$AE$127:$AE$128</c:f>
              <c:numCache>
                <c:formatCode>#,##0.0000</c:formatCode>
                <c:ptCount val="2"/>
                <c:pt idx="0">
                  <c:v>3852.4304390000002</c:v>
                </c:pt>
                <c:pt idx="1">
                  <c:v>3852.4304390000002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6F3B-43A9-835D-75E077AA1FCA}"/>
            </c:ext>
          </c:extLst>
        </c:ser>
        <c:ser>
          <c:idx val="5"/>
          <c:order val="5"/>
          <c:tx>
            <c:strRef>
              <c:f>DDat!$AF$130</c:f>
              <c:strCache>
                <c:ptCount val="1"/>
                <c:pt idx="0">
                  <c:v>P_35</c:v>
                </c:pt>
              </c:strCache>
            </c:strRef>
          </c:tx>
          <c:spPr>
            <a:ln w="12700">
              <a:solidFill>
                <a:srgbClr val="A5161D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A5161D"/>
                      </a:solidFill>
                      <a:latin typeface="Times New Roman"/>
                      <a:ea typeface="Times New Roman"/>
                      <a:cs typeface="Times New Roman"/>
                    </a:defRPr>
                  </a:pPr>
                  <a:endParaRPr lang="de-DE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F3B-43A9-835D-75E077AA1FCA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DDat!$AA$131:$AA$132</c:f>
              <c:numCache>
                <c:formatCode>General</c:formatCode>
                <c:ptCount val="2"/>
                <c:pt idx="0">
                  <c:v>20</c:v>
                </c:pt>
                <c:pt idx="1">
                  <c:v>110</c:v>
                </c:pt>
              </c:numCache>
            </c:numRef>
          </c:xVal>
          <c:yVal>
            <c:numRef>
              <c:f>DDat!$AF$131:$AF$132</c:f>
              <c:numCache>
                <c:formatCode>#,##0.0000</c:formatCode>
                <c:ptCount val="2"/>
                <c:pt idx="0">
                  <c:v>3852.4304390000002</c:v>
                </c:pt>
                <c:pt idx="1">
                  <c:v>3852.4304390000002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6F3B-43A9-835D-75E077AA1F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935088"/>
        <c:axId val="1"/>
      </c:scatterChart>
      <c:valAx>
        <c:axId val="378935088"/>
        <c:scaling>
          <c:orientation val="minMax"/>
          <c:max val="111"/>
          <c:min val="2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378935088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4.5871559633027519E-2"/>
          <c:y val="0.90823211875843468"/>
          <c:w val="0.93160967472894074"/>
          <c:h val="8.9068825910931182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de-DE"/>
    </a:p>
  </c:tx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DDat!$AH$17</c:f>
          <c:strCache>
            <c:ptCount val="1"/>
            <c:pt idx="0">
              <c:v>Monatsbeiträge (monotonisiert)
Frauen+Männer − λ_x: + 50,0 % − x_ω: 110 − r: 2,5 % − q_x: PKV 2017 − w_x: Sto BaFin N 2015 − K_x: Primo kompakt 2015 − x_KM: 70 − Δ_js: 8,6 % − Γ_js: 802 / 679 Euro − α^Z_x: 2 MB (ab 70 abzgl. 0,5 MB)</c:v>
            </c:pt>
          </c:strCache>
        </c:strRef>
      </c:tx>
      <c:layout>
        <c:manualLayout>
          <c:xMode val="edge"/>
          <c:yMode val="edge"/>
          <c:x val="0.12839244718710852"/>
          <c:y val="2.0304436224159592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1"/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5.845511482254697E-2"/>
          <c:y val="0.17600919957435801"/>
          <c:w val="0.91858037578288099"/>
          <c:h val="0.66155427335497108"/>
        </c:manualLayout>
      </c:layout>
      <c:scatterChart>
        <c:scatterStyle val="lineMarker"/>
        <c:varyColors val="0"/>
        <c:ser>
          <c:idx val="0"/>
          <c:order val="0"/>
          <c:tx>
            <c:strRef>
              <c:f>DDat!$AH$18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84AAD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DDat!$AH$20:$AH$111</c:f>
              <c:numCache>
                <c:formatCode>#,##0.00</c:formatCode>
                <c:ptCount val="92"/>
                <c:pt idx="0">
                  <c:v>300.54000000000002</c:v>
                </c:pt>
                <c:pt idx="1">
                  <c:v>308.20999999999998</c:v>
                </c:pt>
                <c:pt idx="2">
                  <c:v>315.89</c:v>
                </c:pt>
                <c:pt idx="3">
                  <c:v>323.58</c:v>
                </c:pt>
                <c:pt idx="4">
                  <c:v>331.55</c:v>
                </c:pt>
                <c:pt idx="5">
                  <c:v>339.72</c:v>
                </c:pt>
                <c:pt idx="6">
                  <c:v>347.84</c:v>
                </c:pt>
                <c:pt idx="7">
                  <c:v>356</c:v>
                </c:pt>
                <c:pt idx="8">
                  <c:v>364.44</c:v>
                </c:pt>
                <c:pt idx="9">
                  <c:v>373.24</c:v>
                </c:pt>
                <c:pt idx="10">
                  <c:v>382.09</c:v>
                </c:pt>
                <c:pt idx="11">
                  <c:v>391.06</c:v>
                </c:pt>
                <c:pt idx="12">
                  <c:v>400.25</c:v>
                </c:pt>
                <c:pt idx="13">
                  <c:v>409.48</c:v>
                </c:pt>
                <c:pt idx="14">
                  <c:v>418.99</c:v>
                </c:pt>
                <c:pt idx="15">
                  <c:v>428.58</c:v>
                </c:pt>
                <c:pt idx="16">
                  <c:v>438.45</c:v>
                </c:pt>
                <c:pt idx="17">
                  <c:v>448.54</c:v>
                </c:pt>
                <c:pt idx="18">
                  <c:v>458.91</c:v>
                </c:pt>
                <c:pt idx="19">
                  <c:v>469.6</c:v>
                </c:pt>
                <c:pt idx="20">
                  <c:v>480.61</c:v>
                </c:pt>
                <c:pt idx="21">
                  <c:v>492.04</c:v>
                </c:pt>
                <c:pt idx="22">
                  <c:v>503.88</c:v>
                </c:pt>
                <c:pt idx="23">
                  <c:v>516.16</c:v>
                </c:pt>
                <c:pt idx="24">
                  <c:v>528.91999999999996</c:v>
                </c:pt>
                <c:pt idx="25">
                  <c:v>542.08000000000004</c:v>
                </c:pt>
                <c:pt idx="26">
                  <c:v>555.71</c:v>
                </c:pt>
                <c:pt idx="27">
                  <c:v>569.75</c:v>
                </c:pt>
                <c:pt idx="28">
                  <c:v>584.15</c:v>
                </c:pt>
                <c:pt idx="29">
                  <c:v>598.94000000000005</c:v>
                </c:pt>
                <c:pt idx="30">
                  <c:v>614.02</c:v>
                </c:pt>
                <c:pt idx="31">
                  <c:v>629.45000000000005</c:v>
                </c:pt>
                <c:pt idx="32">
                  <c:v>645.1</c:v>
                </c:pt>
                <c:pt idx="33">
                  <c:v>661.03</c:v>
                </c:pt>
                <c:pt idx="34">
                  <c:v>677.13</c:v>
                </c:pt>
                <c:pt idx="35">
                  <c:v>693.41</c:v>
                </c:pt>
                <c:pt idx="36">
                  <c:v>709.88</c:v>
                </c:pt>
                <c:pt idx="37">
                  <c:v>726.47</c:v>
                </c:pt>
                <c:pt idx="38">
                  <c:v>743.31</c:v>
                </c:pt>
                <c:pt idx="39">
                  <c:v>760.51</c:v>
                </c:pt>
                <c:pt idx="40">
                  <c:v>777.96</c:v>
                </c:pt>
                <c:pt idx="41">
                  <c:v>795.57</c:v>
                </c:pt>
                <c:pt idx="42">
                  <c:v>813.42</c:v>
                </c:pt>
                <c:pt idx="43">
                  <c:v>831.39</c:v>
                </c:pt>
                <c:pt idx="44">
                  <c:v>849.57</c:v>
                </c:pt>
                <c:pt idx="45">
                  <c:v>856.34</c:v>
                </c:pt>
                <c:pt idx="46">
                  <c:v>874.49</c:v>
                </c:pt>
                <c:pt idx="47">
                  <c:v>892.53</c:v>
                </c:pt>
                <c:pt idx="48">
                  <c:v>910.44</c:v>
                </c:pt>
                <c:pt idx="49">
                  <c:v>928.27</c:v>
                </c:pt>
                <c:pt idx="50">
                  <c:v>942.94</c:v>
                </c:pt>
                <c:pt idx="51">
                  <c:v>957.17</c:v>
                </c:pt>
                <c:pt idx="52">
                  <c:v>970.8</c:v>
                </c:pt>
                <c:pt idx="53">
                  <c:v>983.7</c:v>
                </c:pt>
                <c:pt idx="54">
                  <c:v>999.26</c:v>
                </c:pt>
                <c:pt idx="55">
                  <c:v>1014.22</c:v>
                </c:pt>
                <c:pt idx="56">
                  <c:v>1028.49</c:v>
                </c:pt>
                <c:pt idx="57">
                  <c:v>1041.5999999999999</c:v>
                </c:pt>
                <c:pt idx="58">
                  <c:v>1053.67</c:v>
                </c:pt>
                <c:pt idx="59">
                  <c:v>1064.6400000000001</c:v>
                </c:pt>
                <c:pt idx="60">
                  <c:v>1074.25</c:v>
                </c:pt>
                <c:pt idx="61">
                  <c:v>1082.7</c:v>
                </c:pt>
                <c:pt idx="62">
                  <c:v>1089.58</c:v>
                </c:pt>
                <c:pt idx="63">
                  <c:v>1095.0999999999999</c:v>
                </c:pt>
                <c:pt idx="64">
                  <c:v>1099.24</c:v>
                </c:pt>
                <c:pt idx="65">
                  <c:v>1101.97</c:v>
                </c:pt>
                <c:pt idx="66">
                  <c:v>1103.79</c:v>
                </c:pt>
                <c:pt idx="67">
                  <c:v>1105.07</c:v>
                </c:pt>
                <c:pt idx="68">
                  <c:v>1105.1099999999999</c:v>
                </c:pt>
                <c:pt idx="69">
                  <c:v>1105.18</c:v>
                </c:pt>
                <c:pt idx="70">
                  <c:v>1105.26</c:v>
                </c:pt>
                <c:pt idx="71">
                  <c:v>1105.3699999999999</c:v>
                </c:pt>
                <c:pt idx="72">
                  <c:v>1105.52</c:v>
                </c:pt>
                <c:pt idx="73">
                  <c:v>1105.73</c:v>
                </c:pt>
                <c:pt idx="74">
                  <c:v>1106.01</c:v>
                </c:pt>
                <c:pt idx="75">
                  <c:v>1106.4100000000001</c:v>
                </c:pt>
                <c:pt idx="76">
                  <c:v>1106.94</c:v>
                </c:pt>
                <c:pt idx="77">
                  <c:v>1107.72</c:v>
                </c:pt>
                <c:pt idx="78">
                  <c:v>1107.77</c:v>
                </c:pt>
                <c:pt idx="79">
                  <c:v>1107.83</c:v>
                </c:pt>
                <c:pt idx="80">
                  <c:v>1107.95</c:v>
                </c:pt>
                <c:pt idx="81">
                  <c:v>1108.07</c:v>
                </c:pt>
                <c:pt idx="82">
                  <c:v>1108.24</c:v>
                </c:pt>
                <c:pt idx="83">
                  <c:v>1108.55</c:v>
                </c:pt>
                <c:pt idx="84">
                  <c:v>1108.99</c:v>
                </c:pt>
                <c:pt idx="85">
                  <c:v>1109.7</c:v>
                </c:pt>
                <c:pt idx="86">
                  <c:v>1110.79</c:v>
                </c:pt>
                <c:pt idx="87">
                  <c:v>1112.67</c:v>
                </c:pt>
                <c:pt idx="88">
                  <c:v>1114.94</c:v>
                </c:pt>
                <c:pt idx="89">
                  <c:v>1117.02</c:v>
                </c:pt>
                <c:pt idx="90">
                  <c:v>1118.98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BFF-4742-985F-DB01228F42C6}"/>
            </c:ext>
          </c:extLst>
        </c:ser>
        <c:ser>
          <c:idx val="1"/>
          <c:order val="1"/>
          <c:tx>
            <c:strRef>
              <c:f>DDat!$AI$18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0703A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DDat!$AI$20:$AI$111</c:f>
              <c:numCache>
                <c:formatCode>#,##0.00</c:formatCode>
                <c:ptCount val="92"/>
                <c:pt idx="0">
                  <c:v>300.54000000000002</c:v>
                </c:pt>
                <c:pt idx="1">
                  <c:v>308.20999999999998</c:v>
                </c:pt>
                <c:pt idx="2">
                  <c:v>315.89</c:v>
                </c:pt>
                <c:pt idx="3">
                  <c:v>323.58</c:v>
                </c:pt>
                <c:pt idx="4">
                  <c:v>331.55</c:v>
                </c:pt>
                <c:pt idx="5">
                  <c:v>339.72</c:v>
                </c:pt>
                <c:pt idx="6">
                  <c:v>347.84</c:v>
                </c:pt>
                <c:pt idx="7">
                  <c:v>356</c:v>
                </c:pt>
                <c:pt idx="8">
                  <c:v>364.44</c:v>
                </c:pt>
                <c:pt idx="9">
                  <c:v>373.24</c:v>
                </c:pt>
                <c:pt idx="10">
                  <c:v>382.09</c:v>
                </c:pt>
                <c:pt idx="11">
                  <c:v>391.06</c:v>
                </c:pt>
                <c:pt idx="12">
                  <c:v>400.25</c:v>
                </c:pt>
                <c:pt idx="13">
                  <c:v>409.48</c:v>
                </c:pt>
                <c:pt idx="14">
                  <c:v>418.99</c:v>
                </c:pt>
                <c:pt idx="15">
                  <c:v>428.58</c:v>
                </c:pt>
                <c:pt idx="16">
                  <c:v>438.45</c:v>
                </c:pt>
                <c:pt idx="17">
                  <c:v>448.54</c:v>
                </c:pt>
                <c:pt idx="18">
                  <c:v>458.91</c:v>
                </c:pt>
                <c:pt idx="19">
                  <c:v>469.6</c:v>
                </c:pt>
                <c:pt idx="20">
                  <c:v>480.61</c:v>
                </c:pt>
                <c:pt idx="21">
                  <c:v>492.04</c:v>
                </c:pt>
                <c:pt idx="22">
                  <c:v>503.88</c:v>
                </c:pt>
                <c:pt idx="23">
                  <c:v>516.16</c:v>
                </c:pt>
                <c:pt idx="24">
                  <c:v>528.91999999999996</c:v>
                </c:pt>
                <c:pt idx="25">
                  <c:v>542.08000000000004</c:v>
                </c:pt>
                <c:pt idx="26">
                  <c:v>555.71</c:v>
                </c:pt>
                <c:pt idx="27">
                  <c:v>569.75</c:v>
                </c:pt>
                <c:pt idx="28">
                  <c:v>584.15</c:v>
                </c:pt>
                <c:pt idx="29">
                  <c:v>598.94000000000005</c:v>
                </c:pt>
                <c:pt idx="30">
                  <c:v>614.02</c:v>
                </c:pt>
                <c:pt idx="31">
                  <c:v>629.45000000000005</c:v>
                </c:pt>
                <c:pt idx="32">
                  <c:v>645.1</c:v>
                </c:pt>
                <c:pt idx="33">
                  <c:v>661.03</c:v>
                </c:pt>
                <c:pt idx="34">
                  <c:v>677.13</c:v>
                </c:pt>
                <c:pt idx="35">
                  <c:v>693.41</c:v>
                </c:pt>
                <c:pt idx="36">
                  <c:v>709.88</c:v>
                </c:pt>
                <c:pt idx="37">
                  <c:v>726.47</c:v>
                </c:pt>
                <c:pt idx="38">
                  <c:v>743.31</c:v>
                </c:pt>
                <c:pt idx="39">
                  <c:v>760.51</c:v>
                </c:pt>
                <c:pt idx="40">
                  <c:v>777.96</c:v>
                </c:pt>
                <c:pt idx="41">
                  <c:v>795.57</c:v>
                </c:pt>
                <c:pt idx="42">
                  <c:v>813.42</c:v>
                </c:pt>
                <c:pt idx="43">
                  <c:v>831.39</c:v>
                </c:pt>
                <c:pt idx="44">
                  <c:v>849.57</c:v>
                </c:pt>
                <c:pt idx="45">
                  <c:v>856.34</c:v>
                </c:pt>
                <c:pt idx="46">
                  <c:v>874.49</c:v>
                </c:pt>
                <c:pt idx="47">
                  <c:v>892.53</c:v>
                </c:pt>
                <c:pt idx="48">
                  <c:v>910.44</c:v>
                </c:pt>
                <c:pt idx="49">
                  <c:v>928.27</c:v>
                </c:pt>
                <c:pt idx="50">
                  <c:v>942.94</c:v>
                </c:pt>
                <c:pt idx="51">
                  <c:v>957.17</c:v>
                </c:pt>
                <c:pt idx="52">
                  <c:v>970.8</c:v>
                </c:pt>
                <c:pt idx="53">
                  <c:v>983.7</c:v>
                </c:pt>
                <c:pt idx="54">
                  <c:v>999.26</c:v>
                </c:pt>
                <c:pt idx="55">
                  <c:v>1014.22</c:v>
                </c:pt>
                <c:pt idx="56">
                  <c:v>1028.49</c:v>
                </c:pt>
                <c:pt idx="57">
                  <c:v>1041.5999999999999</c:v>
                </c:pt>
                <c:pt idx="58">
                  <c:v>1053.67</c:v>
                </c:pt>
                <c:pt idx="59">
                  <c:v>1064.6400000000001</c:v>
                </c:pt>
                <c:pt idx="60">
                  <c:v>1074.25</c:v>
                </c:pt>
                <c:pt idx="61">
                  <c:v>1082.7</c:v>
                </c:pt>
                <c:pt idx="62">
                  <c:v>1089.58</c:v>
                </c:pt>
                <c:pt idx="63">
                  <c:v>1095.0999999999999</c:v>
                </c:pt>
                <c:pt idx="64">
                  <c:v>1099.24</c:v>
                </c:pt>
                <c:pt idx="65">
                  <c:v>1101.97</c:v>
                </c:pt>
                <c:pt idx="66">
                  <c:v>1103.79</c:v>
                </c:pt>
                <c:pt idx="67">
                  <c:v>1105.07</c:v>
                </c:pt>
                <c:pt idx="68">
                  <c:v>1105.1099999999999</c:v>
                </c:pt>
                <c:pt idx="69">
                  <c:v>1105.18</c:v>
                </c:pt>
                <c:pt idx="70">
                  <c:v>1105.26</c:v>
                </c:pt>
                <c:pt idx="71">
                  <c:v>1105.3699999999999</c:v>
                </c:pt>
                <c:pt idx="72">
                  <c:v>1105.52</c:v>
                </c:pt>
                <c:pt idx="73">
                  <c:v>1105.73</c:v>
                </c:pt>
                <c:pt idx="74">
                  <c:v>1106.01</c:v>
                </c:pt>
                <c:pt idx="75">
                  <c:v>1106.4100000000001</c:v>
                </c:pt>
                <c:pt idx="76">
                  <c:v>1106.94</c:v>
                </c:pt>
                <c:pt idx="77">
                  <c:v>1107.72</c:v>
                </c:pt>
                <c:pt idx="78">
                  <c:v>1107.77</c:v>
                </c:pt>
                <c:pt idx="79">
                  <c:v>1107.83</c:v>
                </c:pt>
                <c:pt idx="80">
                  <c:v>1107.95</c:v>
                </c:pt>
                <c:pt idx="81">
                  <c:v>1108.07</c:v>
                </c:pt>
                <c:pt idx="82">
                  <c:v>1108.24</c:v>
                </c:pt>
                <c:pt idx="83">
                  <c:v>1108.55</c:v>
                </c:pt>
                <c:pt idx="84">
                  <c:v>1108.99</c:v>
                </c:pt>
                <c:pt idx="85">
                  <c:v>1109.7</c:v>
                </c:pt>
                <c:pt idx="86">
                  <c:v>1110.79</c:v>
                </c:pt>
                <c:pt idx="87">
                  <c:v>1112.67</c:v>
                </c:pt>
                <c:pt idx="88">
                  <c:v>1114.94</c:v>
                </c:pt>
                <c:pt idx="89">
                  <c:v>1117.02</c:v>
                </c:pt>
                <c:pt idx="90">
                  <c:v>1118.98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BFF-4742-985F-DB01228F42C6}"/>
            </c:ext>
          </c:extLst>
        </c:ser>
        <c:ser>
          <c:idx val="2"/>
          <c:order val="2"/>
          <c:tx>
            <c:strRef>
              <c:f>DDat!$AJ$18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A5161D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DDat!$AJ$20:$AJ$111</c:f>
              <c:numCache>
                <c:formatCode>#,##0.00</c:formatCode>
                <c:ptCount val="92"/>
                <c:pt idx="0">
                  <c:v>300.54000000000002</c:v>
                </c:pt>
                <c:pt idx="1">
                  <c:v>308.20999999999998</c:v>
                </c:pt>
                <c:pt idx="2">
                  <c:v>315.89</c:v>
                </c:pt>
                <c:pt idx="3">
                  <c:v>323.58</c:v>
                </c:pt>
                <c:pt idx="4">
                  <c:v>331.55</c:v>
                </c:pt>
                <c:pt idx="5">
                  <c:v>339.72</c:v>
                </c:pt>
                <c:pt idx="6">
                  <c:v>347.84</c:v>
                </c:pt>
                <c:pt idx="7">
                  <c:v>356</c:v>
                </c:pt>
                <c:pt idx="8">
                  <c:v>364.44</c:v>
                </c:pt>
                <c:pt idx="9">
                  <c:v>373.24</c:v>
                </c:pt>
                <c:pt idx="10">
                  <c:v>382.09</c:v>
                </c:pt>
                <c:pt idx="11">
                  <c:v>391.06</c:v>
                </c:pt>
                <c:pt idx="12">
                  <c:v>400.25</c:v>
                </c:pt>
                <c:pt idx="13">
                  <c:v>409.48</c:v>
                </c:pt>
                <c:pt idx="14">
                  <c:v>418.99</c:v>
                </c:pt>
                <c:pt idx="15">
                  <c:v>428.58</c:v>
                </c:pt>
                <c:pt idx="16">
                  <c:v>438.45</c:v>
                </c:pt>
                <c:pt idx="17">
                  <c:v>448.54</c:v>
                </c:pt>
                <c:pt idx="18">
                  <c:v>458.91</c:v>
                </c:pt>
                <c:pt idx="19">
                  <c:v>469.6</c:v>
                </c:pt>
                <c:pt idx="20">
                  <c:v>480.61</c:v>
                </c:pt>
                <c:pt idx="21">
                  <c:v>492.04</c:v>
                </c:pt>
                <c:pt idx="22">
                  <c:v>503.88</c:v>
                </c:pt>
                <c:pt idx="23">
                  <c:v>516.16</c:v>
                </c:pt>
                <c:pt idx="24">
                  <c:v>528.91999999999996</c:v>
                </c:pt>
                <c:pt idx="25">
                  <c:v>542.08000000000004</c:v>
                </c:pt>
                <c:pt idx="26">
                  <c:v>555.71</c:v>
                </c:pt>
                <c:pt idx="27">
                  <c:v>569.75</c:v>
                </c:pt>
                <c:pt idx="28">
                  <c:v>584.15</c:v>
                </c:pt>
                <c:pt idx="29">
                  <c:v>598.94000000000005</c:v>
                </c:pt>
                <c:pt idx="30">
                  <c:v>614.02</c:v>
                </c:pt>
                <c:pt idx="31">
                  <c:v>629.45000000000005</c:v>
                </c:pt>
                <c:pt idx="32">
                  <c:v>645.1</c:v>
                </c:pt>
                <c:pt idx="33">
                  <c:v>661.03</c:v>
                </c:pt>
                <c:pt idx="34">
                  <c:v>677.13</c:v>
                </c:pt>
                <c:pt idx="35">
                  <c:v>693.41</c:v>
                </c:pt>
                <c:pt idx="36">
                  <c:v>709.88</c:v>
                </c:pt>
                <c:pt idx="37">
                  <c:v>726.47</c:v>
                </c:pt>
                <c:pt idx="38">
                  <c:v>743.31</c:v>
                </c:pt>
                <c:pt idx="39">
                  <c:v>760.51</c:v>
                </c:pt>
                <c:pt idx="40">
                  <c:v>777.96</c:v>
                </c:pt>
                <c:pt idx="41">
                  <c:v>795.57</c:v>
                </c:pt>
                <c:pt idx="42">
                  <c:v>813.42</c:v>
                </c:pt>
                <c:pt idx="43">
                  <c:v>831.39</c:v>
                </c:pt>
                <c:pt idx="44">
                  <c:v>849.57</c:v>
                </c:pt>
                <c:pt idx="45">
                  <c:v>856.34</c:v>
                </c:pt>
                <c:pt idx="46">
                  <c:v>874.49</c:v>
                </c:pt>
                <c:pt idx="47">
                  <c:v>892.53</c:v>
                </c:pt>
                <c:pt idx="48">
                  <c:v>910.44</c:v>
                </c:pt>
                <c:pt idx="49">
                  <c:v>928.27</c:v>
                </c:pt>
                <c:pt idx="50">
                  <c:v>942.94</c:v>
                </c:pt>
                <c:pt idx="51">
                  <c:v>957.17</c:v>
                </c:pt>
                <c:pt idx="52">
                  <c:v>970.8</c:v>
                </c:pt>
                <c:pt idx="53">
                  <c:v>983.7</c:v>
                </c:pt>
                <c:pt idx="54">
                  <c:v>999.26</c:v>
                </c:pt>
                <c:pt idx="55">
                  <c:v>1014.22</c:v>
                </c:pt>
                <c:pt idx="56">
                  <c:v>1028.49</c:v>
                </c:pt>
                <c:pt idx="57">
                  <c:v>1041.5999999999999</c:v>
                </c:pt>
                <c:pt idx="58">
                  <c:v>1053.67</c:v>
                </c:pt>
                <c:pt idx="59">
                  <c:v>1064.6400000000001</c:v>
                </c:pt>
                <c:pt idx="60">
                  <c:v>1074.25</c:v>
                </c:pt>
                <c:pt idx="61">
                  <c:v>1082.7</c:v>
                </c:pt>
                <c:pt idx="62">
                  <c:v>1089.58</c:v>
                </c:pt>
                <c:pt idx="63">
                  <c:v>1095.0999999999999</c:v>
                </c:pt>
                <c:pt idx="64">
                  <c:v>1099.24</c:v>
                </c:pt>
                <c:pt idx="65">
                  <c:v>1101.97</c:v>
                </c:pt>
                <c:pt idx="66">
                  <c:v>1103.79</c:v>
                </c:pt>
                <c:pt idx="67">
                  <c:v>1105.07</c:v>
                </c:pt>
                <c:pt idx="68">
                  <c:v>1105.1099999999999</c:v>
                </c:pt>
                <c:pt idx="69">
                  <c:v>1105.18</c:v>
                </c:pt>
                <c:pt idx="70">
                  <c:v>1105.26</c:v>
                </c:pt>
                <c:pt idx="71">
                  <c:v>1105.3699999999999</c:v>
                </c:pt>
                <c:pt idx="72">
                  <c:v>1105.52</c:v>
                </c:pt>
                <c:pt idx="73">
                  <c:v>1105.73</c:v>
                </c:pt>
                <c:pt idx="74">
                  <c:v>1106.01</c:v>
                </c:pt>
                <c:pt idx="75">
                  <c:v>1106.4100000000001</c:v>
                </c:pt>
                <c:pt idx="76">
                  <c:v>1106.94</c:v>
                </c:pt>
                <c:pt idx="77">
                  <c:v>1107.72</c:v>
                </c:pt>
                <c:pt idx="78">
                  <c:v>1107.77</c:v>
                </c:pt>
                <c:pt idx="79">
                  <c:v>1107.83</c:v>
                </c:pt>
                <c:pt idx="80">
                  <c:v>1107.95</c:v>
                </c:pt>
                <c:pt idx="81">
                  <c:v>1108.07</c:v>
                </c:pt>
                <c:pt idx="82">
                  <c:v>1108.24</c:v>
                </c:pt>
                <c:pt idx="83">
                  <c:v>1108.55</c:v>
                </c:pt>
                <c:pt idx="84">
                  <c:v>1108.99</c:v>
                </c:pt>
                <c:pt idx="85">
                  <c:v>1109.7</c:v>
                </c:pt>
                <c:pt idx="86">
                  <c:v>1110.79</c:v>
                </c:pt>
                <c:pt idx="87">
                  <c:v>1112.67</c:v>
                </c:pt>
                <c:pt idx="88">
                  <c:v>1114.94</c:v>
                </c:pt>
                <c:pt idx="89">
                  <c:v>1117.02</c:v>
                </c:pt>
                <c:pt idx="90">
                  <c:v>1118.98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BFF-4742-985F-DB01228F42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292872"/>
        <c:axId val="1"/>
      </c:scatterChart>
      <c:valAx>
        <c:axId val="378292872"/>
        <c:scaling>
          <c:orientation val="minMax"/>
          <c:max val="111"/>
          <c:min val="2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/>
            </a:pPr>
            <a:endParaRPr lang="de-DE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/>
            </a:pPr>
            <a:endParaRPr lang="de-DE"/>
          </a:p>
        </c:txPr>
        <c:crossAx val="378292872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170975813177648E-2"/>
          <c:y val="0.89743589743589747"/>
          <c:w val="0.92827356130108418"/>
          <c:h val="9.9865047233468313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000"/>
          </a:pPr>
          <a:endParaRPr lang="de-DE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Verdana" panose="020B0604030504040204" pitchFamily="34" charset="0"/>
          <a:ea typeface="Verdana" panose="020B0604030504040204" pitchFamily="34" charset="0"/>
          <a:cs typeface="Verdana" panose="020B0604030504040204" pitchFamily="34" charset="0"/>
        </a:defRPr>
      </a:pPr>
      <a:endParaRPr lang="de-DE"/>
    </a:p>
  </c:txPr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DDat!$AH$17</c:f>
          <c:strCache>
            <c:ptCount val="1"/>
            <c:pt idx="0">
              <c:v>Monatsbeiträge (monotonisiert)
Frauen+Männer − λ_x: + 50,0 % − x_ω: 110 − r: 2,5 % − q_x: PKV 2017 − w_x: Sto BaFin N 2015 − K_x: Primo kompakt 2015 − x_KM: 70 − Δ_js: 8,6 % − Γ_js: 802 / 679 Euro − α^Z_x: 2 MB (ab 70 abzgl. 0,5 MB)</c:v>
            </c:pt>
          </c:strCache>
        </c:strRef>
      </c:tx>
      <c:layout>
        <c:manualLayout>
          <c:xMode val="edge"/>
          <c:yMode val="edge"/>
          <c:x val="0.12839244718710852"/>
          <c:y val="2.0304436224159592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1"/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5.845511482254697E-2"/>
          <c:y val="0.17600919957435801"/>
          <c:w val="0.91858037578288099"/>
          <c:h val="0.66155427335497108"/>
        </c:manualLayout>
      </c:layout>
      <c:scatterChart>
        <c:scatterStyle val="lineMarker"/>
        <c:varyColors val="0"/>
        <c:ser>
          <c:idx val="0"/>
          <c:order val="0"/>
          <c:tx>
            <c:strRef>
              <c:f>DDat!$AL$18</c:f>
              <c:strCache>
                <c:ptCount val="1"/>
                <c:pt idx="0">
                  <c:v> Beitrag abzgl. Beitragsrückzahlung</c:v>
                </c:pt>
              </c:strCache>
            </c:strRef>
          </c:tx>
          <c:spPr>
            <a:ln w="25400">
              <a:solidFill>
                <a:srgbClr val="084AAD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DDat!$AL$20:$AL$111</c:f>
              <c:numCache>
                <c:formatCode>#,##0.00</c:formatCode>
                <c:ptCount val="92"/>
                <c:pt idx="0">
                  <c:v>300.54000000000002</c:v>
                </c:pt>
                <c:pt idx="1">
                  <c:v>308.20999999999998</c:v>
                </c:pt>
                <c:pt idx="2">
                  <c:v>315.89</c:v>
                </c:pt>
                <c:pt idx="3">
                  <c:v>323.58</c:v>
                </c:pt>
                <c:pt idx="4">
                  <c:v>331.55</c:v>
                </c:pt>
                <c:pt idx="5">
                  <c:v>339.72</c:v>
                </c:pt>
                <c:pt idx="6">
                  <c:v>347.84</c:v>
                </c:pt>
                <c:pt idx="7">
                  <c:v>356</c:v>
                </c:pt>
                <c:pt idx="8">
                  <c:v>364.44</c:v>
                </c:pt>
                <c:pt idx="9">
                  <c:v>373.24</c:v>
                </c:pt>
                <c:pt idx="10">
                  <c:v>382.09</c:v>
                </c:pt>
                <c:pt idx="11">
                  <c:v>391.06</c:v>
                </c:pt>
                <c:pt idx="12">
                  <c:v>400.25</c:v>
                </c:pt>
                <c:pt idx="13">
                  <c:v>409.48</c:v>
                </c:pt>
                <c:pt idx="14">
                  <c:v>418.99</c:v>
                </c:pt>
                <c:pt idx="15">
                  <c:v>428.58</c:v>
                </c:pt>
                <c:pt idx="16">
                  <c:v>438.45</c:v>
                </c:pt>
                <c:pt idx="17">
                  <c:v>448.54</c:v>
                </c:pt>
                <c:pt idx="18">
                  <c:v>458.91</c:v>
                </c:pt>
                <c:pt idx="19">
                  <c:v>469.6</c:v>
                </c:pt>
                <c:pt idx="20">
                  <c:v>480.61</c:v>
                </c:pt>
                <c:pt idx="21">
                  <c:v>492.04</c:v>
                </c:pt>
                <c:pt idx="22">
                  <c:v>503.88</c:v>
                </c:pt>
                <c:pt idx="23">
                  <c:v>516.16</c:v>
                </c:pt>
                <c:pt idx="24">
                  <c:v>528.91999999999996</c:v>
                </c:pt>
                <c:pt idx="25">
                  <c:v>542.08000000000004</c:v>
                </c:pt>
                <c:pt idx="26">
                  <c:v>555.71</c:v>
                </c:pt>
                <c:pt idx="27">
                  <c:v>569.75</c:v>
                </c:pt>
                <c:pt idx="28">
                  <c:v>584.15</c:v>
                </c:pt>
                <c:pt idx="29">
                  <c:v>598.94000000000005</c:v>
                </c:pt>
                <c:pt idx="30">
                  <c:v>614.02</c:v>
                </c:pt>
                <c:pt idx="31">
                  <c:v>629.45000000000005</c:v>
                </c:pt>
                <c:pt idx="32">
                  <c:v>645.1</c:v>
                </c:pt>
                <c:pt idx="33">
                  <c:v>661.03</c:v>
                </c:pt>
                <c:pt idx="34">
                  <c:v>677.13</c:v>
                </c:pt>
                <c:pt idx="35">
                  <c:v>693.41</c:v>
                </c:pt>
                <c:pt idx="36">
                  <c:v>709.88</c:v>
                </c:pt>
                <c:pt idx="37">
                  <c:v>726.47</c:v>
                </c:pt>
                <c:pt idx="38">
                  <c:v>743.31</c:v>
                </c:pt>
                <c:pt idx="39">
                  <c:v>760.51</c:v>
                </c:pt>
                <c:pt idx="40">
                  <c:v>777.96</c:v>
                </c:pt>
                <c:pt idx="41">
                  <c:v>795.57</c:v>
                </c:pt>
                <c:pt idx="42">
                  <c:v>813.42</c:v>
                </c:pt>
                <c:pt idx="43">
                  <c:v>831.39</c:v>
                </c:pt>
                <c:pt idx="44">
                  <c:v>849.57</c:v>
                </c:pt>
                <c:pt idx="45">
                  <c:v>856.34</c:v>
                </c:pt>
                <c:pt idx="46">
                  <c:v>874.49</c:v>
                </c:pt>
                <c:pt idx="47">
                  <c:v>892.53</c:v>
                </c:pt>
                <c:pt idx="48">
                  <c:v>910.44</c:v>
                </c:pt>
                <c:pt idx="49">
                  <c:v>928.27</c:v>
                </c:pt>
                <c:pt idx="50">
                  <c:v>942.94</c:v>
                </c:pt>
                <c:pt idx="51">
                  <c:v>957.17</c:v>
                </c:pt>
                <c:pt idx="52">
                  <c:v>970.8</c:v>
                </c:pt>
                <c:pt idx="53">
                  <c:v>983.7</c:v>
                </c:pt>
                <c:pt idx="54">
                  <c:v>999.26</c:v>
                </c:pt>
                <c:pt idx="55">
                  <c:v>1014.22</c:v>
                </c:pt>
                <c:pt idx="56">
                  <c:v>1028.49</c:v>
                </c:pt>
                <c:pt idx="57">
                  <c:v>1041.5999999999999</c:v>
                </c:pt>
                <c:pt idx="58">
                  <c:v>1053.67</c:v>
                </c:pt>
                <c:pt idx="59">
                  <c:v>1064.6400000000001</c:v>
                </c:pt>
                <c:pt idx="60">
                  <c:v>1074.25</c:v>
                </c:pt>
                <c:pt idx="61">
                  <c:v>1082.7</c:v>
                </c:pt>
                <c:pt idx="62">
                  <c:v>1089.58</c:v>
                </c:pt>
                <c:pt idx="63">
                  <c:v>1095.0999999999999</c:v>
                </c:pt>
                <c:pt idx="64">
                  <c:v>1099.24</c:v>
                </c:pt>
                <c:pt idx="65">
                  <c:v>1101.97</c:v>
                </c:pt>
                <c:pt idx="66">
                  <c:v>1103.79</c:v>
                </c:pt>
                <c:pt idx="67">
                  <c:v>1105.07</c:v>
                </c:pt>
                <c:pt idx="68">
                  <c:v>1105.1099999999999</c:v>
                </c:pt>
                <c:pt idx="69">
                  <c:v>1105.18</c:v>
                </c:pt>
                <c:pt idx="70">
                  <c:v>1105.26</c:v>
                </c:pt>
                <c:pt idx="71">
                  <c:v>1105.3699999999999</c:v>
                </c:pt>
                <c:pt idx="72">
                  <c:v>1105.52</c:v>
                </c:pt>
                <c:pt idx="73">
                  <c:v>1105.73</c:v>
                </c:pt>
                <c:pt idx="74">
                  <c:v>1106.01</c:v>
                </c:pt>
                <c:pt idx="75">
                  <c:v>1106.4100000000001</c:v>
                </c:pt>
                <c:pt idx="76">
                  <c:v>1106.94</c:v>
                </c:pt>
                <c:pt idx="77">
                  <c:v>1107.72</c:v>
                </c:pt>
                <c:pt idx="78">
                  <c:v>1107.77</c:v>
                </c:pt>
                <c:pt idx="79">
                  <c:v>1107.83</c:v>
                </c:pt>
                <c:pt idx="80">
                  <c:v>1107.95</c:v>
                </c:pt>
                <c:pt idx="81">
                  <c:v>1108.07</c:v>
                </c:pt>
                <c:pt idx="82">
                  <c:v>1108.24</c:v>
                </c:pt>
                <c:pt idx="83">
                  <c:v>1108.55</c:v>
                </c:pt>
                <c:pt idx="84">
                  <c:v>1108.99</c:v>
                </c:pt>
                <c:pt idx="85">
                  <c:v>1109.7</c:v>
                </c:pt>
                <c:pt idx="86">
                  <c:v>1110.79</c:v>
                </c:pt>
                <c:pt idx="87">
                  <c:v>1112.67</c:v>
                </c:pt>
                <c:pt idx="88">
                  <c:v>1114.94</c:v>
                </c:pt>
                <c:pt idx="89">
                  <c:v>1117.02</c:v>
                </c:pt>
                <c:pt idx="90">
                  <c:v>1118.98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4CB-4829-BDBA-EF6755AF9BAB}"/>
            </c:ext>
          </c:extLst>
        </c:ser>
        <c:ser>
          <c:idx val="1"/>
          <c:order val="1"/>
          <c:tx>
            <c:strRef>
              <c:f>DDat!$AI$18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0703A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DDat!$AI$20:$AI$111</c:f>
              <c:numCache>
                <c:formatCode>#,##0.00</c:formatCode>
                <c:ptCount val="92"/>
                <c:pt idx="0">
                  <c:v>300.54000000000002</c:v>
                </c:pt>
                <c:pt idx="1">
                  <c:v>308.20999999999998</c:v>
                </c:pt>
                <c:pt idx="2">
                  <c:v>315.89</c:v>
                </c:pt>
                <c:pt idx="3">
                  <c:v>323.58</c:v>
                </c:pt>
                <c:pt idx="4">
                  <c:v>331.55</c:v>
                </c:pt>
                <c:pt idx="5">
                  <c:v>339.72</c:v>
                </c:pt>
                <c:pt idx="6">
                  <c:v>347.84</c:v>
                </c:pt>
                <c:pt idx="7">
                  <c:v>356</c:v>
                </c:pt>
                <c:pt idx="8">
                  <c:v>364.44</c:v>
                </c:pt>
                <c:pt idx="9">
                  <c:v>373.24</c:v>
                </c:pt>
                <c:pt idx="10">
                  <c:v>382.09</c:v>
                </c:pt>
                <c:pt idx="11">
                  <c:v>391.06</c:v>
                </c:pt>
                <c:pt idx="12">
                  <c:v>400.25</c:v>
                </c:pt>
                <c:pt idx="13">
                  <c:v>409.48</c:v>
                </c:pt>
                <c:pt idx="14">
                  <c:v>418.99</c:v>
                </c:pt>
                <c:pt idx="15">
                  <c:v>428.58</c:v>
                </c:pt>
                <c:pt idx="16">
                  <c:v>438.45</c:v>
                </c:pt>
                <c:pt idx="17">
                  <c:v>448.54</c:v>
                </c:pt>
                <c:pt idx="18">
                  <c:v>458.91</c:v>
                </c:pt>
                <c:pt idx="19">
                  <c:v>469.6</c:v>
                </c:pt>
                <c:pt idx="20">
                  <c:v>480.61</c:v>
                </c:pt>
                <c:pt idx="21">
                  <c:v>492.04</c:v>
                </c:pt>
                <c:pt idx="22">
                  <c:v>503.88</c:v>
                </c:pt>
                <c:pt idx="23">
                  <c:v>516.16</c:v>
                </c:pt>
                <c:pt idx="24">
                  <c:v>528.91999999999996</c:v>
                </c:pt>
                <c:pt idx="25">
                  <c:v>542.08000000000004</c:v>
                </c:pt>
                <c:pt idx="26">
                  <c:v>555.71</c:v>
                </c:pt>
                <c:pt idx="27">
                  <c:v>569.75</c:v>
                </c:pt>
                <c:pt idx="28">
                  <c:v>584.15</c:v>
                </c:pt>
                <c:pt idx="29">
                  <c:v>598.94000000000005</c:v>
                </c:pt>
                <c:pt idx="30">
                  <c:v>614.02</c:v>
                </c:pt>
                <c:pt idx="31">
                  <c:v>629.45000000000005</c:v>
                </c:pt>
                <c:pt idx="32">
                  <c:v>645.1</c:v>
                </c:pt>
                <c:pt idx="33">
                  <c:v>661.03</c:v>
                </c:pt>
                <c:pt idx="34">
                  <c:v>677.13</c:v>
                </c:pt>
                <c:pt idx="35">
                  <c:v>693.41</c:v>
                </c:pt>
                <c:pt idx="36">
                  <c:v>709.88</c:v>
                </c:pt>
                <c:pt idx="37">
                  <c:v>726.47</c:v>
                </c:pt>
                <c:pt idx="38">
                  <c:v>743.31</c:v>
                </c:pt>
                <c:pt idx="39">
                  <c:v>760.51</c:v>
                </c:pt>
                <c:pt idx="40">
                  <c:v>777.96</c:v>
                </c:pt>
                <c:pt idx="41">
                  <c:v>795.57</c:v>
                </c:pt>
                <c:pt idx="42">
                  <c:v>813.42</c:v>
                </c:pt>
                <c:pt idx="43">
                  <c:v>831.39</c:v>
                </c:pt>
                <c:pt idx="44">
                  <c:v>849.57</c:v>
                </c:pt>
                <c:pt idx="45">
                  <c:v>856.34</c:v>
                </c:pt>
                <c:pt idx="46">
                  <c:v>874.49</c:v>
                </c:pt>
                <c:pt idx="47">
                  <c:v>892.53</c:v>
                </c:pt>
                <c:pt idx="48">
                  <c:v>910.44</c:v>
                </c:pt>
                <c:pt idx="49">
                  <c:v>928.27</c:v>
                </c:pt>
                <c:pt idx="50">
                  <c:v>942.94</c:v>
                </c:pt>
                <c:pt idx="51">
                  <c:v>957.17</c:v>
                </c:pt>
                <c:pt idx="52">
                  <c:v>970.8</c:v>
                </c:pt>
                <c:pt idx="53">
                  <c:v>983.7</c:v>
                </c:pt>
                <c:pt idx="54">
                  <c:v>999.26</c:v>
                </c:pt>
                <c:pt idx="55">
                  <c:v>1014.22</c:v>
                </c:pt>
                <c:pt idx="56">
                  <c:v>1028.49</c:v>
                </c:pt>
                <c:pt idx="57">
                  <c:v>1041.5999999999999</c:v>
                </c:pt>
                <c:pt idx="58">
                  <c:v>1053.67</c:v>
                </c:pt>
                <c:pt idx="59">
                  <c:v>1064.6400000000001</c:v>
                </c:pt>
                <c:pt idx="60">
                  <c:v>1074.25</c:v>
                </c:pt>
                <c:pt idx="61">
                  <c:v>1082.7</c:v>
                </c:pt>
                <c:pt idx="62">
                  <c:v>1089.58</c:v>
                </c:pt>
                <c:pt idx="63">
                  <c:v>1095.0999999999999</c:v>
                </c:pt>
                <c:pt idx="64">
                  <c:v>1099.24</c:v>
                </c:pt>
                <c:pt idx="65">
                  <c:v>1101.97</c:v>
                </c:pt>
                <c:pt idx="66">
                  <c:v>1103.79</c:v>
                </c:pt>
                <c:pt idx="67">
                  <c:v>1105.07</c:v>
                </c:pt>
                <c:pt idx="68">
                  <c:v>1105.1099999999999</c:v>
                </c:pt>
                <c:pt idx="69">
                  <c:v>1105.18</c:v>
                </c:pt>
                <c:pt idx="70">
                  <c:v>1105.26</c:v>
                </c:pt>
                <c:pt idx="71">
                  <c:v>1105.3699999999999</c:v>
                </c:pt>
                <c:pt idx="72">
                  <c:v>1105.52</c:v>
                </c:pt>
                <c:pt idx="73">
                  <c:v>1105.73</c:v>
                </c:pt>
                <c:pt idx="74">
                  <c:v>1106.01</c:v>
                </c:pt>
                <c:pt idx="75">
                  <c:v>1106.4100000000001</c:v>
                </c:pt>
                <c:pt idx="76">
                  <c:v>1106.94</c:v>
                </c:pt>
                <c:pt idx="77">
                  <c:v>1107.72</c:v>
                </c:pt>
                <c:pt idx="78">
                  <c:v>1107.77</c:v>
                </c:pt>
                <c:pt idx="79">
                  <c:v>1107.83</c:v>
                </c:pt>
                <c:pt idx="80">
                  <c:v>1107.95</c:v>
                </c:pt>
                <c:pt idx="81">
                  <c:v>1108.07</c:v>
                </c:pt>
                <c:pt idx="82">
                  <c:v>1108.24</c:v>
                </c:pt>
                <c:pt idx="83">
                  <c:v>1108.55</c:v>
                </c:pt>
                <c:pt idx="84">
                  <c:v>1108.99</c:v>
                </c:pt>
                <c:pt idx="85">
                  <c:v>1109.7</c:v>
                </c:pt>
                <c:pt idx="86">
                  <c:v>1110.79</c:v>
                </c:pt>
                <c:pt idx="87">
                  <c:v>1112.67</c:v>
                </c:pt>
                <c:pt idx="88">
                  <c:v>1114.94</c:v>
                </c:pt>
                <c:pt idx="89">
                  <c:v>1117.02</c:v>
                </c:pt>
                <c:pt idx="90">
                  <c:v>1118.98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4CB-4829-BDBA-EF6755AF9BAB}"/>
            </c:ext>
          </c:extLst>
        </c:ser>
        <c:ser>
          <c:idx val="2"/>
          <c:order val="2"/>
          <c:tx>
            <c:strRef>
              <c:f>DDat!$AJ$18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A5161D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DDat!$AJ$20:$AJ$111</c:f>
              <c:numCache>
                <c:formatCode>#,##0.00</c:formatCode>
                <c:ptCount val="92"/>
                <c:pt idx="0">
                  <c:v>300.54000000000002</c:v>
                </c:pt>
                <c:pt idx="1">
                  <c:v>308.20999999999998</c:v>
                </c:pt>
                <c:pt idx="2">
                  <c:v>315.89</c:v>
                </c:pt>
                <c:pt idx="3">
                  <c:v>323.58</c:v>
                </c:pt>
                <c:pt idx="4">
                  <c:v>331.55</c:v>
                </c:pt>
                <c:pt idx="5">
                  <c:v>339.72</c:v>
                </c:pt>
                <c:pt idx="6">
                  <c:v>347.84</c:v>
                </c:pt>
                <c:pt idx="7">
                  <c:v>356</c:v>
                </c:pt>
                <c:pt idx="8">
                  <c:v>364.44</c:v>
                </c:pt>
                <c:pt idx="9">
                  <c:v>373.24</c:v>
                </c:pt>
                <c:pt idx="10">
                  <c:v>382.09</c:v>
                </c:pt>
                <c:pt idx="11">
                  <c:v>391.06</c:v>
                </c:pt>
                <c:pt idx="12">
                  <c:v>400.25</c:v>
                </c:pt>
                <c:pt idx="13">
                  <c:v>409.48</c:v>
                </c:pt>
                <c:pt idx="14">
                  <c:v>418.99</c:v>
                </c:pt>
                <c:pt idx="15">
                  <c:v>428.58</c:v>
                </c:pt>
                <c:pt idx="16">
                  <c:v>438.45</c:v>
                </c:pt>
                <c:pt idx="17">
                  <c:v>448.54</c:v>
                </c:pt>
                <c:pt idx="18">
                  <c:v>458.91</c:v>
                </c:pt>
                <c:pt idx="19">
                  <c:v>469.6</c:v>
                </c:pt>
                <c:pt idx="20">
                  <c:v>480.61</c:v>
                </c:pt>
                <c:pt idx="21">
                  <c:v>492.04</c:v>
                </c:pt>
                <c:pt idx="22">
                  <c:v>503.88</c:v>
                </c:pt>
                <c:pt idx="23">
                  <c:v>516.16</c:v>
                </c:pt>
                <c:pt idx="24">
                  <c:v>528.91999999999996</c:v>
                </c:pt>
                <c:pt idx="25">
                  <c:v>542.08000000000004</c:v>
                </c:pt>
                <c:pt idx="26">
                  <c:v>555.71</c:v>
                </c:pt>
                <c:pt idx="27">
                  <c:v>569.75</c:v>
                </c:pt>
                <c:pt idx="28">
                  <c:v>584.15</c:v>
                </c:pt>
                <c:pt idx="29">
                  <c:v>598.94000000000005</c:v>
                </c:pt>
                <c:pt idx="30">
                  <c:v>614.02</c:v>
                </c:pt>
                <c:pt idx="31">
                  <c:v>629.45000000000005</c:v>
                </c:pt>
                <c:pt idx="32">
                  <c:v>645.1</c:v>
                </c:pt>
                <c:pt idx="33">
                  <c:v>661.03</c:v>
                </c:pt>
                <c:pt idx="34">
                  <c:v>677.13</c:v>
                </c:pt>
                <c:pt idx="35">
                  <c:v>693.41</c:v>
                </c:pt>
                <c:pt idx="36">
                  <c:v>709.88</c:v>
                </c:pt>
                <c:pt idx="37">
                  <c:v>726.47</c:v>
                </c:pt>
                <c:pt idx="38">
                  <c:v>743.31</c:v>
                </c:pt>
                <c:pt idx="39">
                  <c:v>760.51</c:v>
                </c:pt>
                <c:pt idx="40">
                  <c:v>777.96</c:v>
                </c:pt>
                <c:pt idx="41">
                  <c:v>795.57</c:v>
                </c:pt>
                <c:pt idx="42">
                  <c:v>813.42</c:v>
                </c:pt>
                <c:pt idx="43">
                  <c:v>831.39</c:v>
                </c:pt>
                <c:pt idx="44">
                  <c:v>849.57</c:v>
                </c:pt>
                <c:pt idx="45">
                  <c:v>856.34</c:v>
                </c:pt>
                <c:pt idx="46">
                  <c:v>874.49</c:v>
                </c:pt>
                <c:pt idx="47">
                  <c:v>892.53</c:v>
                </c:pt>
                <c:pt idx="48">
                  <c:v>910.44</c:v>
                </c:pt>
                <c:pt idx="49">
                  <c:v>928.27</c:v>
                </c:pt>
                <c:pt idx="50">
                  <c:v>942.94</c:v>
                </c:pt>
                <c:pt idx="51">
                  <c:v>957.17</c:v>
                </c:pt>
                <c:pt idx="52">
                  <c:v>970.8</c:v>
                </c:pt>
                <c:pt idx="53">
                  <c:v>983.7</c:v>
                </c:pt>
                <c:pt idx="54">
                  <c:v>999.26</c:v>
                </c:pt>
                <c:pt idx="55">
                  <c:v>1014.22</c:v>
                </c:pt>
                <c:pt idx="56">
                  <c:v>1028.49</c:v>
                </c:pt>
                <c:pt idx="57">
                  <c:v>1041.5999999999999</c:v>
                </c:pt>
                <c:pt idx="58">
                  <c:v>1053.67</c:v>
                </c:pt>
                <c:pt idx="59">
                  <c:v>1064.6400000000001</c:v>
                </c:pt>
                <c:pt idx="60">
                  <c:v>1074.25</c:v>
                </c:pt>
                <c:pt idx="61">
                  <c:v>1082.7</c:v>
                </c:pt>
                <c:pt idx="62">
                  <c:v>1089.58</c:v>
                </c:pt>
                <c:pt idx="63">
                  <c:v>1095.0999999999999</c:v>
                </c:pt>
                <c:pt idx="64">
                  <c:v>1099.24</c:v>
                </c:pt>
                <c:pt idx="65">
                  <c:v>1101.97</c:v>
                </c:pt>
                <c:pt idx="66">
                  <c:v>1103.79</c:v>
                </c:pt>
                <c:pt idx="67">
                  <c:v>1105.07</c:v>
                </c:pt>
                <c:pt idx="68">
                  <c:v>1105.1099999999999</c:v>
                </c:pt>
                <c:pt idx="69">
                  <c:v>1105.18</c:v>
                </c:pt>
                <c:pt idx="70">
                  <c:v>1105.26</c:v>
                </c:pt>
                <c:pt idx="71">
                  <c:v>1105.3699999999999</c:v>
                </c:pt>
                <c:pt idx="72">
                  <c:v>1105.52</c:v>
                </c:pt>
                <c:pt idx="73">
                  <c:v>1105.73</c:v>
                </c:pt>
                <c:pt idx="74">
                  <c:v>1106.01</c:v>
                </c:pt>
                <c:pt idx="75">
                  <c:v>1106.4100000000001</c:v>
                </c:pt>
                <c:pt idx="76">
                  <c:v>1106.94</c:v>
                </c:pt>
                <c:pt idx="77">
                  <c:v>1107.72</c:v>
                </c:pt>
                <c:pt idx="78">
                  <c:v>1107.77</c:v>
                </c:pt>
                <c:pt idx="79">
                  <c:v>1107.83</c:v>
                </c:pt>
                <c:pt idx="80">
                  <c:v>1107.95</c:v>
                </c:pt>
                <c:pt idx="81">
                  <c:v>1108.07</c:v>
                </c:pt>
                <c:pt idx="82">
                  <c:v>1108.24</c:v>
                </c:pt>
                <c:pt idx="83">
                  <c:v>1108.55</c:v>
                </c:pt>
                <c:pt idx="84">
                  <c:v>1108.99</c:v>
                </c:pt>
                <c:pt idx="85">
                  <c:v>1109.7</c:v>
                </c:pt>
                <c:pt idx="86">
                  <c:v>1110.79</c:v>
                </c:pt>
                <c:pt idx="87">
                  <c:v>1112.67</c:v>
                </c:pt>
                <c:pt idx="88">
                  <c:v>1114.94</c:v>
                </c:pt>
                <c:pt idx="89">
                  <c:v>1117.02</c:v>
                </c:pt>
                <c:pt idx="90">
                  <c:v>1118.98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4CB-4829-BDBA-EF6755AF9B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292872"/>
        <c:axId val="1"/>
      </c:scatterChart>
      <c:valAx>
        <c:axId val="378292872"/>
        <c:scaling>
          <c:orientation val="minMax"/>
          <c:max val="111"/>
          <c:min val="2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/>
            </a:pPr>
            <a:endParaRPr lang="de-DE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/>
            </a:pPr>
            <a:endParaRPr lang="de-DE"/>
          </a:p>
        </c:txPr>
        <c:crossAx val="378292872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170975813177648E-2"/>
          <c:y val="0.89743589743589747"/>
          <c:w val="0.92827356130108418"/>
          <c:h val="9.9865047233468313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000"/>
          </a:pPr>
          <a:endParaRPr lang="de-DE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Verdana" panose="020B0604030504040204" pitchFamily="34" charset="0"/>
          <a:ea typeface="Verdana" panose="020B0604030504040204" pitchFamily="34" charset="0"/>
          <a:cs typeface="Verdana" panose="020B0604030504040204" pitchFamily="34" charset="0"/>
        </a:defRPr>
      </a:pPr>
      <a:endParaRPr lang="de-DE"/>
    </a:p>
  </c:tx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DDat!$AH$17</c:f>
          <c:strCache>
            <c:ptCount val="1"/>
            <c:pt idx="0">
              <c:v>Monatsbeiträge (monotonisiert)
Frauen+Männer − λ_x: + 50,0 % − x_ω: 110 − r: 2,5 % − q_x: PKV 2017 − w_x: Sto BaFin N 2015 − K_x: Primo kompakt 2015 − x_KM: 70 − Δ_js: 8,6 % − Γ_js: 802 / 679 Euro − α^Z_x: 2 MB (ab 70 abzgl. 0,5 MB)</c:v>
            </c:pt>
          </c:strCache>
        </c:strRef>
      </c:tx>
      <c:layout>
        <c:manualLayout>
          <c:xMode val="edge"/>
          <c:yMode val="edge"/>
          <c:x val="0.12839244718710852"/>
          <c:y val="2.0304436224159592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1"/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5.845511482254697E-2"/>
          <c:y val="0.17600919957435801"/>
          <c:w val="0.91858037578288099"/>
          <c:h val="0.66155427335497108"/>
        </c:manualLayout>
      </c:layout>
      <c:scatterChart>
        <c:scatterStyle val="lineMarker"/>
        <c:varyColors val="0"/>
        <c:ser>
          <c:idx val="0"/>
          <c:order val="0"/>
          <c:tx>
            <c:strRef>
              <c:f>DDat!$AH$18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84AAD"/>
              </a:solidFill>
              <a:prstDash val="solid"/>
            </a:ln>
          </c:spPr>
          <c:marker>
            <c:symbol val="none"/>
          </c:marker>
          <c:xVal>
            <c:numRef>
              <c:f>DDat!$A$20:$A$51</c:f>
              <c:numCache>
                <c:formatCode>General</c:formatCode>
                <c:ptCount val="3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</c:numCache>
            </c:numRef>
          </c:xVal>
          <c:yVal>
            <c:numRef>
              <c:f>DDat!$AH$20:$AH$51</c:f>
              <c:numCache>
                <c:formatCode>#,##0.00</c:formatCode>
                <c:ptCount val="32"/>
                <c:pt idx="0">
                  <c:v>300.54000000000002</c:v>
                </c:pt>
                <c:pt idx="1">
                  <c:v>308.20999999999998</c:v>
                </c:pt>
                <c:pt idx="2">
                  <c:v>315.89</c:v>
                </c:pt>
                <c:pt idx="3">
                  <c:v>323.58</c:v>
                </c:pt>
                <c:pt idx="4">
                  <c:v>331.55</c:v>
                </c:pt>
                <c:pt idx="5">
                  <c:v>339.72</c:v>
                </c:pt>
                <c:pt idx="6">
                  <c:v>347.84</c:v>
                </c:pt>
                <c:pt idx="7">
                  <c:v>356</c:v>
                </c:pt>
                <c:pt idx="8">
                  <c:v>364.44</c:v>
                </c:pt>
                <c:pt idx="9">
                  <c:v>373.24</c:v>
                </c:pt>
                <c:pt idx="10">
                  <c:v>382.09</c:v>
                </c:pt>
                <c:pt idx="11">
                  <c:v>391.06</c:v>
                </c:pt>
                <c:pt idx="12">
                  <c:v>400.25</c:v>
                </c:pt>
                <c:pt idx="13">
                  <c:v>409.48</c:v>
                </c:pt>
                <c:pt idx="14">
                  <c:v>418.99</c:v>
                </c:pt>
                <c:pt idx="15">
                  <c:v>428.58</c:v>
                </c:pt>
                <c:pt idx="16">
                  <c:v>438.45</c:v>
                </c:pt>
                <c:pt idx="17">
                  <c:v>448.54</c:v>
                </c:pt>
                <c:pt idx="18">
                  <c:v>458.91</c:v>
                </c:pt>
                <c:pt idx="19">
                  <c:v>469.6</c:v>
                </c:pt>
                <c:pt idx="20">
                  <c:v>480.61</c:v>
                </c:pt>
                <c:pt idx="21">
                  <c:v>492.04</c:v>
                </c:pt>
                <c:pt idx="22">
                  <c:v>503.88</c:v>
                </c:pt>
                <c:pt idx="23">
                  <c:v>516.16</c:v>
                </c:pt>
                <c:pt idx="24">
                  <c:v>528.91999999999996</c:v>
                </c:pt>
                <c:pt idx="25">
                  <c:v>542.08000000000004</c:v>
                </c:pt>
                <c:pt idx="26">
                  <c:v>555.71</c:v>
                </c:pt>
                <c:pt idx="27">
                  <c:v>569.75</c:v>
                </c:pt>
                <c:pt idx="28">
                  <c:v>584.15</c:v>
                </c:pt>
                <c:pt idx="29">
                  <c:v>598.94000000000005</c:v>
                </c:pt>
                <c:pt idx="30">
                  <c:v>614.02</c:v>
                </c:pt>
                <c:pt idx="31">
                  <c:v>629.45000000000005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DD8-4160-B6E7-07525864973B}"/>
            </c:ext>
          </c:extLst>
        </c:ser>
        <c:ser>
          <c:idx val="1"/>
          <c:order val="1"/>
          <c:tx>
            <c:strRef>
              <c:f>DDat!$AI$18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0703A"/>
              </a:solidFill>
              <a:prstDash val="solid"/>
            </a:ln>
          </c:spPr>
          <c:marker>
            <c:symbol val="none"/>
          </c:marker>
          <c:xVal>
            <c:numRef>
              <c:f>DDat!$A$20:$A$51</c:f>
              <c:numCache>
                <c:formatCode>General</c:formatCode>
                <c:ptCount val="3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</c:numCache>
            </c:numRef>
          </c:xVal>
          <c:yVal>
            <c:numRef>
              <c:f>DDat!$AI$20:$AI$51</c:f>
              <c:numCache>
                <c:formatCode>#,##0.00</c:formatCode>
                <c:ptCount val="32"/>
                <c:pt idx="0">
                  <c:v>300.54000000000002</c:v>
                </c:pt>
                <c:pt idx="1">
                  <c:v>308.20999999999998</c:v>
                </c:pt>
                <c:pt idx="2">
                  <c:v>315.89</c:v>
                </c:pt>
                <c:pt idx="3">
                  <c:v>323.58</c:v>
                </c:pt>
                <c:pt idx="4">
                  <c:v>331.55</c:v>
                </c:pt>
                <c:pt idx="5">
                  <c:v>339.72</c:v>
                </c:pt>
                <c:pt idx="6">
                  <c:v>347.84</c:v>
                </c:pt>
                <c:pt idx="7">
                  <c:v>356</c:v>
                </c:pt>
                <c:pt idx="8">
                  <c:v>364.44</c:v>
                </c:pt>
                <c:pt idx="9">
                  <c:v>373.24</c:v>
                </c:pt>
                <c:pt idx="10">
                  <c:v>382.09</c:v>
                </c:pt>
                <c:pt idx="11">
                  <c:v>391.06</c:v>
                </c:pt>
                <c:pt idx="12">
                  <c:v>400.25</c:v>
                </c:pt>
                <c:pt idx="13">
                  <c:v>409.48</c:v>
                </c:pt>
                <c:pt idx="14">
                  <c:v>418.99</c:v>
                </c:pt>
                <c:pt idx="15">
                  <c:v>428.58</c:v>
                </c:pt>
                <c:pt idx="16">
                  <c:v>438.45</c:v>
                </c:pt>
                <c:pt idx="17">
                  <c:v>448.54</c:v>
                </c:pt>
                <c:pt idx="18">
                  <c:v>458.91</c:v>
                </c:pt>
                <c:pt idx="19">
                  <c:v>469.6</c:v>
                </c:pt>
                <c:pt idx="20">
                  <c:v>480.61</c:v>
                </c:pt>
                <c:pt idx="21">
                  <c:v>492.04</c:v>
                </c:pt>
                <c:pt idx="22">
                  <c:v>503.88</c:v>
                </c:pt>
                <c:pt idx="23">
                  <c:v>516.16</c:v>
                </c:pt>
                <c:pt idx="24">
                  <c:v>528.91999999999996</c:v>
                </c:pt>
                <c:pt idx="25">
                  <c:v>542.08000000000004</c:v>
                </c:pt>
                <c:pt idx="26">
                  <c:v>555.71</c:v>
                </c:pt>
                <c:pt idx="27">
                  <c:v>569.75</c:v>
                </c:pt>
                <c:pt idx="28">
                  <c:v>584.15</c:v>
                </c:pt>
                <c:pt idx="29">
                  <c:v>598.94000000000005</c:v>
                </c:pt>
                <c:pt idx="30">
                  <c:v>614.02</c:v>
                </c:pt>
                <c:pt idx="31">
                  <c:v>629.45000000000005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DD8-4160-B6E7-07525864973B}"/>
            </c:ext>
          </c:extLst>
        </c:ser>
        <c:ser>
          <c:idx val="2"/>
          <c:order val="2"/>
          <c:tx>
            <c:strRef>
              <c:f>DDat!$AJ$18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A5161D"/>
              </a:solidFill>
              <a:prstDash val="solid"/>
            </a:ln>
          </c:spPr>
          <c:marker>
            <c:symbol val="none"/>
          </c:marker>
          <c:xVal>
            <c:numRef>
              <c:f>DDat!$A$20:$A$51</c:f>
              <c:numCache>
                <c:formatCode>General</c:formatCode>
                <c:ptCount val="3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</c:numCache>
            </c:numRef>
          </c:xVal>
          <c:yVal>
            <c:numRef>
              <c:f>DDat!$AJ$20:$AJ$51</c:f>
              <c:numCache>
                <c:formatCode>#,##0.00</c:formatCode>
                <c:ptCount val="32"/>
                <c:pt idx="0">
                  <c:v>300.54000000000002</c:v>
                </c:pt>
                <c:pt idx="1">
                  <c:v>308.20999999999998</c:v>
                </c:pt>
                <c:pt idx="2">
                  <c:v>315.89</c:v>
                </c:pt>
                <c:pt idx="3">
                  <c:v>323.58</c:v>
                </c:pt>
                <c:pt idx="4">
                  <c:v>331.55</c:v>
                </c:pt>
                <c:pt idx="5">
                  <c:v>339.72</c:v>
                </c:pt>
                <c:pt idx="6">
                  <c:v>347.84</c:v>
                </c:pt>
                <c:pt idx="7">
                  <c:v>356</c:v>
                </c:pt>
                <c:pt idx="8">
                  <c:v>364.44</c:v>
                </c:pt>
                <c:pt idx="9">
                  <c:v>373.24</c:v>
                </c:pt>
                <c:pt idx="10">
                  <c:v>382.09</c:v>
                </c:pt>
                <c:pt idx="11">
                  <c:v>391.06</c:v>
                </c:pt>
                <c:pt idx="12">
                  <c:v>400.25</c:v>
                </c:pt>
                <c:pt idx="13">
                  <c:v>409.48</c:v>
                </c:pt>
                <c:pt idx="14">
                  <c:v>418.99</c:v>
                </c:pt>
                <c:pt idx="15">
                  <c:v>428.58</c:v>
                </c:pt>
                <c:pt idx="16">
                  <c:v>438.45</c:v>
                </c:pt>
                <c:pt idx="17">
                  <c:v>448.54</c:v>
                </c:pt>
                <c:pt idx="18">
                  <c:v>458.91</c:v>
                </c:pt>
                <c:pt idx="19">
                  <c:v>469.6</c:v>
                </c:pt>
                <c:pt idx="20">
                  <c:v>480.61</c:v>
                </c:pt>
                <c:pt idx="21">
                  <c:v>492.04</c:v>
                </c:pt>
                <c:pt idx="22">
                  <c:v>503.88</c:v>
                </c:pt>
                <c:pt idx="23">
                  <c:v>516.16</c:v>
                </c:pt>
                <c:pt idx="24">
                  <c:v>528.91999999999996</c:v>
                </c:pt>
                <c:pt idx="25">
                  <c:v>542.08000000000004</c:v>
                </c:pt>
                <c:pt idx="26">
                  <c:v>555.71</c:v>
                </c:pt>
                <c:pt idx="27">
                  <c:v>569.75</c:v>
                </c:pt>
                <c:pt idx="28">
                  <c:v>584.15</c:v>
                </c:pt>
                <c:pt idx="29">
                  <c:v>598.94000000000005</c:v>
                </c:pt>
                <c:pt idx="30">
                  <c:v>614.02</c:v>
                </c:pt>
                <c:pt idx="31">
                  <c:v>629.45000000000005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DD8-4160-B6E7-075258649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292872"/>
        <c:axId val="1"/>
      </c:scatterChart>
      <c:valAx>
        <c:axId val="378292872"/>
        <c:scaling>
          <c:orientation val="minMax"/>
          <c:max val="51"/>
          <c:min val="2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/>
            </a:pPr>
            <a:endParaRPr lang="de-DE"/>
          </a:p>
        </c:txPr>
        <c:crossAx val="1"/>
        <c:crosses val="autoZero"/>
        <c:crossBetween val="midCat"/>
        <c:majorUnit val="5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/>
            </a:pPr>
            <a:endParaRPr lang="de-DE"/>
          </a:p>
        </c:txPr>
        <c:crossAx val="378292872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170975813177648E-2"/>
          <c:y val="0.89743589743589747"/>
          <c:w val="0.92827356130108418"/>
          <c:h val="9.9865047233468313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000"/>
          </a:pPr>
          <a:endParaRPr lang="de-DE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Verdana" panose="020B0604030504040204" pitchFamily="34" charset="0"/>
          <a:ea typeface="Verdana" panose="020B0604030504040204" pitchFamily="34" charset="0"/>
          <a:cs typeface="Verdana" panose="020B0604030504040204" pitchFamily="34" charset="0"/>
        </a:defRPr>
      </a:pPr>
      <a:endParaRPr lang="de-DE"/>
    </a:p>
  </c:txPr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DDat!$AW$17</c:f>
          <c:strCache>
            <c:ptCount val="1"/>
            <c:pt idx="0">
              <c:v>normierte ungezillmerte Alterungsrückstellung
Frauen+Männer − λ_x: + 50,0 % − x_ω: 110 − r: 2,5 % − q_x: PKV 2017 − w_x: Sto BaFin N 2015 − K_x: Primo kompakt 2015 − x_KM: 70 − Δ_js: 8,6 % − Γ_js: 802 / 679 Euro − α^Z_x: 2 MB (ab 70 abzgl. 0,5 MB) | x_0: </c:v>
            </c:pt>
          </c:strCache>
        </c:strRef>
      </c:tx>
      <c:layout>
        <c:manualLayout>
          <c:xMode val="edge"/>
          <c:yMode val="edge"/>
          <c:x val="0.12839239527941421"/>
          <c:y val="2.030439148126618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4.1753653444676408E-2"/>
          <c:y val="0.18443316412859559"/>
          <c:w val="0.93319415448851772"/>
          <c:h val="0.70050761421319796"/>
        </c:manualLayout>
      </c:layout>
      <c:scatterChart>
        <c:scatterStyle val="lineMarker"/>
        <c:varyColors val="0"/>
        <c:ser>
          <c:idx val="0"/>
          <c:order val="0"/>
          <c:tx>
            <c:strRef>
              <c:f>DDat!$AW$18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84AAD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DDat!$AW$20:$AW$111</c:f>
              <c:numCache>
                <c:formatCode>#,##0.00</c:formatCode>
                <c:ptCount val="9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8.9999999999999998E-4</c:v>
                </c:pt>
                <c:pt idx="16">
                  <c:v>0.98450000000000004</c:v>
                </c:pt>
                <c:pt idx="17">
                  <c:v>2.0192999999999999</c:v>
                </c:pt>
                <c:pt idx="18">
                  <c:v>3.1053000000000002</c:v>
                </c:pt>
                <c:pt idx="19">
                  <c:v>4.2389999999999999</c:v>
                </c:pt>
                <c:pt idx="20">
                  <c:v>5.4170999999999996</c:v>
                </c:pt>
                <c:pt idx="21">
                  <c:v>6.6410999999999998</c:v>
                </c:pt>
                <c:pt idx="22">
                  <c:v>7.9070999999999998</c:v>
                </c:pt>
                <c:pt idx="23">
                  <c:v>9.2109000000000005</c:v>
                </c:pt>
                <c:pt idx="24">
                  <c:v>10.5588</c:v>
                </c:pt>
                <c:pt idx="25">
                  <c:v>11.9436</c:v>
                </c:pt>
                <c:pt idx="26">
                  <c:v>13.3689</c:v>
                </c:pt>
                <c:pt idx="27">
                  <c:v>14.823</c:v>
                </c:pt>
                <c:pt idx="28">
                  <c:v>16.3124</c:v>
                </c:pt>
                <c:pt idx="29">
                  <c:v>17.831800000000001</c:v>
                </c:pt>
                <c:pt idx="30">
                  <c:v>19.383500000000002</c:v>
                </c:pt>
                <c:pt idx="31">
                  <c:v>20.9664</c:v>
                </c:pt>
                <c:pt idx="32">
                  <c:v>22.5779</c:v>
                </c:pt>
                <c:pt idx="33">
                  <c:v>24.224699999999999</c:v>
                </c:pt>
                <c:pt idx="34">
                  <c:v>25.909199999999998</c:v>
                </c:pt>
                <c:pt idx="35">
                  <c:v>27.607700000000001</c:v>
                </c:pt>
                <c:pt idx="36">
                  <c:v>29.244700000000002</c:v>
                </c:pt>
                <c:pt idx="37">
                  <c:v>30.751999999999999</c:v>
                </c:pt>
                <c:pt idx="38">
                  <c:v>32.104599999999998</c:v>
                </c:pt>
                <c:pt idx="39">
                  <c:v>33.336399999999998</c:v>
                </c:pt>
                <c:pt idx="40">
                  <c:v>34.483499999999999</c:v>
                </c:pt>
                <c:pt idx="41">
                  <c:v>35.5595</c:v>
                </c:pt>
                <c:pt idx="42">
                  <c:v>36.554600000000001</c:v>
                </c:pt>
                <c:pt idx="43">
                  <c:v>37.463299999999997</c:v>
                </c:pt>
                <c:pt idx="44">
                  <c:v>38.2806</c:v>
                </c:pt>
                <c:pt idx="45">
                  <c:v>38.991199999999999</c:v>
                </c:pt>
                <c:pt idx="46">
                  <c:v>39.581600000000002</c:v>
                </c:pt>
                <c:pt idx="47">
                  <c:v>40.043300000000002</c:v>
                </c:pt>
                <c:pt idx="48">
                  <c:v>40.371400000000001</c:v>
                </c:pt>
                <c:pt idx="49">
                  <c:v>40.563299999999998</c:v>
                </c:pt>
                <c:pt idx="50">
                  <c:v>40.622199999999999</c:v>
                </c:pt>
                <c:pt idx="51">
                  <c:v>40.542999999999999</c:v>
                </c:pt>
                <c:pt idx="52">
                  <c:v>40.323500000000003</c:v>
                </c:pt>
                <c:pt idx="53">
                  <c:v>39.968400000000003</c:v>
                </c:pt>
                <c:pt idx="54">
                  <c:v>39.476199999999999</c:v>
                </c:pt>
                <c:pt idx="55">
                  <c:v>38.842300000000002</c:v>
                </c:pt>
                <c:pt idx="56">
                  <c:v>38.071800000000003</c:v>
                </c:pt>
                <c:pt idx="57">
                  <c:v>37.148800000000001</c:v>
                </c:pt>
                <c:pt idx="58">
                  <c:v>36.091000000000001</c:v>
                </c:pt>
                <c:pt idx="59">
                  <c:v>34.911799999999999</c:v>
                </c:pt>
                <c:pt idx="60">
                  <c:v>33.625700000000002</c:v>
                </c:pt>
                <c:pt idx="61">
                  <c:v>32.252299999999998</c:v>
                </c:pt>
                <c:pt idx="62">
                  <c:v>30.806799999999999</c:v>
                </c:pt>
                <c:pt idx="63">
                  <c:v>29.305900000000001</c:v>
                </c:pt>
                <c:pt idx="64">
                  <c:v>27.772099999999998</c:v>
                </c:pt>
                <c:pt idx="65">
                  <c:v>26.227799999999998</c:v>
                </c:pt>
                <c:pt idx="66">
                  <c:v>24.701899999999998</c:v>
                </c:pt>
                <c:pt idx="67">
                  <c:v>23.2225</c:v>
                </c:pt>
                <c:pt idx="68">
                  <c:v>21.791</c:v>
                </c:pt>
                <c:pt idx="69">
                  <c:v>20.4328</c:v>
                </c:pt>
                <c:pt idx="70">
                  <c:v>19.1723</c:v>
                </c:pt>
                <c:pt idx="71">
                  <c:v>18.017499999999998</c:v>
                </c:pt>
                <c:pt idx="72">
                  <c:v>16.937999999999999</c:v>
                </c:pt>
                <c:pt idx="73">
                  <c:v>15.956899999999999</c:v>
                </c:pt>
                <c:pt idx="74">
                  <c:v>15.0936</c:v>
                </c:pt>
                <c:pt idx="75">
                  <c:v>14.329700000000001</c:v>
                </c:pt>
                <c:pt idx="76">
                  <c:v>13.6942</c:v>
                </c:pt>
                <c:pt idx="77">
                  <c:v>13.172700000000001</c:v>
                </c:pt>
                <c:pt idx="78">
                  <c:v>12.7514</c:v>
                </c:pt>
                <c:pt idx="79">
                  <c:v>12.458299999999999</c:v>
                </c:pt>
                <c:pt idx="80">
                  <c:v>12.203799999999999</c:v>
                </c:pt>
                <c:pt idx="81">
                  <c:v>11.9276</c:v>
                </c:pt>
                <c:pt idx="82">
                  <c:v>11.624599999999999</c:v>
                </c:pt>
                <c:pt idx="83">
                  <c:v>11.275600000000001</c:v>
                </c:pt>
                <c:pt idx="84">
                  <c:v>10.881500000000001</c:v>
                </c:pt>
                <c:pt idx="85">
                  <c:v>10.4008</c:v>
                </c:pt>
                <c:pt idx="86">
                  <c:v>9.7901000000000007</c:v>
                </c:pt>
                <c:pt idx="87">
                  <c:v>8.9771000000000001</c:v>
                </c:pt>
                <c:pt idx="88">
                  <c:v>7.8402000000000003</c:v>
                </c:pt>
                <c:pt idx="89">
                  <c:v>6.1856</c:v>
                </c:pt>
                <c:pt idx="90">
                  <c:v>3.7258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C0B-46F7-AC26-7107EC40EAFF}"/>
            </c:ext>
          </c:extLst>
        </c:ser>
        <c:ser>
          <c:idx val="1"/>
          <c:order val="1"/>
          <c:tx>
            <c:strRef>
              <c:f>DDat!$AX$18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0703A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DDat!$AX$20:$AX$111</c:f>
              <c:numCache>
                <c:formatCode>#,##0.00</c:formatCode>
                <c:ptCount val="9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8.9999999999999998E-4</c:v>
                </c:pt>
                <c:pt idx="16">
                  <c:v>0.98450000000000004</c:v>
                </c:pt>
                <c:pt idx="17">
                  <c:v>2.0192999999999999</c:v>
                </c:pt>
                <c:pt idx="18">
                  <c:v>3.1053000000000002</c:v>
                </c:pt>
                <c:pt idx="19">
                  <c:v>4.2389999999999999</c:v>
                </c:pt>
                <c:pt idx="20">
                  <c:v>5.4170999999999996</c:v>
                </c:pt>
                <c:pt idx="21">
                  <c:v>6.6410999999999998</c:v>
                </c:pt>
                <c:pt idx="22">
                  <c:v>7.9070999999999998</c:v>
                </c:pt>
                <c:pt idx="23">
                  <c:v>9.2109000000000005</c:v>
                </c:pt>
                <c:pt idx="24">
                  <c:v>10.5588</c:v>
                </c:pt>
                <c:pt idx="25">
                  <c:v>11.9436</c:v>
                </c:pt>
                <c:pt idx="26">
                  <c:v>13.3689</c:v>
                </c:pt>
                <c:pt idx="27">
                  <c:v>14.823</c:v>
                </c:pt>
                <c:pt idx="28">
                  <c:v>16.3124</c:v>
                </c:pt>
                <c:pt idx="29">
                  <c:v>17.831800000000001</c:v>
                </c:pt>
                <c:pt idx="30">
                  <c:v>19.383500000000002</c:v>
                </c:pt>
                <c:pt idx="31">
                  <c:v>20.9664</c:v>
                </c:pt>
                <c:pt idx="32">
                  <c:v>22.5779</c:v>
                </c:pt>
                <c:pt idx="33">
                  <c:v>24.224699999999999</c:v>
                </c:pt>
                <c:pt idx="34">
                  <c:v>25.909199999999998</c:v>
                </c:pt>
                <c:pt idx="35">
                  <c:v>27.607700000000001</c:v>
                </c:pt>
                <c:pt idx="36">
                  <c:v>29.244700000000002</c:v>
                </c:pt>
                <c:pt idx="37">
                  <c:v>30.751999999999999</c:v>
                </c:pt>
                <c:pt idx="38">
                  <c:v>32.104599999999998</c:v>
                </c:pt>
                <c:pt idx="39">
                  <c:v>33.336399999999998</c:v>
                </c:pt>
                <c:pt idx="40">
                  <c:v>34.483499999999999</c:v>
                </c:pt>
                <c:pt idx="41">
                  <c:v>35.5595</c:v>
                </c:pt>
                <c:pt idx="42">
                  <c:v>36.554600000000001</c:v>
                </c:pt>
                <c:pt idx="43">
                  <c:v>37.463299999999997</c:v>
                </c:pt>
                <c:pt idx="44">
                  <c:v>38.2806</c:v>
                </c:pt>
                <c:pt idx="45">
                  <c:v>38.991199999999999</c:v>
                </c:pt>
                <c:pt idx="46">
                  <c:v>39.581600000000002</c:v>
                </c:pt>
                <c:pt idx="47">
                  <c:v>40.043300000000002</c:v>
                </c:pt>
                <c:pt idx="48">
                  <c:v>40.371400000000001</c:v>
                </c:pt>
                <c:pt idx="49">
                  <c:v>40.563299999999998</c:v>
                </c:pt>
                <c:pt idx="50">
                  <c:v>40.622199999999999</c:v>
                </c:pt>
                <c:pt idx="51">
                  <c:v>40.542999999999999</c:v>
                </c:pt>
                <c:pt idx="52">
                  <c:v>40.323500000000003</c:v>
                </c:pt>
                <c:pt idx="53">
                  <c:v>39.968400000000003</c:v>
                </c:pt>
                <c:pt idx="54">
                  <c:v>39.476199999999999</c:v>
                </c:pt>
                <c:pt idx="55">
                  <c:v>38.842300000000002</c:v>
                </c:pt>
                <c:pt idx="56">
                  <c:v>38.071800000000003</c:v>
                </c:pt>
                <c:pt idx="57">
                  <c:v>37.148800000000001</c:v>
                </c:pt>
                <c:pt idx="58">
                  <c:v>36.091000000000001</c:v>
                </c:pt>
                <c:pt idx="59">
                  <c:v>34.911799999999999</c:v>
                </c:pt>
                <c:pt idx="60">
                  <c:v>33.625700000000002</c:v>
                </c:pt>
                <c:pt idx="61">
                  <c:v>32.252299999999998</c:v>
                </c:pt>
                <c:pt idx="62">
                  <c:v>30.806799999999999</c:v>
                </c:pt>
                <c:pt idx="63">
                  <c:v>29.305900000000001</c:v>
                </c:pt>
                <c:pt idx="64">
                  <c:v>27.772099999999998</c:v>
                </c:pt>
                <c:pt idx="65">
                  <c:v>26.227799999999998</c:v>
                </c:pt>
                <c:pt idx="66">
                  <c:v>24.701899999999998</c:v>
                </c:pt>
                <c:pt idx="67">
                  <c:v>23.2225</c:v>
                </c:pt>
                <c:pt idx="68">
                  <c:v>21.791</c:v>
                </c:pt>
                <c:pt idx="69">
                  <c:v>20.4328</c:v>
                </c:pt>
                <c:pt idx="70">
                  <c:v>19.1723</c:v>
                </c:pt>
                <c:pt idx="71">
                  <c:v>18.017499999999998</c:v>
                </c:pt>
                <c:pt idx="72">
                  <c:v>16.937999999999999</c:v>
                </c:pt>
                <c:pt idx="73">
                  <c:v>15.956899999999999</c:v>
                </c:pt>
                <c:pt idx="74">
                  <c:v>15.0936</c:v>
                </c:pt>
                <c:pt idx="75">
                  <c:v>14.329700000000001</c:v>
                </c:pt>
                <c:pt idx="76">
                  <c:v>13.6942</c:v>
                </c:pt>
                <c:pt idx="77">
                  <c:v>13.172700000000001</c:v>
                </c:pt>
                <c:pt idx="78">
                  <c:v>12.7514</c:v>
                </c:pt>
                <c:pt idx="79">
                  <c:v>12.458299999999999</c:v>
                </c:pt>
                <c:pt idx="80">
                  <c:v>12.203799999999999</c:v>
                </c:pt>
                <c:pt idx="81">
                  <c:v>11.9276</c:v>
                </c:pt>
                <c:pt idx="82">
                  <c:v>11.624599999999999</c:v>
                </c:pt>
                <c:pt idx="83">
                  <c:v>11.275600000000001</c:v>
                </c:pt>
                <c:pt idx="84">
                  <c:v>10.881500000000001</c:v>
                </c:pt>
                <c:pt idx="85">
                  <c:v>10.4008</c:v>
                </c:pt>
                <c:pt idx="86">
                  <c:v>9.7901000000000007</c:v>
                </c:pt>
                <c:pt idx="87">
                  <c:v>8.9771000000000001</c:v>
                </c:pt>
                <c:pt idx="88">
                  <c:v>7.8402000000000003</c:v>
                </c:pt>
                <c:pt idx="89">
                  <c:v>6.1856</c:v>
                </c:pt>
                <c:pt idx="90">
                  <c:v>3.7258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C0B-46F7-AC26-7107EC40EAFF}"/>
            </c:ext>
          </c:extLst>
        </c:ser>
        <c:ser>
          <c:idx val="2"/>
          <c:order val="2"/>
          <c:tx>
            <c:strRef>
              <c:f>DDat!$AY$18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A5161D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DDat!$AY$20:$AY$111</c:f>
              <c:numCache>
                <c:formatCode>#,##0.00</c:formatCode>
                <c:ptCount val="9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8.9999999999999998E-4</c:v>
                </c:pt>
                <c:pt idx="16">
                  <c:v>0.98450000000000004</c:v>
                </c:pt>
                <c:pt idx="17">
                  <c:v>2.0192999999999999</c:v>
                </c:pt>
                <c:pt idx="18">
                  <c:v>3.1053000000000002</c:v>
                </c:pt>
                <c:pt idx="19">
                  <c:v>4.2389999999999999</c:v>
                </c:pt>
                <c:pt idx="20">
                  <c:v>5.4170999999999996</c:v>
                </c:pt>
                <c:pt idx="21">
                  <c:v>6.6410999999999998</c:v>
                </c:pt>
                <c:pt idx="22">
                  <c:v>7.9070999999999998</c:v>
                </c:pt>
                <c:pt idx="23">
                  <c:v>9.2109000000000005</c:v>
                </c:pt>
                <c:pt idx="24">
                  <c:v>10.5588</c:v>
                </c:pt>
                <c:pt idx="25">
                  <c:v>11.9436</c:v>
                </c:pt>
                <c:pt idx="26">
                  <c:v>13.3689</c:v>
                </c:pt>
                <c:pt idx="27">
                  <c:v>14.823</c:v>
                </c:pt>
                <c:pt idx="28">
                  <c:v>16.3124</c:v>
                </c:pt>
                <c:pt idx="29">
                  <c:v>17.831800000000001</c:v>
                </c:pt>
                <c:pt idx="30">
                  <c:v>19.383500000000002</c:v>
                </c:pt>
                <c:pt idx="31">
                  <c:v>20.9664</c:v>
                </c:pt>
                <c:pt idx="32">
                  <c:v>22.5779</c:v>
                </c:pt>
                <c:pt idx="33">
                  <c:v>24.224699999999999</c:v>
                </c:pt>
                <c:pt idx="34">
                  <c:v>25.909199999999998</c:v>
                </c:pt>
                <c:pt idx="35">
                  <c:v>27.607700000000001</c:v>
                </c:pt>
                <c:pt idx="36">
                  <c:v>29.244700000000002</c:v>
                </c:pt>
                <c:pt idx="37">
                  <c:v>30.751999999999999</c:v>
                </c:pt>
                <c:pt idx="38">
                  <c:v>32.104599999999998</c:v>
                </c:pt>
                <c:pt idx="39">
                  <c:v>33.336399999999998</c:v>
                </c:pt>
                <c:pt idx="40">
                  <c:v>34.483499999999999</c:v>
                </c:pt>
                <c:pt idx="41">
                  <c:v>35.5595</c:v>
                </c:pt>
                <c:pt idx="42">
                  <c:v>36.554600000000001</c:v>
                </c:pt>
                <c:pt idx="43">
                  <c:v>37.463299999999997</c:v>
                </c:pt>
                <c:pt idx="44">
                  <c:v>38.2806</c:v>
                </c:pt>
                <c:pt idx="45">
                  <c:v>38.991199999999999</c:v>
                </c:pt>
                <c:pt idx="46">
                  <c:v>39.581600000000002</c:v>
                </c:pt>
                <c:pt idx="47">
                  <c:v>40.043300000000002</c:v>
                </c:pt>
                <c:pt idx="48">
                  <c:v>40.371400000000001</c:v>
                </c:pt>
                <c:pt idx="49">
                  <c:v>40.563299999999998</c:v>
                </c:pt>
                <c:pt idx="50">
                  <c:v>40.622199999999999</c:v>
                </c:pt>
                <c:pt idx="51">
                  <c:v>40.542999999999999</c:v>
                </c:pt>
                <c:pt idx="52">
                  <c:v>40.323500000000003</c:v>
                </c:pt>
                <c:pt idx="53">
                  <c:v>39.968400000000003</c:v>
                </c:pt>
                <c:pt idx="54">
                  <c:v>39.476199999999999</c:v>
                </c:pt>
                <c:pt idx="55">
                  <c:v>38.842300000000002</c:v>
                </c:pt>
                <c:pt idx="56">
                  <c:v>38.071800000000003</c:v>
                </c:pt>
                <c:pt idx="57">
                  <c:v>37.148800000000001</c:v>
                </c:pt>
                <c:pt idx="58">
                  <c:v>36.091000000000001</c:v>
                </c:pt>
                <c:pt idx="59">
                  <c:v>34.911799999999999</c:v>
                </c:pt>
                <c:pt idx="60">
                  <c:v>33.625700000000002</c:v>
                </c:pt>
                <c:pt idx="61">
                  <c:v>32.252299999999998</c:v>
                </c:pt>
                <c:pt idx="62">
                  <c:v>30.806799999999999</c:v>
                </c:pt>
                <c:pt idx="63">
                  <c:v>29.305900000000001</c:v>
                </c:pt>
                <c:pt idx="64">
                  <c:v>27.772099999999998</c:v>
                </c:pt>
                <c:pt idx="65">
                  <c:v>26.227799999999998</c:v>
                </c:pt>
                <c:pt idx="66">
                  <c:v>24.701899999999998</c:v>
                </c:pt>
                <c:pt idx="67">
                  <c:v>23.2225</c:v>
                </c:pt>
                <c:pt idx="68">
                  <c:v>21.791</c:v>
                </c:pt>
                <c:pt idx="69">
                  <c:v>20.4328</c:v>
                </c:pt>
                <c:pt idx="70">
                  <c:v>19.1723</c:v>
                </c:pt>
                <c:pt idx="71">
                  <c:v>18.017499999999998</c:v>
                </c:pt>
                <c:pt idx="72">
                  <c:v>16.937999999999999</c:v>
                </c:pt>
                <c:pt idx="73">
                  <c:v>15.956899999999999</c:v>
                </c:pt>
                <c:pt idx="74">
                  <c:v>15.0936</c:v>
                </c:pt>
                <c:pt idx="75">
                  <c:v>14.329700000000001</c:v>
                </c:pt>
                <c:pt idx="76">
                  <c:v>13.6942</c:v>
                </c:pt>
                <c:pt idx="77">
                  <c:v>13.172700000000001</c:v>
                </c:pt>
                <c:pt idx="78">
                  <c:v>12.7514</c:v>
                </c:pt>
                <c:pt idx="79">
                  <c:v>12.458299999999999</c:v>
                </c:pt>
                <c:pt idx="80">
                  <c:v>12.203799999999999</c:v>
                </c:pt>
                <c:pt idx="81">
                  <c:v>11.9276</c:v>
                </c:pt>
                <c:pt idx="82">
                  <c:v>11.624599999999999</c:v>
                </c:pt>
                <c:pt idx="83">
                  <c:v>11.275600000000001</c:v>
                </c:pt>
                <c:pt idx="84">
                  <c:v>10.881500000000001</c:v>
                </c:pt>
                <c:pt idx="85">
                  <c:v>10.4008</c:v>
                </c:pt>
                <c:pt idx="86">
                  <c:v>9.7901000000000007</c:v>
                </c:pt>
                <c:pt idx="87">
                  <c:v>8.9771000000000001</c:v>
                </c:pt>
                <c:pt idx="88">
                  <c:v>7.8402000000000003</c:v>
                </c:pt>
                <c:pt idx="89">
                  <c:v>6.1856</c:v>
                </c:pt>
                <c:pt idx="90">
                  <c:v>3.7258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C0B-46F7-AC26-7107EC40EA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101136"/>
        <c:axId val="1"/>
      </c:scatterChart>
      <c:valAx>
        <c:axId val="378101136"/>
        <c:scaling>
          <c:orientation val="minMax"/>
          <c:max val="111"/>
          <c:min val="2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378101136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6.0050041701417832E-2"/>
          <c:y val="0.90418353576248323"/>
          <c:w val="0.93244370308590474"/>
          <c:h val="9.581646423751688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de-DE"/>
    </a:p>
  </c:txPr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DDat!$AO$17</c:f>
          <c:strCache>
            <c:ptCount val="1"/>
            <c:pt idx="0">
              <c:v>ungezillmerte Alterungsrückstellung
Frauen+Männer − λ_x: + 50,0 % − x_ω: 110 − r: 2,5 % − q_x: PKV 2017 − w_x: Sto BaFin N 2015 − K_x: Primo kompakt 2015 − x_KM: 70 − Δ_js: 8,6 % − Γ_js: 802 / 679 Euro − α^Z_x: 2 MB (ab 70 abzgl. 0,5 MB) | x_0: 35</c:v>
            </c:pt>
          </c:strCache>
        </c:strRef>
      </c:tx>
      <c:layout>
        <c:manualLayout>
          <c:xMode val="edge"/>
          <c:yMode val="edge"/>
          <c:x val="0.12839239527941421"/>
          <c:y val="2.030439148126618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6.5762004175365346E-2"/>
          <c:y val="0.155668358714044"/>
          <c:w val="0.91127348643006267"/>
          <c:h val="0.68866328257191201"/>
        </c:manualLayout>
      </c:layout>
      <c:scatterChart>
        <c:scatterStyle val="lineMarker"/>
        <c:varyColors val="0"/>
        <c:ser>
          <c:idx val="0"/>
          <c:order val="0"/>
          <c:tx>
            <c:strRef>
              <c:f>DDat!$AO$18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84AAD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DDat!$AO$20:$AO$111</c:f>
              <c:numCache>
                <c:formatCode>#,##0.00</c:formatCode>
                <c:ptCount val="9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1.88</c:v>
                </c:pt>
                <c:pt idx="16">
                  <c:v>2045.53</c:v>
                </c:pt>
                <c:pt idx="17">
                  <c:v>4195.72</c:v>
                </c:pt>
                <c:pt idx="18">
                  <c:v>6452.1</c:v>
                </c:pt>
                <c:pt idx="19">
                  <c:v>8807.76</c:v>
                </c:pt>
                <c:pt idx="20">
                  <c:v>11255.64</c:v>
                </c:pt>
                <c:pt idx="21">
                  <c:v>13798.77</c:v>
                </c:pt>
                <c:pt idx="22">
                  <c:v>16429.21</c:v>
                </c:pt>
                <c:pt idx="23">
                  <c:v>19138.400000000001</c:v>
                </c:pt>
                <c:pt idx="24">
                  <c:v>21938.93</c:v>
                </c:pt>
                <c:pt idx="25">
                  <c:v>24816.27</c:v>
                </c:pt>
                <c:pt idx="26">
                  <c:v>27777.81</c:v>
                </c:pt>
                <c:pt idx="27">
                  <c:v>30799.07</c:v>
                </c:pt>
                <c:pt idx="28">
                  <c:v>33893.72</c:v>
                </c:pt>
                <c:pt idx="29">
                  <c:v>37050.730000000003</c:v>
                </c:pt>
                <c:pt idx="30">
                  <c:v>40274.79</c:v>
                </c:pt>
                <c:pt idx="31">
                  <c:v>43563.69</c:v>
                </c:pt>
                <c:pt idx="32">
                  <c:v>46912.22</c:v>
                </c:pt>
                <c:pt idx="33">
                  <c:v>50333.79</c:v>
                </c:pt>
                <c:pt idx="34">
                  <c:v>53833.919999999998</c:v>
                </c:pt>
                <c:pt idx="35">
                  <c:v>57363.07</c:v>
                </c:pt>
                <c:pt idx="36">
                  <c:v>60764.4</c:v>
                </c:pt>
                <c:pt idx="37">
                  <c:v>63896.160000000003</c:v>
                </c:pt>
                <c:pt idx="38">
                  <c:v>66706.52</c:v>
                </c:pt>
                <c:pt idx="39">
                  <c:v>69266.09</c:v>
                </c:pt>
                <c:pt idx="40">
                  <c:v>71649.539999999994</c:v>
                </c:pt>
                <c:pt idx="41">
                  <c:v>73885.13</c:v>
                </c:pt>
                <c:pt idx="42">
                  <c:v>75952.7</c:v>
                </c:pt>
                <c:pt idx="43">
                  <c:v>77840.77</c:v>
                </c:pt>
                <c:pt idx="44">
                  <c:v>79538.97</c:v>
                </c:pt>
                <c:pt idx="45">
                  <c:v>81015.460000000006</c:v>
                </c:pt>
                <c:pt idx="46">
                  <c:v>82242.240000000005</c:v>
                </c:pt>
                <c:pt idx="47">
                  <c:v>83201.5</c:v>
                </c:pt>
                <c:pt idx="48">
                  <c:v>83883.37</c:v>
                </c:pt>
                <c:pt idx="49">
                  <c:v>84282.12</c:v>
                </c:pt>
                <c:pt idx="50">
                  <c:v>84404.3</c:v>
                </c:pt>
                <c:pt idx="51">
                  <c:v>84239.9</c:v>
                </c:pt>
                <c:pt idx="52">
                  <c:v>83783.759999999995</c:v>
                </c:pt>
                <c:pt idx="53">
                  <c:v>83045.88</c:v>
                </c:pt>
                <c:pt idx="54">
                  <c:v>82023.19</c:v>
                </c:pt>
                <c:pt idx="55">
                  <c:v>80706.070000000007</c:v>
                </c:pt>
                <c:pt idx="56">
                  <c:v>79105.13</c:v>
                </c:pt>
                <c:pt idx="57">
                  <c:v>77187.44</c:v>
                </c:pt>
                <c:pt idx="58">
                  <c:v>74989.45</c:v>
                </c:pt>
                <c:pt idx="59">
                  <c:v>72539.429999999993</c:v>
                </c:pt>
                <c:pt idx="60">
                  <c:v>69867.039999999994</c:v>
                </c:pt>
                <c:pt idx="61">
                  <c:v>67013.5</c:v>
                </c:pt>
                <c:pt idx="62">
                  <c:v>64010.080000000002</c:v>
                </c:pt>
                <c:pt idx="63">
                  <c:v>60891.45</c:v>
                </c:pt>
                <c:pt idx="64">
                  <c:v>57704.66</c:v>
                </c:pt>
                <c:pt idx="65">
                  <c:v>54495.87</c:v>
                </c:pt>
                <c:pt idx="66">
                  <c:v>51325.31</c:v>
                </c:pt>
                <c:pt idx="67">
                  <c:v>48251.4</c:v>
                </c:pt>
                <c:pt idx="68">
                  <c:v>45277.17</c:v>
                </c:pt>
                <c:pt idx="69">
                  <c:v>42455.02</c:v>
                </c:pt>
                <c:pt idx="70">
                  <c:v>39835.919999999998</c:v>
                </c:pt>
                <c:pt idx="71">
                  <c:v>37436.620000000003</c:v>
                </c:pt>
                <c:pt idx="72">
                  <c:v>35193.519999999997</c:v>
                </c:pt>
                <c:pt idx="73">
                  <c:v>33155.11</c:v>
                </c:pt>
                <c:pt idx="74">
                  <c:v>31361.360000000001</c:v>
                </c:pt>
                <c:pt idx="75">
                  <c:v>29774.14</c:v>
                </c:pt>
                <c:pt idx="76">
                  <c:v>28453.77</c:v>
                </c:pt>
                <c:pt idx="77">
                  <c:v>27370.080000000002</c:v>
                </c:pt>
                <c:pt idx="78">
                  <c:v>26494.69</c:v>
                </c:pt>
                <c:pt idx="79">
                  <c:v>25885.69</c:v>
                </c:pt>
                <c:pt idx="80">
                  <c:v>25356.9</c:v>
                </c:pt>
                <c:pt idx="81">
                  <c:v>24783.07</c:v>
                </c:pt>
                <c:pt idx="82">
                  <c:v>24153.56</c:v>
                </c:pt>
                <c:pt idx="83">
                  <c:v>23428.25</c:v>
                </c:pt>
                <c:pt idx="84">
                  <c:v>22609.53</c:v>
                </c:pt>
                <c:pt idx="85">
                  <c:v>21610.720000000001</c:v>
                </c:pt>
                <c:pt idx="86">
                  <c:v>20341.72</c:v>
                </c:pt>
                <c:pt idx="87">
                  <c:v>18652.52</c:v>
                </c:pt>
                <c:pt idx="88">
                  <c:v>16290.25</c:v>
                </c:pt>
                <c:pt idx="89">
                  <c:v>12852.37</c:v>
                </c:pt>
                <c:pt idx="90">
                  <c:v>7741.43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E4F-4725-AA7A-60FEDB15C6B2}"/>
            </c:ext>
          </c:extLst>
        </c:ser>
        <c:ser>
          <c:idx val="1"/>
          <c:order val="1"/>
          <c:tx>
            <c:strRef>
              <c:f>DDat!$AP$18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0703A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DDat!$AP$20:$AP$111</c:f>
              <c:numCache>
                <c:formatCode>#,##0.00</c:formatCode>
                <c:ptCount val="9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1.88</c:v>
                </c:pt>
                <c:pt idx="16">
                  <c:v>2045.53</c:v>
                </c:pt>
                <c:pt idx="17">
                  <c:v>4195.72</c:v>
                </c:pt>
                <c:pt idx="18">
                  <c:v>6452.1</c:v>
                </c:pt>
                <c:pt idx="19">
                  <c:v>8807.76</c:v>
                </c:pt>
                <c:pt idx="20">
                  <c:v>11255.64</c:v>
                </c:pt>
                <c:pt idx="21">
                  <c:v>13798.77</c:v>
                </c:pt>
                <c:pt idx="22">
                  <c:v>16429.21</c:v>
                </c:pt>
                <c:pt idx="23">
                  <c:v>19138.400000000001</c:v>
                </c:pt>
                <c:pt idx="24">
                  <c:v>21938.93</c:v>
                </c:pt>
                <c:pt idx="25">
                  <c:v>24816.27</c:v>
                </c:pt>
                <c:pt idx="26">
                  <c:v>27777.81</c:v>
                </c:pt>
                <c:pt idx="27">
                  <c:v>30799.07</c:v>
                </c:pt>
                <c:pt idx="28">
                  <c:v>33893.72</c:v>
                </c:pt>
                <c:pt idx="29">
                  <c:v>37050.730000000003</c:v>
                </c:pt>
                <c:pt idx="30">
                  <c:v>40274.79</c:v>
                </c:pt>
                <c:pt idx="31">
                  <c:v>43563.69</c:v>
                </c:pt>
                <c:pt idx="32">
                  <c:v>46912.22</c:v>
                </c:pt>
                <c:pt idx="33">
                  <c:v>50333.79</c:v>
                </c:pt>
                <c:pt idx="34">
                  <c:v>53833.919999999998</c:v>
                </c:pt>
                <c:pt idx="35">
                  <c:v>57363.07</c:v>
                </c:pt>
                <c:pt idx="36">
                  <c:v>60764.4</c:v>
                </c:pt>
                <c:pt idx="37">
                  <c:v>63896.160000000003</c:v>
                </c:pt>
                <c:pt idx="38">
                  <c:v>66706.52</c:v>
                </c:pt>
                <c:pt idx="39">
                  <c:v>69266.09</c:v>
                </c:pt>
                <c:pt idx="40">
                  <c:v>71649.539999999994</c:v>
                </c:pt>
                <c:pt idx="41">
                  <c:v>73885.13</c:v>
                </c:pt>
                <c:pt idx="42">
                  <c:v>75952.7</c:v>
                </c:pt>
                <c:pt idx="43">
                  <c:v>77840.77</c:v>
                </c:pt>
                <c:pt idx="44">
                  <c:v>79538.97</c:v>
                </c:pt>
                <c:pt idx="45">
                  <c:v>81015.460000000006</c:v>
                </c:pt>
                <c:pt idx="46">
                  <c:v>82242.240000000005</c:v>
                </c:pt>
                <c:pt idx="47">
                  <c:v>83201.5</c:v>
                </c:pt>
                <c:pt idx="48">
                  <c:v>83883.37</c:v>
                </c:pt>
                <c:pt idx="49">
                  <c:v>84282.12</c:v>
                </c:pt>
                <c:pt idx="50">
                  <c:v>84404.3</c:v>
                </c:pt>
                <c:pt idx="51">
                  <c:v>84239.9</c:v>
                </c:pt>
                <c:pt idx="52">
                  <c:v>83783.759999999995</c:v>
                </c:pt>
                <c:pt idx="53">
                  <c:v>83045.88</c:v>
                </c:pt>
                <c:pt idx="54">
                  <c:v>82023.19</c:v>
                </c:pt>
                <c:pt idx="55">
                  <c:v>80706.070000000007</c:v>
                </c:pt>
                <c:pt idx="56">
                  <c:v>79105.13</c:v>
                </c:pt>
                <c:pt idx="57">
                  <c:v>77187.44</c:v>
                </c:pt>
                <c:pt idx="58">
                  <c:v>74989.45</c:v>
                </c:pt>
                <c:pt idx="59">
                  <c:v>72539.429999999993</c:v>
                </c:pt>
                <c:pt idx="60">
                  <c:v>69867.039999999994</c:v>
                </c:pt>
                <c:pt idx="61">
                  <c:v>67013.5</c:v>
                </c:pt>
                <c:pt idx="62">
                  <c:v>64010.080000000002</c:v>
                </c:pt>
                <c:pt idx="63">
                  <c:v>60891.45</c:v>
                </c:pt>
                <c:pt idx="64">
                  <c:v>57704.66</c:v>
                </c:pt>
                <c:pt idx="65">
                  <c:v>54495.87</c:v>
                </c:pt>
                <c:pt idx="66">
                  <c:v>51325.31</c:v>
                </c:pt>
                <c:pt idx="67">
                  <c:v>48251.4</c:v>
                </c:pt>
                <c:pt idx="68">
                  <c:v>45277.17</c:v>
                </c:pt>
                <c:pt idx="69">
                  <c:v>42455.02</c:v>
                </c:pt>
                <c:pt idx="70">
                  <c:v>39835.919999999998</c:v>
                </c:pt>
                <c:pt idx="71">
                  <c:v>37436.620000000003</c:v>
                </c:pt>
                <c:pt idx="72">
                  <c:v>35193.519999999997</c:v>
                </c:pt>
                <c:pt idx="73">
                  <c:v>33155.11</c:v>
                </c:pt>
                <c:pt idx="74">
                  <c:v>31361.360000000001</c:v>
                </c:pt>
                <c:pt idx="75">
                  <c:v>29774.14</c:v>
                </c:pt>
                <c:pt idx="76">
                  <c:v>28453.77</c:v>
                </c:pt>
                <c:pt idx="77">
                  <c:v>27370.080000000002</c:v>
                </c:pt>
                <c:pt idx="78">
                  <c:v>26494.69</c:v>
                </c:pt>
                <c:pt idx="79">
                  <c:v>25885.69</c:v>
                </c:pt>
                <c:pt idx="80">
                  <c:v>25356.9</c:v>
                </c:pt>
                <c:pt idx="81">
                  <c:v>24783.07</c:v>
                </c:pt>
                <c:pt idx="82">
                  <c:v>24153.56</c:v>
                </c:pt>
                <c:pt idx="83">
                  <c:v>23428.25</c:v>
                </c:pt>
                <c:pt idx="84">
                  <c:v>22609.53</c:v>
                </c:pt>
                <c:pt idx="85">
                  <c:v>21610.720000000001</c:v>
                </c:pt>
                <c:pt idx="86">
                  <c:v>20341.72</c:v>
                </c:pt>
                <c:pt idx="87">
                  <c:v>18652.52</c:v>
                </c:pt>
                <c:pt idx="88">
                  <c:v>16290.25</c:v>
                </c:pt>
                <c:pt idx="89">
                  <c:v>12852.37</c:v>
                </c:pt>
                <c:pt idx="90">
                  <c:v>7741.43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E4F-4725-AA7A-60FEDB15C6B2}"/>
            </c:ext>
          </c:extLst>
        </c:ser>
        <c:ser>
          <c:idx val="2"/>
          <c:order val="2"/>
          <c:tx>
            <c:strRef>
              <c:f>DDat!$AQ$18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A5161D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DDat!$AQ$20:$AQ$111</c:f>
              <c:numCache>
                <c:formatCode>#,##0.00</c:formatCode>
                <c:ptCount val="9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1.88</c:v>
                </c:pt>
                <c:pt idx="16">
                  <c:v>2045.53</c:v>
                </c:pt>
                <c:pt idx="17">
                  <c:v>4195.72</c:v>
                </c:pt>
                <c:pt idx="18">
                  <c:v>6452.1</c:v>
                </c:pt>
                <c:pt idx="19">
                  <c:v>8807.76</c:v>
                </c:pt>
                <c:pt idx="20">
                  <c:v>11255.64</c:v>
                </c:pt>
                <c:pt idx="21">
                  <c:v>13798.77</c:v>
                </c:pt>
                <c:pt idx="22">
                  <c:v>16429.21</c:v>
                </c:pt>
                <c:pt idx="23">
                  <c:v>19138.400000000001</c:v>
                </c:pt>
                <c:pt idx="24">
                  <c:v>21938.93</c:v>
                </c:pt>
                <c:pt idx="25">
                  <c:v>24816.27</c:v>
                </c:pt>
                <c:pt idx="26">
                  <c:v>27777.81</c:v>
                </c:pt>
                <c:pt idx="27">
                  <c:v>30799.07</c:v>
                </c:pt>
                <c:pt idx="28">
                  <c:v>33893.72</c:v>
                </c:pt>
                <c:pt idx="29">
                  <c:v>37050.730000000003</c:v>
                </c:pt>
                <c:pt idx="30">
                  <c:v>40274.79</c:v>
                </c:pt>
                <c:pt idx="31">
                  <c:v>43563.69</c:v>
                </c:pt>
                <c:pt idx="32">
                  <c:v>46912.22</c:v>
                </c:pt>
                <c:pt idx="33">
                  <c:v>50333.79</c:v>
                </c:pt>
                <c:pt idx="34">
                  <c:v>53833.919999999998</c:v>
                </c:pt>
                <c:pt idx="35">
                  <c:v>57363.07</c:v>
                </c:pt>
                <c:pt idx="36">
                  <c:v>60764.4</c:v>
                </c:pt>
                <c:pt idx="37">
                  <c:v>63896.160000000003</c:v>
                </c:pt>
                <c:pt idx="38">
                  <c:v>66706.52</c:v>
                </c:pt>
                <c:pt idx="39">
                  <c:v>69266.09</c:v>
                </c:pt>
                <c:pt idx="40">
                  <c:v>71649.539999999994</c:v>
                </c:pt>
                <c:pt idx="41">
                  <c:v>73885.13</c:v>
                </c:pt>
                <c:pt idx="42">
                  <c:v>75952.7</c:v>
                </c:pt>
                <c:pt idx="43">
                  <c:v>77840.77</c:v>
                </c:pt>
                <c:pt idx="44">
                  <c:v>79538.97</c:v>
                </c:pt>
                <c:pt idx="45">
                  <c:v>81015.460000000006</c:v>
                </c:pt>
                <c:pt idx="46">
                  <c:v>82242.240000000005</c:v>
                </c:pt>
                <c:pt idx="47">
                  <c:v>83201.5</c:v>
                </c:pt>
                <c:pt idx="48">
                  <c:v>83883.37</c:v>
                </c:pt>
                <c:pt idx="49">
                  <c:v>84282.12</c:v>
                </c:pt>
                <c:pt idx="50">
                  <c:v>84404.3</c:v>
                </c:pt>
                <c:pt idx="51">
                  <c:v>84239.9</c:v>
                </c:pt>
                <c:pt idx="52">
                  <c:v>83783.759999999995</c:v>
                </c:pt>
                <c:pt idx="53">
                  <c:v>83045.88</c:v>
                </c:pt>
                <c:pt idx="54">
                  <c:v>82023.19</c:v>
                </c:pt>
                <c:pt idx="55">
                  <c:v>80706.070000000007</c:v>
                </c:pt>
                <c:pt idx="56">
                  <c:v>79105.13</c:v>
                </c:pt>
                <c:pt idx="57">
                  <c:v>77187.44</c:v>
                </c:pt>
                <c:pt idx="58">
                  <c:v>74989.45</c:v>
                </c:pt>
                <c:pt idx="59">
                  <c:v>72539.429999999993</c:v>
                </c:pt>
                <c:pt idx="60">
                  <c:v>69867.039999999994</c:v>
                </c:pt>
                <c:pt idx="61">
                  <c:v>67013.5</c:v>
                </c:pt>
                <c:pt idx="62">
                  <c:v>64010.080000000002</c:v>
                </c:pt>
                <c:pt idx="63">
                  <c:v>60891.45</c:v>
                </c:pt>
                <c:pt idx="64">
                  <c:v>57704.66</c:v>
                </c:pt>
                <c:pt idx="65">
                  <c:v>54495.87</c:v>
                </c:pt>
                <c:pt idx="66">
                  <c:v>51325.31</c:v>
                </c:pt>
                <c:pt idx="67">
                  <c:v>48251.4</c:v>
                </c:pt>
                <c:pt idx="68">
                  <c:v>45277.17</c:v>
                </c:pt>
                <c:pt idx="69">
                  <c:v>42455.02</c:v>
                </c:pt>
                <c:pt idx="70">
                  <c:v>39835.919999999998</c:v>
                </c:pt>
                <c:pt idx="71">
                  <c:v>37436.620000000003</c:v>
                </c:pt>
                <c:pt idx="72">
                  <c:v>35193.519999999997</c:v>
                </c:pt>
                <c:pt idx="73">
                  <c:v>33155.11</c:v>
                </c:pt>
                <c:pt idx="74">
                  <c:v>31361.360000000001</c:v>
                </c:pt>
                <c:pt idx="75">
                  <c:v>29774.14</c:v>
                </c:pt>
                <c:pt idx="76">
                  <c:v>28453.77</c:v>
                </c:pt>
                <c:pt idx="77">
                  <c:v>27370.080000000002</c:v>
                </c:pt>
                <c:pt idx="78">
                  <c:v>26494.69</c:v>
                </c:pt>
                <c:pt idx="79">
                  <c:v>25885.69</c:v>
                </c:pt>
                <c:pt idx="80">
                  <c:v>25356.9</c:v>
                </c:pt>
                <c:pt idx="81">
                  <c:v>24783.07</c:v>
                </c:pt>
                <c:pt idx="82">
                  <c:v>24153.56</c:v>
                </c:pt>
                <c:pt idx="83">
                  <c:v>23428.25</c:v>
                </c:pt>
                <c:pt idx="84">
                  <c:v>22609.53</c:v>
                </c:pt>
                <c:pt idx="85">
                  <c:v>21610.720000000001</c:v>
                </c:pt>
                <c:pt idx="86">
                  <c:v>20341.72</c:v>
                </c:pt>
                <c:pt idx="87">
                  <c:v>18652.52</c:v>
                </c:pt>
                <c:pt idx="88">
                  <c:v>16290.25</c:v>
                </c:pt>
                <c:pt idx="89">
                  <c:v>12852.37</c:v>
                </c:pt>
                <c:pt idx="90">
                  <c:v>7741.43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E4F-4725-AA7A-60FEDB15C6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516960"/>
        <c:axId val="1"/>
      </c:scatterChart>
      <c:valAx>
        <c:axId val="377516960"/>
        <c:scaling>
          <c:orientation val="minMax"/>
          <c:max val="111"/>
          <c:min val="2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1"/>
        <c:crosses val="autoZero"/>
        <c:crossBetween val="midCat"/>
      </c:valAx>
      <c:valAx>
        <c:axId val="1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37751696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7.3394495412844027E-2"/>
          <c:y val="0.90283400809716619"/>
          <c:w val="0.91159299416180128"/>
          <c:h val="9.851551956815114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de-DE"/>
    </a:p>
  </c:txPr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DDat!$BA$17</c:f>
          <c:strCache>
            <c:ptCount val="1"/>
            <c:pt idx="0">
              <c:v>normierte gez. Alterungsrückstellung
Frauen+Männer − λ_x: + 50,0 % − x_ω: 110 − r: 2,5 % − q_x: PKV 2017 − w_x: Sto BaFin N 2015 − K_x: Primo kompakt 2015 − x_KM: 70 − Δ_js: 8,6 % − Γ_js: 802 / 679 Euro − α^Z_x: 2 MB (ab 70 abzgl. 0,5 MB) | x_0: 35</c:v>
            </c:pt>
          </c:strCache>
        </c:strRef>
      </c:tx>
      <c:layout>
        <c:manualLayout>
          <c:xMode val="edge"/>
          <c:yMode val="edge"/>
          <c:x val="0.12839239527941421"/>
          <c:y val="2.030439148126618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4.1753653444676408E-2"/>
          <c:y val="0.21658206429780033"/>
          <c:w val="0.93319415448851772"/>
          <c:h val="0.67174280879864634"/>
        </c:manualLayout>
      </c:layout>
      <c:scatterChart>
        <c:scatterStyle val="lineMarker"/>
        <c:varyColors val="0"/>
        <c:ser>
          <c:idx val="0"/>
          <c:order val="0"/>
          <c:tx>
            <c:strRef>
              <c:f>DDat!$BA$18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84AAD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DDat!$BA$20:$BA$111</c:f>
              <c:numCache>
                <c:formatCode>#,##0.00</c:formatCode>
                <c:ptCount val="9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-0.41099999999999998</c:v>
                </c:pt>
                <c:pt idx="16">
                  <c:v>0.56469999999999998</c:v>
                </c:pt>
                <c:pt idx="17">
                  <c:v>1.5929</c:v>
                </c:pt>
                <c:pt idx="18">
                  <c:v>2.6734</c:v>
                </c:pt>
                <c:pt idx="19">
                  <c:v>3.8027000000000002</c:v>
                </c:pt>
                <c:pt idx="20">
                  <c:v>4.9775</c:v>
                </c:pt>
                <c:pt idx="21">
                  <c:v>6.1989999999999998</c:v>
                </c:pt>
                <c:pt idx="22">
                  <c:v>7.4633000000000003</c:v>
                </c:pt>
                <c:pt idx="23">
                  <c:v>8.7660999999999998</c:v>
                </c:pt>
                <c:pt idx="24">
                  <c:v>10.1134</c:v>
                </c:pt>
                <c:pt idx="25">
                  <c:v>11.498200000000001</c:v>
                </c:pt>
                <c:pt idx="26">
                  <c:v>12.9237</c:v>
                </c:pt>
                <c:pt idx="27">
                  <c:v>14.378299999999999</c:v>
                </c:pt>
                <c:pt idx="28">
                  <c:v>15.8683</c:v>
                </c:pt>
                <c:pt idx="29">
                  <c:v>17.388300000000001</c:v>
                </c:pt>
                <c:pt idx="30">
                  <c:v>18.9406</c:v>
                </c:pt>
                <c:pt idx="31">
                  <c:v>20.524000000000001</c:v>
                </c:pt>
                <c:pt idx="32">
                  <c:v>22.135999999999999</c:v>
                </c:pt>
                <c:pt idx="33">
                  <c:v>23.782900000000001</c:v>
                </c:pt>
                <c:pt idx="34">
                  <c:v>25.467400000000001</c:v>
                </c:pt>
                <c:pt idx="35">
                  <c:v>27.165800000000001</c:v>
                </c:pt>
                <c:pt idx="36">
                  <c:v>28.803899999999999</c:v>
                </c:pt>
                <c:pt idx="37">
                  <c:v>30.3142</c:v>
                </c:pt>
                <c:pt idx="38">
                  <c:v>31.671800000000001</c:v>
                </c:pt>
                <c:pt idx="39">
                  <c:v>32.910200000000003</c:v>
                </c:pt>
                <c:pt idx="40">
                  <c:v>34.064399999999999</c:v>
                </c:pt>
                <c:pt idx="41">
                  <c:v>35.148000000000003</c:v>
                </c:pt>
                <c:pt idx="42">
                  <c:v>36.151000000000003</c:v>
                </c:pt>
                <c:pt idx="43">
                  <c:v>37.067999999999998</c:v>
                </c:pt>
                <c:pt idx="44">
                  <c:v>37.893799999999999</c:v>
                </c:pt>
                <c:pt idx="45">
                  <c:v>38.613399999999999</c:v>
                </c:pt>
                <c:pt idx="46">
                  <c:v>39.213099999999997</c:v>
                </c:pt>
                <c:pt idx="47">
                  <c:v>39.684399999999997</c:v>
                </c:pt>
                <c:pt idx="48">
                  <c:v>40.022599999999997</c:v>
                </c:pt>
                <c:pt idx="49">
                  <c:v>40.224899999999998</c:v>
                </c:pt>
                <c:pt idx="50">
                  <c:v>40.2943</c:v>
                </c:pt>
                <c:pt idx="51">
                  <c:v>40.226100000000002</c:v>
                </c:pt>
                <c:pt idx="52">
                  <c:v>40.017600000000002</c:v>
                </c:pt>
                <c:pt idx="53">
                  <c:v>39.673699999999997</c:v>
                </c:pt>
                <c:pt idx="54">
                  <c:v>39.192900000000002</c:v>
                </c:pt>
                <c:pt idx="55">
                  <c:v>38.570500000000003</c:v>
                </c:pt>
                <c:pt idx="56">
                  <c:v>37.811599999999999</c:v>
                </c:pt>
                <c:pt idx="57">
                  <c:v>36.900199999999998</c:v>
                </c:pt>
                <c:pt idx="58">
                  <c:v>35.853999999999999</c:v>
                </c:pt>
                <c:pt idx="59">
                  <c:v>34.686500000000002</c:v>
                </c:pt>
                <c:pt idx="60">
                  <c:v>33.411700000000003</c:v>
                </c:pt>
                <c:pt idx="61">
                  <c:v>32.049700000000001</c:v>
                </c:pt>
                <c:pt idx="62">
                  <c:v>30.615300000000001</c:v>
                </c:pt>
                <c:pt idx="63">
                  <c:v>29.1251</c:v>
                </c:pt>
                <c:pt idx="64">
                  <c:v>27.601900000000001</c:v>
                </c:pt>
                <c:pt idx="65">
                  <c:v>26.067699999999999</c:v>
                </c:pt>
                <c:pt idx="66">
                  <c:v>24.551500000000001</c:v>
                </c:pt>
                <c:pt idx="67">
                  <c:v>23.081299999999999</c:v>
                </c:pt>
                <c:pt idx="68">
                  <c:v>21.6586</c:v>
                </c:pt>
                <c:pt idx="69">
                  <c:v>20.308599999999998</c:v>
                </c:pt>
                <c:pt idx="70">
                  <c:v>19.055800000000001</c:v>
                </c:pt>
                <c:pt idx="71">
                  <c:v>17.908100000000001</c:v>
                </c:pt>
                <c:pt idx="72">
                  <c:v>16.835100000000001</c:v>
                </c:pt>
                <c:pt idx="73">
                  <c:v>15.86</c:v>
                </c:pt>
                <c:pt idx="74">
                  <c:v>15.002000000000001</c:v>
                </c:pt>
                <c:pt idx="75">
                  <c:v>14.242800000000001</c:v>
                </c:pt>
                <c:pt idx="76">
                  <c:v>13.6112</c:v>
                </c:pt>
                <c:pt idx="77">
                  <c:v>13.0929</c:v>
                </c:pt>
                <c:pt idx="78">
                  <c:v>12.674200000000001</c:v>
                </c:pt>
                <c:pt idx="79">
                  <c:v>12.382899999999999</c:v>
                </c:pt>
                <c:pt idx="80">
                  <c:v>12.129899999999999</c:v>
                </c:pt>
                <c:pt idx="81">
                  <c:v>11.855399999999999</c:v>
                </c:pt>
                <c:pt idx="82">
                  <c:v>11.5543</c:v>
                </c:pt>
                <c:pt idx="83">
                  <c:v>11.2074</c:v>
                </c:pt>
                <c:pt idx="84">
                  <c:v>10.815799999999999</c:v>
                </c:pt>
                <c:pt idx="85">
                  <c:v>10.337999999999999</c:v>
                </c:pt>
                <c:pt idx="86">
                  <c:v>9.7310999999999996</c:v>
                </c:pt>
                <c:pt idx="87">
                  <c:v>8.9230999999999998</c:v>
                </c:pt>
                <c:pt idx="88">
                  <c:v>7.7931999999999997</c:v>
                </c:pt>
                <c:pt idx="89">
                  <c:v>6.1486000000000001</c:v>
                </c:pt>
                <c:pt idx="90">
                  <c:v>3.7035999999999998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CD4-436A-912E-3DB37774105F}"/>
            </c:ext>
          </c:extLst>
        </c:ser>
        <c:ser>
          <c:idx val="1"/>
          <c:order val="1"/>
          <c:tx>
            <c:strRef>
              <c:f>DDat!$BB$18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0703A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DDat!$BB$20:$BB$111</c:f>
              <c:numCache>
                <c:formatCode>#,##0.00</c:formatCode>
                <c:ptCount val="9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-0.41099999999999998</c:v>
                </c:pt>
                <c:pt idx="16">
                  <c:v>0.56469999999999998</c:v>
                </c:pt>
                <c:pt idx="17">
                  <c:v>1.5929</c:v>
                </c:pt>
                <c:pt idx="18">
                  <c:v>2.6734</c:v>
                </c:pt>
                <c:pt idx="19">
                  <c:v>3.8027000000000002</c:v>
                </c:pt>
                <c:pt idx="20">
                  <c:v>4.9775</c:v>
                </c:pt>
                <c:pt idx="21">
                  <c:v>6.1989999999999998</c:v>
                </c:pt>
                <c:pt idx="22">
                  <c:v>7.4633000000000003</c:v>
                </c:pt>
                <c:pt idx="23">
                  <c:v>8.7660999999999998</c:v>
                </c:pt>
                <c:pt idx="24">
                  <c:v>10.1134</c:v>
                </c:pt>
                <c:pt idx="25">
                  <c:v>11.498200000000001</c:v>
                </c:pt>
                <c:pt idx="26">
                  <c:v>12.9237</c:v>
                </c:pt>
                <c:pt idx="27">
                  <c:v>14.378299999999999</c:v>
                </c:pt>
                <c:pt idx="28">
                  <c:v>15.8683</c:v>
                </c:pt>
                <c:pt idx="29">
                  <c:v>17.388300000000001</c:v>
                </c:pt>
                <c:pt idx="30">
                  <c:v>18.9406</c:v>
                </c:pt>
                <c:pt idx="31">
                  <c:v>20.524000000000001</c:v>
                </c:pt>
                <c:pt idx="32">
                  <c:v>22.135999999999999</c:v>
                </c:pt>
                <c:pt idx="33">
                  <c:v>23.782900000000001</c:v>
                </c:pt>
                <c:pt idx="34">
                  <c:v>25.467400000000001</c:v>
                </c:pt>
                <c:pt idx="35">
                  <c:v>27.165800000000001</c:v>
                </c:pt>
                <c:pt idx="36">
                  <c:v>28.803899999999999</c:v>
                </c:pt>
                <c:pt idx="37">
                  <c:v>30.3142</c:v>
                </c:pt>
                <c:pt idx="38">
                  <c:v>31.671800000000001</c:v>
                </c:pt>
                <c:pt idx="39">
                  <c:v>32.910200000000003</c:v>
                </c:pt>
                <c:pt idx="40">
                  <c:v>34.064399999999999</c:v>
                </c:pt>
                <c:pt idx="41">
                  <c:v>35.148000000000003</c:v>
                </c:pt>
                <c:pt idx="42">
                  <c:v>36.151000000000003</c:v>
                </c:pt>
                <c:pt idx="43">
                  <c:v>37.067999999999998</c:v>
                </c:pt>
                <c:pt idx="44">
                  <c:v>37.893799999999999</c:v>
                </c:pt>
                <c:pt idx="45">
                  <c:v>38.613399999999999</c:v>
                </c:pt>
                <c:pt idx="46">
                  <c:v>39.213099999999997</c:v>
                </c:pt>
                <c:pt idx="47">
                  <c:v>39.684399999999997</c:v>
                </c:pt>
                <c:pt idx="48">
                  <c:v>40.022599999999997</c:v>
                </c:pt>
                <c:pt idx="49">
                  <c:v>40.224899999999998</c:v>
                </c:pt>
                <c:pt idx="50">
                  <c:v>40.2943</c:v>
                </c:pt>
                <c:pt idx="51">
                  <c:v>40.226100000000002</c:v>
                </c:pt>
                <c:pt idx="52">
                  <c:v>40.017600000000002</c:v>
                </c:pt>
                <c:pt idx="53">
                  <c:v>39.673699999999997</c:v>
                </c:pt>
                <c:pt idx="54">
                  <c:v>39.192900000000002</c:v>
                </c:pt>
                <c:pt idx="55">
                  <c:v>38.570500000000003</c:v>
                </c:pt>
                <c:pt idx="56">
                  <c:v>37.811599999999999</c:v>
                </c:pt>
                <c:pt idx="57">
                  <c:v>36.900199999999998</c:v>
                </c:pt>
                <c:pt idx="58">
                  <c:v>35.853999999999999</c:v>
                </c:pt>
                <c:pt idx="59">
                  <c:v>34.686500000000002</c:v>
                </c:pt>
                <c:pt idx="60">
                  <c:v>33.411700000000003</c:v>
                </c:pt>
                <c:pt idx="61">
                  <c:v>32.049700000000001</c:v>
                </c:pt>
                <c:pt idx="62">
                  <c:v>30.615300000000001</c:v>
                </c:pt>
                <c:pt idx="63">
                  <c:v>29.1251</c:v>
                </c:pt>
                <c:pt idx="64">
                  <c:v>27.601900000000001</c:v>
                </c:pt>
                <c:pt idx="65">
                  <c:v>26.067699999999999</c:v>
                </c:pt>
                <c:pt idx="66">
                  <c:v>24.551500000000001</c:v>
                </c:pt>
                <c:pt idx="67">
                  <c:v>23.081299999999999</c:v>
                </c:pt>
                <c:pt idx="68">
                  <c:v>21.6586</c:v>
                </c:pt>
                <c:pt idx="69">
                  <c:v>20.308599999999998</c:v>
                </c:pt>
                <c:pt idx="70">
                  <c:v>19.055800000000001</c:v>
                </c:pt>
                <c:pt idx="71">
                  <c:v>17.908100000000001</c:v>
                </c:pt>
                <c:pt idx="72">
                  <c:v>16.835100000000001</c:v>
                </c:pt>
                <c:pt idx="73">
                  <c:v>15.86</c:v>
                </c:pt>
                <c:pt idx="74">
                  <c:v>15.002000000000001</c:v>
                </c:pt>
                <c:pt idx="75">
                  <c:v>14.242800000000001</c:v>
                </c:pt>
                <c:pt idx="76">
                  <c:v>13.6112</c:v>
                </c:pt>
                <c:pt idx="77">
                  <c:v>13.0929</c:v>
                </c:pt>
                <c:pt idx="78">
                  <c:v>12.674200000000001</c:v>
                </c:pt>
                <c:pt idx="79">
                  <c:v>12.382899999999999</c:v>
                </c:pt>
                <c:pt idx="80">
                  <c:v>12.129899999999999</c:v>
                </c:pt>
                <c:pt idx="81">
                  <c:v>11.855399999999999</c:v>
                </c:pt>
                <c:pt idx="82">
                  <c:v>11.5543</c:v>
                </c:pt>
                <c:pt idx="83">
                  <c:v>11.2074</c:v>
                </c:pt>
                <c:pt idx="84">
                  <c:v>10.815799999999999</c:v>
                </c:pt>
                <c:pt idx="85">
                  <c:v>10.337999999999999</c:v>
                </c:pt>
                <c:pt idx="86">
                  <c:v>9.7310999999999996</c:v>
                </c:pt>
                <c:pt idx="87">
                  <c:v>8.9230999999999998</c:v>
                </c:pt>
                <c:pt idx="88">
                  <c:v>7.7931999999999997</c:v>
                </c:pt>
                <c:pt idx="89">
                  <c:v>6.1486000000000001</c:v>
                </c:pt>
                <c:pt idx="90">
                  <c:v>3.7035999999999998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CD4-436A-912E-3DB37774105F}"/>
            </c:ext>
          </c:extLst>
        </c:ser>
        <c:ser>
          <c:idx val="2"/>
          <c:order val="2"/>
          <c:tx>
            <c:strRef>
              <c:f>DDat!$BC$18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A5161D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DDat!$BC$20:$BC$111</c:f>
              <c:numCache>
                <c:formatCode>#,##0.00</c:formatCode>
                <c:ptCount val="9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-0.41099999999999998</c:v>
                </c:pt>
                <c:pt idx="16">
                  <c:v>0.56469999999999998</c:v>
                </c:pt>
                <c:pt idx="17">
                  <c:v>1.5929</c:v>
                </c:pt>
                <c:pt idx="18">
                  <c:v>2.6734</c:v>
                </c:pt>
                <c:pt idx="19">
                  <c:v>3.8027000000000002</c:v>
                </c:pt>
                <c:pt idx="20">
                  <c:v>4.9775</c:v>
                </c:pt>
                <c:pt idx="21">
                  <c:v>6.1989999999999998</c:v>
                </c:pt>
                <c:pt idx="22">
                  <c:v>7.4633000000000003</c:v>
                </c:pt>
                <c:pt idx="23">
                  <c:v>8.7660999999999998</c:v>
                </c:pt>
                <c:pt idx="24">
                  <c:v>10.1134</c:v>
                </c:pt>
                <c:pt idx="25">
                  <c:v>11.498200000000001</c:v>
                </c:pt>
                <c:pt idx="26">
                  <c:v>12.9237</c:v>
                </c:pt>
                <c:pt idx="27">
                  <c:v>14.378299999999999</c:v>
                </c:pt>
                <c:pt idx="28">
                  <c:v>15.8683</c:v>
                </c:pt>
                <c:pt idx="29">
                  <c:v>17.388300000000001</c:v>
                </c:pt>
                <c:pt idx="30">
                  <c:v>18.9406</c:v>
                </c:pt>
                <c:pt idx="31">
                  <c:v>20.524000000000001</c:v>
                </c:pt>
                <c:pt idx="32">
                  <c:v>22.135999999999999</c:v>
                </c:pt>
                <c:pt idx="33">
                  <c:v>23.782900000000001</c:v>
                </c:pt>
                <c:pt idx="34">
                  <c:v>25.467400000000001</c:v>
                </c:pt>
                <c:pt idx="35">
                  <c:v>27.165800000000001</c:v>
                </c:pt>
                <c:pt idx="36">
                  <c:v>28.803899999999999</c:v>
                </c:pt>
                <c:pt idx="37">
                  <c:v>30.3142</c:v>
                </c:pt>
                <c:pt idx="38">
                  <c:v>31.671800000000001</c:v>
                </c:pt>
                <c:pt idx="39">
                  <c:v>32.910200000000003</c:v>
                </c:pt>
                <c:pt idx="40">
                  <c:v>34.064399999999999</c:v>
                </c:pt>
                <c:pt idx="41">
                  <c:v>35.148000000000003</c:v>
                </c:pt>
                <c:pt idx="42">
                  <c:v>36.151000000000003</c:v>
                </c:pt>
                <c:pt idx="43">
                  <c:v>37.067999999999998</c:v>
                </c:pt>
                <c:pt idx="44">
                  <c:v>37.893799999999999</c:v>
                </c:pt>
                <c:pt idx="45">
                  <c:v>38.613399999999999</c:v>
                </c:pt>
                <c:pt idx="46">
                  <c:v>39.213099999999997</c:v>
                </c:pt>
                <c:pt idx="47">
                  <c:v>39.684399999999997</c:v>
                </c:pt>
                <c:pt idx="48">
                  <c:v>40.022599999999997</c:v>
                </c:pt>
                <c:pt idx="49">
                  <c:v>40.224899999999998</c:v>
                </c:pt>
                <c:pt idx="50">
                  <c:v>40.2943</c:v>
                </c:pt>
                <c:pt idx="51">
                  <c:v>40.226100000000002</c:v>
                </c:pt>
                <c:pt idx="52">
                  <c:v>40.017600000000002</c:v>
                </c:pt>
                <c:pt idx="53">
                  <c:v>39.673699999999997</c:v>
                </c:pt>
                <c:pt idx="54">
                  <c:v>39.192900000000002</c:v>
                </c:pt>
                <c:pt idx="55">
                  <c:v>38.570500000000003</c:v>
                </c:pt>
                <c:pt idx="56">
                  <c:v>37.811599999999999</c:v>
                </c:pt>
                <c:pt idx="57">
                  <c:v>36.900199999999998</c:v>
                </c:pt>
                <c:pt idx="58">
                  <c:v>35.853999999999999</c:v>
                </c:pt>
                <c:pt idx="59">
                  <c:v>34.686500000000002</c:v>
                </c:pt>
                <c:pt idx="60">
                  <c:v>33.411700000000003</c:v>
                </c:pt>
                <c:pt idx="61">
                  <c:v>32.049700000000001</c:v>
                </c:pt>
                <c:pt idx="62">
                  <c:v>30.615300000000001</c:v>
                </c:pt>
                <c:pt idx="63">
                  <c:v>29.1251</c:v>
                </c:pt>
                <c:pt idx="64">
                  <c:v>27.601900000000001</c:v>
                </c:pt>
                <c:pt idx="65">
                  <c:v>26.067699999999999</c:v>
                </c:pt>
                <c:pt idx="66">
                  <c:v>24.551500000000001</c:v>
                </c:pt>
                <c:pt idx="67">
                  <c:v>23.081299999999999</c:v>
                </c:pt>
                <c:pt idx="68">
                  <c:v>21.6586</c:v>
                </c:pt>
                <c:pt idx="69">
                  <c:v>20.308599999999998</c:v>
                </c:pt>
                <c:pt idx="70">
                  <c:v>19.055800000000001</c:v>
                </c:pt>
                <c:pt idx="71">
                  <c:v>17.908100000000001</c:v>
                </c:pt>
                <c:pt idx="72">
                  <c:v>16.835100000000001</c:v>
                </c:pt>
                <c:pt idx="73">
                  <c:v>15.86</c:v>
                </c:pt>
                <c:pt idx="74">
                  <c:v>15.002000000000001</c:v>
                </c:pt>
                <c:pt idx="75">
                  <c:v>14.242800000000001</c:v>
                </c:pt>
                <c:pt idx="76">
                  <c:v>13.6112</c:v>
                </c:pt>
                <c:pt idx="77">
                  <c:v>13.0929</c:v>
                </c:pt>
                <c:pt idx="78">
                  <c:v>12.674200000000001</c:v>
                </c:pt>
                <c:pt idx="79">
                  <c:v>12.382899999999999</c:v>
                </c:pt>
                <c:pt idx="80">
                  <c:v>12.129899999999999</c:v>
                </c:pt>
                <c:pt idx="81">
                  <c:v>11.855399999999999</c:v>
                </c:pt>
                <c:pt idx="82">
                  <c:v>11.5543</c:v>
                </c:pt>
                <c:pt idx="83">
                  <c:v>11.2074</c:v>
                </c:pt>
                <c:pt idx="84">
                  <c:v>10.815799999999999</c:v>
                </c:pt>
                <c:pt idx="85">
                  <c:v>10.337999999999999</c:v>
                </c:pt>
                <c:pt idx="86">
                  <c:v>9.7310999999999996</c:v>
                </c:pt>
                <c:pt idx="87">
                  <c:v>8.9230999999999998</c:v>
                </c:pt>
                <c:pt idx="88">
                  <c:v>7.7931999999999997</c:v>
                </c:pt>
                <c:pt idx="89">
                  <c:v>6.1486000000000001</c:v>
                </c:pt>
                <c:pt idx="90">
                  <c:v>3.7035999999999998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CD4-436A-912E-3DB3777410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462024"/>
        <c:axId val="1"/>
      </c:scatterChart>
      <c:valAx>
        <c:axId val="378462024"/>
        <c:scaling>
          <c:orientation val="minMax"/>
          <c:max val="111"/>
          <c:min val="2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378462024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7547956630525428E-2"/>
          <c:y val="0.90283400809716619"/>
          <c:w val="0.93244370308590474"/>
          <c:h val="9.581646423751688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de-DE"/>
    </a:p>
  </c:txPr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DDat!$AS$17</c:f>
          <c:strCache>
            <c:ptCount val="1"/>
            <c:pt idx="0">
              <c:v>gezillmerte Alterungsrückstellung
Frauen+Männer − λ_x: + 50,0 % − x_ω: 110 − r: 2,5 % − q_x: PKV 2017 − w_x: Sto BaFin N 2015 − K_x: Primo kompakt 2015 − x_KM: 70 − Δ_js: 8,6 % − Γ_js: 802 / 679 Euro − α^Z_x: 2 MB (ab 70 abzgl. 0,5 MB) | x_0: 35</c:v>
            </c:pt>
          </c:strCache>
        </c:strRef>
      </c:tx>
      <c:layout>
        <c:manualLayout>
          <c:xMode val="edge"/>
          <c:yMode val="edge"/>
          <c:x val="0.12839239527941421"/>
          <c:y val="2.030439148126618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7.0981210855949897E-2"/>
          <c:y val="0.155668358714044"/>
          <c:w val="0.90605427974947805"/>
          <c:h val="0.73434856175972929"/>
        </c:manualLayout>
      </c:layout>
      <c:scatterChart>
        <c:scatterStyle val="lineMarker"/>
        <c:varyColors val="0"/>
        <c:ser>
          <c:idx val="0"/>
          <c:order val="0"/>
          <c:tx>
            <c:strRef>
              <c:f>DDat!$AS$18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84AAD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DDat!$AS$20:$AS$111</c:f>
              <c:numCache>
                <c:formatCode>#,##0.00</c:formatCode>
                <c:ptCount val="9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-854.02</c:v>
                </c:pt>
                <c:pt idx="16">
                  <c:v>1173.4000000000001</c:v>
                </c:pt>
                <c:pt idx="17">
                  <c:v>3309.72</c:v>
                </c:pt>
                <c:pt idx="18">
                  <c:v>5554.7</c:v>
                </c:pt>
                <c:pt idx="19">
                  <c:v>7901.21</c:v>
                </c:pt>
                <c:pt idx="20">
                  <c:v>10342.1</c:v>
                </c:pt>
                <c:pt idx="21">
                  <c:v>12880.19</c:v>
                </c:pt>
                <c:pt idx="22">
                  <c:v>15507.09</c:v>
                </c:pt>
                <c:pt idx="23">
                  <c:v>18214.169999999998</c:v>
                </c:pt>
                <c:pt idx="24">
                  <c:v>21013.62</c:v>
                </c:pt>
                <c:pt idx="25">
                  <c:v>23890.86</c:v>
                </c:pt>
                <c:pt idx="26">
                  <c:v>26852.77</c:v>
                </c:pt>
                <c:pt idx="27">
                  <c:v>29875.08</c:v>
                </c:pt>
                <c:pt idx="28">
                  <c:v>32970.93</c:v>
                </c:pt>
                <c:pt idx="29">
                  <c:v>36129.300000000003</c:v>
                </c:pt>
                <c:pt idx="30">
                  <c:v>39354.6</c:v>
                </c:pt>
                <c:pt idx="31">
                  <c:v>42644.61</c:v>
                </c:pt>
                <c:pt idx="32">
                  <c:v>45994.03</c:v>
                </c:pt>
                <c:pt idx="33">
                  <c:v>49415.97</c:v>
                </c:pt>
                <c:pt idx="34">
                  <c:v>52915.83</c:v>
                </c:pt>
                <c:pt idx="35">
                  <c:v>56444.79</c:v>
                </c:pt>
                <c:pt idx="36">
                  <c:v>59848.37</c:v>
                </c:pt>
                <c:pt idx="37">
                  <c:v>62986.49</c:v>
                </c:pt>
                <c:pt idx="38">
                  <c:v>65807.45</c:v>
                </c:pt>
                <c:pt idx="39">
                  <c:v>68380.41</c:v>
                </c:pt>
                <c:pt idx="40">
                  <c:v>70778.710000000006</c:v>
                </c:pt>
                <c:pt idx="41">
                  <c:v>73030.06</c:v>
                </c:pt>
                <c:pt idx="42">
                  <c:v>75114.14</c:v>
                </c:pt>
                <c:pt idx="43">
                  <c:v>77019.42</c:v>
                </c:pt>
                <c:pt idx="44">
                  <c:v>78735.45</c:v>
                </c:pt>
                <c:pt idx="45">
                  <c:v>80230.490000000005</c:v>
                </c:pt>
                <c:pt idx="46">
                  <c:v>81476.58</c:v>
                </c:pt>
                <c:pt idx="47">
                  <c:v>82455.929999999993</c:v>
                </c:pt>
                <c:pt idx="48">
                  <c:v>83158.61</c:v>
                </c:pt>
                <c:pt idx="49">
                  <c:v>83578.850000000006</c:v>
                </c:pt>
                <c:pt idx="50">
                  <c:v>83723.100000000006</c:v>
                </c:pt>
                <c:pt idx="51">
                  <c:v>83581.31</c:v>
                </c:pt>
                <c:pt idx="52">
                  <c:v>83148.22</c:v>
                </c:pt>
                <c:pt idx="53">
                  <c:v>82433.72</c:v>
                </c:pt>
                <c:pt idx="54">
                  <c:v>81434.64</c:v>
                </c:pt>
                <c:pt idx="55">
                  <c:v>80141.399999999994</c:v>
                </c:pt>
                <c:pt idx="56">
                  <c:v>78564.490000000005</c:v>
                </c:pt>
                <c:pt idx="57">
                  <c:v>76670.899999999994</c:v>
                </c:pt>
                <c:pt idx="58">
                  <c:v>74497.08</c:v>
                </c:pt>
                <c:pt idx="59">
                  <c:v>72071.17</c:v>
                </c:pt>
                <c:pt idx="60">
                  <c:v>69422.570000000007</c:v>
                </c:pt>
                <c:pt idx="61">
                  <c:v>66592.570000000007</c:v>
                </c:pt>
                <c:pt idx="62">
                  <c:v>63612.1</c:v>
                </c:pt>
                <c:pt idx="63">
                  <c:v>60515.93</c:v>
                </c:pt>
                <c:pt idx="64">
                  <c:v>57350.94</c:v>
                </c:pt>
                <c:pt idx="65">
                  <c:v>54163.15</c:v>
                </c:pt>
                <c:pt idx="66">
                  <c:v>51012.77</c:v>
                </c:pt>
                <c:pt idx="67">
                  <c:v>47958.11</c:v>
                </c:pt>
                <c:pt idx="68">
                  <c:v>45001.98</c:v>
                </c:pt>
                <c:pt idx="69">
                  <c:v>42197.01</c:v>
                </c:pt>
                <c:pt idx="70">
                  <c:v>39593.85</c:v>
                </c:pt>
                <c:pt idx="71">
                  <c:v>37209.17</c:v>
                </c:pt>
                <c:pt idx="72">
                  <c:v>34979.75</c:v>
                </c:pt>
                <c:pt idx="73">
                  <c:v>32953.78</c:v>
                </c:pt>
                <c:pt idx="74">
                  <c:v>31171</c:v>
                </c:pt>
                <c:pt idx="75">
                  <c:v>29593.52</c:v>
                </c:pt>
                <c:pt idx="76">
                  <c:v>28281.3</c:v>
                </c:pt>
                <c:pt idx="77">
                  <c:v>27204.36</c:v>
                </c:pt>
                <c:pt idx="78">
                  <c:v>26334.28</c:v>
                </c:pt>
                <c:pt idx="79">
                  <c:v>25728.98</c:v>
                </c:pt>
                <c:pt idx="80">
                  <c:v>25203.41</c:v>
                </c:pt>
                <c:pt idx="81">
                  <c:v>24633.08</c:v>
                </c:pt>
                <c:pt idx="82">
                  <c:v>24007.42</c:v>
                </c:pt>
                <c:pt idx="83">
                  <c:v>23286.560000000001</c:v>
                </c:pt>
                <c:pt idx="84">
                  <c:v>22472.880000000001</c:v>
                </c:pt>
                <c:pt idx="85">
                  <c:v>21480.240000000002</c:v>
                </c:pt>
                <c:pt idx="86">
                  <c:v>20219.09</c:v>
                </c:pt>
                <c:pt idx="87">
                  <c:v>18540.38</c:v>
                </c:pt>
                <c:pt idx="88">
                  <c:v>16192.63</c:v>
                </c:pt>
                <c:pt idx="89">
                  <c:v>12775.57</c:v>
                </c:pt>
                <c:pt idx="90">
                  <c:v>7695.3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FC0-4A4C-92B6-FF98093B83E9}"/>
            </c:ext>
          </c:extLst>
        </c:ser>
        <c:ser>
          <c:idx val="1"/>
          <c:order val="1"/>
          <c:tx>
            <c:strRef>
              <c:f>DDat!$AT$18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0703A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DDat!$AT$20:$AT$111</c:f>
              <c:numCache>
                <c:formatCode>#,##0.00</c:formatCode>
                <c:ptCount val="9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-854.02</c:v>
                </c:pt>
                <c:pt idx="16">
                  <c:v>1173.4000000000001</c:v>
                </c:pt>
                <c:pt idx="17">
                  <c:v>3309.72</c:v>
                </c:pt>
                <c:pt idx="18">
                  <c:v>5554.7</c:v>
                </c:pt>
                <c:pt idx="19">
                  <c:v>7901.21</c:v>
                </c:pt>
                <c:pt idx="20">
                  <c:v>10342.1</c:v>
                </c:pt>
                <c:pt idx="21">
                  <c:v>12880.19</c:v>
                </c:pt>
                <c:pt idx="22">
                  <c:v>15507.09</c:v>
                </c:pt>
                <c:pt idx="23">
                  <c:v>18214.169999999998</c:v>
                </c:pt>
                <c:pt idx="24">
                  <c:v>21013.62</c:v>
                </c:pt>
                <c:pt idx="25">
                  <c:v>23890.86</c:v>
                </c:pt>
                <c:pt idx="26">
                  <c:v>26852.77</c:v>
                </c:pt>
                <c:pt idx="27">
                  <c:v>29875.08</c:v>
                </c:pt>
                <c:pt idx="28">
                  <c:v>32970.93</c:v>
                </c:pt>
                <c:pt idx="29">
                  <c:v>36129.300000000003</c:v>
                </c:pt>
                <c:pt idx="30">
                  <c:v>39354.6</c:v>
                </c:pt>
                <c:pt idx="31">
                  <c:v>42644.61</c:v>
                </c:pt>
                <c:pt idx="32">
                  <c:v>45994.03</c:v>
                </c:pt>
                <c:pt idx="33">
                  <c:v>49415.97</c:v>
                </c:pt>
                <c:pt idx="34">
                  <c:v>52915.83</c:v>
                </c:pt>
                <c:pt idx="35">
                  <c:v>56444.79</c:v>
                </c:pt>
                <c:pt idx="36">
                  <c:v>59848.37</c:v>
                </c:pt>
                <c:pt idx="37">
                  <c:v>62986.49</c:v>
                </c:pt>
                <c:pt idx="38">
                  <c:v>65807.45</c:v>
                </c:pt>
                <c:pt idx="39">
                  <c:v>68380.41</c:v>
                </c:pt>
                <c:pt idx="40">
                  <c:v>70778.710000000006</c:v>
                </c:pt>
                <c:pt idx="41">
                  <c:v>73030.06</c:v>
                </c:pt>
                <c:pt idx="42">
                  <c:v>75114.14</c:v>
                </c:pt>
                <c:pt idx="43">
                  <c:v>77019.42</c:v>
                </c:pt>
                <c:pt idx="44">
                  <c:v>78735.45</c:v>
                </c:pt>
                <c:pt idx="45">
                  <c:v>80230.490000000005</c:v>
                </c:pt>
                <c:pt idx="46">
                  <c:v>81476.58</c:v>
                </c:pt>
                <c:pt idx="47">
                  <c:v>82455.929999999993</c:v>
                </c:pt>
                <c:pt idx="48">
                  <c:v>83158.61</c:v>
                </c:pt>
                <c:pt idx="49">
                  <c:v>83578.850000000006</c:v>
                </c:pt>
                <c:pt idx="50">
                  <c:v>83723.100000000006</c:v>
                </c:pt>
                <c:pt idx="51">
                  <c:v>83581.31</c:v>
                </c:pt>
                <c:pt idx="52">
                  <c:v>83148.22</c:v>
                </c:pt>
                <c:pt idx="53">
                  <c:v>82433.72</c:v>
                </c:pt>
                <c:pt idx="54">
                  <c:v>81434.64</c:v>
                </c:pt>
                <c:pt idx="55">
                  <c:v>80141.399999999994</c:v>
                </c:pt>
                <c:pt idx="56">
                  <c:v>78564.490000000005</c:v>
                </c:pt>
                <c:pt idx="57">
                  <c:v>76670.899999999994</c:v>
                </c:pt>
                <c:pt idx="58">
                  <c:v>74497.08</c:v>
                </c:pt>
                <c:pt idx="59">
                  <c:v>72071.17</c:v>
                </c:pt>
                <c:pt idx="60">
                  <c:v>69422.570000000007</c:v>
                </c:pt>
                <c:pt idx="61">
                  <c:v>66592.570000000007</c:v>
                </c:pt>
                <c:pt idx="62">
                  <c:v>63612.1</c:v>
                </c:pt>
                <c:pt idx="63">
                  <c:v>60515.93</c:v>
                </c:pt>
                <c:pt idx="64">
                  <c:v>57350.94</c:v>
                </c:pt>
                <c:pt idx="65">
                  <c:v>54163.15</c:v>
                </c:pt>
                <c:pt idx="66">
                  <c:v>51012.77</c:v>
                </c:pt>
                <c:pt idx="67">
                  <c:v>47958.11</c:v>
                </c:pt>
                <c:pt idx="68">
                  <c:v>45001.98</c:v>
                </c:pt>
                <c:pt idx="69">
                  <c:v>42197.01</c:v>
                </c:pt>
                <c:pt idx="70">
                  <c:v>39593.85</c:v>
                </c:pt>
                <c:pt idx="71">
                  <c:v>37209.17</c:v>
                </c:pt>
                <c:pt idx="72">
                  <c:v>34979.75</c:v>
                </c:pt>
                <c:pt idx="73">
                  <c:v>32953.78</c:v>
                </c:pt>
                <c:pt idx="74">
                  <c:v>31171</c:v>
                </c:pt>
                <c:pt idx="75">
                  <c:v>29593.52</c:v>
                </c:pt>
                <c:pt idx="76">
                  <c:v>28281.3</c:v>
                </c:pt>
                <c:pt idx="77">
                  <c:v>27204.36</c:v>
                </c:pt>
                <c:pt idx="78">
                  <c:v>26334.28</c:v>
                </c:pt>
                <c:pt idx="79">
                  <c:v>25728.98</c:v>
                </c:pt>
                <c:pt idx="80">
                  <c:v>25203.41</c:v>
                </c:pt>
                <c:pt idx="81">
                  <c:v>24633.08</c:v>
                </c:pt>
                <c:pt idx="82">
                  <c:v>24007.42</c:v>
                </c:pt>
                <c:pt idx="83">
                  <c:v>23286.560000000001</c:v>
                </c:pt>
                <c:pt idx="84">
                  <c:v>22472.880000000001</c:v>
                </c:pt>
                <c:pt idx="85">
                  <c:v>21480.240000000002</c:v>
                </c:pt>
                <c:pt idx="86">
                  <c:v>20219.09</c:v>
                </c:pt>
                <c:pt idx="87">
                  <c:v>18540.38</c:v>
                </c:pt>
                <c:pt idx="88">
                  <c:v>16192.63</c:v>
                </c:pt>
                <c:pt idx="89">
                  <c:v>12775.57</c:v>
                </c:pt>
                <c:pt idx="90">
                  <c:v>7695.3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FC0-4A4C-92B6-FF98093B83E9}"/>
            </c:ext>
          </c:extLst>
        </c:ser>
        <c:ser>
          <c:idx val="2"/>
          <c:order val="2"/>
          <c:tx>
            <c:strRef>
              <c:f>DDat!$AU$18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A5161D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DDat!$AU$20:$AU$111</c:f>
              <c:numCache>
                <c:formatCode>#,##0.00</c:formatCode>
                <c:ptCount val="9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-854.02</c:v>
                </c:pt>
                <c:pt idx="16">
                  <c:v>1173.4000000000001</c:v>
                </c:pt>
                <c:pt idx="17">
                  <c:v>3309.72</c:v>
                </c:pt>
                <c:pt idx="18">
                  <c:v>5554.7</c:v>
                </c:pt>
                <c:pt idx="19">
                  <c:v>7901.21</c:v>
                </c:pt>
                <c:pt idx="20">
                  <c:v>10342.1</c:v>
                </c:pt>
                <c:pt idx="21">
                  <c:v>12880.19</c:v>
                </c:pt>
                <c:pt idx="22">
                  <c:v>15507.09</c:v>
                </c:pt>
                <c:pt idx="23">
                  <c:v>18214.169999999998</c:v>
                </c:pt>
                <c:pt idx="24">
                  <c:v>21013.62</c:v>
                </c:pt>
                <c:pt idx="25">
                  <c:v>23890.86</c:v>
                </c:pt>
                <c:pt idx="26">
                  <c:v>26852.77</c:v>
                </c:pt>
                <c:pt idx="27">
                  <c:v>29875.08</c:v>
                </c:pt>
                <c:pt idx="28">
                  <c:v>32970.93</c:v>
                </c:pt>
                <c:pt idx="29">
                  <c:v>36129.300000000003</c:v>
                </c:pt>
                <c:pt idx="30">
                  <c:v>39354.6</c:v>
                </c:pt>
                <c:pt idx="31">
                  <c:v>42644.61</c:v>
                </c:pt>
                <c:pt idx="32">
                  <c:v>45994.03</c:v>
                </c:pt>
                <c:pt idx="33">
                  <c:v>49415.97</c:v>
                </c:pt>
                <c:pt idx="34">
                  <c:v>52915.83</c:v>
                </c:pt>
                <c:pt idx="35">
                  <c:v>56444.79</c:v>
                </c:pt>
                <c:pt idx="36">
                  <c:v>59848.37</c:v>
                </c:pt>
                <c:pt idx="37">
                  <c:v>62986.49</c:v>
                </c:pt>
                <c:pt idx="38">
                  <c:v>65807.45</c:v>
                </c:pt>
                <c:pt idx="39">
                  <c:v>68380.41</c:v>
                </c:pt>
                <c:pt idx="40">
                  <c:v>70778.710000000006</c:v>
                </c:pt>
                <c:pt idx="41">
                  <c:v>73030.06</c:v>
                </c:pt>
                <c:pt idx="42">
                  <c:v>75114.14</c:v>
                </c:pt>
                <c:pt idx="43">
                  <c:v>77019.42</c:v>
                </c:pt>
                <c:pt idx="44">
                  <c:v>78735.45</c:v>
                </c:pt>
                <c:pt idx="45">
                  <c:v>80230.490000000005</c:v>
                </c:pt>
                <c:pt idx="46">
                  <c:v>81476.58</c:v>
                </c:pt>
                <c:pt idx="47">
                  <c:v>82455.929999999993</c:v>
                </c:pt>
                <c:pt idx="48">
                  <c:v>83158.61</c:v>
                </c:pt>
                <c:pt idx="49">
                  <c:v>83578.850000000006</c:v>
                </c:pt>
                <c:pt idx="50">
                  <c:v>83723.100000000006</c:v>
                </c:pt>
                <c:pt idx="51">
                  <c:v>83581.31</c:v>
                </c:pt>
                <c:pt idx="52">
                  <c:v>83148.22</c:v>
                </c:pt>
                <c:pt idx="53">
                  <c:v>82433.72</c:v>
                </c:pt>
                <c:pt idx="54">
                  <c:v>81434.64</c:v>
                </c:pt>
                <c:pt idx="55">
                  <c:v>80141.399999999994</c:v>
                </c:pt>
                <c:pt idx="56">
                  <c:v>78564.490000000005</c:v>
                </c:pt>
                <c:pt idx="57">
                  <c:v>76670.899999999994</c:v>
                </c:pt>
                <c:pt idx="58">
                  <c:v>74497.08</c:v>
                </c:pt>
                <c:pt idx="59">
                  <c:v>72071.17</c:v>
                </c:pt>
                <c:pt idx="60">
                  <c:v>69422.570000000007</c:v>
                </c:pt>
                <c:pt idx="61">
                  <c:v>66592.570000000007</c:v>
                </c:pt>
                <c:pt idx="62">
                  <c:v>63612.1</c:v>
                </c:pt>
                <c:pt idx="63">
                  <c:v>60515.93</c:v>
                </c:pt>
                <c:pt idx="64">
                  <c:v>57350.94</c:v>
                </c:pt>
                <c:pt idx="65">
                  <c:v>54163.15</c:v>
                </c:pt>
                <c:pt idx="66">
                  <c:v>51012.77</c:v>
                </c:pt>
                <c:pt idx="67">
                  <c:v>47958.11</c:v>
                </c:pt>
                <c:pt idx="68">
                  <c:v>45001.98</c:v>
                </c:pt>
                <c:pt idx="69">
                  <c:v>42197.01</c:v>
                </c:pt>
                <c:pt idx="70">
                  <c:v>39593.85</c:v>
                </c:pt>
                <c:pt idx="71">
                  <c:v>37209.17</c:v>
                </c:pt>
                <c:pt idx="72">
                  <c:v>34979.75</c:v>
                </c:pt>
                <c:pt idx="73">
                  <c:v>32953.78</c:v>
                </c:pt>
                <c:pt idx="74">
                  <c:v>31171</c:v>
                </c:pt>
                <c:pt idx="75">
                  <c:v>29593.52</c:v>
                </c:pt>
                <c:pt idx="76">
                  <c:v>28281.3</c:v>
                </c:pt>
                <c:pt idx="77">
                  <c:v>27204.36</c:v>
                </c:pt>
                <c:pt idx="78">
                  <c:v>26334.28</c:v>
                </c:pt>
                <c:pt idx="79">
                  <c:v>25728.98</c:v>
                </c:pt>
                <c:pt idx="80">
                  <c:v>25203.41</c:v>
                </c:pt>
                <c:pt idx="81">
                  <c:v>24633.08</c:v>
                </c:pt>
                <c:pt idx="82">
                  <c:v>24007.42</c:v>
                </c:pt>
                <c:pt idx="83">
                  <c:v>23286.560000000001</c:v>
                </c:pt>
                <c:pt idx="84">
                  <c:v>22472.880000000001</c:v>
                </c:pt>
                <c:pt idx="85">
                  <c:v>21480.240000000002</c:v>
                </c:pt>
                <c:pt idx="86">
                  <c:v>20219.09</c:v>
                </c:pt>
                <c:pt idx="87">
                  <c:v>18540.38</c:v>
                </c:pt>
                <c:pt idx="88">
                  <c:v>16192.63</c:v>
                </c:pt>
                <c:pt idx="89">
                  <c:v>12775.57</c:v>
                </c:pt>
                <c:pt idx="90">
                  <c:v>7695.3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FC0-4A4C-92B6-FF98093B83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216288"/>
        <c:axId val="1"/>
      </c:scatterChart>
      <c:valAx>
        <c:axId val="378216288"/>
        <c:scaling>
          <c:orientation val="minMax"/>
          <c:max val="111"/>
          <c:min val="2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378216288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7.5896580483736431E-2"/>
          <c:y val="0.90283400809716619"/>
          <c:w val="0.89908256880733928"/>
          <c:h val="9.581646423751688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de-DE"/>
    </a:p>
  </c:txPr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0981210855949897E-2"/>
          <c:y val="0.155668358714044"/>
          <c:w val="0.90605427974947805"/>
          <c:h val="0.73434856175972929"/>
        </c:manualLayout>
      </c:layout>
      <c:scatterChart>
        <c:scatterStyle val="lineMarker"/>
        <c:varyColors val="0"/>
        <c:ser>
          <c:idx val="0"/>
          <c:order val="0"/>
          <c:tx>
            <c:strRef>
              <c:f>DDat!$AS$18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84AAD"/>
              </a:solidFill>
              <a:prstDash val="solid"/>
            </a:ln>
          </c:spPr>
          <c:marker>
            <c:symbol val="none"/>
          </c:marker>
          <c:xVal>
            <c:numRef>
              <c:f>DDat!$A$20:$A$54</c:f>
              <c:numCache>
                <c:formatCode>General</c:formatCode>
                <c:ptCount val="35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</c:numCache>
            </c:numRef>
          </c:xVal>
          <c:yVal>
            <c:numRef>
              <c:f>DDat!$AS$20:$AS$54</c:f>
              <c:numCache>
                <c:formatCode>#,##0.00</c:formatCode>
                <c:ptCount val="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-854.02</c:v>
                </c:pt>
                <c:pt idx="16">
                  <c:v>1173.4000000000001</c:v>
                </c:pt>
                <c:pt idx="17">
                  <c:v>3309.72</c:v>
                </c:pt>
                <c:pt idx="18">
                  <c:v>5554.7</c:v>
                </c:pt>
                <c:pt idx="19">
                  <c:v>7901.21</c:v>
                </c:pt>
                <c:pt idx="20">
                  <c:v>10342.1</c:v>
                </c:pt>
                <c:pt idx="21">
                  <c:v>12880.19</c:v>
                </c:pt>
                <c:pt idx="22">
                  <c:v>15507.09</c:v>
                </c:pt>
                <c:pt idx="23">
                  <c:v>18214.169999999998</c:v>
                </c:pt>
                <c:pt idx="24">
                  <c:v>21013.62</c:v>
                </c:pt>
                <c:pt idx="25">
                  <c:v>23890.86</c:v>
                </c:pt>
                <c:pt idx="26">
                  <c:v>26852.77</c:v>
                </c:pt>
                <c:pt idx="27">
                  <c:v>29875.08</c:v>
                </c:pt>
                <c:pt idx="28">
                  <c:v>32970.93</c:v>
                </c:pt>
                <c:pt idx="29">
                  <c:v>36129.300000000003</c:v>
                </c:pt>
                <c:pt idx="30">
                  <c:v>39354.6</c:v>
                </c:pt>
                <c:pt idx="31">
                  <c:v>42644.61</c:v>
                </c:pt>
                <c:pt idx="32">
                  <c:v>45994.03</c:v>
                </c:pt>
                <c:pt idx="33">
                  <c:v>49415.97</c:v>
                </c:pt>
                <c:pt idx="34">
                  <c:v>52915.83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5C6-4531-84BF-15BF484121A9}"/>
            </c:ext>
          </c:extLst>
        </c:ser>
        <c:ser>
          <c:idx val="1"/>
          <c:order val="1"/>
          <c:tx>
            <c:strRef>
              <c:f>DDat!$AT$18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00703A"/>
              </a:solidFill>
              <a:prstDash val="solid"/>
            </a:ln>
          </c:spPr>
          <c:marker>
            <c:symbol val="none"/>
          </c:marker>
          <c:xVal>
            <c:numRef>
              <c:f>DDat!$A$20:$A$54</c:f>
              <c:numCache>
                <c:formatCode>General</c:formatCode>
                <c:ptCount val="35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</c:numCache>
            </c:numRef>
          </c:xVal>
          <c:yVal>
            <c:numRef>
              <c:f>DDat!$AT$20:$AT$54</c:f>
              <c:numCache>
                <c:formatCode>#,##0.00</c:formatCode>
                <c:ptCount val="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-854.02</c:v>
                </c:pt>
                <c:pt idx="16">
                  <c:v>1173.4000000000001</c:v>
                </c:pt>
                <c:pt idx="17">
                  <c:v>3309.72</c:v>
                </c:pt>
                <c:pt idx="18">
                  <c:v>5554.7</c:v>
                </c:pt>
                <c:pt idx="19">
                  <c:v>7901.21</c:v>
                </c:pt>
                <c:pt idx="20">
                  <c:v>10342.1</c:v>
                </c:pt>
                <c:pt idx="21">
                  <c:v>12880.19</c:v>
                </c:pt>
                <c:pt idx="22">
                  <c:v>15507.09</c:v>
                </c:pt>
                <c:pt idx="23">
                  <c:v>18214.169999999998</c:v>
                </c:pt>
                <c:pt idx="24">
                  <c:v>21013.62</c:v>
                </c:pt>
                <c:pt idx="25">
                  <c:v>23890.86</c:v>
                </c:pt>
                <c:pt idx="26">
                  <c:v>26852.77</c:v>
                </c:pt>
                <c:pt idx="27">
                  <c:v>29875.08</c:v>
                </c:pt>
                <c:pt idx="28">
                  <c:v>32970.93</c:v>
                </c:pt>
                <c:pt idx="29">
                  <c:v>36129.300000000003</c:v>
                </c:pt>
                <c:pt idx="30">
                  <c:v>39354.6</c:v>
                </c:pt>
                <c:pt idx="31">
                  <c:v>42644.61</c:v>
                </c:pt>
                <c:pt idx="32">
                  <c:v>45994.03</c:v>
                </c:pt>
                <c:pt idx="33">
                  <c:v>49415.97</c:v>
                </c:pt>
                <c:pt idx="34">
                  <c:v>52915.83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5C6-4531-84BF-15BF484121A9}"/>
            </c:ext>
          </c:extLst>
        </c:ser>
        <c:ser>
          <c:idx val="2"/>
          <c:order val="2"/>
          <c:tx>
            <c:strRef>
              <c:f>DDat!$AU$18</c:f>
              <c:strCache>
                <c:ptCount val="1"/>
                <c:pt idx="0">
                  <c:v> .</c:v>
                </c:pt>
              </c:strCache>
            </c:strRef>
          </c:tx>
          <c:spPr>
            <a:ln w="25400">
              <a:solidFill>
                <a:srgbClr val="A5161D"/>
              </a:solidFill>
              <a:prstDash val="solid"/>
            </a:ln>
          </c:spPr>
          <c:marker>
            <c:symbol val="none"/>
          </c:marker>
          <c:xVal>
            <c:numRef>
              <c:f>DDat!$A$20:$A$54</c:f>
              <c:numCache>
                <c:formatCode>General</c:formatCode>
                <c:ptCount val="35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</c:numCache>
            </c:numRef>
          </c:xVal>
          <c:yVal>
            <c:numRef>
              <c:f>DDat!$AU$20:$AU$54</c:f>
              <c:numCache>
                <c:formatCode>#,##0.00</c:formatCode>
                <c:ptCount val="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-854.02</c:v>
                </c:pt>
                <c:pt idx="16">
                  <c:v>1173.4000000000001</c:v>
                </c:pt>
                <c:pt idx="17">
                  <c:v>3309.72</c:v>
                </c:pt>
                <c:pt idx="18">
                  <c:v>5554.7</c:v>
                </c:pt>
                <c:pt idx="19">
                  <c:v>7901.21</c:v>
                </c:pt>
                <c:pt idx="20">
                  <c:v>10342.1</c:v>
                </c:pt>
                <c:pt idx="21">
                  <c:v>12880.19</c:v>
                </c:pt>
                <c:pt idx="22">
                  <c:v>15507.09</c:v>
                </c:pt>
                <c:pt idx="23">
                  <c:v>18214.169999999998</c:v>
                </c:pt>
                <c:pt idx="24">
                  <c:v>21013.62</c:v>
                </c:pt>
                <c:pt idx="25">
                  <c:v>23890.86</c:v>
                </c:pt>
                <c:pt idx="26">
                  <c:v>26852.77</c:v>
                </c:pt>
                <c:pt idx="27">
                  <c:v>29875.08</c:v>
                </c:pt>
                <c:pt idx="28">
                  <c:v>32970.93</c:v>
                </c:pt>
                <c:pt idx="29">
                  <c:v>36129.300000000003</c:v>
                </c:pt>
                <c:pt idx="30">
                  <c:v>39354.6</c:v>
                </c:pt>
                <c:pt idx="31">
                  <c:v>42644.61</c:v>
                </c:pt>
                <c:pt idx="32">
                  <c:v>45994.03</c:v>
                </c:pt>
                <c:pt idx="33">
                  <c:v>49415.97</c:v>
                </c:pt>
                <c:pt idx="34">
                  <c:v>52915.83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5C6-4531-84BF-15BF484121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216288"/>
        <c:axId val="1"/>
      </c:scatterChart>
      <c:valAx>
        <c:axId val="378216288"/>
        <c:scaling>
          <c:orientation val="minMax"/>
          <c:max val="54"/>
          <c:min val="2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1"/>
        <c:crosses val="autoZero"/>
        <c:crossBetween val="midCat"/>
        <c:majorUnit val="1"/>
      </c:valAx>
      <c:valAx>
        <c:axId val="1"/>
        <c:scaling>
          <c:orientation val="minMax"/>
          <c:max val="2000"/>
          <c:min val="-2000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378216288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7.5896580483736431E-2"/>
          <c:y val="0.90283400809716619"/>
          <c:w val="0.89908256880733928"/>
          <c:h val="9.581646423751688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de-DE"/>
    </a:p>
  </c:txPr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DDat!$CD$17</c:f>
          <c:strCache>
            <c:ptCount val="1"/>
            <c:pt idx="0">
              <c:v>Tarifänderung i2 → _35/50 i1: Alterungsrückstellung
Frauen+Männer − λ_x: + 50,0 % − x_ω: 110 − r: 2,5 % − q_x: PKV 2017 − w_x: Sto BaFin N 2015 − K_x: Primo kompakt 2015 − x_KM: 70 − Δ_js: 8,6 % − 0: Γ_js: 802 / 679 Euro − α^Z_x: 2 MB (ab 70 abzgl. 0,5 MB</c:v>
            </c:pt>
          </c:strCache>
        </c:strRef>
      </c:tx>
      <c:layout>
        <c:manualLayout>
          <c:xMode val="edge"/>
          <c:yMode val="edge"/>
          <c:x val="0.12839239527941421"/>
          <c:y val="2.030439148126618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1"/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7.724425887265135E-2"/>
          <c:y val="0.14890016920473773"/>
          <c:w val="0.89770354906054284"/>
          <c:h val="0.7681895093062606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DDat!$CD$18</c:f>
              <c:strCache>
                <c:ptCount val="1"/>
                <c:pt idx="0">
                  <c:v> V^Z_35;35+k (i2)</c:v>
                </c:pt>
              </c:strCache>
            </c:strRef>
          </c:tx>
          <c:spPr>
            <a:ln w="25400">
              <a:solidFill>
                <a:srgbClr val="00703A"/>
              </a:solidFill>
              <a:prstDash val="solid"/>
            </a:ln>
          </c:spPr>
          <c:marker>
            <c:symbol val="none"/>
          </c:marker>
          <c:xVal>
            <c:numRef>
              <c:f>DDat!$A$20:$A$120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DDat!$CD$20:$CD$120</c:f>
              <c:numCache>
                <c:formatCode>#,##0.00</c:formatCode>
                <c:ptCount val="10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-854.02</c:v>
                </c:pt>
                <c:pt idx="16">
                  <c:v>1173.4000000000001</c:v>
                </c:pt>
                <c:pt idx="17">
                  <c:v>3309.72</c:v>
                </c:pt>
                <c:pt idx="18">
                  <c:v>5554.7</c:v>
                </c:pt>
                <c:pt idx="19">
                  <c:v>7901.21</c:v>
                </c:pt>
                <c:pt idx="20">
                  <c:v>10342.1</c:v>
                </c:pt>
                <c:pt idx="21">
                  <c:v>12880.19</c:v>
                </c:pt>
                <c:pt idx="22">
                  <c:v>15507.09</c:v>
                </c:pt>
                <c:pt idx="23">
                  <c:v>18214.169999999998</c:v>
                </c:pt>
                <c:pt idx="24">
                  <c:v>21013.62</c:v>
                </c:pt>
                <c:pt idx="25">
                  <c:v>23890.86</c:v>
                </c:pt>
                <c:pt idx="26">
                  <c:v>26852.77</c:v>
                </c:pt>
                <c:pt idx="27">
                  <c:v>29875.08</c:v>
                </c:pt>
                <c:pt idx="28">
                  <c:v>32970.93</c:v>
                </c:pt>
                <c:pt idx="29">
                  <c:v>36129.300000000003</c:v>
                </c:pt>
                <c:pt idx="30">
                  <c:v>39354.6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866-4565-8407-D5236ABB0AA1}"/>
            </c:ext>
          </c:extLst>
        </c:ser>
        <c:ser>
          <c:idx val="3"/>
          <c:order val="1"/>
          <c:tx>
            <c:strRef>
              <c:f>DDat!$CD$3</c:f>
              <c:strCache>
                <c:ptCount val="1"/>
                <c:pt idx="0">
                  <c:v> x+m = 50</c:v>
                </c:pt>
              </c:strCache>
            </c:strRef>
          </c:tx>
          <c:spPr>
            <a:ln w="38100">
              <a:pattFill prst="pct75">
                <a:fgClr>
                  <a:srgbClr val="777777"/>
                </a:fgClr>
                <a:bgClr>
                  <a:srgbClr val="FFFFFF"/>
                </a:bgClr>
              </a:pattFill>
              <a:prstDash val="solid"/>
            </a:ln>
          </c:spPr>
          <c:marker>
            <c:symbol val="none"/>
          </c:marker>
          <c:xVal>
            <c:numRef>
              <c:f>DDat!$CD$4:$CD$5</c:f>
              <c:numCache>
                <c:formatCode>#,##0</c:formatCode>
                <c:ptCount val="2"/>
                <c:pt idx="0">
                  <c:v>50</c:v>
                </c:pt>
                <c:pt idx="1">
                  <c:v>50</c:v>
                </c:pt>
              </c:numCache>
            </c:numRef>
          </c:xVal>
          <c:yVal>
            <c:numRef>
              <c:f>DDat!$CE$4:$CE$5</c:f>
              <c:numCache>
                <c:formatCode>#,##0.00</c:formatCode>
                <c:ptCount val="2"/>
                <c:pt idx="0">
                  <c:v>-1220.8499999999999</c:v>
                </c:pt>
                <c:pt idx="1">
                  <c:v>83728.539999999994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866-4565-8407-D5236ABB0AA1}"/>
            </c:ext>
          </c:extLst>
        </c:ser>
        <c:ser>
          <c:idx val="1"/>
          <c:order val="2"/>
          <c:tx>
            <c:strRef>
              <c:f>DDat!$CE$18</c:f>
              <c:strCache>
                <c:ptCount val="1"/>
                <c:pt idx="0">
                  <c:v> V^Z_50;50+k (H(i2;i1))</c:v>
                </c:pt>
              </c:strCache>
            </c:strRef>
          </c:tx>
          <c:spPr>
            <a:ln w="25400">
              <a:solidFill>
                <a:srgbClr val="2E66BA"/>
              </a:solidFill>
              <a:prstDash val="solid"/>
            </a:ln>
          </c:spPr>
          <c:marker>
            <c:symbol val="none"/>
          </c:marker>
          <c:xVal>
            <c:numRef>
              <c:f>DDat!$A$20:$A$120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DDat!$CE$20:$CE$120</c:f>
              <c:numCache>
                <c:formatCode>#,##0.00</c:formatCode>
                <c:ptCount val="10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40582.800000000003</c:v>
                </c:pt>
                <c:pt idx="31">
                  <c:v>40533.769999999997</c:v>
                </c:pt>
                <c:pt idx="32">
                  <c:v>40494.51</c:v>
                </c:pt>
                <c:pt idx="33">
                  <c:v>40478.230000000003</c:v>
                </c:pt>
                <c:pt idx="34">
                  <c:v>40490.03</c:v>
                </c:pt>
                <c:pt idx="35">
                  <c:v>40498.58</c:v>
                </c:pt>
                <c:pt idx="36">
                  <c:v>40399.51</c:v>
                </c:pt>
                <c:pt idx="37">
                  <c:v>40118.57</c:v>
                </c:pt>
                <c:pt idx="38">
                  <c:v>39651.08</c:v>
                </c:pt>
                <c:pt idx="39">
                  <c:v>39060.92</c:v>
                </c:pt>
                <c:pt idx="40">
                  <c:v>38405.67</c:v>
                </c:pt>
                <c:pt idx="41">
                  <c:v>37710.550000000003</c:v>
                </c:pt>
                <c:pt idx="42">
                  <c:v>36982.46</c:v>
                </c:pt>
                <c:pt idx="43">
                  <c:v>36223.870000000003</c:v>
                </c:pt>
                <c:pt idx="44">
                  <c:v>35437.599999999999</c:v>
                </c:pt>
                <c:pt idx="45">
                  <c:v>34619.199999999997</c:v>
                </c:pt>
                <c:pt idx="46">
                  <c:v>33767.629999999997</c:v>
                </c:pt>
                <c:pt idx="47">
                  <c:v>32881.89</c:v>
                </c:pt>
                <c:pt idx="48">
                  <c:v>31964.01</c:v>
                </c:pt>
                <c:pt idx="49">
                  <c:v>31016.01</c:v>
                </c:pt>
                <c:pt idx="50">
                  <c:v>30042.799999999999</c:v>
                </c:pt>
                <c:pt idx="51">
                  <c:v>29045.57</c:v>
                </c:pt>
                <c:pt idx="52">
                  <c:v>28028.62</c:v>
                </c:pt>
                <c:pt idx="53">
                  <c:v>26997.83</c:v>
                </c:pt>
                <c:pt idx="54">
                  <c:v>25956.26</c:v>
                </c:pt>
                <c:pt idx="55">
                  <c:v>24903.5</c:v>
                </c:pt>
                <c:pt idx="56">
                  <c:v>23843.83</c:v>
                </c:pt>
                <c:pt idx="57">
                  <c:v>22780.69</c:v>
                </c:pt>
                <c:pt idx="58">
                  <c:v>21714.71</c:v>
                </c:pt>
                <c:pt idx="59">
                  <c:v>20651.57</c:v>
                </c:pt>
                <c:pt idx="60">
                  <c:v>19602.07</c:v>
                </c:pt>
                <c:pt idx="61">
                  <c:v>18563.96</c:v>
                </c:pt>
                <c:pt idx="62">
                  <c:v>17551.89</c:v>
                </c:pt>
                <c:pt idx="63">
                  <c:v>16561.38</c:v>
                </c:pt>
                <c:pt idx="64">
                  <c:v>15600.16</c:v>
                </c:pt>
                <c:pt idx="65">
                  <c:v>14673.94</c:v>
                </c:pt>
                <c:pt idx="66">
                  <c:v>13783.92</c:v>
                </c:pt>
                <c:pt idx="67">
                  <c:v>12934.6</c:v>
                </c:pt>
                <c:pt idx="68">
                  <c:v>12136.53</c:v>
                </c:pt>
                <c:pt idx="69">
                  <c:v>11378.75</c:v>
                </c:pt>
                <c:pt idx="70">
                  <c:v>10675.69</c:v>
                </c:pt>
                <c:pt idx="71">
                  <c:v>10031.01</c:v>
                </c:pt>
                <c:pt idx="72">
                  <c:v>9427.84</c:v>
                </c:pt>
                <c:pt idx="73">
                  <c:v>8879.18</c:v>
                </c:pt>
                <c:pt idx="74">
                  <c:v>8395.42</c:v>
                </c:pt>
                <c:pt idx="75">
                  <c:v>7965.98</c:v>
                </c:pt>
                <c:pt idx="76">
                  <c:v>7606.72</c:v>
                </c:pt>
                <c:pt idx="77">
                  <c:v>7308.89</c:v>
                </c:pt>
                <c:pt idx="78">
                  <c:v>7074.54</c:v>
                </c:pt>
                <c:pt idx="79">
                  <c:v>6911.39</c:v>
                </c:pt>
                <c:pt idx="80">
                  <c:v>6769.19</c:v>
                </c:pt>
                <c:pt idx="81">
                  <c:v>6614.79</c:v>
                </c:pt>
                <c:pt idx="82">
                  <c:v>6445.12</c:v>
                </c:pt>
                <c:pt idx="83">
                  <c:v>6248.81</c:v>
                </c:pt>
                <c:pt idx="84">
                  <c:v>6026.66</c:v>
                </c:pt>
                <c:pt idx="85">
                  <c:v>5754.68</c:v>
                </c:pt>
                <c:pt idx="86">
                  <c:v>5408.23</c:v>
                </c:pt>
                <c:pt idx="87">
                  <c:v>4945.63</c:v>
                </c:pt>
                <c:pt idx="88">
                  <c:v>4305.43</c:v>
                </c:pt>
                <c:pt idx="89">
                  <c:v>3386.73</c:v>
                </c:pt>
                <c:pt idx="90">
                  <c:v>2034.32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866-4565-8407-D5236ABB0AA1}"/>
            </c:ext>
          </c:extLst>
        </c:ser>
        <c:ser>
          <c:idx val="2"/>
          <c:order val="3"/>
          <c:tx>
            <c:strRef>
              <c:f>DDat!$CF$18</c:f>
              <c:strCache>
                <c:ptCount val="1"/>
                <c:pt idx="0">
                  <c:v> V^Z _(35/50);50+k (ges(i2;i1))</c:v>
                </c:pt>
              </c:strCache>
            </c:strRef>
          </c:tx>
          <c:spPr>
            <a:ln w="25400">
              <a:solidFill>
                <a:srgbClr val="084AAD"/>
              </a:solidFill>
              <a:prstDash val="solid"/>
            </a:ln>
          </c:spPr>
          <c:marker>
            <c:symbol val="none"/>
          </c:marker>
          <c:xVal>
            <c:numRef>
              <c:f>DDat!$A$20:$A$120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DDat!$CF$20:$CF$120</c:f>
              <c:numCache>
                <c:formatCode>#,##0.00</c:formatCode>
                <c:ptCount val="10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39361.950000000004</c:v>
                </c:pt>
                <c:pt idx="31">
                  <c:v>42651.95</c:v>
                </c:pt>
                <c:pt idx="32">
                  <c:v>46001.37</c:v>
                </c:pt>
                <c:pt idx="33">
                  <c:v>49423.3</c:v>
                </c:pt>
                <c:pt idx="34">
                  <c:v>52923.17</c:v>
                </c:pt>
                <c:pt idx="35">
                  <c:v>56452.130000000005</c:v>
                </c:pt>
                <c:pt idx="36">
                  <c:v>59855.69</c:v>
                </c:pt>
                <c:pt idx="37">
                  <c:v>62993.759999999995</c:v>
                </c:pt>
                <c:pt idx="38">
                  <c:v>65814.64</c:v>
                </c:pt>
                <c:pt idx="39">
                  <c:v>68387.48</c:v>
                </c:pt>
                <c:pt idx="40">
                  <c:v>70785.67</c:v>
                </c:pt>
                <c:pt idx="41">
                  <c:v>73036.899999999994</c:v>
                </c:pt>
                <c:pt idx="42">
                  <c:v>75120.84</c:v>
                </c:pt>
                <c:pt idx="43">
                  <c:v>77025.990000000005</c:v>
                </c:pt>
                <c:pt idx="44">
                  <c:v>78741.86</c:v>
                </c:pt>
                <c:pt idx="45">
                  <c:v>80236.759999999995</c:v>
                </c:pt>
                <c:pt idx="46">
                  <c:v>81482.7</c:v>
                </c:pt>
                <c:pt idx="47">
                  <c:v>82461.88</c:v>
                </c:pt>
                <c:pt idx="48">
                  <c:v>83164.399999999994</c:v>
                </c:pt>
                <c:pt idx="49">
                  <c:v>83584.47</c:v>
                </c:pt>
                <c:pt idx="50">
                  <c:v>83728.539999999994</c:v>
                </c:pt>
                <c:pt idx="51">
                  <c:v>83586.570000000007</c:v>
                </c:pt>
                <c:pt idx="52">
                  <c:v>83153.3</c:v>
                </c:pt>
                <c:pt idx="53">
                  <c:v>82438.61</c:v>
                </c:pt>
                <c:pt idx="54">
                  <c:v>81439.349999999991</c:v>
                </c:pt>
                <c:pt idx="55">
                  <c:v>80145.91</c:v>
                </c:pt>
                <c:pt idx="56">
                  <c:v>78568.81</c:v>
                </c:pt>
                <c:pt idx="57">
                  <c:v>76675.03</c:v>
                </c:pt>
                <c:pt idx="58">
                  <c:v>74501.01999999999</c:v>
                </c:pt>
                <c:pt idx="59">
                  <c:v>72074.899999999994</c:v>
                </c:pt>
                <c:pt idx="60">
                  <c:v>69426.12</c:v>
                </c:pt>
                <c:pt idx="61">
                  <c:v>66595.94</c:v>
                </c:pt>
                <c:pt idx="62">
                  <c:v>63615.29</c:v>
                </c:pt>
                <c:pt idx="63">
                  <c:v>60518.930000000008</c:v>
                </c:pt>
                <c:pt idx="64">
                  <c:v>57353.759999999995</c:v>
                </c:pt>
                <c:pt idx="65">
                  <c:v>54165.810000000005</c:v>
                </c:pt>
                <c:pt idx="66">
                  <c:v>51015.259999999995</c:v>
                </c:pt>
                <c:pt idx="67">
                  <c:v>47960.46</c:v>
                </c:pt>
                <c:pt idx="68">
                  <c:v>45004.18</c:v>
                </c:pt>
                <c:pt idx="69">
                  <c:v>42199.08</c:v>
                </c:pt>
                <c:pt idx="70">
                  <c:v>39595.79</c:v>
                </c:pt>
                <c:pt idx="71">
                  <c:v>37210.980000000003</c:v>
                </c:pt>
                <c:pt idx="72">
                  <c:v>34981.46</c:v>
                </c:pt>
                <c:pt idx="73">
                  <c:v>32955.380000000005</c:v>
                </c:pt>
                <c:pt idx="74">
                  <c:v>31172.519999999997</c:v>
                </c:pt>
                <c:pt idx="75">
                  <c:v>29594.959999999999</c:v>
                </c:pt>
                <c:pt idx="76">
                  <c:v>28282.68</c:v>
                </c:pt>
                <c:pt idx="77">
                  <c:v>27205.68</c:v>
                </c:pt>
                <c:pt idx="78">
                  <c:v>26335.56</c:v>
                </c:pt>
                <c:pt idx="79">
                  <c:v>25730.23</c:v>
                </c:pt>
                <c:pt idx="80">
                  <c:v>25204.639999999999</c:v>
                </c:pt>
                <c:pt idx="81">
                  <c:v>24634.280000000002</c:v>
                </c:pt>
                <c:pt idx="82">
                  <c:v>24008.59</c:v>
                </c:pt>
                <c:pt idx="83">
                  <c:v>23287.690000000002</c:v>
                </c:pt>
                <c:pt idx="84">
                  <c:v>22473.97</c:v>
                </c:pt>
                <c:pt idx="85">
                  <c:v>21481.29</c:v>
                </c:pt>
                <c:pt idx="86">
                  <c:v>20220.07</c:v>
                </c:pt>
                <c:pt idx="87">
                  <c:v>18541.28</c:v>
                </c:pt>
                <c:pt idx="88">
                  <c:v>16193.41</c:v>
                </c:pt>
                <c:pt idx="89">
                  <c:v>12776.189999999999</c:v>
                </c:pt>
                <c:pt idx="90">
                  <c:v>7695.67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866-4565-8407-D5236ABB0A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098512"/>
        <c:axId val="1"/>
      </c:scatterChart>
      <c:valAx>
        <c:axId val="378098512"/>
        <c:scaling>
          <c:orientation val="minMax"/>
          <c:max val="111"/>
          <c:min val="2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378098512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7.6730608840700584E-2"/>
          <c:y val="0.95681511470985159"/>
          <c:w val="0.90742285237698062"/>
          <c:h val="3.7786774628879895E-2"/>
        </c:manualLayout>
      </c:layout>
      <c:overlay val="0"/>
      <c:spPr>
        <a:noFill/>
        <a:ln w="25400">
          <a:noFill/>
        </a:ln>
      </c:sp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Verdana" panose="020B0604030504040204" pitchFamily="34" charset="0"/>
          <a:ea typeface="Verdana" panose="020B0604030504040204" pitchFamily="34" charset="0"/>
          <a:cs typeface="Verdana" panose="020B0604030504040204" pitchFamily="34" charset="0"/>
        </a:defRPr>
      </a:pPr>
      <a:endParaRPr lang="de-DE"/>
    </a:p>
  </c:txPr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DDat!$CX$17</c:f>
          <c:strCache>
            <c:ptCount val="1"/>
            <c:pt idx="0">
              <c:v>gezillmerte Alterungsrückstellung
Frauen+Männer − λ_x: + 50,0 % − x_ω: 110 − r: 2,5 % − q_x: PKV 2017 − w_x: Sto BaFin N 2015 − K_x: Primo kompakt 2015 − x_KM: 70 − Δ_js: 8,6 % − Γ_js: 802 / 679 Euro − α^Z_x: 2 MB (ab 70 abzgl. 0,5 MB)</c:v>
            </c:pt>
          </c:strCache>
        </c:strRef>
      </c:tx>
      <c:overlay val="0"/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DDat!$CX$19</c:f>
              <c:strCache>
                <c:ptCount val="1"/>
                <c:pt idx="0">
                  <c:v> x_0: 20  </c:v>
                </c:pt>
              </c:strCache>
            </c:strRef>
          </c:tx>
          <c:marker>
            <c:symbol val="none"/>
          </c:marker>
          <c:xVal>
            <c:numRef>
              <c:f>DDat!$CW$20:$CW$120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DDat!$CX$20:$CX$120</c:f>
              <c:numCache>
                <c:formatCode>#,##0</c:formatCode>
                <c:ptCount val="101"/>
                <c:pt idx="0">
                  <c:v>-603.29999999999995</c:v>
                </c:pt>
                <c:pt idx="1">
                  <c:v>226.39</c:v>
                </c:pt>
                <c:pt idx="2">
                  <c:v>1194.74</c:v>
                </c:pt>
                <c:pt idx="3">
                  <c:v>2223.3200000000002</c:v>
                </c:pt>
                <c:pt idx="4">
                  <c:v>3317.53</c:v>
                </c:pt>
                <c:pt idx="5">
                  <c:v>4520.32</c:v>
                </c:pt>
                <c:pt idx="6">
                  <c:v>5882.08</c:v>
                </c:pt>
                <c:pt idx="7">
                  <c:v>7496.3</c:v>
                </c:pt>
                <c:pt idx="8">
                  <c:v>9370.66</c:v>
                </c:pt>
                <c:pt idx="9">
                  <c:v>11428.04</c:v>
                </c:pt>
                <c:pt idx="10">
                  <c:v>13541.88</c:v>
                </c:pt>
                <c:pt idx="11">
                  <c:v>15706.13</c:v>
                </c:pt>
                <c:pt idx="12">
                  <c:v>17977.36</c:v>
                </c:pt>
                <c:pt idx="13">
                  <c:v>20314.48</c:v>
                </c:pt>
                <c:pt idx="14">
                  <c:v>22733.4</c:v>
                </c:pt>
                <c:pt idx="15">
                  <c:v>25204.5</c:v>
                </c:pt>
                <c:pt idx="16">
                  <c:v>27726.400000000001</c:v>
                </c:pt>
                <c:pt idx="17">
                  <c:v>30284.74</c:v>
                </c:pt>
                <c:pt idx="18">
                  <c:v>32876.74</c:v>
                </c:pt>
                <c:pt idx="19">
                  <c:v>35501.74</c:v>
                </c:pt>
                <c:pt idx="20">
                  <c:v>38155.53</c:v>
                </c:pt>
                <c:pt idx="21">
                  <c:v>40847.26</c:v>
                </c:pt>
                <c:pt idx="22">
                  <c:v>43581.74</c:v>
                </c:pt>
                <c:pt idx="23">
                  <c:v>46353.14</c:v>
                </c:pt>
                <c:pt idx="24">
                  <c:v>49185.73</c:v>
                </c:pt>
                <c:pt idx="25">
                  <c:v>52065.919999999998</c:v>
                </c:pt>
                <c:pt idx="26">
                  <c:v>55016.59</c:v>
                </c:pt>
                <c:pt idx="27">
                  <c:v>58006.879999999997</c:v>
                </c:pt>
                <c:pt idx="28">
                  <c:v>61066.080000000002</c:v>
                </c:pt>
                <c:pt idx="29">
                  <c:v>64183.16</c:v>
                </c:pt>
                <c:pt idx="30">
                  <c:v>67370.679999999993</c:v>
                </c:pt>
                <c:pt idx="31">
                  <c:v>70626.850000000006</c:v>
                </c:pt>
                <c:pt idx="32">
                  <c:v>73949.16</c:v>
                </c:pt>
                <c:pt idx="33">
                  <c:v>77359.86</c:v>
                </c:pt>
                <c:pt idx="34">
                  <c:v>80867.87</c:v>
                </c:pt>
                <c:pt idx="35">
                  <c:v>84402.73</c:v>
                </c:pt>
                <c:pt idx="36">
                  <c:v>87737.919999999998</c:v>
                </c:pt>
                <c:pt idx="37">
                  <c:v>90682.09</c:v>
                </c:pt>
                <c:pt idx="38">
                  <c:v>93180.33</c:v>
                </c:pt>
                <c:pt idx="39">
                  <c:v>95345.88</c:v>
                </c:pt>
                <c:pt idx="40">
                  <c:v>97291.83</c:v>
                </c:pt>
                <c:pt idx="41">
                  <c:v>99063.3</c:v>
                </c:pt>
                <c:pt idx="42">
                  <c:v>100644.76</c:v>
                </c:pt>
                <c:pt idx="43">
                  <c:v>102026.34</c:v>
                </c:pt>
                <c:pt idx="44">
                  <c:v>103199.57</c:v>
                </c:pt>
                <c:pt idx="45">
                  <c:v>104129.64</c:v>
                </c:pt>
                <c:pt idx="46">
                  <c:v>104787.85</c:v>
                </c:pt>
                <c:pt idx="47">
                  <c:v>105155.74</c:v>
                </c:pt>
                <c:pt idx="48">
                  <c:v>105224.76</c:v>
                </c:pt>
                <c:pt idx="49">
                  <c:v>104990.57</c:v>
                </c:pt>
                <c:pt idx="50">
                  <c:v>104462.96</c:v>
                </c:pt>
                <c:pt idx="51">
                  <c:v>103632.75</c:v>
                </c:pt>
                <c:pt idx="52">
                  <c:v>102497.61</c:v>
                </c:pt>
                <c:pt idx="53">
                  <c:v>101071.5</c:v>
                </c:pt>
                <c:pt idx="54">
                  <c:v>99353.39</c:v>
                </c:pt>
                <c:pt idx="55">
                  <c:v>97333.37</c:v>
                </c:pt>
                <c:pt idx="56">
                  <c:v>95024.92</c:v>
                </c:pt>
                <c:pt idx="57">
                  <c:v>92397.41</c:v>
                </c:pt>
                <c:pt idx="58">
                  <c:v>89487.69</c:v>
                </c:pt>
                <c:pt idx="59">
                  <c:v>86327.85</c:v>
                </c:pt>
                <c:pt idx="60">
                  <c:v>82954.740000000005</c:v>
                </c:pt>
                <c:pt idx="61">
                  <c:v>79408.08</c:v>
                </c:pt>
                <c:pt idx="62">
                  <c:v>75728.94</c:v>
                </c:pt>
                <c:pt idx="63">
                  <c:v>71948.97</c:v>
                </c:pt>
                <c:pt idx="64">
                  <c:v>68120.41</c:v>
                </c:pt>
                <c:pt idx="65">
                  <c:v>64293.21</c:v>
                </c:pt>
                <c:pt idx="66">
                  <c:v>60528.41</c:v>
                </c:pt>
                <c:pt idx="67">
                  <c:v>56887.43</c:v>
                </c:pt>
                <c:pt idx="68">
                  <c:v>53380.37</c:v>
                </c:pt>
                <c:pt idx="69">
                  <c:v>50052.26</c:v>
                </c:pt>
                <c:pt idx="70">
                  <c:v>46963.75</c:v>
                </c:pt>
                <c:pt idx="71">
                  <c:v>44134.02</c:v>
                </c:pt>
                <c:pt idx="72">
                  <c:v>41488.199999999997</c:v>
                </c:pt>
                <c:pt idx="73">
                  <c:v>39083.47</c:v>
                </c:pt>
                <c:pt idx="74">
                  <c:v>36966.730000000003</c:v>
                </c:pt>
                <c:pt idx="75">
                  <c:v>35092.78</c:v>
                </c:pt>
                <c:pt idx="76">
                  <c:v>33532.550000000003</c:v>
                </c:pt>
                <c:pt idx="77">
                  <c:v>32250.01</c:v>
                </c:pt>
                <c:pt idx="78">
                  <c:v>31218.15</c:v>
                </c:pt>
                <c:pt idx="79">
                  <c:v>30500.21</c:v>
                </c:pt>
                <c:pt idx="80">
                  <c:v>29876.48</c:v>
                </c:pt>
                <c:pt idx="81">
                  <c:v>29199.56</c:v>
                </c:pt>
                <c:pt idx="82">
                  <c:v>28456.77</c:v>
                </c:pt>
                <c:pt idx="83">
                  <c:v>27600.39</c:v>
                </c:pt>
                <c:pt idx="84">
                  <c:v>26633.35</c:v>
                </c:pt>
                <c:pt idx="85">
                  <c:v>25452.95</c:v>
                </c:pt>
                <c:pt idx="86">
                  <c:v>23952.63</c:v>
                </c:pt>
                <c:pt idx="87">
                  <c:v>21954.57</c:v>
                </c:pt>
                <c:pt idx="88">
                  <c:v>19164.86</c:v>
                </c:pt>
                <c:pt idx="89">
                  <c:v>15113.58</c:v>
                </c:pt>
                <c:pt idx="90">
                  <c:v>9099.68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C26-4EA2-BB56-5D9E471BAC6B}"/>
            </c:ext>
          </c:extLst>
        </c:ser>
        <c:ser>
          <c:idx val="1"/>
          <c:order val="1"/>
          <c:tx>
            <c:strRef>
              <c:f>DDat!$CY$19</c:f>
              <c:strCache>
                <c:ptCount val="1"/>
                <c:pt idx="0">
                  <c:v> x_0: 25  </c:v>
                </c:pt>
              </c:strCache>
            </c:strRef>
          </c:tx>
          <c:marker>
            <c:symbol val="none"/>
          </c:marker>
          <c:xVal>
            <c:numRef>
              <c:f>DDat!$CW$20:$CW$120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DDat!$CY$20:$CY$120</c:f>
              <c:numCache>
                <c:formatCode>#,##0</c:formatCode>
                <c:ptCount val="10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-677.15</c:v>
                </c:pt>
                <c:pt idx="6">
                  <c:v>432.95</c:v>
                </c:pt>
                <c:pt idx="7">
                  <c:v>1696.85</c:v>
                </c:pt>
                <c:pt idx="8">
                  <c:v>3177.55</c:v>
                </c:pt>
                <c:pt idx="9">
                  <c:v>4864.3999999999996</c:v>
                </c:pt>
                <c:pt idx="10">
                  <c:v>6667.73</c:v>
                </c:pt>
                <c:pt idx="11">
                  <c:v>8567.52</c:v>
                </c:pt>
                <c:pt idx="12">
                  <c:v>10597.61</c:v>
                </c:pt>
                <c:pt idx="13">
                  <c:v>12712.74</c:v>
                </c:pt>
                <c:pt idx="14">
                  <c:v>14932.96</c:v>
                </c:pt>
                <c:pt idx="15">
                  <c:v>17227.72</c:v>
                </c:pt>
                <c:pt idx="16">
                  <c:v>19598.25</c:v>
                </c:pt>
                <c:pt idx="17">
                  <c:v>22027.41</c:v>
                </c:pt>
                <c:pt idx="18">
                  <c:v>24513.18</c:v>
                </c:pt>
                <c:pt idx="19">
                  <c:v>27052.93</c:v>
                </c:pt>
                <c:pt idx="20">
                  <c:v>29641.55</c:v>
                </c:pt>
                <c:pt idx="21">
                  <c:v>32286.25</c:v>
                </c:pt>
                <c:pt idx="22">
                  <c:v>34987.800000000003</c:v>
                </c:pt>
                <c:pt idx="23">
                  <c:v>37739.51</c:v>
                </c:pt>
                <c:pt idx="24">
                  <c:v>40561.949999999997</c:v>
                </c:pt>
                <c:pt idx="25">
                  <c:v>43441.24</c:v>
                </c:pt>
                <c:pt idx="26">
                  <c:v>46395.35</c:v>
                </c:pt>
                <c:pt idx="27">
                  <c:v>49395.45</c:v>
                </c:pt>
                <c:pt idx="28">
                  <c:v>52465.86</c:v>
                </c:pt>
                <c:pt idx="29">
                  <c:v>55595.58</c:v>
                </c:pt>
                <c:pt idx="30">
                  <c:v>58794.67</c:v>
                </c:pt>
                <c:pt idx="31">
                  <c:v>62061.19</c:v>
                </c:pt>
                <c:pt idx="32">
                  <c:v>65391.81</c:v>
                </c:pt>
                <c:pt idx="33">
                  <c:v>68805.95</c:v>
                </c:pt>
                <c:pt idx="34">
                  <c:v>72311.460000000006</c:v>
                </c:pt>
                <c:pt idx="35">
                  <c:v>75844.52</c:v>
                </c:pt>
                <c:pt idx="36">
                  <c:v>79200.639999999999</c:v>
                </c:pt>
                <c:pt idx="37">
                  <c:v>82204.179999999993</c:v>
                </c:pt>
                <c:pt idx="38">
                  <c:v>84801.21</c:v>
                </c:pt>
                <c:pt idx="39">
                  <c:v>87091.47</c:v>
                </c:pt>
                <c:pt idx="40">
                  <c:v>89175.89</c:v>
                </c:pt>
                <c:pt idx="41">
                  <c:v>91094.26</c:v>
                </c:pt>
                <c:pt idx="42">
                  <c:v>92829.57</c:v>
                </c:pt>
                <c:pt idx="43">
                  <c:v>94371.46</c:v>
                </c:pt>
                <c:pt idx="44">
                  <c:v>95710.85</c:v>
                </c:pt>
                <c:pt idx="45">
                  <c:v>96813.86</c:v>
                </c:pt>
                <c:pt idx="46">
                  <c:v>97652.03</c:v>
                </c:pt>
                <c:pt idx="47">
                  <c:v>98207.09</c:v>
                </c:pt>
                <c:pt idx="48">
                  <c:v>98470.080000000002</c:v>
                </c:pt>
                <c:pt idx="49">
                  <c:v>98436.22</c:v>
                </c:pt>
                <c:pt idx="50">
                  <c:v>98114.27</c:v>
                </c:pt>
                <c:pt idx="51">
                  <c:v>97494.79</c:v>
                </c:pt>
                <c:pt idx="52">
                  <c:v>96574.56</c:v>
                </c:pt>
                <c:pt idx="53">
                  <c:v>95366.28</c:v>
                </c:pt>
                <c:pt idx="54">
                  <c:v>93868.27</c:v>
                </c:pt>
                <c:pt idx="55">
                  <c:v>92070.73</c:v>
                </c:pt>
                <c:pt idx="56">
                  <c:v>89986.21</c:v>
                </c:pt>
                <c:pt idx="57">
                  <c:v>87583.360000000001</c:v>
                </c:pt>
                <c:pt idx="58">
                  <c:v>84898.91</c:v>
                </c:pt>
                <c:pt idx="59">
                  <c:v>81963.73</c:v>
                </c:pt>
                <c:pt idx="60">
                  <c:v>78812.399999999994</c:v>
                </c:pt>
                <c:pt idx="61">
                  <c:v>75485.119999999995</c:v>
                </c:pt>
                <c:pt idx="62">
                  <c:v>72019.850000000006</c:v>
                </c:pt>
                <c:pt idx="63">
                  <c:v>68449.2</c:v>
                </c:pt>
                <c:pt idx="64">
                  <c:v>64823.76</c:v>
                </c:pt>
                <c:pt idx="65">
                  <c:v>61192.29</c:v>
                </c:pt>
                <c:pt idx="66">
                  <c:v>57615.57</c:v>
                </c:pt>
                <c:pt idx="67">
                  <c:v>54154.07</c:v>
                </c:pt>
                <c:pt idx="68">
                  <c:v>50815.66</c:v>
                </c:pt>
                <c:pt idx="69">
                  <c:v>47647.69</c:v>
                </c:pt>
                <c:pt idx="70">
                  <c:v>44707.75</c:v>
                </c:pt>
                <c:pt idx="71">
                  <c:v>42014.25</c:v>
                </c:pt>
                <c:pt idx="72">
                  <c:v>39495.9</c:v>
                </c:pt>
                <c:pt idx="73">
                  <c:v>37207.11</c:v>
                </c:pt>
                <c:pt idx="74">
                  <c:v>35192.6</c:v>
                </c:pt>
                <c:pt idx="75">
                  <c:v>33409.4</c:v>
                </c:pt>
                <c:pt idx="76">
                  <c:v>31925.09</c:v>
                </c:pt>
                <c:pt idx="77">
                  <c:v>30705.48</c:v>
                </c:pt>
                <c:pt idx="78">
                  <c:v>29723.15</c:v>
                </c:pt>
                <c:pt idx="79">
                  <c:v>29039.69</c:v>
                </c:pt>
                <c:pt idx="80">
                  <c:v>28446</c:v>
                </c:pt>
                <c:pt idx="81">
                  <c:v>27801.71</c:v>
                </c:pt>
                <c:pt idx="82">
                  <c:v>27094.78</c:v>
                </c:pt>
                <c:pt idx="83">
                  <c:v>26279.88</c:v>
                </c:pt>
                <c:pt idx="84">
                  <c:v>25359.79</c:v>
                </c:pt>
                <c:pt idx="85">
                  <c:v>24236.86</c:v>
                </c:pt>
                <c:pt idx="86">
                  <c:v>22809.759999999998</c:v>
                </c:pt>
                <c:pt idx="87">
                  <c:v>20909.45</c:v>
                </c:pt>
                <c:pt idx="88">
                  <c:v>18255.03</c:v>
                </c:pt>
                <c:pt idx="89">
                  <c:v>14397.89</c:v>
                </c:pt>
                <c:pt idx="90">
                  <c:v>8669.7900000000009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C26-4EA2-BB56-5D9E471BAC6B}"/>
            </c:ext>
          </c:extLst>
        </c:ser>
        <c:ser>
          <c:idx val="2"/>
          <c:order val="2"/>
          <c:tx>
            <c:strRef>
              <c:f>DDat!$CZ$19</c:f>
              <c:strCache>
                <c:ptCount val="1"/>
                <c:pt idx="0">
                  <c:v> x_0: 30  </c:v>
                </c:pt>
              </c:strCache>
            </c:strRef>
          </c:tx>
          <c:marker>
            <c:symbol val="none"/>
          </c:marker>
          <c:xVal>
            <c:numRef>
              <c:f>DDat!$CW$20:$CW$120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DDat!$CZ$20:$CZ$120</c:f>
              <c:numCache>
                <c:formatCode>#,##0</c:formatCode>
                <c:ptCount val="10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-761.26</c:v>
                </c:pt>
                <c:pt idx="11">
                  <c:v>852.7</c:v>
                </c:pt>
                <c:pt idx="12">
                  <c:v>2622.21</c:v>
                </c:pt>
                <c:pt idx="13">
                  <c:v>4497.42</c:v>
                </c:pt>
                <c:pt idx="14">
                  <c:v>6502.9</c:v>
                </c:pt>
                <c:pt idx="15">
                  <c:v>8607.09</c:v>
                </c:pt>
                <c:pt idx="16">
                  <c:v>10814.03</c:v>
                </c:pt>
                <c:pt idx="17">
                  <c:v>13103.58</c:v>
                </c:pt>
                <c:pt idx="18">
                  <c:v>15474.56</c:v>
                </c:pt>
                <c:pt idx="19">
                  <c:v>17922.18</c:v>
                </c:pt>
                <c:pt idx="20">
                  <c:v>20440.37</c:v>
                </c:pt>
                <c:pt idx="21">
                  <c:v>23034.240000000002</c:v>
                </c:pt>
                <c:pt idx="22">
                  <c:v>25700.19</c:v>
                </c:pt>
                <c:pt idx="23">
                  <c:v>28430.63</c:v>
                </c:pt>
                <c:pt idx="24">
                  <c:v>31242.11</c:v>
                </c:pt>
                <c:pt idx="25">
                  <c:v>34120.42</c:v>
                </c:pt>
                <c:pt idx="26">
                  <c:v>37078.25</c:v>
                </c:pt>
                <c:pt idx="27">
                  <c:v>40088.94</c:v>
                </c:pt>
                <c:pt idx="28">
                  <c:v>43171.48</c:v>
                </c:pt>
                <c:pt idx="29">
                  <c:v>46314.86</c:v>
                </c:pt>
                <c:pt idx="30">
                  <c:v>49526.44</c:v>
                </c:pt>
                <c:pt idx="31">
                  <c:v>52804.160000000003</c:v>
                </c:pt>
                <c:pt idx="32">
                  <c:v>56143.74</c:v>
                </c:pt>
                <c:pt idx="33">
                  <c:v>59561.599999999999</c:v>
                </c:pt>
                <c:pt idx="34">
                  <c:v>63064.42</c:v>
                </c:pt>
                <c:pt idx="35">
                  <c:v>66595.520000000004</c:v>
                </c:pt>
                <c:pt idx="36">
                  <c:v>69974.27</c:v>
                </c:pt>
                <c:pt idx="37">
                  <c:v>73041.97</c:v>
                </c:pt>
                <c:pt idx="38">
                  <c:v>75745.759999999995</c:v>
                </c:pt>
                <c:pt idx="39">
                  <c:v>78170.8</c:v>
                </c:pt>
                <c:pt idx="40">
                  <c:v>80404.87</c:v>
                </c:pt>
                <c:pt idx="41">
                  <c:v>82481.990000000005</c:v>
                </c:pt>
                <c:pt idx="42">
                  <c:v>84383.58</c:v>
                </c:pt>
                <c:pt idx="43">
                  <c:v>86098.72</c:v>
                </c:pt>
                <c:pt idx="44">
                  <c:v>87617.67</c:v>
                </c:pt>
                <c:pt idx="45">
                  <c:v>88907.59</c:v>
                </c:pt>
                <c:pt idx="46">
                  <c:v>89940.24</c:v>
                </c:pt>
                <c:pt idx="47">
                  <c:v>90697.58</c:v>
                </c:pt>
                <c:pt idx="48">
                  <c:v>91170.2</c:v>
                </c:pt>
                <c:pt idx="49">
                  <c:v>91352.83</c:v>
                </c:pt>
                <c:pt idx="50">
                  <c:v>91253.15</c:v>
                </c:pt>
                <c:pt idx="51">
                  <c:v>90861.42</c:v>
                </c:pt>
                <c:pt idx="52">
                  <c:v>90173.43</c:v>
                </c:pt>
                <c:pt idx="53">
                  <c:v>89200.56</c:v>
                </c:pt>
                <c:pt idx="54">
                  <c:v>87940.43</c:v>
                </c:pt>
                <c:pt idx="55">
                  <c:v>86383.31</c:v>
                </c:pt>
                <c:pt idx="56">
                  <c:v>84540.800000000003</c:v>
                </c:pt>
                <c:pt idx="57">
                  <c:v>82380.75</c:v>
                </c:pt>
                <c:pt idx="58">
                  <c:v>79939.740000000005</c:v>
                </c:pt>
                <c:pt idx="59">
                  <c:v>77247.360000000001</c:v>
                </c:pt>
                <c:pt idx="60">
                  <c:v>74335.710000000006</c:v>
                </c:pt>
                <c:pt idx="61">
                  <c:v>71245.52</c:v>
                </c:pt>
                <c:pt idx="62">
                  <c:v>68011.38</c:v>
                </c:pt>
                <c:pt idx="63">
                  <c:v>64666.94</c:v>
                </c:pt>
                <c:pt idx="64">
                  <c:v>61261.03</c:v>
                </c:pt>
                <c:pt idx="65">
                  <c:v>57841.09</c:v>
                </c:pt>
                <c:pt idx="66">
                  <c:v>54467.63</c:v>
                </c:pt>
                <c:pt idx="67">
                  <c:v>51200.09</c:v>
                </c:pt>
                <c:pt idx="68">
                  <c:v>48043.94</c:v>
                </c:pt>
                <c:pt idx="69">
                  <c:v>45049.03</c:v>
                </c:pt>
                <c:pt idx="70">
                  <c:v>42269.65</c:v>
                </c:pt>
                <c:pt idx="71">
                  <c:v>39723.39</c:v>
                </c:pt>
                <c:pt idx="72">
                  <c:v>37342.78</c:v>
                </c:pt>
                <c:pt idx="73">
                  <c:v>35179.29</c:v>
                </c:pt>
                <c:pt idx="74">
                  <c:v>33275.26</c:v>
                </c:pt>
                <c:pt idx="75">
                  <c:v>31590.14</c:v>
                </c:pt>
                <c:pt idx="76">
                  <c:v>30187.88</c:v>
                </c:pt>
                <c:pt idx="77">
                  <c:v>29036.29</c:v>
                </c:pt>
                <c:pt idx="78">
                  <c:v>28107.47</c:v>
                </c:pt>
                <c:pt idx="79">
                  <c:v>27461.279999999999</c:v>
                </c:pt>
                <c:pt idx="80">
                  <c:v>26900.07</c:v>
                </c:pt>
                <c:pt idx="81">
                  <c:v>26291.040000000001</c:v>
                </c:pt>
                <c:pt idx="82">
                  <c:v>25622.85</c:v>
                </c:pt>
                <c:pt idx="83">
                  <c:v>24852.79</c:v>
                </c:pt>
                <c:pt idx="84">
                  <c:v>23983.43</c:v>
                </c:pt>
                <c:pt idx="85">
                  <c:v>22922.62</c:v>
                </c:pt>
                <c:pt idx="86">
                  <c:v>21574.63</c:v>
                </c:pt>
                <c:pt idx="87">
                  <c:v>19779.98</c:v>
                </c:pt>
                <c:pt idx="88">
                  <c:v>17271.759999999998</c:v>
                </c:pt>
                <c:pt idx="89">
                  <c:v>13624.44</c:v>
                </c:pt>
                <c:pt idx="90">
                  <c:v>8205.19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C26-4EA2-BB56-5D9E471BAC6B}"/>
            </c:ext>
          </c:extLst>
        </c:ser>
        <c:ser>
          <c:idx val="3"/>
          <c:order val="3"/>
          <c:tx>
            <c:strRef>
              <c:f>DDat!$DA$19</c:f>
              <c:strCache>
                <c:ptCount val="1"/>
                <c:pt idx="0">
                  <c:v> x_0: 35  </c:v>
                </c:pt>
              </c:strCache>
            </c:strRef>
          </c:tx>
          <c:marker>
            <c:symbol val="none"/>
          </c:marker>
          <c:xVal>
            <c:numRef>
              <c:f>DDat!$CW$20:$CW$120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DDat!$DA$20:$DA$120</c:f>
              <c:numCache>
                <c:formatCode>#,##0</c:formatCode>
                <c:ptCount val="10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-854.02</c:v>
                </c:pt>
                <c:pt idx="16">
                  <c:v>1173.4000000000001</c:v>
                </c:pt>
                <c:pt idx="17">
                  <c:v>3309.72</c:v>
                </c:pt>
                <c:pt idx="18">
                  <c:v>5554.7</c:v>
                </c:pt>
                <c:pt idx="19">
                  <c:v>7901.21</c:v>
                </c:pt>
                <c:pt idx="20">
                  <c:v>10342.1</c:v>
                </c:pt>
                <c:pt idx="21">
                  <c:v>12880.19</c:v>
                </c:pt>
                <c:pt idx="22">
                  <c:v>15507.09</c:v>
                </c:pt>
                <c:pt idx="23">
                  <c:v>18214.169999999998</c:v>
                </c:pt>
                <c:pt idx="24">
                  <c:v>21013.62</c:v>
                </c:pt>
                <c:pt idx="25">
                  <c:v>23890.86</c:v>
                </c:pt>
                <c:pt idx="26">
                  <c:v>26852.77</c:v>
                </c:pt>
                <c:pt idx="27">
                  <c:v>29875.08</c:v>
                </c:pt>
                <c:pt idx="28">
                  <c:v>32970.93</c:v>
                </c:pt>
                <c:pt idx="29">
                  <c:v>36129.300000000003</c:v>
                </c:pt>
                <c:pt idx="30">
                  <c:v>39354.6</c:v>
                </c:pt>
                <c:pt idx="31">
                  <c:v>42644.61</c:v>
                </c:pt>
                <c:pt idx="32">
                  <c:v>45994.03</c:v>
                </c:pt>
                <c:pt idx="33">
                  <c:v>49415.97</c:v>
                </c:pt>
                <c:pt idx="34">
                  <c:v>52915.83</c:v>
                </c:pt>
                <c:pt idx="35">
                  <c:v>56444.79</c:v>
                </c:pt>
                <c:pt idx="36">
                  <c:v>59848.37</c:v>
                </c:pt>
                <c:pt idx="37">
                  <c:v>62986.49</c:v>
                </c:pt>
                <c:pt idx="38">
                  <c:v>65807.45</c:v>
                </c:pt>
                <c:pt idx="39">
                  <c:v>68380.41</c:v>
                </c:pt>
                <c:pt idx="40">
                  <c:v>70778.710000000006</c:v>
                </c:pt>
                <c:pt idx="41">
                  <c:v>73030.06</c:v>
                </c:pt>
                <c:pt idx="42">
                  <c:v>75114.14</c:v>
                </c:pt>
                <c:pt idx="43">
                  <c:v>77019.42</c:v>
                </c:pt>
                <c:pt idx="44">
                  <c:v>78735.45</c:v>
                </c:pt>
                <c:pt idx="45">
                  <c:v>80230.490000000005</c:v>
                </c:pt>
                <c:pt idx="46">
                  <c:v>81476.58</c:v>
                </c:pt>
                <c:pt idx="47">
                  <c:v>82455.929999999993</c:v>
                </c:pt>
                <c:pt idx="48">
                  <c:v>83158.61</c:v>
                </c:pt>
                <c:pt idx="49">
                  <c:v>83578.850000000006</c:v>
                </c:pt>
                <c:pt idx="50">
                  <c:v>83723.100000000006</c:v>
                </c:pt>
                <c:pt idx="51">
                  <c:v>83581.31</c:v>
                </c:pt>
                <c:pt idx="52">
                  <c:v>83148.22</c:v>
                </c:pt>
                <c:pt idx="53">
                  <c:v>82433.72</c:v>
                </c:pt>
                <c:pt idx="54">
                  <c:v>81434.64</c:v>
                </c:pt>
                <c:pt idx="55">
                  <c:v>80141.399999999994</c:v>
                </c:pt>
                <c:pt idx="56">
                  <c:v>78564.490000000005</c:v>
                </c:pt>
                <c:pt idx="57">
                  <c:v>76670.899999999994</c:v>
                </c:pt>
                <c:pt idx="58">
                  <c:v>74497.08</c:v>
                </c:pt>
                <c:pt idx="59">
                  <c:v>72071.17</c:v>
                </c:pt>
                <c:pt idx="60">
                  <c:v>69422.570000000007</c:v>
                </c:pt>
                <c:pt idx="61">
                  <c:v>66592.570000000007</c:v>
                </c:pt>
                <c:pt idx="62">
                  <c:v>63612.1</c:v>
                </c:pt>
                <c:pt idx="63">
                  <c:v>60515.93</c:v>
                </c:pt>
                <c:pt idx="64">
                  <c:v>57350.94</c:v>
                </c:pt>
                <c:pt idx="65">
                  <c:v>54163.15</c:v>
                </c:pt>
                <c:pt idx="66">
                  <c:v>51012.77</c:v>
                </c:pt>
                <c:pt idx="67">
                  <c:v>47958.11</c:v>
                </c:pt>
                <c:pt idx="68">
                  <c:v>45001.98</c:v>
                </c:pt>
                <c:pt idx="69">
                  <c:v>42197.01</c:v>
                </c:pt>
                <c:pt idx="70">
                  <c:v>39593.85</c:v>
                </c:pt>
                <c:pt idx="71">
                  <c:v>37209.17</c:v>
                </c:pt>
                <c:pt idx="72">
                  <c:v>34979.75</c:v>
                </c:pt>
                <c:pt idx="73">
                  <c:v>32953.78</c:v>
                </c:pt>
                <c:pt idx="74">
                  <c:v>31171</c:v>
                </c:pt>
                <c:pt idx="75">
                  <c:v>29593.52</c:v>
                </c:pt>
                <c:pt idx="76">
                  <c:v>28281.3</c:v>
                </c:pt>
                <c:pt idx="77">
                  <c:v>27204.36</c:v>
                </c:pt>
                <c:pt idx="78">
                  <c:v>26334.28</c:v>
                </c:pt>
                <c:pt idx="79">
                  <c:v>25728.98</c:v>
                </c:pt>
                <c:pt idx="80">
                  <c:v>25203.41</c:v>
                </c:pt>
                <c:pt idx="81">
                  <c:v>24633.08</c:v>
                </c:pt>
                <c:pt idx="82">
                  <c:v>24007.42</c:v>
                </c:pt>
                <c:pt idx="83">
                  <c:v>23286.560000000001</c:v>
                </c:pt>
                <c:pt idx="84">
                  <c:v>22472.880000000001</c:v>
                </c:pt>
                <c:pt idx="85">
                  <c:v>21480.240000000002</c:v>
                </c:pt>
                <c:pt idx="86">
                  <c:v>20219.09</c:v>
                </c:pt>
                <c:pt idx="87">
                  <c:v>18540.38</c:v>
                </c:pt>
                <c:pt idx="88">
                  <c:v>16192.63</c:v>
                </c:pt>
                <c:pt idx="89">
                  <c:v>12775.57</c:v>
                </c:pt>
                <c:pt idx="90">
                  <c:v>7695.3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C26-4EA2-BB56-5D9E471BAC6B}"/>
            </c:ext>
          </c:extLst>
        </c:ser>
        <c:ser>
          <c:idx val="4"/>
          <c:order val="4"/>
          <c:tx>
            <c:strRef>
              <c:f>DDat!$DB$19</c:f>
              <c:strCache>
                <c:ptCount val="1"/>
                <c:pt idx="0">
                  <c:v> x_0: 40  </c:v>
                </c:pt>
              </c:strCache>
            </c:strRef>
          </c:tx>
          <c:marker>
            <c:symbol val="none"/>
          </c:marker>
          <c:xVal>
            <c:numRef>
              <c:f>DDat!$CW$20:$CW$120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DDat!$DB$20:$DB$120</c:f>
              <c:numCache>
                <c:formatCode>#,##0</c:formatCode>
                <c:ptCount val="10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-961.86</c:v>
                </c:pt>
                <c:pt idx="21">
                  <c:v>1513.79</c:v>
                </c:pt>
                <c:pt idx="22">
                  <c:v>4096.96</c:v>
                </c:pt>
                <c:pt idx="23">
                  <c:v>6777.9</c:v>
                </c:pt>
                <c:pt idx="24">
                  <c:v>9563.8799999999992</c:v>
                </c:pt>
                <c:pt idx="25">
                  <c:v>12439.92</c:v>
                </c:pt>
                <c:pt idx="26">
                  <c:v>15406.4</c:v>
                </c:pt>
                <c:pt idx="27">
                  <c:v>18441.72</c:v>
                </c:pt>
                <c:pt idx="28">
                  <c:v>21552.47</c:v>
                </c:pt>
                <c:pt idx="29">
                  <c:v>24727.62</c:v>
                </c:pt>
                <c:pt idx="30">
                  <c:v>27968.27</c:v>
                </c:pt>
                <c:pt idx="31">
                  <c:v>31272.04</c:v>
                </c:pt>
                <c:pt idx="32">
                  <c:v>34632.480000000003</c:v>
                </c:pt>
                <c:pt idx="33">
                  <c:v>38058.980000000003</c:v>
                </c:pt>
                <c:pt idx="34">
                  <c:v>41555.53</c:v>
                </c:pt>
                <c:pt idx="35">
                  <c:v>45082.09</c:v>
                </c:pt>
                <c:pt idx="36">
                  <c:v>48513.47</c:v>
                </c:pt>
                <c:pt idx="37">
                  <c:v>51730.41</c:v>
                </c:pt>
                <c:pt idx="38">
                  <c:v>54682.54</c:v>
                </c:pt>
                <c:pt idx="39">
                  <c:v>57421.08</c:v>
                </c:pt>
                <c:pt idx="40">
                  <c:v>60003.22</c:v>
                </c:pt>
                <c:pt idx="41">
                  <c:v>62449.599999999999</c:v>
                </c:pt>
                <c:pt idx="42">
                  <c:v>64737.96</c:v>
                </c:pt>
                <c:pt idx="43">
                  <c:v>66856.08</c:v>
                </c:pt>
                <c:pt idx="44">
                  <c:v>68792.710000000006</c:v>
                </c:pt>
                <c:pt idx="45">
                  <c:v>70517.37</c:v>
                </c:pt>
                <c:pt idx="46">
                  <c:v>72002.39</c:v>
                </c:pt>
                <c:pt idx="47">
                  <c:v>73230.25</c:v>
                </c:pt>
                <c:pt idx="48">
                  <c:v>74190.460000000006</c:v>
                </c:pt>
                <c:pt idx="49">
                  <c:v>74876.679999999993</c:v>
                </c:pt>
                <c:pt idx="50">
                  <c:v>75293.98</c:v>
                </c:pt>
                <c:pt idx="51">
                  <c:v>75431.990000000005</c:v>
                </c:pt>
                <c:pt idx="52">
                  <c:v>75284.23</c:v>
                </c:pt>
                <c:pt idx="53">
                  <c:v>74858.929999999993</c:v>
                </c:pt>
                <c:pt idx="54">
                  <c:v>74152.09</c:v>
                </c:pt>
                <c:pt idx="55">
                  <c:v>73154.210000000006</c:v>
                </c:pt>
                <c:pt idx="56">
                  <c:v>71874.62</c:v>
                </c:pt>
                <c:pt idx="57">
                  <c:v>70279.320000000007</c:v>
                </c:pt>
                <c:pt idx="58">
                  <c:v>68404.58</c:v>
                </c:pt>
                <c:pt idx="59">
                  <c:v>66276.95</c:v>
                </c:pt>
                <c:pt idx="60">
                  <c:v>63922.81</c:v>
                </c:pt>
                <c:pt idx="61">
                  <c:v>61384.08</c:v>
                </c:pt>
                <c:pt idx="62">
                  <c:v>58687.57</c:v>
                </c:pt>
                <c:pt idx="63">
                  <c:v>55869.3</c:v>
                </c:pt>
                <c:pt idx="64">
                  <c:v>52974</c:v>
                </c:pt>
                <c:pt idx="65">
                  <c:v>50046.080000000002</c:v>
                </c:pt>
                <c:pt idx="66">
                  <c:v>47145.41</c:v>
                </c:pt>
                <c:pt idx="67">
                  <c:v>44329.05</c:v>
                </c:pt>
                <c:pt idx="68">
                  <c:v>41596.83</c:v>
                </c:pt>
                <c:pt idx="69">
                  <c:v>39004.47</c:v>
                </c:pt>
                <c:pt idx="70">
                  <c:v>36598.57</c:v>
                </c:pt>
                <c:pt idx="71">
                  <c:v>34394.769999999997</c:v>
                </c:pt>
                <c:pt idx="72">
                  <c:v>32334.58</c:v>
                </c:pt>
                <c:pt idx="73">
                  <c:v>30462.54</c:v>
                </c:pt>
                <c:pt idx="74">
                  <c:v>28815.49</c:v>
                </c:pt>
                <c:pt idx="75">
                  <c:v>27358.5</c:v>
                </c:pt>
                <c:pt idx="76">
                  <c:v>26147.08</c:v>
                </c:pt>
                <c:pt idx="77">
                  <c:v>25153.7</c:v>
                </c:pt>
                <c:pt idx="78">
                  <c:v>24349.38</c:v>
                </c:pt>
                <c:pt idx="79">
                  <c:v>23789.85</c:v>
                </c:pt>
                <c:pt idx="80">
                  <c:v>23304.18</c:v>
                </c:pt>
                <c:pt idx="81">
                  <c:v>22777.17</c:v>
                </c:pt>
                <c:pt idx="82">
                  <c:v>22199.11</c:v>
                </c:pt>
                <c:pt idx="83">
                  <c:v>21533.33</c:v>
                </c:pt>
                <c:pt idx="84">
                  <c:v>20781.98</c:v>
                </c:pt>
                <c:pt idx="85">
                  <c:v>19865.650000000001</c:v>
                </c:pt>
                <c:pt idx="86">
                  <c:v>18701.7</c:v>
                </c:pt>
                <c:pt idx="87">
                  <c:v>17152.79</c:v>
                </c:pt>
                <c:pt idx="88">
                  <c:v>14984.65</c:v>
                </c:pt>
                <c:pt idx="89">
                  <c:v>11825.36</c:v>
                </c:pt>
                <c:pt idx="90">
                  <c:v>7124.53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C26-4EA2-BB56-5D9E471BAC6B}"/>
            </c:ext>
          </c:extLst>
        </c:ser>
        <c:ser>
          <c:idx val="5"/>
          <c:order val="5"/>
          <c:tx>
            <c:strRef>
              <c:f>DDat!$DC$19</c:f>
              <c:strCache>
                <c:ptCount val="1"/>
                <c:pt idx="0">
                  <c:v> x_0: 45  </c:v>
                </c:pt>
              </c:strCache>
            </c:strRef>
          </c:tx>
          <c:marker>
            <c:symbol val="none"/>
          </c:marker>
          <c:xVal>
            <c:numRef>
              <c:f>DDat!$CW$20:$CW$120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DDat!$DC$20:$DC$120</c:f>
              <c:numCache>
                <c:formatCode>#,##0</c:formatCode>
                <c:ptCount val="10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-1086.94</c:v>
                </c:pt>
                <c:pt idx="26">
                  <c:v>1884.93</c:v>
                </c:pt>
                <c:pt idx="27">
                  <c:v>4935.63</c:v>
                </c:pt>
                <c:pt idx="28">
                  <c:v>8063.97</c:v>
                </c:pt>
                <c:pt idx="29">
                  <c:v>11258.95</c:v>
                </c:pt>
                <c:pt idx="30">
                  <c:v>14517.73</c:v>
                </c:pt>
                <c:pt idx="31">
                  <c:v>17837.75</c:v>
                </c:pt>
                <c:pt idx="32">
                  <c:v>21211.200000000001</c:v>
                </c:pt>
                <c:pt idx="33">
                  <c:v>24643.1</c:v>
                </c:pt>
                <c:pt idx="34">
                  <c:v>28135.74</c:v>
                </c:pt>
                <c:pt idx="35">
                  <c:v>31659.47</c:v>
                </c:pt>
                <c:pt idx="36">
                  <c:v>35123.68</c:v>
                </c:pt>
                <c:pt idx="37">
                  <c:v>38433.74</c:v>
                </c:pt>
                <c:pt idx="38">
                  <c:v>41540.800000000003</c:v>
                </c:pt>
                <c:pt idx="39">
                  <c:v>44474.94</c:v>
                </c:pt>
                <c:pt idx="40">
                  <c:v>47274.26</c:v>
                </c:pt>
                <c:pt idx="41">
                  <c:v>49951.03</c:v>
                </c:pt>
                <c:pt idx="42">
                  <c:v>52480.7</c:v>
                </c:pt>
                <c:pt idx="43">
                  <c:v>54850.239999999998</c:v>
                </c:pt>
                <c:pt idx="44">
                  <c:v>57047.46</c:v>
                </c:pt>
                <c:pt idx="45">
                  <c:v>59043.38</c:v>
                </c:pt>
                <c:pt idx="46">
                  <c:v>60810.63</c:v>
                </c:pt>
                <c:pt idx="47">
                  <c:v>62332.05</c:v>
                </c:pt>
                <c:pt idx="48">
                  <c:v>63596.480000000003</c:v>
                </c:pt>
                <c:pt idx="49">
                  <c:v>64596.91</c:v>
                </c:pt>
                <c:pt idx="50">
                  <c:v>65336.76</c:v>
                </c:pt>
                <c:pt idx="51">
                  <c:v>65805.279999999999</c:v>
                </c:pt>
                <c:pt idx="52">
                  <c:v>65994.58</c:v>
                </c:pt>
                <c:pt idx="53">
                  <c:v>65910.92</c:v>
                </c:pt>
                <c:pt idx="54">
                  <c:v>65549.289999999994</c:v>
                </c:pt>
                <c:pt idx="55">
                  <c:v>64900.34</c:v>
                </c:pt>
                <c:pt idx="56">
                  <c:v>63971.95</c:v>
                </c:pt>
                <c:pt idx="57">
                  <c:v>62729.01</c:v>
                </c:pt>
                <c:pt idx="58">
                  <c:v>61207.58</c:v>
                </c:pt>
                <c:pt idx="59">
                  <c:v>59432.3</c:v>
                </c:pt>
                <c:pt idx="60">
                  <c:v>57426.01</c:v>
                </c:pt>
                <c:pt idx="61">
                  <c:v>55231.34</c:v>
                </c:pt>
                <c:pt idx="62">
                  <c:v>52870.27</c:v>
                </c:pt>
                <c:pt idx="63">
                  <c:v>50380.29</c:v>
                </c:pt>
                <c:pt idx="64">
                  <c:v>47803.57</c:v>
                </c:pt>
                <c:pt idx="65">
                  <c:v>45182.63</c:v>
                </c:pt>
                <c:pt idx="66">
                  <c:v>42576.94</c:v>
                </c:pt>
                <c:pt idx="67">
                  <c:v>40042.080000000002</c:v>
                </c:pt>
                <c:pt idx="68">
                  <c:v>37574.370000000003</c:v>
                </c:pt>
                <c:pt idx="69">
                  <c:v>35233.160000000003</c:v>
                </c:pt>
                <c:pt idx="70">
                  <c:v>33060.28</c:v>
                </c:pt>
                <c:pt idx="71">
                  <c:v>31070.14</c:v>
                </c:pt>
                <c:pt idx="72">
                  <c:v>29209.87</c:v>
                </c:pt>
                <c:pt idx="73">
                  <c:v>27519.67</c:v>
                </c:pt>
                <c:pt idx="74">
                  <c:v>26032.959999999999</c:v>
                </c:pt>
                <c:pt idx="75">
                  <c:v>24718.3</c:v>
                </c:pt>
                <c:pt idx="76">
                  <c:v>23625.95</c:v>
                </c:pt>
                <c:pt idx="77">
                  <c:v>22731.279999999999</c:v>
                </c:pt>
                <c:pt idx="78">
                  <c:v>22004.63</c:v>
                </c:pt>
                <c:pt idx="79">
                  <c:v>21499.18</c:v>
                </c:pt>
                <c:pt idx="80">
                  <c:v>21060.63</c:v>
                </c:pt>
                <c:pt idx="81">
                  <c:v>20584.8</c:v>
                </c:pt>
                <c:pt idx="82">
                  <c:v>20062.98</c:v>
                </c:pt>
                <c:pt idx="83">
                  <c:v>19462.259999999998</c:v>
                </c:pt>
                <c:pt idx="84">
                  <c:v>18784.53</c:v>
                </c:pt>
                <c:pt idx="85">
                  <c:v>17958.349999999999</c:v>
                </c:pt>
                <c:pt idx="86">
                  <c:v>16909.23</c:v>
                </c:pt>
                <c:pt idx="87">
                  <c:v>15513.64</c:v>
                </c:pt>
                <c:pt idx="88">
                  <c:v>13557.69</c:v>
                </c:pt>
                <c:pt idx="89">
                  <c:v>10702.88</c:v>
                </c:pt>
                <c:pt idx="90">
                  <c:v>6450.29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C26-4EA2-BB56-5D9E471BAC6B}"/>
            </c:ext>
          </c:extLst>
        </c:ser>
        <c:ser>
          <c:idx val="6"/>
          <c:order val="6"/>
          <c:tx>
            <c:strRef>
              <c:f>DDat!$DD$19</c:f>
              <c:strCache>
                <c:ptCount val="1"/>
                <c:pt idx="0">
                  <c:v> x_0: 50  </c:v>
                </c:pt>
              </c:strCache>
            </c:strRef>
          </c:tx>
          <c:marker>
            <c:symbol val="none"/>
          </c:marker>
          <c:xVal>
            <c:numRef>
              <c:f>DDat!$CW$20:$CW$120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DDat!$DD$20:$DD$120</c:f>
              <c:numCache>
                <c:formatCode>#,##0</c:formatCode>
                <c:ptCount val="10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-1220.8499999999999</c:v>
                </c:pt>
                <c:pt idx="31">
                  <c:v>2118.1799999999998</c:v>
                </c:pt>
                <c:pt idx="32">
                  <c:v>5506.86</c:v>
                </c:pt>
                <c:pt idx="33">
                  <c:v>8945.07</c:v>
                </c:pt>
                <c:pt idx="34">
                  <c:v>12433.14</c:v>
                </c:pt>
                <c:pt idx="35">
                  <c:v>15953.55</c:v>
                </c:pt>
                <c:pt idx="36">
                  <c:v>19456.18</c:v>
                </c:pt>
                <c:pt idx="37">
                  <c:v>22875.19</c:v>
                </c:pt>
                <c:pt idx="38">
                  <c:v>26163.56</c:v>
                </c:pt>
                <c:pt idx="39">
                  <c:v>29326.560000000001</c:v>
                </c:pt>
                <c:pt idx="40">
                  <c:v>32380</c:v>
                </c:pt>
                <c:pt idx="41">
                  <c:v>35326.35</c:v>
                </c:pt>
                <c:pt idx="42">
                  <c:v>38138.379999999997</c:v>
                </c:pt>
                <c:pt idx="43">
                  <c:v>40802.120000000003</c:v>
                </c:pt>
                <c:pt idx="44">
                  <c:v>43304.26</c:v>
                </c:pt>
                <c:pt idx="45">
                  <c:v>45617.56</c:v>
                </c:pt>
                <c:pt idx="46">
                  <c:v>47715.07</c:v>
                </c:pt>
                <c:pt idx="47">
                  <c:v>49579.99</c:v>
                </c:pt>
                <c:pt idx="48">
                  <c:v>51200.39</c:v>
                </c:pt>
                <c:pt idx="49">
                  <c:v>52568.46</c:v>
                </c:pt>
                <c:pt idx="50">
                  <c:v>53685.74</c:v>
                </c:pt>
                <c:pt idx="51">
                  <c:v>54541</c:v>
                </c:pt>
                <c:pt idx="52">
                  <c:v>55124.68</c:v>
                </c:pt>
                <c:pt idx="53">
                  <c:v>55440.78</c:v>
                </c:pt>
                <c:pt idx="54">
                  <c:v>55483.09</c:v>
                </c:pt>
                <c:pt idx="55">
                  <c:v>55242.41</c:v>
                </c:pt>
                <c:pt idx="56">
                  <c:v>54724.98</c:v>
                </c:pt>
                <c:pt idx="57">
                  <c:v>53894.34</c:v>
                </c:pt>
                <c:pt idx="58">
                  <c:v>52786.31</c:v>
                </c:pt>
                <c:pt idx="59">
                  <c:v>51423.33</c:v>
                </c:pt>
                <c:pt idx="60">
                  <c:v>49824.05</c:v>
                </c:pt>
                <c:pt idx="61">
                  <c:v>48031.98</c:v>
                </c:pt>
                <c:pt idx="62">
                  <c:v>46063.4</c:v>
                </c:pt>
                <c:pt idx="63">
                  <c:v>43957.55</c:v>
                </c:pt>
                <c:pt idx="64">
                  <c:v>41753.599999999999</c:v>
                </c:pt>
                <c:pt idx="65">
                  <c:v>39491.870000000003</c:v>
                </c:pt>
                <c:pt idx="66">
                  <c:v>37231.339999999997</c:v>
                </c:pt>
                <c:pt idx="67">
                  <c:v>35025.86</c:v>
                </c:pt>
                <c:pt idx="68">
                  <c:v>32867.65</c:v>
                </c:pt>
                <c:pt idx="69">
                  <c:v>30820.33</c:v>
                </c:pt>
                <c:pt idx="70">
                  <c:v>28920.1</c:v>
                </c:pt>
                <c:pt idx="71">
                  <c:v>27179.97</c:v>
                </c:pt>
                <c:pt idx="72">
                  <c:v>25553.62</c:v>
                </c:pt>
                <c:pt idx="73">
                  <c:v>24076.2</c:v>
                </c:pt>
                <c:pt idx="74">
                  <c:v>22777.1</c:v>
                </c:pt>
                <c:pt idx="75">
                  <c:v>21628.98</c:v>
                </c:pt>
                <c:pt idx="76">
                  <c:v>20675.96</c:v>
                </c:pt>
                <c:pt idx="77">
                  <c:v>19896.79</c:v>
                </c:pt>
                <c:pt idx="78">
                  <c:v>19261.02</c:v>
                </c:pt>
                <c:pt idx="79">
                  <c:v>18818.84</c:v>
                </c:pt>
                <c:pt idx="80">
                  <c:v>18435.45</c:v>
                </c:pt>
                <c:pt idx="81">
                  <c:v>18019.490000000002</c:v>
                </c:pt>
                <c:pt idx="82">
                  <c:v>17563.47</c:v>
                </c:pt>
                <c:pt idx="83">
                  <c:v>17038.88</c:v>
                </c:pt>
                <c:pt idx="84">
                  <c:v>16447.310000000001</c:v>
                </c:pt>
                <c:pt idx="85">
                  <c:v>15726.61</c:v>
                </c:pt>
                <c:pt idx="86">
                  <c:v>14811.84</c:v>
                </c:pt>
                <c:pt idx="87">
                  <c:v>13595.65</c:v>
                </c:pt>
                <c:pt idx="88">
                  <c:v>11887.98</c:v>
                </c:pt>
                <c:pt idx="89">
                  <c:v>9389.4599999999991</c:v>
                </c:pt>
                <c:pt idx="90">
                  <c:v>5661.35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C26-4EA2-BB56-5D9E471BAC6B}"/>
            </c:ext>
          </c:extLst>
        </c:ser>
        <c:ser>
          <c:idx val="7"/>
          <c:order val="7"/>
          <c:tx>
            <c:strRef>
              <c:f>DDat!$DE$19</c:f>
              <c:strCache>
                <c:ptCount val="1"/>
                <c:pt idx="0">
                  <c:v> x_0: 55  </c:v>
                </c:pt>
              </c:strCache>
            </c:strRef>
          </c:tx>
          <c:marker>
            <c:symbol val="none"/>
          </c:marker>
          <c:xVal>
            <c:numRef>
              <c:f>DDat!$CW$20:$CW$120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DDat!$DE$20:$DE$120</c:f>
              <c:numCache>
                <c:formatCode>#,##0</c:formatCode>
                <c:ptCount val="10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-1382.11</c:v>
                </c:pt>
                <c:pt idx="36">
                  <c:v>2162.9299999999998</c:v>
                </c:pt>
                <c:pt idx="37">
                  <c:v>5702.2</c:v>
                </c:pt>
                <c:pt idx="38">
                  <c:v>9190.67</c:v>
                </c:pt>
                <c:pt idx="39">
                  <c:v>12606.3</c:v>
                </c:pt>
                <c:pt idx="40">
                  <c:v>15940.22</c:v>
                </c:pt>
                <c:pt idx="41">
                  <c:v>19184.12</c:v>
                </c:pt>
                <c:pt idx="42">
                  <c:v>22307.81</c:v>
                </c:pt>
                <c:pt idx="43">
                  <c:v>25296.27</c:v>
                </c:pt>
                <c:pt idx="44">
                  <c:v>28134.98</c:v>
                </c:pt>
                <c:pt idx="45">
                  <c:v>30798.61</c:v>
                </c:pt>
                <c:pt idx="46">
                  <c:v>33260.629999999997</c:v>
                </c:pt>
                <c:pt idx="47">
                  <c:v>35504.699999999997</c:v>
                </c:pt>
                <c:pt idx="48">
                  <c:v>37518.01</c:v>
                </c:pt>
                <c:pt idx="49">
                  <c:v>39291.870000000003</c:v>
                </c:pt>
                <c:pt idx="50">
                  <c:v>40825.74</c:v>
                </c:pt>
                <c:pt idx="51">
                  <c:v>42107.87</c:v>
                </c:pt>
                <c:pt idx="52">
                  <c:v>43126.86</c:v>
                </c:pt>
                <c:pt idx="53">
                  <c:v>43884.19</c:v>
                </c:pt>
                <c:pt idx="54">
                  <c:v>44372.35</c:v>
                </c:pt>
                <c:pt idx="55">
                  <c:v>44582.31</c:v>
                </c:pt>
                <c:pt idx="56">
                  <c:v>44518.49</c:v>
                </c:pt>
                <c:pt idx="57">
                  <c:v>44142.93</c:v>
                </c:pt>
                <c:pt idx="58">
                  <c:v>43491.19</c:v>
                </c:pt>
                <c:pt idx="59">
                  <c:v>42583.3</c:v>
                </c:pt>
                <c:pt idx="60">
                  <c:v>41433.269999999997</c:v>
                </c:pt>
                <c:pt idx="61">
                  <c:v>40085.56</c:v>
                </c:pt>
                <c:pt idx="62">
                  <c:v>38550.21</c:v>
                </c:pt>
                <c:pt idx="63">
                  <c:v>36868.36</c:v>
                </c:pt>
                <c:pt idx="64">
                  <c:v>35075.86</c:v>
                </c:pt>
                <c:pt idx="65">
                  <c:v>33210.6</c:v>
                </c:pt>
                <c:pt idx="66">
                  <c:v>31331.05</c:v>
                </c:pt>
                <c:pt idx="67">
                  <c:v>29489.13</c:v>
                </c:pt>
                <c:pt idx="68">
                  <c:v>27672.53</c:v>
                </c:pt>
                <c:pt idx="69">
                  <c:v>25949.58</c:v>
                </c:pt>
                <c:pt idx="70">
                  <c:v>24350.3</c:v>
                </c:pt>
                <c:pt idx="71">
                  <c:v>22886.14</c:v>
                </c:pt>
                <c:pt idx="72">
                  <c:v>21517.98</c:v>
                </c:pt>
                <c:pt idx="73">
                  <c:v>20275.41</c:v>
                </c:pt>
                <c:pt idx="74">
                  <c:v>19183.39</c:v>
                </c:pt>
                <c:pt idx="75">
                  <c:v>18219.09</c:v>
                </c:pt>
                <c:pt idx="76">
                  <c:v>17419.849999999999</c:v>
                </c:pt>
                <c:pt idx="77">
                  <c:v>16768.169999999998</c:v>
                </c:pt>
                <c:pt idx="78">
                  <c:v>16232.72</c:v>
                </c:pt>
                <c:pt idx="79">
                  <c:v>15860.38</c:v>
                </c:pt>
                <c:pt idx="80">
                  <c:v>15537.85</c:v>
                </c:pt>
                <c:pt idx="81">
                  <c:v>15187.99</c:v>
                </c:pt>
                <c:pt idx="82">
                  <c:v>14804.59</c:v>
                </c:pt>
                <c:pt idx="83">
                  <c:v>14364.04</c:v>
                </c:pt>
                <c:pt idx="84">
                  <c:v>13867.56</c:v>
                </c:pt>
                <c:pt idx="85">
                  <c:v>13263.28</c:v>
                </c:pt>
                <c:pt idx="86">
                  <c:v>12496.81</c:v>
                </c:pt>
                <c:pt idx="87">
                  <c:v>11478.65</c:v>
                </c:pt>
                <c:pt idx="88">
                  <c:v>10045.02</c:v>
                </c:pt>
                <c:pt idx="89">
                  <c:v>7939.75</c:v>
                </c:pt>
                <c:pt idx="90">
                  <c:v>4790.55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DC26-4EA2-BB56-5D9E471BAC6B}"/>
            </c:ext>
          </c:extLst>
        </c:ser>
        <c:ser>
          <c:idx val="8"/>
          <c:order val="8"/>
          <c:tx>
            <c:strRef>
              <c:f>DDat!$DF$19</c:f>
              <c:strCache>
                <c:ptCount val="1"/>
                <c:pt idx="0">
                  <c:v> x_0: 60  </c:v>
                </c:pt>
              </c:strCache>
            </c:strRef>
          </c:tx>
          <c:marker>
            <c:symbol val="none"/>
          </c:marker>
          <c:xVal>
            <c:numRef>
              <c:f>DDat!$CW$20:$CW$120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DDat!$DF$20:$DF$120</c:f>
              <c:numCache>
                <c:formatCode>#,##0</c:formatCode>
                <c:ptCount val="10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-1566.52</c:v>
                </c:pt>
                <c:pt idx="41">
                  <c:v>1994.25</c:v>
                </c:pt>
                <c:pt idx="42">
                  <c:v>5449.83</c:v>
                </c:pt>
                <c:pt idx="43">
                  <c:v>8784.08</c:v>
                </c:pt>
                <c:pt idx="44">
                  <c:v>11981.2</c:v>
                </c:pt>
                <c:pt idx="45">
                  <c:v>15017.89</c:v>
                </c:pt>
                <c:pt idx="46">
                  <c:v>17868.080000000002</c:v>
                </c:pt>
                <c:pt idx="47">
                  <c:v>20515.91</c:v>
                </c:pt>
                <c:pt idx="48">
                  <c:v>22947.62</c:v>
                </c:pt>
                <c:pt idx="49">
                  <c:v>25153.61</c:v>
                </c:pt>
                <c:pt idx="50">
                  <c:v>27131.119999999999</c:v>
                </c:pt>
                <c:pt idx="51">
                  <c:v>28867.81</c:v>
                </c:pt>
                <c:pt idx="52">
                  <c:v>30350.37</c:v>
                </c:pt>
                <c:pt idx="53">
                  <c:v>31577.57</c:v>
                </c:pt>
                <c:pt idx="54">
                  <c:v>32540.52</c:v>
                </c:pt>
                <c:pt idx="55">
                  <c:v>33230.370000000003</c:v>
                </c:pt>
                <c:pt idx="56">
                  <c:v>33649.58</c:v>
                </c:pt>
                <c:pt idx="57">
                  <c:v>33758.639999999999</c:v>
                </c:pt>
                <c:pt idx="58">
                  <c:v>33592.82</c:v>
                </c:pt>
                <c:pt idx="59">
                  <c:v>33169.54</c:v>
                </c:pt>
                <c:pt idx="60">
                  <c:v>32497.91</c:v>
                </c:pt>
                <c:pt idx="61">
                  <c:v>31623.42</c:v>
                </c:pt>
                <c:pt idx="62">
                  <c:v>30549.4</c:v>
                </c:pt>
                <c:pt idx="63">
                  <c:v>29319.06</c:v>
                </c:pt>
                <c:pt idx="64">
                  <c:v>27964.720000000001</c:v>
                </c:pt>
                <c:pt idx="65">
                  <c:v>26521.68</c:v>
                </c:pt>
                <c:pt idx="66">
                  <c:v>25047.82</c:v>
                </c:pt>
                <c:pt idx="67">
                  <c:v>23593.06</c:v>
                </c:pt>
                <c:pt idx="68">
                  <c:v>22140.25</c:v>
                </c:pt>
                <c:pt idx="69">
                  <c:v>20762.72</c:v>
                </c:pt>
                <c:pt idx="70">
                  <c:v>19483.93</c:v>
                </c:pt>
                <c:pt idx="71">
                  <c:v>18313.63</c:v>
                </c:pt>
                <c:pt idx="72">
                  <c:v>17220.41</c:v>
                </c:pt>
                <c:pt idx="73">
                  <c:v>16227.95</c:v>
                </c:pt>
                <c:pt idx="74">
                  <c:v>15356.44</c:v>
                </c:pt>
                <c:pt idx="75">
                  <c:v>14587.9</c:v>
                </c:pt>
                <c:pt idx="76">
                  <c:v>13952.43</c:v>
                </c:pt>
                <c:pt idx="77">
                  <c:v>13436.5</c:v>
                </c:pt>
                <c:pt idx="78">
                  <c:v>13007.88</c:v>
                </c:pt>
                <c:pt idx="79">
                  <c:v>12709.91</c:v>
                </c:pt>
                <c:pt idx="80">
                  <c:v>12452.2</c:v>
                </c:pt>
                <c:pt idx="81">
                  <c:v>12172.73</c:v>
                </c:pt>
                <c:pt idx="82">
                  <c:v>11866.66</c:v>
                </c:pt>
                <c:pt idx="83">
                  <c:v>11515.6</c:v>
                </c:pt>
                <c:pt idx="84">
                  <c:v>11120.38</c:v>
                </c:pt>
                <c:pt idx="85">
                  <c:v>10640.09</c:v>
                </c:pt>
                <c:pt idx="86">
                  <c:v>10031.540000000001</c:v>
                </c:pt>
                <c:pt idx="87">
                  <c:v>9224.24</c:v>
                </c:pt>
                <c:pt idx="88">
                  <c:v>8082.44</c:v>
                </c:pt>
                <c:pt idx="89">
                  <c:v>6395.95</c:v>
                </c:pt>
                <c:pt idx="90">
                  <c:v>3863.23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DC26-4EA2-BB56-5D9E471BAC6B}"/>
            </c:ext>
          </c:extLst>
        </c:ser>
        <c:ser>
          <c:idx val="9"/>
          <c:order val="9"/>
          <c:tx>
            <c:strRef>
              <c:f>DDat!$DG$19</c:f>
              <c:strCache>
                <c:ptCount val="1"/>
                <c:pt idx="0">
                  <c:v> x_0: 65  </c:v>
                </c:pt>
              </c:strCache>
            </c:strRef>
          </c:tx>
          <c:marker>
            <c:symbol val="none"/>
          </c:marker>
          <c:xVal>
            <c:numRef>
              <c:f>DDat!$CW$20:$CW$120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DDat!$DG$20:$DG$120</c:f>
              <c:numCache>
                <c:formatCode>#,##0</c:formatCode>
                <c:ptCount val="10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-1706.92</c:v>
                </c:pt>
                <c:pt idx="46">
                  <c:v>1554.67</c:v>
                </c:pt>
                <c:pt idx="47">
                  <c:v>4630.41</c:v>
                </c:pt>
                <c:pt idx="48">
                  <c:v>7505.56</c:v>
                </c:pt>
                <c:pt idx="49">
                  <c:v>10169.530000000001</c:v>
                </c:pt>
                <c:pt idx="50">
                  <c:v>12617.2</c:v>
                </c:pt>
                <c:pt idx="51">
                  <c:v>14835.67</c:v>
                </c:pt>
                <c:pt idx="52">
                  <c:v>16809.53</c:v>
                </c:pt>
                <c:pt idx="53">
                  <c:v>18534.71</c:v>
                </c:pt>
                <c:pt idx="54">
                  <c:v>20000.849999999999</c:v>
                </c:pt>
                <c:pt idx="55">
                  <c:v>21199.29</c:v>
                </c:pt>
                <c:pt idx="56">
                  <c:v>22130.44</c:v>
                </c:pt>
                <c:pt idx="57">
                  <c:v>22753.11</c:v>
                </c:pt>
                <c:pt idx="58">
                  <c:v>23102.27</c:v>
                </c:pt>
                <c:pt idx="59">
                  <c:v>23192.6</c:v>
                </c:pt>
                <c:pt idx="60">
                  <c:v>23028</c:v>
                </c:pt>
                <c:pt idx="61">
                  <c:v>22655.02</c:v>
                </c:pt>
                <c:pt idx="62">
                  <c:v>22069.95</c:v>
                </c:pt>
                <c:pt idx="63">
                  <c:v>21318.13</c:v>
                </c:pt>
                <c:pt idx="64">
                  <c:v>20428.16</c:v>
                </c:pt>
                <c:pt idx="65">
                  <c:v>19432.580000000002</c:v>
                </c:pt>
                <c:pt idx="66">
                  <c:v>18388.7</c:v>
                </c:pt>
                <c:pt idx="67">
                  <c:v>17344.25</c:v>
                </c:pt>
                <c:pt idx="68">
                  <c:v>16276.99</c:v>
                </c:pt>
                <c:pt idx="69">
                  <c:v>15265.56</c:v>
                </c:pt>
                <c:pt idx="70">
                  <c:v>14326.42</c:v>
                </c:pt>
                <c:pt idx="71">
                  <c:v>13467.57</c:v>
                </c:pt>
                <c:pt idx="72">
                  <c:v>12665.75</c:v>
                </c:pt>
                <c:pt idx="73">
                  <c:v>11938.35</c:v>
                </c:pt>
                <c:pt idx="74">
                  <c:v>11300.54</c:v>
                </c:pt>
                <c:pt idx="75">
                  <c:v>10739.48</c:v>
                </c:pt>
                <c:pt idx="76">
                  <c:v>10277.56</c:v>
                </c:pt>
                <c:pt idx="77">
                  <c:v>9905.52</c:v>
                </c:pt>
                <c:pt idx="78">
                  <c:v>9590.1200000000008</c:v>
                </c:pt>
                <c:pt idx="79">
                  <c:v>9370.9599999999991</c:v>
                </c:pt>
                <c:pt idx="80">
                  <c:v>9181.9500000000007</c:v>
                </c:pt>
                <c:pt idx="81">
                  <c:v>8977.07</c:v>
                </c:pt>
                <c:pt idx="82">
                  <c:v>8752.9699999999993</c:v>
                </c:pt>
                <c:pt idx="83">
                  <c:v>8496.75</c:v>
                </c:pt>
                <c:pt idx="84">
                  <c:v>8208.85</c:v>
                </c:pt>
                <c:pt idx="85">
                  <c:v>7859.96</c:v>
                </c:pt>
                <c:pt idx="86">
                  <c:v>7418.78</c:v>
                </c:pt>
                <c:pt idx="87">
                  <c:v>6834.97</c:v>
                </c:pt>
                <c:pt idx="88">
                  <c:v>6002.45</c:v>
                </c:pt>
                <c:pt idx="89">
                  <c:v>4759.79</c:v>
                </c:pt>
                <c:pt idx="90">
                  <c:v>2880.44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DC26-4EA2-BB56-5D9E471BAC6B}"/>
            </c:ext>
          </c:extLst>
        </c:ser>
        <c:ser>
          <c:idx val="10"/>
          <c:order val="10"/>
          <c:tx>
            <c:strRef>
              <c:f>DDat!$DH$19</c:f>
              <c:strCache>
                <c:ptCount val="1"/>
                <c:pt idx="0">
                  <c:v> x_0: 70  </c:v>
                </c:pt>
              </c:strCache>
            </c:strRef>
          </c:tx>
          <c:marker>
            <c:symbol val="none"/>
          </c:marker>
          <c:xVal>
            <c:numRef>
              <c:f>DDat!$CW$20:$CW$120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DDat!$DH$20:$DH$120</c:f>
              <c:numCache>
                <c:formatCode>#,##0</c:formatCode>
                <c:ptCount val="10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-1408.82</c:v>
                </c:pt>
                <c:pt idx="51">
                  <c:v>1275.21</c:v>
                </c:pt>
                <c:pt idx="52">
                  <c:v>3723.86</c:v>
                </c:pt>
                <c:pt idx="53">
                  <c:v>5930.28</c:v>
                </c:pt>
                <c:pt idx="54">
                  <c:v>7882.7</c:v>
                </c:pt>
                <c:pt idx="55">
                  <c:v>9572.64</c:v>
                </c:pt>
                <c:pt idx="56">
                  <c:v>10998.52</c:v>
                </c:pt>
                <c:pt idx="57">
                  <c:v>12117.53</c:v>
                </c:pt>
                <c:pt idx="58">
                  <c:v>12964.37</c:v>
                </c:pt>
                <c:pt idx="59">
                  <c:v>13551.04</c:v>
                </c:pt>
                <c:pt idx="60">
                  <c:v>13876.42</c:v>
                </c:pt>
                <c:pt idx="61">
                  <c:v>13988.1</c:v>
                </c:pt>
                <c:pt idx="62">
                  <c:v>13875.53</c:v>
                </c:pt>
                <c:pt idx="63">
                  <c:v>13586.15</c:v>
                </c:pt>
                <c:pt idx="64">
                  <c:v>13144.95</c:v>
                </c:pt>
                <c:pt idx="65">
                  <c:v>12581.79</c:v>
                </c:pt>
                <c:pt idx="66">
                  <c:v>11953.43</c:v>
                </c:pt>
                <c:pt idx="67">
                  <c:v>11305.5</c:v>
                </c:pt>
                <c:pt idx="68">
                  <c:v>10610.83</c:v>
                </c:pt>
                <c:pt idx="69">
                  <c:v>9953.18</c:v>
                </c:pt>
                <c:pt idx="70">
                  <c:v>9342.2800000000007</c:v>
                </c:pt>
                <c:pt idx="71">
                  <c:v>8784.4</c:v>
                </c:pt>
                <c:pt idx="72">
                  <c:v>8264.19</c:v>
                </c:pt>
                <c:pt idx="73">
                  <c:v>7792.94</c:v>
                </c:pt>
                <c:pt idx="74">
                  <c:v>7380.99</c:v>
                </c:pt>
                <c:pt idx="75">
                  <c:v>7020.41</c:v>
                </c:pt>
                <c:pt idx="76">
                  <c:v>6726.23</c:v>
                </c:pt>
                <c:pt idx="77">
                  <c:v>6493.23</c:v>
                </c:pt>
                <c:pt idx="78">
                  <c:v>6287.24</c:v>
                </c:pt>
                <c:pt idx="79">
                  <c:v>6144.26</c:v>
                </c:pt>
                <c:pt idx="80">
                  <c:v>6021.63</c:v>
                </c:pt>
                <c:pt idx="81">
                  <c:v>5888.84</c:v>
                </c:pt>
                <c:pt idx="82">
                  <c:v>5743.95</c:v>
                </c:pt>
                <c:pt idx="83">
                  <c:v>5579.37</c:v>
                </c:pt>
                <c:pt idx="84">
                  <c:v>5395.19</c:v>
                </c:pt>
                <c:pt idx="85">
                  <c:v>5173.28</c:v>
                </c:pt>
                <c:pt idx="86">
                  <c:v>4893.8500000000004</c:v>
                </c:pt>
                <c:pt idx="87">
                  <c:v>4526.0200000000004</c:v>
                </c:pt>
                <c:pt idx="88">
                  <c:v>3992.39</c:v>
                </c:pt>
                <c:pt idx="89">
                  <c:v>3178.63</c:v>
                </c:pt>
                <c:pt idx="90">
                  <c:v>1930.68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DC26-4EA2-BB56-5D9E471BAC6B}"/>
            </c:ext>
          </c:extLst>
        </c:ser>
        <c:ser>
          <c:idx val="11"/>
          <c:order val="11"/>
          <c:tx>
            <c:strRef>
              <c:f>DDat!$DI$19</c:f>
              <c:strCache>
                <c:ptCount val="1"/>
                <c:pt idx="0">
                  <c:v> x_0: 75  </c:v>
                </c:pt>
              </c:strCache>
            </c:strRef>
          </c:tx>
          <c:marker>
            <c:symbol val="none"/>
          </c:marker>
          <c:xVal>
            <c:numRef>
              <c:f>DDat!$CW$20:$CW$120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DDat!$DI$20:$DI$120</c:f>
              <c:numCache>
                <c:formatCode>#,##0</c:formatCode>
                <c:ptCount val="10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1.19</c:v>
                </c:pt>
                <c:pt idx="56">
                  <c:v>1834.35</c:v>
                </c:pt>
                <c:pt idx="57">
                  <c:v>3361.97</c:v>
                </c:pt>
                <c:pt idx="58">
                  <c:v>4618.5</c:v>
                </c:pt>
                <c:pt idx="59">
                  <c:v>5613.79</c:v>
                </c:pt>
                <c:pt idx="60">
                  <c:v>6342.53</c:v>
                </c:pt>
                <c:pt idx="61">
                  <c:v>6853.2</c:v>
                </c:pt>
                <c:pt idx="62">
                  <c:v>7129.62</c:v>
                </c:pt>
                <c:pt idx="63">
                  <c:v>7220.93</c:v>
                </c:pt>
                <c:pt idx="64">
                  <c:v>7149.16</c:v>
                </c:pt>
                <c:pt idx="65">
                  <c:v>6941.99</c:v>
                </c:pt>
                <c:pt idx="66">
                  <c:v>6655.69</c:v>
                </c:pt>
                <c:pt idx="67">
                  <c:v>6334.2</c:v>
                </c:pt>
                <c:pt idx="68">
                  <c:v>5946.26</c:v>
                </c:pt>
                <c:pt idx="69">
                  <c:v>5579.86</c:v>
                </c:pt>
                <c:pt idx="70">
                  <c:v>5239.17</c:v>
                </c:pt>
                <c:pt idx="71">
                  <c:v>4929.07</c:v>
                </c:pt>
                <c:pt idx="72">
                  <c:v>4640.68</c:v>
                </c:pt>
                <c:pt idx="73">
                  <c:v>4380.3</c:v>
                </c:pt>
                <c:pt idx="74">
                  <c:v>4154.28</c:v>
                </c:pt>
                <c:pt idx="75">
                  <c:v>3958.76</c:v>
                </c:pt>
                <c:pt idx="76">
                  <c:v>3802.65</c:v>
                </c:pt>
                <c:pt idx="77">
                  <c:v>3684.12</c:v>
                </c:pt>
                <c:pt idx="78">
                  <c:v>3568.2</c:v>
                </c:pt>
                <c:pt idx="79">
                  <c:v>3487.92</c:v>
                </c:pt>
                <c:pt idx="80">
                  <c:v>3419.95</c:v>
                </c:pt>
                <c:pt idx="81">
                  <c:v>3346.5</c:v>
                </c:pt>
                <c:pt idx="82">
                  <c:v>3266.82</c:v>
                </c:pt>
                <c:pt idx="83">
                  <c:v>3177.7</c:v>
                </c:pt>
                <c:pt idx="84">
                  <c:v>3078.9</c:v>
                </c:pt>
                <c:pt idx="85">
                  <c:v>2961.52</c:v>
                </c:pt>
                <c:pt idx="86">
                  <c:v>2815.24</c:v>
                </c:pt>
                <c:pt idx="87">
                  <c:v>2625.21</c:v>
                </c:pt>
                <c:pt idx="88">
                  <c:v>2337.63</c:v>
                </c:pt>
                <c:pt idx="89">
                  <c:v>1876.97</c:v>
                </c:pt>
                <c:pt idx="90">
                  <c:v>1148.81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DC26-4EA2-BB56-5D9E471BAC6B}"/>
            </c:ext>
          </c:extLst>
        </c:ser>
        <c:ser>
          <c:idx val="12"/>
          <c:order val="12"/>
          <c:tx>
            <c:strRef>
              <c:f>DDat!$DJ$19</c:f>
              <c:strCache>
                <c:ptCount val="1"/>
                <c:pt idx="0">
                  <c:v> x_0: 80  </c:v>
                </c:pt>
              </c:strCache>
            </c:strRef>
          </c:tx>
          <c:marker>
            <c:symbol val="none"/>
          </c:marker>
          <c:xVal>
            <c:numRef>
              <c:f>DDat!$CW$20:$CW$120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DDat!$DJ$20:$DJ$120</c:f>
              <c:numCache>
                <c:formatCode>#,##0</c:formatCode>
                <c:ptCount val="10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-0.11</c:v>
                </c:pt>
                <c:pt idx="61">
                  <c:v>846.47</c:v>
                </c:pt>
                <c:pt idx="62">
                  <c:v>1450.36</c:v>
                </c:pt>
                <c:pt idx="63">
                  <c:v>1862.17</c:v>
                </c:pt>
                <c:pt idx="64">
                  <c:v>2101.41</c:v>
                </c:pt>
                <c:pt idx="65">
                  <c:v>2193.94</c:v>
                </c:pt>
                <c:pt idx="66">
                  <c:v>2195.63</c:v>
                </c:pt>
                <c:pt idx="67">
                  <c:v>2148.96</c:v>
                </c:pt>
                <c:pt idx="68">
                  <c:v>2019.25</c:v>
                </c:pt>
                <c:pt idx="69">
                  <c:v>1898.04</c:v>
                </c:pt>
                <c:pt idx="70">
                  <c:v>1784.83</c:v>
                </c:pt>
                <c:pt idx="71">
                  <c:v>1683.34</c:v>
                </c:pt>
                <c:pt idx="72">
                  <c:v>1590.12</c:v>
                </c:pt>
                <c:pt idx="73">
                  <c:v>1507.26</c:v>
                </c:pt>
                <c:pt idx="74">
                  <c:v>1437.77</c:v>
                </c:pt>
                <c:pt idx="75">
                  <c:v>1381.21</c:v>
                </c:pt>
                <c:pt idx="76">
                  <c:v>1341.34</c:v>
                </c:pt>
                <c:pt idx="77">
                  <c:v>1319.18</c:v>
                </c:pt>
                <c:pt idx="78">
                  <c:v>1279.0899999999999</c:v>
                </c:pt>
                <c:pt idx="79">
                  <c:v>1251.6099999999999</c:v>
                </c:pt>
                <c:pt idx="80">
                  <c:v>1229.6500000000001</c:v>
                </c:pt>
                <c:pt idx="81">
                  <c:v>1206.1600000000001</c:v>
                </c:pt>
                <c:pt idx="82">
                  <c:v>1181.3699999999999</c:v>
                </c:pt>
                <c:pt idx="83">
                  <c:v>1155.77</c:v>
                </c:pt>
                <c:pt idx="84">
                  <c:v>1128.8499999999999</c:v>
                </c:pt>
                <c:pt idx="85">
                  <c:v>1099.48</c:v>
                </c:pt>
                <c:pt idx="86">
                  <c:v>1065.3</c:v>
                </c:pt>
                <c:pt idx="87">
                  <c:v>1024.95</c:v>
                </c:pt>
                <c:pt idx="88">
                  <c:v>944.53</c:v>
                </c:pt>
                <c:pt idx="89">
                  <c:v>781.13</c:v>
                </c:pt>
                <c:pt idx="90">
                  <c:v>490.57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DC26-4EA2-BB56-5D9E471BAC6B}"/>
            </c:ext>
          </c:extLst>
        </c:ser>
        <c:ser>
          <c:idx val="13"/>
          <c:order val="13"/>
          <c:tx>
            <c:strRef>
              <c:f>DDat!$DK$19</c:f>
              <c:strCache>
                <c:ptCount val="1"/>
                <c:pt idx="0">
                  <c:v> x_0: 85  </c:v>
                </c:pt>
              </c:strCache>
            </c:strRef>
          </c:tx>
          <c:marker>
            <c:symbol val="none"/>
          </c:marker>
          <c:xVal>
            <c:numRef>
              <c:f>DDat!$CW$20:$CW$120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DDat!$DK$20:$DK$120</c:f>
              <c:numCache>
                <c:formatCode>#,##0</c:formatCode>
                <c:ptCount val="10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-0.23</c:v>
                </c:pt>
                <c:pt idx="66">
                  <c:v>134.54</c:v>
                </c:pt>
                <c:pt idx="67">
                  <c:v>214.87</c:v>
                </c:pt>
                <c:pt idx="68">
                  <c:v>204.49</c:v>
                </c:pt>
                <c:pt idx="69">
                  <c:v>196.59</c:v>
                </c:pt>
                <c:pt idx="70">
                  <c:v>188.51</c:v>
                </c:pt>
                <c:pt idx="71">
                  <c:v>183.41</c:v>
                </c:pt>
                <c:pt idx="72">
                  <c:v>180.39</c:v>
                </c:pt>
                <c:pt idx="73">
                  <c:v>179.57</c:v>
                </c:pt>
                <c:pt idx="74">
                  <c:v>182.42</c:v>
                </c:pt>
                <c:pt idx="75">
                  <c:v>190.07</c:v>
                </c:pt>
                <c:pt idx="76">
                  <c:v>203.92</c:v>
                </c:pt>
                <c:pt idx="77">
                  <c:v>226.29</c:v>
                </c:pt>
                <c:pt idx="78">
                  <c:v>221.24</c:v>
                </c:pt>
                <c:pt idx="79">
                  <c:v>218.16</c:v>
                </c:pt>
                <c:pt idx="80">
                  <c:v>217.46</c:v>
                </c:pt>
                <c:pt idx="81">
                  <c:v>217.06</c:v>
                </c:pt>
                <c:pt idx="82">
                  <c:v>217.65</c:v>
                </c:pt>
                <c:pt idx="83">
                  <c:v>221.39</c:v>
                </c:pt>
                <c:pt idx="84">
                  <c:v>227.69</c:v>
                </c:pt>
                <c:pt idx="85">
                  <c:v>238.99</c:v>
                </c:pt>
                <c:pt idx="86">
                  <c:v>256.61</c:v>
                </c:pt>
                <c:pt idx="87">
                  <c:v>285.44</c:v>
                </c:pt>
                <c:pt idx="88">
                  <c:v>300.74</c:v>
                </c:pt>
                <c:pt idx="89">
                  <c:v>274.72000000000003</c:v>
                </c:pt>
                <c:pt idx="90">
                  <c:v>186.38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DC26-4EA2-BB56-5D9E471BAC6B}"/>
            </c:ext>
          </c:extLst>
        </c:ser>
        <c:ser>
          <c:idx val="14"/>
          <c:order val="14"/>
          <c:tx>
            <c:strRef>
              <c:f>DDat!$DL$19</c:f>
              <c:strCache>
                <c:ptCount val="1"/>
                <c:pt idx="0">
                  <c:v> x_0: 90  </c:v>
                </c:pt>
              </c:strCache>
            </c:strRef>
          </c:tx>
          <c:marker>
            <c:symbol val="none"/>
          </c:marker>
          <c:xVal>
            <c:numRef>
              <c:f>DDat!$CW$20:$CW$120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DDat!$DL$20:$DL$120</c:f>
              <c:numCache>
                <c:formatCode>#,##0</c:formatCode>
                <c:ptCount val="10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-0.12</c:v>
                </c:pt>
                <c:pt idx="71">
                  <c:v>6.17</c:v>
                </c:pt>
                <c:pt idx="72">
                  <c:v>13.8</c:v>
                </c:pt>
                <c:pt idx="73">
                  <c:v>22.68</c:v>
                </c:pt>
                <c:pt idx="74">
                  <c:v>34.07</c:v>
                </c:pt>
                <c:pt idx="75">
                  <c:v>49.31</c:v>
                </c:pt>
                <c:pt idx="76">
                  <c:v>69.510000000000005</c:v>
                </c:pt>
                <c:pt idx="77">
                  <c:v>97.14</c:v>
                </c:pt>
                <c:pt idx="78">
                  <c:v>96.24</c:v>
                </c:pt>
                <c:pt idx="79">
                  <c:v>96.03</c:v>
                </c:pt>
                <c:pt idx="80">
                  <c:v>97.85</c:v>
                </c:pt>
                <c:pt idx="81">
                  <c:v>100.18</c:v>
                </c:pt>
                <c:pt idx="82">
                  <c:v>103.76</c:v>
                </c:pt>
                <c:pt idx="83">
                  <c:v>110.98</c:v>
                </c:pt>
                <c:pt idx="84">
                  <c:v>121.2</c:v>
                </c:pt>
                <c:pt idx="85">
                  <c:v>137.31</c:v>
                </c:pt>
                <c:pt idx="86">
                  <c:v>161.05000000000001</c:v>
                </c:pt>
                <c:pt idx="87">
                  <c:v>198.05</c:v>
                </c:pt>
                <c:pt idx="88">
                  <c:v>224.67</c:v>
                </c:pt>
                <c:pt idx="89">
                  <c:v>214.87</c:v>
                </c:pt>
                <c:pt idx="90">
                  <c:v>150.43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DC26-4EA2-BB56-5D9E471BAC6B}"/>
            </c:ext>
          </c:extLst>
        </c:ser>
        <c:ser>
          <c:idx val="15"/>
          <c:order val="15"/>
          <c:tx>
            <c:strRef>
              <c:f>DDat!$DM$19</c:f>
              <c:strCache>
                <c:ptCount val="1"/>
                <c:pt idx="0">
                  <c:v> x_0: 95  </c:v>
                </c:pt>
              </c:strCache>
            </c:strRef>
          </c:tx>
          <c:marker>
            <c:symbol val="none"/>
          </c:marker>
          <c:xVal>
            <c:numRef>
              <c:f>DDat!$CW$20:$CW$120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DDat!$DM$20:$DM$120</c:f>
              <c:numCache>
                <c:formatCode>#,##0</c:formatCode>
                <c:ptCount val="10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-0.32</c:v>
                </c:pt>
                <c:pt idx="76">
                  <c:v>22.12</c:v>
                </c:pt>
                <c:pt idx="77">
                  <c:v>51.61</c:v>
                </c:pt>
                <c:pt idx="78">
                  <c:v>52.16</c:v>
                </c:pt>
                <c:pt idx="79">
                  <c:v>52.97</c:v>
                </c:pt>
                <c:pt idx="80">
                  <c:v>55.68</c:v>
                </c:pt>
                <c:pt idx="81">
                  <c:v>58.96</c:v>
                </c:pt>
                <c:pt idx="82">
                  <c:v>63.61</c:v>
                </c:pt>
                <c:pt idx="83">
                  <c:v>72.05</c:v>
                </c:pt>
                <c:pt idx="84">
                  <c:v>83.65</c:v>
                </c:pt>
                <c:pt idx="85">
                  <c:v>101.45</c:v>
                </c:pt>
                <c:pt idx="86">
                  <c:v>127.36</c:v>
                </c:pt>
                <c:pt idx="87">
                  <c:v>167.24</c:v>
                </c:pt>
                <c:pt idx="88">
                  <c:v>197.84</c:v>
                </c:pt>
                <c:pt idx="89">
                  <c:v>193.77</c:v>
                </c:pt>
                <c:pt idx="90">
                  <c:v>137.76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DC26-4EA2-BB56-5D9E471BAC6B}"/>
            </c:ext>
          </c:extLst>
        </c:ser>
        <c:ser>
          <c:idx val="16"/>
          <c:order val="16"/>
          <c:tx>
            <c:strRef>
              <c:f>DDat!$DN$19</c:f>
              <c:strCache>
                <c:ptCount val="1"/>
                <c:pt idx="0">
                  <c:v> x_0: 100  </c:v>
                </c:pt>
              </c:strCache>
            </c:strRef>
          </c:tx>
          <c:marker>
            <c:symbol val="none"/>
          </c:marker>
          <c:xVal>
            <c:numRef>
              <c:f>DDat!$CW$20:$CW$120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xVal>
          <c:yVal>
            <c:numRef>
              <c:f>DDat!$DN$20:$DN$120</c:f>
              <c:numCache>
                <c:formatCode>#,##0</c:formatCode>
                <c:ptCount val="10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-0.33</c:v>
                </c:pt>
                <c:pt idx="81">
                  <c:v>4.24</c:v>
                </c:pt>
                <c:pt idx="82">
                  <c:v>10.29</c:v>
                </c:pt>
                <c:pt idx="83">
                  <c:v>20.350000000000001</c:v>
                </c:pt>
                <c:pt idx="84">
                  <c:v>33.79</c:v>
                </c:pt>
                <c:pt idx="85">
                  <c:v>53.85</c:v>
                </c:pt>
                <c:pt idx="86">
                  <c:v>82.61</c:v>
                </c:pt>
                <c:pt idx="87">
                  <c:v>126.32</c:v>
                </c:pt>
                <c:pt idx="88">
                  <c:v>162.22</c:v>
                </c:pt>
                <c:pt idx="89">
                  <c:v>165.75</c:v>
                </c:pt>
                <c:pt idx="90">
                  <c:v>120.93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DC26-4EA2-BB56-5D9E471BAC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952128"/>
        <c:axId val="1"/>
      </c:scatterChart>
      <c:valAx>
        <c:axId val="378952128"/>
        <c:scaling>
          <c:orientation val="minMax"/>
          <c:max val="111"/>
          <c:min val="20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1"/>
        <c:crosses val="autoZero"/>
        <c:crossBetween val="midCat"/>
        <c:majorUnit val="10"/>
      </c:valAx>
      <c:valAx>
        <c:axId val="1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37895212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"/>
          <c:y val="0.94331983805668029"/>
          <c:w val="0.97831526271893243"/>
          <c:h val="5.5330634278002708E-2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de-DE"/>
    </a:p>
  </c:txPr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DDat!$BG$17</c:f>
          <c:strCache>
            <c:ptCount val="1"/>
            <c:pt idx="0">
              <c:v>ungezillmerte Alterungsrückstellung: Fortschreibung
Frauen+Männer − λ_x: + 50,0 % − x_ω: 110 − r: 2,5 % − q_x: PKV 2017 − w_x: Sto BaFin N 2015 − K_x: Primo kompakt 2015 − x_KM: 70 − Δ_js: 8,6 % − Γ_js: 802 / 679 Euro − α^Z_x: 2 MB (ab 70 abzgl. 0,5 MB) |</c:v>
            </c:pt>
          </c:strCache>
        </c:strRef>
      </c:tx>
      <c:layout>
        <c:manualLayout>
          <c:xMode val="edge"/>
          <c:yMode val="edge"/>
          <c:x val="0.1054279093774366"/>
          <c:y val="2.030446194225722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1"/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7.724425887265135E-2"/>
          <c:y val="0.16582064297800339"/>
          <c:w val="0.90396659707724425"/>
          <c:h val="0.7935702199661590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DDat!$BG$18</c:f>
              <c:strCache>
                <c:ptCount val="1"/>
                <c:pt idx="0">
                  <c:v> Sparprämie des Vorjahres</c:v>
                </c:pt>
              </c:strCache>
            </c:strRef>
          </c:tx>
          <c:spPr>
            <a:solidFill>
              <a:srgbClr val="A5161D"/>
            </a:solidFill>
            <a:ln w="25400">
              <a:noFill/>
            </a:ln>
          </c:spPr>
          <c:invertIfNegative val="0"/>
          <c:cat>
            <c:numRef>
              <c:f>DDat!$A$20:$A$120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cat>
          <c:val>
            <c:numRef>
              <c:f>DDat!$BG$20:$BG$110</c:f>
              <c:numCache>
                <c:formatCode>#,##0.00</c:formatCode>
                <c:ptCount val="9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1896.5</c:v>
                </c:pt>
                <c:pt idx="17">
                  <c:v>1865.13</c:v>
                </c:pt>
                <c:pt idx="18">
                  <c:v>1843.41</c:v>
                </c:pt>
                <c:pt idx="19">
                  <c:v>1818.21</c:v>
                </c:pt>
                <c:pt idx="20">
                  <c:v>1792.78</c:v>
                </c:pt>
                <c:pt idx="21">
                  <c:v>1774.64</c:v>
                </c:pt>
                <c:pt idx="22">
                  <c:v>1745.81</c:v>
                </c:pt>
                <c:pt idx="23">
                  <c:v>1711.06</c:v>
                </c:pt>
                <c:pt idx="24">
                  <c:v>1680.69</c:v>
                </c:pt>
                <c:pt idx="25">
                  <c:v>1636.58</c:v>
                </c:pt>
                <c:pt idx="26">
                  <c:v>1587.42</c:v>
                </c:pt>
                <c:pt idx="27">
                  <c:v>1518.73</c:v>
                </c:pt>
                <c:pt idx="28">
                  <c:v>1443.73</c:v>
                </c:pt>
                <c:pt idx="29">
                  <c:v>1357.6</c:v>
                </c:pt>
                <c:pt idx="30">
                  <c:v>1258.54</c:v>
                </c:pt>
                <c:pt idx="31">
                  <c:v>1154.44</c:v>
                </c:pt>
                <c:pt idx="32">
                  <c:v>1037.5</c:v>
                </c:pt>
                <c:pt idx="33">
                  <c:v>911.54</c:v>
                </c:pt>
                <c:pt idx="34">
                  <c:v>779.18</c:v>
                </c:pt>
                <c:pt idx="35">
                  <c:v>636.94000000000005</c:v>
                </c:pt>
                <c:pt idx="36">
                  <c:v>490.69</c:v>
                </c:pt>
                <c:pt idx="37">
                  <c:v>339.59</c:v>
                </c:pt>
                <c:pt idx="38">
                  <c:v>174.46</c:v>
                </c:pt>
                <c:pt idx="39">
                  <c:v>-0.95</c:v>
                </c:pt>
                <c:pt idx="40">
                  <c:v>-189.71</c:v>
                </c:pt>
                <c:pt idx="41">
                  <c:v>-388.83</c:v>
                </c:pt>
                <c:pt idx="42">
                  <c:v>-615.01</c:v>
                </c:pt>
                <c:pt idx="43">
                  <c:v>-853.61</c:v>
                </c:pt>
                <c:pt idx="44">
                  <c:v>-1103.52</c:v>
                </c:pt>
                <c:pt idx="45">
                  <c:v>-1369.74</c:v>
                </c:pt>
                <c:pt idx="46">
                  <c:v>-1652.96</c:v>
                </c:pt>
                <c:pt idx="47">
                  <c:v>-1945.99</c:v>
                </c:pt>
                <c:pt idx="48">
                  <c:v>-2248.9699999999998</c:v>
                </c:pt>
                <c:pt idx="49">
                  <c:v>-2552.5500000000002</c:v>
                </c:pt>
                <c:pt idx="50">
                  <c:v>-2859.5</c:v>
                </c:pt>
                <c:pt idx="51">
                  <c:v>-3172.36</c:v>
                </c:pt>
                <c:pt idx="52">
                  <c:v>-3497.13</c:v>
                </c:pt>
                <c:pt idx="53">
                  <c:v>-3825.51</c:v>
                </c:pt>
                <c:pt idx="54">
                  <c:v>-4159.43</c:v>
                </c:pt>
                <c:pt idx="55">
                  <c:v>-4498.54</c:v>
                </c:pt>
                <c:pt idx="56">
                  <c:v>-4835.6099999999997</c:v>
                </c:pt>
                <c:pt idx="57">
                  <c:v>-5209.8500000000004</c:v>
                </c:pt>
                <c:pt idx="58">
                  <c:v>-5541.93</c:v>
                </c:pt>
                <c:pt idx="59">
                  <c:v>-5861.55</c:v>
                </c:pt>
                <c:pt idx="60">
                  <c:v>-6183.8</c:v>
                </c:pt>
                <c:pt idx="61">
                  <c:v>-6449.43</c:v>
                </c:pt>
                <c:pt idx="62">
                  <c:v>-6731.43</c:v>
                </c:pt>
                <c:pt idx="63">
                  <c:v>-6956.77</c:v>
                </c:pt>
                <c:pt idx="64">
                  <c:v>-7156.22</c:v>
                </c:pt>
                <c:pt idx="65">
                  <c:v>-7323.44</c:v>
                </c:pt>
                <c:pt idx="66">
                  <c:v>-7431.06</c:v>
                </c:pt>
                <c:pt idx="67">
                  <c:v>-7494.83</c:v>
                </c:pt>
                <c:pt idx="68">
                  <c:v>-7585.24</c:v>
                </c:pt>
                <c:pt idx="69">
                  <c:v>-7585.24</c:v>
                </c:pt>
                <c:pt idx="70">
                  <c:v>-7585.24</c:v>
                </c:pt>
                <c:pt idx="71">
                  <c:v>-7585.24</c:v>
                </c:pt>
                <c:pt idx="72">
                  <c:v>-7585.24</c:v>
                </c:pt>
                <c:pt idx="73">
                  <c:v>-7585.24</c:v>
                </c:pt>
                <c:pt idx="74">
                  <c:v>-7585.24</c:v>
                </c:pt>
                <c:pt idx="75">
                  <c:v>-7585.24</c:v>
                </c:pt>
                <c:pt idx="76">
                  <c:v>-7585.24</c:v>
                </c:pt>
                <c:pt idx="77">
                  <c:v>-7585.24</c:v>
                </c:pt>
                <c:pt idx="78">
                  <c:v>-7616.97</c:v>
                </c:pt>
                <c:pt idx="79">
                  <c:v>-7616.97</c:v>
                </c:pt>
                <c:pt idx="80">
                  <c:v>-7616.97</c:v>
                </c:pt>
                <c:pt idx="81">
                  <c:v>-7616.97</c:v>
                </c:pt>
                <c:pt idx="82">
                  <c:v>-7616.97</c:v>
                </c:pt>
                <c:pt idx="83">
                  <c:v>-7616.97</c:v>
                </c:pt>
                <c:pt idx="84">
                  <c:v>-7616.97</c:v>
                </c:pt>
                <c:pt idx="85">
                  <c:v>-7616.97</c:v>
                </c:pt>
                <c:pt idx="86">
                  <c:v>-7616.97</c:v>
                </c:pt>
                <c:pt idx="87">
                  <c:v>-7616.97</c:v>
                </c:pt>
                <c:pt idx="88">
                  <c:v>-7637.5</c:v>
                </c:pt>
                <c:pt idx="89">
                  <c:v>-7671.96</c:v>
                </c:pt>
                <c:pt idx="90">
                  <c:v>-7706.41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F9-428D-BB03-754A394C7F8C}"/>
            </c:ext>
          </c:extLst>
        </c:ser>
        <c:ser>
          <c:idx val="1"/>
          <c:order val="1"/>
          <c:tx>
            <c:strRef>
              <c:f>DDat!$BI$18</c:f>
              <c:strCache>
                <c:ptCount val="1"/>
                <c:pt idx="0">
                  <c:v> vorhandende AR des Vorjahres</c:v>
                </c:pt>
              </c:strCache>
            </c:strRef>
          </c:tx>
          <c:spPr>
            <a:solidFill>
              <a:srgbClr val="7A9ED4"/>
            </a:solidFill>
            <a:ln w="25400">
              <a:noFill/>
            </a:ln>
          </c:spPr>
          <c:invertIfNegative val="0"/>
          <c:cat>
            <c:numRef>
              <c:f>DDat!$A$20:$A$120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cat>
          <c:val>
            <c:numRef>
              <c:f>DDat!$BI$20:$BI$110</c:f>
              <c:numCache>
                <c:formatCode>#,##0.00</c:formatCode>
                <c:ptCount val="9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1896.5</c:v>
                </c:pt>
                <c:pt idx="17">
                  <c:v>3910.66</c:v>
                </c:pt>
                <c:pt idx="18">
                  <c:v>6039.13</c:v>
                </c:pt>
                <c:pt idx="19">
                  <c:v>8270.3100000000013</c:v>
                </c:pt>
                <c:pt idx="20">
                  <c:v>10600.54</c:v>
                </c:pt>
                <c:pt idx="21">
                  <c:v>13030.279999999999</c:v>
                </c:pt>
                <c:pt idx="22">
                  <c:v>15544.58</c:v>
                </c:pt>
                <c:pt idx="23">
                  <c:v>18140.27</c:v>
                </c:pt>
                <c:pt idx="24">
                  <c:v>20819.09</c:v>
                </c:pt>
                <c:pt idx="25">
                  <c:v>23575.510000000002</c:v>
                </c:pt>
                <c:pt idx="26">
                  <c:v>26403.690000000002</c:v>
                </c:pt>
                <c:pt idx="27">
                  <c:v>29296.54</c:v>
                </c:pt>
                <c:pt idx="28">
                  <c:v>32242.799999999999</c:v>
                </c:pt>
                <c:pt idx="29">
                  <c:v>35251.32</c:v>
                </c:pt>
                <c:pt idx="30">
                  <c:v>38309.270000000004</c:v>
                </c:pt>
                <c:pt idx="31">
                  <c:v>41429.230000000003</c:v>
                </c:pt>
                <c:pt idx="32">
                  <c:v>44601.19</c:v>
                </c:pt>
                <c:pt idx="33">
                  <c:v>47823.76</c:v>
                </c:pt>
                <c:pt idx="34">
                  <c:v>51112.97</c:v>
                </c:pt>
                <c:pt idx="35">
                  <c:v>54470.86</c:v>
                </c:pt>
                <c:pt idx="36">
                  <c:v>57853.760000000002</c:v>
                </c:pt>
                <c:pt idx="37">
                  <c:v>61103.99</c:v>
                </c:pt>
                <c:pt idx="38">
                  <c:v>64070.62</c:v>
                </c:pt>
                <c:pt idx="39">
                  <c:v>66705.570000000007</c:v>
                </c:pt>
                <c:pt idx="40">
                  <c:v>69076.37999999999</c:v>
                </c:pt>
                <c:pt idx="41">
                  <c:v>71260.709999999992</c:v>
                </c:pt>
                <c:pt idx="42">
                  <c:v>73270.12000000001</c:v>
                </c:pt>
                <c:pt idx="43">
                  <c:v>75099.09</c:v>
                </c:pt>
                <c:pt idx="44">
                  <c:v>76737.25</c:v>
                </c:pt>
                <c:pt idx="45">
                  <c:v>78169.23</c:v>
                </c:pt>
                <c:pt idx="46">
                  <c:v>79362.5</c:v>
                </c:pt>
                <c:pt idx="47">
                  <c:v>80296.25</c:v>
                </c:pt>
                <c:pt idx="48">
                  <c:v>80952.53</c:v>
                </c:pt>
                <c:pt idx="49">
                  <c:v>81330.819999999992</c:v>
                </c:pt>
                <c:pt idx="50">
                  <c:v>81422.62</c:v>
                </c:pt>
                <c:pt idx="51">
                  <c:v>81231.94</c:v>
                </c:pt>
                <c:pt idx="52">
                  <c:v>80742.76999999999</c:v>
                </c:pt>
                <c:pt idx="53">
                  <c:v>79958.25</c:v>
                </c:pt>
                <c:pt idx="54">
                  <c:v>78886.450000000012</c:v>
                </c:pt>
                <c:pt idx="55">
                  <c:v>77524.650000000009</c:v>
                </c:pt>
                <c:pt idx="56">
                  <c:v>75870.460000000006</c:v>
                </c:pt>
                <c:pt idx="57">
                  <c:v>73895.28</c:v>
                </c:pt>
                <c:pt idx="58">
                  <c:v>71645.510000000009</c:v>
                </c:pt>
                <c:pt idx="59">
                  <c:v>69127.899999999994</c:v>
                </c:pt>
                <c:pt idx="60">
                  <c:v>66355.62999999999</c:v>
                </c:pt>
                <c:pt idx="61">
                  <c:v>63417.609999999993</c:v>
                </c:pt>
                <c:pt idx="62">
                  <c:v>60282.07</c:v>
                </c:pt>
                <c:pt idx="63">
                  <c:v>57053.31</c:v>
                </c:pt>
                <c:pt idx="64">
                  <c:v>53735.229999999996</c:v>
                </c:pt>
                <c:pt idx="65">
                  <c:v>50381.22</c:v>
                </c:pt>
                <c:pt idx="66">
                  <c:v>47064.810000000005</c:v>
                </c:pt>
                <c:pt idx="67">
                  <c:v>43830.479999999996</c:v>
                </c:pt>
                <c:pt idx="68">
                  <c:v>40666.160000000003</c:v>
                </c:pt>
                <c:pt idx="69">
                  <c:v>37691.93</c:v>
                </c:pt>
                <c:pt idx="70">
                  <c:v>34869.78</c:v>
                </c:pt>
                <c:pt idx="71">
                  <c:v>32250.68</c:v>
                </c:pt>
                <c:pt idx="72">
                  <c:v>29851.380000000005</c:v>
                </c:pt>
                <c:pt idx="73">
                  <c:v>27608.28</c:v>
                </c:pt>
                <c:pt idx="74">
                  <c:v>25569.870000000003</c:v>
                </c:pt>
                <c:pt idx="75">
                  <c:v>23776.120000000003</c:v>
                </c:pt>
                <c:pt idx="76">
                  <c:v>22188.9</c:v>
                </c:pt>
                <c:pt idx="77">
                  <c:v>20868.53</c:v>
                </c:pt>
                <c:pt idx="78">
                  <c:v>19753.11</c:v>
                </c:pt>
                <c:pt idx="79">
                  <c:v>18877.719999999998</c:v>
                </c:pt>
                <c:pt idx="80">
                  <c:v>18268.719999999998</c:v>
                </c:pt>
                <c:pt idx="81">
                  <c:v>17739.93</c:v>
                </c:pt>
                <c:pt idx="82">
                  <c:v>17166.099999999999</c:v>
                </c:pt>
                <c:pt idx="83">
                  <c:v>16536.59</c:v>
                </c:pt>
                <c:pt idx="84">
                  <c:v>15811.279999999999</c:v>
                </c:pt>
                <c:pt idx="85">
                  <c:v>14992.559999999998</c:v>
                </c:pt>
                <c:pt idx="86">
                  <c:v>13993.75</c:v>
                </c:pt>
                <c:pt idx="87">
                  <c:v>12724.75</c:v>
                </c:pt>
                <c:pt idx="88">
                  <c:v>11015.02</c:v>
                </c:pt>
                <c:pt idx="89">
                  <c:v>8618.2900000000009</c:v>
                </c:pt>
                <c:pt idx="90">
                  <c:v>5145.9600000000009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F9-428D-BB03-754A394C7F8C}"/>
            </c:ext>
          </c:extLst>
        </c:ser>
        <c:ser>
          <c:idx val="2"/>
          <c:order val="2"/>
          <c:tx>
            <c:strRef>
              <c:f>DDat!$BJ$18</c:f>
              <c:strCache>
                <c:ptCount val="1"/>
                <c:pt idx="0">
                  <c:v> Verzinsung und Vererbung</c:v>
                </c:pt>
              </c:strCache>
            </c:strRef>
          </c:tx>
          <c:spPr>
            <a:solidFill>
              <a:srgbClr val="009900"/>
            </a:solidFill>
            <a:ln w="25400">
              <a:noFill/>
            </a:ln>
          </c:spPr>
          <c:invertIfNegative val="0"/>
          <c:cat>
            <c:numRef>
              <c:f>DDat!$A$20:$A$120</c:f>
              <c:numCache>
                <c:formatCode>General</c:formatCode>
                <c:ptCount val="10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</c:numCache>
            </c:numRef>
          </c:cat>
          <c:val>
            <c:numRef>
              <c:f>DDat!$BJ$20:$BJ$110</c:f>
              <c:numCache>
                <c:formatCode>#,##0.00</c:formatCode>
                <c:ptCount val="9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149.02999999999997</c:v>
                </c:pt>
                <c:pt idx="17">
                  <c:v>285.0600000000004</c:v>
                </c:pt>
                <c:pt idx="18">
                  <c:v>412.97000000000025</c:v>
                </c:pt>
                <c:pt idx="19">
                  <c:v>537.44999999999891</c:v>
                </c:pt>
                <c:pt idx="20">
                  <c:v>655.09999999999854</c:v>
                </c:pt>
                <c:pt idx="21">
                  <c:v>768.4900000000016</c:v>
                </c:pt>
                <c:pt idx="22">
                  <c:v>884.6299999999992</c:v>
                </c:pt>
                <c:pt idx="23">
                  <c:v>998.13000000000102</c:v>
                </c:pt>
                <c:pt idx="24">
                  <c:v>1119.8400000000001</c:v>
                </c:pt>
                <c:pt idx="25">
                  <c:v>1240.7599999999984</c:v>
                </c:pt>
                <c:pt idx="26">
                  <c:v>1374.119999999999</c:v>
                </c:pt>
                <c:pt idx="27">
                  <c:v>1502.5299999999988</c:v>
                </c:pt>
                <c:pt idx="28">
                  <c:v>1650.9200000000019</c:v>
                </c:pt>
                <c:pt idx="29">
                  <c:v>1799.4100000000035</c:v>
                </c:pt>
                <c:pt idx="30">
                  <c:v>1965.5199999999968</c:v>
                </c:pt>
                <c:pt idx="31">
                  <c:v>2134.4599999999991</c:v>
                </c:pt>
                <c:pt idx="32">
                  <c:v>2311.0299999999988</c:v>
                </c:pt>
                <c:pt idx="33">
                  <c:v>2510.0299999999988</c:v>
                </c:pt>
                <c:pt idx="34">
                  <c:v>2720.9499999999971</c:v>
                </c:pt>
                <c:pt idx="35">
                  <c:v>2892.2099999999991</c:v>
                </c:pt>
                <c:pt idx="36">
                  <c:v>2910.6399999999994</c:v>
                </c:pt>
                <c:pt idx="37">
                  <c:v>2792.1700000000055</c:v>
                </c:pt>
                <c:pt idx="38">
                  <c:v>2635.9000000000015</c:v>
                </c:pt>
                <c:pt idx="39">
                  <c:v>2560.5199999999895</c:v>
                </c:pt>
                <c:pt idx="40">
                  <c:v>2573.1600000000035</c:v>
                </c:pt>
                <c:pt idx="41">
                  <c:v>2624.4200000000128</c:v>
                </c:pt>
                <c:pt idx="42">
                  <c:v>2682.5799999999872</c:v>
                </c:pt>
                <c:pt idx="43">
                  <c:v>2741.6800000000076</c:v>
                </c:pt>
                <c:pt idx="44">
                  <c:v>2801.7200000000012</c:v>
                </c:pt>
                <c:pt idx="45">
                  <c:v>2846.2300000000105</c:v>
                </c:pt>
                <c:pt idx="46">
                  <c:v>2879.7400000000052</c:v>
                </c:pt>
                <c:pt idx="47">
                  <c:v>2905.25</c:v>
                </c:pt>
                <c:pt idx="48">
                  <c:v>2930.8399999999965</c:v>
                </c:pt>
                <c:pt idx="49">
                  <c:v>2951.3000000000029</c:v>
                </c:pt>
                <c:pt idx="50">
                  <c:v>2981.6800000000076</c:v>
                </c:pt>
                <c:pt idx="51">
                  <c:v>3007.9599999999919</c:v>
                </c:pt>
                <c:pt idx="52">
                  <c:v>3040.9900000000052</c:v>
                </c:pt>
                <c:pt idx="53">
                  <c:v>3087.6300000000047</c:v>
                </c:pt>
                <c:pt idx="54">
                  <c:v>3136.7399999999907</c:v>
                </c:pt>
                <c:pt idx="55">
                  <c:v>3181.4199999999983</c:v>
                </c:pt>
                <c:pt idx="56">
                  <c:v>3234.6699999999983</c:v>
                </c:pt>
                <c:pt idx="57">
                  <c:v>3292.1600000000035</c:v>
                </c:pt>
                <c:pt idx="58">
                  <c:v>3343.9399999999878</c:v>
                </c:pt>
                <c:pt idx="59">
                  <c:v>3411.5299999999988</c:v>
                </c:pt>
                <c:pt idx="60">
                  <c:v>3511.4100000000035</c:v>
                </c:pt>
                <c:pt idx="61">
                  <c:v>3595.8900000000067</c:v>
                </c:pt>
                <c:pt idx="62">
                  <c:v>3728.010000000002</c:v>
                </c:pt>
                <c:pt idx="63">
                  <c:v>3838.1399999999994</c:v>
                </c:pt>
                <c:pt idx="64">
                  <c:v>3969.4300000000076</c:v>
                </c:pt>
                <c:pt idx="65">
                  <c:v>4114.6500000000015</c:v>
                </c:pt>
                <c:pt idx="66">
                  <c:v>4260.4999999999927</c:v>
                </c:pt>
                <c:pt idx="67">
                  <c:v>4420.9200000000055</c:v>
                </c:pt>
                <c:pt idx="68">
                  <c:v>4611.0099999999948</c:v>
                </c:pt>
                <c:pt idx="69">
                  <c:v>4763.0899999999965</c:v>
                </c:pt>
                <c:pt idx="70">
                  <c:v>4966.1399999999994</c:v>
                </c:pt>
                <c:pt idx="71">
                  <c:v>5185.9400000000023</c:v>
                </c:pt>
                <c:pt idx="72">
                  <c:v>5342.1399999999921</c:v>
                </c:pt>
                <c:pt idx="73">
                  <c:v>5546.8300000000017</c:v>
                </c:pt>
                <c:pt idx="74">
                  <c:v>5791.489999999998</c:v>
                </c:pt>
                <c:pt idx="75">
                  <c:v>5998.0199999999968</c:v>
                </c:pt>
                <c:pt idx="76">
                  <c:v>6264.869999999999</c:v>
                </c:pt>
                <c:pt idx="77">
                  <c:v>6501.5500000000029</c:v>
                </c:pt>
                <c:pt idx="78">
                  <c:v>6741.5799999999981</c:v>
                </c:pt>
                <c:pt idx="79">
                  <c:v>7007.9700000000012</c:v>
                </c:pt>
                <c:pt idx="80">
                  <c:v>7088.1800000000039</c:v>
                </c:pt>
                <c:pt idx="81">
                  <c:v>7043.1399999999994</c:v>
                </c:pt>
                <c:pt idx="82">
                  <c:v>6987.4600000000028</c:v>
                </c:pt>
                <c:pt idx="83">
                  <c:v>6891.66</c:v>
                </c:pt>
                <c:pt idx="84">
                  <c:v>6798.25</c:v>
                </c:pt>
                <c:pt idx="85">
                  <c:v>6618.1600000000035</c:v>
                </c:pt>
                <c:pt idx="86">
                  <c:v>6347.9700000000012</c:v>
                </c:pt>
                <c:pt idx="87">
                  <c:v>5927.77</c:v>
                </c:pt>
                <c:pt idx="88">
                  <c:v>5275.23</c:v>
                </c:pt>
                <c:pt idx="89">
                  <c:v>4234.08</c:v>
                </c:pt>
                <c:pt idx="90">
                  <c:v>2595.4699999999993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CF9-428D-BB03-754A394C7F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378949832"/>
        <c:axId val="1"/>
      </c:barChart>
      <c:catAx>
        <c:axId val="378949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/>
            </a:pPr>
            <a:endParaRPr lang="de-DE"/>
          </a:p>
        </c:txPr>
        <c:crossAx val="1"/>
        <c:crosses val="autoZero"/>
        <c:auto val="1"/>
        <c:lblAlgn val="ctr"/>
        <c:lblOffset val="0"/>
        <c:tickLblSkip val="5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/>
            </a:pPr>
            <a:endParaRPr lang="de-DE"/>
          </a:p>
        </c:txPr>
        <c:crossAx val="3789498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9.212730318257957E-2"/>
          <c:y val="0.18523364019243896"/>
          <c:w val="0.26381909547738697"/>
          <c:h val="0.12047294035391454"/>
        </c:manualLayout>
      </c:layout>
      <c:overlay val="0"/>
      <c:spPr>
        <a:solidFill>
          <a:schemeClr val="bg1"/>
        </a:solidFill>
        <a:ln w="25400">
          <a:noFill/>
        </a:ln>
      </c:spPr>
      <c:txPr>
        <a:bodyPr/>
        <a:lstStyle/>
        <a:p>
          <a:pPr>
            <a:defRPr sz="1000"/>
          </a:pPr>
          <a:endParaRPr lang="de-DE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Verdana" panose="020B0604030504040204" pitchFamily="34" charset="0"/>
          <a:ea typeface="Verdana" panose="020B0604030504040204" pitchFamily="34" charset="0"/>
          <a:cs typeface="Verdana" panose="020B0604030504040204" pitchFamily="34" charset="0"/>
        </a:defRPr>
      </a:pPr>
      <a:endParaRPr lang="de-DE"/>
    </a:p>
  </c:txPr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DDat!$BL$17</c:f>
          <c:strCache>
            <c:ptCount val="1"/>
            <c:pt idx="0">
              <c:v>ungezillmerte Alterungsrückstellung: Zuführung
Frauen+Männer − λ_x: + 50,0 % − x_ω: 110 − r: 2,5 % − q_x: PKV 2017 − w_x: Sto BaFin N 2015 − K_x: Primo kompakt 2015 − x_KM: 70 − Δ_js: 8,6 % − Γ_js: 802 / 679 Euro − α^Z_x: 2 MB (ab 70 abzgl. 0,5 MB) | x_0:</c:v>
            </c:pt>
          </c:strCache>
        </c:strRef>
      </c:tx>
      <c:layout>
        <c:manualLayout>
          <c:xMode val="edge"/>
          <c:yMode val="edge"/>
          <c:x val="0.10542801919634523"/>
          <c:y val="2.030446194225722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7.724425887265135E-2"/>
          <c:y val="0.15736040609137056"/>
          <c:w val="0.89770354906054284"/>
          <c:h val="0.75972927241962773"/>
        </c:manualLayout>
      </c:layout>
      <c:scatterChart>
        <c:scatterStyle val="lineMarker"/>
        <c:varyColors val="0"/>
        <c:ser>
          <c:idx val="0"/>
          <c:order val="0"/>
          <c:tx>
            <c:strRef>
              <c:f>DDat!$BL$18</c:f>
              <c:strCache>
                <c:ptCount val="1"/>
                <c:pt idx="0">
                  <c:v> verzinste Sparprämie</c:v>
                </c:pt>
              </c:strCache>
            </c:strRef>
          </c:tx>
          <c:spPr>
            <a:ln w="25400">
              <a:solidFill>
                <a:srgbClr val="FF6600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DDat!$BL$20:$BL$111</c:f>
              <c:numCache>
                <c:formatCode>#,##0.00</c:formatCode>
                <c:ptCount val="9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1944.66</c:v>
                </c:pt>
                <c:pt idx="16">
                  <c:v>1912.71</c:v>
                </c:pt>
                <c:pt idx="17">
                  <c:v>1889.29</c:v>
                </c:pt>
                <c:pt idx="18">
                  <c:v>1863.73</c:v>
                </c:pt>
                <c:pt idx="19">
                  <c:v>1838.17</c:v>
                </c:pt>
                <c:pt idx="20">
                  <c:v>1819.01</c:v>
                </c:pt>
                <c:pt idx="21">
                  <c:v>1789.19</c:v>
                </c:pt>
                <c:pt idx="22">
                  <c:v>1752.98</c:v>
                </c:pt>
                <c:pt idx="23">
                  <c:v>1723.17</c:v>
                </c:pt>
                <c:pt idx="24">
                  <c:v>1678.44</c:v>
                </c:pt>
                <c:pt idx="25">
                  <c:v>1627.33</c:v>
                </c:pt>
                <c:pt idx="26">
                  <c:v>1557.05</c:v>
                </c:pt>
                <c:pt idx="27">
                  <c:v>1480.38</c:v>
                </c:pt>
                <c:pt idx="28">
                  <c:v>1390.93</c:v>
                </c:pt>
                <c:pt idx="29">
                  <c:v>1290.83</c:v>
                </c:pt>
                <c:pt idx="30">
                  <c:v>1184.3499999999999</c:v>
                </c:pt>
                <c:pt idx="31">
                  <c:v>1062.95</c:v>
                </c:pt>
                <c:pt idx="32">
                  <c:v>935.17</c:v>
                </c:pt>
                <c:pt idx="33">
                  <c:v>798.86</c:v>
                </c:pt>
                <c:pt idx="34">
                  <c:v>651.91</c:v>
                </c:pt>
                <c:pt idx="35">
                  <c:v>502.83</c:v>
                </c:pt>
                <c:pt idx="36">
                  <c:v>347.36</c:v>
                </c:pt>
                <c:pt idx="37">
                  <c:v>179.11</c:v>
                </c:pt>
                <c:pt idx="38">
                  <c:v>-1.92</c:v>
                </c:pt>
                <c:pt idx="39">
                  <c:v>-193.59</c:v>
                </c:pt>
                <c:pt idx="40">
                  <c:v>-398.05</c:v>
                </c:pt>
                <c:pt idx="41">
                  <c:v>-630.19000000000005</c:v>
                </c:pt>
                <c:pt idx="42">
                  <c:v>-875.11</c:v>
                </c:pt>
                <c:pt idx="43">
                  <c:v>-1130.68</c:v>
                </c:pt>
                <c:pt idx="44">
                  <c:v>-1403.28</c:v>
                </c:pt>
                <c:pt idx="45">
                  <c:v>-1695.06</c:v>
                </c:pt>
                <c:pt idx="46">
                  <c:v>-1995.35</c:v>
                </c:pt>
                <c:pt idx="47">
                  <c:v>-2304.16</c:v>
                </c:pt>
                <c:pt idx="48">
                  <c:v>-2617.23</c:v>
                </c:pt>
                <c:pt idx="49">
                  <c:v>-2930.3</c:v>
                </c:pt>
                <c:pt idx="50">
                  <c:v>-3251.89</c:v>
                </c:pt>
                <c:pt idx="51">
                  <c:v>-3584.13</c:v>
                </c:pt>
                <c:pt idx="52">
                  <c:v>-3920.63</c:v>
                </c:pt>
                <c:pt idx="53">
                  <c:v>-4263.5200000000004</c:v>
                </c:pt>
                <c:pt idx="54">
                  <c:v>-4610.66</c:v>
                </c:pt>
                <c:pt idx="55">
                  <c:v>-4955.68</c:v>
                </c:pt>
                <c:pt idx="56">
                  <c:v>-5339.03</c:v>
                </c:pt>
                <c:pt idx="57">
                  <c:v>-5679.79</c:v>
                </c:pt>
                <c:pt idx="58">
                  <c:v>-6007.77</c:v>
                </c:pt>
                <c:pt idx="59">
                  <c:v>-6337.88</c:v>
                </c:pt>
                <c:pt idx="60">
                  <c:v>-6610.48</c:v>
                </c:pt>
                <c:pt idx="61">
                  <c:v>-6900.13</c:v>
                </c:pt>
                <c:pt idx="62">
                  <c:v>-7130.14</c:v>
                </c:pt>
                <c:pt idx="63">
                  <c:v>-7334.59</c:v>
                </c:pt>
                <c:pt idx="64">
                  <c:v>-7507.1</c:v>
                </c:pt>
                <c:pt idx="65">
                  <c:v>-7617.85</c:v>
                </c:pt>
                <c:pt idx="66">
                  <c:v>-7681.74</c:v>
                </c:pt>
                <c:pt idx="67">
                  <c:v>-7775.45</c:v>
                </c:pt>
                <c:pt idx="68">
                  <c:v>-7775.45</c:v>
                </c:pt>
                <c:pt idx="69">
                  <c:v>-7775.45</c:v>
                </c:pt>
                <c:pt idx="70">
                  <c:v>-7775.45</c:v>
                </c:pt>
                <c:pt idx="71">
                  <c:v>-7775.45</c:v>
                </c:pt>
                <c:pt idx="72">
                  <c:v>-7775.45</c:v>
                </c:pt>
                <c:pt idx="73">
                  <c:v>-7775.45</c:v>
                </c:pt>
                <c:pt idx="74">
                  <c:v>-7775.45</c:v>
                </c:pt>
                <c:pt idx="75">
                  <c:v>-7775.45</c:v>
                </c:pt>
                <c:pt idx="76">
                  <c:v>-7775.45</c:v>
                </c:pt>
                <c:pt idx="77">
                  <c:v>-7807.39</c:v>
                </c:pt>
                <c:pt idx="78">
                  <c:v>-7807.39</c:v>
                </c:pt>
                <c:pt idx="79">
                  <c:v>-7807.39</c:v>
                </c:pt>
                <c:pt idx="80">
                  <c:v>-7807.39</c:v>
                </c:pt>
                <c:pt idx="81">
                  <c:v>-7807.39</c:v>
                </c:pt>
                <c:pt idx="82">
                  <c:v>-7807.39</c:v>
                </c:pt>
                <c:pt idx="83">
                  <c:v>-7807.39</c:v>
                </c:pt>
                <c:pt idx="84">
                  <c:v>-7807.39</c:v>
                </c:pt>
                <c:pt idx="85">
                  <c:v>-7807.39</c:v>
                </c:pt>
                <c:pt idx="86">
                  <c:v>-7807.39</c:v>
                </c:pt>
                <c:pt idx="87">
                  <c:v>-7828.69</c:v>
                </c:pt>
                <c:pt idx="88">
                  <c:v>-7862.77</c:v>
                </c:pt>
                <c:pt idx="89">
                  <c:v>-7898.97</c:v>
                </c:pt>
                <c:pt idx="90">
                  <c:v>-7935.18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3E8-4A75-9538-2395E299EE2F}"/>
            </c:ext>
          </c:extLst>
        </c:ser>
        <c:ser>
          <c:idx val="1"/>
          <c:order val="1"/>
          <c:tx>
            <c:strRef>
              <c:f>DDat!$BM$18</c:f>
              <c:strCache>
                <c:ptCount val="1"/>
                <c:pt idx="0">
                  <c:v> Zins auf vorhandene AR</c:v>
                </c:pt>
              </c:strCache>
            </c:strRef>
          </c:tx>
          <c:spPr>
            <a:ln w="25400">
              <a:solidFill>
                <a:srgbClr val="CC0000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DDat!$BM$20:$BM$111</c:f>
              <c:numCache>
                <c:formatCode>#,##0.00</c:formatCode>
                <c:ptCount val="9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0.05</c:v>
                </c:pt>
                <c:pt idx="16">
                  <c:v>51.14</c:v>
                </c:pt>
                <c:pt idx="17">
                  <c:v>104.89</c:v>
                </c:pt>
                <c:pt idx="18">
                  <c:v>161.30000000000001</c:v>
                </c:pt>
                <c:pt idx="19">
                  <c:v>220.19</c:v>
                </c:pt>
                <c:pt idx="20">
                  <c:v>281.39</c:v>
                </c:pt>
                <c:pt idx="21">
                  <c:v>344.97</c:v>
                </c:pt>
                <c:pt idx="22">
                  <c:v>410.73</c:v>
                </c:pt>
                <c:pt idx="23">
                  <c:v>478.46</c:v>
                </c:pt>
                <c:pt idx="24">
                  <c:v>548.47</c:v>
                </c:pt>
                <c:pt idx="25">
                  <c:v>620.41</c:v>
                </c:pt>
                <c:pt idx="26">
                  <c:v>694.45</c:v>
                </c:pt>
                <c:pt idx="27">
                  <c:v>769.98</c:v>
                </c:pt>
                <c:pt idx="28">
                  <c:v>847.34</c:v>
                </c:pt>
                <c:pt idx="29">
                  <c:v>926.27</c:v>
                </c:pt>
                <c:pt idx="30">
                  <c:v>1006.87</c:v>
                </c:pt>
                <c:pt idx="31">
                  <c:v>1089.0899999999999</c:v>
                </c:pt>
                <c:pt idx="32">
                  <c:v>1172.81</c:v>
                </c:pt>
                <c:pt idx="33">
                  <c:v>1258.3399999999999</c:v>
                </c:pt>
                <c:pt idx="34">
                  <c:v>1345.85</c:v>
                </c:pt>
                <c:pt idx="35">
                  <c:v>1434.08</c:v>
                </c:pt>
                <c:pt idx="36">
                  <c:v>1519.11</c:v>
                </c:pt>
                <c:pt idx="37">
                  <c:v>1597.4</c:v>
                </c:pt>
                <c:pt idx="38">
                  <c:v>1667.66</c:v>
                </c:pt>
                <c:pt idx="39">
                  <c:v>1731.65</c:v>
                </c:pt>
                <c:pt idx="40">
                  <c:v>1791.24</c:v>
                </c:pt>
                <c:pt idx="41">
                  <c:v>1847.13</c:v>
                </c:pt>
                <c:pt idx="42">
                  <c:v>1898.82</c:v>
                </c:pt>
                <c:pt idx="43">
                  <c:v>1946.02</c:v>
                </c:pt>
                <c:pt idx="44">
                  <c:v>1988.47</c:v>
                </c:pt>
                <c:pt idx="45">
                  <c:v>2025.39</c:v>
                </c:pt>
                <c:pt idx="46">
                  <c:v>2056.06</c:v>
                </c:pt>
                <c:pt idx="47">
                  <c:v>2080.04</c:v>
                </c:pt>
                <c:pt idx="48">
                  <c:v>2097.08</c:v>
                </c:pt>
                <c:pt idx="49">
                  <c:v>2107.0500000000002</c:v>
                </c:pt>
                <c:pt idx="50">
                  <c:v>2110.11</c:v>
                </c:pt>
                <c:pt idx="51">
                  <c:v>2106</c:v>
                </c:pt>
                <c:pt idx="52">
                  <c:v>2094.59</c:v>
                </c:pt>
                <c:pt idx="53">
                  <c:v>2076.15</c:v>
                </c:pt>
                <c:pt idx="54">
                  <c:v>2050.58</c:v>
                </c:pt>
                <c:pt idx="55">
                  <c:v>2017.65</c:v>
                </c:pt>
                <c:pt idx="56">
                  <c:v>1977.63</c:v>
                </c:pt>
                <c:pt idx="57">
                  <c:v>1929.69</c:v>
                </c:pt>
                <c:pt idx="58">
                  <c:v>1874.74</c:v>
                </c:pt>
                <c:pt idx="59">
                  <c:v>1813.49</c:v>
                </c:pt>
                <c:pt idx="60">
                  <c:v>1746.68</c:v>
                </c:pt>
                <c:pt idx="61">
                  <c:v>1675.34</c:v>
                </c:pt>
                <c:pt idx="62">
                  <c:v>1600.25</c:v>
                </c:pt>
                <c:pt idx="63">
                  <c:v>1522.29</c:v>
                </c:pt>
                <c:pt idx="64">
                  <c:v>1442.62</c:v>
                </c:pt>
                <c:pt idx="65">
                  <c:v>1362.4</c:v>
                </c:pt>
                <c:pt idx="66">
                  <c:v>1283.1300000000001</c:v>
                </c:pt>
                <c:pt idx="67">
                  <c:v>1206.29</c:v>
                </c:pt>
                <c:pt idx="68">
                  <c:v>1131.93</c:v>
                </c:pt>
                <c:pt idx="69">
                  <c:v>1061.3800000000001</c:v>
                </c:pt>
                <c:pt idx="70">
                  <c:v>995.9</c:v>
                </c:pt>
                <c:pt idx="71">
                  <c:v>935.92</c:v>
                </c:pt>
                <c:pt idx="72">
                  <c:v>879.84</c:v>
                </c:pt>
                <c:pt idx="73">
                  <c:v>828.88</c:v>
                </c:pt>
                <c:pt idx="74">
                  <c:v>784.03</c:v>
                </c:pt>
                <c:pt idx="75">
                  <c:v>744.35</c:v>
                </c:pt>
                <c:pt idx="76">
                  <c:v>711.34</c:v>
                </c:pt>
                <c:pt idx="77">
                  <c:v>684.25</c:v>
                </c:pt>
                <c:pt idx="78">
                  <c:v>662.37</c:v>
                </c:pt>
                <c:pt idx="79">
                  <c:v>647.14</c:v>
                </c:pt>
                <c:pt idx="80">
                  <c:v>633.91999999999996</c:v>
                </c:pt>
                <c:pt idx="81">
                  <c:v>619.58000000000004</c:v>
                </c:pt>
                <c:pt idx="82">
                  <c:v>603.84</c:v>
                </c:pt>
                <c:pt idx="83">
                  <c:v>585.71</c:v>
                </c:pt>
                <c:pt idx="84">
                  <c:v>565.24</c:v>
                </c:pt>
                <c:pt idx="85">
                  <c:v>540.27</c:v>
                </c:pt>
                <c:pt idx="86">
                  <c:v>508.54</c:v>
                </c:pt>
                <c:pt idx="87">
                  <c:v>466.31</c:v>
                </c:pt>
                <c:pt idx="88">
                  <c:v>407.26</c:v>
                </c:pt>
                <c:pt idx="89">
                  <c:v>321.31</c:v>
                </c:pt>
                <c:pt idx="90">
                  <c:v>193.54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3E8-4A75-9538-2395E299EE2F}"/>
            </c:ext>
          </c:extLst>
        </c:ser>
        <c:ser>
          <c:idx val="2"/>
          <c:order val="2"/>
          <c:tx>
            <c:strRef>
              <c:f>DDat!$BN$18</c:f>
              <c:strCache>
                <c:ptCount val="1"/>
                <c:pt idx="0">
                  <c:v> geerbte AR</c:v>
                </c:pt>
              </c:strCache>
            </c:strRef>
          </c:tx>
          <c:spPr>
            <a:ln w="25400">
              <a:solidFill>
                <a:srgbClr val="009900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DDat!$BN$20:$BN$111</c:f>
              <c:numCache>
                <c:formatCode>#,##0.00</c:formatCode>
                <c:ptCount val="9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98.8</c:v>
                </c:pt>
                <c:pt idx="16">
                  <c:v>186.29</c:v>
                </c:pt>
                <c:pt idx="17">
                  <c:v>262.60000000000002</c:v>
                </c:pt>
                <c:pt idx="18">
                  <c:v>330.29</c:v>
                </c:pt>
                <c:pt idx="19">
                  <c:v>389.45</c:v>
                </c:pt>
                <c:pt idx="20">
                  <c:v>442.94</c:v>
                </c:pt>
                <c:pt idx="21">
                  <c:v>496.16</c:v>
                </c:pt>
                <c:pt idx="22">
                  <c:v>545.44000000000005</c:v>
                </c:pt>
                <c:pt idx="23">
                  <c:v>598.92999999999995</c:v>
                </c:pt>
                <c:pt idx="24">
                  <c:v>650.19000000000005</c:v>
                </c:pt>
                <c:pt idx="25">
                  <c:v>713.89</c:v>
                </c:pt>
                <c:pt idx="26">
                  <c:v>769.98</c:v>
                </c:pt>
                <c:pt idx="27">
                  <c:v>843.95</c:v>
                </c:pt>
                <c:pt idx="28">
                  <c:v>918.86</c:v>
                </c:pt>
                <c:pt idx="29">
                  <c:v>1006.87</c:v>
                </c:pt>
                <c:pt idx="30">
                  <c:v>1097.8</c:v>
                </c:pt>
                <c:pt idx="31">
                  <c:v>1196.26</c:v>
                </c:pt>
                <c:pt idx="32">
                  <c:v>1313.71</c:v>
                </c:pt>
                <c:pt idx="33">
                  <c:v>1442.75</c:v>
                </c:pt>
                <c:pt idx="34">
                  <c:v>1531.59</c:v>
                </c:pt>
                <c:pt idx="35">
                  <c:v>1464.42</c:v>
                </c:pt>
                <c:pt idx="36">
                  <c:v>1265.1400000000001</c:v>
                </c:pt>
                <c:pt idx="37">
                  <c:v>1033.95</c:v>
                </c:pt>
                <c:pt idx="38">
                  <c:v>893.53</c:v>
                </c:pt>
                <c:pt idx="39">
                  <c:v>845.46</c:v>
                </c:pt>
                <c:pt idx="40">
                  <c:v>842.29</c:v>
                </c:pt>
                <c:pt idx="41">
                  <c:v>850.67</c:v>
                </c:pt>
                <c:pt idx="42">
                  <c:v>864.03</c:v>
                </c:pt>
                <c:pt idx="43">
                  <c:v>882.88</c:v>
                </c:pt>
                <c:pt idx="44">
                  <c:v>891.17</c:v>
                </c:pt>
                <c:pt idx="45">
                  <c:v>896.44</c:v>
                </c:pt>
                <c:pt idx="46">
                  <c:v>898.58</c:v>
                </c:pt>
                <c:pt idx="47">
                  <c:v>905.94</c:v>
                </c:pt>
                <c:pt idx="48">
                  <c:v>918.68</c:v>
                </c:pt>
                <c:pt idx="49">
                  <c:v>945.33</c:v>
                </c:pt>
                <c:pt idx="50">
                  <c:v>977.18</c:v>
                </c:pt>
                <c:pt idx="51">
                  <c:v>1022.16</c:v>
                </c:pt>
                <c:pt idx="52">
                  <c:v>1087.9000000000001</c:v>
                </c:pt>
                <c:pt idx="53">
                  <c:v>1164.73</c:v>
                </c:pt>
                <c:pt idx="54">
                  <c:v>1242.8699999999999</c:v>
                </c:pt>
                <c:pt idx="55">
                  <c:v>1336.88</c:v>
                </c:pt>
                <c:pt idx="56">
                  <c:v>1443.41</c:v>
                </c:pt>
                <c:pt idx="57">
                  <c:v>1552.28</c:v>
                </c:pt>
                <c:pt idx="58">
                  <c:v>1682.91</c:v>
                </c:pt>
                <c:pt idx="59">
                  <c:v>1851.48</c:v>
                </c:pt>
                <c:pt idx="60">
                  <c:v>2010.41</c:v>
                </c:pt>
                <c:pt idx="61">
                  <c:v>2221.15</c:v>
                </c:pt>
                <c:pt idx="62">
                  <c:v>2411.3000000000002</c:v>
                </c:pt>
                <c:pt idx="63">
                  <c:v>2625.56</c:v>
                </c:pt>
                <c:pt idx="64">
                  <c:v>2855.58</c:v>
                </c:pt>
                <c:pt idx="65">
                  <c:v>3084.65</c:v>
                </c:pt>
                <c:pt idx="66">
                  <c:v>3324.52</c:v>
                </c:pt>
                <c:pt idx="67">
                  <c:v>3595.01</c:v>
                </c:pt>
                <c:pt idx="68">
                  <c:v>3820.95</c:v>
                </c:pt>
                <c:pt idx="69">
                  <c:v>4095.13</c:v>
                </c:pt>
                <c:pt idx="70">
                  <c:v>4380.08</c:v>
                </c:pt>
                <c:pt idx="71">
                  <c:v>4596.2700000000004</c:v>
                </c:pt>
                <c:pt idx="72">
                  <c:v>4857.22</c:v>
                </c:pt>
                <c:pt idx="73">
                  <c:v>5152.67</c:v>
                </c:pt>
                <c:pt idx="74">
                  <c:v>5404.01</c:v>
                </c:pt>
                <c:pt idx="75">
                  <c:v>5710.67</c:v>
                </c:pt>
                <c:pt idx="76">
                  <c:v>5980.36</c:v>
                </c:pt>
                <c:pt idx="77">
                  <c:v>6247.45</c:v>
                </c:pt>
                <c:pt idx="78">
                  <c:v>6536.14</c:v>
                </c:pt>
                <c:pt idx="79">
                  <c:v>6630.83</c:v>
                </c:pt>
                <c:pt idx="80">
                  <c:v>6599.73</c:v>
                </c:pt>
                <c:pt idx="81">
                  <c:v>6557.69</c:v>
                </c:pt>
                <c:pt idx="82">
                  <c:v>6477.91</c:v>
                </c:pt>
                <c:pt idx="83">
                  <c:v>6400.76</c:v>
                </c:pt>
                <c:pt idx="84">
                  <c:v>6243.34</c:v>
                </c:pt>
                <c:pt idx="85">
                  <c:v>5996.74</c:v>
                </c:pt>
                <c:pt idx="86">
                  <c:v>5606.95</c:v>
                </c:pt>
                <c:pt idx="87">
                  <c:v>4992.96</c:v>
                </c:pt>
                <c:pt idx="88">
                  <c:v>4013.8</c:v>
                </c:pt>
                <c:pt idx="89">
                  <c:v>2463.3200000000002</c:v>
                </c:pt>
                <c:pt idx="90">
                  <c:v>0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3E8-4A75-9538-2395E299EE2F}"/>
            </c:ext>
          </c:extLst>
        </c:ser>
        <c:ser>
          <c:idx val="3"/>
          <c:order val="3"/>
          <c:tx>
            <c:strRef>
              <c:f>DDat!$BO$18</c:f>
              <c:strCache>
                <c:ptCount val="1"/>
                <c:pt idx="0">
                  <c:v> Zuführung</c:v>
                </c:pt>
              </c:strCache>
            </c:strRef>
          </c:tx>
          <c:spPr>
            <a:ln w="25400">
              <a:solidFill>
                <a:srgbClr val="084AAD"/>
              </a:solidFill>
              <a:prstDash val="sysDash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DDat!$BO$20:$BO$111</c:f>
              <c:numCache>
                <c:formatCode>#,##0.00</c:formatCode>
                <c:ptCount val="9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2043.51</c:v>
                </c:pt>
                <c:pt idx="16">
                  <c:v>2150.1400000000003</c:v>
                </c:pt>
                <c:pt idx="17">
                  <c:v>2256.7800000000002</c:v>
                </c:pt>
                <c:pt idx="18">
                  <c:v>2355.3200000000002</c:v>
                </c:pt>
                <c:pt idx="19">
                  <c:v>2447.81</c:v>
                </c:pt>
                <c:pt idx="20">
                  <c:v>2543.34</c:v>
                </c:pt>
                <c:pt idx="21">
                  <c:v>2630.3199999999997</c:v>
                </c:pt>
                <c:pt idx="22">
                  <c:v>2709.15</c:v>
                </c:pt>
                <c:pt idx="23">
                  <c:v>2800.56</c:v>
                </c:pt>
                <c:pt idx="24">
                  <c:v>2877.1</c:v>
                </c:pt>
                <c:pt idx="25">
                  <c:v>2961.6299999999997</c:v>
                </c:pt>
                <c:pt idx="26">
                  <c:v>3021.48</c:v>
                </c:pt>
                <c:pt idx="27">
                  <c:v>3094.3100000000004</c:v>
                </c:pt>
                <c:pt idx="28">
                  <c:v>3157.13</c:v>
                </c:pt>
                <c:pt idx="29">
                  <c:v>3223.97</c:v>
                </c:pt>
                <c:pt idx="30">
                  <c:v>3289.0199999999995</c:v>
                </c:pt>
                <c:pt idx="31">
                  <c:v>3348.3</c:v>
                </c:pt>
                <c:pt idx="32">
                  <c:v>3421.69</c:v>
                </c:pt>
                <c:pt idx="33">
                  <c:v>3499.95</c:v>
                </c:pt>
                <c:pt idx="34">
                  <c:v>3529.3499999999995</c:v>
                </c:pt>
                <c:pt idx="35">
                  <c:v>3401.33</c:v>
                </c:pt>
                <c:pt idx="36">
                  <c:v>3131.6099999999997</c:v>
                </c:pt>
                <c:pt idx="37">
                  <c:v>2810.46</c:v>
                </c:pt>
                <c:pt idx="38">
                  <c:v>2559.27</c:v>
                </c:pt>
                <c:pt idx="39">
                  <c:v>2383.5200000000004</c:v>
                </c:pt>
                <c:pt idx="40">
                  <c:v>2235.48</c:v>
                </c:pt>
                <c:pt idx="41">
                  <c:v>2067.61</c:v>
                </c:pt>
                <c:pt idx="42">
                  <c:v>1887.7399999999998</c:v>
                </c:pt>
                <c:pt idx="43">
                  <c:v>1698.2199999999998</c:v>
                </c:pt>
                <c:pt idx="44">
                  <c:v>1476.3600000000001</c:v>
                </c:pt>
                <c:pt idx="45">
                  <c:v>1226.7700000000002</c:v>
                </c:pt>
                <c:pt idx="46">
                  <c:v>959.29000000000008</c:v>
                </c:pt>
                <c:pt idx="47">
                  <c:v>681.82000000000016</c:v>
                </c:pt>
                <c:pt idx="48">
                  <c:v>398.52999999999986</c:v>
                </c:pt>
                <c:pt idx="49">
                  <c:v>122.08000000000004</c:v>
                </c:pt>
                <c:pt idx="50">
                  <c:v>-164.5999999999998</c:v>
                </c:pt>
                <c:pt idx="51">
                  <c:v>-455.97000000000014</c:v>
                </c:pt>
                <c:pt idx="52">
                  <c:v>-738.13999999999987</c:v>
                </c:pt>
                <c:pt idx="53">
                  <c:v>-1022.6400000000003</c:v>
                </c:pt>
                <c:pt idx="54">
                  <c:v>-1317.21</c:v>
                </c:pt>
                <c:pt idx="55">
                  <c:v>-1601.15</c:v>
                </c:pt>
                <c:pt idx="56">
                  <c:v>-1917.9899999999996</c:v>
                </c:pt>
                <c:pt idx="57">
                  <c:v>-2197.8199999999997</c:v>
                </c:pt>
                <c:pt idx="58">
                  <c:v>-2450.1200000000008</c:v>
                </c:pt>
                <c:pt idx="59">
                  <c:v>-2672.9100000000003</c:v>
                </c:pt>
                <c:pt idx="60">
                  <c:v>-2853.3899999999994</c:v>
                </c:pt>
                <c:pt idx="61">
                  <c:v>-3003.64</c:v>
                </c:pt>
                <c:pt idx="62">
                  <c:v>-3118.59</c:v>
                </c:pt>
                <c:pt idx="63">
                  <c:v>-3186.7400000000002</c:v>
                </c:pt>
                <c:pt idx="64">
                  <c:v>-3208.9000000000005</c:v>
                </c:pt>
                <c:pt idx="65">
                  <c:v>-3170.8000000000006</c:v>
                </c:pt>
                <c:pt idx="66">
                  <c:v>-3074.0899999999997</c:v>
                </c:pt>
                <c:pt idx="67">
                  <c:v>-2974.1499999999996</c:v>
                </c:pt>
                <c:pt idx="68">
                  <c:v>-2822.5699999999997</c:v>
                </c:pt>
                <c:pt idx="69">
                  <c:v>-2618.9399999999996</c:v>
                </c:pt>
                <c:pt idx="70">
                  <c:v>-2399.4700000000003</c:v>
                </c:pt>
                <c:pt idx="71">
                  <c:v>-2243.2599999999993</c:v>
                </c:pt>
                <c:pt idx="72">
                  <c:v>-2038.3899999999994</c:v>
                </c:pt>
                <c:pt idx="73">
                  <c:v>-1793.8999999999996</c:v>
                </c:pt>
                <c:pt idx="74">
                  <c:v>-1587.4099999999999</c:v>
                </c:pt>
                <c:pt idx="75">
                  <c:v>-1320.4299999999994</c:v>
                </c:pt>
                <c:pt idx="76">
                  <c:v>-1083.75</c:v>
                </c:pt>
                <c:pt idx="77">
                  <c:v>-875.69000000000051</c:v>
                </c:pt>
                <c:pt idx="78">
                  <c:v>-608.88000000000011</c:v>
                </c:pt>
                <c:pt idx="79">
                  <c:v>-529.42000000000007</c:v>
                </c:pt>
                <c:pt idx="80">
                  <c:v>-573.74000000000069</c:v>
                </c:pt>
                <c:pt idx="81">
                  <c:v>-630.1200000000008</c:v>
                </c:pt>
                <c:pt idx="82">
                  <c:v>-725.64000000000033</c:v>
                </c:pt>
                <c:pt idx="83">
                  <c:v>-820.92000000000007</c:v>
                </c:pt>
                <c:pt idx="84">
                  <c:v>-998.8100000000004</c:v>
                </c:pt>
                <c:pt idx="85">
                  <c:v>-1270.380000000001</c:v>
                </c:pt>
                <c:pt idx="86">
                  <c:v>-1691.9000000000005</c:v>
                </c:pt>
                <c:pt idx="87">
                  <c:v>-2369.4199999999992</c:v>
                </c:pt>
                <c:pt idx="88">
                  <c:v>-3441.71</c:v>
                </c:pt>
                <c:pt idx="89">
                  <c:v>-5114.34</c:v>
                </c:pt>
                <c:pt idx="90">
                  <c:v>-7741.64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3E8-4A75-9538-2395E299EE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954424"/>
        <c:axId val="1"/>
      </c:scatterChart>
      <c:valAx>
        <c:axId val="378954424"/>
        <c:scaling>
          <c:orientation val="minMax"/>
          <c:max val="111"/>
          <c:min val="2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378954424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9.2964824120603029E-2"/>
          <c:y val="0.92934782608695654"/>
          <c:w val="0.87269681742043559"/>
          <c:h val="6.9293478260869554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de-DE"/>
    </a:p>
  </c:txPr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DDat!$BQ$17</c:f>
          <c:strCache>
            <c:ptCount val="1"/>
            <c:pt idx="0">
              <c:v>Nettoprämie: Aufteilung
Frauen+Männer − λ_x: + 50,0 % − x_ω: 110 − r: 2,5 % − q_x: PKV 2017 − w_x: Sto BaFin N 2015 − K_x: Primo kompakt 2015 − x_KM: 70 − Δ_js: 8,6 % − Γ_js: 802 / 679 Euro − α^Z_x: 2 MB (ab 70 abzgl. 0,5 MB) | x_0: 35</c:v>
            </c:pt>
          </c:strCache>
        </c:strRef>
      </c:tx>
      <c:layout>
        <c:manualLayout>
          <c:xMode val="edge"/>
          <c:yMode val="edge"/>
          <c:x val="0.10542801919634523"/>
          <c:y val="2.030446194225722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7.724425887265135E-2"/>
          <c:y val="0.17935702199661591"/>
          <c:w val="0.89770354906054284"/>
          <c:h val="0.739424703891709"/>
        </c:manualLayout>
      </c:layout>
      <c:scatterChart>
        <c:scatterStyle val="lineMarker"/>
        <c:varyColors val="0"/>
        <c:ser>
          <c:idx val="0"/>
          <c:order val="0"/>
          <c:tx>
            <c:strRef>
              <c:f>DDat!$BQ$18</c:f>
              <c:strCache>
                <c:ptCount val="1"/>
                <c:pt idx="0">
                  <c:v> Risikoanteil</c:v>
                </c:pt>
              </c:strCache>
            </c:strRef>
          </c:tx>
          <c:spPr>
            <a:ln w="25400">
              <a:solidFill>
                <a:srgbClr val="FF6600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DDat!$BQ$20:$BQ$111</c:f>
              <c:numCache>
                <c:formatCode>#,##0.00</c:formatCode>
                <c:ptCount val="9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1955.2</c:v>
                </c:pt>
                <c:pt idx="16">
                  <c:v>1986.37</c:v>
                </c:pt>
                <c:pt idx="17">
                  <c:v>2009.22</c:v>
                </c:pt>
                <c:pt idx="18">
                  <c:v>2034.16</c:v>
                </c:pt>
                <c:pt idx="19">
                  <c:v>2059.09</c:v>
                </c:pt>
                <c:pt idx="20">
                  <c:v>2077.79</c:v>
                </c:pt>
                <c:pt idx="21">
                  <c:v>2106.88</c:v>
                </c:pt>
                <c:pt idx="22">
                  <c:v>2142.1999999999998</c:v>
                </c:pt>
                <c:pt idx="23">
                  <c:v>2171.29</c:v>
                </c:pt>
                <c:pt idx="24">
                  <c:v>2214.92</c:v>
                </c:pt>
                <c:pt idx="25">
                  <c:v>2264.79</c:v>
                </c:pt>
                <c:pt idx="26">
                  <c:v>2333.36</c:v>
                </c:pt>
                <c:pt idx="27">
                  <c:v>2408.16</c:v>
                </c:pt>
                <c:pt idx="28">
                  <c:v>2495.4299999999998</c:v>
                </c:pt>
                <c:pt idx="29">
                  <c:v>2593.08</c:v>
                </c:pt>
                <c:pt idx="30">
                  <c:v>2696.97</c:v>
                </c:pt>
                <c:pt idx="31">
                  <c:v>2815.41</c:v>
                </c:pt>
                <c:pt idx="32">
                  <c:v>2940.07</c:v>
                </c:pt>
                <c:pt idx="33">
                  <c:v>3073.05</c:v>
                </c:pt>
                <c:pt idx="34">
                  <c:v>3216.42</c:v>
                </c:pt>
                <c:pt idx="35">
                  <c:v>3361.86</c:v>
                </c:pt>
                <c:pt idx="36">
                  <c:v>3513.54</c:v>
                </c:pt>
                <c:pt idx="37">
                  <c:v>3677.69</c:v>
                </c:pt>
                <c:pt idx="38">
                  <c:v>3854.3</c:v>
                </c:pt>
                <c:pt idx="39">
                  <c:v>4041.3</c:v>
                </c:pt>
                <c:pt idx="40">
                  <c:v>4240.7700000000004</c:v>
                </c:pt>
                <c:pt idx="41">
                  <c:v>4467.25</c:v>
                </c:pt>
                <c:pt idx="42">
                  <c:v>4706.1899999999996</c:v>
                </c:pt>
                <c:pt idx="43">
                  <c:v>4955.53</c:v>
                </c:pt>
                <c:pt idx="44">
                  <c:v>5221.49</c:v>
                </c:pt>
                <c:pt idx="45">
                  <c:v>5506.14</c:v>
                </c:pt>
                <c:pt idx="46">
                  <c:v>5799.11</c:v>
                </c:pt>
                <c:pt idx="47">
                  <c:v>6100.39</c:v>
                </c:pt>
                <c:pt idx="48">
                  <c:v>6405.83</c:v>
                </c:pt>
                <c:pt idx="49">
                  <c:v>6711.26</c:v>
                </c:pt>
                <c:pt idx="50">
                  <c:v>7025.01</c:v>
                </c:pt>
                <c:pt idx="51">
                  <c:v>7349.14</c:v>
                </c:pt>
                <c:pt idx="52">
                  <c:v>7677.43</c:v>
                </c:pt>
                <c:pt idx="53">
                  <c:v>8011.96</c:v>
                </c:pt>
                <c:pt idx="54">
                  <c:v>8350.64</c:v>
                </c:pt>
                <c:pt idx="55">
                  <c:v>8687.24</c:v>
                </c:pt>
                <c:pt idx="56">
                  <c:v>9061.24</c:v>
                </c:pt>
                <c:pt idx="57">
                  <c:v>9393.69</c:v>
                </c:pt>
                <c:pt idx="58">
                  <c:v>9713.67</c:v>
                </c:pt>
                <c:pt idx="59">
                  <c:v>10035.73</c:v>
                </c:pt>
                <c:pt idx="60">
                  <c:v>10301.68</c:v>
                </c:pt>
                <c:pt idx="61">
                  <c:v>10584.26</c:v>
                </c:pt>
                <c:pt idx="62">
                  <c:v>10808.66</c:v>
                </c:pt>
                <c:pt idx="63">
                  <c:v>11008.13</c:v>
                </c:pt>
                <c:pt idx="64">
                  <c:v>11176.43</c:v>
                </c:pt>
                <c:pt idx="65">
                  <c:v>11284.48</c:v>
                </c:pt>
                <c:pt idx="66">
                  <c:v>11346.81</c:v>
                </c:pt>
                <c:pt idx="67">
                  <c:v>11438.23</c:v>
                </c:pt>
                <c:pt idx="68">
                  <c:v>11438.23</c:v>
                </c:pt>
                <c:pt idx="69">
                  <c:v>11438.23</c:v>
                </c:pt>
                <c:pt idx="70">
                  <c:v>11438.23</c:v>
                </c:pt>
                <c:pt idx="71">
                  <c:v>11438.23</c:v>
                </c:pt>
                <c:pt idx="72">
                  <c:v>11438.23</c:v>
                </c:pt>
                <c:pt idx="73">
                  <c:v>11438.23</c:v>
                </c:pt>
                <c:pt idx="74">
                  <c:v>11438.23</c:v>
                </c:pt>
                <c:pt idx="75">
                  <c:v>11438.23</c:v>
                </c:pt>
                <c:pt idx="76">
                  <c:v>11438.23</c:v>
                </c:pt>
                <c:pt idx="77">
                  <c:v>11469.4</c:v>
                </c:pt>
                <c:pt idx="78">
                  <c:v>11469.4</c:v>
                </c:pt>
                <c:pt idx="79">
                  <c:v>11469.4</c:v>
                </c:pt>
                <c:pt idx="80">
                  <c:v>11469.4</c:v>
                </c:pt>
                <c:pt idx="81">
                  <c:v>11469.4</c:v>
                </c:pt>
                <c:pt idx="82">
                  <c:v>11469.4</c:v>
                </c:pt>
                <c:pt idx="83">
                  <c:v>11469.4</c:v>
                </c:pt>
                <c:pt idx="84">
                  <c:v>11469.4</c:v>
                </c:pt>
                <c:pt idx="85">
                  <c:v>11469.4</c:v>
                </c:pt>
                <c:pt idx="86">
                  <c:v>11469.4</c:v>
                </c:pt>
                <c:pt idx="87">
                  <c:v>11490.18</c:v>
                </c:pt>
                <c:pt idx="88">
                  <c:v>11523.42</c:v>
                </c:pt>
                <c:pt idx="89">
                  <c:v>11558.75</c:v>
                </c:pt>
                <c:pt idx="90">
                  <c:v>11594.07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958-4A81-AD78-A5047D0590FD}"/>
            </c:ext>
          </c:extLst>
        </c:ser>
        <c:ser>
          <c:idx val="1"/>
          <c:order val="1"/>
          <c:tx>
            <c:strRef>
              <c:f>DDat!$BR$18</c:f>
              <c:strCache>
                <c:ptCount val="1"/>
                <c:pt idx="0">
                  <c:v> eigener Anteil an Sparbeitrag</c:v>
                </c:pt>
              </c:strCache>
            </c:strRef>
          </c:tx>
          <c:spPr>
            <a:ln w="25400">
              <a:solidFill>
                <a:srgbClr val="CC0000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DDat!$BR$20:$BR$111</c:f>
              <c:numCache>
                <c:formatCode>#,##0.00</c:formatCode>
                <c:ptCount val="9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1993.76</c:v>
                </c:pt>
                <c:pt idx="16">
                  <c:v>2047.86</c:v>
                </c:pt>
                <c:pt idx="17">
                  <c:v>2099.0100000000002</c:v>
                </c:pt>
                <c:pt idx="18">
                  <c:v>2140.84</c:v>
                </c:pt>
                <c:pt idx="19">
                  <c:v>2173.35</c:v>
                </c:pt>
                <c:pt idx="20">
                  <c:v>2206.5700000000002</c:v>
                </c:pt>
                <c:pt idx="21">
                  <c:v>2229.73</c:v>
                </c:pt>
                <c:pt idx="22">
                  <c:v>2242.4</c:v>
                </c:pt>
                <c:pt idx="23">
                  <c:v>2265.4299999999998</c:v>
                </c:pt>
                <c:pt idx="24">
                  <c:v>2272.0700000000002</c:v>
                </c:pt>
                <c:pt idx="25">
                  <c:v>2284.0300000000002</c:v>
                </c:pt>
                <c:pt idx="26">
                  <c:v>2270.06</c:v>
                </c:pt>
                <c:pt idx="27">
                  <c:v>2267.9699999999998</c:v>
                </c:pt>
                <c:pt idx="28">
                  <c:v>2253.33</c:v>
                </c:pt>
                <c:pt idx="29">
                  <c:v>2241.75</c:v>
                </c:pt>
                <c:pt idx="30">
                  <c:v>2226.37</c:v>
                </c:pt>
                <c:pt idx="31">
                  <c:v>2204.33</c:v>
                </c:pt>
                <c:pt idx="32">
                  <c:v>2193.92</c:v>
                </c:pt>
                <c:pt idx="33">
                  <c:v>2187.11</c:v>
                </c:pt>
                <c:pt idx="34">
                  <c:v>2130.0500000000002</c:v>
                </c:pt>
                <c:pt idx="35">
                  <c:v>1919.27</c:v>
                </c:pt>
                <c:pt idx="36">
                  <c:v>1573.32</c:v>
                </c:pt>
                <c:pt idx="37">
                  <c:v>1183.3699999999999</c:v>
                </c:pt>
                <c:pt idx="38">
                  <c:v>870.15</c:v>
                </c:pt>
                <c:pt idx="39">
                  <c:v>635.9</c:v>
                </c:pt>
                <c:pt idx="40">
                  <c:v>433.51</c:v>
                </c:pt>
                <c:pt idx="41">
                  <c:v>215.07</c:v>
                </c:pt>
                <c:pt idx="42">
                  <c:v>-10.49</c:v>
                </c:pt>
                <c:pt idx="43">
                  <c:v>-241.77</c:v>
                </c:pt>
                <c:pt idx="44">
                  <c:v>-499.5</c:v>
                </c:pt>
                <c:pt idx="45">
                  <c:v>-779.13</c:v>
                </c:pt>
                <c:pt idx="46">
                  <c:v>-1070.04</c:v>
                </c:pt>
                <c:pt idx="47">
                  <c:v>-1364.07</c:v>
                </c:pt>
                <c:pt idx="48">
                  <c:v>-1656.91</c:v>
                </c:pt>
                <c:pt idx="49">
                  <c:v>-1936.46</c:v>
                </c:pt>
                <c:pt idx="50">
                  <c:v>-2219.0300000000002</c:v>
                </c:pt>
                <c:pt idx="51">
                  <c:v>-2499.65</c:v>
                </c:pt>
                <c:pt idx="52">
                  <c:v>-2763.39</c:v>
                </c:pt>
                <c:pt idx="53">
                  <c:v>-3023.26</c:v>
                </c:pt>
                <c:pt idx="54">
                  <c:v>-3285.56</c:v>
                </c:pt>
                <c:pt idx="55">
                  <c:v>-3530.33</c:v>
                </c:pt>
                <c:pt idx="56">
                  <c:v>-3800.31</c:v>
                </c:pt>
                <c:pt idx="57">
                  <c:v>-4027</c:v>
                </c:pt>
                <c:pt idx="58">
                  <c:v>-4219.2700000000004</c:v>
                </c:pt>
                <c:pt idx="59">
                  <c:v>-4376.46</c:v>
                </c:pt>
                <c:pt idx="60">
                  <c:v>-4488.0200000000004</c:v>
                </c:pt>
                <c:pt idx="61">
                  <c:v>-4564.6400000000003</c:v>
                </c:pt>
                <c:pt idx="62">
                  <c:v>-4603.79</c:v>
                </c:pt>
                <c:pt idx="63">
                  <c:v>-4594.22</c:v>
                </c:pt>
                <c:pt idx="64">
                  <c:v>-4537.96</c:v>
                </c:pt>
                <c:pt idx="65">
                  <c:v>-4422.3999999999996</c:v>
                </c:pt>
                <c:pt idx="66">
                  <c:v>-4250.7700000000004</c:v>
                </c:pt>
                <c:pt idx="67">
                  <c:v>-4078.55</c:v>
                </c:pt>
                <c:pt idx="68">
                  <c:v>-3857.64</c:v>
                </c:pt>
                <c:pt idx="69">
                  <c:v>-3590.71</c:v>
                </c:pt>
                <c:pt idx="70">
                  <c:v>-3312.39</c:v>
                </c:pt>
                <c:pt idx="71">
                  <c:v>-3101.48</c:v>
                </c:pt>
                <c:pt idx="72">
                  <c:v>-2847.07</c:v>
                </c:pt>
                <c:pt idx="73">
                  <c:v>-2558.66</c:v>
                </c:pt>
                <c:pt idx="74">
                  <c:v>-2313.42</c:v>
                </c:pt>
                <c:pt idx="75">
                  <c:v>-2014.36</c:v>
                </c:pt>
                <c:pt idx="76">
                  <c:v>-1751.25</c:v>
                </c:pt>
                <c:pt idx="77">
                  <c:v>-1521.6</c:v>
                </c:pt>
                <c:pt idx="78">
                  <c:v>-1240.3599999999999</c:v>
                </c:pt>
                <c:pt idx="79">
                  <c:v>-1147.25</c:v>
                </c:pt>
                <c:pt idx="80">
                  <c:v>-1178.3</c:v>
                </c:pt>
                <c:pt idx="81">
                  <c:v>-1218.6199999999999</c:v>
                </c:pt>
                <c:pt idx="82">
                  <c:v>-1296.73</c:v>
                </c:pt>
                <c:pt idx="83">
                  <c:v>-1370.17</c:v>
                </c:pt>
                <c:pt idx="84">
                  <c:v>-1525.9</c:v>
                </c:pt>
                <c:pt idx="85">
                  <c:v>-1765.14</c:v>
                </c:pt>
                <c:pt idx="86">
                  <c:v>-2144.14</c:v>
                </c:pt>
                <c:pt idx="87">
                  <c:v>-2759.59</c:v>
                </c:pt>
                <c:pt idx="88">
                  <c:v>-3751.35</c:v>
                </c:pt>
                <c:pt idx="89">
                  <c:v>-5299.76</c:v>
                </c:pt>
                <c:pt idx="90">
                  <c:v>-7741.43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958-4A81-AD78-A5047D0590FD}"/>
            </c:ext>
          </c:extLst>
        </c:ser>
        <c:ser>
          <c:idx val="2"/>
          <c:order val="2"/>
          <c:tx>
            <c:strRef>
              <c:f>DDat!$BS$18</c:f>
              <c:strCache>
                <c:ptCount val="1"/>
                <c:pt idx="0">
                  <c:v> geerbte diskontierte AR</c:v>
                </c:pt>
              </c:strCache>
            </c:strRef>
          </c:tx>
          <c:spPr>
            <a:ln w="25400">
              <a:solidFill>
                <a:srgbClr val="009900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DDat!$BS$20:$BS$111</c:f>
              <c:numCache>
                <c:formatCode>#,##0.00</c:formatCode>
                <c:ptCount val="9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-96.39</c:v>
                </c:pt>
                <c:pt idx="16">
                  <c:v>-181.75</c:v>
                </c:pt>
                <c:pt idx="17">
                  <c:v>-256.2</c:v>
                </c:pt>
                <c:pt idx="18">
                  <c:v>-322.24</c:v>
                </c:pt>
                <c:pt idx="19">
                  <c:v>-379.95</c:v>
                </c:pt>
                <c:pt idx="20">
                  <c:v>-432.14</c:v>
                </c:pt>
                <c:pt idx="21">
                  <c:v>-484.06</c:v>
                </c:pt>
                <c:pt idx="22">
                  <c:v>-532.14</c:v>
                </c:pt>
                <c:pt idx="23">
                  <c:v>-584.32000000000005</c:v>
                </c:pt>
                <c:pt idx="24">
                  <c:v>-634.33000000000004</c:v>
                </c:pt>
                <c:pt idx="25">
                  <c:v>-696.48</c:v>
                </c:pt>
                <c:pt idx="26">
                  <c:v>-751.2</c:v>
                </c:pt>
                <c:pt idx="27">
                  <c:v>-823.37</c:v>
                </c:pt>
                <c:pt idx="28">
                  <c:v>-896.45</c:v>
                </c:pt>
                <c:pt idx="29">
                  <c:v>-982.31</c:v>
                </c:pt>
                <c:pt idx="30">
                  <c:v>-1071.03</c:v>
                </c:pt>
                <c:pt idx="31">
                  <c:v>-1167.08</c:v>
                </c:pt>
                <c:pt idx="32">
                  <c:v>-1281.67</c:v>
                </c:pt>
                <c:pt idx="33">
                  <c:v>-1407.56</c:v>
                </c:pt>
                <c:pt idx="34">
                  <c:v>-1494.24</c:v>
                </c:pt>
                <c:pt idx="35">
                  <c:v>-1428.7</c:v>
                </c:pt>
                <c:pt idx="36">
                  <c:v>-1234.29</c:v>
                </c:pt>
                <c:pt idx="37">
                  <c:v>-1008.73</c:v>
                </c:pt>
                <c:pt idx="38">
                  <c:v>-871.74</c:v>
                </c:pt>
                <c:pt idx="39">
                  <c:v>-824.84</c:v>
                </c:pt>
                <c:pt idx="40">
                  <c:v>-821.75</c:v>
                </c:pt>
                <c:pt idx="41">
                  <c:v>-829.92</c:v>
                </c:pt>
                <c:pt idx="42">
                  <c:v>-842.96</c:v>
                </c:pt>
                <c:pt idx="43">
                  <c:v>-861.35</c:v>
                </c:pt>
                <c:pt idx="44">
                  <c:v>-869.43</c:v>
                </c:pt>
                <c:pt idx="45">
                  <c:v>-874.58</c:v>
                </c:pt>
                <c:pt idx="46">
                  <c:v>-876.66</c:v>
                </c:pt>
                <c:pt idx="47">
                  <c:v>-883.84</c:v>
                </c:pt>
                <c:pt idx="48">
                  <c:v>-896.27</c:v>
                </c:pt>
                <c:pt idx="49">
                  <c:v>-922.27</c:v>
                </c:pt>
                <c:pt idx="50">
                  <c:v>-953.35</c:v>
                </c:pt>
                <c:pt idx="51">
                  <c:v>-997.23</c:v>
                </c:pt>
                <c:pt idx="52">
                  <c:v>-1061.3699999999999</c:v>
                </c:pt>
                <c:pt idx="53">
                  <c:v>-1136.32</c:v>
                </c:pt>
                <c:pt idx="54">
                  <c:v>-1212.56</c:v>
                </c:pt>
                <c:pt idx="55">
                  <c:v>-1304.27</c:v>
                </c:pt>
                <c:pt idx="56">
                  <c:v>-1408.2</c:v>
                </c:pt>
                <c:pt idx="57">
                  <c:v>-1514.42</c:v>
                </c:pt>
                <c:pt idx="58">
                  <c:v>-1641.87</c:v>
                </c:pt>
                <c:pt idx="59">
                  <c:v>-1806.32</c:v>
                </c:pt>
                <c:pt idx="60">
                  <c:v>-1961.37</c:v>
                </c:pt>
                <c:pt idx="61">
                  <c:v>-2166.98</c:v>
                </c:pt>
                <c:pt idx="62">
                  <c:v>-2352.4899999999998</c:v>
                </c:pt>
                <c:pt idx="63">
                  <c:v>-2561.52</c:v>
                </c:pt>
                <c:pt idx="64">
                  <c:v>-2785.94</c:v>
                </c:pt>
                <c:pt idx="65">
                  <c:v>-3009.42</c:v>
                </c:pt>
                <c:pt idx="66">
                  <c:v>-3243.44</c:v>
                </c:pt>
                <c:pt idx="67">
                  <c:v>-3507.32</c:v>
                </c:pt>
                <c:pt idx="68">
                  <c:v>-3727.76</c:v>
                </c:pt>
                <c:pt idx="69">
                  <c:v>-3995.25</c:v>
                </c:pt>
                <c:pt idx="70">
                  <c:v>-4273.25</c:v>
                </c:pt>
                <c:pt idx="71">
                  <c:v>-4484.17</c:v>
                </c:pt>
                <c:pt idx="72">
                  <c:v>-4738.75</c:v>
                </c:pt>
                <c:pt idx="73">
                  <c:v>-5027</c:v>
                </c:pt>
                <c:pt idx="74">
                  <c:v>-5272.2</c:v>
                </c:pt>
                <c:pt idx="75">
                  <c:v>-5571.39</c:v>
                </c:pt>
                <c:pt idx="76">
                  <c:v>-5834.5</c:v>
                </c:pt>
                <c:pt idx="77">
                  <c:v>-6095.07</c:v>
                </c:pt>
                <c:pt idx="78">
                  <c:v>-6376.72</c:v>
                </c:pt>
                <c:pt idx="79">
                  <c:v>-6469.1</c:v>
                </c:pt>
                <c:pt idx="80">
                  <c:v>-6438.76</c:v>
                </c:pt>
                <c:pt idx="81">
                  <c:v>-6397.75</c:v>
                </c:pt>
                <c:pt idx="82">
                  <c:v>-6319.91</c:v>
                </c:pt>
                <c:pt idx="83">
                  <c:v>-6244.64</c:v>
                </c:pt>
                <c:pt idx="84">
                  <c:v>-6091.06</c:v>
                </c:pt>
                <c:pt idx="85">
                  <c:v>-5850.48</c:v>
                </c:pt>
                <c:pt idx="86">
                  <c:v>-5470.19</c:v>
                </c:pt>
                <c:pt idx="87">
                  <c:v>-4871.18</c:v>
                </c:pt>
                <c:pt idx="88">
                  <c:v>-3915.9</c:v>
                </c:pt>
                <c:pt idx="89">
                  <c:v>-2403.2399999999998</c:v>
                </c:pt>
                <c:pt idx="90">
                  <c:v>0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958-4A81-AD78-A5047D0590FD}"/>
            </c:ext>
          </c:extLst>
        </c:ser>
        <c:ser>
          <c:idx val="3"/>
          <c:order val="3"/>
          <c:tx>
            <c:strRef>
              <c:f>DDat!$BT$18</c:f>
              <c:strCache>
                <c:ptCount val="1"/>
                <c:pt idx="0">
                  <c:v> Nettoprämie</c:v>
                </c:pt>
              </c:strCache>
            </c:strRef>
          </c:tx>
          <c:spPr>
            <a:ln w="25400">
              <a:solidFill>
                <a:srgbClr val="084AAD"/>
              </a:solidFill>
              <a:prstDash val="sysDash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DDat!$BT$20:$BT$111</c:f>
              <c:numCache>
                <c:formatCode>#,##0.00</c:formatCode>
                <c:ptCount val="9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3852.4304390000002</c:v>
                </c:pt>
                <c:pt idx="16">
                  <c:v>3852.4304390000002</c:v>
                </c:pt>
                <c:pt idx="17">
                  <c:v>3852.4304390000002</c:v>
                </c:pt>
                <c:pt idx="18">
                  <c:v>3852.4304390000002</c:v>
                </c:pt>
                <c:pt idx="19">
                  <c:v>3852.4304390000002</c:v>
                </c:pt>
                <c:pt idx="20">
                  <c:v>3852.4304390000002</c:v>
                </c:pt>
                <c:pt idx="21">
                  <c:v>3852.4304390000002</c:v>
                </c:pt>
                <c:pt idx="22">
                  <c:v>3852.4304390000002</c:v>
                </c:pt>
                <c:pt idx="23">
                  <c:v>3852.4304390000002</c:v>
                </c:pt>
                <c:pt idx="24">
                  <c:v>3852.4304390000002</c:v>
                </c:pt>
                <c:pt idx="25">
                  <c:v>3852.4304390000002</c:v>
                </c:pt>
                <c:pt idx="26">
                  <c:v>3852.4304390000002</c:v>
                </c:pt>
                <c:pt idx="27">
                  <c:v>3852.4304390000002</c:v>
                </c:pt>
                <c:pt idx="28">
                  <c:v>3852.4304390000002</c:v>
                </c:pt>
                <c:pt idx="29">
                  <c:v>3852.4304390000002</c:v>
                </c:pt>
                <c:pt idx="30">
                  <c:v>3852.4304390000002</c:v>
                </c:pt>
                <c:pt idx="31">
                  <c:v>3852.4304390000002</c:v>
                </c:pt>
                <c:pt idx="32">
                  <c:v>3852.4304390000002</c:v>
                </c:pt>
                <c:pt idx="33">
                  <c:v>3852.4304390000002</c:v>
                </c:pt>
                <c:pt idx="34">
                  <c:v>3852.4304390000002</c:v>
                </c:pt>
                <c:pt idx="35">
                  <c:v>3852.4304390000002</c:v>
                </c:pt>
                <c:pt idx="36">
                  <c:v>3852.4304390000002</c:v>
                </c:pt>
                <c:pt idx="37">
                  <c:v>3852.4304390000002</c:v>
                </c:pt>
                <c:pt idx="38">
                  <c:v>3852.4304390000002</c:v>
                </c:pt>
                <c:pt idx="39">
                  <c:v>3852.4304390000002</c:v>
                </c:pt>
                <c:pt idx="40">
                  <c:v>3852.4304390000002</c:v>
                </c:pt>
                <c:pt idx="41">
                  <c:v>3852.4304390000002</c:v>
                </c:pt>
                <c:pt idx="42">
                  <c:v>3852.4304390000002</c:v>
                </c:pt>
                <c:pt idx="43">
                  <c:v>3852.4304390000002</c:v>
                </c:pt>
                <c:pt idx="44">
                  <c:v>3852.4304390000002</c:v>
                </c:pt>
                <c:pt idx="45">
                  <c:v>3852.4304390000002</c:v>
                </c:pt>
                <c:pt idx="46">
                  <c:v>3852.4304390000002</c:v>
                </c:pt>
                <c:pt idx="47">
                  <c:v>3852.4304390000002</c:v>
                </c:pt>
                <c:pt idx="48">
                  <c:v>3852.4304390000002</c:v>
                </c:pt>
                <c:pt idx="49">
                  <c:v>3852.4304390000002</c:v>
                </c:pt>
                <c:pt idx="50">
                  <c:v>3852.4304390000002</c:v>
                </c:pt>
                <c:pt idx="51">
                  <c:v>3852.4304390000002</c:v>
                </c:pt>
                <c:pt idx="52">
                  <c:v>3852.4304390000002</c:v>
                </c:pt>
                <c:pt idx="53">
                  <c:v>3852.4304390000002</c:v>
                </c:pt>
                <c:pt idx="54">
                  <c:v>3852.4304390000002</c:v>
                </c:pt>
                <c:pt idx="55">
                  <c:v>3852.4304390000002</c:v>
                </c:pt>
                <c:pt idx="56">
                  <c:v>3852.4304390000002</c:v>
                </c:pt>
                <c:pt idx="57">
                  <c:v>3852.4304390000002</c:v>
                </c:pt>
                <c:pt idx="58">
                  <c:v>3852.4304390000002</c:v>
                </c:pt>
                <c:pt idx="59">
                  <c:v>3852.4304390000002</c:v>
                </c:pt>
                <c:pt idx="60">
                  <c:v>3852.4304390000002</c:v>
                </c:pt>
                <c:pt idx="61">
                  <c:v>3852.4304390000002</c:v>
                </c:pt>
                <c:pt idx="62">
                  <c:v>3852.4304390000002</c:v>
                </c:pt>
                <c:pt idx="63">
                  <c:v>3852.4304390000002</c:v>
                </c:pt>
                <c:pt idx="64">
                  <c:v>3852.4304390000002</c:v>
                </c:pt>
                <c:pt idx="65">
                  <c:v>3852.4304390000002</c:v>
                </c:pt>
                <c:pt idx="66">
                  <c:v>3852.4304390000002</c:v>
                </c:pt>
                <c:pt idx="67">
                  <c:v>3852.4304390000002</c:v>
                </c:pt>
                <c:pt idx="68">
                  <c:v>3852.4304390000002</c:v>
                </c:pt>
                <c:pt idx="69">
                  <c:v>3852.4304390000002</c:v>
                </c:pt>
                <c:pt idx="70">
                  <c:v>3852.4304390000002</c:v>
                </c:pt>
                <c:pt idx="71">
                  <c:v>3852.4304390000002</c:v>
                </c:pt>
                <c:pt idx="72">
                  <c:v>3852.4304390000002</c:v>
                </c:pt>
                <c:pt idx="73">
                  <c:v>3852.4304390000002</c:v>
                </c:pt>
                <c:pt idx="74">
                  <c:v>3852.4304390000002</c:v>
                </c:pt>
                <c:pt idx="75">
                  <c:v>3852.4304390000002</c:v>
                </c:pt>
                <c:pt idx="76">
                  <c:v>3852.4304390000002</c:v>
                </c:pt>
                <c:pt idx="77">
                  <c:v>3852.4304390000002</c:v>
                </c:pt>
                <c:pt idx="78">
                  <c:v>3852.4304390000002</c:v>
                </c:pt>
                <c:pt idx="79">
                  <c:v>3852.4304390000002</c:v>
                </c:pt>
                <c:pt idx="80">
                  <c:v>3852.4304390000002</c:v>
                </c:pt>
                <c:pt idx="81">
                  <c:v>3852.4304390000002</c:v>
                </c:pt>
                <c:pt idx="82">
                  <c:v>3852.4304390000002</c:v>
                </c:pt>
                <c:pt idx="83">
                  <c:v>3852.4304390000002</c:v>
                </c:pt>
                <c:pt idx="84">
                  <c:v>3852.4304390000002</c:v>
                </c:pt>
                <c:pt idx="85">
                  <c:v>3852.4304390000002</c:v>
                </c:pt>
                <c:pt idx="86">
                  <c:v>3852.4304390000002</c:v>
                </c:pt>
                <c:pt idx="87">
                  <c:v>3852.4304390000002</c:v>
                </c:pt>
                <c:pt idx="88">
                  <c:v>3852.4304390000002</c:v>
                </c:pt>
                <c:pt idx="89">
                  <c:v>3852.4304390000002</c:v>
                </c:pt>
                <c:pt idx="90">
                  <c:v>3852.4304390000002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958-4A81-AD78-A5047D0590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956720"/>
        <c:axId val="1"/>
      </c:scatterChart>
      <c:valAx>
        <c:axId val="378956720"/>
        <c:scaling>
          <c:orientation val="minMax"/>
          <c:max val="111"/>
          <c:min val="2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37895672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1239530988274716E-2"/>
          <c:y val="0.92934782608695654"/>
          <c:w val="0.87269681742043559"/>
          <c:h val="6.9293478260869554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de-DE"/>
    </a:p>
  </c:txPr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DDat!$BV$17</c:f>
          <c:strCache>
            <c:ptCount val="1"/>
            <c:pt idx="0">
              <c:v>Gezillmerte Nettoprämie: Aufteilung
Frauen+Männer − λ_x: + 50,0 % − x_ω: 110 − r: 2,5 % − q_x: PKV 2017 − w_x: Sto BaFin N 2015 − K_x: Primo kompakt 2015 − x_KM: 70 − Δ_js: 8,6 % − Γ_js: 802 / 679 Euro − α^Z_x: 2 MB (ab 70 abzgl. 0,5 MB) | x_0: 35</c:v>
            </c:pt>
          </c:strCache>
        </c:strRef>
      </c:tx>
      <c:layout>
        <c:manualLayout>
          <c:xMode val="edge"/>
          <c:yMode val="edge"/>
          <c:x val="0.10542801816786429"/>
          <c:y val="2.030439148126618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7.724425887265135E-2"/>
          <c:y val="0.17935702199661591"/>
          <c:w val="0.89770354906054284"/>
          <c:h val="0.739424703891709"/>
        </c:manualLayout>
      </c:layout>
      <c:scatterChart>
        <c:scatterStyle val="lineMarker"/>
        <c:varyColors val="0"/>
        <c:ser>
          <c:idx val="0"/>
          <c:order val="0"/>
          <c:tx>
            <c:strRef>
              <c:f>DDat!$BV$18</c:f>
              <c:strCache>
                <c:ptCount val="1"/>
                <c:pt idx="0">
                  <c:v> Risikoanteil</c:v>
                </c:pt>
              </c:strCache>
            </c:strRef>
          </c:tx>
          <c:spPr>
            <a:ln w="25400">
              <a:solidFill>
                <a:srgbClr val="FF6600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DDat!$BV$20:$BV$111</c:f>
              <c:numCache>
                <c:formatCode>#,##0.00</c:formatCode>
                <c:ptCount val="9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1955.2</c:v>
                </c:pt>
                <c:pt idx="16">
                  <c:v>1986.37</c:v>
                </c:pt>
                <c:pt idx="17">
                  <c:v>2009.22</c:v>
                </c:pt>
                <c:pt idx="18">
                  <c:v>2034.16</c:v>
                </c:pt>
                <c:pt idx="19">
                  <c:v>2059.09</c:v>
                </c:pt>
                <c:pt idx="20">
                  <c:v>2077.79</c:v>
                </c:pt>
                <c:pt idx="21">
                  <c:v>2106.88</c:v>
                </c:pt>
                <c:pt idx="22">
                  <c:v>2142.1999999999998</c:v>
                </c:pt>
                <c:pt idx="23">
                  <c:v>2171.29</c:v>
                </c:pt>
                <c:pt idx="24">
                  <c:v>2214.92</c:v>
                </c:pt>
                <c:pt idx="25">
                  <c:v>2264.79</c:v>
                </c:pt>
                <c:pt idx="26">
                  <c:v>2333.36</c:v>
                </c:pt>
                <c:pt idx="27">
                  <c:v>2408.16</c:v>
                </c:pt>
                <c:pt idx="28">
                  <c:v>2495.4299999999998</c:v>
                </c:pt>
                <c:pt idx="29">
                  <c:v>2593.08</c:v>
                </c:pt>
                <c:pt idx="30">
                  <c:v>2696.97</c:v>
                </c:pt>
                <c:pt idx="31">
                  <c:v>2815.41</c:v>
                </c:pt>
                <c:pt idx="32">
                  <c:v>2940.07</c:v>
                </c:pt>
                <c:pt idx="33">
                  <c:v>3073.05</c:v>
                </c:pt>
                <c:pt idx="34">
                  <c:v>3216.42</c:v>
                </c:pt>
                <c:pt idx="35">
                  <c:v>3361.86</c:v>
                </c:pt>
                <c:pt idx="36">
                  <c:v>3513.54</c:v>
                </c:pt>
                <c:pt idx="37">
                  <c:v>3677.69</c:v>
                </c:pt>
                <c:pt idx="38">
                  <c:v>3854.3</c:v>
                </c:pt>
                <c:pt idx="39">
                  <c:v>4041.3</c:v>
                </c:pt>
                <c:pt idx="40">
                  <c:v>4240.7700000000004</c:v>
                </c:pt>
                <c:pt idx="41">
                  <c:v>4467.25</c:v>
                </c:pt>
                <c:pt idx="42">
                  <c:v>4706.1899999999996</c:v>
                </c:pt>
                <c:pt idx="43">
                  <c:v>4955.53</c:v>
                </c:pt>
                <c:pt idx="44">
                  <c:v>5221.49</c:v>
                </c:pt>
                <c:pt idx="45">
                  <c:v>5506.14</c:v>
                </c:pt>
                <c:pt idx="46">
                  <c:v>5799.11</c:v>
                </c:pt>
                <c:pt idx="47">
                  <c:v>6100.39</c:v>
                </c:pt>
                <c:pt idx="48">
                  <c:v>6405.83</c:v>
                </c:pt>
                <c:pt idx="49">
                  <c:v>6711.26</c:v>
                </c:pt>
                <c:pt idx="50">
                  <c:v>7025.01</c:v>
                </c:pt>
                <c:pt idx="51">
                  <c:v>7349.14</c:v>
                </c:pt>
                <c:pt idx="52">
                  <c:v>7677.43</c:v>
                </c:pt>
                <c:pt idx="53">
                  <c:v>8011.96</c:v>
                </c:pt>
                <c:pt idx="54">
                  <c:v>8350.64</c:v>
                </c:pt>
                <c:pt idx="55">
                  <c:v>8687.24</c:v>
                </c:pt>
                <c:pt idx="56">
                  <c:v>9061.24</c:v>
                </c:pt>
                <c:pt idx="57">
                  <c:v>9393.69</c:v>
                </c:pt>
                <c:pt idx="58">
                  <c:v>9713.67</c:v>
                </c:pt>
                <c:pt idx="59">
                  <c:v>10035.73</c:v>
                </c:pt>
                <c:pt idx="60">
                  <c:v>10301.68</c:v>
                </c:pt>
                <c:pt idx="61">
                  <c:v>10584.26</c:v>
                </c:pt>
                <c:pt idx="62">
                  <c:v>10808.66</c:v>
                </c:pt>
                <c:pt idx="63">
                  <c:v>11008.13</c:v>
                </c:pt>
                <c:pt idx="64">
                  <c:v>11176.43</c:v>
                </c:pt>
                <c:pt idx="65">
                  <c:v>11284.48</c:v>
                </c:pt>
                <c:pt idx="66">
                  <c:v>11346.81</c:v>
                </c:pt>
                <c:pt idx="67">
                  <c:v>11438.23</c:v>
                </c:pt>
                <c:pt idx="68">
                  <c:v>11438.23</c:v>
                </c:pt>
                <c:pt idx="69">
                  <c:v>11438.23</c:v>
                </c:pt>
                <c:pt idx="70">
                  <c:v>11438.23</c:v>
                </c:pt>
                <c:pt idx="71">
                  <c:v>11438.23</c:v>
                </c:pt>
                <c:pt idx="72">
                  <c:v>11438.23</c:v>
                </c:pt>
                <c:pt idx="73">
                  <c:v>11438.23</c:v>
                </c:pt>
                <c:pt idx="74">
                  <c:v>11438.23</c:v>
                </c:pt>
                <c:pt idx="75">
                  <c:v>11438.23</c:v>
                </c:pt>
                <c:pt idx="76">
                  <c:v>11438.23</c:v>
                </c:pt>
                <c:pt idx="77">
                  <c:v>11469.4</c:v>
                </c:pt>
                <c:pt idx="78">
                  <c:v>11469.4</c:v>
                </c:pt>
                <c:pt idx="79">
                  <c:v>11469.4</c:v>
                </c:pt>
                <c:pt idx="80">
                  <c:v>11469.4</c:v>
                </c:pt>
                <c:pt idx="81">
                  <c:v>11469.4</c:v>
                </c:pt>
                <c:pt idx="82">
                  <c:v>11469.4</c:v>
                </c:pt>
                <c:pt idx="83">
                  <c:v>11469.4</c:v>
                </c:pt>
                <c:pt idx="84">
                  <c:v>11469.4</c:v>
                </c:pt>
                <c:pt idx="85">
                  <c:v>11469.4</c:v>
                </c:pt>
                <c:pt idx="86">
                  <c:v>11469.4</c:v>
                </c:pt>
                <c:pt idx="87">
                  <c:v>11490.18</c:v>
                </c:pt>
                <c:pt idx="88">
                  <c:v>11523.42</c:v>
                </c:pt>
                <c:pt idx="89">
                  <c:v>11558.75</c:v>
                </c:pt>
                <c:pt idx="90">
                  <c:v>11594.07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50B-4002-B7D4-8093888A6D14}"/>
            </c:ext>
          </c:extLst>
        </c:ser>
        <c:ser>
          <c:idx val="1"/>
          <c:order val="1"/>
          <c:tx>
            <c:strRef>
              <c:f>DDat!$BW$18</c:f>
              <c:strCache>
                <c:ptCount val="1"/>
                <c:pt idx="0">
                  <c:v> eigener Anteil an Sparbeitrag</c:v>
                </c:pt>
              </c:strCache>
            </c:strRef>
          </c:tx>
          <c:spPr>
            <a:ln w="25400">
              <a:solidFill>
                <a:srgbClr val="CC0000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DDat!$BW$20:$BW$111</c:f>
              <c:numCache>
                <c:formatCode>#,##0.00</c:formatCode>
                <c:ptCount val="9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1998.8</c:v>
                </c:pt>
                <c:pt idx="16">
                  <c:v>2055.6</c:v>
                </c:pt>
                <c:pt idx="17">
                  <c:v>2109.5</c:v>
                </c:pt>
                <c:pt idx="18">
                  <c:v>2153.8000000000002</c:v>
                </c:pt>
                <c:pt idx="19">
                  <c:v>2188.64</c:v>
                </c:pt>
                <c:pt idx="20">
                  <c:v>2223.94</c:v>
                </c:pt>
                <c:pt idx="21">
                  <c:v>2248.6799999999998</c:v>
                </c:pt>
                <c:pt idx="22">
                  <c:v>2262.83</c:v>
                </c:pt>
                <c:pt idx="23">
                  <c:v>2286.92</c:v>
                </c:pt>
                <c:pt idx="24">
                  <c:v>2294.54</c:v>
                </c:pt>
                <c:pt idx="25">
                  <c:v>2306.96</c:v>
                </c:pt>
                <c:pt idx="26">
                  <c:v>2293.65</c:v>
                </c:pt>
                <c:pt idx="27">
                  <c:v>2291.6799999999998</c:v>
                </c:pt>
                <c:pt idx="28">
                  <c:v>2277.17</c:v>
                </c:pt>
                <c:pt idx="29">
                  <c:v>2265.4299999999998</c:v>
                </c:pt>
                <c:pt idx="30">
                  <c:v>2249.9</c:v>
                </c:pt>
                <c:pt idx="31">
                  <c:v>2227.61</c:v>
                </c:pt>
                <c:pt idx="32">
                  <c:v>2216.67</c:v>
                </c:pt>
                <c:pt idx="33">
                  <c:v>2209.23</c:v>
                </c:pt>
                <c:pt idx="34">
                  <c:v>2152.2600000000002</c:v>
                </c:pt>
                <c:pt idx="35">
                  <c:v>1943.86</c:v>
                </c:pt>
                <c:pt idx="36">
                  <c:v>1601.86</c:v>
                </c:pt>
                <c:pt idx="37">
                  <c:v>1215.9000000000001</c:v>
                </c:pt>
                <c:pt idx="38">
                  <c:v>905.15</c:v>
                </c:pt>
                <c:pt idx="39">
                  <c:v>671.99</c:v>
                </c:pt>
                <c:pt idx="40">
                  <c:v>470.13</c:v>
                </c:pt>
                <c:pt idx="41">
                  <c:v>252.03</c:v>
                </c:pt>
                <c:pt idx="42">
                  <c:v>26.76</c:v>
                </c:pt>
                <c:pt idx="43">
                  <c:v>-204.35</c:v>
                </c:pt>
                <c:pt idx="44">
                  <c:v>-461.8</c:v>
                </c:pt>
                <c:pt idx="45">
                  <c:v>-741.14</c:v>
                </c:pt>
                <c:pt idx="46">
                  <c:v>-1031.77</c:v>
                </c:pt>
                <c:pt idx="47">
                  <c:v>-1325.58</c:v>
                </c:pt>
                <c:pt idx="48">
                  <c:v>-1618.27</c:v>
                </c:pt>
                <c:pt idx="49">
                  <c:v>-1897.78</c:v>
                </c:pt>
                <c:pt idx="50">
                  <c:v>-2180.36</c:v>
                </c:pt>
                <c:pt idx="51">
                  <c:v>-2461.1</c:v>
                </c:pt>
                <c:pt idx="52">
                  <c:v>-2725.08</c:v>
                </c:pt>
                <c:pt idx="53">
                  <c:v>-2985.29</c:v>
                </c:pt>
                <c:pt idx="54">
                  <c:v>-3247.91</c:v>
                </c:pt>
                <c:pt idx="55">
                  <c:v>-3493.12</c:v>
                </c:pt>
                <c:pt idx="56">
                  <c:v>-3763.61</c:v>
                </c:pt>
                <c:pt idx="57">
                  <c:v>-3990.82</c:v>
                </c:pt>
                <c:pt idx="58">
                  <c:v>-4183.74</c:v>
                </c:pt>
                <c:pt idx="59">
                  <c:v>-4341.83</c:v>
                </c:pt>
                <c:pt idx="60">
                  <c:v>-4454.21</c:v>
                </c:pt>
                <c:pt idx="61">
                  <c:v>-4531.9799999999996</c:v>
                </c:pt>
                <c:pt idx="62">
                  <c:v>-4572.17</c:v>
                </c:pt>
                <c:pt idx="63">
                  <c:v>-4563.79</c:v>
                </c:pt>
                <c:pt idx="64">
                  <c:v>-4508.84</c:v>
                </c:pt>
                <c:pt idx="65">
                  <c:v>-4394.59</c:v>
                </c:pt>
                <c:pt idx="66">
                  <c:v>-4224.37</c:v>
                </c:pt>
                <c:pt idx="67">
                  <c:v>-4053.74</c:v>
                </c:pt>
                <c:pt idx="68">
                  <c:v>-3834.17</c:v>
                </c:pt>
                <c:pt idx="69">
                  <c:v>-3568.86</c:v>
                </c:pt>
                <c:pt idx="70">
                  <c:v>-3292.22</c:v>
                </c:pt>
                <c:pt idx="71">
                  <c:v>-3082.58</c:v>
                </c:pt>
                <c:pt idx="72">
                  <c:v>-2829.72</c:v>
                </c:pt>
                <c:pt idx="73">
                  <c:v>-2543.0500000000002</c:v>
                </c:pt>
                <c:pt idx="74">
                  <c:v>-2299.27</c:v>
                </c:pt>
                <c:pt idx="75">
                  <c:v>-2002.01</c:v>
                </c:pt>
                <c:pt idx="76">
                  <c:v>-1740.46</c:v>
                </c:pt>
                <c:pt idx="77">
                  <c:v>-1512.38</c:v>
                </c:pt>
                <c:pt idx="78">
                  <c:v>-1232.8399999999999</c:v>
                </c:pt>
                <c:pt idx="79">
                  <c:v>-1140.29</c:v>
                </c:pt>
                <c:pt idx="80">
                  <c:v>-1171.1400000000001</c:v>
                </c:pt>
                <c:pt idx="81">
                  <c:v>-1211.21</c:v>
                </c:pt>
                <c:pt idx="82">
                  <c:v>-1288.82</c:v>
                </c:pt>
                <c:pt idx="83">
                  <c:v>-1361.8</c:v>
                </c:pt>
                <c:pt idx="84">
                  <c:v>-1516.55</c:v>
                </c:pt>
                <c:pt idx="85">
                  <c:v>-1754.3</c:v>
                </c:pt>
                <c:pt idx="86">
                  <c:v>-2130.91</c:v>
                </c:pt>
                <c:pt idx="87">
                  <c:v>-2742.69</c:v>
                </c:pt>
                <c:pt idx="88">
                  <c:v>-3728.66</c:v>
                </c:pt>
                <c:pt idx="89">
                  <c:v>-5267.96</c:v>
                </c:pt>
                <c:pt idx="90">
                  <c:v>-7695.3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50B-4002-B7D4-8093888A6D14}"/>
            </c:ext>
          </c:extLst>
        </c:ser>
        <c:ser>
          <c:idx val="2"/>
          <c:order val="2"/>
          <c:tx>
            <c:strRef>
              <c:f>DDat!$BX$18</c:f>
              <c:strCache>
                <c:ptCount val="1"/>
                <c:pt idx="0">
                  <c:v> geerbte diskontierte AR</c:v>
                </c:pt>
              </c:strCache>
            </c:strRef>
          </c:tx>
          <c:spPr>
            <a:ln w="25400">
              <a:solidFill>
                <a:srgbClr val="009900"/>
              </a:solidFill>
              <a:prstDash val="solid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DDat!$BX$20:$BX$111</c:f>
              <c:numCache>
                <c:formatCode>#,##0.00</c:formatCode>
                <c:ptCount val="9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-55.29</c:v>
                </c:pt>
                <c:pt idx="16">
                  <c:v>-143.37</c:v>
                </c:pt>
                <c:pt idx="17">
                  <c:v>-220.56</c:v>
                </c:pt>
                <c:pt idx="18">
                  <c:v>-289.07</c:v>
                </c:pt>
                <c:pt idx="19">
                  <c:v>-349.11</c:v>
                </c:pt>
                <c:pt idx="20">
                  <c:v>-403.37</c:v>
                </c:pt>
                <c:pt idx="21">
                  <c:v>-456.89</c:v>
                </c:pt>
                <c:pt idx="22">
                  <c:v>-506.44</c:v>
                </c:pt>
                <c:pt idx="23">
                  <c:v>-559.67999999999995</c:v>
                </c:pt>
                <c:pt idx="24">
                  <c:v>-610.66999999999996</c:v>
                </c:pt>
                <c:pt idx="25">
                  <c:v>-673.28</c:v>
                </c:pt>
                <c:pt idx="26">
                  <c:v>-728.66</c:v>
                </c:pt>
                <c:pt idx="27">
                  <c:v>-800.95</c:v>
                </c:pt>
                <c:pt idx="28">
                  <c:v>-874.15</c:v>
                </c:pt>
                <c:pt idx="29">
                  <c:v>-959.87</c:v>
                </c:pt>
                <c:pt idx="30">
                  <c:v>-1048.43</c:v>
                </c:pt>
                <c:pt idx="31">
                  <c:v>-1144.24</c:v>
                </c:pt>
                <c:pt idx="32">
                  <c:v>-1258.3</c:v>
                </c:pt>
                <c:pt idx="33">
                  <c:v>-1383.56</c:v>
                </c:pt>
                <c:pt idx="34">
                  <c:v>-1470.32</c:v>
                </c:pt>
                <c:pt idx="35">
                  <c:v>-1407.17</c:v>
                </c:pt>
                <c:pt idx="36">
                  <c:v>-1216.71</c:v>
                </c:pt>
                <c:pt idx="37">
                  <c:v>-995.14</c:v>
                </c:pt>
                <c:pt idx="38">
                  <c:v>-860.59</c:v>
                </c:pt>
                <c:pt idx="39">
                  <c:v>-814.82</c:v>
                </c:pt>
                <c:pt idx="40">
                  <c:v>-812.24</c:v>
                </c:pt>
                <c:pt idx="41">
                  <c:v>-820.76</c:v>
                </c:pt>
                <c:pt idx="42">
                  <c:v>-834.06</c:v>
                </c:pt>
                <c:pt idx="43">
                  <c:v>-852.65</c:v>
                </c:pt>
                <c:pt idx="44">
                  <c:v>-861.01</c:v>
                </c:pt>
                <c:pt idx="45">
                  <c:v>-866.43</c:v>
                </c:pt>
                <c:pt idx="46">
                  <c:v>-868.8</c:v>
                </c:pt>
                <c:pt idx="47">
                  <c:v>-876.21</c:v>
                </c:pt>
                <c:pt idx="48">
                  <c:v>-888.79</c:v>
                </c:pt>
                <c:pt idx="49">
                  <c:v>-914.83</c:v>
                </c:pt>
                <c:pt idx="50">
                  <c:v>-945.9</c:v>
                </c:pt>
                <c:pt idx="51">
                  <c:v>-989.67</c:v>
                </c:pt>
                <c:pt idx="52">
                  <c:v>-1053.54</c:v>
                </c:pt>
                <c:pt idx="53">
                  <c:v>-1128.17</c:v>
                </c:pt>
                <c:pt idx="54">
                  <c:v>-1204.08</c:v>
                </c:pt>
                <c:pt idx="55">
                  <c:v>-1295.3599999999999</c:v>
                </c:pt>
                <c:pt idx="56">
                  <c:v>-1398.78</c:v>
                </c:pt>
                <c:pt idx="57">
                  <c:v>-1504.48</c:v>
                </c:pt>
                <c:pt idx="58">
                  <c:v>-1631.27</c:v>
                </c:pt>
                <c:pt idx="59">
                  <c:v>-1794.83</c:v>
                </c:pt>
                <c:pt idx="60">
                  <c:v>-1949.05</c:v>
                </c:pt>
                <c:pt idx="61">
                  <c:v>-2153.5</c:v>
                </c:pt>
                <c:pt idx="62">
                  <c:v>-2337.98</c:v>
                </c:pt>
                <c:pt idx="63">
                  <c:v>-2545.8200000000002</c:v>
                </c:pt>
                <c:pt idx="64">
                  <c:v>-2768.93</c:v>
                </c:pt>
                <c:pt idx="65">
                  <c:v>-2991.09</c:v>
                </c:pt>
                <c:pt idx="66">
                  <c:v>-3223.72</c:v>
                </c:pt>
                <c:pt idx="67">
                  <c:v>-3486.01</c:v>
                </c:pt>
                <c:pt idx="68">
                  <c:v>-3705.1</c:v>
                </c:pt>
                <c:pt idx="69">
                  <c:v>-3970.97</c:v>
                </c:pt>
                <c:pt idx="70">
                  <c:v>-4247.29</c:v>
                </c:pt>
                <c:pt idx="71">
                  <c:v>-4456.93</c:v>
                </c:pt>
                <c:pt idx="72">
                  <c:v>-4709.9799999999996</c:v>
                </c:pt>
                <c:pt idx="73">
                  <c:v>-4996.4799999999996</c:v>
                </c:pt>
                <c:pt idx="74">
                  <c:v>-5240.22</c:v>
                </c:pt>
                <c:pt idx="75">
                  <c:v>-5537.62</c:v>
                </c:pt>
                <c:pt idx="76">
                  <c:v>-5799.17</c:v>
                </c:pt>
                <c:pt idx="77">
                  <c:v>-6058.17</c:v>
                </c:pt>
                <c:pt idx="78">
                  <c:v>-6338.11</c:v>
                </c:pt>
                <c:pt idx="79">
                  <c:v>-6429.94</c:v>
                </c:pt>
                <c:pt idx="80">
                  <c:v>-6399.79</c:v>
                </c:pt>
                <c:pt idx="81">
                  <c:v>-6359.04</c:v>
                </c:pt>
                <c:pt idx="82">
                  <c:v>-6281.69</c:v>
                </c:pt>
                <c:pt idx="83">
                  <c:v>-6206.9</c:v>
                </c:pt>
                <c:pt idx="84">
                  <c:v>-6054.28</c:v>
                </c:pt>
                <c:pt idx="85">
                  <c:v>-5815.21</c:v>
                </c:pt>
                <c:pt idx="86">
                  <c:v>-5437.31</c:v>
                </c:pt>
                <c:pt idx="87">
                  <c:v>-4841.99</c:v>
                </c:pt>
                <c:pt idx="88">
                  <c:v>-3892.5</c:v>
                </c:pt>
                <c:pt idx="89">
                  <c:v>-2388.92</c:v>
                </c:pt>
                <c:pt idx="90">
                  <c:v>0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50B-4002-B7D4-8093888A6D14}"/>
            </c:ext>
          </c:extLst>
        </c:ser>
        <c:ser>
          <c:idx val="3"/>
          <c:order val="3"/>
          <c:tx>
            <c:strRef>
              <c:f>DDat!$BY$18</c:f>
              <c:strCache>
                <c:ptCount val="1"/>
                <c:pt idx="0">
                  <c:v> Gez. Nettoprämie</c:v>
                </c:pt>
              </c:strCache>
            </c:strRef>
          </c:tx>
          <c:spPr>
            <a:ln w="25400">
              <a:solidFill>
                <a:srgbClr val="084AAD"/>
              </a:solidFill>
              <a:prstDash val="sysDash"/>
            </a:ln>
          </c:spPr>
          <c:marker>
            <c:symbol val="none"/>
          </c:marker>
          <c:xVal>
            <c:numRef>
              <c:f>DDat!$A$20:$A$111</c:f>
              <c:numCache>
                <c:formatCode>General</c:formatCode>
                <c:ptCount val="9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</c:numCache>
            </c:numRef>
          </c:xVal>
          <c:yVal>
            <c:numRef>
              <c:f>DDat!$BY$20:$BY$111</c:f>
              <c:numCache>
                <c:formatCode>#,##0.00</c:formatCode>
                <c:ptCount val="9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3898.5573770000001</c:v>
                </c:pt>
                <c:pt idx="16">
                  <c:v>3898.5573770000001</c:v>
                </c:pt>
                <c:pt idx="17">
                  <c:v>3898.5573770000001</c:v>
                </c:pt>
                <c:pt idx="18">
                  <c:v>3898.5573770000001</c:v>
                </c:pt>
                <c:pt idx="19">
                  <c:v>3898.5573770000001</c:v>
                </c:pt>
                <c:pt idx="20">
                  <c:v>3898.5573770000001</c:v>
                </c:pt>
                <c:pt idx="21">
                  <c:v>3898.5573770000001</c:v>
                </c:pt>
                <c:pt idx="22">
                  <c:v>3898.5573770000001</c:v>
                </c:pt>
                <c:pt idx="23">
                  <c:v>3898.5573770000001</c:v>
                </c:pt>
                <c:pt idx="24">
                  <c:v>3898.5573770000001</c:v>
                </c:pt>
                <c:pt idx="25">
                  <c:v>3898.5573770000001</c:v>
                </c:pt>
                <c:pt idx="26">
                  <c:v>3898.5573770000001</c:v>
                </c:pt>
                <c:pt idx="27">
                  <c:v>3898.5573770000001</c:v>
                </c:pt>
                <c:pt idx="28">
                  <c:v>3898.5573770000001</c:v>
                </c:pt>
                <c:pt idx="29">
                  <c:v>3898.5573770000001</c:v>
                </c:pt>
                <c:pt idx="30">
                  <c:v>3898.5573770000001</c:v>
                </c:pt>
                <c:pt idx="31">
                  <c:v>3898.5573770000001</c:v>
                </c:pt>
                <c:pt idx="32">
                  <c:v>3898.5573770000001</c:v>
                </c:pt>
                <c:pt idx="33">
                  <c:v>3898.5573770000001</c:v>
                </c:pt>
                <c:pt idx="34">
                  <c:v>3898.5573770000001</c:v>
                </c:pt>
                <c:pt idx="35">
                  <c:v>3898.5573770000001</c:v>
                </c:pt>
                <c:pt idx="36">
                  <c:v>3898.5573770000001</c:v>
                </c:pt>
                <c:pt idx="37">
                  <c:v>3898.5573770000001</c:v>
                </c:pt>
                <c:pt idx="38">
                  <c:v>3898.5573770000001</c:v>
                </c:pt>
                <c:pt idx="39">
                  <c:v>3898.5573770000001</c:v>
                </c:pt>
                <c:pt idx="40">
                  <c:v>3898.5573770000001</c:v>
                </c:pt>
                <c:pt idx="41">
                  <c:v>3898.5573770000001</c:v>
                </c:pt>
                <c:pt idx="42">
                  <c:v>3898.5573770000001</c:v>
                </c:pt>
                <c:pt idx="43">
                  <c:v>3898.5573770000001</c:v>
                </c:pt>
                <c:pt idx="44">
                  <c:v>3898.5573770000001</c:v>
                </c:pt>
                <c:pt idx="45">
                  <c:v>3898.5573770000001</c:v>
                </c:pt>
                <c:pt idx="46">
                  <c:v>3898.5573770000001</c:v>
                </c:pt>
                <c:pt idx="47">
                  <c:v>3898.5573770000001</c:v>
                </c:pt>
                <c:pt idx="48">
                  <c:v>3898.5573770000001</c:v>
                </c:pt>
                <c:pt idx="49">
                  <c:v>3898.5573770000001</c:v>
                </c:pt>
                <c:pt idx="50">
                  <c:v>3898.5573770000001</c:v>
                </c:pt>
                <c:pt idx="51">
                  <c:v>3898.5573770000001</c:v>
                </c:pt>
                <c:pt idx="52">
                  <c:v>3898.5573770000001</c:v>
                </c:pt>
                <c:pt idx="53">
                  <c:v>3898.5573770000001</c:v>
                </c:pt>
                <c:pt idx="54">
                  <c:v>3898.5573770000001</c:v>
                </c:pt>
                <c:pt idx="55">
                  <c:v>3898.5573770000001</c:v>
                </c:pt>
                <c:pt idx="56">
                  <c:v>3898.5573770000001</c:v>
                </c:pt>
                <c:pt idx="57">
                  <c:v>3898.5573770000001</c:v>
                </c:pt>
                <c:pt idx="58">
                  <c:v>3898.5573770000001</c:v>
                </c:pt>
                <c:pt idx="59">
                  <c:v>3898.5573770000001</c:v>
                </c:pt>
                <c:pt idx="60">
                  <c:v>3898.5573770000001</c:v>
                </c:pt>
                <c:pt idx="61">
                  <c:v>3898.5573770000001</c:v>
                </c:pt>
                <c:pt idx="62">
                  <c:v>3898.5573770000001</c:v>
                </c:pt>
                <c:pt idx="63">
                  <c:v>3898.5573770000001</c:v>
                </c:pt>
                <c:pt idx="64">
                  <c:v>3898.5573770000001</c:v>
                </c:pt>
                <c:pt idx="65">
                  <c:v>3898.5573770000001</c:v>
                </c:pt>
                <c:pt idx="66">
                  <c:v>3898.5573770000001</c:v>
                </c:pt>
                <c:pt idx="67">
                  <c:v>3898.5573770000001</c:v>
                </c:pt>
                <c:pt idx="68">
                  <c:v>3898.5573770000001</c:v>
                </c:pt>
                <c:pt idx="69">
                  <c:v>3898.5573770000001</c:v>
                </c:pt>
                <c:pt idx="70">
                  <c:v>3898.5573770000001</c:v>
                </c:pt>
                <c:pt idx="71">
                  <c:v>3898.5573770000001</c:v>
                </c:pt>
                <c:pt idx="72">
                  <c:v>3898.5573770000001</c:v>
                </c:pt>
                <c:pt idx="73">
                  <c:v>3898.5573770000001</c:v>
                </c:pt>
                <c:pt idx="74">
                  <c:v>3898.5573770000001</c:v>
                </c:pt>
                <c:pt idx="75">
                  <c:v>3898.5573770000001</c:v>
                </c:pt>
                <c:pt idx="76">
                  <c:v>3898.5573770000001</c:v>
                </c:pt>
                <c:pt idx="77">
                  <c:v>3898.5573770000001</c:v>
                </c:pt>
                <c:pt idx="78">
                  <c:v>3898.5573770000001</c:v>
                </c:pt>
                <c:pt idx="79">
                  <c:v>3898.5573770000001</c:v>
                </c:pt>
                <c:pt idx="80">
                  <c:v>3898.5573770000001</c:v>
                </c:pt>
                <c:pt idx="81">
                  <c:v>3898.5573770000001</c:v>
                </c:pt>
                <c:pt idx="82">
                  <c:v>3898.5573770000001</c:v>
                </c:pt>
                <c:pt idx="83">
                  <c:v>3898.5573770000001</c:v>
                </c:pt>
                <c:pt idx="84">
                  <c:v>3898.5573770000001</c:v>
                </c:pt>
                <c:pt idx="85">
                  <c:v>3898.5573770000001</c:v>
                </c:pt>
                <c:pt idx="86">
                  <c:v>3898.5573770000001</c:v>
                </c:pt>
                <c:pt idx="87">
                  <c:v>3898.5573770000001</c:v>
                </c:pt>
                <c:pt idx="88">
                  <c:v>3898.5573770000001</c:v>
                </c:pt>
                <c:pt idx="89">
                  <c:v>3898.5573770000001</c:v>
                </c:pt>
                <c:pt idx="90">
                  <c:v>3898.5573770000001</c:v>
                </c:pt>
                <c:pt idx="91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50B-4002-B7D4-8093888A6D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8590240"/>
        <c:axId val="1"/>
      </c:scatterChart>
      <c:valAx>
        <c:axId val="368590240"/>
        <c:scaling>
          <c:orientation val="minMax"/>
          <c:max val="111"/>
          <c:min val="2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de-DE"/>
          </a:p>
        </c:txPr>
        <c:crossAx val="36859024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1734778982485393E-2"/>
          <c:y val="0.92847503373819174"/>
          <c:w val="0.87322768974145104"/>
          <c:h val="7.1524966261808362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de-D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chart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.bin"/></Relationships>
</file>

<file path=xl/chart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7.bin"/></Relationships>
</file>

<file path=xl/chart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chart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chart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chart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chart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chart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Diagramm24">
    <tabColor indexed="23"/>
  </sheetPr>
  <sheetViews>
    <sheetView zoomScale="76" workbookViewId="0" zoomToFit="1"/>
  </sheetViews>
  <pageMargins left="0.78740157499999996" right="0.78740157499999996" top="0.984251969" bottom="0.984251969" header="0.4921259845" footer="0.4921259845"/>
  <headerFooter alignWithMargins="0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Diagramm7">
    <tabColor indexed="23"/>
  </sheetPr>
  <sheetViews>
    <sheetView zoomScale="70" workbookViewId="0"/>
  </sheetViews>
  <pageMargins left="0.78740157499999996" right="0.78740157499999996" top="0.984251969" bottom="0.984251969" header="0.4921259845" footer="0.4921259845"/>
  <headerFooter alignWithMargins="0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 codeName="Diagramm8">
    <tabColor indexed="23"/>
  </sheetPr>
  <sheetViews>
    <sheetView zoomScale="70" workbookViewId="0"/>
  </sheetViews>
  <pageMargins left="0.78740157499999996" right="0.78740157499999996" top="0.984251969" bottom="0.984251969" header="0.4921259845" footer="0.4921259845"/>
  <headerFooter alignWithMargins="0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 codeName="Diagramm9">
    <tabColor indexed="23"/>
  </sheetPr>
  <sheetViews>
    <sheetView zoomScale="56" workbookViewId="0"/>
  </sheetViews>
  <pageMargins left="0.78740157499999996" right="0.78740157499999996" top="0.984251969" bottom="0.984251969" header="0.4921259845" footer="0.4921259845"/>
  <headerFooter alignWithMargins="0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 codeName="Diagramm10">
    <tabColor indexed="23"/>
  </sheetPr>
  <sheetViews>
    <sheetView zoomScale="63" workbookViewId="0"/>
  </sheetViews>
  <pageMargins left="0.78740157499999996" right="0.78740157499999996" top="0.984251969" bottom="0.984251969" header="0.4921259845" footer="0.4921259845"/>
  <headerFooter alignWithMargins="0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>
  <sheetPr codeName="Diagramm11">
    <tabColor indexed="23"/>
  </sheetPr>
  <sheetViews>
    <sheetView zoomScale="80" workbookViewId="0"/>
  </sheetViews>
  <pageMargins left="0.78740157499999996" right="0.78740157499999996" top="0.984251969" bottom="0.984251969" header="0.4921259845" footer="0.4921259845"/>
  <headerFooter alignWithMargins="0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>
  <sheetPr codeName="Diagramm12">
    <tabColor indexed="23"/>
  </sheetPr>
  <sheetViews>
    <sheetView zoomScale="71" workbookViewId="0"/>
  </sheetViews>
  <pageMargins left="0.78740157499999996" right="0.78740157499999996" top="0.984251969" bottom="0.984251969" header="0.4921259845" footer="0.4921259845"/>
  <headerFooter alignWithMargins="0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>
  <sheetPr codeName="Diagramm25">
    <tabColor indexed="23"/>
  </sheetPr>
  <sheetViews>
    <sheetView zoomScale="71" workbookViewId="0"/>
  </sheetViews>
  <pageMargins left="0.78740157499999996" right="0.78740157499999996" top="0.984251969" bottom="0.984251969" header="0.4921259845" footer="0.4921259845"/>
  <headerFooter alignWithMargins="0"/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>
  <sheetPr codeName="Diagramm22">
    <tabColor indexed="23"/>
  </sheetPr>
  <sheetViews>
    <sheetView zoomScale="71" workbookViewId="0"/>
  </sheetViews>
  <pageMargins left="0.78740157499999996" right="0.78740157499999996" top="0.984251969" bottom="0.984251969" header="0.4921259845" footer="0.4921259845"/>
  <headerFooter alignWithMargins="0"/>
  <drawing r:id="rId1"/>
</chartsheet>
</file>

<file path=xl/chartsheets/sheet10.xml><?xml version="1.0" encoding="utf-8"?>
<chartsheet xmlns="http://schemas.openxmlformats.org/spreadsheetml/2006/main" xmlns:r="http://schemas.openxmlformats.org/officeDocument/2006/relationships">
  <sheetPr codeName="Diagramm14">
    <tabColor indexed="23"/>
  </sheetPr>
  <sheetViews>
    <sheetView zoomScale="57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11.xml><?xml version="1.0" encoding="utf-8"?>
<chartsheet xmlns="http://schemas.openxmlformats.org/spreadsheetml/2006/main" xmlns:r="http://schemas.openxmlformats.org/officeDocument/2006/relationships">
  <sheetPr codeName="Diagramm13">
    <tabColor indexed="23"/>
  </sheetPr>
  <sheetViews>
    <sheetView zoomScale="57" workbookViewId="0"/>
  </sheetViews>
  <pageMargins left="0.78740157499999996" right="0.78740157499999996" top="0.984251969" bottom="0.984251969" header="0.4921259845" footer="0.4921259845"/>
  <headerFooter alignWithMargins="0"/>
  <drawing r:id="rId1"/>
</chartsheet>
</file>

<file path=xl/chartsheets/sheet12.xml><?xml version="1.0" encoding="utf-8"?>
<chartsheet xmlns="http://schemas.openxmlformats.org/spreadsheetml/2006/main" xmlns:r="http://schemas.openxmlformats.org/officeDocument/2006/relationships">
  <sheetPr codeName="Diagramm16">
    <tabColor indexed="23"/>
  </sheetPr>
  <sheetViews>
    <sheetView zoomScale="69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13.xml><?xml version="1.0" encoding="utf-8"?>
<chartsheet xmlns="http://schemas.openxmlformats.org/spreadsheetml/2006/main" xmlns:r="http://schemas.openxmlformats.org/officeDocument/2006/relationships">
  <sheetPr codeName="Diagramm15">
    <tabColor indexed="23"/>
  </sheetPr>
  <sheetViews>
    <sheetView zoomScale="60" workbookViewId="0"/>
  </sheetViews>
  <pageMargins left="0.78740157499999996" right="0.78740157499999996" top="0.984251969" bottom="0.984251969" header="0.4921259845" footer="0.4921259845"/>
  <headerFooter alignWithMargins="0"/>
  <drawing r:id="rId1"/>
</chartsheet>
</file>

<file path=xl/chartsheets/sheet14.xml><?xml version="1.0" encoding="utf-8"?>
<chartsheet xmlns="http://schemas.openxmlformats.org/spreadsheetml/2006/main" xmlns:r="http://schemas.openxmlformats.org/officeDocument/2006/relationships">
  <sheetPr codeName="Diagramm23">
    <tabColor indexed="23"/>
  </sheetPr>
  <sheetViews>
    <sheetView zoomScale="60" workbookViewId="0"/>
  </sheetViews>
  <pageMargins left="0.78740157480314965" right="0.78740157480314965" top="3.5433070866141736" bottom="0.98425196850393704" header="0.51181102362204722" footer="0.51181102362204722"/>
  <pageSetup paperSize="9" orientation="landscape" horizontalDpi="300" verticalDpi="300" r:id="rId1"/>
  <headerFooter alignWithMargins="0"/>
  <drawing r:id="rId2"/>
</chartsheet>
</file>

<file path=xl/chartsheets/sheet15.xml><?xml version="1.0" encoding="utf-8"?>
<chartsheet xmlns="http://schemas.openxmlformats.org/spreadsheetml/2006/main" xmlns:r="http://schemas.openxmlformats.org/officeDocument/2006/relationships">
  <sheetPr codeName="Diagramm17">
    <tabColor indexed="33"/>
  </sheetPr>
  <sheetViews>
    <sheetView zoomScale="64" workbookViewId="0"/>
  </sheetViews>
  <pageMargins left="0.78740157499999996" right="0.78740157499999996" top="0.984251969" bottom="0.984251969" header="0.4921259845" footer="0.4921259845"/>
  <headerFooter alignWithMargins="0"/>
  <drawing r:id="rId1"/>
</chartsheet>
</file>

<file path=xl/chartsheets/sheet16.xml><?xml version="1.0" encoding="utf-8"?>
<chartsheet xmlns="http://schemas.openxmlformats.org/spreadsheetml/2006/main" xmlns:r="http://schemas.openxmlformats.org/officeDocument/2006/relationships">
  <sheetPr codeName="Diagramm1">
    <tabColor rgb="FFFFFF00"/>
  </sheetPr>
  <sheetViews>
    <sheetView zoomScale="64" workbookViewId="0"/>
  </sheetViews>
  <pageMargins left="0.7" right="0.7" top="0.78740157499999996" bottom="0.78740157499999996" header="0.3" footer="0.3"/>
  <drawing r:id="rId1"/>
</chartsheet>
</file>

<file path=xl/chartsheets/sheet17.xml><?xml version="1.0" encoding="utf-8"?>
<chartsheet xmlns="http://schemas.openxmlformats.org/spreadsheetml/2006/main" xmlns:r="http://schemas.openxmlformats.org/officeDocument/2006/relationships">
  <sheetPr codeName="Diagramm18">
    <tabColor indexed="42"/>
  </sheetPr>
  <sheetViews>
    <sheetView zoomScale="60" workbookViewId="0"/>
  </sheetViews>
  <pageMargins left="0.78740157499999996" right="0.78740157499999996" top="0.984251969" bottom="0.984251969" header="0.4921259845" footer="0.4921259845"/>
  <headerFooter alignWithMargins="0"/>
  <drawing r:id="rId1"/>
</chartsheet>
</file>

<file path=xl/chartsheets/sheet18.xml><?xml version="1.0" encoding="utf-8"?>
<chartsheet xmlns="http://schemas.openxmlformats.org/spreadsheetml/2006/main" xmlns:r="http://schemas.openxmlformats.org/officeDocument/2006/relationships">
  <sheetPr codeName="Diagramm19">
    <tabColor indexed="42"/>
  </sheetPr>
  <sheetViews>
    <sheetView zoomScale="73" workbookViewId="0"/>
  </sheetViews>
  <pageMargins left="0.78740157499999996" right="0.78740157499999996" top="0.984251969" bottom="0.984251969" header="0.4921259845" footer="0.4921259845"/>
  <headerFooter alignWithMargins="0"/>
  <drawing r:id="rId1"/>
</chartsheet>
</file>

<file path=xl/chartsheets/sheet19.xml><?xml version="1.0" encoding="utf-8"?>
<chartsheet xmlns="http://schemas.openxmlformats.org/spreadsheetml/2006/main" xmlns:r="http://schemas.openxmlformats.org/officeDocument/2006/relationships">
  <sheetPr codeName="Diagramm20">
    <tabColor indexed="42"/>
  </sheetPr>
  <sheetViews>
    <sheetView zoomScale="66" workbookViewId="0"/>
  </sheetViews>
  <pageMargins left="0.78740157499999996" right="0.78740157499999996" top="0.984251969" bottom="0.984251969" header="0.4921259845" footer="0.4921259845"/>
  <headerFooter alignWithMargins="0"/>
  <drawing r:id="rId1"/>
</chartsheet>
</file>

<file path=xl/chartsheets/sheet20.xml><?xml version="1.0" encoding="utf-8"?>
<chartsheet xmlns="http://schemas.openxmlformats.org/spreadsheetml/2006/main" xmlns:r="http://schemas.openxmlformats.org/officeDocument/2006/relationships">
  <sheetPr codeName="Diagramm21">
    <tabColor indexed="42"/>
  </sheetPr>
  <sheetViews>
    <sheetView zoomScale="59" workbookViewId="0"/>
  </sheetViews>
  <pageMargins left="0.78740157499999996" right="0.78740157499999996" top="0.984251969" bottom="0.984251969" header="0.4921259845" footer="0.4921259845"/>
  <headerFooter alignWithMargins="0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125</xdr:col>
          <xdr:colOff>0</xdr:colOff>
          <xdr:row>0</xdr:row>
          <xdr:rowOff>0</xdr:rowOff>
        </xdr:from>
        <xdr:to>
          <xdr:col>132</xdr:col>
          <xdr:colOff>144780</xdr:colOff>
          <xdr:row>1</xdr:row>
          <xdr:rowOff>220980</xdr:rowOff>
        </xdr:to>
        <xdr:sp macro="" textlink="">
          <xdr:nvSpPr>
            <xdr:cNvPr id="2070" name="Objekt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/>
            </a:solidFill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</xdr:col>
          <xdr:colOff>0</xdr:colOff>
          <xdr:row>2</xdr:row>
          <xdr:rowOff>114300</xdr:rowOff>
        </xdr:from>
        <xdr:to>
          <xdr:col>128</xdr:col>
          <xdr:colOff>525780</xdr:colOff>
          <xdr:row>3</xdr:row>
          <xdr:rowOff>68580</xdr:rowOff>
        </xdr:to>
        <xdr:sp macro="" textlink="">
          <xdr:nvSpPr>
            <xdr:cNvPr id="2467" name="Objekt 419" hidden="1">
              <a:extLst>
                <a:ext uri="{63B3BB69-23CF-44E3-9099-C40C66FF867C}">
                  <a14:compatExt spid="_x0000_s2467"/>
                </a:ext>
                <a:ext uri="{FF2B5EF4-FFF2-40B4-BE49-F238E27FC236}">
                  <a16:creationId xmlns:a16="http://schemas.microsoft.com/office/drawing/2014/main" id="{00000000-0008-0000-0100-0000A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/>
            </a:solidFill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136</xdr:col>
          <xdr:colOff>358140</xdr:colOff>
          <xdr:row>0</xdr:row>
          <xdr:rowOff>7620</xdr:rowOff>
        </xdr:from>
        <xdr:to>
          <xdr:col>145</xdr:col>
          <xdr:colOff>22860</xdr:colOff>
          <xdr:row>1</xdr:row>
          <xdr:rowOff>320040</xdr:rowOff>
        </xdr:to>
        <xdr:sp macro="" textlink="">
          <xdr:nvSpPr>
            <xdr:cNvPr id="2468" name="Objekt 420" hidden="1">
              <a:extLst>
                <a:ext uri="{63B3BB69-23CF-44E3-9099-C40C66FF867C}">
                  <a14:compatExt spid="_x0000_s2468"/>
                </a:ext>
                <a:ext uri="{FF2B5EF4-FFF2-40B4-BE49-F238E27FC236}">
                  <a16:creationId xmlns:a16="http://schemas.microsoft.com/office/drawing/2014/main" id="{00000000-0008-0000-0100-0000A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/>
            </a:solidFill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</xdr:col>
          <xdr:colOff>0</xdr:colOff>
          <xdr:row>14</xdr:row>
          <xdr:rowOff>0</xdr:rowOff>
        </xdr:from>
        <xdr:to>
          <xdr:col>130</xdr:col>
          <xdr:colOff>38100</xdr:colOff>
          <xdr:row>18</xdr:row>
          <xdr:rowOff>91440</xdr:rowOff>
        </xdr:to>
        <xdr:sp macro="" textlink="">
          <xdr:nvSpPr>
            <xdr:cNvPr id="2648" name="Objekt 600" hidden="1">
              <a:extLst>
                <a:ext uri="{63B3BB69-23CF-44E3-9099-C40C66FF867C}">
                  <a14:compatExt spid="_x0000_s2648"/>
                </a:ext>
                <a:ext uri="{FF2B5EF4-FFF2-40B4-BE49-F238E27FC236}">
                  <a16:creationId xmlns:a16="http://schemas.microsoft.com/office/drawing/2014/main" id="{00000000-0008-0000-0100-00005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/>
            </a:solidFill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</xdr:col>
          <xdr:colOff>0</xdr:colOff>
          <xdr:row>21</xdr:row>
          <xdr:rowOff>0</xdr:rowOff>
        </xdr:from>
        <xdr:to>
          <xdr:col>126</xdr:col>
          <xdr:colOff>342900</xdr:colOff>
          <xdr:row>22</xdr:row>
          <xdr:rowOff>68580</xdr:rowOff>
        </xdr:to>
        <xdr:sp macro="" textlink="">
          <xdr:nvSpPr>
            <xdr:cNvPr id="2649" name="Objekt 601" hidden="1">
              <a:extLst>
                <a:ext uri="{63B3BB69-23CF-44E3-9099-C40C66FF867C}">
                  <a14:compatExt spid="_x0000_s2649"/>
                </a:ext>
                <a:ext uri="{FF2B5EF4-FFF2-40B4-BE49-F238E27FC236}">
                  <a16:creationId xmlns:a16="http://schemas.microsoft.com/office/drawing/2014/main" id="{00000000-0008-0000-0100-00005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/>
            </a:solidFill>
          </xdr:spPr>
        </xdr:sp>
        <xdr:clientData/>
      </xdr:twoCellAnchor>
    </mc:Choice>
    <mc:Fallback/>
  </mc:AlternateContent>
  <xdr:twoCellAnchor>
    <xdr:from>
      <xdr:col>110</xdr:col>
      <xdr:colOff>152400</xdr:colOff>
      <xdr:row>25</xdr:row>
      <xdr:rowOff>30480</xdr:rowOff>
    </xdr:from>
    <xdr:to>
      <xdr:col>124</xdr:col>
      <xdr:colOff>266700</xdr:colOff>
      <xdr:row>60</xdr:row>
      <xdr:rowOff>60960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05763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5514" cy="5998029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5514" cy="5998029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93679" cy="6000750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1238" cy="6011333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86875" cy="5991225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94254" cy="5999408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294254" cy="5999408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294254" cy="5999408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41474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291053" cy="6002421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9132957" cy="5643217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07100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9144000" cy="3302000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9298781" cy="6012656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0.08725</cdr:x>
      <cdr:y>0.15842</cdr:y>
    </cdr:from>
    <cdr:to>
      <cdr:x>0.97325</cdr:x>
      <cdr:y>0.3</cdr:y>
    </cdr:to>
    <cdr:sp macro="" textlink="DDat!$CD$15">
      <cdr:nvSpPr>
        <cdr:cNvPr id="6145" name="Text Box 1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811319" y="952500"/>
          <a:ext cx="8238720" cy="85129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fld id="{2482F9D8-7833-4F2D-A9C5-A743879195B0}" type="TxLink">
            <a:rPr lang="de-DE" sz="12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pPr algn="l" rtl="0">
              <a:defRPr sz="1000"/>
            </a:pPr>
            <a:t>i1 = i2
α^Z(i2;i1): 3 MB</a:t>
          </a:fld>
          <a:endParaRPr lang="de-DE" sz="1200" b="0" i="0" u="none" strike="noStrike" baseline="0">
            <a:solidFill>
              <a:srgbClr val="000000"/>
            </a:solidFill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cdr:txBody>
    </cdr:sp>
  </cdr:relSizeAnchor>
</c:userShapes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0"/>
    <xdr:ext cx="9298781" cy="6012656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07100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9290137" cy="6002055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0" y="0"/>
    <xdr:ext cx="9282545" cy="5992091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2.xml><?xml version="1.0" encoding="utf-8"?>
<xdr:wsDr xmlns:xdr="http://schemas.openxmlformats.org/drawingml/2006/spreadsheetDrawing" xmlns:a="http://schemas.openxmlformats.org/drawingml/2006/main">
  <xdr:absoluteAnchor>
    <xdr:pos x="0" y="0"/>
    <xdr:ext cx="9300308" cy="6008077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13" Type="http://schemas.openxmlformats.org/officeDocument/2006/relationships/image" Target="../media/image5.w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wmf"/><Relationship Id="rId12" Type="http://schemas.openxmlformats.org/officeDocument/2006/relationships/oleObject" Target="../embeddings/oleObject5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.bin"/><Relationship Id="rId11" Type="http://schemas.openxmlformats.org/officeDocument/2006/relationships/image" Target="../media/image4.wmf"/><Relationship Id="rId5" Type="http://schemas.openxmlformats.org/officeDocument/2006/relationships/image" Target="../media/image1.wmf"/><Relationship Id="rId10" Type="http://schemas.openxmlformats.org/officeDocument/2006/relationships/oleObject" Target="../embeddings/oleObject4.bin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w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tabColor indexed="13"/>
  </sheetPr>
  <dimension ref="A1:BH150"/>
  <sheetViews>
    <sheetView showGridLines="0" topLeftCell="B86" workbookViewId="0">
      <selection activeCell="J109" sqref="J109"/>
    </sheetView>
  </sheetViews>
  <sheetFormatPr baseColWidth="10" defaultColWidth="8.6640625" defaultRowHeight="10.199999999999999" outlineLevelRow="1" outlineLevelCol="1" x14ac:dyDescent="0.2"/>
  <cols>
    <col min="1" max="1" width="8.6640625" style="175" hidden="1" customWidth="1" outlineLevel="1"/>
    <col min="2" max="2" width="8.6640625" style="202" customWidth="1" collapsed="1"/>
    <col min="3" max="4" width="8.6640625" style="175" customWidth="1"/>
    <col min="5" max="7" width="8.6640625" style="202" customWidth="1"/>
    <col min="8" max="8" width="8.6640625" style="196" customWidth="1"/>
    <col min="9" max="10" width="8.6640625" style="99" customWidth="1"/>
    <col min="11" max="13" width="20.6640625" style="186" customWidth="1"/>
    <col min="14" max="17" width="8.6640625" style="1" customWidth="1"/>
    <col min="18" max="20" width="8.6640625" style="153" customWidth="1"/>
    <col min="21" max="35" width="8.6640625" style="1" customWidth="1"/>
    <col min="36" max="36" width="8.6640625" style="153" customWidth="1"/>
    <col min="37" max="39" width="8.6640625" style="1" customWidth="1"/>
    <col min="40" max="42" width="11.44140625" style="1" customWidth="1"/>
    <col min="43" max="43" width="8.6640625" style="1" customWidth="1"/>
    <col min="44" max="59" width="11.44140625" style="1" customWidth="1"/>
    <col min="60" max="16384" width="8.6640625" style="153"/>
  </cols>
  <sheetData>
    <row r="1" spans="1:22" s="23" customFormat="1" x14ac:dyDescent="0.2">
      <c r="A1" s="96"/>
      <c r="B1" s="196"/>
      <c r="C1" s="96"/>
      <c r="D1" s="213" t="str">
        <f xml:space="preserve"> Basis!D32</f>
        <v>Versicherungsart</v>
      </c>
      <c r="E1" s="96"/>
      <c r="F1" s="196"/>
      <c r="G1" s="196"/>
      <c r="H1" s="196"/>
      <c r="I1" s="96"/>
      <c r="K1" s="195" t="b">
        <f xml:space="preserve"> 'i1'!$F$13</f>
        <v>1</v>
      </c>
      <c r="L1" s="195" t="b">
        <f xml:space="preserve"> 'i2'!$F$13</f>
        <v>1</v>
      </c>
      <c r="M1" s="195" t="b">
        <f xml:space="preserve"> 'i3'!$F$13</f>
        <v>1</v>
      </c>
    </row>
    <row r="2" spans="1:22" s="23" customFormat="1" x14ac:dyDescent="0.2">
      <c r="A2" s="96"/>
      <c r="B2" s="196"/>
      <c r="C2" s="96"/>
      <c r="D2" s="213" t="str">
        <f xml:space="preserve"> VA_Voll</f>
        <v>Vollversicherung</v>
      </c>
      <c r="E2" s="213" t="str">
        <f xml:space="preserve"> VA_GKVErg</f>
        <v>GKV-Ergänzungs-Versicherung</v>
      </c>
      <c r="F2" s="196"/>
      <c r="G2" s="196"/>
      <c r="H2" s="196"/>
      <c r="I2" s="96"/>
    </row>
    <row r="3" spans="1:22" s="23" customFormat="1" x14ac:dyDescent="0.2">
      <c r="A3" s="96"/>
      <c r="B3" s="196"/>
      <c r="C3" s="96"/>
      <c r="D3" s="96"/>
      <c r="E3" s="196"/>
      <c r="F3" s="196"/>
      <c r="G3" s="196"/>
      <c r="H3" s="196"/>
      <c r="I3" s="96"/>
      <c r="J3" s="207" t="s">
        <v>121</v>
      </c>
      <c r="K3" s="197" t="str">
        <f xml:space="preserve"> i1_</f>
        <v>i1</v>
      </c>
      <c r="L3" s="198" t="str">
        <f xml:space="preserve"> i2_</f>
        <v>i2</v>
      </c>
      <c r="M3" s="199" t="str">
        <f xml:space="preserve"> i3_</f>
        <v>i3</v>
      </c>
    </row>
    <row r="4" spans="1:22" s="200" customFormat="1" x14ac:dyDescent="0.2">
      <c r="A4" s="196"/>
      <c r="B4" s="196"/>
      <c r="C4" s="196"/>
      <c r="D4" s="196"/>
      <c r="E4" s="196"/>
      <c r="F4" s="196"/>
      <c r="G4" s="196"/>
      <c r="H4" s="196"/>
      <c r="I4" s="196"/>
      <c r="J4" s="207" t="str">
        <f xml:space="preserve"> J11</f>
        <v>Geschlecht</v>
      </c>
      <c r="K4" s="194" t="str">
        <f xml:space="preserve"> INDEX( Basis!$E$9:$E$11, MATCH( K11, Basis!$D$9:$D$11, 0 ) )</f>
        <v>MF</v>
      </c>
      <c r="L4" s="194" t="str">
        <f xml:space="preserve"> INDEX( Basis!$E$9:$E$11, MATCH( L11, Basis!$D$9:$D$11, 0 ) )</f>
        <v>MF</v>
      </c>
      <c r="M4" s="194" t="str">
        <f xml:space="preserve"> INDEX( Basis!$E$9:$E$11, MATCH( M11, Basis!$D$9:$D$11, 0 ) )</f>
        <v>MF</v>
      </c>
    </row>
    <row r="5" spans="1:22" s="200" customFormat="1" x14ac:dyDescent="0.2">
      <c r="A5" s="196"/>
      <c r="B5" s="196"/>
      <c r="C5" s="196"/>
      <c r="D5" s="196"/>
      <c r="E5" s="196"/>
      <c r="F5" s="196"/>
      <c r="G5" s="196"/>
    </row>
    <row r="6" spans="1:22" s="200" customFormat="1" x14ac:dyDescent="0.2">
      <c r="A6" s="196"/>
      <c r="B6" s="196"/>
      <c r="C6" s="196"/>
      <c r="D6" s="196"/>
      <c r="E6" s="196"/>
      <c r="F6" s="196"/>
      <c r="G6" s="196"/>
      <c r="H6" s="196"/>
      <c r="I6" s="208" t="str">
        <f xml:space="preserve"> Beitragsmonotonisierung</f>
        <v>Beitrags-Monotonisierung</v>
      </c>
      <c r="J6" s="207" t="str">
        <f xml:space="preserve"> my &amp; "^" &amp; GrBZx</f>
        <v>μ^B°Z_x</v>
      </c>
      <c r="K6" s="156" t="s">
        <v>92</v>
      </c>
      <c r="L6" s="156" t="s">
        <v>92</v>
      </c>
      <c r="M6" s="156" t="s">
        <v>92</v>
      </c>
    </row>
    <row r="7" spans="1:22" s="200" customFormat="1" hidden="1" outlineLevel="1" x14ac:dyDescent="0.2">
      <c r="A7" s="196"/>
      <c r="B7" s="196"/>
      <c r="C7" s="196"/>
      <c r="D7" s="196"/>
      <c r="E7" s="196"/>
      <c r="F7" s="196"/>
      <c r="G7" s="196"/>
      <c r="H7" s="196"/>
      <c r="I7" s="208" t="str">
        <f xml:space="preserve"> Basis!A4</f>
        <v>Berechnungen runden</v>
      </c>
      <c r="J7" s="207"/>
      <c r="K7" s="156" t="s">
        <v>92</v>
      </c>
      <c r="L7" s="156" t="s">
        <v>92</v>
      </c>
      <c r="M7" s="156" t="s">
        <v>92</v>
      </c>
    </row>
    <row r="8" spans="1:22" s="200" customFormat="1" collapsed="1" x14ac:dyDescent="0.2">
      <c r="A8" s="196"/>
      <c r="B8" s="196"/>
      <c r="C8" s="196"/>
      <c r="D8" s="196"/>
      <c r="E8" s="196"/>
      <c r="F8" s="196"/>
      <c r="G8" s="196"/>
      <c r="H8" s="196"/>
      <c r="I8" s="99"/>
      <c r="J8" s="214">
        <f xml:space="preserve"> J7</f>
        <v>0</v>
      </c>
      <c r="K8" s="184" t="b">
        <f xml:space="preserve"> K7=JN_ja</f>
        <v>1</v>
      </c>
      <c r="L8" s="184" t="b">
        <f xml:space="preserve"> L7=JN_ja</f>
        <v>1</v>
      </c>
      <c r="M8" s="184" t="b">
        <f xml:space="preserve"> M7=JN_ja</f>
        <v>1</v>
      </c>
    </row>
    <row r="9" spans="1:22" s="23" customFormat="1" x14ac:dyDescent="0.2">
      <c r="A9" s="96"/>
      <c r="B9" s="196"/>
      <c r="C9" s="96"/>
      <c r="D9" s="96"/>
      <c r="E9" s="196"/>
      <c r="F9" s="196"/>
      <c r="G9" s="196"/>
      <c r="H9" s="196"/>
      <c r="I9" s="99"/>
      <c r="J9" s="200"/>
      <c r="K9" s="200"/>
      <c r="L9" s="200"/>
      <c r="M9" s="200"/>
    </row>
    <row r="10" spans="1:22" s="23" customFormat="1" x14ac:dyDescent="0.2">
      <c r="A10" s="96"/>
      <c r="B10" s="196"/>
      <c r="C10" s="96"/>
      <c r="E10" s="200"/>
      <c r="H10" s="196"/>
      <c r="I10" s="96"/>
      <c r="V10" s="1"/>
    </row>
    <row r="11" spans="1:22" s="23" customFormat="1" x14ac:dyDescent="0.2">
      <c r="A11" s="96"/>
      <c r="B11" s="196"/>
      <c r="C11" s="96"/>
      <c r="E11" s="200"/>
      <c r="I11" s="96"/>
      <c r="J11" s="207" t="str">
        <f xml:space="preserve"> Geschl</f>
        <v>Geschlecht</v>
      </c>
      <c r="K11" s="204" t="s">
        <v>62</v>
      </c>
      <c r="L11" s="204" t="s">
        <v>62</v>
      </c>
      <c r="M11" s="204" t="s">
        <v>62</v>
      </c>
      <c r="V11" s="1"/>
    </row>
    <row r="12" spans="1:22" s="23" customFormat="1" x14ac:dyDescent="0.2">
      <c r="A12" s="96"/>
      <c r="B12" s="196"/>
      <c r="C12" s="96"/>
      <c r="E12" s="200"/>
      <c r="I12" s="96"/>
      <c r="J12" s="207" t="s">
        <v>98</v>
      </c>
      <c r="K12" s="160">
        <v>0.5</v>
      </c>
      <c r="L12" s="160">
        <v>0.5</v>
      </c>
      <c r="M12" s="160">
        <v>0.5</v>
      </c>
      <c r="V12" s="1"/>
    </row>
    <row r="13" spans="1:22" s="23" customFormat="1" hidden="1" outlineLevel="1" x14ac:dyDescent="0.2">
      <c r="A13" s="96"/>
      <c r="B13" s="196"/>
      <c r="C13" s="96"/>
      <c r="E13" s="200"/>
      <c r="J13" s="214" t="str">
        <f xml:space="preserve"> J12</f>
        <v>lambdax-Vorsicht</v>
      </c>
      <c r="K13" s="166">
        <f xml:space="preserve"> IF(  K4=BE_MF_,  K12, LEER )</f>
        <v>0.5</v>
      </c>
      <c r="L13" s="166">
        <f xml:space="preserve"> IF(  L4=BE_MF_,  L12, LEER )</f>
        <v>0.5</v>
      </c>
      <c r="M13" s="166">
        <f xml:space="preserve"> IF(  M4=BE_MF_,  M12, LEER )</f>
        <v>0.5</v>
      </c>
    </row>
    <row r="14" spans="1:22" s="23" customFormat="1" collapsed="1" x14ac:dyDescent="0.2">
      <c r="B14" s="200"/>
      <c r="V14" s="1"/>
    </row>
    <row r="15" spans="1:22" s="23" customFormat="1" x14ac:dyDescent="0.2">
      <c r="B15" s="200"/>
      <c r="V15" s="1"/>
    </row>
    <row r="16" spans="1:22" s="23" customFormat="1" x14ac:dyDescent="0.2">
      <c r="B16" s="200"/>
      <c r="I16" s="208" t="str">
        <f xml:space="preserve"> Basis!D68</f>
        <v>erstes Jugendlichenalter</v>
      </c>
      <c r="J16" s="207" t="str">
        <f xml:space="preserve"> xJ</f>
        <v>x_J</v>
      </c>
      <c r="K16" s="159">
        <v>15</v>
      </c>
      <c r="L16" s="159">
        <v>15</v>
      </c>
      <c r="M16" s="159">
        <v>15</v>
      </c>
    </row>
    <row r="17" spans="1:60" s="23" customFormat="1" x14ac:dyDescent="0.2">
      <c r="A17" s="96"/>
      <c r="B17" s="196"/>
      <c r="C17" s="96"/>
      <c r="D17" s="96"/>
      <c r="E17" s="196"/>
      <c r="I17" s="208" t="str">
        <f xml:space="preserve"> Basis!$D$64</f>
        <v>Kalkulationsanfangsalter</v>
      </c>
      <c r="J17" s="207" t="str">
        <f xml:space="preserve"> xalpha</f>
        <v>x_α</v>
      </c>
      <c r="K17" s="159">
        <v>20</v>
      </c>
      <c r="L17" s="159">
        <v>20</v>
      </c>
      <c r="M17" s="159">
        <v>20</v>
      </c>
      <c r="V17" s="1"/>
    </row>
    <row r="18" spans="1:60" s="23" customFormat="1" x14ac:dyDescent="0.2">
      <c r="A18" s="96"/>
      <c r="B18" s="196"/>
      <c r="C18" s="96"/>
      <c r="D18" s="96"/>
      <c r="E18" s="196"/>
      <c r="I18" s="208" t="str">
        <f xml:space="preserve"> Basis!D66</f>
        <v>erstes Senioralter</v>
      </c>
      <c r="J18" s="207" t="str">
        <f xml:space="preserve"> xs</f>
        <v>x_s</v>
      </c>
      <c r="K18" s="159">
        <v>65</v>
      </c>
      <c r="L18" s="159">
        <v>65</v>
      </c>
      <c r="M18" s="159">
        <v>65</v>
      </c>
      <c r="AH18" s="6"/>
    </row>
    <row r="19" spans="1:60" s="23" customFormat="1" x14ac:dyDescent="0.2">
      <c r="A19" s="96"/>
      <c r="B19" s="196"/>
      <c r="C19" s="96"/>
      <c r="D19" s="96"/>
      <c r="E19" s="196"/>
      <c r="I19" s="208" t="str">
        <f xml:space="preserve"> Basis!$D$65</f>
        <v>Kalkulationsendalter</v>
      </c>
      <c r="J19" s="207" t="str">
        <f xml:space="preserve"> xomega</f>
        <v>x_ω</v>
      </c>
      <c r="K19" s="159">
        <v>110</v>
      </c>
      <c r="L19" s="159">
        <v>110</v>
      </c>
      <c r="M19" s="159">
        <v>110</v>
      </c>
      <c r="AH19" s="6"/>
      <c r="AI19" s="6"/>
    </row>
    <row r="20" spans="1:60" s="23" customFormat="1" hidden="1" outlineLevel="1" x14ac:dyDescent="0.2">
      <c r="A20" s="96"/>
      <c r="B20" s="196"/>
      <c r="C20" s="96"/>
      <c r="D20" s="96"/>
      <c r="E20" s="196"/>
      <c r="I20" s="214" t="str">
        <f xml:space="preserve"> I19</f>
        <v>Kalkulationsendalter</v>
      </c>
      <c r="J20" s="214" t="str">
        <f xml:space="preserve"> J19</f>
        <v>x_ω</v>
      </c>
      <c r="K20" s="210">
        <f xml:space="preserve"> MAX( K17, MIN( kleinomega, K19 ) )</f>
        <v>110</v>
      </c>
      <c r="L20" s="210">
        <f xml:space="preserve"> MAX( L17, MIN( kleinomega, L19 ) )</f>
        <v>110</v>
      </c>
      <c r="M20" s="210">
        <f xml:space="preserve"> MAX( M17, MIN( kleinomega, M19 ) )</f>
        <v>110</v>
      </c>
      <c r="AH20" s="6"/>
      <c r="AI20" s="6"/>
    </row>
    <row r="21" spans="1:60" s="23" customFormat="1" collapsed="1" x14ac:dyDescent="0.2">
      <c r="A21" s="96"/>
      <c r="B21" s="196"/>
      <c r="C21" s="96"/>
      <c r="D21" s="96"/>
      <c r="E21" s="196"/>
      <c r="I21" s="208" t="str">
        <f xml:space="preserve"> Basis!$E$24</f>
        <v>Übertragungswertanspruch</v>
      </c>
      <c r="J21" s="207" t="str">
        <f xml:space="preserve"> Basis!E25</f>
        <v>ÜW</v>
      </c>
      <c r="K21" s="226" t="s">
        <v>237</v>
      </c>
      <c r="L21" s="211"/>
      <c r="M21" s="211"/>
      <c r="AH21" s="6"/>
      <c r="AI21" s="6"/>
    </row>
    <row r="22" spans="1:60" s="200" customFormat="1" x14ac:dyDescent="0.2">
      <c r="A22" s="196"/>
      <c r="B22" s="196"/>
      <c r="C22" s="196"/>
      <c r="D22" s="196"/>
      <c r="E22" s="196"/>
      <c r="J22" s="196"/>
      <c r="K22" s="267"/>
      <c r="L22" s="267"/>
      <c r="M22" s="267"/>
      <c r="AH22" s="268"/>
      <c r="AI22" s="268"/>
    </row>
    <row r="23" spans="1:60" s="23" customFormat="1" x14ac:dyDescent="0.2">
      <c r="A23" s="96"/>
      <c r="B23" s="196"/>
      <c r="C23" s="96"/>
      <c r="D23" s="96"/>
      <c r="E23" s="196"/>
      <c r="AD23" s="6"/>
      <c r="AE23" s="6"/>
      <c r="AF23" s="6"/>
      <c r="AG23" s="6"/>
      <c r="AH23" s="9"/>
      <c r="AI23" s="9"/>
    </row>
    <row r="24" spans="1:60" s="23" customFormat="1" x14ac:dyDescent="0.2">
      <c r="A24" s="96"/>
      <c r="B24" s="196"/>
      <c r="C24" s="96"/>
      <c r="D24" s="96"/>
      <c r="E24" s="196"/>
      <c r="H24" s="206" t="str">
        <f xml:space="preserve"> Basis!$F$6</f>
        <v>Rechnungszins</v>
      </c>
      <c r="I24" s="206" t="str">
        <f xml:space="preserve"> Basis!$F$7</f>
        <v>Zins</v>
      </c>
      <c r="J24" s="207" t="str">
        <f xml:space="preserve"> r_</f>
        <v>r</v>
      </c>
      <c r="K24" s="160">
        <v>2.5000000000000001E-2</v>
      </c>
      <c r="L24" s="160">
        <v>2.5000000000000001E-2</v>
      </c>
      <c r="M24" s="160">
        <v>2.5000000000000001E-2</v>
      </c>
      <c r="AD24" s="6"/>
      <c r="AE24" s="6"/>
      <c r="AF24" s="6"/>
      <c r="AG24" s="6"/>
      <c r="AH24" s="9"/>
      <c r="AI24" s="9"/>
    </row>
    <row r="25" spans="1:60" s="23" customFormat="1" x14ac:dyDescent="0.2">
      <c r="A25" s="96"/>
      <c r="B25" s="196"/>
      <c r="C25" s="96"/>
      <c r="D25" s="96"/>
      <c r="E25" s="196"/>
      <c r="I25" s="96"/>
      <c r="J25" s="96"/>
      <c r="K25" s="151"/>
      <c r="L25" s="151"/>
      <c r="M25" s="151"/>
      <c r="AD25" s="6"/>
      <c r="AE25" s="6"/>
      <c r="AF25" s="6"/>
      <c r="AG25" s="6"/>
      <c r="AH25" s="9"/>
      <c r="AI25" s="9"/>
    </row>
    <row r="26" spans="1:60" s="23" customFormat="1" x14ac:dyDescent="0.2">
      <c r="A26" s="96"/>
      <c r="B26" s="196"/>
      <c r="C26" s="96"/>
      <c r="D26" s="96"/>
      <c r="E26" s="196"/>
      <c r="I26" s="96"/>
      <c r="J26" s="96"/>
      <c r="K26" s="151"/>
      <c r="L26" s="151"/>
      <c r="M26" s="151"/>
      <c r="AD26" s="6"/>
      <c r="AE26" s="6"/>
      <c r="AF26" s="6"/>
      <c r="AG26" s="6"/>
      <c r="AH26" s="9"/>
      <c r="AI26" s="9"/>
    </row>
    <row r="27" spans="1:60" s="23" customFormat="1" x14ac:dyDescent="0.2">
      <c r="A27" s="96"/>
      <c r="B27" s="196"/>
      <c r="C27" s="96"/>
      <c r="D27" s="96"/>
      <c r="E27" s="196"/>
      <c r="H27" s="206" t="str">
        <f xml:space="preserve"> Basis!$H$6</f>
        <v>Ausscheideordnung</v>
      </c>
      <c r="I27" s="207" t="str">
        <f xml:space="preserve"> Basis!$H$7</f>
        <v>Mors</v>
      </c>
      <c r="J27" s="209" t="str">
        <f xml:space="preserve"> qx</f>
        <v>q_x</v>
      </c>
      <c r="K27" s="156" t="s">
        <v>172</v>
      </c>
      <c r="L27" s="156" t="s">
        <v>172</v>
      </c>
      <c r="M27" s="156" t="s">
        <v>172</v>
      </c>
      <c r="AD27" s="6"/>
      <c r="AE27" s="6"/>
      <c r="AF27" s="6"/>
      <c r="AG27" s="6"/>
      <c r="AH27" s="9"/>
      <c r="AI27" s="9"/>
    </row>
    <row r="28" spans="1:60" s="23" customFormat="1" x14ac:dyDescent="0.2">
      <c r="A28" s="96"/>
      <c r="B28" s="196"/>
      <c r="C28" s="96"/>
      <c r="D28" s="96"/>
      <c r="E28" s="196"/>
      <c r="I28" s="207" t="str">
        <f xml:space="preserve"> Basis!$I$7 &amp; " (" &amp; Basis!$J$7 &amp; ")"</f>
        <v>Storno (GES-Storno)</v>
      </c>
      <c r="J28" s="207" t="str">
        <f xml:space="preserve"> wx &amp; " (" &amp; wx_GES &amp; ")"</f>
        <v>w_x (w_x^GES)</v>
      </c>
      <c r="K28" s="156" t="s">
        <v>184</v>
      </c>
      <c r="L28" s="156" t="s">
        <v>184</v>
      </c>
      <c r="M28" s="156" t="s">
        <v>184</v>
      </c>
      <c r="AD28" s="6"/>
      <c r="AE28" s="6"/>
      <c r="AF28" s="6"/>
      <c r="AG28" s="6"/>
      <c r="AI28" s="6"/>
    </row>
    <row r="29" spans="1:60" s="23" customFormat="1" x14ac:dyDescent="0.2">
      <c r="A29" s="96"/>
      <c r="B29" s="196"/>
      <c r="C29" s="96"/>
      <c r="D29" s="96"/>
      <c r="E29" s="196"/>
      <c r="I29" s="207" t="str">
        <f xml:space="preserve"> Basis!$K$7</f>
        <v>PKV-Storno</v>
      </c>
      <c r="J29" s="208" t="str">
        <f xml:space="preserve"> wx_PKV</f>
        <v>w_x^PKV</v>
      </c>
      <c r="K29" s="226" t="s">
        <v>237</v>
      </c>
      <c r="L29" s="211"/>
      <c r="M29" s="211"/>
      <c r="AH29" s="6"/>
    </row>
    <row r="30" spans="1:60" s="23" customFormat="1" x14ac:dyDescent="0.2">
      <c r="A30" s="96"/>
      <c r="B30" s="196"/>
      <c r="C30" s="96"/>
      <c r="D30" s="96"/>
      <c r="E30" s="196"/>
      <c r="I30" s="207" t="str">
        <f xml:space="preserve"> Basis!$L$7</f>
        <v>kappa</v>
      </c>
      <c r="J30" s="208" t="str">
        <f xml:space="preserve"> kappax</f>
        <v>κ_x</v>
      </c>
      <c r="K30" s="226" t="s">
        <v>237</v>
      </c>
      <c r="L30" s="211"/>
      <c r="M30" s="211"/>
      <c r="AH30" s="6"/>
    </row>
    <row r="31" spans="1:60" s="10" customFormat="1" x14ac:dyDescent="0.2">
      <c r="A31" s="96"/>
      <c r="B31" s="196"/>
      <c r="C31" s="96"/>
      <c r="D31" s="96"/>
      <c r="E31" s="196"/>
      <c r="F31" s="23"/>
      <c r="G31" s="23"/>
      <c r="H31" s="23"/>
      <c r="I31" s="207" t="str">
        <f xml:space="preserve"> Basis!AA19</f>
        <v>l_x-Startwert</v>
      </c>
      <c r="J31" s="209" t="str">
        <f xml:space="preserve"> l_xalpha</f>
        <v>l_x_α</v>
      </c>
      <c r="K31" s="164">
        <v>5000000</v>
      </c>
      <c r="L31" s="164">
        <v>5000000</v>
      </c>
      <c r="M31" s="164">
        <v>5000000</v>
      </c>
      <c r="N31" s="23"/>
      <c r="AB31" s="23"/>
      <c r="AD31" s="23"/>
      <c r="AE31" s="23"/>
      <c r="AF31" s="23"/>
      <c r="AG31" s="23"/>
      <c r="AH31" s="6"/>
      <c r="AI31" s="6"/>
      <c r="BH31" s="23"/>
    </row>
    <row r="32" spans="1:60" s="23" customFormat="1" x14ac:dyDescent="0.2">
      <c r="A32" s="96"/>
      <c r="B32" s="196"/>
      <c r="C32" s="96"/>
      <c r="D32" s="5"/>
      <c r="E32" s="201"/>
      <c r="AH32" s="6"/>
    </row>
    <row r="33" spans="1:60" s="23" customFormat="1" x14ac:dyDescent="0.2">
      <c r="B33" s="200"/>
      <c r="E33" s="196"/>
      <c r="AH33" s="6"/>
      <c r="AI33" s="6"/>
      <c r="BH33" s="10"/>
    </row>
    <row r="34" spans="1:60" s="23" customFormat="1" x14ac:dyDescent="0.2">
      <c r="A34" s="10"/>
      <c r="B34" s="269"/>
      <c r="C34" s="10"/>
      <c r="G34" s="10"/>
      <c r="H34" s="207" t="str">
        <f xml:space="preserve"> Basis!$M$6</f>
        <v>Kopfschäden</v>
      </c>
      <c r="I34" s="207" t="str">
        <f xml:space="preserve"> Basis!$M$7</f>
        <v>Kopfschäden</v>
      </c>
      <c r="J34" s="208" t="str">
        <f xml:space="preserve"> GrKx</f>
        <v>K_x</v>
      </c>
      <c r="K34" s="156" t="s">
        <v>271</v>
      </c>
      <c r="L34" s="156" t="s">
        <v>271</v>
      </c>
      <c r="M34" s="156" t="s">
        <v>271</v>
      </c>
      <c r="AH34" s="6"/>
      <c r="AI34" s="6"/>
      <c r="BH34" s="10"/>
    </row>
    <row r="35" spans="1:60" s="23" customFormat="1" x14ac:dyDescent="0.2">
      <c r="B35" s="200"/>
      <c r="I35" s="207" t="str">
        <f xml:space="preserve"> Basis!D32</f>
        <v>Versicherungsart</v>
      </c>
      <c r="J35" s="207" t="str">
        <f xml:space="preserve"> VA_</f>
        <v>VA</v>
      </c>
      <c r="K35" s="212" t="str">
        <f xml:space="preserve"> INDEX( Kx!$16:$16, MATCH( K34, Kx!$13:$13, 0 ) )</f>
        <v>Vollversicherung</v>
      </c>
      <c r="L35" s="212" t="str">
        <f xml:space="preserve"> INDEX( Kx!$16:$16, MATCH( L34, Kx!$13:$13, 0 ) )</f>
        <v>Vollversicherung</v>
      </c>
      <c r="M35" s="212" t="str">
        <f xml:space="preserve"> INDEX( Kx!$16:$16, MATCH( M34, Kx!$13:$13, 0 ) )</f>
        <v>Vollversicherung</v>
      </c>
      <c r="AD35" s="6"/>
      <c r="AE35" s="6"/>
      <c r="AF35" s="6"/>
      <c r="AG35" s="6"/>
      <c r="AH35" s="153"/>
      <c r="AI35" s="153"/>
    </row>
    <row r="36" spans="1:60" s="23" customFormat="1" x14ac:dyDescent="0.2">
      <c r="B36" s="200"/>
      <c r="I36" s="208" t="str">
        <f xml:space="preserve"> Basis!$N$43</f>
        <v>Verteilung SM-Leistungen</v>
      </c>
      <c r="J36" s="208" t="str">
        <f xml:space="preserve"> Basis!$N$44</f>
        <v>SML</v>
      </c>
      <c r="K36" s="156" t="s">
        <v>285</v>
      </c>
      <c r="L36" s="156" t="s">
        <v>285</v>
      </c>
      <c r="M36" s="156" t="s">
        <v>285</v>
      </c>
      <c r="AD36" s="6"/>
      <c r="AE36" s="6"/>
      <c r="AF36" s="6"/>
      <c r="AG36" s="6"/>
      <c r="AH36" s="153"/>
      <c r="AI36" s="153"/>
    </row>
    <row r="37" spans="1:60" s="23" customFormat="1" outlineLevel="1" x14ac:dyDescent="0.2">
      <c r="B37" s="200"/>
      <c r="E37" s="196"/>
      <c r="I37" s="208" t="str">
        <f xml:space="preserve"> Basis!$N$43</f>
        <v>Verteilung SM-Leistungen</v>
      </c>
      <c r="J37" s="208" t="str">
        <f xml:space="preserve"> Basis!$N$44</f>
        <v>SML</v>
      </c>
      <c r="K37" s="377" t="str">
        <f xml:space="preserve"> IF(  K11=BE_MF,     "",   K36  )</f>
        <v/>
      </c>
      <c r="L37" s="377" t="str">
        <f xml:space="preserve"> IF(  L11=BE_MF,     "",   L36  )</f>
        <v/>
      </c>
      <c r="M37" s="377" t="str">
        <f xml:space="preserve"> IF(  M11=BE_MF,     "",   M36  )</f>
        <v/>
      </c>
      <c r="N37" s="84"/>
      <c r="AD37" s="6"/>
      <c r="AE37" s="6"/>
      <c r="AF37" s="6"/>
      <c r="AG37" s="6"/>
      <c r="AH37" s="153"/>
      <c r="AI37" s="153"/>
    </row>
    <row r="38" spans="1:60" s="23" customFormat="1" x14ac:dyDescent="0.2">
      <c r="B38" s="200"/>
      <c r="E38" s="196"/>
      <c r="I38" s="208" t="str">
        <f xml:space="preserve"> Erhöhung</f>
        <v>Erhöhung</v>
      </c>
      <c r="J38" s="208" t="str">
        <f xml:space="preserve"> EF_</f>
        <v>EF</v>
      </c>
      <c r="K38" s="161">
        <v>0</v>
      </c>
      <c r="L38" s="161">
        <v>0</v>
      </c>
      <c r="M38" s="161">
        <v>0</v>
      </c>
    </row>
    <row r="39" spans="1:60" s="23" customFormat="1" x14ac:dyDescent="0.2">
      <c r="B39" s="200"/>
      <c r="E39" s="196"/>
    </row>
    <row r="40" spans="1:60" x14ac:dyDescent="0.2">
      <c r="A40" s="23"/>
      <c r="B40" s="200"/>
      <c r="C40" s="23"/>
      <c r="D40" s="23"/>
      <c r="E40" s="196"/>
      <c r="F40" s="23"/>
      <c r="G40" s="23"/>
      <c r="H40" s="23"/>
      <c r="I40" s="207" t="str">
        <f xml:space="preserve"> Basis!F75</f>
        <v>Maximierung</v>
      </c>
      <c r="J40" s="208" t="str">
        <f xml:space="preserve"> my &amp; "^" &amp; J34</f>
        <v>μ^K_x</v>
      </c>
      <c r="K40" s="156" t="s">
        <v>92</v>
      </c>
      <c r="L40" s="156" t="s">
        <v>92</v>
      </c>
      <c r="M40" s="156" t="s">
        <v>92</v>
      </c>
      <c r="N40" s="23"/>
      <c r="Y40" s="23"/>
      <c r="Z40" s="23"/>
      <c r="AA40" s="23"/>
      <c r="AB40" s="23"/>
      <c r="BH40" s="23"/>
    </row>
    <row r="41" spans="1:60" x14ac:dyDescent="0.2">
      <c r="A41" s="96"/>
      <c r="B41" s="196"/>
      <c r="C41" s="96"/>
      <c r="D41" s="96"/>
      <c r="E41" s="196"/>
      <c r="F41" s="23"/>
      <c r="G41" s="23"/>
      <c r="H41" s="23"/>
      <c r="I41" s="207" t="str">
        <f xml:space="preserve"> Basis!$D$75</f>
        <v>Maximierungsalter</v>
      </c>
      <c r="J41" s="208" t="str">
        <f xml:space="preserve"> xKM</f>
        <v>x_KM</v>
      </c>
      <c r="K41" s="159">
        <v>70</v>
      </c>
      <c r="L41" s="159">
        <v>70</v>
      </c>
      <c r="M41" s="159">
        <v>70</v>
      </c>
      <c r="N41" s="23"/>
      <c r="Y41" s="23"/>
      <c r="Z41" s="23"/>
      <c r="AA41" s="23"/>
      <c r="AB41" s="23"/>
      <c r="AC41" s="23"/>
    </row>
    <row r="42" spans="1:60" hidden="1" outlineLevel="1" x14ac:dyDescent="0.2">
      <c r="A42" s="96"/>
      <c r="B42" s="196"/>
      <c r="C42" s="96"/>
      <c r="F42" s="23"/>
      <c r="G42" s="23"/>
      <c r="H42" s="23"/>
      <c r="I42" s="214" t="str">
        <f xml:space="preserve"> I40</f>
        <v>Maximierung</v>
      </c>
      <c r="J42" s="211" t="str">
        <f xml:space="preserve"> J40</f>
        <v>μ^K_x</v>
      </c>
      <c r="K42" s="215" t="b">
        <f xml:space="preserve"> K40=JN_ja</f>
        <v>1</v>
      </c>
      <c r="L42" s="215" t="b">
        <f xml:space="preserve"> L40=JN_ja</f>
        <v>1</v>
      </c>
      <c r="M42" s="215" t="b">
        <f xml:space="preserve"> M40=JN_ja</f>
        <v>1</v>
      </c>
      <c r="N42" s="23"/>
      <c r="V42" s="23"/>
      <c r="W42" s="23"/>
      <c r="X42" s="23"/>
      <c r="Y42" s="23"/>
      <c r="Z42" s="23"/>
    </row>
    <row r="43" spans="1:60" collapsed="1" x14ac:dyDescent="0.2">
      <c r="I43" s="23"/>
      <c r="J43" s="23"/>
      <c r="K43" s="23"/>
      <c r="L43" s="23"/>
      <c r="M43" s="23"/>
      <c r="N43" s="23"/>
      <c r="V43" s="23"/>
      <c r="W43" s="23"/>
      <c r="X43" s="23"/>
      <c r="Y43" s="23"/>
      <c r="Z43" s="23"/>
    </row>
    <row r="44" spans="1:60" x14ac:dyDescent="0.2">
      <c r="I44" s="207" t="str">
        <f xml:space="preserve"> Basis!F69</f>
        <v>Normierung</v>
      </c>
      <c r="J44" s="208" t="str">
        <f xml:space="preserve"> eta</f>
        <v>η</v>
      </c>
      <c r="K44" s="156" t="s">
        <v>92</v>
      </c>
      <c r="L44" s="156" t="s">
        <v>92</v>
      </c>
      <c r="M44" s="156" t="s">
        <v>92</v>
      </c>
      <c r="N44" s="23"/>
      <c r="V44" s="23"/>
      <c r="W44" s="23"/>
      <c r="X44" s="23"/>
      <c r="Y44" s="23"/>
      <c r="Z44" s="23"/>
    </row>
    <row r="45" spans="1:60" x14ac:dyDescent="0.2">
      <c r="F45" s="23"/>
      <c r="I45" s="207" t="str">
        <f xml:space="preserve"> Basis!D69</f>
        <v>Normierungsalter</v>
      </c>
      <c r="J45" s="208" t="str">
        <f xml:space="preserve"> xN</f>
        <v>x_N</v>
      </c>
      <c r="K45" s="159">
        <v>40</v>
      </c>
      <c r="L45" s="159">
        <v>40</v>
      </c>
      <c r="M45" s="159">
        <v>40</v>
      </c>
      <c r="N45" s="23"/>
      <c r="V45" s="23"/>
      <c r="W45" s="23"/>
      <c r="X45" s="23"/>
      <c r="Y45" s="23"/>
      <c r="Z45" s="23"/>
    </row>
    <row r="46" spans="1:60" hidden="1" outlineLevel="1" x14ac:dyDescent="0.2">
      <c r="F46" s="23"/>
      <c r="I46" s="214" t="str">
        <f xml:space="preserve"> I44</f>
        <v>Normierung</v>
      </c>
      <c r="J46" s="211" t="str">
        <f xml:space="preserve"> J44</f>
        <v>η</v>
      </c>
      <c r="K46" s="215" t="b">
        <f xml:space="preserve"> K44=JN_ja</f>
        <v>1</v>
      </c>
      <c r="L46" s="215" t="b">
        <f xml:space="preserve"> L44=JN_ja</f>
        <v>1</v>
      </c>
      <c r="M46" s="215" t="b">
        <f xml:space="preserve"> M44=JN_ja</f>
        <v>1</v>
      </c>
      <c r="V46" s="23"/>
      <c r="W46" s="23"/>
      <c r="X46" s="23"/>
      <c r="Y46" s="23"/>
      <c r="Z46" s="23"/>
      <c r="AL46" s="23"/>
    </row>
    <row r="47" spans="1:60" collapsed="1" x14ac:dyDescent="0.2">
      <c r="H47" s="23"/>
      <c r="I47" s="5"/>
      <c r="J47" s="5"/>
      <c r="K47" s="162"/>
      <c r="L47" s="162"/>
      <c r="M47" s="162"/>
      <c r="R47" s="23"/>
      <c r="V47" s="23"/>
      <c r="W47" s="23"/>
      <c r="X47" s="23"/>
      <c r="Y47" s="23"/>
      <c r="Z47" s="23"/>
      <c r="AL47" s="23"/>
    </row>
    <row r="48" spans="1:60" x14ac:dyDescent="0.2">
      <c r="E48" s="96"/>
      <c r="F48" s="213" t="s">
        <v>235</v>
      </c>
      <c r="H48" s="23"/>
      <c r="I48" s="96"/>
      <c r="J48" s="96"/>
      <c r="K48" s="151"/>
      <c r="L48" s="151"/>
      <c r="M48" s="151"/>
      <c r="R48" s="23"/>
      <c r="V48" s="23"/>
      <c r="W48" s="23"/>
      <c r="X48" s="23"/>
      <c r="Y48" s="23"/>
      <c r="Z48" s="23"/>
      <c r="AL48" s="23"/>
    </row>
    <row r="49" spans="1:38" x14ac:dyDescent="0.2">
      <c r="C49" s="207" t="str">
        <f xml:space="preserve"> sigma &amp; "^" &amp; Basis!$R$14 &amp; "_" &amp; jun</f>
        <v>σ^erste VJ_jun</v>
      </c>
      <c r="D49" s="227">
        <v>0.05</v>
      </c>
      <c r="E49" s="227">
        <v>0.05</v>
      </c>
      <c r="F49" s="302">
        <v>0.05</v>
      </c>
      <c r="H49" s="207" t="str">
        <f xml:space="preserve"> Basis!$Q$6</f>
        <v>Zuschläge</v>
      </c>
      <c r="I49" s="207" t="str">
        <f xml:space="preserve"> Basis!$R$12</f>
        <v>Sicherheitszuschlag</v>
      </c>
      <c r="J49" s="207" t="str">
        <f xml:space="preserve"> C49</f>
        <v>σ^erste VJ_jun</v>
      </c>
      <c r="K49" s="233">
        <f t="shared" ref="K49:M52" si="0" xml:space="preserve"> MAX(  $F49,  INDEX( $D49:$E49, MATCH( K$35, $D$2:$E$2, 0 ) )  )</f>
        <v>0.05</v>
      </c>
      <c r="L49" s="233">
        <f t="shared" si="0"/>
        <v>0.05</v>
      </c>
      <c r="M49" s="233">
        <f t="shared" si="0"/>
        <v>0.05</v>
      </c>
      <c r="R49" s="23"/>
      <c r="S49" s="84"/>
      <c r="T49" s="23"/>
      <c r="V49" s="23"/>
      <c r="W49" s="23"/>
      <c r="X49" s="23"/>
      <c r="Y49" s="23"/>
      <c r="Z49" s="23"/>
    </row>
    <row r="50" spans="1:38" x14ac:dyDescent="0.2">
      <c r="C50" s="207" t="str">
        <f xml:space="preserve"> sigma &amp; "^" &amp; Basis!$R$15 &amp; "_" &amp; jun</f>
        <v>σ^spätere VJ_jun</v>
      </c>
      <c r="D50" s="227">
        <v>7.9000000000000001E-2</v>
      </c>
      <c r="E50" s="227">
        <v>0.1</v>
      </c>
      <c r="F50" s="302">
        <v>0.05</v>
      </c>
      <c r="J50" s="207" t="str">
        <f xml:space="preserve"> C50</f>
        <v>σ^spätere VJ_jun</v>
      </c>
      <c r="K50" s="233">
        <f t="shared" si="0"/>
        <v>7.9000000000000001E-2</v>
      </c>
      <c r="L50" s="233">
        <f t="shared" si="0"/>
        <v>7.9000000000000001E-2</v>
      </c>
      <c r="M50" s="233">
        <f t="shared" si="0"/>
        <v>7.9000000000000001E-2</v>
      </c>
      <c r="R50" s="23"/>
      <c r="S50" s="84"/>
      <c r="T50" s="23"/>
      <c r="V50" s="23"/>
      <c r="W50" s="23"/>
      <c r="X50" s="23"/>
      <c r="Y50" s="23"/>
      <c r="Z50" s="23"/>
      <c r="AL50" s="23"/>
    </row>
    <row r="51" spans="1:38" x14ac:dyDescent="0.2">
      <c r="C51" s="207" t="str">
        <f xml:space="preserve"> sigma &amp; "^" &amp; Basis!$R$14 &amp; "_" &amp; sen</f>
        <v>σ^erste VJ_sen</v>
      </c>
      <c r="D51" s="227">
        <v>0.05</v>
      </c>
      <c r="E51" s="227">
        <v>0.05</v>
      </c>
      <c r="F51" s="302">
        <v>0.05</v>
      </c>
      <c r="J51" s="207" t="str">
        <f xml:space="preserve"> C51</f>
        <v>σ^erste VJ_sen</v>
      </c>
      <c r="K51" s="233">
        <f t="shared" si="0"/>
        <v>0.05</v>
      </c>
      <c r="L51" s="233">
        <f t="shared" si="0"/>
        <v>0.05</v>
      </c>
      <c r="M51" s="233">
        <f t="shared" si="0"/>
        <v>0.05</v>
      </c>
      <c r="T51" s="23"/>
      <c r="V51" s="23"/>
      <c r="W51" s="23"/>
      <c r="X51" s="23"/>
      <c r="Y51" s="23"/>
      <c r="Z51" s="23"/>
      <c r="AL51" s="23"/>
    </row>
    <row r="52" spans="1:38" x14ac:dyDescent="0.2">
      <c r="C52" s="207" t="str">
        <f xml:space="preserve"> sigma &amp; "^" &amp; Basis!$R$15 &amp; "_" &amp; sen</f>
        <v>σ^spätere VJ_sen</v>
      </c>
      <c r="D52" s="227">
        <v>0.08</v>
      </c>
      <c r="E52" s="227">
        <v>0.1</v>
      </c>
      <c r="F52" s="302">
        <v>0.05</v>
      </c>
      <c r="J52" s="207" t="str">
        <f xml:space="preserve"> C52</f>
        <v>σ^spätere VJ_sen</v>
      </c>
      <c r="K52" s="233">
        <f t="shared" si="0"/>
        <v>0.08</v>
      </c>
      <c r="L52" s="233">
        <f t="shared" si="0"/>
        <v>0.08</v>
      </c>
      <c r="M52" s="233">
        <f t="shared" si="0"/>
        <v>0.08</v>
      </c>
      <c r="V52" s="23"/>
      <c r="W52" s="23"/>
      <c r="X52" s="23"/>
      <c r="Y52" s="23"/>
      <c r="Z52" s="23"/>
      <c r="AL52" s="23"/>
    </row>
    <row r="53" spans="1:38" x14ac:dyDescent="0.2">
      <c r="D53" s="196"/>
      <c r="E53" s="196"/>
      <c r="F53" s="196"/>
      <c r="V53" s="23"/>
      <c r="W53" s="23"/>
      <c r="X53" s="23"/>
      <c r="Y53" s="23"/>
      <c r="Z53" s="23"/>
      <c r="AL53" s="23"/>
    </row>
    <row r="54" spans="1:38" x14ac:dyDescent="0.2">
      <c r="C54" s="207" t="str">
        <f xml:space="preserve"> Omega &amp; "_" &amp; jun</f>
        <v>Ω_jun</v>
      </c>
      <c r="D54" s="227">
        <v>7.0000000000000001E-3</v>
      </c>
      <c r="E54" s="227">
        <v>0</v>
      </c>
      <c r="F54" s="196"/>
      <c r="I54" s="207" t="str">
        <f xml:space="preserve"> Basis!$R$12</f>
        <v>Sicherheitszuschlag</v>
      </c>
      <c r="J54" s="207" t="str">
        <f xml:space="preserve"> C54</f>
        <v>Ω_jun</v>
      </c>
      <c r="K54" s="224">
        <f t="shared" ref="K54:M55" si="1" xml:space="preserve"> INDEX( $D54:$E54, MATCH( K$35, $D$2:$E$2, 0 ) )</f>
        <v>7.0000000000000001E-3</v>
      </c>
      <c r="L54" s="224">
        <f t="shared" si="1"/>
        <v>7.0000000000000001E-3</v>
      </c>
      <c r="M54" s="224">
        <f t="shared" si="1"/>
        <v>7.0000000000000001E-3</v>
      </c>
      <c r="V54" s="23"/>
      <c r="W54" s="23"/>
      <c r="X54" s="23"/>
      <c r="Y54" s="23"/>
      <c r="Z54" s="23"/>
    </row>
    <row r="55" spans="1:38" x14ac:dyDescent="0.2">
      <c r="C55" s="207" t="str">
        <f xml:space="preserve"> Omega &amp; "_" &amp; sen</f>
        <v>Ω_sen</v>
      </c>
      <c r="D55" s="227">
        <v>6.0000000000000001E-3</v>
      </c>
      <c r="E55" s="227">
        <v>0</v>
      </c>
      <c r="F55" s="196"/>
      <c r="I55" s="96"/>
      <c r="J55" s="207" t="str">
        <f xml:space="preserve"> C55</f>
        <v>Ω_sen</v>
      </c>
      <c r="K55" s="224">
        <f t="shared" si="1"/>
        <v>6.0000000000000001E-3</v>
      </c>
      <c r="L55" s="224">
        <f t="shared" si="1"/>
        <v>6.0000000000000001E-3</v>
      </c>
      <c r="M55" s="224">
        <f t="shared" si="1"/>
        <v>6.0000000000000001E-3</v>
      </c>
      <c r="V55" s="23"/>
      <c r="W55" s="23"/>
      <c r="X55" s="23"/>
      <c r="Y55" s="23"/>
      <c r="Z55" s="23"/>
    </row>
    <row r="56" spans="1:38" x14ac:dyDescent="0.2">
      <c r="D56" s="96"/>
      <c r="E56" s="196"/>
      <c r="F56" s="196"/>
      <c r="V56" s="23"/>
      <c r="W56" s="23"/>
      <c r="X56" s="23"/>
      <c r="Y56" s="23"/>
      <c r="Z56" s="23"/>
    </row>
    <row r="57" spans="1:38" x14ac:dyDescent="0.2">
      <c r="C57" s="207" t="str">
        <f xml:space="preserve"> alphasigma &amp; "_" &amp; jun</f>
        <v>α^σ_jun</v>
      </c>
      <c r="D57" s="228">
        <f t="shared" ref="D57:E57" si="2" xml:space="preserve"> MAX( 0, D50 - D49 )</f>
        <v>2.8999999999999998E-2</v>
      </c>
      <c r="E57" s="228">
        <f t="shared" si="2"/>
        <v>0.05</v>
      </c>
      <c r="F57" s="196"/>
      <c r="I57" s="193" t="str">
        <f xml:space="preserve"> Basis!$R$7</f>
        <v>altersabhängige Zuschläge</v>
      </c>
      <c r="J57" s="193" t="str">
        <f xml:space="preserve"> Delta &amp; "_" &amp; jun</f>
        <v>Δ_js_jun</v>
      </c>
      <c r="K57" s="264">
        <f xml:space="preserve"> K50 + K54</f>
        <v>8.6000000000000007E-2</v>
      </c>
      <c r="L57" s="264">
        <f xml:space="preserve"> L50 + L54</f>
        <v>8.6000000000000007E-2</v>
      </c>
      <c r="M57" s="264">
        <f xml:space="preserve"> M50 + M54</f>
        <v>8.6000000000000007E-2</v>
      </c>
      <c r="T57" s="23"/>
      <c r="V57" s="23"/>
      <c r="W57" s="23"/>
      <c r="X57" s="23"/>
      <c r="Y57" s="23"/>
      <c r="Z57" s="23"/>
    </row>
    <row r="58" spans="1:38" x14ac:dyDescent="0.2">
      <c r="A58" s="195" t="b">
        <f xml:space="preserve"> AND( D49 + D57 = D50, E49 + E57 = E50 )</f>
        <v>1</v>
      </c>
      <c r="C58" s="207" t="str">
        <f xml:space="preserve"> alphasigma &amp; "_" &amp; sen</f>
        <v>α^σ_sen</v>
      </c>
      <c r="D58" s="228">
        <f t="shared" ref="D58:E58" si="3" xml:space="preserve"> MAX( 0, D52 - D51 )</f>
        <v>0.03</v>
      </c>
      <c r="E58" s="228">
        <f t="shared" si="3"/>
        <v>0.05</v>
      </c>
      <c r="F58" s="196"/>
      <c r="J58" s="193" t="str">
        <f xml:space="preserve"> Delta &amp; "_" &amp; sen</f>
        <v>Δ_js_sen</v>
      </c>
      <c r="K58" s="264">
        <f xml:space="preserve"> K52 + K55</f>
        <v>8.6000000000000007E-2</v>
      </c>
      <c r="L58" s="264">
        <f xml:space="preserve"> L52 + L55</f>
        <v>8.6000000000000007E-2</v>
      </c>
      <c r="M58" s="264">
        <f xml:space="preserve"> M52 + M55</f>
        <v>8.6000000000000007E-2</v>
      </c>
      <c r="T58" s="23"/>
      <c r="V58" s="23"/>
      <c r="W58" s="23"/>
      <c r="X58" s="23"/>
      <c r="Y58" s="23"/>
      <c r="Z58" s="23"/>
    </row>
    <row r="59" spans="1:38" x14ac:dyDescent="0.2">
      <c r="E59" s="175"/>
      <c r="T59" s="23"/>
      <c r="V59" s="23"/>
      <c r="W59" s="23"/>
      <c r="X59" s="23"/>
      <c r="Y59" s="23"/>
      <c r="Z59" s="23"/>
    </row>
    <row r="60" spans="1:38" x14ac:dyDescent="0.2">
      <c r="B60" s="74"/>
    </row>
    <row r="61" spans="1:38" x14ac:dyDescent="0.2">
      <c r="I61" s="207" t="str">
        <f xml:space="preserve"> Basis!$T$16</f>
        <v>Kostensatz</v>
      </c>
      <c r="J61" s="207" t="str">
        <f xml:space="preserve"> Basis!$T$16</f>
        <v>Kostensatz</v>
      </c>
      <c r="K61" s="156" t="s">
        <v>231</v>
      </c>
      <c r="L61" s="156" t="s">
        <v>231</v>
      </c>
      <c r="M61" s="156" t="s">
        <v>231</v>
      </c>
    </row>
    <row r="62" spans="1:38" x14ac:dyDescent="0.2">
      <c r="B62" s="270"/>
    </row>
    <row r="63" spans="1:38" x14ac:dyDescent="0.2">
      <c r="I63" s="272" t="str">
        <f xml:space="preserve"> Kostensatzdynam</f>
        <v>dynamisch</v>
      </c>
      <c r="J63" s="207" t="str">
        <f xml:space="preserve"> xr</f>
        <v>x_r</v>
      </c>
      <c r="K63" s="159">
        <v>40</v>
      </c>
      <c r="L63" s="159">
        <v>40</v>
      </c>
      <c r="M63" s="159">
        <v>40</v>
      </c>
      <c r="O63" s="175"/>
      <c r="P63" s="175" t="s">
        <v>243</v>
      </c>
      <c r="Q63" s="203"/>
    </row>
    <row r="64" spans="1:38" x14ac:dyDescent="0.2">
      <c r="A64" s="273">
        <v>3</v>
      </c>
      <c r="C64" s="207" t="str">
        <f xml:space="preserve"> DeltaTilde &amp; "_" &amp; BE_K_</f>
        <v>Δ~^r_js_K</v>
      </c>
      <c r="D64" s="230">
        <f t="shared" ref="D64:E66" si="4" xml:space="preserve"> SUM( P$64:P$67 )</f>
        <v>0.13</v>
      </c>
      <c r="E64" s="230">
        <f t="shared" si="4"/>
        <v>0.16</v>
      </c>
      <c r="J64" s="207" t="str">
        <f xml:space="preserve"> C64</f>
        <v>Δ~^r_js_K</v>
      </c>
      <c r="K64" s="224">
        <f t="shared" ref="K64:M67" si="5" xml:space="preserve"> IF(  K$61=Kostensatzdynam,  ROUND(  INDEX( $D64:$E64, MATCH( K$35, $D$2:$E$2, 0 ) )
                                                                                       * IF(  OR( RIGHT($J64,1)=BE_K_, RIGHT($J64,1)=BE_J_ ), 1, ROUND( K$79 / K$80, 1 ) ),  $A64  ),
                                                                                    0  )</f>
        <v>0</v>
      </c>
      <c r="L64" s="224">
        <f t="shared" si="5"/>
        <v>0</v>
      </c>
      <c r="M64" s="224">
        <f t="shared" si="5"/>
        <v>0</v>
      </c>
      <c r="O64" s="207" t="str">
        <f xml:space="preserve"> alphau</f>
        <v>α^u</v>
      </c>
      <c r="P64" s="227">
        <v>0.02</v>
      </c>
      <c r="Q64" s="227">
        <v>0.05</v>
      </c>
    </row>
    <row r="65" spans="1:26" x14ac:dyDescent="0.2">
      <c r="A65" s="274">
        <f xml:space="preserve"> A64</f>
        <v>3</v>
      </c>
      <c r="C65" s="207" t="str">
        <f xml:space="preserve"> DeltaTilde &amp; "_" &amp; BE_J_</f>
        <v>Δ~^r_js_J</v>
      </c>
      <c r="D65" s="230">
        <f t="shared" si="4"/>
        <v>0.13</v>
      </c>
      <c r="E65" s="230">
        <f t="shared" si="4"/>
        <v>0.16</v>
      </c>
      <c r="J65" s="207" t="str">
        <f xml:space="preserve"> C65</f>
        <v>Δ~^r_js_J</v>
      </c>
      <c r="K65" s="224">
        <f t="shared" si="5"/>
        <v>0</v>
      </c>
      <c r="L65" s="224">
        <f t="shared" si="5"/>
        <v>0</v>
      </c>
      <c r="M65" s="224">
        <f t="shared" si="5"/>
        <v>0</v>
      </c>
      <c r="O65" s="207" t="str">
        <f xml:space="preserve"> alpham</f>
        <v>α^m</v>
      </c>
      <c r="P65" s="227">
        <v>4.4999999999999998E-2</v>
      </c>
      <c r="Q65" s="227">
        <v>4.4999999999999998E-2</v>
      </c>
    </row>
    <row r="66" spans="1:26" x14ac:dyDescent="0.2">
      <c r="A66" s="274">
        <f t="shared" ref="A66:A67" si="6" xml:space="preserve"> A65</f>
        <v>3</v>
      </c>
      <c r="C66" s="207" t="str">
        <f xml:space="preserve"> DeltaTilde &amp; "_" &amp; jun</f>
        <v>Δ~^r_js_jun</v>
      </c>
      <c r="D66" s="230">
        <f t="shared" si="4"/>
        <v>0.13</v>
      </c>
      <c r="E66" s="230">
        <f t="shared" si="4"/>
        <v>0.16</v>
      </c>
      <c r="J66" s="207" t="str">
        <f xml:space="preserve"> C66</f>
        <v>Δ~^r_js_jun</v>
      </c>
      <c r="K66" s="224">
        <f t="shared" si="5"/>
        <v>0</v>
      </c>
      <c r="L66" s="224">
        <f t="shared" si="5"/>
        <v>0</v>
      </c>
      <c r="M66" s="224">
        <f t="shared" si="5"/>
        <v>0</v>
      </c>
      <c r="O66" s="207" t="str">
        <f xml:space="preserve"> rho</f>
        <v>ρ</v>
      </c>
      <c r="P66" s="227">
        <v>0.04</v>
      </c>
      <c r="Q66" s="227">
        <v>0.04</v>
      </c>
    </row>
    <row r="67" spans="1:26" x14ac:dyDescent="0.2">
      <c r="A67" s="274">
        <f t="shared" si="6"/>
        <v>3</v>
      </c>
      <c r="C67" s="207" t="str">
        <f xml:space="preserve"> DeltaTilde &amp; "_" &amp; sen</f>
        <v>Δ~^r_js_sen</v>
      </c>
      <c r="D67" s="235">
        <f xml:space="preserve"> SUM( P$65:P$67 )</f>
        <v>0.10999999999999999</v>
      </c>
      <c r="E67" s="235">
        <f xml:space="preserve"> SUM( Q$65:Q$67 )</f>
        <v>0.10999999999999999</v>
      </c>
      <c r="J67" s="207" t="str">
        <f xml:space="preserve"> C67</f>
        <v>Δ~^r_js_sen</v>
      </c>
      <c r="K67" s="224">
        <f t="shared" si="5"/>
        <v>0</v>
      </c>
      <c r="L67" s="224">
        <f t="shared" si="5"/>
        <v>0</v>
      </c>
      <c r="M67" s="224">
        <f t="shared" si="5"/>
        <v>0</v>
      </c>
      <c r="O67" s="207" t="str">
        <f xml:space="preserve"> beta</f>
        <v>β</v>
      </c>
      <c r="P67" s="227">
        <v>2.5000000000000001E-2</v>
      </c>
      <c r="Q67" s="227">
        <v>2.5000000000000001E-2</v>
      </c>
      <c r="T67" s="23"/>
      <c r="V67" s="23"/>
      <c r="W67" s="23"/>
      <c r="X67" s="23"/>
      <c r="Y67" s="23"/>
      <c r="Z67" s="23"/>
    </row>
    <row r="68" spans="1:26" x14ac:dyDescent="0.2">
      <c r="A68" s="153"/>
      <c r="P68" s="153"/>
      <c r="Q68" s="153"/>
      <c r="U68" s="23"/>
      <c r="V68" s="23"/>
      <c r="W68" s="23"/>
      <c r="X68" s="23"/>
      <c r="Y68" s="23"/>
      <c r="Z68" s="23"/>
    </row>
    <row r="69" spans="1:26" x14ac:dyDescent="0.2">
      <c r="A69" s="273">
        <v>0</v>
      </c>
      <c r="C69" s="234" t="str">
        <f xml:space="preserve"> GrGamma &amp; "_" &amp; BE_K_</f>
        <v>Γ_js_K</v>
      </c>
      <c r="D69" s="230">
        <f t="shared" ref="D69:E71" si="7" xml:space="preserve"> SUM( P$64:P$67 )</f>
        <v>0.13</v>
      </c>
      <c r="E69" s="230">
        <f t="shared" si="7"/>
        <v>0.16</v>
      </c>
      <c r="I69" s="272" t="str">
        <f xml:space="preserve"> Kostensatzfest</f>
        <v>fest</v>
      </c>
      <c r="J69" s="207" t="str">
        <f xml:space="preserve"> C69</f>
        <v>Γ_js_K</v>
      </c>
      <c r="K69" s="226" t="s">
        <v>237</v>
      </c>
      <c r="L69" s="211"/>
      <c r="M69" s="211"/>
    </row>
    <row r="70" spans="1:26" x14ac:dyDescent="0.2">
      <c r="A70" s="274">
        <f xml:space="preserve"> A69</f>
        <v>0</v>
      </c>
      <c r="C70" s="234" t="str">
        <f xml:space="preserve"> GrGamma &amp; "_" &amp; BE_J_</f>
        <v>Γ_js_J</v>
      </c>
      <c r="D70" s="230">
        <f t="shared" si="7"/>
        <v>0.13</v>
      </c>
      <c r="E70" s="230">
        <f t="shared" si="7"/>
        <v>0.16</v>
      </c>
      <c r="J70" s="207" t="str">
        <f xml:space="preserve"> C70</f>
        <v>Γ_js_J</v>
      </c>
      <c r="K70" s="226" t="s">
        <v>237</v>
      </c>
      <c r="L70" s="211"/>
      <c r="M70" s="211"/>
    </row>
    <row r="71" spans="1:26" x14ac:dyDescent="0.2">
      <c r="A71" s="274">
        <f t="shared" ref="A71:A72" si="8" xml:space="preserve"> A70</f>
        <v>0</v>
      </c>
      <c r="C71" s="234" t="str">
        <f xml:space="preserve"> GrGamma &amp; "_" &amp; jun</f>
        <v>Γ_js_jun</v>
      </c>
      <c r="D71" s="230">
        <f t="shared" si="7"/>
        <v>0.13</v>
      </c>
      <c r="E71" s="230">
        <f t="shared" si="7"/>
        <v>0.16</v>
      </c>
      <c r="J71" s="207" t="str">
        <f xml:space="preserve"> C71</f>
        <v>Γ_js_jun</v>
      </c>
      <c r="K71" s="232">
        <f t="shared" ref="K71:M72" si="9" xml:space="preserve"> IF(  K$61=Kostensatzfest,  ROUND( INDEX( $D71:$E71, MATCH( K$35, $D$2:$E$2, 0 ) ) * K$82, $A71 ),  0  )</f>
        <v>802</v>
      </c>
      <c r="L71" s="232">
        <f t="shared" si="9"/>
        <v>802</v>
      </c>
      <c r="M71" s="232">
        <f t="shared" si="9"/>
        <v>802</v>
      </c>
    </row>
    <row r="72" spans="1:26" x14ac:dyDescent="0.2">
      <c r="A72" s="274">
        <f t="shared" si="8"/>
        <v>0</v>
      </c>
      <c r="C72" s="234" t="str">
        <f xml:space="preserve"> GrGamma &amp; "_" &amp; sen</f>
        <v>Γ_js_sen</v>
      </c>
      <c r="D72" s="235">
        <f xml:space="preserve"> SUM( P$65:P$67 )</f>
        <v>0.10999999999999999</v>
      </c>
      <c r="E72" s="235">
        <f xml:space="preserve"> SUM( Q$65:Q$67 )</f>
        <v>0.10999999999999999</v>
      </c>
      <c r="J72" s="207" t="str">
        <f xml:space="preserve"> C72</f>
        <v>Γ_js_sen</v>
      </c>
      <c r="K72" s="232">
        <f t="shared" si="9"/>
        <v>679</v>
      </c>
      <c r="L72" s="232">
        <f t="shared" si="9"/>
        <v>679</v>
      </c>
      <c r="M72" s="232">
        <f t="shared" si="9"/>
        <v>679</v>
      </c>
    </row>
    <row r="74" spans="1:26" outlineLevel="1" x14ac:dyDescent="0.2">
      <c r="A74" s="259" t="s">
        <v>244</v>
      </c>
      <c r="K74" s="303">
        <f xml:space="preserve"> 'i1'!$AJ5</f>
        <v>802.03</v>
      </c>
      <c r="L74" s="303">
        <f xml:space="preserve"> 'i2'!$AJ5</f>
        <v>802.03</v>
      </c>
      <c r="M74" s="303">
        <f xml:space="preserve"> 'i3'!$AJ5</f>
        <v>802.03</v>
      </c>
    </row>
    <row r="75" spans="1:26" outlineLevel="1" x14ac:dyDescent="0.2">
      <c r="A75" s="260" t="s">
        <v>242</v>
      </c>
      <c r="K75" s="303">
        <f xml:space="preserve"> 'i1'!$AJ6</f>
        <v>679.02</v>
      </c>
      <c r="L75" s="303">
        <f xml:space="preserve"> 'i2'!$AJ6</f>
        <v>679.02</v>
      </c>
      <c r="M75" s="303">
        <f xml:space="preserve"> 'i3'!$AJ6</f>
        <v>679.02</v>
      </c>
    </row>
    <row r="76" spans="1:26" outlineLevel="1" x14ac:dyDescent="0.2">
      <c r="A76" s="261">
        <v>45</v>
      </c>
      <c r="B76" s="262">
        <v>0.57999999999999996</v>
      </c>
    </row>
    <row r="77" spans="1:26" outlineLevel="1" x14ac:dyDescent="0.2">
      <c r="B77" s="271"/>
    </row>
    <row r="78" spans="1:26" outlineLevel="1" x14ac:dyDescent="0.2">
      <c r="A78" s="260" t="str">
        <f xml:space="preserve"> "GKS-Alter entsprechend " &amp; A$75</f>
        <v>GKS-Alter entsprechend Durschnittsalter PKV</v>
      </c>
    </row>
    <row r="79" spans="1:26" outlineLevel="1" x14ac:dyDescent="0.2">
      <c r="A79" s="263">
        <f xml:space="preserve"> ROUND( 100 - ( 100 - A$76 ) * $B$76, 0 )</f>
        <v>68</v>
      </c>
      <c r="I79" s="99" t="str">
        <f xml:space="preserve"> I63</f>
        <v>dynamisch</v>
      </c>
      <c r="J79" s="257" t="str">
        <f xml:space="preserve"> "GKS für " &amp; A78</f>
        <v>GKS für GKS-Alter entsprechend Durschnittsalter PKV</v>
      </c>
      <c r="K79" s="258">
        <f xml:space="preserve"> AVERAGE(  INDEX( Kx!$H$20:$H$100, $A79-19 ) : INDEX( Kx!$MMM$20:$MMM$100, $A79-19 )  )</f>
        <v>2998.8019620465902</v>
      </c>
      <c r="L79" s="258">
        <f xml:space="preserve"> AVERAGE(  INDEX( Kx!$H$20:$H$100, $A79-19 ) : INDEX( Kx!$MMM$20:$MMM$100, $A79-19 )  )</f>
        <v>2998.8019620465902</v>
      </c>
      <c r="M79" s="258">
        <f xml:space="preserve"> AVERAGE(  INDEX( Kx!$H$20:$H$100, $A79-19 ) : INDEX( Kx!$MMM$20:$MMM$100, $A79-19 )  )</f>
        <v>2998.8019620465902</v>
      </c>
    </row>
    <row r="80" spans="1:26" outlineLevel="1" x14ac:dyDescent="0.2">
      <c r="I80" s="185"/>
      <c r="J80" s="257" t="str">
        <f xml:space="preserve"> "GKS für GKS-Alter entsprechend " &amp; J63</f>
        <v>GKS für GKS-Alter entsprechend x_r</v>
      </c>
      <c r="K80" s="258">
        <f xml:space="preserve"> AVERAGE(    INDEX( Kx!$H$20:$H$100,                  ROUND( 100 - ( 100 - K63 ) * $B$76, 0 ) - 19 )
                               : INDEX( Kx!$MMM$20:$MMM$100, ROUND( 100 - ( 100 - K63 ) * $B$76, 0 ) - 19 )  )</f>
        <v>2605.376463798194</v>
      </c>
      <c r="L80" s="258">
        <f xml:space="preserve"> AVERAGE(    INDEX( Kx!$H$20:$H$100,                  ROUND( 100 - ( 100 - L63 ) * $B$76, 0 ) - 19 )
                               : INDEX( Kx!$MMM$20:$MMM$100, ROUND( 100 - ( 100 - L63 ) * $B$76, 0 ) - 19 )  )</f>
        <v>2605.376463798194</v>
      </c>
      <c r="M80" s="258">
        <f xml:space="preserve"> AVERAGE(    INDEX( Kx!$H$20:$H$100,                  ROUND( 100 - ( 100 - M63 ) * $B$76, 0 ) - 19 )
                               : INDEX( Kx!$MMM$20:$MMM$100, ROUND( 100 - ( 100 - M63 ) * $B$76, 0 ) - 19 )  )</f>
        <v>2605.376463798194</v>
      </c>
    </row>
    <row r="81" spans="1:13" outlineLevel="1" x14ac:dyDescent="0.2">
      <c r="A81" s="263" t="str">
        <f xml:space="preserve"> A78</f>
        <v>GKS-Alter entsprechend Durschnittsalter PKV</v>
      </c>
    </row>
    <row r="82" spans="1:13" outlineLevel="1" x14ac:dyDescent="0.2">
      <c r="A82" s="263">
        <f xml:space="preserve"> A79</f>
        <v>68</v>
      </c>
      <c r="D82" s="202"/>
      <c r="I82" s="99" t="str">
        <f xml:space="preserve"> I69</f>
        <v>fest</v>
      </c>
      <c r="J82" s="257" t="str">
        <f xml:space="preserve"> "GKS für " &amp; A81</f>
        <v>GKS für GKS-Alter entsprechend Durschnittsalter PKV</v>
      </c>
      <c r="K82" s="258">
        <f xml:space="preserve"> IF(  K4=BE_MF_,  AVERAGE( INDEX(  Kx!$20:$100,  $A82 - 19,  MATCH( TRIM( K34 &amp; " # " &amp; BE_M_ &amp; " " &amp; "*"   ), Kx!$15:$15, 0 )  ),
                                                                       INDEX(  Kx!$20:$100,  $A82 - 19,  MATCH( TRIM( K34 &amp; " # " &amp; BE_F_  &amp; " " &amp; "*"    ), Kx!$15:$15, 0 )  )      ),
                                                                       INDEX(  Kx!$20:$100,  $A82 - 19,  MATCH( TRIM( K34 &amp; " # " &amp; K4         &amp; " " &amp; K37 ), Kx!$15:$15, 0 )  )   )</f>
        <v>6171.2520690000001</v>
      </c>
      <c r="L82" s="258">
        <f xml:space="preserve"> IF(  L4=BE_MF_,  AVERAGE( INDEX(  Kx!$20:$100,  $A82 - 19,  MATCH( TRIM( L34 &amp; " # " &amp; BE_M_ &amp; " " &amp; "*"   ), Kx!$15:$15, 0 )  ),
                                                                       INDEX(  Kx!$20:$100,  $A82 - 19,  MATCH( TRIM( L34 &amp; " # " &amp; BE_F_  &amp; " " &amp; "*"    ), Kx!$15:$15, 0 )  )      ),
                                                                       INDEX(  Kx!$20:$100,  $A82 - 19,  MATCH( TRIM( L34 &amp; " # " &amp; L4         &amp; " " &amp; L37 ), Kx!$15:$15, 0 )  )   )</f>
        <v>6171.2520690000001</v>
      </c>
      <c r="M82" s="258">
        <f xml:space="preserve"> IF(  M4=BE_MF_,  AVERAGE( INDEX(  Kx!$20:$100,  $A82 - 19,  MATCH( TRIM( M34 &amp; " # " &amp; BE_M_ &amp; " " &amp; "*"   ), Kx!$15:$15, 0 )  ),
                                                                       INDEX(  Kx!$20:$100,  $A82 - 19,  MATCH( TRIM( M34 &amp; " # " &amp; BE_F_  &amp; " " &amp; "*"    ), Kx!$15:$15, 0 )  )      ),
                                                                       INDEX(  Kx!$20:$100,  $A82 - 19,  MATCH( TRIM( M34 &amp; " # " &amp; M4         &amp; " " &amp; M37 ), Kx!$15:$15, 0 )  )   )</f>
        <v>6171.2520690000001</v>
      </c>
    </row>
    <row r="83" spans="1:13" x14ac:dyDescent="0.2">
      <c r="C83" s="255" t="s">
        <v>249</v>
      </c>
      <c r="D83" s="187" t="str">
        <f xml:space="preserve"> D2</f>
        <v>Vollversicherung</v>
      </c>
      <c r="E83" s="187" t="str">
        <f xml:space="preserve"> E2</f>
        <v>GKV-Ergänzungs-Versicherung</v>
      </c>
    </row>
    <row r="84" spans="1:13" x14ac:dyDescent="0.2">
      <c r="C84" s="256">
        <v>0</v>
      </c>
      <c r="D84" s="256">
        <v>2</v>
      </c>
      <c r="E84" s="256">
        <v>9</v>
      </c>
      <c r="I84" s="207" t="str">
        <f xml:space="preserve"> alphaZ</f>
        <v>Zillmerung</v>
      </c>
      <c r="J84" s="207" t="str">
        <f xml:space="preserve"> alphaZx</f>
        <v>α^Z_x</v>
      </c>
      <c r="K84" s="254">
        <f t="shared" ref="K84" si="10" xml:space="preserve"> IF(  ISNUMBER( SEARCH( $C$83, K$34 ) ),  $C84,  INDEX( $D84:$E84, MATCH( K$35, $D$2:$E$2, 0 ) )  )</f>
        <v>2</v>
      </c>
      <c r="L84" s="254">
        <f xml:space="preserve"> IF(  ISNUMBER( SEARCH( $C$83, L$34 ) ),  $C84,  INDEX( $D84:$E84, MATCH( L$35, $D$2:$E$2, 0 ) )  )</f>
        <v>2</v>
      </c>
      <c r="M84" s="254">
        <f t="shared" ref="M84" si="11" xml:space="preserve"> IF(  ISNUMBER( SEARCH( $C$83, M$34 ) ),  $C84,  INDEX( $D84:$E84, MATCH( M$35, $D$2:$E$2, 0 ) )  )</f>
        <v>2</v>
      </c>
    </row>
    <row r="85" spans="1:13" x14ac:dyDescent="0.2">
      <c r="C85" s="96"/>
      <c r="D85" s="96"/>
      <c r="E85" s="196"/>
      <c r="I85" s="96"/>
      <c r="J85" s="207" t="str">
        <f xml:space="preserve"> alphaZSchritt</f>
        <v>Reduktionsschritt</v>
      </c>
      <c r="K85" s="265">
        <f xml:space="preserve"> IF( K84&gt;=5, 1, 0.5 )</f>
        <v>0.5</v>
      </c>
      <c r="L85" s="265">
        <f t="shared" ref="L85:M85" si="12" xml:space="preserve"> IF( L84&gt;=5, 1, 0.5 )</f>
        <v>0.5</v>
      </c>
      <c r="M85" s="265">
        <f t="shared" si="12"/>
        <v>0.5</v>
      </c>
    </row>
    <row r="86" spans="1:13" x14ac:dyDescent="0.2">
      <c r="A86" s="202"/>
      <c r="J86" s="207" t="str">
        <f xml:space="preserve"> alphaZGrenzalter</f>
        <v>Grenzalter</v>
      </c>
      <c r="K86" s="266">
        <f xml:space="preserve">  MIN(  70,  ROUNDDOWN( K20 - K84 / K85, 0 ) + 1  )</f>
        <v>70</v>
      </c>
      <c r="L86" s="266">
        <f xml:space="preserve">  MIN(  70,  ROUNDDOWN( L20 - L84 / L85, 0 ) + 1  )</f>
        <v>70</v>
      </c>
      <c r="M86" s="266">
        <f xml:space="preserve">  MIN(  70,  ROUNDDOWN( M20 - M84 / M85, 0 ) + 1  )</f>
        <v>70</v>
      </c>
    </row>
    <row r="88" spans="1:13" x14ac:dyDescent="0.2">
      <c r="I88" s="153"/>
      <c r="J88" s="153"/>
      <c r="K88" s="153"/>
      <c r="L88" s="153"/>
      <c r="M88" s="153"/>
    </row>
    <row r="89" spans="1:13" x14ac:dyDescent="0.2">
      <c r="I89" s="207" t="str">
        <f xml:space="preserve"> Basis!$S$23</f>
        <v>Zuschlag in den ersten VJ</v>
      </c>
      <c r="J89" s="207" t="str">
        <f xml:space="preserve"> C57</f>
        <v>α^σ_jun</v>
      </c>
      <c r="K89" s="224">
        <f t="shared" ref="K89:M90" si="13" xml:space="preserve"> INDEX( $D57:$E57, MATCH( K$35, $D$2:$E$2, 0 ) )</f>
        <v>2.8999999999999998E-2</v>
      </c>
      <c r="L89" s="224">
        <f t="shared" si="13"/>
        <v>2.8999999999999998E-2</v>
      </c>
      <c r="M89" s="224">
        <f t="shared" si="13"/>
        <v>2.8999999999999998E-2</v>
      </c>
    </row>
    <row r="90" spans="1:13" x14ac:dyDescent="0.2">
      <c r="J90" s="207" t="str">
        <f xml:space="preserve"> C58</f>
        <v>α^σ_sen</v>
      </c>
      <c r="K90" s="224">
        <f t="shared" si="13"/>
        <v>0.03</v>
      </c>
      <c r="L90" s="224">
        <f t="shared" si="13"/>
        <v>0.03</v>
      </c>
      <c r="M90" s="224">
        <f t="shared" si="13"/>
        <v>0.03</v>
      </c>
    </row>
    <row r="92" spans="1:13" x14ac:dyDescent="0.2">
      <c r="H92" s="153"/>
      <c r="I92" s="153"/>
      <c r="J92" s="153"/>
      <c r="K92" s="153"/>
      <c r="L92" s="153"/>
      <c r="M92" s="153"/>
    </row>
    <row r="93" spans="1:13" x14ac:dyDescent="0.2">
      <c r="H93" s="153"/>
      <c r="I93" s="207" t="str">
        <f xml:space="preserve"> Basis!$W$7</f>
        <v>euBRE-Zuschlag</v>
      </c>
      <c r="J93" s="207" t="str">
        <f xml:space="preserve"> MajuskelBeta</f>
        <v>Β</v>
      </c>
      <c r="K93" s="226" t="s">
        <v>237</v>
      </c>
      <c r="L93" s="211"/>
      <c r="M93" s="211"/>
    </row>
    <row r="94" spans="1:13" x14ac:dyDescent="0.2">
      <c r="I94" s="202"/>
      <c r="J94" s="202"/>
      <c r="K94" s="231"/>
      <c r="L94" s="231"/>
      <c r="M94" s="231"/>
    </row>
    <row r="95" spans="1:13" x14ac:dyDescent="0.2">
      <c r="I95" s="153"/>
      <c r="J95" s="153"/>
      <c r="K95" s="153"/>
      <c r="L95" s="153"/>
      <c r="M95" s="153"/>
    </row>
    <row r="96" spans="1:13" x14ac:dyDescent="0.2">
      <c r="I96" s="207" t="str">
        <f xml:space="preserve"> Basis!$X$7</f>
        <v>Optionszuschlag</v>
      </c>
      <c r="J96" s="207" t="str">
        <f xml:space="preserve"> MajuskelOmikron</f>
        <v>Ο_x</v>
      </c>
      <c r="K96" s="226" t="s">
        <v>237</v>
      </c>
      <c r="L96" s="211"/>
      <c r="M96" s="211"/>
    </row>
    <row r="100" spans="7:13" x14ac:dyDescent="0.2">
      <c r="J100" s="185" t="str">
        <f xml:space="preserve"> GrV_x_xplusm &amp; " / " &amp; GrVZ_x_xplusm</f>
        <v>V_x;x+m / V^Z_x;x+m</v>
      </c>
      <c r="K100" s="151"/>
      <c r="L100" s="151"/>
      <c r="M100" s="151"/>
    </row>
    <row r="101" spans="7:13" x14ac:dyDescent="0.2">
      <c r="J101" s="99" t="str">
        <f xml:space="preserve"> x0</f>
        <v>x_0</v>
      </c>
      <c r="K101" s="159">
        <v>35</v>
      </c>
      <c r="L101" s="159">
        <v>35</v>
      </c>
      <c r="M101" s="159">
        <v>35</v>
      </c>
    </row>
    <row r="104" spans="7:13" x14ac:dyDescent="0.2">
      <c r="J104" s="185" t="s">
        <v>298</v>
      </c>
    </row>
    <row r="105" spans="7:13" x14ac:dyDescent="0.2">
      <c r="J105" s="99" t="s">
        <v>141</v>
      </c>
      <c r="K105" s="159">
        <v>50</v>
      </c>
      <c r="L105" s="159">
        <v>50</v>
      </c>
      <c r="M105" s="159">
        <v>50</v>
      </c>
    </row>
    <row r="106" spans="7:13" x14ac:dyDescent="0.2">
      <c r="G106" s="99"/>
      <c r="J106" s="99" t="str">
        <f xml:space="preserve"> SUBSTITUTE( alphaZx, "_x", "(i2;i1)" )</f>
        <v>α^Z(i2;i1)</v>
      </c>
      <c r="K106" s="165">
        <v>3</v>
      </c>
      <c r="L106" s="165">
        <v>3</v>
      </c>
      <c r="M106" s="165">
        <v>3</v>
      </c>
    </row>
    <row r="108" spans="7:13" x14ac:dyDescent="0.2">
      <c r="J108" s="185" t="s">
        <v>299</v>
      </c>
    </row>
    <row r="109" spans="7:13" x14ac:dyDescent="0.2">
      <c r="J109" s="99" t="s">
        <v>300</v>
      </c>
      <c r="K109" s="159">
        <v>65</v>
      </c>
      <c r="L109" s="159">
        <v>50</v>
      </c>
      <c r="M109" s="159">
        <v>50</v>
      </c>
    </row>
    <row r="112" spans="7:13" x14ac:dyDescent="0.2">
      <c r="J112" s="153"/>
      <c r="K112" s="163">
        <f xml:space="preserve"> MAX( K101,K105)</f>
        <v>50</v>
      </c>
      <c r="L112" s="383"/>
      <c r="M112" s="383"/>
    </row>
    <row r="113" spans="6:13" x14ac:dyDescent="0.2">
      <c r="F113" s="203"/>
      <c r="G113" s="203"/>
      <c r="K113" s="163">
        <f xml:space="preserve"> MAX( K109,K112)</f>
        <v>65</v>
      </c>
      <c r="L113" s="383"/>
      <c r="M113" s="383"/>
    </row>
    <row r="125" spans="6:13" x14ac:dyDescent="0.2">
      <c r="I125" s="96"/>
      <c r="J125" s="96"/>
      <c r="K125" s="151"/>
      <c r="L125" s="151"/>
      <c r="M125" s="151"/>
    </row>
    <row r="126" spans="6:13" x14ac:dyDescent="0.2">
      <c r="K126" s="151"/>
      <c r="L126" s="151"/>
      <c r="M126" s="151"/>
    </row>
    <row r="127" spans="6:13" x14ac:dyDescent="0.2">
      <c r="K127" s="151"/>
      <c r="L127" s="151"/>
      <c r="M127" s="151"/>
    </row>
    <row r="131" spans="9:9" x14ac:dyDescent="0.2">
      <c r="I131" s="185"/>
    </row>
    <row r="149" spans="10:13" x14ac:dyDescent="0.2">
      <c r="J149" s="153"/>
      <c r="K149" s="153"/>
      <c r="L149" s="153"/>
      <c r="M149" s="153"/>
    </row>
    <row r="150" spans="10:13" x14ac:dyDescent="0.2">
      <c r="J150" s="153"/>
      <c r="K150" s="153"/>
      <c r="L150" s="153"/>
      <c r="M150" s="153"/>
    </row>
  </sheetData>
  <phoneticPr fontId="2" type="noConversion"/>
  <conditionalFormatting sqref="K4:M4">
    <cfRule type="expression" dxfId="67" priority="17">
      <formula>OR(ISNUMBER(SEARCH(BE_M,K4)),ISNUMBER(SEARCH(BE_M_,K4)))</formula>
    </cfRule>
  </conditionalFormatting>
  <conditionalFormatting sqref="K4:M4">
    <cfRule type="expression" dxfId="66" priority="15">
      <formula>OR(ISNUMBER(SEARCH(BE_MF,K4)),ISNUMBER(SEARCH(BE_MF_,K4)))</formula>
    </cfRule>
    <cfRule type="expression" dxfId="65" priority="16">
      <formula>OR(ISNUMBER(SEARCH(BE_F,K4)),ISNUMBER(SEARCH(BE_F_,K4)))</formula>
    </cfRule>
  </conditionalFormatting>
  <conditionalFormatting sqref="K1:M1 A58">
    <cfRule type="cellIs" dxfId="64" priority="13" operator="equal">
      <formula>FALSE</formula>
    </cfRule>
    <cfRule type="cellIs" dxfId="63" priority="14" stopIfTrue="1" operator="equal">
      <formula>TRUE</formula>
    </cfRule>
  </conditionalFormatting>
  <conditionalFormatting sqref="K11:M11">
    <cfRule type="expression" dxfId="62" priority="10">
      <formula>OR(ISNUMBER(SEARCH(BE_M,K11)),ISNUMBER(SEARCH(BE_M_,K11)))</formula>
    </cfRule>
  </conditionalFormatting>
  <conditionalFormatting sqref="K11:M11">
    <cfRule type="expression" dxfId="61" priority="8">
      <formula>OR(ISNUMBER(SEARCH(BE_MF,K11)),ISNUMBER(SEARCH(BE_MF_,K11)))</formula>
    </cfRule>
    <cfRule type="expression" dxfId="60" priority="9">
      <formula>OR(ISNUMBER(SEARCH(BE_F,K11)),ISNUMBER(SEARCH(BE_F_,K11)))</formula>
    </cfRule>
  </conditionalFormatting>
  <conditionalFormatting sqref="K45:M45">
    <cfRule type="expression" dxfId="59" priority="7">
      <formula>K44=JN_nein</formula>
    </cfRule>
  </conditionalFormatting>
  <conditionalFormatting sqref="K41:M41">
    <cfRule type="expression" dxfId="58" priority="3">
      <formula>K40=JN_nein</formula>
    </cfRule>
  </conditionalFormatting>
  <conditionalFormatting sqref="K12:M12">
    <cfRule type="expression" dxfId="57" priority="37">
      <formula>K$11&lt;&gt;BE_MF</formula>
    </cfRule>
  </conditionalFormatting>
  <dataValidations disablePrompts="1" count="7">
    <dataValidation type="list" allowBlank="1" showInputMessage="1" showErrorMessage="1" sqref="K44:M44 K40:M40 K6:M7">
      <formula1>JN_Auswahl</formula1>
    </dataValidation>
    <dataValidation type="list" allowBlank="1" showInputMessage="1" showErrorMessage="1" sqref="K36:M36">
      <formula1>SML_Auswahl</formula1>
    </dataValidation>
    <dataValidation type="list" allowBlank="1" showInputMessage="1" showErrorMessage="1" sqref="K27:M27">
      <formula1>qx_Auswahl</formula1>
    </dataValidation>
    <dataValidation type="list" allowBlank="1" showInputMessage="1" showErrorMessage="1" sqref="K28:M28">
      <formula1>wx_Auswahl</formula1>
    </dataValidation>
    <dataValidation type="list" allowBlank="1" showInputMessage="1" showErrorMessage="1" sqref="K34:M34">
      <formula1>Kx_Auswahl</formula1>
    </dataValidation>
    <dataValidation type="list" allowBlank="1" showInputMessage="1" showErrorMessage="1" sqref="K22:M22">
      <formula1>oUEW</formula1>
    </dataValidation>
    <dataValidation type="list" allowBlank="1" showInputMessage="1" showErrorMessage="1" sqref="K61:M61">
      <formula1>Kostensatz_Auswahl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Basis!$D$9:$D$11</xm:f>
          </x14:formula1>
          <xm:sqref>K11:M11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>
    <tabColor indexed="16"/>
  </sheetPr>
  <dimension ref="A1:JO149"/>
  <sheetViews>
    <sheetView showGridLines="0" tabSelected="1" workbookViewId="0"/>
  </sheetViews>
  <sheetFormatPr baseColWidth="10" defaultColWidth="8.77734375" defaultRowHeight="10.199999999999999" x14ac:dyDescent="0.2"/>
  <cols>
    <col min="1" max="2" width="8.77734375" style="385"/>
    <col min="3" max="5" width="8.77734375" style="388"/>
    <col min="6" max="13" width="8.77734375" style="385"/>
    <col min="14" max="14" width="8.77734375" style="323"/>
    <col min="15" max="15" width="8.77734375" style="385"/>
    <col min="16" max="32" width="8.77734375" style="487"/>
    <col min="33" max="35" width="8.77734375" style="323"/>
    <col min="36" max="37" width="8.77734375" style="487"/>
    <col min="38" max="43" width="8.77734375" style="323"/>
    <col min="44" max="45" width="8.77734375" style="487"/>
    <col min="46" max="49" width="8.77734375" style="323"/>
    <col min="50" max="50" width="8.77734375" style="487"/>
    <col min="51" max="54" width="8.77734375" style="323"/>
    <col min="55" max="56" width="8.77734375" style="487"/>
    <col min="57" max="57" width="8.77734375" style="323"/>
    <col min="58" max="59" width="8.77734375" style="487"/>
    <col min="60" max="67" width="8.77734375" style="323"/>
    <col min="68" max="70" width="8.77734375" style="487"/>
    <col min="71" max="71" width="8.77734375" style="323"/>
    <col min="72" max="72" width="8.77734375" style="511"/>
    <col min="73" max="75" width="8.77734375" style="487"/>
    <col min="76" max="84" width="8.77734375" style="323"/>
    <col min="85" max="98" width="8.77734375" style="487"/>
    <col min="99" max="113" width="8.77734375" style="323"/>
    <col min="114" max="114" width="8.77734375" style="323" customWidth="1"/>
    <col min="115" max="117" width="8.77734375" style="323"/>
    <col min="118" max="120" width="8.77734375" style="487"/>
    <col min="121" max="128" width="8.77734375" style="323"/>
    <col min="129" max="140" width="8.77734375" style="487"/>
    <col min="141" max="141" width="8.77734375" style="323"/>
    <col min="142" max="16384" width="8.77734375" style="487"/>
  </cols>
  <sheetData>
    <row r="1" spans="1:275" s="385" customFormat="1" x14ac:dyDescent="0.25">
      <c r="A1" s="384" t="str">
        <f xml:space="preserve"> C1</f>
        <v>i1</v>
      </c>
      <c r="C1" s="386" t="str">
        <f xml:space="preserve"> i1_</f>
        <v>i1</v>
      </c>
      <c r="D1" s="387">
        <f xml:space="preserve"> MATCH( C1, Auswahl_Tarife, 0 )</f>
        <v>1</v>
      </c>
      <c r="E1" s="388"/>
      <c r="K1" s="389"/>
      <c r="L1" s="390">
        <f xml:space="preserve"> IF( $B$17, GrGamma_Rd, nix_Rd )</f>
        <v>2</v>
      </c>
      <c r="BT1" s="391"/>
      <c r="CW1" s="385" t="s">
        <v>297</v>
      </c>
      <c r="DS1" s="392" t="s">
        <v>146</v>
      </c>
      <c r="DT1" s="393"/>
    </row>
    <row r="2" spans="1:275" s="385" customFormat="1" ht="61.2" x14ac:dyDescent="0.25">
      <c r="A2" s="394" t="str">
        <f xml:space="preserve"> D2</f>
        <v>Frauen+Männer</v>
      </c>
      <c r="C2" s="395" t="str">
        <f xml:space="preserve"> Geschl</f>
        <v>Geschlecht</v>
      </c>
      <c r="D2" s="394" t="str">
        <f xml:space="preserve"> INDEX( Auswahl_Geschl, $D$1 )</f>
        <v>Frauen+Männer</v>
      </c>
      <c r="E2" s="396"/>
      <c r="K2" s="397" t="str">
        <f xml:space="preserve"> GrGamma &amp; " " &amp; jun</f>
        <v>Γ_js jun</v>
      </c>
      <c r="L2" s="398">
        <f xml:space="preserve"> ROUND( INDEX( Auswahl_Gammaj, $D$1 ), L$1 )</f>
        <v>802</v>
      </c>
      <c r="R2" s="399"/>
      <c r="BT2" s="391"/>
      <c r="CW2" s="400" t="s">
        <v>11</v>
      </c>
      <c r="CX2" s="400"/>
      <c r="CY2" s="397" t="str">
        <f xml:space="preserve"> AUSW!$J$105</f>
        <v>x+m</v>
      </c>
      <c r="CZ2" s="397" t="str">
        <f xml:space="preserve"> AUSW!$J$109</f>
        <v>x+m+k</v>
      </c>
      <c r="DA2" s="401" t="str">
        <f xml:space="preserve"> xomega</f>
        <v>x_ω</v>
      </c>
      <c r="DS2" s="402" t="str">
        <f xml:space="preserve"> 'i2'!$C$1 &amp; " → _" &amp; DY12 &amp; "/" &amp; EL12 &amp; " " &amp; $C$1</f>
        <v>i2 → _35/50 i1</v>
      </c>
      <c r="DT2" s="402" t="str">
        <f xml:space="preserve">  "(" &amp; 'i2'!C1 &amp; ";" &amp; $C$1 &amp; ")"</f>
        <v>(i2;i1)</v>
      </c>
      <c r="EV2" s="403" t="s">
        <v>153</v>
      </c>
      <c r="EW2" s="403" t="s">
        <v>159</v>
      </c>
      <c r="EX2" s="403" t="s">
        <v>154</v>
      </c>
      <c r="EY2" s="403" t="s">
        <v>155</v>
      </c>
      <c r="FB2" s="404" t="str">
        <f xml:space="preserve"> SUBSTITUTE( EW2, "Frauen", "Männer")</f>
        <v xml:space="preserve"> Männer mit einzelalterverteilte SM-Leistungen</v>
      </c>
      <c r="FC2" s="404" t="str">
        <f xml:space="preserve"> SUBSTITUTE( EX2, "Frauen", "Männer")</f>
        <v xml:space="preserve"> Männer mit gleichverteilten SM-Leistungen</v>
      </c>
      <c r="FD2" s="404" t="str">
        <f xml:space="preserve"> SUBSTITUTE( EY2, "Frauen", "Männer")</f>
        <v xml:space="preserve"> Männer ohne SM-Leistungen</v>
      </c>
      <c r="FG2" s="403" t="s">
        <v>156</v>
      </c>
      <c r="FH2" s="403" t="s">
        <v>160</v>
      </c>
      <c r="FI2" s="403" t="s">
        <v>157</v>
      </c>
    </row>
    <row r="3" spans="1:275" s="385" customFormat="1" ht="20.399999999999999" x14ac:dyDescent="0.25">
      <c r="C3" s="395" t="str">
        <f xml:space="preserve"> lambdaxVorsicht</f>
        <v>lambdax-Vorsicht</v>
      </c>
      <c r="D3" s="405" t="str">
        <f xml:space="preserve"> TEXT( INDEX( Auswahl_lambdaxVorsicht, $D$1 ), "+ 0,0 %;- 0,0 %;+ 0,0 %")</f>
        <v>+ 50,0 %</v>
      </c>
      <c r="E3" s="406"/>
      <c r="K3" s="397" t="str">
        <f xml:space="preserve"> GrGamma &amp; " " &amp; sen</f>
        <v>Γ_js sen</v>
      </c>
      <c r="L3" s="398">
        <f xml:space="preserve"> ROUND( INDEX( Auswahl_Gammas, $D$1 ), L$1 )</f>
        <v>679</v>
      </c>
      <c r="BT3" s="391"/>
      <c r="CW3" s="407">
        <f xml:space="preserve"> INDEX( Auswahl_ARx, $D$1 )</f>
        <v>35</v>
      </c>
      <c r="CX3" s="407"/>
      <c r="CY3" s="407">
        <f xml:space="preserve"> INDEX(  Auswahl_TAExplusm, $D$1 )</f>
        <v>50</v>
      </c>
      <c r="CZ3" s="407">
        <f xml:space="preserve"> INDEX(  Auswahl_TAExplusmplusk, $D$1 )</f>
        <v>65</v>
      </c>
      <c r="DA3" s="408">
        <f xml:space="preserve">  INDEX( Auswahl_xomega, $D$1 )</f>
        <v>110</v>
      </c>
    </row>
    <row r="4" spans="1:275" s="385" customFormat="1" x14ac:dyDescent="0.25">
      <c r="C4" s="395" t="str">
        <f xml:space="preserve"> xomega</f>
        <v>x_ω</v>
      </c>
      <c r="D4" s="409" t="str">
        <f xml:space="preserve"> TEXT( O12, "0" )</f>
        <v>110</v>
      </c>
      <c r="E4" s="410"/>
      <c r="K4" s="411"/>
      <c r="L4" s="390">
        <f xml:space="preserve"> IF( $B$17, klgamma_Rd, nix_Rd )</f>
        <v>4</v>
      </c>
      <c r="AG4" s="412"/>
      <c r="AH4" s="413"/>
      <c r="AI4" s="390">
        <f xml:space="preserve"> GrGamma_Rd</f>
        <v>2</v>
      </c>
      <c r="AJ4" s="414" t="str">
        <f xml:space="preserve"> GrGamma</f>
        <v>Γ_js</v>
      </c>
      <c r="AK4" s="414" t="str">
        <f xml:space="preserve"> AJ4 &amp; "~"</f>
        <v>Γ_js~</v>
      </c>
      <c r="BT4" s="391"/>
      <c r="DA4" s="385" t="str">
        <f xml:space="preserve"> SUBSTITUTE( Z14, "_x", "_" &amp; CZ3 )</f>
        <v>p_65</v>
      </c>
      <c r="DS4" s="415" t="str">
        <f xml:space="preserve"> 'i2'!$AO$11 &amp; "(" &amp; i2_ &amp; ")"</f>
        <v>x_0(i2)</v>
      </c>
      <c r="DT4" s="415" t="str">
        <f xml:space="preserve"> AUSW!$J$105</f>
        <v>x+m</v>
      </c>
      <c r="EV4" s="416" t="str">
        <f xml:space="preserve"> H15</f>
        <v>Primo kompakt 2015</v>
      </c>
    </row>
    <row r="5" spans="1:275" s="385" customFormat="1" x14ac:dyDescent="0.2">
      <c r="C5" s="395" t="str">
        <f xml:space="preserve"> r_</f>
        <v>r</v>
      </c>
      <c r="D5" s="417" t="str">
        <f xml:space="preserve"> TEXT( S12, "0,0 %")</f>
        <v>2,5 %</v>
      </c>
      <c r="E5" s="418"/>
      <c r="K5" s="397" t="str">
        <f xml:space="preserve"> klgamma &amp; " " &amp; jun</f>
        <v>γ_js jun</v>
      </c>
      <c r="L5" s="419">
        <f xml:space="preserve"> ROUND( L2 / $J$19, L$4 )</f>
        <v>0.38600000000000001</v>
      </c>
      <c r="AB5" s="420" t="str">
        <f t="shared" ref="AB5:AB6" si="0" xml:space="preserve"> K5</f>
        <v>γ_js jun</v>
      </c>
      <c r="AC5" s="420">
        <f xml:space="preserve"> L5</f>
        <v>0.38600000000000001</v>
      </c>
      <c r="AG5" s="421" t="str">
        <f xml:space="preserve"> xalpha</f>
        <v>x_α</v>
      </c>
      <c r="AH5" s="422">
        <f xml:space="preserve"> INDEX( Auswahl_xalpha, $D$1 )</f>
        <v>20</v>
      </c>
      <c r="AI5" s="414" t="str">
        <f xml:space="preserve"> jun</f>
        <v>jun</v>
      </c>
      <c r="AJ5" s="423">
        <f xml:space="preserve"> ROUND( INDEX( $AI$20:$AI$120, $AH5-19 ) * INDEX( $AC$20:$AC$120, $AH5-19 ), $AI$4 )</f>
        <v>802.03</v>
      </c>
      <c r="AK5" s="423">
        <f xml:space="preserve"> ROUND( AJ5 / 12, $AI$4 )</f>
        <v>66.84</v>
      </c>
      <c r="BT5" s="391"/>
      <c r="DA5" s="424">
        <f xml:space="preserve"> INDEX( Z$20:Z$120, MATCH( CZ$3, $A$20:$A$120, 0 ) )</f>
        <v>4.1452999999999998</v>
      </c>
      <c r="DS5" s="425">
        <f xml:space="preserve"> 'i2'!$AO$12</f>
        <v>35</v>
      </c>
      <c r="DT5" s="425">
        <f xml:space="preserve"> INDEX(  Auswahl_TAExplusm, $D$1 )</f>
        <v>50</v>
      </c>
      <c r="EV5" s="426" t="e">
        <f xml:space="preserve">    INDEX( Kx!9:9, EV$16 )</f>
        <v>#N/A</v>
      </c>
      <c r="FR5" s="427">
        <f xml:space="preserve"> MAX( FS5:JO5)</f>
        <v>1</v>
      </c>
      <c r="FS5" s="428">
        <f t="shared" ref="FS5:GX5" si="1" xml:space="preserve"> IF(  FS18&gt;$FS$12,  LEER,  COUNTIF( FS20:FS120, "&lt;0" )  )</f>
        <v>1</v>
      </c>
      <c r="FT5" s="428">
        <f t="shared" si="1"/>
        <v>1</v>
      </c>
      <c r="FU5" s="428">
        <f t="shared" si="1"/>
        <v>1</v>
      </c>
      <c r="FV5" s="428">
        <f t="shared" si="1"/>
        <v>1</v>
      </c>
      <c r="FW5" s="428">
        <f t="shared" si="1"/>
        <v>1</v>
      </c>
      <c r="FX5" s="428">
        <f t="shared" si="1"/>
        <v>1</v>
      </c>
      <c r="FY5" s="428">
        <f t="shared" si="1"/>
        <v>1</v>
      </c>
      <c r="FZ5" s="428">
        <f t="shared" si="1"/>
        <v>1</v>
      </c>
      <c r="GA5" s="428">
        <f t="shared" si="1"/>
        <v>1</v>
      </c>
      <c r="GB5" s="428">
        <f t="shared" si="1"/>
        <v>1</v>
      </c>
      <c r="GC5" s="428">
        <f t="shared" si="1"/>
        <v>1</v>
      </c>
      <c r="GD5" s="428">
        <f t="shared" si="1"/>
        <v>1</v>
      </c>
      <c r="GE5" s="428">
        <f t="shared" si="1"/>
        <v>1</v>
      </c>
      <c r="GF5" s="428">
        <f t="shared" si="1"/>
        <v>1</v>
      </c>
      <c r="GG5" s="428">
        <f t="shared" si="1"/>
        <v>1</v>
      </c>
      <c r="GH5" s="428">
        <f t="shared" si="1"/>
        <v>1</v>
      </c>
      <c r="GI5" s="428">
        <f t="shared" si="1"/>
        <v>1</v>
      </c>
      <c r="GJ5" s="428">
        <f t="shared" si="1"/>
        <v>1</v>
      </c>
      <c r="GK5" s="428">
        <f t="shared" si="1"/>
        <v>1</v>
      </c>
      <c r="GL5" s="428">
        <f t="shared" si="1"/>
        <v>1</v>
      </c>
      <c r="GM5" s="428">
        <f t="shared" si="1"/>
        <v>1</v>
      </c>
      <c r="GN5" s="428">
        <f t="shared" si="1"/>
        <v>1</v>
      </c>
      <c r="GO5" s="428">
        <f t="shared" si="1"/>
        <v>1</v>
      </c>
      <c r="GP5" s="428">
        <f t="shared" si="1"/>
        <v>1</v>
      </c>
      <c r="GQ5" s="428">
        <f t="shared" si="1"/>
        <v>1</v>
      </c>
      <c r="GR5" s="428">
        <f t="shared" si="1"/>
        <v>1</v>
      </c>
      <c r="GS5" s="428">
        <f t="shared" si="1"/>
        <v>1</v>
      </c>
      <c r="GT5" s="428">
        <f t="shared" si="1"/>
        <v>1</v>
      </c>
      <c r="GU5" s="428">
        <f t="shared" si="1"/>
        <v>1</v>
      </c>
      <c r="GV5" s="428">
        <f t="shared" si="1"/>
        <v>1</v>
      </c>
      <c r="GW5" s="428">
        <f t="shared" si="1"/>
        <v>1</v>
      </c>
      <c r="GX5" s="428">
        <f t="shared" si="1"/>
        <v>1</v>
      </c>
      <c r="GY5" s="428">
        <f t="shared" ref="GY5:ID5" si="2" xml:space="preserve"> IF(  GY18&gt;$FS$12,  LEER,  COUNTIF( GY20:GY120, "&lt;0" )  )</f>
        <v>1</v>
      </c>
      <c r="GZ5" s="428">
        <f t="shared" si="2"/>
        <v>1</v>
      </c>
      <c r="HA5" s="428">
        <f t="shared" si="2"/>
        <v>1</v>
      </c>
      <c r="HB5" s="428">
        <f t="shared" si="2"/>
        <v>1</v>
      </c>
      <c r="HC5" s="428">
        <f t="shared" si="2"/>
        <v>1</v>
      </c>
      <c r="HD5" s="428">
        <f t="shared" si="2"/>
        <v>1</v>
      </c>
      <c r="HE5" s="428">
        <f t="shared" si="2"/>
        <v>1</v>
      </c>
      <c r="HF5" s="428">
        <f t="shared" si="2"/>
        <v>1</v>
      </c>
      <c r="HG5" s="428">
        <f t="shared" si="2"/>
        <v>1</v>
      </c>
      <c r="HH5" s="428">
        <f t="shared" si="2"/>
        <v>1</v>
      </c>
      <c r="HI5" s="428">
        <f t="shared" si="2"/>
        <v>1</v>
      </c>
      <c r="HJ5" s="428">
        <f t="shared" si="2"/>
        <v>1</v>
      </c>
      <c r="HK5" s="428">
        <f t="shared" si="2"/>
        <v>1</v>
      </c>
      <c r="HL5" s="428">
        <f t="shared" si="2"/>
        <v>1</v>
      </c>
      <c r="HM5" s="428">
        <f t="shared" si="2"/>
        <v>1</v>
      </c>
      <c r="HN5" s="428">
        <f t="shared" si="2"/>
        <v>1</v>
      </c>
      <c r="HO5" s="428">
        <f t="shared" si="2"/>
        <v>1</v>
      </c>
      <c r="HP5" s="428">
        <f t="shared" si="2"/>
        <v>1</v>
      </c>
      <c r="HQ5" s="428">
        <f t="shared" si="2"/>
        <v>1</v>
      </c>
      <c r="HR5" s="428">
        <f t="shared" si="2"/>
        <v>1</v>
      </c>
      <c r="HS5" s="428">
        <f t="shared" si="2"/>
        <v>1</v>
      </c>
      <c r="HT5" s="428">
        <f t="shared" si="2"/>
        <v>1</v>
      </c>
      <c r="HU5" s="428">
        <f t="shared" si="2"/>
        <v>0</v>
      </c>
      <c r="HV5" s="428">
        <f t="shared" si="2"/>
        <v>0</v>
      </c>
      <c r="HW5" s="428">
        <f t="shared" si="2"/>
        <v>0</v>
      </c>
      <c r="HX5" s="428">
        <f t="shared" si="2"/>
        <v>1</v>
      </c>
      <c r="HY5" s="428">
        <f t="shared" si="2"/>
        <v>0</v>
      </c>
      <c r="HZ5" s="428">
        <f t="shared" si="2"/>
        <v>0</v>
      </c>
      <c r="IA5" s="428">
        <f t="shared" si="2"/>
        <v>1</v>
      </c>
      <c r="IB5" s="428">
        <f t="shared" si="2"/>
        <v>0</v>
      </c>
      <c r="IC5" s="428">
        <f t="shared" si="2"/>
        <v>0</v>
      </c>
      <c r="ID5" s="428">
        <f t="shared" si="2"/>
        <v>1</v>
      </c>
      <c r="IE5" s="428">
        <f t="shared" ref="IE5:JO5" si="3" xml:space="preserve"> IF(  IE18&gt;$FS$12,  LEER,  COUNTIF( IE20:IE120, "&lt;0" )  )</f>
        <v>1</v>
      </c>
      <c r="IF5" s="428">
        <f t="shared" si="3"/>
        <v>1</v>
      </c>
      <c r="IG5" s="428">
        <f t="shared" si="3"/>
        <v>1</v>
      </c>
      <c r="IH5" s="428">
        <f t="shared" si="3"/>
        <v>1</v>
      </c>
      <c r="II5" s="428">
        <f t="shared" si="3"/>
        <v>1</v>
      </c>
      <c r="IJ5" s="428">
        <f t="shared" si="3"/>
        <v>0</v>
      </c>
      <c r="IK5" s="428">
        <f t="shared" si="3"/>
        <v>1</v>
      </c>
      <c r="IL5" s="428">
        <f t="shared" si="3"/>
        <v>0</v>
      </c>
      <c r="IM5" s="428">
        <f t="shared" si="3"/>
        <v>0</v>
      </c>
      <c r="IN5" s="428">
        <f t="shared" si="3"/>
        <v>0</v>
      </c>
      <c r="IO5" s="428">
        <f t="shared" si="3"/>
        <v>1</v>
      </c>
      <c r="IP5" s="428">
        <f t="shared" si="3"/>
        <v>1</v>
      </c>
      <c r="IQ5" s="428">
        <f t="shared" si="3"/>
        <v>0</v>
      </c>
      <c r="IR5" s="428">
        <f t="shared" si="3"/>
        <v>0</v>
      </c>
      <c r="IS5" s="428">
        <f t="shared" si="3"/>
        <v>0</v>
      </c>
      <c r="IT5" s="428">
        <f t="shared" si="3"/>
        <v>0</v>
      </c>
      <c r="IU5" s="428">
        <f t="shared" si="3"/>
        <v>1</v>
      </c>
      <c r="IV5" s="428">
        <f t="shared" si="3"/>
        <v>0</v>
      </c>
      <c r="IW5" s="428">
        <f t="shared" si="3"/>
        <v>1</v>
      </c>
      <c r="IX5" s="428">
        <f t="shared" si="3"/>
        <v>1</v>
      </c>
      <c r="IY5" s="428">
        <f t="shared" si="3"/>
        <v>1</v>
      </c>
      <c r="IZ5" s="428">
        <f t="shared" si="3"/>
        <v>1</v>
      </c>
      <c r="JA5" s="428">
        <f t="shared" si="3"/>
        <v>1</v>
      </c>
      <c r="JB5" s="428">
        <f t="shared" si="3"/>
        <v>0</v>
      </c>
      <c r="JC5" s="428">
        <f t="shared" si="3"/>
        <v>1</v>
      </c>
      <c r="JD5" s="428">
        <f t="shared" si="3"/>
        <v>0</v>
      </c>
      <c r="JE5" s="428">
        <f t="shared" si="3"/>
        <v>0</v>
      </c>
      <c r="JF5" s="428" t="str">
        <f t="shared" si="3"/>
        <v>.</v>
      </c>
      <c r="JG5" s="428" t="str">
        <f t="shared" si="3"/>
        <v>.</v>
      </c>
      <c r="JH5" s="428" t="str">
        <f t="shared" si="3"/>
        <v>.</v>
      </c>
      <c r="JI5" s="428" t="str">
        <f t="shared" si="3"/>
        <v>.</v>
      </c>
      <c r="JJ5" s="428" t="str">
        <f t="shared" si="3"/>
        <v>.</v>
      </c>
      <c r="JK5" s="428" t="str">
        <f t="shared" si="3"/>
        <v>.</v>
      </c>
      <c r="JL5" s="428" t="str">
        <f t="shared" si="3"/>
        <v>.</v>
      </c>
      <c r="JM5" s="428" t="str">
        <f t="shared" si="3"/>
        <v>.</v>
      </c>
      <c r="JN5" s="428" t="str">
        <f t="shared" si="3"/>
        <v>.</v>
      </c>
      <c r="JO5" s="428" t="str">
        <f t="shared" si="3"/>
        <v>.</v>
      </c>
    </row>
    <row r="6" spans="1:275" s="385" customFormat="1" x14ac:dyDescent="0.25">
      <c r="C6" s="395" t="str">
        <f xml:space="preserve"> qx</f>
        <v>q_x</v>
      </c>
      <c r="D6" s="429" t="str">
        <f xml:space="preserve"> F15</f>
        <v>PKV 2017</v>
      </c>
      <c r="E6" s="430"/>
      <c r="K6" s="397" t="str">
        <f xml:space="preserve"> klgamma &amp; " " &amp; sen</f>
        <v>γ_js sen</v>
      </c>
      <c r="L6" s="419">
        <f xml:space="preserve"> ROUND( L3 / $J$19, L$4 )</f>
        <v>0.32679999999999998</v>
      </c>
      <c r="AB6" s="420" t="str">
        <f t="shared" si="0"/>
        <v>γ_js sen</v>
      </c>
      <c r="AC6" s="420">
        <f t="shared" ref="AC6" si="4" xml:space="preserve"> L6</f>
        <v>0.32679999999999998</v>
      </c>
      <c r="AG6" s="421" t="str">
        <f xml:space="preserve"> xomega</f>
        <v>x_ω</v>
      </c>
      <c r="AH6" s="422">
        <f xml:space="preserve"> INDEX( Auswahl_xsen, $D$1 )</f>
        <v>65</v>
      </c>
      <c r="AI6" s="414" t="str">
        <f xml:space="preserve"> sen</f>
        <v>sen</v>
      </c>
      <c r="AJ6" s="423">
        <f xml:space="preserve"> ROUND( INDEX( $AI$20:$AI$120, $AH6-19 ) * INDEX( $AC$20:$AC$120, $AH6-19 ), $AI$4 )</f>
        <v>679.02</v>
      </c>
      <c r="AK6" s="423">
        <f xml:space="preserve"> ROUND( AJ6 / 12, $AI$4 )</f>
        <v>56.59</v>
      </c>
      <c r="BT6" s="391"/>
      <c r="DA6" s="431" t="str">
        <f xml:space="preserve"> G</f>
        <v>G</v>
      </c>
      <c r="DW6" s="432">
        <f xml:space="preserve"> IF( $B$17, GrVZ_x_xplusm_Rd, nix_Rd )</f>
        <v>2</v>
      </c>
      <c r="EA6" s="432">
        <f xml:space="preserve"> IF( $B$17, alphaZx_Rd, nix_Rd )</f>
        <v>1</v>
      </c>
      <c r="EH6" s="432">
        <f xml:space="preserve"> IF( $B$17, GrBZx_Rd, nix_Rd )</f>
        <v>2</v>
      </c>
      <c r="EV6" s="433" t="e">
        <f xml:space="preserve"> EV4 &amp; ":
" &amp; EV5</f>
        <v>#N/A</v>
      </c>
      <c r="FR6" s="421" t="s">
        <v>174</v>
      </c>
      <c r="FS6" s="434">
        <f t="shared" ref="FS6:GX6" si="5" xml:space="preserve"> IF(  FS18&gt;$FS$12,  LEER,  MIN( 15, ROUNDDOWN( ( $FS$12 - FS18 ) / 2, 0 ) )  )</f>
        <v>15</v>
      </c>
      <c r="FT6" s="434">
        <f t="shared" si="5"/>
        <v>15</v>
      </c>
      <c r="FU6" s="434">
        <f t="shared" si="5"/>
        <v>15</v>
      </c>
      <c r="FV6" s="434">
        <f t="shared" si="5"/>
        <v>15</v>
      </c>
      <c r="FW6" s="434">
        <f t="shared" si="5"/>
        <v>15</v>
      </c>
      <c r="FX6" s="434">
        <f t="shared" si="5"/>
        <v>15</v>
      </c>
      <c r="FY6" s="434">
        <f t="shared" si="5"/>
        <v>15</v>
      </c>
      <c r="FZ6" s="434">
        <f t="shared" si="5"/>
        <v>15</v>
      </c>
      <c r="GA6" s="434">
        <f t="shared" si="5"/>
        <v>15</v>
      </c>
      <c r="GB6" s="434">
        <f t="shared" si="5"/>
        <v>15</v>
      </c>
      <c r="GC6" s="434">
        <f t="shared" si="5"/>
        <v>15</v>
      </c>
      <c r="GD6" s="434">
        <f t="shared" si="5"/>
        <v>15</v>
      </c>
      <c r="GE6" s="434">
        <f t="shared" si="5"/>
        <v>15</v>
      </c>
      <c r="GF6" s="434">
        <f t="shared" si="5"/>
        <v>15</v>
      </c>
      <c r="GG6" s="434">
        <f t="shared" si="5"/>
        <v>15</v>
      </c>
      <c r="GH6" s="434">
        <f t="shared" si="5"/>
        <v>15</v>
      </c>
      <c r="GI6" s="434">
        <f t="shared" si="5"/>
        <v>15</v>
      </c>
      <c r="GJ6" s="434">
        <f t="shared" si="5"/>
        <v>15</v>
      </c>
      <c r="GK6" s="434">
        <f t="shared" si="5"/>
        <v>15</v>
      </c>
      <c r="GL6" s="434">
        <f t="shared" si="5"/>
        <v>15</v>
      </c>
      <c r="GM6" s="434">
        <f t="shared" si="5"/>
        <v>15</v>
      </c>
      <c r="GN6" s="434">
        <f t="shared" si="5"/>
        <v>15</v>
      </c>
      <c r="GO6" s="434">
        <f t="shared" si="5"/>
        <v>15</v>
      </c>
      <c r="GP6" s="434">
        <f t="shared" si="5"/>
        <v>15</v>
      </c>
      <c r="GQ6" s="434">
        <f t="shared" si="5"/>
        <v>15</v>
      </c>
      <c r="GR6" s="434">
        <f t="shared" si="5"/>
        <v>15</v>
      </c>
      <c r="GS6" s="434">
        <f t="shared" si="5"/>
        <v>15</v>
      </c>
      <c r="GT6" s="434">
        <f t="shared" si="5"/>
        <v>15</v>
      </c>
      <c r="GU6" s="434">
        <f t="shared" si="5"/>
        <v>15</v>
      </c>
      <c r="GV6" s="434">
        <f t="shared" si="5"/>
        <v>15</v>
      </c>
      <c r="GW6" s="434">
        <f t="shared" si="5"/>
        <v>15</v>
      </c>
      <c r="GX6" s="434">
        <f t="shared" si="5"/>
        <v>15</v>
      </c>
      <c r="GY6" s="434">
        <f t="shared" ref="GY6:ID6" si="6" xml:space="preserve"> IF(  GY18&gt;$FS$12,  LEER,  MIN( 15, ROUNDDOWN( ( $FS$12 - GY18 ) / 2, 0 ) )  )</f>
        <v>15</v>
      </c>
      <c r="GZ6" s="434">
        <f t="shared" si="6"/>
        <v>15</v>
      </c>
      <c r="HA6" s="434">
        <f t="shared" si="6"/>
        <v>15</v>
      </c>
      <c r="HB6" s="434">
        <f t="shared" si="6"/>
        <v>15</v>
      </c>
      <c r="HC6" s="434">
        <f t="shared" si="6"/>
        <v>15</v>
      </c>
      <c r="HD6" s="434">
        <f t="shared" si="6"/>
        <v>15</v>
      </c>
      <c r="HE6" s="434">
        <f t="shared" si="6"/>
        <v>15</v>
      </c>
      <c r="HF6" s="434">
        <f t="shared" si="6"/>
        <v>15</v>
      </c>
      <c r="HG6" s="434">
        <f t="shared" si="6"/>
        <v>15</v>
      </c>
      <c r="HH6" s="434">
        <f t="shared" si="6"/>
        <v>15</v>
      </c>
      <c r="HI6" s="434">
        <f t="shared" si="6"/>
        <v>15</v>
      </c>
      <c r="HJ6" s="434">
        <f t="shared" si="6"/>
        <v>15</v>
      </c>
      <c r="HK6" s="434">
        <f t="shared" si="6"/>
        <v>15</v>
      </c>
      <c r="HL6" s="434">
        <f t="shared" si="6"/>
        <v>15</v>
      </c>
      <c r="HM6" s="434">
        <f t="shared" si="6"/>
        <v>15</v>
      </c>
      <c r="HN6" s="434">
        <f t="shared" si="6"/>
        <v>15</v>
      </c>
      <c r="HO6" s="434">
        <f t="shared" si="6"/>
        <v>15</v>
      </c>
      <c r="HP6" s="434">
        <f t="shared" si="6"/>
        <v>15</v>
      </c>
      <c r="HQ6" s="434">
        <f t="shared" si="6"/>
        <v>15</v>
      </c>
      <c r="HR6" s="434">
        <f t="shared" si="6"/>
        <v>15</v>
      </c>
      <c r="HS6" s="434">
        <f t="shared" si="6"/>
        <v>15</v>
      </c>
      <c r="HT6" s="434">
        <f t="shared" si="6"/>
        <v>15</v>
      </c>
      <c r="HU6" s="434">
        <f t="shared" si="6"/>
        <v>15</v>
      </c>
      <c r="HV6" s="434">
        <f t="shared" si="6"/>
        <v>15</v>
      </c>
      <c r="HW6" s="434">
        <f t="shared" si="6"/>
        <v>15</v>
      </c>
      <c r="HX6" s="434">
        <f t="shared" si="6"/>
        <v>15</v>
      </c>
      <c r="HY6" s="434">
        <f t="shared" si="6"/>
        <v>15</v>
      </c>
      <c r="HZ6" s="434">
        <f t="shared" si="6"/>
        <v>15</v>
      </c>
      <c r="IA6" s="434">
        <f t="shared" si="6"/>
        <v>15</v>
      </c>
      <c r="IB6" s="434">
        <f t="shared" si="6"/>
        <v>14</v>
      </c>
      <c r="IC6" s="434">
        <f t="shared" si="6"/>
        <v>14</v>
      </c>
      <c r="ID6" s="434">
        <f t="shared" si="6"/>
        <v>13</v>
      </c>
      <c r="IE6" s="434">
        <f t="shared" ref="IE6:JO6" si="7" xml:space="preserve"> IF(  IE18&gt;$FS$12,  LEER,  MIN( 15, ROUNDDOWN( ( $FS$12 - IE18 ) / 2, 0 ) )  )</f>
        <v>13</v>
      </c>
      <c r="IF6" s="434">
        <f t="shared" si="7"/>
        <v>12</v>
      </c>
      <c r="IG6" s="434">
        <f t="shared" si="7"/>
        <v>12</v>
      </c>
      <c r="IH6" s="434">
        <f t="shared" si="7"/>
        <v>11</v>
      </c>
      <c r="II6" s="434">
        <f t="shared" si="7"/>
        <v>11</v>
      </c>
      <c r="IJ6" s="434">
        <f t="shared" si="7"/>
        <v>10</v>
      </c>
      <c r="IK6" s="434">
        <f t="shared" si="7"/>
        <v>10</v>
      </c>
      <c r="IL6" s="434">
        <f t="shared" si="7"/>
        <v>9</v>
      </c>
      <c r="IM6" s="434">
        <f t="shared" si="7"/>
        <v>9</v>
      </c>
      <c r="IN6" s="434">
        <f t="shared" si="7"/>
        <v>8</v>
      </c>
      <c r="IO6" s="434">
        <f t="shared" si="7"/>
        <v>8</v>
      </c>
      <c r="IP6" s="434">
        <f t="shared" si="7"/>
        <v>7</v>
      </c>
      <c r="IQ6" s="434">
        <f t="shared" si="7"/>
        <v>7</v>
      </c>
      <c r="IR6" s="434">
        <f t="shared" si="7"/>
        <v>6</v>
      </c>
      <c r="IS6" s="434">
        <f t="shared" si="7"/>
        <v>6</v>
      </c>
      <c r="IT6" s="434">
        <f t="shared" si="7"/>
        <v>5</v>
      </c>
      <c r="IU6" s="434">
        <f t="shared" si="7"/>
        <v>5</v>
      </c>
      <c r="IV6" s="434">
        <f t="shared" si="7"/>
        <v>4</v>
      </c>
      <c r="IW6" s="434">
        <f t="shared" si="7"/>
        <v>4</v>
      </c>
      <c r="IX6" s="434">
        <f t="shared" si="7"/>
        <v>3</v>
      </c>
      <c r="IY6" s="434">
        <f t="shared" si="7"/>
        <v>3</v>
      </c>
      <c r="IZ6" s="434">
        <f t="shared" si="7"/>
        <v>2</v>
      </c>
      <c r="JA6" s="434">
        <f t="shared" si="7"/>
        <v>2</v>
      </c>
      <c r="JB6" s="434">
        <f t="shared" si="7"/>
        <v>1</v>
      </c>
      <c r="JC6" s="434">
        <f t="shared" si="7"/>
        <v>1</v>
      </c>
      <c r="JD6" s="434">
        <f t="shared" si="7"/>
        <v>0</v>
      </c>
      <c r="JE6" s="434">
        <f t="shared" si="7"/>
        <v>0</v>
      </c>
      <c r="JF6" s="434" t="str">
        <f t="shared" si="7"/>
        <v>.</v>
      </c>
      <c r="JG6" s="434" t="str">
        <f t="shared" si="7"/>
        <v>.</v>
      </c>
      <c r="JH6" s="434" t="str">
        <f t="shared" si="7"/>
        <v>.</v>
      </c>
      <c r="JI6" s="434" t="str">
        <f t="shared" si="7"/>
        <v>.</v>
      </c>
      <c r="JJ6" s="434" t="str">
        <f t="shared" si="7"/>
        <v>.</v>
      </c>
      <c r="JK6" s="434" t="str">
        <f t="shared" si="7"/>
        <v>.</v>
      </c>
      <c r="JL6" s="434" t="str">
        <f t="shared" si="7"/>
        <v>.</v>
      </c>
      <c r="JM6" s="434" t="str">
        <f t="shared" si="7"/>
        <v>.</v>
      </c>
      <c r="JN6" s="434" t="str">
        <f t="shared" si="7"/>
        <v>.</v>
      </c>
      <c r="JO6" s="434" t="str">
        <f t="shared" si="7"/>
        <v>.</v>
      </c>
    </row>
    <row r="7" spans="1:275" s="385" customFormat="1" ht="20.399999999999999" x14ac:dyDescent="0.25">
      <c r="C7" s="395" t="str">
        <f xml:space="preserve"> wx</f>
        <v>w_x</v>
      </c>
      <c r="D7" s="429" t="str">
        <f xml:space="preserve"> G15</f>
        <v>Sto BaFin N 2015</v>
      </c>
      <c r="E7" s="430"/>
      <c r="U7" s="435"/>
      <c r="AN7" s="431" t="str">
        <f xml:space="preserve"> SUBSTITUTE( $Z14, "x", AN12 )</f>
        <v>p_35</v>
      </c>
      <c r="AO7" s="431" t="str">
        <f xml:space="preserve"> SUBSTITUTE( $AD14, "x", AO12 )</f>
        <v>z°p_35</v>
      </c>
      <c r="BT7" s="359" t="str">
        <f xml:space="preserve"> AN7</f>
        <v>p_35</v>
      </c>
      <c r="CH7" s="359" t="str">
        <f xml:space="preserve"> AN7</f>
        <v>p_35</v>
      </c>
      <c r="CN7" s="359" t="str">
        <f xml:space="preserve"> AO7</f>
        <v>z°p_35</v>
      </c>
      <c r="DA7" s="436">
        <f xml:space="preserve"> $J$19</f>
        <v>2077.79</v>
      </c>
      <c r="DS7" s="415" t="str">
        <f xml:space="preserve"> SUBSTITUTE(  'i2'!$Y$14, "x", DS12 ) &amp; "(" &amp; 'i2'!$C$1 &amp; ")"</f>
        <v>GrA_50(i2)</v>
      </c>
      <c r="DT7" s="415" t="str">
        <f xml:space="preserve"> SUBSTITUTE(  'i2'!$V$14, "x", DT12 ) &amp; "(" &amp; 'i2'!$C$1 &amp; ")"</f>
        <v>a_50(i2)</v>
      </c>
      <c r="DU7" s="415" t="str">
        <f xml:space="preserve"> SUBSTITUTE(  'i2'!$AD$14, "x", DU12 ) &amp; "(" &amp; 'i2'!$C$1 &amp; ")"</f>
        <v>z°p_35(i2)</v>
      </c>
      <c r="DV7" s="415" t="str">
        <f xml:space="preserve"> G &amp; "(" &amp; 'i2'!$C$1 &amp; ")"</f>
        <v>G(i2)</v>
      </c>
      <c r="DW7" s="415" t="str">
        <f xml:space="preserve"> SUBSTITUTE( SUBSTITUTE( GrVZ_x_xplusm, "x+m", DT5 ), "x", DS5 ) &amp; "(" &amp; 'i2'!$C$1 &amp; ")"</f>
        <v>V^Z_35;50(i2)</v>
      </c>
      <c r="DY7" s="415" t="str">
        <f xml:space="preserve"> SUBSTITUTE(  'i2'!$AJ$14, "x", DY12 ) &amp; "(" &amp; 'i2'!$C$1 &amp; ")"</f>
        <v>B°Z_35(i2)</v>
      </c>
      <c r="EA7" s="415" t="str">
        <f xml:space="preserve"> AUSW!J106</f>
        <v>α^Z(i2;i1)</v>
      </c>
      <c r="EC7" s="437" t="str">
        <f xml:space="preserve"> SUBSTITUTE( $K$14, "x", EC12 ) &amp; "(" &amp; $C$1 &amp; ")"</f>
        <v>α^Z_50(i1)</v>
      </c>
      <c r="ED7" s="437" t="str">
        <f xml:space="preserve"> SUBSTITUTE( $AJ$14, "x", ED12 ) &amp; "(" &amp; $C$1 &amp; ")"</f>
        <v>B°Z_50(i1)</v>
      </c>
      <c r="EE7" s="437" t="str">
        <f xml:space="preserve"> SUBSTITUTE(  $V$14, "x", EE12 ) &amp; "(" &amp; $C$1 &amp; ")"</f>
        <v>a_50(i1)</v>
      </c>
      <c r="EF7" s="437" t="str">
        <f xml:space="preserve"> SUBSTITUTE(  $M$14, "x", EF12 ) &amp; "(" &amp; $C$1 &amp; ")"</f>
        <v>Δ_js(i1)</v>
      </c>
      <c r="EH7" s="437" t="str">
        <f xml:space="preserve"> "H_" &amp; DS5 &amp; "/" &amp; DT5 &amp; " " &amp; DT2</f>
        <v>H_35/50 (i2;i1)</v>
      </c>
      <c r="EL7" s="415" t="str">
        <f xml:space="preserve"> SUBSTITUTE( $AD14, "x", EL12 ) &amp; "(" &amp; $C$1 &amp; ")"</f>
        <v>z°p_50(i1)</v>
      </c>
      <c r="EM7" s="437" t="str">
        <f xml:space="preserve"> EH7</f>
        <v>H_35/50 (i2;i1)</v>
      </c>
      <c r="FR7" s="438" t="str">
        <f xml:space="preserve"> K14</f>
        <v>α^Z_x</v>
      </c>
      <c r="FS7" s="428">
        <f t="array" ref="FS7:JO7" xml:space="preserve"> TRANSPOSE( K20:K120 )</f>
        <v>2</v>
      </c>
      <c r="FT7" s="428">
        <v>2</v>
      </c>
      <c r="FU7" s="428">
        <v>2</v>
      </c>
      <c r="FV7" s="428">
        <v>2</v>
      </c>
      <c r="FW7" s="428">
        <v>2</v>
      </c>
      <c r="FX7" s="428">
        <v>2</v>
      </c>
      <c r="FY7" s="428">
        <v>2</v>
      </c>
      <c r="FZ7" s="428">
        <v>2</v>
      </c>
      <c r="GA7" s="428">
        <v>2</v>
      </c>
      <c r="GB7" s="428">
        <v>2</v>
      </c>
      <c r="GC7" s="428">
        <v>2</v>
      </c>
      <c r="GD7" s="428">
        <v>2</v>
      </c>
      <c r="GE7" s="428">
        <v>2</v>
      </c>
      <c r="GF7" s="428">
        <v>2</v>
      </c>
      <c r="GG7" s="428">
        <v>2</v>
      </c>
      <c r="GH7" s="428">
        <v>2</v>
      </c>
      <c r="GI7" s="428">
        <v>2</v>
      </c>
      <c r="GJ7" s="428">
        <v>2</v>
      </c>
      <c r="GK7" s="428">
        <v>2</v>
      </c>
      <c r="GL7" s="428">
        <v>2</v>
      </c>
      <c r="GM7" s="428">
        <v>2</v>
      </c>
      <c r="GN7" s="428">
        <v>2</v>
      </c>
      <c r="GO7" s="428">
        <v>2</v>
      </c>
      <c r="GP7" s="428">
        <v>2</v>
      </c>
      <c r="GQ7" s="428">
        <v>2</v>
      </c>
      <c r="GR7" s="428">
        <v>2</v>
      </c>
      <c r="GS7" s="428">
        <v>2</v>
      </c>
      <c r="GT7" s="428">
        <v>2</v>
      </c>
      <c r="GU7" s="428">
        <v>2</v>
      </c>
      <c r="GV7" s="428">
        <v>2</v>
      </c>
      <c r="GW7" s="428">
        <v>2</v>
      </c>
      <c r="GX7" s="428">
        <v>2</v>
      </c>
      <c r="GY7" s="428">
        <v>2</v>
      </c>
      <c r="GZ7" s="428">
        <v>2</v>
      </c>
      <c r="HA7" s="428">
        <v>2</v>
      </c>
      <c r="HB7" s="428">
        <v>2</v>
      </c>
      <c r="HC7" s="428">
        <v>2</v>
      </c>
      <c r="HD7" s="428">
        <v>2</v>
      </c>
      <c r="HE7" s="428">
        <v>2</v>
      </c>
      <c r="HF7" s="428">
        <v>2</v>
      </c>
      <c r="HG7" s="428">
        <v>2</v>
      </c>
      <c r="HH7" s="428">
        <v>2</v>
      </c>
      <c r="HI7" s="428">
        <v>2</v>
      </c>
      <c r="HJ7" s="428">
        <v>2</v>
      </c>
      <c r="HK7" s="428">
        <v>2</v>
      </c>
      <c r="HL7" s="428">
        <v>2</v>
      </c>
      <c r="HM7" s="428">
        <v>2</v>
      </c>
      <c r="HN7" s="428">
        <v>2</v>
      </c>
      <c r="HO7" s="428">
        <v>2</v>
      </c>
      <c r="HP7" s="428">
        <v>2</v>
      </c>
      <c r="HQ7" s="428">
        <v>1.5</v>
      </c>
      <c r="HR7" s="428">
        <v>1</v>
      </c>
      <c r="HS7" s="428">
        <v>0.5</v>
      </c>
      <c r="HT7" s="428">
        <v>0</v>
      </c>
      <c r="HU7" s="428">
        <v>0</v>
      </c>
      <c r="HV7" s="428">
        <v>0</v>
      </c>
      <c r="HW7" s="428">
        <v>0</v>
      </c>
      <c r="HX7" s="428">
        <v>0</v>
      </c>
      <c r="HY7" s="428">
        <v>0</v>
      </c>
      <c r="HZ7" s="428">
        <v>0</v>
      </c>
      <c r="IA7" s="428">
        <v>0</v>
      </c>
      <c r="IB7" s="428">
        <v>0</v>
      </c>
      <c r="IC7" s="428">
        <v>0</v>
      </c>
      <c r="ID7" s="428">
        <v>0</v>
      </c>
      <c r="IE7" s="428">
        <v>0</v>
      </c>
      <c r="IF7" s="428">
        <v>0</v>
      </c>
      <c r="IG7" s="428">
        <v>0</v>
      </c>
      <c r="IH7" s="428">
        <v>0</v>
      </c>
      <c r="II7" s="428">
        <v>0</v>
      </c>
      <c r="IJ7" s="428">
        <v>0</v>
      </c>
      <c r="IK7" s="428">
        <v>0</v>
      </c>
      <c r="IL7" s="428">
        <v>0</v>
      </c>
      <c r="IM7" s="428">
        <v>0</v>
      </c>
      <c r="IN7" s="428">
        <v>0</v>
      </c>
      <c r="IO7" s="428">
        <v>0</v>
      </c>
      <c r="IP7" s="428">
        <v>0</v>
      </c>
      <c r="IQ7" s="428">
        <v>0</v>
      </c>
      <c r="IR7" s="428">
        <v>0</v>
      </c>
      <c r="IS7" s="428">
        <v>0</v>
      </c>
      <c r="IT7" s="428">
        <v>0</v>
      </c>
      <c r="IU7" s="428">
        <v>0</v>
      </c>
      <c r="IV7" s="428">
        <v>0</v>
      </c>
      <c r="IW7" s="428">
        <v>0</v>
      </c>
      <c r="IX7" s="428">
        <v>0</v>
      </c>
      <c r="IY7" s="428">
        <v>0</v>
      </c>
      <c r="IZ7" s="428">
        <v>0</v>
      </c>
      <c r="JA7" s="428">
        <v>0</v>
      </c>
      <c r="JB7" s="428">
        <v>0</v>
      </c>
      <c r="JC7" s="428">
        <v>0</v>
      </c>
      <c r="JD7" s="428">
        <v>0</v>
      </c>
      <c r="JE7" s="428">
        <v>0</v>
      </c>
      <c r="JF7" s="428">
        <v>0</v>
      </c>
      <c r="JG7" s="428">
        <v>0</v>
      </c>
      <c r="JH7" s="428">
        <v>0</v>
      </c>
      <c r="JI7" s="428">
        <v>0</v>
      </c>
      <c r="JJ7" s="428">
        <v>0</v>
      </c>
      <c r="JK7" s="428">
        <v>0</v>
      </c>
      <c r="JL7" s="428">
        <v>0</v>
      </c>
      <c r="JM7" s="428">
        <v>0</v>
      </c>
      <c r="JN7" s="428">
        <v>0</v>
      </c>
      <c r="JO7" s="428">
        <v>0</v>
      </c>
    </row>
    <row r="8" spans="1:275" s="385" customFormat="1" x14ac:dyDescent="0.25">
      <c r="C8" s="395" t="str">
        <f xml:space="preserve"> GrKx</f>
        <v>K_x</v>
      </c>
      <c r="D8" s="429" t="str">
        <f xml:space="preserve"> I15 &amp; IF( J12=0, "", " (" &amp; TEXT( J12, "+ 0,0 %;- 0,0 %; 0,0 %" ) &amp; ")" )</f>
        <v>Primo kompakt 2015</v>
      </c>
      <c r="E8" s="430"/>
      <c r="AD8" s="439"/>
      <c r="AN8" s="440">
        <f xml:space="preserve"> INDEX( $Z$20:$Z$120, MATCH( AN12, $A$20:$A$120, 0 ) )</f>
        <v>1.8541000000000001</v>
      </c>
      <c r="AO8" s="440">
        <f xml:space="preserve"> INDEX( $AD$20:$AD$120, MATCH( AO12, $A$20:$A$120, 0 ) )</f>
        <v>1.8763000000000001</v>
      </c>
      <c r="BT8" s="441">
        <f xml:space="preserve"> AN8</f>
        <v>1.8541000000000001</v>
      </c>
      <c r="CH8" s="441">
        <f xml:space="preserve"> AN8</f>
        <v>1.8541000000000001</v>
      </c>
      <c r="CN8" s="441">
        <f xml:space="preserve"> AO8</f>
        <v>1.8763000000000001</v>
      </c>
      <c r="DS8" s="442">
        <f xml:space="preserve"> INDEX( 'i2'!$Y$20:$Y$120, MATCH( DS12, 'i2'!$A$20:$A$120, 0 ) )</f>
        <v>56.371099999999998</v>
      </c>
      <c r="DT8" s="442">
        <f xml:space="preserve"> INDEX( 'i2'!$V$20:$V$120, MATCH( DT12, 'i2'!$A$20:$A$120, 0 ) )</f>
        <v>19.949100000000001</v>
      </c>
      <c r="DU8" s="442">
        <f xml:space="preserve"> INDEX( 'i2'!$AD$20:$AD$120, MATCH( DU12, 'i2'!$A$20:$A$120, 0 ) )</f>
        <v>1.8763000000000001</v>
      </c>
      <c r="DV8" s="443">
        <f xml:space="preserve"> 'i2'!J19</f>
        <v>2077.79</v>
      </c>
      <c r="DW8" s="420">
        <f xml:space="preserve"> ROUND(   DV8  * ( DS8 - DT8 * DU8 ),   DW$6  )</f>
        <v>39354.6</v>
      </c>
      <c r="DY8" s="444">
        <f xml:space="preserve"> INDEX( 'i2'!$AJ$20:$AJ$120, MATCH( DY12, 'i2'!$A$20:$A$120, 0 ) )</f>
        <v>5142.95</v>
      </c>
      <c r="EA8" s="445">
        <f xml:space="preserve"> ROUND( AUSW!$K$106, EA$6 )</f>
        <v>3</v>
      </c>
      <c r="EC8" s="446">
        <f xml:space="preserve"> INDEX( $K$20:$K$120, MATCH( EC12, $A$20:$A$120, 0 ) )</f>
        <v>2</v>
      </c>
      <c r="ED8" s="447">
        <f xml:space="preserve"> INDEX( $AJ$20:$AJ$120, MATCH( ED12, $A$20:$A$120, 0 ) )</f>
        <v>7368.26</v>
      </c>
      <c r="EE8" s="404">
        <f xml:space="preserve"> INDEX( $V$20:$V$120, MATCH( EE12, $A$20:$A$120, 0 ) )</f>
        <v>19.949100000000001</v>
      </c>
      <c r="EF8" s="448">
        <f xml:space="preserve"> INDEX( $M$20:$M$120, MATCH( EF12, $A$20:$A$120, 0 ) )</f>
        <v>8.5999999999999993E-2</v>
      </c>
      <c r="EH8" s="420">
        <f xml:space="preserve"> ROUND(  MAX(    0,    (  EC8 * ED8 + 12 * DW8 - MAX( 0, EA8 * ( ED8 - DY8 ) )  )  /  (  12 * EE8 * ( 1 - EF8 ) - EA8  )     ),  EH$6    )</f>
        <v>2225.73</v>
      </c>
      <c r="EL8" s="449">
        <f xml:space="preserve"> INDEX( $AD$20:$AD$120, MATCH( EL12, $A$20:$A$120, 0 ) )</f>
        <v>2.8552</v>
      </c>
      <c r="EM8" s="420">
        <f xml:space="preserve"> EH8</f>
        <v>2225.73</v>
      </c>
      <c r="EV8" s="450" t="str">
        <f xml:space="preserve"> BE_F_</f>
        <v>F</v>
      </c>
      <c r="EW8" s="450" t="str">
        <f xml:space="preserve"> BE_F_</f>
        <v>F</v>
      </c>
      <c r="EX8" s="450" t="str">
        <f xml:space="preserve"> BE_F_</f>
        <v>F</v>
      </c>
      <c r="EY8" s="450" t="str">
        <f xml:space="preserve"> BE_F_</f>
        <v>F</v>
      </c>
      <c r="FB8" s="450" t="str">
        <f xml:space="preserve"> BE_M_</f>
        <v>M</v>
      </c>
      <c r="FC8" s="450" t="str">
        <f xml:space="preserve"> BE_M_</f>
        <v>M</v>
      </c>
      <c r="FD8" s="450" t="str">
        <f xml:space="preserve"> BE_M_</f>
        <v>M</v>
      </c>
      <c r="FR8" s="451" t="b">
        <f xml:space="preserve"> AND( FS8:JO8 )</f>
        <v>1</v>
      </c>
      <c r="FS8" s="428" t="b">
        <f t="shared" ref="FS8:GX8" si="8" xml:space="preserve"> IF(  FS18&gt;$FS$12,  LEER,  IF(  SUM(FS7)&lt;&gt;0,  FS5&lt;=FS6,  TRUE  )  )</f>
        <v>1</v>
      </c>
      <c r="FT8" s="428" t="b">
        <f t="shared" si="8"/>
        <v>1</v>
      </c>
      <c r="FU8" s="428" t="b">
        <f t="shared" si="8"/>
        <v>1</v>
      </c>
      <c r="FV8" s="428" t="b">
        <f t="shared" si="8"/>
        <v>1</v>
      </c>
      <c r="FW8" s="428" t="b">
        <f t="shared" si="8"/>
        <v>1</v>
      </c>
      <c r="FX8" s="428" t="b">
        <f t="shared" si="8"/>
        <v>1</v>
      </c>
      <c r="FY8" s="428" t="b">
        <f t="shared" si="8"/>
        <v>1</v>
      </c>
      <c r="FZ8" s="428" t="b">
        <f t="shared" si="8"/>
        <v>1</v>
      </c>
      <c r="GA8" s="428" t="b">
        <f t="shared" si="8"/>
        <v>1</v>
      </c>
      <c r="GB8" s="428" t="b">
        <f t="shared" si="8"/>
        <v>1</v>
      </c>
      <c r="GC8" s="428" t="b">
        <f t="shared" si="8"/>
        <v>1</v>
      </c>
      <c r="GD8" s="428" t="b">
        <f t="shared" si="8"/>
        <v>1</v>
      </c>
      <c r="GE8" s="428" t="b">
        <f t="shared" si="8"/>
        <v>1</v>
      </c>
      <c r="GF8" s="428" t="b">
        <f t="shared" si="8"/>
        <v>1</v>
      </c>
      <c r="GG8" s="428" t="b">
        <f t="shared" si="8"/>
        <v>1</v>
      </c>
      <c r="GH8" s="428" t="b">
        <f t="shared" si="8"/>
        <v>1</v>
      </c>
      <c r="GI8" s="428" t="b">
        <f t="shared" si="8"/>
        <v>1</v>
      </c>
      <c r="GJ8" s="428" t="b">
        <f t="shared" si="8"/>
        <v>1</v>
      </c>
      <c r="GK8" s="428" t="b">
        <f t="shared" si="8"/>
        <v>1</v>
      </c>
      <c r="GL8" s="428" t="b">
        <f t="shared" si="8"/>
        <v>1</v>
      </c>
      <c r="GM8" s="428" t="b">
        <f t="shared" si="8"/>
        <v>1</v>
      </c>
      <c r="GN8" s="428" t="b">
        <f t="shared" si="8"/>
        <v>1</v>
      </c>
      <c r="GO8" s="428" t="b">
        <f t="shared" si="8"/>
        <v>1</v>
      </c>
      <c r="GP8" s="428" t="b">
        <f t="shared" si="8"/>
        <v>1</v>
      </c>
      <c r="GQ8" s="428" t="b">
        <f t="shared" si="8"/>
        <v>1</v>
      </c>
      <c r="GR8" s="428" t="b">
        <f t="shared" si="8"/>
        <v>1</v>
      </c>
      <c r="GS8" s="428" t="b">
        <f t="shared" si="8"/>
        <v>1</v>
      </c>
      <c r="GT8" s="428" t="b">
        <f t="shared" si="8"/>
        <v>1</v>
      </c>
      <c r="GU8" s="428" t="b">
        <f t="shared" si="8"/>
        <v>1</v>
      </c>
      <c r="GV8" s="428" t="b">
        <f t="shared" si="8"/>
        <v>1</v>
      </c>
      <c r="GW8" s="428" t="b">
        <f t="shared" si="8"/>
        <v>1</v>
      </c>
      <c r="GX8" s="428" t="b">
        <f t="shared" si="8"/>
        <v>1</v>
      </c>
      <c r="GY8" s="428" t="b">
        <f t="shared" ref="GY8:ID8" si="9" xml:space="preserve"> IF(  GY18&gt;$FS$12,  LEER,  IF(  SUM(GY7)&lt;&gt;0,  GY5&lt;=GY6,  TRUE  )  )</f>
        <v>1</v>
      </c>
      <c r="GZ8" s="428" t="b">
        <f t="shared" si="9"/>
        <v>1</v>
      </c>
      <c r="HA8" s="428" t="b">
        <f t="shared" si="9"/>
        <v>1</v>
      </c>
      <c r="HB8" s="428" t="b">
        <f t="shared" si="9"/>
        <v>1</v>
      </c>
      <c r="HC8" s="428" t="b">
        <f t="shared" si="9"/>
        <v>1</v>
      </c>
      <c r="HD8" s="428" t="b">
        <f t="shared" si="9"/>
        <v>1</v>
      </c>
      <c r="HE8" s="428" t="b">
        <f t="shared" si="9"/>
        <v>1</v>
      </c>
      <c r="HF8" s="428" t="b">
        <f t="shared" si="9"/>
        <v>1</v>
      </c>
      <c r="HG8" s="428" t="b">
        <f t="shared" si="9"/>
        <v>1</v>
      </c>
      <c r="HH8" s="428" t="b">
        <f t="shared" si="9"/>
        <v>1</v>
      </c>
      <c r="HI8" s="428" t="b">
        <f t="shared" si="9"/>
        <v>1</v>
      </c>
      <c r="HJ8" s="428" t="b">
        <f t="shared" si="9"/>
        <v>1</v>
      </c>
      <c r="HK8" s="428" t="b">
        <f t="shared" si="9"/>
        <v>1</v>
      </c>
      <c r="HL8" s="428" t="b">
        <f t="shared" si="9"/>
        <v>1</v>
      </c>
      <c r="HM8" s="428" t="b">
        <f t="shared" si="9"/>
        <v>1</v>
      </c>
      <c r="HN8" s="428" t="b">
        <f t="shared" si="9"/>
        <v>1</v>
      </c>
      <c r="HO8" s="428" t="b">
        <f t="shared" si="9"/>
        <v>1</v>
      </c>
      <c r="HP8" s="428" t="b">
        <f t="shared" si="9"/>
        <v>1</v>
      </c>
      <c r="HQ8" s="428" t="b">
        <f t="shared" si="9"/>
        <v>1</v>
      </c>
      <c r="HR8" s="428" t="b">
        <f t="shared" si="9"/>
        <v>1</v>
      </c>
      <c r="HS8" s="428" t="b">
        <f t="shared" si="9"/>
        <v>1</v>
      </c>
      <c r="HT8" s="428" t="b">
        <f t="shared" si="9"/>
        <v>1</v>
      </c>
      <c r="HU8" s="428" t="b">
        <f t="shared" si="9"/>
        <v>1</v>
      </c>
      <c r="HV8" s="428" t="b">
        <f t="shared" si="9"/>
        <v>1</v>
      </c>
      <c r="HW8" s="428" t="b">
        <f t="shared" si="9"/>
        <v>1</v>
      </c>
      <c r="HX8" s="428" t="b">
        <f t="shared" si="9"/>
        <v>1</v>
      </c>
      <c r="HY8" s="428" t="b">
        <f t="shared" si="9"/>
        <v>1</v>
      </c>
      <c r="HZ8" s="428" t="b">
        <f t="shared" si="9"/>
        <v>1</v>
      </c>
      <c r="IA8" s="428" t="b">
        <f t="shared" si="9"/>
        <v>1</v>
      </c>
      <c r="IB8" s="428" t="b">
        <f t="shared" si="9"/>
        <v>1</v>
      </c>
      <c r="IC8" s="428" t="b">
        <f t="shared" si="9"/>
        <v>1</v>
      </c>
      <c r="ID8" s="428" t="b">
        <f t="shared" si="9"/>
        <v>1</v>
      </c>
      <c r="IE8" s="428" t="b">
        <f t="shared" ref="IE8:JJ8" si="10" xml:space="preserve"> IF(  IE18&gt;$FS$12,  LEER,  IF(  SUM(IE7)&lt;&gt;0,  IE5&lt;=IE6,  TRUE  )  )</f>
        <v>1</v>
      </c>
      <c r="IF8" s="428" t="b">
        <f t="shared" si="10"/>
        <v>1</v>
      </c>
      <c r="IG8" s="428" t="b">
        <f t="shared" si="10"/>
        <v>1</v>
      </c>
      <c r="IH8" s="428" t="b">
        <f t="shared" si="10"/>
        <v>1</v>
      </c>
      <c r="II8" s="428" t="b">
        <f t="shared" si="10"/>
        <v>1</v>
      </c>
      <c r="IJ8" s="428" t="b">
        <f t="shared" si="10"/>
        <v>1</v>
      </c>
      <c r="IK8" s="428" t="b">
        <f t="shared" si="10"/>
        <v>1</v>
      </c>
      <c r="IL8" s="428" t="b">
        <f t="shared" si="10"/>
        <v>1</v>
      </c>
      <c r="IM8" s="428" t="b">
        <f t="shared" si="10"/>
        <v>1</v>
      </c>
      <c r="IN8" s="428" t="b">
        <f t="shared" si="10"/>
        <v>1</v>
      </c>
      <c r="IO8" s="428" t="b">
        <f t="shared" si="10"/>
        <v>1</v>
      </c>
      <c r="IP8" s="428" t="b">
        <f t="shared" si="10"/>
        <v>1</v>
      </c>
      <c r="IQ8" s="428" t="b">
        <f t="shared" si="10"/>
        <v>1</v>
      </c>
      <c r="IR8" s="428" t="b">
        <f t="shared" si="10"/>
        <v>1</v>
      </c>
      <c r="IS8" s="428" t="b">
        <f t="shared" si="10"/>
        <v>1</v>
      </c>
      <c r="IT8" s="428" t="b">
        <f t="shared" si="10"/>
        <v>1</v>
      </c>
      <c r="IU8" s="428" t="b">
        <f t="shared" si="10"/>
        <v>1</v>
      </c>
      <c r="IV8" s="428" t="b">
        <f t="shared" si="10"/>
        <v>1</v>
      </c>
      <c r="IW8" s="428" t="b">
        <f t="shared" si="10"/>
        <v>1</v>
      </c>
      <c r="IX8" s="428" t="b">
        <f t="shared" si="10"/>
        <v>1</v>
      </c>
      <c r="IY8" s="428" t="b">
        <f t="shared" si="10"/>
        <v>1</v>
      </c>
      <c r="IZ8" s="428" t="b">
        <f t="shared" si="10"/>
        <v>1</v>
      </c>
      <c r="JA8" s="428" t="b">
        <f t="shared" si="10"/>
        <v>1</v>
      </c>
      <c r="JB8" s="428" t="b">
        <f t="shared" si="10"/>
        <v>1</v>
      </c>
      <c r="JC8" s="428" t="b">
        <f t="shared" si="10"/>
        <v>1</v>
      </c>
      <c r="JD8" s="428" t="b">
        <f t="shared" si="10"/>
        <v>1</v>
      </c>
      <c r="JE8" s="428" t="b">
        <f t="shared" si="10"/>
        <v>1</v>
      </c>
      <c r="JF8" s="428" t="str">
        <f t="shared" si="10"/>
        <v>.</v>
      </c>
      <c r="JG8" s="428" t="str">
        <f t="shared" si="10"/>
        <v>.</v>
      </c>
      <c r="JH8" s="428" t="str">
        <f t="shared" si="10"/>
        <v>.</v>
      </c>
      <c r="JI8" s="428" t="str">
        <f t="shared" si="10"/>
        <v>.</v>
      </c>
      <c r="JJ8" s="428" t="str">
        <f t="shared" si="10"/>
        <v>.</v>
      </c>
      <c r="JK8" s="428" t="str">
        <f xml:space="preserve"> IF(  JK18&gt;$FS$12,  LEER,  IF(  SUM(JK7)&lt;&gt;0,  JK5&lt;=JK6,  TRUE  )  )</f>
        <v>.</v>
      </c>
      <c r="JL8" s="428" t="str">
        <f xml:space="preserve"> IF(  JL18&gt;$FS$12,  LEER,  IF(  SUM(JL7)&lt;&gt;0,  JL5&lt;=JL6,  TRUE  )  )</f>
        <v>.</v>
      </c>
      <c r="JM8" s="428" t="str">
        <f xml:space="preserve"> IF(  JM18&gt;$FS$12,  LEER,  IF(  SUM(JM7)&lt;&gt;0,  JM5&lt;=JM6,  TRUE  )  )</f>
        <v>.</v>
      </c>
      <c r="JN8" s="428" t="str">
        <f xml:space="preserve"> IF(  JN18&gt;$FS$12,  LEER,  IF(  SUM(JN7)&lt;&gt;0,  JN5&lt;=JN6,  TRUE  )  )</f>
        <v>.</v>
      </c>
      <c r="JO8" s="428" t="str">
        <f xml:space="preserve"> IF(  JO18&gt;$FS$12,  LEER,  IF(  SUM(JO7)&lt;&gt;0,  JO5&lt;=JO6,  TRUE  )  )</f>
        <v>.</v>
      </c>
    </row>
    <row r="9" spans="1:275" s="385" customFormat="1" x14ac:dyDescent="0.25">
      <c r="C9" s="395" t="str">
        <f xml:space="preserve"> SML</f>
        <v>SML</v>
      </c>
      <c r="D9" s="452" t="str">
        <f xml:space="preserve"> INDEX( Auswahl_vSK, $D$1 )</f>
        <v/>
      </c>
      <c r="E9" s="453"/>
      <c r="O9" s="401" t="str">
        <f xml:space="preserve"> xalpha</f>
        <v>x_α</v>
      </c>
      <c r="R9" s="401" t="str">
        <f xml:space="preserve"> xalpha</f>
        <v>x_α</v>
      </c>
      <c r="BT9" s="391"/>
      <c r="EA9" s="454" t="str">
        <f xml:space="preserve"> EA7 &amp; ": " &amp; EA8 &amp; " MB"</f>
        <v>α^Z(i2;i1): 3 MB</v>
      </c>
      <c r="EC9" s="455"/>
      <c r="ED9" s="455"/>
      <c r="EE9" s="455"/>
      <c r="EF9" s="455"/>
      <c r="EL9" s="455"/>
      <c r="EV9" s="456"/>
      <c r="EW9" s="456" t="str">
        <f xml:space="preserve"> SML</f>
        <v>SML</v>
      </c>
      <c r="EX9" s="456" t="str">
        <f xml:space="preserve"> SML &amp; " " &amp; SML_vSML_glvert</f>
        <v>SML glvert</v>
      </c>
      <c r="FB9" s="457" t="str">
        <f xml:space="preserve"> TRIM(EW9)</f>
        <v>SML</v>
      </c>
      <c r="FC9" s="457" t="str">
        <f xml:space="preserve"> TRIM(EX9)</f>
        <v>SML glvert</v>
      </c>
    </row>
    <row r="10" spans="1:275" s="385" customFormat="1" x14ac:dyDescent="0.2">
      <c r="C10" s="395" t="str">
        <f xml:space="preserve"> xKM</f>
        <v>x_KM</v>
      </c>
      <c r="D10" s="458">
        <f xml:space="preserve"> IF( H12&gt;O12, LEER, H12 )</f>
        <v>70</v>
      </c>
      <c r="E10" s="459"/>
      <c r="F10" s="460"/>
      <c r="G10" s="460"/>
      <c r="H10" s="461" t="b">
        <f xml:space="preserve"> INDEX( Auswahl_KSMaximierung, $D$1 )</f>
        <v>1</v>
      </c>
      <c r="I10" s="461" t="b">
        <f xml:space="preserve"> INDEX( Auswahl_KSNormierung, $D$1 )</f>
        <v>1</v>
      </c>
      <c r="J10" s="460"/>
      <c r="K10" s="460"/>
      <c r="L10" s="460"/>
      <c r="M10" s="460"/>
      <c r="O10" s="408">
        <f xml:space="preserve">  INDEX( Auswahl_xalpha, $D$1 )</f>
        <v>20</v>
      </c>
      <c r="R10" s="408">
        <f xml:space="preserve">  INDEX( Auswahl_xalpha, $D$1 )</f>
        <v>20</v>
      </c>
      <c r="BR10" s="462" t="str">
        <f xml:space="preserve"> DDat!$BG$16</f>
        <v>ungezillmerte Alterungsrückstellung: Fortschreibung</v>
      </c>
      <c r="BS10" s="462"/>
      <c r="BT10" s="462"/>
      <c r="BU10" s="462"/>
      <c r="BV10" s="462"/>
      <c r="BW10" s="462"/>
      <c r="BX10" s="462"/>
      <c r="CB10" s="462" t="str">
        <f xml:space="preserve"> DDat!BL16</f>
        <v>ungezillmerte Alterungsrückstellung: Zuführung</v>
      </c>
      <c r="CC10" s="463"/>
      <c r="CD10" s="463"/>
      <c r="CE10" s="463"/>
      <c r="CF10" s="463"/>
      <c r="CH10" s="462" t="str">
        <f xml:space="preserve"> DDat!BQ16</f>
        <v>Nettoprämie: Aufteilung</v>
      </c>
      <c r="CI10" s="462"/>
      <c r="CJ10" s="462"/>
      <c r="CK10" s="462"/>
      <c r="CL10" s="462"/>
      <c r="CN10" s="462" t="str">
        <f xml:space="preserve"> DDat!BV16</f>
        <v>Gezillmerte Nettoprämie: Aufteilung</v>
      </c>
      <c r="CO10" s="462"/>
      <c r="CP10" s="462"/>
      <c r="CQ10" s="462"/>
      <c r="CR10" s="462"/>
      <c r="EC10" s="455"/>
      <c r="ED10" s="455"/>
      <c r="EE10" s="455"/>
      <c r="EF10" s="455"/>
      <c r="EL10" s="455"/>
    </row>
    <row r="11" spans="1:275" s="385" customFormat="1" x14ac:dyDescent="0.25">
      <c r="C11" s="395" t="str">
        <f xml:space="preserve"> Delta</f>
        <v>Δ_js</v>
      </c>
      <c r="D11" s="464" t="str">
        <f xml:space="preserve"> TEXT( M15, "0,0 %") &amp; IF( M15=M16, "", " / " &amp; TEXT( M16, "0,0 %" ) )</f>
        <v>8,6 %</v>
      </c>
      <c r="E11" s="465"/>
      <c r="F11" s="466" t="str">
        <f xml:space="preserve"> xJ</f>
        <v>x_J</v>
      </c>
      <c r="G11" s="460"/>
      <c r="H11" s="401" t="str">
        <f xml:space="preserve"> xKM</f>
        <v>x_KM</v>
      </c>
      <c r="I11" s="401" t="str">
        <f xml:space="preserve"> xN</f>
        <v>x_N</v>
      </c>
      <c r="J11" s="401" t="str">
        <f xml:space="preserve"> Erhöhung</f>
        <v>Erhöhung</v>
      </c>
      <c r="K11" s="460"/>
      <c r="L11" s="401" t="str">
        <f xml:space="preserve"> xs</f>
        <v>x_s</v>
      </c>
      <c r="M11" s="401" t="str">
        <f xml:space="preserve"> xs</f>
        <v>x_s</v>
      </c>
      <c r="O11" s="401" t="str">
        <f xml:space="preserve"> xomega</f>
        <v>x_ω</v>
      </c>
      <c r="R11" s="401" t="str">
        <f xml:space="preserve"> l_xalpha</f>
        <v>l_x_α</v>
      </c>
      <c r="S11" s="431" t="str">
        <f xml:space="preserve"> r_</f>
        <v>r</v>
      </c>
      <c r="AB11" s="431" t="str">
        <f xml:space="preserve"> xr</f>
        <v>x_r</v>
      </c>
      <c r="AC11" s="431" t="str">
        <f xml:space="preserve"> xs</f>
        <v>x_s</v>
      </c>
      <c r="AF11" s="467" t="str">
        <f xml:space="preserve"> INDEX( Auswahl_Beitragsmonotonisierung, $D$1 )</f>
        <v>ja</v>
      </c>
      <c r="AN11" s="431" t="str">
        <f xml:space="preserve"> ARx</f>
        <v>x_0</v>
      </c>
      <c r="AO11" s="431" t="str">
        <f xml:space="preserve"> $AN11</f>
        <v>x_0</v>
      </c>
      <c r="BR11" s="359" t="str">
        <f t="shared" ref="BR11:BX12" si="11" xml:space="preserve"> $AN11</f>
        <v>x_0</v>
      </c>
      <c r="BS11" s="359" t="str">
        <f t="shared" si="11"/>
        <v>x_0</v>
      </c>
      <c r="BT11" s="359" t="str">
        <f t="shared" si="11"/>
        <v>x_0</v>
      </c>
      <c r="BU11" s="359" t="str">
        <f t="shared" si="11"/>
        <v>x_0</v>
      </c>
      <c r="BV11" s="359" t="str">
        <f t="shared" si="11"/>
        <v>x_0</v>
      </c>
      <c r="BW11" s="359" t="str">
        <f t="shared" si="11"/>
        <v>x_0</v>
      </c>
      <c r="BX11" s="359" t="str">
        <f t="shared" si="11"/>
        <v>x_0</v>
      </c>
      <c r="CB11" s="431" t="str">
        <f t="shared" ref="CB11:CF12" si="12" xml:space="preserve"> $AN11</f>
        <v>x_0</v>
      </c>
      <c r="CC11" s="431" t="str">
        <f t="shared" si="12"/>
        <v>x_0</v>
      </c>
      <c r="CD11" s="431" t="str">
        <f t="shared" si="12"/>
        <v>x_0</v>
      </c>
      <c r="CE11" s="431" t="str">
        <f t="shared" si="12"/>
        <v>x_0</v>
      </c>
      <c r="CF11" s="431" t="str">
        <f t="shared" si="12"/>
        <v>x_0</v>
      </c>
      <c r="CH11" s="359" t="str">
        <f t="shared" ref="CH11:CR12" si="13" xml:space="preserve"> $AN11</f>
        <v>x_0</v>
      </c>
      <c r="CI11" s="359" t="str">
        <f t="shared" si="13"/>
        <v>x_0</v>
      </c>
      <c r="CJ11" s="359" t="str">
        <f t="shared" si="13"/>
        <v>x_0</v>
      </c>
      <c r="CK11" s="359" t="str">
        <f t="shared" si="13"/>
        <v>x_0</v>
      </c>
      <c r="CL11" s="359" t="str">
        <f t="shared" si="13"/>
        <v>x_0</v>
      </c>
      <c r="CN11" s="359" t="str">
        <f t="shared" si="13"/>
        <v>x_0</v>
      </c>
      <c r="CO11" s="359" t="str">
        <f t="shared" si="13"/>
        <v>x_0</v>
      </c>
      <c r="CP11" s="359" t="str">
        <f t="shared" si="13"/>
        <v>x_0</v>
      </c>
      <c r="CQ11" s="359" t="str">
        <f t="shared" si="13"/>
        <v>x_0</v>
      </c>
      <c r="CR11" s="359" t="str">
        <f t="shared" si="13"/>
        <v>x_0</v>
      </c>
      <c r="DJ11" s="570" t="str">
        <f xml:space="preserve"> "Tarifl. AR bei RisAwV in den Altern " &amp; CY3 &amp; "-" &amp; CZ3</f>
        <v>Tarifl. AR bei RisAwV in den Altern 50-65</v>
      </c>
      <c r="DS11" s="437" t="str">
        <f xml:space="preserve"> $DT$4</f>
        <v>x+m</v>
      </c>
      <c r="DT11" s="437" t="str">
        <f xml:space="preserve"> $DT$4</f>
        <v>x+m</v>
      </c>
      <c r="DU11" s="437" t="str">
        <f xml:space="preserve"> $DS$4</f>
        <v>x_0(i2)</v>
      </c>
      <c r="DY11" s="437" t="str">
        <f xml:space="preserve"> $DS$4</f>
        <v>x_0(i2)</v>
      </c>
      <c r="EC11" s="437" t="str">
        <f xml:space="preserve"> $DT$4</f>
        <v>x+m</v>
      </c>
      <c r="ED11" s="437" t="str">
        <f xml:space="preserve"> $DT$4</f>
        <v>x+m</v>
      </c>
      <c r="EE11" s="437" t="str">
        <f xml:space="preserve"> $DT$4</f>
        <v>x+m</v>
      </c>
      <c r="EF11" s="437" t="str">
        <f xml:space="preserve"> $DT$4</f>
        <v>x+m</v>
      </c>
      <c r="EL11" s="437" t="str">
        <f xml:space="preserve"> $DT$4</f>
        <v>x+m</v>
      </c>
      <c r="EM11" s="455"/>
      <c r="EO11" s="437" t="str">
        <f xml:space="preserve"> $DT$4</f>
        <v>x+m</v>
      </c>
      <c r="EV11" s="468" t="s">
        <v>151</v>
      </c>
      <c r="EW11" s="450" t="str">
        <f xml:space="preserve"> EW9</f>
        <v>SML</v>
      </c>
      <c r="EX11" s="450" t="str">
        <f xml:space="preserve"> EX9</f>
        <v>SML glvert</v>
      </c>
      <c r="EY11" s="468" t="s">
        <v>152</v>
      </c>
      <c r="FB11" s="457" t="str">
        <f xml:space="preserve"> TRIM(EW11)</f>
        <v>SML</v>
      </c>
      <c r="FC11" s="457" t="str">
        <f xml:space="preserve"> TRIM(EX11)</f>
        <v>SML glvert</v>
      </c>
      <c r="FD11" s="457" t="str">
        <f xml:space="preserve"> TRIM(EY11)</f>
        <v>oSK</v>
      </c>
      <c r="FR11" s="389"/>
      <c r="FS11" s="397" t="str">
        <f xml:space="preserve"> xomega</f>
        <v>x_ω</v>
      </c>
      <c r="FT11" s="389"/>
      <c r="FU11" s="389"/>
      <c r="FV11" s="389"/>
      <c r="FW11" s="389"/>
      <c r="FX11" s="389"/>
      <c r="FY11" s="389"/>
      <c r="FZ11" s="389"/>
      <c r="GA11" s="389"/>
      <c r="GB11" s="389"/>
      <c r="GC11" s="389"/>
      <c r="GD11" s="389"/>
      <c r="GE11" s="389"/>
      <c r="GF11" s="389"/>
      <c r="GG11" s="389"/>
      <c r="GH11" s="389"/>
      <c r="GI11" s="389"/>
      <c r="GJ11" s="389"/>
      <c r="GK11" s="389"/>
      <c r="GL11" s="389"/>
      <c r="GM11" s="389"/>
      <c r="GN11" s="389"/>
      <c r="GO11" s="389"/>
      <c r="GP11" s="389"/>
      <c r="GQ11" s="389"/>
      <c r="GR11" s="389"/>
      <c r="GS11" s="389"/>
      <c r="GT11" s="389"/>
      <c r="GU11" s="389"/>
      <c r="GV11" s="389"/>
      <c r="GW11" s="389"/>
      <c r="GX11" s="389"/>
      <c r="GY11" s="389"/>
      <c r="GZ11" s="389"/>
      <c r="HA11" s="389"/>
      <c r="HB11" s="389"/>
      <c r="HC11" s="389"/>
      <c r="HD11" s="389"/>
      <c r="HE11" s="389"/>
      <c r="HF11" s="389"/>
      <c r="HG11" s="389"/>
      <c r="HH11" s="389"/>
      <c r="HI11" s="389"/>
      <c r="HJ11" s="389"/>
      <c r="HK11" s="389"/>
      <c r="HL11" s="389"/>
      <c r="HM11" s="389"/>
      <c r="HN11" s="389"/>
      <c r="HO11" s="389"/>
      <c r="HP11" s="389"/>
      <c r="HQ11" s="389"/>
      <c r="HR11" s="389"/>
      <c r="HS11" s="389"/>
      <c r="HT11" s="389"/>
      <c r="HU11" s="389"/>
      <c r="HV11" s="389"/>
      <c r="HW11" s="389"/>
      <c r="HX11" s="389"/>
      <c r="HY11" s="389"/>
      <c r="HZ11" s="389"/>
      <c r="IA11" s="389"/>
      <c r="IB11" s="389"/>
      <c r="IC11" s="389"/>
      <c r="ID11" s="389"/>
      <c r="IE11" s="389"/>
      <c r="IF11" s="389"/>
      <c r="IG11" s="389"/>
      <c r="IH11" s="389"/>
      <c r="II11" s="389"/>
      <c r="IJ11" s="389"/>
      <c r="IK11" s="389"/>
      <c r="IL11" s="389"/>
      <c r="IM11" s="389"/>
      <c r="IN11" s="389"/>
      <c r="IO11" s="389"/>
      <c r="IP11" s="389"/>
      <c r="IQ11" s="389"/>
      <c r="IR11" s="389"/>
      <c r="IS11" s="389"/>
      <c r="IT11" s="389"/>
      <c r="IU11" s="389"/>
      <c r="IV11" s="389"/>
      <c r="IW11" s="389"/>
      <c r="IX11" s="389"/>
      <c r="IY11" s="389"/>
      <c r="IZ11" s="389"/>
      <c r="JA11" s="389"/>
      <c r="JB11" s="389"/>
      <c r="JC11" s="389"/>
      <c r="JD11" s="389"/>
      <c r="JE11" s="389"/>
      <c r="JF11" s="389"/>
      <c r="JG11" s="389"/>
      <c r="JH11" s="389"/>
      <c r="JI11" s="389"/>
      <c r="JJ11" s="389"/>
      <c r="JK11" s="389"/>
      <c r="JL11" s="389"/>
      <c r="JM11" s="389"/>
      <c r="JN11" s="389"/>
      <c r="JO11" s="389"/>
    </row>
    <row r="12" spans="1:275" s="469" customFormat="1" x14ac:dyDescent="0.25">
      <c r="C12" s="395" t="str">
        <f xml:space="preserve"> IF(  INDEX( Auswahl_Kostensatz, $D$1 ) = Kostensatzdynam,  DeltaTilde,  GrGamma )</f>
        <v>Γ_js</v>
      </c>
      <c r="D12" s="464" t="str">
        <f xml:space="preserve"> C12 &amp; ": " &amp; IF(  INDEX( Auswahl_Kostensatz, $D$1 ) = Kostensatzohne,     "ohne",
                          IF( INDEX( Auswahl_Kostensatz, $D$1 )  = Kostensatzdynam,  TEXT( L15, "0,0 %" ) &amp; IF( L15=L16, "", " / " &amp; TEXT( L16, "0,0 %" )           ),
                                                                                                                                                  TEXT( L2,  "0" )          &amp; IF( L2=L3,     "", " / " &amp; TEXT( L3,   "0" )  &amp; " Euro" )        ) )</f>
        <v>Γ_js: 802 / 679 Euro</v>
      </c>
      <c r="E12" s="465"/>
      <c r="F12" s="408">
        <f xml:space="preserve"> INDEX( Auswahl_xJ, $D$1 )</f>
        <v>15</v>
      </c>
      <c r="G12" s="470"/>
      <c r="H12" s="408">
        <f xml:space="preserve"> IF(  H10,  MIN( $D$4, INDEX( Auswahl_xKM, $D$1 ) ),  LEER  )</f>
        <v>70</v>
      </c>
      <c r="I12" s="408">
        <f xml:space="preserve"> IF(  I10,  MIN( D4, INDEX( Auswahl_xN, $D$1 ) ),  LEER  )</f>
        <v>40</v>
      </c>
      <c r="J12" s="471">
        <f xml:space="preserve"> INDEX( Auswahl_KSErhoehung, $D$1 )</f>
        <v>0</v>
      </c>
      <c r="K12" s="470"/>
      <c r="L12" s="408">
        <f xml:space="preserve"> INDEX( Auswahl_xsen, $D$1 )</f>
        <v>65</v>
      </c>
      <c r="M12" s="408">
        <f xml:space="preserve"> INDEX( Auswahl_xsen, $D$1 )</f>
        <v>65</v>
      </c>
      <c r="O12" s="408">
        <f xml:space="preserve">  INDEX( Auswahl_xomega, $D$1 )</f>
        <v>110</v>
      </c>
      <c r="P12" s="385"/>
      <c r="Q12" s="385"/>
      <c r="R12" s="472">
        <f xml:space="preserve"> INDEX( Auswahl_lxalpha, $D$1 )</f>
        <v>5000000</v>
      </c>
      <c r="S12" s="473">
        <f xml:space="preserve"> INDEX( Auswahl_r, $D$1 )</f>
        <v>2.5000000000000001E-2</v>
      </c>
      <c r="U12" s="385"/>
      <c r="V12" s="385"/>
      <c r="W12" s="385"/>
      <c r="X12" s="385"/>
      <c r="Y12" s="385"/>
      <c r="Z12" s="385"/>
      <c r="AA12" s="385"/>
      <c r="AB12" s="474">
        <f xml:space="preserve"> INDEX( Auswahl_xr, $D$1 )</f>
        <v>40</v>
      </c>
      <c r="AC12" s="474">
        <f xml:space="preserve"> INDEX( Auswahl_xsen, $D$1 )</f>
        <v>65</v>
      </c>
      <c r="AD12" s="385"/>
      <c r="AE12" s="385"/>
      <c r="AF12" s="475" t="b">
        <f xml:space="preserve"> UPPER(AF11)="JA"</f>
        <v>1</v>
      </c>
      <c r="AN12" s="474">
        <f xml:space="preserve"> INDEX( Auswahl_ARx, $D$1 )</f>
        <v>35</v>
      </c>
      <c r="AO12" s="474">
        <f xml:space="preserve"> INDEX( Auswahl_ARx, $D$1 )</f>
        <v>35</v>
      </c>
      <c r="BC12" s="385"/>
      <c r="BD12" s="385"/>
      <c r="BR12" s="476">
        <f t="shared" si="11"/>
        <v>35</v>
      </c>
      <c r="BS12" s="476">
        <f t="shared" si="11"/>
        <v>35</v>
      </c>
      <c r="BT12" s="476">
        <f t="shared" si="11"/>
        <v>35</v>
      </c>
      <c r="BU12" s="476">
        <f t="shared" si="11"/>
        <v>35</v>
      </c>
      <c r="BV12" s="476">
        <f t="shared" si="11"/>
        <v>35</v>
      </c>
      <c r="BW12" s="476">
        <f t="shared" si="11"/>
        <v>35</v>
      </c>
      <c r="BX12" s="476">
        <f t="shared" si="11"/>
        <v>35</v>
      </c>
      <c r="CB12" s="474">
        <f t="shared" si="12"/>
        <v>35</v>
      </c>
      <c r="CC12" s="474">
        <f t="shared" si="12"/>
        <v>35</v>
      </c>
      <c r="CD12" s="474">
        <f t="shared" si="12"/>
        <v>35</v>
      </c>
      <c r="CE12" s="474">
        <f t="shared" si="12"/>
        <v>35</v>
      </c>
      <c r="CF12" s="474">
        <f t="shared" si="12"/>
        <v>35</v>
      </c>
      <c r="CH12" s="476">
        <f t="shared" si="13"/>
        <v>35</v>
      </c>
      <c r="CI12" s="476">
        <f t="shared" si="13"/>
        <v>35</v>
      </c>
      <c r="CJ12" s="476">
        <f t="shared" si="13"/>
        <v>35</v>
      </c>
      <c r="CK12" s="476">
        <f t="shared" si="13"/>
        <v>35</v>
      </c>
      <c r="CL12" s="476">
        <f t="shared" si="13"/>
        <v>35</v>
      </c>
      <c r="CN12" s="476">
        <f t="shared" si="13"/>
        <v>35</v>
      </c>
      <c r="CO12" s="476">
        <f t="shared" si="13"/>
        <v>35</v>
      </c>
      <c r="CP12" s="476">
        <f t="shared" si="13"/>
        <v>35</v>
      </c>
      <c r="CQ12" s="476">
        <f t="shared" si="13"/>
        <v>35</v>
      </c>
      <c r="CR12" s="476">
        <f t="shared" si="13"/>
        <v>35</v>
      </c>
      <c r="CW12" s="385"/>
      <c r="CX12" s="385"/>
      <c r="DS12" s="477">
        <f xml:space="preserve"> $DT$5</f>
        <v>50</v>
      </c>
      <c r="DT12" s="477">
        <f xml:space="preserve"> $DT$5</f>
        <v>50</v>
      </c>
      <c r="DU12" s="477">
        <f xml:space="preserve"> $DS$5</f>
        <v>35</v>
      </c>
      <c r="DY12" s="477">
        <f xml:space="preserve"> $DS$5</f>
        <v>35</v>
      </c>
      <c r="EC12" s="477">
        <f xml:space="preserve"> $DT$5</f>
        <v>50</v>
      </c>
      <c r="ED12" s="477">
        <f xml:space="preserve"> $DT$5</f>
        <v>50</v>
      </c>
      <c r="EE12" s="477">
        <f xml:space="preserve"> $DT$5</f>
        <v>50</v>
      </c>
      <c r="EF12" s="477">
        <f xml:space="preserve"> $DT$5</f>
        <v>50</v>
      </c>
      <c r="EG12" s="385"/>
      <c r="EH12" s="385"/>
      <c r="EL12" s="477">
        <f xml:space="preserve"> $DT$5</f>
        <v>50</v>
      </c>
      <c r="EM12" s="478"/>
      <c r="EO12" s="477">
        <f xml:space="preserve"> $DT$5</f>
        <v>50</v>
      </c>
      <c r="FR12" s="479"/>
      <c r="FS12" s="480">
        <f xml:space="preserve"> INDEX( Auswahl_xomega, $D$1 )</f>
        <v>110</v>
      </c>
      <c r="FT12" s="479"/>
      <c r="FU12" s="479"/>
      <c r="FV12" s="479"/>
      <c r="FW12" s="479"/>
      <c r="FX12" s="479"/>
      <c r="FY12" s="479"/>
      <c r="FZ12" s="479"/>
      <c r="GA12" s="479"/>
      <c r="GB12" s="479"/>
      <c r="GC12" s="479"/>
      <c r="GD12" s="479"/>
      <c r="GE12" s="479"/>
      <c r="GF12" s="479"/>
      <c r="GG12" s="479"/>
      <c r="GH12" s="479"/>
      <c r="GI12" s="479"/>
      <c r="GJ12" s="479"/>
      <c r="GK12" s="479"/>
      <c r="GL12" s="479"/>
      <c r="GM12" s="479"/>
      <c r="GN12" s="479"/>
      <c r="GO12" s="479"/>
      <c r="GP12" s="479"/>
      <c r="GQ12" s="479"/>
      <c r="GR12" s="479"/>
      <c r="GS12" s="479"/>
      <c r="GT12" s="479"/>
      <c r="GU12" s="479"/>
      <c r="GV12" s="479"/>
      <c r="GW12" s="479"/>
      <c r="GX12" s="479"/>
      <c r="GY12" s="479"/>
      <c r="GZ12" s="479"/>
      <c r="HA12" s="479"/>
      <c r="HB12" s="479"/>
      <c r="HC12" s="479"/>
      <c r="HD12" s="479"/>
      <c r="HE12" s="479"/>
      <c r="HF12" s="479"/>
      <c r="HG12" s="479"/>
      <c r="HH12" s="479"/>
      <c r="HI12" s="479"/>
      <c r="HJ12" s="479"/>
      <c r="HK12" s="479"/>
      <c r="HL12" s="479"/>
      <c r="HM12" s="479"/>
      <c r="HN12" s="479"/>
      <c r="HO12" s="479"/>
      <c r="HP12" s="479"/>
      <c r="HQ12" s="479"/>
      <c r="HR12" s="479"/>
      <c r="HS12" s="479"/>
      <c r="HT12" s="479"/>
      <c r="HU12" s="479"/>
      <c r="HV12" s="479"/>
      <c r="HW12" s="479"/>
      <c r="HX12" s="479"/>
      <c r="HY12" s="479"/>
      <c r="HZ12" s="479"/>
      <c r="IA12" s="479"/>
      <c r="IB12" s="479"/>
      <c r="IC12" s="479"/>
      <c r="ID12" s="479"/>
      <c r="IE12" s="479"/>
      <c r="IF12" s="479"/>
      <c r="IG12" s="479"/>
      <c r="IH12" s="479"/>
      <c r="II12" s="479"/>
      <c r="IJ12" s="479"/>
      <c r="IK12" s="479"/>
      <c r="IL12" s="479"/>
      <c r="IM12" s="479"/>
      <c r="IN12" s="479"/>
      <c r="IO12" s="479"/>
      <c r="IP12" s="479"/>
      <c r="IQ12" s="479"/>
      <c r="IR12" s="479"/>
      <c r="IS12" s="479"/>
      <c r="IT12" s="479"/>
      <c r="IU12" s="479"/>
      <c r="IV12" s="479"/>
      <c r="IW12" s="479"/>
      <c r="IX12" s="479"/>
      <c r="IY12" s="479"/>
      <c r="IZ12" s="479"/>
      <c r="JA12" s="479"/>
      <c r="JB12" s="479"/>
      <c r="JC12" s="479"/>
      <c r="JD12" s="479"/>
      <c r="JE12" s="479"/>
      <c r="JF12" s="479"/>
      <c r="JG12" s="479"/>
      <c r="JH12" s="479"/>
      <c r="JI12" s="479"/>
      <c r="JJ12" s="479"/>
      <c r="JK12" s="479"/>
      <c r="JL12" s="479"/>
      <c r="JM12" s="479"/>
      <c r="JN12" s="479"/>
      <c r="JO12" s="479"/>
    </row>
    <row r="13" spans="1:275" s="385" customFormat="1" x14ac:dyDescent="0.25">
      <c r="C13" s="395" t="s">
        <v>28</v>
      </c>
      <c r="D13" s="481" t="str">
        <f xml:space="preserve"> K15 &amp; " MB" &amp; IF( K15&lt;&gt;0, " (ab " &amp; K18 &amp; " abzgl. " &amp; K16 &amp; " MB)", "" )</f>
        <v>2 MB (ab 70 abzgl. 0,5 MB)</v>
      </c>
      <c r="E13" s="482"/>
      <c r="F13" s="451" t="b">
        <f xml:space="preserve"> FR8</f>
        <v>1</v>
      </c>
      <c r="G13" s="483"/>
      <c r="H13" s="483"/>
      <c r="I13" s="483"/>
      <c r="J13" s="390">
        <f xml:space="preserve"> IF( $B$17, G_Rd, nix_Rd )</f>
        <v>2</v>
      </c>
      <c r="K13" s="483"/>
      <c r="L13" s="483"/>
      <c r="M13" s="483"/>
      <c r="O13" s="484"/>
      <c r="P13" s="484"/>
      <c r="Q13" s="484"/>
      <c r="R13" s="484"/>
      <c r="S13" s="484"/>
      <c r="T13" s="484"/>
      <c r="U13" s="484"/>
      <c r="V13" s="484"/>
      <c r="W13" s="484"/>
      <c r="X13" s="484"/>
      <c r="Y13" s="484"/>
      <c r="Z13" s="484"/>
      <c r="AA13" s="484"/>
      <c r="AC13" s="484"/>
      <c r="AD13" s="484"/>
      <c r="AE13" s="484"/>
      <c r="AF13" s="484"/>
      <c r="AJ13" s="484"/>
      <c r="AK13" s="484"/>
      <c r="AR13" s="431" t="str">
        <f xml:space="preserve"> lambdax</f>
        <v>λ_x</v>
      </c>
      <c r="AS13" s="431" t="str">
        <f xml:space="preserve"> BE_M_</f>
        <v>M</v>
      </c>
      <c r="AT13" s="431" t="s">
        <v>1</v>
      </c>
      <c r="AU13" s="431"/>
      <c r="AV13" s="485" t="str">
        <f xml:space="preserve"> $AR13 &amp; "^" &amp; AV14</f>
        <v>λ_x^q_x</v>
      </c>
      <c r="AW13" s="486" t="str">
        <f xml:space="preserve"> BE_MF_</f>
        <v>MF</v>
      </c>
      <c r="AX13" s="431" t="str">
        <f xml:space="preserve"> BE_M_</f>
        <v>M</v>
      </c>
      <c r="AY13" s="431" t="s">
        <v>1</v>
      </c>
      <c r="AZ13" s="431"/>
      <c r="BA13" s="485" t="str">
        <f xml:space="preserve"> $AR13 &amp; "^" &amp; BA14</f>
        <v>λ_x^w_x</v>
      </c>
      <c r="BB13" s="486" t="str">
        <f xml:space="preserve"> BE_MF_</f>
        <v>MF</v>
      </c>
      <c r="BC13" s="431" t="str">
        <f xml:space="preserve"> BE_M_ &amp; " " &amp; SML_mSML</f>
        <v>M mSML</v>
      </c>
      <c r="BD13" s="431" t="str">
        <f xml:space="preserve"> BE_F_ &amp; " " &amp; SML_mSML</f>
        <v>F mSML</v>
      </c>
      <c r="BE13" s="431"/>
      <c r="BF13" s="485" t="str">
        <f xml:space="preserve"> $AR13 &amp; "^" &amp; BF14</f>
        <v>λ_x^K_x</v>
      </c>
      <c r="BG13" s="486" t="str">
        <f xml:space="preserve"> BE_MF_</f>
        <v>MF</v>
      </c>
      <c r="BR13" s="487"/>
      <c r="BT13" s="391"/>
      <c r="BU13" s="488"/>
      <c r="BW13" s="431" t="str">
        <f xml:space="preserve"> GrV_x_xplusm</f>
        <v>V_x;x+m</v>
      </c>
      <c r="DI13" s="569"/>
      <c r="DJ13" s="569" t="str">
        <f>DDat!$AV$3</f>
        <v>Frauen+Männer − λ_x: + 50,0 % − x_ω: 110 − r: 2,5 % − q_x: PKV 2017 − w_x: Sto BaFin N 2015 − K_x: Primo kompakt 2015 − x_KM: 70 − Δ_js: 8,6 % − Γ_js: 802 / 679 Euro − α^Z_x: 2 MB (ab 70 abzgl. 0,5 MB) | x_0: 35</v>
      </c>
      <c r="EC13" s="489"/>
      <c r="EL13" s="455"/>
      <c r="EM13" s="455"/>
    </row>
    <row r="14" spans="1:275" s="385" customFormat="1" ht="14.25" customHeight="1" x14ac:dyDescent="0.2">
      <c r="A14" s="490" t="str">
        <f xml:space="preserve"> x</f>
        <v>x</v>
      </c>
      <c r="C14" s="388"/>
      <c r="D14" s="388"/>
      <c r="E14" s="388"/>
      <c r="F14" s="401" t="str">
        <f xml:space="preserve"> qx</f>
        <v>q_x</v>
      </c>
      <c r="G14" s="401" t="str">
        <f xml:space="preserve"> wx</f>
        <v>w_x</v>
      </c>
      <c r="H14" s="401" t="str">
        <f xml:space="preserve"> GrKx &amp; quer</f>
        <v>K_x^quer</v>
      </c>
      <c r="I14" s="401" t="str">
        <f xml:space="preserve"> GrKx</f>
        <v>K_x</v>
      </c>
      <c r="J14" s="401" t="str">
        <f xml:space="preserve"> klkx</f>
        <v>k_x</v>
      </c>
      <c r="K14" s="401" t="str">
        <f xml:space="preserve"> alphaZx</f>
        <v>α^Z_x</v>
      </c>
      <c r="L14" s="401" t="str">
        <f xml:space="preserve"> DeltaTilde</f>
        <v>Δ~^r_js</v>
      </c>
      <c r="M14" s="401" t="str">
        <f xml:space="preserve"> Delta</f>
        <v>Δ_js</v>
      </c>
      <c r="O14" s="431" t="str">
        <f xml:space="preserve"> xrel</f>
        <v>Berechnungsalter</v>
      </c>
      <c r="P14" s="431" t="str">
        <f xml:space="preserve"> sx</f>
        <v>s_x</v>
      </c>
      <c r="Q14" s="431" t="str">
        <f xml:space="preserve"> sx_1</f>
        <v>1 - s_x</v>
      </c>
      <c r="R14" s="431" t="str">
        <f xml:space="preserve"> lx</f>
        <v>l_x</v>
      </c>
      <c r="S14" s="431" t="str">
        <f xml:space="preserve"> v</f>
        <v>v</v>
      </c>
      <c r="T14" s="431" t="str">
        <f xml:space="preserve"> Dx</f>
        <v>D_x</v>
      </c>
      <c r="U14" s="431" t="str">
        <f xml:space="preserve"> Nx</f>
        <v>N_x</v>
      </c>
      <c r="V14" s="431" t="str">
        <f xml:space="preserve"> klax</f>
        <v>a_x</v>
      </c>
      <c r="W14" s="431" t="str">
        <f xml:space="preserve"> Ox</f>
        <v>O_x</v>
      </c>
      <c r="X14" s="431" t="str">
        <f xml:space="preserve"> Ux</f>
        <v>U_x</v>
      </c>
      <c r="Y14" s="431" t="str">
        <f xml:space="preserve"> GrAx</f>
        <v>GrA_x</v>
      </c>
      <c r="Z14" s="431" t="str">
        <f xml:space="preserve"> px</f>
        <v>p_x</v>
      </c>
      <c r="AA14" s="431" t="str">
        <f xml:space="preserve"> zx</f>
        <v>z_x</v>
      </c>
      <c r="AB14" s="431" t="str">
        <f xml:space="preserve"> br</f>
        <v>b^r_js</v>
      </c>
      <c r="AC14" s="431" t="str">
        <f xml:space="preserve"> klgamma</f>
        <v>γ_js</v>
      </c>
      <c r="AD14" s="431" t="str">
        <f xml:space="preserve"> pZx</f>
        <v>z°p_x</v>
      </c>
      <c r="AE14" s="431" t="str">
        <f xml:space="preserve"> klbZx</f>
        <v>b°Z_x</v>
      </c>
      <c r="AF14" s="574" t="str">
        <f xml:space="preserve"> Beitragsmonotonisierung</f>
        <v>Beitrags-Monotonisierung</v>
      </c>
      <c r="AG14" s="574"/>
      <c r="AH14" s="431" t="str">
        <f xml:space="preserve"> Meldung</f>
        <v>Meldung</v>
      </c>
      <c r="AI14" s="431" t="str">
        <f xml:space="preserve"> G</f>
        <v>G</v>
      </c>
      <c r="AJ14" s="431" t="str">
        <f xml:space="preserve"> GrBZx</f>
        <v>B°Z_x</v>
      </c>
      <c r="AK14" s="431" t="str">
        <f xml:space="preserve"> GrBTildeZx</f>
        <v>B~°Z_x</v>
      </c>
      <c r="AN14" s="431" t="str">
        <f xml:space="preserve"> SUBSTITUTE( GrV_x_xplusm, "x", AN12 )</f>
        <v>V_35;35+m</v>
      </c>
      <c r="AO14" s="431" t="str">
        <f xml:space="preserve"> SUBSTITUTE( GrVZ_x_xplusm, "x", AO12 )</f>
        <v>V^Z_35;35+m</v>
      </c>
      <c r="AR14" s="431" t="str">
        <f xml:space="preserve"> GrKx</f>
        <v>K_x</v>
      </c>
      <c r="AS14" s="431" t="str">
        <f xml:space="preserve"> qx</f>
        <v>q_x</v>
      </c>
      <c r="AT14" s="431" t="str">
        <f xml:space="preserve"> qx</f>
        <v>q_x</v>
      </c>
      <c r="AU14" s="431" t="str">
        <f xml:space="preserve"> qx</f>
        <v>q_x</v>
      </c>
      <c r="AV14" s="431" t="str">
        <f xml:space="preserve"> qx</f>
        <v>q_x</v>
      </c>
      <c r="AW14" s="486" t="str">
        <f xml:space="preserve"> qx</f>
        <v>q_x</v>
      </c>
      <c r="AX14" s="431" t="str">
        <f xml:space="preserve"> wx</f>
        <v>w_x</v>
      </c>
      <c r="AY14" s="431" t="str">
        <f xml:space="preserve"> wx</f>
        <v>w_x</v>
      </c>
      <c r="AZ14" s="431" t="str">
        <f xml:space="preserve"> wx</f>
        <v>w_x</v>
      </c>
      <c r="BA14" s="431" t="str">
        <f xml:space="preserve"> wx</f>
        <v>w_x</v>
      </c>
      <c r="BB14" s="486" t="str">
        <f xml:space="preserve"> wx</f>
        <v>w_x</v>
      </c>
      <c r="BC14" s="431" t="str">
        <f xml:space="preserve"> GrKx</f>
        <v>K_x</v>
      </c>
      <c r="BD14" s="431" t="str">
        <f xml:space="preserve"> GrKx</f>
        <v>K_x</v>
      </c>
      <c r="BE14" s="431" t="str">
        <f xml:space="preserve"> GrKx</f>
        <v>K_x</v>
      </c>
      <c r="BF14" s="431" t="str">
        <f xml:space="preserve"> GrKx</f>
        <v>K_x</v>
      </c>
      <c r="BG14" s="486" t="str">
        <f xml:space="preserve"> GrKx</f>
        <v>K_x</v>
      </c>
      <c r="BQ14" s="385" t="s">
        <v>141</v>
      </c>
      <c r="BR14" s="491" t="str">
        <f xml:space="preserve"> BW13</f>
        <v>V_x;x+m</v>
      </c>
      <c r="BS14" s="491" t="str">
        <f xml:space="preserve"> I14</f>
        <v>K_x</v>
      </c>
      <c r="BT14" s="491" t="str">
        <f xml:space="preserve">  BT$18 &amp; " * " &amp; BT$7 &amp; " - " &amp; BS14</f>
        <v>G * p_35 - K_x</v>
      </c>
      <c r="BU14" s="491" t="str">
        <f xml:space="preserve"> T14</f>
        <v>D_x</v>
      </c>
      <c r="BV14" s="491" t="str">
        <f xml:space="preserve">  BU14 &amp; "-1 / " &amp; BU14</f>
        <v>D_x-1 / D_x</v>
      </c>
      <c r="BW14" s="575" t="str">
        <f xml:space="preserve"> "( " &amp; BR14 &amp; " + " &amp; BT14 &amp; " ) * " &amp; BV14</f>
        <v>( V_x;x+m + G * p_35 - K_x ) * D_x-1 / D_x</v>
      </c>
      <c r="BX14" s="492" t="str">
        <f xml:space="preserve"> BX15</f>
        <v>Verzinsung und Vererbung</v>
      </c>
      <c r="CB14" s="359" t="str">
        <f xml:space="preserve"> AN18 &amp; " * ( " &amp; AN7 &amp; " - " &amp; SUBSTITUTE(J14, "x", "x+m") &amp; " ) * ( 1 + " &amp; CB18 &amp; " )"</f>
        <v>G * ( p_35 - k_x+m ) * ( 1 + r )</v>
      </c>
      <c r="CC14" s="359" t="str">
        <f xml:space="preserve">  SUBSTITUTE( AN14, "x;", AN12 &amp; ";" ) &amp; " * " &amp; CC18</f>
        <v>V_35;35+m * r</v>
      </c>
      <c r="CD14" s="359" t="str">
        <f xml:space="preserve">  SUBSTITUTE( AN14, "x;", AN12 &amp; ";" ) &amp; "+1 * " &amp; P14</f>
        <v>V_35;35+m+1 * s_x</v>
      </c>
      <c r="CE14" s="359" t="str">
        <f xml:space="preserve"> CB15 &amp; " + " &amp; CC15 &amp; " + " &amp; CD15</f>
        <v>verzinste Sparprämie + Zins auf vorhandene AR + geerbte AR</v>
      </c>
      <c r="CF14" s="359" t="str">
        <f xml:space="preserve">  SUBSTITUTE( AN14, "x;", AN12 &amp; ";" ) &amp; "+1 - " &amp;  SUBSTITUTE( AN14, "x;", AN12 &amp; ";" )</f>
        <v>V_35;35+m+1 - V_35;35+m</v>
      </c>
      <c r="CH14" s="359" t="str">
        <f xml:space="preserve"> UPPER( AN7 )</f>
        <v>P_35</v>
      </c>
      <c r="CI14" s="359" t="str">
        <f xml:space="preserve">   CI$18 &amp; " * " &amp; $J14</f>
        <v>G * k_x</v>
      </c>
      <c r="CJ14" s="359" t="str">
        <f xml:space="preserve">  "1 / ( 1 + " &amp; CJ$18 &amp; " ) * " &amp; AN14 &amp; "+1 - " &amp; AN14</f>
        <v>1 / ( 1 + r ) * V_35;35+m+1 - V_35;35+m</v>
      </c>
      <c r="CK14" s="359" t="str">
        <f xml:space="preserve">  "1 / ( 1 + " &amp; CK$18 &amp; " ) * " &amp; AN14 &amp; "+1 * " &amp; $P14</f>
        <v>1 / ( 1 + r ) * V_35;35+m+1 * s_x</v>
      </c>
      <c r="CL14" s="359" t="str">
        <f xml:space="preserve"> CI15 &amp; " + " &amp; CJ15 &amp; " + " &amp; CK15</f>
        <v>Risikoanteil + eigener Anteil an Sparbeitrag + geerbte diskontierte AR</v>
      </c>
      <c r="CN14" s="359" t="str">
        <f xml:space="preserve"> UPPER( AO7 )</f>
        <v>Z°P_35</v>
      </c>
      <c r="CO14" s="359" t="str">
        <f xml:space="preserve">   CO$18 &amp; " * " &amp; $J14</f>
        <v>G * k_x</v>
      </c>
      <c r="CP14" s="359" t="str">
        <f xml:space="preserve">  "1 / ( 1 + " &amp; CP$18 &amp; " ) * " &amp; AO14 &amp; "+1 - " &amp; AO14</f>
        <v>1 / ( 1 + r ) * V^Z_35;35+m+1 - V^Z_35;35+m</v>
      </c>
      <c r="CQ14" s="359" t="str">
        <f xml:space="preserve">  "1 / ( 1 + " &amp; CQ$18 &amp; " ) * " &amp; AO14 &amp; "+1 * " &amp; $P14</f>
        <v>1 / ( 1 + r ) * V^Z_35;35+m+1 * s_x</v>
      </c>
      <c r="CR14" s="359" t="str">
        <f xml:space="preserve"> CO15 &amp; " + " &amp; CP15 &amp; " + " &amp; CQ15</f>
        <v>Risikoanteil + eigener Anteil an Sparbeitrag + geerbte diskontierte AR</v>
      </c>
      <c r="CW14" s="424" t="str">
        <f xml:space="preserve"> SUBSTITUTE( $AO14, "+m", "+μ1")</f>
        <v>V^Z_35;35+μ1</v>
      </c>
      <c r="CX14" s="424" t="str">
        <f xml:space="preserve"> CW14</f>
        <v>V^Z_35;35+μ1</v>
      </c>
      <c r="CY14" s="385" t="str">
        <f xml:space="preserve"> SUBSTITUTE( CW14, CW3 &amp; "+μ1", CY3 )</f>
        <v>V^Z_35;50</v>
      </c>
      <c r="DB14" s="565" t="str">
        <f xml:space="preserve"> CW14</f>
        <v>V^Z_35;35+μ1</v>
      </c>
      <c r="DC14" s="565" t="str">
        <f xml:space="preserve"> CX14</f>
        <v>V^Z_35;35+μ1</v>
      </c>
      <c r="DD14" s="385" t="str">
        <f xml:space="preserve"> CY14</f>
        <v>V^Z_35;50</v>
      </c>
      <c r="DF14" s="385" t="str">
        <f xml:space="preserve"> "V_" &amp; $CZ$3 &amp; ";" &amp; $CZ$3 &amp; "+μ2"</f>
        <v>V_65;65+μ2</v>
      </c>
      <c r="DJ14" s="433" t="str">
        <f xml:space="preserve"> DJ11 &amp; "
" &amp; DJ13</f>
        <v>Tarifl. AR bei RisAwV in den Altern 50-65
Frauen+Männer − λ_x: + 50,0 % − x_ω: 110 − r: 2,5 % − q_x: PKV 2017 − w_x: Sto BaFin N 2015 − K_x: Primo kompakt 2015 − x_KM: 70 − Δ_js: 8,6 % − Γ_js: 802 / 679 Euro − α^Z_x: 2 MB (ab 70 abzgl. 0,5 MB) | x_0: 35</v>
      </c>
      <c r="EA14" s="323"/>
      <c r="EL14" s="415" t="str">
        <f xml:space="preserve"> SUBSTITUTE(   SUBSTITUTE(  SUBSTITUTE( GrVZ_x_xplusm, "x+m", EL12 ) &amp; "+k", "_x", "_" &amp; EL12 ), "+k", "+k " &amp; $DT$2  )</f>
        <v>V^Z_50;50+k (i2;i1)</v>
      </c>
      <c r="EM14" s="415" t="str">
        <f xml:space="preserve"> SUBSTITUTE( EL14, $DT$2, "(H" &amp; $DT$2 &amp; ")" )</f>
        <v>V^Z_50;50+k (H(i2;i1))</v>
      </c>
      <c r="EN14" s="359" t="str">
        <f xml:space="preserve"> "V^Z _(" &amp; DY12 &amp; "/" &amp; EL12 &amp; ");" &amp; EL12 &amp; "+k" &amp; " (ges" &amp; $DT$2 &amp; ")"</f>
        <v>V^Z _(35/50);50+k (ges(i2;i1))</v>
      </c>
      <c r="EO14" s="415" t="str">
        <f xml:space="preserve"> SUBSTITUTE(  'i2'!AO14, "+m", "+k" ) &amp; " (" &amp; 'i2'!$C$1 &amp; ")"</f>
        <v>V^Z_35;35+k (i2)</v>
      </c>
      <c r="EV14" s="431" t="str">
        <f xml:space="preserve"> GrKx &amp; quer</f>
        <v>K_x^quer</v>
      </c>
      <c r="EW14" s="431" t="str">
        <f xml:space="preserve"> GrKx &amp; quer</f>
        <v>K_x^quer</v>
      </c>
      <c r="EX14" s="431" t="str">
        <f xml:space="preserve"> GrKx &amp; quer</f>
        <v>K_x^quer</v>
      </c>
      <c r="FB14" s="431" t="str">
        <f xml:space="preserve"> GrKx &amp; quer</f>
        <v>K_x^quer</v>
      </c>
      <c r="FC14" s="431" t="str">
        <f xml:space="preserve"> GrKx &amp; quer</f>
        <v>K_x^quer</v>
      </c>
      <c r="FO14" s="493" t="str">
        <f xml:space="preserve"> Y14</f>
        <v>GrA_x</v>
      </c>
      <c r="FP14" s="493" t="str">
        <f xml:space="preserve"> V14</f>
        <v>a_x</v>
      </c>
    </row>
    <row r="15" spans="1:275" s="494" customFormat="1" ht="40.799999999999997" x14ac:dyDescent="0.2">
      <c r="A15" s="394" t="str">
        <f xml:space="preserve"> INDEX( Auswahl_Geschl_, $D$1 )</f>
        <v>MF</v>
      </c>
      <c r="C15" s="495"/>
      <c r="D15" s="495"/>
      <c r="E15" s="495"/>
      <c r="F15" s="461" t="str">
        <f xml:space="preserve"> INDEX( Auswahl_qx, $D$1 )</f>
        <v>PKV 2017</v>
      </c>
      <c r="G15" s="461" t="str">
        <f xml:space="preserve"> INDEX( Auswahl_wx, $D$1 )</f>
        <v>Sto BaFin N 2015</v>
      </c>
      <c r="H15" s="461" t="str">
        <f xml:space="preserve"> INDEX( Auswahl_KS, $D$1 )</f>
        <v>Primo kompakt 2015</v>
      </c>
      <c r="I15" s="496" t="str">
        <f xml:space="preserve"> H15</f>
        <v>Primo kompakt 2015</v>
      </c>
      <c r="J15" s="461" t="str">
        <f xml:space="preserve"> I15</f>
        <v>Primo kompakt 2015</v>
      </c>
      <c r="K15" s="497">
        <f xml:space="preserve"> INDEX( Auswahl_alphaZMB, $D$1 )</f>
        <v>2</v>
      </c>
      <c r="L15" s="498">
        <f xml:space="preserve"> INDEX( Auswahl_DeltaTildejun, $D$1 )</f>
        <v>0</v>
      </c>
      <c r="M15" s="498">
        <f xml:space="preserve"> INDEX( Auswahl_Deltajun, $D$1 )</f>
        <v>8.6000000000000007E-2</v>
      </c>
      <c r="AH15" s="499" t="str">
        <f xml:space="preserve"> IF( AH17, iO, Achtung )</f>
        <v>i.O.</v>
      </c>
      <c r="AR15" s="500" t="str">
        <f xml:space="preserve"> INDEX( Auswahl_KS, $D$1 )</f>
        <v>Primo kompakt 2015</v>
      </c>
      <c r="AS15" s="500" t="str">
        <f xml:space="preserve"> INDEX( Auswahl_qx, $D$1 )</f>
        <v>PKV 2017</v>
      </c>
      <c r="AT15" s="500" t="str">
        <f xml:space="preserve"> INDEX( Auswahl_qx, $D$1 )</f>
        <v>PKV 2017</v>
      </c>
      <c r="AU15" s="500" t="str">
        <f xml:space="preserve"> Geschl</f>
        <v>Geschlecht</v>
      </c>
      <c r="AV15" s="501" t="str">
        <f xml:space="preserve"> AV13</f>
        <v>λ_x^q_x</v>
      </c>
      <c r="AW15" s="502" t="str">
        <f xml:space="preserve"> AS15</f>
        <v>PKV 2017</v>
      </c>
      <c r="AX15" s="500" t="str">
        <f xml:space="preserve"> INDEX( Auswahl_wx, $D$1 )</f>
        <v>Sto BaFin N 2015</v>
      </c>
      <c r="AY15" s="500" t="str">
        <f xml:space="preserve"> INDEX( Auswahl_wx, $D$1 )</f>
        <v>Sto BaFin N 2015</v>
      </c>
      <c r="AZ15" s="500" t="str">
        <f xml:space="preserve"> Geschl</f>
        <v>Geschlecht</v>
      </c>
      <c r="BA15" s="501" t="str">
        <f xml:space="preserve"> BA13</f>
        <v>λ_x^w_x</v>
      </c>
      <c r="BB15" s="502" t="str">
        <f xml:space="preserve"> AX15</f>
        <v>Sto BaFin N 2015</v>
      </c>
      <c r="BC15" s="500" t="str">
        <f xml:space="preserve"> INDEX( Auswahl_KS, $D$1 )</f>
        <v>Primo kompakt 2015</v>
      </c>
      <c r="BD15" s="500" t="str">
        <f xml:space="preserve"> INDEX( Auswahl_KS, $D$1 )</f>
        <v>Primo kompakt 2015</v>
      </c>
      <c r="BE15" s="500" t="str">
        <f xml:space="preserve"> Geschl</f>
        <v>Geschlecht</v>
      </c>
      <c r="BF15" s="501" t="str">
        <f xml:space="preserve"> BF13</f>
        <v>λ_x^K_x</v>
      </c>
      <c r="BG15" s="502" t="str">
        <f xml:space="preserve"> BC15</f>
        <v>Primo kompakt 2015</v>
      </c>
      <c r="BR15" s="503" t="s">
        <v>126</v>
      </c>
      <c r="BS15" s="503"/>
      <c r="BT15" s="503" t="s">
        <v>127</v>
      </c>
      <c r="BU15" s="503"/>
      <c r="BV15" s="503"/>
      <c r="BW15" s="575"/>
      <c r="BX15" s="503" t="s">
        <v>123</v>
      </c>
      <c r="CB15" s="431" t="str">
        <f xml:space="preserve"> VZSparpr</f>
        <v>verzinste Sparprämie</v>
      </c>
      <c r="CC15" s="431" t="str">
        <f xml:space="preserve"> VZins</f>
        <v>Zins auf vorhandene AR</v>
      </c>
      <c r="CD15" s="431" t="str">
        <f xml:space="preserve"> Vererbung</f>
        <v>geerbte AR</v>
      </c>
      <c r="CE15" s="431" t="str">
        <f xml:space="preserve"> Zuführung</f>
        <v>Zuführung</v>
      </c>
      <c r="CF15" s="431" t="str">
        <f xml:space="preserve"> Numerik_Abweichungen</f>
        <v>Abweichg. auf Grund Numerik</v>
      </c>
      <c r="CH15" s="431" t="str">
        <f xml:space="preserve"> Basis!J76</f>
        <v>Nettoprämie</v>
      </c>
      <c r="CI15" s="431" t="str">
        <f xml:space="preserve"> Basis!K76</f>
        <v>Risikoanteil</v>
      </c>
      <c r="CJ15" s="431" t="str">
        <f xml:space="preserve"> Basis!O76</f>
        <v>eigener Anteil an Sparbeitrag</v>
      </c>
      <c r="CK15" s="431" t="str">
        <f xml:space="preserve"> Basis!P76</f>
        <v>geerbte diskontierte AR</v>
      </c>
      <c r="CL15" s="431" t="str">
        <f xml:space="preserve"> Numerik_Abweichungen</f>
        <v>Abweichg. auf Grund Numerik</v>
      </c>
      <c r="CN15" s="431" t="str">
        <f xml:space="preserve"> Basis!J77</f>
        <v>Gez. Nettoprämie</v>
      </c>
      <c r="CO15" s="431" t="str">
        <f xml:space="preserve"> Basis!K76</f>
        <v>Risikoanteil</v>
      </c>
      <c r="CP15" s="431" t="str">
        <f xml:space="preserve"> Basis!O76</f>
        <v>eigener Anteil an Sparbeitrag</v>
      </c>
      <c r="CQ15" s="431" t="str">
        <f xml:space="preserve"> Basis!P76</f>
        <v>geerbte diskontierte AR</v>
      </c>
      <c r="CR15" s="431" t="str">
        <f xml:space="preserve"> Numerik_Abweichungen</f>
        <v>Abweichg. auf Grund Numerik</v>
      </c>
      <c r="CW15" s="385"/>
      <c r="CX15" s="385"/>
      <c r="CY15" s="385"/>
      <c r="DR15" s="385"/>
      <c r="DS15" s="323"/>
      <c r="DT15" s="385"/>
      <c r="EB15" s="385"/>
      <c r="EC15" s="489"/>
      <c r="EV15" s="500" t="str">
        <f xml:space="preserve"> INDEX( Auswahl_KS, $D$1 )</f>
        <v>Primo kompakt 2015</v>
      </c>
      <c r="EW15" s="500" t="str">
        <f xml:space="preserve"> INDEX( Auswahl_KS, $D$1 )</f>
        <v>Primo kompakt 2015</v>
      </c>
      <c r="EX15" s="500" t="str">
        <f xml:space="preserve"> INDEX( Auswahl_KS, $D$1 )</f>
        <v>Primo kompakt 2015</v>
      </c>
      <c r="FB15" s="500" t="str">
        <f xml:space="preserve"> INDEX( Auswahl_KS, $D$1 )</f>
        <v>Primo kompakt 2015</v>
      </c>
      <c r="FC15" s="500" t="str">
        <f xml:space="preserve"> INDEX( Auswahl_KS, $D$1 )</f>
        <v>Primo kompakt 2015</v>
      </c>
      <c r="FR15" s="504" t="str">
        <f xml:space="preserve"> AD14</f>
        <v>z°p_x</v>
      </c>
      <c r="FS15" s="505">
        <f t="shared" ref="FS15:GX15" si="14" xml:space="preserve"> INDEX( $AD$20:$AD$120, MATCH( FS18, $A$20:$A$120, 0 ) )</f>
        <v>1.2003999999999999</v>
      </c>
      <c r="FT15" s="505">
        <f t="shared" si="14"/>
        <v>1.2408999999999999</v>
      </c>
      <c r="FU15" s="505">
        <f t="shared" si="14"/>
        <v>1.2815000000000001</v>
      </c>
      <c r="FV15" s="505">
        <f t="shared" si="14"/>
        <v>1.3221000000000001</v>
      </c>
      <c r="FW15" s="505">
        <f t="shared" si="14"/>
        <v>1.3641000000000001</v>
      </c>
      <c r="FX15" s="505">
        <f t="shared" si="14"/>
        <v>1.4073</v>
      </c>
      <c r="FY15" s="505">
        <f t="shared" si="14"/>
        <v>1.4500999999999999</v>
      </c>
      <c r="FZ15" s="505">
        <f t="shared" si="14"/>
        <v>1.4932000000000001</v>
      </c>
      <c r="GA15" s="505">
        <f t="shared" si="14"/>
        <v>1.5378000000000001</v>
      </c>
      <c r="GB15" s="505">
        <f t="shared" si="14"/>
        <v>1.5842000000000001</v>
      </c>
      <c r="GC15" s="505">
        <f t="shared" si="14"/>
        <v>1.6309</v>
      </c>
      <c r="GD15" s="505">
        <f t="shared" si="14"/>
        <v>1.6782999999999999</v>
      </c>
      <c r="GE15" s="505">
        <f t="shared" si="14"/>
        <v>1.7267999999999999</v>
      </c>
      <c r="GF15" s="505">
        <f t="shared" si="14"/>
        <v>1.7755000000000001</v>
      </c>
      <c r="GG15" s="505">
        <f t="shared" si="14"/>
        <v>1.8257000000000001</v>
      </c>
      <c r="GH15" s="505">
        <f t="shared" si="14"/>
        <v>1.8763000000000001</v>
      </c>
      <c r="GI15" s="505">
        <f t="shared" si="14"/>
        <v>1.9283999999999999</v>
      </c>
      <c r="GJ15" s="505">
        <f t="shared" si="14"/>
        <v>1.9817</v>
      </c>
      <c r="GK15" s="505">
        <f t="shared" si="14"/>
        <v>2.0365000000000002</v>
      </c>
      <c r="GL15" s="505">
        <f t="shared" si="14"/>
        <v>2.0929000000000002</v>
      </c>
      <c r="GM15" s="505">
        <f t="shared" si="14"/>
        <v>2.1509999999999998</v>
      </c>
      <c r="GN15" s="505">
        <f t="shared" si="14"/>
        <v>2.2113</v>
      </c>
      <c r="GO15" s="505">
        <f t="shared" si="14"/>
        <v>2.2738</v>
      </c>
      <c r="GP15" s="505">
        <f t="shared" si="14"/>
        <v>2.3386</v>
      </c>
      <c r="GQ15" s="505">
        <f t="shared" si="14"/>
        <v>2.4060000000000001</v>
      </c>
      <c r="GR15" s="505">
        <f t="shared" si="14"/>
        <v>2.4754999999999998</v>
      </c>
      <c r="GS15" s="505">
        <f t="shared" si="14"/>
        <v>2.5474000000000001</v>
      </c>
      <c r="GT15" s="505">
        <f t="shared" si="14"/>
        <v>2.6215000000000002</v>
      </c>
      <c r="GU15" s="505">
        <f t="shared" si="14"/>
        <v>2.6976</v>
      </c>
      <c r="GV15" s="505">
        <f t="shared" si="14"/>
        <v>2.7755999999999998</v>
      </c>
      <c r="GW15" s="505">
        <f t="shared" si="14"/>
        <v>2.8552</v>
      </c>
      <c r="GX15" s="505">
        <f t="shared" si="14"/>
        <v>2.9367000000000001</v>
      </c>
      <c r="GY15" s="505">
        <f t="shared" ref="GY15:ID15" si="15" xml:space="preserve"> INDEX( $AD$20:$AD$120, MATCH( GY18, $A$20:$A$120, 0 ) )</f>
        <v>3.0192999999999999</v>
      </c>
      <c r="GZ15" s="505">
        <f t="shared" si="15"/>
        <v>3.1034000000000002</v>
      </c>
      <c r="HA15" s="505">
        <f t="shared" si="15"/>
        <v>3.1884000000000001</v>
      </c>
      <c r="HB15" s="505">
        <f t="shared" si="15"/>
        <v>3.2743000000000002</v>
      </c>
      <c r="HC15" s="505">
        <f t="shared" si="15"/>
        <v>3.3612000000000002</v>
      </c>
      <c r="HD15" s="505">
        <f t="shared" si="15"/>
        <v>3.4487999999999999</v>
      </c>
      <c r="HE15" s="505">
        <f t="shared" si="15"/>
        <v>3.5377000000000001</v>
      </c>
      <c r="HF15" s="505">
        <f t="shared" si="15"/>
        <v>3.6284999999999998</v>
      </c>
      <c r="HG15" s="505">
        <f t="shared" si="15"/>
        <v>3.7206000000000001</v>
      </c>
      <c r="HH15" s="505">
        <f t="shared" si="15"/>
        <v>3.8136000000000001</v>
      </c>
      <c r="HI15" s="505">
        <f t="shared" si="15"/>
        <v>3.9077999999999999</v>
      </c>
      <c r="HJ15" s="505">
        <f t="shared" si="15"/>
        <v>4.0026999999999999</v>
      </c>
      <c r="HK15" s="505">
        <f t="shared" si="15"/>
        <v>4.0986000000000002</v>
      </c>
      <c r="HL15" s="505">
        <f t="shared" si="15"/>
        <v>4.1936</v>
      </c>
      <c r="HM15" s="505">
        <f t="shared" si="15"/>
        <v>4.2893999999999997</v>
      </c>
      <c r="HN15" s="505">
        <f t="shared" si="15"/>
        <v>4.3845999999999998</v>
      </c>
      <c r="HO15" s="505">
        <f t="shared" si="15"/>
        <v>4.4790999999999999</v>
      </c>
      <c r="HP15" s="505">
        <f t="shared" si="15"/>
        <v>4.5731999999999999</v>
      </c>
      <c r="HQ15" s="505">
        <f t="shared" si="15"/>
        <v>4.6506999999999996</v>
      </c>
      <c r="HR15" s="505">
        <f t="shared" si="15"/>
        <v>4.7257999999999996</v>
      </c>
      <c r="HS15" s="505">
        <f t="shared" si="15"/>
        <v>4.7976999999999999</v>
      </c>
      <c r="HT15" s="505">
        <f t="shared" si="15"/>
        <v>4.8658000000000001</v>
      </c>
      <c r="HU15" s="505">
        <f t="shared" si="15"/>
        <v>4.9480000000000004</v>
      </c>
      <c r="HV15" s="505">
        <f t="shared" si="15"/>
        <v>5.0270000000000001</v>
      </c>
      <c r="HW15" s="505">
        <f t="shared" si="15"/>
        <v>5.1022999999999996</v>
      </c>
      <c r="HX15" s="505">
        <f t="shared" si="15"/>
        <v>5.1715</v>
      </c>
      <c r="HY15" s="505">
        <f t="shared" si="15"/>
        <v>5.2351999999999999</v>
      </c>
      <c r="HZ15" s="505">
        <f t="shared" si="15"/>
        <v>5.2930999999999999</v>
      </c>
      <c r="IA15" s="505">
        <f t="shared" si="15"/>
        <v>5.3437999999999999</v>
      </c>
      <c r="IB15" s="505">
        <f t="shared" si="15"/>
        <v>5.3883999999999999</v>
      </c>
      <c r="IC15" s="505">
        <f t="shared" si="15"/>
        <v>5.4246999999999996</v>
      </c>
      <c r="ID15" s="505">
        <f t="shared" si="15"/>
        <v>5.4539</v>
      </c>
      <c r="IE15" s="505">
        <f t="shared" ref="IE15:JO15" si="16" xml:space="preserve"> INDEX( $AD$20:$AD$120, MATCH( IE18, $A$20:$A$120, 0 ) )</f>
        <v>5.4756999999999998</v>
      </c>
      <c r="IF15" s="505">
        <f t="shared" si="16"/>
        <v>5.4901999999999997</v>
      </c>
      <c r="IG15" s="505">
        <f t="shared" si="16"/>
        <v>5.4997999999999996</v>
      </c>
      <c r="IH15" s="505">
        <f t="shared" si="16"/>
        <v>5.5065</v>
      </c>
      <c r="II15" s="505">
        <f t="shared" si="16"/>
        <v>5.5067000000000004</v>
      </c>
      <c r="IJ15" s="505">
        <f t="shared" si="16"/>
        <v>5.5071000000000003</v>
      </c>
      <c r="IK15" s="505">
        <f t="shared" si="16"/>
        <v>5.5075000000000003</v>
      </c>
      <c r="IL15" s="505">
        <f t="shared" si="16"/>
        <v>5.5080999999999998</v>
      </c>
      <c r="IM15" s="505">
        <f t="shared" si="16"/>
        <v>5.5088999999999997</v>
      </c>
      <c r="IN15" s="505">
        <f t="shared" si="16"/>
        <v>5.51</v>
      </c>
      <c r="IO15" s="505">
        <f t="shared" si="16"/>
        <v>5.5114999999999998</v>
      </c>
      <c r="IP15" s="505">
        <f t="shared" si="16"/>
        <v>5.5136000000000003</v>
      </c>
      <c r="IQ15" s="505">
        <f t="shared" si="16"/>
        <v>5.5164</v>
      </c>
      <c r="IR15" s="505">
        <f t="shared" si="16"/>
        <v>5.5205000000000002</v>
      </c>
      <c r="IS15" s="505">
        <f t="shared" si="16"/>
        <v>5.5208000000000004</v>
      </c>
      <c r="IT15" s="505">
        <f t="shared" si="16"/>
        <v>5.5210999999999997</v>
      </c>
      <c r="IU15" s="505">
        <f t="shared" si="16"/>
        <v>5.5217000000000001</v>
      </c>
      <c r="IV15" s="505">
        <f t="shared" si="16"/>
        <v>5.5223000000000004</v>
      </c>
      <c r="IW15" s="505">
        <f t="shared" si="16"/>
        <v>5.5232999999999999</v>
      </c>
      <c r="IX15" s="505">
        <f t="shared" si="16"/>
        <v>5.5248999999999997</v>
      </c>
      <c r="IY15" s="505">
        <f t="shared" si="16"/>
        <v>5.5271999999999997</v>
      </c>
      <c r="IZ15" s="505">
        <f t="shared" si="16"/>
        <v>5.5308999999999999</v>
      </c>
      <c r="JA15" s="505">
        <f t="shared" si="16"/>
        <v>5.5366999999999997</v>
      </c>
      <c r="JB15" s="505">
        <f t="shared" si="16"/>
        <v>5.5467000000000004</v>
      </c>
      <c r="JC15" s="505">
        <f t="shared" si="16"/>
        <v>5.5586000000000002</v>
      </c>
      <c r="JD15" s="505">
        <f t="shared" si="16"/>
        <v>5.5696000000000003</v>
      </c>
      <c r="JE15" s="505">
        <f t="shared" si="16"/>
        <v>5.5799000000000003</v>
      </c>
      <c r="JF15" s="505" t="str">
        <f t="shared" si="16"/>
        <v>.</v>
      </c>
      <c r="JG15" s="505" t="str">
        <f t="shared" si="16"/>
        <v>.</v>
      </c>
      <c r="JH15" s="505" t="str">
        <f t="shared" si="16"/>
        <v>.</v>
      </c>
      <c r="JI15" s="505" t="str">
        <f t="shared" si="16"/>
        <v>.</v>
      </c>
      <c r="JJ15" s="505" t="str">
        <f t="shared" si="16"/>
        <v>.</v>
      </c>
      <c r="JK15" s="505" t="str">
        <f t="shared" si="16"/>
        <v>.</v>
      </c>
      <c r="JL15" s="505" t="str">
        <f t="shared" si="16"/>
        <v>.</v>
      </c>
      <c r="JM15" s="505" t="str">
        <f t="shared" si="16"/>
        <v>.</v>
      </c>
      <c r="JN15" s="505" t="str">
        <f t="shared" si="16"/>
        <v>.</v>
      </c>
      <c r="JO15" s="505" t="str">
        <f t="shared" si="16"/>
        <v>.</v>
      </c>
    </row>
    <row r="16" spans="1:275" s="385" customFormat="1" x14ac:dyDescent="0.25">
      <c r="A16" s="506"/>
      <c r="B16" s="506"/>
      <c r="C16" s="507"/>
      <c r="D16" s="507"/>
      <c r="E16" s="507"/>
      <c r="F16" s="508" t="e">
        <f xml:space="preserve"> MATCH( F15 &amp; " # " &amp; $A15, qx!15:15, 0 )</f>
        <v>#N/A</v>
      </c>
      <c r="G16" s="508" t="e">
        <f xml:space="preserve"> MATCH( G15 &amp; " # " &amp; $A15, wx!15:15, 0 )</f>
        <v>#N/A</v>
      </c>
      <c r="H16" s="509" t="e">
        <f xml:space="preserve"> MATCH( TRIM( H15 &amp; " # " &amp; $A15 &amp; " " &amp; D9 ), Kx!15:15, 0 )</f>
        <v>#N/A</v>
      </c>
      <c r="I16" s="510"/>
      <c r="J16" s="510"/>
      <c r="K16" s="497">
        <f xml:space="preserve"> INDEX( Auswahl_alphaZAbstufung, $D$1 )</f>
        <v>0.5</v>
      </c>
      <c r="L16" s="498">
        <f xml:space="preserve"> INDEX( Auswahl_DeltaTildesen, $D$1 )</f>
        <v>0</v>
      </c>
      <c r="M16" s="498">
        <f xml:space="preserve"> INDEX( Auswahl_Deltasen, $D$1 )</f>
        <v>8.6000000000000007E-2</v>
      </c>
      <c r="AB16" s="428">
        <f xml:space="preserve"> MATCH( AB12, $A$20:$A$120, 0 )</f>
        <v>21</v>
      </c>
      <c r="AR16" s="387">
        <f xml:space="preserve"> MATCH( AR15 &amp; " # " &amp; AR13, Kx!15:15, 0 )</f>
        <v>140</v>
      </c>
      <c r="AS16" s="387">
        <f xml:space="preserve"> MATCH( AS15 &amp; " # " &amp; AS13, qx!15:15, 0 )</f>
        <v>20</v>
      </c>
      <c r="AT16" s="387">
        <f xml:space="preserve"> MATCH( AT15 &amp; " # " &amp; AT13, qx!15:15, 0 )</f>
        <v>21</v>
      </c>
      <c r="AU16" s="387"/>
      <c r="AV16" s="387"/>
      <c r="AW16" s="387"/>
      <c r="AX16" s="387">
        <f xml:space="preserve"> MATCH( AX15 &amp; " # " &amp; AX13, wx!15:15, 0 )</f>
        <v>16</v>
      </c>
      <c r="AY16" s="387">
        <f xml:space="preserve"> MATCH( AY15 &amp; " # " &amp; AY13, wx!15:15, 0 )</f>
        <v>17</v>
      </c>
      <c r="AZ16" s="387"/>
      <c r="BA16" s="387"/>
      <c r="BB16" s="387"/>
      <c r="BC16" s="387">
        <f xml:space="preserve"> MATCH( BC15 &amp; " # " &amp; BC13, Kx!15:15, 0 )</f>
        <v>134</v>
      </c>
      <c r="BD16" s="387">
        <f xml:space="preserve"> MATCH( BD15 &amp; " # " &amp; BD13, Kx!15:15, 0 )</f>
        <v>135</v>
      </c>
      <c r="BE16" s="387"/>
      <c r="BF16" s="387"/>
      <c r="BG16" s="387"/>
      <c r="BR16" s="487"/>
      <c r="BT16" s="511"/>
      <c r="BU16" s="488"/>
      <c r="EV16" s="512" t="e">
        <f xml:space="preserve"> MATCH( TRIM( EV15 &amp; " # " &amp; EV$8 &amp; " " &amp; EV9 ), Kx!15:15, 0 )</f>
        <v>#N/A</v>
      </c>
      <c r="EW16" s="512" t="e">
        <f xml:space="preserve"> MATCH( TRIM( EW15 &amp; " # " &amp; EW$8 &amp; " " &amp; EW9 ), Kx!15:15, 0 )</f>
        <v>#N/A</v>
      </c>
      <c r="EX16" s="512" t="e">
        <f xml:space="preserve"> MATCH( TRIM( EX15 &amp; " # " &amp; EX$8 &amp; " " &amp; EX9 ), Kx!15:15, 0 )</f>
        <v>#N/A</v>
      </c>
      <c r="FB16" s="512" t="e">
        <f xml:space="preserve"> MATCH( TRIM( FB15 &amp; " # " &amp; FB$8 &amp; " " &amp; FB9 ), Kx!15:15, 0 )</f>
        <v>#N/A</v>
      </c>
      <c r="FC16" s="512" t="e">
        <f xml:space="preserve"> MATCH( TRIM( FC15 &amp; " # " &amp; FC$8 &amp; " " &amp; FC9 ), Kx!15:15, 0 )</f>
        <v>#N/A</v>
      </c>
      <c r="FN16" s="494"/>
      <c r="FO16" s="494"/>
      <c r="FP16" s="494"/>
    </row>
    <row r="17" spans="1:275" s="385" customFormat="1" x14ac:dyDescent="0.25">
      <c r="A17" s="513" t="str">
        <f xml:space="preserve"> Basis!A17</f>
        <v>Rd'Stellen</v>
      </c>
      <c r="B17" s="514" t="b">
        <f xml:space="preserve"> INDEX( Auswahl_Runden, $D$1 )</f>
        <v>1</v>
      </c>
      <c r="C17" s="515"/>
      <c r="D17" s="515"/>
      <c r="E17" s="515"/>
      <c r="F17" s="390">
        <f xml:space="preserve"> IF( $B$17, qx_Rd, nix_Rd )</f>
        <v>4</v>
      </c>
      <c r="G17" s="390">
        <f xml:space="preserve"> IF( $B$17, wx_Rd, nix_Rd )</f>
        <v>4</v>
      </c>
      <c r="H17" s="390">
        <f xml:space="preserve"> IF( $B$17, GrKx_Rd, nix_Rd )</f>
        <v>2</v>
      </c>
      <c r="I17" s="516"/>
      <c r="J17" s="390">
        <f xml:space="preserve"> IF( $B$17, klkx_rd, nix_Rd )</f>
        <v>3</v>
      </c>
      <c r="K17" s="390">
        <f xml:space="preserve"> IF( $B$17, alphaZx_Rd, nix_Rd )</f>
        <v>1</v>
      </c>
      <c r="L17" s="390">
        <f xml:space="preserve"> IF( $B$17, DeltaTilde_Rd, nix_Rd )</f>
        <v>4</v>
      </c>
      <c r="M17" s="390">
        <f xml:space="preserve"> IF( $B$17, Delta_Rd, nix_Rd )</f>
        <v>4</v>
      </c>
      <c r="O17" s="516"/>
      <c r="P17" s="390">
        <f xml:space="preserve"> IF( $B$17, sx_Rd, nix_Rd )</f>
        <v>4</v>
      </c>
      <c r="Q17" s="390">
        <f xml:space="preserve"> IF( $B$17, sx_1_Rd, nix_Rd )</f>
        <v>4</v>
      </c>
      <c r="R17" s="390">
        <f xml:space="preserve"> IF( $B$17, lx_Rd, nix_Rd )</f>
        <v>0</v>
      </c>
      <c r="S17" s="390">
        <f xml:space="preserve"> IF( $B$17, v_Rd, nix_Rd )</f>
        <v>9</v>
      </c>
      <c r="T17" s="390">
        <f xml:space="preserve"> IF( $B$17, Dx_Rd, nix_Rd )</f>
        <v>2</v>
      </c>
      <c r="U17" s="390">
        <f xml:space="preserve"> IF( $B$17, Nx_Rd, nix_Rd )</f>
        <v>2</v>
      </c>
      <c r="V17" s="390">
        <f xml:space="preserve"> IF( $B$17, klax_Rd, nix_Rd )</f>
        <v>4</v>
      </c>
      <c r="W17" s="390">
        <f xml:space="preserve"> IF( $B$17, Ox_Rd, nix_Rd )</f>
        <v>2</v>
      </c>
      <c r="X17" s="390">
        <f xml:space="preserve"> IF( $B$17, Ux_Rd, nix_Rd )</f>
        <v>2</v>
      </c>
      <c r="Y17" s="390">
        <f xml:space="preserve"> IF( $B$17, GrAx_Rd, nix_Rd )</f>
        <v>4</v>
      </c>
      <c r="Z17" s="390">
        <f xml:space="preserve"> IF( $B$17, px_Rd, nix_Rd )</f>
        <v>4</v>
      </c>
      <c r="AA17" s="390">
        <f xml:space="preserve"> IF( $B$17, zx_Rd, nix_Rd )</f>
        <v>4</v>
      </c>
      <c r="AB17" s="390">
        <f xml:space="preserve"> IF( $B$17, br_Rd, nix_Rd )</f>
        <v>4</v>
      </c>
      <c r="AC17" s="390">
        <f xml:space="preserve"> IF( $B$17, klgamma_Rd, nix_Rd )</f>
        <v>4</v>
      </c>
      <c r="AD17" s="390">
        <f xml:space="preserve"> IF( $B$17, pZx_Rd, nix_Rd )</f>
        <v>4</v>
      </c>
      <c r="AE17" s="390">
        <f xml:space="preserve"> IF( $B$17, klbZx_Rd, nix_Rd )</f>
        <v>4</v>
      </c>
      <c r="AF17" s="516"/>
      <c r="AG17" s="517">
        <f xml:space="preserve"> COUNTIF( AG20:AG120, Setzung )</f>
        <v>0</v>
      </c>
      <c r="AH17" s="499" t="b">
        <f xml:space="preserve">   COUNTIF( AH20:AH120, SetzungZillmerung ) = 0</f>
        <v>1</v>
      </c>
      <c r="AI17" s="516"/>
      <c r="AJ17" s="390">
        <f xml:space="preserve"> IF( $B$17, GrBZx_Rd, nix_Rd )</f>
        <v>2</v>
      </c>
      <c r="AK17" s="390">
        <f xml:space="preserve"> IF( $B$17, GrBTildeZx_Rd, nix_Rd )</f>
        <v>2</v>
      </c>
      <c r="AN17" s="390">
        <f xml:space="preserve"> IF( $B$17, GrV_x_xplusm_Rd, nix_Rd )</f>
        <v>2</v>
      </c>
      <c r="AO17" s="390">
        <f xml:space="preserve"> IF( $B$17, GrVZ_x_xplusm_Rd, nix_Rd )</f>
        <v>2</v>
      </c>
      <c r="AR17" s="518">
        <f xml:space="preserve"> IF( $B$17, lambdax_Rd, nix_Rd )</f>
        <v>4</v>
      </c>
      <c r="AS17" s="518">
        <f xml:space="preserve"> IF( $B$17, qx_Rd, nix_Rd )</f>
        <v>4</v>
      </c>
      <c r="AT17" s="518">
        <f xml:space="preserve"> IF( $B$17, qx_Rd, nix_Rd )</f>
        <v>4</v>
      </c>
      <c r="AU17" s="519"/>
      <c r="AV17" s="518">
        <f xml:space="preserve"> IF( $B$17, lambdax_Rd, nix_Rd )</f>
        <v>4</v>
      </c>
      <c r="AW17" s="518">
        <f xml:space="preserve"> IF( $B$17, qx_Rd, nix_Rd )</f>
        <v>4</v>
      </c>
      <c r="AX17" s="518">
        <f xml:space="preserve"> IF( $B$17, wx_Rd, nix_Rd )</f>
        <v>4</v>
      </c>
      <c r="AY17" s="518">
        <f xml:space="preserve"> IF( $B$17, wx_Rd, nix_Rd )</f>
        <v>4</v>
      </c>
      <c r="AZ17" s="519"/>
      <c r="BA17" s="518">
        <f xml:space="preserve"> IF( $B$17, lambdax_Rd, nix_Rd )</f>
        <v>4</v>
      </c>
      <c r="BB17" s="518">
        <f xml:space="preserve"> IF( $B$17, wx_Rd, nix_Rd )</f>
        <v>4</v>
      </c>
      <c r="BC17" s="518">
        <f xml:space="preserve"> IF( $B$17, GrKx_Rd, nix_Rd )</f>
        <v>2</v>
      </c>
      <c r="BD17" s="518">
        <f xml:space="preserve"> IF( $B$17, GrKx_Rd, nix_Rd )</f>
        <v>2</v>
      </c>
      <c r="BE17" s="519"/>
      <c r="BF17" s="518">
        <f xml:space="preserve"> IF( $B$17, lambdax_Rd, nix_Rd )</f>
        <v>4</v>
      </c>
      <c r="BG17" s="518">
        <f xml:space="preserve"> IF( $B$17, GrKx_Rd, nix_Rd )</f>
        <v>2</v>
      </c>
      <c r="BR17" s="519"/>
      <c r="BS17" s="519"/>
      <c r="BT17" s="518">
        <v>2</v>
      </c>
      <c r="BU17" s="519"/>
      <c r="BV17" s="518">
        <v>4</v>
      </c>
      <c r="BW17" s="519"/>
      <c r="BX17" s="519"/>
      <c r="CB17" s="518">
        <f xml:space="preserve"> IF( $B$17, GrV_x_xplusm_Rd, nix_Rd )</f>
        <v>2</v>
      </c>
      <c r="CC17" s="518">
        <f xml:space="preserve"> IF( $B$17, GrV_x_xplusm_Rd, nix_Rd )</f>
        <v>2</v>
      </c>
      <c r="CD17" s="518">
        <f xml:space="preserve"> IF( $B$17, GrV_x_xplusm_Rd, nix_Rd )</f>
        <v>2</v>
      </c>
      <c r="CE17" s="519"/>
      <c r="CF17" s="519"/>
      <c r="CH17" s="519"/>
      <c r="CI17" s="518">
        <f xml:space="preserve"> IF( $B$17, GrKx_Rd, nix_Rd )</f>
        <v>2</v>
      </c>
      <c r="CJ17" s="518">
        <f xml:space="preserve"> IF( $B$17, GrV_x_xplusm_Rd, nix_Rd )</f>
        <v>2</v>
      </c>
      <c r="CK17" s="518">
        <f xml:space="preserve"> IF( $B$17, GrV_x_xplusm_Rd, nix_Rd )</f>
        <v>2</v>
      </c>
      <c r="CL17" s="519"/>
      <c r="CN17" s="519"/>
      <c r="CO17" s="518">
        <f xml:space="preserve"> IF( $B$17, GrKx_Rd, nix_Rd )</f>
        <v>2</v>
      </c>
      <c r="CP17" s="518">
        <f xml:space="preserve"> IF( $B$17, GrV_x_xplusm_Rd, nix_Rd )</f>
        <v>2</v>
      </c>
      <c r="CQ17" s="518">
        <f xml:space="preserve"> IF( $B$17, GrV_x_xplusm_Rd, nix_Rd )</f>
        <v>2</v>
      </c>
      <c r="CR17" s="519"/>
      <c r="CY17" s="520">
        <f xml:space="preserve"> IF( $B$17, GrVZ_x_xplusm_Rd, nix_Rd )</f>
        <v>2</v>
      </c>
      <c r="CZ17" s="520"/>
      <c r="DA17" s="520">
        <f xml:space="preserve"> IF( $B$17, GrV_x_xplusm_Rd, nix_Rd )</f>
        <v>2</v>
      </c>
      <c r="EL17" s="432">
        <f xml:space="preserve"> IF( $B$17, GrVZ_x_xplusm_Rd, nix_Rd )</f>
        <v>2</v>
      </c>
      <c r="EM17" s="432">
        <f xml:space="preserve"> IF( $B$17, GrVZ_x_xplusm_Rd, nix_Rd )</f>
        <v>2</v>
      </c>
      <c r="EN17" s="432">
        <f xml:space="preserve"> IF( $B$17, GrVZ_x_xplusm_Rd, nix_Rd )</f>
        <v>2</v>
      </c>
      <c r="EO17" s="521"/>
      <c r="EV17" s="432">
        <f xml:space="preserve"> IF( $B$17, GrKx_Rd, nix_Rd )</f>
        <v>2</v>
      </c>
      <c r="EW17" s="432">
        <f xml:space="preserve"> IF( $B$17, GrKx_Rd, nix_Rd )</f>
        <v>2</v>
      </c>
      <c r="EX17" s="432">
        <f xml:space="preserve"> IF( $B$17, GrKx_Rd, nix_Rd )</f>
        <v>2</v>
      </c>
      <c r="EY17" s="521"/>
      <c r="FB17" s="432">
        <f xml:space="preserve"> IF( $B$17, GrKx_Rd, nix_Rd )</f>
        <v>2</v>
      </c>
      <c r="FC17" s="432">
        <f xml:space="preserve"> IF( $B$17, GrKx_Rd, nix_Rd )</f>
        <v>2</v>
      </c>
      <c r="FD17" s="521"/>
      <c r="FG17" s="521"/>
      <c r="FH17" s="521"/>
      <c r="FI17" s="521"/>
      <c r="FN17" s="521"/>
      <c r="FO17" s="521"/>
      <c r="FP17" s="521"/>
      <c r="FR17" s="521"/>
      <c r="FS17" s="432">
        <f t="shared" ref="FS17:GX17" si="17" xml:space="preserve"> IF( $B$17, GrVZ_x_xplusm_Rd, nix_Rd )</f>
        <v>2</v>
      </c>
      <c r="FT17" s="432">
        <f t="shared" si="17"/>
        <v>2</v>
      </c>
      <c r="FU17" s="432">
        <f t="shared" si="17"/>
        <v>2</v>
      </c>
      <c r="FV17" s="432">
        <f t="shared" si="17"/>
        <v>2</v>
      </c>
      <c r="FW17" s="432">
        <f t="shared" si="17"/>
        <v>2</v>
      </c>
      <c r="FX17" s="432">
        <f t="shared" si="17"/>
        <v>2</v>
      </c>
      <c r="FY17" s="432">
        <f t="shared" si="17"/>
        <v>2</v>
      </c>
      <c r="FZ17" s="432">
        <f t="shared" si="17"/>
        <v>2</v>
      </c>
      <c r="GA17" s="432">
        <f t="shared" si="17"/>
        <v>2</v>
      </c>
      <c r="GB17" s="432">
        <f t="shared" si="17"/>
        <v>2</v>
      </c>
      <c r="GC17" s="432">
        <f t="shared" si="17"/>
        <v>2</v>
      </c>
      <c r="GD17" s="432">
        <f t="shared" si="17"/>
        <v>2</v>
      </c>
      <c r="GE17" s="432">
        <f t="shared" si="17"/>
        <v>2</v>
      </c>
      <c r="GF17" s="432">
        <f t="shared" si="17"/>
        <v>2</v>
      </c>
      <c r="GG17" s="432">
        <f t="shared" si="17"/>
        <v>2</v>
      </c>
      <c r="GH17" s="432">
        <f t="shared" si="17"/>
        <v>2</v>
      </c>
      <c r="GI17" s="432">
        <f t="shared" si="17"/>
        <v>2</v>
      </c>
      <c r="GJ17" s="432">
        <f t="shared" si="17"/>
        <v>2</v>
      </c>
      <c r="GK17" s="432">
        <f t="shared" si="17"/>
        <v>2</v>
      </c>
      <c r="GL17" s="432">
        <f t="shared" si="17"/>
        <v>2</v>
      </c>
      <c r="GM17" s="432">
        <f t="shared" si="17"/>
        <v>2</v>
      </c>
      <c r="GN17" s="432">
        <f t="shared" si="17"/>
        <v>2</v>
      </c>
      <c r="GO17" s="432">
        <f t="shared" si="17"/>
        <v>2</v>
      </c>
      <c r="GP17" s="432">
        <f t="shared" si="17"/>
        <v>2</v>
      </c>
      <c r="GQ17" s="432">
        <f t="shared" si="17"/>
        <v>2</v>
      </c>
      <c r="GR17" s="432">
        <f t="shared" si="17"/>
        <v>2</v>
      </c>
      <c r="GS17" s="432">
        <f t="shared" si="17"/>
        <v>2</v>
      </c>
      <c r="GT17" s="432">
        <f t="shared" si="17"/>
        <v>2</v>
      </c>
      <c r="GU17" s="432">
        <f t="shared" si="17"/>
        <v>2</v>
      </c>
      <c r="GV17" s="432">
        <f t="shared" si="17"/>
        <v>2</v>
      </c>
      <c r="GW17" s="432">
        <f t="shared" si="17"/>
        <v>2</v>
      </c>
      <c r="GX17" s="432">
        <f t="shared" si="17"/>
        <v>2</v>
      </c>
      <c r="GY17" s="432">
        <f t="shared" ref="GY17:ID17" si="18" xml:space="preserve"> IF( $B$17, GrVZ_x_xplusm_Rd, nix_Rd )</f>
        <v>2</v>
      </c>
      <c r="GZ17" s="432">
        <f t="shared" si="18"/>
        <v>2</v>
      </c>
      <c r="HA17" s="432">
        <f t="shared" si="18"/>
        <v>2</v>
      </c>
      <c r="HB17" s="432">
        <f t="shared" si="18"/>
        <v>2</v>
      </c>
      <c r="HC17" s="432">
        <f t="shared" si="18"/>
        <v>2</v>
      </c>
      <c r="HD17" s="432">
        <f t="shared" si="18"/>
        <v>2</v>
      </c>
      <c r="HE17" s="432">
        <f t="shared" si="18"/>
        <v>2</v>
      </c>
      <c r="HF17" s="432">
        <f t="shared" si="18"/>
        <v>2</v>
      </c>
      <c r="HG17" s="432">
        <f t="shared" si="18"/>
        <v>2</v>
      </c>
      <c r="HH17" s="432">
        <f t="shared" si="18"/>
        <v>2</v>
      </c>
      <c r="HI17" s="432">
        <f t="shared" si="18"/>
        <v>2</v>
      </c>
      <c r="HJ17" s="432">
        <f t="shared" si="18"/>
        <v>2</v>
      </c>
      <c r="HK17" s="432">
        <f t="shared" si="18"/>
        <v>2</v>
      </c>
      <c r="HL17" s="432">
        <f t="shared" si="18"/>
        <v>2</v>
      </c>
      <c r="HM17" s="432">
        <f t="shared" si="18"/>
        <v>2</v>
      </c>
      <c r="HN17" s="432">
        <f t="shared" si="18"/>
        <v>2</v>
      </c>
      <c r="HO17" s="432">
        <f t="shared" si="18"/>
        <v>2</v>
      </c>
      <c r="HP17" s="432">
        <f t="shared" si="18"/>
        <v>2</v>
      </c>
      <c r="HQ17" s="432">
        <f t="shared" si="18"/>
        <v>2</v>
      </c>
      <c r="HR17" s="432">
        <f t="shared" si="18"/>
        <v>2</v>
      </c>
      <c r="HS17" s="432">
        <f t="shared" si="18"/>
        <v>2</v>
      </c>
      <c r="HT17" s="432">
        <f t="shared" si="18"/>
        <v>2</v>
      </c>
      <c r="HU17" s="432">
        <f t="shared" si="18"/>
        <v>2</v>
      </c>
      <c r="HV17" s="432">
        <f t="shared" si="18"/>
        <v>2</v>
      </c>
      <c r="HW17" s="432">
        <f t="shared" si="18"/>
        <v>2</v>
      </c>
      <c r="HX17" s="432">
        <f t="shared" si="18"/>
        <v>2</v>
      </c>
      <c r="HY17" s="432">
        <f t="shared" si="18"/>
        <v>2</v>
      </c>
      <c r="HZ17" s="432">
        <f t="shared" si="18"/>
        <v>2</v>
      </c>
      <c r="IA17" s="432">
        <f t="shared" si="18"/>
        <v>2</v>
      </c>
      <c r="IB17" s="432">
        <f t="shared" si="18"/>
        <v>2</v>
      </c>
      <c r="IC17" s="432">
        <f t="shared" si="18"/>
        <v>2</v>
      </c>
      <c r="ID17" s="432">
        <f t="shared" si="18"/>
        <v>2</v>
      </c>
      <c r="IE17" s="432">
        <f t="shared" ref="IE17:JO17" si="19" xml:space="preserve"> IF( $B$17, GrVZ_x_xplusm_Rd, nix_Rd )</f>
        <v>2</v>
      </c>
      <c r="IF17" s="432">
        <f t="shared" si="19"/>
        <v>2</v>
      </c>
      <c r="IG17" s="432">
        <f t="shared" si="19"/>
        <v>2</v>
      </c>
      <c r="IH17" s="432">
        <f t="shared" si="19"/>
        <v>2</v>
      </c>
      <c r="II17" s="432">
        <f t="shared" si="19"/>
        <v>2</v>
      </c>
      <c r="IJ17" s="432">
        <f t="shared" si="19"/>
        <v>2</v>
      </c>
      <c r="IK17" s="432">
        <f t="shared" si="19"/>
        <v>2</v>
      </c>
      <c r="IL17" s="432">
        <f t="shared" si="19"/>
        <v>2</v>
      </c>
      <c r="IM17" s="432">
        <f t="shared" si="19"/>
        <v>2</v>
      </c>
      <c r="IN17" s="432">
        <f t="shared" si="19"/>
        <v>2</v>
      </c>
      <c r="IO17" s="432">
        <f t="shared" si="19"/>
        <v>2</v>
      </c>
      <c r="IP17" s="432">
        <f t="shared" si="19"/>
        <v>2</v>
      </c>
      <c r="IQ17" s="432">
        <f t="shared" si="19"/>
        <v>2</v>
      </c>
      <c r="IR17" s="432">
        <f t="shared" si="19"/>
        <v>2</v>
      </c>
      <c r="IS17" s="432">
        <f t="shared" si="19"/>
        <v>2</v>
      </c>
      <c r="IT17" s="432">
        <f t="shared" si="19"/>
        <v>2</v>
      </c>
      <c r="IU17" s="432">
        <f t="shared" si="19"/>
        <v>2</v>
      </c>
      <c r="IV17" s="432">
        <f t="shared" si="19"/>
        <v>2</v>
      </c>
      <c r="IW17" s="432">
        <f t="shared" si="19"/>
        <v>2</v>
      </c>
      <c r="IX17" s="432">
        <f t="shared" si="19"/>
        <v>2</v>
      </c>
      <c r="IY17" s="432">
        <f t="shared" si="19"/>
        <v>2</v>
      </c>
      <c r="IZ17" s="432">
        <f t="shared" si="19"/>
        <v>2</v>
      </c>
      <c r="JA17" s="432">
        <f t="shared" si="19"/>
        <v>2</v>
      </c>
      <c r="JB17" s="432">
        <f t="shared" si="19"/>
        <v>2</v>
      </c>
      <c r="JC17" s="432">
        <f t="shared" si="19"/>
        <v>2</v>
      </c>
      <c r="JD17" s="432">
        <f t="shared" si="19"/>
        <v>2</v>
      </c>
      <c r="JE17" s="432">
        <f t="shared" si="19"/>
        <v>2</v>
      </c>
      <c r="JF17" s="432">
        <f t="shared" si="19"/>
        <v>2</v>
      </c>
      <c r="JG17" s="432">
        <f t="shared" si="19"/>
        <v>2</v>
      </c>
      <c r="JH17" s="432">
        <f t="shared" si="19"/>
        <v>2</v>
      </c>
      <c r="JI17" s="432">
        <f t="shared" si="19"/>
        <v>2</v>
      </c>
      <c r="JJ17" s="432">
        <f t="shared" si="19"/>
        <v>2</v>
      </c>
      <c r="JK17" s="432">
        <f t="shared" si="19"/>
        <v>2</v>
      </c>
      <c r="JL17" s="432">
        <f t="shared" si="19"/>
        <v>2</v>
      </c>
      <c r="JM17" s="432">
        <f t="shared" si="19"/>
        <v>2</v>
      </c>
      <c r="JN17" s="432">
        <f t="shared" si="19"/>
        <v>2</v>
      </c>
      <c r="JO17" s="432">
        <f t="shared" si="19"/>
        <v>2</v>
      </c>
    </row>
    <row r="18" spans="1:275" s="385" customFormat="1" x14ac:dyDescent="0.2">
      <c r="C18" s="388"/>
      <c r="D18" s="388"/>
      <c r="E18" s="388"/>
      <c r="F18" s="460"/>
      <c r="G18" s="460"/>
      <c r="H18" s="460"/>
      <c r="I18" s="466" t="str">
        <f xml:space="preserve"> G</f>
        <v>G</v>
      </c>
      <c r="J18" s="466" t="str">
        <f xml:space="preserve"> G</f>
        <v>G</v>
      </c>
      <c r="K18" s="497">
        <f xml:space="preserve"> INDEX( Auswahl_alphaZGrenzalter, $D$1 )</f>
        <v>70</v>
      </c>
      <c r="L18" s="460"/>
      <c r="M18" s="460"/>
      <c r="AN18" s="431" t="str">
        <f xml:space="preserve"> G</f>
        <v>G</v>
      </c>
      <c r="AO18" s="431" t="str">
        <f xml:space="preserve"> G</f>
        <v>G</v>
      </c>
      <c r="AR18" s="522"/>
      <c r="AS18" s="522"/>
      <c r="AT18" s="522"/>
      <c r="AU18" s="522"/>
      <c r="AV18" s="523">
        <f xml:space="preserve"> SUM( INDEX( Auswahl_lambdaxVorsicht, $D$1 ) )</f>
        <v>0.5</v>
      </c>
      <c r="AW18" s="522"/>
      <c r="AX18" s="522"/>
      <c r="AY18" s="522"/>
      <c r="AZ18" s="522"/>
      <c r="BA18" s="523">
        <f xml:space="preserve"> SUM( INDEX( Auswahl_lambdaxVorsicht, $D$1 ) )</f>
        <v>0.5</v>
      </c>
      <c r="BB18" s="522"/>
      <c r="BC18" s="431" t="str">
        <f xml:space="preserve"> BE_M_</f>
        <v>M</v>
      </c>
      <c r="BD18" s="431" t="str">
        <f xml:space="preserve"> BE_F_</f>
        <v>F</v>
      </c>
      <c r="BE18" s="522"/>
      <c r="BF18" s="523">
        <f xml:space="preserve"> SUM( INDEX( Auswahl_lambdaxVorsicht, $D$1 ) )</f>
        <v>0.5</v>
      </c>
      <c r="BG18" s="522"/>
      <c r="BR18" s="487"/>
      <c r="BT18" s="431" t="str">
        <f xml:space="preserve"> G</f>
        <v>G</v>
      </c>
      <c r="BU18" s="488"/>
      <c r="CB18" s="524" t="str">
        <f xml:space="preserve"> $S11</f>
        <v>r</v>
      </c>
      <c r="CC18" s="524" t="str">
        <f xml:space="preserve"> $S11</f>
        <v>r</v>
      </c>
      <c r="CD18" s="522"/>
      <c r="CE18" s="522"/>
      <c r="CF18" s="522"/>
      <c r="CH18" s="397" t="str">
        <f xml:space="preserve"> G</f>
        <v>G</v>
      </c>
      <c r="CI18" s="397" t="str">
        <f xml:space="preserve"> G</f>
        <v>G</v>
      </c>
      <c r="CJ18" s="524" t="str">
        <f xml:space="preserve"> $S11</f>
        <v>r</v>
      </c>
      <c r="CK18" s="524" t="str">
        <f xml:space="preserve"> $S11</f>
        <v>r</v>
      </c>
      <c r="CL18" s="522"/>
      <c r="CN18" s="397" t="str">
        <f xml:space="preserve"> G</f>
        <v>G</v>
      </c>
      <c r="CO18" s="397" t="str">
        <f xml:space="preserve"> G</f>
        <v>G</v>
      </c>
      <c r="CP18" s="524" t="str">
        <f xml:space="preserve"> $S11</f>
        <v>r</v>
      </c>
      <c r="CQ18" s="524" t="str">
        <f xml:space="preserve"> $S11</f>
        <v>r</v>
      </c>
      <c r="CR18" s="522"/>
      <c r="DB18" s="570" t="str">
        <f xml:space="preserve"> ", erster Ansparprozess bis " &amp; CY3</f>
        <v>, erster Ansparprozess bis 50</v>
      </c>
      <c r="DC18" s="570" t="str">
        <f xml:space="preserve"> ", Vergleichswert ohne weitere Relevanz ab " &amp; CY3</f>
        <v>, Vergleichswert ohne weitere Relevanz ab 50</v>
      </c>
      <c r="DD18" s="570" t="str">
        <f xml:space="preserve"> ", Verzinsung/Vererbung während RisAwV " &amp; CY3 &amp; "-" &amp; CZ3</f>
        <v>, Verzinsung/Vererbung während RisAwV 50-65</v>
      </c>
      <c r="DE18" s="570"/>
      <c r="DF18" s="570" t="str">
        <f xml:space="preserve"> ", zweiter Ansparprozess ab " &amp; CZ3</f>
        <v>, zweiter Ansparprozess ab 65</v>
      </c>
      <c r="EL18" s="397" t="str">
        <f xml:space="preserve"> G</f>
        <v>G</v>
      </c>
      <c r="EM18" s="522"/>
      <c r="EN18" s="522"/>
      <c r="EO18" s="522"/>
      <c r="EV18" s="522"/>
      <c r="EW18" s="522"/>
      <c r="EX18" s="522"/>
      <c r="EY18" s="522"/>
      <c r="FB18" s="522"/>
      <c r="FC18" s="522"/>
      <c r="FD18" s="522"/>
      <c r="FG18" s="522"/>
      <c r="FH18" s="522"/>
      <c r="FI18" s="522"/>
      <c r="FN18" s="522"/>
      <c r="FO18" s="522"/>
      <c r="FP18" s="522"/>
      <c r="FR18" s="401" t="str">
        <f xml:space="preserve"> G</f>
        <v>G</v>
      </c>
      <c r="FS18" s="525">
        <f xml:space="preserve"> FN20</f>
        <v>20</v>
      </c>
      <c r="FT18" s="526">
        <f xml:space="preserve"> FS18 + 1</f>
        <v>21</v>
      </c>
      <c r="FU18" s="526">
        <f t="shared" ref="FU18:IF18" si="20" xml:space="preserve"> FT18 + 1</f>
        <v>22</v>
      </c>
      <c r="FV18" s="526">
        <f t="shared" si="20"/>
        <v>23</v>
      </c>
      <c r="FW18" s="526">
        <f t="shared" si="20"/>
        <v>24</v>
      </c>
      <c r="FX18" s="526">
        <f t="shared" si="20"/>
        <v>25</v>
      </c>
      <c r="FY18" s="526">
        <f t="shared" si="20"/>
        <v>26</v>
      </c>
      <c r="FZ18" s="526">
        <f t="shared" si="20"/>
        <v>27</v>
      </c>
      <c r="GA18" s="526">
        <f t="shared" si="20"/>
        <v>28</v>
      </c>
      <c r="GB18" s="526">
        <f t="shared" si="20"/>
        <v>29</v>
      </c>
      <c r="GC18" s="526">
        <f t="shared" si="20"/>
        <v>30</v>
      </c>
      <c r="GD18" s="526">
        <f t="shared" si="20"/>
        <v>31</v>
      </c>
      <c r="GE18" s="526">
        <f t="shared" si="20"/>
        <v>32</v>
      </c>
      <c r="GF18" s="526">
        <f t="shared" si="20"/>
        <v>33</v>
      </c>
      <c r="GG18" s="526">
        <f t="shared" si="20"/>
        <v>34</v>
      </c>
      <c r="GH18" s="526">
        <f t="shared" si="20"/>
        <v>35</v>
      </c>
      <c r="GI18" s="526">
        <f t="shared" si="20"/>
        <v>36</v>
      </c>
      <c r="GJ18" s="526">
        <f t="shared" si="20"/>
        <v>37</v>
      </c>
      <c r="GK18" s="526">
        <f t="shared" si="20"/>
        <v>38</v>
      </c>
      <c r="GL18" s="526">
        <f t="shared" si="20"/>
        <v>39</v>
      </c>
      <c r="GM18" s="526">
        <f t="shared" si="20"/>
        <v>40</v>
      </c>
      <c r="GN18" s="526">
        <f t="shared" si="20"/>
        <v>41</v>
      </c>
      <c r="GO18" s="526">
        <f t="shared" si="20"/>
        <v>42</v>
      </c>
      <c r="GP18" s="526">
        <f t="shared" si="20"/>
        <v>43</v>
      </c>
      <c r="GQ18" s="526">
        <f t="shared" si="20"/>
        <v>44</v>
      </c>
      <c r="GR18" s="526">
        <f t="shared" si="20"/>
        <v>45</v>
      </c>
      <c r="GS18" s="526">
        <f t="shared" si="20"/>
        <v>46</v>
      </c>
      <c r="GT18" s="526">
        <f t="shared" si="20"/>
        <v>47</v>
      </c>
      <c r="GU18" s="526">
        <f t="shared" si="20"/>
        <v>48</v>
      </c>
      <c r="GV18" s="526">
        <f t="shared" si="20"/>
        <v>49</v>
      </c>
      <c r="GW18" s="526">
        <f t="shared" si="20"/>
        <v>50</v>
      </c>
      <c r="GX18" s="526">
        <f t="shared" si="20"/>
        <v>51</v>
      </c>
      <c r="GY18" s="526">
        <f t="shared" si="20"/>
        <v>52</v>
      </c>
      <c r="GZ18" s="526">
        <f t="shared" si="20"/>
        <v>53</v>
      </c>
      <c r="HA18" s="526">
        <f t="shared" si="20"/>
        <v>54</v>
      </c>
      <c r="HB18" s="526">
        <f t="shared" si="20"/>
        <v>55</v>
      </c>
      <c r="HC18" s="526">
        <f t="shared" si="20"/>
        <v>56</v>
      </c>
      <c r="HD18" s="526">
        <f t="shared" si="20"/>
        <v>57</v>
      </c>
      <c r="HE18" s="526">
        <f t="shared" si="20"/>
        <v>58</v>
      </c>
      <c r="HF18" s="526">
        <f t="shared" si="20"/>
        <v>59</v>
      </c>
      <c r="HG18" s="526">
        <f t="shared" si="20"/>
        <v>60</v>
      </c>
      <c r="HH18" s="526">
        <f t="shared" si="20"/>
        <v>61</v>
      </c>
      <c r="HI18" s="526">
        <f t="shared" si="20"/>
        <v>62</v>
      </c>
      <c r="HJ18" s="526">
        <f t="shared" si="20"/>
        <v>63</v>
      </c>
      <c r="HK18" s="526">
        <f t="shared" si="20"/>
        <v>64</v>
      </c>
      <c r="HL18" s="526">
        <f t="shared" si="20"/>
        <v>65</v>
      </c>
      <c r="HM18" s="526">
        <f t="shared" si="20"/>
        <v>66</v>
      </c>
      <c r="HN18" s="526">
        <f t="shared" si="20"/>
        <v>67</v>
      </c>
      <c r="HO18" s="526">
        <f t="shared" si="20"/>
        <v>68</v>
      </c>
      <c r="HP18" s="526">
        <f t="shared" si="20"/>
        <v>69</v>
      </c>
      <c r="HQ18" s="526">
        <f t="shared" si="20"/>
        <v>70</v>
      </c>
      <c r="HR18" s="526">
        <f t="shared" si="20"/>
        <v>71</v>
      </c>
      <c r="HS18" s="526">
        <f t="shared" si="20"/>
        <v>72</v>
      </c>
      <c r="HT18" s="526">
        <f t="shared" si="20"/>
        <v>73</v>
      </c>
      <c r="HU18" s="526">
        <f t="shared" si="20"/>
        <v>74</v>
      </c>
      <c r="HV18" s="526">
        <f t="shared" si="20"/>
        <v>75</v>
      </c>
      <c r="HW18" s="526">
        <f t="shared" si="20"/>
        <v>76</v>
      </c>
      <c r="HX18" s="526">
        <f t="shared" si="20"/>
        <v>77</v>
      </c>
      <c r="HY18" s="526">
        <f t="shared" si="20"/>
        <v>78</v>
      </c>
      <c r="HZ18" s="526">
        <f t="shared" si="20"/>
        <v>79</v>
      </c>
      <c r="IA18" s="526">
        <f t="shared" si="20"/>
        <v>80</v>
      </c>
      <c r="IB18" s="526">
        <f t="shared" si="20"/>
        <v>81</v>
      </c>
      <c r="IC18" s="526">
        <f t="shared" si="20"/>
        <v>82</v>
      </c>
      <c r="ID18" s="526">
        <f t="shared" si="20"/>
        <v>83</v>
      </c>
      <c r="IE18" s="526">
        <f t="shared" si="20"/>
        <v>84</v>
      </c>
      <c r="IF18" s="526">
        <f t="shared" si="20"/>
        <v>85</v>
      </c>
      <c r="IG18" s="526">
        <f t="shared" ref="IG18:JO18" si="21" xml:space="preserve"> IF18 + 1</f>
        <v>86</v>
      </c>
      <c r="IH18" s="526">
        <f t="shared" si="21"/>
        <v>87</v>
      </c>
      <c r="II18" s="526">
        <f t="shared" si="21"/>
        <v>88</v>
      </c>
      <c r="IJ18" s="526">
        <f t="shared" si="21"/>
        <v>89</v>
      </c>
      <c r="IK18" s="526">
        <f t="shared" si="21"/>
        <v>90</v>
      </c>
      <c r="IL18" s="526">
        <f t="shared" si="21"/>
        <v>91</v>
      </c>
      <c r="IM18" s="526">
        <f t="shared" si="21"/>
        <v>92</v>
      </c>
      <c r="IN18" s="526">
        <f t="shared" si="21"/>
        <v>93</v>
      </c>
      <c r="IO18" s="526">
        <f t="shared" si="21"/>
        <v>94</v>
      </c>
      <c r="IP18" s="526">
        <f t="shared" si="21"/>
        <v>95</v>
      </c>
      <c r="IQ18" s="526">
        <f t="shared" si="21"/>
        <v>96</v>
      </c>
      <c r="IR18" s="526">
        <f t="shared" si="21"/>
        <v>97</v>
      </c>
      <c r="IS18" s="526">
        <f t="shared" si="21"/>
        <v>98</v>
      </c>
      <c r="IT18" s="526">
        <f t="shared" si="21"/>
        <v>99</v>
      </c>
      <c r="IU18" s="526">
        <f t="shared" si="21"/>
        <v>100</v>
      </c>
      <c r="IV18" s="526">
        <f t="shared" si="21"/>
        <v>101</v>
      </c>
      <c r="IW18" s="526">
        <f t="shared" si="21"/>
        <v>102</v>
      </c>
      <c r="IX18" s="526">
        <f t="shared" si="21"/>
        <v>103</v>
      </c>
      <c r="IY18" s="526">
        <f t="shared" si="21"/>
        <v>104</v>
      </c>
      <c r="IZ18" s="526">
        <f t="shared" si="21"/>
        <v>105</v>
      </c>
      <c r="JA18" s="526">
        <f t="shared" si="21"/>
        <v>106</v>
      </c>
      <c r="JB18" s="526">
        <f t="shared" si="21"/>
        <v>107</v>
      </c>
      <c r="JC18" s="526">
        <f t="shared" si="21"/>
        <v>108</v>
      </c>
      <c r="JD18" s="526">
        <f t="shared" si="21"/>
        <v>109</v>
      </c>
      <c r="JE18" s="526">
        <f t="shared" si="21"/>
        <v>110</v>
      </c>
      <c r="JF18" s="526">
        <f t="shared" si="21"/>
        <v>111</v>
      </c>
      <c r="JG18" s="526">
        <f t="shared" si="21"/>
        <v>112</v>
      </c>
      <c r="JH18" s="526">
        <f t="shared" si="21"/>
        <v>113</v>
      </c>
      <c r="JI18" s="526">
        <f t="shared" si="21"/>
        <v>114</v>
      </c>
      <c r="JJ18" s="526">
        <f t="shared" si="21"/>
        <v>115</v>
      </c>
      <c r="JK18" s="526">
        <f t="shared" si="21"/>
        <v>116</v>
      </c>
      <c r="JL18" s="526">
        <f t="shared" si="21"/>
        <v>117</v>
      </c>
      <c r="JM18" s="526">
        <f t="shared" si="21"/>
        <v>118</v>
      </c>
      <c r="JN18" s="526">
        <f t="shared" si="21"/>
        <v>119</v>
      </c>
      <c r="JO18" s="526">
        <f t="shared" si="21"/>
        <v>120</v>
      </c>
    </row>
    <row r="19" spans="1:275" s="385" customFormat="1" x14ac:dyDescent="0.2">
      <c r="A19" s="527" t="str">
        <f xml:space="preserve"> Basis!A19</f>
        <v>G</v>
      </c>
      <c r="C19" s="388"/>
      <c r="D19" s="388"/>
      <c r="E19" s="388"/>
      <c r="I19" s="436">
        <f xml:space="preserve"> IF(  I10,  INDEX( $I$20:$I$120, MATCH( I12, $A$20:$A$120, 0 ) ),  1  )</f>
        <v>2077.79</v>
      </c>
      <c r="J19" s="436">
        <f xml:space="preserve"> ROUND( I19 * ( 1 + J12 ), J$13 )</f>
        <v>2077.79</v>
      </c>
      <c r="K19" s="528">
        <v>0</v>
      </c>
      <c r="AN19" s="436">
        <f xml:space="preserve"> $J$19</f>
        <v>2077.79</v>
      </c>
      <c r="AO19" s="436">
        <f xml:space="preserve"> $J$19</f>
        <v>2077.79</v>
      </c>
      <c r="AR19" s="433" t="s">
        <v>97</v>
      </c>
      <c r="BR19" s="487"/>
      <c r="BT19" s="436">
        <f xml:space="preserve"> $J$19</f>
        <v>2077.79</v>
      </c>
      <c r="BU19" s="488"/>
      <c r="BW19" s="529"/>
      <c r="CB19" s="530">
        <f xml:space="preserve"> $S12</f>
        <v>2.5000000000000001E-2</v>
      </c>
      <c r="CC19" s="530">
        <f xml:space="preserve"> $S12</f>
        <v>2.5000000000000001E-2</v>
      </c>
      <c r="CH19" s="436">
        <f xml:space="preserve"> $J$19</f>
        <v>2077.79</v>
      </c>
      <c r="CI19" s="436">
        <f xml:space="preserve"> $J$19</f>
        <v>2077.79</v>
      </c>
      <c r="CJ19" s="530">
        <f xml:space="preserve"> $S12</f>
        <v>2.5000000000000001E-2</v>
      </c>
      <c r="CK19" s="530">
        <f xml:space="preserve"> $S12</f>
        <v>2.5000000000000001E-2</v>
      </c>
      <c r="CN19" s="436">
        <f xml:space="preserve"> $J$19</f>
        <v>2077.79</v>
      </c>
      <c r="CO19" s="436">
        <f xml:space="preserve"> $J$19</f>
        <v>2077.79</v>
      </c>
      <c r="CP19" s="530">
        <f xml:space="preserve"> $S12</f>
        <v>2.5000000000000001E-2</v>
      </c>
      <c r="CQ19" s="530">
        <f xml:space="preserve"> $S12</f>
        <v>2.5000000000000001E-2</v>
      </c>
      <c r="CW19" s="532"/>
      <c r="CX19" s="531"/>
      <c r="CY19" s="532"/>
      <c r="CZ19" s="532"/>
      <c r="DA19" s="532"/>
      <c r="DB19" s="571" t="str">
        <f xml:space="preserve"> " " &amp; DB14 &amp; "" &amp; DB18 &amp; " "</f>
        <v xml:space="preserve"> V^Z_35;35+μ1, erster Ansparprozess bis 50 </v>
      </c>
      <c r="DC19" s="571" t="str">
        <f t="shared" ref="DC19:DD19" si="22" xml:space="preserve"> " " &amp; DC14 &amp; "" &amp; DC18 &amp; " "</f>
        <v xml:space="preserve"> V^Z_35;35+μ1, Vergleichswert ohne weitere Relevanz ab 50 </v>
      </c>
      <c r="DD19" s="571" t="str">
        <f t="shared" si="22"/>
        <v xml:space="preserve"> V^Z_35;50, Verzinsung/Vererbung während RisAwV 50-65 </v>
      </c>
      <c r="DE19" s="570" t="str">
        <f xml:space="preserve"> " Rabattrückstellung aus verzinster/vererbter " &amp; DD14 &amp; " ab " &amp; CZ3 &amp; " "</f>
        <v xml:space="preserve"> Rabattrückstellung aus verzinster/vererbter V^Z_35;50 ab 65 </v>
      </c>
      <c r="DF19" s="571" t="str">
        <f xml:space="preserve"> " " &amp; DF14 &amp; "" &amp; DF18 &amp; " "</f>
        <v xml:space="preserve"> V_65;65+μ2, zweiter Ansparprozess ab 65 </v>
      </c>
      <c r="EL19" s="436">
        <f xml:space="preserve"> $J$19</f>
        <v>2077.79</v>
      </c>
      <c r="EX19" s="533" t="e">
        <f xml:space="preserve"> ROUND(    IF( $A$15=BE_MF_,   LEER,   INDEX( Kx!19:19, EX$16 ) ),    EX$17    )</f>
        <v>#VALUE!</v>
      </c>
      <c r="FC19" s="533" t="e">
        <f xml:space="preserve"> ROUND(    IF( $A$15=BE_MF_,   LEER,   INDEX( Kx!19:19, FC$16 ) ),    FC$17    )</f>
        <v>#VALUE!</v>
      </c>
      <c r="FN19" s="385" t="s">
        <v>141</v>
      </c>
      <c r="FO19" s="493"/>
      <c r="FP19" s="493"/>
      <c r="FR19" s="436">
        <f xml:space="preserve"> $J$19</f>
        <v>2077.79</v>
      </c>
    </row>
    <row r="20" spans="1:275" x14ac:dyDescent="0.2">
      <c r="A20" s="534">
        <f xml:space="preserve"> Basis!A20</f>
        <v>20</v>
      </c>
      <c r="B20" s="489"/>
      <c r="C20" s="535"/>
      <c r="D20" s="535"/>
      <c r="E20" s="535"/>
      <c r="F20" s="536">
        <f xml:space="preserve"> ROUND(    IF( $A$15=BE_MF_,   AW20,   INDEX( qx!20:20, F$16 ) ),    F$17    )</f>
        <v>2.9999999999999997E-4</v>
      </c>
      <c r="G20" s="536">
        <f xml:space="preserve"> ROUND(    IF( $A$15=BE_MF_,   BB20,   INDEX( wx!20:20, G$16 ) ),    G$17    )</f>
        <v>0.1709</v>
      </c>
      <c r="H20" s="537">
        <f xml:space="preserve"> ROUND(    IF( $A$15=BE_MF_,   BG20,   INDEX( Kx!20:20, H$16 ) ),    H$17    )</f>
        <v>1707.32</v>
      </c>
      <c r="I20" s="538">
        <f xml:space="preserve"> IF( $A20&gt;$H$12, MAX( H20, I19 ), H20 )</f>
        <v>1707.32</v>
      </c>
      <c r="J20" s="539">
        <f t="shared" ref="J20:J51" si="23" xml:space="preserve"> ROUND(  I20 / I$19,  J$17 )</f>
        <v>0.82199999999999995</v>
      </c>
      <c r="K20" s="540">
        <f xml:space="preserve"> ROUND(  IF( $A20&lt;K$18,  K$15,  MAX( 0, K19-K$16 )   ),  K$17   )</f>
        <v>2</v>
      </c>
      <c r="L20" s="541">
        <f t="shared" ref="L20:M39" si="24" xml:space="preserve"> ROUND(  IF( $A20&lt;L$12, L$15, L$16 ),  L$17  )</f>
        <v>0</v>
      </c>
      <c r="M20" s="541">
        <f t="shared" si="24"/>
        <v>8.5999999999999993E-2</v>
      </c>
      <c r="O20" s="542" t="b">
        <f xml:space="preserve"> AND( O$10&lt;=$A20, $A20&lt;=$O$12 )</f>
        <v>1</v>
      </c>
      <c r="P20" s="493">
        <f t="shared" ref="P20:P51" si="25" xml:space="preserve"> IF( $O20,   IF(  A20&gt;= $O$12, 1,  ROUND(  MIN( 1,  F20 + G20 ),  P$17  )  ), LEER )</f>
        <v>0.17119999999999999</v>
      </c>
      <c r="Q20" s="493">
        <f t="shared" ref="Q20:Q51" si="26" xml:space="preserve"> IF( $O20,    ROUND( 1 - P20,  Q$17  ),  LEER  )</f>
        <v>0.82879999999999998</v>
      </c>
      <c r="R20" s="543">
        <f t="shared" ref="R20:R51" si="27" xml:space="preserve"> IF(  NOT($O20),  LEER,  IF( $A20=R$10,  R$12,  ROUNDDOWN(  R19 * Q19,  R$17 )  )  )</f>
        <v>5000000</v>
      </c>
      <c r="S20" s="544">
        <f t="shared" ref="S20:S51" si="28" xml:space="preserve"> IF( $O20,    ROUND(  ( 1 / ( 1 + S$12 ) ), S$17 ),  LEER  )</f>
        <v>0.97560975599999999</v>
      </c>
      <c r="T20" s="423">
        <f t="shared" ref="T20:T51" si="29" xml:space="preserve"> IF( $O20,    ROUND( R20 * S20 ^ A20, T$17 ),  LEER  )</f>
        <v>3051354.71</v>
      </c>
      <c r="U20" s="423">
        <f xml:space="preserve"> IF( $O20,    ROUND(  SUM( T20:T$120), U$17 ),  LEER  )</f>
        <v>27756818.949999999</v>
      </c>
      <c r="V20" s="493">
        <f t="shared" ref="V20:V51" si="30" xml:space="preserve"> IF( $O20,    IF( T20= 0, 1,  ROUND(  U20 / T20, V$17 )   ),  LEER  )</f>
        <v>9.0966000000000005</v>
      </c>
      <c r="W20" s="493">
        <f t="shared" ref="W20:W51" si="31" xml:space="preserve"> IF( $O20,    ROUND( J20 * T20, W$17 ),  LEER  )</f>
        <v>2508213.5699999998</v>
      </c>
      <c r="X20" s="493">
        <f xml:space="preserve"> IF( $O20,    ROUND(  SUM( W20:W$120), X$17 ),  LEER  )</f>
        <v>32433322.710000001</v>
      </c>
      <c r="Y20" s="493">
        <f t="shared" ref="Y20:Y51" si="32" xml:space="preserve"> IF( $O20,    IF( T20= 0, J20,  ROUND(  X20 / T20, Y$17 )   ),   LEER  )</f>
        <v>10.629200000000001</v>
      </c>
      <c r="Z20" s="493">
        <f t="shared" ref="Z20:Z51" si="33" xml:space="preserve"> IF( $O20,    IF( V20= 0, Y20,  ROUND( Y20 / V20, Z$17 )  ),   LEER  )</f>
        <v>1.1685000000000001</v>
      </c>
      <c r="AA20" s="493">
        <f t="shared" ref="AA20:AA51" si="34" xml:space="preserve"> IF( $O20,    ROUND( ( 12 * V20 * ( 1 - M20 ) ) / ( 12 * V20 * ( 1 - M20 ) - K20 ), AA$17 ),    LEER  )</f>
        <v>1.0205</v>
      </c>
      <c r="AB20" s="493">
        <f t="shared" ref="AB20:AB51" si="35" xml:space="preserve">  IF( $O20,    ROUND( INDEX( $Z$20:$Z$120, AB$16 ) / ( 1 - M20 - L20 - INDEX( $K$20:$K$120, AB$16 ) / ( 12 * INDEX( $V$20:$V$120, AB$16 ) ) ), AB$17 ),       LEER  )</f>
        <v>2.3494000000000002</v>
      </c>
      <c r="AC20" s="545">
        <f t="shared" ref="AC20:AC51" si="36" xml:space="preserve">  IF( NOT($O20),   LEER,   ROUND(  L20 * AB20  +  IF( $A20&lt;AC$12, AC$5, AC$6 ),  AC$17  )    )</f>
        <v>0.38600000000000001</v>
      </c>
      <c r="AD20" s="493">
        <f t="shared" ref="AD20:AD51" si="37" xml:space="preserve">  IF( $O20,   ROUND( AA20 * Z20 + ( AA20 - 1 ) * AC20, AD$17 ),       LEER  )</f>
        <v>1.2003999999999999</v>
      </c>
      <c r="AE20" s="493">
        <f t="shared" ref="AE20:AE51" si="38" xml:space="preserve">  IF( $O20,   ROUND( ( AD20 + AC20 ) / ( 1 - M20), AE$17 ),       LEER  )</f>
        <v>1.7357</v>
      </c>
      <c r="AF20" s="493">
        <f t="shared" ref="AF20:AF51" si="39" xml:space="preserve">  IF(  $O20,   IF(  OR( NOT( $AF$12), $A20=$M$12, AE20&gt;=AF19 ), AE20, MAX( AE20,AF19) ),  LEER  )</f>
        <v>1.7357</v>
      </c>
      <c r="AG20" s="493" t="str">
        <f t="shared" ref="AG20:AG51" si="40" xml:space="preserve">  IF(  $O20,   IF(  AE20=AF20,  LEER, Setzung ),    LEER  )</f>
        <v>.</v>
      </c>
      <c r="AH20" s="493" t="str">
        <f t="shared" ref="AH20:AH51" si="41" xml:space="preserve">  IF(  $O20,   IF( AND( K19&lt;&gt;0, AG20=Setzung), SetzungZillmerung, LEER ),    LEER  )</f>
        <v>.</v>
      </c>
      <c r="AI20" s="423">
        <f t="shared" ref="AI20:AI51" si="42" xml:space="preserve">  IF( $O20,    $J$19,  LEER  )</f>
        <v>2077.79</v>
      </c>
      <c r="AJ20" s="423">
        <f t="shared" ref="AJ20:AJ51" si="43" xml:space="preserve">  IF( $O20,    ROUND( AF20 * AI20, AJ$17 ),  LEER  )</f>
        <v>3606.42</v>
      </c>
      <c r="AK20" s="423">
        <f t="shared" ref="AK20:AK51" si="44" xml:space="preserve">  IF( $O20,    ROUND( AJ20 / 12, AK$17 ),  LEER  )</f>
        <v>300.54000000000002</v>
      </c>
      <c r="AN20" s="423" t="str">
        <f t="shared" ref="AN20:AO39" si="45" xml:space="preserve">  IF( AND( $A20&lt;=$O$12, $A20&gt;=AN$12),    ROUND( AN$19 * ( SUM($Y20) - SUM(AN$8) * SUM($V20) ), AN$17 ),  LEER  )</f>
        <v>.</v>
      </c>
      <c r="AO20" s="423" t="str">
        <f t="shared" si="45"/>
        <v>.</v>
      </c>
      <c r="AR20" s="546">
        <f xml:space="preserve"> ROUND(  INDEX( Kx!20:20, AR$16 ),  AR$17 )</f>
        <v>0.51770000000000005</v>
      </c>
      <c r="AS20" s="547">
        <f xml:space="preserve"> ROUND(  INDEX( qx!20:20, AS$16 ),  AS$17 )</f>
        <v>4.0000000000000002E-4</v>
      </c>
      <c r="AT20" s="547">
        <f xml:space="preserve"> ROUND(  INDEX( qx!20:20, AT$16 ),  AT$17 )</f>
        <v>2.0000000000000001E-4</v>
      </c>
      <c r="AU20" s="548" t="str">
        <f t="shared" ref="AU20:AU51" si="46" xml:space="preserve"> IF( AS20&lt;AT20, AS$13, AT$13 )</f>
        <v>F</v>
      </c>
      <c r="AV20" s="542">
        <f t="shared" ref="AV20:AV51" si="47" xml:space="preserve"> ROUND(     IF( AU20=BE_M_, ( $AR20 + $AR20 * AV$18 ) / ( 1 + $AR20 * AV$18 ),  ( $AR20 ) / ( 1 + ( 1 - $AR20 ) * AV$18 ) ),   AV$17 )</f>
        <v>0.41710000000000003</v>
      </c>
      <c r="AW20" s="542">
        <f t="shared" ref="AW20:AW51" si="48" xml:space="preserve"> ROUND( AV20 * AS20 + ( 1 - AV20) * AT20, AW$17 )</f>
        <v>2.9999999999999997E-4</v>
      </c>
      <c r="AX20" s="546">
        <f xml:space="preserve"> ROUND(  INDEX( wx!20:20, AX$16 ),  AX$17 )</f>
        <v>0.16550000000000001</v>
      </c>
      <c r="AY20" s="546">
        <f xml:space="preserve"> ROUND(  INDEX( wx!20:20, AY$16 ),  AY$17 )</f>
        <v>0.1797</v>
      </c>
      <c r="AZ20" s="548" t="str">
        <f t="shared" ref="AZ20:AZ51" si="49" xml:space="preserve"> IF( AX20&lt;AY20, AX$13, AY$13 )</f>
        <v>M</v>
      </c>
      <c r="BA20" s="542">
        <f t="shared" ref="BA20:BA51" si="50" xml:space="preserve"> ROUND(     IF( AZ20=BE_M_, ( $AR20 + $AR20 * BA$18 ) / ( 1 + $AR20 * BA$18 ),  ( $AR20 ) / ( 1 + ( 1 - $AR20 ) * BA$18 ) ),   BA$17 )</f>
        <v>0.6169</v>
      </c>
      <c r="BB20" s="542">
        <f t="shared" ref="BB20:BB51" si="51" xml:space="preserve"> ROUND( BA20 * AX20 + ( 1 - BA20) * AY20, BB$17 )</f>
        <v>0.1709</v>
      </c>
      <c r="BC20" s="533">
        <f xml:space="preserve"> ROUND(  INDEX( Kx!20:20, BC$16 ),  BC$17 )</f>
        <v>1405.8</v>
      </c>
      <c r="BD20" s="533">
        <f xml:space="preserve"> ROUND(  INDEX( Kx!20:20, BD$16 ),  BD$17 )</f>
        <v>1923.07</v>
      </c>
      <c r="BE20" s="548" t="str">
        <f t="shared" ref="BE20:BE83" si="52" xml:space="preserve"> IF( BC20&gt;BD20, BC$18, BD$18 )</f>
        <v>F</v>
      </c>
      <c r="BF20" s="542">
        <f t="shared" ref="BF20:BF51" si="53" xml:space="preserve"> ROUND(     IF( BE20=BE_M_, ( $AR20 + $AR20 * BF$18 ) / ( 1 + $AR20 * BF$18 ),  ( $AR20 ) / ( 1 + ( 1 - $AR20 ) * BF$18 ) ),   BF$17 )</f>
        <v>0.41710000000000003</v>
      </c>
      <c r="BG20" s="420">
        <f t="shared" ref="BG20:BG51" si="54" xml:space="preserve"> ROUND( BF20 * BC20 + ( 1 - BF20) * BD20, BG$17 )</f>
        <v>1707.32</v>
      </c>
      <c r="BQ20" s="549">
        <f xml:space="preserve"> A20</f>
        <v>20</v>
      </c>
      <c r="BR20" s="423" t="str">
        <f t="shared" ref="BR20:BR83" si="55" xml:space="preserve"> IF( OR( $A20 &lt;= $BR$12, $A20 &gt; $O$12 ),   LEER,   BW19  )</f>
        <v>.</v>
      </c>
      <c r="BS20" s="550" t="str">
        <f t="shared" ref="BS20:BS51" si="56" xml:space="preserve"> IF(  OR( $A20 &lt; $BS$12, $A20 &gt; $O$12 ),   LEER,  I20 )</f>
        <v>.</v>
      </c>
      <c r="BT20" s="423" t="str">
        <f t="shared" ref="BT20:BT51" si="57" xml:space="preserve"> IF( OR( $A20 &lt;= $BT$12, $A20 &gt; $O$12 ),   LEER,  ROUND( BT$19 * BT$8 - BS19, BT$17 )  )</f>
        <v>.</v>
      </c>
      <c r="BU20" s="551" t="str">
        <f t="shared" ref="BU20:BU51" si="58" xml:space="preserve"> IF( OR( $A20 &lt; $BU$12, $A20 &gt; $O$12 ),   LEER,  T20  )</f>
        <v>.</v>
      </c>
      <c r="BV20" s="551" t="str">
        <f t="shared" ref="BV20:BV51" si="59" xml:space="preserve"> IF( OR( $A20 &lt; $BV$12, $A20 &gt; $O$12 ),   LEER,   ROUND( SUM(BU19) / SUM(BU20), BV$17 )   )</f>
        <v>.</v>
      </c>
      <c r="BW20" s="529" t="str">
        <f t="shared" ref="BW20:BW51" si="60" xml:space="preserve"> IF( OR( $A20 &lt; $BW$12, $A20 &gt; $O$12 ),   LEER,  IF( $A20 = $BW$12,   0,   AN20   )  )</f>
        <v>.</v>
      </c>
      <c r="BX20" s="552" t="str">
        <f t="shared" ref="BX20:BX51" si="61" xml:space="preserve"> IF( OR( $A20 &lt;= $BX$12, $A20 &gt; $O$12 ),   LEER,   BW20 - ( BR20 + BT20 )   )</f>
        <v>.</v>
      </c>
      <c r="CB20" s="423" t="str">
        <f t="shared" ref="CB20:CB51" si="62" xml:space="preserve">  IF( AND( $O20, $A20&gt;=CB$12),    ROUND( AN$19 * ( AN$8 - J20 ) * ( 1 + CB$19 ), CB$17 ),  LEER  )</f>
        <v>.</v>
      </c>
      <c r="CC20" s="423" t="str">
        <f t="shared" ref="CC20:CC51" si="63" xml:space="preserve">  IF( AND( $O20, $A20&gt;=CC$12),    ROUND( SUM(AN20) * CC$19, CC$17 ),  LEER  )</f>
        <v>.</v>
      </c>
      <c r="CD20" s="423" t="str">
        <f t="shared" ref="CD20:CD51" si="64" xml:space="preserve">  IF( AND( $O20, $A20&gt;=CD$12),    ROUND( SUM(AN21) * P20, CD$17 ),  LEER  )</f>
        <v>.</v>
      </c>
      <c r="CE20" s="423" t="str">
        <f t="shared" ref="CE20:CE51" si="65" xml:space="preserve">  IF( AND( $O20, $A20&gt;=CE$12),    SUM(CB20:CD20),  LEER  )</f>
        <v>.</v>
      </c>
      <c r="CF20" s="553" t="str">
        <f t="shared" ref="CF20:CF51" si="66" xml:space="preserve">  IF( AND( $O20, $A20&gt;=CF$12),   SUM( AN21 ) - SUM( AN20 ), LEER  )</f>
        <v>.</v>
      </c>
      <c r="CH20" s="423" t="str">
        <f t="shared" ref="CH20:CH51" si="67" xml:space="preserve">  IF( AND( $O20, $A20&gt;=CH$12), CH$19 * CH$8, LEER  )</f>
        <v>.</v>
      </c>
      <c r="CI20" s="423" t="str">
        <f t="shared" ref="CI20:CI51" si="68" xml:space="preserve">  IF( AND( $O20, $A20&gt;=CI$12), ROUND( CI$19 * SUM($J20), CI$17), LEER  )</f>
        <v>.</v>
      </c>
      <c r="CJ20" s="423" t="str">
        <f t="shared" ref="CJ20:CJ51" si="69" xml:space="preserve">  IF( AND( $O20, $A20&gt;=CJ$12), ROUND( 1 / ( 1 + CJ$19 ) * SUM(AN21) - SUM(AN20), CJ$17 ), LEER  )</f>
        <v>.</v>
      </c>
      <c r="CK20" s="423" t="str">
        <f xml:space="preserve">  IF( AND( $O20, $A20&gt;=CK$12), ROUND( - 1 / ( 1 + CK$19 ) * SUM(AN21) * SUM($P20), CK$17 ), LEER  )</f>
        <v>.</v>
      </c>
      <c r="CL20" s="553" t="str">
        <f t="shared" ref="CL20:CL51" si="70" xml:space="preserve">  IF( AND( $O20, $A20&gt;=CL$12), SUM( CI20:CK20 ), LEER  )</f>
        <v>.</v>
      </c>
      <c r="CN20" s="423" t="str">
        <f t="shared" ref="CN20:CN83" si="71" xml:space="preserve">  IF( AND( $O20, $A20&gt;=CN$12), CN$19 * CN$8, LEER  )</f>
        <v>.</v>
      </c>
      <c r="CO20" s="423" t="str">
        <f t="shared" ref="CO20:CO51" si="72" xml:space="preserve">  IF( AND( $O20, $A20&gt;=CO$12), ROUND( CO$19 * SUM($J20), CO$17), LEER  )</f>
        <v>.</v>
      </c>
      <c r="CP20" s="423" t="str">
        <f t="shared" ref="CP20:CP51" si="73" xml:space="preserve">  IF( AND( $O20, $A20&gt;=CP$12), ROUND( 1 / ( 1 + CP$19 ) * SUM(AO21) - SUM(AO20), CP$17 ), LEER  )</f>
        <v>.</v>
      </c>
      <c r="CQ20" s="423" t="str">
        <f t="shared" ref="CQ20:CQ51" si="74" xml:space="preserve">  IF( AND( $O20, $A20&gt;=CQ$12), ROUND( - 1 / ( 1 + CQ$19 ) * SUM(AO21) * SUM($P20), CQ$17 ), LEER  )</f>
        <v>.</v>
      </c>
      <c r="CR20" s="553" t="str">
        <f t="shared" ref="CR20:CR83" si="75" xml:space="preserve">  IF( AND( $O20, $A20&gt;=CR$12), SUM( CO20:CQ20 ), LEER  )</f>
        <v>.</v>
      </c>
      <c r="CV20" s="564">
        <f xml:space="preserve"> $A20</f>
        <v>20</v>
      </c>
      <c r="CW20" s="538" t="str">
        <f t="shared" ref="CW20:CW51" si="76" xml:space="preserve"> IF(  OR( $CV20&lt;CW$3, $CV20&gt;CY$3),   LEER,   $AO20   )</f>
        <v>.</v>
      </c>
      <c r="CX20" s="566" t="str">
        <f t="shared" ref="CX20:CX51" si="77" xml:space="preserve"> IF(  OR( $CV20&lt;CY$3, $CV20&gt;DA$3),   LEER,   $AO20   )</f>
        <v>.</v>
      </c>
      <c r="CY20" s="538" t="str">
        <f t="shared" ref="CY20:CY51" si="78" xml:space="preserve"> IF(  OR( $CV20&lt;CY$3, $CV20&gt;CZ$3),   LEER,
   IF(  $CV20=CY$3,   CW20,
                                             ROUND( SUM(CY19) * T19 / T20, CY$17 )   )       )</f>
        <v>.</v>
      </c>
      <c r="CZ20" s="538" t="str">
        <f t="shared" ref="CZ20:CZ51" si="79" xml:space="preserve"> IF(  OR( $CV20&lt;CZ$3, $CV20&gt;DA$3),   LEER,
   IF(  $CV20=CZ$3,   CY20,
                                             ROUND( SUM(CZ19) * V20 / V19, CZ$17 )   )       )</f>
        <v>.</v>
      </c>
      <c r="DA20" s="538" t="str">
        <f t="shared" ref="DA20:DA51" si="80" xml:space="preserve"> IF(  OR( $CV20&lt;CZ$3, $CV20&gt;DA$3),   LEER,
                                                                                ROUND( DA$7 * ( Y20 - DA$5 * V20 ), DA$17  )      )</f>
        <v>.</v>
      </c>
      <c r="DB20" s="567" t="e">
        <f xml:space="preserve"> IF( SUM(CW20)=0, #N/A, CW20 )</f>
        <v>#N/A</v>
      </c>
      <c r="DC20" s="567" t="e">
        <f xml:space="preserve"> IF( SUM(CX20)=0, #N/A, CX20 )</f>
        <v>#N/A</v>
      </c>
      <c r="DD20" s="567" t="e">
        <f xml:space="preserve"> IF( SUM(CY20)=0, #N/A, CY20 )</f>
        <v>#N/A</v>
      </c>
      <c r="DE20" s="567" t="e">
        <f xml:space="preserve"> IF( SUM(CZ20)=0, #N/A, CZ20 )</f>
        <v>#N/A</v>
      </c>
      <c r="DF20" s="568" t="e">
        <f xml:space="preserve"> IF(  OR( $CV20&lt;CZ$3, $CV20&gt;DA$3),   #N/A,
                                                                                     SUM( CZ20:DA20 )      )</f>
        <v>#N/A</v>
      </c>
      <c r="DJ20" s="572">
        <f xml:space="preserve"> CY3</f>
        <v>50</v>
      </c>
      <c r="DK20" s="573">
        <v>0</v>
      </c>
      <c r="DP20" s="554"/>
      <c r="DR20" s="385"/>
      <c r="DS20" s="385"/>
      <c r="DT20" s="385"/>
      <c r="EL20" s="553" t="str">
        <f t="shared" ref="EL20:EL83" si="81" xml:space="preserve">  IF( AND( $A20&lt;=$O$12, $A20&gt;=EL$12),    ROUND( EL$19 * ( SUM($Y20) - SUM(EL$8) * SUM($V20) ), EL$17 ),  LEER  )</f>
        <v>.</v>
      </c>
      <c r="EM20" s="553" t="str">
        <f t="shared" ref="EM20:EM51" si="82" xml:space="preserve">  IF( AND( $A20&lt;=$O$12, $A20&gt;=EL$12),    ROUND( ( 1 - $M20 ) * $V20 * EM$8, EL$17 ),  LEER  )</f>
        <v>.</v>
      </c>
      <c r="EN20" s="423" t="str">
        <f t="shared" ref="EN20:EN51" si="83" xml:space="preserve">  IF( AND( $A20&lt;=$O$12, $A20&gt;=EL$12),    ROUND( SUM(EL20:EM20), EN$17 ),  LEER  )</f>
        <v>.</v>
      </c>
      <c r="EO20" s="555" t="str">
        <f xml:space="preserve"> 'i2'!AO20</f>
        <v>.</v>
      </c>
      <c r="EV20" s="533" t="e">
        <f xml:space="preserve"> ROUND(    IF( $A$15=BE_MF_,   LEER,   INDEX( Kx!20:20, EV$16 ) ),    EV$17    )</f>
        <v>#VALUE!</v>
      </c>
      <c r="EW20" s="533" t="e">
        <f xml:space="preserve"> ROUND(    IF( $A$15=BE_MF_,   LEER,   INDEX( Kx!20:20, EW$16 ) ),    EW$17    )</f>
        <v>#VALUE!</v>
      </c>
      <c r="EX20" s="533" t="e">
        <f xml:space="preserve"> ROUND(    IF( $A$15=BE_MF_,   LEER,   INDEX( Kx!20:20, EX$16 ) ),    EX$17    )</f>
        <v>#VALUE!</v>
      </c>
      <c r="EY20" s="556" t="e">
        <f xml:space="preserve"> MAX( 0,   EX20 - IF( $A20&lt;=64, EX$19, 0 )   )</f>
        <v>#VALUE!</v>
      </c>
      <c r="FB20" s="533" t="e">
        <f xml:space="preserve"> ROUND(    IF( $A$15=BE_MF_,   LEER,   INDEX( Kx!20:20, FB$16 ) ),    FB$17    )</f>
        <v>#VALUE!</v>
      </c>
      <c r="FC20" s="533" t="e">
        <f xml:space="preserve"> ROUND(    IF( $A$15=BE_MF_,   LEER,   INDEX( Kx!20:20, FC$16 ) ),    FC$17    )</f>
        <v>#VALUE!</v>
      </c>
      <c r="FD20" s="556" t="e">
        <f xml:space="preserve"> MAX( 0,   FC20 - IF( $A20&lt;=64, FC$19, 0 )   )</f>
        <v>#VALUE!</v>
      </c>
      <c r="FG20" s="556" t="e">
        <f xml:space="preserve"> EV20 - $EY20</f>
        <v>#VALUE!</v>
      </c>
      <c r="FH20" s="556" t="e">
        <f xml:space="preserve"> EW20 - $EY20</f>
        <v>#VALUE!</v>
      </c>
      <c r="FI20" s="556" t="e">
        <f xml:space="preserve"> EX20 - $EY20</f>
        <v>#VALUE!</v>
      </c>
      <c r="FN20" s="557">
        <f t="shared" ref="FN20:FN51" si="84" xml:space="preserve"> A20</f>
        <v>20</v>
      </c>
      <c r="FO20" s="493">
        <f t="shared" ref="FO20:FO51" si="85" xml:space="preserve"> Y20</f>
        <v>10.629200000000001</v>
      </c>
      <c r="FP20" s="493">
        <f t="shared" ref="FP20:FP51" si="86" xml:space="preserve"> V20</f>
        <v>9.0966000000000005</v>
      </c>
      <c r="FR20" s="427">
        <f xml:space="preserve"> SUM( FS20:JO20 )</f>
        <v>-603.29999999999995</v>
      </c>
      <c r="FS20" s="558">
        <f t="shared" ref="FS20:GH35" si="87" xml:space="preserve"> IF(  OR( FS$18&gt;$FN20, $FN20&gt;$FS$12 ),  LEER,  ROUND( $FR$19 * ( $FO20 - FS$15 * $FP20 ), FS$17 )  )</f>
        <v>-603.29999999999995</v>
      </c>
      <c r="FT20" s="558" t="str">
        <f t="shared" si="87"/>
        <v>.</v>
      </c>
      <c r="FU20" s="558" t="str">
        <f t="shared" si="87"/>
        <v>.</v>
      </c>
      <c r="FV20" s="558" t="str">
        <f t="shared" si="87"/>
        <v>.</v>
      </c>
      <c r="FW20" s="558" t="str">
        <f t="shared" si="87"/>
        <v>.</v>
      </c>
      <c r="FX20" s="558" t="str">
        <f t="shared" si="87"/>
        <v>.</v>
      </c>
      <c r="FY20" s="558" t="str">
        <f t="shared" si="87"/>
        <v>.</v>
      </c>
      <c r="FZ20" s="558" t="str">
        <f t="shared" si="87"/>
        <v>.</v>
      </c>
      <c r="GA20" s="558" t="str">
        <f t="shared" si="87"/>
        <v>.</v>
      </c>
      <c r="GB20" s="558" t="str">
        <f t="shared" si="87"/>
        <v>.</v>
      </c>
      <c r="GC20" s="558" t="str">
        <f t="shared" si="87"/>
        <v>.</v>
      </c>
      <c r="GD20" s="558" t="str">
        <f t="shared" si="87"/>
        <v>.</v>
      </c>
      <c r="GE20" s="558" t="str">
        <f t="shared" si="87"/>
        <v>.</v>
      </c>
      <c r="GF20" s="558" t="str">
        <f t="shared" si="87"/>
        <v>.</v>
      </c>
      <c r="GG20" s="558" t="str">
        <f t="shared" si="87"/>
        <v>.</v>
      </c>
      <c r="GH20" s="558" t="str">
        <f t="shared" si="87"/>
        <v>.</v>
      </c>
      <c r="GI20" s="558" t="str">
        <f t="shared" ref="GI20:GX35" si="88" xml:space="preserve"> IF(  OR( GI$18&gt;$FN20, $FN20&gt;$FS$12 ),  LEER,  ROUND( $FR$19 * ( $FO20 - GI$15 * $FP20 ), GI$17 )  )</f>
        <v>.</v>
      </c>
      <c r="GJ20" s="558" t="str">
        <f t="shared" si="88"/>
        <v>.</v>
      </c>
      <c r="GK20" s="558" t="str">
        <f t="shared" si="88"/>
        <v>.</v>
      </c>
      <c r="GL20" s="558" t="str">
        <f t="shared" si="88"/>
        <v>.</v>
      </c>
      <c r="GM20" s="558" t="str">
        <f t="shared" si="88"/>
        <v>.</v>
      </c>
      <c r="GN20" s="558" t="str">
        <f t="shared" si="88"/>
        <v>.</v>
      </c>
      <c r="GO20" s="558" t="str">
        <f t="shared" si="88"/>
        <v>.</v>
      </c>
      <c r="GP20" s="558" t="str">
        <f t="shared" si="88"/>
        <v>.</v>
      </c>
      <c r="GQ20" s="558" t="str">
        <f t="shared" si="88"/>
        <v>.</v>
      </c>
      <c r="GR20" s="558" t="str">
        <f t="shared" si="88"/>
        <v>.</v>
      </c>
      <c r="GS20" s="558" t="str">
        <f t="shared" si="88"/>
        <v>.</v>
      </c>
      <c r="GT20" s="558" t="str">
        <f t="shared" si="88"/>
        <v>.</v>
      </c>
      <c r="GU20" s="558" t="str">
        <f t="shared" si="88"/>
        <v>.</v>
      </c>
      <c r="GV20" s="558" t="str">
        <f t="shared" si="88"/>
        <v>.</v>
      </c>
      <c r="GW20" s="558" t="str">
        <f t="shared" si="88"/>
        <v>.</v>
      </c>
      <c r="GX20" s="558" t="str">
        <f t="shared" si="88"/>
        <v>.</v>
      </c>
      <c r="GY20" s="558" t="str">
        <f t="shared" ref="GY20:HN35" si="89" xml:space="preserve"> IF(  OR( GY$18&gt;$FN20, $FN20&gt;$FS$12 ),  LEER,  ROUND( $FR$19 * ( $FO20 - GY$15 * $FP20 ), GY$17 )  )</f>
        <v>.</v>
      </c>
      <c r="GZ20" s="558" t="str">
        <f t="shared" si="89"/>
        <v>.</v>
      </c>
      <c r="HA20" s="558" t="str">
        <f t="shared" si="89"/>
        <v>.</v>
      </c>
      <c r="HB20" s="558" t="str">
        <f t="shared" si="89"/>
        <v>.</v>
      </c>
      <c r="HC20" s="558" t="str">
        <f t="shared" si="89"/>
        <v>.</v>
      </c>
      <c r="HD20" s="558" t="str">
        <f t="shared" si="89"/>
        <v>.</v>
      </c>
      <c r="HE20" s="558" t="str">
        <f t="shared" si="89"/>
        <v>.</v>
      </c>
      <c r="HF20" s="558" t="str">
        <f t="shared" si="89"/>
        <v>.</v>
      </c>
      <c r="HG20" s="558" t="str">
        <f t="shared" si="89"/>
        <v>.</v>
      </c>
      <c r="HH20" s="558" t="str">
        <f t="shared" si="89"/>
        <v>.</v>
      </c>
      <c r="HI20" s="558" t="str">
        <f t="shared" si="89"/>
        <v>.</v>
      </c>
      <c r="HJ20" s="558" t="str">
        <f t="shared" si="89"/>
        <v>.</v>
      </c>
      <c r="HK20" s="558" t="str">
        <f t="shared" si="89"/>
        <v>.</v>
      </c>
      <c r="HL20" s="558" t="str">
        <f t="shared" si="89"/>
        <v>.</v>
      </c>
      <c r="HM20" s="558" t="str">
        <f t="shared" si="89"/>
        <v>.</v>
      </c>
      <c r="HN20" s="558" t="str">
        <f t="shared" si="89"/>
        <v>.</v>
      </c>
      <c r="HO20" s="558" t="str">
        <f t="shared" ref="HO20:IF34" si="90" xml:space="preserve"> IF(  OR( HO$18&gt;$FN20, $FN20&gt;$FS$12 ),  LEER,  ROUND( $FR$19 * ( $FO20 - HO$15 * $FP20 ), HO$17 )  )</f>
        <v>.</v>
      </c>
      <c r="HP20" s="558" t="str">
        <f t="shared" si="90"/>
        <v>.</v>
      </c>
      <c r="HQ20" s="558" t="str">
        <f t="shared" si="90"/>
        <v>.</v>
      </c>
      <c r="HR20" s="558" t="str">
        <f t="shared" si="90"/>
        <v>.</v>
      </c>
      <c r="HS20" s="558" t="str">
        <f t="shared" si="90"/>
        <v>.</v>
      </c>
      <c r="HT20" s="558" t="str">
        <f t="shared" si="90"/>
        <v>.</v>
      </c>
      <c r="HU20" s="558" t="str">
        <f t="shared" si="90"/>
        <v>.</v>
      </c>
      <c r="HV20" s="558" t="str">
        <f t="shared" si="90"/>
        <v>.</v>
      </c>
      <c r="HW20" s="558" t="str">
        <f t="shared" si="90"/>
        <v>.</v>
      </c>
      <c r="HX20" s="558" t="str">
        <f t="shared" si="90"/>
        <v>.</v>
      </c>
      <c r="HY20" s="558" t="str">
        <f t="shared" si="90"/>
        <v>.</v>
      </c>
      <c r="HZ20" s="558" t="str">
        <f t="shared" si="90"/>
        <v>.</v>
      </c>
      <c r="IA20" s="558" t="str">
        <f t="shared" si="90"/>
        <v>.</v>
      </c>
      <c r="IB20" s="558" t="str">
        <f t="shared" si="90"/>
        <v>.</v>
      </c>
      <c r="IC20" s="558" t="str">
        <f t="shared" si="90"/>
        <v>.</v>
      </c>
      <c r="ID20" s="558" t="str">
        <f t="shared" si="90"/>
        <v>.</v>
      </c>
      <c r="IE20" s="558" t="str">
        <f t="shared" si="90"/>
        <v>.</v>
      </c>
      <c r="IF20" s="558" t="str">
        <f t="shared" si="90"/>
        <v>.</v>
      </c>
      <c r="IG20" s="558" t="str">
        <f t="shared" ref="IG20:JE30" si="91" xml:space="preserve"> IF(  OR( IG$18&gt;$FN20, $FN20&gt;$FS$12 ),  LEER,  ROUND( $FR$19 * ( $FO20 - IG$15 * $FP20 ), IG$17 )  )</f>
        <v>.</v>
      </c>
      <c r="IH20" s="558" t="str">
        <f t="shared" si="91"/>
        <v>.</v>
      </c>
      <c r="II20" s="558" t="str">
        <f t="shared" si="91"/>
        <v>.</v>
      </c>
      <c r="IJ20" s="558" t="str">
        <f t="shared" si="91"/>
        <v>.</v>
      </c>
      <c r="IK20" s="558" t="str">
        <f t="shared" si="91"/>
        <v>.</v>
      </c>
      <c r="IL20" s="558" t="str">
        <f t="shared" si="91"/>
        <v>.</v>
      </c>
      <c r="IM20" s="558" t="str">
        <f t="shared" si="91"/>
        <v>.</v>
      </c>
      <c r="IN20" s="558" t="str">
        <f t="shared" si="91"/>
        <v>.</v>
      </c>
      <c r="IO20" s="558" t="str">
        <f t="shared" si="91"/>
        <v>.</v>
      </c>
      <c r="IP20" s="558" t="str">
        <f t="shared" si="91"/>
        <v>.</v>
      </c>
      <c r="IQ20" s="558" t="str">
        <f t="shared" si="91"/>
        <v>.</v>
      </c>
      <c r="IR20" s="558" t="str">
        <f t="shared" si="91"/>
        <v>.</v>
      </c>
      <c r="IS20" s="558" t="str">
        <f t="shared" si="91"/>
        <v>.</v>
      </c>
      <c r="IT20" s="558" t="str">
        <f t="shared" si="91"/>
        <v>.</v>
      </c>
      <c r="IU20" s="558" t="str">
        <f t="shared" si="91"/>
        <v>.</v>
      </c>
      <c r="IV20" s="558" t="str">
        <f t="shared" si="91"/>
        <v>.</v>
      </c>
      <c r="IW20" s="558" t="str">
        <f t="shared" si="91"/>
        <v>.</v>
      </c>
      <c r="IX20" s="558" t="str">
        <f t="shared" si="91"/>
        <v>.</v>
      </c>
      <c r="IY20" s="558" t="str">
        <f t="shared" si="91"/>
        <v>.</v>
      </c>
      <c r="IZ20" s="558" t="str">
        <f t="shared" si="91"/>
        <v>.</v>
      </c>
      <c r="JA20" s="558" t="str">
        <f t="shared" si="91"/>
        <v>.</v>
      </c>
      <c r="JB20" s="558" t="str">
        <f t="shared" si="91"/>
        <v>.</v>
      </c>
      <c r="JC20" s="558" t="str">
        <f t="shared" si="91"/>
        <v>.</v>
      </c>
      <c r="JD20" s="558" t="str">
        <f t="shared" si="91"/>
        <v>.</v>
      </c>
      <c r="JE20" s="558" t="str">
        <f t="shared" si="91"/>
        <v>.</v>
      </c>
      <c r="JF20" s="558" t="str">
        <f t="shared" ref="JF20:JO35" si="92" xml:space="preserve"> IF(  OR( JF$18&gt;$FN20, $FN20&gt;$FS$12 ),  LEER,  ROUND( $FR$19 * ( $FO20 - JF$15 * $FP20 ), JF$17 )  )</f>
        <v>.</v>
      </c>
      <c r="JG20" s="558" t="str">
        <f t="shared" si="92"/>
        <v>.</v>
      </c>
      <c r="JH20" s="558" t="str">
        <f t="shared" si="92"/>
        <v>.</v>
      </c>
      <c r="JI20" s="558" t="str">
        <f t="shared" si="92"/>
        <v>.</v>
      </c>
      <c r="JJ20" s="558" t="str">
        <f t="shared" si="92"/>
        <v>.</v>
      </c>
      <c r="JK20" s="558" t="str">
        <f t="shared" si="92"/>
        <v>.</v>
      </c>
      <c r="JL20" s="558" t="str">
        <f t="shared" si="92"/>
        <v>.</v>
      </c>
      <c r="JM20" s="558" t="str">
        <f t="shared" si="92"/>
        <v>.</v>
      </c>
      <c r="JN20" s="558" t="str">
        <f t="shared" si="92"/>
        <v>.</v>
      </c>
      <c r="JO20" s="558" t="str">
        <f t="shared" si="92"/>
        <v>.</v>
      </c>
    </row>
    <row r="21" spans="1:275" x14ac:dyDescent="0.2">
      <c r="A21" s="534">
        <f xml:space="preserve"> Basis!A21</f>
        <v>21</v>
      </c>
      <c r="F21" s="536">
        <f xml:space="preserve"> ROUND(    IF( $A$15=BE_MF_,   AW21,   INDEX( qx!21:21, F$16 ) ),    F$17    )</f>
        <v>2.9999999999999997E-4</v>
      </c>
      <c r="G21" s="536">
        <f xml:space="preserve"> ROUND(    IF( $A$15=BE_MF_,   BB21,   INDEX( wx!21:21, G$16 ) ),    G$17    )</f>
        <v>0.14710000000000001</v>
      </c>
      <c r="H21" s="537">
        <f xml:space="preserve"> ROUND(    IF( $A$15=BE_MF_,   BG21,   INDEX( Kx!21:21, H$16 ) ),    H$17    )</f>
        <v>1726.77</v>
      </c>
      <c r="I21" s="538">
        <f t="shared" ref="I21:I84" si="93" xml:space="preserve"> IF( $A21&gt;$H$12, MAX( H21, I20 ), H21 )</f>
        <v>1726.77</v>
      </c>
      <c r="J21" s="539">
        <f t="shared" si="23"/>
        <v>0.83099999999999996</v>
      </c>
      <c r="K21" s="540">
        <f t="shared" ref="K21:K52" si="94" xml:space="preserve"> IF( $A21&lt;K$18,  K$15,  MAX( 0, K20-K$16 )   )</f>
        <v>2</v>
      </c>
      <c r="L21" s="541">
        <f t="shared" si="24"/>
        <v>0</v>
      </c>
      <c r="M21" s="541">
        <f t="shared" si="24"/>
        <v>8.5999999999999993E-2</v>
      </c>
      <c r="O21" s="542" t="b">
        <f t="shared" ref="O21:O84" si="95" xml:space="preserve"> AND( O$10&lt;=$A21, $A21&lt;=$O$12 )</f>
        <v>1</v>
      </c>
      <c r="P21" s="493">
        <f t="shared" si="25"/>
        <v>0.1474</v>
      </c>
      <c r="Q21" s="493">
        <f t="shared" si="26"/>
        <v>0.85260000000000002</v>
      </c>
      <c r="R21" s="543">
        <f t="shared" si="27"/>
        <v>4144000</v>
      </c>
      <c r="S21" s="544">
        <f t="shared" si="28"/>
        <v>0.97560975599999999</v>
      </c>
      <c r="T21" s="423">
        <f t="shared" si="29"/>
        <v>2467280.7599999998</v>
      </c>
      <c r="U21" s="423">
        <f xml:space="preserve"> IF( $O21,    ROUND(  SUM( T21:T$120), U$17 ),  LEER  )</f>
        <v>24705464.239999998</v>
      </c>
      <c r="V21" s="493">
        <f t="shared" si="30"/>
        <v>10.013199999999999</v>
      </c>
      <c r="W21" s="493">
        <f t="shared" si="31"/>
        <v>2050310.31</v>
      </c>
      <c r="X21" s="493">
        <f xml:space="preserve"> IF( $O21,    ROUND(  SUM( W21:W$120), X$17 ),  LEER  )</f>
        <v>29925109.140000001</v>
      </c>
      <c r="Y21" s="493">
        <f t="shared" si="32"/>
        <v>12.1288</v>
      </c>
      <c r="Z21" s="493">
        <f t="shared" si="33"/>
        <v>1.2113</v>
      </c>
      <c r="AA21" s="493">
        <f t="shared" si="34"/>
        <v>1.0185</v>
      </c>
      <c r="AB21" s="493">
        <f t="shared" si="35"/>
        <v>2.3494000000000002</v>
      </c>
      <c r="AC21" s="545">
        <f t="shared" si="36"/>
        <v>0.38600000000000001</v>
      </c>
      <c r="AD21" s="493">
        <f t="shared" si="37"/>
        <v>1.2408999999999999</v>
      </c>
      <c r="AE21" s="493">
        <f t="shared" si="38"/>
        <v>1.78</v>
      </c>
      <c r="AF21" s="493">
        <f t="shared" si="39"/>
        <v>1.78</v>
      </c>
      <c r="AG21" s="493" t="str">
        <f t="shared" si="40"/>
        <v>.</v>
      </c>
      <c r="AH21" s="493" t="str">
        <f t="shared" si="41"/>
        <v>.</v>
      </c>
      <c r="AI21" s="423">
        <f t="shared" si="42"/>
        <v>2077.79</v>
      </c>
      <c r="AJ21" s="423">
        <f t="shared" si="43"/>
        <v>3698.47</v>
      </c>
      <c r="AK21" s="423">
        <f t="shared" si="44"/>
        <v>308.20999999999998</v>
      </c>
      <c r="AN21" s="423" t="str">
        <f t="shared" si="45"/>
        <v>.</v>
      </c>
      <c r="AO21" s="423" t="str">
        <f t="shared" si="45"/>
        <v>.</v>
      </c>
      <c r="AR21" s="546">
        <f xml:space="preserve"> ROUND(  INDEX( Kx!21:21, AR$16 ),  AR$17 )</f>
        <v>0.53779999999999994</v>
      </c>
      <c r="AS21" s="547">
        <f xml:space="preserve"> ROUND(  INDEX( qx!21:21, AS$16 ),  AS$17 )</f>
        <v>4.0000000000000002E-4</v>
      </c>
      <c r="AT21" s="547">
        <f xml:space="preserve"> ROUND(  INDEX( qx!21:21, AT$16 ),  AT$17 )</f>
        <v>2.0000000000000001E-4</v>
      </c>
      <c r="AU21" s="548" t="str">
        <f t="shared" si="46"/>
        <v>F</v>
      </c>
      <c r="AV21" s="542">
        <f t="shared" si="47"/>
        <v>0.43680000000000002</v>
      </c>
      <c r="AW21" s="542">
        <f t="shared" si="48"/>
        <v>2.9999999999999997E-4</v>
      </c>
      <c r="AX21" s="546">
        <f xml:space="preserve"> ROUND(  INDEX( wx!21:21, AX$16 ),  AX$17 )</f>
        <v>0.1409</v>
      </c>
      <c r="AY21" s="546">
        <f xml:space="preserve"> ROUND(  INDEX( wx!21:21, AY$16 ),  AY$17 )</f>
        <v>0.1578</v>
      </c>
      <c r="AZ21" s="548" t="str">
        <f t="shared" si="49"/>
        <v>M</v>
      </c>
      <c r="BA21" s="542">
        <f t="shared" si="50"/>
        <v>0.63570000000000004</v>
      </c>
      <c r="BB21" s="542">
        <f t="shared" si="51"/>
        <v>0.14710000000000001</v>
      </c>
      <c r="BC21" s="533">
        <f xml:space="preserve"> ROUND(  INDEX( Kx!21:21, BC$16 ),  BC$17 )</f>
        <v>1395.61</v>
      </c>
      <c r="BD21" s="533">
        <f xml:space="preserve"> ROUND(  INDEX( Kx!21:21, BD$16 ),  BD$17 )</f>
        <v>1983.6</v>
      </c>
      <c r="BE21" s="548" t="str">
        <f t="shared" si="52"/>
        <v>F</v>
      </c>
      <c r="BF21" s="542">
        <f t="shared" si="53"/>
        <v>0.43680000000000002</v>
      </c>
      <c r="BG21" s="420">
        <f t="shared" si="54"/>
        <v>1726.77</v>
      </c>
      <c r="BQ21" s="549">
        <f t="shared" ref="BQ21:BQ84" si="96" xml:space="preserve"> A21</f>
        <v>21</v>
      </c>
      <c r="BR21" s="423" t="str">
        <f t="shared" si="55"/>
        <v>.</v>
      </c>
      <c r="BS21" s="550" t="str">
        <f t="shared" si="56"/>
        <v>.</v>
      </c>
      <c r="BT21" s="423" t="str">
        <f t="shared" si="57"/>
        <v>.</v>
      </c>
      <c r="BU21" s="551" t="str">
        <f t="shared" si="58"/>
        <v>.</v>
      </c>
      <c r="BV21" s="551" t="str">
        <f t="shared" si="59"/>
        <v>.</v>
      </c>
      <c r="BW21" s="529" t="str">
        <f t="shared" si="60"/>
        <v>.</v>
      </c>
      <c r="BX21" s="552" t="str">
        <f t="shared" si="61"/>
        <v>.</v>
      </c>
      <c r="BY21" s="559"/>
      <c r="BZ21" s="559"/>
      <c r="CB21" s="423" t="str">
        <f t="shared" si="62"/>
        <v>.</v>
      </c>
      <c r="CC21" s="423" t="str">
        <f t="shared" si="63"/>
        <v>.</v>
      </c>
      <c r="CD21" s="423" t="str">
        <f t="shared" si="64"/>
        <v>.</v>
      </c>
      <c r="CE21" s="423" t="str">
        <f t="shared" si="65"/>
        <v>.</v>
      </c>
      <c r="CF21" s="553" t="str">
        <f t="shared" si="66"/>
        <v>.</v>
      </c>
      <c r="CH21" s="423" t="str">
        <f t="shared" si="67"/>
        <v>.</v>
      </c>
      <c r="CI21" s="423" t="str">
        <f t="shared" si="68"/>
        <v>.</v>
      </c>
      <c r="CJ21" s="423" t="str">
        <f t="shared" si="69"/>
        <v>.</v>
      </c>
      <c r="CK21" s="423" t="str">
        <f t="shared" ref="CK21:CK51" si="97" xml:space="preserve">  IF( AND( $O21, $A21&gt;=CK$12), ROUND( - 1 / ( 1 + CK$19 ) * SUM(AN22) * SUM(P21), CK$17 ), LEER  )</f>
        <v>.</v>
      </c>
      <c r="CL21" s="553" t="str">
        <f t="shared" si="70"/>
        <v>.</v>
      </c>
      <c r="CN21" s="423" t="str">
        <f t="shared" si="71"/>
        <v>.</v>
      </c>
      <c r="CO21" s="423" t="str">
        <f t="shared" si="72"/>
        <v>.</v>
      </c>
      <c r="CP21" s="423" t="str">
        <f t="shared" si="73"/>
        <v>.</v>
      </c>
      <c r="CQ21" s="423" t="str">
        <f t="shared" si="74"/>
        <v>.</v>
      </c>
      <c r="CR21" s="553" t="str">
        <f t="shared" si="75"/>
        <v>.</v>
      </c>
      <c r="CV21" s="564">
        <f t="shared" ref="CV21:CV84" si="98" xml:space="preserve"> $A21</f>
        <v>21</v>
      </c>
      <c r="CW21" s="538" t="str">
        <f t="shared" si="76"/>
        <v>.</v>
      </c>
      <c r="CX21" s="566" t="str">
        <f t="shared" si="77"/>
        <v>.</v>
      </c>
      <c r="CY21" s="538" t="str">
        <f t="shared" si="78"/>
        <v>.</v>
      </c>
      <c r="CZ21" s="538" t="str">
        <f t="shared" si="79"/>
        <v>.</v>
      </c>
      <c r="DA21" s="538" t="str">
        <f t="shared" si="80"/>
        <v>.</v>
      </c>
      <c r="DB21" s="567" t="e">
        <f t="shared" ref="DB21:DB84" si="99" xml:space="preserve"> IF( SUM(CW21)=0, #N/A, CW21 )</f>
        <v>#N/A</v>
      </c>
      <c r="DC21" s="567" t="e">
        <f t="shared" ref="DC21:DC84" si="100" xml:space="preserve"> IF( SUM(CX21)=0, #N/A, CX21 )</f>
        <v>#N/A</v>
      </c>
      <c r="DD21" s="567" t="e">
        <f t="shared" ref="DD21:DE84" si="101" xml:space="preserve"> IF( SUM(CY21)=0, #N/A, CY21 )</f>
        <v>#N/A</v>
      </c>
      <c r="DE21" s="567" t="e">
        <f t="shared" si="101"/>
        <v>#N/A</v>
      </c>
      <c r="DF21" s="568" t="e">
        <f t="shared" ref="DF21:DF84" si="102" xml:space="preserve"> IF(  OR( $CV21&lt;CZ$3, $CV21&gt;DA$3),   #N/A,
                                                                                     SUM( CZ21:DA21 )      )</f>
        <v>#N/A</v>
      </c>
      <c r="DJ21" s="572">
        <f xml:space="preserve"> DJ20</f>
        <v>50</v>
      </c>
      <c r="DK21" s="573">
        <f xml:space="preserve"> INDEX( DB$20:DB$120, MATCH( $DJ21, $CV$20:$CV$120, 0 ) ) * 1.5</f>
        <v>59031.899999999994</v>
      </c>
      <c r="DP21" s="554"/>
      <c r="DR21" s="385"/>
      <c r="DS21" s="385"/>
      <c r="DT21" s="385"/>
      <c r="EL21" s="553" t="str">
        <f t="shared" si="81"/>
        <v>.</v>
      </c>
      <c r="EM21" s="553" t="str">
        <f t="shared" si="82"/>
        <v>.</v>
      </c>
      <c r="EN21" s="423" t="str">
        <f t="shared" si="83"/>
        <v>.</v>
      </c>
      <c r="EO21" s="555" t="str">
        <f xml:space="preserve"> 'i2'!AO21</f>
        <v>.</v>
      </c>
      <c r="EV21" s="533" t="e">
        <f xml:space="preserve"> ROUND(    IF( $A$15=BE_MF_,   LEER,   INDEX( Kx!21:21, EV$16 ) ),    EV$17    )</f>
        <v>#VALUE!</v>
      </c>
      <c r="EW21" s="533" t="e">
        <f xml:space="preserve"> ROUND(    IF( $A$15=BE_MF_,   LEER,   INDEX( Kx!21:21, EW$16 ) ),    EW$17    )</f>
        <v>#VALUE!</v>
      </c>
      <c r="EX21" s="533" t="e">
        <f xml:space="preserve"> ROUND(    IF( $A$15=BE_MF_,   LEER,   INDEX( Kx!21:21, EX$16 ) ),    EX$17    )</f>
        <v>#VALUE!</v>
      </c>
      <c r="EY21" s="556" t="e">
        <f t="shared" ref="EY21:EY84" si="103" xml:space="preserve"> MAX( 0,   EX21 - IF( $A21&lt;=64, EX$19, 0 )   )</f>
        <v>#VALUE!</v>
      </c>
      <c r="FB21" s="533" t="e">
        <f xml:space="preserve"> ROUND(    IF( $A$15=BE_MF_,   LEER,   INDEX( Kx!21:21, FB$16 ) ),    FB$17    )</f>
        <v>#VALUE!</v>
      </c>
      <c r="FC21" s="533" t="e">
        <f xml:space="preserve"> ROUND(    IF( $A$15=BE_MF_,   LEER,   INDEX( Kx!21:21, FC$16 ) ),    FC$17    )</f>
        <v>#VALUE!</v>
      </c>
      <c r="FD21" s="556" t="e">
        <f t="shared" ref="FD21:FD84" si="104" xml:space="preserve"> MAX( 0,   FC21 - IF( $A21&lt;=64, FC$19, 0 )   )</f>
        <v>#VALUE!</v>
      </c>
      <c r="FG21" s="556" t="e">
        <f t="shared" ref="FG21:FI84" si="105" xml:space="preserve"> EV21 - $EY21</f>
        <v>#VALUE!</v>
      </c>
      <c r="FH21" s="556" t="e">
        <f t="shared" si="105"/>
        <v>#VALUE!</v>
      </c>
      <c r="FI21" s="556" t="e">
        <f t="shared" si="105"/>
        <v>#VALUE!</v>
      </c>
      <c r="FN21" s="557">
        <f t="shared" si="84"/>
        <v>21</v>
      </c>
      <c r="FO21" s="493">
        <f t="shared" si="85"/>
        <v>12.1288</v>
      </c>
      <c r="FP21" s="493">
        <f t="shared" si="86"/>
        <v>10.013199999999999</v>
      </c>
      <c r="FR21" s="427">
        <f t="shared" ref="FR21:FR84" si="106" xml:space="preserve"> SUM( FS21:JO21 )</f>
        <v>-389.84000000000003</v>
      </c>
      <c r="FS21" s="558">
        <f t="shared" si="87"/>
        <v>226.39</v>
      </c>
      <c r="FT21" s="558">
        <f t="shared" si="87"/>
        <v>-616.23</v>
      </c>
      <c r="FU21" s="558" t="str">
        <f t="shared" si="87"/>
        <v>.</v>
      </c>
      <c r="FV21" s="558" t="str">
        <f t="shared" si="87"/>
        <v>.</v>
      </c>
      <c r="FW21" s="558" t="str">
        <f t="shared" si="87"/>
        <v>.</v>
      </c>
      <c r="FX21" s="558" t="str">
        <f t="shared" si="87"/>
        <v>.</v>
      </c>
      <c r="FY21" s="558" t="str">
        <f t="shared" si="87"/>
        <v>.</v>
      </c>
      <c r="FZ21" s="558" t="str">
        <f t="shared" si="87"/>
        <v>.</v>
      </c>
      <c r="GA21" s="558" t="str">
        <f t="shared" si="87"/>
        <v>.</v>
      </c>
      <c r="GB21" s="558" t="str">
        <f t="shared" si="87"/>
        <v>.</v>
      </c>
      <c r="GC21" s="558" t="str">
        <f t="shared" si="87"/>
        <v>.</v>
      </c>
      <c r="GD21" s="558" t="str">
        <f t="shared" si="87"/>
        <v>.</v>
      </c>
      <c r="GE21" s="558" t="str">
        <f t="shared" si="87"/>
        <v>.</v>
      </c>
      <c r="GF21" s="558" t="str">
        <f t="shared" si="87"/>
        <v>.</v>
      </c>
      <c r="GG21" s="558" t="str">
        <f t="shared" si="87"/>
        <v>.</v>
      </c>
      <c r="GH21" s="558" t="str">
        <f t="shared" si="87"/>
        <v>.</v>
      </c>
      <c r="GI21" s="558" t="str">
        <f t="shared" si="88"/>
        <v>.</v>
      </c>
      <c r="GJ21" s="558" t="str">
        <f t="shared" si="88"/>
        <v>.</v>
      </c>
      <c r="GK21" s="558" t="str">
        <f t="shared" si="88"/>
        <v>.</v>
      </c>
      <c r="GL21" s="558" t="str">
        <f t="shared" si="88"/>
        <v>.</v>
      </c>
      <c r="GM21" s="558" t="str">
        <f t="shared" si="88"/>
        <v>.</v>
      </c>
      <c r="GN21" s="558" t="str">
        <f t="shared" si="88"/>
        <v>.</v>
      </c>
      <c r="GO21" s="558" t="str">
        <f t="shared" si="88"/>
        <v>.</v>
      </c>
      <c r="GP21" s="558" t="str">
        <f t="shared" si="88"/>
        <v>.</v>
      </c>
      <c r="GQ21" s="558" t="str">
        <f t="shared" si="88"/>
        <v>.</v>
      </c>
      <c r="GR21" s="558" t="str">
        <f t="shared" si="88"/>
        <v>.</v>
      </c>
      <c r="GS21" s="558" t="str">
        <f t="shared" si="88"/>
        <v>.</v>
      </c>
      <c r="GT21" s="558" t="str">
        <f t="shared" si="88"/>
        <v>.</v>
      </c>
      <c r="GU21" s="558" t="str">
        <f t="shared" si="88"/>
        <v>.</v>
      </c>
      <c r="GV21" s="558" t="str">
        <f t="shared" si="88"/>
        <v>.</v>
      </c>
      <c r="GW21" s="558" t="str">
        <f t="shared" si="88"/>
        <v>.</v>
      </c>
      <c r="GX21" s="558" t="str">
        <f t="shared" si="88"/>
        <v>.</v>
      </c>
      <c r="GY21" s="558" t="str">
        <f t="shared" si="89"/>
        <v>.</v>
      </c>
      <c r="GZ21" s="558" t="str">
        <f t="shared" si="89"/>
        <v>.</v>
      </c>
      <c r="HA21" s="558" t="str">
        <f t="shared" si="89"/>
        <v>.</v>
      </c>
      <c r="HB21" s="558" t="str">
        <f t="shared" si="89"/>
        <v>.</v>
      </c>
      <c r="HC21" s="558" t="str">
        <f t="shared" si="89"/>
        <v>.</v>
      </c>
      <c r="HD21" s="558" t="str">
        <f t="shared" si="89"/>
        <v>.</v>
      </c>
      <c r="HE21" s="558" t="str">
        <f t="shared" si="89"/>
        <v>.</v>
      </c>
      <c r="HF21" s="558" t="str">
        <f t="shared" si="89"/>
        <v>.</v>
      </c>
      <c r="HG21" s="558" t="str">
        <f t="shared" si="89"/>
        <v>.</v>
      </c>
      <c r="HH21" s="558" t="str">
        <f t="shared" si="89"/>
        <v>.</v>
      </c>
      <c r="HI21" s="558" t="str">
        <f t="shared" si="89"/>
        <v>.</v>
      </c>
      <c r="HJ21" s="558" t="str">
        <f t="shared" si="89"/>
        <v>.</v>
      </c>
      <c r="HK21" s="558" t="str">
        <f t="shared" si="89"/>
        <v>.</v>
      </c>
      <c r="HL21" s="558" t="str">
        <f t="shared" si="89"/>
        <v>.</v>
      </c>
      <c r="HM21" s="558" t="str">
        <f t="shared" si="89"/>
        <v>.</v>
      </c>
      <c r="HN21" s="558" t="str">
        <f t="shared" si="89"/>
        <v>.</v>
      </c>
      <c r="HO21" s="558" t="str">
        <f t="shared" si="90"/>
        <v>.</v>
      </c>
      <c r="HP21" s="558" t="str">
        <f t="shared" si="90"/>
        <v>.</v>
      </c>
      <c r="HQ21" s="558" t="str">
        <f t="shared" si="90"/>
        <v>.</v>
      </c>
      <c r="HR21" s="558" t="str">
        <f t="shared" si="90"/>
        <v>.</v>
      </c>
      <c r="HS21" s="558" t="str">
        <f t="shared" si="90"/>
        <v>.</v>
      </c>
      <c r="HT21" s="558" t="str">
        <f t="shared" si="90"/>
        <v>.</v>
      </c>
      <c r="HU21" s="558" t="str">
        <f t="shared" si="90"/>
        <v>.</v>
      </c>
      <c r="HV21" s="558" t="str">
        <f t="shared" si="90"/>
        <v>.</v>
      </c>
      <c r="HW21" s="558" t="str">
        <f t="shared" si="90"/>
        <v>.</v>
      </c>
      <c r="HX21" s="558" t="str">
        <f t="shared" si="90"/>
        <v>.</v>
      </c>
      <c r="HY21" s="558" t="str">
        <f t="shared" si="90"/>
        <v>.</v>
      </c>
      <c r="HZ21" s="558" t="str">
        <f t="shared" si="90"/>
        <v>.</v>
      </c>
      <c r="IA21" s="558" t="str">
        <f t="shared" si="90"/>
        <v>.</v>
      </c>
      <c r="IB21" s="558" t="str">
        <f t="shared" si="90"/>
        <v>.</v>
      </c>
      <c r="IC21" s="558" t="str">
        <f t="shared" si="90"/>
        <v>.</v>
      </c>
      <c r="ID21" s="558" t="str">
        <f t="shared" si="90"/>
        <v>.</v>
      </c>
      <c r="IE21" s="558" t="str">
        <f t="shared" si="90"/>
        <v>.</v>
      </c>
      <c r="IF21" s="558" t="str">
        <f t="shared" si="90"/>
        <v>.</v>
      </c>
      <c r="IG21" s="558" t="str">
        <f t="shared" si="91"/>
        <v>.</v>
      </c>
      <c r="IH21" s="558" t="str">
        <f t="shared" si="91"/>
        <v>.</v>
      </c>
      <c r="II21" s="558" t="str">
        <f t="shared" si="91"/>
        <v>.</v>
      </c>
      <c r="IJ21" s="558" t="str">
        <f t="shared" si="91"/>
        <v>.</v>
      </c>
      <c r="IK21" s="558" t="str">
        <f t="shared" si="91"/>
        <v>.</v>
      </c>
      <c r="IL21" s="558" t="str">
        <f t="shared" si="91"/>
        <v>.</v>
      </c>
      <c r="IM21" s="558" t="str">
        <f t="shared" si="91"/>
        <v>.</v>
      </c>
      <c r="IN21" s="558" t="str">
        <f t="shared" si="91"/>
        <v>.</v>
      </c>
      <c r="IO21" s="558" t="str">
        <f t="shared" si="91"/>
        <v>.</v>
      </c>
      <c r="IP21" s="558" t="str">
        <f t="shared" si="91"/>
        <v>.</v>
      </c>
      <c r="IQ21" s="558" t="str">
        <f t="shared" si="91"/>
        <v>.</v>
      </c>
      <c r="IR21" s="558" t="str">
        <f t="shared" si="91"/>
        <v>.</v>
      </c>
      <c r="IS21" s="558" t="str">
        <f t="shared" si="91"/>
        <v>.</v>
      </c>
      <c r="IT21" s="558" t="str">
        <f t="shared" si="91"/>
        <v>.</v>
      </c>
      <c r="IU21" s="558" t="str">
        <f t="shared" si="91"/>
        <v>.</v>
      </c>
      <c r="IV21" s="558" t="str">
        <f t="shared" si="91"/>
        <v>.</v>
      </c>
      <c r="IW21" s="558" t="str">
        <f t="shared" si="91"/>
        <v>.</v>
      </c>
      <c r="IX21" s="558" t="str">
        <f t="shared" si="91"/>
        <v>.</v>
      </c>
      <c r="IY21" s="558" t="str">
        <f t="shared" si="91"/>
        <v>.</v>
      </c>
      <c r="IZ21" s="558" t="str">
        <f t="shared" si="91"/>
        <v>.</v>
      </c>
      <c r="JA21" s="558" t="str">
        <f t="shared" si="91"/>
        <v>.</v>
      </c>
      <c r="JB21" s="558" t="str">
        <f t="shared" si="91"/>
        <v>.</v>
      </c>
      <c r="JC21" s="558" t="str">
        <f t="shared" si="91"/>
        <v>.</v>
      </c>
      <c r="JD21" s="558" t="str">
        <f t="shared" si="91"/>
        <v>.</v>
      </c>
      <c r="JE21" s="558" t="str">
        <f t="shared" si="91"/>
        <v>.</v>
      </c>
      <c r="JF21" s="558" t="str">
        <f t="shared" si="92"/>
        <v>.</v>
      </c>
      <c r="JG21" s="558" t="str">
        <f t="shared" si="92"/>
        <v>.</v>
      </c>
      <c r="JH21" s="558" t="str">
        <f t="shared" si="92"/>
        <v>.</v>
      </c>
      <c r="JI21" s="558" t="str">
        <f t="shared" si="92"/>
        <v>.</v>
      </c>
      <c r="JJ21" s="558" t="str">
        <f t="shared" si="92"/>
        <v>.</v>
      </c>
      <c r="JK21" s="558" t="str">
        <f t="shared" si="92"/>
        <v>.</v>
      </c>
      <c r="JL21" s="558" t="str">
        <f t="shared" si="92"/>
        <v>.</v>
      </c>
      <c r="JM21" s="558" t="str">
        <f t="shared" si="92"/>
        <v>.</v>
      </c>
      <c r="JN21" s="558" t="str">
        <f t="shared" si="92"/>
        <v>.</v>
      </c>
      <c r="JO21" s="558" t="str">
        <f t="shared" si="92"/>
        <v>.</v>
      </c>
    </row>
    <row r="22" spans="1:275" x14ac:dyDescent="0.2">
      <c r="A22" s="534">
        <f xml:space="preserve"> Basis!A22</f>
        <v>22</v>
      </c>
      <c r="F22" s="536">
        <f xml:space="preserve"> ROUND(    IF( $A$15=BE_MF_,   AW22,   INDEX( qx!22:22, F$16 ) ),    F$17    )</f>
        <v>2.9999999999999997E-4</v>
      </c>
      <c r="G22" s="536">
        <f xml:space="preserve"> ROUND(    IF( $A$15=BE_MF_,   BB22,   INDEX( wx!22:22, G$16 ) ),    G$17    )</f>
        <v>0.1113</v>
      </c>
      <c r="H22" s="537">
        <f xml:space="preserve"> ROUND(    IF( $A$15=BE_MF_,   BG22,   INDEX( Kx!22:22, H$16 ) ),    H$17    )</f>
        <v>1762.47</v>
      </c>
      <c r="I22" s="538">
        <f t="shared" si="93"/>
        <v>1762.47</v>
      </c>
      <c r="J22" s="539">
        <f t="shared" si="23"/>
        <v>0.84799999999999998</v>
      </c>
      <c r="K22" s="540">
        <f t="shared" si="94"/>
        <v>2</v>
      </c>
      <c r="L22" s="541">
        <f t="shared" si="24"/>
        <v>0</v>
      </c>
      <c r="M22" s="541">
        <f t="shared" si="24"/>
        <v>8.5999999999999993E-2</v>
      </c>
      <c r="O22" s="542" t="b">
        <f t="shared" si="95"/>
        <v>1</v>
      </c>
      <c r="P22" s="493">
        <f t="shared" si="25"/>
        <v>0.1116</v>
      </c>
      <c r="Q22" s="493">
        <f t="shared" si="26"/>
        <v>0.88839999999999997</v>
      </c>
      <c r="R22" s="543">
        <f t="shared" si="27"/>
        <v>3533174</v>
      </c>
      <c r="S22" s="544">
        <f t="shared" si="28"/>
        <v>0.97560975599999999</v>
      </c>
      <c r="T22" s="423">
        <f t="shared" si="29"/>
        <v>2052295.94</v>
      </c>
      <c r="U22" s="423">
        <f xml:space="preserve"> IF( $O22,    ROUND(  SUM( T22:T$120), U$17 ),  LEER  )</f>
        <v>22238183.48</v>
      </c>
      <c r="V22" s="493">
        <f t="shared" si="30"/>
        <v>10.835800000000001</v>
      </c>
      <c r="W22" s="493">
        <f t="shared" si="31"/>
        <v>1740346.96</v>
      </c>
      <c r="X22" s="493">
        <f xml:space="preserve"> IF( $O22,    ROUND(  SUM( W22:W$120), X$17 ),  LEER  )</f>
        <v>27874798.829999998</v>
      </c>
      <c r="Y22" s="493">
        <f t="shared" si="32"/>
        <v>13.5823</v>
      </c>
      <c r="Z22" s="493">
        <f t="shared" si="33"/>
        <v>1.2535000000000001</v>
      </c>
      <c r="AA22" s="493">
        <f t="shared" si="34"/>
        <v>1.0170999999999999</v>
      </c>
      <c r="AB22" s="493">
        <f t="shared" si="35"/>
        <v>2.3494000000000002</v>
      </c>
      <c r="AC22" s="545">
        <f t="shared" si="36"/>
        <v>0.38600000000000001</v>
      </c>
      <c r="AD22" s="493">
        <f t="shared" si="37"/>
        <v>1.2815000000000001</v>
      </c>
      <c r="AE22" s="493">
        <f t="shared" si="38"/>
        <v>1.8244</v>
      </c>
      <c r="AF22" s="493">
        <f t="shared" si="39"/>
        <v>1.8244</v>
      </c>
      <c r="AG22" s="493" t="str">
        <f t="shared" si="40"/>
        <v>.</v>
      </c>
      <c r="AH22" s="493" t="str">
        <f t="shared" si="41"/>
        <v>.</v>
      </c>
      <c r="AI22" s="423">
        <f t="shared" si="42"/>
        <v>2077.79</v>
      </c>
      <c r="AJ22" s="423">
        <f t="shared" si="43"/>
        <v>3790.72</v>
      </c>
      <c r="AK22" s="423">
        <f t="shared" si="44"/>
        <v>315.89</v>
      </c>
      <c r="AN22" s="423" t="str">
        <f t="shared" si="45"/>
        <v>.</v>
      </c>
      <c r="AO22" s="423" t="str">
        <f t="shared" si="45"/>
        <v>.</v>
      </c>
      <c r="AR22" s="546">
        <f xml:space="preserve"> ROUND(  INDEX( Kx!22:22, AR$16 ),  AR$17 )</f>
        <v>0.54530000000000001</v>
      </c>
      <c r="AS22" s="547">
        <f xml:space="preserve"> ROUND(  INDEX( qx!22:22, AS$16 ),  AS$17 )</f>
        <v>4.0000000000000002E-4</v>
      </c>
      <c r="AT22" s="547">
        <f xml:space="preserve"> ROUND(  INDEX( qx!22:22, AT$16 ),  AT$17 )</f>
        <v>2.0000000000000001E-4</v>
      </c>
      <c r="AU22" s="548" t="str">
        <f t="shared" si="46"/>
        <v>F</v>
      </c>
      <c r="AV22" s="542">
        <f t="shared" si="47"/>
        <v>0.44429999999999997</v>
      </c>
      <c r="AW22" s="542">
        <f t="shared" si="48"/>
        <v>2.9999999999999997E-4</v>
      </c>
      <c r="AX22" s="546">
        <f xml:space="preserve"> ROUND(  INDEX( wx!22:22, AX$16 ),  AX$17 )</f>
        <v>0.1038</v>
      </c>
      <c r="AY22" s="546">
        <f xml:space="preserve"> ROUND(  INDEX( wx!22:22, AY$16 ),  AY$17 )</f>
        <v>0.12479999999999999</v>
      </c>
      <c r="AZ22" s="548" t="str">
        <f t="shared" si="49"/>
        <v>M</v>
      </c>
      <c r="BA22" s="542">
        <f t="shared" si="50"/>
        <v>0.64270000000000005</v>
      </c>
      <c r="BB22" s="542">
        <f t="shared" si="51"/>
        <v>0.1113</v>
      </c>
      <c r="BC22" s="533">
        <f xml:space="preserve"> ROUND(  INDEX( Kx!22:22, BC$16 ),  BC$17 )</f>
        <v>1392.61</v>
      </c>
      <c r="BD22" s="533">
        <f xml:space="preserve"> ROUND(  INDEX( Kx!22:22, BD$16 ),  BD$17 )</f>
        <v>2058.1799999999998</v>
      </c>
      <c r="BE22" s="548" t="str">
        <f t="shared" si="52"/>
        <v>F</v>
      </c>
      <c r="BF22" s="542">
        <f t="shared" si="53"/>
        <v>0.44429999999999997</v>
      </c>
      <c r="BG22" s="420">
        <f t="shared" si="54"/>
        <v>1762.47</v>
      </c>
      <c r="BQ22" s="549">
        <f t="shared" si="96"/>
        <v>22</v>
      </c>
      <c r="BR22" s="423" t="str">
        <f t="shared" si="55"/>
        <v>.</v>
      </c>
      <c r="BS22" s="550" t="str">
        <f t="shared" si="56"/>
        <v>.</v>
      </c>
      <c r="BT22" s="423" t="str">
        <f t="shared" si="57"/>
        <v>.</v>
      </c>
      <c r="BU22" s="551" t="str">
        <f t="shared" si="58"/>
        <v>.</v>
      </c>
      <c r="BV22" s="551" t="str">
        <f t="shared" si="59"/>
        <v>.</v>
      </c>
      <c r="BW22" s="529" t="str">
        <f t="shared" si="60"/>
        <v>.</v>
      </c>
      <c r="BX22" s="552" t="str">
        <f t="shared" si="61"/>
        <v>.</v>
      </c>
      <c r="BY22" s="559"/>
      <c r="BZ22" s="559"/>
      <c r="CB22" s="423" t="str">
        <f t="shared" si="62"/>
        <v>.</v>
      </c>
      <c r="CC22" s="423" t="str">
        <f t="shared" si="63"/>
        <v>.</v>
      </c>
      <c r="CD22" s="423" t="str">
        <f t="shared" si="64"/>
        <v>.</v>
      </c>
      <c r="CE22" s="423" t="str">
        <f t="shared" si="65"/>
        <v>.</v>
      </c>
      <c r="CF22" s="553" t="str">
        <f t="shared" si="66"/>
        <v>.</v>
      </c>
      <c r="CH22" s="423" t="str">
        <f t="shared" si="67"/>
        <v>.</v>
      </c>
      <c r="CI22" s="423" t="str">
        <f t="shared" si="68"/>
        <v>.</v>
      </c>
      <c r="CJ22" s="423" t="str">
        <f t="shared" si="69"/>
        <v>.</v>
      </c>
      <c r="CK22" s="423" t="str">
        <f t="shared" si="97"/>
        <v>.</v>
      </c>
      <c r="CL22" s="553" t="str">
        <f t="shared" si="70"/>
        <v>.</v>
      </c>
      <c r="CN22" s="423" t="str">
        <f t="shared" si="71"/>
        <v>.</v>
      </c>
      <c r="CO22" s="423" t="str">
        <f t="shared" si="72"/>
        <v>.</v>
      </c>
      <c r="CP22" s="423" t="str">
        <f t="shared" si="73"/>
        <v>.</v>
      </c>
      <c r="CQ22" s="423" t="str">
        <f t="shared" si="74"/>
        <v>.</v>
      </c>
      <c r="CR22" s="553" t="str">
        <f t="shared" si="75"/>
        <v>.</v>
      </c>
      <c r="CV22" s="564">
        <f t="shared" si="98"/>
        <v>22</v>
      </c>
      <c r="CW22" s="538" t="str">
        <f t="shared" si="76"/>
        <v>.</v>
      </c>
      <c r="CX22" s="566" t="str">
        <f t="shared" si="77"/>
        <v>.</v>
      </c>
      <c r="CY22" s="538" t="str">
        <f t="shared" si="78"/>
        <v>.</v>
      </c>
      <c r="CZ22" s="538" t="str">
        <f t="shared" si="79"/>
        <v>.</v>
      </c>
      <c r="DA22" s="538" t="str">
        <f t="shared" si="80"/>
        <v>.</v>
      </c>
      <c r="DB22" s="567" t="e">
        <f t="shared" si="99"/>
        <v>#N/A</v>
      </c>
      <c r="DC22" s="567" t="e">
        <f t="shared" si="100"/>
        <v>#N/A</v>
      </c>
      <c r="DD22" s="567" t="e">
        <f t="shared" si="101"/>
        <v>#N/A</v>
      </c>
      <c r="DE22" s="567" t="e">
        <f t="shared" si="101"/>
        <v>#N/A</v>
      </c>
      <c r="DF22" s="568" t="e">
        <f t="shared" si="102"/>
        <v>#N/A</v>
      </c>
      <c r="DJ22" s="487"/>
      <c r="DK22" s="487"/>
      <c r="DP22" s="554"/>
      <c r="DR22" s="385"/>
      <c r="DT22" s="385"/>
      <c r="EL22" s="553" t="str">
        <f t="shared" si="81"/>
        <v>.</v>
      </c>
      <c r="EM22" s="553" t="str">
        <f t="shared" si="82"/>
        <v>.</v>
      </c>
      <c r="EN22" s="423" t="str">
        <f t="shared" si="83"/>
        <v>.</v>
      </c>
      <c r="EO22" s="555" t="str">
        <f xml:space="preserve"> 'i2'!AO22</f>
        <v>.</v>
      </c>
      <c r="EV22" s="533" t="e">
        <f xml:space="preserve"> ROUND(    IF( $A$15=BE_MF_,   LEER,   INDEX( Kx!22:22, EV$16 ) ),    EV$17    )</f>
        <v>#VALUE!</v>
      </c>
      <c r="EW22" s="533" t="e">
        <f xml:space="preserve"> ROUND(    IF( $A$15=BE_MF_,   LEER,   INDEX( Kx!22:22, EW$16 ) ),    EW$17    )</f>
        <v>#VALUE!</v>
      </c>
      <c r="EX22" s="533" t="e">
        <f xml:space="preserve"> ROUND(    IF( $A$15=BE_MF_,   LEER,   INDEX( Kx!22:22, EX$16 ) ),    EX$17    )</f>
        <v>#VALUE!</v>
      </c>
      <c r="EY22" s="556" t="e">
        <f t="shared" si="103"/>
        <v>#VALUE!</v>
      </c>
      <c r="FB22" s="533" t="e">
        <f xml:space="preserve"> ROUND(    IF( $A$15=BE_MF_,   LEER,   INDEX( Kx!22:22, FB$16 ) ),    FB$17    )</f>
        <v>#VALUE!</v>
      </c>
      <c r="FC22" s="533" t="e">
        <f xml:space="preserve"> ROUND(    IF( $A$15=BE_MF_,   LEER,   INDEX( Kx!22:22, FC$16 ) ),    FC$17    )</f>
        <v>#VALUE!</v>
      </c>
      <c r="FD22" s="556" t="e">
        <f t="shared" si="104"/>
        <v>#VALUE!</v>
      </c>
      <c r="FG22" s="556" t="e">
        <f t="shared" si="105"/>
        <v>#VALUE!</v>
      </c>
      <c r="FH22" s="556" t="e">
        <f t="shared" si="105"/>
        <v>#VALUE!</v>
      </c>
      <c r="FI22" s="556" t="e">
        <f t="shared" si="105"/>
        <v>#VALUE!</v>
      </c>
      <c r="FN22" s="557">
        <f t="shared" si="84"/>
        <v>22</v>
      </c>
      <c r="FO22" s="493">
        <f t="shared" si="85"/>
        <v>13.5823</v>
      </c>
      <c r="FP22" s="493">
        <f t="shared" si="86"/>
        <v>10.835800000000001</v>
      </c>
      <c r="FR22" s="427">
        <f t="shared" si="106"/>
        <v>846.44999999999982</v>
      </c>
      <c r="FS22" s="558">
        <f t="shared" si="87"/>
        <v>1194.74</v>
      </c>
      <c r="FT22" s="558">
        <f t="shared" si="87"/>
        <v>282.89999999999998</v>
      </c>
      <c r="FU22" s="558">
        <f t="shared" si="87"/>
        <v>-631.19000000000005</v>
      </c>
      <c r="FV22" s="558" t="str">
        <f t="shared" si="87"/>
        <v>.</v>
      </c>
      <c r="FW22" s="558" t="str">
        <f t="shared" si="87"/>
        <v>.</v>
      </c>
      <c r="FX22" s="558" t="str">
        <f t="shared" si="87"/>
        <v>.</v>
      </c>
      <c r="FY22" s="558" t="str">
        <f t="shared" si="87"/>
        <v>.</v>
      </c>
      <c r="FZ22" s="558" t="str">
        <f t="shared" si="87"/>
        <v>.</v>
      </c>
      <c r="GA22" s="558" t="str">
        <f t="shared" si="87"/>
        <v>.</v>
      </c>
      <c r="GB22" s="558" t="str">
        <f t="shared" si="87"/>
        <v>.</v>
      </c>
      <c r="GC22" s="558" t="str">
        <f t="shared" si="87"/>
        <v>.</v>
      </c>
      <c r="GD22" s="558" t="str">
        <f t="shared" si="87"/>
        <v>.</v>
      </c>
      <c r="GE22" s="558" t="str">
        <f t="shared" si="87"/>
        <v>.</v>
      </c>
      <c r="GF22" s="558" t="str">
        <f t="shared" si="87"/>
        <v>.</v>
      </c>
      <c r="GG22" s="558" t="str">
        <f t="shared" si="87"/>
        <v>.</v>
      </c>
      <c r="GH22" s="558" t="str">
        <f t="shared" si="87"/>
        <v>.</v>
      </c>
      <c r="GI22" s="558" t="str">
        <f t="shared" si="88"/>
        <v>.</v>
      </c>
      <c r="GJ22" s="558" t="str">
        <f t="shared" si="88"/>
        <v>.</v>
      </c>
      <c r="GK22" s="558" t="str">
        <f t="shared" si="88"/>
        <v>.</v>
      </c>
      <c r="GL22" s="558" t="str">
        <f t="shared" si="88"/>
        <v>.</v>
      </c>
      <c r="GM22" s="558" t="str">
        <f t="shared" si="88"/>
        <v>.</v>
      </c>
      <c r="GN22" s="558" t="str">
        <f t="shared" si="88"/>
        <v>.</v>
      </c>
      <c r="GO22" s="558" t="str">
        <f t="shared" si="88"/>
        <v>.</v>
      </c>
      <c r="GP22" s="558" t="str">
        <f t="shared" si="88"/>
        <v>.</v>
      </c>
      <c r="GQ22" s="558" t="str">
        <f t="shared" si="88"/>
        <v>.</v>
      </c>
      <c r="GR22" s="558" t="str">
        <f t="shared" si="88"/>
        <v>.</v>
      </c>
      <c r="GS22" s="558" t="str">
        <f t="shared" si="88"/>
        <v>.</v>
      </c>
      <c r="GT22" s="558" t="str">
        <f t="shared" si="88"/>
        <v>.</v>
      </c>
      <c r="GU22" s="558" t="str">
        <f t="shared" si="88"/>
        <v>.</v>
      </c>
      <c r="GV22" s="558" t="str">
        <f t="shared" si="88"/>
        <v>.</v>
      </c>
      <c r="GW22" s="558" t="str">
        <f t="shared" si="88"/>
        <v>.</v>
      </c>
      <c r="GX22" s="558" t="str">
        <f t="shared" si="88"/>
        <v>.</v>
      </c>
      <c r="GY22" s="558" t="str">
        <f t="shared" si="89"/>
        <v>.</v>
      </c>
      <c r="GZ22" s="558" t="str">
        <f t="shared" si="89"/>
        <v>.</v>
      </c>
      <c r="HA22" s="558" t="str">
        <f t="shared" si="89"/>
        <v>.</v>
      </c>
      <c r="HB22" s="558" t="str">
        <f t="shared" si="89"/>
        <v>.</v>
      </c>
      <c r="HC22" s="558" t="str">
        <f t="shared" si="89"/>
        <v>.</v>
      </c>
      <c r="HD22" s="558" t="str">
        <f t="shared" si="89"/>
        <v>.</v>
      </c>
      <c r="HE22" s="558" t="str">
        <f t="shared" si="89"/>
        <v>.</v>
      </c>
      <c r="HF22" s="558" t="str">
        <f t="shared" si="89"/>
        <v>.</v>
      </c>
      <c r="HG22" s="558" t="str">
        <f t="shared" si="89"/>
        <v>.</v>
      </c>
      <c r="HH22" s="558" t="str">
        <f t="shared" si="89"/>
        <v>.</v>
      </c>
      <c r="HI22" s="558" t="str">
        <f t="shared" si="89"/>
        <v>.</v>
      </c>
      <c r="HJ22" s="558" t="str">
        <f t="shared" si="89"/>
        <v>.</v>
      </c>
      <c r="HK22" s="558" t="str">
        <f t="shared" si="89"/>
        <v>.</v>
      </c>
      <c r="HL22" s="558" t="str">
        <f t="shared" si="89"/>
        <v>.</v>
      </c>
      <c r="HM22" s="558" t="str">
        <f t="shared" si="89"/>
        <v>.</v>
      </c>
      <c r="HN22" s="558" t="str">
        <f t="shared" si="89"/>
        <v>.</v>
      </c>
      <c r="HO22" s="558" t="str">
        <f t="shared" si="90"/>
        <v>.</v>
      </c>
      <c r="HP22" s="558" t="str">
        <f t="shared" si="90"/>
        <v>.</v>
      </c>
      <c r="HQ22" s="558" t="str">
        <f t="shared" si="90"/>
        <v>.</v>
      </c>
      <c r="HR22" s="558" t="str">
        <f t="shared" si="90"/>
        <v>.</v>
      </c>
      <c r="HS22" s="558" t="str">
        <f t="shared" si="90"/>
        <v>.</v>
      </c>
      <c r="HT22" s="558" t="str">
        <f t="shared" si="90"/>
        <v>.</v>
      </c>
      <c r="HU22" s="558" t="str">
        <f t="shared" si="90"/>
        <v>.</v>
      </c>
      <c r="HV22" s="558" t="str">
        <f t="shared" si="90"/>
        <v>.</v>
      </c>
      <c r="HW22" s="558" t="str">
        <f t="shared" si="90"/>
        <v>.</v>
      </c>
      <c r="HX22" s="558" t="str">
        <f t="shared" si="90"/>
        <v>.</v>
      </c>
      <c r="HY22" s="558" t="str">
        <f t="shared" si="90"/>
        <v>.</v>
      </c>
      <c r="HZ22" s="558" t="str">
        <f t="shared" si="90"/>
        <v>.</v>
      </c>
      <c r="IA22" s="558" t="str">
        <f t="shared" si="90"/>
        <v>.</v>
      </c>
      <c r="IB22" s="558" t="str">
        <f t="shared" si="90"/>
        <v>.</v>
      </c>
      <c r="IC22" s="558" t="str">
        <f t="shared" si="90"/>
        <v>.</v>
      </c>
      <c r="ID22" s="558" t="str">
        <f t="shared" si="90"/>
        <v>.</v>
      </c>
      <c r="IE22" s="558" t="str">
        <f t="shared" si="90"/>
        <v>.</v>
      </c>
      <c r="IF22" s="558" t="str">
        <f t="shared" si="90"/>
        <v>.</v>
      </c>
      <c r="IG22" s="558" t="str">
        <f t="shared" si="91"/>
        <v>.</v>
      </c>
      <c r="IH22" s="558" t="str">
        <f t="shared" si="91"/>
        <v>.</v>
      </c>
      <c r="II22" s="558" t="str">
        <f t="shared" si="91"/>
        <v>.</v>
      </c>
      <c r="IJ22" s="558" t="str">
        <f t="shared" si="91"/>
        <v>.</v>
      </c>
      <c r="IK22" s="558" t="str">
        <f t="shared" si="91"/>
        <v>.</v>
      </c>
      <c r="IL22" s="558" t="str">
        <f t="shared" si="91"/>
        <v>.</v>
      </c>
      <c r="IM22" s="558" t="str">
        <f t="shared" si="91"/>
        <v>.</v>
      </c>
      <c r="IN22" s="558" t="str">
        <f t="shared" si="91"/>
        <v>.</v>
      </c>
      <c r="IO22" s="558" t="str">
        <f t="shared" si="91"/>
        <v>.</v>
      </c>
      <c r="IP22" s="558" t="str">
        <f t="shared" si="91"/>
        <v>.</v>
      </c>
      <c r="IQ22" s="558" t="str">
        <f t="shared" si="91"/>
        <v>.</v>
      </c>
      <c r="IR22" s="558" t="str">
        <f t="shared" si="91"/>
        <v>.</v>
      </c>
      <c r="IS22" s="558" t="str">
        <f t="shared" si="91"/>
        <v>.</v>
      </c>
      <c r="IT22" s="558" t="str">
        <f t="shared" si="91"/>
        <v>.</v>
      </c>
      <c r="IU22" s="558" t="str">
        <f t="shared" si="91"/>
        <v>.</v>
      </c>
      <c r="IV22" s="558" t="str">
        <f t="shared" si="91"/>
        <v>.</v>
      </c>
      <c r="IW22" s="558" t="str">
        <f t="shared" si="91"/>
        <v>.</v>
      </c>
      <c r="IX22" s="558" t="str">
        <f t="shared" si="91"/>
        <v>.</v>
      </c>
      <c r="IY22" s="558" t="str">
        <f t="shared" si="91"/>
        <v>.</v>
      </c>
      <c r="IZ22" s="558" t="str">
        <f t="shared" si="91"/>
        <v>.</v>
      </c>
      <c r="JA22" s="558" t="str">
        <f t="shared" si="91"/>
        <v>.</v>
      </c>
      <c r="JB22" s="558" t="str">
        <f t="shared" si="91"/>
        <v>.</v>
      </c>
      <c r="JC22" s="558" t="str">
        <f t="shared" si="91"/>
        <v>.</v>
      </c>
      <c r="JD22" s="558" t="str">
        <f t="shared" si="91"/>
        <v>.</v>
      </c>
      <c r="JE22" s="558" t="str">
        <f t="shared" si="91"/>
        <v>.</v>
      </c>
      <c r="JF22" s="558" t="str">
        <f t="shared" si="92"/>
        <v>.</v>
      </c>
      <c r="JG22" s="558" t="str">
        <f t="shared" si="92"/>
        <v>.</v>
      </c>
      <c r="JH22" s="558" t="str">
        <f t="shared" si="92"/>
        <v>.</v>
      </c>
      <c r="JI22" s="558" t="str">
        <f t="shared" si="92"/>
        <v>.</v>
      </c>
      <c r="JJ22" s="558" t="str">
        <f t="shared" si="92"/>
        <v>.</v>
      </c>
      <c r="JK22" s="558" t="str">
        <f t="shared" si="92"/>
        <v>.</v>
      </c>
      <c r="JL22" s="558" t="str">
        <f t="shared" si="92"/>
        <v>.</v>
      </c>
      <c r="JM22" s="558" t="str">
        <f t="shared" si="92"/>
        <v>.</v>
      </c>
      <c r="JN22" s="558" t="str">
        <f t="shared" si="92"/>
        <v>.</v>
      </c>
      <c r="JO22" s="558" t="str">
        <f t="shared" si="92"/>
        <v>.</v>
      </c>
    </row>
    <row r="23" spans="1:275" x14ac:dyDescent="0.2">
      <c r="A23" s="534">
        <f xml:space="preserve"> Basis!A23</f>
        <v>23</v>
      </c>
      <c r="F23" s="536">
        <f xml:space="preserve"> ROUND(    IF( $A$15=BE_MF_,   AW23,   INDEX( qx!23:23, F$16 ) ),    F$17    )</f>
        <v>2.9999999999999997E-4</v>
      </c>
      <c r="G23" s="536">
        <f xml:space="preserve"> ROUND(    IF( $A$15=BE_MF_,   BB23,   INDEX( wx!23:23, G$16 ) ),    G$17    )</f>
        <v>9.2999999999999999E-2</v>
      </c>
      <c r="H23" s="537">
        <f xml:space="preserve"> ROUND(    IF( $A$15=BE_MF_,   BG23,   INDEX( Kx!23:23, H$16 ) ),    H$17    )</f>
        <v>1783.36</v>
      </c>
      <c r="I23" s="538">
        <f t="shared" si="93"/>
        <v>1783.36</v>
      </c>
      <c r="J23" s="539">
        <f t="shared" si="23"/>
        <v>0.85799999999999998</v>
      </c>
      <c r="K23" s="540">
        <f t="shared" si="94"/>
        <v>2</v>
      </c>
      <c r="L23" s="541">
        <f t="shared" si="24"/>
        <v>0</v>
      </c>
      <c r="M23" s="541">
        <f t="shared" si="24"/>
        <v>8.5999999999999993E-2</v>
      </c>
      <c r="O23" s="542" t="b">
        <f t="shared" si="95"/>
        <v>1</v>
      </c>
      <c r="P23" s="493">
        <f t="shared" si="25"/>
        <v>9.3299999999999994E-2</v>
      </c>
      <c r="Q23" s="493">
        <f t="shared" si="26"/>
        <v>0.90669999999999995</v>
      </c>
      <c r="R23" s="543">
        <f t="shared" si="27"/>
        <v>3138871</v>
      </c>
      <c r="S23" s="544">
        <f t="shared" si="28"/>
        <v>0.97560975599999999</v>
      </c>
      <c r="T23" s="423">
        <f t="shared" si="29"/>
        <v>1778789.52</v>
      </c>
      <c r="U23" s="423">
        <f xml:space="preserve"> IF( $O23,    ROUND(  SUM( T23:T$120), U$17 ),  LEER  )</f>
        <v>20185887.539999999</v>
      </c>
      <c r="V23" s="493">
        <f t="shared" si="30"/>
        <v>11.348100000000001</v>
      </c>
      <c r="W23" s="493">
        <f t="shared" si="31"/>
        <v>1526201.41</v>
      </c>
      <c r="X23" s="493">
        <f xml:space="preserve"> IF( $O23,    ROUND(  SUM( W23:W$120), X$17 ),  LEER  )</f>
        <v>26134451.870000001</v>
      </c>
      <c r="Y23" s="493">
        <f t="shared" si="32"/>
        <v>14.692299999999999</v>
      </c>
      <c r="Z23" s="493">
        <f t="shared" si="33"/>
        <v>1.2947</v>
      </c>
      <c r="AA23" s="493">
        <f t="shared" si="34"/>
        <v>1.0163</v>
      </c>
      <c r="AB23" s="493">
        <f t="shared" si="35"/>
        <v>2.3494000000000002</v>
      </c>
      <c r="AC23" s="545">
        <f t="shared" si="36"/>
        <v>0.38600000000000001</v>
      </c>
      <c r="AD23" s="493">
        <f t="shared" si="37"/>
        <v>1.3221000000000001</v>
      </c>
      <c r="AE23" s="493">
        <f t="shared" si="38"/>
        <v>1.8688</v>
      </c>
      <c r="AF23" s="493">
        <f t="shared" si="39"/>
        <v>1.8688</v>
      </c>
      <c r="AG23" s="493" t="str">
        <f t="shared" si="40"/>
        <v>.</v>
      </c>
      <c r="AH23" s="493" t="str">
        <f t="shared" si="41"/>
        <v>.</v>
      </c>
      <c r="AI23" s="423">
        <f t="shared" si="42"/>
        <v>2077.79</v>
      </c>
      <c r="AJ23" s="423">
        <f t="shared" si="43"/>
        <v>3882.97</v>
      </c>
      <c r="AK23" s="423">
        <f t="shared" si="44"/>
        <v>323.58</v>
      </c>
      <c r="AN23" s="423" t="str">
        <f t="shared" si="45"/>
        <v>.</v>
      </c>
      <c r="AO23" s="423" t="str">
        <f t="shared" si="45"/>
        <v>.</v>
      </c>
      <c r="AR23" s="546">
        <f xml:space="preserve"> ROUND(  INDEX( Kx!23:23, AR$16 ),  AR$17 )</f>
        <v>0.57999999999999996</v>
      </c>
      <c r="AS23" s="547">
        <f xml:space="preserve"> ROUND(  INDEX( qx!23:23, AS$16 ),  AS$17 )</f>
        <v>4.0000000000000002E-4</v>
      </c>
      <c r="AT23" s="547">
        <f xml:space="preserve"> ROUND(  INDEX( qx!23:23, AT$16 ),  AT$17 )</f>
        <v>2.0000000000000001E-4</v>
      </c>
      <c r="AU23" s="548" t="str">
        <f t="shared" si="46"/>
        <v>F</v>
      </c>
      <c r="AV23" s="542">
        <f t="shared" si="47"/>
        <v>0.4793</v>
      </c>
      <c r="AW23" s="542">
        <f t="shared" si="48"/>
        <v>2.9999999999999997E-4</v>
      </c>
      <c r="AX23" s="546">
        <f xml:space="preserve"> ROUND(  INDEX( wx!23:23, AX$16 ),  AX$17 )</f>
        <v>8.5500000000000007E-2</v>
      </c>
      <c r="AY23" s="546">
        <f xml:space="preserve"> ROUND(  INDEX( wx!23:23, AY$16 ),  AY$17 )</f>
        <v>0.1085</v>
      </c>
      <c r="AZ23" s="548" t="str">
        <f t="shared" si="49"/>
        <v>M</v>
      </c>
      <c r="BA23" s="542">
        <f t="shared" si="50"/>
        <v>0.6744</v>
      </c>
      <c r="BB23" s="542">
        <f t="shared" si="51"/>
        <v>9.2999999999999999E-2</v>
      </c>
      <c r="BC23" s="533">
        <f xml:space="preserve"> ROUND(  INDEX( Kx!23:23, BC$16 ),  BC$17 )</f>
        <v>1392.74</v>
      </c>
      <c r="BD23" s="533">
        <f xml:space="preserve"> ROUND(  INDEX( Kx!23:23, BD$16 ),  BD$17 )</f>
        <v>2142.9299999999998</v>
      </c>
      <c r="BE23" s="548" t="str">
        <f t="shared" si="52"/>
        <v>F</v>
      </c>
      <c r="BF23" s="542">
        <f t="shared" si="53"/>
        <v>0.4793</v>
      </c>
      <c r="BG23" s="420">
        <f t="shared" si="54"/>
        <v>1783.36</v>
      </c>
      <c r="BQ23" s="549">
        <f t="shared" si="96"/>
        <v>23</v>
      </c>
      <c r="BR23" s="423" t="str">
        <f t="shared" si="55"/>
        <v>.</v>
      </c>
      <c r="BS23" s="550" t="str">
        <f t="shared" si="56"/>
        <v>.</v>
      </c>
      <c r="BT23" s="423" t="str">
        <f t="shared" si="57"/>
        <v>.</v>
      </c>
      <c r="BU23" s="551" t="str">
        <f t="shared" si="58"/>
        <v>.</v>
      </c>
      <c r="BV23" s="551" t="str">
        <f t="shared" si="59"/>
        <v>.</v>
      </c>
      <c r="BW23" s="529" t="str">
        <f t="shared" si="60"/>
        <v>.</v>
      </c>
      <c r="BX23" s="552" t="str">
        <f t="shared" si="61"/>
        <v>.</v>
      </c>
      <c r="BY23" s="559"/>
      <c r="BZ23" s="559"/>
      <c r="CB23" s="423" t="str">
        <f t="shared" si="62"/>
        <v>.</v>
      </c>
      <c r="CC23" s="423" t="str">
        <f t="shared" si="63"/>
        <v>.</v>
      </c>
      <c r="CD23" s="423" t="str">
        <f t="shared" si="64"/>
        <v>.</v>
      </c>
      <c r="CE23" s="423" t="str">
        <f t="shared" si="65"/>
        <v>.</v>
      </c>
      <c r="CF23" s="553" t="str">
        <f t="shared" si="66"/>
        <v>.</v>
      </c>
      <c r="CH23" s="423" t="str">
        <f t="shared" si="67"/>
        <v>.</v>
      </c>
      <c r="CI23" s="423" t="str">
        <f t="shared" si="68"/>
        <v>.</v>
      </c>
      <c r="CJ23" s="423" t="str">
        <f t="shared" si="69"/>
        <v>.</v>
      </c>
      <c r="CK23" s="423" t="str">
        <f t="shared" si="97"/>
        <v>.</v>
      </c>
      <c r="CL23" s="553" t="str">
        <f t="shared" si="70"/>
        <v>.</v>
      </c>
      <c r="CN23" s="423" t="str">
        <f t="shared" si="71"/>
        <v>.</v>
      </c>
      <c r="CO23" s="423" t="str">
        <f t="shared" si="72"/>
        <v>.</v>
      </c>
      <c r="CP23" s="423" t="str">
        <f t="shared" si="73"/>
        <v>.</v>
      </c>
      <c r="CQ23" s="423" t="str">
        <f t="shared" si="74"/>
        <v>.</v>
      </c>
      <c r="CR23" s="553" t="str">
        <f t="shared" si="75"/>
        <v>.</v>
      </c>
      <c r="CV23" s="564">
        <f t="shared" si="98"/>
        <v>23</v>
      </c>
      <c r="CW23" s="538" t="str">
        <f t="shared" si="76"/>
        <v>.</v>
      </c>
      <c r="CX23" s="566" t="str">
        <f t="shared" si="77"/>
        <v>.</v>
      </c>
      <c r="CY23" s="538" t="str">
        <f t="shared" si="78"/>
        <v>.</v>
      </c>
      <c r="CZ23" s="538" t="str">
        <f t="shared" si="79"/>
        <v>.</v>
      </c>
      <c r="DA23" s="538" t="str">
        <f t="shared" si="80"/>
        <v>.</v>
      </c>
      <c r="DB23" s="567" t="e">
        <f t="shared" si="99"/>
        <v>#N/A</v>
      </c>
      <c r="DC23" s="567" t="e">
        <f t="shared" si="100"/>
        <v>#N/A</v>
      </c>
      <c r="DD23" s="567" t="e">
        <f t="shared" si="101"/>
        <v>#N/A</v>
      </c>
      <c r="DE23" s="567" t="e">
        <f t="shared" si="101"/>
        <v>#N/A</v>
      </c>
      <c r="DF23" s="568" t="e">
        <f t="shared" si="102"/>
        <v>#N/A</v>
      </c>
      <c r="DJ23" s="572">
        <f xml:space="preserve"> CZ3</f>
        <v>65</v>
      </c>
      <c r="DK23" s="573">
        <v>0</v>
      </c>
      <c r="DP23" s="554"/>
      <c r="DR23" s="385"/>
      <c r="DS23" s="385"/>
      <c r="DT23" s="385"/>
      <c r="EL23" s="553" t="str">
        <f t="shared" si="81"/>
        <v>.</v>
      </c>
      <c r="EM23" s="553" t="str">
        <f t="shared" si="82"/>
        <v>.</v>
      </c>
      <c r="EN23" s="423" t="str">
        <f t="shared" si="83"/>
        <v>.</v>
      </c>
      <c r="EO23" s="555" t="str">
        <f xml:space="preserve"> 'i2'!AO23</f>
        <v>.</v>
      </c>
      <c r="EV23" s="533" t="e">
        <f xml:space="preserve"> ROUND(    IF( $A$15=BE_MF_,   LEER,   INDEX( Kx!23:23, EV$16 ) ),    EV$17    )</f>
        <v>#VALUE!</v>
      </c>
      <c r="EW23" s="533" t="e">
        <f xml:space="preserve"> ROUND(    IF( $A$15=BE_MF_,   LEER,   INDEX( Kx!23:23, EW$16 ) ),    EW$17    )</f>
        <v>#VALUE!</v>
      </c>
      <c r="EX23" s="533" t="e">
        <f xml:space="preserve"> ROUND(    IF( $A$15=BE_MF_,   LEER,   INDEX( Kx!23:23, EX$16 ) ),    EX$17    )</f>
        <v>#VALUE!</v>
      </c>
      <c r="EY23" s="556" t="e">
        <f t="shared" si="103"/>
        <v>#VALUE!</v>
      </c>
      <c r="FB23" s="533" t="e">
        <f xml:space="preserve"> ROUND(    IF( $A$15=BE_MF_,   LEER,   INDEX( Kx!23:23, FB$16 ) ),    FB$17    )</f>
        <v>#VALUE!</v>
      </c>
      <c r="FC23" s="533" t="e">
        <f xml:space="preserve"> ROUND(    IF( $A$15=BE_MF_,   LEER,   INDEX( Kx!23:23, FC$16 ) ),    FC$17    )</f>
        <v>#VALUE!</v>
      </c>
      <c r="FD23" s="556" t="e">
        <f t="shared" si="104"/>
        <v>#VALUE!</v>
      </c>
      <c r="FG23" s="556" t="e">
        <f t="shared" si="105"/>
        <v>#VALUE!</v>
      </c>
      <c r="FH23" s="556" t="e">
        <f t="shared" si="105"/>
        <v>#VALUE!</v>
      </c>
      <c r="FI23" s="556" t="e">
        <f t="shared" si="105"/>
        <v>#VALUE!</v>
      </c>
      <c r="FN23" s="557">
        <f t="shared" si="84"/>
        <v>23</v>
      </c>
      <c r="FO23" s="493">
        <f t="shared" si="85"/>
        <v>14.692299999999999</v>
      </c>
      <c r="FP23" s="493">
        <f t="shared" si="86"/>
        <v>11.348100000000001</v>
      </c>
      <c r="FR23" s="427">
        <f t="shared" si="106"/>
        <v>3156.5200000000004</v>
      </c>
      <c r="FS23" s="558">
        <f t="shared" si="87"/>
        <v>2223.3200000000002</v>
      </c>
      <c r="FT23" s="558">
        <f t="shared" si="87"/>
        <v>1268.3699999999999</v>
      </c>
      <c r="FU23" s="558">
        <f t="shared" si="87"/>
        <v>311.07</v>
      </c>
      <c r="FV23" s="558">
        <f t="shared" si="87"/>
        <v>-646.24</v>
      </c>
      <c r="FW23" s="558" t="str">
        <f t="shared" si="87"/>
        <v>.</v>
      </c>
      <c r="FX23" s="558" t="str">
        <f t="shared" si="87"/>
        <v>.</v>
      </c>
      <c r="FY23" s="558" t="str">
        <f t="shared" si="87"/>
        <v>.</v>
      </c>
      <c r="FZ23" s="558" t="str">
        <f t="shared" si="87"/>
        <v>.</v>
      </c>
      <c r="GA23" s="558" t="str">
        <f t="shared" si="87"/>
        <v>.</v>
      </c>
      <c r="GB23" s="558" t="str">
        <f t="shared" si="87"/>
        <v>.</v>
      </c>
      <c r="GC23" s="558" t="str">
        <f t="shared" si="87"/>
        <v>.</v>
      </c>
      <c r="GD23" s="558" t="str">
        <f t="shared" si="87"/>
        <v>.</v>
      </c>
      <c r="GE23" s="558" t="str">
        <f t="shared" si="87"/>
        <v>.</v>
      </c>
      <c r="GF23" s="558" t="str">
        <f t="shared" si="87"/>
        <v>.</v>
      </c>
      <c r="GG23" s="558" t="str">
        <f t="shared" si="87"/>
        <v>.</v>
      </c>
      <c r="GH23" s="558" t="str">
        <f t="shared" si="87"/>
        <v>.</v>
      </c>
      <c r="GI23" s="558" t="str">
        <f t="shared" si="88"/>
        <v>.</v>
      </c>
      <c r="GJ23" s="558" t="str">
        <f t="shared" si="88"/>
        <v>.</v>
      </c>
      <c r="GK23" s="558" t="str">
        <f t="shared" si="88"/>
        <v>.</v>
      </c>
      <c r="GL23" s="558" t="str">
        <f t="shared" si="88"/>
        <v>.</v>
      </c>
      <c r="GM23" s="558" t="str">
        <f t="shared" si="88"/>
        <v>.</v>
      </c>
      <c r="GN23" s="558" t="str">
        <f t="shared" si="88"/>
        <v>.</v>
      </c>
      <c r="GO23" s="558" t="str">
        <f t="shared" si="88"/>
        <v>.</v>
      </c>
      <c r="GP23" s="558" t="str">
        <f t="shared" si="88"/>
        <v>.</v>
      </c>
      <c r="GQ23" s="558" t="str">
        <f t="shared" si="88"/>
        <v>.</v>
      </c>
      <c r="GR23" s="558" t="str">
        <f t="shared" si="88"/>
        <v>.</v>
      </c>
      <c r="GS23" s="558" t="str">
        <f t="shared" si="88"/>
        <v>.</v>
      </c>
      <c r="GT23" s="558" t="str">
        <f t="shared" si="88"/>
        <v>.</v>
      </c>
      <c r="GU23" s="558" t="str">
        <f t="shared" si="88"/>
        <v>.</v>
      </c>
      <c r="GV23" s="558" t="str">
        <f t="shared" si="88"/>
        <v>.</v>
      </c>
      <c r="GW23" s="558" t="str">
        <f t="shared" si="88"/>
        <v>.</v>
      </c>
      <c r="GX23" s="558" t="str">
        <f t="shared" si="88"/>
        <v>.</v>
      </c>
      <c r="GY23" s="558" t="str">
        <f t="shared" si="89"/>
        <v>.</v>
      </c>
      <c r="GZ23" s="558" t="str">
        <f t="shared" si="89"/>
        <v>.</v>
      </c>
      <c r="HA23" s="558" t="str">
        <f t="shared" si="89"/>
        <v>.</v>
      </c>
      <c r="HB23" s="558" t="str">
        <f t="shared" si="89"/>
        <v>.</v>
      </c>
      <c r="HC23" s="558" t="str">
        <f t="shared" si="89"/>
        <v>.</v>
      </c>
      <c r="HD23" s="558" t="str">
        <f t="shared" si="89"/>
        <v>.</v>
      </c>
      <c r="HE23" s="558" t="str">
        <f t="shared" si="89"/>
        <v>.</v>
      </c>
      <c r="HF23" s="558" t="str">
        <f t="shared" si="89"/>
        <v>.</v>
      </c>
      <c r="HG23" s="558" t="str">
        <f t="shared" si="89"/>
        <v>.</v>
      </c>
      <c r="HH23" s="558" t="str">
        <f t="shared" si="89"/>
        <v>.</v>
      </c>
      <c r="HI23" s="558" t="str">
        <f t="shared" si="89"/>
        <v>.</v>
      </c>
      <c r="HJ23" s="558" t="str">
        <f t="shared" si="89"/>
        <v>.</v>
      </c>
      <c r="HK23" s="558" t="str">
        <f t="shared" si="89"/>
        <v>.</v>
      </c>
      <c r="HL23" s="558" t="str">
        <f t="shared" si="89"/>
        <v>.</v>
      </c>
      <c r="HM23" s="558" t="str">
        <f t="shared" si="89"/>
        <v>.</v>
      </c>
      <c r="HN23" s="558" t="str">
        <f t="shared" si="89"/>
        <v>.</v>
      </c>
      <c r="HO23" s="558" t="str">
        <f t="shared" si="90"/>
        <v>.</v>
      </c>
      <c r="HP23" s="558" t="str">
        <f t="shared" si="90"/>
        <v>.</v>
      </c>
      <c r="HQ23" s="558" t="str">
        <f t="shared" si="90"/>
        <v>.</v>
      </c>
      <c r="HR23" s="558" t="str">
        <f t="shared" si="90"/>
        <v>.</v>
      </c>
      <c r="HS23" s="558" t="str">
        <f t="shared" si="90"/>
        <v>.</v>
      </c>
      <c r="HT23" s="558" t="str">
        <f t="shared" si="90"/>
        <v>.</v>
      </c>
      <c r="HU23" s="558" t="str">
        <f t="shared" si="90"/>
        <v>.</v>
      </c>
      <c r="HV23" s="558" t="str">
        <f t="shared" si="90"/>
        <v>.</v>
      </c>
      <c r="HW23" s="558" t="str">
        <f t="shared" si="90"/>
        <v>.</v>
      </c>
      <c r="HX23" s="558" t="str">
        <f t="shared" si="90"/>
        <v>.</v>
      </c>
      <c r="HY23" s="558" t="str">
        <f t="shared" si="90"/>
        <v>.</v>
      </c>
      <c r="HZ23" s="558" t="str">
        <f t="shared" si="90"/>
        <v>.</v>
      </c>
      <c r="IA23" s="558" t="str">
        <f t="shared" si="90"/>
        <v>.</v>
      </c>
      <c r="IB23" s="558" t="str">
        <f t="shared" si="90"/>
        <v>.</v>
      </c>
      <c r="IC23" s="558" t="str">
        <f t="shared" si="90"/>
        <v>.</v>
      </c>
      <c r="ID23" s="558" t="str">
        <f t="shared" si="90"/>
        <v>.</v>
      </c>
      <c r="IE23" s="558" t="str">
        <f t="shared" si="90"/>
        <v>.</v>
      </c>
      <c r="IF23" s="558" t="str">
        <f t="shared" si="90"/>
        <v>.</v>
      </c>
      <c r="IG23" s="558" t="str">
        <f t="shared" si="91"/>
        <v>.</v>
      </c>
      <c r="IH23" s="558" t="str">
        <f t="shared" si="91"/>
        <v>.</v>
      </c>
      <c r="II23" s="558" t="str">
        <f t="shared" si="91"/>
        <v>.</v>
      </c>
      <c r="IJ23" s="558" t="str">
        <f t="shared" si="91"/>
        <v>.</v>
      </c>
      <c r="IK23" s="558" t="str">
        <f t="shared" si="91"/>
        <v>.</v>
      </c>
      <c r="IL23" s="558" t="str">
        <f t="shared" si="91"/>
        <v>.</v>
      </c>
      <c r="IM23" s="558" t="str">
        <f t="shared" si="91"/>
        <v>.</v>
      </c>
      <c r="IN23" s="558" t="str">
        <f t="shared" si="91"/>
        <v>.</v>
      </c>
      <c r="IO23" s="558" t="str">
        <f t="shared" si="91"/>
        <v>.</v>
      </c>
      <c r="IP23" s="558" t="str">
        <f t="shared" si="91"/>
        <v>.</v>
      </c>
      <c r="IQ23" s="558" t="str">
        <f t="shared" si="91"/>
        <v>.</v>
      </c>
      <c r="IR23" s="558" t="str">
        <f t="shared" si="91"/>
        <v>.</v>
      </c>
      <c r="IS23" s="558" t="str">
        <f t="shared" si="91"/>
        <v>.</v>
      </c>
      <c r="IT23" s="558" t="str">
        <f t="shared" si="91"/>
        <v>.</v>
      </c>
      <c r="IU23" s="558" t="str">
        <f t="shared" si="91"/>
        <v>.</v>
      </c>
      <c r="IV23" s="558" t="str">
        <f t="shared" si="91"/>
        <v>.</v>
      </c>
      <c r="IW23" s="558" t="str">
        <f t="shared" si="91"/>
        <v>.</v>
      </c>
      <c r="IX23" s="558" t="str">
        <f t="shared" si="91"/>
        <v>.</v>
      </c>
      <c r="IY23" s="558" t="str">
        <f t="shared" si="91"/>
        <v>.</v>
      </c>
      <c r="IZ23" s="558" t="str">
        <f t="shared" si="91"/>
        <v>.</v>
      </c>
      <c r="JA23" s="558" t="str">
        <f t="shared" si="91"/>
        <v>.</v>
      </c>
      <c r="JB23" s="558" t="str">
        <f t="shared" si="91"/>
        <v>.</v>
      </c>
      <c r="JC23" s="558" t="str">
        <f t="shared" si="91"/>
        <v>.</v>
      </c>
      <c r="JD23" s="558" t="str">
        <f t="shared" si="91"/>
        <v>.</v>
      </c>
      <c r="JE23" s="558" t="str">
        <f t="shared" si="91"/>
        <v>.</v>
      </c>
      <c r="JF23" s="558" t="str">
        <f t="shared" si="92"/>
        <v>.</v>
      </c>
      <c r="JG23" s="558" t="str">
        <f t="shared" si="92"/>
        <v>.</v>
      </c>
      <c r="JH23" s="558" t="str">
        <f t="shared" si="92"/>
        <v>.</v>
      </c>
      <c r="JI23" s="558" t="str">
        <f t="shared" si="92"/>
        <v>.</v>
      </c>
      <c r="JJ23" s="558" t="str">
        <f t="shared" si="92"/>
        <v>.</v>
      </c>
      <c r="JK23" s="558" t="str">
        <f t="shared" si="92"/>
        <v>.</v>
      </c>
      <c r="JL23" s="558" t="str">
        <f t="shared" si="92"/>
        <v>.</v>
      </c>
      <c r="JM23" s="558" t="str">
        <f t="shared" si="92"/>
        <v>.</v>
      </c>
      <c r="JN23" s="558" t="str">
        <f t="shared" si="92"/>
        <v>.</v>
      </c>
      <c r="JO23" s="558" t="str">
        <f t="shared" si="92"/>
        <v>.</v>
      </c>
    </row>
    <row r="24" spans="1:275" x14ac:dyDescent="0.2">
      <c r="A24" s="534">
        <f xml:space="preserve"> Basis!A24</f>
        <v>24</v>
      </c>
      <c r="F24" s="536">
        <f xml:space="preserve"> ROUND(    IF( $A$15=BE_MF_,   AW24,   INDEX( qx!24:24, F$16 ) ),    F$17    )</f>
        <v>2.9999999999999997E-4</v>
      </c>
      <c r="G24" s="536">
        <f xml:space="preserve"> ROUND(    IF( $A$15=BE_MF_,   BB24,   INDEX( wx!24:24, G$16 ) ),    G$17    )</f>
        <v>9.2700000000000005E-2</v>
      </c>
      <c r="H24" s="537">
        <f xml:space="preserve"> ROUND(    IF( $A$15=BE_MF_,   BG24,   INDEX( Kx!24:24, H$16 ) ),    H$17    )</f>
        <v>1810.8</v>
      </c>
      <c r="I24" s="538">
        <f t="shared" si="93"/>
        <v>1810.8</v>
      </c>
      <c r="J24" s="539">
        <f t="shared" si="23"/>
        <v>0.872</v>
      </c>
      <c r="K24" s="540">
        <f t="shared" si="94"/>
        <v>2</v>
      </c>
      <c r="L24" s="541">
        <f t="shared" si="24"/>
        <v>0</v>
      </c>
      <c r="M24" s="541">
        <f t="shared" si="24"/>
        <v>8.5999999999999993E-2</v>
      </c>
      <c r="O24" s="542" t="b">
        <f t="shared" si="95"/>
        <v>1</v>
      </c>
      <c r="P24" s="493">
        <f t="shared" si="25"/>
        <v>9.2999999999999999E-2</v>
      </c>
      <c r="Q24" s="493">
        <f t="shared" si="26"/>
        <v>0.90700000000000003</v>
      </c>
      <c r="R24" s="543">
        <f t="shared" si="27"/>
        <v>2846014</v>
      </c>
      <c r="S24" s="544">
        <f t="shared" si="28"/>
        <v>0.97560975599999999</v>
      </c>
      <c r="T24" s="423">
        <f t="shared" si="29"/>
        <v>1573490.99</v>
      </c>
      <c r="U24" s="423">
        <f xml:space="preserve"> IF( $O24,    ROUND(  SUM( T24:T$120), U$17 ),  LEER  )</f>
        <v>18407098.02</v>
      </c>
      <c r="V24" s="493">
        <f t="shared" si="30"/>
        <v>11.6983</v>
      </c>
      <c r="W24" s="493">
        <f t="shared" si="31"/>
        <v>1372084.14</v>
      </c>
      <c r="X24" s="493">
        <f xml:space="preserve"> IF( $O24,    ROUND(  SUM( W24:W$120), X$17 ),  LEER  )</f>
        <v>24608250.460000001</v>
      </c>
      <c r="Y24" s="493">
        <f t="shared" si="32"/>
        <v>15.6393</v>
      </c>
      <c r="Z24" s="493">
        <f t="shared" si="33"/>
        <v>1.3369</v>
      </c>
      <c r="AA24" s="493">
        <f t="shared" si="34"/>
        <v>1.0158</v>
      </c>
      <c r="AB24" s="493">
        <f t="shared" si="35"/>
        <v>2.3494000000000002</v>
      </c>
      <c r="AC24" s="545">
        <f t="shared" si="36"/>
        <v>0.38600000000000001</v>
      </c>
      <c r="AD24" s="493">
        <f t="shared" si="37"/>
        <v>1.3641000000000001</v>
      </c>
      <c r="AE24" s="493">
        <f t="shared" si="38"/>
        <v>1.9148000000000001</v>
      </c>
      <c r="AF24" s="493">
        <f t="shared" si="39"/>
        <v>1.9148000000000001</v>
      </c>
      <c r="AG24" s="493" t="str">
        <f t="shared" si="40"/>
        <v>.</v>
      </c>
      <c r="AH24" s="493" t="str">
        <f t="shared" si="41"/>
        <v>.</v>
      </c>
      <c r="AI24" s="423">
        <f t="shared" si="42"/>
        <v>2077.79</v>
      </c>
      <c r="AJ24" s="423">
        <f t="shared" si="43"/>
        <v>3978.55</v>
      </c>
      <c r="AK24" s="423">
        <f t="shared" si="44"/>
        <v>331.55</v>
      </c>
      <c r="AN24" s="423" t="str">
        <f t="shared" si="45"/>
        <v>.</v>
      </c>
      <c r="AO24" s="423" t="str">
        <f t="shared" si="45"/>
        <v>.</v>
      </c>
      <c r="AR24" s="546">
        <f xml:space="preserve"> ROUND(  INDEX( Kx!24:24, AR$16 ),  AR$17 )</f>
        <v>0.60409999999999997</v>
      </c>
      <c r="AS24" s="547">
        <f xml:space="preserve"> ROUND(  INDEX( qx!24:24, AS$16 ),  AS$17 )</f>
        <v>4.0000000000000002E-4</v>
      </c>
      <c r="AT24" s="547">
        <f xml:space="preserve"> ROUND(  INDEX( qx!24:24, AT$16 ),  AT$17 )</f>
        <v>2.0000000000000001E-4</v>
      </c>
      <c r="AU24" s="548" t="str">
        <f t="shared" si="46"/>
        <v>F</v>
      </c>
      <c r="AV24" s="542">
        <f t="shared" si="47"/>
        <v>0.50429999999999997</v>
      </c>
      <c r="AW24" s="542">
        <f t="shared" si="48"/>
        <v>2.9999999999999997E-4</v>
      </c>
      <c r="AX24" s="546">
        <f xml:space="preserve"> ROUND(  INDEX( wx!24:24, AX$16 ),  AX$17 )</f>
        <v>8.4599999999999995E-2</v>
      </c>
      <c r="AY24" s="546">
        <f xml:space="preserve"> ROUND(  INDEX( wx!24:24, AY$16 ),  AY$17 )</f>
        <v>0.1111</v>
      </c>
      <c r="AZ24" s="548" t="str">
        <f t="shared" si="49"/>
        <v>M</v>
      </c>
      <c r="BA24" s="542">
        <f t="shared" si="50"/>
        <v>0.69589999999999996</v>
      </c>
      <c r="BB24" s="542">
        <f t="shared" si="51"/>
        <v>9.2700000000000005E-2</v>
      </c>
      <c r="BC24" s="533">
        <f xml:space="preserve"> ROUND(  INDEX( Kx!24:24, BC$16 ),  BC$17 )</f>
        <v>1393.76</v>
      </c>
      <c r="BD24" s="533">
        <f xml:space="preserve"> ROUND(  INDEX( Kx!24:24, BD$16 ),  BD$17 )</f>
        <v>2235.0700000000002</v>
      </c>
      <c r="BE24" s="548" t="str">
        <f t="shared" si="52"/>
        <v>F</v>
      </c>
      <c r="BF24" s="542">
        <f t="shared" si="53"/>
        <v>0.50429999999999997</v>
      </c>
      <c r="BG24" s="420">
        <f t="shared" si="54"/>
        <v>1810.8</v>
      </c>
      <c r="BQ24" s="549">
        <f t="shared" si="96"/>
        <v>24</v>
      </c>
      <c r="BR24" s="423" t="str">
        <f t="shared" si="55"/>
        <v>.</v>
      </c>
      <c r="BS24" s="550" t="str">
        <f t="shared" si="56"/>
        <v>.</v>
      </c>
      <c r="BT24" s="423" t="str">
        <f t="shared" si="57"/>
        <v>.</v>
      </c>
      <c r="BU24" s="551" t="str">
        <f t="shared" si="58"/>
        <v>.</v>
      </c>
      <c r="BV24" s="551" t="str">
        <f t="shared" si="59"/>
        <v>.</v>
      </c>
      <c r="BW24" s="529" t="str">
        <f t="shared" si="60"/>
        <v>.</v>
      </c>
      <c r="BX24" s="552" t="str">
        <f t="shared" si="61"/>
        <v>.</v>
      </c>
      <c r="BY24" s="559"/>
      <c r="BZ24" s="559"/>
      <c r="CB24" s="423" t="str">
        <f t="shared" si="62"/>
        <v>.</v>
      </c>
      <c r="CC24" s="423" t="str">
        <f t="shared" si="63"/>
        <v>.</v>
      </c>
      <c r="CD24" s="423" t="str">
        <f t="shared" si="64"/>
        <v>.</v>
      </c>
      <c r="CE24" s="423" t="str">
        <f t="shared" si="65"/>
        <v>.</v>
      </c>
      <c r="CF24" s="553" t="str">
        <f t="shared" si="66"/>
        <v>.</v>
      </c>
      <c r="CH24" s="423" t="str">
        <f t="shared" si="67"/>
        <v>.</v>
      </c>
      <c r="CI24" s="423" t="str">
        <f t="shared" si="68"/>
        <v>.</v>
      </c>
      <c r="CJ24" s="423" t="str">
        <f t="shared" si="69"/>
        <v>.</v>
      </c>
      <c r="CK24" s="423" t="str">
        <f t="shared" si="97"/>
        <v>.</v>
      </c>
      <c r="CL24" s="553" t="str">
        <f t="shared" si="70"/>
        <v>.</v>
      </c>
      <c r="CN24" s="423" t="str">
        <f t="shared" si="71"/>
        <v>.</v>
      </c>
      <c r="CO24" s="423" t="str">
        <f t="shared" si="72"/>
        <v>.</v>
      </c>
      <c r="CP24" s="423" t="str">
        <f t="shared" si="73"/>
        <v>.</v>
      </c>
      <c r="CQ24" s="423" t="str">
        <f t="shared" si="74"/>
        <v>.</v>
      </c>
      <c r="CR24" s="553" t="str">
        <f t="shared" si="75"/>
        <v>.</v>
      </c>
      <c r="CV24" s="564">
        <f t="shared" si="98"/>
        <v>24</v>
      </c>
      <c r="CW24" s="538" t="str">
        <f t="shared" si="76"/>
        <v>.</v>
      </c>
      <c r="CX24" s="566" t="str">
        <f t="shared" si="77"/>
        <v>.</v>
      </c>
      <c r="CY24" s="538" t="str">
        <f t="shared" si="78"/>
        <v>.</v>
      </c>
      <c r="CZ24" s="538" t="str">
        <f t="shared" si="79"/>
        <v>.</v>
      </c>
      <c r="DA24" s="538" t="str">
        <f t="shared" si="80"/>
        <v>.</v>
      </c>
      <c r="DB24" s="567" t="e">
        <f t="shared" si="99"/>
        <v>#N/A</v>
      </c>
      <c r="DC24" s="567" t="e">
        <f t="shared" si="100"/>
        <v>#N/A</v>
      </c>
      <c r="DD24" s="567" t="e">
        <f t="shared" si="101"/>
        <v>#N/A</v>
      </c>
      <c r="DE24" s="567" t="e">
        <f t="shared" si="101"/>
        <v>#N/A</v>
      </c>
      <c r="DF24" s="568" t="e">
        <f t="shared" si="102"/>
        <v>#N/A</v>
      </c>
      <c r="DJ24" s="572">
        <f xml:space="preserve"> DJ23</f>
        <v>65</v>
      </c>
      <c r="DK24" s="573">
        <f xml:space="preserve"> INDEX( DD$20:DD$120, MATCH( $DJ24, $CV$20:$CV$120, 0 ) ) * 1.1</f>
        <v>82379.319000000003</v>
      </c>
      <c r="DP24" s="554"/>
      <c r="DR24" s="385"/>
      <c r="DS24" s="385"/>
      <c r="DT24" s="385"/>
      <c r="EL24" s="553" t="str">
        <f t="shared" si="81"/>
        <v>.</v>
      </c>
      <c r="EM24" s="553" t="str">
        <f t="shared" si="82"/>
        <v>.</v>
      </c>
      <c r="EN24" s="423" t="str">
        <f t="shared" si="83"/>
        <v>.</v>
      </c>
      <c r="EO24" s="555" t="str">
        <f xml:space="preserve"> 'i2'!AO24</f>
        <v>.</v>
      </c>
      <c r="EV24" s="533" t="e">
        <f xml:space="preserve"> ROUND(    IF( $A$15=BE_MF_,   LEER,   INDEX( Kx!24:24, EV$16 ) ),    EV$17    )</f>
        <v>#VALUE!</v>
      </c>
      <c r="EW24" s="533" t="e">
        <f xml:space="preserve"> ROUND(    IF( $A$15=BE_MF_,   LEER,   INDEX( Kx!24:24, EW$16 ) ),    EW$17    )</f>
        <v>#VALUE!</v>
      </c>
      <c r="EX24" s="533" t="e">
        <f xml:space="preserve"> ROUND(    IF( $A$15=BE_MF_,   LEER,   INDEX( Kx!24:24, EX$16 ) ),    EX$17    )</f>
        <v>#VALUE!</v>
      </c>
      <c r="EY24" s="556" t="e">
        <f t="shared" si="103"/>
        <v>#VALUE!</v>
      </c>
      <c r="FB24" s="533" t="e">
        <f xml:space="preserve"> ROUND(    IF( $A$15=BE_MF_,   LEER,   INDEX( Kx!24:24, FB$16 ) ),    FB$17    )</f>
        <v>#VALUE!</v>
      </c>
      <c r="FC24" s="533" t="e">
        <f xml:space="preserve"> ROUND(    IF( $A$15=BE_MF_,   LEER,   INDEX( Kx!24:24, FC$16 ) ),    FC$17    )</f>
        <v>#VALUE!</v>
      </c>
      <c r="FD24" s="556" t="e">
        <f t="shared" si="104"/>
        <v>#VALUE!</v>
      </c>
      <c r="FG24" s="556" t="e">
        <f t="shared" si="105"/>
        <v>#VALUE!</v>
      </c>
      <c r="FH24" s="556" t="e">
        <f t="shared" si="105"/>
        <v>#VALUE!</v>
      </c>
      <c r="FI24" s="556" t="e">
        <f t="shared" si="105"/>
        <v>#VALUE!</v>
      </c>
      <c r="FN24" s="557">
        <f t="shared" si="84"/>
        <v>24</v>
      </c>
      <c r="FO24" s="493">
        <f t="shared" si="85"/>
        <v>15.6393</v>
      </c>
      <c r="FP24" s="493">
        <f t="shared" si="86"/>
        <v>11.6983</v>
      </c>
      <c r="FR24" s="427">
        <f t="shared" si="106"/>
        <v>6694.84</v>
      </c>
      <c r="FS24" s="558">
        <f t="shared" si="87"/>
        <v>3317.53</v>
      </c>
      <c r="FT24" s="558">
        <f t="shared" si="87"/>
        <v>2333.11</v>
      </c>
      <c r="FU24" s="558">
        <f t="shared" si="87"/>
        <v>1346.26</v>
      </c>
      <c r="FV24" s="558">
        <f t="shared" si="87"/>
        <v>359.41</v>
      </c>
      <c r="FW24" s="558">
        <f t="shared" si="87"/>
        <v>-661.47</v>
      </c>
      <c r="FX24" s="558" t="str">
        <f t="shared" si="87"/>
        <v>.</v>
      </c>
      <c r="FY24" s="558" t="str">
        <f t="shared" si="87"/>
        <v>.</v>
      </c>
      <c r="FZ24" s="558" t="str">
        <f t="shared" si="87"/>
        <v>.</v>
      </c>
      <c r="GA24" s="558" t="str">
        <f t="shared" si="87"/>
        <v>.</v>
      </c>
      <c r="GB24" s="558" t="str">
        <f t="shared" si="87"/>
        <v>.</v>
      </c>
      <c r="GC24" s="558" t="str">
        <f t="shared" si="87"/>
        <v>.</v>
      </c>
      <c r="GD24" s="558" t="str">
        <f t="shared" si="87"/>
        <v>.</v>
      </c>
      <c r="GE24" s="558" t="str">
        <f t="shared" si="87"/>
        <v>.</v>
      </c>
      <c r="GF24" s="558" t="str">
        <f t="shared" si="87"/>
        <v>.</v>
      </c>
      <c r="GG24" s="558" t="str">
        <f t="shared" si="87"/>
        <v>.</v>
      </c>
      <c r="GH24" s="558" t="str">
        <f t="shared" si="87"/>
        <v>.</v>
      </c>
      <c r="GI24" s="558" t="str">
        <f t="shared" si="88"/>
        <v>.</v>
      </c>
      <c r="GJ24" s="558" t="str">
        <f t="shared" si="88"/>
        <v>.</v>
      </c>
      <c r="GK24" s="558" t="str">
        <f t="shared" si="88"/>
        <v>.</v>
      </c>
      <c r="GL24" s="558" t="str">
        <f t="shared" si="88"/>
        <v>.</v>
      </c>
      <c r="GM24" s="558" t="str">
        <f t="shared" si="88"/>
        <v>.</v>
      </c>
      <c r="GN24" s="558" t="str">
        <f t="shared" si="88"/>
        <v>.</v>
      </c>
      <c r="GO24" s="558" t="str">
        <f t="shared" si="88"/>
        <v>.</v>
      </c>
      <c r="GP24" s="558" t="str">
        <f t="shared" si="88"/>
        <v>.</v>
      </c>
      <c r="GQ24" s="558" t="str">
        <f t="shared" si="88"/>
        <v>.</v>
      </c>
      <c r="GR24" s="558" t="str">
        <f t="shared" si="88"/>
        <v>.</v>
      </c>
      <c r="GS24" s="558" t="str">
        <f t="shared" si="88"/>
        <v>.</v>
      </c>
      <c r="GT24" s="558" t="str">
        <f t="shared" si="88"/>
        <v>.</v>
      </c>
      <c r="GU24" s="558" t="str">
        <f t="shared" si="88"/>
        <v>.</v>
      </c>
      <c r="GV24" s="558" t="str">
        <f t="shared" si="88"/>
        <v>.</v>
      </c>
      <c r="GW24" s="558" t="str">
        <f t="shared" si="88"/>
        <v>.</v>
      </c>
      <c r="GX24" s="558" t="str">
        <f t="shared" si="88"/>
        <v>.</v>
      </c>
      <c r="GY24" s="558" t="str">
        <f t="shared" si="89"/>
        <v>.</v>
      </c>
      <c r="GZ24" s="558" t="str">
        <f t="shared" si="89"/>
        <v>.</v>
      </c>
      <c r="HA24" s="558" t="str">
        <f t="shared" si="89"/>
        <v>.</v>
      </c>
      <c r="HB24" s="558" t="str">
        <f t="shared" si="89"/>
        <v>.</v>
      </c>
      <c r="HC24" s="558" t="str">
        <f t="shared" si="89"/>
        <v>.</v>
      </c>
      <c r="HD24" s="558" t="str">
        <f t="shared" si="89"/>
        <v>.</v>
      </c>
      <c r="HE24" s="558" t="str">
        <f t="shared" si="89"/>
        <v>.</v>
      </c>
      <c r="HF24" s="558" t="str">
        <f t="shared" si="89"/>
        <v>.</v>
      </c>
      <c r="HG24" s="558" t="str">
        <f t="shared" si="89"/>
        <v>.</v>
      </c>
      <c r="HH24" s="558" t="str">
        <f t="shared" si="89"/>
        <v>.</v>
      </c>
      <c r="HI24" s="558" t="str">
        <f t="shared" si="89"/>
        <v>.</v>
      </c>
      <c r="HJ24" s="558" t="str">
        <f t="shared" si="89"/>
        <v>.</v>
      </c>
      <c r="HK24" s="558" t="str">
        <f t="shared" si="89"/>
        <v>.</v>
      </c>
      <c r="HL24" s="558" t="str">
        <f t="shared" si="89"/>
        <v>.</v>
      </c>
      <c r="HM24" s="558" t="str">
        <f t="shared" si="89"/>
        <v>.</v>
      </c>
      <c r="HN24" s="558" t="str">
        <f t="shared" si="89"/>
        <v>.</v>
      </c>
      <c r="HO24" s="558" t="str">
        <f t="shared" si="90"/>
        <v>.</v>
      </c>
      <c r="HP24" s="558" t="str">
        <f t="shared" si="90"/>
        <v>.</v>
      </c>
      <c r="HQ24" s="558" t="str">
        <f t="shared" si="90"/>
        <v>.</v>
      </c>
      <c r="HR24" s="558" t="str">
        <f t="shared" si="90"/>
        <v>.</v>
      </c>
      <c r="HS24" s="558" t="str">
        <f t="shared" si="90"/>
        <v>.</v>
      </c>
      <c r="HT24" s="558" t="str">
        <f t="shared" si="90"/>
        <v>.</v>
      </c>
      <c r="HU24" s="558" t="str">
        <f t="shared" si="90"/>
        <v>.</v>
      </c>
      <c r="HV24" s="558" t="str">
        <f t="shared" si="90"/>
        <v>.</v>
      </c>
      <c r="HW24" s="558" t="str">
        <f t="shared" si="90"/>
        <v>.</v>
      </c>
      <c r="HX24" s="558" t="str">
        <f t="shared" si="90"/>
        <v>.</v>
      </c>
      <c r="HY24" s="558" t="str">
        <f t="shared" si="90"/>
        <v>.</v>
      </c>
      <c r="HZ24" s="558" t="str">
        <f t="shared" si="90"/>
        <v>.</v>
      </c>
      <c r="IA24" s="558" t="str">
        <f t="shared" si="90"/>
        <v>.</v>
      </c>
      <c r="IB24" s="558" t="str">
        <f t="shared" si="90"/>
        <v>.</v>
      </c>
      <c r="IC24" s="558" t="str">
        <f t="shared" si="90"/>
        <v>.</v>
      </c>
      <c r="ID24" s="558" t="str">
        <f t="shared" si="90"/>
        <v>.</v>
      </c>
      <c r="IE24" s="558" t="str">
        <f t="shared" si="90"/>
        <v>.</v>
      </c>
      <c r="IF24" s="558" t="str">
        <f t="shared" si="90"/>
        <v>.</v>
      </c>
      <c r="IG24" s="558" t="str">
        <f t="shared" si="91"/>
        <v>.</v>
      </c>
      <c r="IH24" s="558" t="str">
        <f t="shared" si="91"/>
        <v>.</v>
      </c>
      <c r="II24" s="558" t="str">
        <f t="shared" si="91"/>
        <v>.</v>
      </c>
      <c r="IJ24" s="558" t="str">
        <f t="shared" si="91"/>
        <v>.</v>
      </c>
      <c r="IK24" s="558" t="str">
        <f t="shared" si="91"/>
        <v>.</v>
      </c>
      <c r="IL24" s="558" t="str">
        <f t="shared" si="91"/>
        <v>.</v>
      </c>
      <c r="IM24" s="558" t="str">
        <f t="shared" si="91"/>
        <v>.</v>
      </c>
      <c r="IN24" s="558" t="str">
        <f t="shared" si="91"/>
        <v>.</v>
      </c>
      <c r="IO24" s="558" t="str">
        <f t="shared" si="91"/>
        <v>.</v>
      </c>
      <c r="IP24" s="558" t="str">
        <f t="shared" si="91"/>
        <v>.</v>
      </c>
      <c r="IQ24" s="558" t="str">
        <f t="shared" si="91"/>
        <v>.</v>
      </c>
      <c r="IR24" s="558" t="str">
        <f t="shared" si="91"/>
        <v>.</v>
      </c>
      <c r="IS24" s="558" t="str">
        <f t="shared" si="91"/>
        <v>.</v>
      </c>
      <c r="IT24" s="558" t="str">
        <f t="shared" si="91"/>
        <v>.</v>
      </c>
      <c r="IU24" s="558" t="str">
        <f t="shared" si="91"/>
        <v>.</v>
      </c>
      <c r="IV24" s="558" t="str">
        <f t="shared" si="91"/>
        <v>.</v>
      </c>
      <c r="IW24" s="558" t="str">
        <f t="shared" si="91"/>
        <v>.</v>
      </c>
      <c r="IX24" s="558" t="str">
        <f t="shared" si="91"/>
        <v>.</v>
      </c>
      <c r="IY24" s="558" t="str">
        <f t="shared" si="91"/>
        <v>.</v>
      </c>
      <c r="IZ24" s="558" t="str">
        <f t="shared" si="91"/>
        <v>.</v>
      </c>
      <c r="JA24" s="558" t="str">
        <f t="shared" si="91"/>
        <v>.</v>
      </c>
      <c r="JB24" s="558" t="str">
        <f t="shared" si="91"/>
        <v>.</v>
      </c>
      <c r="JC24" s="558" t="str">
        <f t="shared" si="91"/>
        <v>.</v>
      </c>
      <c r="JD24" s="558" t="str">
        <f t="shared" si="91"/>
        <v>.</v>
      </c>
      <c r="JE24" s="558" t="str">
        <f t="shared" si="91"/>
        <v>.</v>
      </c>
      <c r="JF24" s="558" t="str">
        <f t="shared" si="92"/>
        <v>.</v>
      </c>
      <c r="JG24" s="558" t="str">
        <f t="shared" si="92"/>
        <v>.</v>
      </c>
      <c r="JH24" s="558" t="str">
        <f t="shared" si="92"/>
        <v>.</v>
      </c>
      <c r="JI24" s="558" t="str">
        <f t="shared" si="92"/>
        <v>.</v>
      </c>
      <c r="JJ24" s="558" t="str">
        <f t="shared" si="92"/>
        <v>.</v>
      </c>
      <c r="JK24" s="558" t="str">
        <f t="shared" si="92"/>
        <v>.</v>
      </c>
      <c r="JL24" s="558" t="str">
        <f t="shared" si="92"/>
        <v>.</v>
      </c>
      <c r="JM24" s="558" t="str">
        <f t="shared" si="92"/>
        <v>.</v>
      </c>
      <c r="JN24" s="558" t="str">
        <f t="shared" si="92"/>
        <v>.</v>
      </c>
      <c r="JO24" s="558" t="str">
        <f t="shared" si="92"/>
        <v>.</v>
      </c>
    </row>
    <row r="25" spans="1:275" x14ac:dyDescent="0.2">
      <c r="A25" s="534">
        <f xml:space="preserve"> Basis!A25</f>
        <v>25</v>
      </c>
      <c r="F25" s="536">
        <f xml:space="preserve"> ROUND(    IF( $A$15=BE_MF_,   AW25,   INDEX( qx!25:25, F$16 ) ),    F$17    )</f>
        <v>2.9999999999999997E-4</v>
      </c>
      <c r="G25" s="536">
        <f xml:space="preserve"> ROUND(    IF( $A$15=BE_MF_,   BB25,   INDEX( wx!25:25, G$16 ) ),    G$17    )</f>
        <v>0.10290000000000001</v>
      </c>
      <c r="H25" s="537">
        <f xml:space="preserve"> ROUND(    IF( $A$15=BE_MF_,   BG25,   INDEX( Kx!25:25, H$16 ) ),    H$17    )</f>
        <v>1867.41</v>
      </c>
      <c r="I25" s="538">
        <f t="shared" si="93"/>
        <v>1867.41</v>
      </c>
      <c r="J25" s="539">
        <f t="shared" si="23"/>
        <v>0.89900000000000002</v>
      </c>
      <c r="K25" s="540">
        <f t="shared" si="94"/>
        <v>2</v>
      </c>
      <c r="L25" s="541">
        <f t="shared" si="24"/>
        <v>0</v>
      </c>
      <c r="M25" s="541">
        <f t="shared" si="24"/>
        <v>8.5999999999999993E-2</v>
      </c>
      <c r="O25" s="542" t="b">
        <f t="shared" si="95"/>
        <v>1</v>
      </c>
      <c r="P25" s="493">
        <f t="shared" si="25"/>
        <v>0.1032</v>
      </c>
      <c r="Q25" s="493">
        <f t="shared" si="26"/>
        <v>0.89680000000000004</v>
      </c>
      <c r="R25" s="543">
        <f t="shared" si="27"/>
        <v>2581334</v>
      </c>
      <c r="S25" s="544">
        <f t="shared" si="28"/>
        <v>0.97560975599999999</v>
      </c>
      <c r="T25" s="423">
        <f t="shared" si="29"/>
        <v>1392347.26</v>
      </c>
      <c r="U25" s="423">
        <f xml:space="preserve"> IF( $O25,    ROUND(  SUM( T25:T$120), U$17 ),  LEER  )</f>
        <v>16833607.030000001</v>
      </c>
      <c r="V25" s="493">
        <f t="shared" si="30"/>
        <v>12.0901</v>
      </c>
      <c r="W25" s="493">
        <f t="shared" si="31"/>
        <v>1251720.19</v>
      </c>
      <c r="X25" s="493">
        <f xml:space="preserve"> IF( $O25,    ROUND(  SUM( W25:W$120), X$17 ),  LEER  )</f>
        <v>23236166.32</v>
      </c>
      <c r="Y25" s="493">
        <f t="shared" si="32"/>
        <v>16.688500000000001</v>
      </c>
      <c r="Z25" s="493">
        <f t="shared" si="33"/>
        <v>1.3803000000000001</v>
      </c>
      <c r="AA25" s="493">
        <f t="shared" si="34"/>
        <v>1.0153000000000001</v>
      </c>
      <c r="AB25" s="493">
        <f t="shared" si="35"/>
        <v>2.3494000000000002</v>
      </c>
      <c r="AC25" s="545">
        <f t="shared" si="36"/>
        <v>0.38600000000000001</v>
      </c>
      <c r="AD25" s="493">
        <f t="shared" si="37"/>
        <v>1.4073</v>
      </c>
      <c r="AE25" s="493">
        <f t="shared" si="38"/>
        <v>1.962</v>
      </c>
      <c r="AF25" s="493">
        <f t="shared" si="39"/>
        <v>1.962</v>
      </c>
      <c r="AG25" s="493" t="str">
        <f t="shared" si="40"/>
        <v>.</v>
      </c>
      <c r="AH25" s="493" t="str">
        <f t="shared" si="41"/>
        <v>.</v>
      </c>
      <c r="AI25" s="423">
        <f t="shared" si="42"/>
        <v>2077.79</v>
      </c>
      <c r="AJ25" s="423">
        <f t="shared" si="43"/>
        <v>4076.62</v>
      </c>
      <c r="AK25" s="423">
        <f t="shared" si="44"/>
        <v>339.72</v>
      </c>
      <c r="AN25" s="423" t="str">
        <f t="shared" si="45"/>
        <v>.</v>
      </c>
      <c r="AO25" s="423" t="str">
        <f t="shared" si="45"/>
        <v>.</v>
      </c>
      <c r="AR25" s="546">
        <f xml:space="preserve"> ROUND(  INDEX( Kx!25:25, AR$16 ),  AR$17 )</f>
        <v>0.5948</v>
      </c>
      <c r="AS25" s="547">
        <f xml:space="preserve"> ROUND(  INDEX( qx!25:25, AS$16 ),  AS$17 )</f>
        <v>4.0000000000000002E-4</v>
      </c>
      <c r="AT25" s="547">
        <f xml:space="preserve"> ROUND(  INDEX( qx!25:25, AT$16 ),  AT$17 )</f>
        <v>2.0000000000000001E-4</v>
      </c>
      <c r="AU25" s="548" t="str">
        <f t="shared" si="46"/>
        <v>F</v>
      </c>
      <c r="AV25" s="542">
        <f t="shared" si="47"/>
        <v>0.49459999999999998</v>
      </c>
      <c r="AW25" s="542">
        <f t="shared" si="48"/>
        <v>2.9999999999999997E-4</v>
      </c>
      <c r="AX25" s="546">
        <f xml:space="preserve"> ROUND(  INDEX( wx!25:25, AX$16 ),  AX$17 )</f>
        <v>9.2999999999999999E-2</v>
      </c>
      <c r="AY25" s="546">
        <f xml:space="preserve"> ROUND(  INDEX( wx!25:25, AY$16 ),  AY$17 )</f>
        <v>0.12470000000000001</v>
      </c>
      <c r="AZ25" s="548" t="str">
        <f t="shared" si="49"/>
        <v>M</v>
      </c>
      <c r="BA25" s="542">
        <f t="shared" si="50"/>
        <v>0.68769999999999998</v>
      </c>
      <c r="BB25" s="542">
        <f t="shared" si="51"/>
        <v>0.10290000000000001</v>
      </c>
      <c r="BC25" s="533">
        <f xml:space="preserve"> ROUND(  INDEX( Kx!25:25, BC$16 ),  BC$17 )</f>
        <v>1393.14</v>
      </c>
      <c r="BD25" s="533">
        <f xml:space="preserve"> ROUND(  INDEX( Kx!25:25, BD$16 ),  BD$17 )</f>
        <v>2331.54</v>
      </c>
      <c r="BE25" s="548" t="str">
        <f t="shared" si="52"/>
        <v>F</v>
      </c>
      <c r="BF25" s="542">
        <f t="shared" si="53"/>
        <v>0.49459999999999998</v>
      </c>
      <c r="BG25" s="420">
        <f t="shared" si="54"/>
        <v>1867.41</v>
      </c>
      <c r="BQ25" s="549">
        <f t="shared" si="96"/>
        <v>25</v>
      </c>
      <c r="BR25" s="423" t="str">
        <f t="shared" si="55"/>
        <v>.</v>
      </c>
      <c r="BS25" s="550" t="str">
        <f t="shared" si="56"/>
        <v>.</v>
      </c>
      <c r="BT25" s="423" t="str">
        <f t="shared" si="57"/>
        <v>.</v>
      </c>
      <c r="BU25" s="551" t="str">
        <f t="shared" si="58"/>
        <v>.</v>
      </c>
      <c r="BV25" s="551" t="str">
        <f t="shared" si="59"/>
        <v>.</v>
      </c>
      <c r="BW25" s="529" t="str">
        <f t="shared" si="60"/>
        <v>.</v>
      </c>
      <c r="BX25" s="552" t="str">
        <f t="shared" si="61"/>
        <v>.</v>
      </c>
      <c r="BY25" s="559"/>
      <c r="BZ25" s="559"/>
      <c r="CB25" s="423" t="str">
        <f t="shared" si="62"/>
        <v>.</v>
      </c>
      <c r="CC25" s="423" t="str">
        <f t="shared" si="63"/>
        <v>.</v>
      </c>
      <c r="CD25" s="423" t="str">
        <f t="shared" si="64"/>
        <v>.</v>
      </c>
      <c r="CE25" s="423" t="str">
        <f t="shared" si="65"/>
        <v>.</v>
      </c>
      <c r="CF25" s="553" t="str">
        <f t="shared" si="66"/>
        <v>.</v>
      </c>
      <c r="CH25" s="423" t="str">
        <f t="shared" si="67"/>
        <v>.</v>
      </c>
      <c r="CI25" s="423" t="str">
        <f t="shared" si="68"/>
        <v>.</v>
      </c>
      <c r="CJ25" s="423" t="str">
        <f t="shared" si="69"/>
        <v>.</v>
      </c>
      <c r="CK25" s="423" t="str">
        <f t="shared" si="97"/>
        <v>.</v>
      </c>
      <c r="CL25" s="553" t="str">
        <f t="shared" si="70"/>
        <v>.</v>
      </c>
      <c r="CN25" s="423" t="str">
        <f t="shared" si="71"/>
        <v>.</v>
      </c>
      <c r="CO25" s="423" t="str">
        <f t="shared" si="72"/>
        <v>.</v>
      </c>
      <c r="CP25" s="423" t="str">
        <f t="shared" si="73"/>
        <v>.</v>
      </c>
      <c r="CQ25" s="423" t="str">
        <f t="shared" si="74"/>
        <v>.</v>
      </c>
      <c r="CR25" s="553" t="str">
        <f t="shared" si="75"/>
        <v>.</v>
      </c>
      <c r="CV25" s="564">
        <f t="shared" si="98"/>
        <v>25</v>
      </c>
      <c r="CW25" s="538" t="str">
        <f t="shared" si="76"/>
        <v>.</v>
      </c>
      <c r="CX25" s="566" t="str">
        <f t="shared" si="77"/>
        <v>.</v>
      </c>
      <c r="CY25" s="538" t="str">
        <f t="shared" si="78"/>
        <v>.</v>
      </c>
      <c r="CZ25" s="538" t="str">
        <f t="shared" si="79"/>
        <v>.</v>
      </c>
      <c r="DA25" s="538" t="str">
        <f t="shared" si="80"/>
        <v>.</v>
      </c>
      <c r="DB25" s="567" t="e">
        <f t="shared" si="99"/>
        <v>#N/A</v>
      </c>
      <c r="DC25" s="567" t="e">
        <f t="shared" si="100"/>
        <v>#N/A</v>
      </c>
      <c r="DD25" s="567" t="e">
        <f t="shared" si="101"/>
        <v>#N/A</v>
      </c>
      <c r="DE25" s="567" t="e">
        <f t="shared" si="101"/>
        <v>#N/A</v>
      </c>
      <c r="DF25" s="568" t="e">
        <f t="shared" si="102"/>
        <v>#N/A</v>
      </c>
      <c r="DP25" s="554"/>
      <c r="DR25" s="385"/>
      <c r="DS25" s="385"/>
      <c r="DT25" s="385"/>
      <c r="EL25" s="553" t="str">
        <f t="shared" si="81"/>
        <v>.</v>
      </c>
      <c r="EM25" s="553" t="str">
        <f t="shared" si="82"/>
        <v>.</v>
      </c>
      <c r="EN25" s="423" t="str">
        <f t="shared" si="83"/>
        <v>.</v>
      </c>
      <c r="EO25" s="555" t="str">
        <f xml:space="preserve"> 'i2'!AO25</f>
        <v>.</v>
      </c>
      <c r="EV25" s="533" t="e">
        <f xml:space="preserve"> ROUND(    IF( $A$15=BE_MF_,   LEER,   INDEX( Kx!25:25, EV$16 ) ),    EV$17    )</f>
        <v>#VALUE!</v>
      </c>
      <c r="EW25" s="533" t="e">
        <f xml:space="preserve"> ROUND(    IF( $A$15=BE_MF_,   LEER,   INDEX( Kx!25:25, EW$16 ) ),    EW$17    )</f>
        <v>#VALUE!</v>
      </c>
      <c r="EX25" s="533" t="e">
        <f xml:space="preserve"> ROUND(    IF( $A$15=BE_MF_,   LEER,   INDEX( Kx!25:25, EX$16 ) ),    EX$17    )</f>
        <v>#VALUE!</v>
      </c>
      <c r="EY25" s="556" t="e">
        <f t="shared" si="103"/>
        <v>#VALUE!</v>
      </c>
      <c r="FB25" s="533" t="e">
        <f xml:space="preserve"> ROUND(    IF( $A$15=BE_MF_,   LEER,   INDEX( Kx!25:25, FB$16 ) ),    FB$17    )</f>
        <v>#VALUE!</v>
      </c>
      <c r="FC25" s="533" t="e">
        <f xml:space="preserve"> ROUND(    IF( $A$15=BE_MF_,   LEER,   INDEX( Kx!25:25, FC$16 ) ),    FC$17    )</f>
        <v>#VALUE!</v>
      </c>
      <c r="FD25" s="556" t="e">
        <f t="shared" si="104"/>
        <v>#VALUE!</v>
      </c>
      <c r="FG25" s="556" t="e">
        <f t="shared" si="105"/>
        <v>#VALUE!</v>
      </c>
      <c r="FH25" s="556" t="e">
        <f t="shared" si="105"/>
        <v>#VALUE!</v>
      </c>
      <c r="FI25" s="556" t="e">
        <f t="shared" si="105"/>
        <v>#VALUE!</v>
      </c>
      <c r="FN25" s="557">
        <f t="shared" si="84"/>
        <v>25</v>
      </c>
      <c r="FO25" s="493">
        <f t="shared" si="85"/>
        <v>16.688500000000001</v>
      </c>
      <c r="FP25" s="493">
        <f t="shared" si="86"/>
        <v>12.0901</v>
      </c>
      <c r="FR25" s="427">
        <f t="shared" si="106"/>
        <v>11700.359999999999</v>
      </c>
      <c r="FS25" s="558">
        <f t="shared" si="87"/>
        <v>4520.32</v>
      </c>
      <c r="FT25" s="558">
        <f t="shared" si="87"/>
        <v>3502.94</v>
      </c>
      <c r="FU25" s="558">
        <f t="shared" si="87"/>
        <v>2483.04</v>
      </c>
      <c r="FV25" s="558">
        <f t="shared" si="87"/>
        <v>1463.14</v>
      </c>
      <c r="FW25" s="558">
        <f t="shared" si="87"/>
        <v>408.07</v>
      </c>
      <c r="FX25" s="558">
        <f t="shared" si="87"/>
        <v>-677.15</v>
      </c>
      <c r="FY25" s="558" t="str">
        <f t="shared" si="87"/>
        <v>.</v>
      </c>
      <c r="FZ25" s="558" t="str">
        <f t="shared" si="87"/>
        <v>.</v>
      </c>
      <c r="GA25" s="558" t="str">
        <f t="shared" si="87"/>
        <v>.</v>
      </c>
      <c r="GB25" s="558" t="str">
        <f t="shared" si="87"/>
        <v>.</v>
      </c>
      <c r="GC25" s="558" t="str">
        <f t="shared" si="87"/>
        <v>.</v>
      </c>
      <c r="GD25" s="558" t="str">
        <f t="shared" si="87"/>
        <v>.</v>
      </c>
      <c r="GE25" s="558" t="str">
        <f t="shared" si="87"/>
        <v>.</v>
      </c>
      <c r="GF25" s="558" t="str">
        <f t="shared" si="87"/>
        <v>.</v>
      </c>
      <c r="GG25" s="558" t="str">
        <f t="shared" si="87"/>
        <v>.</v>
      </c>
      <c r="GH25" s="558" t="str">
        <f t="shared" si="87"/>
        <v>.</v>
      </c>
      <c r="GI25" s="558" t="str">
        <f t="shared" si="88"/>
        <v>.</v>
      </c>
      <c r="GJ25" s="558" t="str">
        <f t="shared" si="88"/>
        <v>.</v>
      </c>
      <c r="GK25" s="558" t="str">
        <f t="shared" si="88"/>
        <v>.</v>
      </c>
      <c r="GL25" s="558" t="str">
        <f t="shared" si="88"/>
        <v>.</v>
      </c>
      <c r="GM25" s="558" t="str">
        <f t="shared" si="88"/>
        <v>.</v>
      </c>
      <c r="GN25" s="558" t="str">
        <f t="shared" si="88"/>
        <v>.</v>
      </c>
      <c r="GO25" s="558" t="str">
        <f t="shared" si="88"/>
        <v>.</v>
      </c>
      <c r="GP25" s="558" t="str">
        <f t="shared" si="88"/>
        <v>.</v>
      </c>
      <c r="GQ25" s="558" t="str">
        <f t="shared" si="88"/>
        <v>.</v>
      </c>
      <c r="GR25" s="558" t="str">
        <f t="shared" si="88"/>
        <v>.</v>
      </c>
      <c r="GS25" s="558" t="str">
        <f t="shared" si="88"/>
        <v>.</v>
      </c>
      <c r="GT25" s="558" t="str">
        <f t="shared" si="88"/>
        <v>.</v>
      </c>
      <c r="GU25" s="558" t="str">
        <f t="shared" si="88"/>
        <v>.</v>
      </c>
      <c r="GV25" s="558" t="str">
        <f t="shared" si="88"/>
        <v>.</v>
      </c>
      <c r="GW25" s="558" t="str">
        <f t="shared" si="88"/>
        <v>.</v>
      </c>
      <c r="GX25" s="558" t="str">
        <f t="shared" si="88"/>
        <v>.</v>
      </c>
      <c r="GY25" s="558" t="str">
        <f t="shared" si="89"/>
        <v>.</v>
      </c>
      <c r="GZ25" s="558" t="str">
        <f t="shared" si="89"/>
        <v>.</v>
      </c>
      <c r="HA25" s="558" t="str">
        <f t="shared" si="89"/>
        <v>.</v>
      </c>
      <c r="HB25" s="558" t="str">
        <f t="shared" si="89"/>
        <v>.</v>
      </c>
      <c r="HC25" s="558" t="str">
        <f t="shared" si="89"/>
        <v>.</v>
      </c>
      <c r="HD25" s="558" t="str">
        <f t="shared" si="89"/>
        <v>.</v>
      </c>
      <c r="HE25" s="558" t="str">
        <f t="shared" si="89"/>
        <v>.</v>
      </c>
      <c r="HF25" s="558" t="str">
        <f t="shared" si="89"/>
        <v>.</v>
      </c>
      <c r="HG25" s="558" t="str">
        <f t="shared" si="89"/>
        <v>.</v>
      </c>
      <c r="HH25" s="558" t="str">
        <f t="shared" si="89"/>
        <v>.</v>
      </c>
      <c r="HI25" s="558" t="str">
        <f t="shared" si="89"/>
        <v>.</v>
      </c>
      <c r="HJ25" s="558" t="str">
        <f t="shared" si="89"/>
        <v>.</v>
      </c>
      <c r="HK25" s="558" t="str">
        <f t="shared" si="89"/>
        <v>.</v>
      </c>
      <c r="HL25" s="558" t="str">
        <f t="shared" si="89"/>
        <v>.</v>
      </c>
      <c r="HM25" s="558" t="str">
        <f t="shared" si="89"/>
        <v>.</v>
      </c>
      <c r="HN25" s="558" t="str">
        <f t="shared" si="89"/>
        <v>.</v>
      </c>
      <c r="HO25" s="558" t="str">
        <f t="shared" si="90"/>
        <v>.</v>
      </c>
      <c r="HP25" s="558" t="str">
        <f t="shared" si="90"/>
        <v>.</v>
      </c>
      <c r="HQ25" s="558" t="str">
        <f t="shared" si="90"/>
        <v>.</v>
      </c>
      <c r="HR25" s="558" t="str">
        <f t="shared" si="90"/>
        <v>.</v>
      </c>
      <c r="HS25" s="558" t="str">
        <f t="shared" si="90"/>
        <v>.</v>
      </c>
      <c r="HT25" s="558" t="str">
        <f t="shared" si="90"/>
        <v>.</v>
      </c>
      <c r="HU25" s="558" t="str">
        <f t="shared" si="90"/>
        <v>.</v>
      </c>
      <c r="HV25" s="558" t="str">
        <f t="shared" si="90"/>
        <v>.</v>
      </c>
      <c r="HW25" s="558" t="str">
        <f t="shared" si="90"/>
        <v>.</v>
      </c>
      <c r="HX25" s="558" t="str">
        <f t="shared" si="90"/>
        <v>.</v>
      </c>
      <c r="HY25" s="558" t="str">
        <f t="shared" si="90"/>
        <v>.</v>
      </c>
      <c r="HZ25" s="558" t="str">
        <f t="shared" si="90"/>
        <v>.</v>
      </c>
      <c r="IA25" s="558" t="str">
        <f t="shared" si="90"/>
        <v>.</v>
      </c>
      <c r="IB25" s="558" t="str">
        <f t="shared" si="90"/>
        <v>.</v>
      </c>
      <c r="IC25" s="558" t="str">
        <f t="shared" si="90"/>
        <v>.</v>
      </c>
      <c r="ID25" s="558" t="str">
        <f t="shared" si="90"/>
        <v>.</v>
      </c>
      <c r="IE25" s="558" t="str">
        <f t="shared" si="90"/>
        <v>.</v>
      </c>
      <c r="IF25" s="558" t="str">
        <f t="shared" si="90"/>
        <v>.</v>
      </c>
      <c r="IG25" s="558" t="str">
        <f t="shared" si="91"/>
        <v>.</v>
      </c>
      <c r="IH25" s="558" t="str">
        <f t="shared" si="91"/>
        <v>.</v>
      </c>
      <c r="II25" s="558" t="str">
        <f t="shared" si="91"/>
        <v>.</v>
      </c>
      <c r="IJ25" s="558" t="str">
        <f t="shared" si="91"/>
        <v>.</v>
      </c>
      <c r="IK25" s="558" t="str">
        <f t="shared" si="91"/>
        <v>.</v>
      </c>
      <c r="IL25" s="558" t="str">
        <f t="shared" si="91"/>
        <v>.</v>
      </c>
      <c r="IM25" s="558" t="str">
        <f t="shared" si="91"/>
        <v>.</v>
      </c>
      <c r="IN25" s="558" t="str">
        <f t="shared" si="91"/>
        <v>.</v>
      </c>
      <c r="IO25" s="558" t="str">
        <f t="shared" si="91"/>
        <v>.</v>
      </c>
      <c r="IP25" s="558" t="str">
        <f t="shared" si="91"/>
        <v>.</v>
      </c>
      <c r="IQ25" s="558" t="str">
        <f t="shared" si="91"/>
        <v>.</v>
      </c>
      <c r="IR25" s="558" t="str">
        <f t="shared" si="91"/>
        <v>.</v>
      </c>
      <c r="IS25" s="558" t="str">
        <f t="shared" si="91"/>
        <v>.</v>
      </c>
      <c r="IT25" s="558" t="str">
        <f t="shared" si="91"/>
        <v>.</v>
      </c>
      <c r="IU25" s="558" t="str">
        <f t="shared" si="91"/>
        <v>.</v>
      </c>
      <c r="IV25" s="558" t="str">
        <f t="shared" si="91"/>
        <v>.</v>
      </c>
      <c r="IW25" s="558" t="str">
        <f t="shared" si="91"/>
        <v>.</v>
      </c>
      <c r="IX25" s="558" t="str">
        <f t="shared" si="91"/>
        <v>.</v>
      </c>
      <c r="IY25" s="558" t="str">
        <f t="shared" si="91"/>
        <v>.</v>
      </c>
      <c r="IZ25" s="558" t="str">
        <f t="shared" si="91"/>
        <v>.</v>
      </c>
      <c r="JA25" s="558" t="str">
        <f t="shared" si="91"/>
        <v>.</v>
      </c>
      <c r="JB25" s="558" t="str">
        <f t="shared" si="91"/>
        <v>.</v>
      </c>
      <c r="JC25" s="558" t="str">
        <f t="shared" si="91"/>
        <v>.</v>
      </c>
      <c r="JD25" s="558" t="str">
        <f t="shared" si="91"/>
        <v>.</v>
      </c>
      <c r="JE25" s="558" t="str">
        <f t="shared" si="91"/>
        <v>.</v>
      </c>
      <c r="JF25" s="558" t="str">
        <f t="shared" si="92"/>
        <v>.</v>
      </c>
      <c r="JG25" s="558" t="str">
        <f t="shared" si="92"/>
        <v>.</v>
      </c>
      <c r="JH25" s="558" t="str">
        <f t="shared" si="92"/>
        <v>.</v>
      </c>
      <c r="JI25" s="558" t="str">
        <f t="shared" si="92"/>
        <v>.</v>
      </c>
      <c r="JJ25" s="558" t="str">
        <f t="shared" si="92"/>
        <v>.</v>
      </c>
      <c r="JK25" s="558" t="str">
        <f t="shared" si="92"/>
        <v>.</v>
      </c>
      <c r="JL25" s="558" t="str">
        <f t="shared" si="92"/>
        <v>.</v>
      </c>
      <c r="JM25" s="558" t="str">
        <f t="shared" si="92"/>
        <v>.</v>
      </c>
      <c r="JN25" s="558" t="str">
        <f t="shared" si="92"/>
        <v>.</v>
      </c>
      <c r="JO25" s="558" t="str">
        <f t="shared" si="92"/>
        <v>.</v>
      </c>
    </row>
    <row r="26" spans="1:275" x14ac:dyDescent="0.2">
      <c r="A26" s="534">
        <f xml:space="preserve"> Basis!A26</f>
        <v>26</v>
      </c>
      <c r="F26" s="536">
        <f xml:space="preserve"> ROUND(    IF( $A$15=BE_MF_,   AW26,   INDEX( qx!26:26, F$16 ) ),    F$17    )</f>
        <v>2.9999999999999997E-4</v>
      </c>
      <c r="G26" s="536">
        <f xml:space="preserve"> ROUND(    IF( $A$15=BE_MF_,   BB26,   INDEX( wx!26:26, G$16 ) ),    G$17    )</f>
        <v>0.11260000000000001</v>
      </c>
      <c r="H26" s="537">
        <f xml:space="preserve"> ROUND(    IF( $A$15=BE_MF_,   BG26,   INDEX( Kx!26:26, H$16 ) ),    H$17    )</f>
        <v>1888.73</v>
      </c>
      <c r="I26" s="538">
        <f t="shared" si="93"/>
        <v>1888.73</v>
      </c>
      <c r="J26" s="539">
        <f t="shared" si="23"/>
        <v>0.90900000000000003</v>
      </c>
      <c r="K26" s="540">
        <f t="shared" si="94"/>
        <v>2</v>
      </c>
      <c r="L26" s="541">
        <f t="shared" si="24"/>
        <v>0</v>
      </c>
      <c r="M26" s="541">
        <f t="shared" si="24"/>
        <v>8.5999999999999993E-2</v>
      </c>
      <c r="O26" s="542" t="b">
        <f t="shared" si="95"/>
        <v>1</v>
      </c>
      <c r="P26" s="493">
        <f t="shared" si="25"/>
        <v>0.1129</v>
      </c>
      <c r="Q26" s="493">
        <f t="shared" si="26"/>
        <v>0.8871</v>
      </c>
      <c r="R26" s="543">
        <f t="shared" si="27"/>
        <v>2314940</v>
      </c>
      <c r="S26" s="544">
        <f t="shared" si="28"/>
        <v>0.97560975599999999</v>
      </c>
      <c r="T26" s="423">
        <f t="shared" si="29"/>
        <v>1218201.8</v>
      </c>
      <c r="U26" s="423">
        <f xml:space="preserve"> IF( $O26,    ROUND(  SUM( T26:T$120), U$17 ),  LEER  )</f>
        <v>15441259.77</v>
      </c>
      <c r="V26" s="493">
        <f t="shared" si="30"/>
        <v>12.6755</v>
      </c>
      <c r="W26" s="493">
        <f t="shared" si="31"/>
        <v>1107345.44</v>
      </c>
      <c r="X26" s="493">
        <f xml:space="preserve"> IF( $O26,    ROUND(  SUM( W26:W$120), X$17 ),  LEER  )</f>
        <v>21984446.129999999</v>
      </c>
      <c r="Y26" s="493">
        <f t="shared" si="32"/>
        <v>18.046600000000002</v>
      </c>
      <c r="Z26" s="493">
        <f t="shared" si="33"/>
        <v>1.4237</v>
      </c>
      <c r="AA26" s="493">
        <f t="shared" si="34"/>
        <v>1.0145999999999999</v>
      </c>
      <c r="AB26" s="493">
        <f t="shared" si="35"/>
        <v>2.3494000000000002</v>
      </c>
      <c r="AC26" s="545">
        <f t="shared" si="36"/>
        <v>0.38600000000000001</v>
      </c>
      <c r="AD26" s="493">
        <f t="shared" si="37"/>
        <v>1.4500999999999999</v>
      </c>
      <c r="AE26" s="493">
        <f t="shared" si="38"/>
        <v>2.0089000000000001</v>
      </c>
      <c r="AF26" s="493">
        <f t="shared" si="39"/>
        <v>2.0089000000000001</v>
      </c>
      <c r="AG26" s="493" t="str">
        <f t="shared" si="40"/>
        <v>.</v>
      </c>
      <c r="AH26" s="493" t="str">
        <f t="shared" si="41"/>
        <v>.</v>
      </c>
      <c r="AI26" s="423">
        <f t="shared" si="42"/>
        <v>2077.79</v>
      </c>
      <c r="AJ26" s="423">
        <f t="shared" si="43"/>
        <v>4174.07</v>
      </c>
      <c r="AK26" s="423">
        <f t="shared" si="44"/>
        <v>347.84</v>
      </c>
      <c r="AN26" s="423" t="str">
        <f t="shared" si="45"/>
        <v>.</v>
      </c>
      <c r="AO26" s="423" t="str">
        <f t="shared" si="45"/>
        <v>.</v>
      </c>
      <c r="AR26" s="546">
        <f xml:space="preserve"> ROUND(  INDEX( Kx!26:26, AR$16 ),  AR$17 )</f>
        <v>0.61960000000000004</v>
      </c>
      <c r="AS26" s="547">
        <f xml:space="preserve"> ROUND(  INDEX( qx!26:26, AS$16 ),  AS$17 )</f>
        <v>4.0000000000000002E-4</v>
      </c>
      <c r="AT26" s="547">
        <f xml:space="preserve"> ROUND(  INDEX( qx!26:26, AT$16 ),  AT$17 )</f>
        <v>2.0000000000000001E-4</v>
      </c>
      <c r="AU26" s="548" t="str">
        <f t="shared" si="46"/>
        <v>F</v>
      </c>
      <c r="AV26" s="542">
        <f t="shared" si="47"/>
        <v>0.52059999999999995</v>
      </c>
      <c r="AW26" s="542">
        <f t="shared" si="48"/>
        <v>2.9999999999999997E-4</v>
      </c>
      <c r="AX26" s="546">
        <f xml:space="preserve"> ROUND(  INDEX( wx!26:26, AX$16 ),  AX$17 )</f>
        <v>0.10299999999999999</v>
      </c>
      <c r="AY26" s="546">
        <f xml:space="preserve"> ROUND(  INDEX( wx!26:26, AY$16 ),  AY$17 )</f>
        <v>0.13619999999999999</v>
      </c>
      <c r="AZ26" s="548" t="str">
        <f t="shared" si="49"/>
        <v>M</v>
      </c>
      <c r="BA26" s="542">
        <f t="shared" si="50"/>
        <v>0.70960000000000001</v>
      </c>
      <c r="BB26" s="542">
        <f t="shared" si="51"/>
        <v>0.11260000000000001</v>
      </c>
      <c r="BC26" s="533">
        <f xml:space="preserve"> ROUND(  INDEX( Kx!26:26, BC$16 ),  BC$17 )</f>
        <v>1390.14</v>
      </c>
      <c r="BD26" s="533">
        <f xml:space="preserve"> ROUND(  INDEX( Kx!26:26, BD$16 ),  BD$17 )</f>
        <v>2430.17</v>
      </c>
      <c r="BE26" s="548" t="str">
        <f t="shared" si="52"/>
        <v>F</v>
      </c>
      <c r="BF26" s="542">
        <f t="shared" si="53"/>
        <v>0.52059999999999995</v>
      </c>
      <c r="BG26" s="420">
        <f t="shared" si="54"/>
        <v>1888.73</v>
      </c>
      <c r="BQ26" s="549">
        <f t="shared" si="96"/>
        <v>26</v>
      </c>
      <c r="BR26" s="423" t="str">
        <f t="shared" si="55"/>
        <v>.</v>
      </c>
      <c r="BS26" s="550" t="str">
        <f t="shared" si="56"/>
        <v>.</v>
      </c>
      <c r="BT26" s="423" t="str">
        <f t="shared" si="57"/>
        <v>.</v>
      </c>
      <c r="BU26" s="551" t="str">
        <f t="shared" si="58"/>
        <v>.</v>
      </c>
      <c r="BV26" s="551" t="str">
        <f t="shared" si="59"/>
        <v>.</v>
      </c>
      <c r="BW26" s="529" t="str">
        <f t="shared" si="60"/>
        <v>.</v>
      </c>
      <c r="BX26" s="552" t="str">
        <f t="shared" si="61"/>
        <v>.</v>
      </c>
      <c r="BY26" s="559"/>
      <c r="BZ26" s="559"/>
      <c r="CB26" s="423" t="str">
        <f t="shared" si="62"/>
        <v>.</v>
      </c>
      <c r="CC26" s="423" t="str">
        <f t="shared" si="63"/>
        <v>.</v>
      </c>
      <c r="CD26" s="423" t="str">
        <f t="shared" si="64"/>
        <v>.</v>
      </c>
      <c r="CE26" s="423" t="str">
        <f t="shared" si="65"/>
        <v>.</v>
      </c>
      <c r="CF26" s="553" t="str">
        <f t="shared" si="66"/>
        <v>.</v>
      </c>
      <c r="CH26" s="423" t="str">
        <f t="shared" si="67"/>
        <v>.</v>
      </c>
      <c r="CI26" s="423" t="str">
        <f t="shared" si="68"/>
        <v>.</v>
      </c>
      <c r="CJ26" s="423" t="str">
        <f t="shared" si="69"/>
        <v>.</v>
      </c>
      <c r="CK26" s="423" t="str">
        <f t="shared" si="97"/>
        <v>.</v>
      </c>
      <c r="CL26" s="553" t="str">
        <f t="shared" si="70"/>
        <v>.</v>
      </c>
      <c r="CN26" s="423" t="str">
        <f t="shared" si="71"/>
        <v>.</v>
      </c>
      <c r="CO26" s="423" t="str">
        <f t="shared" si="72"/>
        <v>.</v>
      </c>
      <c r="CP26" s="423" t="str">
        <f t="shared" si="73"/>
        <v>.</v>
      </c>
      <c r="CQ26" s="423" t="str">
        <f t="shared" si="74"/>
        <v>.</v>
      </c>
      <c r="CR26" s="553" t="str">
        <f t="shared" si="75"/>
        <v>.</v>
      </c>
      <c r="CV26" s="564">
        <f t="shared" si="98"/>
        <v>26</v>
      </c>
      <c r="CW26" s="538" t="str">
        <f t="shared" si="76"/>
        <v>.</v>
      </c>
      <c r="CX26" s="566" t="str">
        <f t="shared" si="77"/>
        <v>.</v>
      </c>
      <c r="CY26" s="538" t="str">
        <f t="shared" si="78"/>
        <v>.</v>
      </c>
      <c r="CZ26" s="538" t="str">
        <f t="shared" si="79"/>
        <v>.</v>
      </c>
      <c r="DA26" s="538" t="str">
        <f t="shared" si="80"/>
        <v>.</v>
      </c>
      <c r="DB26" s="567" t="e">
        <f t="shared" si="99"/>
        <v>#N/A</v>
      </c>
      <c r="DC26" s="567" t="e">
        <f t="shared" si="100"/>
        <v>#N/A</v>
      </c>
      <c r="DD26" s="567" t="e">
        <f t="shared" si="101"/>
        <v>#N/A</v>
      </c>
      <c r="DE26" s="567" t="e">
        <f t="shared" si="101"/>
        <v>#N/A</v>
      </c>
      <c r="DF26" s="568" t="e">
        <f t="shared" si="102"/>
        <v>#N/A</v>
      </c>
      <c r="DP26" s="554"/>
      <c r="DR26" s="385"/>
      <c r="DS26" s="385"/>
      <c r="DT26" s="385"/>
      <c r="EL26" s="553" t="str">
        <f t="shared" si="81"/>
        <v>.</v>
      </c>
      <c r="EM26" s="553" t="str">
        <f t="shared" si="82"/>
        <v>.</v>
      </c>
      <c r="EN26" s="423" t="str">
        <f t="shared" si="83"/>
        <v>.</v>
      </c>
      <c r="EO26" s="555" t="str">
        <f xml:space="preserve"> 'i2'!AO26</f>
        <v>.</v>
      </c>
      <c r="EV26" s="533" t="e">
        <f xml:space="preserve"> ROUND(    IF( $A$15=BE_MF_,   LEER,   INDEX( Kx!26:26, EV$16 ) ),    EV$17    )</f>
        <v>#VALUE!</v>
      </c>
      <c r="EW26" s="533" t="e">
        <f xml:space="preserve"> ROUND(    IF( $A$15=BE_MF_,   LEER,   INDEX( Kx!26:26, EW$16 ) ),    EW$17    )</f>
        <v>#VALUE!</v>
      </c>
      <c r="EX26" s="533" t="e">
        <f xml:space="preserve"> ROUND(    IF( $A$15=BE_MF_,   LEER,   INDEX( Kx!26:26, EX$16 ) ),    EX$17    )</f>
        <v>#VALUE!</v>
      </c>
      <c r="EY26" s="556" t="e">
        <f t="shared" si="103"/>
        <v>#VALUE!</v>
      </c>
      <c r="FB26" s="533" t="e">
        <f xml:space="preserve"> ROUND(    IF( $A$15=BE_MF_,   LEER,   INDEX( Kx!26:26, FB$16 ) ),    FB$17    )</f>
        <v>#VALUE!</v>
      </c>
      <c r="FC26" s="533" t="e">
        <f xml:space="preserve"> ROUND(    IF( $A$15=BE_MF_,   LEER,   INDEX( Kx!26:26, FC$16 ) ),    FC$17    )</f>
        <v>#VALUE!</v>
      </c>
      <c r="FD26" s="556" t="e">
        <f t="shared" si="104"/>
        <v>#VALUE!</v>
      </c>
      <c r="FG26" s="556" t="e">
        <f t="shared" si="105"/>
        <v>#VALUE!</v>
      </c>
      <c r="FH26" s="556" t="e">
        <f t="shared" si="105"/>
        <v>#VALUE!</v>
      </c>
      <c r="FI26" s="556" t="e">
        <f t="shared" si="105"/>
        <v>#VALUE!</v>
      </c>
      <c r="FN26" s="557">
        <f t="shared" si="84"/>
        <v>26</v>
      </c>
      <c r="FO26" s="493">
        <f t="shared" si="85"/>
        <v>18.046600000000002</v>
      </c>
      <c r="FP26" s="493">
        <f t="shared" si="86"/>
        <v>12.6755</v>
      </c>
      <c r="FR26" s="427">
        <f t="shared" si="106"/>
        <v>18429.89</v>
      </c>
      <c r="FS26" s="558">
        <f t="shared" si="87"/>
        <v>5882.08</v>
      </c>
      <c r="FT26" s="558">
        <f t="shared" si="87"/>
        <v>4815.43</v>
      </c>
      <c r="FU26" s="558">
        <f t="shared" si="87"/>
        <v>3746.14</v>
      </c>
      <c r="FV26" s="558">
        <f t="shared" si="87"/>
        <v>2676.86</v>
      </c>
      <c r="FW26" s="558">
        <f t="shared" si="87"/>
        <v>1570.71</v>
      </c>
      <c r="FX26" s="558">
        <f t="shared" si="87"/>
        <v>432.95</v>
      </c>
      <c r="FY26" s="558">
        <f t="shared" si="87"/>
        <v>-694.28</v>
      </c>
      <c r="FZ26" s="558" t="str">
        <f t="shared" si="87"/>
        <v>.</v>
      </c>
      <c r="GA26" s="558" t="str">
        <f t="shared" si="87"/>
        <v>.</v>
      </c>
      <c r="GB26" s="558" t="str">
        <f t="shared" si="87"/>
        <v>.</v>
      </c>
      <c r="GC26" s="558" t="str">
        <f t="shared" si="87"/>
        <v>.</v>
      </c>
      <c r="GD26" s="558" t="str">
        <f t="shared" si="87"/>
        <v>.</v>
      </c>
      <c r="GE26" s="558" t="str">
        <f t="shared" si="87"/>
        <v>.</v>
      </c>
      <c r="GF26" s="558" t="str">
        <f t="shared" si="87"/>
        <v>.</v>
      </c>
      <c r="GG26" s="558" t="str">
        <f t="shared" si="87"/>
        <v>.</v>
      </c>
      <c r="GH26" s="558" t="str">
        <f t="shared" si="87"/>
        <v>.</v>
      </c>
      <c r="GI26" s="558" t="str">
        <f t="shared" si="88"/>
        <v>.</v>
      </c>
      <c r="GJ26" s="558" t="str">
        <f t="shared" si="88"/>
        <v>.</v>
      </c>
      <c r="GK26" s="558" t="str">
        <f t="shared" si="88"/>
        <v>.</v>
      </c>
      <c r="GL26" s="558" t="str">
        <f t="shared" si="88"/>
        <v>.</v>
      </c>
      <c r="GM26" s="558" t="str">
        <f t="shared" si="88"/>
        <v>.</v>
      </c>
      <c r="GN26" s="558" t="str">
        <f t="shared" si="88"/>
        <v>.</v>
      </c>
      <c r="GO26" s="558" t="str">
        <f t="shared" si="88"/>
        <v>.</v>
      </c>
      <c r="GP26" s="558" t="str">
        <f t="shared" si="88"/>
        <v>.</v>
      </c>
      <c r="GQ26" s="558" t="str">
        <f t="shared" si="88"/>
        <v>.</v>
      </c>
      <c r="GR26" s="558" t="str">
        <f t="shared" si="88"/>
        <v>.</v>
      </c>
      <c r="GS26" s="558" t="str">
        <f t="shared" si="88"/>
        <v>.</v>
      </c>
      <c r="GT26" s="558" t="str">
        <f t="shared" si="88"/>
        <v>.</v>
      </c>
      <c r="GU26" s="558" t="str">
        <f t="shared" si="88"/>
        <v>.</v>
      </c>
      <c r="GV26" s="558" t="str">
        <f t="shared" si="88"/>
        <v>.</v>
      </c>
      <c r="GW26" s="558" t="str">
        <f t="shared" si="88"/>
        <v>.</v>
      </c>
      <c r="GX26" s="558" t="str">
        <f t="shared" si="88"/>
        <v>.</v>
      </c>
      <c r="GY26" s="558" t="str">
        <f t="shared" si="89"/>
        <v>.</v>
      </c>
      <c r="GZ26" s="558" t="str">
        <f t="shared" si="89"/>
        <v>.</v>
      </c>
      <c r="HA26" s="558" t="str">
        <f t="shared" si="89"/>
        <v>.</v>
      </c>
      <c r="HB26" s="558" t="str">
        <f t="shared" si="89"/>
        <v>.</v>
      </c>
      <c r="HC26" s="558" t="str">
        <f t="shared" si="89"/>
        <v>.</v>
      </c>
      <c r="HD26" s="558" t="str">
        <f t="shared" si="89"/>
        <v>.</v>
      </c>
      <c r="HE26" s="558" t="str">
        <f t="shared" si="89"/>
        <v>.</v>
      </c>
      <c r="HF26" s="558" t="str">
        <f t="shared" si="89"/>
        <v>.</v>
      </c>
      <c r="HG26" s="558" t="str">
        <f t="shared" si="89"/>
        <v>.</v>
      </c>
      <c r="HH26" s="558" t="str">
        <f t="shared" si="89"/>
        <v>.</v>
      </c>
      <c r="HI26" s="558" t="str">
        <f t="shared" si="89"/>
        <v>.</v>
      </c>
      <c r="HJ26" s="558" t="str">
        <f t="shared" si="89"/>
        <v>.</v>
      </c>
      <c r="HK26" s="558" t="str">
        <f t="shared" si="89"/>
        <v>.</v>
      </c>
      <c r="HL26" s="558" t="str">
        <f t="shared" si="89"/>
        <v>.</v>
      </c>
      <c r="HM26" s="558" t="str">
        <f t="shared" si="89"/>
        <v>.</v>
      </c>
      <c r="HN26" s="558" t="str">
        <f t="shared" si="89"/>
        <v>.</v>
      </c>
      <c r="HO26" s="558" t="str">
        <f t="shared" si="90"/>
        <v>.</v>
      </c>
      <c r="HP26" s="558" t="str">
        <f t="shared" si="90"/>
        <v>.</v>
      </c>
      <c r="HQ26" s="558" t="str">
        <f t="shared" si="90"/>
        <v>.</v>
      </c>
      <c r="HR26" s="558" t="str">
        <f t="shared" si="90"/>
        <v>.</v>
      </c>
      <c r="HS26" s="558" t="str">
        <f t="shared" si="90"/>
        <v>.</v>
      </c>
      <c r="HT26" s="558" t="str">
        <f t="shared" si="90"/>
        <v>.</v>
      </c>
      <c r="HU26" s="558" t="str">
        <f t="shared" si="90"/>
        <v>.</v>
      </c>
      <c r="HV26" s="558" t="str">
        <f t="shared" si="90"/>
        <v>.</v>
      </c>
      <c r="HW26" s="558" t="str">
        <f t="shared" si="90"/>
        <v>.</v>
      </c>
      <c r="HX26" s="558" t="str">
        <f t="shared" si="90"/>
        <v>.</v>
      </c>
      <c r="HY26" s="558" t="str">
        <f t="shared" si="90"/>
        <v>.</v>
      </c>
      <c r="HZ26" s="558" t="str">
        <f t="shared" si="90"/>
        <v>.</v>
      </c>
      <c r="IA26" s="558" t="str">
        <f t="shared" si="90"/>
        <v>.</v>
      </c>
      <c r="IB26" s="558" t="str">
        <f t="shared" si="90"/>
        <v>.</v>
      </c>
      <c r="IC26" s="558" t="str">
        <f t="shared" si="90"/>
        <v>.</v>
      </c>
      <c r="ID26" s="558" t="str">
        <f t="shared" si="90"/>
        <v>.</v>
      </c>
      <c r="IE26" s="558" t="str">
        <f t="shared" si="90"/>
        <v>.</v>
      </c>
      <c r="IF26" s="558" t="str">
        <f t="shared" si="90"/>
        <v>.</v>
      </c>
      <c r="IG26" s="558" t="str">
        <f t="shared" si="91"/>
        <v>.</v>
      </c>
      <c r="IH26" s="558" t="str">
        <f t="shared" si="91"/>
        <v>.</v>
      </c>
      <c r="II26" s="558" t="str">
        <f t="shared" si="91"/>
        <v>.</v>
      </c>
      <c r="IJ26" s="558" t="str">
        <f t="shared" si="91"/>
        <v>.</v>
      </c>
      <c r="IK26" s="558" t="str">
        <f t="shared" si="91"/>
        <v>.</v>
      </c>
      <c r="IL26" s="558" t="str">
        <f t="shared" si="91"/>
        <v>.</v>
      </c>
      <c r="IM26" s="558" t="str">
        <f t="shared" si="91"/>
        <v>.</v>
      </c>
      <c r="IN26" s="558" t="str">
        <f t="shared" si="91"/>
        <v>.</v>
      </c>
      <c r="IO26" s="558" t="str">
        <f t="shared" si="91"/>
        <v>.</v>
      </c>
      <c r="IP26" s="558" t="str">
        <f t="shared" si="91"/>
        <v>.</v>
      </c>
      <c r="IQ26" s="558" t="str">
        <f t="shared" si="91"/>
        <v>.</v>
      </c>
      <c r="IR26" s="558" t="str">
        <f t="shared" si="91"/>
        <v>.</v>
      </c>
      <c r="IS26" s="558" t="str">
        <f t="shared" si="91"/>
        <v>.</v>
      </c>
      <c r="IT26" s="558" t="str">
        <f t="shared" si="91"/>
        <v>.</v>
      </c>
      <c r="IU26" s="558" t="str">
        <f t="shared" si="91"/>
        <v>.</v>
      </c>
      <c r="IV26" s="558" t="str">
        <f t="shared" si="91"/>
        <v>.</v>
      </c>
      <c r="IW26" s="558" t="str">
        <f t="shared" si="91"/>
        <v>.</v>
      </c>
      <c r="IX26" s="558" t="str">
        <f t="shared" si="91"/>
        <v>.</v>
      </c>
      <c r="IY26" s="558" t="str">
        <f t="shared" si="91"/>
        <v>.</v>
      </c>
      <c r="IZ26" s="558" t="str">
        <f t="shared" si="91"/>
        <v>.</v>
      </c>
      <c r="JA26" s="558" t="str">
        <f t="shared" si="91"/>
        <v>.</v>
      </c>
      <c r="JB26" s="558" t="str">
        <f t="shared" si="91"/>
        <v>.</v>
      </c>
      <c r="JC26" s="558" t="str">
        <f t="shared" si="91"/>
        <v>.</v>
      </c>
      <c r="JD26" s="558" t="str">
        <f t="shared" si="91"/>
        <v>.</v>
      </c>
      <c r="JE26" s="558" t="str">
        <f t="shared" si="91"/>
        <v>.</v>
      </c>
      <c r="JF26" s="558" t="str">
        <f t="shared" si="92"/>
        <v>.</v>
      </c>
      <c r="JG26" s="558" t="str">
        <f t="shared" si="92"/>
        <v>.</v>
      </c>
      <c r="JH26" s="558" t="str">
        <f t="shared" si="92"/>
        <v>.</v>
      </c>
      <c r="JI26" s="558" t="str">
        <f t="shared" si="92"/>
        <v>.</v>
      </c>
      <c r="JJ26" s="558" t="str">
        <f t="shared" si="92"/>
        <v>.</v>
      </c>
      <c r="JK26" s="558" t="str">
        <f t="shared" si="92"/>
        <v>.</v>
      </c>
      <c r="JL26" s="558" t="str">
        <f t="shared" si="92"/>
        <v>.</v>
      </c>
      <c r="JM26" s="558" t="str">
        <f t="shared" si="92"/>
        <v>.</v>
      </c>
      <c r="JN26" s="558" t="str">
        <f t="shared" si="92"/>
        <v>.</v>
      </c>
      <c r="JO26" s="558" t="str">
        <f t="shared" si="92"/>
        <v>.</v>
      </c>
    </row>
    <row r="27" spans="1:275" x14ac:dyDescent="0.2">
      <c r="A27" s="534">
        <f xml:space="preserve"> Basis!A27</f>
        <v>27</v>
      </c>
      <c r="F27" s="536">
        <f xml:space="preserve"> ROUND(    IF( $A$15=BE_MF_,   AW27,   INDEX( qx!27:27, F$16 ) ),    F$17    )</f>
        <v>2.9999999999999997E-4</v>
      </c>
      <c r="G27" s="536">
        <f xml:space="preserve"> ROUND(    IF( $A$15=BE_MF_,   BB27,   INDEX( wx!27:27, G$16 ) ),    G$17    )</f>
        <v>0.111</v>
      </c>
      <c r="H27" s="537">
        <f xml:space="preserve"> ROUND(    IF( $A$15=BE_MF_,   BG27,   INDEX( Kx!27:27, H$16 ) ),    H$17    )</f>
        <v>1866.02</v>
      </c>
      <c r="I27" s="538">
        <f t="shared" si="93"/>
        <v>1866.02</v>
      </c>
      <c r="J27" s="539">
        <f t="shared" si="23"/>
        <v>0.89800000000000002</v>
      </c>
      <c r="K27" s="540">
        <f t="shared" si="94"/>
        <v>2</v>
      </c>
      <c r="L27" s="541">
        <f t="shared" si="24"/>
        <v>0</v>
      </c>
      <c r="M27" s="541">
        <f t="shared" si="24"/>
        <v>8.5999999999999993E-2</v>
      </c>
      <c r="O27" s="542" t="b">
        <f t="shared" si="95"/>
        <v>1</v>
      </c>
      <c r="P27" s="493">
        <f t="shared" si="25"/>
        <v>0.1113</v>
      </c>
      <c r="Q27" s="493">
        <f t="shared" si="26"/>
        <v>0.88870000000000005</v>
      </c>
      <c r="R27" s="543">
        <f t="shared" si="27"/>
        <v>2053583</v>
      </c>
      <c r="S27" s="544">
        <f t="shared" si="28"/>
        <v>0.97560975599999999</v>
      </c>
      <c r="T27" s="423">
        <f t="shared" si="29"/>
        <v>1054308.95</v>
      </c>
      <c r="U27" s="423">
        <f xml:space="preserve"> IF( $O27,    ROUND(  SUM( T27:T$120), U$17 ),  LEER  )</f>
        <v>14223057.970000001</v>
      </c>
      <c r="V27" s="493">
        <f t="shared" si="30"/>
        <v>13.490399999999999</v>
      </c>
      <c r="W27" s="493">
        <f t="shared" si="31"/>
        <v>946769.44</v>
      </c>
      <c r="X27" s="493">
        <f xml:space="preserve"> IF( $O27,    ROUND(  SUM( W27:W$120), X$17 ),  LEER  )</f>
        <v>20877100.690000001</v>
      </c>
      <c r="Y27" s="493">
        <f t="shared" si="32"/>
        <v>19.8017</v>
      </c>
      <c r="Z27" s="493">
        <f t="shared" si="33"/>
        <v>1.4678</v>
      </c>
      <c r="AA27" s="493">
        <f t="shared" si="34"/>
        <v>1.0137</v>
      </c>
      <c r="AB27" s="493">
        <f t="shared" si="35"/>
        <v>2.3494000000000002</v>
      </c>
      <c r="AC27" s="545">
        <f t="shared" si="36"/>
        <v>0.38600000000000001</v>
      </c>
      <c r="AD27" s="493">
        <f t="shared" si="37"/>
        <v>1.4932000000000001</v>
      </c>
      <c r="AE27" s="493">
        <f t="shared" si="38"/>
        <v>2.056</v>
      </c>
      <c r="AF27" s="493">
        <f t="shared" si="39"/>
        <v>2.056</v>
      </c>
      <c r="AG27" s="493" t="str">
        <f t="shared" si="40"/>
        <v>.</v>
      </c>
      <c r="AH27" s="493" t="str">
        <f t="shared" si="41"/>
        <v>.</v>
      </c>
      <c r="AI27" s="423">
        <f t="shared" si="42"/>
        <v>2077.79</v>
      </c>
      <c r="AJ27" s="423">
        <f t="shared" si="43"/>
        <v>4271.9399999999996</v>
      </c>
      <c r="AK27" s="423">
        <f t="shared" si="44"/>
        <v>356</v>
      </c>
      <c r="AN27" s="423" t="str">
        <f t="shared" si="45"/>
        <v>.</v>
      </c>
      <c r="AO27" s="423" t="str">
        <f t="shared" si="45"/>
        <v>.</v>
      </c>
      <c r="AR27" s="546">
        <f xml:space="preserve"> ROUND(  INDEX( Kx!27:27, AR$16 ),  AR$17 )</f>
        <v>0.67349999999999999</v>
      </c>
      <c r="AS27" s="547">
        <f xml:space="preserve"> ROUND(  INDEX( qx!27:27, AS$16 ),  AS$17 )</f>
        <v>2.9999999999999997E-4</v>
      </c>
      <c r="AT27" s="547">
        <f xml:space="preserve"> ROUND(  INDEX( qx!27:27, AT$16 ),  AT$17 )</f>
        <v>2.0000000000000001E-4</v>
      </c>
      <c r="AU27" s="548" t="str">
        <f t="shared" si="46"/>
        <v>F</v>
      </c>
      <c r="AV27" s="542">
        <f t="shared" si="47"/>
        <v>0.57899999999999996</v>
      </c>
      <c r="AW27" s="542">
        <f t="shared" si="48"/>
        <v>2.9999999999999997E-4</v>
      </c>
      <c r="AX27" s="546">
        <f xml:space="preserve"> ROUND(  INDEX( wx!27:27, AX$16 ),  AX$17 )</f>
        <v>0.1038</v>
      </c>
      <c r="AY27" s="546">
        <f xml:space="preserve"> ROUND(  INDEX( wx!27:27, AY$16 ),  AY$17 )</f>
        <v>0.13320000000000001</v>
      </c>
      <c r="AZ27" s="548" t="str">
        <f t="shared" si="49"/>
        <v>M</v>
      </c>
      <c r="BA27" s="542">
        <f t="shared" si="50"/>
        <v>0.75580000000000003</v>
      </c>
      <c r="BB27" s="542">
        <f t="shared" si="51"/>
        <v>0.111</v>
      </c>
      <c r="BC27" s="533">
        <f xml:space="preserve"> ROUND(  INDEX( Kx!27:27, BC$16 ),  BC$17 )</f>
        <v>1383.58</v>
      </c>
      <c r="BD27" s="533">
        <f xml:space="preserve"> ROUND(  INDEX( Kx!27:27, BD$16 ),  BD$17 )</f>
        <v>2529.52</v>
      </c>
      <c r="BE27" s="548" t="str">
        <f t="shared" si="52"/>
        <v>F</v>
      </c>
      <c r="BF27" s="542">
        <f t="shared" si="53"/>
        <v>0.57899999999999996</v>
      </c>
      <c r="BG27" s="420">
        <f t="shared" si="54"/>
        <v>1866.02</v>
      </c>
      <c r="BQ27" s="549">
        <f t="shared" si="96"/>
        <v>27</v>
      </c>
      <c r="BR27" s="423" t="str">
        <f t="shared" si="55"/>
        <v>.</v>
      </c>
      <c r="BS27" s="550" t="str">
        <f t="shared" si="56"/>
        <v>.</v>
      </c>
      <c r="BT27" s="423" t="str">
        <f t="shared" si="57"/>
        <v>.</v>
      </c>
      <c r="BU27" s="551" t="str">
        <f t="shared" si="58"/>
        <v>.</v>
      </c>
      <c r="BV27" s="551" t="str">
        <f t="shared" si="59"/>
        <v>.</v>
      </c>
      <c r="BW27" s="529" t="str">
        <f t="shared" si="60"/>
        <v>.</v>
      </c>
      <c r="BX27" s="552" t="str">
        <f t="shared" si="61"/>
        <v>.</v>
      </c>
      <c r="BY27" s="559"/>
      <c r="BZ27" s="559"/>
      <c r="CB27" s="423" t="str">
        <f t="shared" si="62"/>
        <v>.</v>
      </c>
      <c r="CC27" s="423" t="str">
        <f t="shared" si="63"/>
        <v>.</v>
      </c>
      <c r="CD27" s="423" t="str">
        <f t="shared" si="64"/>
        <v>.</v>
      </c>
      <c r="CE27" s="423" t="str">
        <f t="shared" si="65"/>
        <v>.</v>
      </c>
      <c r="CF27" s="553" t="str">
        <f t="shared" si="66"/>
        <v>.</v>
      </c>
      <c r="CH27" s="423" t="str">
        <f t="shared" si="67"/>
        <v>.</v>
      </c>
      <c r="CI27" s="423" t="str">
        <f t="shared" si="68"/>
        <v>.</v>
      </c>
      <c r="CJ27" s="423" t="str">
        <f t="shared" si="69"/>
        <v>.</v>
      </c>
      <c r="CK27" s="423" t="str">
        <f t="shared" si="97"/>
        <v>.</v>
      </c>
      <c r="CL27" s="553" t="str">
        <f t="shared" si="70"/>
        <v>.</v>
      </c>
      <c r="CN27" s="423" t="str">
        <f t="shared" si="71"/>
        <v>.</v>
      </c>
      <c r="CO27" s="423" t="str">
        <f t="shared" si="72"/>
        <v>.</v>
      </c>
      <c r="CP27" s="423" t="str">
        <f t="shared" si="73"/>
        <v>.</v>
      </c>
      <c r="CQ27" s="423" t="str">
        <f t="shared" si="74"/>
        <v>.</v>
      </c>
      <c r="CR27" s="553" t="str">
        <f t="shared" si="75"/>
        <v>.</v>
      </c>
      <c r="CV27" s="564">
        <f t="shared" si="98"/>
        <v>27</v>
      </c>
      <c r="CW27" s="538" t="str">
        <f t="shared" si="76"/>
        <v>.</v>
      </c>
      <c r="CX27" s="566" t="str">
        <f t="shared" si="77"/>
        <v>.</v>
      </c>
      <c r="CY27" s="538" t="str">
        <f t="shared" si="78"/>
        <v>.</v>
      </c>
      <c r="CZ27" s="538" t="str">
        <f t="shared" si="79"/>
        <v>.</v>
      </c>
      <c r="DA27" s="538" t="str">
        <f t="shared" si="80"/>
        <v>.</v>
      </c>
      <c r="DB27" s="567" t="e">
        <f t="shared" si="99"/>
        <v>#N/A</v>
      </c>
      <c r="DC27" s="567" t="e">
        <f t="shared" si="100"/>
        <v>#N/A</v>
      </c>
      <c r="DD27" s="567" t="e">
        <f t="shared" si="101"/>
        <v>#N/A</v>
      </c>
      <c r="DE27" s="567" t="e">
        <f t="shared" si="101"/>
        <v>#N/A</v>
      </c>
      <c r="DF27" s="568" t="e">
        <f t="shared" si="102"/>
        <v>#N/A</v>
      </c>
      <c r="DP27" s="554"/>
      <c r="DR27" s="385"/>
      <c r="DS27" s="385"/>
      <c r="DT27" s="385"/>
      <c r="EL27" s="553" t="str">
        <f t="shared" si="81"/>
        <v>.</v>
      </c>
      <c r="EM27" s="553" t="str">
        <f t="shared" si="82"/>
        <v>.</v>
      </c>
      <c r="EN27" s="423" t="str">
        <f t="shared" si="83"/>
        <v>.</v>
      </c>
      <c r="EO27" s="555" t="str">
        <f xml:space="preserve"> 'i2'!AO27</f>
        <v>.</v>
      </c>
      <c r="EV27" s="533" t="e">
        <f xml:space="preserve"> ROUND(    IF( $A$15=BE_MF_,   LEER,   INDEX( Kx!27:27, EV$16 ) ),    EV$17    )</f>
        <v>#VALUE!</v>
      </c>
      <c r="EW27" s="533" t="e">
        <f xml:space="preserve"> ROUND(    IF( $A$15=BE_MF_,   LEER,   INDEX( Kx!27:27, EW$16 ) ),    EW$17    )</f>
        <v>#VALUE!</v>
      </c>
      <c r="EX27" s="533" t="e">
        <f xml:space="preserve"> ROUND(    IF( $A$15=BE_MF_,   LEER,   INDEX( Kx!27:27, EX$16 ) ),    EX$17    )</f>
        <v>#VALUE!</v>
      </c>
      <c r="EY27" s="556" t="e">
        <f t="shared" si="103"/>
        <v>#VALUE!</v>
      </c>
      <c r="FB27" s="533" t="e">
        <f xml:space="preserve"> ROUND(    IF( $A$15=BE_MF_,   LEER,   INDEX( Kx!27:27, FB$16 ) ),    FB$17    )</f>
        <v>#VALUE!</v>
      </c>
      <c r="FC27" s="533" t="e">
        <f xml:space="preserve"> ROUND(    IF( $A$15=BE_MF_,   LEER,   INDEX( Kx!27:27, FC$16 ) ),    FC$17    )</f>
        <v>#VALUE!</v>
      </c>
      <c r="FD27" s="556" t="e">
        <f t="shared" si="104"/>
        <v>#VALUE!</v>
      </c>
      <c r="FG27" s="556" t="e">
        <f t="shared" si="105"/>
        <v>#VALUE!</v>
      </c>
      <c r="FH27" s="556" t="e">
        <f t="shared" si="105"/>
        <v>#VALUE!</v>
      </c>
      <c r="FI27" s="556" t="e">
        <f t="shared" si="105"/>
        <v>#VALUE!</v>
      </c>
      <c r="FN27" s="557">
        <f t="shared" si="84"/>
        <v>27</v>
      </c>
      <c r="FO27" s="493">
        <f t="shared" si="85"/>
        <v>19.8017</v>
      </c>
      <c r="FP27" s="493">
        <f t="shared" si="86"/>
        <v>13.490399999999999</v>
      </c>
      <c r="FR27" s="427">
        <f t="shared" si="106"/>
        <v>27556.25</v>
      </c>
      <c r="FS27" s="558">
        <f t="shared" si="87"/>
        <v>7496.3</v>
      </c>
      <c r="FT27" s="558">
        <f t="shared" si="87"/>
        <v>6361.08</v>
      </c>
      <c r="FU27" s="558">
        <f t="shared" si="87"/>
        <v>5223.05</v>
      </c>
      <c r="FV27" s="558">
        <f t="shared" si="87"/>
        <v>4085.02</v>
      </c>
      <c r="FW27" s="558">
        <f t="shared" si="87"/>
        <v>2907.75</v>
      </c>
      <c r="FX27" s="558">
        <f t="shared" si="87"/>
        <v>1696.85</v>
      </c>
      <c r="FY27" s="558">
        <f t="shared" si="87"/>
        <v>497.15</v>
      </c>
      <c r="FZ27" s="558">
        <f t="shared" si="87"/>
        <v>-710.95</v>
      </c>
      <c r="GA27" s="558" t="str">
        <f t="shared" si="87"/>
        <v>.</v>
      </c>
      <c r="GB27" s="558" t="str">
        <f t="shared" si="87"/>
        <v>.</v>
      </c>
      <c r="GC27" s="558" t="str">
        <f t="shared" si="87"/>
        <v>.</v>
      </c>
      <c r="GD27" s="558" t="str">
        <f t="shared" si="87"/>
        <v>.</v>
      </c>
      <c r="GE27" s="558" t="str">
        <f t="shared" si="87"/>
        <v>.</v>
      </c>
      <c r="GF27" s="558" t="str">
        <f t="shared" si="87"/>
        <v>.</v>
      </c>
      <c r="GG27" s="558" t="str">
        <f t="shared" si="87"/>
        <v>.</v>
      </c>
      <c r="GH27" s="558" t="str">
        <f t="shared" si="87"/>
        <v>.</v>
      </c>
      <c r="GI27" s="558" t="str">
        <f t="shared" si="88"/>
        <v>.</v>
      </c>
      <c r="GJ27" s="558" t="str">
        <f t="shared" si="88"/>
        <v>.</v>
      </c>
      <c r="GK27" s="558" t="str">
        <f t="shared" si="88"/>
        <v>.</v>
      </c>
      <c r="GL27" s="558" t="str">
        <f t="shared" si="88"/>
        <v>.</v>
      </c>
      <c r="GM27" s="558" t="str">
        <f t="shared" si="88"/>
        <v>.</v>
      </c>
      <c r="GN27" s="558" t="str">
        <f t="shared" si="88"/>
        <v>.</v>
      </c>
      <c r="GO27" s="558" t="str">
        <f t="shared" si="88"/>
        <v>.</v>
      </c>
      <c r="GP27" s="558" t="str">
        <f t="shared" si="88"/>
        <v>.</v>
      </c>
      <c r="GQ27" s="558" t="str">
        <f t="shared" si="88"/>
        <v>.</v>
      </c>
      <c r="GR27" s="558" t="str">
        <f t="shared" si="88"/>
        <v>.</v>
      </c>
      <c r="GS27" s="558" t="str">
        <f t="shared" si="88"/>
        <v>.</v>
      </c>
      <c r="GT27" s="558" t="str">
        <f t="shared" si="88"/>
        <v>.</v>
      </c>
      <c r="GU27" s="558" t="str">
        <f t="shared" si="88"/>
        <v>.</v>
      </c>
      <c r="GV27" s="558" t="str">
        <f t="shared" si="88"/>
        <v>.</v>
      </c>
      <c r="GW27" s="558" t="str">
        <f t="shared" si="88"/>
        <v>.</v>
      </c>
      <c r="GX27" s="558" t="str">
        <f t="shared" si="88"/>
        <v>.</v>
      </c>
      <c r="GY27" s="558" t="str">
        <f t="shared" si="89"/>
        <v>.</v>
      </c>
      <c r="GZ27" s="558" t="str">
        <f t="shared" si="89"/>
        <v>.</v>
      </c>
      <c r="HA27" s="558" t="str">
        <f t="shared" si="89"/>
        <v>.</v>
      </c>
      <c r="HB27" s="558" t="str">
        <f t="shared" si="89"/>
        <v>.</v>
      </c>
      <c r="HC27" s="558" t="str">
        <f t="shared" si="89"/>
        <v>.</v>
      </c>
      <c r="HD27" s="558" t="str">
        <f t="shared" si="89"/>
        <v>.</v>
      </c>
      <c r="HE27" s="558" t="str">
        <f t="shared" si="89"/>
        <v>.</v>
      </c>
      <c r="HF27" s="558" t="str">
        <f t="shared" si="89"/>
        <v>.</v>
      </c>
      <c r="HG27" s="558" t="str">
        <f t="shared" si="89"/>
        <v>.</v>
      </c>
      <c r="HH27" s="558" t="str">
        <f t="shared" si="89"/>
        <v>.</v>
      </c>
      <c r="HI27" s="558" t="str">
        <f t="shared" si="89"/>
        <v>.</v>
      </c>
      <c r="HJ27" s="558" t="str">
        <f t="shared" si="89"/>
        <v>.</v>
      </c>
      <c r="HK27" s="558" t="str">
        <f t="shared" si="89"/>
        <v>.</v>
      </c>
      <c r="HL27" s="558" t="str">
        <f t="shared" si="89"/>
        <v>.</v>
      </c>
      <c r="HM27" s="558" t="str">
        <f t="shared" si="89"/>
        <v>.</v>
      </c>
      <c r="HN27" s="558" t="str">
        <f t="shared" si="89"/>
        <v>.</v>
      </c>
      <c r="HO27" s="558" t="str">
        <f t="shared" si="90"/>
        <v>.</v>
      </c>
      <c r="HP27" s="558" t="str">
        <f t="shared" si="90"/>
        <v>.</v>
      </c>
      <c r="HQ27" s="558" t="str">
        <f t="shared" si="90"/>
        <v>.</v>
      </c>
      <c r="HR27" s="558" t="str">
        <f t="shared" si="90"/>
        <v>.</v>
      </c>
      <c r="HS27" s="558" t="str">
        <f t="shared" si="90"/>
        <v>.</v>
      </c>
      <c r="HT27" s="558" t="str">
        <f t="shared" si="90"/>
        <v>.</v>
      </c>
      <c r="HU27" s="558" t="str">
        <f t="shared" si="90"/>
        <v>.</v>
      </c>
      <c r="HV27" s="558" t="str">
        <f t="shared" si="90"/>
        <v>.</v>
      </c>
      <c r="HW27" s="558" t="str">
        <f t="shared" si="90"/>
        <v>.</v>
      </c>
      <c r="HX27" s="558" t="str">
        <f t="shared" si="90"/>
        <v>.</v>
      </c>
      <c r="HY27" s="558" t="str">
        <f t="shared" si="90"/>
        <v>.</v>
      </c>
      <c r="HZ27" s="558" t="str">
        <f t="shared" si="90"/>
        <v>.</v>
      </c>
      <c r="IA27" s="558" t="str">
        <f t="shared" si="90"/>
        <v>.</v>
      </c>
      <c r="IB27" s="558" t="str">
        <f t="shared" si="90"/>
        <v>.</v>
      </c>
      <c r="IC27" s="558" t="str">
        <f t="shared" si="90"/>
        <v>.</v>
      </c>
      <c r="ID27" s="558" t="str">
        <f t="shared" si="90"/>
        <v>.</v>
      </c>
      <c r="IE27" s="558" t="str">
        <f t="shared" si="90"/>
        <v>.</v>
      </c>
      <c r="IF27" s="558" t="str">
        <f t="shared" si="90"/>
        <v>.</v>
      </c>
      <c r="IG27" s="558" t="str">
        <f t="shared" si="91"/>
        <v>.</v>
      </c>
      <c r="IH27" s="558" t="str">
        <f t="shared" si="91"/>
        <v>.</v>
      </c>
      <c r="II27" s="558" t="str">
        <f t="shared" si="91"/>
        <v>.</v>
      </c>
      <c r="IJ27" s="558" t="str">
        <f t="shared" si="91"/>
        <v>.</v>
      </c>
      <c r="IK27" s="558" t="str">
        <f t="shared" si="91"/>
        <v>.</v>
      </c>
      <c r="IL27" s="558" t="str">
        <f t="shared" si="91"/>
        <v>.</v>
      </c>
      <c r="IM27" s="558" t="str">
        <f t="shared" si="91"/>
        <v>.</v>
      </c>
      <c r="IN27" s="558" t="str">
        <f t="shared" si="91"/>
        <v>.</v>
      </c>
      <c r="IO27" s="558" t="str">
        <f t="shared" si="91"/>
        <v>.</v>
      </c>
      <c r="IP27" s="558" t="str">
        <f t="shared" si="91"/>
        <v>.</v>
      </c>
      <c r="IQ27" s="558" t="str">
        <f t="shared" si="91"/>
        <v>.</v>
      </c>
      <c r="IR27" s="558" t="str">
        <f t="shared" si="91"/>
        <v>.</v>
      </c>
      <c r="IS27" s="558" t="str">
        <f t="shared" si="91"/>
        <v>.</v>
      </c>
      <c r="IT27" s="558" t="str">
        <f t="shared" si="91"/>
        <v>.</v>
      </c>
      <c r="IU27" s="558" t="str">
        <f t="shared" si="91"/>
        <v>.</v>
      </c>
      <c r="IV27" s="558" t="str">
        <f t="shared" si="91"/>
        <v>.</v>
      </c>
      <c r="IW27" s="558" t="str">
        <f t="shared" si="91"/>
        <v>.</v>
      </c>
      <c r="IX27" s="558" t="str">
        <f t="shared" si="91"/>
        <v>.</v>
      </c>
      <c r="IY27" s="558" t="str">
        <f t="shared" si="91"/>
        <v>.</v>
      </c>
      <c r="IZ27" s="558" t="str">
        <f t="shared" si="91"/>
        <v>.</v>
      </c>
      <c r="JA27" s="558" t="str">
        <f t="shared" si="91"/>
        <v>.</v>
      </c>
      <c r="JB27" s="558" t="str">
        <f t="shared" si="91"/>
        <v>.</v>
      </c>
      <c r="JC27" s="558" t="str">
        <f t="shared" si="91"/>
        <v>.</v>
      </c>
      <c r="JD27" s="558" t="str">
        <f t="shared" si="91"/>
        <v>.</v>
      </c>
      <c r="JE27" s="558" t="str">
        <f t="shared" si="91"/>
        <v>.</v>
      </c>
      <c r="JF27" s="558" t="str">
        <f t="shared" si="92"/>
        <v>.</v>
      </c>
      <c r="JG27" s="558" t="str">
        <f t="shared" si="92"/>
        <v>.</v>
      </c>
      <c r="JH27" s="558" t="str">
        <f t="shared" si="92"/>
        <v>.</v>
      </c>
      <c r="JI27" s="558" t="str">
        <f t="shared" si="92"/>
        <v>.</v>
      </c>
      <c r="JJ27" s="558" t="str">
        <f t="shared" si="92"/>
        <v>.</v>
      </c>
      <c r="JK27" s="558" t="str">
        <f t="shared" si="92"/>
        <v>.</v>
      </c>
      <c r="JL27" s="558" t="str">
        <f t="shared" si="92"/>
        <v>.</v>
      </c>
      <c r="JM27" s="558" t="str">
        <f t="shared" si="92"/>
        <v>.</v>
      </c>
      <c r="JN27" s="558" t="str">
        <f t="shared" si="92"/>
        <v>.</v>
      </c>
      <c r="JO27" s="558" t="str">
        <f t="shared" si="92"/>
        <v>.</v>
      </c>
    </row>
    <row r="28" spans="1:275" x14ac:dyDescent="0.2">
      <c r="A28" s="534">
        <f xml:space="preserve"> Basis!A28</f>
        <v>28</v>
      </c>
      <c r="F28" s="536">
        <f xml:space="preserve"> ROUND(    IF( $A$15=BE_MF_,   AW28,   INDEX( qx!28:28, F$16 ) ),    F$17    )</f>
        <v>2.9999999999999997E-4</v>
      </c>
      <c r="G28" s="536">
        <f xml:space="preserve"> ROUND(    IF( $A$15=BE_MF_,   BB28,   INDEX( wx!28:28, G$16 ) ),    G$17    )</f>
        <v>9.9699999999999997E-2</v>
      </c>
      <c r="H28" s="537">
        <f xml:space="preserve"> ROUND(    IF( $A$15=BE_MF_,   BG28,   INDEX( Kx!28:28, H$16 ) ),    H$17    )</f>
        <v>1830.8</v>
      </c>
      <c r="I28" s="538">
        <f t="shared" si="93"/>
        <v>1830.8</v>
      </c>
      <c r="J28" s="539">
        <f t="shared" si="23"/>
        <v>0.88100000000000001</v>
      </c>
      <c r="K28" s="540">
        <f t="shared" si="94"/>
        <v>2</v>
      </c>
      <c r="L28" s="541">
        <f t="shared" si="24"/>
        <v>0</v>
      </c>
      <c r="M28" s="541">
        <f t="shared" si="24"/>
        <v>8.5999999999999993E-2</v>
      </c>
      <c r="O28" s="542" t="b">
        <f t="shared" si="95"/>
        <v>1</v>
      </c>
      <c r="P28" s="493">
        <f t="shared" si="25"/>
        <v>0.1</v>
      </c>
      <c r="Q28" s="493">
        <f t="shared" si="26"/>
        <v>0.9</v>
      </c>
      <c r="R28" s="543">
        <f t="shared" si="27"/>
        <v>1825019</v>
      </c>
      <c r="S28" s="544">
        <f t="shared" si="28"/>
        <v>0.97560975599999999</v>
      </c>
      <c r="T28" s="423">
        <f t="shared" si="29"/>
        <v>914111.47</v>
      </c>
      <c r="U28" s="423">
        <f xml:space="preserve"> IF( $O28,    ROUND(  SUM( T28:T$120), U$17 ),  LEER  )</f>
        <v>13168749.02</v>
      </c>
      <c r="V28" s="493">
        <f t="shared" si="30"/>
        <v>14.4061</v>
      </c>
      <c r="W28" s="493">
        <f t="shared" si="31"/>
        <v>805332.21</v>
      </c>
      <c r="X28" s="493">
        <f xml:space="preserve"> IF( $O28,    ROUND(  SUM( W28:W$120), X$17 ),  LEER  )</f>
        <v>19930331.25</v>
      </c>
      <c r="Y28" s="493">
        <f t="shared" si="32"/>
        <v>21.803000000000001</v>
      </c>
      <c r="Z28" s="493">
        <f t="shared" si="33"/>
        <v>1.5135000000000001</v>
      </c>
      <c r="AA28" s="493">
        <f t="shared" si="34"/>
        <v>1.0127999999999999</v>
      </c>
      <c r="AB28" s="493">
        <f t="shared" si="35"/>
        <v>2.3494000000000002</v>
      </c>
      <c r="AC28" s="545">
        <f t="shared" si="36"/>
        <v>0.38600000000000001</v>
      </c>
      <c r="AD28" s="493">
        <f t="shared" si="37"/>
        <v>1.5378000000000001</v>
      </c>
      <c r="AE28" s="493">
        <f t="shared" si="38"/>
        <v>2.1048</v>
      </c>
      <c r="AF28" s="493">
        <f t="shared" si="39"/>
        <v>2.1048</v>
      </c>
      <c r="AG28" s="493" t="str">
        <f t="shared" si="40"/>
        <v>.</v>
      </c>
      <c r="AH28" s="493" t="str">
        <f t="shared" si="41"/>
        <v>.</v>
      </c>
      <c r="AI28" s="423">
        <f t="shared" si="42"/>
        <v>2077.79</v>
      </c>
      <c r="AJ28" s="423">
        <f t="shared" si="43"/>
        <v>4373.33</v>
      </c>
      <c r="AK28" s="423">
        <f t="shared" si="44"/>
        <v>364.44</v>
      </c>
      <c r="AN28" s="423" t="str">
        <f t="shared" si="45"/>
        <v>.</v>
      </c>
      <c r="AO28" s="423" t="str">
        <f t="shared" si="45"/>
        <v>.</v>
      </c>
      <c r="AR28" s="546">
        <f xml:space="preserve"> ROUND(  INDEX( Kx!28:28, AR$16 ),  AR$17 )</f>
        <v>0.72460000000000002</v>
      </c>
      <c r="AS28" s="547">
        <f xml:space="preserve"> ROUND(  INDEX( qx!28:28, AS$16 ),  AS$17 )</f>
        <v>2.9999999999999997E-4</v>
      </c>
      <c r="AT28" s="547">
        <f xml:space="preserve"> ROUND(  INDEX( qx!28:28, AT$16 ),  AT$17 )</f>
        <v>2.0000000000000001E-4</v>
      </c>
      <c r="AU28" s="548" t="str">
        <f t="shared" si="46"/>
        <v>F</v>
      </c>
      <c r="AV28" s="542">
        <f t="shared" si="47"/>
        <v>0.63690000000000002</v>
      </c>
      <c r="AW28" s="542">
        <f t="shared" si="48"/>
        <v>2.9999999999999997E-4</v>
      </c>
      <c r="AX28" s="546">
        <f xml:space="preserve"> ROUND(  INDEX( wx!28:28, AX$16 ),  AX$17 )</f>
        <v>9.4299999999999995E-2</v>
      </c>
      <c r="AY28" s="546">
        <f xml:space="preserve"> ROUND(  INDEX( wx!28:28, AY$16 ),  AY$17 )</f>
        <v>0.1211</v>
      </c>
      <c r="AZ28" s="548" t="str">
        <f t="shared" si="49"/>
        <v>M</v>
      </c>
      <c r="BA28" s="542">
        <f t="shared" si="50"/>
        <v>0.79779999999999995</v>
      </c>
      <c r="BB28" s="542">
        <f t="shared" si="51"/>
        <v>9.9699999999999997E-2</v>
      </c>
      <c r="BC28" s="533">
        <f xml:space="preserve"> ROUND(  INDEX( Kx!28:28, BC$16 ),  BC$17 )</f>
        <v>1375.81</v>
      </c>
      <c r="BD28" s="533">
        <f xml:space="preserve"> ROUND(  INDEX( Kx!28:28, BD$16 ),  BD$17 )</f>
        <v>2628.89</v>
      </c>
      <c r="BE28" s="548" t="str">
        <f t="shared" si="52"/>
        <v>F</v>
      </c>
      <c r="BF28" s="542">
        <f t="shared" si="53"/>
        <v>0.63690000000000002</v>
      </c>
      <c r="BG28" s="420">
        <f t="shared" si="54"/>
        <v>1830.8</v>
      </c>
      <c r="BQ28" s="549">
        <f t="shared" si="96"/>
        <v>28</v>
      </c>
      <c r="BR28" s="423" t="str">
        <f t="shared" si="55"/>
        <v>.</v>
      </c>
      <c r="BS28" s="550" t="str">
        <f t="shared" si="56"/>
        <v>.</v>
      </c>
      <c r="BT28" s="423" t="str">
        <f t="shared" si="57"/>
        <v>.</v>
      </c>
      <c r="BU28" s="551" t="str">
        <f t="shared" si="58"/>
        <v>.</v>
      </c>
      <c r="BV28" s="551" t="str">
        <f t="shared" si="59"/>
        <v>.</v>
      </c>
      <c r="BW28" s="529" t="str">
        <f t="shared" si="60"/>
        <v>.</v>
      </c>
      <c r="BX28" s="552" t="str">
        <f t="shared" si="61"/>
        <v>.</v>
      </c>
      <c r="BY28" s="559"/>
      <c r="BZ28" s="559"/>
      <c r="CB28" s="423" t="str">
        <f t="shared" si="62"/>
        <v>.</v>
      </c>
      <c r="CC28" s="423" t="str">
        <f t="shared" si="63"/>
        <v>.</v>
      </c>
      <c r="CD28" s="423" t="str">
        <f t="shared" si="64"/>
        <v>.</v>
      </c>
      <c r="CE28" s="423" t="str">
        <f t="shared" si="65"/>
        <v>.</v>
      </c>
      <c r="CF28" s="553" t="str">
        <f t="shared" si="66"/>
        <v>.</v>
      </c>
      <c r="CH28" s="423" t="str">
        <f t="shared" si="67"/>
        <v>.</v>
      </c>
      <c r="CI28" s="423" t="str">
        <f t="shared" si="68"/>
        <v>.</v>
      </c>
      <c r="CJ28" s="423" t="str">
        <f t="shared" si="69"/>
        <v>.</v>
      </c>
      <c r="CK28" s="423" t="str">
        <f t="shared" si="97"/>
        <v>.</v>
      </c>
      <c r="CL28" s="553" t="str">
        <f t="shared" si="70"/>
        <v>.</v>
      </c>
      <c r="CN28" s="423" t="str">
        <f t="shared" si="71"/>
        <v>.</v>
      </c>
      <c r="CO28" s="423" t="str">
        <f t="shared" si="72"/>
        <v>.</v>
      </c>
      <c r="CP28" s="423" t="str">
        <f t="shared" si="73"/>
        <v>.</v>
      </c>
      <c r="CQ28" s="423" t="str">
        <f t="shared" si="74"/>
        <v>.</v>
      </c>
      <c r="CR28" s="553" t="str">
        <f t="shared" si="75"/>
        <v>.</v>
      </c>
      <c r="CV28" s="564">
        <f t="shared" si="98"/>
        <v>28</v>
      </c>
      <c r="CW28" s="538" t="str">
        <f t="shared" si="76"/>
        <v>.</v>
      </c>
      <c r="CX28" s="566" t="str">
        <f t="shared" si="77"/>
        <v>.</v>
      </c>
      <c r="CY28" s="538" t="str">
        <f t="shared" si="78"/>
        <v>.</v>
      </c>
      <c r="CZ28" s="538" t="str">
        <f t="shared" si="79"/>
        <v>.</v>
      </c>
      <c r="DA28" s="538" t="str">
        <f t="shared" si="80"/>
        <v>.</v>
      </c>
      <c r="DB28" s="567" t="e">
        <f t="shared" si="99"/>
        <v>#N/A</v>
      </c>
      <c r="DC28" s="567" t="e">
        <f t="shared" si="100"/>
        <v>#N/A</v>
      </c>
      <c r="DD28" s="567" t="e">
        <f t="shared" si="101"/>
        <v>#N/A</v>
      </c>
      <c r="DE28" s="567" t="e">
        <f t="shared" si="101"/>
        <v>#N/A</v>
      </c>
      <c r="DF28" s="568" t="e">
        <f t="shared" si="102"/>
        <v>#N/A</v>
      </c>
      <c r="DP28" s="554"/>
      <c r="DR28" s="385"/>
      <c r="DS28" s="385"/>
      <c r="DT28" s="385"/>
      <c r="EL28" s="553" t="str">
        <f t="shared" si="81"/>
        <v>.</v>
      </c>
      <c r="EM28" s="553" t="str">
        <f t="shared" si="82"/>
        <v>.</v>
      </c>
      <c r="EN28" s="423" t="str">
        <f t="shared" si="83"/>
        <v>.</v>
      </c>
      <c r="EO28" s="555" t="str">
        <f xml:space="preserve"> 'i2'!AO28</f>
        <v>.</v>
      </c>
      <c r="EV28" s="533" t="e">
        <f xml:space="preserve"> ROUND(    IF( $A$15=BE_MF_,   LEER,   INDEX( Kx!28:28, EV$16 ) ),    EV$17    )</f>
        <v>#VALUE!</v>
      </c>
      <c r="EW28" s="533" t="e">
        <f xml:space="preserve"> ROUND(    IF( $A$15=BE_MF_,   LEER,   INDEX( Kx!28:28, EW$16 ) ),    EW$17    )</f>
        <v>#VALUE!</v>
      </c>
      <c r="EX28" s="533" t="e">
        <f xml:space="preserve"> ROUND(    IF( $A$15=BE_MF_,   LEER,   INDEX( Kx!28:28, EX$16 ) ),    EX$17    )</f>
        <v>#VALUE!</v>
      </c>
      <c r="EY28" s="556" t="e">
        <f t="shared" si="103"/>
        <v>#VALUE!</v>
      </c>
      <c r="FB28" s="533" t="e">
        <f xml:space="preserve"> ROUND(    IF( $A$15=BE_MF_,   LEER,   INDEX( Kx!28:28, FB$16 ) ),    FB$17    )</f>
        <v>#VALUE!</v>
      </c>
      <c r="FC28" s="533" t="e">
        <f xml:space="preserve"> ROUND(    IF( $A$15=BE_MF_,   LEER,   INDEX( Kx!28:28, FC$16 ) ),    FC$17    )</f>
        <v>#VALUE!</v>
      </c>
      <c r="FD28" s="556" t="e">
        <f t="shared" si="104"/>
        <v>#VALUE!</v>
      </c>
      <c r="FG28" s="556" t="e">
        <f t="shared" si="105"/>
        <v>#VALUE!</v>
      </c>
      <c r="FH28" s="556" t="e">
        <f t="shared" si="105"/>
        <v>#VALUE!</v>
      </c>
      <c r="FI28" s="556" t="e">
        <f t="shared" si="105"/>
        <v>#VALUE!</v>
      </c>
      <c r="FN28" s="557">
        <f t="shared" si="84"/>
        <v>28</v>
      </c>
      <c r="FO28" s="493">
        <f t="shared" si="85"/>
        <v>21.803000000000001</v>
      </c>
      <c r="FP28" s="493">
        <f t="shared" si="86"/>
        <v>14.4061</v>
      </c>
      <c r="FR28" s="427">
        <f t="shared" si="106"/>
        <v>39622.250000000007</v>
      </c>
      <c r="FS28" s="558">
        <f t="shared" si="87"/>
        <v>9370.66</v>
      </c>
      <c r="FT28" s="558">
        <f t="shared" si="87"/>
        <v>8158.38</v>
      </c>
      <c r="FU28" s="558">
        <f t="shared" si="87"/>
        <v>6943.11</v>
      </c>
      <c r="FV28" s="558">
        <f t="shared" si="87"/>
        <v>5727.83</v>
      </c>
      <c r="FW28" s="558">
        <f t="shared" si="87"/>
        <v>4470.6499999999996</v>
      </c>
      <c r="FX28" s="558">
        <f t="shared" si="87"/>
        <v>3177.55</v>
      </c>
      <c r="FY28" s="558">
        <f t="shared" si="87"/>
        <v>1896.43</v>
      </c>
      <c r="FZ28" s="558">
        <f t="shared" si="87"/>
        <v>606.32000000000005</v>
      </c>
      <c r="GA28" s="558">
        <f t="shared" si="87"/>
        <v>-728.68</v>
      </c>
      <c r="GB28" s="558" t="str">
        <f t="shared" si="87"/>
        <v>.</v>
      </c>
      <c r="GC28" s="558" t="str">
        <f t="shared" si="87"/>
        <v>.</v>
      </c>
      <c r="GD28" s="558" t="str">
        <f t="shared" si="87"/>
        <v>.</v>
      </c>
      <c r="GE28" s="558" t="str">
        <f t="shared" si="87"/>
        <v>.</v>
      </c>
      <c r="GF28" s="558" t="str">
        <f t="shared" si="87"/>
        <v>.</v>
      </c>
      <c r="GG28" s="558" t="str">
        <f t="shared" si="87"/>
        <v>.</v>
      </c>
      <c r="GH28" s="558" t="str">
        <f t="shared" si="87"/>
        <v>.</v>
      </c>
      <c r="GI28" s="558" t="str">
        <f t="shared" si="88"/>
        <v>.</v>
      </c>
      <c r="GJ28" s="558" t="str">
        <f t="shared" si="88"/>
        <v>.</v>
      </c>
      <c r="GK28" s="558" t="str">
        <f t="shared" si="88"/>
        <v>.</v>
      </c>
      <c r="GL28" s="558" t="str">
        <f t="shared" si="88"/>
        <v>.</v>
      </c>
      <c r="GM28" s="558" t="str">
        <f t="shared" si="88"/>
        <v>.</v>
      </c>
      <c r="GN28" s="558" t="str">
        <f t="shared" si="88"/>
        <v>.</v>
      </c>
      <c r="GO28" s="558" t="str">
        <f t="shared" si="88"/>
        <v>.</v>
      </c>
      <c r="GP28" s="558" t="str">
        <f t="shared" si="88"/>
        <v>.</v>
      </c>
      <c r="GQ28" s="558" t="str">
        <f t="shared" si="88"/>
        <v>.</v>
      </c>
      <c r="GR28" s="558" t="str">
        <f t="shared" si="88"/>
        <v>.</v>
      </c>
      <c r="GS28" s="558" t="str">
        <f t="shared" si="88"/>
        <v>.</v>
      </c>
      <c r="GT28" s="558" t="str">
        <f t="shared" si="88"/>
        <v>.</v>
      </c>
      <c r="GU28" s="558" t="str">
        <f t="shared" si="88"/>
        <v>.</v>
      </c>
      <c r="GV28" s="558" t="str">
        <f t="shared" si="88"/>
        <v>.</v>
      </c>
      <c r="GW28" s="558" t="str">
        <f t="shared" si="88"/>
        <v>.</v>
      </c>
      <c r="GX28" s="558" t="str">
        <f t="shared" si="88"/>
        <v>.</v>
      </c>
      <c r="GY28" s="558" t="str">
        <f t="shared" si="89"/>
        <v>.</v>
      </c>
      <c r="GZ28" s="558" t="str">
        <f t="shared" si="89"/>
        <v>.</v>
      </c>
      <c r="HA28" s="558" t="str">
        <f t="shared" si="89"/>
        <v>.</v>
      </c>
      <c r="HB28" s="558" t="str">
        <f t="shared" si="89"/>
        <v>.</v>
      </c>
      <c r="HC28" s="558" t="str">
        <f t="shared" si="89"/>
        <v>.</v>
      </c>
      <c r="HD28" s="558" t="str">
        <f t="shared" si="89"/>
        <v>.</v>
      </c>
      <c r="HE28" s="558" t="str">
        <f t="shared" si="89"/>
        <v>.</v>
      </c>
      <c r="HF28" s="558" t="str">
        <f t="shared" si="89"/>
        <v>.</v>
      </c>
      <c r="HG28" s="558" t="str">
        <f t="shared" si="89"/>
        <v>.</v>
      </c>
      <c r="HH28" s="558" t="str">
        <f t="shared" si="89"/>
        <v>.</v>
      </c>
      <c r="HI28" s="558" t="str">
        <f t="shared" si="89"/>
        <v>.</v>
      </c>
      <c r="HJ28" s="558" t="str">
        <f t="shared" si="89"/>
        <v>.</v>
      </c>
      <c r="HK28" s="558" t="str">
        <f t="shared" si="89"/>
        <v>.</v>
      </c>
      <c r="HL28" s="558" t="str">
        <f t="shared" si="89"/>
        <v>.</v>
      </c>
      <c r="HM28" s="558" t="str">
        <f t="shared" si="89"/>
        <v>.</v>
      </c>
      <c r="HN28" s="558" t="str">
        <f t="shared" si="89"/>
        <v>.</v>
      </c>
      <c r="HO28" s="558" t="str">
        <f t="shared" si="90"/>
        <v>.</v>
      </c>
      <c r="HP28" s="558" t="str">
        <f t="shared" si="90"/>
        <v>.</v>
      </c>
      <c r="HQ28" s="558" t="str">
        <f t="shared" si="90"/>
        <v>.</v>
      </c>
      <c r="HR28" s="558" t="str">
        <f t="shared" si="90"/>
        <v>.</v>
      </c>
      <c r="HS28" s="558" t="str">
        <f t="shared" si="90"/>
        <v>.</v>
      </c>
      <c r="HT28" s="558" t="str">
        <f t="shared" si="90"/>
        <v>.</v>
      </c>
      <c r="HU28" s="558" t="str">
        <f t="shared" si="90"/>
        <v>.</v>
      </c>
      <c r="HV28" s="558" t="str">
        <f t="shared" si="90"/>
        <v>.</v>
      </c>
      <c r="HW28" s="558" t="str">
        <f t="shared" si="90"/>
        <v>.</v>
      </c>
      <c r="HX28" s="558" t="str">
        <f t="shared" si="90"/>
        <v>.</v>
      </c>
      <c r="HY28" s="558" t="str">
        <f t="shared" si="90"/>
        <v>.</v>
      </c>
      <c r="HZ28" s="558" t="str">
        <f t="shared" si="90"/>
        <v>.</v>
      </c>
      <c r="IA28" s="558" t="str">
        <f t="shared" si="90"/>
        <v>.</v>
      </c>
      <c r="IB28" s="558" t="str">
        <f t="shared" si="90"/>
        <v>.</v>
      </c>
      <c r="IC28" s="558" t="str">
        <f t="shared" si="90"/>
        <v>.</v>
      </c>
      <c r="ID28" s="558" t="str">
        <f t="shared" si="90"/>
        <v>.</v>
      </c>
      <c r="IE28" s="558" t="str">
        <f t="shared" si="90"/>
        <v>.</v>
      </c>
      <c r="IF28" s="558" t="str">
        <f t="shared" si="90"/>
        <v>.</v>
      </c>
      <c r="IG28" s="558" t="str">
        <f t="shared" si="91"/>
        <v>.</v>
      </c>
      <c r="IH28" s="558" t="str">
        <f t="shared" si="91"/>
        <v>.</v>
      </c>
      <c r="II28" s="558" t="str">
        <f t="shared" si="91"/>
        <v>.</v>
      </c>
      <c r="IJ28" s="558" t="str">
        <f t="shared" si="91"/>
        <v>.</v>
      </c>
      <c r="IK28" s="558" t="str">
        <f t="shared" si="91"/>
        <v>.</v>
      </c>
      <c r="IL28" s="558" t="str">
        <f t="shared" si="91"/>
        <v>.</v>
      </c>
      <c r="IM28" s="558" t="str">
        <f t="shared" si="91"/>
        <v>.</v>
      </c>
      <c r="IN28" s="558" t="str">
        <f t="shared" si="91"/>
        <v>.</v>
      </c>
      <c r="IO28" s="558" t="str">
        <f t="shared" si="91"/>
        <v>.</v>
      </c>
      <c r="IP28" s="558" t="str">
        <f t="shared" si="91"/>
        <v>.</v>
      </c>
      <c r="IQ28" s="558" t="str">
        <f t="shared" si="91"/>
        <v>.</v>
      </c>
      <c r="IR28" s="558" t="str">
        <f t="shared" si="91"/>
        <v>.</v>
      </c>
      <c r="IS28" s="558" t="str">
        <f t="shared" si="91"/>
        <v>.</v>
      </c>
      <c r="IT28" s="558" t="str">
        <f t="shared" si="91"/>
        <v>.</v>
      </c>
      <c r="IU28" s="558" t="str">
        <f t="shared" si="91"/>
        <v>.</v>
      </c>
      <c r="IV28" s="558" t="str">
        <f t="shared" si="91"/>
        <v>.</v>
      </c>
      <c r="IW28" s="558" t="str">
        <f t="shared" si="91"/>
        <v>.</v>
      </c>
      <c r="IX28" s="558" t="str">
        <f t="shared" si="91"/>
        <v>.</v>
      </c>
      <c r="IY28" s="558" t="str">
        <f t="shared" si="91"/>
        <v>.</v>
      </c>
      <c r="IZ28" s="558" t="str">
        <f t="shared" si="91"/>
        <v>.</v>
      </c>
      <c r="JA28" s="558" t="str">
        <f t="shared" si="91"/>
        <v>.</v>
      </c>
      <c r="JB28" s="558" t="str">
        <f t="shared" si="91"/>
        <v>.</v>
      </c>
      <c r="JC28" s="558" t="str">
        <f t="shared" si="91"/>
        <v>.</v>
      </c>
      <c r="JD28" s="558" t="str">
        <f t="shared" si="91"/>
        <v>.</v>
      </c>
      <c r="JE28" s="558" t="str">
        <f t="shared" si="91"/>
        <v>.</v>
      </c>
      <c r="JF28" s="558" t="str">
        <f t="shared" si="92"/>
        <v>.</v>
      </c>
      <c r="JG28" s="558" t="str">
        <f t="shared" si="92"/>
        <v>.</v>
      </c>
      <c r="JH28" s="558" t="str">
        <f t="shared" si="92"/>
        <v>.</v>
      </c>
      <c r="JI28" s="558" t="str">
        <f t="shared" si="92"/>
        <v>.</v>
      </c>
      <c r="JJ28" s="558" t="str">
        <f t="shared" si="92"/>
        <v>.</v>
      </c>
      <c r="JK28" s="558" t="str">
        <f t="shared" si="92"/>
        <v>.</v>
      </c>
      <c r="JL28" s="558" t="str">
        <f t="shared" si="92"/>
        <v>.</v>
      </c>
      <c r="JM28" s="558" t="str">
        <f t="shared" si="92"/>
        <v>.</v>
      </c>
      <c r="JN28" s="558" t="str">
        <f t="shared" si="92"/>
        <v>.</v>
      </c>
      <c r="JO28" s="558" t="str">
        <f t="shared" si="92"/>
        <v>.</v>
      </c>
    </row>
    <row r="29" spans="1:275" x14ac:dyDescent="0.2">
      <c r="A29" s="534">
        <f xml:space="preserve"> Basis!A29</f>
        <v>29</v>
      </c>
      <c r="F29" s="536">
        <f xml:space="preserve"> ROUND(    IF( $A$15=BE_MF_,   AW29,   INDEX( qx!29:29, F$16 ) ),    F$17    )</f>
        <v>2.9999999999999997E-4</v>
      </c>
      <c r="G29" s="536">
        <f xml:space="preserve"> ROUND(    IF( $A$15=BE_MF_,   BB29,   INDEX( wx!29:29, G$16 ) ),    G$17    )</f>
        <v>8.5099999999999995E-2</v>
      </c>
      <c r="H29" s="537">
        <f xml:space="preserve"> ROUND(    IF( $A$15=BE_MF_,   BG29,   INDEX( Kx!29:29, H$16 ) ),    H$17    )</f>
        <v>1839.06</v>
      </c>
      <c r="I29" s="538">
        <f t="shared" si="93"/>
        <v>1839.06</v>
      </c>
      <c r="J29" s="539">
        <f t="shared" si="23"/>
        <v>0.88500000000000001</v>
      </c>
      <c r="K29" s="540">
        <f t="shared" si="94"/>
        <v>2</v>
      </c>
      <c r="L29" s="541">
        <f t="shared" si="24"/>
        <v>0</v>
      </c>
      <c r="M29" s="541">
        <f t="shared" si="24"/>
        <v>8.5999999999999993E-2</v>
      </c>
      <c r="O29" s="542" t="b">
        <f t="shared" si="95"/>
        <v>1</v>
      </c>
      <c r="P29" s="493">
        <f t="shared" si="25"/>
        <v>8.5400000000000004E-2</v>
      </c>
      <c r="Q29" s="493">
        <f t="shared" si="26"/>
        <v>0.91459999999999997</v>
      </c>
      <c r="R29" s="543">
        <f t="shared" si="27"/>
        <v>1642517</v>
      </c>
      <c r="S29" s="544">
        <f t="shared" si="28"/>
        <v>0.97560975599999999</v>
      </c>
      <c r="T29" s="423">
        <f t="shared" si="29"/>
        <v>802634.41</v>
      </c>
      <c r="U29" s="423">
        <f xml:space="preserve"> IF( $O29,    ROUND(  SUM( T29:T$120), U$17 ),  LEER  )</f>
        <v>12254637.550000001</v>
      </c>
      <c r="V29" s="493">
        <f t="shared" si="30"/>
        <v>15.268000000000001</v>
      </c>
      <c r="W29" s="493">
        <f t="shared" si="31"/>
        <v>710331.45</v>
      </c>
      <c r="X29" s="493">
        <f xml:space="preserve"> IF( $O29,    ROUND(  SUM( W29:W$120), X$17 ),  LEER  )</f>
        <v>19124999.039999999</v>
      </c>
      <c r="Y29" s="493">
        <f t="shared" si="32"/>
        <v>23.8278</v>
      </c>
      <c r="Z29" s="493">
        <f t="shared" si="33"/>
        <v>1.5606</v>
      </c>
      <c r="AA29" s="493">
        <f t="shared" si="34"/>
        <v>1.0121</v>
      </c>
      <c r="AB29" s="493">
        <f t="shared" si="35"/>
        <v>2.3494000000000002</v>
      </c>
      <c r="AC29" s="545">
        <f t="shared" si="36"/>
        <v>0.38600000000000001</v>
      </c>
      <c r="AD29" s="493">
        <f t="shared" si="37"/>
        <v>1.5842000000000001</v>
      </c>
      <c r="AE29" s="493">
        <f t="shared" si="38"/>
        <v>2.1556000000000002</v>
      </c>
      <c r="AF29" s="493">
        <f t="shared" si="39"/>
        <v>2.1556000000000002</v>
      </c>
      <c r="AG29" s="493" t="str">
        <f t="shared" si="40"/>
        <v>.</v>
      </c>
      <c r="AH29" s="493" t="str">
        <f t="shared" si="41"/>
        <v>.</v>
      </c>
      <c r="AI29" s="423">
        <f t="shared" si="42"/>
        <v>2077.79</v>
      </c>
      <c r="AJ29" s="423">
        <f t="shared" si="43"/>
        <v>4478.88</v>
      </c>
      <c r="AK29" s="423">
        <f t="shared" si="44"/>
        <v>373.24</v>
      </c>
      <c r="AN29" s="423" t="str">
        <f t="shared" si="45"/>
        <v>.</v>
      </c>
      <c r="AO29" s="423" t="str">
        <f t="shared" si="45"/>
        <v>.</v>
      </c>
      <c r="AR29" s="546">
        <f xml:space="preserve"> ROUND(  INDEX( Kx!29:29, AR$16 ),  AR$17 )</f>
        <v>0.73870000000000002</v>
      </c>
      <c r="AS29" s="547">
        <f xml:space="preserve"> ROUND(  INDEX( qx!29:29, AS$16 ),  AS$17 )</f>
        <v>2.9999999999999997E-4</v>
      </c>
      <c r="AT29" s="547">
        <f xml:space="preserve"> ROUND(  INDEX( qx!29:29, AT$16 ),  AT$17 )</f>
        <v>2.0000000000000001E-4</v>
      </c>
      <c r="AU29" s="548" t="str">
        <f t="shared" si="46"/>
        <v>F</v>
      </c>
      <c r="AV29" s="542">
        <f t="shared" si="47"/>
        <v>0.65329999999999999</v>
      </c>
      <c r="AW29" s="542">
        <f t="shared" si="48"/>
        <v>2.9999999999999997E-4</v>
      </c>
      <c r="AX29" s="546">
        <f xml:space="preserve"> ROUND(  INDEX( wx!29:29, AX$16 ),  AX$17 )</f>
        <v>8.0199999999999994E-2</v>
      </c>
      <c r="AY29" s="546">
        <f xml:space="preserve"> ROUND(  INDEX( wx!29:29, AY$16 ),  AY$17 )</f>
        <v>0.1057</v>
      </c>
      <c r="AZ29" s="548" t="str">
        <f t="shared" si="49"/>
        <v>M</v>
      </c>
      <c r="BA29" s="542">
        <f t="shared" si="50"/>
        <v>0.80920000000000003</v>
      </c>
      <c r="BB29" s="542">
        <f t="shared" si="51"/>
        <v>8.5099999999999995E-2</v>
      </c>
      <c r="BC29" s="533">
        <f xml:space="preserve"> ROUND(  INDEX( Kx!29:29, BC$16 ),  BC$17 )</f>
        <v>1367.99</v>
      </c>
      <c r="BD29" s="533">
        <f xml:space="preserve"> ROUND(  INDEX( Kx!29:29, BD$16 ),  BD$17 )</f>
        <v>2726.71</v>
      </c>
      <c r="BE29" s="548" t="str">
        <f t="shared" si="52"/>
        <v>F</v>
      </c>
      <c r="BF29" s="542">
        <f t="shared" si="53"/>
        <v>0.65329999999999999</v>
      </c>
      <c r="BG29" s="420">
        <f t="shared" si="54"/>
        <v>1839.06</v>
      </c>
      <c r="BQ29" s="549">
        <f t="shared" si="96"/>
        <v>29</v>
      </c>
      <c r="BR29" s="423" t="str">
        <f t="shared" si="55"/>
        <v>.</v>
      </c>
      <c r="BS29" s="550" t="str">
        <f t="shared" si="56"/>
        <v>.</v>
      </c>
      <c r="BT29" s="423" t="str">
        <f t="shared" si="57"/>
        <v>.</v>
      </c>
      <c r="BU29" s="551" t="str">
        <f t="shared" si="58"/>
        <v>.</v>
      </c>
      <c r="BV29" s="551" t="str">
        <f t="shared" si="59"/>
        <v>.</v>
      </c>
      <c r="BW29" s="529" t="str">
        <f t="shared" si="60"/>
        <v>.</v>
      </c>
      <c r="BX29" s="552" t="str">
        <f t="shared" si="61"/>
        <v>.</v>
      </c>
      <c r="BY29" s="559"/>
      <c r="BZ29" s="559"/>
      <c r="CB29" s="423" t="str">
        <f t="shared" si="62"/>
        <v>.</v>
      </c>
      <c r="CC29" s="423" t="str">
        <f t="shared" si="63"/>
        <v>.</v>
      </c>
      <c r="CD29" s="423" t="str">
        <f t="shared" si="64"/>
        <v>.</v>
      </c>
      <c r="CE29" s="423" t="str">
        <f t="shared" si="65"/>
        <v>.</v>
      </c>
      <c r="CF29" s="553" t="str">
        <f t="shared" si="66"/>
        <v>.</v>
      </c>
      <c r="CH29" s="423" t="str">
        <f t="shared" si="67"/>
        <v>.</v>
      </c>
      <c r="CI29" s="423" t="str">
        <f t="shared" si="68"/>
        <v>.</v>
      </c>
      <c r="CJ29" s="423" t="str">
        <f t="shared" si="69"/>
        <v>.</v>
      </c>
      <c r="CK29" s="423" t="str">
        <f t="shared" si="97"/>
        <v>.</v>
      </c>
      <c r="CL29" s="553" t="str">
        <f t="shared" si="70"/>
        <v>.</v>
      </c>
      <c r="CN29" s="423" t="str">
        <f t="shared" si="71"/>
        <v>.</v>
      </c>
      <c r="CO29" s="423" t="str">
        <f t="shared" si="72"/>
        <v>.</v>
      </c>
      <c r="CP29" s="423" t="str">
        <f t="shared" si="73"/>
        <v>.</v>
      </c>
      <c r="CQ29" s="423" t="str">
        <f t="shared" si="74"/>
        <v>.</v>
      </c>
      <c r="CR29" s="553" t="str">
        <f t="shared" si="75"/>
        <v>.</v>
      </c>
      <c r="CV29" s="564">
        <f t="shared" si="98"/>
        <v>29</v>
      </c>
      <c r="CW29" s="538" t="str">
        <f t="shared" si="76"/>
        <v>.</v>
      </c>
      <c r="CX29" s="566" t="str">
        <f t="shared" si="77"/>
        <v>.</v>
      </c>
      <c r="CY29" s="538" t="str">
        <f t="shared" si="78"/>
        <v>.</v>
      </c>
      <c r="CZ29" s="538" t="str">
        <f t="shared" si="79"/>
        <v>.</v>
      </c>
      <c r="DA29" s="538" t="str">
        <f t="shared" si="80"/>
        <v>.</v>
      </c>
      <c r="DB29" s="567" t="e">
        <f t="shared" si="99"/>
        <v>#N/A</v>
      </c>
      <c r="DC29" s="567" t="e">
        <f t="shared" si="100"/>
        <v>#N/A</v>
      </c>
      <c r="DD29" s="567" t="e">
        <f t="shared" si="101"/>
        <v>#N/A</v>
      </c>
      <c r="DE29" s="567" t="e">
        <f t="shared" si="101"/>
        <v>#N/A</v>
      </c>
      <c r="DF29" s="568" t="e">
        <f t="shared" si="102"/>
        <v>#N/A</v>
      </c>
      <c r="DP29" s="554"/>
      <c r="DR29" s="385"/>
      <c r="DS29" s="385"/>
      <c r="DT29" s="385"/>
      <c r="EL29" s="553" t="str">
        <f t="shared" si="81"/>
        <v>.</v>
      </c>
      <c r="EM29" s="553" t="str">
        <f t="shared" si="82"/>
        <v>.</v>
      </c>
      <c r="EN29" s="423" t="str">
        <f t="shared" si="83"/>
        <v>.</v>
      </c>
      <c r="EO29" s="555" t="str">
        <f xml:space="preserve"> 'i2'!AO29</f>
        <v>.</v>
      </c>
      <c r="EV29" s="533" t="e">
        <f xml:space="preserve"> ROUND(    IF( $A$15=BE_MF_,   LEER,   INDEX( Kx!29:29, EV$16 ) ),    EV$17    )</f>
        <v>#VALUE!</v>
      </c>
      <c r="EW29" s="533" t="e">
        <f xml:space="preserve"> ROUND(    IF( $A$15=BE_MF_,   LEER,   INDEX( Kx!29:29, EW$16 ) ),    EW$17    )</f>
        <v>#VALUE!</v>
      </c>
      <c r="EX29" s="533" t="e">
        <f xml:space="preserve"> ROUND(    IF( $A$15=BE_MF_,   LEER,   INDEX( Kx!29:29, EX$16 ) ),    EX$17    )</f>
        <v>#VALUE!</v>
      </c>
      <c r="EY29" s="556" t="e">
        <f t="shared" si="103"/>
        <v>#VALUE!</v>
      </c>
      <c r="FB29" s="533" t="e">
        <f xml:space="preserve"> ROUND(    IF( $A$15=BE_MF_,   LEER,   INDEX( Kx!29:29, FB$16 ) ),    FB$17    )</f>
        <v>#VALUE!</v>
      </c>
      <c r="FC29" s="533" t="e">
        <f xml:space="preserve"> ROUND(    IF( $A$15=BE_MF_,   LEER,   INDEX( Kx!29:29, FC$16 ) ),    FC$17    )</f>
        <v>#VALUE!</v>
      </c>
      <c r="FD29" s="556" t="e">
        <f t="shared" si="104"/>
        <v>#VALUE!</v>
      </c>
      <c r="FG29" s="556" t="e">
        <f t="shared" si="105"/>
        <v>#VALUE!</v>
      </c>
      <c r="FH29" s="556" t="e">
        <f t="shared" si="105"/>
        <v>#VALUE!</v>
      </c>
      <c r="FI29" s="556" t="e">
        <f t="shared" si="105"/>
        <v>#VALUE!</v>
      </c>
      <c r="FN29" s="557">
        <f t="shared" si="84"/>
        <v>29</v>
      </c>
      <c r="FO29" s="493">
        <f t="shared" si="85"/>
        <v>23.8278</v>
      </c>
      <c r="FP29" s="493">
        <f t="shared" si="86"/>
        <v>15.268000000000001</v>
      </c>
      <c r="FR29" s="427">
        <f t="shared" si="106"/>
        <v>54715.960000000006</v>
      </c>
      <c r="FS29" s="558">
        <f t="shared" si="87"/>
        <v>11428.04</v>
      </c>
      <c r="FT29" s="558">
        <f t="shared" si="87"/>
        <v>10143.23</v>
      </c>
      <c r="FU29" s="558">
        <f t="shared" si="87"/>
        <v>8855.25</v>
      </c>
      <c r="FV29" s="558">
        <f t="shared" si="87"/>
        <v>7567.26</v>
      </c>
      <c r="FW29" s="558">
        <f t="shared" si="87"/>
        <v>6234.87</v>
      </c>
      <c r="FX29" s="558">
        <f t="shared" si="87"/>
        <v>4864.3999999999996</v>
      </c>
      <c r="FY29" s="558">
        <f t="shared" si="87"/>
        <v>3506.63</v>
      </c>
      <c r="FZ29" s="558">
        <f t="shared" si="87"/>
        <v>2139.34</v>
      </c>
      <c r="GA29" s="558">
        <f t="shared" si="87"/>
        <v>724.46</v>
      </c>
      <c r="GB29" s="558">
        <f t="shared" si="87"/>
        <v>-747.52</v>
      </c>
      <c r="GC29" s="558" t="str">
        <f t="shared" si="87"/>
        <v>.</v>
      </c>
      <c r="GD29" s="558" t="str">
        <f t="shared" si="87"/>
        <v>.</v>
      </c>
      <c r="GE29" s="558" t="str">
        <f t="shared" si="87"/>
        <v>.</v>
      </c>
      <c r="GF29" s="558" t="str">
        <f t="shared" si="87"/>
        <v>.</v>
      </c>
      <c r="GG29" s="558" t="str">
        <f t="shared" si="87"/>
        <v>.</v>
      </c>
      <c r="GH29" s="558" t="str">
        <f t="shared" si="87"/>
        <v>.</v>
      </c>
      <c r="GI29" s="558" t="str">
        <f t="shared" si="88"/>
        <v>.</v>
      </c>
      <c r="GJ29" s="558" t="str">
        <f t="shared" si="88"/>
        <v>.</v>
      </c>
      <c r="GK29" s="558" t="str">
        <f t="shared" si="88"/>
        <v>.</v>
      </c>
      <c r="GL29" s="558" t="str">
        <f t="shared" si="88"/>
        <v>.</v>
      </c>
      <c r="GM29" s="558" t="str">
        <f t="shared" si="88"/>
        <v>.</v>
      </c>
      <c r="GN29" s="558" t="str">
        <f t="shared" si="88"/>
        <v>.</v>
      </c>
      <c r="GO29" s="558" t="str">
        <f t="shared" si="88"/>
        <v>.</v>
      </c>
      <c r="GP29" s="558" t="str">
        <f t="shared" si="88"/>
        <v>.</v>
      </c>
      <c r="GQ29" s="558" t="str">
        <f t="shared" si="88"/>
        <v>.</v>
      </c>
      <c r="GR29" s="558" t="str">
        <f t="shared" si="88"/>
        <v>.</v>
      </c>
      <c r="GS29" s="558" t="str">
        <f t="shared" si="88"/>
        <v>.</v>
      </c>
      <c r="GT29" s="558" t="str">
        <f t="shared" si="88"/>
        <v>.</v>
      </c>
      <c r="GU29" s="558" t="str">
        <f t="shared" si="88"/>
        <v>.</v>
      </c>
      <c r="GV29" s="558" t="str">
        <f t="shared" si="88"/>
        <v>.</v>
      </c>
      <c r="GW29" s="558" t="str">
        <f t="shared" si="88"/>
        <v>.</v>
      </c>
      <c r="GX29" s="558" t="str">
        <f t="shared" si="88"/>
        <v>.</v>
      </c>
      <c r="GY29" s="558" t="str">
        <f t="shared" si="89"/>
        <v>.</v>
      </c>
      <c r="GZ29" s="558" t="str">
        <f t="shared" si="89"/>
        <v>.</v>
      </c>
      <c r="HA29" s="558" t="str">
        <f t="shared" si="89"/>
        <v>.</v>
      </c>
      <c r="HB29" s="558" t="str">
        <f t="shared" si="89"/>
        <v>.</v>
      </c>
      <c r="HC29" s="558" t="str">
        <f t="shared" si="89"/>
        <v>.</v>
      </c>
      <c r="HD29" s="558" t="str">
        <f t="shared" si="89"/>
        <v>.</v>
      </c>
      <c r="HE29" s="558" t="str">
        <f t="shared" si="89"/>
        <v>.</v>
      </c>
      <c r="HF29" s="558" t="str">
        <f t="shared" si="89"/>
        <v>.</v>
      </c>
      <c r="HG29" s="558" t="str">
        <f t="shared" si="89"/>
        <v>.</v>
      </c>
      <c r="HH29" s="558" t="str">
        <f t="shared" si="89"/>
        <v>.</v>
      </c>
      <c r="HI29" s="558" t="str">
        <f t="shared" si="89"/>
        <v>.</v>
      </c>
      <c r="HJ29" s="558" t="str">
        <f t="shared" si="89"/>
        <v>.</v>
      </c>
      <c r="HK29" s="558" t="str">
        <f t="shared" si="89"/>
        <v>.</v>
      </c>
      <c r="HL29" s="558" t="str">
        <f t="shared" si="89"/>
        <v>.</v>
      </c>
      <c r="HM29" s="558" t="str">
        <f t="shared" si="89"/>
        <v>.</v>
      </c>
      <c r="HN29" s="558" t="str">
        <f t="shared" si="89"/>
        <v>.</v>
      </c>
      <c r="HO29" s="558" t="str">
        <f t="shared" si="90"/>
        <v>.</v>
      </c>
      <c r="HP29" s="558" t="str">
        <f t="shared" si="90"/>
        <v>.</v>
      </c>
      <c r="HQ29" s="558" t="str">
        <f t="shared" si="90"/>
        <v>.</v>
      </c>
      <c r="HR29" s="558" t="str">
        <f t="shared" si="90"/>
        <v>.</v>
      </c>
      <c r="HS29" s="558" t="str">
        <f t="shared" si="90"/>
        <v>.</v>
      </c>
      <c r="HT29" s="558" t="str">
        <f t="shared" si="90"/>
        <v>.</v>
      </c>
      <c r="HU29" s="558" t="str">
        <f t="shared" si="90"/>
        <v>.</v>
      </c>
      <c r="HV29" s="558" t="str">
        <f t="shared" si="90"/>
        <v>.</v>
      </c>
      <c r="HW29" s="558" t="str">
        <f t="shared" si="90"/>
        <v>.</v>
      </c>
      <c r="HX29" s="558" t="str">
        <f t="shared" si="90"/>
        <v>.</v>
      </c>
      <c r="HY29" s="558" t="str">
        <f t="shared" si="90"/>
        <v>.</v>
      </c>
      <c r="HZ29" s="558" t="str">
        <f t="shared" si="90"/>
        <v>.</v>
      </c>
      <c r="IA29" s="558" t="str">
        <f t="shared" si="90"/>
        <v>.</v>
      </c>
      <c r="IB29" s="558" t="str">
        <f t="shared" si="90"/>
        <v>.</v>
      </c>
      <c r="IC29" s="558" t="str">
        <f t="shared" si="90"/>
        <v>.</v>
      </c>
      <c r="ID29" s="558" t="str">
        <f t="shared" si="90"/>
        <v>.</v>
      </c>
      <c r="IE29" s="558" t="str">
        <f t="shared" si="90"/>
        <v>.</v>
      </c>
      <c r="IF29" s="558" t="str">
        <f t="shared" si="90"/>
        <v>.</v>
      </c>
      <c r="IG29" s="558" t="str">
        <f t="shared" si="91"/>
        <v>.</v>
      </c>
      <c r="IH29" s="558" t="str">
        <f t="shared" si="91"/>
        <v>.</v>
      </c>
      <c r="II29" s="558" t="str">
        <f t="shared" si="91"/>
        <v>.</v>
      </c>
      <c r="IJ29" s="558" t="str">
        <f t="shared" si="91"/>
        <v>.</v>
      </c>
      <c r="IK29" s="558" t="str">
        <f t="shared" si="91"/>
        <v>.</v>
      </c>
      <c r="IL29" s="558" t="str">
        <f t="shared" si="91"/>
        <v>.</v>
      </c>
      <c r="IM29" s="558" t="str">
        <f t="shared" si="91"/>
        <v>.</v>
      </c>
      <c r="IN29" s="558" t="str">
        <f t="shared" si="91"/>
        <v>.</v>
      </c>
      <c r="IO29" s="558" t="str">
        <f t="shared" si="91"/>
        <v>.</v>
      </c>
      <c r="IP29" s="558" t="str">
        <f t="shared" si="91"/>
        <v>.</v>
      </c>
      <c r="IQ29" s="558" t="str">
        <f t="shared" si="91"/>
        <v>.</v>
      </c>
      <c r="IR29" s="558" t="str">
        <f t="shared" si="91"/>
        <v>.</v>
      </c>
      <c r="IS29" s="558" t="str">
        <f t="shared" si="91"/>
        <v>.</v>
      </c>
      <c r="IT29" s="558" t="str">
        <f t="shared" si="91"/>
        <v>.</v>
      </c>
      <c r="IU29" s="558" t="str">
        <f t="shared" si="91"/>
        <v>.</v>
      </c>
      <c r="IV29" s="558" t="str">
        <f t="shared" si="91"/>
        <v>.</v>
      </c>
      <c r="IW29" s="558" t="str">
        <f t="shared" si="91"/>
        <v>.</v>
      </c>
      <c r="IX29" s="558" t="str">
        <f t="shared" si="91"/>
        <v>.</v>
      </c>
      <c r="IY29" s="558" t="str">
        <f t="shared" si="91"/>
        <v>.</v>
      </c>
      <c r="IZ29" s="558" t="str">
        <f t="shared" si="91"/>
        <v>.</v>
      </c>
      <c r="JA29" s="558" t="str">
        <f t="shared" si="91"/>
        <v>.</v>
      </c>
      <c r="JB29" s="558" t="str">
        <f t="shared" si="91"/>
        <v>.</v>
      </c>
      <c r="JC29" s="558" t="str">
        <f t="shared" si="91"/>
        <v>.</v>
      </c>
      <c r="JD29" s="558" t="str">
        <f t="shared" si="91"/>
        <v>.</v>
      </c>
      <c r="JE29" s="558" t="str">
        <f t="shared" si="91"/>
        <v>.</v>
      </c>
      <c r="JF29" s="558" t="str">
        <f t="shared" si="92"/>
        <v>.</v>
      </c>
      <c r="JG29" s="558" t="str">
        <f t="shared" si="92"/>
        <v>.</v>
      </c>
      <c r="JH29" s="558" t="str">
        <f t="shared" si="92"/>
        <v>.</v>
      </c>
      <c r="JI29" s="558" t="str">
        <f t="shared" si="92"/>
        <v>.</v>
      </c>
      <c r="JJ29" s="558" t="str">
        <f t="shared" si="92"/>
        <v>.</v>
      </c>
      <c r="JK29" s="558" t="str">
        <f t="shared" si="92"/>
        <v>.</v>
      </c>
      <c r="JL29" s="558" t="str">
        <f t="shared" si="92"/>
        <v>.</v>
      </c>
      <c r="JM29" s="558" t="str">
        <f t="shared" si="92"/>
        <v>.</v>
      </c>
      <c r="JN29" s="558" t="str">
        <f t="shared" si="92"/>
        <v>.</v>
      </c>
      <c r="JO29" s="558" t="str">
        <f t="shared" si="92"/>
        <v>.</v>
      </c>
    </row>
    <row r="30" spans="1:275" x14ac:dyDescent="0.2">
      <c r="A30" s="534">
        <f xml:space="preserve"> Basis!A30</f>
        <v>30</v>
      </c>
      <c r="F30" s="536">
        <f xml:space="preserve"> ROUND(    IF( $A$15=BE_MF_,   AW30,   INDEX( qx!30:30, F$16 ) ),    F$17    )</f>
        <v>2.9999999999999997E-4</v>
      </c>
      <c r="G30" s="536">
        <f xml:space="preserve"> ROUND(    IF( $A$15=BE_MF_,   BB30,   INDEX( wx!30:30, G$16 ) ),    G$17    )</f>
        <v>7.4399999999999994E-2</v>
      </c>
      <c r="H30" s="537">
        <f xml:space="preserve"> ROUND(    IF( $A$15=BE_MF_,   BG30,   INDEX( Kx!30:30, H$16 ) ),    H$17    )</f>
        <v>1857.15</v>
      </c>
      <c r="I30" s="538">
        <f t="shared" si="93"/>
        <v>1857.15</v>
      </c>
      <c r="J30" s="539">
        <f t="shared" si="23"/>
        <v>0.89400000000000002</v>
      </c>
      <c r="K30" s="540">
        <f t="shared" si="94"/>
        <v>2</v>
      </c>
      <c r="L30" s="541">
        <f t="shared" si="24"/>
        <v>0</v>
      </c>
      <c r="M30" s="541">
        <f t="shared" si="24"/>
        <v>8.5999999999999993E-2</v>
      </c>
      <c r="O30" s="542" t="b">
        <f t="shared" si="95"/>
        <v>1</v>
      </c>
      <c r="P30" s="493">
        <f t="shared" si="25"/>
        <v>7.4700000000000003E-2</v>
      </c>
      <c r="Q30" s="493">
        <f t="shared" si="26"/>
        <v>0.92530000000000001</v>
      </c>
      <c r="R30" s="543">
        <f t="shared" si="27"/>
        <v>1502246</v>
      </c>
      <c r="S30" s="544">
        <f t="shared" si="28"/>
        <v>0.97560975599999999</v>
      </c>
      <c r="T30" s="423">
        <f t="shared" si="29"/>
        <v>716184.79</v>
      </c>
      <c r="U30" s="423">
        <f xml:space="preserve"> IF( $O30,    ROUND(  SUM( T30:T$120), U$17 ),  LEER  )</f>
        <v>11452003.140000001</v>
      </c>
      <c r="V30" s="493">
        <f t="shared" si="30"/>
        <v>15.9903</v>
      </c>
      <c r="W30" s="493">
        <f t="shared" si="31"/>
        <v>640269.19999999995</v>
      </c>
      <c r="X30" s="493">
        <f xml:space="preserve"> IF( $O30,    ROUND(  SUM( W30:W$120), X$17 ),  LEER  )</f>
        <v>18414667.59</v>
      </c>
      <c r="Y30" s="493">
        <f t="shared" si="32"/>
        <v>25.712199999999999</v>
      </c>
      <c r="Z30" s="493">
        <f t="shared" si="33"/>
        <v>1.6080000000000001</v>
      </c>
      <c r="AA30" s="493">
        <f t="shared" si="34"/>
        <v>1.0115000000000001</v>
      </c>
      <c r="AB30" s="493">
        <f t="shared" si="35"/>
        <v>2.3494000000000002</v>
      </c>
      <c r="AC30" s="545">
        <f t="shared" si="36"/>
        <v>0.38600000000000001</v>
      </c>
      <c r="AD30" s="493">
        <f t="shared" si="37"/>
        <v>1.6309</v>
      </c>
      <c r="AE30" s="493">
        <f t="shared" si="38"/>
        <v>2.2067000000000001</v>
      </c>
      <c r="AF30" s="493">
        <f t="shared" si="39"/>
        <v>2.2067000000000001</v>
      </c>
      <c r="AG30" s="493" t="str">
        <f t="shared" si="40"/>
        <v>.</v>
      </c>
      <c r="AH30" s="493" t="str">
        <f t="shared" si="41"/>
        <v>.</v>
      </c>
      <c r="AI30" s="423">
        <f t="shared" si="42"/>
        <v>2077.79</v>
      </c>
      <c r="AJ30" s="423">
        <f t="shared" si="43"/>
        <v>4585.0600000000004</v>
      </c>
      <c r="AK30" s="423">
        <f t="shared" si="44"/>
        <v>382.09</v>
      </c>
      <c r="AN30" s="423" t="str">
        <f t="shared" si="45"/>
        <v>.</v>
      </c>
      <c r="AO30" s="423" t="str">
        <f t="shared" si="45"/>
        <v>.</v>
      </c>
      <c r="AR30" s="546">
        <f xml:space="preserve"> ROUND(  INDEX( Kx!30:30, AR$16 ),  AR$17 )</f>
        <v>0.74470000000000003</v>
      </c>
      <c r="AS30" s="547">
        <f xml:space="preserve"> ROUND(  INDEX( qx!30:30, AS$16 ),  AS$17 )</f>
        <v>2.9999999999999997E-4</v>
      </c>
      <c r="AT30" s="547">
        <f xml:space="preserve"> ROUND(  INDEX( qx!30:30, AT$16 ),  AT$17 )</f>
        <v>2.0000000000000001E-4</v>
      </c>
      <c r="AU30" s="548" t="str">
        <f t="shared" si="46"/>
        <v>F</v>
      </c>
      <c r="AV30" s="542">
        <f t="shared" si="47"/>
        <v>0.66039999999999999</v>
      </c>
      <c r="AW30" s="542">
        <f t="shared" si="48"/>
        <v>2.9999999999999997E-4</v>
      </c>
      <c r="AX30" s="546">
        <f xml:space="preserve"> ROUND(  INDEX( wx!30:30, AX$16 ),  AX$17 )</f>
        <v>7.0000000000000007E-2</v>
      </c>
      <c r="AY30" s="546">
        <f xml:space="preserve"> ROUND(  INDEX( wx!30:30, AY$16 ),  AY$17 )</f>
        <v>9.3399999999999997E-2</v>
      </c>
      <c r="AZ30" s="548" t="str">
        <f t="shared" si="49"/>
        <v>M</v>
      </c>
      <c r="BA30" s="542">
        <f t="shared" si="50"/>
        <v>0.81399999999999995</v>
      </c>
      <c r="BB30" s="542">
        <f t="shared" si="51"/>
        <v>7.4399999999999994E-2</v>
      </c>
      <c r="BC30" s="533">
        <f xml:space="preserve"> ROUND(  INDEX( Kx!30:30, BC$16 ),  BC$17 )</f>
        <v>1362.05</v>
      </c>
      <c r="BD30" s="533">
        <f xml:space="preserve"> ROUND(  INDEX( Kx!30:30, BD$16 ),  BD$17 )</f>
        <v>2819.93</v>
      </c>
      <c r="BE30" s="548" t="str">
        <f t="shared" si="52"/>
        <v>F</v>
      </c>
      <c r="BF30" s="542">
        <f t="shared" si="53"/>
        <v>0.66039999999999999</v>
      </c>
      <c r="BG30" s="420">
        <f t="shared" si="54"/>
        <v>1857.15</v>
      </c>
      <c r="BQ30" s="549">
        <f t="shared" si="96"/>
        <v>30</v>
      </c>
      <c r="BR30" s="423" t="str">
        <f t="shared" si="55"/>
        <v>.</v>
      </c>
      <c r="BS30" s="550" t="str">
        <f t="shared" si="56"/>
        <v>.</v>
      </c>
      <c r="BT30" s="423" t="str">
        <f t="shared" si="57"/>
        <v>.</v>
      </c>
      <c r="BU30" s="551" t="str">
        <f t="shared" si="58"/>
        <v>.</v>
      </c>
      <c r="BV30" s="551" t="str">
        <f t="shared" si="59"/>
        <v>.</v>
      </c>
      <c r="BW30" s="529" t="str">
        <f t="shared" si="60"/>
        <v>.</v>
      </c>
      <c r="BX30" s="552" t="str">
        <f t="shared" si="61"/>
        <v>.</v>
      </c>
      <c r="BY30" s="559"/>
      <c r="BZ30" s="559"/>
      <c r="CB30" s="423" t="str">
        <f t="shared" si="62"/>
        <v>.</v>
      </c>
      <c r="CC30" s="423" t="str">
        <f t="shared" si="63"/>
        <v>.</v>
      </c>
      <c r="CD30" s="423" t="str">
        <f t="shared" si="64"/>
        <v>.</v>
      </c>
      <c r="CE30" s="423" t="str">
        <f t="shared" si="65"/>
        <v>.</v>
      </c>
      <c r="CF30" s="553" t="str">
        <f t="shared" si="66"/>
        <v>.</v>
      </c>
      <c r="CH30" s="423" t="str">
        <f t="shared" si="67"/>
        <v>.</v>
      </c>
      <c r="CI30" s="423" t="str">
        <f t="shared" si="68"/>
        <v>.</v>
      </c>
      <c r="CJ30" s="423" t="str">
        <f t="shared" si="69"/>
        <v>.</v>
      </c>
      <c r="CK30" s="423" t="str">
        <f t="shared" si="97"/>
        <v>.</v>
      </c>
      <c r="CL30" s="553" t="str">
        <f t="shared" si="70"/>
        <v>.</v>
      </c>
      <c r="CN30" s="423" t="str">
        <f t="shared" si="71"/>
        <v>.</v>
      </c>
      <c r="CO30" s="423" t="str">
        <f t="shared" si="72"/>
        <v>.</v>
      </c>
      <c r="CP30" s="423" t="str">
        <f t="shared" si="73"/>
        <v>.</v>
      </c>
      <c r="CQ30" s="423" t="str">
        <f t="shared" si="74"/>
        <v>.</v>
      </c>
      <c r="CR30" s="553" t="str">
        <f t="shared" si="75"/>
        <v>.</v>
      </c>
      <c r="CV30" s="564">
        <f t="shared" si="98"/>
        <v>30</v>
      </c>
      <c r="CW30" s="538" t="str">
        <f t="shared" si="76"/>
        <v>.</v>
      </c>
      <c r="CX30" s="566" t="str">
        <f t="shared" si="77"/>
        <v>.</v>
      </c>
      <c r="CY30" s="538" t="str">
        <f t="shared" si="78"/>
        <v>.</v>
      </c>
      <c r="CZ30" s="538" t="str">
        <f t="shared" si="79"/>
        <v>.</v>
      </c>
      <c r="DA30" s="538" t="str">
        <f t="shared" si="80"/>
        <v>.</v>
      </c>
      <c r="DB30" s="567" t="e">
        <f t="shared" si="99"/>
        <v>#N/A</v>
      </c>
      <c r="DC30" s="567" t="e">
        <f t="shared" si="100"/>
        <v>#N/A</v>
      </c>
      <c r="DD30" s="567" t="e">
        <f t="shared" si="101"/>
        <v>#N/A</v>
      </c>
      <c r="DE30" s="567" t="e">
        <f t="shared" si="101"/>
        <v>#N/A</v>
      </c>
      <c r="DF30" s="568" t="e">
        <f t="shared" si="102"/>
        <v>#N/A</v>
      </c>
      <c r="DP30" s="554"/>
      <c r="DR30" s="385"/>
      <c r="DS30" s="385"/>
      <c r="DT30" s="385"/>
      <c r="EL30" s="553" t="str">
        <f t="shared" si="81"/>
        <v>.</v>
      </c>
      <c r="EM30" s="553" t="str">
        <f t="shared" si="82"/>
        <v>.</v>
      </c>
      <c r="EN30" s="423" t="str">
        <f t="shared" si="83"/>
        <v>.</v>
      </c>
      <c r="EO30" s="555" t="str">
        <f xml:space="preserve"> 'i2'!AO30</f>
        <v>.</v>
      </c>
      <c r="EV30" s="533" t="e">
        <f xml:space="preserve"> ROUND(    IF( $A$15=BE_MF_,   LEER,   INDEX( Kx!30:30, EV$16 ) ),    EV$17    )</f>
        <v>#VALUE!</v>
      </c>
      <c r="EW30" s="533" t="e">
        <f xml:space="preserve"> ROUND(    IF( $A$15=BE_MF_,   LEER,   INDEX( Kx!30:30, EW$16 ) ),    EW$17    )</f>
        <v>#VALUE!</v>
      </c>
      <c r="EX30" s="533" t="e">
        <f xml:space="preserve"> ROUND(    IF( $A$15=BE_MF_,   LEER,   INDEX( Kx!30:30, EX$16 ) ),    EX$17    )</f>
        <v>#VALUE!</v>
      </c>
      <c r="EY30" s="556" t="e">
        <f t="shared" si="103"/>
        <v>#VALUE!</v>
      </c>
      <c r="FB30" s="533" t="e">
        <f xml:space="preserve"> ROUND(    IF( $A$15=BE_MF_,   LEER,   INDEX( Kx!30:30, FB$16 ) ),    FB$17    )</f>
        <v>#VALUE!</v>
      </c>
      <c r="FC30" s="533" t="e">
        <f xml:space="preserve"> ROUND(    IF( $A$15=BE_MF_,   LEER,   INDEX( Kx!30:30, FC$16 ) ),    FC$17    )</f>
        <v>#VALUE!</v>
      </c>
      <c r="FD30" s="556" t="e">
        <f t="shared" si="104"/>
        <v>#VALUE!</v>
      </c>
      <c r="FG30" s="556" t="e">
        <f t="shared" si="105"/>
        <v>#VALUE!</v>
      </c>
      <c r="FH30" s="556" t="e">
        <f t="shared" si="105"/>
        <v>#VALUE!</v>
      </c>
      <c r="FI30" s="556" t="e">
        <f t="shared" si="105"/>
        <v>#VALUE!</v>
      </c>
      <c r="FN30" s="557">
        <f t="shared" si="84"/>
        <v>30</v>
      </c>
      <c r="FO30" s="493">
        <f t="shared" si="85"/>
        <v>25.712199999999999</v>
      </c>
      <c r="FP30" s="493">
        <f t="shared" si="86"/>
        <v>15.9903</v>
      </c>
      <c r="FR30" s="427">
        <f t="shared" si="106"/>
        <v>72275.240000000005</v>
      </c>
      <c r="FS30" s="558">
        <f t="shared" si="87"/>
        <v>13541.88</v>
      </c>
      <c r="FT30" s="558">
        <f t="shared" si="87"/>
        <v>12196.29</v>
      </c>
      <c r="FU30" s="558">
        <f t="shared" si="87"/>
        <v>10847.37</v>
      </c>
      <c r="FV30" s="558">
        <f t="shared" si="87"/>
        <v>9498.4599999999991</v>
      </c>
      <c r="FW30" s="558">
        <f t="shared" si="87"/>
        <v>8103.03</v>
      </c>
      <c r="FX30" s="558">
        <f t="shared" si="87"/>
        <v>6667.73</v>
      </c>
      <c r="FY30" s="558">
        <f t="shared" si="87"/>
        <v>5245.73</v>
      </c>
      <c r="FZ30" s="558">
        <f t="shared" si="87"/>
        <v>3813.75</v>
      </c>
      <c r="GA30" s="558">
        <f t="shared" si="87"/>
        <v>2331.94</v>
      </c>
      <c r="GB30" s="558">
        <f t="shared" si="87"/>
        <v>790.32</v>
      </c>
      <c r="GC30" s="558">
        <f t="shared" si="87"/>
        <v>-761.26</v>
      </c>
      <c r="GD30" s="558" t="str">
        <f t="shared" si="87"/>
        <v>.</v>
      </c>
      <c r="GE30" s="558" t="str">
        <f t="shared" si="87"/>
        <v>.</v>
      </c>
      <c r="GF30" s="558" t="str">
        <f t="shared" si="87"/>
        <v>.</v>
      </c>
      <c r="GG30" s="558" t="str">
        <f t="shared" si="87"/>
        <v>.</v>
      </c>
      <c r="GH30" s="558" t="str">
        <f t="shared" si="87"/>
        <v>.</v>
      </c>
      <c r="GI30" s="558" t="str">
        <f t="shared" si="88"/>
        <v>.</v>
      </c>
      <c r="GJ30" s="558" t="str">
        <f t="shared" si="88"/>
        <v>.</v>
      </c>
      <c r="GK30" s="558" t="str">
        <f t="shared" si="88"/>
        <v>.</v>
      </c>
      <c r="GL30" s="558" t="str">
        <f t="shared" si="88"/>
        <v>.</v>
      </c>
      <c r="GM30" s="558" t="str">
        <f t="shared" si="88"/>
        <v>.</v>
      </c>
      <c r="GN30" s="558" t="str">
        <f t="shared" si="88"/>
        <v>.</v>
      </c>
      <c r="GO30" s="558" t="str">
        <f t="shared" si="88"/>
        <v>.</v>
      </c>
      <c r="GP30" s="558" t="str">
        <f t="shared" si="88"/>
        <v>.</v>
      </c>
      <c r="GQ30" s="558" t="str">
        <f t="shared" si="88"/>
        <v>.</v>
      </c>
      <c r="GR30" s="558" t="str">
        <f t="shared" si="88"/>
        <v>.</v>
      </c>
      <c r="GS30" s="558" t="str">
        <f t="shared" si="88"/>
        <v>.</v>
      </c>
      <c r="GT30" s="558" t="str">
        <f t="shared" si="88"/>
        <v>.</v>
      </c>
      <c r="GU30" s="558" t="str">
        <f t="shared" si="88"/>
        <v>.</v>
      </c>
      <c r="GV30" s="558" t="str">
        <f t="shared" si="88"/>
        <v>.</v>
      </c>
      <c r="GW30" s="558" t="str">
        <f t="shared" si="88"/>
        <v>.</v>
      </c>
      <c r="GX30" s="558" t="str">
        <f t="shared" si="88"/>
        <v>.</v>
      </c>
      <c r="GY30" s="558" t="str">
        <f t="shared" si="89"/>
        <v>.</v>
      </c>
      <c r="GZ30" s="558" t="str">
        <f t="shared" si="89"/>
        <v>.</v>
      </c>
      <c r="HA30" s="558" t="str">
        <f t="shared" si="89"/>
        <v>.</v>
      </c>
      <c r="HB30" s="558" t="str">
        <f t="shared" si="89"/>
        <v>.</v>
      </c>
      <c r="HC30" s="558" t="str">
        <f t="shared" si="89"/>
        <v>.</v>
      </c>
      <c r="HD30" s="558" t="str">
        <f t="shared" si="89"/>
        <v>.</v>
      </c>
      <c r="HE30" s="558" t="str">
        <f t="shared" si="89"/>
        <v>.</v>
      </c>
      <c r="HF30" s="558" t="str">
        <f t="shared" si="89"/>
        <v>.</v>
      </c>
      <c r="HG30" s="558" t="str">
        <f t="shared" si="89"/>
        <v>.</v>
      </c>
      <c r="HH30" s="558" t="str">
        <f t="shared" si="89"/>
        <v>.</v>
      </c>
      <c r="HI30" s="558" t="str">
        <f t="shared" si="89"/>
        <v>.</v>
      </c>
      <c r="HJ30" s="558" t="str">
        <f t="shared" si="89"/>
        <v>.</v>
      </c>
      <c r="HK30" s="558" t="str">
        <f t="shared" si="89"/>
        <v>.</v>
      </c>
      <c r="HL30" s="558" t="str">
        <f t="shared" si="89"/>
        <v>.</v>
      </c>
      <c r="HM30" s="558" t="str">
        <f t="shared" si="89"/>
        <v>.</v>
      </c>
      <c r="HN30" s="558" t="str">
        <f t="shared" si="89"/>
        <v>.</v>
      </c>
      <c r="HO30" s="558" t="str">
        <f t="shared" si="90"/>
        <v>.</v>
      </c>
      <c r="HP30" s="558" t="str">
        <f t="shared" si="90"/>
        <v>.</v>
      </c>
      <c r="HQ30" s="558" t="str">
        <f t="shared" si="90"/>
        <v>.</v>
      </c>
      <c r="HR30" s="558" t="str">
        <f t="shared" si="90"/>
        <v>.</v>
      </c>
      <c r="HS30" s="558" t="str">
        <f t="shared" si="90"/>
        <v>.</v>
      </c>
      <c r="HT30" s="558" t="str">
        <f t="shared" si="90"/>
        <v>.</v>
      </c>
      <c r="HU30" s="558" t="str">
        <f t="shared" si="90"/>
        <v>.</v>
      </c>
      <c r="HV30" s="558" t="str">
        <f t="shared" si="90"/>
        <v>.</v>
      </c>
      <c r="HW30" s="558" t="str">
        <f t="shared" si="90"/>
        <v>.</v>
      </c>
      <c r="HX30" s="558" t="str">
        <f t="shared" si="90"/>
        <v>.</v>
      </c>
      <c r="HY30" s="558" t="str">
        <f t="shared" si="90"/>
        <v>.</v>
      </c>
      <c r="HZ30" s="558" t="str">
        <f t="shared" si="90"/>
        <v>.</v>
      </c>
      <c r="IA30" s="558" t="str">
        <f t="shared" si="90"/>
        <v>.</v>
      </c>
      <c r="IB30" s="558" t="str">
        <f t="shared" si="90"/>
        <v>.</v>
      </c>
      <c r="IC30" s="558" t="str">
        <f t="shared" si="90"/>
        <v>.</v>
      </c>
      <c r="ID30" s="558" t="str">
        <f t="shared" si="90"/>
        <v>.</v>
      </c>
      <c r="IE30" s="558" t="str">
        <f t="shared" si="90"/>
        <v>.</v>
      </c>
      <c r="IF30" s="558" t="str">
        <f t="shared" si="90"/>
        <v>.</v>
      </c>
      <c r="IG30" s="558" t="str">
        <f t="shared" si="91"/>
        <v>.</v>
      </c>
      <c r="IH30" s="558" t="str">
        <f t="shared" si="91"/>
        <v>.</v>
      </c>
      <c r="II30" s="558" t="str">
        <f t="shared" si="91"/>
        <v>.</v>
      </c>
      <c r="IJ30" s="558" t="str">
        <f t="shared" si="91"/>
        <v>.</v>
      </c>
      <c r="IK30" s="558" t="str">
        <f t="shared" si="91"/>
        <v>.</v>
      </c>
      <c r="IL30" s="558" t="str">
        <f t="shared" ref="IL30:JJ43" si="107" xml:space="preserve"> IF(  OR( IL$18&gt;$FN30, $FN30&gt;$FS$12 ),  LEER,  ROUND( $FR$19 * ( $FO30 - IL$15 * $FP30 ), IL$17 )  )</f>
        <v>.</v>
      </c>
      <c r="IM30" s="558" t="str">
        <f t="shared" si="107"/>
        <v>.</v>
      </c>
      <c r="IN30" s="558" t="str">
        <f t="shared" si="107"/>
        <v>.</v>
      </c>
      <c r="IO30" s="558" t="str">
        <f t="shared" si="107"/>
        <v>.</v>
      </c>
      <c r="IP30" s="558" t="str">
        <f t="shared" si="107"/>
        <v>.</v>
      </c>
      <c r="IQ30" s="558" t="str">
        <f t="shared" si="107"/>
        <v>.</v>
      </c>
      <c r="IR30" s="558" t="str">
        <f t="shared" si="107"/>
        <v>.</v>
      </c>
      <c r="IS30" s="558" t="str">
        <f t="shared" si="107"/>
        <v>.</v>
      </c>
      <c r="IT30" s="558" t="str">
        <f t="shared" si="107"/>
        <v>.</v>
      </c>
      <c r="IU30" s="558" t="str">
        <f t="shared" si="107"/>
        <v>.</v>
      </c>
      <c r="IV30" s="558" t="str">
        <f t="shared" si="107"/>
        <v>.</v>
      </c>
      <c r="IW30" s="558" t="str">
        <f t="shared" si="107"/>
        <v>.</v>
      </c>
      <c r="IX30" s="558" t="str">
        <f t="shared" si="107"/>
        <v>.</v>
      </c>
      <c r="IY30" s="558" t="str">
        <f t="shared" si="107"/>
        <v>.</v>
      </c>
      <c r="IZ30" s="558" t="str">
        <f t="shared" si="107"/>
        <v>.</v>
      </c>
      <c r="JA30" s="558" t="str">
        <f t="shared" si="107"/>
        <v>.</v>
      </c>
      <c r="JB30" s="558" t="str">
        <f t="shared" si="107"/>
        <v>.</v>
      </c>
      <c r="JC30" s="558" t="str">
        <f t="shared" si="107"/>
        <v>.</v>
      </c>
      <c r="JD30" s="558" t="str">
        <f t="shared" si="107"/>
        <v>.</v>
      </c>
      <c r="JE30" s="558" t="str">
        <f t="shared" si="107"/>
        <v>.</v>
      </c>
      <c r="JF30" s="558" t="str">
        <f t="shared" si="107"/>
        <v>.</v>
      </c>
      <c r="JG30" s="558" t="str">
        <f t="shared" si="107"/>
        <v>.</v>
      </c>
      <c r="JH30" s="558" t="str">
        <f t="shared" si="107"/>
        <v>.</v>
      </c>
      <c r="JI30" s="558" t="str">
        <f t="shared" si="107"/>
        <v>.</v>
      </c>
      <c r="JJ30" s="558" t="str">
        <f t="shared" si="107"/>
        <v>.</v>
      </c>
      <c r="JK30" s="558" t="str">
        <f t="shared" si="92"/>
        <v>.</v>
      </c>
      <c r="JL30" s="558" t="str">
        <f t="shared" si="92"/>
        <v>.</v>
      </c>
      <c r="JM30" s="558" t="str">
        <f t="shared" si="92"/>
        <v>.</v>
      </c>
      <c r="JN30" s="558" t="str">
        <f t="shared" si="92"/>
        <v>.</v>
      </c>
      <c r="JO30" s="558" t="str">
        <f t="shared" si="92"/>
        <v>.</v>
      </c>
    </row>
    <row r="31" spans="1:275" x14ac:dyDescent="0.2">
      <c r="A31" s="534">
        <f xml:space="preserve"> Basis!A31</f>
        <v>31</v>
      </c>
      <c r="F31" s="536">
        <f xml:space="preserve"> ROUND(    IF( $A$15=BE_MF_,   AW31,   INDEX( qx!31:31, F$16 ) ),    F$17    )</f>
        <v>2.9999999999999997E-4</v>
      </c>
      <c r="G31" s="536">
        <f xml:space="preserve"> ROUND(    IF( $A$15=BE_MF_,   BB31,   INDEX( wx!31:31, G$16 ) ),    G$17    )</f>
        <v>6.7900000000000002E-2</v>
      </c>
      <c r="H31" s="537">
        <f xml:space="preserve"> ROUND(    IF( $A$15=BE_MF_,   BG31,   INDEX( Kx!31:31, H$16 ) ),    H$17    )</f>
        <v>1857.29</v>
      </c>
      <c r="I31" s="538">
        <f t="shared" si="93"/>
        <v>1857.29</v>
      </c>
      <c r="J31" s="539">
        <f t="shared" si="23"/>
        <v>0.89400000000000002</v>
      </c>
      <c r="K31" s="540">
        <f t="shared" si="94"/>
        <v>2</v>
      </c>
      <c r="L31" s="541">
        <f t="shared" si="24"/>
        <v>0</v>
      </c>
      <c r="M31" s="541">
        <f t="shared" si="24"/>
        <v>8.5999999999999993E-2</v>
      </c>
      <c r="O31" s="542" t="b">
        <f t="shared" si="95"/>
        <v>1</v>
      </c>
      <c r="P31" s="493">
        <f t="shared" si="25"/>
        <v>6.8199999999999997E-2</v>
      </c>
      <c r="Q31" s="493">
        <f t="shared" si="26"/>
        <v>0.93179999999999996</v>
      </c>
      <c r="R31" s="543">
        <f t="shared" si="27"/>
        <v>1390028</v>
      </c>
      <c r="S31" s="544">
        <f t="shared" si="28"/>
        <v>0.97560975599999999</v>
      </c>
      <c r="T31" s="423">
        <f t="shared" si="29"/>
        <v>646522.61</v>
      </c>
      <c r="U31" s="423">
        <f xml:space="preserve"> IF( $O31,    ROUND(  SUM( T31:T$120), U$17 ),  LEER  )</f>
        <v>10735818.35</v>
      </c>
      <c r="V31" s="493">
        <f t="shared" si="30"/>
        <v>16.605499999999999</v>
      </c>
      <c r="W31" s="493">
        <f t="shared" si="31"/>
        <v>577991.21</v>
      </c>
      <c r="X31" s="493">
        <f xml:space="preserve"> IF( $O31,    ROUND(  SUM( W31:W$120), X$17 ),  LEER  )</f>
        <v>17774398.390000001</v>
      </c>
      <c r="Y31" s="493">
        <f t="shared" si="32"/>
        <v>27.4923</v>
      </c>
      <c r="Z31" s="493">
        <f t="shared" si="33"/>
        <v>1.6556</v>
      </c>
      <c r="AA31" s="493">
        <f t="shared" si="34"/>
        <v>1.0111000000000001</v>
      </c>
      <c r="AB31" s="493">
        <f t="shared" si="35"/>
        <v>2.3494000000000002</v>
      </c>
      <c r="AC31" s="545">
        <f t="shared" si="36"/>
        <v>0.38600000000000001</v>
      </c>
      <c r="AD31" s="493">
        <f t="shared" si="37"/>
        <v>1.6782999999999999</v>
      </c>
      <c r="AE31" s="493">
        <f t="shared" si="38"/>
        <v>2.2585000000000002</v>
      </c>
      <c r="AF31" s="493">
        <f t="shared" si="39"/>
        <v>2.2585000000000002</v>
      </c>
      <c r="AG31" s="493" t="str">
        <f t="shared" si="40"/>
        <v>.</v>
      </c>
      <c r="AH31" s="493" t="str">
        <f t="shared" si="41"/>
        <v>.</v>
      </c>
      <c r="AI31" s="423">
        <f t="shared" si="42"/>
        <v>2077.79</v>
      </c>
      <c r="AJ31" s="423">
        <f t="shared" si="43"/>
        <v>4692.6899999999996</v>
      </c>
      <c r="AK31" s="423">
        <f t="shared" si="44"/>
        <v>391.06</v>
      </c>
      <c r="AN31" s="423" t="str">
        <f t="shared" si="45"/>
        <v>.</v>
      </c>
      <c r="AO31" s="423" t="str">
        <f t="shared" si="45"/>
        <v>.</v>
      </c>
      <c r="AR31" s="546">
        <f xml:space="preserve"> ROUND(  INDEX( Kx!31:31, AR$16 ),  AR$17 )</f>
        <v>0.76060000000000005</v>
      </c>
      <c r="AS31" s="547">
        <f xml:space="preserve"> ROUND(  INDEX( qx!31:31, AS$16 ),  AS$17 )</f>
        <v>2.9999999999999997E-4</v>
      </c>
      <c r="AT31" s="547">
        <f xml:space="preserve"> ROUND(  INDEX( qx!31:31, AT$16 ),  AT$17 )</f>
        <v>2.0000000000000001E-4</v>
      </c>
      <c r="AU31" s="548" t="str">
        <f t="shared" si="46"/>
        <v>F</v>
      </c>
      <c r="AV31" s="542">
        <f t="shared" si="47"/>
        <v>0.67930000000000001</v>
      </c>
      <c r="AW31" s="542">
        <f t="shared" si="48"/>
        <v>2.9999999999999997E-4</v>
      </c>
      <c r="AX31" s="546">
        <f xml:space="preserve"> ROUND(  INDEX( wx!31:31, AX$16 ),  AX$17 )</f>
        <v>6.4399999999999999E-2</v>
      </c>
      <c r="AY31" s="546">
        <f xml:space="preserve"> ROUND(  INDEX( wx!31:31, AY$16 ),  AY$17 )</f>
        <v>8.4599999999999995E-2</v>
      </c>
      <c r="AZ31" s="548" t="str">
        <f t="shared" si="49"/>
        <v>M</v>
      </c>
      <c r="BA31" s="542">
        <f t="shared" si="50"/>
        <v>0.8266</v>
      </c>
      <c r="BB31" s="542">
        <f t="shared" si="51"/>
        <v>6.7900000000000002E-2</v>
      </c>
      <c r="BC31" s="533">
        <f xml:space="preserve"> ROUND(  INDEX( Kx!31:31, BC$16 ),  BC$17 )</f>
        <v>1361.74</v>
      </c>
      <c r="BD31" s="533">
        <f xml:space="preserve"> ROUND(  INDEX( Kx!31:31, BD$16 ),  BD$17 )</f>
        <v>2906.96</v>
      </c>
      <c r="BE31" s="548" t="str">
        <f t="shared" si="52"/>
        <v>F</v>
      </c>
      <c r="BF31" s="542">
        <f t="shared" si="53"/>
        <v>0.67930000000000001</v>
      </c>
      <c r="BG31" s="420">
        <f t="shared" si="54"/>
        <v>1857.29</v>
      </c>
      <c r="BQ31" s="549">
        <f t="shared" si="96"/>
        <v>31</v>
      </c>
      <c r="BR31" s="423" t="str">
        <f t="shared" si="55"/>
        <v>.</v>
      </c>
      <c r="BS31" s="550" t="str">
        <f t="shared" si="56"/>
        <v>.</v>
      </c>
      <c r="BT31" s="423" t="str">
        <f t="shared" si="57"/>
        <v>.</v>
      </c>
      <c r="BU31" s="551" t="str">
        <f t="shared" si="58"/>
        <v>.</v>
      </c>
      <c r="BV31" s="551" t="str">
        <f t="shared" si="59"/>
        <v>.</v>
      </c>
      <c r="BW31" s="529" t="str">
        <f t="shared" si="60"/>
        <v>.</v>
      </c>
      <c r="BX31" s="552" t="str">
        <f t="shared" si="61"/>
        <v>.</v>
      </c>
      <c r="BY31" s="559"/>
      <c r="BZ31" s="559"/>
      <c r="CB31" s="423" t="str">
        <f t="shared" si="62"/>
        <v>.</v>
      </c>
      <c r="CC31" s="423" t="str">
        <f t="shared" si="63"/>
        <v>.</v>
      </c>
      <c r="CD31" s="423" t="str">
        <f t="shared" si="64"/>
        <v>.</v>
      </c>
      <c r="CE31" s="423" t="str">
        <f t="shared" si="65"/>
        <v>.</v>
      </c>
      <c r="CF31" s="553" t="str">
        <f t="shared" si="66"/>
        <v>.</v>
      </c>
      <c r="CH31" s="423" t="str">
        <f t="shared" si="67"/>
        <v>.</v>
      </c>
      <c r="CI31" s="423" t="str">
        <f t="shared" si="68"/>
        <v>.</v>
      </c>
      <c r="CJ31" s="423" t="str">
        <f t="shared" si="69"/>
        <v>.</v>
      </c>
      <c r="CK31" s="423" t="str">
        <f t="shared" si="97"/>
        <v>.</v>
      </c>
      <c r="CL31" s="553" t="str">
        <f t="shared" si="70"/>
        <v>.</v>
      </c>
      <c r="CN31" s="423" t="str">
        <f t="shared" si="71"/>
        <v>.</v>
      </c>
      <c r="CO31" s="423" t="str">
        <f t="shared" si="72"/>
        <v>.</v>
      </c>
      <c r="CP31" s="423" t="str">
        <f t="shared" si="73"/>
        <v>.</v>
      </c>
      <c r="CQ31" s="423" t="str">
        <f t="shared" si="74"/>
        <v>.</v>
      </c>
      <c r="CR31" s="553" t="str">
        <f t="shared" si="75"/>
        <v>.</v>
      </c>
      <c r="CV31" s="564">
        <f t="shared" si="98"/>
        <v>31</v>
      </c>
      <c r="CW31" s="538" t="str">
        <f t="shared" si="76"/>
        <v>.</v>
      </c>
      <c r="CX31" s="566" t="str">
        <f t="shared" si="77"/>
        <v>.</v>
      </c>
      <c r="CY31" s="538" t="str">
        <f t="shared" si="78"/>
        <v>.</v>
      </c>
      <c r="CZ31" s="538" t="str">
        <f t="shared" si="79"/>
        <v>.</v>
      </c>
      <c r="DA31" s="538" t="str">
        <f t="shared" si="80"/>
        <v>.</v>
      </c>
      <c r="DB31" s="567" t="e">
        <f t="shared" si="99"/>
        <v>#N/A</v>
      </c>
      <c r="DC31" s="567" t="e">
        <f t="shared" si="100"/>
        <v>#N/A</v>
      </c>
      <c r="DD31" s="567" t="e">
        <f t="shared" si="101"/>
        <v>#N/A</v>
      </c>
      <c r="DE31" s="567" t="e">
        <f t="shared" si="101"/>
        <v>#N/A</v>
      </c>
      <c r="DF31" s="568" t="e">
        <f t="shared" si="102"/>
        <v>#N/A</v>
      </c>
      <c r="DP31" s="554"/>
      <c r="DR31" s="385"/>
      <c r="DS31" s="385"/>
      <c r="DT31" s="385"/>
      <c r="EL31" s="553" t="str">
        <f t="shared" si="81"/>
        <v>.</v>
      </c>
      <c r="EM31" s="553" t="str">
        <f t="shared" si="82"/>
        <v>.</v>
      </c>
      <c r="EN31" s="423" t="str">
        <f t="shared" si="83"/>
        <v>.</v>
      </c>
      <c r="EO31" s="555" t="str">
        <f xml:space="preserve"> 'i2'!AO31</f>
        <v>.</v>
      </c>
      <c r="EV31" s="533" t="e">
        <f xml:space="preserve"> ROUND(    IF( $A$15=BE_MF_,   LEER,   INDEX( Kx!31:31, EV$16 ) ),    EV$17    )</f>
        <v>#VALUE!</v>
      </c>
      <c r="EW31" s="533" t="e">
        <f xml:space="preserve"> ROUND(    IF( $A$15=BE_MF_,   LEER,   INDEX( Kx!31:31, EW$16 ) ),    EW$17    )</f>
        <v>#VALUE!</v>
      </c>
      <c r="EX31" s="533" t="e">
        <f xml:space="preserve"> ROUND(    IF( $A$15=BE_MF_,   LEER,   INDEX( Kx!31:31, EX$16 ) ),    EX$17    )</f>
        <v>#VALUE!</v>
      </c>
      <c r="EY31" s="556" t="e">
        <f t="shared" si="103"/>
        <v>#VALUE!</v>
      </c>
      <c r="FB31" s="533" t="e">
        <f xml:space="preserve"> ROUND(    IF( $A$15=BE_MF_,   LEER,   INDEX( Kx!31:31, FB$16 ) ),    FB$17    )</f>
        <v>#VALUE!</v>
      </c>
      <c r="FC31" s="533" t="e">
        <f xml:space="preserve"> ROUND(    IF( $A$15=BE_MF_,   LEER,   INDEX( Kx!31:31, FC$16 ) ),    FC$17    )</f>
        <v>#VALUE!</v>
      </c>
      <c r="FD31" s="556" t="e">
        <f t="shared" si="104"/>
        <v>#VALUE!</v>
      </c>
      <c r="FG31" s="556" t="e">
        <f t="shared" si="105"/>
        <v>#VALUE!</v>
      </c>
      <c r="FH31" s="556" t="e">
        <f t="shared" si="105"/>
        <v>#VALUE!</v>
      </c>
      <c r="FI31" s="556" t="e">
        <f t="shared" si="105"/>
        <v>#VALUE!</v>
      </c>
      <c r="FN31" s="557">
        <f t="shared" si="84"/>
        <v>31</v>
      </c>
      <c r="FO31" s="493">
        <f t="shared" si="85"/>
        <v>27.4923</v>
      </c>
      <c r="FP31" s="493">
        <f t="shared" si="86"/>
        <v>16.605499999999999</v>
      </c>
      <c r="FR31" s="427">
        <f t="shared" si="106"/>
        <v>92348.96</v>
      </c>
      <c r="FS31" s="558">
        <f t="shared" si="87"/>
        <v>15706.13</v>
      </c>
      <c r="FT31" s="558">
        <f t="shared" si="87"/>
        <v>14308.77</v>
      </c>
      <c r="FU31" s="558">
        <f t="shared" si="87"/>
        <v>12907.96</v>
      </c>
      <c r="FV31" s="558">
        <f t="shared" si="87"/>
        <v>11507.15</v>
      </c>
      <c r="FW31" s="558">
        <f t="shared" si="87"/>
        <v>10058.040000000001</v>
      </c>
      <c r="FX31" s="558">
        <f t="shared" si="87"/>
        <v>8567.52</v>
      </c>
      <c r="FY31" s="558">
        <f t="shared" si="87"/>
        <v>7090.8</v>
      </c>
      <c r="FZ31" s="558">
        <f t="shared" si="87"/>
        <v>5603.73</v>
      </c>
      <c r="GA31" s="558">
        <f t="shared" si="87"/>
        <v>4064.91</v>
      </c>
      <c r="GB31" s="558">
        <f t="shared" si="87"/>
        <v>2463.98</v>
      </c>
      <c r="GC31" s="558">
        <f t="shared" si="87"/>
        <v>852.7</v>
      </c>
      <c r="GD31" s="558">
        <f t="shared" si="87"/>
        <v>-782.73</v>
      </c>
      <c r="GE31" s="558" t="str">
        <f t="shared" si="87"/>
        <v>.</v>
      </c>
      <c r="GF31" s="558" t="str">
        <f t="shared" si="87"/>
        <v>.</v>
      </c>
      <c r="GG31" s="558" t="str">
        <f t="shared" si="87"/>
        <v>.</v>
      </c>
      <c r="GH31" s="558" t="str">
        <f t="shared" si="87"/>
        <v>.</v>
      </c>
      <c r="GI31" s="558" t="str">
        <f t="shared" si="88"/>
        <v>.</v>
      </c>
      <c r="GJ31" s="558" t="str">
        <f t="shared" si="88"/>
        <v>.</v>
      </c>
      <c r="GK31" s="558" t="str">
        <f t="shared" si="88"/>
        <v>.</v>
      </c>
      <c r="GL31" s="558" t="str">
        <f t="shared" si="88"/>
        <v>.</v>
      </c>
      <c r="GM31" s="558" t="str">
        <f t="shared" si="88"/>
        <v>.</v>
      </c>
      <c r="GN31" s="558" t="str">
        <f t="shared" si="88"/>
        <v>.</v>
      </c>
      <c r="GO31" s="558" t="str">
        <f t="shared" si="88"/>
        <v>.</v>
      </c>
      <c r="GP31" s="558" t="str">
        <f t="shared" si="88"/>
        <v>.</v>
      </c>
      <c r="GQ31" s="558" t="str">
        <f t="shared" si="88"/>
        <v>.</v>
      </c>
      <c r="GR31" s="558" t="str">
        <f t="shared" si="88"/>
        <v>.</v>
      </c>
      <c r="GS31" s="558" t="str">
        <f t="shared" si="88"/>
        <v>.</v>
      </c>
      <c r="GT31" s="558" t="str">
        <f t="shared" si="88"/>
        <v>.</v>
      </c>
      <c r="GU31" s="558" t="str">
        <f t="shared" si="88"/>
        <v>.</v>
      </c>
      <c r="GV31" s="558" t="str">
        <f t="shared" si="88"/>
        <v>.</v>
      </c>
      <c r="GW31" s="558" t="str">
        <f t="shared" si="88"/>
        <v>.</v>
      </c>
      <c r="GX31" s="558" t="str">
        <f t="shared" si="88"/>
        <v>.</v>
      </c>
      <c r="GY31" s="558" t="str">
        <f t="shared" si="89"/>
        <v>.</v>
      </c>
      <c r="GZ31" s="558" t="str">
        <f t="shared" si="89"/>
        <v>.</v>
      </c>
      <c r="HA31" s="558" t="str">
        <f t="shared" si="89"/>
        <v>.</v>
      </c>
      <c r="HB31" s="558" t="str">
        <f t="shared" si="89"/>
        <v>.</v>
      </c>
      <c r="HC31" s="558" t="str">
        <f t="shared" si="89"/>
        <v>.</v>
      </c>
      <c r="HD31" s="558" t="str">
        <f t="shared" si="89"/>
        <v>.</v>
      </c>
      <c r="HE31" s="558" t="str">
        <f t="shared" si="89"/>
        <v>.</v>
      </c>
      <c r="HF31" s="558" t="str">
        <f t="shared" si="89"/>
        <v>.</v>
      </c>
      <c r="HG31" s="558" t="str">
        <f t="shared" si="89"/>
        <v>.</v>
      </c>
      <c r="HH31" s="558" t="str">
        <f t="shared" si="89"/>
        <v>.</v>
      </c>
      <c r="HI31" s="558" t="str">
        <f t="shared" si="89"/>
        <v>.</v>
      </c>
      <c r="HJ31" s="558" t="str">
        <f t="shared" si="89"/>
        <v>.</v>
      </c>
      <c r="HK31" s="558" t="str">
        <f t="shared" si="89"/>
        <v>.</v>
      </c>
      <c r="HL31" s="558" t="str">
        <f t="shared" si="89"/>
        <v>.</v>
      </c>
      <c r="HM31" s="558" t="str">
        <f t="shared" si="89"/>
        <v>.</v>
      </c>
      <c r="HN31" s="558" t="str">
        <f t="shared" si="89"/>
        <v>.</v>
      </c>
      <c r="HO31" s="558" t="str">
        <f t="shared" si="90"/>
        <v>.</v>
      </c>
      <c r="HP31" s="558" t="str">
        <f t="shared" si="90"/>
        <v>.</v>
      </c>
      <c r="HQ31" s="558" t="str">
        <f t="shared" si="90"/>
        <v>.</v>
      </c>
      <c r="HR31" s="558" t="str">
        <f t="shared" si="90"/>
        <v>.</v>
      </c>
      <c r="HS31" s="558" t="str">
        <f t="shared" si="90"/>
        <v>.</v>
      </c>
      <c r="HT31" s="558" t="str">
        <f t="shared" si="90"/>
        <v>.</v>
      </c>
      <c r="HU31" s="558" t="str">
        <f t="shared" si="90"/>
        <v>.</v>
      </c>
      <c r="HV31" s="558" t="str">
        <f t="shared" si="90"/>
        <v>.</v>
      </c>
      <c r="HW31" s="558" t="str">
        <f t="shared" si="90"/>
        <v>.</v>
      </c>
      <c r="HX31" s="558" t="str">
        <f t="shared" si="90"/>
        <v>.</v>
      </c>
      <c r="HY31" s="558" t="str">
        <f t="shared" si="90"/>
        <v>.</v>
      </c>
      <c r="HZ31" s="558" t="str">
        <f t="shared" si="90"/>
        <v>.</v>
      </c>
      <c r="IA31" s="558" t="str">
        <f t="shared" si="90"/>
        <v>.</v>
      </c>
      <c r="IB31" s="558" t="str">
        <f t="shared" si="90"/>
        <v>.</v>
      </c>
      <c r="IC31" s="558" t="str">
        <f t="shared" si="90"/>
        <v>.</v>
      </c>
      <c r="ID31" s="558" t="str">
        <f t="shared" si="90"/>
        <v>.</v>
      </c>
      <c r="IE31" s="558" t="str">
        <f t="shared" si="90"/>
        <v>.</v>
      </c>
      <c r="IF31" s="558" t="str">
        <f t="shared" si="90"/>
        <v>.</v>
      </c>
      <c r="IG31" s="558" t="str">
        <f t="shared" ref="IG31:IQ33" si="108" xml:space="preserve"> IF(  OR( IG$18&gt;$FN31, $FN31&gt;$FS$12 ),  LEER,  ROUND( $FR$19 * ( $FO31 - IG$15 * $FP31 ), IG$17 )  )</f>
        <v>.</v>
      </c>
      <c r="IH31" s="558" t="str">
        <f t="shared" si="108"/>
        <v>.</v>
      </c>
      <c r="II31" s="558" t="str">
        <f t="shared" si="108"/>
        <v>.</v>
      </c>
      <c r="IJ31" s="558" t="str">
        <f t="shared" si="108"/>
        <v>.</v>
      </c>
      <c r="IK31" s="558" t="str">
        <f t="shared" si="108"/>
        <v>.</v>
      </c>
      <c r="IL31" s="558" t="str">
        <f t="shared" si="108"/>
        <v>.</v>
      </c>
      <c r="IM31" s="558" t="str">
        <f t="shared" si="108"/>
        <v>.</v>
      </c>
      <c r="IN31" s="558" t="str">
        <f t="shared" si="108"/>
        <v>.</v>
      </c>
      <c r="IO31" s="558" t="str">
        <f t="shared" si="108"/>
        <v>.</v>
      </c>
      <c r="IP31" s="558" t="str">
        <f t="shared" si="108"/>
        <v>.</v>
      </c>
      <c r="IQ31" s="558" t="str">
        <f t="shared" si="108"/>
        <v>.</v>
      </c>
      <c r="IR31" s="558" t="str">
        <f t="shared" si="107"/>
        <v>.</v>
      </c>
      <c r="IS31" s="558" t="str">
        <f t="shared" si="107"/>
        <v>.</v>
      </c>
      <c r="IT31" s="558" t="str">
        <f t="shared" si="107"/>
        <v>.</v>
      </c>
      <c r="IU31" s="558" t="str">
        <f t="shared" si="107"/>
        <v>.</v>
      </c>
      <c r="IV31" s="558" t="str">
        <f t="shared" si="107"/>
        <v>.</v>
      </c>
      <c r="IW31" s="558" t="str">
        <f t="shared" si="107"/>
        <v>.</v>
      </c>
      <c r="IX31" s="558" t="str">
        <f t="shared" si="107"/>
        <v>.</v>
      </c>
      <c r="IY31" s="558" t="str">
        <f t="shared" si="107"/>
        <v>.</v>
      </c>
      <c r="IZ31" s="558" t="str">
        <f t="shared" si="107"/>
        <v>.</v>
      </c>
      <c r="JA31" s="558" t="str">
        <f t="shared" si="107"/>
        <v>.</v>
      </c>
      <c r="JB31" s="558" t="str">
        <f t="shared" si="107"/>
        <v>.</v>
      </c>
      <c r="JC31" s="558" t="str">
        <f t="shared" si="107"/>
        <v>.</v>
      </c>
      <c r="JD31" s="558" t="str">
        <f t="shared" si="107"/>
        <v>.</v>
      </c>
      <c r="JE31" s="558" t="str">
        <f t="shared" si="107"/>
        <v>.</v>
      </c>
      <c r="JF31" s="558" t="str">
        <f t="shared" si="107"/>
        <v>.</v>
      </c>
      <c r="JG31" s="558" t="str">
        <f t="shared" si="107"/>
        <v>.</v>
      </c>
      <c r="JH31" s="558" t="str">
        <f t="shared" si="107"/>
        <v>.</v>
      </c>
      <c r="JI31" s="558" t="str">
        <f t="shared" si="107"/>
        <v>.</v>
      </c>
      <c r="JJ31" s="558" t="str">
        <f t="shared" si="107"/>
        <v>.</v>
      </c>
      <c r="JK31" s="558" t="str">
        <f t="shared" si="92"/>
        <v>.</v>
      </c>
      <c r="JL31" s="558" t="str">
        <f t="shared" si="92"/>
        <v>.</v>
      </c>
      <c r="JM31" s="558" t="str">
        <f t="shared" si="92"/>
        <v>.</v>
      </c>
      <c r="JN31" s="558" t="str">
        <f t="shared" si="92"/>
        <v>.</v>
      </c>
      <c r="JO31" s="558" t="str">
        <f t="shared" si="92"/>
        <v>.</v>
      </c>
    </row>
    <row r="32" spans="1:275" x14ac:dyDescent="0.2">
      <c r="A32" s="534">
        <f xml:space="preserve"> Basis!A32</f>
        <v>32</v>
      </c>
      <c r="F32" s="536">
        <f xml:space="preserve"> ROUND(    IF( $A$15=BE_MF_,   AW32,   INDEX( qx!32:32, F$16 ) ),    F$17    )</f>
        <v>2.9999999999999997E-4</v>
      </c>
      <c r="G32" s="536">
        <f xml:space="preserve"> ROUND(    IF( $A$15=BE_MF_,   BB32,   INDEX( wx!32:32, G$16 ) ),    G$17    )</f>
        <v>6.2600000000000003E-2</v>
      </c>
      <c r="H32" s="537">
        <f xml:space="preserve"> ROUND(    IF( $A$15=BE_MF_,   BG32,   INDEX( Kx!32:32, H$16 ) ),    H$17    )</f>
        <v>1898.53</v>
      </c>
      <c r="I32" s="538">
        <f t="shared" si="93"/>
        <v>1898.53</v>
      </c>
      <c r="J32" s="539">
        <f t="shared" si="23"/>
        <v>0.91400000000000003</v>
      </c>
      <c r="K32" s="540">
        <f t="shared" si="94"/>
        <v>2</v>
      </c>
      <c r="L32" s="541">
        <f t="shared" si="24"/>
        <v>0</v>
      </c>
      <c r="M32" s="541">
        <f t="shared" si="24"/>
        <v>8.5999999999999993E-2</v>
      </c>
      <c r="O32" s="542" t="b">
        <f t="shared" si="95"/>
        <v>1</v>
      </c>
      <c r="P32" s="493">
        <f t="shared" si="25"/>
        <v>6.2899999999999998E-2</v>
      </c>
      <c r="Q32" s="493">
        <f t="shared" si="26"/>
        <v>0.93710000000000004</v>
      </c>
      <c r="R32" s="543">
        <f t="shared" si="27"/>
        <v>1295228</v>
      </c>
      <c r="S32" s="544">
        <f t="shared" si="28"/>
        <v>0.97560975599999999</v>
      </c>
      <c r="T32" s="423">
        <f t="shared" si="29"/>
        <v>587736.31999999995</v>
      </c>
      <c r="U32" s="423">
        <f xml:space="preserve"> IF( $O32,    ROUND(  SUM( T32:T$120), U$17 ),  LEER  )</f>
        <v>10089295.74</v>
      </c>
      <c r="V32" s="493">
        <f t="shared" si="30"/>
        <v>17.166399999999999</v>
      </c>
      <c r="W32" s="493">
        <f t="shared" si="31"/>
        <v>537191</v>
      </c>
      <c r="X32" s="493">
        <f xml:space="preserve"> IF( $O32,    ROUND(  SUM( W32:W$120), X$17 ),  LEER  )</f>
        <v>17196407.18</v>
      </c>
      <c r="Y32" s="493">
        <f t="shared" si="32"/>
        <v>29.258700000000001</v>
      </c>
      <c r="Z32" s="493">
        <f t="shared" si="33"/>
        <v>1.7043999999999999</v>
      </c>
      <c r="AA32" s="493">
        <f t="shared" si="34"/>
        <v>1.0106999999999999</v>
      </c>
      <c r="AB32" s="493">
        <f t="shared" si="35"/>
        <v>2.3494000000000002</v>
      </c>
      <c r="AC32" s="545">
        <f t="shared" si="36"/>
        <v>0.38600000000000001</v>
      </c>
      <c r="AD32" s="493">
        <f t="shared" si="37"/>
        <v>1.7267999999999999</v>
      </c>
      <c r="AE32" s="493">
        <f t="shared" si="38"/>
        <v>2.3115999999999999</v>
      </c>
      <c r="AF32" s="493">
        <f t="shared" si="39"/>
        <v>2.3115999999999999</v>
      </c>
      <c r="AG32" s="493" t="str">
        <f t="shared" si="40"/>
        <v>.</v>
      </c>
      <c r="AH32" s="493" t="str">
        <f t="shared" si="41"/>
        <v>.</v>
      </c>
      <c r="AI32" s="423">
        <f t="shared" si="42"/>
        <v>2077.79</v>
      </c>
      <c r="AJ32" s="423">
        <f t="shared" si="43"/>
        <v>4803.0200000000004</v>
      </c>
      <c r="AK32" s="423">
        <f t="shared" si="44"/>
        <v>400.25</v>
      </c>
      <c r="AN32" s="423" t="str">
        <f t="shared" si="45"/>
        <v>.</v>
      </c>
      <c r="AO32" s="423" t="str">
        <f t="shared" si="45"/>
        <v>.</v>
      </c>
      <c r="AR32" s="546">
        <f xml:space="preserve"> ROUND(  INDEX( Kx!32:32, AR$16 ),  AR$17 )</f>
        <v>0.75480000000000003</v>
      </c>
      <c r="AS32" s="547">
        <f xml:space="preserve"> ROUND(  INDEX( qx!32:32, AS$16 ),  AS$17 )</f>
        <v>2.9999999999999997E-4</v>
      </c>
      <c r="AT32" s="547">
        <f xml:space="preserve"> ROUND(  INDEX( qx!32:32, AT$16 ),  AT$17 )</f>
        <v>2.0000000000000001E-4</v>
      </c>
      <c r="AU32" s="548" t="str">
        <f t="shared" si="46"/>
        <v>F</v>
      </c>
      <c r="AV32" s="542">
        <f t="shared" si="47"/>
        <v>0.6724</v>
      </c>
      <c r="AW32" s="542">
        <f t="shared" si="48"/>
        <v>2.9999999999999997E-4</v>
      </c>
      <c r="AX32" s="546">
        <f xml:space="preserve"> ROUND(  INDEX( wx!32:32, AX$16 ),  AX$17 )</f>
        <v>5.8999999999999997E-2</v>
      </c>
      <c r="AY32" s="546">
        <f xml:space="preserve"> ROUND(  INDEX( wx!32:32, AY$16 ),  AY$17 )</f>
        <v>7.9399999999999998E-2</v>
      </c>
      <c r="AZ32" s="548" t="str">
        <f t="shared" si="49"/>
        <v>M</v>
      </c>
      <c r="BA32" s="542">
        <f t="shared" si="50"/>
        <v>0.82199999999999995</v>
      </c>
      <c r="BB32" s="542">
        <f t="shared" si="51"/>
        <v>6.2600000000000003E-2</v>
      </c>
      <c r="BC32" s="533">
        <f xml:space="preserve"> ROUND(  INDEX( Kx!32:32, BC$16 ),  BC$17 )</f>
        <v>1369.93</v>
      </c>
      <c r="BD32" s="533">
        <f xml:space="preserve"> ROUND(  INDEX( Kx!32:32, BD$16 ),  BD$17 )</f>
        <v>2983.48</v>
      </c>
      <c r="BE32" s="548" t="str">
        <f t="shared" si="52"/>
        <v>F</v>
      </c>
      <c r="BF32" s="542">
        <f t="shared" si="53"/>
        <v>0.6724</v>
      </c>
      <c r="BG32" s="420">
        <f t="shared" si="54"/>
        <v>1898.53</v>
      </c>
      <c r="BQ32" s="549">
        <f t="shared" si="96"/>
        <v>32</v>
      </c>
      <c r="BR32" s="423" t="str">
        <f t="shared" si="55"/>
        <v>.</v>
      </c>
      <c r="BS32" s="550" t="str">
        <f t="shared" si="56"/>
        <v>.</v>
      </c>
      <c r="BT32" s="423" t="str">
        <f t="shared" si="57"/>
        <v>.</v>
      </c>
      <c r="BU32" s="551" t="str">
        <f t="shared" si="58"/>
        <v>.</v>
      </c>
      <c r="BV32" s="551" t="str">
        <f t="shared" si="59"/>
        <v>.</v>
      </c>
      <c r="BW32" s="529" t="str">
        <f t="shared" si="60"/>
        <v>.</v>
      </c>
      <c r="BX32" s="552" t="str">
        <f t="shared" si="61"/>
        <v>.</v>
      </c>
      <c r="BY32" s="559"/>
      <c r="BZ32" s="559"/>
      <c r="CB32" s="423" t="str">
        <f t="shared" si="62"/>
        <v>.</v>
      </c>
      <c r="CC32" s="423" t="str">
        <f t="shared" si="63"/>
        <v>.</v>
      </c>
      <c r="CD32" s="423" t="str">
        <f t="shared" si="64"/>
        <v>.</v>
      </c>
      <c r="CE32" s="423" t="str">
        <f t="shared" si="65"/>
        <v>.</v>
      </c>
      <c r="CF32" s="553" t="str">
        <f t="shared" si="66"/>
        <v>.</v>
      </c>
      <c r="CH32" s="423" t="str">
        <f t="shared" si="67"/>
        <v>.</v>
      </c>
      <c r="CI32" s="423" t="str">
        <f t="shared" si="68"/>
        <v>.</v>
      </c>
      <c r="CJ32" s="423" t="str">
        <f t="shared" si="69"/>
        <v>.</v>
      </c>
      <c r="CK32" s="423" t="str">
        <f t="shared" si="97"/>
        <v>.</v>
      </c>
      <c r="CL32" s="553" t="str">
        <f t="shared" si="70"/>
        <v>.</v>
      </c>
      <c r="CN32" s="423" t="str">
        <f t="shared" si="71"/>
        <v>.</v>
      </c>
      <c r="CO32" s="423" t="str">
        <f t="shared" si="72"/>
        <v>.</v>
      </c>
      <c r="CP32" s="423" t="str">
        <f t="shared" si="73"/>
        <v>.</v>
      </c>
      <c r="CQ32" s="423" t="str">
        <f t="shared" si="74"/>
        <v>.</v>
      </c>
      <c r="CR32" s="553" t="str">
        <f t="shared" si="75"/>
        <v>.</v>
      </c>
      <c r="CV32" s="564">
        <f t="shared" si="98"/>
        <v>32</v>
      </c>
      <c r="CW32" s="538" t="str">
        <f t="shared" si="76"/>
        <v>.</v>
      </c>
      <c r="CX32" s="566" t="str">
        <f t="shared" si="77"/>
        <v>.</v>
      </c>
      <c r="CY32" s="538" t="str">
        <f t="shared" si="78"/>
        <v>.</v>
      </c>
      <c r="CZ32" s="538" t="str">
        <f t="shared" si="79"/>
        <v>.</v>
      </c>
      <c r="DA32" s="538" t="str">
        <f t="shared" si="80"/>
        <v>.</v>
      </c>
      <c r="DB32" s="567" t="e">
        <f t="shared" si="99"/>
        <v>#N/A</v>
      </c>
      <c r="DC32" s="567" t="e">
        <f t="shared" si="100"/>
        <v>#N/A</v>
      </c>
      <c r="DD32" s="567" t="e">
        <f t="shared" si="101"/>
        <v>#N/A</v>
      </c>
      <c r="DE32" s="567" t="e">
        <f t="shared" si="101"/>
        <v>#N/A</v>
      </c>
      <c r="DF32" s="568" t="e">
        <f t="shared" si="102"/>
        <v>#N/A</v>
      </c>
      <c r="DR32" s="385"/>
      <c r="DS32" s="385"/>
      <c r="DT32" s="385"/>
      <c r="EL32" s="553" t="str">
        <f t="shared" si="81"/>
        <v>.</v>
      </c>
      <c r="EM32" s="553" t="str">
        <f t="shared" si="82"/>
        <v>.</v>
      </c>
      <c r="EN32" s="423" t="str">
        <f t="shared" si="83"/>
        <v>.</v>
      </c>
      <c r="EO32" s="555" t="str">
        <f xml:space="preserve"> 'i2'!AO32</f>
        <v>.</v>
      </c>
      <c r="EV32" s="533" t="e">
        <f xml:space="preserve"> ROUND(    IF( $A$15=BE_MF_,   LEER,   INDEX( Kx!32:32, EV$16 ) ),    EV$17    )</f>
        <v>#VALUE!</v>
      </c>
      <c r="EW32" s="533" t="e">
        <f xml:space="preserve"> ROUND(    IF( $A$15=BE_MF_,   LEER,   INDEX( Kx!32:32, EW$16 ) ),    EW$17    )</f>
        <v>#VALUE!</v>
      </c>
      <c r="EX32" s="533" t="e">
        <f xml:space="preserve"> ROUND(    IF( $A$15=BE_MF_,   LEER,   INDEX( Kx!32:32, EX$16 ) ),    EX$17    )</f>
        <v>#VALUE!</v>
      </c>
      <c r="EY32" s="556" t="e">
        <f t="shared" si="103"/>
        <v>#VALUE!</v>
      </c>
      <c r="FB32" s="533" t="e">
        <f xml:space="preserve"> ROUND(    IF( $A$15=BE_MF_,   LEER,   INDEX( Kx!32:32, FB$16 ) ),    FB$17    )</f>
        <v>#VALUE!</v>
      </c>
      <c r="FC32" s="533" t="e">
        <f xml:space="preserve"> ROUND(    IF( $A$15=BE_MF_,   LEER,   INDEX( Kx!32:32, FC$16 ) ),    FC$17    )</f>
        <v>#VALUE!</v>
      </c>
      <c r="FD32" s="556" t="e">
        <f t="shared" si="104"/>
        <v>#VALUE!</v>
      </c>
      <c r="FG32" s="556" t="e">
        <f t="shared" si="105"/>
        <v>#VALUE!</v>
      </c>
      <c r="FH32" s="556" t="e">
        <f t="shared" si="105"/>
        <v>#VALUE!</v>
      </c>
      <c r="FI32" s="556" t="e">
        <f t="shared" si="105"/>
        <v>#VALUE!</v>
      </c>
      <c r="FN32" s="557">
        <f t="shared" si="84"/>
        <v>32</v>
      </c>
      <c r="FO32" s="493">
        <f t="shared" si="85"/>
        <v>29.258700000000001</v>
      </c>
      <c r="FP32" s="493">
        <f t="shared" si="86"/>
        <v>17.166399999999999</v>
      </c>
      <c r="FR32" s="427">
        <f t="shared" si="106"/>
        <v>115558.40000000001</v>
      </c>
      <c r="FS32" s="558">
        <f t="shared" si="87"/>
        <v>17977.36</v>
      </c>
      <c r="FT32" s="558">
        <f t="shared" si="87"/>
        <v>16532.8</v>
      </c>
      <c r="FU32" s="558">
        <f t="shared" si="87"/>
        <v>15084.67</v>
      </c>
      <c r="FV32" s="558">
        <f t="shared" si="87"/>
        <v>13636.54</v>
      </c>
      <c r="FW32" s="558">
        <f t="shared" si="87"/>
        <v>12138.48</v>
      </c>
      <c r="FX32" s="558">
        <f t="shared" si="87"/>
        <v>10597.61</v>
      </c>
      <c r="FY32" s="558">
        <f t="shared" si="87"/>
        <v>9071.01</v>
      </c>
      <c r="FZ32" s="558">
        <f t="shared" si="87"/>
        <v>7533.72</v>
      </c>
      <c r="GA32" s="558">
        <f t="shared" si="87"/>
        <v>5942.92</v>
      </c>
      <c r="GB32" s="558">
        <f t="shared" si="87"/>
        <v>4287.91</v>
      </c>
      <c r="GC32" s="558">
        <f t="shared" si="87"/>
        <v>2622.21</v>
      </c>
      <c r="GD32" s="558">
        <f t="shared" si="87"/>
        <v>931.54</v>
      </c>
      <c r="GE32" s="558">
        <f t="shared" si="87"/>
        <v>-798.37</v>
      </c>
      <c r="GF32" s="558" t="str">
        <f t="shared" si="87"/>
        <v>.</v>
      </c>
      <c r="GG32" s="558" t="str">
        <f t="shared" si="87"/>
        <v>.</v>
      </c>
      <c r="GH32" s="558" t="str">
        <f t="shared" si="87"/>
        <v>.</v>
      </c>
      <c r="GI32" s="558" t="str">
        <f t="shared" si="88"/>
        <v>.</v>
      </c>
      <c r="GJ32" s="558" t="str">
        <f t="shared" si="88"/>
        <v>.</v>
      </c>
      <c r="GK32" s="558" t="str">
        <f t="shared" si="88"/>
        <v>.</v>
      </c>
      <c r="GL32" s="558" t="str">
        <f t="shared" si="88"/>
        <v>.</v>
      </c>
      <c r="GM32" s="558" t="str">
        <f t="shared" si="88"/>
        <v>.</v>
      </c>
      <c r="GN32" s="558" t="str">
        <f t="shared" si="88"/>
        <v>.</v>
      </c>
      <c r="GO32" s="558" t="str">
        <f t="shared" si="88"/>
        <v>.</v>
      </c>
      <c r="GP32" s="558" t="str">
        <f t="shared" si="88"/>
        <v>.</v>
      </c>
      <c r="GQ32" s="558" t="str">
        <f t="shared" si="88"/>
        <v>.</v>
      </c>
      <c r="GR32" s="558" t="str">
        <f t="shared" si="88"/>
        <v>.</v>
      </c>
      <c r="GS32" s="558" t="str">
        <f t="shared" si="88"/>
        <v>.</v>
      </c>
      <c r="GT32" s="558" t="str">
        <f t="shared" si="88"/>
        <v>.</v>
      </c>
      <c r="GU32" s="558" t="str">
        <f t="shared" si="88"/>
        <v>.</v>
      </c>
      <c r="GV32" s="558" t="str">
        <f t="shared" si="88"/>
        <v>.</v>
      </c>
      <c r="GW32" s="558" t="str">
        <f t="shared" si="88"/>
        <v>.</v>
      </c>
      <c r="GX32" s="558" t="str">
        <f t="shared" si="88"/>
        <v>.</v>
      </c>
      <c r="GY32" s="558" t="str">
        <f t="shared" si="89"/>
        <v>.</v>
      </c>
      <c r="GZ32" s="558" t="str">
        <f t="shared" si="89"/>
        <v>.</v>
      </c>
      <c r="HA32" s="558" t="str">
        <f t="shared" si="89"/>
        <v>.</v>
      </c>
      <c r="HB32" s="558" t="str">
        <f t="shared" si="89"/>
        <v>.</v>
      </c>
      <c r="HC32" s="558" t="str">
        <f t="shared" si="89"/>
        <v>.</v>
      </c>
      <c r="HD32" s="558" t="str">
        <f t="shared" si="89"/>
        <v>.</v>
      </c>
      <c r="HE32" s="558" t="str">
        <f t="shared" si="89"/>
        <v>.</v>
      </c>
      <c r="HF32" s="558" t="str">
        <f t="shared" si="89"/>
        <v>.</v>
      </c>
      <c r="HG32" s="558" t="str">
        <f t="shared" si="89"/>
        <v>.</v>
      </c>
      <c r="HH32" s="558" t="str">
        <f t="shared" si="89"/>
        <v>.</v>
      </c>
      <c r="HI32" s="558" t="str">
        <f t="shared" si="89"/>
        <v>.</v>
      </c>
      <c r="HJ32" s="558" t="str">
        <f t="shared" si="89"/>
        <v>.</v>
      </c>
      <c r="HK32" s="558" t="str">
        <f t="shared" si="89"/>
        <v>.</v>
      </c>
      <c r="HL32" s="558" t="str">
        <f t="shared" si="89"/>
        <v>.</v>
      </c>
      <c r="HM32" s="558" t="str">
        <f t="shared" si="89"/>
        <v>.</v>
      </c>
      <c r="HN32" s="558" t="str">
        <f t="shared" si="89"/>
        <v>.</v>
      </c>
      <c r="HO32" s="558" t="str">
        <f t="shared" si="90"/>
        <v>.</v>
      </c>
      <c r="HP32" s="558" t="str">
        <f t="shared" si="90"/>
        <v>.</v>
      </c>
      <c r="HQ32" s="558" t="str">
        <f t="shared" si="90"/>
        <v>.</v>
      </c>
      <c r="HR32" s="558" t="str">
        <f t="shared" si="90"/>
        <v>.</v>
      </c>
      <c r="HS32" s="558" t="str">
        <f t="shared" si="90"/>
        <v>.</v>
      </c>
      <c r="HT32" s="558" t="str">
        <f t="shared" si="90"/>
        <v>.</v>
      </c>
      <c r="HU32" s="558" t="str">
        <f t="shared" si="90"/>
        <v>.</v>
      </c>
      <c r="HV32" s="558" t="str">
        <f t="shared" si="90"/>
        <v>.</v>
      </c>
      <c r="HW32" s="558" t="str">
        <f t="shared" si="90"/>
        <v>.</v>
      </c>
      <c r="HX32" s="558" t="str">
        <f t="shared" si="90"/>
        <v>.</v>
      </c>
      <c r="HY32" s="558" t="str">
        <f t="shared" si="90"/>
        <v>.</v>
      </c>
      <c r="HZ32" s="558" t="str">
        <f t="shared" si="90"/>
        <v>.</v>
      </c>
      <c r="IA32" s="558" t="str">
        <f t="shared" si="90"/>
        <v>.</v>
      </c>
      <c r="IB32" s="558" t="str">
        <f t="shared" si="90"/>
        <v>.</v>
      </c>
      <c r="IC32" s="558" t="str">
        <f t="shared" si="90"/>
        <v>.</v>
      </c>
      <c r="ID32" s="558" t="str">
        <f t="shared" si="90"/>
        <v>.</v>
      </c>
      <c r="IE32" s="558" t="str">
        <f t="shared" si="90"/>
        <v>.</v>
      </c>
      <c r="IF32" s="558" t="str">
        <f t="shared" si="90"/>
        <v>.</v>
      </c>
      <c r="IG32" s="558" t="str">
        <f t="shared" si="108"/>
        <v>.</v>
      </c>
      <c r="IH32" s="558" t="str">
        <f t="shared" si="108"/>
        <v>.</v>
      </c>
      <c r="II32" s="558" t="str">
        <f t="shared" si="108"/>
        <v>.</v>
      </c>
      <c r="IJ32" s="558" t="str">
        <f t="shared" si="108"/>
        <v>.</v>
      </c>
      <c r="IK32" s="558" t="str">
        <f t="shared" si="108"/>
        <v>.</v>
      </c>
      <c r="IL32" s="558" t="str">
        <f t="shared" si="108"/>
        <v>.</v>
      </c>
      <c r="IM32" s="558" t="str">
        <f t="shared" si="108"/>
        <v>.</v>
      </c>
      <c r="IN32" s="558" t="str">
        <f t="shared" si="108"/>
        <v>.</v>
      </c>
      <c r="IO32" s="558" t="str">
        <f t="shared" si="108"/>
        <v>.</v>
      </c>
      <c r="IP32" s="558" t="str">
        <f t="shared" si="108"/>
        <v>.</v>
      </c>
      <c r="IQ32" s="558" t="str">
        <f t="shared" si="108"/>
        <v>.</v>
      </c>
      <c r="IR32" s="558" t="str">
        <f t="shared" si="107"/>
        <v>.</v>
      </c>
      <c r="IS32" s="558" t="str">
        <f t="shared" si="107"/>
        <v>.</v>
      </c>
      <c r="IT32" s="558" t="str">
        <f t="shared" si="107"/>
        <v>.</v>
      </c>
      <c r="IU32" s="558" t="str">
        <f t="shared" si="107"/>
        <v>.</v>
      </c>
      <c r="IV32" s="558" t="str">
        <f t="shared" si="107"/>
        <v>.</v>
      </c>
      <c r="IW32" s="558" t="str">
        <f t="shared" si="107"/>
        <v>.</v>
      </c>
      <c r="IX32" s="558" t="str">
        <f t="shared" si="107"/>
        <v>.</v>
      </c>
      <c r="IY32" s="558" t="str">
        <f t="shared" si="107"/>
        <v>.</v>
      </c>
      <c r="IZ32" s="558" t="str">
        <f t="shared" si="107"/>
        <v>.</v>
      </c>
      <c r="JA32" s="558" t="str">
        <f t="shared" si="107"/>
        <v>.</v>
      </c>
      <c r="JB32" s="558" t="str">
        <f t="shared" si="107"/>
        <v>.</v>
      </c>
      <c r="JC32" s="558" t="str">
        <f t="shared" si="107"/>
        <v>.</v>
      </c>
      <c r="JD32" s="558" t="str">
        <f t="shared" si="107"/>
        <v>.</v>
      </c>
      <c r="JE32" s="558" t="str">
        <f t="shared" si="107"/>
        <v>.</v>
      </c>
      <c r="JF32" s="558" t="str">
        <f t="shared" si="107"/>
        <v>.</v>
      </c>
      <c r="JG32" s="558" t="str">
        <f t="shared" si="107"/>
        <v>.</v>
      </c>
      <c r="JH32" s="558" t="str">
        <f t="shared" si="107"/>
        <v>.</v>
      </c>
      <c r="JI32" s="558" t="str">
        <f t="shared" si="107"/>
        <v>.</v>
      </c>
      <c r="JJ32" s="558" t="str">
        <f t="shared" si="107"/>
        <v>.</v>
      </c>
      <c r="JK32" s="558" t="str">
        <f t="shared" si="92"/>
        <v>.</v>
      </c>
      <c r="JL32" s="558" t="str">
        <f t="shared" si="92"/>
        <v>.</v>
      </c>
      <c r="JM32" s="558" t="str">
        <f t="shared" si="92"/>
        <v>.</v>
      </c>
      <c r="JN32" s="558" t="str">
        <f t="shared" si="92"/>
        <v>.</v>
      </c>
      <c r="JO32" s="558" t="str">
        <f t="shared" si="92"/>
        <v>.</v>
      </c>
    </row>
    <row r="33" spans="1:275" x14ac:dyDescent="0.2">
      <c r="A33" s="534">
        <f xml:space="preserve"> Basis!A33</f>
        <v>33</v>
      </c>
      <c r="F33" s="536">
        <f xml:space="preserve"> ROUND(    IF( $A$15=BE_MF_,   AW33,   INDEX( qx!33:33, F$16 ) ),    F$17    )</f>
        <v>2.9999999999999997E-4</v>
      </c>
      <c r="G33" s="536">
        <f xml:space="preserve"> ROUND(    IF( $A$15=BE_MF_,   BB33,   INDEX( wx!33:33, G$16 ) ),    G$17    )</f>
        <v>5.7299999999999997E-2</v>
      </c>
      <c r="H33" s="537">
        <f xml:space="preserve"> ROUND(    IF( $A$15=BE_MF_,   BG33,   INDEX( Kx!33:33, H$16 ) ),    H$17    )</f>
        <v>1907.67</v>
      </c>
      <c r="I33" s="538">
        <f t="shared" si="93"/>
        <v>1907.67</v>
      </c>
      <c r="J33" s="539">
        <f t="shared" si="23"/>
        <v>0.91800000000000004</v>
      </c>
      <c r="K33" s="540">
        <f t="shared" si="94"/>
        <v>2</v>
      </c>
      <c r="L33" s="541">
        <f t="shared" si="24"/>
        <v>0</v>
      </c>
      <c r="M33" s="541">
        <f t="shared" si="24"/>
        <v>8.5999999999999993E-2</v>
      </c>
      <c r="O33" s="542" t="b">
        <f t="shared" si="95"/>
        <v>1</v>
      </c>
      <c r="P33" s="493">
        <f t="shared" si="25"/>
        <v>5.7599999999999998E-2</v>
      </c>
      <c r="Q33" s="493">
        <f t="shared" si="26"/>
        <v>0.94240000000000002</v>
      </c>
      <c r="R33" s="543">
        <f t="shared" si="27"/>
        <v>1213758</v>
      </c>
      <c r="S33" s="544">
        <f t="shared" si="28"/>
        <v>0.97560975599999999</v>
      </c>
      <c r="T33" s="423">
        <f t="shared" si="29"/>
        <v>537334.28</v>
      </c>
      <c r="U33" s="423">
        <f xml:space="preserve"> IF( $O33,    ROUND(  SUM( T33:T$120), U$17 ),  LEER  )</f>
        <v>9501559.4199999999</v>
      </c>
      <c r="V33" s="493">
        <f t="shared" si="30"/>
        <v>17.6828</v>
      </c>
      <c r="W33" s="493">
        <f t="shared" si="31"/>
        <v>493272.87</v>
      </c>
      <c r="X33" s="493">
        <f xml:space="preserve"> IF( $O33,    ROUND(  SUM( W33:W$120), X$17 ),  LEER  )</f>
        <v>16659216.18</v>
      </c>
      <c r="Y33" s="493">
        <f t="shared" si="32"/>
        <v>31.003399999999999</v>
      </c>
      <c r="Z33" s="493">
        <f t="shared" si="33"/>
        <v>1.7533000000000001</v>
      </c>
      <c r="AA33" s="493">
        <f t="shared" si="34"/>
        <v>1.0104</v>
      </c>
      <c r="AB33" s="493">
        <f t="shared" si="35"/>
        <v>2.3494000000000002</v>
      </c>
      <c r="AC33" s="545">
        <f t="shared" si="36"/>
        <v>0.38600000000000001</v>
      </c>
      <c r="AD33" s="493">
        <f t="shared" si="37"/>
        <v>1.7755000000000001</v>
      </c>
      <c r="AE33" s="493">
        <f t="shared" si="38"/>
        <v>2.3649</v>
      </c>
      <c r="AF33" s="493">
        <f t="shared" si="39"/>
        <v>2.3649</v>
      </c>
      <c r="AG33" s="493" t="str">
        <f t="shared" si="40"/>
        <v>.</v>
      </c>
      <c r="AH33" s="493" t="str">
        <f t="shared" si="41"/>
        <v>.</v>
      </c>
      <c r="AI33" s="423">
        <f t="shared" si="42"/>
        <v>2077.79</v>
      </c>
      <c r="AJ33" s="423">
        <f t="shared" si="43"/>
        <v>4913.7700000000004</v>
      </c>
      <c r="AK33" s="423">
        <f t="shared" si="44"/>
        <v>409.48</v>
      </c>
      <c r="AN33" s="423" t="str">
        <f t="shared" si="45"/>
        <v>.</v>
      </c>
      <c r="AO33" s="423" t="str">
        <f t="shared" si="45"/>
        <v>.</v>
      </c>
      <c r="AR33" s="546">
        <f xml:space="preserve"> ROUND(  INDEX( Kx!33:33, AR$16 ),  AR$17 )</f>
        <v>0.76600000000000001</v>
      </c>
      <c r="AS33" s="547">
        <f xml:space="preserve"> ROUND(  INDEX( qx!33:33, AS$16 ),  AS$17 )</f>
        <v>2.9999999999999997E-4</v>
      </c>
      <c r="AT33" s="547">
        <f xml:space="preserve"> ROUND(  INDEX( qx!33:33, AT$16 ),  AT$17 )</f>
        <v>2.0000000000000001E-4</v>
      </c>
      <c r="AU33" s="548" t="str">
        <f t="shared" si="46"/>
        <v>F</v>
      </c>
      <c r="AV33" s="542">
        <f t="shared" si="47"/>
        <v>0.68579999999999997</v>
      </c>
      <c r="AW33" s="542">
        <f t="shared" si="48"/>
        <v>2.9999999999999997E-4</v>
      </c>
      <c r="AX33" s="546">
        <f xml:space="preserve"> ROUND(  INDEX( wx!33:33, AX$16 ),  AX$17 )</f>
        <v>5.3900000000000003E-2</v>
      </c>
      <c r="AY33" s="546">
        <f xml:space="preserve"> ROUND(  INDEX( wx!33:33, AY$16 ),  AY$17 )</f>
        <v>7.3899999999999993E-2</v>
      </c>
      <c r="AZ33" s="548" t="str">
        <f t="shared" si="49"/>
        <v>M</v>
      </c>
      <c r="BA33" s="542">
        <f t="shared" si="50"/>
        <v>0.83079999999999998</v>
      </c>
      <c r="BB33" s="542">
        <f t="shared" si="51"/>
        <v>5.7299999999999997E-2</v>
      </c>
      <c r="BC33" s="533">
        <f xml:space="preserve"> ROUND(  INDEX( Kx!33:33, BC$16 ),  BC$17 )</f>
        <v>1386.47</v>
      </c>
      <c r="BD33" s="533">
        <f xml:space="preserve"> ROUND(  INDEX( Kx!33:33, BD$16 ),  BD$17 )</f>
        <v>3045.28</v>
      </c>
      <c r="BE33" s="548" t="str">
        <f t="shared" si="52"/>
        <v>F</v>
      </c>
      <c r="BF33" s="542">
        <f t="shared" si="53"/>
        <v>0.68579999999999997</v>
      </c>
      <c r="BG33" s="420">
        <f t="shared" si="54"/>
        <v>1907.67</v>
      </c>
      <c r="BQ33" s="549">
        <f t="shared" si="96"/>
        <v>33</v>
      </c>
      <c r="BR33" s="423" t="str">
        <f t="shared" si="55"/>
        <v>.</v>
      </c>
      <c r="BS33" s="550" t="str">
        <f t="shared" si="56"/>
        <v>.</v>
      </c>
      <c r="BT33" s="423" t="str">
        <f t="shared" si="57"/>
        <v>.</v>
      </c>
      <c r="BU33" s="551" t="str">
        <f t="shared" si="58"/>
        <v>.</v>
      </c>
      <c r="BV33" s="551" t="str">
        <f t="shared" si="59"/>
        <v>.</v>
      </c>
      <c r="BW33" s="529" t="str">
        <f t="shared" si="60"/>
        <v>.</v>
      </c>
      <c r="BX33" s="552" t="str">
        <f t="shared" si="61"/>
        <v>.</v>
      </c>
      <c r="BY33" s="559"/>
      <c r="BZ33" s="559"/>
      <c r="CB33" s="423" t="str">
        <f t="shared" si="62"/>
        <v>.</v>
      </c>
      <c r="CC33" s="423" t="str">
        <f t="shared" si="63"/>
        <v>.</v>
      </c>
      <c r="CD33" s="423" t="str">
        <f t="shared" si="64"/>
        <v>.</v>
      </c>
      <c r="CE33" s="423" t="str">
        <f t="shared" si="65"/>
        <v>.</v>
      </c>
      <c r="CF33" s="553" t="str">
        <f t="shared" si="66"/>
        <v>.</v>
      </c>
      <c r="CH33" s="423" t="str">
        <f t="shared" si="67"/>
        <v>.</v>
      </c>
      <c r="CI33" s="423" t="str">
        <f t="shared" si="68"/>
        <v>.</v>
      </c>
      <c r="CJ33" s="423" t="str">
        <f t="shared" si="69"/>
        <v>.</v>
      </c>
      <c r="CK33" s="423" t="str">
        <f t="shared" si="97"/>
        <v>.</v>
      </c>
      <c r="CL33" s="553" t="str">
        <f t="shared" si="70"/>
        <v>.</v>
      </c>
      <c r="CN33" s="423" t="str">
        <f t="shared" si="71"/>
        <v>.</v>
      </c>
      <c r="CO33" s="423" t="str">
        <f t="shared" si="72"/>
        <v>.</v>
      </c>
      <c r="CP33" s="423" t="str">
        <f t="shared" si="73"/>
        <v>.</v>
      </c>
      <c r="CQ33" s="423" t="str">
        <f t="shared" si="74"/>
        <v>.</v>
      </c>
      <c r="CR33" s="553" t="str">
        <f t="shared" si="75"/>
        <v>.</v>
      </c>
      <c r="CV33" s="564">
        <f t="shared" si="98"/>
        <v>33</v>
      </c>
      <c r="CW33" s="538" t="str">
        <f t="shared" si="76"/>
        <v>.</v>
      </c>
      <c r="CX33" s="566" t="str">
        <f t="shared" si="77"/>
        <v>.</v>
      </c>
      <c r="CY33" s="538" t="str">
        <f t="shared" si="78"/>
        <v>.</v>
      </c>
      <c r="CZ33" s="538" t="str">
        <f t="shared" si="79"/>
        <v>.</v>
      </c>
      <c r="DA33" s="538" t="str">
        <f t="shared" si="80"/>
        <v>.</v>
      </c>
      <c r="DB33" s="567" t="e">
        <f t="shared" si="99"/>
        <v>#N/A</v>
      </c>
      <c r="DC33" s="567" t="e">
        <f t="shared" si="100"/>
        <v>#N/A</v>
      </c>
      <c r="DD33" s="567" t="e">
        <f t="shared" si="101"/>
        <v>#N/A</v>
      </c>
      <c r="DE33" s="567" t="e">
        <f t="shared" si="101"/>
        <v>#N/A</v>
      </c>
      <c r="DF33" s="568" t="e">
        <f t="shared" si="102"/>
        <v>#N/A</v>
      </c>
      <c r="DR33" s="385"/>
      <c r="DS33" s="385"/>
      <c r="DT33" s="385"/>
      <c r="EL33" s="553" t="str">
        <f t="shared" si="81"/>
        <v>.</v>
      </c>
      <c r="EM33" s="553" t="str">
        <f t="shared" si="82"/>
        <v>.</v>
      </c>
      <c r="EN33" s="423" t="str">
        <f t="shared" si="83"/>
        <v>.</v>
      </c>
      <c r="EO33" s="555" t="str">
        <f xml:space="preserve"> 'i2'!AO33</f>
        <v>.</v>
      </c>
      <c r="EV33" s="533" t="e">
        <f xml:space="preserve"> ROUND(    IF( $A$15=BE_MF_,   LEER,   INDEX( Kx!33:33, EV$16 ) ),    EV$17    )</f>
        <v>#VALUE!</v>
      </c>
      <c r="EW33" s="533" t="e">
        <f xml:space="preserve"> ROUND(    IF( $A$15=BE_MF_,   LEER,   INDEX( Kx!33:33, EW$16 ) ),    EW$17    )</f>
        <v>#VALUE!</v>
      </c>
      <c r="EX33" s="533" t="e">
        <f xml:space="preserve"> ROUND(    IF( $A$15=BE_MF_,   LEER,   INDEX( Kx!33:33, EX$16 ) ),    EX$17    )</f>
        <v>#VALUE!</v>
      </c>
      <c r="EY33" s="556" t="e">
        <f t="shared" si="103"/>
        <v>#VALUE!</v>
      </c>
      <c r="FB33" s="533" t="e">
        <f xml:space="preserve"> ROUND(    IF( $A$15=BE_MF_,   LEER,   INDEX( Kx!33:33, FB$16 ) ),    FB$17    )</f>
        <v>#VALUE!</v>
      </c>
      <c r="FC33" s="533" t="e">
        <f xml:space="preserve"> ROUND(    IF( $A$15=BE_MF_,   LEER,   INDEX( Kx!33:33, FC$16 ) ),    FC$17    )</f>
        <v>#VALUE!</v>
      </c>
      <c r="FD33" s="556" t="e">
        <f t="shared" si="104"/>
        <v>#VALUE!</v>
      </c>
      <c r="FG33" s="556" t="e">
        <f t="shared" si="105"/>
        <v>#VALUE!</v>
      </c>
      <c r="FH33" s="556" t="e">
        <f t="shared" si="105"/>
        <v>#VALUE!</v>
      </c>
      <c r="FI33" s="556" t="e">
        <f t="shared" si="105"/>
        <v>#VALUE!</v>
      </c>
      <c r="FN33" s="557">
        <f t="shared" si="84"/>
        <v>33</v>
      </c>
      <c r="FO33" s="493">
        <f t="shared" si="85"/>
        <v>31.003399999999999</v>
      </c>
      <c r="FP33" s="493">
        <f t="shared" si="86"/>
        <v>17.6828</v>
      </c>
      <c r="FR33" s="427">
        <f t="shared" si="106"/>
        <v>141571.58000000005</v>
      </c>
      <c r="FS33" s="558">
        <f t="shared" si="87"/>
        <v>20314.48</v>
      </c>
      <c r="FT33" s="558">
        <f t="shared" si="87"/>
        <v>18826.47</v>
      </c>
      <c r="FU33" s="558">
        <f t="shared" si="87"/>
        <v>17334.78</v>
      </c>
      <c r="FV33" s="558">
        <f t="shared" si="87"/>
        <v>15843.09</v>
      </c>
      <c r="FW33" s="558">
        <f t="shared" si="87"/>
        <v>14299.96</v>
      </c>
      <c r="FX33" s="558">
        <f t="shared" si="87"/>
        <v>12712.74</v>
      </c>
      <c r="FY33" s="558">
        <f t="shared" si="87"/>
        <v>11140.22</v>
      </c>
      <c r="FZ33" s="558">
        <f t="shared" si="87"/>
        <v>9556.68</v>
      </c>
      <c r="GA33" s="558">
        <f t="shared" si="87"/>
        <v>7918.02</v>
      </c>
      <c r="GB33" s="558">
        <f t="shared" si="87"/>
        <v>6213.23</v>
      </c>
      <c r="GC33" s="558">
        <f t="shared" si="87"/>
        <v>4497.42</v>
      </c>
      <c r="GD33" s="558">
        <f t="shared" si="87"/>
        <v>2755.89</v>
      </c>
      <c r="GE33" s="558">
        <f t="shared" si="87"/>
        <v>973.95</v>
      </c>
      <c r="GF33" s="558">
        <f t="shared" si="87"/>
        <v>-815.35</v>
      </c>
      <c r="GG33" s="558" t="str">
        <f t="shared" si="87"/>
        <v>.</v>
      </c>
      <c r="GH33" s="558" t="str">
        <f t="shared" si="87"/>
        <v>.</v>
      </c>
      <c r="GI33" s="558" t="str">
        <f t="shared" si="88"/>
        <v>.</v>
      </c>
      <c r="GJ33" s="558" t="str">
        <f t="shared" si="88"/>
        <v>.</v>
      </c>
      <c r="GK33" s="558" t="str">
        <f t="shared" si="88"/>
        <v>.</v>
      </c>
      <c r="GL33" s="558" t="str">
        <f t="shared" si="88"/>
        <v>.</v>
      </c>
      <c r="GM33" s="558" t="str">
        <f t="shared" si="88"/>
        <v>.</v>
      </c>
      <c r="GN33" s="558" t="str">
        <f t="shared" si="88"/>
        <v>.</v>
      </c>
      <c r="GO33" s="558" t="str">
        <f t="shared" si="88"/>
        <v>.</v>
      </c>
      <c r="GP33" s="558" t="str">
        <f t="shared" si="88"/>
        <v>.</v>
      </c>
      <c r="GQ33" s="558" t="str">
        <f t="shared" si="88"/>
        <v>.</v>
      </c>
      <c r="GR33" s="558" t="str">
        <f t="shared" si="88"/>
        <v>.</v>
      </c>
      <c r="GS33" s="558" t="str">
        <f t="shared" si="88"/>
        <v>.</v>
      </c>
      <c r="GT33" s="558" t="str">
        <f t="shared" si="88"/>
        <v>.</v>
      </c>
      <c r="GU33" s="558" t="str">
        <f t="shared" si="88"/>
        <v>.</v>
      </c>
      <c r="GV33" s="558" t="str">
        <f t="shared" si="88"/>
        <v>.</v>
      </c>
      <c r="GW33" s="558" t="str">
        <f t="shared" si="88"/>
        <v>.</v>
      </c>
      <c r="GX33" s="558" t="str">
        <f t="shared" si="88"/>
        <v>.</v>
      </c>
      <c r="GY33" s="558" t="str">
        <f t="shared" si="89"/>
        <v>.</v>
      </c>
      <c r="GZ33" s="558" t="str">
        <f t="shared" si="89"/>
        <v>.</v>
      </c>
      <c r="HA33" s="558" t="str">
        <f t="shared" si="89"/>
        <v>.</v>
      </c>
      <c r="HB33" s="558" t="str">
        <f t="shared" si="89"/>
        <v>.</v>
      </c>
      <c r="HC33" s="558" t="str">
        <f t="shared" si="89"/>
        <v>.</v>
      </c>
      <c r="HD33" s="558" t="str">
        <f t="shared" si="89"/>
        <v>.</v>
      </c>
      <c r="HE33" s="558" t="str">
        <f t="shared" si="89"/>
        <v>.</v>
      </c>
      <c r="HF33" s="558" t="str">
        <f t="shared" si="89"/>
        <v>.</v>
      </c>
      <c r="HG33" s="558" t="str">
        <f t="shared" si="89"/>
        <v>.</v>
      </c>
      <c r="HH33" s="558" t="str">
        <f t="shared" si="89"/>
        <v>.</v>
      </c>
      <c r="HI33" s="558" t="str">
        <f t="shared" si="89"/>
        <v>.</v>
      </c>
      <c r="HJ33" s="558" t="str">
        <f t="shared" si="89"/>
        <v>.</v>
      </c>
      <c r="HK33" s="558" t="str">
        <f t="shared" si="89"/>
        <v>.</v>
      </c>
      <c r="HL33" s="558" t="str">
        <f t="shared" si="89"/>
        <v>.</v>
      </c>
      <c r="HM33" s="558" t="str">
        <f t="shared" si="89"/>
        <v>.</v>
      </c>
      <c r="HN33" s="558" t="str">
        <f t="shared" si="89"/>
        <v>.</v>
      </c>
      <c r="HO33" s="558" t="str">
        <f t="shared" si="90"/>
        <v>.</v>
      </c>
      <c r="HP33" s="558" t="str">
        <f t="shared" si="90"/>
        <v>.</v>
      </c>
      <c r="HQ33" s="558" t="str">
        <f t="shared" si="90"/>
        <v>.</v>
      </c>
      <c r="HR33" s="558" t="str">
        <f t="shared" si="90"/>
        <v>.</v>
      </c>
      <c r="HS33" s="558" t="str">
        <f t="shared" si="90"/>
        <v>.</v>
      </c>
      <c r="HT33" s="558" t="str">
        <f t="shared" si="90"/>
        <v>.</v>
      </c>
      <c r="HU33" s="558" t="str">
        <f t="shared" si="90"/>
        <v>.</v>
      </c>
      <c r="HV33" s="558" t="str">
        <f t="shared" si="90"/>
        <v>.</v>
      </c>
      <c r="HW33" s="558" t="str">
        <f t="shared" si="90"/>
        <v>.</v>
      </c>
      <c r="HX33" s="558" t="str">
        <f t="shared" si="90"/>
        <v>.</v>
      </c>
      <c r="HY33" s="558" t="str">
        <f t="shared" si="90"/>
        <v>.</v>
      </c>
      <c r="HZ33" s="558" t="str">
        <f t="shared" si="90"/>
        <v>.</v>
      </c>
      <c r="IA33" s="558" t="str">
        <f t="shared" si="90"/>
        <v>.</v>
      </c>
      <c r="IB33" s="558" t="str">
        <f t="shared" si="90"/>
        <v>.</v>
      </c>
      <c r="IC33" s="558" t="str">
        <f t="shared" si="90"/>
        <v>.</v>
      </c>
      <c r="ID33" s="558" t="str">
        <f t="shared" si="90"/>
        <v>.</v>
      </c>
      <c r="IE33" s="558" t="str">
        <f t="shared" si="90"/>
        <v>.</v>
      </c>
      <c r="IF33" s="558" t="str">
        <f t="shared" si="90"/>
        <v>.</v>
      </c>
      <c r="IG33" s="558" t="str">
        <f t="shared" si="108"/>
        <v>.</v>
      </c>
      <c r="IH33" s="558" t="str">
        <f t="shared" si="108"/>
        <v>.</v>
      </c>
      <c r="II33" s="558" t="str">
        <f t="shared" si="108"/>
        <v>.</v>
      </c>
      <c r="IJ33" s="558" t="str">
        <f t="shared" si="108"/>
        <v>.</v>
      </c>
      <c r="IK33" s="558" t="str">
        <f t="shared" si="108"/>
        <v>.</v>
      </c>
      <c r="IL33" s="558" t="str">
        <f t="shared" si="108"/>
        <v>.</v>
      </c>
      <c r="IM33" s="558" t="str">
        <f t="shared" si="108"/>
        <v>.</v>
      </c>
      <c r="IN33" s="558" t="str">
        <f t="shared" si="108"/>
        <v>.</v>
      </c>
      <c r="IO33" s="558" t="str">
        <f t="shared" si="108"/>
        <v>.</v>
      </c>
      <c r="IP33" s="558" t="str">
        <f t="shared" si="108"/>
        <v>.</v>
      </c>
      <c r="IQ33" s="558" t="str">
        <f t="shared" si="108"/>
        <v>.</v>
      </c>
      <c r="IR33" s="558" t="str">
        <f t="shared" si="107"/>
        <v>.</v>
      </c>
      <c r="IS33" s="558" t="str">
        <f t="shared" si="107"/>
        <v>.</v>
      </c>
      <c r="IT33" s="558" t="str">
        <f t="shared" si="107"/>
        <v>.</v>
      </c>
      <c r="IU33" s="558" t="str">
        <f t="shared" si="107"/>
        <v>.</v>
      </c>
      <c r="IV33" s="558" t="str">
        <f t="shared" si="107"/>
        <v>.</v>
      </c>
      <c r="IW33" s="558" t="str">
        <f t="shared" si="107"/>
        <v>.</v>
      </c>
      <c r="IX33" s="558" t="str">
        <f t="shared" si="107"/>
        <v>.</v>
      </c>
      <c r="IY33" s="558" t="str">
        <f t="shared" si="107"/>
        <v>.</v>
      </c>
      <c r="IZ33" s="558" t="str">
        <f t="shared" si="107"/>
        <v>.</v>
      </c>
      <c r="JA33" s="558" t="str">
        <f t="shared" si="107"/>
        <v>.</v>
      </c>
      <c r="JB33" s="558" t="str">
        <f t="shared" si="107"/>
        <v>.</v>
      </c>
      <c r="JC33" s="558" t="str">
        <f t="shared" si="107"/>
        <v>.</v>
      </c>
      <c r="JD33" s="558" t="str">
        <f t="shared" si="107"/>
        <v>.</v>
      </c>
      <c r="JE33" s="558" t="str">
        <f t="shared" si="107"/>
        <v>.</v>
      </c>
      <c r="JF33" s="558" t="str">
        <f t="shared" si="107"/>
        <v>.</v>
      </c>
      <c r="JG33" s="558" t="str">
        <f t="shared" si="107"/>
        <v>.</v>
      </c>
      <c r="JH33" s="558" t="str">
        <f t="shared" si="107"/>
        <v>.</v>
      </c>
      <c r="JI33" s="558" t="str">
        <f t="shared" si="107"/>
        <v>.</v>
      </c>
      <c r="JJ33" s="558" t="str">
        <f t="shared" si="107"/>
        <v>.</v>
      </c>
      <c r="JK33" s="558" t="str">
        <f t="shared" si="92"/>
        <v>.</v>
      </c>
      <c r="JL33" s="558" t="str">
        <f t="shared" si="92"/>
        <v>.</v>
      </c>
      <c r="JM33" s="558" t="str">
        <f t="shared" si="92"/>
        <v>.</v>
      </c>
      <c r="JN33" s="558" t="str">
        <f t="shared" si="92"/>
        <v>.</v>
      </c>
      <c r="JO33" s="558" t="str">
        <f t="shared" si="92"/>
        <v>.</v>
      </c>
    </row>
    <row r="34" spans="1:275" x14ac:dyDescent="0.2">
      <c r="A34" s="534">
        <f xml:space="preserve"> Basis!A34</f>
        <v>34</v>
      </c>
      <c r="F34" s="536">
        <f xml:space="preserve"> ROUND(    IF( $A$15=BE_MF_,   AW34,   INDEX( qx!34:34, F$16 ) ),    F$17    )</f>
        <v>2.9999999999999997E-4</v>
      </c>
      <c r="G34" s="536">
        <f xml:space="preserve"> ROUND(    IF( $A$15=BE_MF_,   BB34,   INDEX( wx!34:34, G$16 ) ),    G$17    )</f>
        <v>5.2600000000000001E-2</v>
      </c>
      <c r="H34" s="537">
        <f xml:space="preserve"> ROUND(    IF( $A$15=BE_MF_,   BG34,   INDEX( Kx!34:34, H$16 ) ),    H$17    )</f>
        <v>1938.08</v>
      </c>
      <c r="I34" s="538">
        <f t="shared" si="93"/>
        <v>1938.08</v>
      </c>
      <c r="J34" s="539">
        <f t="shared" si="23"/>
        <v>0.93300000000000005</v>
      </c>
      <c r="K34" s="540">
        <f t="shared" si="94"/>
        <v>2</v>
      </c>
      <c r="L34" s="541">
        <f t="shared" si="24"/>
        <v>0</v>
      </c>
      <c r="M34" s="541">
        <f t="shared" si="24"/>
        <v>8.5999999999999993E-2</v>
      </c>
      <c r="O34" s="542" t="b">
        <f t="shared" si="95"/>
        <v>1</v>
      </c>
      <c r="P34" s="493">
        <f t="shared" si="25"/>
        <v>5.2900000000000003E-2</v>
      </c>
      <c r="Q34" s="493">
        <f t="shared" si="26"/>
        <v>0.94710000000000005</v>
      </c>
      <c r="R34" s="543">
        <f t="shared" si="27"/>
        <v>1143845</v>
      </c>
      <c r="S34" s="544">
        <f t="shared" si="28"/>
        <v>0.97560975599999999</v>
      </c>
      <c r="T34" s="423">
        <f t="shared" si="29"/>
        <v>494032.77</v>
      </c>
      <c r="U34" s="423">
        <f xml:space="preserve"> IF( $O34,    ROUND(  SUM( T34:T$120), U$17 ),  LEER  )</f>
        <v>8964225.1400000006</v>
      </c>
      <c r="V34" s="493">
        <f t="shared" si="30"/>
        <v>18.145</v>
      </c>
      <c r="W34" s="493">
        <f t="shared" si="31"/>
        <v>460932.57</v>
      </c>
      <c r="X34" s="493">
        <f xml:space="preserve"> IF( $O34,    ROUND(  SUM( W34:W$120), X$17 ),  LEER  )</f>
        <v>16165943.310000001</v>
      </c>
      <c r="Y34" s="493">
        <f t="shared" si="32"/>
        <v>32.7224</v>
      </c>
      <c r="Z34" s="493">
        <f t="shared" si="33"/>
        <v>1.8033999999999999</v>
      </c>
      <c r="AA34" s="493">
        <f t="shared" si="34"/>
        <v>1.0102</v>
      </c>
      <c r="AB34" s="493">
        <f t="shared" si="35"/>
        <v>2.3494000000000002</v>
      </c>
      <c r="AC34" s="545">
        <f t="shared" si="36"/>
        <v>0.38600000000000001</v>
      </c>
      <c r="AD34" s="493">
        <f t="shared" si="37"/>
        <v>1.8257000000000001</v>
      </c>
      <c r="AE34" s="493">
        <f t="shared" si="38"/>
        <v>2.4198</v>
      </c>
      <c r="AF34" s="493">
        <f t="shared" si="39"/>
        <v>2.4198</v>
      </c>
      <c r="AG34" s="493" t="str">
        <f t="shared" si="40"/>
        <v>.</v>
      </c>
      <c r="AH34" s="493" t="str">
        <f t="shared" si="41"/>
        <v>.</v>
      </c>
      <c r="AI34" s="423">
        <f t="shared" si="42"/>
        <v>2077.79</v>
      </c>
      <c r="AJ34" s="423">
        <f t="shared" si="43"/>
        <v>5027.84</v>
      </c>
      <c r="AK34" s="423">
        <f t="shared" si="44"/>
        <v>418.99</v>
      </c>
      <c r="AN34" s="423" t="str">
        <f t="shared" si="45"/>
        <v>.</v>
      </c>
      <c r="AO34" s="423" t="str">
        <f t="shared" si="45"/>
        <v>.</v>
      </c>
      <c r="AR34" s="546">
        <f xml:space="preserve"> ROUND(  INDEX( Kx!34:34, AR$16 ),  AR$17 )</f>
        <v>0.76690000000000003</v>
      </c>
      <c r="AS34" s="547">
        <f xml:space="preserve"> ROUND(  INDEX( qx!34:34, AS$16 ),  AS$17 )</f>
        <v>2.9999999999999997E-4</v>
      </c>
      <c r="AT34" s="547">
        <f xml:space="preserve"> ROUND(  INDEX( qx!34:34, AT$16 ),  AT$17 )</f>
        <v>2.0000000000000001E-4</v>
      </c>
      <c r="AU34" s="548" t="str">
        <f t="shared" si="46"/>
        <v>F</v>
      </c>
      <c r="AV34" s="542">
        <f t="shared" si="47"/>
        <v>0.68679999999999997</v>
      </c>
      <c r="AW34" s="542">
        <f t="shared" si="48"/>
        <v>2.9999999999999997E-4</v>
      </c>
      <c r="AX34" s="546">
        <f xml:space="preserve"> ROUND(  INDEX( wx!34:34, AX$16 ),  AX$17 )</f>
        <v>4.9200000000000001E-2</v>
      </c>
      <c r="AY34" s="546">
        <f xml:space="preserve"> ROUND(  INDEX( wx!34:34, AY$16 ),  AY$17 )</f>
        <v>6.9599999999999995E-2</v>
      </c>
      <c r="AZ34" s="548" t="str">
        <f t="shared" si="49"/>
        <v>M</v>
      </c>
      <c r="BA34" s="542">
        <f t="shared" si="50"/>
        <v>0.83150000000000002</v>
      </c>
      <c r="BB34" s="542">
        <f t="shared" si="51"/>
        <v>5.2600000000000001E-2</v>
      </c>
      <c r="BC34" s="533">
        <f xml:space="preserve"> ROUND(  INDEX( Kx!34:34, BC$16 ),  BC$17 )</f>
        <v>1412.71</v>
      </c>
      <c r="BD34" s="533">
        <f xml:space="preserve"> ROUND(  INDEX( Kx!34:34, BD$16 ),  BD$17 )</f>
        <v>3090.14</v>
      </c>
      <c r="BE34" s="548" t="str">
        <f t="shared" si="52"/>
        <v>F</v>
      </c>
      <c r="BF34" s="542">
        <f t="shared" si="53"/>
        <v>0.68679999999999997</v>
      </c>
      <c r="BG34" s="420">
        <f t="shared" si="54"/>
        <v>1938.08</v>
      </c>
      <c r="BQ34" s="549">
        <f t="shared" si="96"/>
        <v>34</v>
      </c>
      <c r="BR34" s="423" t="str">
        <f t="shared" si="55"/>
        <v>.</v>
      </c>
      <c r="BS34" s="550" t="str">
        <f t="shared" si="56"/>
        <v>.</v>
      </c>
      <c r="BT34" s="423" t="str">
        <f t="shared" si="57"/>
        <v>.</v>
      </c>
      <c r="BU34" s="551" t="str">
        <f t="shared" si="58"/>
        <v>.</v>
      </c>
      <c r="BV34" s="551" t="str">
        <f t="shared" si="59"/>
        <v>.</v>
      </c>
      <c r="BW34" s="529" t="str">
        <f t="shared" si="60"/>
        <v>.</v>
      </c>
      <c r="BX34" s="552" t="str">
        <f t="shared" si="61"/>
        <v>.</v>
      </c>
      <c r="BY34" s="559"/>
      <c r="BZ34" s="559"/>
      <c r="CB34" s="423" t="str">
        <f t="shared" si="62"/>
        <v>.</v>
      </c>
      <c r="CC34" s="423" t="str">
        <f t="shared" si="63"/>
        <v>.</v>
      </c>
      <c r="CD34" s="423" t="str">
        <f t="shared" si="64"/>
        <v>.</v>
      </c>
      <c r="CE34" s="423" t="str">
        <f t="shared" si="65"/>
        <v>.</v>
      </c>
      <c r="CF34" s="553" t="str">
        <f t="shared" si="66"/>
        <v>.</v>
      </c>
      <c r="CH34" s="423" t="str">
        <f t="shared" si="67"/>
        <v>.</v>
      </c>
      <c r="CI34" s="423" t="str">
        <f t="shared" si="68"/>
        <v>.</v>
      </c>
      <c r="CJ34" s="423" t="str">
        <f t="shared" si="69"/>
        <v>.</v>
      </c>
      <c r="CK34" s="423" t="str">
        <f t="shared" si="97"/>
        <v>.</v>
      </c>
      <c r="CL34" s="553" t="str">
        <f t="shared" si="70"/>
        <v>.</v>
      </c>
      <c r="CN34" s="423" t="str">
        <f t="shared" si="71"/>
        <v>.</v>
      </c>
      <c r="CO34" s="423" t="str">
        <f t="shared" si="72"/>
        <v>.</v>
      </c>
      <c r="CP34" s="423" t="str">
        <f t="shared" si="73"/>
        <v>.</v>
      </c>
      <c r="CQ34" s="423" t="str">
        <f t="shared" si="74"/>
        <v>.</v>
      </c>
      <c r="CR34" s="553" t="str">
        <f t="shared" si="75"/>
        <v>.</v>
      </c>
      <c r="CV34" s="564">
        <f t="shared" si="98"/>
        <v>34</v>
      </c>
      <c r="CW34" s="538" t="str">
        <f t="shared" si="76"/>
        <v>.</v>
      </c>
      <c r="CX34" s="566" t="str">
        <f t="shared" si="77"/>
        <v>.</v>
      </c>
      <c r="CY34" s="538" t="str">
        <f t="shared" si="78"/>
        <v>.</v>
      </c>
      <c r="CZ34" s="538" t="str">
        <f t="shared" si="79"/>
        <v>.</v>
      </c>
      <c r="DA34" s="538" t="str">
        <f t="shared" si="80"/>
        <v>.</v>
      </c>
      <c r="DB34" s="567" t="e">
        <f t="shared" si="99"/>
        <v>#N/A</v>
      </c>
      <c r="DC34" s="567" t="e">
        <f t="shared" si="100"/>
        <v>#N/A</v>
      </c>
      <c r="DD34" s="567" t="e">
        <f t="shared" si="101"/>
        <v>#N/A</v>
      </c>
      <c r="DE34" s="567" t="e">
        <f t="shared" si="101"/>
        <v>#N/A</v>
      </c>
      <c r="DF34" s="568" t="e">
        <f t="shared" si="102"/>
        <v>#N/A</v>
      </c>
      <c r="DR34" s="385"/>
      <c r="DS34" s="385"/>
      <c r="DT34" s="385"/>
      <c r="EL34" s="553" t="str">
        <f t="shared" si="81"/>
        <v>.</v>
      </c>
      <c r="EM34" s="553" t="str">
        <f t="shared" si="82"/>
        <v>.</v>
      </c>
      <c r="EN34" s="423" t="str">
        <f t="shared" si="83"/>
        <v>.</v>
      </c>
      <c r="EO34" s="555" t="str">
        <f xml:space="preserve"> 'i2'!AO34</f>
        <v>.</v>
      </c>
      <c r="EV34" s="533" t="e">
        <f xml:space="preserve"> ROUND(    IF( $A$15=BE_MF_,   LEER,   INDEX( Kx!34:34, EV$16 ) ),    EV$17    )</f>
        <v>#VALUE!</v>
      </c>
      <c r="EW34" s="533" t="e">
        <f xml:space="preserve"> ROUND(    IF( $A$15=BE_MF_,   LEER,   INDEX( Kx!34:34, EW$16 ) ),    EW$17    )</f>
        <v>#VALUE!</v>
      </c>
      <c r="EX34" s="533" t="e">
        <f xml:space="preserve"> ROUND(    IF( $A$15=BE_MF_,   LEER,   INDEX( Kx!34:34, EX$16 ) ),    EX$17    )</f>
        <v>#VALUE!</v>
      </c>
      <c r="EY34" s="556" t="e">
        <f t="shared" si="103"/>
        <v>#VALUE!</v>
      </c>
      <c r="FB34" s="533" t="e">
        <f xml:space="preserve"> ROUND(    IF( $A$15=BE_MF_,   LEER,   INDEX( Kx!34:34, FB$16 ) ),    FB$17    )</f>
        <v>#VALUE!</v>
      </c>
      <c r="FC34" s="533" t="e">
        <f xml:space="preserve"> ROUND(    IF( $A$15=BE_MF_,   LEER,   INDEX( Kx!34:34, FC$16 ) ),    FC$17    )</f>
        <v>#VALUE!</v>
      </c>
      <c r="FD34" s="556" t="e">
        <f t="shared" si="104"/>
        <v>#VALUE!</v>
      </c>
      <c r="FG34" s="556" t="e">
        <f t="shared" si="105"/>
        <v>#VALUE!</v>
      </c>
      <c r="FH34" s="556" t="e">
        <f t="shared" si="105"/>
        <v>#VALUE!</v>
      </c>
      <c r="FI34" s="556" t="e">
        <f t="shared" si="105"/>
        <v>#VALUE!</v>
      </c>
      <c r="FN34" s="557">
        <f t="shared" si="84"/>
        <v>34</v>
      </c>
      <c r="FO34" s="493">
        <f t="shared" si="85"/>
        <v>32.7224</v>
      </c>
      <c r="FP34" s="493">
        <f t="shared" si="86"/>
        <v>18.145</v>
      </c>
      <c r="FR34" s="427">
        <f t="shared" si="106"/>
        <v>170861.61000000002</v>
      </c>
      <c r="FS34" s="558">
        <f t="shared" si="87"/>
        <v>22733.4</v>
      </c>
      <c r="FT34" s="558">
        <f t="shared" si="87"/>
        <v>21206.48</v>
      </c>
      <c r="FU34" s="558">
        <f t="shared" si="87"/>
        <v>19675.8</v>
      </c>
      <c r="FV34" s="558">
        <f t="shared" si="87"/>
        <v>18145.12</v>
      </c>
      <c r="FW34" s="558">
        <f t="shared" si="87"/>
        <v>16561.66</v>
      </c>
      <c r="FX34" s="558">
        <f t="shared" si="87"/>
        <v>14932.96</v>
      </c>
      <c r="FY34" s="558">
        <f t="shared" si="87"/>
        <v>13319.33</v>
      </c>
      <c r="FZ34" s="558">
        <f t="shared" si="87"/>
        <v>11694.4</v>
      </c>
      <c r="GA34" s="558">
        <f t="shared" si="87"/>
        <v>10012.91</v>
      </c>
      <c r="GB34" s="558">
        <f t="shared" si="87"/>
        <v>8263.56</v>
      </c>
      <c r="GC34" s="558">
        <f t="shared" si="87"/>
        <v>6502.9</v>
      </c>
      <c r="GD34" s="558">
        <f t="shared" si="87"/>
        <v>4715.8500000000004</v>
      </c>
      <c r="GE34" s="558">
        <f t="shared" si="87"/>
        <v>2887.33</v>
      </c>
      <c r="GF34" s="558">
        <f t="shared" si="87"/>
        <v>1051.26</v>
      </c>
      <c r="GG34" s="558">
        <f t="shared" si="87"/>
        <v>-841.35</v>
      </c>
      <c r="GH34" s="558" t="str">
        <f t="shared" si="87"/>
        <v>.</v>
      </c>
      <c r="GI34" s="558" t="str">
        <f t="shared" si="88"/>
        <v>.</v>
      </c>
      <c r="GJ34" s="558" t="str">
        <f t="shared" si="88"/>
        <v>.</v>
      </c>
      <c r="GK34" s="558" t="str">
        <f t="shared" si="88"/>
        <v>.</v>
      </c>
      <c r="GL34" s="558" t="str">
        <f t="shared" si="88"/>
        <v>.</v>
      </c>
      <c r="GM34" s="558" t="str">
        <f t="shared" si="88"/>
        <v>.</v>
      </c>
      <c r="GN34" s="558" t="str">
        <f t="shared" si="88"/>
        <v>.</v>
      </c>
      <c r="GO34" s="558" t="str">
        <f t="shared" si="88"/>
        <v>.</v>
      </c>
      <c r="GP34" s="558" t="str">
        <f t="shared" si="88"/>
        <v>.</v>
      </c>
      <c r="GQ34" s="558" t="str">
        <f t="shared" si="88"/>
        <v>.</v>
      </c>
      <c r="GR34" s="558" t="str">
        <f t="shared" si="88"/>
        <v>.</v>
      </c>
      <c r="GS34" s="558" t="str">
        <f t="shared" si="88"/>
        <v>.</v>
      </c>
      <c r="GT34" s="558" t="str">
        <f t="shared" si="88"/>
        <v>.</v>
      </c>
      <c r="GU34" s="558" t="str">
        <f t="shared" si="88"/>
        <v>.</v>
      </c>
      <c r="GV34" s="558" t="str">
        <f t="shared" si="88"/>
        <v>.</v>
      </c>
      <c r="GW34" s="558" t="str">
        <f t="shared" si="88"/>
        <v>.</v>
      </c>
      <c r="GX34" s="558" t="str">
        <f t="shared" si="88"/>
        <v>.</v>
      </c>
      <c r="GY34" s="558" t="str">
        <f t="shared" si="89"/>
        <v>.</v>
      </c>
      <c r="GZ34" s="558" t="str">
        <f t="shared" si="89"/>
        <v>.</v>
      </c>
      <c r="HA34" s="558" t="str">
        <f t="shared" si="89"/>
        <v>.</v>
      </c>
      <c r="HB34" s="558" t="str">
        <f t="shared" si="89"/>
        <v>.</v>
      </c>
      <c r="HC34" s="558" t="str">
        <f t="shared" si="89"/>
        <v>.</v>
      </c>
      <c r="HD34" s="558" t="str">
        <f t="shared" si="89"/>
        <v>.</v>
      </c>
      <c r="HE34" s="558" t="str">
        <f t="shared" si="89"/>
        <v>.</v>
      </c>
      <c r="HF34" s="558" t="str">
        <f t="shared" si="89"/>
        <v>.</v>
      </c>
      <c r="HG34" s="558" t="str">
        <f t="shared" si="89"/>
        <v>.</v>
      </c>
      <c r="HH34" s="558" t="str">
        <f t="shared" si="89"/>
        <v>.</v>
      </c>
      <c r="HI34" s="558" t="str">
        <f t="shared" si="89"/>
        <v>.</v>
      </c>
      <c r="HJ34" s="558" t="str">
        <f t="shared" si="89"/>
        <v>.</v>
      </c>
      <c r="HK34" s="558" t="str">
        <f t="shared" si="89"/>
        <v>.</v>
      </c>
      <c r="HL34" s="558" t="str">
        <f t="shared" si="89"/>
        <v>.</v>
      </c>
      <c r="HM34" s="558" t="str">
        <f t="shared" si="89"/>
        <v>.</v>
      </c>
      <c r="HN34" s="558" t="str">
        <f t="shared" si="89"/>
        <v>.</v>
      </c>
      <c r="HO34" s="558" t="str">
        <f t="shared" si="90"/>
        <v>.</v>
      </c>
      <c r="HP34" s="558" t="str">
        <f t="shared" si="90"/>
        <v>.</v>
      </c>
      <c r="HQ34" s="558" t="str">
        <f t="shared" si="90"/>
        <v>.</v>
      </c>
      <c r="HR34" s="558" t="str">
        <f t="shared" ref="HR34:II48" si="109" xml:space="preserve"> IF(  OR( HR$18&gt;$FN34, $FN34&gt;$FS$12 ),  LEER,  ROUND( $FR$19 * ( $FO34 - HR$15 * $FP34 ), HR$17 )  )</f>
        <v>.</v>
      </c>
      <c r="HS34" s="558" t="str">
        <f t="shared" si="109"/>
        <v>.</v>
      </c>
      <c r="HT34" s="558" t="str">
        <f t="shared" si="109"/>
        <v>.</v>
      </c>
      <c r="HU34" s="558" t="str">
        <f t="shared" si="109"/>
        <v>.</v>
      </c>
      <c r="HV34" s="558" t="str">
        <f t="shared" si="109"/>
        <v>.</v>
      </c>
      <c r="HW34" s="558" t="str">
        <f t="shared" si="109"/>
        <v>.</v>
      </c>
      <c r="HX34" s="558" t="str">
        <f t="shared" si="109"/>
        <v>.</v>
      </c>
      <c r="HY34" s="558" t="str">
        <f t="shared" si="109"/>
        <v>.</v>
      </c>
      <c r="HZ34" s="558" t="str">
        <f t="shared" si="109"/>
        <v>.</v>
      </c>
      <c r="IA34" s="558" t="str">
        <f t="shared" si="109"/>
        <v>.</v>
      </c>
      <c r="IB34" s="558" t="str">
        <f t="shared" si="109"/>
        <v>.</v>
      </c>
      <c r="IC34" s="558" t="str">
        <f t="shared" si="109"/>
        <v>.</v>
      </c>
      <c r="ID34" s="558" t="str">
        <f t="shared" si="109"/>
        <v>.</v>
      </c>
      <c r="IE34" s="558" t="str">
        <f t="shared" si="109"/>
        <v>.</v>
      </c>
      <c r="IF34" s="558" t="str">
        <f t="shared" si="109"/>
        <v>.</v>
      </c>
      <c r="IG34" s="558" t="str">
        <f t="shared" si="109"/>
        <v>.</v>
      </c>
      <c r="IH34" s="558" t="str">
        <f t="shared" si="109"/>
        <v>.</v>
      </c>
      <c r="II34" s="558" t="str">
        <f t="shared" si="109"/>
        <v>.</v>
      </c>
      <c r="IJ34" s="558" t="str">
        <f t="shared" ref="IJ34:IQ46" si="110" xml:space="preserve"> IF(  OR( IJ$18&gt;$FN34, $FN34&gt;$FS$12 ),  LEER,  ROUND( $FR$19 * ( $FO34 - IJ$15 * $FP34 ), IJ$17 )  )</f>
        <v>.</v>
      </c>
      <c r="IK34" s="558" t="str">
        <f t="shared" si="110"/>
        <v>.</v>
      </c>
      <c r="IL34" s="558" t="str">
        <f t="shared" si="110"/>
        <v>.</v>
      </c>
      <c r="IM34" s="558" t="str">
        <f t="shared" si="110"/>
        <v>.</v>
      </c>
      <c r="IN34" s="558" t="str">
        <f t="shared" si="110"/>
        <v>.</v>
      </c>
      <c r="IO34" s="558" t="str">
        <f t="shared" si="110"/>
        <v>.</v>
      </c>
      <c r="IP34" s="558" t="str">
        <f t="shared" si="110"/>
        <v>.</v>
      </c>
      <c r="IQ34" s="558" t="str">
        <f t="shared" si="110"/>
        <v>.</v>
      </c>
      <c r="IR34" s="558" t="str">
        <f t="shared" si="107"/>
        <v>.</v>
      </c>
      <c r="IS34" s="558" t="str">
        <f t="shared" si="107"/>
        <v>.</v>
      </c>
      <c r="IT34" s="558" t="str">
        <f t="shared" si="107"/>
        <v>.</v>
      </c>
      <c r="IU34" s="558" t="str">
        <f t="shared" si="107"/>
        <v>.</v>
      </c>
      <c r="IV34" s="558" t="str">
        <f t="shared" si="107"/>
        <v>.</v>
      </c>
      <c r="IW34" s="558" t="str">
        <f t="shared" si="107"/>
        <v>.</v>
      </c>
      <c r="IX34" s="558" t="str">
        <f t="shared" si="107"/>
        <v>.</v>
      </c>
      <c r="IY34" s="558" t="str">
        <f t="shared" si="107"/>
        <v>.</v>
      </c>
      <c r="IZ34" s="558" t="str">
        <f t="shared" si="107"/>
        <v>.</v>
      </c>
      <c r="JA34" s="558" t="str">
        <f t="shared" si="107"/>
        <v>.</v>
      </c>
      <c r="JB34" s="558" t="str">
        <f t="shared" si="107"/>
        <v>.</v>
      </c>
      <c r="JC34" s="558" t="str">
        <f t="shared" si="107"/>
        <v>.</v>
      </c>
      <c r="JD34" s="558" t="str">
        <f t="shared" si="107"/>
        <v>.</v>
      </c>
      <c r="JE34" s="558" t="str">
        <f t="shared" si="107"/>
        <v>.</v>
      </c>
      <c r="JF34" s="558" t="str">
        <f t="shared" si="107"/>
        <v>.</v>
      </c>
      <c r="JG34" s="558" t="str">
        <f t="shared" si="107"/>
        <v>.</v>
      </c>
      <c r="JH34" s="558" t="str">
        <f t="shared" si="107"/>
        <v>.</v>
      </c>
      <c r="JI34" s="558" t="str">
        <f t="shared" si="107"/>
        <v>.</v>
      </c>
      <c r="JJ34" s="558" t="str">
        <f t="shared" si="107"/>
        <v>.</v>
      </c>
      <c r="JK34" s="558" t="str">
        <f t="shared" si="92"/>
        <v>.</v>
      </c>
      <c r="JL34" s="558" t="str">
        <f t="shared" si="92"/>
        <v>.</v>
      </c>
      <c r="JM34" s="558" t="str">
        <f t="shared" si="92"/>
        <v>.</v>
      </c>
      <c r="JN34" s="558" t="str">
        <f t="shared" si="92"/>
        <v>.</v>
      </c>
      <c r="JO34" s="558" t="str">
        <f t="shared" si="92"/>
        <v>.</v>
      </c>
    </row>
    <row r="35" spans="1:275" x14ac:dyDescent="0.2">
      <c r="A35" s="534">
        <f xml:space="preserve"> Basis!A35</f>
        <v>35</v>
      </c>
      <c r="F35" s="536">
        <f xml:space="preserve"> ROUND(    IF( $A$15=BE_MF_,   AW35,   INDEX( qx!35:35, F$16 ) ),    F$17    )</f>
        <v>2.9999999999999997E-4</v>
      </c>
      <c r="G35" s="536">
        <f xml:space="preserve"> ROUND(    IF( $A$15=BE_MF_,   BB35,   INDEX( wx!35:35, G$16 ) ),    G$17    )</f>
        <v>4.8000000000000001E-2</v>
      </c>
      <c r="H35" s="537">
        <f xml:space="preserve"> ROUND(    IF( $A$15=BE_MF_,   BG35,   INDEX( Kx!35:35, H$16 ) ),    H$17    )</f>
        <v>1955.93</v>
      </c>
      <c r="I35" s="538">
        <f t="shared" si="93"/>
        <v>1955.93</v>
      </c>
      <c r="J35" s="539">
        <f t="shared" si="23"/>
        <v>0.94099999999999995</v>
      </c>
      <c r="K35" s="540">
        <f t="shared" si="94"/>
        <v>2</v>
      </c>
      <c r="L35" s="541">
        <f t="shared" si="24"/>
        <v>0</v>
      </c>
      <c r="M35" s="541">
        <f t="shared" si="24"/>
        <v>8.5999999999999993E-2</v>
      </c>
      <c r="O35" s="542" t="b">
        <f t="shared" si="95"/>
        <v>1</v>
      </c>
      <c r="P35" s="493">
        <f t="shared" si="25"/>
        <v>4.8300000000000003E-2</v>
      </c>
      <c r="Q35" s="493">
        <f t="shared" si="26"/>
        <v>0.95169999999999999</v>
      </c>
      <c r="R35" s="543">
        <f t="shared" si="27"/>
        <v>1083335</v>
      </c>
      <c r="S35" s="544">
        <f t="shared" si="28"/>
        <v>0.97560975599999999</v>
      </c>
      <c r="T35" s="423">
        <f t="shared" si="29"/>
        <v>456486.02</v>
      </c>
      <c r="U35" s="423">
        <f xml:space="preserve"> IF( $O35,    ROUND(  SUM( T35:T$120), U$17 ),  LEER  )</f>
        <v>8470192.3699999992</v>
      </c>
      <c r="V35" s="493">
        <f t="shared" si="30"/>
        <v>18.555199999999999</v>
      </c>
      <c r="W35" s="493">
        <f t="shared" si="31"/>
        <v>429553.34</v>
      </c>
      <c r="X35" s="493">
        <f xml:space="preserve"> IF( $O35,    ROUND(  SUM( W35:W$120), X$17 ),  LEER  )</f>
        <v>15705010.74</v>
      </c>
      <c r="Y35" s="493">
        <f t="shared" si="32"/>
        <v>34.4041</v>
      </c>
      <c r="Z35" s="493">
        <f t="shared" si="33"/>
        <v>1.8541000000000001</v>
      </c>
      <c r="AA35" s="493">
        <f t="shared" si="34"/>
        <v>1.0099</v>
      </c>
      <c r="AB35" s="493">
        <f t="shared" si="35"/>
        <v>2.3494000000000002</v>
      </c>
      <c r="AC35" s="545">
        <f t="shared" si="36"/>
        <v>0.38600000000000001</v>
      </c>
      <c r="AD35" s="493">
        <f t="shared" si="37"/>
        <v>1.8763000000000001</v>
      </c>
      <c r="AE35" s="493">
        <f t="shared" si="38"/>
        <v>2.4752000000000001</v>
      </c>
      <c r="AF35" s="493">
        <f t="shared" si="39"/>
        <v>2.4752000000000001</v>
      </c>
      <c r="AG35" s="493" t="str">
        <f t="shared" si="40"/>
        <v>.</v>
      </c>
      <c r="AH35" s="493" t="str">
        <f t="shared" si="41"/>
        <v>.</v>
      </c>
      <c r="AI35" s="423">
        <f t="shared" si="42"/>
        <v>2077.79</v>
      </c>
      <c r="AJ35" s="423">
        <f t="shared" si="43"/>
        <v>5142.95</v>
      </c>
      <c r="AK35" s="423">
        <f t="shared" si="44"/>
        <v>428.58</v>
      </c>
      <c r="AN35" s="423">
        <f t="shared" si="45"/>
        <v>1.88</v>
      </c>
      <c r="AO35" s="423">
        <f t="shared" si="45"/>
        <v>-854.02</v>
      </c>
      <c r="AR35" s="546">
        <f xml:space="preserve"> ROUND(  INDEX( Kx!35:35, AR$16 ),  AR$17 )</f>
        <v>0.77390000000000003</v>
      </c>
      <c r="AS35" s="547">
        <f xml:space="preserve"> ROUND(  INDEX( qx!35:35, AS$16 ),  AS$17 )</f>
        <v>2.9999999999999997E-4</v>
      </c>
      <c r="AT35" s="547">
        <f xml:space="preserve"> ROUND(  INDEX( qx!35:35, AT$16 ),  AT$17 )</f>
        <v>2.0000000000000001E-4</v>
      </c>
      <c r="AU35" s="548" t="str">
        <f t="shared" si="46"/>
        <v>F</v>
      </c>
      <c r="AV35" s="542">
        <f t="shared" si="47"/>
        <v>0.69530000000000003</v>
      </c>
      <c r="AW35" s="542">
        <f t="shared" si="48"/>
        <v>2.9999999999999997E-4</v>
      </c>
      <c r="AX35" s="546">
        <f xml:space="preserve"> ROUND(  INDEX( wx!35:35, AX$16 ),  AX$17 )</f>
        <v>4.4900000000000002E-2</v>
      </c>
      <c r="AY35" s="546">
        <f xml:space="preserve"> ROUND(  INDEX( wx!35:35, AY$16 ),  AY$17 )</f>
        <v>6.3700000000000007E-2</v>
      </c>
      <c r="AZ35" s="548" t="str">
        <f t="shared" si="49"/>
        <v>M</v>
      </c>
      <c r="BA35" s="542">
        <f t="shared" si="50"/>
        <v>0.83699999999999997</v>
      </c>
      <c r="BB35" s="542">
        <f t="shared" si="51"/>
        <v>4.8000000000000001E-2</v>
      </c>
      <c r="BC35" s="533">
        <f xml:space="preserve"> ROUND(  INDEX( Kx!35:35, BC$16 ),  BC$17 )</f>
        <v>1447.6</v>
      </c>
      <c r="BD35" s="533">
        <f xml:space="preserve"> ROUND(  INDEX( Kx!35:35, BD$16 ),  BD$17 )</f>
        <v>3115.9</v>
      </c>
      <c r="BE35" s="548" t="str">
        <f t="shared" si="52"/>
        <v>F</v>
      </c>
      <c r="BF35" s="542">
        <f t="shared" si="53"/>
        <v>0.69530000000000003</v>
      </c>
      <c r="BG35" s="420">
        <f t="shared" si="54"/>
        <v>1955.93</v>
      </c>
      <c r="BQ35" s="549">
        <f t="shared" si="96"/>
        <v>35</v>
      </c>
      <c r="BR35" s="423" t="str">
        <f t="shared" si="55"/>
        <v>.</v>
      </c>
      <c r="BS35" s="550">
        <f t="shared" si="56"/>
        <v>1955.93</v>
      </c>
      <c r="BT35" s="423" t="str">
        <f t="shared" si="57"/>
        <v>.</v>
      </c>
      <c r="BU35" s="551">
        <f t="shared" si="58"/>
        <v>456486.02</v>
      </c>
      <c r="BV35" s="551">
        <f t="shared" si="59"/>
        <v>0</v>
      </c>
      <c r="BW35" s="529">
        <f t="shared" si="60"/>
        <v>0</v>
      </c>
      <c r="BX35" s="552" t="str">
        <f t="shared" si="61"/>
        <v>.</v>
      </c>
      <c r="BY35" s="559"/>
      <c r="BZ35" s="559"/>
      <c r="CB35" s="423">
        <f t="shared" si="62"/>
        <v>1944.66</v>
      </c>
      <c r="CC35" s="423">
        <f t="shared" si="63"/>
        <v>0.05</v>
      </c>
      <c r="CD35" s="423">
        <f t="shared" si="64"/>
        <v>98.8</v>
      </c>
      <c r="CE35" s="423">
        <f t="shared" si="65"/>
        <v>2043.51</v>
      </c>
      <c r="CF35" s="553">
        <f t="shared" si="66"/>
        <v>2043.6499999999999</v>
      </c>
      <c r="CH35" s="423">
        <f t="shared" si="67"/>
        <v>3852.4304390000002</v>
      </c>
      <c r="CI35" s="423">
        <f t="shared" si="68"/>
        <v>1955.2</v>
      </c>
      <c r="CJ35" s="423">
        <f t="shared" si="69"/>
        <v>1993.76</v>
      </c>
      <c r="CK35" s="423">
        <f t="shared" si="97"/>
        <v>-96.39</v>
      </c>
      <c r="CL35" s="553">
        <f t="shared" si="70"/>
        <v>3852.57</v>
      </c>
      <c r="CN35" s="423">
        <f t="shared" si="71"/>
        <v>3898.5573770000001</v>
      </c>
      <c r="CO35" s="423">
        <f t="shared" si="72"/>
        <v>1955.2</v>
      </c>
      <c r="CP35" s="423">
        <f t="shared" si="73"/>
        <v>1998.8</v>
      </c>
      <c r="CQ35" s="423">
        <f t="shared" si="74"/>
        <v>-55.29</v>
      </c>
      <c r="CR35" s="553">
        <f t="shared" si="75"/>
        <v>3898.71</v>
      </c>
      <c r="CV35" s="564">
        <f t="shared" si="98"/>
        <v>35</v>
      </c>
      <c r="CW35" s="538">
        <f t="shared" si="76"/>
        <v>-854.02</v>
      </c>
      <c r="CX35" s="566" t="str">
        <f t="shared" si="77"/>
        <v>.</v>
      </c>
      <c r="CY35" s="538" t="str">
        <f t="shared" si="78"/>
        <v>.</v>
      </c>
      <c r="CZ35" s="538" t="str">
        <f t="shared" si="79"/>
        <v>.</v>
      </c>
      <c r="DA35" s="538" t="str">
        <f t="shared" si="80"/>
        <v>.</v>
      </c>
      <c r="DB35" s="567">
        <f t="shared" si="99"/>
        <v>-854.02</v>
      </c>
      <c r="DC35" s="567" t="e">
        <f t="shared" si="100"/>
        <v>#N/A</v>
      </c>
      <c r="DD35" s="567" t="e">
        <f t="shared" si="101"/>
        <v>#N/A</v>
      </c>
      <c r="DE35" s="567" t="e">
        <f t="shared" si="101"/>
        <v>#N/A</v>
      </c>
      <c r="DF35" s="568" t="e">
        <f t="shared" si="102"/>
        <v>#N/A</v>
      </c>
      <c r="DR35" s="385"/>
      <c r="DS35" s="385"/>
      <c r="DT35" s="385"/>
      <c r="EL35" s="553" t="str">
        <f t="shared" si="81"/>
        <v>.</v>
      </c>
      <c r="EM35" s="553" t="str">
        <f t="shared" si="82"/>
        <v>.</v>
      </c>
      <c r="EN35" s="423" t="str">
        <f t="shared" si="83"/>
        <v>.</v>
      </c>
      <c r="EO35" s="555">
        <f xml:space="preserve"> 'i2'!AO35</f>
        <v>-854.02</v>
      </c>
      <c r="EV35" s="533" t="e">
        <f xml:space="preserve"> ROUND(    IF( $A$15=BE_MF_,   LEER,   INDEX( Kx!35:35, EV$16 ) ),    EV$17    )</f>
        <v>#VALUE!</v>
      </c>
      <c r="EW35" s="533" t="e">
        <f xml:space="preserve"> ROUND(    IF( $A$15=BE_MF_,   LEER,   INDEX( Kx!35:35, EW$16 ) ),    EW$17    )</f>
        <v>#VALUE!</v>
      </c>
      <c r="EX35" s="533" t="e">
        <f xml:space="preserve"> ROUND(    IF( $A$15=BE_MF_,   LEER,   INDEX( Kx!35:35, EX$16 ) ),    EX$17    )</f>
        <v>#VALUE!</v>
      </c>
      <c r="EY35" s="556" t="e">
        <f t="shared" si="103"/>
        <v>#VALUE!</v>
      </c>
      <c r="FB35" s="533" t="e">
        <f xml:space="preserve"> ROUND(    IF( $A$15=BE_MF_,   LEER,   INDEX( Kx!35:35, FB$16 ) ),    FB$17    )</f>
        <v>#VALUE!</v>
      </c>
      <c r="FC35" s="533" t="e">
        <f xml:space="preserve"> ROUND(    IF( $A$15=BE_MF_,   LEER,   INDEX( Kx!35:35, FC$16 ) ),    FC$17    )</f>
        <v>#VALUE!</v>
      </c>
      <c r="FD35" s="556" t="e">
        <f t="shared" si="104"/>
        <v>#VALUE!</v>
      </c>
      <c r="FG35" s="556" t="e">
        <f t="shared" si="105"/>
        <v>#VALUE!</v>
      </c>
      <c r="FH35" s="556" t="e">
        <f t="shared" si="105"/>
        <v>#VALUE!</v>
      </c>
      <c r="FI35" s="556" t="e">
        <f t="shared" si="105"/>
        <v>#VALUE!</v>
      </c>
      <c r="FN35" s="557">
        <f t="shared" si="84"/>
        <v>35</v>
      </c>
      <c r="FO35" s="493">
        <f t="shared" si="85"/>
        <v>34.4041</v>
      </c>
      <c r="FP35" s="493">
        <f t="shared" si="86"/>
        <v>18.555199999999999</v>
      </c>
      <c r="FR35" s="427">
        <f t="shared" si="106"/>
        <v>203227.90000000002</v>
      </c>
      <c r="FS35" s="558">
        <f t="shared" si="87"/>
        <v>25204.5</v>
      </c>
      <c r="FT35" s="558">
        <f t="shared" si="87"/>
        <v>23643.07</v>
      </c>
      <c r="FU35" s="558">
        <f t="shared" si="87"/>
        <v>22077.79</v>
      </c>
      <c r="FV35" s="558">
        <f t="shared" si="87"/>
        <v>20512.5</v>
      </c>
      <c r="FW35" s="558">
        <f t="shared" si="87"/>
        <v>18893.240000000002</v>
      </c>
      <c r="FX35" s="558">
        <f t="shared" si="87"/>
        <v>17227.72</v>
      </c>
      <c r="FY35" s="558">
        <f t="shared" si="87"/>
        <v>15577.62</v>
      </c>
      <c r="FZ35" s="558">
        <f t="shared" si="87"/>
        <v>13915.95</v>
      </c>
      <c r="GA35" s="558">
        <f t="shared" si="87"/>
        <v>12196.45</v>
      </c>
      <c r="GB35" s="558">
        <f t="shared" si="87"/>
        <v>10407.549999999999</v>
      </c>
      <c r="GC35" s="558">
        <f t="shared" si="87"/>
        <v>8607.09</v>
      </c>
      <c r="GD35" s="558">
        <f t="shared" si="87"/>
        <v>6779.64</v>
      </c>
      <c r="GE35" s="558">
        <f t="shared" si="87"/>
        <v>4909.78</v>
      </c>
      <c r="GF35" s="558">
        <f t="shared" si="87"/>
        <v>3032.21</v>
      </c>
      <c r="GG35" s="558">
        <f t="shared" si="87"/>
        <v>1096.81</v>
      </c>
      <c r="GH35" s="558">
        <f t="shared" ref="GH35:GW50" si="111" xml:space="preserve"> IF(  OR( GH$18&gt;$FN35, $FN35&gt;$FS$12 ),  LEER,  ROUND( $FR$19 * ( $FO35 - GH$15 * $FP35 ), GH$17 )  )</f>
        <v>-854.02</v>
      </c>
      <c r="GI35" s="558" t="str">
        <f t="shared" si="111"/>
        <v>.</v>
      </c>
      <c r="GJ35" s="558" t="str">
        <f t="shared" si="111"/>
        <v>.</v>
      </c>
      <c r="GK35" s="558" t="str">
        <f t="shared" si="111"/>
        <v>.</v>
      </c>
      <c r="GL35" s="558" t="str">
        <f t="shared" si="111"/>
        <v>.</v>
      </c>
      <c r="GM35" s="558" t="str">
        <f t="shared" si="88"/>
        <v>.</v>
      </c>
      <c r="GN35" s="558" t="str">
        <f t="shared" si="88"/>
        <v>.</v>
      </c>
      <c r="GO35" s="558" t="str">
        <f t="shared" si="88"/>
        <v>.</v>
      </c>
      <c r="GP35" s="558" t="str">
        <f t="shared" si="88"/>
        <v>.</v>
      </c>
      <c r="GQ35" s="558" t="str">
        <f t="shared" si="88"/>
        <v>.</v>
      </c>
      <c r="GR35" s="558" t="str">
        <f t="shared" si="88"/>
        <v>.</v>
      </c>
      <c r="GS35" s="558" t="str">
        <f t="shared" si="88"/>
        <v>.</v>
      </c>
      <c r="GT35" s="558" t="str">
        <f t="shared" si="88"/>
        <v>.</v>
      </c>
      <c r="GU35" s="558" t="str">
        <f t="shared" si="88"/>
        <v>.</v>
      </c>
      <c r="GV35" s="558" t="str">
        <f t="shared" si="88"/>
        <v>.</v>
      </c>
      <c r="GW35" s="558" t="str">
        <f t="shared" si="88"/>
        <v>.</v>
      </c>
      <c r="GX35" s="558" t="str">
        <f t="shared" si="88"/>
        <v>.</v>
      </c>
      <c r="GY35" s="558" t="str">
        <f t="shared" si="89"/>
        <v>.</v>
      </c>
      <c r="GZ35" s="558" t="str">
        <f t="shared" si="89"/>
        <v>.</v>
      </c>
      <c r="HA35" s="558" t="str">
        <f t="shared" si="89"/>
        <v>.</v>
      </c>
      <c r="HB35" s="558" t="str">
        <f t="shared" si="89"/>
        <v>.</v>
      </c>
      <c r="HC35" s="558" t="str">
        <f t="shared" si="89"/>
        <v>.</v>
      </c>
      <c r="HD35" s="558" t="str">
        <f t="shared" si="89"/>
        <v>.</v>
      </c>
      <c r="HE35" s="558" t="str">
        <f t="shared" si="89"/>
        <v>.</v>
      </c>
      <c r="HF35" s="558" t="str">
        <f t="shared" si="89"/>
        <v>.</v>
      </c>
      <c r="HG35" s="558" t="str">
        <f t="shared" si="89"/>
        <v>.</v>
      </c>
      <c r="HH35" s="558" t="str">
        <f t="shared" si="89"/>
        <v>.</v>
      </c>
      <c r="HI35" s="558" t="str">
        <f t="shared" si="89"/>
        <v>.</v>
      </c>
      <c r="HJ35" s="558" t="str">
        <f t="shared" si="89"/>
        <v>.</v>
      </c>
      <c r="HK35" s="558" t="str">
        <f t="shared" si="89"/>
        <v>.</v>
      </c>
      <c r="HL35" s="558" t="str">
        <f t="shared" si="89"/>
        <v>.</v>
      </c>
      <c r="HM35" s="558" t="str">
        <f t="shared" si="89"/>
        <v>.</v>
      </c>
      <c r="HN35" s="558" t="str">
        <f t="shared" ref="HN35:HR44" si="112" xml:space="preserve"> IF(  OR( HN$18&gt;$FN35, $FN35&gt;$FS$12 ),  LEER,  ROUND( $FR$19 * ( $FO35 - HN$15 * $FP35 ), HN$17 )  )</f>
        <v>.</v>
      </c>
      <c r="HO35" s="558" t="str">
        <f t="shared" si="112"/>
        <v>.</v>
      </c>
      <c r="HP35" s="558" t="str">
        <f t="shared" si="112"/>
        <v>.</v>
      </c>
      <c r="HQ35" s="558" t="str">
        <f t="shared" si="112"/>
        <v>.</v>
      </c>
      <c r="HR35" s="558" t="str">
        <f t="shared" si="112"/>
        <v>.</v>
      </c>
      <c r="HS35" s="558" t="str">
        <f t="shared" si="109"/>
        <v>.</v>
      </c>
      <c r="HT35" s="558" t="str">
        <f t="shared" si="109"/>
        <v>.</v>
      </c>
      <c r="HU35" s="558" t="str">
        <f t="shared" si="109"/>
        <v>.</v>
      </c>
      <c r="HV35" s="558" t="str">
        <f t="shared" si="109"/>
        <v>.</v>
      </c>
      <c r="HW35" s="558" t="str">
        <f t="shared" si="109"/>
        <v>.</v>
      </c>
      <c r="HX35" s="558" t="str">
        <f t="shared" si="109"/>
        <v>.</v>
      </c>
      <c r="HY35" s="558" t="str">
        <f t="shared" si="109"/>
        <v>.</v>
      </c>
      <c r="HZ35" s="558" t="str">
        <f t="shared" si="109"/>
        <v>.</v>
      </c>
      <c r="IA35" s="558" t="str">
        <f t="shared" si="109"/>
        <v>.</v>
      </c>
      <c r="IB35" s="558" t="str">
        <f t="shared" si="109"/>
        <v>.</v>
      </c>
      <c r="IC35" s="558" t="str">
        <f t="shared" si="109"/>
        <v>.</v>
      </c>
      <c r="ID35" s="558" t="str">
        <f t="shared" si="109"/>
        <v>.</v>
      </c>
      <c r="IE35" s="558" t="str">
        <f t="shared" si="109"/>
        <v>.</v>
      </c>
      <c r="IF35" s="558" t="str">
        <f t="shared" si="109"/>
        <v>.</v>
      </c>
      <c r="IG35" s="558" t="str">
        <f t="shared" si="109"/>
        <v>.</v>
      </c>
      <c r="IH35" s="558" t="str">
        <f t="shared" si="109"/>
        <v>.</v>
      </c>
      <c r="II35" s="558" t="str">
        <f t="shared" si="109"/>
        <v>.</v>
      </c>
      <c r="IJ35" s="558" t="str">
        <f t="shared" si="110"/>
        <v>.</v>
      </c>
      <c r="IK35" s="558" t="str">
        <f t="shared" si="110"/>
        <v>.</v>
      </c>
      <c r="IL35" s="558" t="str">
        <f t="shared" si="110"/>
        <v>.</v>
      </c>
      <c r="IM35" s="558" t="str">
        <f t="shared" si="110"/>
        <v>.</v>
      </c>
      <c r="IN35" s="558" t="str">
        <f t="shared" si="110"/>
        <v>.</v>
      </c>
      <c r="IO35" s="558" t="str">
        <f t="shared" si="110"/>
        <v>.</v>
      </c>
      <c r="IP35" s="558" t="str">
        <f t="shared" si="110"/>
        <v>.</v>
      </c>
      <c r="IQ35" s="558" t="str">
        <f t="shared" si="110"/>
        <v>.</v>
      </c>
      <c r="IR35" s="558" t="str">
        <f t="shared" si="107"/>
        <v>.</v>
      </c>
      <c r="IS35" s="558" t="str">
        <f t="shared" si="107"/>
        <v>.</v>
      </c>
      <c r="IT35" s="558" t="str">
        <f t="shared" si="107"/>
        <v>.</v>
      </c>
      <c r="IU35" s="558" t="str">
        <f t="shared" si="107"/>
        <v>.</v>
      </c>
      <c r="IV35" s="558" t="str">
        <f t="shared" si="107"/>
        <v>.</v>
      </c>
      <c r="IW35" s="558" t="str">
        <f t="shared" si="107"/>
        <v>.</v>
      </c>
      <c r="IX35" s="558" t="str">
        <f t="shared" si="107"/>
        <v>.</v>
      </c>
      <c r="IY35" s="558" t="str">
        <f t="shared" si="107"/>
        <v>.</v>
      </c>
      <c r="IZ35" s="558" t="str">
        <f t="shared" si="107"/>
        <v>.</v>
      </c>
      <c r="JA35" s="558" t="str">
        <f t="shared" si="107"/>
        <v>.</v>
      </c>
      <c r="JB35" s="558" t="str">
        <f t="shared" si="107"/>
        <v>.</v>
      </c>
      <c r="JC35" s="558" t="str">
        <f t="shared" si="107"/>
        <v>.</v>
      </c>
      <c r="JD35" s="558" t="str">
        <f t="shared" si="107"/>
        <v>.</v>
      </c>
      <c r="JE35" s="558" t="str">
        <f t="shared" si="107"/>
        <v>.</v>
      </c>
      <c r="JF35" s="558" t="str">
        <f t="shared" si="107"/>
        <v>.</v>
      </c>
      <c r="JG35" s="558" t="str">
        <f t="shared" si="107"/>
        <v>.</v>
      </c>
      <c r="JH35" s="558" t="str">
        <f t="shared" si="107"/>
        <v>.</v>
      </c>
      <c r="JI35" s="558" t="str">
        <f t="shared" si="107"/>
        <v>.</v>
      </c>
      <c r="JJ35" s="558" t="str">
        <f t="shared" si="107"/>
        <v>.</v>
      </c>
      <c r="JK35" s="558" t="str">
        <f t="shared" si="92"/>
        <v>.</v>
      </c>
      <c r="JL35" s="558" t="str">
        <f t="shared" si="92"/>
        <v>.</v>
      </c>
      <c r="JM35" s="558" t="str">
        <f t="shared" si="92"/>
        <v>.</v>
      </c>
      <c r="JN35" s="558" t="str">
        <f t="shared" si="92"/>
        <v>.</v>
      </c>
      <c r="JO35" s="558" t="str">
        <f t="shared" si="92"/>
        <v>.</v>
      </c>
    </row>
    <row r="36" spans="1:275" x14ac:dyDescent="0.2">
      <c r="A36" s="534">
        <f xml:space="preserve"> Basis!A36</f>
        <v>36</v>
      </c>
      <c r="F36" s="536">
        <f xml:space="preserve"> ROUND(    IF( $A$15=BE_MF_,   AW36,   INDEX( qx!36:36, F$16 ) ),    F$17    )</f>
        <v>2.9999999999999997E-4</v>
      </c>
      <c r="G36" s="536">
        <f xml:space="preserve"> ROUND(    IF( $A$15=BE_MF_,   BB36,   INDEX( wx!36:36, G$16 ) ),    G$17    )</f>
        <v>4.41E-2</v>
      </c>
      <c r="H36" s="537">
        <f xml:space="preserve"> ROUND(    IF( $A$15=BE_MF_,   BG36,   INDEX( Kx!36:36, H$16 ) ),    H$17    )</f>
        <v>1987.3</v>
      </c>
      <c r="I36" s="538">
        <f t="shared" si="93"/>
        <v>1987.3</v>
      </c>
      <c r="J36" s="539">
        <f t="shared" si="23"/>
        <v>0.95599999999999996</v>
      </c>
      <c r="K36" s="540">
        <f t="shared" si="94"/>
        <v>2</v>
      </c>
      <c r="L36" s="541">
        <f t="shared" si="24"/>
        <v>0</v>
      </c>
      <c r="M36" s="541">
        <f t="shared" si="24"/>
        <v>8.5999999999999993E-2</v>
      </c>
      <c r="O36" s="542" t="b">
        <f t="shared" si="95"/>
        <v>1</v>
      </c>
      <c r="P36" s="493">
        <f t="shared" si="25"/>
        <v>4.4400000000000002E-2</v>
      </c>
      <c r="Q36" s="493">
        <f t="shared" si="26"/>
        <v>0.9556</v>
      </c>
      <c r="R36" s="543">
        <f t="shared" si="27"/>
        <v>1031009</v>
      </c>
      <c r="S36" s="544">
        <f t="shared" si="28"/>
        <v>0.97560975599999999</v>
      </c>
      <c r="T36" s="423">
        <f t="shared" si="29"/>
        <v>423841.33</v>
      </c>
      <c r="U36" s="423">
        <f xml:space="preserve"> IF( $O36,    ROUND(  SUM( T36:T$120), U$17 ),  LEER  )</f>
        <v>8013706.3499999996</v>
      </c>
      <c r="V36" s="493">
        <f t="shared" si="30"/>
        <v>18.907299999999999</v>
      </c>
      <c r="W36" s="493">
        <f t="shared" si="31"/>
        <v>405192.31</v>
      </c>
      <c r="X36" s="493">
        <f xml:space="preserve"> IF( $O36,    ROUND(  SUM( W36:W$120), X$17 ),  LEER  )</f>
        <v>15275457.4</v>
      </c>
      <c r="Y36" s="493">
        <f t="shared" si="32"/>
        <v>36.040500000000002</v>
      </c>
      <c r="Z36" s="493">
        <f t="shared" si="33"/>
        <v>1.9061999999999999</v>
      </c>
      <c r="AA36" s="493">
        <f t="shared" si="34"/>
        <v>1.0097</v>
      </c>
      <c r="AB36" s="493">
        <f t="shared" si="35"/>
        <v>2.3494000000000002</v>
      </c>
      <c r="AC36" s="545">
        <f t="shared" si="36"/>
        <v>0.38600000000000001</v>
      </c>
      <c r="AD36" s="493">
        <f t="shared" si="37"/>
        <v>1.9283999999999999</v>
      </c>
      <c r="AE36" s="493">
        <f t="shared" si="38"/>
        <v>2.5322</v>
      </c>
      <c r="AF36" s="493">
        <f t="shared" si="39"/>
        <v>2.5322</v>
      </c>
      <c r="AG36" s="493" t="str">
        <f t="shared" si="40"/>
        <v>.</v>
      </c>
      <c r="AH36" s="493" t="str">
        <f t="shared" si="41"/>
        <v>.</v>
      </c>
      <c r="AI36" s="423">
        <f t="shared" si="42"/>
        <v>2077.79</v>
      </c>
      <c r="AJ36" s="423">
        <f t="shared" si="43"/>
        <v>5261.38</v>
      </c>
      <c r="AK36" s="423">
        <f t="shared" si="44"/>
        <v>438.45</v>
      </c>
      <c r="AN36" s="423">
        <f t="shared" si="45"/>
        <v>2045.53</v>
      </c>
      <c r="AO36" s="423">
        <f t="shared" si="45"/>
        <v>1173.4000000000001</v>
      </c>
      <c r="AR36" s="546">
        <f xml:space="preserve"> ROUND(  INDEX( Kx!36:36, AR$16 ),  AR$17 )</f>
        <v>0.7742</v>
      </c>
      <c r="AS36" s="547">
        <f xml:space="preserve"> ROUND(  INDEX( qx!36:36, AS$16 ),  AS$17 )</f>
        <v>2.9999999999999997E-4</v>
      </c>
      <c r="AT36" s="547">
        <f xml:space="preserve"> ROUND(  INDEX( qx!36:36, AT$16 ),  AT$17 )</f>
        <v>2.0000000000000001E-4</v>
      </c>
      <c r="AU36" s="548" t="str">
        <f t="shared" si="46"/>
        <v>F</v>
      </c>
      <c r="AV36" s="542">
        <f t="shared" si="47"/>
        <v>0.69569999999999999</v>
      </c>
      <c r="AW36" s="542">
        <f t="shared" si="48"/>
        <v>2.9999999999999997E-4</v>
      </c>
      <c r="AX36" s="546">
        <f xml:space="preserve"> ROUND(  INDEX( wx!36:36, AX$16 ),  AX$17 )</f>
        <v>4.1000000000000002E-2</v>
      </c>
      <c r="AY36" s="546">
        <f xml:space="preserve"> ROUND(  INDEX( wx!36:36, AY$16 ),  AY$17 )</f>
        <v>6.0299999999999999E-2</v>
      </c>
      <c r="AZ36" s="548" t="str">
        <f t="shared" si="49"/>
        <v>M</v>
      </c>
      <c r="BA36" s="542">
        <f t="shared" si="50"/>
        <v>0.83720000000000006</v>
      </c>
      <c r="BB36" s="542">
        <f t="shared" si="51"/>
        <v>4.41E-2</v>
      </c>
      <c r="BC36" s="533">
        <f xml:space="preserve"> ROUND(  INDEX( Kx!36:36, BC$16 ),  BC$17 )</f>
        <v>1490.69</v>
      </c>
      <c r="BD36" s="533">
        <f xml:space="preserve"> ROUND(  INDEX( Kx!36:36, BD$16 ),  BD$17 )</f>
        <v>3122.66</v>
      </c>
      <c r="BE36" s="548" t="str">
        <f t="shared" si="52"/>
        <v>F</v>
      </c>
      <c r="BF36" s="542">
        <f t="shared" si="53"/>
        <v>0.69569999999999999</v>
      </c>
      <c r="BG36" s="420">
        <f t="shared" si="54"/>
        <v>1987.3</v>
      </c>
      <c r="BQ36" s="549">
        <f t="shared" si="96"/>
        <v>36</v>
      </c>
      <c r="BR36" s="423">
        <f t="shared" si="55"/>
        <v>0</v>
      </c>
      <c r="BS36" s="550">
        <f t="shared" si="56"/>
        <v>1987.3</v>
      </c>
      <c r="BT36" s="423">
        <f t="shared" si="57"/>
        <v>1896.5</v>
      </c>
      <c r="BU36" s="551">
        <f t="shared" si="58"/>
        <v>423841.33</v>
      </c>
      <c r="BV36" s="551">
        <f t="shared" si="59"/>
        <v>1.077</v>
      </c>
      <c r="BW36" s="529">
        <f t="shared" si="60"/>
        <v>2045.53</v>
      </c>
      <c r="BX36" s="552">
        <f t="shared" si="61"/>
        <v>149.02999999999997</v>
      </c>
      <c r="BY36" s="560"/>
      <c r="BZ36" s="559"/>
      <c r="CB36" s="423">
        <f t="shared" si="62"/>
        <v>1912.71</v>
      </c>
      <c r="CC36" s="423">
        <f t="shared" si="63"/>
        <v>51.14</v>
      </c>
      <c r="CD36" s="423">
        <f t="shared" si="64"/>
        <v>186.29</v>
      </c>
      <c r="CE36" s="423">
        <f t="shared" si="65"/>
        <v>2150.1400000000003</v>
      </c>
      <c r="CF36" s="553">
        <f t="shared" si="66"/>
        <v>2150.1900000000005</v>
      </c>
      <c r="CH36" s="423">
        <f t="shared" si="67"/>
        <v>3852.4304390000002</v>
      </c>
      <c r="CI36" s="423">
        <f t="shared" si="68"/>
        <v>1986.37</v>
      </c>
      <c r="CJ36" s="423">
        <f t="shared" si="69"/>
        <v>2047.86</v>
      </c>
      <c r="CK36" s="423">
        <f t="shared" si="97"/>
        <v>-181.75</v>
      </c>
      <c r="CL36" s="553">
        <f t="shared" si="70"/>
        <v>3852.4799999999996</v>
      </c>
      <c r="CN36" s="423">
        <f t="shared" si="71"/>
        <v>3898.5573770000001</v>
      </c>
      <c r="CO36" s="423">
        <f t="shared" si="72"/>
        <v>1986.37</v>
      </c>
      <c r="CP36" s="423">
        <f t="shared" si="73"/>
        <v>2055.6</v>
      </c>
      <c r="CQ36" s="423">
        <f t="shared" si="74"/>
        <v>-143.37</v>
      </c>
      <c r="CR36" s="553">
        <f t="shared" si="75"/>
        <v>3898.6</v>
      </c>
      <c r="CV36" s="564">
        <f t="shared" si="98"/>
        <v>36</v>
      </c>
      <c r="CW36" s="538">
        <f t="shared" si="76"/>
        <v>1173.4000000000001</v>
      </c>
      <c r="CX36" s="566" t="str">
        <f t="shared" si="77"/>
        <v>.</v>
      </c>
      <c r="CY36" s="538" t="str">
        <f t="shared" si="78"/>
        <v>.</v>
      </c>
      <c r="CZ36" s="538" t="str">
        <f t="shared" si="79"/>
        <v>.</v>
      </c>
      <c r="DA36" s="538" t="str">
        <f t="shared" si="80"/>
        <v>.</v>
      </c>
      <c r="DB36" s="567">
        <f t="shared" si="99"/>
        <v>1173.4000000000001</v>
      </c>
      <c r="DC36" s="567" t="e">
        <f t="shared" si="100"/>
        <v>#N/A</v>
      </c>
      <c r="DD36" s="567" t="e">
        <f t="shared" si="101"/>
        <v>#N/A</v>
      </c>
      <c r="DE36" s="567" t="e">
        <f t="shared" si="101"/>
        <v>#N/A</v>
      </c>
      <c r="DF36" s="568" t="e">
        <f t="shared" si="102"/>
        <v>#N/A</v>
      </c>
      <c r="DR36" s="385"/>
      <c r="DS36" s="385"/>
      <c r="DT36" s="385"/>
      <c r="EL36" s="553" t="str">
        <f t="shared" si="81"/>
        <v>.</v>
      </c>
      <c r="EM36" s="553" t="str">
        <f t="shared" si="82"/>
        <v>.</v>
      </c>
      <c r="EN36" s="423" t="str">
        <f t="shared" si="83"/>
        <v>.</v>
      </c>
      <c r="EO36" s="555">
        <f xml:space="preserve"> 'i2'!AO36</f>
        <v>1173.4000000000001</v>
      </c>
      <c r="EV36" s="533" t="e">
        <f xml:space="preserve"> ROUND(    IF( $A$15=BE_MF_,   LEER,   INDEX( Kx!36:36, EV$16 ) ),    EV$17    )</f>
        <v>#VALUE!</v>
      </c>
      <c r="EW36" s="533" t="e">
        <f xml:space="preserve"> ROUND(    IF( $A$15=BE_MF_,   LEER,   INDEX( Kx!36:36, EW$16 ) ),    EW$17    )</f>
        <v>#VALUE!</v>
      </c>
      <c r="EX36" s="533" t="e">
        <f xml:space="preserve"> ROUND(    IF( $A$15=BE_MF_,   LEER,   INDEX( Kx!36:36, EX$16 ) ),    EX$17    )</f>
        <v>#VALUE!</v>
      </c>
      <c r="EY36" s="556" t="e">
        <f t="shared" si="103"/>
        <v>#VALUE!</v>
      </c>
      <c r="FB36" s="533" t="e">
        <f xml:space="preserve"> ROUND(    IF( $A$15=BE_MF_,   LEER,   INDEX( Kx!36:36, FB$16 ) ),    FB$17    )</f>
        <v>#VALUE!</v>
      </c>
      <c r="FC36" s="533" t="e">
        <f xml:space="preserve"> ROUND(    IF( $A$15=BE_MF_,   LEER,   INDEX( Kx!36:36, FC$16 ) ),    FC$17    )</f>
        <v>#VALUE!</v>
      </c>
      <c r="FD36" s="556" t="e">
        <f t="shared" si="104"/>
        <v>#VALUE!</v>
      </c>
      <c r="FG36" s="556" t="e">
        <f t="shared" si="105"/>
        <v>#VALUE!</v>
      </c>
      <c r="FH36" s="556" t="e">
        <f t="shared" si="105"/>
        <v>#VALUE!</v>
      </c>
      <c r="FI36" s="556" t="e">
        <f t="shared" si="105"/>
        <v>#VALUE!</v>
      </c>
      <c r="FN36" s="557">
        <f t="shared" si="84"/>
        <v>36</v>
      </c>
      <c r="FO36" s="493">
        <f t="shared" si="85"/>
        <v>36.040500000000002</v>
      </c>
      <c r="FP36" s="493">
        <f t="shared" si="86"/>
        <v>18.907299999999999</v>
      </c>
      <c r="FR36" s="427">
        <f t="shared" si="106"/>
        <v>238908.83000000002</v>
      </c>
      <c r="FS36" s="558">
        <f t="shared" ref="FS36:GH51" si="113" xml:space="preserve"> IF(  OR( FS$18&gt;$FN36, $FN36&gt;$FS$12 ),  LEER,  ROUND( $FR$19 * ( $FO36 - FS$15 * $FP36 ), FS$17 )  )</f>
        <v>27726.400000000001</v>
      </c>
      <c r="FT36" s="558">
        <f t="shared" si="113"/>
        <v>26135.34</v>
      </c>
      <c r="FU36" s="558">
        <f t="shared" si="113"/>
        <v>24540.35</v>
      </c>
      <c r="FV36" s="558">
        <f t="shared" si="113"/>
        <v>22945.360000000001</v>
      </c>
      <c r="FW36" s="558">
        <f t="shared" si="113"/>
        <v>21295.38</v>
      </c>
      <c r="FX36" s="558">
        <f t="shared" si="113"/>
        <v>19598.25</v>
      </c>
      <c r="FY36" s="558">
        <f t="shared" si="113"/>
        <v>17916.830000000002</v>
      </c>
      <c r="FZ36" s="558">
        <f t="shared" si="113"/>
        <v>16223.63</v>
      </c>
      <c r="GA36" s="558">
        <f t="shared" si="113"/>
        <v>14471.5</v>
      </c>
      <c r="GB36" s="558">
        <f t="shared" si="113"/>
        <v>12648.66</v>
      </c>
      <c r="GC36" s="558">
        <f t="shared" si="113"/>
        <v>10814.03</v>
      </c>
      <c r="GD36" s="558">
        <f t="shared" si="113"/>
        <v>8951.91</v>
      </c>
      <c r="GE36" s="558">
        <f t="shared" si="113"/>
        <v>7046.56</v>
      </c>
      <c r="GF36" s="558">
        <f t="shared" si="113"/>
        <v>5133.3599999999997</v>
      </c>
      <c r="GG36" s="558">
        <f t="shared" si="113"/>
        <v>3161.24</v>
      </c>
      <c r="GH36" s="558">
        <f t="shared" si="113"/>
        <v>1173.4000000000001</v>
      </c>
      <c r="GI36" s="558">
        <f t="shared" si="111"/>
        <v>-873.37</v>
      </c>
      <c r="GJ36" s="558" t="str">
        <f t="shared" si="111"/>
        <v>.</v>
      </c>
      <c r="GK36" s="558" t="str">
        <f t="shared" si="111"/>
        <v>.</v>
      </c>
      <c r="GL36" s="558" t="str">
        <f t="shared" si="111"/>
        <v>.</v>
      </c>
      <c r="GM36" s="558" t="str">
        <f t="shared" si="111"/>
        <v>.</v>
      </c>
      <c r="GN36" s="558" t="str">
        <f t="shared" si="111"/>
        <v>.</v>
      </c>
      <c r="GO36" s="558" t="str">
        <f t="shared" si="111"/>
        <v>.</v>
      </c>
      <c r="GP36" s="558" t="str">
        <f t="shared" si="111"/>
        <v>.</v>
      </c>
      <c r="GQ36" s="558" t="str">
        <f t="shared" si="111"/>
        <v>.</v>
      </c>
      <c r="GR36" s="558" t="str">
        <f t="shared" si="111"/>
        <v>.</v>
      </c>
      <c r="GS36" s="558" t="str">
        <f t="shared" si="111"/>
        <v>.</v>
      </c>
      <c r="GT36" s="558" t="str">
        <f t="shared" si="111"/>
        <v>.</v>
      </c>
      <c r="GU36" s="558" t="str">
        <f t="shared" si="111"/>
        <v>.</v>
      </c>
      <c r="GV36" s="558" t="str">
        <f t="shared" si="111"/>
        <v>.</v>
      </c>
      <c r="GW36" s="558" t="str">
        <f t="shared" si="111"/>
        <v>.</v>
      </c>
      <c r="GX36" s="558" t="str">
        <f t="shared" ref="GX36:HM51" si="114" xml:space="preserve"> IF(  OR( GX$18&gt;$FN36, $FN36&gt;$FS$12 ),  LEER,  ROUND( $FR$19 * ( $FO36 - GX$15 * $FP36 ), GX$17 )  )</f>
        <v>.</v>
      </c>
      <c r="GY36" s="558" t="str">
        <f t="shared" si="114"/>
        <v>.</v>
      </c>
      <c r="GZ36" s="558" t="str">
        <f t="shared" si="114"/>
        <v>.</v>
      </c>
      <c r="HA36" s="558" t="str">
        <f t="shared" si="114"/>
        <v>.</v>
      </c>
      <c r="HB36" s="558" t="str">
        <f t="shared" si="114"/>
        <v>.</v>
      </c>
      <c r="HC36" s="558" t="str">
        <f t="shared" si="114"/>
        <v>.</v>
      </c>
      <c r="HD36" s="558" t="str">
        <f t="shared" si="114"/>
        <v>.</v>
      </c>
      <c r="HE36" s="558" t="str">
        <f t="shared" si="114"/>
        <v>.</v>
      </c>
      <c r="HF36" s="558" t="str">
        <f t="shared" si="114"/>
        <v>.</v>
      </c>
      <c r="HG36" s="558" t="str">
        <f t="shared" si="114"/>
        <v>.</v>
      </c>
      <c r="HH36" s="558" t="str">
        <f t="shared" si="114"/>
        <v>.</v>
      </c>
      <c r="HI36" s="558" t="str">
        <f t="shared" si="114"/>
        <v>.</v>
      </c>
      <c r="HJ36" s="558" t="str">
        <f t="shared" si="114"/>
        <v>.</v>
      </c>
      <c r="HK36" s="558" t="str">
        <f t="shared" si="114"/>
        <v>.</v>
      </c>
      <c r="HL36" s="558" t="str">
        <f t="shared" si="114"/>
        <v>.</v>
      </c>
      <c r="HM36" s="558" t="str">
        <f t="shared" si="114"/>
        <v>.</v>
      </c>
      <c r="HN36" s="558" t="str">
        <f t="shared" si="112"/>
        <v>.</v>
      </c>
      <c r="HO36" s="558" t="str">
        <f t="shared" si="112"/>
        <v>.</v>
      </c>
      <c r="HP36" s="558" t="str">
        <f t="shared" si="112"/>
        <v>.</v>
      </c>
      <c r="HQ36" s="558" t="str">
        <f t="shared" si="112"/>
        <v>.</v>
      </c>
      <c r="HR36" s="558" t="str">
        <f t="shared" si="112"/>
        <v>.</v>
      </c>
      <c r="HS36" s="558" t="str">
        <f t="shared" si="109"/>
        <v>.</v>
      </c>
      <c r="HT36" s="558" t="str">
        <f t="shared" si="109"/>
        <v>.</v>
      </c>
      <c r="HU36" s="558" t="str">
        <f t="shared" si="109"/>
        <v>.</v>
      </c>
      <c r="HV36" s="558" t="str">
        <f t="shared" si="109"/>
        <v>.</v>
      </c>
      <c r="HW36" s="558" t="str">
        <f t="shared" si="109"/>
        <v>.</v>
      </c>
      <c r="HX36" s="558" t="str">
        <f t="shared" si="109"/>
        <v>.</v>
      </c>
      <c r="HY36" s="558" t="str">
        <f t="shared" si="109"/>
        <v>.</v>
      </c>
      <c r="HZ36" s="558" t="str">
        <f t="shared" si="109"/>
        <v>.</v>
      </c>
      <c r="IA36" s="558" t="str">
        <f t="shared" si="109"/>
        <v>.</v>
      </c>
      <c r="IB36" s="558" t="str">
        <f t="shared" si="109"/>
        <v>.</v>
      </c>
      <c r="IC36" s="558" t="str">
        <f t="shared" si="109"/>
        <v>.</v>
      </c>
      <c r="ID36" s="558" t="str">
        <f t="shared" si="109"/>
        <v>.</v>
      </c>
      <c r="IE36" s="558" t="str">
        <f t="shared" si="109"/>
        <v>.</v>
      </c>
      <c r="IF36" s="558" t="str">
        <f t="shared" si="109"/>
        <v>.</v>
      </c>
      <c r="IG36" s="558" t="str">
        <f t="shared" si="109"/>
        <v>.</v>
      </c>
      <c r="IH36" s="558" t="str">
        <f t="shared" si="109"/>
        <v>.</v>
      </c>
      <c r="II36" s="558" t="str">
        <f t="shared" si="109"/>
        <v>.</v>
      </c>
      <c r="IJ36" s="558" t="str">
        <f t="shared" si="110"/>
        <v>.</v>
      </c>
      <c r="IK36" s="558" t="str">
        <f t="shared" si="110"/>
        <v>.</v>
      </c>
      <c r="IL36" s="558" t="str">
        <f t="shared" si="110"/>
        <v>.</v>
      </c>
      <c r="IM36" s="558" t="str">
        <f t="shared" si="110"/>
        <v>.</v>
      </c>
      <c r="IN36" s="558" t="str">
        <f t="shared" si="110"/>
        <v>.</v>
      </c>
      <c r="IO36" s="558" t="str">
        <f t="shared" si="110"/>
        <v>.</v>
      </c>
      <c r="IP36" s="558" t="str">
        <f t="shared" si="110"/>
        <v>.</v>
      </c>
      <c r="IQ36" s="558" t="str">
        <f t="shared" si="110"/>
        <v>.</v>
      </c>
      <c r="IR36" s="558" t="str">
        <f t="shared" si="107"/>
        <v>.</v>
      </c>
      <c r="IS36" s="558" t="str">
        <f t="shared" si="107"/>
        <v>.</v>
      </c>
      <c r="IT36" s="558" t="str">
        <f t="shared" si="107"/>
        <v>.</v>
      </c>
      <c r="IU36" s="558" t="str">
        <f t="shared" si="107"/>
        <v>.</v>
      </c>
      <c r="IV36" s="558" t="str">
        <f t="shared" si="107"/>
        <v>.</v>
      </c>
      <c r="IW36" s="558" t="str">
        <f t="shared" si="107"/>
        <v>.</v>
      </c>
      <c r="IX36" s="558" t="str">
        <f t="shared" si="107"/>
        <v>.</v>
      </c>
      <c r="IY36" s="558" t="str">
        <f t="shared" si="107"/>
        <v>.</v>
      </c>
      <c r="IZ36" s="558" t="str">
        <f t="shared" si="107"/>
        <v>.</v>
      </c>
      <c r="JA36" s="558" t="str">
        <f t="shared" si="107"/>
        <v>.</v>
      </c>
      <c r="JB36" s="558" t="str">
        <f t="shared" si="107"/>
        <v>.</v>
      </c>
      <c r="JC36" s="558" t="str">
        <f t="shared" si="107"/>
        <v>.</v>
      </c>
      <c r="JD36" s="558" t="str">
        <f t="shared" si="107"/>
        <v>.</v>
      </c>
      <c r="JE36" s="558" t="str">
        <f t="shared" si="107"/>
        <v>.</v>
      </c>
      <c r="JF36" s="558" t="str">
        <f t="shared" si="107"/>
        <v>.</v>
      </c>
      <c r="JG36" s="558" t="str">
        <f t="shared" si="107"/>
        <v>.</v>
      </c>
      <c r="JH36" s="558" t="str">
        <f t="shared" si="107"/>
        <v>.</v>
      </c>
      <c r="JI36" s="558" t="str">
        <f t="shared" si="107"/>
        <v>.</v>
      </c>
      <c r="JJ36" s="558" t="str">
        <f t="shared" si="107"/>
        <v>.</v>
      </c>
      <c r="JK36" s="558" t="str">
        <f t="shared" ref="JK36:JO51" si="115" xml:space="preserve"> IF(  OR( JK$18&gt;$FN36, $FN36&gt;$FS$12 ),  LEER,  ROUND( $FR$19 * ( $FO36 - JK$15 * $FP36 ), JK$17 )  )</f>
        <v>.</v>
      </c>
      <c r="JL36" s="558" t="str">
        <f t="shared" si="115"/>
        <v>.</v>
      </c>
      <c r="JM36" s="558" t="str">
        <f t="shared" si="115"/>
        <v>.</v>
      </c>
      <c r="JN36" s="558" t="str">
        <f t="shared" si="115"/>
        <v>.</v>
      </c>
      <c r="JO36" s="558" t="str">
        <f t="shared" si="115"/>
        <v>.</v>
      </c>
    </row>
    <row r="37" spans="1:275" x14ac:dyDescent="0.2">
      <c r="A37" s="534">
        <f xml:space="preserve"> Basis!A37</f>
        <v>37</v>
      </c>
      <c r="F37" s="536">
        <f xml:space="preserve"> ROUND(    IF( $A$15=BE_MF_,   AW37,   INDEX( qx!37:37, F$16 ) ),    F$17    )</f>
        <v>2.9999999999999997E-4</v>
      </c>
      <c r="G37" s="536">
        <f xml:space="preserve"> ROUND(    IF( $A$15=BE_MF_,   BB37,   INDEX( wx!37:37, G$16 ) ),    G$17    )</f>
        <v>4.0399999999999998E-2</v>
      </c>
      <c r="H37" s="537">
        <f xml:space="preserve"> ROUND(    IF( $A$15=BE_MF_,   BG37,   INDEX( Kx!37:37, H$16 ) ),    H$17    )</f>
        <v>2009.02</v>
      </c>
      <c r="I37" s="538">
        <f t="shared" si="93"/>
        <v>2009.02</v>
      </c>
      <c r="J37" s="539">
        <f t="shared" si="23"/>
        <v>0.96699999999999997</v>
      </c>
      <c r="K37" s="540">
        <f t="shared" si="94"/>
        <v>2</v>
      </c>
      <c r="L37" s="541">
        <f t="shared" si="24"/>
        <v>0</v>
      </c>
      <c r="M37" s="541">
        <f t="shared" si="24"/>
        <v>8.5999999999999993E-2</v>
      </c>
      <c r="O37" s="542" t="b">
        <f t="shared" si="95"/>
        <v>1</v>
      </c>
      <c r="P37" s="493">
        <f t="shared" si="25"/>
        <v>4.07E-2</v>
      </c>
      <c r="Q37" s="493">
        <f t="shared" si="26"/>
        <v>0.95930000000000004</v>
      </c>
      <c r="R37" s="543">
        <f t="shared" si="27"/>
        <v>985232</v>
      </c>
      <c r="S37" s="544">
        <f t="shared" si="28"/>
        <v>0.97560975599999999</v>
      </c>
      <c r="T37" s="423">
        <f t="shared" si="29"/>
        <v>395144.09</v>
      </c>
      <c r="U37" s="423">
        <f xml:space="preserve"> IF( $O37,    ROUND(  SUM( T37:T$120), U$17 ),  LEER  )</f>
        <v>7589865.0199999996</v>
      </c>
      <c r="V37" s="493">
        <f t="shared" si="30"/>
        <v>19.207799999999999</v>
      </c>
      <c r="W37" s="493">
        <f t="shared" si="31"/>
        <v>382104.34</v>
      </c>
      <c r="X37" s="493">
        <f xml:space="preserve"> IF( $O37,    ROUND(  SUM( W37:W$120), X$17 ),  LEER  )</f>
        <v>14870265.09</v>
      </c>
      <c r="Y37" s="493">
        <f t="shared" si="32"/>
        <v>37.6325</v>
      </c>
      <c r="Z37" s="493">
        <f t="shared" si="33"/>
        <v>1.9592000000000001</v>
      </c>
      <c r="AA37" s="493">
        <f t="shared" si="34"/>
        <v>1.0096000000000001</v>
      </c>
      <c r="AB37" s="493">
        <f t="shared" si="35"/>
        <v>2.3494000000000002</v>
      </c>
      <c r="AC37" s="545">
        <f t="shared" si="36"/>
        <v>0.38600000000000001</v>
      </c>
      <c r="AD37" s="493">
        <f t="shared" si="37"/>
        <v>1.9817</v>
      </c>
      <c r="AE37" s="493">
        <f t="shared" si="38"/>
        <v>2.5905</v>
      </c>
      <c r="AF37" s="493">
        <f t="shared" si="39"/>
        <v>2.5905</v>
      </c>
      <c r="AG37" s="493" t="str">
        <f t="shared" si="40"/>
        <v>.</v>
      </c>
      <c r="AH37" s="493" t="str">
        <f t="shared" si="41"/>
        <v>.</v>
      </c>
      <c r="AI37" s="423">
        <f t="shared" si="42"/>
        <v>2077.79</v>
      </c>
      <c r="AJ37" s="423">
        <f t="shared" si="43"/>
        <v>5382.51</v>
      </c>
      <c r="AK37" s="423">
        <f t="shared" si="44"/>
        <v>448.54</v>
      </c>
      <c r="AN37" s="423">
        <f t="shared" si="45"/>
        <v>4195.72</v>
      </c>
      <c r="AO37" s="423">
        <f t="shared" si="45"/>
        <v>3309.72</v>
      </c>
      <c r="AR37" s="546">
        <f xml:space="preserve"> ROUND(  INDEX( Kx!37:37, AR$16 ),  AR$17 )</f>
        <v>0.7792</v>
      </c>
      <c r="AS37" s="547">
        <f xml:space="preserve"> ROUND(  INDEX( qx!37:37, AS$16 ),  AS$17 )</f>
        <v>2.9999999999999997E-4</v>
      </c>
      <c r="AT37" s="547">
        <f xml:space="preserve"> ROUND(  INDEX( qx!37:37, AT$16 ),  AT$17 )</f>
        <v>2.0000000000000001E-4</v>
      </c>
      <c r="AU37" s="548" t="str">
        <f t="shared" si="46"/>
        <v>F</v>
      </c>
      <c r="AV37" s="542">
        <f t="shared" si="47"/>
        <v>0.70169999999999999</v>
      </c>
      <c r="AW37" s="542">
        <f t="shared" si="48"/>
        <v>2.9999999999999997E-4</v>
      </c>
      <c r="AX37" s="546">
        <f xml:space="preserve"> ROUND(  INDEX( wx!37:37, AX$16 ),  AX$17 )</f>
        <v>3.7499999999999999E-2</v>
      </c>
      <c r="AY37" s="546">
        <f xml:space="preserve"> ROUND(  INDEX( wx!37:37, AY$16 ),  AY$17 )</f>
        <v>5.5800000000000002E-2</v>
      </c>
      <c r="AZ37" s="548" t="str">
        <f t="shared" si="49"/>
        <v>M</v>
      </c>
      <c r="BA37" s="542">
        <f t="shared" si="50"/>
        <v>0.84109999999999996</v>
      </c>
      <c r="BB37" s="542">
        <f t="shared" si="51"/>
        <v>4.0399999999999998E-2</v>
      </c>
      <c r="BC37" s="533">
        <f xml:space="preserve"> ROUND(  INDEX( Kx!37:37, BC$16 ),  BC$17 )</f>
        <v>1540.58</v>
      </c>
      <c r="BD37" s="533">
        <f xml:space="preserve"> ROUND(  INDEX( Kx!37:37, BD$16 ),  BD$17 )</f>
        <v>3110.94</v>
      </c>
      <c r="BE37" s="548" t="str">
        <f t="shared" si="52"/>
        <v>F</v>
      </c>
      <c r="BF37" s="542">
        <f t="shared" si="53"/>
        <v>0.70169999999999999</v>
      </c>
      <c r="BG37" s="420">
        <f t="shared" si="54"/>
        <v>2009.02</v>
      </c>
      <c r="BQ37" s="549">
        <f t="shared" si="96"/>
        <v>37</v>
      </c>
      <c r="BR37" s="423">
        <f t="shared" si="55"/>
        <v>2045.53</v>
      </c>
      <c r="BS37" s="550">
        <f t="shared" si="56"/>
        <v>2009.02</v>
      </c>
      <c r="BT37" s="423">
        <f t="shared" si="57"/>
        <v>1865.13</v>
      </c>
      <c r="BU37" s="551">
        <f t="shared" si="58"/>
        <v>395144.09</v>
      </c>
      <c r="BV37" s="551">
        <f t="shared" si="59"/>
        <v>1.0726</v>
      </c>
      <c r="BW37" s="529">
        <f t="shared" si="60"/>
        <v>4195.72</v>
      </c>
      <c r="BX37" s="552">
        <f t="shared" si="61"/>
        <v>285.0600000000004</v>
      </c>
      <c r="BY37" s="560"/>
      <c r="BZ37" s="559"/>
      <c r="CB37" s="423">
        <f t="shared" si="62"/>
        <v>1889.29</v>
      </c>
      <c r="CC37" s="423">
        <f t="shared" si="63"/>
        <v>104.89</v>
      </c>
      <c r="CD37" s="423">
        <f t="shared" si="64"/>
        <v>262.60000000000002</v>
      </c>
      <c r="CE37" s="423">
        <f t="shared" si="65"/>
        <v>2256.7800000000002</v>
      </c>
      <c r="CF37" s="553">
        <f t="shared" si="66"/>
        <v>2256.38</v>
      </c>
      <c r="CH37" s="423">
        <f t="shared" si="67"/>
        <v>3852.4304390000002</v>
      </c>
      <c r="CI37" s="423">
        <f t="shared" si="68"/>
        <v>2009.22</v>
      </c>
      <c r="CJ37" s="423">
        <f t="shared" si="69"/>
        <v>2099.0100000000002</v>
      </c>
      <c r="CK37" s="423">
        <f t="shared" si="97"/>
        <v>-256.2</v>
      </c>
      <c r="CL37" s="553">
        <f t="shared" si="70"/>
        <v>3852.0300000000007</v>
      </c>
      <c r="CN37" s="423">
        <f t="shared" si="71"/>
        <v>3898.5573770000001</v>
      </c>
      <c r="CO37" s="423">
        <f t="shared" si="72"/>
        <v>2009.22</v>
      </c>
      <c r="CP37" s="423">
        <f t="shared" si="73"/>
        <v>2109.5</v>
      </c>
      <c r="CQ37" s="423">
        <f t="shared" si="74"/>
        <v>-220.56</v>
      </c>
      <c r="CR37" s="553">
        <f t="shared" si="75"/>
        <v>3898.1600000000003</v>
      </c>
      <c r="CV37" s="564">
        <f t="shared" si="98"/>
        <v>37</v>
      </c>
      <c r="CW37" s="538">
        <f t="shared" si="76"/>
        <v>3309.72</v>
      </c>
      <c r="CX37" s="566" t="str">
        <f t="shared" si="77"/>
        <v>.</v>
      </c>
      <c r="CY37" s="538" t="str">
        <f t="shared" si="78"/>
        <v>.</v>
      </c>
      <c r="CZ37" s="538" t="str">
        <f t="shared" si="79"/>
        <v>.</v>
      </c>
      <c r="DA37" s="538" t="str">
        <f t="shared" si="80"/>
        <v>.</v>
      </c>
      <c r="DB37" s="567">
        <f t="shared" si="99"/>
        <v>3309.72</v>
      </c>
      <c r="DC37" s="567" t="e">
        <f t="shared" si="100"/>
        <v>#N/A</v>
      </c>
      <c r="DD37" s="567" t="e">
        <f t="shared" si="101"/>
        <v>#N/A</v>
      </c>
      <c r="DE37" s="567" t="e">
        <f t="shared" si="101"/>
        <v>#N/A</v>
      </c>
      <c r="DF37" s="568" t="e">
        <f t="shared" si="102"/>
        <v>#N/A</v>
      </c>
      <c r="EL37" s="553" t="str">
        <f t="shared" si="81"/>
        <v>.</v>
      </c>
      <c r="EM37" s="553" t="str">
        <f t="shared" si="82"/>
        <v>.</v>
      </c>
      <c r="EN37" s="423" t="str">
        <f t="shared" si="83"/>
        <v>.</v>
      </c>
      <c r="EO37" s="555">
        <f xml:space="preserve"> 'i2'!AO37</f>
        <v>3309.72</v>
      </c>
      <c r="EV37" s="533" t="e">
        <f xml:space="preserve"> ROUND(    IF( $A$15=BE_MF_,   LEER,   INDEX( Kx!37:37, EV$16 ) ),    EV$17    )</f>
        <v>#VALUE!</v>
      </c>
      <c r="EW37" s="533" t="e">
        <f xml:space="preserve"> ROUND(    IF( $A$15=BE_MF_,   LEER,   INDEX( Kx!37:37, EW$16 ) ),    EW$17    )</f>
        <v>#VALUE!</v>
      </c>
      <c r="EX37" s="533" t="e">
        <f xml:space="preserve"> ROUND(    IF( $A$15=BE_MF_,   LEER,   INDEX( Kx!37:37, EX$16 ) ),    EX$17    )</f>
        <v>#VALUE!</v>
      </c>
      <c r="EY37" s="556" t="e">
        <f t="shared" si="103"/>
        <v>#VALUE!</v>
      </c>
      <c r="FB37" s="533" t="e">
        <f xml:space="preserve"> ROUND(    IF( $A$15=BE_MF_,   LEER,   INDEX( Kx!37:37, FB$16 ) ),    FB$17    )</f>
        <v>#VALUE!</v>
      </c>
      <c r="FC37" s="533" t="e">
        <f xml:space="preserve"> ROUND(    IF( $A$15=BE_MF_,   LEER,   INDEX( Kx!37:37, FC$16 ) ),    FC$17    )</f>
        <v>#VALUE!</v>
      </c>
      <c r="FD37" s="556" t="e">
        <f t="shared" si="104"/>
        <v>#VALUE!</v>
      </c>
      <c r="FG37" s="556" t="e">
        <f t="shared" si="105"/>
        <v>#VALUE!</v>
      </c>
      <c r="FH37" s="556" t="e">
        <f t="shared" si="105"/>
        <v>#VALUE!</v>
      </c>
      <c r="FI37" s="556" t="e">
        <f t="shared" si="105"/>
        <v>#VALUE!</v>
      </c>
      <c r="FN37" s="557">
        <f t="shared" si="84"/>
        <v>37</v>
      </c>
      <c r="FO37" s="493">
        <f t="shared" si="85"/>
        <v>37.6325</v>
      </c>
      <c r="FP37" s="493">
        <f t="shared" si="86"/>
        <v>19.207799999999999</v>
      </c>
      <c r="FR37" s="427">
        <f t="shared" si="106"/>
        <v>277809.6399999999</v>
      </c>
      <c r="FS37" s="558">
        <f t="shared" si="113"/>
        <v>30284.74</v>
      </c>
      <c r="FT37" s="558">
        <f t="shared" si="113"/>
        <v>28668.39</v>
      </c>
      <c r="FU37" s="558">
        <f t="shared" si="113"/>
        <v>27048.06</v>
      </c>
      <c r="FV37" s="558">
        <f t="shared" si="113"/>
        <v>25427.72</v>
      </c>
      <c r="FW37" s="558">
        <f t="shared" si="113"/>
        <v>23751.51</v>
      </c>
      <c r="FX37" s="558">
        <f t="shared" si="113"/>
        <v>22027.41</v>
      </c>
      <c r="FY37" s="558">
        <f t="shared" si="113"/>
        <v>20319.27</v>
      </c>
      <c r="FZ37" s="558">
        <f t="shared" si="113"/>
        <v>18599.16</v>
      </c>
      <c r="GA37" s="558">
        <f t="shared" si="113"/>
        <v>16819.18</v>
      </c>
      <c r="GB37" s="558">
        <f t="shared" si="113"/>
        <v>14967.37</v>
      </c>
      <c r="GC37" s="558">
        <f t="shared" si="113"/>
        <v>13103.58</v>
      </c>
      <c r="GD37" s="558">
        <f t="shared" si="113"/>
        <v>11211.86</v>
      </c>
      <c r="GE37" s="558">
        <f t="shared" si="113"/>
        <v>9276.23</v>
      </c>
      <c r="GF37" s="558">
        <f t="shared" si="113"/>
        <v>7332.63</v>
      </c>
      <c r="GG37" s="558">
        <f t="shared" si="113"/>
        <v>5329.16</v>
      </c>
      <c r="GH37" s="558">
        <f t="shared" si="113"/>
        <v>3309.72</v>
      </c>
      <c r="GI37" s="558">
        <f t="shared" si="111"/>
        <v>1230.42</v>
      </c>
      <c r="GJ37" s="558">
        <f t="shared" si="111"/>
        <v>-896.77</v>
      </c>
      <c r="GK37" s="558" t="str">
        <f t="shared" si="111"/>
        <v>.</v>
      </c>
      <c r="GL37" s="558" t="str">
        <f t="shared" si="111"/>
        <v>.</v>
      </c>
      <c r="GM37" s="558" t="str">
        <f t="shared" si="111"/>
        <v>.</v>
      </c>
      <c r="GN37" s="558" t="str">
        <f t="shared" si="111"/>
        <v>.</v>
      </c>
      <c r="GO37" s="558" t="str">
        <f t="shared" si="111"/>
        <v>.</v>
      </c>
      <c r="GP37" s="558" t="str">
        <f t="shared" si="111"/>
        <v>.</v>
      </c>
      <c r="GQ37" s="558" t="str">
        <f t="shared" si="111"/>
        <v>.</v>
      </c>
      <c r="GR37" s="558" t="str">
        <f t="shared" si="111"/>
        <v>.</v>
      </c>
      <c r="GS37" s="558" t="str">
        <f t="shared" si="111"/>
        <v>.</v>
      </c>
      <c r="GT37" s="558" t="str">
        <f t="shared" si="111"/>
        <v>.</v>
      </c>
      <c r="GU37" s="558" t="str">
        <f t="shared" si="111"/>
        <v>.</v>
      </c>
      <c r="GV37" s="558" t="str">
        <f t="shared" si="111"/>
        <v>.</v>
      </c>
      <c r="GW37" s="558" t="str">
        <f t="shared" si="111"/>
        <v>.</v>
      </c>
      <c r="GX37" s="558" t="str">
        <f t="shared" si="114"/>
        <v>.</v>
      </c>
      <c r="GY37" s="558" t="str">
        <f t="shared" si="114"/>
        <v>.</v>
      </c>
      <c r="GZ37" s="558" t="str">
        <f t="shared" si="114"/>
        <v>.</v>
      </c>
      <c r="HA37" s="558" t="str">
        <f t="shared" si="114"/>
        <v>.</v>
      </c>
      <c r="HB37" s="558" t="str">
        <f t="shared" si="114"/>
        <v>.</v>
      </c>
      <c r="HC37" s="558" t="str">
        <f t="shared" si="114"/>
        <v>.</v>
      </c>
      <c r="HD37" s="558" t="str">
        <f t="shared" si="114"/>
        <v>.</v>
      </c>
      <c r="HE37" s="558" t="str">
        <f t="shared" si="114"/>
        <v>.</v>
      </c>
      <c r="HF37" s="558" t="str">
        <f t="shared" si="114"/>
        <v>.</v>
      </c>
      <c r="HG37" s="558" t="str">
        <f t="shared" si="114"/>
        <v>.</v>
      </c>
      <c r="HH37" s="558" t="str">
        <f t="shared" si="114"/>
        <v>.</v>
      </c>
      <c r="HI37" s="558" t="str">
        <f t="shared" si="114"/>
        <v>.</v>
      </c>
      <c r="HJ37" s="558" t="str">
        <f t="shared" si="114"/>
        <v>.</v>
      </c>
      <c r="HK37" s="558" t="str">
        <f t="shared" si="114"/>
        <v>.</v>
      </c>
      <c r="HL37" s="558" t="str">
        <f t="shared" si="114"/>
        <v>.</v>
      </c>
      <c r="HM37" s="558" t="str">
        <f t="shared" si="114"/>
        <v>.</v>
      </c>
      <c r="HN37" s="558" t="str">
        <f t="shared" si="112"/>
        <v>.</v>
      </c>
      <c r="HO37" s="558" t="str">
        <f t="shared" si="112"/>
        <v>.</v>
      </c>
      <c r="HP37" s="558" t="str">
        <f t="shared" si="112"/>
        <v>.</v>
      </c>
      <c r="HQ37" s="558" t="str">
        <f t="shared" si="112"/>
        <v>.</v>
      </c>
      <c r="HR37" s="558" t="str">
        <f t="shared" si="112"/>
        <v>.</v>
      </c>
      <c r="HS37" s="558" t="str">
        <f t="shared" si="109"/>
        <v>.</v>
      </c>
      <c r="HT37" s="558" t="str">
        <f t="shared" si="109"/>
        <v>.</v>
      </c>
      <c r="HU37" s="558" t="str">
        <f t="shared" si="109"/>
        <v>.</v>
      </c>
      <c r="HV37" s="558" t="str">
        <f t="shared" si="109"/>
        <v>.</v>
      </c>
      <c r="HW37" s="558" t="str">
        <f t="shared" si="109"/>
        <v>.</v>
      </c>
      <c r="HX37" s="558" t="str">
        <f t="shared" si="109"/>
        <v>.</v>
      </c>
      <c r="HY37" s="558" t="str">
        <f t="shared" si="109"/>
        <v>.</v>
      </c>
      <c r="HZ37" s="558" t="str">
        <f t="shared" si="109"/>
        <v>.</v>
      </c>
      <c r="IA37" s="558" t="str">
        <f t="shared" si="109"/>
        <v>.</v>
      </c>
      <c r="IB37" s="558" t="str">
        <f t="shared" si="109"/>
        <v>.</v>
      </c>
      <c r="IC37" s="558" t="str">
        <f t="shared" si="109"/>
        <v>.</v>
      </c>
      <c r="ID37" s="558" t="str">
        <f t="shared" si="109"/>
        <v>.</v>
      </c>
      <c r="IE37" s="558" t="str">
        <f t="shared" si="109"/>
        <v>.</v>
      </c>
      <c r="IF37" s="558" t="str">
        <f t="shared" si="109"/>
        <v>.</v>
      </c>
      <c r="IG37" s="558" t="str">
        <f t="shared" si="109"/>
        <v>.</v>
      </c>
      <c r="IH37" s="558" t="str">
        <f t="shared" si="109"/>
        <v>.</v>
      </c>
      <c r="II37" s="558" t="str">
        <f t="shared" si="109"/>
        <v>.</v>
      </c>
      <c r="IJ37" s="558" t="str">
        <f t="shared" si="110"/>
        <v>.</v>
      </c>
      <c r="IK37" s="558" t="str">
        <f t="shared" si="110"/>
        <v>.</v>
      </c>
      <c r="IL37" s="558" t="str">
        <f t="shared" si="110"/>
        <v>.</v>
      </c>
      <c r="IM37" s="558" t="str">
        <f t="shared" si="110"/>
        <v>.</v>
      </c>
      <c r="IN37" s="558" t="str">
        <f t="shared" si="110"/>
        <v>.</v>
      </c>
      <c r="IO37" s="558" t="str">
        <f t="shared" si="110"/>
        <v>.</v>
      </c>
      <c r="IP37" s="558" t="str">
        <f t="shared" si="110"/>
        <v>.</v>
      </c>
      <c r="IQ37" s="558" t="str">
        <f t="shared" si="110"/>
        <v>.</v>
      </c>
      <c r="IR37" s="558" t="str">
        <f t="shared" si="107"/>
        <v>.</v>
      </c>
      <c r="IS37" s="558" t="str">
        <f t="shared" si="107"/>
        <v>.</v>
      </c>
      <c r="IT37" s="558" t="str">
        <f t="shared" si="107"/>
        <v>.</v>
      </c>
      <c r="IU37" s="558" t="str">
        <f t="shared" si="107"/>
        <v>.</v>
      </c>
      <c r="IV37" s="558" t="str">
        <f t="shared" si="107"/>
        <v>.</v>
      </c>
      <c r="IW37" s="558" t="str">
        <f t="shared" si="107"/>
        <v>.</v>
      </c>
      <c r="IX37" s="558" t="str">
        <f t="shared" si="107"/>
        <v>.</v>
      </c>
      <c r="IY37" s="558" t="str">
        <f t="shared" si="107"/>
        <v>.</v>
      </c>
      <c r="IZ37" s="558" t="str">
        <f t="shared" si="107"/>
        <v>.</v>
      </c>
      <c r="JA37" s="558" t="str">
        <f t="shared" si="107"/>
        <v>.</v>
      </c>
      <c r="JB37" s="558" t="str">
        <f t="shared" si="107"/>
        <v>.</v>
      </c>
      <c r="JC37" s="558" t="str">
        <f t="shared" si="107"/>
        <v>.</v>
      </c>
      <c r="JD37" s="558" t="str">
        <f t="shared" si="107"/>
        <v>.</v>
      </c>
      <c r="JE37" s="558" t="str">
        <f t="shared" si="107"/>
        <v>.</v>
      </c>
      <c r="JF37" s="558" t="str">
        <f t="shared" si="107"/>
        <v>.</v>
      </c>
      <c r="JG37" s="558" t="str">
        <f t="shared" si="107"/>
        <v>.</v>
      </c>
      <c r="JH37" s="558" t="str">
        <f t="shared" si="107"/>
        <v>.</v>
      </c>
      <c r="JI37" s="558" t="str">
        <f t="shared" si="107"/>
        <v>.</v>
      </c>
      <c r="JJ37" s="558" t="str">
        <f t="shared" si="107"/>
        <v>.</v>
      </c>
      <c r="JK37" s="558" t="str">
        <f t="shared" si="115"/>
        <v>.</v>
      </c>
      <c r="JL37" s="558" t="str">
        <f t="shared" si="115"/>
        <v>.</v>
      </c>
      <c r="JM37" s="558" t="str">
        <f t="shared" si="115"/>
        <v>.</v>
      </c>
      <c r="JN37" s="558" t="str">
        <f t="shared" si="115"/>
        <v>.</v>
      </c>
      <c r="JO37" s="558" t="str">
        <f t="shared" si="115"/>
        <v>.</v>
      </c>
    </row>
    <row r="38" spans="1:275" x14ac:dyDescent="0.2">
      <c r="A38" s="534">
        <f xml:space="preserve"> Basis!A38</f>
        <v>38</v>
      </c>
      <c r="F38" s="536">
        <f xml:space="preserve"> ROUND(    IF( $A$15=BE_MF_,   AW38,   INDEX( qx!38:38, F$16 ) ),    F$17    )</f>
        <v>4.0000000000000002E-4</v>
      </c>
      <c r="G38" s="536">
        <f xml:space="preserve"> ROUND(    IF( $A$15=BE_MF_,   BB38,   INDEX( wx!38:38, G$16 ) ),    G$17    )</f>
        <v>3.7100000000000001E-2</v>
      </c>
      <c r="H38" s="537">
        <f xml:space="preserve"> ROUND(    IF( $A$15=BE_MF_,   BG38,   INDEX( Kx!38:38, H$16 ) ),    H$17    )</f>
        <v>2034.22</v>
      </c>
      <c r="I38" s="538">
        <f t="shared" si="93"/>
        <v>2034.22</v>
      </c>
      <c r="J38" s="539">
        <f t="shared" si="23"/>
        <v>0.97899999999999998</v>
      </c>
      <c r="K38" s="540">
        <f t="shared" si="94"/>
        <v>2</v>
      </c>
      <c r="L38" s="541">
        <f t="shared" si="24"/>
        <v>0</v>
      </c>
      <c r="M38" s="541">
        <f t="shared" si="24"/>
        <v>8.5999999999999993E-2</v>
      </c>
      <c r="O38" s="542" t="b">
        <f t="shared" si="95"/>
        <v>1</v>
      </c>
      <c r="P38" s="493">
        <f t="shared" si="25"/>
        <v>3.7499999999999999E-2</v>
      </c>
      <c r="Q38" s="493">
        <f t="shared" si="26"/>
        <v>0.96250000000000002</v>
      </c>
      <c r="R38" s="543">
        <f t="shared" si="27"/>
        <v>945133</v>
      </c>
      <c r="S38" s="544">
        <f t="shared" si="28"/>
        <v>0.97560975599999999</v>
      </c>
      <c r="T38" s="423">
        <f t="shared" si="29"/>
        <v>369816.29</v>
      </c>
      <c r="U38" s="423">
        <f xml:space="preserve"> IF( $O38,    ROUND(  SUM( T38:T$120), U$17 ),  LEER  )</f>
        <v>7194720.9299999997</v>
      </c>
      <c r="V38" s="493">
        <f t="shared" si="30"/>
        <v>19.454899999999999</v>
      </c>
      <c r="W38" s="493">
        <f t="shared" si="31"/>
        <v>362050.15</v>
      </c>
      <c r="X38" s="493">
        <f xml:space="preserve"> IF( $O38,    ROUND(  SUM( W38:W$120), X$17 ),  LEER  )</f>
        <v>14488160.75</v>
      </c>
      <c r="Y38" s="493">
        <f t="shared" si="32"/>
        <v>39.176600000000001</v>
      </c>
      <c r="Z38" s="493">
        <f t="shared" si="33"/>
        <v>2.0137</v>
      </c>
      <c r="AA38" s="493">
        <f t="shared" si="34"/>
        <v>1.0095000000000001</v>
      </c>
      <c r="AB38" s="493">
        <f t="shared" si="35"/>
        <v>2.3494000000000002</v>
      </c>
      <c r="AC38" s="545">
        <f t="shared" si="36"/>
        <v>0.38600000000000001</v>
      </c>
      <c r="AD38" s="493">
        <f t="shared" si="37"/>
        <v>2.0365000000000002</v>
      </c>
      <c r="AE38" s="493">
        <f t="shared" si="38"/>
        <v>2.6503999999999999</v>
      </c>
      <c r="AF38" s="493">
        <f t="shared" si="39"/>
        <v>2.6503999999999999</v>
      </c>
      <c r="AG38" s="493" t="str">
        <f t="shared" si="40"/>
        <v>.</v>
      </c>
      <c r="AH38" s="493" t="str">
        <f t="shared" si="41"/>
        <v>.</v>
      </c>
      <c r="AI38" s="423">
        <f t="shared" si="42"/>
        <v>2077.79</v>
      </c>
      <c r="AJ38" s="423">
        <f t="shared" si="43"/>
        <v>5506.97</v>
      </c>
      <c r="AK38" s="423">
        <f t="shared" si="44"/>
        <v>458.91</v>
      </c>
      <c r="AN38" s="423">
        <f t="shared" si="45"/>
        <v>6452.1</v>
      </c>
      <c r="AO38" s="423">
        <f t="shared" si="45"/>
        <v>5554.7</v>
      </c>
      <c r="AR38" s="546">
        <f xml:space="preserve"> ROUND(  INDEX( Kx!38:38, AR$16 ),  AR$17 )</f>
        <v>0.78149999999999997</v>
      </c>
      <c r="AS38" s="547">
        <f xml:space="preserve"> ROUND(  INDEX( qx!38:38, AS$16 ),  AS$17 )</f>
        <v>4.0000000000000002E-4</v>
      </c>
      <c r="AT38" s="547">
        <f xml:space="preserve"> ROUND(  INDEX( qx!38:38, AT$16 ),  AT$17 )</f>
        <v>2.9999999999999997E-4</v>
      </c>
      <c r="AU38" s="548" t="str">
        <f t="shared" si="46"/>
        <v>F</v>
      </c>
      <c r="AV38" s="542">
        <f t="shared" si="47"/>
        <v>0.70450000000000002</v>
      </c>
      <c r="AW38" s="542">
        <f t="shared" si="48"/>
        <v>4.0000000000000002E-4</v>
      </c>
      <c r="AX38" s="546">
        <f xml:space="preserve"> ROUND(  INDEX( wx!38:38, AX$16 ),  AX$17 )</f>
        <v>3.44E-2</v>
      </c>
      <c r="AY38" s="546">
        <f xml:space="preserve"> ROUND(  INDEX( wx!38:38, AY$16 ),  AY$17 )</f>
        <v>5.1700000000000003E-2</v>
      </c>
      <c r="AZ38" s="548" t="str">
        <f t="shared" si="49"/>
        <v>M</v>
      </c>
      <c r="BA38" s="542">
        <f t="shared" si="50"/>
        <v>0.84289999999999998</v>
      </c>
      <c r="BB38" s="542">
        <f t="shared" si="51"/>
        <v>3.7100000000000001E-2</v>
      </c>
      <c r="BC38" s="533">
        <f xml:space="preserve"> ROUND(  INDEX( Kx!38:38, BC$16 ),  BC$17 )</f>
        <v>1594.24</v>
      </c>
      <c r="BD38" s="533">
        <f xml:space="preserve"> ROUND(  INDEX( Kx!38:38, BD$16 ),  BD$17 )</f>
        <v>3083.16</v>
      </c>
      <c r="BE38" s="548" t="str">
        <f t="shared" si="52"/>
        <v>F</v>
      </c>
      <c r="BF38" s="542">
        <f t="shared" si="53"/>
        <v>0.70450000000000002</v>
      </c>
      <c r="BG38" s="420">
        <f t="shared" si="54"/>
        <v>2034.22</v>
      </c>
      <c r="BQ38" s="549">
        <f t="shared" si="96"/>
        <v>38</v>
      </c>
      <c r="BR38" s="423">
        <f t="shared" si="55"/>
        <v>4195.72</v>
      </c>
      <c r="BS38" s="550">
        <f t="shared" si="56"/>
        <v>2034.22</v>
      </c>
      <c r="BT38" s="423">
        <f t="shared" si="57"/>
        <v>1843.41</v>
      </c>
      <c r="BU38" s="551">
        <f t="shared" si="58"/>
        <v>369816.29</v>
      </c>
      <c r="BV38" s="551">
        <f t="shared" si="59"/>
        <v>1.0685</v>
      </c>
      <c r="BW38" s="529">
        <f t="shared" si="60"/>
        <v>6452.1</v>
      </c>
      <c r="BX38" s="552">
        <f t="shared" si="61"/>
        <v>412.97000000000025</v>
      </c>
      <c r="BY38" s="560"/>
      <c r="BZ38" s="559"/>
      <c r="CB38" s="423">
        <f t="shared" si="62"/>
        <v>1863.73</v>
      </c>
      <c r="CC38" s="423">
        <f t="shared" si="63"/>
        <v>161.30000000000001</v>
      </c>
      <c r="CD38" s="423">
        <f t="shared" si="64"/>
        <v>330.29</v>
      </c>
      <c r="CE38" s="423">
        <f t="shared" si="65"/>
        <v>2355.3200000000002</v>
      </c>
      <c r="CF38" s="553">
        <f t="shared" si="66"/>
        <v>2355.66</v>
      </c>
      <c r="CH38" s="423">
        <f t="shared" si="67"/>
        <v>3852.4304390000002</v>
      </c>
      <c r="CI38" s="423">
        <f t="shared" si="68"/>
        <v>2034.16</v>
      </c>
      <c r="CJ38" s="423">
        <f t="shared" si="69"/>
        <v>2140.84</v>
      </c>
      <c r="CK38" s="423">
        <f t="shared" si="97"/>
        <v>-322.24</v>
      </c>
      <c r="CL38" s="553">
        <f t="shared" si="70"/>
        <v>3852.76</v>
      </c>
      <c r="CN38" s="423">
        <f t="shared" si="71"/>
        <v>3898.5573770000001</v>
      </c>
      <c r="CO38" s="423">
        <f t="shared" si="72"/>
        <v>2034.16</v>
      </c>
      <c r="CP38" s="423">
        <f t="shared" si="73"/>
        <v>2153.8000000000002</v>
      </c>
      <c r="CQ38" s="423">
        <f t="shared" si="74"/>
        <v>-289.07</v>
      </c>
      <c r="CR38" s="553">
        <f t="shared" si="75"/>
        <v>3898.89</v>
      </c>
      <c r="CV38" s="564">
        <f t="shared" si="98"/>
        <v>38</v>
      </c>
      <c r="CW38" s="538">
        <f t="shared" si="76"/>
        <v>5554.7</v>
      </c>
      <c r="CX38" s="566" t="str">
        <f t="shared" si="77"/>
        <v>.</v>
      </c>
      <c r="CY38" s="538" t="str">
        <f t="shared" si="78"/>
        <v>.</v>
      </c>
      <c r="CZ38" s="538" t="str">
        <f t="shared" si="79"/>
        <v>.</v>
      </c>
      <c r="DA38" s="538" t="str">
        <f t="shared" si="80"/>
        <v>.</v>
      </c>
      <c r="DB38" s="567">
        <f t="shared" si="99"/>
        <v>5554.7</v>
      </c>
      <c r="DC38" s="567" t="e">
        <f t="shared" si="100"/>
        <v>#N/A</v>
      </c>
      <c r="DD38" s="567" t="e">
        <f t="shared" si="101"/>
        <v>#N/A</v>
      </c>
      <c r="DE38" s="567" t="e">
        <f t="shared" si="101"/>
        <v>#N/A</v>
      </c>
      <c r="DF38" s="568" t="e">
        <f t="shared" si="102"/>
        <v>#N/A</v>
      </c>
      <c r="EL38" s="553" t="str">
        <f t="shared" si="81"/>
        <v>.</v>
      </c>
      <c r="EM38" s="553" t="str">
        <f t="shared" si="82"/>
        <v>.</v>
      </c>
      <c r="EN38" s="423" t="str">
        <f t="shared" si="83"/>
        <v>.</v>
      </c>
      <c r="EO38" s="555">
        <f xml:space="preserve"> 'i2'!AO38</f>
        <v>5554.7</v>
      </c>
      <c r="EV38" s="533" t="e">
        <f xml:space="preserve"> ROUND(    IF( $A$15=BE_MF_,   LEER,   INDEX( Kx!38:38, EV$16 ) ),    EV$17    )</f>
        <v>#VALUE!</v>
      </c>
      <c r="EW38" s="533" t="e">
        <f xml:space="preserve"> ROUND(    IF( $A$15=BE_MF_,   LEER,   INDEX( Kx!38:38, EW$16 ) ),    EW$17    )</f>
        <v>#VALUE!</v>
      </c>
      <c r="EX38" s="533" t="e">
        <f xml:space="preserve"> ROUND(    IF( $A$15=BE_MF_,   LEER,   INDEX( Kx!38:38, EX$16 ) ),    EX$17    )</f>
        <v>#VALUE!</v>
      </c>
      <c r="EY38" s="556" t="e">
        <f t="shared" si="103"/>
        <v>#VALUE!</v>
      </c>
      <c r="FB38" s="533" t="e">
        <f xml:space="preserve"> ROUND(    IF( $A$15=BE_MF_,   LEER,   INDEX( Kx!38:38, FB$16 ) ),    FB$17    )</f>
        <v>#VALUE!</v>
      </c>
      <c r="FC38" s="533" t="e">
        <f xml:space="preserve"> ROUND(    IF( $A$15=BE_MF_,   LEER,   INDEX( Kx!38:38, FC$16 ) ),    FC$17    )</f>
        <v>#VALUE!</v>
      </c>
      <c r="FD38" s="556" t="e">
        <f t="shared" si="104"/>
        <v>#VALUE!</v>
      </c>
      <c r="FG38" s="556" t="e">
        <f t="shared" si="105"/>
        <v>#VALUE!</v>
      </c>
      <c r="FH38" s="556" t="e">
        <f t="shared" si="105"/>
        <v>#VALUE!</v>
      </c>
      <c r="FI38" s="556" t="e">
        <f t="shared" si="105"/>
        <v>#VALUE!</v>
      </c>
      <c r="FN38" s="557">
        <f t="shared" si="84"/>
        <v>38</v>
      </c>
      <c r="FO38" s="493">
        <f t="shared" si="85"/>
        <v>39.176600000000001</v>
      </c>
      <c r="FP38" s="493">
        <f t="shared" si="86"/>
        <v>19.454899999999999</v>
      </c>
      <c r="FR38" s="427">
        <f t="shared" si="106"/>
        <v>320105.7099999999</v>
      </c>
      <c r="FS38" s="558">
        <f t="shared" si="113"/>
        <v>32876.74</v>
      </c>
      <c r="FT38" s="558">
        <f t="shared" si="113"/>
        <v>31239.599999999999</v>
      </c>
      <c r="FU38" s="558">
        <f t="shared" si="113"/>
        <v>29598.42</v>
      </c>
      <c r="FV38" s="558">
        <f t="shared" si="113"/>
        <v>27957.24</v>
      </c>
      <c r="FW38" s="558">
        <f t="shared" si="113"/>
        <v>26259.47</v>
      </c>
      <c r="FX38" s="558">
        <f t="shared" si="113"/>
        <v>24513.18</v>
      </c>
      <c r="FY38" s="558">
        <f t="shared" si="113"/>
        <v>22783.07</v>
      </c>
      <c r="FZ38" s="558">
        <f t="shared" si="113"/>
        <v>21040.83</v>
      </c>
      <c r="GA38" s="558">
        <f t="shared" si="113"/>
        <v>19237.96</v>
      </c>
      <c r="GB38" s="558">
        <f t="shared" si="113"/>
        <v>17362.32</v>
      </c>
      <c r="GC38" s="558">
        <f t="shared" si="113"/>
        <v>15474.56</v>
      </c>
      <c r="GD38" s="558">
        <f t="shared" si="113"/>
        <v>13558.5</v>
      </c>
      <c r="GE38" s="558">
        <f t="shared" si="113"/>
        <v>11597.97</v>
      </c>
      <c r="GF38" s="558">
        <f t="shared" si="113"/>
        <v>9629.36</v>
      </c>
      <c r="GG38" s="558">
        <f t="shared" si="113"/>
        <v>7600.12</v>
      </c>
      <c r="GH38" s="558">
        <f t="shared" si="113"/>
        <v>5554.7</v>
      </c>
      <c r="GI38" s="558">
        <f t="shared" si="111"/>
        <v>3448.66</v>
      </c>
      <c r="GJ38" s="558">
        <f t="shared" si="111"/>
        <v>1294.0999999999999</v>
      </c>
      <c r="GK38" s="558">
        <f t="shared" si="111"/>
        <v>-921.09</v>
      </c>
      <c r="GL38" s="558" t="str">
        <f t="shared" si="111"/>
        <v>.</v>
      </c>
      <c r="GM38" s="558" t="str">
        <f t="shared" si="111"/>
        <v>.</v>
      </c>
      <c r="GN38" s="558" t="str">
        <f t="shared" si="111"/>
        <v>.</v>
      </c>
      <c r="GO38" s="558" t="str">
        <f t="shared" si="111"/>
        <v>.</v>
      </c>
      <c r="GP38" s="558" t="str">
        <f t="shared" si="111"/>
        <v>.</v>
      </c>
      <c r="GQ38" s="558" t="str">
        <f t="shared" si="111"/>
        <v>.</v>
      </c>
      <c r="GR38" s="558" t="str">
        <f t="shared" si="111"/>
        <v>.</v>
      </c>
      <c r="GS38" s="558" t="str">
        <f t="shared" si="111"/>
        <v>.</v>
      </c>
      <c r="GT38" s="558" t="str">
        <f t="shared" si="111"/>
        <v>.</v>
      </c>
      <c r="GU38" s="558" t="str">
        <f t="shared" si="111"/>
        <v>.</v>
      </c>
      <c r="GV38" s="558" t="str">
        <f t="shared" si="111"/>
        <v>.</v>
      </c>
      <c r="GW38" s="558" t="str">
        <f t="shared" si="111"/>
        <v>.</v>
      </c>
      <c r="GX38" s="558" t="str">
        <f t="shared" si="114"/>
        <v>.</v>
      </c>
      <c r="GY38" s="558" t="str">
        <f t="shared" si="114"/>
        <v>.</v>
      </c>
      <c r="GZ38" s="558" t="str">
        <f t="shared" si="114"/>
        <v>.</v>
      </c>
      <c r="HA38" s="558" t="str">
        <f t="shared" si="114"/>
        <v>.</v>
      </c>
      <c r="HB38" s="558" t="str">
        <f t="shared" si="114"/>
        <v>.</v>
      </c>
      <c r="HC38" s="558" t="str">
        <f t="shared" si="114"/>
        <v>.</v>
      </c>
      <c r="HD38" s="558" t="str">
        <f t="shared" si="114"/>
        <v>.</v>
      </c>
      <c r="HE38" s="558" t="str">
        <f t="shared" si="114"/>
        <v>.</v>
      </c>
      <c r="HF38" s="558" t="str">
        <f t="shared" si="114"/>
        <v>.</v>
      </c>
      <c r="HG38" s="558" t="str">
        <f t="shared" si="114"/>
        <v>.</v>
      </c>
      <c r="HH38" s="558" t="str">
        <f t="shared" si="114"/>
        <v>.</v>
      </c>
      <c r="HI38" s="558" t="str">
        <f t="shared" si="114"/>
        <v>.</v>
      </c>
      <c r="HJ38" s="558" t="str">
        <f t="shared" si="114"/>
        <v>.</v>
      </c>
      <c r="HK38" s="558" t="str">
        <f t="shared" si="114"/>
        <v>.</v>
      </c>
      <c r="HL38" s="558" t="str">
        <f t="shared" si="114"/>
        <v>.</v>
      </c>
      <c r="HM38" s="558" t="str">
        <f t="shared" si="114"/>
        <v>.</v>
      </c>
      <c r="HN38" s="558" t="str">
        <f t="shared" si="112"/>
        <v>.</v>
      </c>
      <c r="HO38" s="558" t="str">
        <f t="shared" si="112"/>
        <v>.</v>
      </c>
      <c r="HP38" s="558" t="str">
        <f t="shared" si="112"/>
        <v>.</v>
      </c>
      <c r="HQ38" s="558" t="str">
        <f t="shared" si="112"/>
        <v>.</v>
      </c>
      <c r="HR38" s="558" t="str">
        <f t="shared" si="112"/>
        <v>.</v>
      </c>
      <c r="HS38" s="558" t="str">
        <f t="shared" si="109"/>
        <v>.</v>
      </c>
      <c r="HT38" s="558" t="str">
        <f t="shared" si="109"/>
        <v>.</v>
      </c>
      <c r="HU38" s="558" t="str">
        <f t="shared" si="109"/>
        <v>.</v>
      </c>
      <c r="HV38" s="558" t="str">
        <f t="shared" si="109"/>
        <v>.</v>
      </c>
      <c r="HW38" s="558" t="str">
        <f t="shared" si="109"/>
        <v>.</v>
      </c>
      <c r="HX38" s="558" t="str">
        <f t="shared" si="109"/>
        <v>.</v>
      </c>
      <c r="HY38" s="558" t="str">
        <f t="shared" si="109"/>
        <v>.</v>
      </c>
      <c r="HZ38" s="558" t="str">
        <f t="shared" si="109"/>
        <v>.</v>
      </c>
      <c r="IA38" s="558" t="str">
        <f t="shared" si="109"/>
        <v>.</v>
      </c>
      <c r="IB38" s="558" t="str">
        <f t="shared" si="109"/>
        <v>.</v>
      </c>
      <c r="IC38" s="558" t="str">
        <f t="shared" si="109"/>
        <v>.</v>
      </c>
      <c r="ID38" s="558" t="str">
        <f t="shared" si="109"/>
        <v>.</v>
      </c>
      <c r="IE38" s="558" t="str">
        <f t="shared" si="109"/>
        <v>.</v>
      </c>
      <c r="IF38" s="558" t="str">
        <f t="shared" si="109"/>
        <v>.</v>
      </c>
      <c r="IG38" s="558" t="str">
        <f t="shared" si="109"/>
        <v>.</v>
      </c>
      <c r="IH38" s="558" t="str">
        <f t="shared" si="109"/>
        <v>.</v>
      </c>
      <c r="II38" s="558" t="str">
        <f t="shared" si="109"/>
        <v>.</v>
      </c>
      <c r="IJ38" s="558" t="str">
        <f t="shared" si="110"/>
        <v>.</v>
      </c>
      <c r="IK38" s="558" t="str">
        <f t="shared" si="110"/>
        <v>.</v>
      </c>
      <c r="IL38" s="558" t="str">
        <f t="shared" si="110"/>
        <v>.</v>
      </c>
      <c r="IM38" s="558" t="str">
        <f t="shared" si="110"/>
        <v>.</v>
      </c>
      <c r="IN38" s="558" t="str">
        <f t="shared" si="110"/>
        <v>.</v>
      </c>
      <c r="IO38" s="558" t="str">
        <f t="shared" si="110"/>
        <v>.</v>
      </c>
      <c r="IP38" s="558" t="str">
        <f t="shared" si="110"/>
        <v>.</v>
      </c>
      <c r="IQ38" s="558" t="str">
        <f t="shared" si="110"/>
        <v>.</v>
      </c>
      <c r="IR38" s="558" t="str">
        <f t="shared" si="107"/>
        <v>.</v>
      </c>
      <c r="IS38" s="558" t="str">
        <f t="shared" si="107"/>
        <v>.</v>
      </c>
      <c r="IT38" s="558" t="str">
        <f t="shared" si="107"/>
        <v>.</v>
      </c>
      <c r="IU38" s="558" t="str">
        <f t="shared" si="107"/>
        <v>.</v>
      </c>
      <c r="IV38" s="558" t="str">
        <f t="shared" si="107"/>
        <v>.</v>
      </c>
      <c r="IW38" s="558" t="str">
        <f t="shared" si="107"/>
        <v>.</v>
      </c>
      <c r="IX38" s="558" t="str">
        <f t="shared" si="107"/>
        <v>.</v>
      </c>
      <c r="IY38" s="558" t="str">
        <f t="shared" si="107"/>
        <v>.</v>
      </c>
      <c r="IZ38" s="558" t="str">
        <f t="shared" si="107"/>
        <v>.</v>
      </c>
      <c r="JA38" s="558" t="str">
        <f t="shared" si="107"/>
        <v>.</v>
      </c>
      <c r="JB38" s="558" t="str">
        <f t="shared" si="107"/>
        <v>.</v>
      </c>
      <c r="JC38" s="558" t="str">
        <f t="shared" si="107"/>
        <v>.</v>
      </c>
      <c r="JD38" s="558" t="str">
        <f t="shared" si="107"/>
        <v>.</v>
      </c>
      <c r="JE38" s="558" t="str">
        <f t="shared" si="107"/>
        <v>.</v>
      </c>
      <c r="JF38" s="558" t="str">
        <f t="shared" si="107"/>
        <v>.</v>
      </c>
      <c r="JG38" s="558" t="str">
        <f t="shared" si="107"/>
        <v>.</v>
      </c>
      <c r="JH38" s="558" t="str">
        <f t="shared" si="107"/>
        <v>.</v>
      </c>
      <c r="JI38" s="558" t="str">
        <f t="shared" si="107"/>
        <v>.</v>
      </c>
      <c r="JJ38" s="558" t="str">
        <f t="shared" si="107"/>
        <v>.</v>
      </c>
      <c r="JK38" s="558" t="str">
        <f t="shared" si="115"/>
        <v>.</v>
      </c>
      <c r="JL38" s="558" t="str">
        <f t="shared" si="115"/>
        <v>.</v>
      </c>
      <c r="JM38" s="558" t="str">
        <f t="shared" si="115"/>
        <v>.</v>
      </c>
      <c r="JN38" s="558" t="str">
        <f t="shared" si="115"/>
        <v>.</v>
      </c>
      <c r="JO38" s="558" t="str">
        <f t="shared" si="115"/>
        <v>.</v>
      </c>
    </row>
    <row r="39" spans="1:275" x14ac:dyDescent="0.2">
      <c r="A39" s="534">
        <f xml:space="preserve"> Basis!A39</f>
        <v>39</v>
      </c>
      <c r="F39" s="536">
        <f xml:space="preserve"> ROUND(    IF( $A$15=BE_MF_,   AW39,   INDEX( qx!39:39, F$16 ) ),    F$17    )</f>
        <v>4.0000000000000002E-4</v>
      </c>
      <c r="G39" s="536">
        <f xml:space="preserve"> ROUND(    IF( $A$15=BE_MF_,   BB39,   INDEX( wx!39:39, G$16 ) ),    G$17    )</f>
        <v>3.4200000000000001E-2</v>
      </c>
      <c r="H39" s="537">
        <f xml:space="preserve"> ROUND(    IF( $A$15=BE_MF_,   BG39,   INDEX( Kx!39:39, H$16 ) ),    H$17    )</f>
        <v>2059.65</v>
      </c>
      <c r="I39" s="538">
        <f t="shared" si="93"/>
        <v>2059.65</v>
      </c>
      <c r="J39" s="539">
        <f t="shared" si="23"/>
        <v>0.99099999999999999</v>
      </c>
      <c r="K39" s="540">
        <f t="shared" si="94"/>
        <v>2</v>
      </c>
      <c r="L39" s="541">
        <f t="shared" si="24"/>
        <v>0</v>
      </c>
      <c r="M39" s="541">
        <f t="shared" si="24"/>
        <v>8.5999999999999993E-2</v>
      </c>
      <c r="O39" s="542" t="b">
        <f t="shared" si="95"/>
        <v>1</v>
      </c>
      <c r="P39" s="493">
        <f t="shared" si="25"/>
        <v>3.4599999999999999E-2</v>
      </c>
      <c r="Q39" s="493">
        <f t="shared" si="26"/>
        <v>0.96540000000000004</v>
      </c>
      <c r="R39" s="543">
        <f t="shared" si="27"/>
        <v>909690</v>
      </c>
      <c r="S39" s="544">
        <f t="shared" si="28"/>
        <v>0.97560975599999999</v>
      </c>
      <c r="T39" s="423">
        <f t="shared" si="29"/>
        <v>347266.32</v>
      </c>
      <c r="U39" s="423">
        <f xml:space="preserve"> IF( $O39,    ROUND(  SUM( T39:T$120), U$17 ),  LEER  )</f>
        <v>6824904.6399999997</v>
      </c>
      <c r="V39" s="493">
        <f t="shared" si="30"/>
        <v>19.653199999999998</v>
      </c>
      <c r="W39" s="493">
        <f t="shared" si="31"/>
        <v>344140.92</v>
      </c>
      <c r="X39" s="493">
        <f xml:space="preserve"> IF( $O39,    ROUND(  SUM( W39:W$120), X$17 ),  LEER  )</f>
        <v>14126110.6</v>
      </c>
      <c r="Y39" s="493">
        <f t="shared" si="32"/>
        <v>40.677999999999997</v>
      </c>
      <c r="Z39" s="493">
        <f t="shared" si="33"/>
        <v>2.0697999999999999</v>
      </c>
      <c r="AA39" s="493">
        <f t="shared" si="34"/>
        <v>1.0094000000000001</v>
      </c>
      <c r="AB39" s="493">
        <f t="shared" si="35"/>
        <v>2.3494000000000002</v>
      </c>
      <c r="AC39" s="545">
        <f t="shared" si="36"/>
        <v>0.38600000000000001</v>
      </c>
      <c r="AD39" s="493">
        <f t="shared" si="37"/>
        <v>2.0929000000000002</v>
      </c>
      <c r="AE39" s="493">
        <f t="shared" si="38"/>
        <v>2.7121</v>
      </c>
      <c r="AF39" s="493">
        <f t="shared" si="39"/>
        <v>2.7121</v>
      </c>
      <c r="AG39" s="493" t="str">
        <f t="shared" si="40"/>
        <v>.</v>
      </c>
      <c r="AH39" s="493" t="str">
        <f t="shared" si="41"/>
        <v>.</v>
      </c>
      <c r="AI39" s="423">
        <f t="shared" si="42"/>
        <v>2077.79</v>
      </c>
      <c r="AJ39" s="423">
        <f t="shared" si="43"/>
        <v>5635.17</v>
      </c>
      <c r="AK39" s="423">
        <f t="shared" si="44"/>
        <v>469.6</v>
      </c>
      <c r="AN39" s="423">
        <f t="shared" si="45"/>
        <v>8807.76</v>
      </c>
      <c r="AO39" s="423">
        <f t="shared" si="45"/>
        <v>7901.21</v>
      </c>
      <c r="AR39" s="546">
        <f xml:space="preserve"> ROUND(  INDEX( Kx!39:39, AR$16 ),  AR$17 )</f>
        <v>0.78280000000000005</v>
      </c>
      <c r="AS39" s="547">
        <f xml:space="preserve"> ROUND(  INDEX( qx!39:39, AS$16 ),  AS$17 )</f>
        <v>4.0000000000000002E-4</v>
      </c>
      <c r="AT39" s="547">
        <f xml:space="preserve"> ROUND(  INDEX( qx!39:39, AT$16 ),  AT$17 )</f>
        <v>2.9999999999999997E-4</v>
      </c>
      <c r="AU39" s="548" t="str">
        <f t="shared" si="46"/>
        <v>F</v>
      </c>
      <c r="AV39" s="542">
        <f t="shared" si="47"/>
        <v>0.70609999999999995</v>
      </c>
      <c r="AW39" s="542">
        <f t="shared" si="48"/>
        <v>4.0000000000000002E-4</v>
      </c>
      <c r="AX39" s="546">
        <f xml:space="preserve"> ROUND(  INDEX( wx!39:39, AX$16 ),  AX$17 )</f>
        <v>3.1699999999999999E-2</v>
      </c>
      <c r="AY39" s="546">
        <f xml:space="preserve"> ROUND(  INDEX( wx!39:39, AY$16 ),  AY$17 )</f>
        <v>4.8000000000000001E-2</v>
      </c>
      <c r="AZ39" s="548" t="str">
        <f t="shared" si="49"/>
        <v>M</v>
      </c>
      <c r="BA39" s="542">
        <f t="shared" si="50"/>
        <v>0.84389999999999998</v>
      </c>
      <c r="BB39" s="542">
        <f t="shared" si="51"/>
        <v>3.4200000000000001E-2</v>
      </c>
      <c r="BC39" s="533">
        <f xml:space="preserve"> ROUND(  INDEX( Kx!39:39, BC$16 ),  BC$17 )</f>
        <v>1650.38</v>
      </c>
      <c r="BD39" s="533">
        <f xml:space="preserve"> ROUND(  INDEX( Kx!39:39, BD$16 ),  BD$17 )</f>
        <v>3042.93</v>
      </c>
      <c r="BE39" s="548" t="str">
        <f t="shared" si="52"/>
        <v>F</v>
      </c>
      <c r="BF39" s="542">
        <f t="shared" si="53"/>
        <v>0.70609999999999995</v>
      </c>
      <c r="BG39" s="420">
        <f t="shared" si="54"/>
        <v>2059.65</v>
      </c>
      <c r="BQ39" s="549">
        <f t="shared" si="96"/>
        <v>39</v>
      </c>
      <c r="BR39" s="423">
        <f t="shared" si="55"/>
        <v>6452.1</v>
      </c>
      <c r="BS39" s="550">
        <f t="shared" si="56"/>
        <v>2059.65</v>
      </c>
      <c r="BT39" s="423">
        <f t="shared" si="57"/>
        <v>1818.21</v>
      </c>
      <c r="BU39" s="551">
        <f t="shared" si="58"/>
        <v>347266.32</v>
      </c>
      <c r="BV39" s="551">
        <f t="shared" si="59"/>
        <v>1.0649</v>
      </c>
      <c r="BW39" s="529">
        <f t="shared" si="60"/>
        <v>8807.76</v>
      </c>
      <c r="BX39" s="552">
        <f t="shared" si="61"/>
        <v>537.44999999999891</v>
      </c>
      <c r="BY39" s="560"/>
      <c r="BZ39" s="559"/>
      <c r="CB39" s="423">
        <f t="shared" si="62"/>
        <v>1838.17</v>
      </c>
      <c r="CC39" s="423">
        <f t="shared" si="63"/>
        <v>220.19</v>
      </c>
      <c r="CD39" s="423">
        <f t="shared" si="64"/>
        <v>389.45</v>
      </c>
      <c r="CE39" s="423">
        <f t="shared" si="65"/>
        <v>2447.81</v>
      </c>
      <c r="CF39" s="553">
        <f t="shared" si="66"/>
        <v>2447.8799999999992</v>
      </c>
      <c r="CH39" s="423">
        <f t="shared" si="67"/>
        <v>3852.4304390000002</v>
      </c>
      <c r="CI39" s="423">
        <f t="shared" si="68"/>
        <v>2059.09</v>
      </c>
      <c r="CJ39" s="423">
        <f t="shared" si="69"/>
        <v>2173.35</v>
      </c>
      <c r="CK39" s="423">
        <f t="shared" si="97"/>
        <v>-379.95</v>
      </c>
      <c r="CL39" s="553">
        <f t="shared" si="70"/>
        <v>3852.4900000000007</v>
      </c>
      <c r="CN39" s="423">
        <f t="shared" si="71"/>
        <v>3898.5573770000001</v>
      </c>
      <c r="CO39" s="423">
        <f t="shared" si="72"/>
        <v>2059.09</v>
      </c>
      <c r="CP39" s="423">
        <f t="shared" si="73"/>
        <v>2188.64</v>
      </c>
      <c r="CQ39" s="423">
        <f t="shared" si="74"/>
        <v>-349.11</v>
      </c>
      <c r="CR39" s="553">
        <f t="shared" si="75"/>
        <v>3898.6199999999994</v>
      </c>
      <c r="CV39" s="564">
        <f t="shared" si="98"/>
        <v>39</v>
      </c>
      <c r="CW39" s="538">
        <f t="shared" si="76"/>
        <v>7901.21</v>
      </c>
      <c r="CX39" s="566" t="str">
        <f t="shared" si="77"/>
        <v>.</v>
      </c>
      <c r="CY39" s="538" t="str">
        <f t="shared" si="78"/>
        <v>.</v>
      </c>
      <c r="CZ39" s="538" t="str">
        <f t="shared" si="79"/>
        <v>.</v>
      </c>
      <c r="DA39" s="538" t="str">
        <f t="shared" si="80"/>
        <v>.</v>
      </c>
      <c r="DB39" s="567">
        <f t="shared" si="99"/>
        <v>7901.21</v>
      </c>
      <c r="DC39" s="567" t="e">
        <f t="shared" si="100"/>
        <v>#N/A</v>
      </c>
      <c r="DD39" s="567" t="e">
        <f t="shared" si="101"/>
        <v>#N/A</v>
      </c>
      <c r="DE39" s="567" t="e">
        <f t="shared" si="101"/>
        <v>#N/A</v>
      </c>
      <c r="DF39" s="568" t="e">
        <f t="shared" si="102"/>
        <v>#N/A</v>
      </c>
      <c r="EL39" s="553" t="str">
        <f t="shared" si="81"/>
        <v>.</v>
      </c>
      <c r="EM39" s="553" t="str">
        <f t="shared" si="82"/>
        <v>.</v>
      </c>
      <c r="EN39" s="423" t="str">
        <f t="shared" si="83"/>
        <v>.</v>
      </c>
      <c r="EO39" s="555">
        <f xml:space="preserve"> 'i2'!AO39</f>
        <v>7901.21</v>
      </c>
      <c r="EV39" s="533" t="e">
        <f xml:space="preserve"> ROUND(    IF( $A$15=BE_MF_,   LEER,   INDEX( Kx!39:39, EV$16 ) ),    EV$17    )</f>
        <v>#VALUE!</v>
      </c>
      <c r="EW39" s="533" t="e">
        <f xml:space="preserve"> ROUND(    IF( $A$15=BE_MF_,   LEER,   INDEX( Kx!39:39, EW$16 ) ),    EW$17    )</f>
        <v>#VALUE!</v>
      </c>
      <c r="EX39" s="533" t="e">
        <f xml:space="preserve"> ROUND(    IF( $A$15=BE_MF_,   LEER,   INDEX( Kx!39:39, EX$16 ) ),    EX$17    )</f>
        <v>#VALUE!</v>
      </c>
      <c r="EY39" s="556" t="e">
        <f t="shared" si="103"/>
        <v>#VALUE!</v>
      </c>
      <c r="FB39" s="533" t="e">
        <f xml:space="preserve"> ROUND(    IF( $A$15=BE_MF_,   LEER,   INDEX( Kx!39:39, FB$16 ) ),    FB$17    )</f>
        <v>#VALUE!</v>
      </c>
      <c r="FC39" s="533" t="e">
        <f xml:space="preserve"> ROUND(    IF( $A$15=BE_MF_,   LEER,   INDEX( Kx!39:39, FC$16 ) ),    FC$17    )</f>
        <v>#VALUE!</v>
      </c>
      <c r="FD39" s="556" t="e">
        <f t="shared" si="104"/>
        <v>#VALUE!</v>
      </c>
      <c r="FG39" s="556" t="e">
        <f t="shared" si="105"/>
        <v>#VALUE!</v>
      </c>
      <c r="FH39" s="556" t="e">
        <f t="shared" si="105"/>
        <v>#VALUE!</v>
      </c>
      <c r="FI39" s="556" t="e">
        <f t="shared" si="105"/>
        <v>#VALUE!</v>
      </c>
      <c r="FN39" s="557">
        <f t="shared" si="84"/>
        <v>39</v>
      </c>
      <c r="FO39" s="493">
        <f t="shared" si="85"/>
        <v>40.677999999999997</v>
      </c>
      <c r="FP39" s="493">
        <f t="shared" si="86"/>
        <v>19.653199999999998</v>
      </c>
      <c r="FR39" s="427">
        <f t="shared" si="106"/>
        <v>365932.71</v>
      </c>
      <c r="FS39" s="558">
        <f t="shared" si="113"/>
        <v>35501.74</v>
      </c>
      <c r="FT39" s="558">
        <f t="shared" si="113"/>
        <v>33847.910000000003</v>
      </c>
      <c r="FU39" s="558">
        <f t="shared" si="113"/>
        <v>32190</v>
      </c>
      <c r="FV39" s="558">
        <f t="shared" si="113"/>
        <v>30532.09</v>
      </c>
      <c r="FW39" s="558">
        <f t="shared" si="113"/>
        <v>28817.01</v>
      </c>
      <c r="FX39" s="558">
        <f t="shared" si="113"/>
        <v>27052.93</v>
      </c>
      <c r="FY39" s="558">
        <f t="shared" si="113"/>
        <v>25305.19</v>
      </c>
      <c r="FZ39" s="558">
        <f t="shared" si="113"/>
        <v>23545.19</v>
      </c>
      <c r="GA39" s="558">
        <f t="shared" si="113"/>
        <v>21723.94</v>
      </c>
      <c r="GB39" s="558">
        <f t="shared" si="113"/>
        <v>19829.18</v>
      </c>
      <c r="GC39" s="558">
        <f t="shared" si="113"/>
        <v>17922.18</v>
      </c>
      <c r="GD39" s="558">
        <f t="shared" si="113"/>
        <v>15986.59</v>
      </c>
      <c r="GE39" s="558">
        <f t="shared" si="113"/>
        <v>14006.08</v>
      </c>
      <c r="GF39" s="558">
        <f t="shared" si="113"/>
        <v>12017.4</v>
      </c>
      <c r="GG39" s="558">
        <f t="shared" si="113"/>
        <v>9967.48</v>
      </c>
      <c r="GH39" s="558">
        <f t="shared" si="113"/>
        <v>7901.21</v>
      </c>
      <c r="GI39" s="558">
        <f t="shared" si="111"/>
        <v>5773.7</v>
      </c>
      <c r="GJ39" s="558">
        <f t="shared" si="111"/>
        <v>3597.18</v>
      </c>
      <c r="GK39" s="558">
        <f t="shared" si="111"/>
        <v>1359.41</v>
      </c>
      <c r="GL39" s="558">
        <f t="shared" si="111"/>
        <v>-943.7</v>
      </c>
      <c r="GM39" s="558" t="str">
        <f t="shared" si="111"/>
        <v>.</v>
      </c>
      <c r="GN39" s="558" t="str">
        <f t="shared" si="111"/>
        <v>.</v>
      </c>
      <c r="GO39" s="558" t="str">
        <f t="shared" si="111"/>
        <v>.</v>
      </c>
      <c r="GP39" s="558" t="str">
        <f t="shared" si="111"/>
        <v>.</v>
      </c>
      <c r="GQ39" s="558" t="str">
        <f t="shared" si="111"/>
        <v>.</v>
      </c>
      <c r="GR39" s="558" t="str">
        <f t="shared" si="111"/>
        <v>.</v>
      </c>
      <c r="GS39" s="558" t="str">
        <f t="shared" si="111"/>
        <v>.</v>
      </c>
      <c r="GT39" s="558" t="str">
        <f t="shared" si="111"/>
        <v>.</v>
      </c>
      <c r="GU39" s="558" t="str">
        <f t="shared" si="111"/>
        <v>.</v>
      </c>
      <c r="GV39" s="558" t="str">
        <f t="shared" si="111"/>
        <v>.</v>
      </c>
      <c r="GW39" s="558" t="str">
        <f t="shared" si="111"/>
        <v>.</v>
      </c>
      <c r="GX39" s="558" t="str">
        <f t="shared" si="114"/>
        <v>.</v>
      </c>
      <c r="GY39" s="558" t="str">
        <f t="shared" si="114"/>
        <v>.</v>
      </c>
      <c r="GZ39" s="558" t="str">
        <f t="shared" si="114"/>
        <v>.</v>
      </c>
      <c r="HA39" s="558" t="str">
        <f t="shared" si="114"/>
        <v>.</v>
      </c>
      <c r="HB39" s="558" t="str">
        <f t="shared" si="114"/>
        <v>.</v>
      </c>
      <c r="HC39" s="558" t="str">
        <f t="shared" si="114"/>
        <v>.</v>
      </c>
      <c r="HD39" s="558" t="str">
        <f t="shared" si="114"/>
        <v>.</v>
      </c>
      <c r="HE39" s="558" t="str">
        <f t="shared" si="114"/>
        <v>.</v>
      </c>
      <c r="HF39" s="558" t="str">
        <f t="shared" si="114"/>
        <v>.</v>
      </c>
      <c r="HG39" s="558" t="str">
        <f t="shared" si="114"/>
        <v>.</v>
      </c>
      <c r="HH39" s="558" t="str">
        <f t="shared" si="114"/>
        <v>.</v>
      </c>
      <c r="HI39" s="558" t="str">
        <f t="shared" si="114"/>
        <v>.</v>
      </c>
      <c r="HJ39" s="558" t="str">
        <f t="shared" si="114"/>
        <v>.</v>
      </c>
      <c r="HK39" s="558" t="str">
        <f t="shared" si="114"/>
        <v>.</v>
      </c>
      <c r="HL39" s="558" t="str">
        <f t="shared" si="114"/>
        <v>.</v>
      </c>
      <c r="HM39" s="558" t="str">
        <f t="shared" si="114"/>
        <v>.</v>
      </c>
      <c r="HN39" s="558" t="str">
        <f t="shared" si="112"/>
        <v>.</v>
      </c>
      <c r="HO39" s="558" t="str">
        <f t="shared" si="112"/>
        <v>.</v>
      </c>
      <c r="HP39" s="558" t="str">
        <f t="shared" si="112"/>
        <v>.</v>
      </c>
      <c r="HQ39" s="558" t="str">
        <f t="shared" si="112"/>
        <v>.</v>
      </c>
      <c r="HR39" s="558" t="str">
        <f t="shared" si="112"/>
        <v>.</v>
      </c>
      <c r="HS39" s="558" t="str">
        <f t="shared" si="109"/>
        <v>.</v>
      </c>
      <c r="HT39" s="558" t="str">
        <f t="shared" si="109"/>
        <v>.</v>
      </c>
      <c r="HU39" s="558" t="str">
        <f t="shared" si="109"/>
        <v>.</v>
      </c>
      <c r="HV39" s="558" t="str">
        <f t="shared" si="109"/>
        <v>.</v>
      </c>
      <c r="HW39" s="558" t="str">
        <f t="shared" si="109"/>
        <v>.</v>
      </c>
      <c r="HX39" s="558" t="str">
        <f t="shared" si="109"/>
        <v>.</v>
      </c>
      <c r="HY39" s="558" t="str">
        <f t="shared" si="109"/>
        <v>.</v>
      </c>
      <c r="HZ39" s="558" t="str">
        <f t="shared" si="109"/>
        <v>.</v>
      </c>
      <c r="IA39" s="558" t="str">
        <f t="shared" si="109"/>
        <v>.</v>
      </c>
      <c r="IB39" s="558" t="str">
        <f t="shared" si="109"/>
        <v>.</v>
      </c>
      <c r="IC39" s="558" t="str">
        <f t="shared" si="109"/>
        <v>.</v>
      </c>
      <c r="ID39" s="558" t="str">
        <f t="shared" si="109"/>
        <v>.</v>
      </c>
      <c r="IE39" s="558" t="str">
        <f t="shared" si="109"/>
        <v>.</v>
      </c>
      <c r="IF39" s="558" t="str">
        <f t="shared" si="109"/>
        <v>.</v>
      </c>
      <c r="IG39" s="558" t="str">
        <f t="shared" si="109"/>
        <v>.</v>
      </c>
      <c r="IH39" s="558" t="str">
        <f t="shared" si="109"/>
        <v>.</v>
      </c>
      <c r="II39" s="558" t="str">
        <f t="shared" si="109"/>
        <v>.</v>
      </c>
      <c r="IJ39" s="558" t="str">
        <f t="shared" si="110"/>
        <v>.</v>
      </c>
      <c r="IK39" s="558" t="str">
        <f t="shared" si="110"/>
        <v>.</v>
      </c>
      <c r="IL39" s="558" t="str">
        <f t="shared" si="110"/>
        <v>.</v>
      </c>
      <c r="IM39" s="558" t="str">
        <f t="shared" si="110"/>
        <v>.</v>
      </c>
      <c r="IN39" s="558" t="str">
        <f t="shared" si="110"/>
        <v>.</v>
      </c>
      <c r="IO39" s="558" t="str">
        <f t="shared" si="110"/>
        <v>.</v>
      </c>
      <c r="IP39" s="558" t="str">
        <f t="shared" si="110"/>
        <v>.</v>
      </c>
      <c r="IQ39" s="558" t="str">
        <f t="shared" si="110"/>
        <v>.</v>
      </c>
      <c r="IR39" s="558" t="str">
        <f t="shared" si="107"/>
        <v>.</v>
      </c>
      <c r="IS39" s="558" t="str">
        <f t="shared" si="107"/>
        <v>.</v>
      </c>
      <c r="IT39" s="558" t="str">
        <f t="shared" si="107"/>
        <v>.</v>
      </c>
      <c r="IU39" s="558" t="str">
        <f t="shared" si="107"/>
        <v>.</v>
      </c>
      <c r="IV39" s="558" t="str">
        <f t="shared" si="107"/>
        <v>.</v>
      </c>
      <c r="IW39" s="558" t="str">
        <f t="shared" si="107"/>
        <v>.</v>
      </c>
      <c r="IX39" s="558" t="str">
        <f t="shared" si="107"/>
        <v>.</v>
      </c>
      <c r="IY39" s="558" t="str">
        <f t="shared" si="107"/>
        <v>.</v>
      </c>
      <c r="IZ39" s="558" t="str">
        <f t="shared" si="107"/>
        <v>.</v>
      </c>
      <c r="JA39" s="558" t="str">
        <f t="shared" si="107"/>
        <v>.</v>
      </c>
      <c r="JB39" s="558" t="str">
        <f t="shared" si="107"/>
        <v>.</v>
      </c>
      <c r="JC39" s="558" t="str">
        <f t="shared" si="107"/>
        <v>.</v>
      </c>
      <c r="JD39" s="558" t="str">
        <f t="shared" si="107"/>
        <v>.</v>
      </c>
      <c r="JE39" s="558" t="str">
        <f t="shared" si="107"/>
        <v>.</v>
      </c>
      <c r="JF39" s="558" t="str">
        <f t="shared" si="107"/>
        <v>.</v>
      </c>
      <c r="JG39" s="558" t="str">
        <f t="shared" si="107"/>
        <v>.</v>
      </c>
      <c r="JH39" s="558" t="str">
        <f t="shared" si="107"/>
        <v>.</v>
      </c>
      <c r="JI39" s="558" t="str">
        <f t="shared" si="107"/>
        <v>.</v>
      </c>
      <c r="JJ39" s="558" t="str">
        <f t="shared" si="107"/>
        <v>.</v>
      </c>
      <c r="JK39" s="558" t="str">
        <f t="shared" si="115"/>
        <v>.</v>
      </c>
      <c r="JL39" s="558" t="str">
        <f t="shared" si="115"/>
        <v>.</v>
      </c>
      <c r="JM39" s="558" t="str">
        <f t="shared" si="115"/>
        <v>.</v>
      </c>
      <c r="JN39" s="558" t="str">
        <f t="shared" si="115"/>
        <v>.</v>
      </c>
      <c r="JO39" s="558" t="str">
        <f t="shared" si="115"/>
        <v>.</v>
      </c>
    </row>
    <row r="40" spans="1:275" x14ac:dyDescent="0.2">
      <c r="A40" s="534">
        <f xml:space="preserve"> Basis!A40</f>
        <v>40</v>
      </c>
      <c r="F40" s="536">
        <f xml:space="preserve"> ROUND(    IF( $A$15=BE_MF_,   AW40,   INDEX( qx!40:40, F$16 ) ),    F$17    )</f>
        <v>4.0000000000000002E-4</v>
      </c>
      <c r="G40" s="536">
        <f xml:space="preserve"> ROUND(    IF( $A$15=BE_MF_,   BB40,   INDEX( wx!40:40, G$16 ) ),    G$17    )</f>
        <v>3.1699999999999999E-2</v>
      </c>
      <c r="H40" s="537">
        <f xml:space="preserve"> ROUND(    IF( $A$15=BE_MF_,   BG40,   INDEX( Kx!40:40, H$16 ) ),    H$17    )</f>
        <v>2077.79</v>
      </c>
      <c r="I40" s="538">
        <f t="shared" si="93"/>
        <v>2077.79</v>
      </c>
      <c r="J40" s="539">
        <f t="shared" si="23"/>
        <v>1</v>
      </c>
      <c r="K40" s="540">
        <f t="shared" si="94"/>
        <v>2</v>
      </c>
      <c r="L40" s="541">
        <f t="shared" ref="L40:M103" si="116" xml:space="preserve"> ROUND(  IF( $A40&lt;L$12, L$15, L$16 ),  L$17  )</f>
        <v>0</v>
      </c>
      <c r="M40" s="541">
        <f t="shared" si="116"/>
        <v>8.5999999999999993E-2</v>
      </c>
      <c r="O40" s="542" t="b">
        <f t="shared" si="95"/>
        <v>1</v>
      </c>
      <c r="P40" s="493">
        <f t="shared" si="25"/>
        <v>3.2099999999999997E-2</v>
      </c>
      <c r="Q40" s="493">
        <f t="shared" si="26"/>
        <v>0.96789999999999998</v>
      </c>
      <c r="R40" s="543">
        <f t="shared" si="27"/>
        <v>878214</v>
      </c>
      <c r="S40" s="544">
        <f t="shared" si="28"/>
        <v>0.97560975599999999</v>
      </c>
      <c r="T40" s="423">
        <f t="shared" si="29"/>
        <v>327073.78999999998</v>
      </c>
      <c r="U40" s="423">
        <f xml:space="preserve"> IF( $O40,    ROUND(  SUM( T40:T$120), U$17 ),  LEER  )</f>
        <v>6477638.3200000003</v>
      </c>
      <c r="V40" s="493">
        <f t="shared" si="30"/>
        <v>19.8048</v>
      </c>
      <c r="W40" s="493">
        <f t="shared" si="31"/>
        <v>327073.78999999998</v>
      </c>
      <c r="X40" s="493">
        <f xml:space="preserve"> IF( $O40,    ROUND(  SUM( W40:W$120), X$17 ),  LEER  )</f>
        <v>13781969.68</v>
      </c>
      <c r="Y40" s="493">
        <f t="shared" si="32"/>
        <v>42.1372</v>
      </c>
      <c r="Z40" s="493">
        <f t="shared" si="33"/>
        <v>2.1276000000000002</v>
      </c>
      <c r="AA40" s="493">
        <f t="shared" si="34"/>
        <v>1.0093000000000001</v>
      </c>
      <c r="AB40" s="493">
        <f t="shared" si="35"/>
        <v>2.3494000000000002</v>
      </c>
      <c r="AC40" s="545">
        <f t="shared" si="36"/>
        <v>0.38600000000000001</v>
      </c>
      <c r="AD40" s="493">
        <f t="shared" si="37"/>
        <v>2.1509999999999998</v>
      </c>
      <c r="AE40" s="493">
        <f t="shared" si="38"/>
        <v>2.7757000000000001</v>
      </c>
      <c r="AF40" s="493">
        <f t="shared" si="39"/>
        <v>2.7757000000000001</v>
      </c>
      <c r="AG40" s="493" t="str">
        <f t="shared" si="40"/>
        <v>.</v>
      </c>
      <c r="AH40" s="493" t="str">
        <f t="shared" si="41"/>
        <v>.</v>
      </c>
      <c r="AI40" s="423">
        <f t="shared" si="42"/>
        <v>2077.79</v>
      </c>
      <c r="AJ40" s="423">
        <f t="shared" si="43"/>
        <v>5767.32</v>
      </c>
      <c r="AK40" s="423">
        <f t="shared" si="44"/>
        <v>480.61</v>
      </c>
      <c r="AN40" s="423">
        <f t="shared" ref="AN40:AO59" si="117" xml:space="preserve">  IF( AND( $A40&lt;=$O$12, $A40&gt;=AN$12),    ROUND( AN$19 * ( SUM($Y40) - SUM(AN$8) * SUM($V40) ), AN$17 ),  LEER  )</f>
        <v>11255.64</v>
      </c>
      <c r="AO40" s="423">
        <f t="shared" si="117"/>
        <v>10342.1</v>
      </c>
      <c r="AR40" s="546">
        <f xml:space="preserve"> ROUND(  INDEX( Kx!40:40, AR$16 ),  AR$17 )</f>
        <v>0.78900000000000003</v>
      </c>
      <c r="AS40" s="547">
        <f xml:space="preserve"> ROUND(  INDEX( qx!40:40, AS$16 ),  AS$17 )</f>
        <v>4.0000000000000002E-4</v>
      </c>
      <c r="AT40" s="547">
        <f xml:space="preserve"> ROUND(  INDEX( qx!40:40, AT$16 ),  AT$17 )</f>
        <v>2.9999999999999997E-4</v>
      </c>
      <c r="AU40" s="548" t="str">
        <f t="shared" si="46"/>
        <v>F</v>
      </c>
      <c r="AV40" s="542">
        <f t="shared" si="47"/>
        <v>0.7137</v>
      </c>
      <c r="AW40" s="542">
        <f t="shared" si="48"/>
        <v>4.0000000000000002E-4</v>
      </c>
      <c r="AX40" s="546">
        <f xml:space="preserve"> ROUND(  INDEX( wx!40:40, AX$16 ),  AX$17 )</f>
        <v>2.9399999999999999E-2</v>
      </c>
      <c r="AY40" s="546">
        <f xml:space="preserve"> ROUND(  INDEX( wx!40:40, AY$16 ),  AY$17 )</f>
        <v>4.48E-2</v>
      </c>
      <c r="AZ40" s="548" t="str">
        <f t="shared" si="49"/>
        <v>M</v>
      </c>
      <c r="BA40" s="542">
        <f t="shared" si="50"/>
        <v>0.84870000000000001</v>
      </c>
      <c r="BB40" s="542">
        <f t="shared" si="51"/>
        <v>3.1699999999999999E-2</v>
      </c>
      <c r="BC40" s="533">
        <f xml:space="preserve"> ROUND(  INDEX( Kx!40:40, BC$16 ),  BC$17 )</f>
        <v>1709.97</v>
      </c>
      <c r="BD40" s="533">
        <f xml:space="preserve"> ROUND(  INDEX( Kx!40:40, BD$16 ),  BD$17 )</f>
        <v>2994.72</v>
      </c>
      <c r="BE40" s="548" t="str">
        <f t="shared" si="52"/>
        <v>F</v>
      </c>
      <c r="BF40" s="542">
        <f t="shared" si="53"/>
        <v>0.7137</v>
      </c>
      <c r="BG40" s="420">
        <f t="shared" si="54"/>
        <v>2077.79</v>
      </c>
      <c r="BQ40" s="549">
        <f t="shared" si="96"/>
        <v>40</v>
      </c>
      <c r="BR40" s="423">
        <f t="shared" si="55"/>
        <v>8807.76</v>
      </c>
      <c r="BS40" s="550">
        <f t="shared" si="56"/>
        <v>2077.79</v>
      </c>
      <c r="BT40" s="423">
        <f t="shared" si="57"/>
        <v>1792.78</v>
      </c>
      <c r="BU40" s="551">
        <f t="shared" si="58"/>
        <v>327073.78999999998</v>
      </c>
      <c r="BV40" s="551">
        <f t="shared" si="59"/>
        <v>1.0617000000000001</v>
      </c>
      <c r="BW40" s="529">
        <f t="shared" si="60"/>
        <v>11255.64</v>
      </c>
      <c r="BX40" s="552">
        <f t="shared" si="61"/>
        <v>655.09999999999854</v>
      </c>
      <c r="BY40" s="560"/>
      <c r="BZ40" s="559"/>
      <c r="CB40" s="423">
        <f t="shared" si="62"/>
        <v>1819.01</v>
      </c>
      <c r="CC40" s="423">
        <f t="shared" si="63"/>
        <v>281.39</v>
      </c>
      <c r="CD40" s="423">
        <f t="shared" si="64"/>
        <v>442.94</v>
      </c>
      <c r="CE40" s="423">
        <f t="shared" si="65"/>
        <v>2543.34</v>
      </c>
      <c r="CF40" s="553">
        <f t="shared" si="66"/>
        <v>2543.130000000001</v>
      </c>
      <c r="CH40" s="423">
        <f t="shared" si="67"/>
        <v>3852.4304390000002</v>
      </c>
      <c r="CI40" s="423">
        <f t="shared" si="68"/>
        <v>2077.79</v>
      </c>
      <c r="CJ40" s="423">
        <f t="shared" si="69"/>
        <v>2206.5700000000002</v>
      </c>
      <c r="CK40" s="423">
        <f t="shared" si="97"/>
        <v>-432.14</v>
      </c>
      <c r="CL40" s="553">
        <f t="shared" si="70"/>
        <v>3852.2200000000007</v>
      </c>
      <c r="CN40" s="423">
        <f t="shared" si="71"/>
        <v>3898.5573770000001</v>
      </c>
      <c r="CO40" s="423">
        <f t="shared" si="72"/>
        <v>2077.79</v>
      </c>
      <c r="CP40" s="423">
        <f t="shared" si="73"/>
        <v>2223.94</v>
      </c>
      <c r="CQ40" s="423">
        <f t="shared" si="74"/>
        <v>-403.37</v>
      </c>
      <c r="CR40" s="553">
        <f t="shared" si="75"/>
        <v>3898.3599999999997</v>
      </c>
      <c r="CV40" s="564">
        <f t="shared" si="98"/>
        <v>40</v>
      </c>
      <c r="CW40" s="538">
        <f t="shared" si="76"/>
        <v>10342.1</v>
      </c>
      <c r="CX40" s="566" t="str">
        <f t="shared" si="77"/>
        <v>.</v>
      </c>
      <c r="CY40" s="538" t="str">
        <f t="shared" si="78"/>
        <v>.</v>
      </c>
      <c r="CZ40" s="538" t="str">
        <f t="shared" si="79"/>
        <v>.</v>
      </c>
      <c r="DA40" s="538" t="str">
        <f t="shared" si="80"/>
        <v>.</v>
      </c>
      <c r="DB40" s="567">
        <f t="shared" si="99"/>
        <v>10342.1</v>
      </c>
      <c r="DC40" s="567" t="e">
        <f t="shared" si="100"/>
        <v>#N/A</v>
      </c>
      <c r="DD40" s="567" t="e">
        <f t="shared" si="101"/>
        <v>#N/A</v>
      </c>
      <c r="DE40" s="567" t="e">
        <f t="shared" si="101"/>
        <v>#N/A</v>
      </c>
      <c r="DF40" s="568" t="e">
        <f t="shared" si="102"/>
        <v>#N/A</v>
      </c>
      <c r="EL40" s="553" t="str">
        <f t="shared" si="81"/>
        <v>.</v>
      </c>
      <c r="EM40" s="553" t="str">
        <f t="shared" si="82"/>
        <v>.</v>
      </c>
      <c r="EN40" s="423" t="str">
        <f t="shared" si="83"/>
        <v>.</v>
      </c>
      <c r="EO40" s="555">
        <f xml:space="preserve"> 'i2'!AO40</f>
        <v>10342.1</v>
      </c>
      <c r="EV40" s="533" t="e">
        <f xml:space="preserve"> ROUND(    IF( $A$15=BE_MF_,   LEER,   INDEX( Kx!40:40, EV$16 ) ),    EV$17    )</f>
        <v>#VALUE!</v>
      </c>
      <c r="EW40" s="533" t="e">
        <f xml:space="preserve"> ROUND(    IF( $A$15=BE_MF_,   LEER,   INDEX( Kx!40:40, EW$16 ) ),    EW$17    )</f>
        <v>#VALUE!</v>
      </c>
      <c r="EX40" s="533" t="e">
        <f xml:space="preserve"> ROUND(    IF( $A$15=BE_MF_,   LEER,   INDEX( Kx!40:40, EX$16 ) ),    EX$17    )</f>
        <v>#VALUE!</v>
      </c>
      <c r="EY40" s="556" t="e">
        <f t="shared" si="103"/>
        <v>#VALUE!</v>
      </c>
      <c r="FB40" s="533" t="e">
        <f xml:space="preserve"> ROUND(    IF( $A$15=BE_MF_,   LEER,   INDEX( Kx!40:40, FB$16 ) ),    FB$17    )</f>
        <v>#VALUE!</v>
      </c>
      <c r="FC40" s="533" t="e">
        <f xml:space="preserve"> ROUND(    IF( $A$15=BE_MF_,   LEER,   INDEX( Kx!40:40, FC$16 ) ),    FC$17    )</f>
        <v>#VALUE!</v>
      </c>
      <c r="FD40" s="556" t="e">
        <f t="shared" si="104"/>
        <v>#VALUE!</v>
      </c>
      <c r="FG40" s="556" t="e">
        <f t="shared" si="105"/>
        <v>#VALUE!</v>
      </c>
      <c r="FH40" s="556" t="e">
        <f t="shared" si="105"/>
        <v>#VALUE!</v>
      </c>
      <c r="FI40" s="556" t="e">
        <f t="shared" si="105"/>
        <v>#VALUE!</v>
      </c>
      <c r="FN40" s="557">
        <f t="shared" si="84"/>
        <v>40</v>
      </c>
      <c r="FO40" s="493">
        <f t="shared" si="85"/>
        <v>42.1372</v>
      </c>
      <c r="FP40" s="493">
        <f t="shared" si="86"/>
        <v>19.8048</v>
      </c>
      <c r="FR40" s="427">
        <f t="shared" si="106"/>
        <v>415392.40999999992</v>
      </c>
      <c r="FS40" s="558">
        <f t="shared" si="113"/>
        <v>38155.53</v>
      </c>
      <c r="FT40" s="558">
        <f t="shared" si="113"/>
        <v>36488.949999999997</v>
      </c>
      <c r="FU40" s="558">
        <f t="shared" si="113"/>
        <v>34818.25</v>
      </c>
      <c r="FV40" s="558">
        <f t="shared" si="113"/>
        <v>33147.550000000003</v>
      </c>
      <c r="FW40" s="558">
        <f t="shared" si="113"/>
        <v>31419.24</v>
      </c>
      <c r="FX40" s="558">
        <f t="shared" si="113"/>
        <v>29641.55</v>
      </c>
      <c r="FY40" s="558">
        <f t="shared" si="113"/>
        <v>27880.33</v>
      </c>
      <c r="FZ40" s="558">
        <f t="shared" si="113"/>
        <v>26106.75</v>
      </c>
      <c r="GA40" s="558">
        <f t="shared" si="113"/>
        <v>24271.45</v>
      </c>
      <c r="GB40" s="558">
        <f t="shared" si="113"/>
        <v>22362.080000000002</v>
      </c>
      <c r="GC40" s="558">
        <f t="shared" si="113"/>
        <v>20440.37</v>
      </c>
      <c r="GD40" s="558">
        <f t="shared" si="113"/>
        <v>18489.849999999999</v>
      </c>
      <c r="GE40" s="558">
        <f t="shared" si="113"/>
        <v>16494.060000000001</v>
      </c>
      <c r="GF40" s="558">
        <f t="shared" si="113"/>
        <v>14490.05</v>
      </c>
      <c r="GG40" s="558">
        <f t="shared" si="113"/>
        <v>12424.3</v>
      </c>
      <c r="GH40" s="558">
        <f t="shared" si="113"/>
        <v>10342.1</v>
      </c>
      <c r="GI40" s="558">
        <f t="shared" si="111"/>
        <v>8198.18</v>
      </c>
      <c r="GJ40" s="558">
        <f t="shared" si="111"/>
        <v>6004.87</v>
      </c>
      <c r="GK40" s="558">
        <f t="shared" si="111"/>
        <v>3749.84</v>
      </c>
      <c r="GL40" s="558">
        <f t="shared" si="111"/>
        <v>1428.97</v>
      </c>
      <c r="GM40" s="558">
        <f t="shared" si="111"/>
        <v>-961.86</v>
      </c>
      <c r="GN40" s="558" t="str">
        <f t="shared" si="111"/>
        <v>.</v>
      </c>
      <c r="GO40" s="558" t="str">
        <f t="shared" si="111"/>
        <v>.</v>
      </c>
      <c r="GP40" s="558" t="str">
        <f t="shared" si="111"/>
        <v>.</v>
      </c>
      <c r="GQ40" s="558" t="str">
        <f t="shared" si="111"/>
        <v>.</v>
      </c>
      <c r="GR40" s="558" t="str">
        <f t="shared" si="111"/>
        <v>.</v>
      </c>
      <c r="GS40" s="558" t="str">
        <f t="shared" si="111"/>
        <v>.</v>
      </c>
      <c r="GT40" s="558" t="str">
        <f t="shared" si="111"/>
        <v>.</v>
      </c>
      <c r="GU40" s="558" t="str">
        <f t="shared" si="111"/>
        <v>.</v>
      </c>
      <c r="GV40" s="558" t="str">
        <f t="shared" si="111"/>
        <v>.</v>
      </c>
      <c r="GW40" s="558" t="str">
        <f t="shared" si="111"/>
        <v>.</v>
      </c>
      <c r="GX40" s="558" t="str">
        <f t="shared" si="114"/>
        <v>.</v>
      </c>
      <c r="GY40" s="558" t="str">
        <f t="shared" si="114"/>
        <v>.</v>
      </c>
      <c r="GZ40" s="558" t="str">
        <f t="shared" si="114"/>
        <v>.</v>
      </c>
      <c r="HA40" s="558" t="str">
        <f t="shared" si="114"/>
        <v>.</v>
      </c>
      <c r="HB40" s="558" t="str">
        <f t="shared" si="114"/>
        <v>.</v>
      </c>
      <c r="HC40" s="558" t="str">
        <f t="shared" si="114"/>
        <v>.</v>
      </c>
      <c r="HD40" s="558" t="str">
        <f t="shared" si="114"/>
        <v>.</v>
      </c>
      <c r="HE40" s="558" t="str">
        <f t="shared" si="114"/>
        <v>.</v>
      </c>
      <c r="HF40" s="558" t="str">
        <f t="shared" si="114"/>
        <v>.</v>
      </c>
      <c r="HG40" s="558" t="str">
        <f t="shared" si="114"/>
        <v>.</v>
      </c>
      <c r="HH40" s="558" t="str">
        <f t="shared" si="114"/>
        <v>.</v>
      </c>
      <c r="HI40" s="558" t="str">
        <f t="shared" si="114"/>
        <v>.</v>
      </c>
      <c r="HJ40" s="558" t="str">
        <f t="shared" si="114"/>
        <v>.</v>
      </c>
      <c r="HK40" s="558" t="str">
        <f t="shared" si="114"/>
        <v>.</v>
      </c>
      <c r="HL40" s="558" t="str">
        <f t="shared" si="114"/>
        <v>.</v>
      </c>
      <c r="HM40" s="558" t="str">
        <f t="shared" si="114"/>
        <v>.</v>
      </c>
      <c r="HN40" s="558" t="str">
        <f t="shared" si="112"/>
        <v>.</v>
      </c>
      <c r="HO40" s="558" t="str">
        <f t="shared" si="112"/>
        <v>.</v>
      </c>
      <c r="HP40" s="558" t="str">
        <f t="shared" si="112"/>
        <v>.</v>
      </c>
      <c r="HQ40" s="558" t="str">
        <f t="shared" si="112"/>
        <v>.</v>
      </c>
      <c r="HR40" s="558" t="str">
        <f t="shared" si="112"/>
        <v>.</v>
      </c>
      <c r="HS40" s="558" t="str">
        <f t="shared" si="109"/>
        <v>.</v>
      </c>
      <c r="HT40" s="558" t="str">
        <f t="shared" si="109"/>
        <v>.</v>
      </c>
      <c r="HU40" s="558" t="str">
        <f t="shared" si="109"/>
        <v>.</v>
      </c>
      <c r="HV40" s="558" t="str">
        <f t="shared" si="109"/>
        <v>.</v>
      </c>
      <c r="HW40" s="558" t="str">
        <f t="shared" si="109"/>
        <v>.</v>
      </c>
      <c r="HX40" s="558" t="str">
        <f t="shared" si="109"/>
        <v>.</v>
      </c>
      <c r="HY40" s="558" t="str">
        <f t="shared" si="109"/>
        <v>.</v>
      </c>
      <c r="HZ40" s="558" t="str">
        <f t="shared" si="109"/>
        <v>.</v>
      </c>
      <c r="IA40" s="558" t="str">
        <f t="shared" si="109"/>
        <v>.</v>
      </c>
      <c r="IB40" s="558" t="str">
        <f t="shared" si="109"/>
        <v>.</v>
      </c>
      <c r="IC40" s="558" t="str">
        <f t="shared" si="109"/>
        <v>.</v>
      </c>
      <c r="ID40" s="558" t="str">
        <f t="shared" si="109"/>
        <v>.</v>
      </c>
      <c r="IE40" s="558" t="str">
        <f t="shared" si="109"/>
        <v>.</v>
      </c>
      <c r="IF40" s="558" t="str">
        <f t="shared" si="109"/>
        <v>.</v>
      </c>
      <c r="IG40" s="558" t="str">
        <f t="shared" si="109"/>
        <v>.</v>
      </c>
      <c r="IH40" s="558" t="str">
        <f t="shared" si="109"/>
        <v>.</v>
      </c>
      <c r="II40" s="558" t="str">
        <f t="shared" si="109"/>
        <v>.</v>
      </c>
      <c r="IJ40" s="558" t="str">
        <f t="shared" si="110"/>
        <v>.</v>
      </c>
      <c r="IK40" s="558" t="str">
        <f t="shared" si="110"/>
        <v>.</v>
      </c>
      <c r="IL40" s="558" t="str">
        <f t="shared" si="110"/>
        <v>.</v>
      </c>
      <c r="IM40" s="558" t="str">
        <f t="shared" si="110"/>
        <v>.</v>
      </c>
      <c r="IN40" s="558" t="str">
        <f t="shared" si="110"/>
        <v>.</v>
      </c>
      <c r="IO40" s="558" t="str">
        <f t="shared" si="110"/>
        <v>.</v>
      </c>
      <c r="IP40" s="558" t="str">
        <f t="shared" si="110"/>
        <v>.</v>
      </c>
      <c r="IQ40" s="558" t="str">
        <f t="shared" si="110"/>
        <v>.</v>
      </c>
      <c r="IR40" s="558" t="str">
        <f t="shared" si="107"/>
        <v>.</v>
      </c>
      <c r="IS40" s="558" t="str">
        <f t="shared" si="107"/>
        <v>.</v>
      </c>
      <c r="IT40" s="558" t="str">
        <f t="shared" si="107"/>
        <v>.</v>
      </c>
      <c r="IU40" s="558" t="str">
        <f t="shared" si="107"/>
        <v>.</v>
      </c>
      <c r="IV40" s="558" t="str">
        <f t="shared" si="107"/>
        <v>.</v>
      </c>
      <c r="IW40" s="558" t="str">
        <f t="shared" si="107"/>
        <v>.</v>
      </c>
      <c r="IX40" s="558" t="str">
        <f t="shared" si="107"/>
        <v>.</v>
      </c>
      <c r="IY40" s="558" t="str">
        <f t="shared" si="107"/>
        <v>.</v>
      </c>
      <c r="IZ40" s="558" t="str">
        <f t="shared" si="107"/>
        <v>.</v>
      </c>
      <c r="JA40" s="558" t="str">
        <f t="shared" si="107"/>
        <v>.</v>
      </c>
      <c r="JB40" s="558" t="str">
        <f t="shared" si="107"/>
        <v>.</v>
      </c>
      <c r="JC40" s="558" t="str">
        <f t="shared" si="107"/>
        <v>.</v>
      </c>
      <c r="JD40" s="558" t="str">
        <f t="shared" si="107"/>
        <v>.</v>
      </c>
      <c r="JE40" s="558" t="str">
        <f t="shared" si="107"/>
        <v>.</v>
      </c>
      <c r="JF40" s="558" t="str">
        <f t="shared" si="107"/>
        <v>.</v>
      </c>
      <c r="JG40" s="558" t="str">
        <f t="shared" si="107"/>
        <v>.</v>
      </c>
      <c r="JH40" s="558" t="str">
        <f t="shared" si="107"/>
        <v>.</v>
      </c>
      <c r="JI40" s="558" t="str">
        <f t="shared" si="107"/>
        <v>.</v>
      </c>
      <c r="JJ40" s="558" t="str">
        <f t="shared" si="107"/>
        <v>.</v>
      </c>
      <c r="JK40" s="558" t="str">
        <f t="shared" si="115"/>
        <v>.</v>
      </c>
      <c r="JL40" s="558" t="str">
        <f t="shared" si="115"/>
        <v>.</v>
      </c>
      <c r="JM40" s="558" t="str">
        <f t="shared" si="115"/>
        <v>.</v>
      </c>
      <c r="JN40" s="558" t="str">
        <f t="shared" si="115"/>
        <v>.</v>
      </c>
      <c r="JO40" s="558" t="str">
        <f t="shared" si="115"/>
        <v>.</v>
      </c>
    </row>
    <row r="41" spans="1:275" x14ac:dyDescent="0.2">
      <c r="A41" s="534">
        <f xml:space="preserve"> Basis!A41</f>
        <v>41</v>
      </c>
      <c r="F41" s="536">
        <f xml:space="preserve"> ROUND(    IF( $A$15=BE_MF_,   AW41,   INDEX( qx!41:41, F$16 ) ),    F$17    )</f>
        <v>5.0000000000000001E-4</v>
      </c>
      <c r="G41" s="536">
        <f xml:space="preserve"> ROUND(    IF( $A$15=BE_MF_,   BB41,   INDEX( wx!41:41, G$16 ) ),    G$17    )</f>
        <v>2.9700000000000001E-2</v>
      </c>
      <c r="H41" s="537">
        <f xml:space="preserve"> ROUND(    IF( $A$15=BE_MF_,   BG41,   INDEX( Kx!41:41, H$16 ) ),    H$17    )</f>
        <v>2106.62</v>
      </c>
      <c r="I41" s="538">
        <f t="shared" si="93"/>
        <v>2106.62</v>
      </c>
      <c r="J41" s="539">
        <f t="shared" si="23"/>
        <v>1.014</v>
      </c>
      <c r="K41" s="540">
        <f t="shared" si="94"/>
        <v>2</v>
      </c>
      <c r="L41" s="541">
        <f t="shared" si="116"/>
        <v>0</v>
      </c>
      <c r="M41" s="541">
        <f t="shared" si="116"/>
        <v>8.5999999999999993E-2</v>
      </c>
      <c r="O41" s="542" t="b">
        <f t="shared" si="95"/>
        <v>1</v>
      </c>
      <c r="P41" s="493">
        <f t="shared" si="25"/>
        <v>3.0200000000000001E-2</v>
      </c>
      <c r="Q41" s="493">
        <f t="shared" si="26"/>
        <v>0.9698</v>
      </c>
      <c r="R41" s="543">
        <f t="shared" si="27"/>
        <v>850023</v>
      </c>
      <c r="S41" s="544">
        <f t="shared" si="28"/>
        <v>0.97560975599999999</v>
      </c>
      <c r="T41" s="423">
        <f t="shared" si="29"/>
        <v>308853.26</v>
      </c>
      <c r="U41" s="423">
        <f xml:space="preserve"> IF( $O41,    ROUND(  SUM( T41:T$120), U$17 ),  LEER  )</f>
        <v>6150564.5300000003</v>
      </c>
      <c r="V41" s="493">
        <f t="shared" si="30"/>
        <v>19.914200000000001</v>
      </c>
      <c r="W41" s="493">
        <f t="shared" si="31"/>
        <v>313177.21000000002</v>
      </c>
      <c r="X41" s="493">
        <f xml:space="preserve"> IF( $O41,    ROUND(  SUM( W41:W$120), X$17 ),  LEER  )</f>
        <v>13454895.890000001</v>
      </c>
      <c r="Y41" s="493">
        <f t="shared" si="32"/>
        <v>43.564</v>
      </c>
      <c r="Z41" s="493">
        <f t="shared" si="33"/>
        <v>2.1876000000000002</v>
      </c>
      <c r="AA41" s="493">
        <f t="shared" si="34"/>
        <v>1.0092000000000001</v>
      </c>
      <c r="AB41" s="493">
        <f t="shared" si="35"/>
        <v>2.3494000000000002</v>
      </c>
      <c r="AC41" s="545">
        <f t="shared" si="36"/>
        <v>0.38600000000000001</v>
      </c>
      <c r="AD41" s="493">
        <f t="shared" si="37"/>
        <v>2.2113</v>
      </c>
      <c r="AE41" s="493">
        <f t="shared" si="38"/>
        <v>2.8416999999999999</v>
      </c>
      <c r="AF41" s="493">
        <f t="shared" si="39"/>
        <v>2.8416999999999999</v>
      </c>
      <c r="AG41" s="493" t="str">
        <f t="shared" si="40"/>
        <v>.</v>
      </c>
      <c r="AH41" s="493" t="str">
        <f t="shared" si="41"/>
        <v>.</v>
      </c>
      <c r="AI41" s="423">
        <f t="shared" si="42"/>
        <v>2077.79</v>
      </c>
      <c r="AJ41" s="423">
        <f t="shared" si="43"/>
        <v>5904.46</v>
      </c>
      <c r="AK41" s="423">
        <f t="shared" si="44"/>
        <v>492.04</v>
      </c>
      <c r="AN41" s="423">
        <f t="shared" si="117"/>
        <v>13798.77</v>
      </c>
      <c r="AO41" s="423">
        <f t="shared" si="117"/>
        <v>12880.19</v>
      </c>
      <c r="AR41" s="546">
        <f xml:space="preserve"> ROUND(  INDEX( Kx!41:41, AR$16 ),  AR$17 )</f>
        <v>0.78769999999999996</v>
      </c>
      <c r="AS41" s="547">
        <f xml:space="preserve"> ROUND(  INDEX( qx!41:41, AS$16 ),  AS$17 )</f>
        <v>5.0000000000000001E-4</v>
      </c>
      <c r="AT41" s="547">
        <f xml:space="preserve"> ROUND(  INDEX( qx!41:41, AT$16 ),  AT$17 )</f>
        <v>4.0000000000000002E-4</v>
      </c>
      <c r="AU41" s="548" t="str">
        <f t="shared" si="46"/>
        <v>F</v>
      </c>
      <c r="AV41" s="542">
        <f t="shared" si="47"/>
        <v>0.71209999999999996</v>
      </c>
      <c r="AW41" s="542">
        <f t="shared" si="48"/>
        <v>5.0000000000000001E-4</v>
      </c>
      <c r="AX41" s="546">
        <f xml:space="preserve"> ROUND(  INDEX( wx!41:41, AX$16 ),  AX$17 )</f>
        <v>2.75E-2</v>
      </c>
      <c r="AY41" s="546">
        <f xml:space="preserve"> ROUND(  INDEX( wx!41:41, AY$16 ),  AY$17 )</f>
        <v>4.2000000000000003E-2</v>
      </c>
      <c r="AZ41" s="548" t="str">
        <f t="shared" si="49"/>
        <v>M</v>
      </c>
      <c r="BA41" s="542">
        <f t="shared" si="50"/>
        <v>0.84770000000000001</v>
      </c>
      <c r="BB41" s="542">
        <f t="shared" si="51"/>
        <v>2.9700000000000001E-2</v>
      </c>
      <c r="BC41" s="533">
        <f xml:space="preserve"> ROUND(  INDEX( Kx!41:41, BC$16 ),  BC$17 )</f>
        <v>1768.36</v>
      </c>
      <c r="BD41" s="533">
        <f xml:space="preserve"> ROUND(  INDEX( Kx!41:41, BD$16 ),  BD$17 )</f>
        <v>2943.29</v>
      </c>
      <c r="BE41" s="548" t="str">
        <f t="shared" si="52"/>
        <v>F</v>
      </c>
      <c r="BF41" s="542">
        <f t="shared" si="53"/>
        <v>0.71209999999999996</v>
      </c>
      <c r="BG41" s="420">
        <f t="shared" si="54"/>
        <v>2106.62</v>
      </c>
      <c r="BQ41" s="549">
        <f t="shared" si="96"/>
        <v>41</v>
      </c>
      <c r="BR41" s="423">
        <f t="shared" si="55"/>
        <v>11255.64</v>
      </c>
      <c r="BS41" s="550">
        <f t="shared" si="56"/>
        <v>2106.62</v>
      </c>
      <c r="BT41" s="423">
        <f t="shared" si="57"/>
        <v>1774.64</v>
      </c>
      <c r="BU41" s="551">
        <f t="shared" si="58"/>
        <v>308853.26</v>
      </c>
      <c r="BV41" s="551">
        <f t="shared" si="59"/>
        <v>1.0589999999999999</v>
      </c>
      <c r="BW41" s="529">
        <f t="shared" si="60"/>
        <v>13798.77</v>
      </c>
      <c r="BX41" s="552">
        <f t="shared" si="61"/>
        <v>768.4900000000016</v>
      </c>
      <c r="BY41" s="560"/>
      <c r="BZ41" s="559"/>
      <c r="CB41" s="423">
        <f t="shared" si="62"/>
        <v>1789.19</v>
      </c>
      <c r="CC41" s="423">
        <f t="shared" si="63"/>
        <v>344.97</v>
      </c>
      <c r="CD41" s="423">
        <f t="shared" si="64"/>
        <v>496.16</v>
      </c>
      <c r="CE41" s="423">
        <f t="shared" si="65"/>
        <v>2630.3199999999997</v>
      </c>
      <c r="CF41" s="553">
        <f t="shared" si="66"/>
        <v>2630.4399999999987</v>
      </c>
      <c r="CH41" s="423">
        <f t="shared" si="67"/>
        <v>3852.4304390000002</v>
      </c>
      <c r="CI41" s="423">
        <f t="shared" si="68"/>
        <v>2106.88</v>
      </c>
      <c r="CJ41" s="423">
        <f t="shared" si="69"/>
        <v>2229.73</v>
      </c>
      <c r="CK41" s="423">
        <f t="shared" si="97"/>
        <v>-484.06</v>
      </c>
      <c r="CL41" s="553">
        <f t="shared" si="70"/>
        <v>3852.5500000000006</v>
      </c>
      <c r="CN41" s="423">
        <f t="shared" si="71"/>
        <v>3898.5573770000001</v>
      </c>
      <c r="CO41" s="423">
        <f t="shared" si="72"/>
        <v>2106.88</v>
      </c>
      <c r="CP41" s="423">
        <f t="shared" si="73"/>
        <v>2248.6799999999998</v>
      </c>
      <c r="CQ41" s="423">
        <f t="shared" si="74"/>
        <v>-456.89</v>
      </c>
      <c r="CR41" s="553">
        <f t="shared" si="75"/>
        <v>3898.6699999999996</v>
      </c>
      <c r="CV41" s="564">
        <f t="shared" si="98"/>
        <v>41</v>
      </c>
      <c r="CW41" s="538">
        <f t="shared" si="76"/>
        <v>12880.19</v>
      </c>
      <c r="CX41" s="566" t="str">
        <f t="shared" si="77"/>
        <v>.</v>
      </c>
      <c r="CY41" s="538" t="str">
        <f t="shared" si="78"/>
        <v>.</v>
      </c>
      <c r="CZ41" s="538" t="str">
        <f t="shared" si="79"/>
        <v>.</v>
      </c>
      <c r="DA41" s="538" t="str">
        <f t="shared" si="80"/>
        <v>.</v>
      </c>
      <c r="DB41" s="567">
        <f t="shared" si="99"/>
        <v>12880.19</v>
      </c>
      <c r="DC41" s="567" t="e">
        <f t="shared" si="100"/>
        <v>#N/A</v>
      </c>
      <c r="DD41" s="567" t="e">
        <f t="shared" si="101"/>
        <v>#N/A</v>
      </c>
      <c r="DE41" s="567" t="e">
        <f t="shared" si="101"/>
        <v>#N/A</v>
      </c>
      <c r="DF41" s="568" t="e">
        <f t="shared" si="102"/>
        <v>#N/A</v>
      </c>
      <c r="EL41" s="553" t="str">
        <f t="shared" si="81"/>
        <v>.</v>
      </c>
      <c r="EM41" s="553" t="str">
        <f t="shared" si="82"/>
        <v>.</v>
      </c>
      <c r="EN41" s="423" t="str">
        <f t="shared" si="83"/>
        <v>.</v>
      </c>
      <c r="EO41" s="555">
        <f xml:space="preserve"> 'i2'!AO41</f>
        <v>12880.19</v>
      </c>
      <c r="EV41" s="533" t="e">
        <f xml:space="preserve"> ROUND(    IF( $A$15=BE_MF_,   LEER,   INDEX( Kx!41:41, EV$16 ) ),    EV$17    )</f>
        <v>#VALUE!</v>
      </c>
      <c r="EW41" s="533" t="e">
        <f xml:space="preserve"> ROUND(    IF( $A$15=BE_MF_,   LEER,   INDEX( Kx!41:41, EW$16 ) ),    EW$17    )</f>
        <v>#VALUE!</v>
      </c>
      <c r="EX41" s="533" t="e">
        <f xml:space="preserve"> ROUND(    IF( $A$15=BE_MF_,   LEER,   INDEX( Kx!41:41, EX$16 ) ),    EX$17    )</f>
        <v>#VALUE!</v>
      </c>
      <c r="EY41" s="556" t="e">
        <f t="shared" si="103"/>
        <v>#VALUE!</v>
      </c>
      <c r="FB41" s="533" t="e">
        <f xml:space="preserve"> ROUND(    IF( $A$15=BE_MF_,   LEER,   INDEX( Kx!41:41, FB$16 ) ),    FB$17    )</f>
        <v>#VALUE!</v>
      </c>
      <c r="FC41" s="533" t="e">
        <f xml:space="preserve"> ROUND(    IF( $A$15=BE_MF_,   LEER,   INDEX( Kx!41:41, FC$16 ) ),    FC$17    )</f>
        <v>#VALUE!</v>
      </c>
      <c r="FD41" s="556" t="e">
        <f t="shared" si="104"/>
        <v>#VALUE!</v>
      </c>
      <c r="FG41" s="556" t="e">
        <f t="shared" si="105"/>
        <v>#VALUE!</v>
      </c>
      <c r="FH41" s="556" t="e">
        <f t="shared" si="105"/>
        <v>#VALUE!</v>
      </c>
      <c r="FI41" s="556" t="e">
        <f t="shared" si="105"/>
        <v>#VALUE!</v>
      </c>
      <c r="FN41" s="557">
        <f t="shared" si="84"/>
        <v>41</v>
      </c>
      <c r="FO41" s="493">
        <f t="shared" si="85"/>
        <v>43.564</v>
      </c>
      <c r="FP41" s="493">
        <f t="shared" si="86"/>
        <v>19.914200000000001</v>
      </c>
      <c r="FR41" s="427">
        <f t="shared" si="106"/>
        <v>468805.87</v>
      </c>
      <c r="FS41" s="558">
        <f t="shared" si="113"/>
        <v>40847.26</v>
      </c>
      <c r="FT41" s="558">
        <f t="shared" si="113"/>
        <v>39171.47</v>
      </c>
      <c r="FU41" s="558">
        <f t="shared" si="113"/>
        <v>37491.54</v>
      </c>
      <c r="FV41" s="558">
        <f t="shared" si="113"/>
        <v>35811.620000000003</v>
      </c>
      <c r="FW41" s="558">
        <f t="shared" si="113"/>
        <v>34073.760000000002</v>
      </c>
      <c r="FX41" s="558">
        <f t="shared" si="113"/>
        <v>32286.25</v>
      </c>
      <c r="FY41" s="558">
        <f t="shared" si="113"/>
        <v>30515.29</v>
      </c>
      <c r="FZ41" s="558">
        <f t="shared" si="113"/>
        <v>28731.919999999998</v>
      </c>
      <c r="GA41" s="558">
        <f t="shared" si="113"/>
        <v>26886.48</v>
      </c>
      <c r="GB41" s="558">
        <f t="shared" si="113"/>
        <v>24966.57</v>
      </c>
      <c r="GC41" s="558">
        <f t="shared" si="113"/>
        <v>23034.240000000002</v>
      </c>
      <c r="GD41" s="558">
        <f t="shared" si="113"/>
        <v>21072.94</v>
      </c>
      <c r="GE41" s="558">
        <f t="shared" si="113"/>
        <v>19066.13</v>
      </c>
      <c r="GF41" s="558">
        <f t="shared" si="113"/>
        <v>17051.05</v>
      </c>
      <c r="GG41" s="558">
        <f t="shared" si="113"/>
        <v>14973.9</v>
      </c>
      <c r="GH41" s="558">
        <f t="shared" si="113"/>
        <v>12880.19</v>
      </c>
      <c r="GI41" s="558">
        <f t="shared" si="111"/>
        <v>10724.42</v>
      </c>
      <c r="GJ41" s="558">
        <f t="shared" si="111"/>
        <v>8519</v>
      </c>
      <c r="GK41" s="558">
        <f t="shared" si="111"/>
        <v>6251.51</v>
      </c>
      <c r="GL41" s="558">
        <f t="shared" si="111"/>
        <v>3917.82</v>
      </c>
      <c r="GM41" s="558">
        <f t="shared" si="111"/>
        <v>1513.79</v>
      </c>
      <c r="GN41" s="558">
        <f t="shared" si="111"/>
        <v>-981.28</v>
      </c>
      <c r="GO41" s="558" t="str">
        <f t="shared" si="111"/>
        <v>.</v>
      </c>
      <c r="GP41" s="558" t="str">
        <f t="shared" si="111"/>
        <v>.</v>
      </c>
      <c r="GQ41" s="558" t="str">
        <f t="shared" si="111"/>
        <v>.</v>
      </c>
      <c r="GR41" s="558" t="str">
        <f t="shared" si="111"/>
        <v>.</v>
      </c>
      <c r="GS41" s="558" t="str">
        <f t="shared" si="111"/>
        <v>.</v>
      </c>
      <c r="GT41" s="558" t="str">
        <f t="shared" si="111"/>
        <v>.</v>
      </c>
      <c r="GU41" s="558" t="str">
        <f t="shared" si="111"/>
        <v>.</v>
      </c>
      <c r="GV41" s="558" t="str">
        <f t="shared" si="111"/>
        <v>.</v>
      </c>
      <c r="GW41" s="558" t="str">
        <f t="shared" si="111"/>
        <v>.</v>
      </c>
      <c r="GX41" s="558" t="str">
        <f t="shared" si="114"/>
        <v>.</v>
      </c>
      <c r="GY41" s="558" t="str">
        <f t="shared" si="114"/>
        <v>.</v>
      </c>
      <c r="GZ41" s="558" t="str">
        <f t="shared" si="114"/>
        <v>.</v>
      </c>
      <c r="HA41" s="558" t="str">
        <f t="shared" si="114"/>
        <v>.</v>
      </c>
      <c r="HB41" s="558" t="str">
        <f t="shared" si="114"/>
        <v>.</v>
      </c>
      <c r="HC41" s="558" t="str">
        <f t="shared" si="114"/>
        <v>.</v>
      </c>
      <c r="HD41" s="558" t="str">
        <f t="shared" si="114"/>
        <v>.</v>
      </c>
      <c r="HE41" s="558" t="str">
        <f t="shared" si="114"/>
        <v>.</v>
      </c>
      <c r="HF41" s="558" t="str">
        <f t="shared" si="114"/>
        <v>.</v>
      </c>
      <c r="HG41" s="558" t="str">
        <f t="shared" si="114"/>
        <v>.</v>
      </c>
      <c r="HH41" s="558" t="str">
        <f t="shared" si="114"/>
        <v>.</v>
      </c>
      <c r="HI41" s="558" t="str">
        <f t="shared" si="114"/>
        <v>.</v>
      </c>
      <c r="HJ41" s="558" t="str">
        <f t="shared" si="114"/>
        <v>.</v>
      </c>
      <c r="HK41" s="558" t="str">
        <f t="shared" si="114"/>
        <v>.</v>
      </c>
      <c r="HL41" s="558" t="str">
        <f t="shared" si="114"/>
        <v>.</v>
      </c>
      <c r="HM41" s="558" t="str">
        <f t="shared" si="114"/>
        <v>.</v>
      </c>
      <c r="HN41" s="558" t="str">
        <f t="shared" si="112"/>
        <v>.</v>
      </c>
      <c r="HO41" s="558" t="str">
        <f t="shared" si="112"/>
        <v>.</v>
      </c>
      <c r="HP41" s="558" t="str">
        <f t="shared" si="112"/>
        <v>.</v>
      </c>
      <c r="HQ41" s="558" t="str">
        <f t="shared" si="112"/>
        <v>.</v>
      </c>
      <c r="HR41" s="558" t="str">
        <f t="shared" si="112"/>
        <v>.</v>
      </c>
      <c r="HS41" s="558" t="str">
        <f t="shared" si="109"/>
        <v>.</v>
      </c>
      <c r="HT41" s="558" t="str">
        <f t="shared" si="109"/>
        <v>.</v>
      </c>
      <c r="HU41" s="558" t="str">
        <f t="shared" si="109"/>
        <v>.</v>
      </c>
      <c r="HV41" s="558" t="str">
        <f t="shared" si="109"/>
        <v>.</v>
      </c>
      <c r="HW41" s="558" t="str">
        <f t="shared" si="109"/>
        <v>.</v>
      </c>
      <c r="HX41" s="558" t="str">
        <f t="shared" si="109"/>
        <v>.</v>
      </c>
      <c r="HY41" s="558" t="str">
        <f t="shared" si="109"/>
        <v>.</v>
      </c>
      <c r="HZ41" s="558" t="str">
        <f t="shared" si="109"/>
        <v>.</v>
      </c>
      <c r="IA41" s="558" t="str">
        <f t="shared" si="109"/>
        <v>.</v>
      </c>
      <c r="IB41" s="558" t="str">
        <f t="shared" si="109"/>
        <v>.</v>
      </c>
      <c r="IC41" s="558" t="str">
        <f t="shared" si="109"/>
        <v>.</v>
      </c>
      <c r="ID41" s="558" t="str">
        <f t="shared" si="109"/>
        <v>.</v>
      </c>
      <c r="IE41" s="558" t="str">
        <f t="shared" si="109"/>
        <v>.</v>
      </c>
      <c r="IF41" s="558" t="str">
        <f t="shared" si="109"/>
        <v>.</v>
      </c>
      <c r="IG41" s="558" t="str">
        <f t="shared" si="109"/>
        <v>.</v>
      </c>
      <c r="IH41" s="558" t="str">
        <f t="shared" si="109"/>
        <v>.</v>
      </c>
      <c r="II41" s="558" t="str">
        <f t="shared" si="109"/>
        <v>.</v>
      </c>
      <c r="IJ41" s="558" t="str">
        <f t="shared" si="110"/>
        <v>.</v>
      </c>
      <c r="IK41" s="558" t="str">
        <f t="shared" si="110"/>
        <v>.</v>
      </c>
      <c r="IL41" s="558" t="str">
        <f t="shared" si="110"/>
        <v>.</v>
      </c>
      <c r="IM41" s="558" t="str">
        <f t="shared" si="110"/>
        <v>.</v>
      </c>
      <c r="IN41" s="558" t="str">
        <f t="shared" si="110"/>
        <v>.</v>
      </c>
      <c r="IO41" s="558" t="str">
        <f t="shared" si="110"/>
        <v>.</v>
      </c>
      <c r="IP41" s="558" t="str">
        <f t="shared" si="110"/>
        <v>.</v>
      </c>
      <c r="IQ41" s="558" t="str">
        <f t="shared" si="110"/>
        <v>.</v>
      </c>
      <c r="IR41" s="558" t="str">
        <f t="shared" si="107"/>
        <v>.</v>
      </c>
      <c r="IS41" s="558" t="str">
        <f t="shared" si="107"/>
        <v>.</v>
      </c>
      <c r="IT41" s="558" t="str">
        <f t="shared" si="107"/>
        <v>.</v>
      </c>
      <c r="IU41" s="558" t="str">
        <f t="shared" si="107"/>
        <v>.</v>
      </c>
      <c r="IV41" s="558" t="str">
        <f t="shared" si="107"/>
        <v>.</v>
      </c>
      <c r="IW41" s="558" t="str">
        <f t="shared" si="107"/>
        <v>.</v>
      </c>
      <c r="IX41" s="558" t="str">
        <f t="shared" si="107"/>
        <v>.</v>
      </c>
      <c r="IY41" s="558" t="str">
        <f t="shared" si="107"/>
        <v>.</v>
      </c>
      <c r="IZ41" s="558" t="str">
        <f t="shared" si="107"/>
        <v>.</v>
      </c>
      <c r="JA41" s="558" t="str">
        <f t="shared" si="107"/>
        <v>.</v>
      </c>
      <c r="JB41" s="558" t="str">
        <f t="shared" si="107"/>
        <v>.</v>
      </c>
      <c r="JC41" s="558" t="str">
        <f t="shared" si="107"/>
        <v>.</v>
      </c>
      <c r="JD41" s="558" t="str">
        <f t="shared" si="107"/>
        <v>.</v>
      </c>
      <c r="JE41" s="558" t="str">
        <f t="shared" si="107"/>
        <v>.</v>
      </c>
      <c r="JF41" s="558" t="str">
        <f t="shared" si="107"/>
        <v>.</v>
      </c>
      <c r="JG41" s="558" t="str">
        <f t="shared" si="107"/>
        <v>.</v>
      </c>
      <c r="JH41" s="558" t="str">
        <f t="shared" si="107"/>
        <v>.</v>
      </c>
      <c r="JI41" s="558" t="str">
        <f t="shared" si="107"/>
        <v>.</v>
      </c>
      <c r="JJ41" s="558" t="str">
        <f t="shared" si="107"/>
        <v>.</v>
      </c>
      <c r="JK41" s="558" t="str">
        <f t="shared" si="115"/>
        <v>.</v>
      </c>
      <c r="JL41" s="558" t="str">
        <f t="shared" si="115"/>
        <v>.</v>
      </c>
      <c r="JM41" s="558" t="str">
        <f t="shared" si="115"/>
        <v>.</v>
      </c>
      <c r="JN41" s="558" t="str">
        <f t="shared" si="115"/>
        <v>.</v>
      </c>
      <c r="JO41" s="558" t="str">
        <f t="shared" si="115"/>
        <v>.</v>
      </c>
    </row>
    <row r="42" spans="1:275" x14ac:dyDescent="0.2">
      <c r="A42" s="534">
        <f xml:space="preserve"> Basis!A42</f>
        <v>42</v>
      </c>
      <c r="F42" s="536">
        <f xml:space="preserve"> ROUND(    IF( $A$15=BE_MF_,   AW42,   INDEX( qx!42:42, F$16 ) ),    F$17    )</f>
        <v>5.0000000000000001E-4</v>
      </c>
      <c r="G42" s="536">
        <f xml:space="preserve"> ROUND(    IF( $A$15=BE_MF_,   BB42,   INDEX( wx!42:42, G$16 ) ),    G$17    )</f>
        <v>2.8000000000000001E-2</v>
      </c>
      <c r="H42" s="537">
        <f xml:space="preserve"> ROUND(    IF( $A$15=BE_MF_,   BG42,   INDEX( Kx!42:42, H$16 ) ),    H$17    )</f>
        <v>2141.37</v>
      </c>
      <c r="I42" s="538">
        <f t="shared" si="93"/>
        <v>2141.37</v>
      </c>
      <c r="J42" s="539">
        <f t="shared" si="23"/>
        <v>1.0309999999999999</v>
      </c>
      <c r="K42" s="540">
        <f t="shared" si="94"/>
        <v>2</v>
      </c>
      <c r="L42" s="541">
        <f t="shared" si="116"/>
        <v>0</v>
      </c>
      <c r="M42" s="541">
        <f t="shared" si="116"/>
        <v>8.5999999999999993E-2</v>
      </c>
      <c r="O42" s="542" t="b">
        <f t="shared" si="95"/>
        <v>1</v>
      </c>
      <c r="P42" s="493">
        <f t="shared" si="25"/>
        <v>2.8500000000000001E-2</v>
      </c>
      <c r="Q42" s="493">
        <f t="shared" si="26"/>
        <v>0.97150000000000003</v>
      </c>
      <c r="R42" s="543">
        <f t="shared" si="27"/>
        <v>824352</v>
      </c>
      <c r="S42" s="544">
        <f t="shared" si="28"/>
        <v>0.97560975599999999</v>
      </c>
      <c r="T42" s="423">
        <f t="shared" si="29"/>
        <v>292220.28000000003</v>
      </c>
      <c r="U42" s="423">
        <f xml:space="preserve"> IF( $O42,    ROUND(  SUM( T42:T$120), U$17 ),  LEER  )</f>
        <v>5841711.2699999996</v>
      </c>
      <c r="V42" s="493">
        <f t="shared" si="30"/>
        <v>19.9908</v>
      </c>
      <c r="W42" s="493">
        <f t="shared" si="31"/>
        <v>301279.11</v>
      </c>
      <c r="X42" s="493">
        <f xml:space="preserve"> IF( $O42,    ROUND(  SUM( W42:W$120), X$17 ),  LEER  )</f>
        <v>13141718.68</v>
      </c>
      <c r="Y42" s="493">
        <f t="shared" si="32"/>
        <v>44.972000000000001</v>
      </c>
      <c r="Z42" s="493">
        <f t="shared" si="33"/>
        <v>2.2496</v>
      </c>
      <c r="AA42" s="493">
        <f t="shared" si="34"/>
        <v>1.0092000000000001</v>
      </c>
      <c r="AB42" s="493">
        <f t="shared" si="35"/>
        <v>2.3494000000000002</v>
      </c>
      <c r="AC42" s="545">
        <f t="shared" si="36"/>
        <v>0.38600000000000001</v>
      </c>
      <c r="AD42" s="493">
        <f t="shared" si="37"/>
        <v>2.2738</v>
      </c>
      <c r="AE42" s="493">
        <f t="shared" si="38"/>
        <v>2.9100999999999999</v>
      </c>
      <c r="AF42" s="493">
        <f t="shared" si="39"/>
        <v>2.9100999999999999</v>
      </c>
      <c r="AG42" s="493" t="str">
        <f t="shared" si="40"/>
        <v>.</v>
      </c>
      <c r="AH42" s="493" t="str">
        <f t="shared" si="41"/>
        <v>.</v>
      </c>
      <c r="AI42" s="423">
        <f t="shared" si="42"/>
        <v>2077.79</v>
      </c>
      <c r="AJ42" s="423">
        <f t="shared" si="43"/>
        <v>6046.58</v>
      </c>
      <c r="AK42" s="423">
        <f t="shared" si="44"/>
        <v>503.88</v>
      </c>
      <c r="AN42" s="423">
        <f t="shared" si="117"/>
        <v>16429.21</v>
      </c>
      <c r="AO42" s="423">
        <f t="shared" si="117"/>
        <v>15507.09</v>
      </c>
      <c r="AR42" s="546">
        <f xml:space="preserve"> ROUND(  INDEX( Kx!42:42, AR$16 ),  AR$17 )</f>
        <v>0.78420000000000001</v>
      </c>
      <c r="AS42" s="547">
        <f xml:space="preserve"> ROUND(  INDEX( qx!42:42, AS$16 ),  AS$17 )</f>
        <v>5.0000000000000001E-4</v>
      </c>
      <c r="AT42" s="547">
        <f xml:space="preserve"> ROUND(  INDEX( qx!42:42, AT$16 ),  AT$17 )</f>
        <v>4.0000000000000002E-4</v>
      </c>
      <c r="AU42" s="548" t="str">
        <f t="shared" si="46"/>
        <v>F</v>
      </c>
      <c r="AV42" s="542">
        <f t="shared" si="47"/>
        <v>0.70779999999999998</v>
      </c>
      <c r="AW42" s="542">
        <f t="shared" si="48"/>
        <v>5.0000000000000001E-4</v>
      </c>
      <c r="AX42" s="546">
        <f xml:space="preserve"> ROUND(  INDEX( wx!42:42, AX$16 ),  AX$17 )</f>
        <v>2.5899999999999999E-2</v>
      </c>
      <c r="AY42" s="546">
        <f xml:space="preserve"> ROUND(  INDEX( wx!42:42, AY$16 ),  AY$17 )</f>
        <v>3.9600000000000003E-2</v>
      </c>
      <c r="AZ42" s="548" t="str">
        <f t="shared" si="49"/>
        <v>M</v>
      </c>
      <c r="BA42" s="542">
        <f t="shared" si="50"/>
        <v>0.84499999999999997</v>
      </c>
      <c r="BB42" s="542">
        <f t="shared" si="51"/>
        <v>2.8000000000000001E-2</v>
      </c>
      <c r="BC42" s="533">
        <f xml:space="preserve"> ROUND(  INDEX( Kx!42:42, BC$16 ),  BC$17 )</f>
        <v>1828.36</v>
      </c>
      <c r="BD42" s="533">
        <f xml:space="preserve"> ROUND(  INDEX( Kx!42:42, BD$16 ),  BD$17 )</f>
        <v>2899.59</v>
      </c>
      <c r="BE42" s="548" t="str">
        <f t="shared" si="52"/>
        <v>F</v>
      </c>
      <c r="BF42" s="542">
        <f t="shared" si="53"/>
        <v>0.70779999999999998</v>
      </c>
      <c r="BG42" s="420">
        <f t="shared" si="54"/>
        <v>2141.37</v>
      </c>
      <c r="BQ42" s="549">
        <f t="shared" si="96"/>
        <v>42</v>
      </c>
      <c r="BR42" s="423">
        <f t="shared" si="55"/>
        <v>13798.77</v>
      </c>
      <c r="BS42" s="550">
        <f t="shared" si="56"/>
        <v>2141.37</v>
      </c>
      <c r="BT42" s="423">
        <f t="shared" si="57"/>
        <v>1745.81</v>
      </c>
      <c r="BU42" s="551">
        <f t="shared" si="58"/>
        <v>292220.28000000003</v>
      </c>
      <c r="BV42" s="551">
        <f t="shared" si="59"/>
        <v>1.0569</v>
      </c>
      <c r="BW42" s="529">
        <f t="shared" si="60"/>
        <v>16429.21</v>
      </c>
      <c r="BX42" s="552">
        <f t="shared" si="61"/>
        <v>884.6299999999992</v>
      </c>
      <c r="BY42" s="560"/>
      <c r="BZ42" s="559"/>
      <c r="CB42" s="423">
        <f t="shared" si="62"/>
        <v>1752.98</v>
      </c>
      <c r="CC42" s="423">
        <f t="shared" si="63"/>
        <v>410.73</v>
      </c>
      <c r="CD42" s="423">
        <f t="shared" si="64"/>
        <v>545.44000000000005</v>
      </c>
      <c r="CE42" s="423">
        <f t="shared" si="65"/>
        <v>2709.15</v>
      </c>
      <c r="CF42" s="553">
        <f t="shared" si="66"/>
        <v>2709.1900000000023</v>
      </c>
      <c r="CH42" s="423">
        <f t="shared" si="67"/>
        <v>3852.4304390000002</v>
      </c>
      <c r="CI42" s="423">
        <f t="shared" si="68"/>
        <v>2142.1999999999998</v>
      </c>
      <c r="CJ42" s="423">
        <f t="shared" si="69"/>
        <v>2242.4</v>
      </c>
      <c r="CK42" s="423">
        <f t="shared" si="97"/>
        <v>-532.14</v>
      </c>
      <c r="CL42" s="553">
        <f t="shared" si="70"/>
        <v>3852.4600000000005</v>
      </c>
      <c r="CN42" s="423">
        <f t="shared" si="71"/>
        <v>3898.5573770000001</v>
      </c>
      <c r="CO42" s="423">
        <f t="shared" si="72"/>
        <v>2142.1999999999998</v>
      </c>
      <c r="CP42" s="423">
        <f t="shared" si="73"/>
        <v>2262.83</v>
      </c>
      <c r="CQ42" s="423">
        <f t="shared" si="74"/>
        <v>-506.44</v>
      </c>
      <c r="CR42" s="553">
        <f t="shared" si="75"/>
        <v>3898.5899999999997</v>
      </c>
      <c r="CV42" s="564">
        <f t="shared" si="98"/>
        <v>42</v>
      </c>
      <c r="CW42" s="538">
        <f t="shared" si="76"/>
        <v>15507.09</v>
      </c>
      <c r="CX42" s="566" t="str">
        <f t="shared" si="77"/>
        <v>.</v>
      </c>
      <c r="CY42" s="538" t="str">
        <f t="shared" si="78"/>
        <v>.</v>
      </c>
      <c r="CZ42" s="538" t="str">
        <f t="shared" si="79"/>
        <v>.</v>
      </c>
      <c r="DA42" s="538" t="str">
        <f t="shared" si="80"/>
        <v>.</v>
      </c>
      <c r="DB42" s="567">
        <f t="shared" si="99"/>
        <v>15507.09</v>
      </c>
      <c r="DC42" s="567" t="e">
        <f t="shared" si="100"/>
        <v>#N/A</v>
      </c>
      <c r="DD42" s="567" t="e">
        <f t="shared" si="101"/>
        <v>#N/A</v>
      </c>
      <c r="DE42" s="567" t="e">
        <f t="shared" si="101"/>
        <v>#N/A</v>
      </c>
      <c r="DF42" s="568" t="e">
        <f t="shared" si="102"/>
        <v>#N/A</v>
      </c>
      <c r="EL42" s="553" t="str">
        <f t="shared" si="81"/>
        <v>.</v>
      </c>
      <c r="EM42" s="553" t="str">
        <f t="shared" si="82"/>
        <v>.</v>
      </c>
      <c r="EN42" s="423" t="str">
        <f t="shared" si="83"/>
        <v>.</v>
      </c>
      <c r="EO42" s="555">
        <f xml:space="preserve"> 'i2'!AO42</f>
        <v>15507.09</v>
      </c>
      <c r="EV42" s="533" t="e">
        <f xml:space="preserve"> ROUND(    IF( $A$15=BE_MF_,   LEER,   INDEX( Kx!42:42, EV$16 ) ),    EV$17    )</f>
        <v>#VALUE!</v>
      </c>
      <c r="EW42" s="533" t="e">
        <f xml:space="preserve"> ROUND(    IF( $A$15=BE_MF_,   LEER,   INDEX( Kx!42:42, EW$16 ) ),    EW$17    )</f>
        <v>#VALUE!</v>
      </c>
      <c r="EX42" s="533" t="e">
        <f xml:space="preserve"> ROUND(    IF( $A$15=BE_MF_,   LEER,   INDEX( Kx!42:42, EX$16 ) ),    EX$17    )</f>
        <v>#VALUE!</v>
      </c>
      <c r="EY42" s="556" t="e">
        <f t="shared" si="103"/>
        <v>#VALUE!</v>
      </c>
      <c r="FB42" s="533" t="e">
        <f xml:space="preserve"> ROUND(    IF( $A$15=BE_MF_,   LEER,   INDEX( Kx!42:42, FB$16 ) ),    FB$17    )</f>
        <v>#VALUE!</v>
      </c>
      <c r="FC42" s="533" t="e">
        <f xml:space="preserve"> ROUND(    IF( $A$15=BE_MF_,   LEER,   INDEX( Kx!42:42, FC$16 ) ),    FC$17    )</f>
        <v>#VALUE!</v>
      </c>
      <c r="FD42" s="556" t="e">
        <f t="shared" si="104"/>
        <v>#VALUE!</v>
      </c>
      <c r="FG42" s="556" t="e">
        <f t="shared" si="105"/>
        <v>#VALUE!</v>
      </c>
      <c r="FH42" s="556" t="e">
        <f t="shared" si="105"/>
        <v>#VALUE!</v>
      </c>
      <c r="FI42" s="556" t="e">
        <f t="shared" si="105"/>
        <v>#VALUE!</v>
      </c>
      <c r="FN42" s="557">
        <f t="shared" si="84"/>
        <v>42</v>
      </c>
      <c r="FO42" s="493">
        <f t="shared" si="85"/>
        <v>44.972000000000001</v>
      </c>
      <c r="FP42" s="493">
        <f t="shared" si="86"/>
        <v>19.9908</v>
      </c>
      <c r="FR42" s="427">
        <f t="shared" si="106"/>
        <v>526307.22</v>
      </c>
      <c r="FS42" s="558">
        <f t="shared" si="113"/>
        <v>43581.74</v>
      </c>
      <c r="FT42" s="558">
        <f t="shared" si="113"/>
        <v>41899.5</v>
      </c>
      <c r="FU42" s="558">
        <f t="shared" si="113"/>
        <v>40213.11</v>
      </c>
      <c r="FV42" s="558">
        <f t="shared" si="113"/>
        <v>38526.720000000001</v>
      </c>
      <c r="FW42" s="558">
        <f t="shared" si="113"/>
        <v>36782.18</v>
      </c>
      <c r="FX42" s="558">
        <f t="shared" si="113"/>
        <v>34987.800000000003</v>
      </c>
      <c r="FY42" s="558">
        <f t="shared" si="113"/>
        <v>33210.03</v>
      </c>
      <c r="FZ42" s="558">
        <f t="shared" si="113"/>
        <v>31419.79</v>
      </c>
      <c r="GA42" s="558">
        <f t="shared" si="113"/>
        <v>29567.26</v>
      </c>
      <c r="GB42" s="558">
        <f t="shared" si="113"/>
        <v>27639.96</v>
      </c>
      <c r="GC42" s="558">
        <f t="shared" si="113"/>
        <v>25700.19</v>
      </c>
      <c r="GD42" s="558">
        <f t="shared" si="113"/>
        <v>23731.35</v>
      </c>
      <c r="GE42" s="558">
        <f t="shared" si="113"/>
        <v>21716.83</v>
      </c>
      <c r="GF42" s="558">
        <f t="shared" si="113"/>
        <v>19693.990000000002</v>
      </c>
      <c r="GG42" s="558">
        <f t="shared" si="113"/>
        <v>17608.849999999999</v>
      </c>
      <c r="GH42" s="558">
        <f t="shared" si="113"/>
        <v>15507.09</v>
      </c>
      <c r="GI42" s="558">
        <f t="shared" si="111"/>
        <v>13343.03</v>
      </c>
      <c r="GJ42" s="558">
        <f t="shared" si="111"/>
        <v>11129.12</v>
      </c>
      <c r="GK42" s="558">
        <f t="shared" si="111"/>
        <v>8852.91</v>
      </c>
      <c r="GL42" s="558">
        <f t="shared" si="111"/>
        <v>6510.25</v>
      </c>
      <c r="GM42" s="558">
        <f t="shared" si="111"/>
        <v>4096.96</v>
      </c>
      <c r="GN42" s="558">
        <f t="shared" si="111"/>
        <v>1592.3</v>
      </c>
      <c r="GO42" s="558">
        <f t="shared" si="111"/>
        <v>-1003.74</v>
      </c>
      <c r="GP42" s="558" t="str">
        <f t="shared" si="111"/>
        <v>.</v>
      </c>
      <c r="GQ42" s="558" t="str">
        <f t="shared" si="111"/>
        <v>.</v>
      </c>
      <c r="GR42" s="558" t="str">
        <f t="shared" si="111"/>
        <v>.</v>
      </c>
      <c r="GS42" s="558" t="str">
        <f t="shared" si="111"/>
        <v>.</v>
      </c>
      <c r="GT42" s="558" t="str">
        <f t="shared" si="111"/>
        <v>.</v>
      </c>
      <c r="GU42" s="558" t="str">
        <f t="shared" si="111"/>
        <v>.</v>
      </c>
      <c r="GV42" s="558" t="str">
        <f t="shared" si="111"/>
        <v>.</v>
      </c>
      <c r="GW42" s="558" t="str">
        <f t="shared" si="111"/>
        <v>.</v>
      </c>
      <c r="GX42" s="558" t="str">
        <f t="shared" si="114"/>
        <v>.</v>
      </c>
      <c r="GY42" s="558" t="str">
        <f t="shared" si="114"/>
        <v>.</v>
      </c>
      <c r="GZ42" s="558" t="str">
        <f t="shared" si="114"/>
        <v>.</v>
      </c>
      <c r="HA42" s="558" t="str">
        <f t="shared" si="114"/>
        <v>.</v>
      </c>
      <c r="HB42" s="558" t="str">
        <f t="shared" si="114"/>
        <v>.</v>
      </c>
      <c r="HC42" s="558" t="str">
        <f t="shared" si="114"/>
        <v>.</v>
      </c>
      <c r="HD42" s="558" t="str">
        <f t="shared" si="114"/>
        <v>.</v>
      </c>
      <c r="HE42" s="558" t="str">
        <f t="shared" si="114"/>
        <v>.</v>
      </c>
      <c r="HF42" s="558" t="str">
        <f t="shared" si="114"/>
        <v>.</v>
      </c>
      <c r="HG42" s="558" t="str">
        <f t="shared" si="114"/>
        <v>.</v>
      </c>
      <c r="HH42" s="558" t="str">
        <f t="shared" si="114"/>
        <v>.</v>
      </c>
      <c r="HI42" s="558" t="str">
        <f t="shared" si="114"/>
        <v>.</v>
      </c>
      <c r="HJ42" s="558" t="str">
        <f t="shared" si="114"/>
        <v>.</v>
      </c>
      <c r="HK42" s="558" t="str">
        <f t="shared" si="114"/>
        <v>.</v>
      </c>
      <c r="HL42" s="558" t="str">
        <f t="shared" si="114"/>
        <v>.</v>
      </c>
      <c r="HM42" s="558" t="str">
        <f t="shared" si="114"/>
        <v>.</v>
      </c>
      <c r="HN42" s="558" t="str">
        <f t="shared" si="112"/>
        <v>.</v>
      </c>
      <c r="HO42" s="558" t="str">
        <f t="shared" si="112"/>
        <v>.</v>
      </c>
      <c r="HP42" s="558" t="str">
        <f t="shared" si="112"/>
        <v>.</v>
      </c>
      <c r="HQ42" s="558" t="str">
        <f t="shared" si="112"/>
        <v>.</v>
      </c>
      <c r="HR42" s="558" t="str">
        <f t="shared" si="112"/>
        <v>.</v>
      </c>
      <c r="HS42" s="558" t="str">
        <f t="shared" si="109"/>
        <v>.</v>
      </c>
      <c r="HT42" s="558" t="str">
        <f t="shared" si="109"/>
        <v>.</v>
      </c>
      <c r="HU42" s="558" t="str">
        <f t="shared" si="109"/>
        <v>.</v>
      </c>
      <c r="HV42" s="558" t="str">
        <f t="shared" si="109"/>
        <v>.</v>
      </c>
      <c r="HW42" s="558" t="str">
        <f t="shared" si="109"/>
        <v>.</v>
      </c>
      <c r="HX42" s="558" t="str">
        <f t="shared" si="109"/>
        <v>.</v>
      </c>
      <c r="HY42" s="558" t="str">
        <f t="shared" si="109"/>
        <v>.</v>
      </c>
      <c r="HZ42" s="558" t="str">
        <f t="shared" si="109"/>
        <v>.</v>
      </c>
      <c r="IA42" s="558" t="str">
        <f t="shared" si="109"/>
        <v>.</v>
      </c>
      <c r="IB42" s="558" t="str">
        <f t="shared" si="109"/>
        <v>.</v>
      </c>
      <c r="IC42" s="558" t="str">
        <f t="shared" si="109"/>
        <v>.</v>
      </c>
      <c r="ID42" s="558" t="str">
        <f t="shared" si="109"/>
        <v>.</v>
      </c>
      <c r="IE42" s="558" t="str">
        <f t="shared" si="109"/>
        <v>.</v>
      </c>
      <c r="IF42" s="558" t="str">
        <f t="shared" si="109"/>
        <v>.</v>
      </c>
      <c r="IG42" s="558" t="str">
        <f t="shared" si="109"/>
        <v>.</v>
      </c>
      <c r="IH42" s="558" t="str">
        <f t="shared" si="109"/>
        <v>.</v>
      </c>
      <c r="II42" s="558" t="str">
        <f t="shared" si="109"/>
        <v>.</v>
      </c>
      <c r="IJ42" s="558" t="str">
        <f t="shared" si="110"/>
        <v>.</v>
      </c>
      <c r="IK42" s="558" t="str">
        <f t="shared" si="110"/>
        <v>.</v>
      </c>
      <c r="IL42" s="558" t="str">
        <f t="shared" si="110"/>
        <v>.</v>
      </c>
      <c r="IM42" s="558" t="str">
        <f t="shared" si="110"/>
        <v>.</v>
      </c>
      <c r="IN42" s="558" t="str">
        <f t="shared" si="110"/>
        <v>.</v>
      </c>
      <c r="IO42" s="558" t="str">
        <f t="shared" si="110"/>
        <v>.</v>
      </c>
      <c r="IP42" s="558" t="str">
        <f t="shared" si="110"/>
        <v>.</v>
      </c>
      <c r="IQ42" s="558" t="str">
        <f t="shared" si="110"/>
        <v>.</v>
      </c>
      <c r="IR42" s="558" t="str">
        <f t="shared" si="107"/>
        <v>.</v>
      </c>
      <c r="IS42" s="558" t="str">
        <f t="shared" si="107"/>
        <v>.</v>
      </c>
      <c r="IT42" s="558" t="str">
        <f t="shared" si="107"/>
        <v>.</v>
      </c>
      <c r="IU42" s="558" t="str">
        <f t="shared" si="107"/>
        <v>.</v>
      </c>
      <c r="IV42" s="558" t="str">
        <f t="shared" si="107"/>
        <v>.</v>
      </c>
      <c r="IW42" s="558" t="str">
        <f t="shared" si="107"/>
        <v>.</v>
      </c>
      <c r="IX42" s="558" t="str">
        <f t="shared" si="107"/>
        <v>.</v>
      </c>
      <c r="IY42" s="558" t="str">
        <f t="shared" si="107"/>
        <v>.</v>
      </c>
      <c r="IZ42" s="558" t="str">
        <f t="shared" si="107"/>
        <v>.</v>
      </c>
      <c r="JA42" s="558" t="str">
        <f t="shared" si="107"/>
        <v>.</v>
      </c>
      <c r="JB42" s="558" t="str">
        <f t="shared" si="107"/>
        <v>.</v>
      </c>
      <c r="JC42" s="558" t="str">
        <f t="shared" si="107"/>
        <v>.</v>
      </c>
      <c r="JD42" s="558" t="str">
        <f t="shared" si="107"/>
        <v>.</v>
      </c>
      <c r="JE42" s="558" t="str">
        <f t="shared" si="107"/>
        <v>.</v>
      </c>
      <c r="JF42" s="558" t="str">
        <f t="shared" si="107"/>
        <v>.</v>
      </c>
      <c r="JG42" s="558" t="str">
        <f t="shared" si="107"/>
        <v>.</v>
      </c>
      <c r="JH42" s="558" t="str">
        <f t="shared" si="107"/>
        <v>.</v>
      </c>
      <c r="JI42" s="558" t="str">
        <f t="shared" si="107"/>
        <v>.</v>
      </c>
      <c r="JJ42" s="558" t="str">
        <f t="shared" si="107"/>
        <v>.</v>
      </c>
      <c r="JK42" s="558" t="str">
        <f t="shared" si="115"/>
        <v>.</v>
      </c>
      <c r="JL42" s="558" t="str">
        <f t="shared" si="115"/>
        <v>.</v>
      </c>
      <c r="JM42" s="558" t="str">
        <f t="shared" si="115"/>
        <v>.</v>
      </c>
      <c r="JN42" s="558" t="str">
        <f t="shared" si="115"/>
        <v>.</v>
      </c>
      <c r="JO42" s="558" t="str">
        <f t="shared" si="115"/>
        <v>.</v>
      </c>
    </row>
    <row r="43" spans="1:275" x14ac:dyDescent="0.2">
      <c r="A43" s="534">
        <f xml:space="preserve"> Basis!A43</f>
        <v>43</v>
      </c>
      <c r="F43" s="536">
        <f xml:space="preserve"> ROUND(    IF( $A$15=BE_MF_,   AW43,   INDEX( qx!43:43, F$16 ) ),    F$17    )</f>
        <v>5.9999999999999995E-4</v>
      </c>
      <c r="G43" s="536">
        <f xml:space="preserve"> ROUND(    IF( $A$15=BE_MF_,   BB43,   INDEX( wx!43:43, G$16 ) ),    G$17    )</f>
        <v>2.6700000000000002E-2</v>
      </c>
      <c r="H43" s="537">
        <f xml:space="preserve"> ROUND(    IF( $A$15=BE_MF_,   BG43,   INDEX( Kx!43:43, H$16 ) ),    H$17    )</f>
        <v>2171.7399999999998</v>
      </c>
      <c r="I43" s="538">
        <f t="shared" si="93"/>
        <v>2171.7399999999998</v>
      </c>
      <c r="J43" s="539">
        <f t="shared" si="23"/>
        <v>1.0449999999999999</v>
      </c>
      <c r="K43" s="540">
        <f t="shared" si="94"/>
        <v>2</v>
      </c>
      <c r="L43" s="541">
        <f t="shared" si="116"/>
        <v>0</v>
      </c>
      <c r="M43" s="541">
        <f t="shared" si="116"/>
        <v>8.5999999999999993E-2</v>
      </c>
      <c r="O43" s="542" t="b">
        <f t="shared" si="95"/>
        <v>1</v>
      </c>
      <c r="P43" s="493">
        <f t="shared" si="25"/>
        <v>2.7300000000000001E-2</v>
      </c>
      <c r="Q43" s="493">
        <f t="shared" si="26"/>
        <v>0.97270000000000001</v>
      </c>
      <c r="R43" s="543">
        <f t="shared" si="27"/>
        <v>800857</v>
      </c>
      <c r="S43" s="544">
        <f t="shared" si="28"/>
        <v>0.97560975599999999</v>
      </c>
      <c r="T43" s="423">
        <f t="shared" si="29"/>
        <v>276967.46999999997</v>
      </c>
      <c r="U43" s="423">
        <f xml:space="preserve"> IF( $O43,    ROUND(  SUM( T43:T$120), U$17 ),  LEER  )</f>
        <v>5549490.9900000002</v>
      </c>
      <c r="V43" s="493">
        <f t="shared" si="30"/>
        <v>20.0366</v>
      </c>
      <c r="W43" s="493">
        <f t="shared" si="31"/>
        <v>289431.01</v>
      </c>
      <c r="X43" s="493">
        <f xml:space="preserve"> IF( $O43,    ROUND(  SUM( W43:W$120), X$17 ),  LEER  )</f>
        <v>12840439.57</v>
      </c>
      <c r="Y43" s="493">
        <f t="shared" si="32"/>
        <v>46.360799999999998</v>
      </c>
      <c r="Z43" s="493">
        <f t="shared" si="33"/>
        <v>2.3138000000000001</v>
      </c>
      <c r="AA43" s="493">
        <f t="shared" si="34"/>
        <v>1.0092000000000001</v>
      </c>
      <c r="AB43" s="493">
        <f t="shared" si="35"/>
        <v>2.3494000000000002</v>
      </c>
      <c r="AC43" s="545">
        <f t="shared" si="36"/>
        <v>0.38600000000000001</v>
      </c>
      <c r="AD43" s="493">
        <f t="shared" si="37"/>
        <v>2.3386</v>
      </c>
      <c r="AE43" s="493">
        <f t="shared" si="38"/>
        <v>2.9809999999999999</v>
      </c>
      <c r="AF43" s="493">
        <f t="shared" si="39"/>
        <v>2.9809999999999999</v>
      </c>
      <c r="AG43" s="493" t="str">
        <f t="shared" si="40"/>
        <v>.</v>
      </c>
      <c r="AH43" s="493" t="str">
        <f t="shared" si="41"/>
        <v>.</v>
      </c>
      <c r="AI43" s="423">
        <f t="shared" si="42"/>
        <v>2077.79</v>
      </c>
      <c r="AJ43" s="423">
        <f t="shared" si="43"/>
        <v>6193.89</v>
      </c>
      <c r="AK43" s="423">
        <f t="shared" si="44"/>
        <v>516.16</v>
      </c>
      <c r="AN43" s="423">
        <f t="shared" si="117"/>
        <v>19138.400000000001</v>
      </c>
      <c r="AO43" s="423">
        <f t="shared" si="117"/>
        <v>18214.169999999998</v>
      </c>
      <c r="AR43" s="546">
        <f xml:space="preserve"> ROUND(  INDEX( Kx!43:43, AR$16 ),  AR$17 )</f>
        <v>0.78759999999999997</v>
      </c>
      <c r="AS43" s="547">
        <f xml:space="preserve"> ROUND(  INDEX( qx!43:43, AS$16 ),  AS$17 )</f>
        <v>5.9999999999999995E-4</v>
      </c>
      <c r="AT43" s="547">
        <f xml:space="preserve"> ROUND(  INDEX( qx!43:43, AT$16 ),  AT$17 )</f>
        <v>5.0000000000000001E-4</v>
      </c>
      <c r="AU43" s="548" t="str">
        <f t="shared" si="46"/>
        <v>F</v>
      </c>
      <c r="AV43" s="542">
        <f t="shared" si="47"/>
        <v>0.71199999999999997</v>
      </c>
      <c r="AW43" s="542">
        <f t="shared" si="48"/>
        <v>5.9999999999999995E-4</v>
      </c>
      <c r="AX43" s="546">
        <f xml:space="preserve"> ROUND(  INDEX( wx!43:43, AX$16 ),  AX$17 )</f>
        <v>2.47E-2</v>
      </c>
      <c r="AY43" s="546">
        <f xml:space="preserve"> ROUND(  INDEX( wx!43:43, AY$16 ),  AY$17 )</f>
        <v>3.7600000000000001E-2</v>
      </c>
      <c r="AZ43" s="548" t="str">
        <f t="shared" si="49"/>
        <v>M</v>
      </c>
      <c r="BA43" s="542">
        <f t="shared" si="50"/>
        <v>0.84760000000000002</v>
      </c>
      <c r="BB43" s="542">
        <f t="shared" si="51"/>
        <v>2.6700000000000002E-2</v>
      </c>
      <c r="BC43" s="533">
        <f xml:space="preserve"> ROUND(  INDEX( Kx!43:43, BC$16 ),  BC$17 )</f>
        <v>1890.12</v>
      </c>
      <c r="BD43" s="533">
        <f xml:space="preserve"> ROUND(  INDEX( Kx!43:43, BD$16 ),  BD$17 )</f>
        <v>2867.95</v>
      </c>
      <c r="BE43" s="548" t="str">
        <f t="shared" si="52"/>
        <v>F</v>
      </c>
      <c r="BF43" s="542">
        <f t="shared" si="53"/>
        <v>0.71199999999999997</v>
      </c>
      <c r="BG43" s="420">
        <f t="shared" si="54"/>
        <v>2171.7399999999998</v>
      </c>
      <c r="BQ43" s="549">
        <f t="shared" si="96"/>
        <v>43</v>
      </c>
      <c r="BR43" s="423">
        <f t="shared" si="55"/>
        <v>16429.21</v>
      </c>
      <c r="BS43" s="550">
        <f t="shared" si="56"/>
        <v>2171.7399999999998</v>
      </c>
      <c r="BT43" s="423">
        <f t="shared" si="57"/>
        <v>1711.06</v>
      </c>
      <c r="BU43" s="551">
        <f t="shared" si="58"/>
        <v>276967.46999999997</v>
      </c>
      <c r="BV43" s="551">
        <f t="shared" si="59"/>
        <v>1.0550999999999999</v>
      </c>
      <c r="BW43" s="529">
        <f t="shared" si="60"/>
        <v>19138.400000000001</v>
      </c>
      <c r="BX43" s="552">
        <f t="shared" si="61"/>
        <v>998.13000000000102</v>
      </c>
      <c r="BY43" s="560"/>
      <c r="BZ43" s="559"/>
      <c r="CB43" s="423">
        <f t="shared" si="62"/>
        <v>1723.17</v>
      </c>
      <c r="CC43" s="423">
        <f t="shared" si="63"/>
        <v>478.46</v>
      </c>
      <c r="CD43" s="423">
        <f t="shared" si="64"/>
        <v>598.92999999999995</v>
      </c>
      <c r="CE43" s="423">
        <f t="shared" si="65"/>
        <v>2800.56</v>
      </c>
      <c r="CF43" s="553">
        <f t="shared" si="66"/>
        <v>2800.5299999999988</v>
      </c>
      <c r="CH43" s="423">
        <f t="shared" si="67"/>
        <v>3852.4304390000002</v>
      </c>
      <c r="CI43" s="423">
        <f t="shared" si="68"/>
        <v>2171.29</v>
      </c>
      <c r="CJ43" s="423">
        <f t="shared" si="69"/>
        <v>2265.4299999999998</v>
      </c>
      <c r="CK43" s="423">
        <f t="shared" si="97"/>
        <v>-584.32000000000005</v>
      </c>
      <c r="CL43" s="553">
        <f t="shared" si="70"/>
        <v>3852.3999999999992</v>
      </c>
      <c r="CN43" s="423">
        <f t="shared" si="71"/>
        <v>3898.5573770000001</v>
      </c>
      <c r="CO43" s="423">
        <f t="shared" si="72"/>
        <v>2171.29</v>
      </c>
      <c r="CP43" s="423">
        <f t="shared" si="73"/>
        <v>2286.92</v>
      </c>
      <c r="CQ43" s="423">
        <f t="shared" si="74"/>
        <v>-559.67999999999995</v>
      </c>
      <c r="CR43" s="553">
        <f t="shared" si="75"/>
        <v>3898.53</v>
      </c>
      <c r="CV43" s="564">
        <f t="shared" si="98"/>
        <v>43</v>
      </c>
      <c r="CW43" s="538">
        <f t="shared" si="76"/>
        <v>18214.169999999998</v>
      </c>
      <c r="CX43" s="566" t="str">
        <f t="shared" si="77"/>
        <v>.</v>
      </c>
      <c r="CY43" s="538" t="str">
        <f t="shared" si="78"/>
        <v>.</v>
      </c>
      <c r="CZ43" s="538" t="str">
        <f t="shared" si="79"/>
        <v>.</v>
      </c>
      <c r="DA43" s="538" t="str">
        <f t="shared" si="80"/>
        <v>.</v>
      </c>
      <c r="DB43" s="567">
        <f t="shared" si="99"/>
        <v>18214.169999999998</v>
      </c>
      <c r="DC43" s="567" t="e">
        <f t="shared" si="100"/>
        <v>#N/A</v>
      </c>
      <c r="DD43" s="567" t="e">
        <f t="shared" si="101"/>
        <v>#N/A</v>
      </c>
      <c r="DE43" s="567" t="e">
        <f t="shared" si="101"/>
        <v>#N/A</v>
      </c>
      <c r="DF43" s="568" t="e">
        <f t="shared" si="102"/>
        <v>#N/A</v>
      </c>
      <c r="EL43" s="553" t="str">
        <f t="shared" si="81"/>
        <v>.</v>
      </c>
      <c r="EM43" s="553" t="str">
        <f t="shared" si="82"/>
        <v>.</v>
      </c>
      <c r="EN43" s="423" t="str">
        <f t="shared" si="83"/>
        <v>.</v>
      </c>
      <c r="EO43" s="555">
        <f xml:space="preserve"> 'i2'!AO43</f>
        <v>18214.169999999998</v>
      </c>
      <c r="EV43" s="533" t="e">
        <f xml:space="preserve"> ROUND(    IF( $A$15=BE_MF_,   LEER,   INDEX( Kx!43:43, EV$16 ) ),    EV$17    )</f>
        <v>#VALUE!</v>
      </c>
      <c r="EW43" s="533" t="e">
        <f xml:space="preserve"> ROUND(    IF( $A$15=BE_MF_,   LEER,   INDEX( Kx!43:43, EW$16 ) ),    EW$17    )</f>
        <v>#VALUE!</v>
      </c>
      <c r="EX43" s="533" t="e">
        <f xml:space="preserve"> ROUND(    IF( $A$15=BE_MF_,   LEER,   INDEX( Kx!43:43, EX$16 ) ),    EX$17    )</f>
        <v>#VALUE!</v>
      </c>
      <c r="EY43" s="556" t="e">
        <f t="shared" si="103"/>
        <v>#VALUE!</v>
      </c>
      <c r="FB43" s="533" t="e">
        <f xml:space="preserve"> ROUND(    IF( $A$15=BE_MF_,   LEER,   INDEX( Kx!43:43, FB$16 ) ),    FB$17    )</f>
        <v>#VALUE!</v>
      </c>
      <c r="FC43" s="533" t="e">
        <f xml:space="preserve"> ROUND(    IF( $A$15=BE_MF_,   LEER,   INDEX( Kx!43:43, FC$16 ) ),    FC$17    )</f>
        <v>#VALUE!</v>
      </c>
      <c r="FD43" s="556" t="e">
        <f t="shared" si="104"/>
        <v>#VALUE!</v>
      </c>
      <c r="FG43" s="556" t="e">
        <f t="shared" si="105"/>
        <v>#VALUE!</v>
      </c>
      <c r="FH43" s="556" t="e">
        <f t="shared" si="105"/>
        <v>#VALUE!</v>
      </c>
      <c r="FI43" s="556" t="e">
        <f t="shared" si="105"/>
        <v>#VALUE!</v>
      </c>
      <c r="FN43" s="557">
        <f t="shared" si="84"/>
        <v>43</v>
      </c>
      <c r="FO43" s="493">
        <f t="shared" si="85"/>
        <v>46.360799999999998</v>
      </c>
      <c r="FP43" s="493">
        <f t="shared" si="86"/>
        <v>20.0366</v>
      </c>
      <c r="FR43" s="427">
        <f t="shared" si="106"/>
        <v>587926.49000000011</v>
      </c>
      <c r="FS43" s="558">
        <f t="shared" si="113"/>
        <v>46353.14</v>
      </c>
      <c r="FT43" s="558">
        <f t="shared" si="113"/>
        <v>44667.05</v>
      </c>
      <c r="FU43" s="558">
        <f t="shared" si="113"/>
        <v>42976.79</v>
      </c>
      <c r="FV43" s="558">
        <f t="shared" si="113"/>
        <v>41286.54</v>
      </c>
      <c r="FW43" s="558">
        <f t="shared" si="113"/>
        <v>39538</v>
      </c>
      <c r="FX43" s="558">
        <f t="shared" si="113"/>
        <v>37739.51</v>
      </c>
      <c r="FY43" s="558">
        <f t="shared" si="113"/>
        <v>35957.67</v>
      </c>
      <c r="FZ43" s="558">
        <f t="shared" si="113"/>
        <v>34163.33</v>
      </c>
      <c r="GA43" s="558">
        <f t="shared" si="113"/>
        <v>32306.55</v>
      </c>
      <c r="GB43" s="558">
        <f t="shared" si="113"/>
        <v>30374.83</v>
      </c>
      <c r="GC43" s="558">
        <f t="shared" si="113"/>
        <v>28430.63</v>
      </c>
      <c r="GD43" s="558">
        <f t="shared" si="113"/>
        <v>26457.279999999999</v>
      </c>
      <c r="GE43" s="558">
        <f t="shared" si="113"/>
        <v>24438.13</v>
      </c>
      <c r="GF43" s="558">
        <f t="shared" si="113"/>
        <v>22410.66</v>
      </c>
      <c r="GG43" s="558">
        <f t="shared" si="113"/>
        <v>20320.740000000002</v>
      </c>
      <c r="GH43" s="558">
        <f t="shared" si="113"/>
        <v>18214.169999999998</v>
      </c>
      <c r="GI43" s="558">
        <f t="shared" si="111"/>
        <v>16045.15</v>
      </c>
      <c r="GJ43" s="558">
        <f t="shared" si="111"/>
        <v>13826.18</v>
      </c>
      <c r="GK43" s="558">
        <f t="shared" si="111"/>
        <v>11544.75</v>
      </c>
      <c r="GL43" s="558">
        <f t="shared" si="111"/>
        <v>9196.7099999999991</v>
      </c>
      <c r="GM43" s="558">
        <f t="shared" si="111"/>
        <v>6777.9</v>
      </c>
      <c r="GN43" s="558">
        <f t="shared" si="111"/>
        <v>4267.5</v>
      </c>
      <c r="GO43" s="558">
        <f t="shared" si="111"/>
        <v>1665.51</v>
      </c>
      <c r="GP43" s="558">
        <f t="shared" si="111"/>
        <v>-1032.23</v>
      </c>
      <c r="GQ43" s="558" t="str">
        <f t="shared" si="111"/>
        <v>.</v>
      </c>
      <c r="GR43" s="558" t="str">
        <f t="shared" si="111"/>
        <v>.</v>
      </c>
      <c r="GS43" s="558" t="str">
        <f t="shared" si="111"/>
        <v>.</v>
      </c>
      <c r="GT43" s="558" t="str">
        <f t="shared" si="111"/>
        <v>.</v>
      </c>
      <c r="GU43" s="558" t="str">
        <f t="shared" si="111"/>
        <v>.</v>
      </c>
      <c r="GV43" s="558" t="str">
        <f t="shared" si="111"/>
        <v>.</v>
      </c>
      <c r="GW43" s="558" t="str">
        <f t="shared" si="111"/>
        <v>.</v>
      </c>
      <c r="GX43" s="558" t="str">
        <f t="shared" si="114"/>
        <v>.</v>
      </c>
      <c r="GY43" s="558" t="str">
        <f t="shared" si="114"/>
        <v>.</v>
      </c>
      <c r="GZ43" s="558" t="str">
        <f t="shared" si="114"/>
        <v>.</v>
      </c>
      <c r="HA43" s="558" t="str">
        <f t="shared" si="114"/>
        <v>.</v>
      </c>
      <c r="HB43" s="558" t="str">
        <f t="shared" si="114"/>
        <v>.</v>
      </c>
      <c r="HC43" s="558" t="str">
        <f t="shared" si="114"/>
        <v>.</v>
      </c>
      <c r="HD43" s="558" t="str">
        <f t="shared" si="114"/>
        <v>.</v>
      </c>
      <c r="HE43" s="558" t="str">
        <f t="shared" si="114"/>
        <v>.</v>
      </c>
      <c r="HF43" s="558" t="str">
        <f t="shared" si="114"/>
        <v>.</v>
      </c>
      <c r="HG43" s="558" t="str">
        <f t="shared" si="114"/>
        <v>.</v>
      </c>
      <c r="HH43" s="558" t="str">
        <f t="shared" si="114"/>
        <v>.</v>
      </c>
      <c r="HI43" s="558" t="str">
        <f t="shared" si="114"/>
        <v>.</v>
      </c>
      <c r="HJ43" s="558" t="str">
        <f t="shared" si="114"/>
        <v>.</v>
      </c>
      <c r="HK43" s="558" t="str">
        <f t="shared" si="114"/>
        <v>.</v>
      </c>
      <c r="HL43" s="558" t="str">
        <f t="shared" si="114"/>
        <v>.</v>
      </c>
      <c r="HM43" s="558" t="str">
        <f t="shared" si="114"/>
        <v>.</v>
      </c>
      <c r="HN43" s="558" t="str">
        <f t="shared" si="112"/>
        <v>.</v>
      </c>
      <c r="HO43" s="558" t="str">
        <f t="shared" si="112"/>
        <v>.</v>
      </c>
      <c r="HP43" s="558" t="str">
        <f t="shared" si="112"/>
        <v>.</v>
      </c>
      <c r="HQ43" s="558" t="str">
        <f t="shared" si="112"/>
        <v>.</v>
      </c>
      <c r="HR43" s="558" t="str">
        <f t="shared" si="112"/>
        <v>.</v>
      </c>
      <c r="HS43" s="558" t="str">
        <f t="shared" si="109"/>
        <v>.</v>
      </c>
      <c r="HT43" s="558" t="str">
        <f t="shared" si="109"/>
        <v>.</v>
      </c>
      <c r="HU43" s="558" t="str">
        <f t="shared" si="109"/>
        <v>.</v>
      </c>
      <c r="HV43" s="558" t="str">
        <f t="shared" si="109"/>
        <v>.</v>
      </c>
      <c r="HW43" s="558" t="str">
        <f t="shared" si="109"/>
        <v>.</v>
      </c>
      <c r="HX43" s="558" t="str">
        <f t="shared" si="109"/>
        <v>.</v>
      </c>
      <c r="HY43" s="558" t="str">
        <f t="shared" si="109"/>
        <v>.</v>
      </c>
      <c r="HZ43" s="558" t="str">
        <f t="shared" si="109"/>
        <v>.</v>
      </c>
      <c r="IA43" s="558" t="str">
        <f t="shared" si="109"/>
        <v>.</v>
      </c>
      <c r="IB43" s="558" t="str">
        <f t="shared" si="109"/>
        <v>.</v>
      </c>
      <c r="IC43" s="558" t="str">
        <f t="shared" si="109"/>
        <v>.</v>
      </c>
      <c r="ID43" s="558" t="str">
        <f t="shared" si="109"/>
        <v>.</v>
      </c>
      <c r="IE43" s="558" t="str">
        <f t="shared" si="109"/>
        <v>.</v>
      </c>
      <c r="IF43" s="558" t="str">
        <f t="shared" si="109"/>
        <v>.</v>
      </c>
      <c r="IG43" s="558" t="str">
        <f t="shared" si="109"/>
        <v>.</v>
      </c>
      <c r="IH43" s="558" t="str">
        <f t="shared" si="109"/>
        <v>.</v>
      </c>
      <c r="II43" s="558" t="str">
        <f t="shared" si="109"/>
        <v>.</v>
      </c>
      <c r="IJ43" s="558" t="str">
        <f t="shared" si="110"/>
        <v>.</v>
      </c>
      <c r="IK43" s="558" t="str">
        <f t="shared" si="110"/>
        <v>.</v>
      </c>
      <c r="IL43" s="558" t="str">
        <f t="shared" si="110"/>
        <v>.</v>
      </c>
      <c r="IM43" s="558" t="str">
        <f t="shared" si="110"/>
        <v>.</v>
      </c>
      <c r="IN43" s="558" t="str">
        <f t="shared" si="110"/>
        <v>.</v>
      </c>
      <c r="IO43" s="558" t="str">
        <f t="shared" si="110"/>
        <v>.</v>
      </c>
      <c r="IP43" s="558" t="str">
        <f t="shared" si="110"/>
        <v>.</v>
      </c>
      <c r="IQ43" s="558" t="str">
        <f t="shared" si="110"/>
        <v>.</v>
      </c>
      <c r="IR43" s="558" t="str">
        <f t="shared" si="107"/>
        <v>.</v>
      </c>
      <c r="IS43" s="558" t="str">
        <f t="shared" si="107"/>
        <v>.</v>
      </c>
      <c r="IT43" s="558" t="str">
        <f t="shared" ref="IT43:JC46" si="118" xml:space="preserve"> IF(  OR( IT$18&gt;$FN43, $FN43&gt;$FS$12 ),  LEER,  ROUND( $FR$19 * ( $FO43 - IT$15 * $FP43 ), IT$17 )  )</f>
        <v>.</v>
      </c>
      <c r="IU43" s="558" t="str">
        <f t="shared" si="118"/>
        <v>.</v>
      </c>
      <c r="IV43" s="558" t="str">
        <f t="shared" si="118"/>
        <v>.</v>
      </c>
      <c r="IW43" s="558" t="str">
        <f t="shared" si="118"/>
        <v>.</v>
      </c>
      <c r="IX43" s="558" t="str">
        <f t="shared" si="118"/>
        <v>.</v>
      </c>
      <c r="IY43" s="558" t="str">
        <f t="shared" si="118"/>
        <v>.</v>
      </c>
      <c r="IZ43" s="558" t="str">
        <f t="shared" si="118"/>
        <v>.</v>
      </c>
      <c r="JA43" s="558" t="str">
        <f t="shared" si="118"/>
        <v>.</v>
      </c>
      <c r="JB43" s="558" t="str">
        <f t="shared" si="118"/>
        <v>.</v>
      </c>
      <c r="JC43" s="558" t="str">
        <f t="shared" si="118"/>
        <v>.</v>
      </c>
      <c r="JD43" s="558" t="str">
        <f t="shared" ref="JD43:JJ46" si="119" xml:space="preserve"> IF(  OR( JD$18&gt;$FN43, $FN43&gt;$FS$12 ),  LEER,  ROUND( $FR$19 * ( $FO43 - JD$15 * $FP43 ), JD$17 )  )</f>
        <v>.</v>
      </c>
      <c r="JE43" s="558" t="str">
        <f t="shared" si="119"/>
        <v>.</v>
      </c>
      <c r="JF43" s="558" t="str">
        <f t="shared" si="119"/>
        <v>.</v>
      </c>
      <c r="JG43" s="558" t="str">
        <f t="shared" si="119"/>
        <v>.</v>
      </c>
      <c r="JH43" s="558" t="str">
        <f t="shared" si="119"/>
        <v>.</v>
      </c>
      <c r="JI43" s="558" t="str">
        <f t="shared" si="119"/>
        <v>.</v>
      </c>
      <c r="JJ43" s="558" t="str">
        <f t="shared" si="119"/>
        <v>.</v>
      </c>
      <c r="JK43" s="558" t="str">
        <f t="shared" si="115"/>
        <v>.</v>
      </c>
      <c r="JL43" s="558" t="str">
        <f t="shared" si="115"/>
        <v>.</v>
      </c>
      <c r="JM43" s="558" t="str">
        <f t="shared" si="115"/>
        <v>.</v>
      </c>
      <c r="JN43" s="558" t="str">
        <f t="shared" si="115"/>
        <v>.</v>
      </c>
      <c r="JO43" s="558" t="str">
        <f t="shared" si="115"/>
        <v>.</v>
      </c>
    </row>
    <row r="44" spans="1:275" x14ac:dyDescent="0.2">
      <c r="A44" s="534">
        <f xml:space="preserve"> Basis!A44</f>
        <v>44</v>
      </c>
      <c r="F44" s="536">
        <f xml:space="preserve"> ROUND(    IF( $A$15=BE_MF_,   AW44,   INDEX( qx!44:44, F$16 ) ),    F$17    )</f>
        <v>5.9999999999999995E-4</v>
      </c>
      <c r="G44" s="536">
        <f xml:space="preserve"> ROUND(    IF( $A$15=BE_MF_,   BB44,   INDEX( wx!44:44, G$16 ) ),    G$17    )</f>
        <v>2.5600000000000001E-2</v>
      </c>
      <c r="H44" s="537">
        <f xml:space="preserve"> ROUND(    IF( $A$15=BE_MF_,   BG44,   INDEX( Kx!44:44, H$16 ) ),    H$17    )</f>
        <v>2215.85</v>
      </c>
      <c r="I44" s="538">
        <f t="shared" si="93"/>
        <v>2215.85</v>
      </c>
      <c r="J44" s="539">
        <f t="shared" si="23"/>
        <v>1.0660000000000001</v>
      </c>
      <c r="K44" s="540">
        <f t="shared" si="94"/>
        <v>2</v>
      </c>
      <c r="L44" s="541">
        <f t="shared" si="116"/>
        <v>0</v>
      </c>
      <c r="M44" s="541">
        <f t="shared" si="116"/>
        <v>8.5999999999999993E-2</v>
      </c>
      <c r="O44" s="542" t="b">
        <f t="shared" si="95"/>
        <v>1</v>
      </c>
      <c r="P44" s="493">
        <f t="shared" si="25"/>
        <v>2.6200000000000001E-2</v>
      </c>
      <c r="Q44" s="493">
        <f t="shared" si="26"/>
        <v>0.9738</v>
      </c>
      <c r="R44" s="543">
        <f t="shared" si="27"/>
        <v>778993</v>
      </c>
      <c r="S44" s="544">
        <f t="shared" si="28"/>
        <v>0.97560975599999999</v>
      </c>
      <c r="T44" s="423">
        <f t="shared" si="29"/>
        <v>262835.17</v>
      </c>
      <c r="U44" s="423">
        <f xml:space="preserve"> IF( $O44,    ROUND(  SUM( T44:T$120), U$17 ),  LEER  )</f>
        <v>5272523.5199999996</v>
      </c>
      <c r="V44" s="493">
        <f t="shared" si="30"/>
        <v>20.060199999999998</v>
      </c>
      <c r="W44" s="493">
        <f t="shared" si="31"/>
        <v>280182.28999999998</v>
      </c>
      <c r="X44" s="493">
        <f xml:space="preserve"> IF( $O44,    ROUND(  SUM( W44:W$120), X$17 ),  LEER  )</f>
        <v>12551008.560000001</v>
      </c>
      <c r="Y44" s="493">
        <f t="shared" si="32"/>
        <v>47.752400000000002</v>
      </c>
      <c r="Z44" s="493">
        <f t="shared" si="33"/>
        <v>2.3805000000000001</v>
      </c>
      <c r="AA44" s="493">
        <f t="shared" si="34"/>
        <v>1.0092000000000001</v>
      </c>
      <c r="AB44" s="493">
        <f t="shared" si="35"/>
        <v>2.3494000000000002</v>
      </c>
      <c r="AC44" s="545">
        <f t="shared" si="36"/>
        <v>0.38600000000000001</v>
      </c>
      <c r="AD44" s="493">
        <f t="shared" si="37"/>
        <v>2.4060000000000001</v>
      </c>
      <c r="AE44" s="493">
        <f t="shared" si="38"/>
        <v>3.0547</v>
      </c>
      <c r="AF44" s="493">
        <f t="shared" si="39"/>
        <v>3.0547</v>
      </c>
      <c r="AG44" s="493" t="str">
        <f t="shared" si="40"/>
        <v>.</v>
      </c>
      <c r="AH44" s="493" t="str">
        <f t="shared" si="41"/>
        <v>.</v>
      </c>
      <c r="AI44" s="423">
        <f t="shared" si="42"/>
        <v>2077.79</v>
      </c>
      <c r="AJ44" s="423">
        <f t="shared" si="43"/>
        <v>6347.03</v>
      </c>
      <c r="AK44" s="423">
        <f t="shared" si="44"/>
        <v>528.91999999999996</v>
      </c>
      <c r="AN44" s="423">
        <f t="shared" si="117"/>
        <v>21938.93</v>
      </c>
      <c r="AO44" s="423">
        <f t="shared" si="117"/>
        <v>21013.62</v>
      </c>
      <c r="AR44" s="546">
        <f xml:space="preserve"> ROUND(  INDEX( Kx!44:44, AR$16 ),  AR$17 )</f>
        <v>0.7873</v>
      </c>
      <c r="AS44" s="547">
        <f xml:space="preserve"> ROUND(  INDEX( qx!44:44, AS$16 ),  AS$17 )</f>
        <v>6.9999999999999999E-4</v>
      </c>
      <c r="AT44" s="547">
        <f xml:space="preserve"> ROUND(  INDEX( qx!44:44, AT$16 ),  AT$17 )</f>
        <v>5.0000000000000001E-4</v>
      </c>
      <c r="AU44" s="548" t="str">
        <f t="shared" si="46"/>
        <v>F</v>
      </c>
      <c r="AV44" s="542">
        <f t="shared" si="47"/>
        <v>0.71160000000000001</v>
      </c>
      <c r="AW44" s="542">
        <f t="shared" si="48"/>
        <v>5.9999999999999995E-4</v>
      </c>
      <c r="AX44" s="546">
        <f xml:space="preserve"> ROUND(  INDEX( wx!44:44, AX$16 ),  AX$17 )</f>
        <v>2.3800000000000002E-2</v>
      </c>
      <c r="AY44" s="546">
        <f xml:space="preserve"> ROUND(  INDEX( wx!44:44, AY$16 ),  AY$17 )</f>
        <v>3.5900000000000001E-2</v>
      </c>
      <c r="AZ44" s="548" t="str">
        <f t="shared" si="49"/>
        <v>M</v>
      </c>
      <c r="BA44" s="542">
        <f t="shared" si="50"/>
        <v>0.84740000000000004</v>
      </c>
      <c r="BB44" s="542">
        <f t="shared" si="51"/>
        <v>2.5600000000000001E-2</v>
      </c>
      <c r="BC44" s="533">
        <f xml:space="preserve"> ROUND(  INDEX( Kx!44:44, BC$16 ),  BC$17 )</f>
        <v>1956.93</v>
      </c>
      <c r="BD44" s="533">
        <f xml:space="preserve"> ROUND(  INDEX( Kx!44:44, BD$16 ),  BD$17 )</f>
        <v>2854.7</v>
      </c>
      <c r="BE44" s="548" t="str">
        <f t="shared" si="52"/>
        <v>F</v>
      </c>
      <c r="BF44" s="542">
        <f t="shared" si="53"/>
        <v>0.71160000000000001</v>
      </c>
      <c r="BG44" s="420">
        <f t="shared" si="54"/>
        <v>2215.85</v>
      </c>
      <c r="BQ44" s="549">
        <f t="shared" si="96"/>
        <v>44</v>
      </c>
      <c r="BR44" s="423">
        <f t="shared" si="55"/>
        <v>19138.400000000001</v>
      </c>
      <c r="BS44" s="550">
        <f t="shared" si="56"/>
        <v>2215.85</v>
      </c>
      <c r="BT44" s="423">
        <f t="shared" si="57"/>
        <v>1680.69</v>
      </c>
      <c r="BU44" s="551">
        <f t="shared" si="58"/>
        <v>262835.17</v>
      </c>
      <c r="BV44" s="551">
        <f t="shared" si="59"/>
        <v>1.0538000000000001</v>
      </c>
      <c r="BW44" s="529">
        <f t="shared" si="60"/>
        <v>21938.93</v>
      </c>
      <c r="BX44" s="552">
        <f t="shared" si="61"/>
        <v>1119.8400000000001</v>
      </c>
      <c r="BY44" s="560"/>
      <c r="BZ44" s="559"/>
      <c r="CB44" s="423">
        <f t="shared" si="62"/>
        <v>1678.44</v>
      </c>
      <c r="CC44" s="423">
        <f t="shared" si="63"/>
        <v>548.47</v>
      </c>
      <c r="CD44" s="423">
        <f t="shared" si="64"/>
        <v>650.19000000000005</v>
      </c>
      <c r="CE44" s="423">
        <f t="shared" si="65"/>
        <v>2877.1</v>
      </c>
      <c r="CF44" s="553">
        <f t="shared" si="66"/>
        <v>2877.34</v>
      </c>
      <c r="CH44" s="423">
        <f t="shared" si="67"/>
        <v>3852.4304390000002</v>
      </c>
      <c r="CI44" s="423">
        <f t="shared" si="68"/>
        <v>2214.92</v>
      </c>
      <c r="CJ44" s="423">
        <f t="shared" si="69"/>
        <v>2272.0700000000002</v>
      </c>
      <c r="CK44" s="423">
        <f t="shared" si="97"/>
        <v>-634.33000000000004</v>
      </c>
      <c r="CL44" s="553">
        <f t="shared" si="70"/>
        <v>3852.66</v>
      </c>
      <c r="CN44" s="423">
        <f t="shared" si="71"/>
        <v>3898.5573770000001</v>
      </c>
      <c r="CO44" s="423">
        <f t="shared" si="72"/>
        <v>2214.92</v>
      </c>
      <c r="CP44" s="423">
        <f t="shared" si="73"/>
        <v>2294.54</v>
      </c>
      <c r="CQ44" s="423">
        <f t="shared" si="74"/>
        <v>-610.66999999999996</v>
      </c>
      <c r="CR44" s="553">
        <f t="shared" si="75"/>
        <v>3898.79</v>
      </c>
      <c r="CV44" s="564">
        <f t="shared" si="98"/>
        <v>44</v>
      </c>
      <c r="CW44" s="538">
        <f t="shared" si="76"/>
        <v>21013.62</v>
      </c>
      <c r="CX44" s="566" t="str">
        <f t="shared" si="77"/>
        <v>.</v>
      </c>
      <c r="CY44" s="538" t="str">
        <f t="shared" si="78"/>
        <v>.</v>
      </c>
      <c r="CZ44" s="538" t="str">
        <f t="shared" si="79"/>
        <v>.</v>
      </c>
      <c r="DA44" s="538" t="str">
        <f t="shared" si="80"/>
        <v>.</v>
      </c>
      <c r="DB44" s="567">
        <f t="shared" si="99"/>
        <v>21013.62</v>
      </c>
      <c r="DC44" s="567" t="e">
        <f t="shared" si="100"/>
        <v>#N/A</v>
      </c>
      <c r="DD44" s="567" t="e">
        <f t="shared" si="101"/>
        <v>#N/A</v>
      </c>
      <c r="DE44" s="567" t="e">
        <f t="shared" si="101"/>
        <v>#N/A</v>
      </c>
      <c r="DF44" s="568" t="e">
        <f t="shared" si="102"/>
        <v>#N/A</v>
      </c>
      <c r="EL44" s="553" t="str">
        <f t="shared" si="81"/>
        <v>.</v>
      </c>
      <c r="EM44" s="553" t="str">
        <f t="shared" si="82"/>
        <v>.</v>
      </c>
      <c r="EN44" s="423" t="str">
        <f t="shared" si="83"/>
        <v>.</v>
      </c>
      <c r="EO44" s="555">
        <f xml:space="preserve"> 'i2'!AO44</f>
        <v>21013.62</v>
      </c>
      <c r="EV44" s="533" t="e">
        <f xml:space="preserve"> ROUND(    IF( $A$15=BE_MF_,   LEER,   INDEX( Kx!44:44, EV$16 ) ),    EV$17    )</f>
        <v>#VALUE!</v>
      </c>
      <c r="EW44" s="533" t="e">
        <f xml:space="preserve"> ROUND(    IF( $A$15=BE_MF_,   LEER,   INDEX( Kx!44:44, EW$16 ) ),    EW$17    )</f>
        <v>#VALUE!</v>
      </c>
      <c r="EX44" s="533" t="e">
        <f xml:space="preserve"> ROUND(    IF( $A$15=BE_MF_,   LEER,   INDEX( Kx!44:44, EX$16 ) ),    EX$17    )</f>
        <v>#VALUE!</v>
      </c>
      <c r="EY44" s="556" t="e">
        <f t="shared" si="103"/>
        <v>#VALUE!</v>
      </c>
      <c r="FB44" s="533" t="e">
        <f xml:space="preserve"> ROUND(    IF( $A$15=BE_MF_,   LEER,   INDEX( Kx!44:44, FB$16 ) ),    FB$17    )</f>
        <v>#VALUE!</v>
      </c>
      <c r="FC44" s="533" t="e">
        <f xml:space="preserve"> ROUND(    IF( $A$15=BE_MF_,   LEER,   INDEX( Kx!44:44, FC$16 ) ),    FC$17    )</f>
        <v>#VALUE!</v>
      </c>
      <c r="FD44" s="556" t="e">
        <f t="shared" si="104"/>
        <v>#VALUE!</v>
      </c>
      <c r="FG44" s="556" t="e">
        <f t="shared" si="105"/>
        <v>#VALUE!</v>
      </c>
      <c r="FH44" s="556" t="e">
        <f t="shared" si="105"/>
        <v>#VALUE!</v>
      </c>
      <c r="FI44" s="556" t="e">
        <f t="shared" si="105"/>
        <v>#VALUE!</v>
      </c>
      <c r="FN44" s="557">
        <f t="shared" si="84"/>
        <v>44</v>
      </c>
      <c r="FO44" s="493">
        <f t="shared" si="85"/>
        <v>47.752400000000002</v>
      </c>
      <c r="FP44" s="493">
        <f t="shared" si="86"/>
        <v>20.060199999999998</v>
      </c>
      <c r="FR44" s="427">
        <f t="shared" si="106"/>
        <v>654226.07000000007</v>
      </c>
      <c r="FS44" s="558">
        <f t="shared" si="113"/>
        <v>49185.73</v>
      </c>
      <c r="FT44" s="558">
        <f t="shared" si="113"/>
        <v>47497.65</v>
      </c>
      <c r="FU44" s="558">
        <f t="shared" si="113"/>
        <v>45805.41</v>
      </c>
      <c r="FV44" s="558">
        <f t="shared" si="113"/>
        <v>44113.16</v>
      </c>
      <c r="FW44" s="558">
        <f t="shared" si="113"/>
        <v>42362.57</v>
      </c>
      <c r="FX44" s="558">
        <f t="shared" si="113"/>
        <v>40561.949999999997</v>
      </c>
      <c r="FY44" s="558">
        <f t="shared" si="113"/>
        <v>38778.01</v>
      </c>
      <c r="FZ44" s="558">
        <f t="shared" si="113"/>
        <v>36981.56</v>
      </c>
      <c r="GA44" s="558">
        <f t="shared" si="113"/>
        <v>35122.6</v>
      </c>
      <c r="GB44" s="558">
        <f t="shared" si="113"/>
        <v>33188.6</v>
      </c>
      <c r="GC44" s="558">
        <f t="shared" si="113"/>
        <v>31242.11</v>
      </c>
      <c r="GD44" s="558">
        <f t="shared" si="113"/>
        <v>29266.43</v>
      </c>
      <c r="GE44" s="558">
        <f t="shared" si="113"/>
        <v>27244.91</v>
      </c>
      <c r="GF44" s="558">
        <f t="shared" si="113"/>
        <v>25215.05</v>
      </c>
      <c r="GG44" s="558">
        <f t="shared" si="113"/>
        <v>23122.67</v>
      </c>
      <c r="GH44" s="558">
        <f t="shared" si="113"/>
        <v>21013.62</v>
      </c>
      <c r="GI44" s="558">
        <f t="shared" si="111"/>
        <v>18842.04</v>
      </c>
      <c r="GJ44" s="558">
        <f t="shared" si="111"/>
        <v>16620.45</v>
      </c>
      <c r="GK44" s="558">
        <f t="shared" si="111"/>
        <v>14336.34</v>
      </c>
      <c r="GL44" s="558">
        <f t="shared" si="111"/>
        <v>11985.54</v>
      </c>
      <c r="GM44" s="558">
        <f t="shared" si="111"/>
        <v>9563.8799999999992</v>
      </c>
      <c r="GN44" s="558">
        <f t="shared" si="111"/>
        <v>7050.52</v>
      </c>
      <c r="GO44" s="558">
        <f t="shared" si="111"/>
        <v>4445.47</v>
      </c>
      <c r="GP44" s="558">
        <f t="shared" si="111"/>
        <v>1744.55</v>
      </c>
      <c r="GQ44" s="558">
        <f t="shared" si="111"/>
        <v>-1064.75</v>
      </c>
      <c r="GR44" s="558" t="str">
        <f t="shared" si="111"/>
        <v>.</v>
      </c>
      <c r="GS44" s="558" t="str">
        <f t="shared" si="111"/>
        <v>.</v>
      </c>
      <c r="GT44" s="558" t="str">
        <f t="shared" si="111"/>
        <v>.</v>
      </c>
      <c r="GU44" s="558" t="str">
        <f t="shared" si="111"/>
        <v>.</v>
      </c>
      <c r="GV44" s="558" t="str">
        <f t="shared" si="111"/>
        <v>.</v>
      </c>
      <c r="GW44" s="558" t="str">
        <f t="shared" si="111"/>
        <v>.</v>
      </c>
      <c r="GX44" s="558" t="str">
        <f t="shared" si="114"/>
        <v>.</v>
      </c>
      <c r="GY44" s="558" t="str">
        <f t="shared" si="114"/>
        <v>.</v>
      </c>
      <c r="GZ44" s="558" t="str">
        <f t="shared" si="114"/>
        <v>.</v>
      </c>
      <c r="HA44" s="558" t="str">
        <f t="shared" si="114"/>
        <v>.</v>
      </c>
      <c r="HB44" s="558" t="str">
        <f t="shared" si="114"/>
        <v>.</v>
      </c>
      <c r="HC44" s="558" t="str">
        <f t="shared" si="114"/>
        <v>.</v>
      </c>
      <c r="HD44" s="558" t="str">
        <f t="shared" si="114"/>
        <v>.</v>
      </c>
      <c r="HE44" s="558" t="str">
        <f t="shared" si="114"/>
        <v>.</v>
      </c>
      <c r="HF44" s="558" t="str">
        <f t="shared" si="114"/>
        <v>.</v>
      </c>
      <c r="HG44" s="558" t="str">
        <f t="shared" si="114"/>
        <v>.</v>
      </c>
      <c r="HH44" s="558" t="str">
        <f t="shared" si="114"/>
        <v>.</v>
      </c>
      <c r="HI44" s="558" t="str">
        <f t="shared" si="114"/>
        <v>.</v>
      </c>
      <c r="HJ44" s="558" t="str">
        <f t="shared" si="114"/>
        <v>.</v>
      </c>
      <c r="HK44" s="558" t="str">
        <f t="shared" si="114"/>
        <v>.</v>
      </c>
      <c r="HL44" s="558" t="str">
        <f t="shared" si="114"/>
        <v>.</v>
      </c>
      <c r="HM44" s="558" t="str">
        <f t="shared" si="114"/>
        <v>.</v>
      </c>
      <c r="HN44" s="558" t="str">
        <f t="shared" si="112"/>
        <v>.</v>
      </c>
      <c r="HO44" s="558" t="str">
        <f t="shared" si="112"/>
        <v>.</v>
      </c>
      <c r="HP44" s="558" t="str">
        <f t="shared" si="112"/>
        <v>.</v>
      </c>
      <c r="HQ44" s="558" t="str">
        <f t="shared" si="112"/>
        <v>.</v>
      </c>
      <c r="HR44" s="558" t="str">
        <f t="shared" si="112"/>
        <v>.</v>
      </c>
      <c r="HS44" s="558" t="str">
        <f t="shared" si="109"/>
        <v>.</v>
      </c>
      <c r="HT44" s="558" t="str">
        <f t="shared" si="109"/>
        <v>.</v>
      </c>
      <c r="HU44" s="558" t="str">
        <f t="shared" si="109"/>
        <v>.</v>
      </c>
      <c r="HV44" s="558" t="str">
        <f t="shared" si="109"/>
        <v>.</v>
      </c>
      <c r="HW44" s="558" t="str">
        <f t="shared" si="109"/>
        <v>.</v>
      </c>
      <c r="HX44" s="558" t="str">
        <f t="shared" si="109"/>
        <v>.</v>
      </c>
      <c r="HY44" s="558" t="str">
        <f t="shared" si="109"/>
        <v>.</v>
      </c>
      <c r="HZ44" s="558" t="str">
        <f t="shared" si="109"/>
        <v>.</v>
      </c>
      <c r="IA44" s="558" t="str">
        <f t="shared" si="109"/>
        <v>.</v>
      </c>
      <c r="IB44" s="558" t="str">
        <f t="shared" si="109"/>
        <v>.</v>
      </c>
      <c r="IC44" s="558" t="str">
        <f t="shared" si="109"/>
        <v>.</v>
      </c>
      <c r="ID44" s="558" t="str">
        <f t="shared" si="109"/>
        <v>.</v>
      </c>
      <c r="IE44" s="558" t="str">
        <f t="shared" si="109"/>
        <v>.</v>
      </c>
      <c r="IF44" s="558" t="str">
        <f t="shared" si="109"/>
        <v>.</v>
      </c>
      <c r="IG44" s="558" t="str">
        <f t="shared" si="109"/>
        <v>.</v>
      </c>
      <c r="IH44" s="558" t="str">
        <f t="shared" si="109"/>
        <v>.</v>
      </c>
      <c r="II44" s="558" t="str">
        <f t="shared" si="109"/>
        <v>.</v>
      </c>
      <c r="IJ44" s="558" t="str">
        <f t="shared" si="110"/>
        <v>.</v>
      </c>
      <c r="IK44" s="558" t="str">
        <f t="shared" si="110"/>
        <v>.</v>
      </c>
      <c r="IL44" s="558" t="str">
        <f t="shared" si="110"/>
        <v>.</v>
      </c>
      <c r="IM44" s="558" t="str">
        <f t="shared" si="110"/>
        <v>.</v>
      </c>
      <c r="IN44" s="558" t="str">
        <f t="shared" si="110"/>
        <v>.</v>
      </c>
      <c r="IO44" s="558" t="str">
        <f t="shared" si="110"/>
        <v>.</v>
      </c>
      <c r="IP44" s="558" t="str">
        <f t="shared" si="110"/>
        <v>.</v>
      </c>
      <c r="IQ44" s="558" t="str">
        <f t="shared" si="110"/>
        <v>.</v>
      </c>
      <c r="IR44" s="558" t="str">
        <f t="shared" ref="IR44:IS46" si="120" xml:space="preserve"> IF(  OR( IR$18&gt;$FN44, $FN44&gt;$FS$12 ),  LEER,  ROUND( $FR$19 * ( $FO44 - IR$15 * $FP44 ), IR$17 )  )</f>
        <v>.</v>
      </c>
      <c r="IS44" s="558" t="str">
        <f t="shared" si="120"/>
        <v>.</v>
      </c>
      <c r="IT44" s="558" t="str">
        <f t="shared" si="118"/>
        <v>.</v>
      </c>
      <c r="IU44" s="558" t="str">
        <f t="shared" si="118"/>
        <v>.</v>
      </c>
      <c r="IV44" s="558" t="str">
        <f t="shared" si="118"/>
        <v>.</v>
      </c>
      <c r="IW44" s="558" t="str">
        <f t="shared" si="118"/>
        <v>.</v>
      </c>
      <c r="IX44" s="558" t="str">
        <f t="shared" si="118"/>
        <v>.</v>
      </c>
      <c r="IY44" s="558" t="str">
        <f t="shared" si="118"/>
        <v>.</v>
      </c>
      <c r="IZ44" s="558" t="str">
        <f t="shared" si="118"/>
        <v>.</v>
      </c>
      <c r="JA44" s="558" t="str">
        <f t="shared" si="118"/>
        <v>.</v>
      </c>
      <c r="JB44" s="558" t="str">
        <f t="shared" si="118"/>
        <v>.</v>
      </c>
      <c r="JC44" s="558" t="str">
        <f t="shared" si="118"/>
        <v>.</v>
      </c>
      <c r="JD44" s="558" t="str">
        <f t="shared" si="119"/>
        <v>.</v>
      </c>
      <c r="JE44" s="558" t="str">
        <f t="shared" si="119"/>
        <v>.</v>
      </c>
      <c r="JF44" s="558" t="str">
        <f t="shared" si="119"/>
        <v>.</v>
      </c>
      <c r="JG44" s="558" t="str">
        <f t="shared" si="119"/>
        <v>.</v>
      </c>
      <c r="JH44" s="558" t="str">
        <f t="shared" si="119"/>
        <v>.</v>
      </c>
      <c r="JI44" s="558" t="str">
        <f t="shared" si="119"/>
        <v>.</v>
      </c>
      <c r="JJ44" s="558" t="str">
        <f t="shared" si="119"/>
        <v>.</v>
      </c>
      <c r="JK44" s="558" t="str">
        <f t="shared" si="115"/>
        <v>.</v>
      </c>
      <c r="JL44" s="558" t="str">
        <f t="shared" si="115"/>
        <v>.</v>
      </c>
      <c r="JM44" s="558" t="str">
        <f t="shared" si="115"/>
        <v>.</v>
      </c>
      <c r="JN44" s="558" t="str">
        <f t="shared" si="115"/>
        <v>.</v>
      </c>
      <c r="JO44" s="558" t="str">
        <f t="shared" si="115"/>
        <v>.</v>
      </c>
    </row>
    <row r="45" spans="1:275" x14ac:dyDescent="0.2">
      <c r="A45" s="534">
        <f xml:space="preserve"> Basis!A45</f>
        <v>45</v>
      </c>
      <c r="F45" s="536">
        <f xml:space="preserve"> ROUND(    IF( $A$15=BE_MF_,   AW45,   INDEX( qx!45:45, F$16 ) ),    F$17    )</f>
        <v>6.9999999999999999E-4</v>
      </c>
      <c r="G45" s="536">
        <f xml:space="preserve"> ROUND(    IF( $A$15=BE_MF_,   BB45,   INDEX( wx!45:45, G$16 ) ),    G$17    )</f>
        <v>2.5000000000000001E-2</v>
      </c>
      <c r="H45" s="537">
        <f xml:space="preserve"> ROUND(    IF( $A$15=BE_MF_,   BG45,   INDEX( Kx!45:45, H$16 ) ),    H$17    )</f>
        <v>2265.0100000000002</v>
      </c>
      <c r="I45" s="538">
        <f t="shared" si="93"/>
        <v>2265.0100000000002</v>
      </c>
      <c r="J45" s="539">
        <f t="shared" si="23"/>
        <v>1.0900000000000001</v>
      </c>
      <c r="K45" s="540">
        <f t="shared" si="94"/>
        <v>2</v>
      </c>
      <c r="L45" s="541">
        <f t="shared" si="116"/>
        <v>0</v>
      </c>
      <c r="M45" s="541">
        <f t="shared" si="116"/>
        <v>8.5999999999999993E-2</v>
      </c>
      <c r="O45" s="542" t="b">
        <f t="shared" si="95"/>
        <v>1</v>
      </c>
      <c r="P45" s="493">
        <f t="shared" si="25"/>
        <v>2.5700000000000001E-2</v>
      </c>
      <c r="Q45" s="493">
        <f t="shared" si="26"/>
        <v>0.97430000000000005</v>
      </c>
      <c r="R45" s="543">
        <f t="shared" si="27"/>
        <v>758583</v>
      </c>
      <c r="S45" s="544">
        <f t="shared" si="28"/>
        <v>0.97560975599999999</v>
      </c>
      <c r="T45" s="423">
        <f t="shared" si="29"/>
        <v>249706.11</v>
      </c>
      <c r="U45" s="423">
        <f xml:space="preserve"> IF( $O45,    ROUND(  SUM( T45:T$120), U$17 ),  LEER  )</f>
        <v>5009688.3499999996</v>
      </c>
      <c r="V45" s="493">
        <f t="shared" si="30"/>
        <v>20.0623</v>
      </c>
      <c r="W45" s="493">
        <f t="shared" si="31"/>
        <v>272179.65999999997</v>
      </c>
      <c r="X45" s="493">
        <f xml:space="preserve"> IF( $O45,    ROUND(  SUM( W45:W$120), X$17 ),  LEER  )</f>
        <v>12270826.27</v>
      </c>
      <c r="Y45" s="493">
        <f t="shared" si="32"/>
        <v>49.141100000000002</v>
      </c>
      <c r="Z45" s="493">
        <f t="shared" si="33"/>
        <v>2.4493999999999998</v>
      </c>
      <c r="AA45" s="493">
        <f t="shared" si="34"/>
        <v>1.0092000000000001</v>
      </c>
      <c r="AB45" s="493">
        <f t="shared" si="35"/>
        <v>2.3494000000000002</v>
      </c>
      <c r="AC45" s="545">
        <f t="shared" si="36"/>
        <v>0.38600000000000001</v>
      </c>
      <c r="AD45" s="493">
        <f t="shared" si="37"/>
        <v>2.4754999999999998</v>
      </c>
      <c r="AE45" s="493">
        <f t="shared" si="38"/>
        <v>3.1307</v>
      </c>
      <c r="AF45" s="493">
        <f t="shared" si="39"/>
        <v>3.1307</v>
      </c>
      <c r="AG45" s="493" t="str">
        <f t="shared" si="40"/>
        <v>.</v>
      </c>
      <c r="AH45" s="493" t="str">
        <f t="shared" si="41"/>
        <v>.</v>
      </c>
      <c r="AI45" s="423">
        <f t="shared" si="42"/>
        <v>2077.79</v>
      </c>
      <c r="AJ45" s="423">
        <f t="shared" si="43"/>
        <v>6504.94</v>
      </c>
      <c r="AK45" s="423">
        <f t="shared" si="44"/>
        <v>542.08000000000004</v>
      </c>
      <c r="AN45" s="423">
        <f t="shared" si="117"/>
        <v>24816.27</v>
      </c>
      <c r="AO45" s="423">
        <f t="shared" si="117"/>
        <v>23890.86</v>
      </c>
      <c r="AR45" s="546">
        <f xml:space="preserve"> ROUND(  INDEX( Kx!45:45, AR$16 ),  AR$17 )</f>
        <v>0.79200000000000004</v>
      </c>
      <c r="AS45" s="547">
        <f xml:space="preserve"> ROUND(  INDEX( qx!45:45, AS$16 ),  AS$17 )</f>
        <v>8.0000000000000004E-4</v>
      </c>
      <c r="AT45" s="547">
        <f xml:space="preserve"> ROUND(  INDEX( qx!45:45, AT$16 ),  AT$17 )</f>
        <v>5.9999999999999995E-4</v>
      </c>
      <c r="AU45" s="548" t="str">
        <f t="shared" si="46"/>
        <v>F</v>
      </c>
      <c r="AV45" s="542">
        <f t="shared" si="47"/>
        <v>0.71740000000000004</v>
      </c>
      <c r="AW45" s="542">
        <f t="shared" si="48"/>
        <v>6.9999999999999999E-4</v>
      </c>
      <c r="AX45" s="546">
        <f xml:space="preserve"> ROUND(  INDEX( wx!45:45, AX$16 ),  AX$17 )</f>
        <v>2.3300000000000001E-2</v>
      </c>
      <c r="AY45" s="546">
        <f xml:space="preserve"> ROUND(  INDEX( wx!45:45, AY$16 ),  AY$17 )</f>
        <v>3.4700000000000002E-2</v>
      </c>
      <c r="AZ45" s="548" t="str">
        <f t="shared" si="49"/>
        <v>M</v>
      </c>
      <c r="BA45" s="542">
        <f t="shared" si="50"/>
        <v>0.85099999999999998</v>
      </c>
      <c r="BB45" s="542">
        <f t="shared" si="51"/>
        <v>2.5000000000000001E-2</v>
      </c>
      <c r="BC45" s="533">
        <f xml:space="preserve"> ROUND(  INDEX( Kx!45:45, BC$16 ),  BC$17 )</f>
        <v>2029.37</v>
      </c>
      <c r="BD45" s="533">
        <f xml:space="preserve"> ROUND(  INDEX( Kx!45:45, BD$16 ),  BD$17 )</f>
        <v>2863.2</v>
      </c>
      <c r="BE45" s="548" t="str">
        <f t="shared" si="52"/>
        <v>F</v>
      </c>
      <c r="BF45" s="542">
        <f t="shared" si="53"/>
        <v>0.71740000000000004</v>
      </c>
      <c r="BG45" s="420">
        <f t="shared" si="54"/>
        <v>2265.0100000000002</v>
      </c>
      <c r="BQ45" s="549">
        <f t="shared" si="96"/>
        <v>45</v>
      </c>
      <c r="BR45" s="423">
        <f t="shared" si="55"/>
        <v>21938.93</v>
      </c>
      <c r="BS45" s="550">
        <f t="shared" si="56"/>
        <v>2265.0100000000002</v>
      </c>
      <c r="BT45" s="423">
        <f t="shared" si="57"/>
        <v>1636.58</v>
      </c>
      <c r="BU45" s="551">
        <f t="shared" si="58"/>
        <v>249706.11</v>
      </c>
      <c r="BV45" s="551">
        <f t="shared" si="59"/>
        <v>1.0526</v>
      </c>
      <c r="BW45" s="529">
        <f t="shared" si="60"/>
        <v>24816.27</v>
      </c>
      <c r="BX45" s="552">
        <f t="shared" si="61"/>
        <v>1240.7599999999984</v>
      </c>
      <c r="BY45" s="560"/>
      <c r="BZ45" s="559"/>
      <c r="CB45" s="423">
        <f t="shared" si="62"/>
        <v>1627.33</v>
      </c>
      <c r="CC45" s="423">
        <f t="shared" si="63"/>
        <v>620.41</v>
      </c>
      <c r="CD45" s="423">
        <f t="shared" si="64"/>
        <v>713.89</v>
      </c>
      <c r="CE45" s="423">
        <f t="shared" si="65"/>
        <v>2961.6299999999997</v>
      </c>
      <c r="CF45" s="553">
        <f t="shared" si="66"/>
        <v>2961.5400000000009</v>
      </c>
      <c r="CH45" s="423">
        <f t="shared" si="67"/>
        <v>3852.4304390000002</v>
      </c>
      <c r="CI45" s="423">
        <f t="shared" si="68"/>
        <v>2264.79</v>
      </c>
      <c r="CJ45" s="423">
        <f t="shared" si="69"/>
        <v>2284.0300000000002</v>
      </c>
      <c r="CK45" s="423">
        <f t="shared" si="97"/>
        <v>-696.48</v>
      </c>
      <c r="CL45" s="553">
        <f t="shared" si="70"/>
        <v>3852.3399999999997</v>
      </c>
      <c r="CN45" s="423">
        <f t="shared" si="71"/>
        <v>3898.5573770000001</v>
      </c>
      <c r="CO45" s="423">
        <f t="shared" si="72"/>
        <v>2264.79</v>
      </c>
      <c r="CP45" s="423">
        <f t="shared" si="73"/>
        <v>2306.96</v>
      </c>
      <c r="CQ45" s="423">
        <f t="shared" si="74"/>
        <v>-673.28</v>
      </c>
      <c r="CR45" s="553">
        <f t="shared" si="75"/>
        <v>3898.4700000000003</v>
      </c>
      <c r="CV45" s="564">
        <f t="shared" si="98"/>
        <v>45</v>
      </c>
      <c r="CW45" s="538">
        <f t="shared" si="76"/>
        <v>23890.86</v>
      </c>
      <c r="CX45" s="566" t="str">
        <f t="shared" si="77"/>
        <v>.</v>
      </c>
      <c r="CY45" s="538" t="str">
        <f t="shared" si="78"/>
        <v>.</v>
      </c>
      <c r="CZ45" s="538" t="str">
        <f t="shared" si="79"/>
        <v>.</v>
      </c>
      <c r="DA45" s="538" t="str">
        <f t="shared" si="80"/>
        <v>.</v>
      </c>
      <c r="DB45" s="567">
        <f t="shared" si="99"/>
        <v>23890.86</v>
      </c>
      <c r="DC45" s="567" t="e">
        <f t="shared" si="100"/>
        <v>#N/A</v>
      </c>
      <c r="DD45" s="567" t="e">
        <f t="shared" si="101"/>
        <v>#N/A</v>
      </c>
      <c r="DE45" s="567" t="e">
        <f t="shared" si="101"/>
        <v>#N/A</v>
      </c>
      <c r="DF45" s="568" t="e">
        <f t="shared" si="102"/>
        <v>#N/A</v>
      </c>
      <c r="EL45" s="553" t="str">
        <f t="shared" si="81"/>
        <v>.</v>
      </c>
      <c r="EM45" s="553" t="str">
        <f t="shared" si="82"/>
        <v>.</v>
      </c>
      <c r="EN45" s="423" t="str">
        <f t="shared" si="83"/>
        <v>.</v>
      </c>
      <c r="EO45" s="555">
        <f xml:space="preserve"> 'i2'!AO45</f>
        <v>23890.86</v>
      </c>
      <c r="EV45" s="533" t="e">
        <f xml:space="preserve"> ROUND(    IF( $A$15=BE_MF_,   LEER,   INDEX( Kx!45:45, EV$16 ) ),    EV$17    )</f>
        <v>#VALUE!</v>
      </c>
      <c r="EW45" s="533" t="e">
        <f xml:space="preserve"> ROUND(    IF( $A$15=BE_MF_,   LEER,   INDEX( Kx!45:45, EW$16 ) ),    EW$17    )</f>
        <v>#VALUE!</v>
      </c>
      <c r="EX45" s="533" t="e">
        <f xml:space="preserve"> ROUND(    IF( $A$15=BE_MF_,   LEER,   INDEX( Kx!45:45, EX$16 ) ),    EX$17    )</f>
        <v>#VALUE!</v>
      </c>
      <c r="EY45" s="556" t="e">
        <f t="shared" si="103"/>
        <v>#VALUE!</v>
      </c>
      <c r="FB45" s="533" t="e">
        <f xml:space="preserve"> ROUND(    IF( $A$15=BE_MF_,   LEER,   INDEX( Kx!45:45, FB$16 ) ),    FB$17    )</f>
        <v>#VALUE!</v>
      </c>
      <c r="FC45" s="533" t="e">
        <f xml:space="preserve"> ROUND(    IF( $A$15=BE_MF_,   LEER,   INDEX( Kx!45:45, FC$16 ) ),    FC$17    )</f>
        <v>#VALUE!</v>
      </c>
      <c r="FD45" s="556" t="e">
        <f t="shared" si="104"/>
        <v>#VALUE!</v>
      </c>
      <c r="FG45" s="556" t="e">
        <f t="shared" si="105"/>
        <v>#VALUE!</v>
      </c>
      <c r="FH45" s="556" t="e">
        <f t="shared" si="105"/>
        <v>#VALUE!</v>
      </c>
      <c r="FI45" s="556" t="e">
        <f t="shared" si="105"/>
        <v>#VALUE!</v>
      </c>
      <c r="FN45" s="557">
        <f t="shared" si="84"/>
        <v>45</v>
      </c>
      <c r="FO45" s="493">
        <f t="shared" si="85"/>
        <v>49.141100000000002</v>
      </c>
      <c r="FP45" s="493">
        <f t="shared" si="86"/>
        <v>20.0623</v>
      </c>
      <c r="FR45" s="427">
        <f t="shared" si="106"/>
        <v>725083.62000000011</v>
      </c>
      <c r="FS45" s="558">
        <f t="shared" si="113"/>
        <v>52065.919999999998</v>
      </c>
      <c r="FT45" s="558">
        <f t="shared" si="113"/>
        <v>50377.66</v>
      </c>
      <c r="FU45" s="558">
        <f t="shared" si="113"/>
        <v>48685.24</v>
      </c>
      <c r="FV45" s="558">
        <f t="shared" si="113"/>
        <v>46992.82</v>
      </c>
      <c r="FW45" s="558">
        <f t="shared" si="113"/>
        <v>45242.04</v>
      </c>
      <c r="FX45" s="558">
        <f t="shared" si="113"/>
        <v>43441.24</v>
      </c>
      <c r="FY45" s="558">
        <f t="shared" si="113"/>
        <v>41657.11</v>
      </c>
      <c r="FZ45" s="558">
        <f t="shared" si="113"/>
        <v>39860.480000000003</v>
      </c>
      <c r="GA45" s="558">
        <f t="shared" si="113"/>
        <v>38001.31</v>
      </c>
      <c r="GB45" s="558">
        <f t="shared" si="113"/>
        <v>36067.120000000003</v>
      </c>
      <c r="GC45" s="558">
        <f t="shared" si="113"/>
        <v>34120.42</v>
      </c>
      <c r="GD45" s="558">
        <f t="shared" si="113"/>
        <v>32144.54</v>
      </c>
      <c r="GE45" s="558">
        <f t="shared" si="113"/>
        <v>30122.799999999999</v>
      </c>
      <c r="GF45" s="558">
        <f t="shared" si="113"/>
        <v>28092.73</v>
      </c>
      <c r="GG45" s="558">
        <f t="shared" si="113"/>
        <v>26000.13</v>
      </c>
      <c r="GH45" s="558">
        <f t="shared" si="113"/>
        <v>23890.86</v>
      </c>
      <c r="GI45" s="558">
        <f t="shared" si="111"/>
        <v>21719.06</v>
      </c>
      <c r="GJ45" s="558">
        <f t="shared" si="111"/>
        <v>19497.23</v>
      </c>
      <c r="GK45" s="558">
        <f t="shared" si="111"/>
        <v>17212.88</v>
      </c>
      <c r="GL45" s="558">
        <f t="shared" si="111"/>
        <v>14861.83</v>
      </c>
      <c r="GM45" s="558">
        <f t="shared" si="111"/>
        <v>12439.92</v>
      </c>
      <c r="GN45" s="558">
        <f t="shared" si="111"/>
        <v>9926.2999999999993</v>
      </c>
      <c r="GO45" s="558">
        <f t="shared" si="111"/>
        <v>7320.97</v>
      </c>
      <c r="GP45" s="558">
        <f t="shared" si="111"/>
        <v>4619.7700000000004</v>
      </c>
      <c r="GQ45" s="558">
        <f t="shared" si="111"/>
        <v>1810.18</v>
      </c>
      <c r="GR45" s="558">
        <f t="shared" si="111"/>
        <v>-1086.94</v>
      </c>
      <c r="GS45" s="558" t="str">
        <f t="shared" si="111"/>
        <v>.</v>
      </c>
      <c r="GT45" s="558" t="str">
        <f t="shared" si="111"/>
        <v>.</v>
      </c>
      <c r="GU45" s="558" t="str">
        <f t="shared" si="111"/>
        <v>.</v>
      </c>
      <c r="GV45" s="558" t="str">
        <f t="shared" si="111"/>
        <v>.</v>
      </c>
      <c r="GW45" s="558" t="str">
        <f t="shared" si="111"/>
        <v>.</v>
      </c>
      <c r="GX45" s="558" t="str">
        <f t="shared" si="114"/>
        <v>.</v>
      </c>
      <c r="GY45" s="558" t="str">
        <f t="shared" si="114"/>
        <v>.</v>
      </c>
      <c r="GZ45" s="558" t="str">
        <f t="shared" si="114"/>
        <v>.</v>
      </c>
      <c r="HA45" s="558" t="str">
        <f t="shared" si="114"/>
        <v>.</v>
      </c>
      <c r="HB45" s="558" t="str">
        <f t="shared" si="114"/>
        <v>.</v>
      </c>
      <c r="HC45" s="558" t="str">
        <f t="shared" si="114"/>
        <v>.</v>
      </c>
      <c r="HD45" s="558" t="str">
        <f t="shared" si="114"/>
        <v>.</v>
      </c>
      <c r="HE45" s="558" t="str">
        <f t="shared" si="114"/>
        <v>.</v>
      </c>
      <c r="HF45" s="558" t="str">
        <f t="shared" si="114"/>
        <v>.</v>
      </c>
      <c r="HG45" s="558" t="str">
        <f t="shared" si="114"/>
        <v>.</v>
      </c>
      <c r="HH45" s="558" t="str">
        <f t="shared" si="114"/>
        <v>.</v>
      </c>
      <c r="HI45" s="558" t="str">
        <f t="shared" si="114"/>
        <v>.</v>
      </c>
      <c r="HJ45" s="558" t="str">
        <f t="shared" si="114"/>
        <v>.</v>
      </c>
      <c r="HK45" s="558" t="str">
        <f t="shared" si="114"/>
        <v>.</v>
      </c>
      <c r="HL45" s="558" t="str">
        <f t="shared" si="114"/>
        <v>.</v>
      </c>
      <c r="HM45" s="558" t="str">
        <f t="shared" si="114"/>
        <v>.</v>
      </c>
      <c r="HN45" s="558" t="str">
        <f t="shared" ref="HN45:HR50" si="121" xml:space="preserve"> IF(  OR( HN$18&gt;$FN45, $FN45&gt;$FS$12 ),  LEER,  ROUND( $FR$19 * ( $FO45 - HN$15 * $FP45 ), HN$17 )  )</f>
        <v>.</v>
      </c>
      <c r="HO45" s="558" t="str">
        <f t="shared" si="121"/>
        <v>.</v>
      </c>
      <c r="HP45" s="558" t="str">
        <f t="shared" si="121"/>
        <v>.</v>
      </c>
      <c r="HQ45" s="558" t="str">
        <f t="shared" si="121"/>
        <v>.</v>
      </c>
      <c r="HR45" s="558" t="str">
        <f t="shared" si="121"/>
        <v>.</v>
      </c>
      <c r="HS45" s="558" t="str">
        <f t="shared" si="109"/>
        <v>.</v>
      </c>
      <c r="HT45" s="558" t="str">
        <f t="shared" si="109"/>
        <v>.</v>
      </c>
      <c r="HU45" s="558" t="str">
        <f t="shared" si="109"/>
        <v>.</v>
      </c>
      <c r="HV45" s="558" t="str">
        <f t="shared" si="109"/>
        <v>.</v>
      </c>
      <c r="HW45" s="558" t="str">
        <f t="shared" si="109"/>
        <v>.</v>
      </c>
      <c r="HX45" s="558" t="str">
        <f t="shared" si="109"/>
        <v>.</v>
      </c>
      <c r="HY45" s="558" t="str">
        <f t="shared" si="109"/>
        <v>.</v>
      </c>
      <c r="HZ45" s="558" t="str">
        <f t="shared" si="109"/>
        <v>.</v>
      </c>
      <c r="IA45" s="558" t="str">
        <f t="shared" si="109"/>
        <v>.</v>
      </c>
      <c r="IB45" s="558" t="str">
        <f t="shared" si="109"/>
        <v>.</v>
      </c>
      <c r="IC45" s="558" t="str">
        <f t="shared" si="109"/>
        <v>.</v>
      </c>
      <c r="ID45" s="558" t="str">
        <f t="shared" si="109"/>
        <v>.</v>
      </c>
      <c r="IE45" s="558" t="str">
        <f t="shared" si="109"/>
        <v>.</v>
      </c>
      <c r="IF45" s="558" t="str">
        <f t="shared" si="109"/>
        <v>.</v>
      </c>
      <c r="IG45" s="558" t="str">
        <f t="shared" si="109"/>
        <v>.</v>
      </c>
      <c r="IH45" s="558" t="str">
        <f t="shared" si="109"/>
        <v>.</v>
      </c>
      <c r="II45" s="558" t="str">
        <f t="shared" si="109"/>
        <v>.</v>
      </c>
      <c r="IJ45" s="558" t="str">
        <f t="shared" si="110"/>
        <v>.</v>
      </c>
      <c r="IK45" s="558" t="str">
        <f t="shared" si="110"/>
        <v>.</v>
      </c>
      <c r="IL45" s="558" t="str">
        <f t="shared" si="110"/>
        <v>.</v>
      </c>
      <c r="IM45" s="558" t="str">
        <f t="shared" si="110"/>
        <v>.</v>
      </c>
      <c r="IN45" s="558" t="str">
        <f t="shared" si="110"/>
        <v>.</v>
      </c>
      <c r="IO45" s="558" t="str">
        <f t="shared" si="110"/>
        <v>.</v>
      </c>
      <c r="IP45" s="558" t="str">
        <f t="shared" si="110"/>
        <v>.</v>
      </c>
      <c r="IQ45" s="558" t="str">
        <f t="shared" si="110"/>
        <v>.</v>
      </c>
      <c r="IR45" s="558" t="str">
        <f t="shared" si="120"/>
        <v>.</v>
      </c>
      <c r="IS45" s="558" t="str">
        <f t="shared" si="120"/>
        <v>.</v>
      </c>
      <c r="IT45" s="558" t="str">
        <f t="shared" si="118"/>
        <v>.</v>
      </c>
      <c r="IU45" s="558" t="str">
        <f t="shared" si="118"/>
        <v>.</v>
      </c>
      <c r="IV45" s="558" t="str">
        <f t="shared" si="118"/>
        <v>.</v>
      </c>
      <c r="IW45" s="558" t="str">
        <f t="shared" si="118"/>
        <v>.</v>
      </c>
      <c r="IX45" s="558" t="str">
        <f t="shared" si="118"/>
        <v>.</v>
      </c>
      <c r="IY45" s="558" t="str">
        <f t="shared" si="118"/>
        <v>.</v>
      </c>
      <c r="IZ45" s="558" t="str">
        <f t="shared" si="118"/>
        <v>.</v>
      </c>
      <c r="JA45" s="558" t="str">
        <f t="shared" si="118"/>
        <v>.</v>
      </c>
      <c r="JB45" s="558" t="str">
        <f t="shared" si="118"/>
        <v>.</v>
      </c>
      <c r="JC45" s="558" t="str">
        <f t="shared" si="118"/>
        <v>.</v>
      </c>
      <c r="JD45" s="558" t="str">
        <f t="shared" si="119"/>
        <v>.</v>
      </c>
      <c r="JE45" s="558" t="str">
        <f t="shared" si="119"/>
        <v>.</v>
      </c>
      <c r="JF45" s="558" t="str">
        <f t="shared" si="119"/>
        <v>.</v>
      </c>
      <c r="JG45" s="558" t="str">
        <f t="shared" si="119"/>
        <v>.</v>
      </c>
      <c r="JH45" s="558" t="str">
        <f t="shared" si="119"/>
        <v>.</v>
      </c>
      <c r="JI45" s="558" t="str">
        <f t="shared" si="119"/>
        <v>.</v>
      </c>
      <c r="JJ45" s="558" t="str">
        <f t="shared" si="119"/>
        <v>.</v>
      </c>
      <c r="JK45" s="558" t="str">
        <f t="shared" si="115"/>
        <v>.</v>
      </c>
      <c r="JL45" s="558" t="str">
        <f t="shared" si="115"/>
        <v>.</v>
      </c>
      <c r="JM45" s="558" t="str">
        <f t="shared" si="115"/>
        <v>.</v>
      </c>
      <c r="JN45" s="558" t="str">
        <f t="shared" si="115"/>
        <v>.</v>
      </c>
      <c r="JO45" s="558" t="str">
        <f t="shared" si="115"/>
        <v>.</v>
      </c>
    </row>
    <row r="46" spans="1:275" x14ac:dyDescent="0.2">
      <c r="A46" s="534">
        <f xml:space="preserve"> Basis!A46</f>
        <v>46</v>
      </c>
      <c r="F46" s="536">
        <f xml:space="preserve"> ROUND(    IF( $A$15=BE_MF_,   AW46,   INDEX( qx!46:46, F$16 ) ),    F$17    )</f>
        <v>8.0000000000000004E-4</v>
      </c>
      <c r="G46" s="536">
        <f xml:space="preserve"> ROUND(    IF( $A$15=BE_MF_,   BB46,   INDEX( wx!46:46, G$16 ) ),    G$17    )</f>
        <v>2.4199999999999999E-2</v>
      </c>
      <c r="H46" s="537">
        <f xml:space="preserve"> ROUND(    IF( $A$15=BE_MF_,   BG46,   INDEX( Kx!46:46, H$16 ) ),    H$17    )</f>
        <v>2333.6999999999998</v>
      </c>
      <c r="I46" s="538">
        <f t="shared" si="93"/>
        <v>2333.6999999999998</v>
      </c>
      <c r="J46" s="539">
        <f t="shared" si="23"/>
        <v>1.123</v>
      </c>
      <c r="K46" s="540">
        <f t="shared" si="94"/>
        <v>2</v>
      </c>
      <c r="L46" s="541">
        <f t="shared" si="116"/>
        <v>0</v>
      </c>
      <c r="M46" s="541">
        <f t="shared" si="116"/>
        <v>8.5999999999999993E-2</v>
      </c>
      <c r="O46" s="542" t="b">
        <f t="shared" si="95"/>
        <v>1</v>
      </c>
      <c r="P46" s="493">
        <f t="shared" si="25"/>
        <v>2.5000000000000001E-2</v>
      </c>
      <c r="Q46" s="493">
        <f t="shared" si="26"/>
        <v>0.97499999999999998</v>
      </c>
      <c r="R46" s="543">
        <f t="shared" si="27"/>
        <v>739087</v>
      </c>
      <c r="S46" s="544">
        <f t="shared" si="28"/>
        <v>0.97560975599999999</v>
      </c>
      <c r="T46" s="423">
        <f t="shared" si="29"/>
        <v>237354.65</v>
      </c>
      <c r="U46" s="423">
        <f xml:space="preserve"> IF( $O46,    ROUND(  SUM( T46:T$120), U$17 ),  LEER  )</f>
        <v>4759982.24</v>
      </c>
      <c r="V46" s="493">
        <f t="shared" si="30"/>
        <v>20.054300000000001</v>
      </c>
      <c r="W46" s="493">
        <f t="shared" si="31"/>
        <v>266549.27</v>
      </c>
      <c r="X46" s="493">
        <f xml:space="preserve"> IF( $O46,    ROUND(  SUM( W46:W$120), X$17 ),  LEER  )</f>
        <v>11998646.609999999</v>
      </c>
      <c r="Y46" s="493">
        <f t="shared" si="32"/>
        <v>50.551600000000001</v>
      </c>
      <c r="Z46" s="493">
        <f t="shared" si="33"/>
        <v>2.5207000000000002</v>
      </c>
      <c r="AA46" s="493">
        <f t="shared" si="34"/>
        <v>1.0092000000000001</v>
      </c>
      <c r="AB46" s="493">
        <f t="shared" si="35"/>
        <v>2.3494000000000002</v>
      </c>
      <c r="AC46" s="545">
        <f t="shared" si="36"/>
        <v>0.38600000000000001</v>
      </c>
      <c r="AD46" s="493">
        <f t="shared" si="37"/>
        <v>2.5474000000000001</v>
      </c>
      <c r="AE46" s="493">
        <f t="shared" si="38"/>
        <v>3.2094</v>
      </c>
      <c r="AF46" s="493">
        <f t="shared" si="39"/>
        <v>3.2094</v>
      </c>
      <c r="AG46" s="493" t="str">
        <f t="shared" si="40"/>
        <v>.</v>
      </c>
      <c r="AH46" s="493" t="str">
        <f t="shared" si="41"/>
        <v>.</v>
      </c>
      <c r="AI46" s="423">
        <f t="shared" si="42"/>
        <v>2077.79</v>
      </c>
      <c r="AJ46" s="423">
        <f t="shared" si="43"/>
        <v>6668.46</v>
      </c>
      <c r="AK46" s="423">
        <f t="shared" si="44"/>
        <v>555.71</v>
      </c>
      <c r="AN46" s="423">
        <f t="shared" si="117"/>
        <v>27777.81</v>
      </c>
      <c r="AO46" s="423">
        <f t="shared" si="117"/>
        <v>26852.77</v>
      </c>
      <c r="AR46" s="546">
        <f xml:space="preserve"> ROUND(  INDEX( Kx!46:46, AR$16 ),  AR$17 )</f>
        <v>0.78810000000000002</v>
      </c>
      <c r="AS46" s="547">
        <f xml:space="preserve"> ROUND(  INDEX( qx!46:46, AS$16 ),  AS$17 )</f>
        <v>8.9999999999999998E-4</v>
      </c>
      <c r="AT46" s="547">
        <f xml:space="preserve"> ROUND(  INDEX( qx!46:46, AT$16 ),  AT$17 )</f>
        <v>6.9999999999999999E-4</v>
      </c>
      <c r="AU46" s="548" t="str">
        <f t="shared" si="46"/>
        <v>F</v>
      </c>
      <c r="AV46" s="542">
        <f t="shared" si="47"/>
        <v>0.71260000000000001</v>
      </c>
      <c r="AW46" s="542">
        <f t="shared" si="48"/>
        <v>8.0000000000000004E-4</v>
      </c>
      <c r="AX46" s="546">
        <f xml:space="preserve"> ROUND(  INDEX( wx!46:46, AX$16 ),  AX$17 )</f>
        <v>2.2599999999999999E-2</v>
      </c>
      <c r="AY46" s="546">
        <f xml:space="preserve"> ROUND(  INDEX( wx!46:46, AY$16 ),  AY$17 )</f>
        <v>3.32E-2</v>
      </c>
      <c r="AZ46" s="548" t="str">
        <f t="shared" si="49"/>
        <v>M</v>
      </c>
      <c r="BA46" s="542">
        <f t="shared" si="50"/>
        <v>0.84799999999999998</v>
      </c>
      <c r="BB46" s="542">
        <f t="shared" si="51"/>
        <v>2.4199999999999999E-2</v>
      </c>
      <c r="BC46" s="533">
        <f xml:space="preserve"> ROUND(  INDEX( Kx!46:46, BC$16 ),  BC$17 )</f>
        <v>2107.65</v>
      </c>
      <c r="BD46" s="533">
        <f xml:space="preserve"> ROUND(  INDEX( Kx!46:46, BD$16 ),  BD$17 )</f>
        <v>2894.18</v>
      </c>
      <c r="BE46" s="548" t="str">
        <f t="shared" si="52"/>
        <v>F</v>
      </c>
      <c r="BF46" s="542">
        <f t="shared" si="53"/>
        <v>0.71260000000000001</v>
      </c>
      <c r="BG46" s="420">
        <f t="shared" si="54"/>
        <v>2333.6999999999998</v>
      </c>
      <c r="BQ46" s="549">
        <f t="shared" si="96"/>
        <v>46</v>
      </c>
      <c r="BR46" s="423">
        <f t="shared" si="55"/>
        <v>24816.27</v>
      </c>
      <c r="BS46" s="550">
        <f t="shared" si="56"/>
        <v>2333.6999999999998</v>
      </c>
      <c r="BT46" s="423">
        <f t="shared" si="57"/>
        <v>1587.42</v>
      </c>
      <c r="BU46" s="551">
        <f t="shared" si="58"/>
        <v>237354.65</v>
      </c>
      <c r="BV46" s="551">
        <f t="shared" si="59"/>
        <v>1.052</v>
      </c>
      <c r="BW46" s="529">
        <f t="shared" si="60"/>
        <v>27777.81</v>
      </c>
      <c r="BX46" s="552">
        <f t="shared" si="61"/>
        <v>1374.119999999999</v>
      </c>
      <c r="BY46" s="560"/>
      <c r="BZ46" s="559"/>
      <c r="CB46" s="423">
        <f t="shared" si="62"/>
        <v>1557.05</v>
      </c>
      <c r="CC46" s="423">
        <f t="shared" si="63"/>
        <v>694.45</v>
      </c>
      <c r="CD46" s="423">
        <f t="shared" si="64"/>
        <v>769.98</v>
      </c>
      <c r="CE46" s="423">
        <f t="shared" si="65"/>
        <v>3021.48</v>
      </c>
      <c r="CF46" s="553">
        <f t="shared" si="66"/>
        <v>3021.2599999999984</v>
      </c>
      <c r="CH46" s="423">
        <f t="shared" si="67"/>
        <v>3852.4304390000002</v>
      </c>
      <c r="CI46" s="423">
        <f t="shared" si="68"/>
        <v>2333.36</v>
      </c>
      <c r="CJ46" s="423">
        <f t="shared" si="69"/>
        <v>2270.06</v>
      </c>
      <c r="CK46" s="423">
        <f t="shared" si="97"/>
        <v>-751.2</v>
      </c>
      <c r="CL46" s="553">
        <f t="shared" si="70"/>
        <v>3852.2200000000003</v>
      </c>
      <c r="CN46" s="423">
        <f t="shared" si="71"/>
        <v>3898.5573770000001</v>
      </c>
      <c r="CO46" s="423">
        <f t="shared" si="72"/>
        <v>2333.36</v>
      </c>
      <c r="CP46" s="423">
        <f t="shared" si="73"/>
        <v>2293.65</v>
      </c>
      <c r="CQ46" s="423">
        <f t="shared" si="74"/>
        <v>-728.66</v>
      </c>
      <c r="CR46" s="553">
        <f t="shared" si="75"/>
        <v>3898.3500000000004</v>
      </c>
      <c r="CV46" s="564">
        <f t="shared" si="98"/>
        <v>46</v>
      </c>
      <c r="CW46" s="538">
        <f t="shared" si="76"/>
        <v>26852.77</v>
      </c>
      <c r="CX46" s="566" t="str">
        <f t="shared" si="77"/>
        <v>.</v>
      </c>
      <c r="CY46" s="538" t="str">
        <f t="shared" si="78"/>
        <v>.</v>
      </c>
      <c r="CZ46" s="538" t="str">
        <f t="shared" si="79"/>
        <v>.</v>
      </c>
      <c r="DA46" s="538" t="str">
        <f t="shared" si="80"/>
        <v>.</v>
      </c>
      <c r="DB46" s="567">
        <f t="shared" si="99"/>
        <v>26852.77</v>
      </c>
      <c r="DC46" s="567" t="e">
        <f t="shared" si="100"/>
        <v>#N/A</v>
      </c>
      <c r="DD46" s="567" t="e">
        <f t="shared" si="101"/>
        <v>#N/A</v>
      </c>
      <c r="DE46" s="567" t="e">
        <f t="shared" si="101"/>
        <v>#N/A</v>
      </c>
      <c r="DF46" s="568" t="e">
        <f t="shared" si="102"/>
        <v>#N/A</v>
      </c>
      <c r="EL46" s="553" t="str">
        <f t="shared" si="81"/>
        <v>.</v>
      </c>
      <c r="EM46" s="553" t="str">
        <f t="shared" si="82"/>
        <v>.</v>
      </c>
      <c r="EN46" s="423" t="str">
        <f t="shared" si="83"/>
        <v>.</v>
      </c>
      <c r="EO46" s="555">
        <f xml:space="preserve"> 'i2'!AO46</f>
        <v>26852.77</v>
      </c>
      <c r="EV46" s="533" t="e">
        <f xml:space="preserve"> ROUND(    IF( $A$15=BE_MF_,   LEER,   INDEX( Kx!46:46, EV$16 ) ),    EV$17    )</f>
        <v>#VALUE!</v>
      </c>
      <c r="EW46" s="533" t="e">
        <f xml:space="preserve"> ROUND(    IF( $A$15=BE_MF_,   LEER,   INDEX( Kx!46:46, EW$16 ) ),    EW$17    )</f>
        <v>#VALUE!</v>
      </c>
      <c r="EX46" s="533" t="e">
        <f xml:space="preserve"> ROUND(    IF( $A$15=BE_MF_,   LEER,   INDEX( Kx!46:46, EX$16 ) ),    EX$17    )</f>
        <v>#VALUE!</v>
      </c>
      <c r="EY46" s="556" t="e">
        <f t="shared" si="103"/>
        <v>#VALUE!</v>
      </c>
      <c r="FB46" s="533" t="e">
        <f xml:space="preserve"> ROUND(    IF( $A$15=BE_MF_,   LEER,   INDEX( Kx!46:46, FB$16 ) ),    FB$17    )</f>
        <v>#VALUE!</v>
      </c>
      <c r="FC46" s="533" t="e">
        <f xml:space="preserve"> ROUND(    IF( $A$15=BE_MF_,   LEER,   INDEX( Kx!46:46, FC$16 ) ),    FC$17    )</f>
        <v>#VALUE!</v>
      </c>
      <c r="FD46" s="556" t="e">
        <f t="shared" si="104"/>
        <v>#VALUE!</v>
      </c>
      <c r="FG46" s="556" t="e">
        <f t="shared" si="105"/>
        <v>#VALUE!</v>
      </c>
      <c r="FH46" s="556" t="e">
        <f t="shared" si="105"/>
        <v>#VALUE!</v>
      </c>
      <c r="FI46" s="556" t="e">
        <f t="shared" si="105"/>
        <v>#VALUE!</v>
      </c>
      <c r="FN46" s="557">
        <f t="shared" si="84"/>
        <v>46</v>
      </c>
      <c r="FO46" s="493">
        <f t="shared" si="85"/>
        <v>50.551600000000001</v>
      </c>
      <c r="FP46" s="493">
        <f t="shared" si="86"/>
        <v>20.054300000000001</v>
      </c>
      <c r="FR46" s="427">
        <f t="shared" si="106"/>
        <v>800940.84999999986</v>
      </c>
      <c r="FS46" s="558">
        <f t="shared" si="113"/>
        <v>55016.59</v>
      </c>
      <c r="FT46" s="558">
        <f t="shared" si="113"/>
        <v>53329.01</v>
      </c>
      <c r="FU46" s="558">
        <f t="shared" si="113"/>
        <v>51637.27</v>
      </c>
      <c r="FV46" s="558">
        <f t="shared" si="113"/>
        <v>49945.52</v>
      </c>
      <c r="FW46" s="558">
        <f t="shared" si="113"/>
        <v>48195.44</v>
      </c>
      <c r="FX46" s="558">
        <f t="shared" si="113"/>
        <v>46395.35</v>
      </c>
      <c r="FY46" s="558">
        <f t="shared" si="113"/>
        <v>44611.94</v>
      </c>
      <c r="FZ46" s="558">
        <f t="shared" si="113"/>
        <v>42816.02</v>
      </c>
      <c r="GA46" s="558">
        <f t="shared" si="113"/>
        <v>40957.599999999999</v>
      </c>
      <c r="GB46" s="558">
        <f t="shared" si="113"/>
        <v>39024.17</v>
      </c>
      <c r="GC46" s="558">
        <f t="shared" si="113"/>
        <v>37078.25</v>
      </c>
      <c r="GD46" s="558">
        <f t="shared" si="113"/>
        <v>35103.160000000003</v>
      </c>
      <c r="GE46" s="558">
        <f t="shared" si="113"/>
        <v>33082.230000000003</v>
      </c>
      <c r="GF46" s="558">
        <f t="shared" si="113"/>
        <v>31052.97</v>
      </c>
      <c r="GG46" s="558">
        <f t="shared" si="113"/>
        <v>28961.200000000001</v>
      </c>
      <c r="GH46" s="558">
        <f t="shared" si="113"/>
        <v>26852.77</v>
      </c>
      <c r="GI46" s="558">
        <f t="shared" si="111"/>
        <v>24681.83</v>
      </c>
      <c r="GJ46" s="558">
        <f t="shared" si="111"/>
        <v>22460.9</v>
      </c>
      <c r="GK46" s="558">
        <f t="shared" si="111"/>
        <v>20177.46</v>
      </c>
      <c r="GL46" s="558">
        <f t="shared" si="111"/>
        <v>17827.349999999999</v>
      </c>
      <c r="GM46" s="558">
        <f t="shared" si="111"/>
        <v>15406.4</v>
      </c>
      <c r="GN46" s="558">
        <f t="shared" si="111"/>
        <v>12893.78</v>
      </c>
      <c r="GO46" s="558">
        <f t="shared" si="111"/>
        <v>10289.49</v>
      </c>
      <c r="GP46" s="558">
        <f t="shared" si="111"/>
        <v>7589.36</v>
      </c>
      <c r="GQ46" s="558">
        <f t="shared" si="111"/>
        <v>4780.8999999999996</v>
      </c>
      <c r="GR46" s="558">
        <f t="shared" si="111"/>
        <v>1884.93</v>
      </c>
      <c r="GS46" s="558">
        <f t="shared" si="111"/>
        <v>-1111.04</v>
      </c>
      <c r="GT46" s="558" t="str">
        <f t="shared" si="111"/>
        <v>.</v>
      </c>
      <c r="GU46" s="558" t="str">
        <f t="shared" si="111"/>
        <v>.</v>
      </c>
      <c r="GV46" s="558" t="str">
        <f t="shared" si="111"/>
        <v>.</v>
      </c>
      <c r="GW46" s="558" t="str">
        <f t="shared" si="111"/>
        <v>.</v>
      </c>
      <c r="GX46" s="558" t="str">
        <f t="shared" si="114"/>
        <v>.</v>
      </c>
      <c r="GY46" s="558" t="str">
        <f t="shared" si="114"/>
        <v>.</v>
      </c>
      <c r="GZ46" s="558" t="str">
        <f t="shared" si="114"/>
        <v>.</v>
      </c>
      <c r="HA46" s="558" t="str">
        <f t="shared" si="114"/>
        <v>.</v>
      </c>
      <c r="HB46" s="558" t="str">
        <f t="shared" si="114"/>
        <v>.</v>
      </c>
      <c r="HC46" s="558" t="str">
        <f t="shared" si="114"/>
        <v>.</v>
      </c>
      <c r="HD46" s="558" t="str">
        <f t="shared" si="114"/>
        <v>.</v>
      </c>
      <c r="HE46" s="558" t="str">
        <f t="shared" si="114"/>
        <v>.</v>
      </c>
      <c r="HF46" s="558" t="str">
        <f t="shared" si="114"/>
        <v>.</v>
      </c>
      <c r="HG46" s="558" t="str">
        <f t="shared" si="114"/>
        <v>.</v>
      </c>
      <c r="HH46" s="558" t="str">
        <f t="shared" si="114"/>
        <v>.</v>
      </c>
      <c r="HI46" s="558" t="str">
        <f t="shared" si="114"/>
        <v>.</v>
      </c>
      <c r="HJ46" s="558" t="str">
        <f t="shared" si="114"/>
        <v>.</v>
      </c>
      <c r="HK46" s="558" t="str">
        <f t="shared" si="114"/>
        <v>.</v>
      </c>
      <c r="HL46" s="558" t="str">
        <f t="shared" si="114"/>
        <v>.</v>
      </c>
      <c r="HM46" s="558" t="str">
        <f t="shared" si="114"/>
        <v>.</v>
      </c>
      <c r="HN46" s="558" t="str">
        <f t="shared" si="121"/>
        <v>.</v>
      </c>
      <c r="HO46" s="558" t="str">
        <f t="shared" si="121"/>
        <v>.</v>
      </c>
      <c r="HP46" s="558" t="str">
        <f t="shared" si="121"/>
        <v>.</v>
      </c>
      <c r="HQ46" s="558" t="str">
        <f t="shared" si="121"/>
        <v>.</v>
      </c>
      <c r="HR46" s="558" t="str">
        <f t="shared" si="121"/>
        <v>.</v>
      </c>
      <c r="HS46" s="558" t="str">
        <f t="shared" si="109"/>
        <v>.</v>
      </c>
      <c r="HT46" s="558" t="str">
        <f t="shared" si="109"/>
        <v>.</v>
      </c>
      <c r="HU46" s="558" t="str">
        <f t="shared" si="109"/>
        <v>.</v>
      </c>
      <c r="HV46" s="558" t="str">
        <f t="shared" si="109"/>
        <v>.</v>
      </c>
      <c r="HW46" s="558" t="str">
        <f t="shared" si="109"/>
        <v>.</v>
      </c>
      <c r="HX46" s="558" t="str">
        <f t="shared" si="109"/>
        <v>.</v>
      </c>
      <c r="HY46" s="558" t="str">
        <f t="shared" si="109"/>
        <v>.</v>
      </c>
      <c r="HZ46" s="558" t="str">
        <f t="shared" si="109"/>
        <v>.</v>
      </c>
      <c r="IA46" s="558" t="str">
        <f t="shared" si="109"/>
        <v>.</v>
      </c>
      <c r="IB46" s="558" t="str">
        <f t="shared" si="109"/>
        <v>.</v>
      </c>
      <c r="IC46" s="558" t="str">
        <f t="shared" si="109"/>
        <v>.</v>
      </c>
      <c r="ID46" s="558" t="str">
        <f t="shared" si="109"/>
        <v>.</v>
      </c>
      <c r="IE46" s="558" t="str">
        <f t="shared" si="109"/>
        <v>.</v>
      </c>
      <c r="IF46" s="558" t="str">
        <f t="shared" si="109"/>
        <v>.</v>
      </c>
      <c r="IG46" s="558" t="str">
        <f t="shared" si="109"/>
        <v>.</v>
      </c>
      <c r="IH46" s="558" t="str">
        <f t="shared" si="109"/>
        <v>.</v>
      </c>
      <c r="II46" s="558" t="str">
        <f t="shared" si="109"/>
        <v>.</v>
      </c>
      <c r="IJ46" s="558" t="str">
        <f t="shared" si="110"/>
        <v>.</v>
      </c>
      <c r="IK46" s="558" t="str">
        <f t="shared" si="110"/>
        <v>.</v>
      </c>
      <c r="IL46" s="558" t="str">
        <f t="shared" si="110"/>
        <v>.</v>
      </c>
      <c r="IM46" s="558" t="str">
        <f t="shared" si="110"/>
        <v>.</v>
      </c>
      <c r="IN46" s="558" t="str">
        <f t="shared" si="110"/>
        <v>.</v>
      </c>
      <c r="IO46" s="558" t="str">
        <f t="shared" si="110"/>
        <v>.</v>
      </c>
      <c r="IP46" s="558" t="str">
        <f t="shared" si="110"/>
        <v>.</v>
      </c>
      <c r="IQ46" s="558" t="str">
        <f t="shared" si="110"/>
        <v>.</v>
      </c>
      <c r="IR46" s="558" t="str">
        <f t="shared" si="120"/>
        <v>.</v>
      </c>
      <c r="IS46" s="558" t="str">
        <f t="shared" si="120"/>
        <v>.</v>
      </c>
      <c r="IT46" s="558" t="str">
        <f t="shared" si="118"/>
        <v>.</v>
      </c>
      <c r="IU46" s="558" t="str">
        <f t="shared" si="118"/>
        <v>.</v>
      </c>
      <c r="IV46" s="558" t="str">
        <f t="shared" si="118"/>
        <v>.</v>
      </c>
      <c r="IW46" s="558" t="str">
        <f t="shared" si="118"/>
        <v>.</v>
      </c>
      <c r="IX46" s="558" t="str">
        <f t="shared" si="118"/>
        <v>.</v>
      </c>
      <c r="IY46" s="558" t="str">
        <f t="shared" si="118"/>
        <v>.</v>
      </c>
      <c r="IZ46" s="558" t="str">
        <f t="shared" si="118"/>
        <v>.</v>
      </c>
      <c r="JA46" s="558" t="str">
        <f t="shared" si="118"/>
        <v>.</v>
      </c>
      <c r="JB46" s="558" t="str">
        <f t="shared" si="118"/>
        <v>.</v>
      </c>
      <c r="JC46" s="558" t="str">
        <f t="shared" si="118"/>
        <v>.</v>
      </c>
      <c r="JD46" s="558" t="str">
        <f t="shared" si="119"/>
        <v>.</v>
      </c>
      <c r="JE46" s="558" t="str">
        <f t="shared" si="119"/>
        <v>.</v>
      </c>
      <c r="JF46" s="558" t="str">
        <f t="shared" si="119"/>
        <v>.</v>
      </c>
      <c r="JG46" s="558" t="str">
        <f t="shared" si="119"/>
        <v>.</v>
      </c>
      <c r="JH46" s="558" t="str">
        <f t="shared" si="119"/>
        <v>.</v>
      </c>
      <c r="JI46" s="558" t="str">
        <f t="shared" si="119"/>
        <v>.</v>
      </c>
      <c r="JJ46" s="558" t="str">
        <f t="shared" si="119"/>
        <v>.</v>
      </c>
      <c r="JK46" s="558" t="str">
        <f t="shared" si="115"/>
        <v>.</v>
      </c>
      <c r="JL46" s="558" t="str">
        <f t="shared" si="115"/>
        <v>.</v>
      </c>
      <c r="JM46" s="558" t="str">
        <f t="shared" si="115"/>
        <v>.</v>
      </c>
      <c r="JN46" s="558" t="str">
        <f t="shared" si="115"/>
        <v>.</v>
      </c>
      <c r="JO46" s="558" t="str">
        <f t="shared" si="115"/>
        <v>.</v>
      </c>
    </row>
    <row r="47" spans="1:275" x14ac:dyDescent="0.2">
      <c r="A47" s="534">
        <f xml:space="preserve"> Basis!A47</f>
        <v>47</v>
      </c>
      <c r="F47" s="536">
        <f xml:space="preserve"> ROUND(    IF( $A$15=BE_MF_,   AW47,   INDEX( qx!47:47, F$16 ) ),    F$17    )</f>
        <v>8.9999999999999998E-4</v>
      </c>
      <c r="G47" s="536">
        <f xml:space="preserve"> ROUND(    IF( $A$15=BE_MF_,   BB47,   INDEX( wx!47:47, G$16 ) ),    G$17    )</f>
        <v>2.4E-2</v>
      </c>
      <c r="H47" s="537">
        <f xml:space="preserve"> ROUND(    IF( $A$15=BE_MF_,   BG47,   INDEX( Kx!47:47, H$16 ) ),    H$17    )</f>
        <v>2408.6999999999998</v>
      </c>
      <c r="I47" s="538">
        <f t="shared" si="93"/>
        <v>2408.6999999999998</v>
      </c>
      <c r="J47" s="539">
        <f t="shared" si="23"/>
        <v>1.159</v>
      </c>
      <c r="K47" s="540">
        <f t="shared" si="94"/>
        <v>2</v>
      </c>
      <c r="L47" s="541">
        <f t="shared" si="116"/>
        <v>0</v>
      </c>
      <c r="M47" s="541">
        <f t="shared" si="116"/>
        <v>8.5999999999999993E-2</v>
      </c>
      <c r="O47" s="542" t="b">
        <f t="shared" si="95"/>
        <v>1</v>
      </c>
      <c r="P47" s="493">
        <f t="shared" si="25"/>
        <v>2.4899999999999999E-2</v>
      </c>
      <c r="Q47" s="493">
        <f t="shared" si="26"/>
        <v>0.97509999999999997</v>
      </c>
      <c r="R47" s="543">
        <f t="shared" si="27"/>
        <v>720609</v>
      </c>
      <c r="S47" s="544">
        <f t="shared" si="28"/>
        <v>0.97560975599999999</v>
      </c>
      <c r="T47" s="423">
        <f t="shared" si="29"/>
        <v>225776.12</v>
      </c>
      <c r="U47" s="423">
        <f xml:space="preserve"> IF( $O47,    ROUND(  SUM( T47:T$120), U$17 ),  LEER  )</f>
        <v>4522627.59</v>
      </c>
      <c r="V47" s="493">
        <f t="shared" si="30"/>
        <v>20.031500000000001</v>
      </c>
      <c r="W47" s="493">
        <f t="shared" si="31"/>
        <v>261674.52</v>
      </c>
      <c r="X47" s="493">
        <f xml:space="preserve"> IF( $O47,    ROUND(  SUM( W47:W$120), X$17 ),  LEER  )</f>
        <v>11732097.34</v>
      </c>
      <c r="Y47" s="493">
        <f t="shared" si="32"/>
        <v>51.9634</v>
      </c>
      <c r="Z47" s="493">
        <f t="shared" si="33"/>
        <v>2.5941000000000001</v>
      </c>
      <c r="AA47" s="493">
        <f t="shared" si="34"/>
        <v>1.0092000000000001</v>
      </c>
      <c r="AB47" s="493">
        <f t="shared" si="35"/>
        <v>2.3494000000000002</v>
      </c>
      <c r="AC47" s="545">
        <f t="shared" si="36"/>
        <v>0.38600000000000001</v>
      </c>
      <c r="AD47" s="493">
        <f t="shared" si="37"/>
        <v>2.6215000000000002</v>
      </c>
      <c r="AE47" s="493">
        <f t="shared" si="38"/>
        <v>3.2905000000000002</v>
      </c>
      <c r="AF47" s="493">
        <f t="shared" si="39"/>
        <v>3.2905000000000002</v>
      </c>
      <c r="AG47" s="493" t="str">
        <f t="shared" si="40"/>
        <v>.</v>
      </c>
      <c r="AH47" s="493" t="str">
        <f t="shared" si="41"/>
        <v>.</v>
      </c>
      <c r="AI47" s="423">
        <f t="shared" si="42"/>
        <v>2077.79</v>
      </c>
      <c r="AJ47" s="423">
        <f t="shared" si="43"/>
        <v>6836.97</v>
      </c>
      <c r="AK47" s="423">
        <f t="shared" si="44"/>
        <v>569.75</v>
      </c>
      <c r="AN47" s="423">
        <f t="shared" si="117"/>
        <v>30799.07</v>
      </c>
      <c r="AO47" s="423">
        <f t="shared" si="117"/>
        <v>29875.08</v>
      </c>
      <c r="AR47" s="546">
        <f xml:space="preserve"> ROUND(  INDEX( Kx!47:47, AR$16 ),  AR$17 )</f>
        <v>0.78739999999999999</v>
      </c>
      <c r="AS47" s="547">
        <f xml:space="preserve"> ROUND(  INDEX( qx!47:47, AS$16 ),  AS$17 )</f>
        <v>1E-3</v>
      </c>
      <c r="AT47" s="547">
        <f xml:space="preserve"> ROUND(  INDEX( qx!47:47, AT$16 ),  AT$17 )</f>
        <v>6.9999999999999999E-4</v>
      </c>
      <c r="AU47" s="548" t="str">
        <f t="shared" si="46"/>
        <v>F</v>
      </c>
      <c r="AV47" s="542">
        <f t="shared" si="47"/>
        <v>0.7117</v>
      </c>
      <c r="AW47" s="542">
        <f t="shared" si="48"/>
        <v>8.9999999999999998E-4</v>
      </c>
      <c r="AX47" s="546">
        <f xml:space="preserve"> ROUND(  INDEX( wx!47:47, AX$16 ),  AX$17 )</f>
        <v>2.2499999999999999E-2</v>
      </c>
      <c r="AY47" s="546">
        <f xml:space="preserve"> ROUND(  INDEX( wx!47:47, AY$16 ),  AY$17 )</f>
        <v>3.2199999999999999E-2</v>
      </c>
      <c r="AZ47" s="548" t="str">
        <f t="shared" si="49"/>
        <v>M</v>
      </c>
      <c r="BA47" s="542">
        <f t="shared" si="50"/>
        <v>0.84750000000000003</v>
      </c>
      <c r="BB47" s="542">
        <f t="shared" si="51"/>
        <v>2.4E-2</v>
      </c>
      <c r="BC47" s="533">
        <f xml:space="preserve"> ROUND(  INDEX( Kx!47:47, BC$16 ),  BC$17 )</f>
        <v>2191.11</v>
      </c>
      <c r="BD47" s="533">
        <f xml:space="preserve"> ROUND(  INDEX( Kx!47:47, BD$16 ),  BD$17 )</f>
        <v>2945.83</v>
      </c>
      <c r="BE47" s="548" t="str">
        <f t="shared" si="52"/>
        <v>F</v>
      </c>
      <c r="BF47" s="542">
        <f t="shared" si="53"/>
        <v>0.7117</v>
      </c>
      <c r="BG47" s="420">
        <f t="shared" si="54"/>
        <v>2408.6999999999998</v>
      </c>
      <c r="BQ47" s="549">
        <f t="shared" si="96"/>
        <v>47</v>
      </c>
      <c r="BR47" s="423">
        <f t="shared" si="55"/>
        <v>27777.81</v>
      </c>
      <c r="BS47" s="550">
        <f t="shared" si="56"/>
        <v>2408.6999999999998</v>
      </c>
      <c r="BT47" s="423">
        <f t="shared" si="57"/>
        <v>1518.73</v>
      </c>
      <c r="BU47" s="551">
        <f t="shared" si="58"/>
        <v>225776.12</v>
      </c>
      <c r="BV47" s="551">
        <f t="shared" si="59"/>
        <v>1.0512999999999999</v>
      </c>
      <c r="BW47" s="529">
        <f t="shared" si="60"/>
        <v>30799.07</v>
      </c>
      <c r="BX47" s="552">
        <f t="shared" si="61"/>
        <v>1502.5299999999988</v>
      </c>
      <c r="BY47" s="560"/>
      <c r="BZ47" s="559"/>
      <c r="CB47" s="423">
        <f t="shared" si="62"/>
        <v>1480.38</v>
      </c>
      <c r="CC47" s="423">
        <f t="shared" si="63"/>
        <v>769.98</v>
      </c>
      <c r="CD47" s="423">
        <f t="shared" si="64"/>
        <v>843.95</v>
      </c>
      <c r="CE47" s="423">
        <f t="shared" si="65"/>
        <v>3094.3100000000004</v>
      </c>
      <c r="CF47" s="553">
        <f t="shared" si="66"/>
        <v>3094.6500000000015</v>
      </c>
      <c r="CH47" s="423">
        <f t="shared" si="67"/>
        <v>3852.4304390000002</v>
      </c>
      <c r="CI47" s="423">
        <f t="shared" si="68"/>
        <v>2408.16</v>
      </c>
      <c r="CJ47" s="423">
        <f t="shared" si="69"/>
        <v>2267.9699999999998</v>
      </c>
      <c r="CK47" s="423">
        <f t="shared" si="97"/>
        <v>-823.37</v>
      </c>
      <c r="CL47" s="553">
        <f t="shared" si="70"/>
        <v>3852.7599999999993</v>
      </c>
      <c r="CN47" s="423">
        <f t="shared" si="71"/>
        <v>3898.5573770000001</v>
      </c>
      <c r="CO47" s="423">
        <f t="shared" si="72"/>
        <v>2408.16</v>
      </c>
      <c r="CP47" s="423">
        <f t="shared" si="73"/>
        <v>2291.6799999999998</v>
      </c>
      <c r="CQ47" s="423">
        <f t="shared" si="74"/>
        <v>-800.95</v>
      </c>
      <c r="CR47" s="553">
        <f t="shared" si="75"/>
        <v>3898.8900000000003</v>
      </c>
      <c r="CV47" s="564">
        <f t="shared" si="98"/>
        <v>47</v>
      </c>
      <c r="CW47" s="538">
        <f t="shared" si="76"/>
        <v>29875.08</v>
      </c>
      <c r="CX47" s="566" t="str">
        <f t="shared" si="77"/>
        <v>.</v>
      </c>
      <c r="CY47" s="538" t="str">
        <f t="shared" si="78"/>
        <v>.</v>
      </c>
      <c r="CZ47" s="538" t="str">
        <f t="shared" si="79"/>
        <v>.</v>
      </c>
      <c r="DA47" s="538" t="str">
        <f t="shared" si="80"/>
        <v>.</v>
      </c>
      <c r="DB47" s="567">
        <f t="shared" si="99"/>
        <v>29875.08</v>
      </c>
      <c r="DC47" s="567" t="e">
        <f t="shared" si="100"/>
        <v>#N/A</v>
      </c>
      <c r="DD47" s="567" t="e">
        <f t="shared" si="101"/>
        <v>#N/A</v>
      </c>
      <c r="DE47" s="567" t="e">
        <f t="shared" si="101"/>
        <v>#N/A</v>
      </c>
      <c r="DF47" s="568" t="e">
        <f t="shared" si="102"/>
        <v>#N/A</v>
      </c>
      <c r="EL47" s="553" t="str">
        <f t="shared" si="81"/>
        <v>.</v>
      </c>
      <c r="EM47" s="553" t="str">
        <f t="shared" si="82"/>
        <v>.</v>
      </c>
      <c r="EN47" s="423" t="str">
        <f t="shared" si="83"/>
        <v>.</v>
      </c>
      <c r="EO47" s="555">
        <f xml:space="preserve"> 'i2'!AO47</f>
        <v>29875.08</v>
      </c>
      <c r="EV47" s="533" t="e">
        <f xml:space="preserve"> ROUND(    IF( $A$15=BE_MF_,   LEER,   INDEX( Kx!47:47, EV$16 ) ),    EV$17    )</f>
        <v>#VALUE!</v>
      </c>
      <c r="EW47" s="533" t="e">
        <f xml:space="preserve"> ROUND(    IF( $A$15=BE_MF_,   LEER,   INDEX( Kx!47:47, EW$16 ) ),    EW$17    )</f>
        <v>#VALUE!</v>
      </c>
      <c r="EX47" s="533" t="e">
        <f xml:space="preserve"> ROUND(    IF( $A$15=BE_MF_,   LEER,   INDEX( Kx!47:47, EX$16 ) ),    EX$17    )</f>
        <v>#VALUE!</v>
      </c>
      <c r="EY47" s="556" t="e">
        <f t="shared" si="103"/>
        <v>#VALUE!</v>
      </c>
      <c r="FB47" s="533" t="e">
        <f xml:space="preserve"> ROUND(    IF( $A$15=BE_MF_,   LEER,   INDEX( Kx!47:47, FB$16 ) ),    FB$17    )</f>
        <v>#VALUE!</v>
      </c>
      <c r="FC47" s="533" t="e">
        <f xml:space="preserve"> ROUND(    IF( $A$15=BE_MF_,   LEER,   INDEX( Kx!47:47, FC$16 ) ),    FC$17    )</f>
        <v>#VALUE!</v>
      </c>
      <c r="FD47" s="556" t="e">
        <f t="shared" si="104"/>
        <v>#VALUE!</v>
      </c>
      <c r="FG47" s="556" t="e">
        <f t="shared" si="105"/>
        <v>#VALUE!</v>
      </c>
      <c r="FH47" s="556" t="e">
        <f t="shared" si="105"/>
        <v>#VALUE!</v>
      </c>
      <c r="FI47" s="556" t="e">
        <f t="shared" si="105"/>
        <v>#VALUE!</v>
      </c>
      <c r="FN47" s="557">
        <f t="shared" si="84"/>
        <v>47</v>
      </c>
      <c r="FO47" s="493">
        <f t="shared" si="85"/>
        <v>51.9634</v>
      </c>
      <c r="FP47" s="493">
        <f t="shared" si="86"/>
        <v>20.031500000000001</v>
      </c>
      <c r="FR47" s="427">
        <f t="shared" si="106"/>
        <v>881315.86999999988</v>
      </c>
      <c r="FS47" s="558">
        <f t="shared" si="113"/>
        <v>58006.879999999997</v>
      </c>
      <c r="FT47" s="558">
        <f t="shared" si="113"/>
        <v>56321.22</v>
      </c>
      <c r="FU47" s="558">
        <f t="shared" si="113"/>
        <v>54631.4</v>
      </c>
      <c r="FV47" s="558">
        <f t="shared" si="113"/>
        <v>52941.58</v>
      </c>
      <c r="FW47" s="558">
        <f t="shared" si="113"/>
        <v>51193.49</v>
      </c>
      <c r="FX47" s="558">
        <f t="shared" si="113"/>
        <v>49395.45</v>
      </c>
      <c r="FY47" s="558">
        <f t="shared" si="113"/>
        <v>47614.06</v>
      </c>
      <c r="FZ47" s="558">
        <f t="shared" si="113"/>
        <v>45820.18</v>
      </c>
      <c r="GA47" s="558">
        <f t="shared" si="113"/>
        <v>43963.87</v>
      </c>
      <c r="GB47" s="558">
        <f t="shared" si="113"/>
        <v>42032.65</v>
      </c>
      <c r="GC47" s="558">
        <f t="shared" si="113"/>
        <v>40088.94</v>
      </c>
      <c r="GD47" s="558">
        <f t="shared" si="113"/>
        <v>38116.089999999997</v>
      </c>
      <c r="GE47" s="558">
        <f t="shared" si="113"/>
        <v>36097.46</v>
      </c>
      <c r="GF47" s="558">
        <f t="shared" si="113"/>
        <v>34070.5</v>
      </c>
      <c r="GG47" s="558">
        <f t="shared" si="113"/>
        <v>31981.119999999999</v>
      </c>
      <c r="GH47" s="558">
        <f t="shared" si="113"/>
        <v>29875.08</v>
      </c>
      <c r="GI47" s="558">
        <f t="shared" si="111"/>
        <v>27706.61</v>
      </c>
      <c r="GJ47" s="558">
        <f t="shared" si="111"/>
        <v>25488.2</v>
      </c>
      <c r="GK47" s="558">
        <f t="shared" si="111"/>
        <v>23207.360000000001</v>
      </c>
      <c r="GL47" s="558">
        <f t="shared" si="111"/>
        <v>20859.919999999998</v>
      </c>
      <c r="GM47" s="558">
        <f t="shared" si="111"/>
        <v>18441.72</v>
      </c>
      <c r="GN47" s="558">
        <f t="shared" si="111"/>
        <v>15931.96</v>
      </c>
      <c r="GO47" s="558">
        <f t="shared" si="111"/>
        <v>13330.63</v>
      </c>
      <c r="GP47" s="558">
        <f t="shared" si="111"/>
        <v>10633.58</v>
      </c>
      <c r="GQ47" s="558">
        <f t="shared" si="111"/>
        <v>7828.3</v>
      </c>
      <c r="GR47" s="558">
        <f t="shared" si="111"/>
        <v>4935.63</v>
      </c>
      <c r="GS47" s="558">
        <f t="shared" si="111"/>
        <v>1943.06</v>
      </c>
      <c r="GT47" s="558">
        <f t="shared" si="111"/>
        <v>-1141.07</v>
      </c>
      <c r="GU47" s="558" t="str">
        <f t="shared" si="111"/>
        <v>.</v>
      </c>
      <c r="GV47" s="558" t="str">
        <f t="shared" si="111"/>
        <v>.</v>
      </c>
      <c r="GW47" s="558" t="str">
        <f t="shared" si="111"/>
        <v>.</v>
      </c>
      <c r="GX47" s="558" t="str">
        <f t="shared" si="114"/>
        <v>.</v>
      </c>
      <c r="GY47" s="558" t="str">
        <f t="shared" si="114"/>
        <v>.</v>
      </c>
      <c r="GZ47" s="558" t="str">
        <f t="shared" si="114"/>
        <v>.</v>
      </c>
      <c r="HA47" s="558" t="str">
        <f t="shared" si="114"/>
        <v>.</v>
      </c>
      <c r="HB47" s="558" t="str">
        <f t="shared" si="114"/>
        <v>.</v>
      </c>
      <c r="HC47" s="558" t="str">
        <f t="shared" si="114"/>
        <v>.</v>
      </c>
      <c r="HD47" s="558" t="str">
        <f t="shared" si="114"/>
        <v>.</v>
      </c>
      <c r="HE47" s="558" t="str">
        <f t="shared" si="114"/>
        <v>.</v>
      </c>
      <c r="HF47" s="558" t="str">
        <f t="shared" si="114"/>
        <v>.</v>
      </c>
      <c r="HG47" s="558" t="str">
        <f t="shared" si="114"/>
        <v>.</v>
      </c>
      <c r="HH47" s="558" t="str">
        <f t="shared" si="114"/>
        <v>.</v>
      </c>
      <c r="HI47" s="558" t="str">
        <f t="shared" si="114"/>
        <v>.</v>
      </c>
      <c r="HJ47" s="558" t="str">
        <f t="shared" si="114"/>
        <v>.</v>
      </c>
      <c r="HK47" s="558" t="str">
        <f t="shared" si="114"/>
        <v>.</v>
      </c>
      <c r="HL47" s="558" t="str">
        <f t="shared" si="114"/>
        <v>.</v>
      </c>
      <c r="HM47" s="558" t="str">
        <f t="shared" si="114"/>
        <v>.</v>
      </c>
      <c r="HN47" s="558" t="str">
        <f t="shared" si="121"/>
        <v>.</v>
      </c>
      <c r="HO47" s="558" t="str">
        <f t="shared" si="121"/>
        <v>.</v>
      </c>
      <c r="HP47" s="558" t="str">
        <f t="shared" si="121"/>
        <v>.</v>
      </c>
      <c r="HQ47" s="558" t="str">
        <f t="shared" si="121"/>
        <v>.</v>
      </c>
      <c r="HR47" s="558" t="str">
        <f t="shared" si="121"/>
        <v>.</v>
      </c>
      <c r="HS47" s="558" t="str">
        <f t="shared" si="109"/>
        <v>.</v>
      </c>
      <c r="HT47" s="558" t="str">
        <f t="shared" si="109"/>
        <v>.</v>
      </c>
      <c r="HU47" s="558" t="str">
        <f t="shared" si="109"/>
        <v>.</v>
      </c>
      <c r="HV47" s="558" t="str">
        <f t="shared" si="109"/>
        <v>.</v>
      </c>
      <c r="HW47" s="558" t="str">
        <f t="shared" si="109"/>
        <v>.</v>
      </c>
      <c r="HX47" s="558" t="str">
        <f t="shared" si="109"/>
        <v>.</v>
      </c>
      <c r="HY47" s="558" t="str">
        <f t="shared" si="109"/>
        <v>.</v>
      </c>
      <c r="HZ47" s="558" t="str">
        <f t="shared" si="109"/>
        <v>.</v>
      </c>
      <c r="IA47" s="558" t="str">
        <f t="shared" si="109"/>
        <v>.</v>
      </c>
      <c r="IB47" s="558" t="str">
        <f t="shared" si="109"/>
        <v>.</v>
      </c>
      <c r="IC47" s="558" t="str">
        <f t="shared" si="109"/>
        <v>.</v>
      </c>
      <c r="ID47" s="558" t="str">
        <f t="shared" si="109"/>
        <v>.</v>
      </c>
      <c r="IE47" s="558" t="str">
        <f t="shared" si="109"/>
        <v>.</v>
      </c>
      <c r="IF47" s="558" t="str">
        <f t="shared" si="109"/>
        <v>.</v>
      </c>
      <c r="IG47" s="558" t="str">
        <f t="shared" si="109"/>
        <v>.</v>
      </c>
      <c r="IH47" s="558" t="str">
        <f t="shared" si="109"/>
        <v>.</v>
      </c>
      <c r="II47" s="558" t="str">
        <f t="shared" si="109"/>
        <v>.</v>
      </c>
      <c r="IJ47" s="558" t="str">
        <f t="shared" ref="IJ47:JH61" si="122" xml:space="preserve"> IF(  OR( IJ$18&gt;$FN47, $FN47&gt;$FS$12 ),  LEER,  ROUND( $FR$19 * ( $FO47 - IJ$15 * $FP47 ), IJ$17 )  )</f>
        <v>.</v>
      </c>
      <c r="IK47" s="558" t="str">
        <f t="shared" si="122"/>
        <v>.</v>
      </c>
      <c r="IL47" s="558" t="str">
        <f t="shared" si="122"/>
        <v>.</v>
      </c>
      <c r="IM47" s="558" t="str">
        <f t="shared" si="122"/>
        <v>.</v>
      </c>
      <c r="IN47" s="558" t="str">
        <f t="shared" si="122"/>
        <v>.</v>
      </c>
      <c r="IO47" s="558" t="str">
        <f t="shared" si="122"/>
        <v>.</v>
      </c>
      <c r="IP47" s="558" t="str">
        <f t="shared" si="122"/>
        <v>.</v>
      </c>
      <c r="IQ47" s="558" t="str">
        <f t="shared" si="122"/>
        <v>.</v>
      </c>
      <c r="IR47" s="558" t="str">
        <f t="shared" si="122"/>
        <v>.</v>
      </c>
      <c r="IS47" s="558" t="str">
        <f t="shared" si="122"/>
        <v>.</v>
      </c>
      <c r="IT47" s="558" t="str">
        <f t="shared" si="122"/>
        <v>.</v>
      </c>
      <c r="IU47" s="558" t="str">
        <f t="shared" si="122"/>
        <v>.</v>
      </c>
      <c r="IV47" s="558" t="str">
        <f t="shared" si="122"/>
        <v>.</v>
      </c>
      <c r="IW47" s="558" t="str">
        <f t="shared" si="122"/>
        <v>.</v>
      </c>
      <c r="IX47" s="558" t="str">
        <f t="shared" si="122"/>
        <v>.</v>
      </c>
      <c r="IY47" s="558" t="str">
        <f t="shared" si="122"/>
        <v>.</v>
      </c>
      <c r="IZ47" s="558" t="str">
        <f t="shared" si="122"/>
        <v>.</v>
      </c>
      <c r="JA47" s="558" t="str">
        <f t="shared" si="122"/>
        <v>.</v>
      </c>
      <c r="JB47" s="558" t="str">
        <f t="shared" si="122"/>
        <v>.</v>
      </c>
      <c r="JC47" s="558" t="str">
        <f t="shared" si="122"/>
        <v>.</v>
      </c>
      <c r="JD47" s="558" t="str">
        <f t="shared" si="122"/>
        <v>.</v>
      </c>
      <c r="JE47" s="558" t="str">
        <f t="shared" si="122"/>
        <v>.</v>
      </c>
      <c r="JF47" s="558" t="str">
        <f t="shared" si="122"/>
        <v>.</v>
      </c>
      <c r="JG47" s="558" t="str">
        <f t="shared" si="122"/>
        <v>.</v>
      </c>
      <c r="JH47" s="558" t="str">
        <f t="shared" si="122"/>
        <v>.</v>
      </c>
      <c r="JI47" s="558" t="str">
        <f t="shared" ref="JI47:JJ60" si="123" xml:space="preserve"> IF(  OR( JI$18&gt;$FN47, $FN47&gt;$FS$12 ),  LEER,  ROUND( $FR$19 * ( $FO47 - JI$15 * $FP47 ), JI$17 )  )</f>
        <v>.</v>
      </c>
      <c r="JJ47" s="558" t="str">
        <f t="shared" si="123"/>
        <v>.</v>
      </c>
      <c r="JK47" s="558" t="str">
        <f t="shared" si="115"/>
        <v>.</v>
      </c>
      <c r="JL47" s="558" t="str">
        <f t="shared" si="115"/>
        <v>.</v>
      </c>
      <c r="JM47" s="558" t="str">
        <f t="shared" si="115"/>
        <v>.</v>
      </c>
      <c r="JN47" s="558" t="str">
        <f t="shared" si="115"/>
        <v>.</v>
      </c>
      <c r="JO47" s="558" t="str">
        <f t="shared" si="115"/>
        <v>.</v>
      </c>
    </row>
    <row r="48" spans="1:275" x14ac:dyDescent="0.2">
      <c r="A48" s="534">
        <f xml:space="preserve"> Basis!A48</f>
        <v>48</v>
      </c>
      <c r="F48" s="536">
        <f xml:space="preserve"> ROUND(    IF( $A$15=BE_MF_,   AW48,   INDEX( qx!48:48, F$16 ) ),    F$17    )</f>
        <v>1E-3</v>
      </c>
      <c r="G48" s="536">
        <f xml:space="preserve"> ROUND(    IF( $A$15=BE_MF_,   BB48,   INDEX( wx!48:48, G$16 ) ),    G$17    )</f>
        <v>2.3800000000000002E-2</v>
      </c>
      <c r="H48" s="537">
        <f xml:space="preserve"> ROUND(    IF( $A$15=BE_MF_,   BG48,   INDEX( Kx!48:48, H$16 ) ),    H$17    )</f>
        <v>2494.83</v>
      </c>
      <c r="I48" s="538">
        <f t="shared" si="93"/>
        <v>2494.83</v>
      </c>
      <c r="J48" s="539">
        <f t="shared" si="23"/>
        <v>1.2010000000000001</v>
      </c>
      <c r="K48" s="540">
        <f t="shared" si="94"/>
        <v>2</v>
      </c>
      <c r="L48" s="541">
        <f t="shared" si="116"/>
        <v>0</v>
      </c>
      <c r="M48" s="541">
        <f t="shared" si="116"/>
        <v>8.5999999999999993E-2</v>
      </c>
      <c r="O48" s="542" t="b">
        <f t="shared" si="95"/>
        <v>1</v>
      </c>
      <c r="P48" s="493">
        <f t="shared" si="25"/>
        <v>2.4799999999999999E-2</v>
      </c>
      <c r="Q48" s="493">
        <f t="shared" si="26"/>
        <v>0.97519999999999996</v>
      </c>
      <c r="R48" s="543">
        <f t="shared" si="27"/>
        <v>702665</v>
      </c>
      <c r="S48" s="544">
        <f t="shared" si="28"/>
        <v>0.97560975599999999</v>
      </c>
      <c r="T48" s="423">
        <f t="shared" si="29"/>
        <v>214784.42</v>
      </c>
      <c r="U48" s="423">
        <f xml:space="preserve"> IF( $O48,    ROUND(  SUM( T48:T$120), U$17 ),  LEER  )</f>
        <v>4296851.47</v>
      </c>
      <c r="V48" s="493">
        <f t="shared" si="30"/>
        <v>20.005400000000002</v>
      </c>
      <c r="W48" s="493">
        <f t="shared" si="31"/>
        <v>257956.09</v>
      </c>
      <c r="X48" s="493">
        <f xml:space="preserve"> IF( $O48,    ROUND(  SUM( W48:W$120), X$17 ),  LEER  )</f>
        <v>11470422.82</v>
      </c>
      <c r="Y48" s="493">
        <f t="shared" si="32"/>
        <v>53.404400000000003</v>
      </c>
      <c r="Z48" s="493">
        <f t="shared" si="33"/>
        <v>2.6695000000000002</v>
      </c>
      <c r="AA48" s="493">
        <f t="shared" si="34"/>
        <v>1.0092000000000001</v>
      </c>
      <c r="AB48" s="493">
        <f t="shared" si="35"/>
        <v>2.3494000000000002</v>
      </c>
      <c r="AC48" s="545">
        <f t="shared" si="36"/>
        <v>0.38600000000000001</v>
      </c>
      <c r="AD48" s="493">
        <f t="shared" si="37"/>
        <v>2.6976</v>
      </c>
      <c r="AE48" s="493">
        <f t="shared" si="38"/>
        <v>3.3736999999999999</v>
      </c>
      <c r="AF48" s="493">
        <f t="shared" si="39"/>
        <v>3.3736999999999999</v>
      </c>
      <c r="AG48" s="493" t="str">
        <f t="shared" si="40"/>
        <v>.</v>
      </c>
      <c r="AH48" s="493" t="str">
        <f t="shared" si="41"/>
        <v>.</v>
      </c>
      <c r="AI48" s="423">
        <f t="shared" si="42"/>
        <v>2077.79</v>
      </c>
      <c r="AJ48" s="423">
        <f t="shared" si="43"/>
        <v>7009.84</v>
      </c>
      <c r="AK48" s="423">
        <f t="shared" si="44"/>
        <v>584.15</v>
      </c>
      <c r="AN48" s="423">
        <f t="shared" si="117"/>
        <v>33893.72</v>
      </c>
      <c r="AO48" s="423">
        <f t="shared" si="117"/>
        <v>32970.93</v>
      </c>
      <c r="AR48" s="546">
        <f xml:space="preserve"> ROUND(  INDEX( Kx!48:48, AR$16 ),  AR$17 )</f>
        <v>0.78659999999999997</v>
      </c>
      <c r="AS48" s="547">
        <f xml:space="preserve"> ROUND(  INDEX( qx!48:48, AS$16 ),  AS$17 )</f>
        <v>1.1000000000000001E-3</v>
      </c>
      <c r="AT48" s="547">
        <f xml:space="preserve"> ROUND(  INDEX( qx!48:48, AT$16 ),  AT$17 )</f>
        <v>8.0000000000000004E-4</v>
      </c>
      <c r="AU48" s="548" t="str">
        <f t="shared" si="46"/>
        <v>F</v>
      </c>
      <c r="AV48" s="542">
        <f t="shared" si="47"/>
        <v>0.71079999999999999</v>
      </c>
      <c r="AW48" s="542">
        <f t="shared" si="48"/>
        <v>1E-3</v>
      </c>
      <c r="AX48" s="546">
        <f xml:space="preserve"> ROUND(  INDEX( wx!48:48, AX$16 ),  AX$17 )</f>
        <v>2.2499999999999999E-2</v>
      </c>
      <c r="AY48" s="546">
        <f xml:space="preserve"> ROUND(  INDEX( wx!48:48, AY$16 ),  AY$17 )</f>
        <v>3.1300000000000001E-2</v>
      </c>
      <c r="AZ48" s="548" t="str">
        <f t="shared" si="49"/>
        <v>M</v>
      </c>
      <c r="BA48" s="542">
        <f t="shared" si="50"/>
        <v>0.8468</v>
      </c>
      <c r="BB48" s="542">
        <f t="shared" si="51"/>
        <v>2.3800000000000002E-2</v>
      </c>
      <c r="BC48" s="533">
        <f xml:space="preserve"> ROUND(  INDEX( Kx!48:48, BC$16 ),  BC$17 )</f>
        <v>2283.75</v>
      </c>
      <c r="BD48" s="533">
        <f xml:space="preserve"> ROUND(  INDEX( Kx!48:48, BD$16 ),  BD$17 )</f>
        <v>3013.64</v>
      </c>
      <c r="BE48" s="548" t="str">
        <f t="shared" si="52"/>
        <v>F</v>
      </c>
      <c r="BF48" s="542">
        <f t="shared" si="53"/>
        <v>0.71079999999999999</v>
      </c>
      <c r="BG48" s="420">
        <f t="shared" si="54"/>
        <v>2494.83</v>
      </c>
      <c r="BQ48" s="549">
        <f t="shared" si="96"/>
        <v>48</v>
      </c>
      <c r="BR48" s="423">
        <f t="shared" si="55"/>
        <v>30799.07</v>
      </c>
      <c r="BS48" s="550">
        <f t="shared" si="56"/>
        <v>2494.83</v>
      </c>
      <c r="BT48" s="423">
        <f t="shared" si="57"/>
        <v>1443.73</v>
      </c>
      <c r="BU48" s="551">
        <f t="shared" si="58"/>
        <v>214784.42</v>
      </c>
      <c r="BV48" s="551">
        <f t="shared" si="59"/>
        <v>1.0511999999999999</v>
      </c>
      <c r="BW48" s="529">
        <f t="shared" si="60"/>
        <v>33893.72</v>
      </c>
      <c r="BX48" s="552">
        <f t="shared" si="61"/>
        <v>1650.9200000000019</v>
      </c>
      <c r="BY48" s="560"/>
      <c r="BZ48" s="559"/>
      <c r="CB48" s="423">
        <f t="shared" si="62"/>
        <v>1390.93</v>
      </c>
      <c r="CC48" s="423">
        <f t="shared" si="63"/>
        <v>847.34</v>
      </c>
      <c r="CD48" s="423">
        <f t="shared" si="64"/>
        <v>918.86</v>
      </c>
      <c r="CE48" s="423">
        <f t="shared" si="65"/>
        <v>3157.13</v>
      </c>
      <c r="CF48" s="553">
        <f t="shared" si="66"/>
        <v>3157.010000000002</v>
      </c>
      <c r="CH48" s="423">
        <f t="shared" si="67"/>
        <v>3852.4304390000002</v>
      </c>
      <c r="CI48" s="423">
        <f t="shared" si="68"/>
        <v>2495.4299999999998</v>
      </c>
      <c r="CJ48" s="423">
        <f t="shared" si="69"/>
        <v>2253.33</v>
      </c>
      <c r="CK48" s="423">
        <f t="shared" si="97"/>
        <v>-896.45</v>
      </c>
      <c r="CL48" s="553">
        <f t="shared" si="70"/>
        <v>3852.3100000000004</v>
      </c>
      <c r="CN48" s="423">
        <f t="shared" si="71"/>
        <v>3898.5573770000001</v>
      </c>
      <c r="CO48" s="423">
        <f t="shared" si="72"/>
        <v>2495.4299999999998</v>
      </c>
      <c r="CP48" s="423">
        <f t="shared" si="73"/>
        <v>2277.17</v>
      </c>
      <c r="CQ48" s="423">
        <f t="shared" si="74"/>
        <v>-874.15</v>
      </c>
      <c r="CR48" s="553">
        <f t="shared" si="75"/>
        <v>3898.4500000000003</v>
      </c>
      <c r="CV48" s="564">
        <f t="shared" si="98"/>
        <v>48</v>
      </c>
      <c r="CW48" s="538">
        <f t="shared" si="76"/>
        <v>32970.93</v>
      </c>
      <c r="CX48" s="566" t="str">
        <f t="shared" si="77"/>
        <v>.</v>
      </c>
      <c r="CY48" s="538" t="str">
        <f t="shared" si="78"/>
        <v>.</v>
      </c>
      <c r="CZ48" s="538" t="str">
        <f t="shared" si="79"/>
        <v>.</v>
      </c>
      <c r="DA48" s="538" t="str">
        <f t="shared" si="80"/>
        <v>.</v>
      </c>
      <c r="DB48" s="567">
        <f t="shared" si="99"/>
        <v>32970.93</v>
      </c>
      <c r="DC48" s="567" t="e">
        <f t="shared" si="100"/>
        <v>#N/A</v>
      </c>
      <c r="DD48" s="567" t="e">
        <f t="shared" si="101"/>
        <v>#N/A</v>
      </c>
      <c r="DE48" s="567" t="e">
        <f t="shared" si="101"/>
        <v>#N/A</v>
      </c>
      <c r="DF48" s="568" t="e">
        <f t="shared" si="102"/>
        <v>#N/A</v>
      </c>
      <c r="EL48" s="553" t="str">
        <f t="shared" si="81"/>
        <v>.</v>
      </c>
      <c r="EM48" s="553" t="str">
        <f t="shared" si="82"/>
        <v>.</v>
      </c>
      <c r="EN48" s="423" t="str">
        <f t="shared" si="83"/>
        <v>.</v>
      </c>
      <c r="EO48" s="555">
        <f xml:space="preserve"> 'i2'!AO48</f>
        <v>32970.93</v>
      </c>
      <c r="EV48" s="533" t="e">
        <f xml:space="preserve"> ROUND(    IF( $A$15=BE_MF_,   LEER,   INDEX( Kx!48:48, EV$16 ) ),    EV$17    )</f>
        <v>#VALUE!</v>
      </c>
      <c r="EW48" s="533" t="e">
        <f xml:space="preserve"> ROUND(    IF( $A$15=BE_MF_,   LEER,   INDEX( Kx!48:48, EW$16 ) ),    EW$17    )</f>
        <v>#VALUE!</v>
      </c>
      <c r="EX48" s="533" t="e">
        <f xml:space="preserve"> ROUND(    IF( $A$15=BE_MF_,   LEER,   INDEX( Kx!48:48, EX$16 ) ),    EX$17    )</f>
        <v>#VALUE!</v>
      </c>
      <c r="EY48" s="556" t="e">
        <f t="shared" si="103"/>
        <v>#VALUE!</v>
      </c>
      <c r="FB48" s="533" t="e">
        <f xml:space="preserve"> ROUND(    IF( $A$15=BE_MF_,   LEER,   INDEX( Kx!48:48, FB$16 ) ),    FB$17    )</f>
        <v>#VALUE!</v>
      </c>
      <c r="FC48" s="533" t="e">
        <f xml:space="preserve"> ROUND(    IF( $A$15=BE_MF_,   LEER,   INDEX( Kx!48:48, FC$16 ) ),    FC$17    )</f>
        <v>#VALUE!</v>
      </c>
      <c r="FD48" s="556" t="e">
        <f t="shared" si="104"/>
        <v>#VALUE!</v>
      </c>
      <c r="FG48" s="556" t="e">
        <f t="shared" si="105"/>
        <v>#VALUE!</v>
      </c>
      <c r="FH48" s="556" t="e">
        <f t="shared" si="105"/>
        <v>#VALUE!</v>
      </c>
      <c r="FI48" s="556" t="e">
        <f t="shared" si="105"/>
        <v>#VALUE!</v>
      </c>
      <c r="FN48" s="557">
        <f t="shared" si="84"/>
        <v>48</v>
      </c>
      <c r="FO48" s="493">
        <f t="shared" si="85"/>
        <v>53.404400000000003</v>
      </c>
      <c r="FP48" s="493">
        <f t="shared" si="86"/>
        <v>20.005400000000002</v>
      </c>
      <c r="FR48" s="427">
        <f t="shared" si="106"/>
        <v>966773.14999999991</v>
      </c>
      <c r="FS48" s="558">
        <f t="shared" si="113"/>
        <v>61066.080000000002</v>
      </c>
      <c r="FT48" s="558">
        <f t="shared" si="113"/>
        <v>59382.61</v>
      </c>
      <c r="FU48" s="558">
        <f t="shared" si="113"/>
        <v>57694.99</v>
      </c>
      <c r="FV48" s="558">
        <f t="shared" si="113"/>
        <v>56007.37</v>
      </c>
      <c r="FW48" s="558">
        <f t="shared" si="113"/>
        <v>54261.56</v>
      </c>
      <c r="FX48" s="558">
        <f t="shared" si="113"/>
        <v>52465.86</v>
      </c>
      <c r="FY48" s="558">
        <f t="shared" si="113"/>
        <v>50686.79</v>
      </c>
      <c r="FZ48" s="558">
        <f t="shared" si="113"/>
        <v>48895.25</v>
      </c>
      <c r="GA48" s="558">
        <f t="shared" si="113"/>
        <v>47041.36</v>
      </c>
      <c r="GB48" s="558">
        <f t="shared" si="113"/>
        <v>45112.66</v>
      </c>
      <c r="GC48" s="558">
        <f t="shared" si="113"/>
        <v>43171.48</v>
      </c>
      <c r="GD48" s="558">
        <f t="shared" si="113"/>
        <v>41201.199999999997</v>
      </c>
      <c r="GE48" s="558">
        <f t="shared" si="113"/>
        <v>39185.199999999997</v>
      </c>
      <c r="GF48" s="558">
        <f t="shared" si="113"/>
        <v>37160.879999999997</v>
      </c>
      <c r="GG48" s="558">
        <f t="shared" si="113"/>
        <v>35074.22</v>
      </c>
      <c r="GH48" s="558">
        <f t="shared" si="113"/>
        <v>32970.93</v>
      </c>
      <c r="GI48" s="558">
        <f t="shared" si="111"/>
        <v>30805.29</v>
      </c>
      <c r="GJ48" s="558">
        <f t="shared" si="111"/>
        <v>28589.759999999998</v>
      </c>
      <c r="GK48" s="558">
        <f t="shared" si="111"/>
        <v>26311.89</v>
      </c>
      <c r="GL48" s="558">
        <f t="shared" si="111"/>
        <v>23967.51</v>
      </c>
      <c r="GM48" s="558">
        <f t="shared" si="111"/>
        <v>21552.47</v>
      </c>
      <c r="GN48" s="558">
        <f t="shared" si="111"/>
        <v>19045.98</v>
      </c>
      <c r="GO48" s="558">
        <f t="shared" si="111"/>
        <v>16448.04</v>
      </c>
      <c r="GP48" s="558">
        <f t="shared" si="111"/>
        <v>13754.5</v>
      </c>
      <c r="GQ48" s="558">
        <f t="shared" si="111"/>
        <v>10952.88</v>
      </c>
      <c r="GR48" s="558">
        <f t="shared" si="111"/>
        <v>8063.97</v>
      </c>
      <c r="GS48" s="558">
        <f t="shared" si="111"/>
        <v>5075.3</v>
      </c>
      <c r="GT48" s="558">
        <f t="shared" si="111"/>
        <v>1995.19</v>
      </c>
      <c r="GU48" s="558">
        <f t="shared" si="111"/>
        <v>-1168.07</v>
      </c>
      <c r="GV48" s="558" t="str">
        <f t="shared" si="111"/>
        <v>.</v>
      </c>
      <c r="GW48" s="558" t="str">
        <f t="shared" si="111"/>
        <v>.</v>
      </c>
      <c r="GX48" s="558" t="str">
        <f t="shared" si="114"/>
        <v>.</v>
      </c>
      <c r="GY48" s="558" t="str">
        <f t="shared" si="114"/>
        <v>.</v>
      </c>
      <c r="GZ48" s="558" t="str">
        <f t="shared" si="114"/>
        <v>.</v>
      </c>
      <c r="HA48" s="558" t="str">
        <f t="shared" si="114"/>
        <v>.</v>
      </c>
      <c r="HB48" s="558" t="str">
        <f t="shared" si="114"/>
        <v>.</v>
      </c>
      <c r="HC48" s="558" t="str">
        <f t="shared" si="114"/>
        <v>.</v>
      </c>
      <c r="HD48" s="558" t="str">
        <f t="shared" si="114"/>
        <v>.</v>
      </c>
      <c r="HE48" s="558" t="str">
        <f t="shared" si="114"/>
        <v>.</v>
      </c>
      <c r="HF48" s="558" t="str">
        <f t="shared" si="114"/>
        <v>.</v>
      </c>
      <c r="HG48" s="558" t="str">
        <f t="shared" si="114"/>
        <v>.</v>
      </c>
      <c r="HH48" s="558" t="str">
        <f t="shared" si="114"/>
        <v>.</v>
      </c>
      <c r="HI48" s="558" t="str">
        <f t="shared" si="114"/>
        <v>.</v>
      </c>
      <c r="HJ48" s="558" t="str">
        <f t="shared" si="114"/>
        <v>.</v>
      </c>
      <c r="HK48" s="558" t="str">
        <f t="shared" si="114"/>
        <v>.</v>
      </c>
      <c r="HL48" s="558" t="str">
        <f t="shared" si="114"/>
        <v>.</v>
      </c>
      <c r="HM48" s="558" t="str">
        <f t="shared" si="114"/>
        <v>.</v>
      </c>
      <c r="HN48" s="558" t="str">
        <f t="shared" si="121"/>
        <v>.</v>
      </c>
      <c r="HO48" s="558" t="str">
        <f t="shared" si="121"/>
        <v>.</v>
      </c>
      <c r="HP48" s="558" t="str">
        <f t="shared" si="121"/>
        <v>.</v>
      </c>
      <c r="HQ48" s="558" t="str">
        <f t="shared" si="121"/>
        <v>.</v>
      </c>
      <c r="HR48" s="558" t="str">
        <f t="shared" si="121"/>
        <v>.</v>
      </c>
      <c r="HS48" s="558" t="str">
        <f t="shared" si="109"/>
        <v>.</v>
      </c>
      <c r="HT48" s="558" t="str">
        <f t="shared" si="109"/>
        <v>.</v>
      </c>
      <c r="HU48" s="558" t="str">
        <f t="shared" si="109"/>
        <v>.</v>
      </c>
      <c r="HV48" s="558" t="str">
        <f t="shared" si="109"/>
        <v>.</v>
      </c>
      <c r="HW48" s="558" t="str">
        <f t="shared" si="109"/>
        <v>.</v>
      </c>
      <c r="HX48" s="558" t="str">
        <f t="shared" si="109"/>
        <v>.</v>
      </c>
      <c r="HY48" s="558" t="str">
        <f t="shared" si="109"/>
        <v>.</v>
      </c>
      <c r="HZ48" s="558" t="str">
        <f t="shared" si="109"/>
        <v>.</v>
      </c>
      <c r="IA48" s="558" t="str">
        <f t="shared" si="109"/>
        <v>.</v>
      </c>
      <c r="IB48" s="558" t="str">
        <f t="shared" si="109"/>
        <v>.</v>
      </c>
      <c r="IC48" s="558" t="str">
        <f t="shared" si="109"/>
        <v>.</v>
      </c>
      <c r="ID48" s="558" t="str">
        <f t="shared" si="109"/>
        <v>.</v>
      </c>
      <c r="IE48" s="558" t="str">
        <f t="shared" si="109"/>
        <v>.</v>
      </c>
      <c r="IF48" s="558" t="str">
        <f t="shared" si="109"/>
        <v>.</v>
      </c>
      <c r="IG48" s="558" t="str">
        <f t="shared" si="109"/>
        <v>.</v>
      </c>
      <c r="IH48" s="558" t="str">
        <f t="shared" si="109"/>
        <v>.</v>
      </c>
      <c r="II48" s="558" t="str">
        <f t="shared" ref="II48:IQ50" si="124" xml:space="preserve"> IF(  OR( II$18&gt;$FN48, $FN48&gt;$FS$12 ),  LEER,  ROUND( $FR$19 * ( $FO48 - II$15 * $FP48 ), II$17 )  )</f>
        <v>.</v>
      </c>
      <c r="IJ48" s="558" t="str">
        <f t="shared" si="124"/>
        <v>.</v>
      </c>
      <c r="IK48" s="558" t="str">
        <f t="shared" si="124"/>
        <v>.</v>
      </c>
      <c r="IL48" s="558" t="str">
        <f t="shared" si="124"/>
        <v>.</v>
      </c>
      <c r="IM48" s="558" t="str">
        <f t="shared" si="124"/>
        <v>.</v>
      </c>
      <c r="IN48" s="558" t="str">
        <f t="shared" si="124"/>
        <v>.</v>
      </c>
      <c r="IO48" s="558" t="str">
        <f t="shared" si="124"/>
        <v>.</v>
      </c>
      <c r="IP48" s="558" t="str">
        <f t="shared" si="124"/>
        <v>.</v>
      </c>
      <c r="IQ48" s="558" t="str">
        <f t="shared" si="124"/>
        <v>.</v>
      </c>
      <c r="IR48" s="558" t="str">
        <f t="shared" si="122"/>
        <v>.</v>
      </c>
      <c r="IS48" s="558" t="str">
        <f t="shared" si="122"/>
        <v>.</v>
      </c>
      <c r="IT48" s="558" t="str">
        <f t="shared" si="122"/>
        <v>.</v>
      </c>
      <c r="IU48" s="558" t="str">
        <f t="shared" si="122"/>
        <v>.</v>
      </c>
      <c r="IV48" s="558" t="str">
        <f t="shared" si="122"/>
        <v>.</v>
      </c>
      <c r="IW48" s="558" t="str">
        <f t="shared" si="122"/>
        <v>.</v>
      </c>
      <c r="IX48" s="558" t="str">
        <f t="shared" si="122"/>
        <v>.</v>
      </c>
      <c r="IY48" s="558" t="str">
        <f t="shared" si="122"/>
        <v>.</v>
      </c>
      <c r="IZ48" s="558" t="str">
        <f t="shared" si="122"/>
        <v>.</v>
      </c>
      <c r="JA48" s="558" t="str">
        <f t="shared" si="122"/>
        <v>.</v>
      </c>
      <c r="JB48" s="558" t="str">
        <f t="shared" si="122"/>
        <v>.</v>
      </c>
      <c r="JC48" s="558" t="str">
        <f t="shared" si="122"/>
        <v>.</v>
      </c>
      <c r="JD48" s="558" t="str">
        <f t="shared" si="122"/>
        <v>.</v>
      </c>
      <c r="JE48" s="558" t="str">
        <f t="shared" si="122"/>
        <v>.</v>
      </c>
      <c r="JF48" s="558" t="str">
        <f t="shared" si="122"/>
        <v>.</v>
      </c>
      <c r="JG48" s="558" t="str">
        <f t="shared" si="122"/>
        <v>.</v>
      </c>
      <c r="JH48" s="558" t="str">
        <f t="shared" si="122"/>
        <v>.</v>
      </c>
      <c r="JI48" s="558" t="str">
        <f t="shared" si="123"/>
        <v>.</v>
      </c>
      <c r="JJ48" s="558" t="str">
        <f t="shared" si="123"/>
        <v>.</v>
      </c>
      <c r="JK48" s="558" t="str">
        <f t="shared" si="115"/>
        <v>.</v>
      </c>
      <c r="JL48" s="558" t="str">
        <f t="shared" si="115"/>
        <v>.</v>
      </c>
      <c r="JM48" s="558" t="str">
        <f t="shared" si="115"/>
        <v>.</v>
      </c>
      <c r="JN48" s="558" t="str">
        <f t="shared" si="115"/>
        <v>.</v>
      </c>
      <c r="JO48" s="558" t="str">
        <f t="shared" si="115"/>
        <v>.</v>
      </c>
    </row>
    <row r="49" spans="1:275" x14ac:dyDescent="0.2">
      <c r="A49" s="534">
        <f xml:space="preserve"> Basis!A49</f>
        <v>49</v>
      </c>
      <c r="F49" s="536">
        <f xml:space="preserve"> ROUND(    IF( $A$15=BE_MF_,   AW49,   INDEX( qx!49:49, F$16 ) ),    F$17    )</f>
        <v>1.1999999999999999E-3</v>
      </c>
      <c r="G49" s="536">
        <f xml:space="preserve"> ROUND(    IF( $A$15=BE_MF_,   BB49,   INDEX( wx!49:49, G$16 ) ),    G$17    )</f>
        <v>2.3800000000000002E-2</v>
      </c>
      <c r="H49" s="537">
        <f xml:space="preserve"> ROUND(    IF( $A$15=BE_MF_,   BG49,   INDEX( Kx!49:49, H$16 ) ),    H$17    )</f>
        <v>2593.89</v>
      </c>
      <c r="I49" s="538">
        <f t="shared" si="93"/>
        <v>2593.89</v>
      </c>
      <c r="J49" s="539">
        <f t="shared" si="23"/>
        <v>1.248</v>
      </c>
      <c r="K49" s="540">
        <f t="shared" si="94"/>
        <v>2</v>
      </c>
      <c r="L49" s="541">
        <f t="shared" si="116"/>
        <v>0</v>
      </c>
      <c r="M49" s="541">
        <f t="shared" si="116"/>
        <v>8.5999999999999993E-2</v>
      </c>
      <c r="O49" s="542" t="b">
        <f t="shared" si="95"/>
        <v>1</v>
      </c>
      <c r="P49" s="493">
        <f t="shared" si="25"/>
        <v>2.5000000000000001E-2</v>
      </c>
      <c r="Q49" s="493">
        <f t="shared" si="26"/>
        <v>0.97499999999999998</v>
      </c>
      <c r="R49" s="543">
        <f t="shared" si="27"/>
        <v>685238</v>
      </c>
      <c r="S49" s="544">
        <f t="shared" si="28"/>
        <v>0.97560975599999999</v>
      </c>
      <c r="T49" s="423">
        <f t="shared" si="29"/>
        <v>204348.77</v>
      </c>
      <c r="U49" s="423">
        <f xml:space="preserve"> IF( $O49,    ROUND(  SUM( T49:T$120), U$17 ),  LEER  )</f>
        <v>4082067.05</v>
      </c>
      <c r="V49" s="493">
        <f t="shared" si="30"/>
        <v>19.975999999999999</v>
      </c>
      <c r="W49" s="493">
        <f t="shared" si="31"/>
        <v>255027.26</v>
      </c>
      <c r="X49" s="493">
        <f xml:space="preserve"> IF( $O49,    ROUND(  SUM( W49:W$120), X$17 ),  LEER  )</f>
        <v>11212466.73</v>
      </c>
      <c r="Y49" s="493">
        <f t="shared" si="32"/>
        <v>54.869300000000003</v>
      </c>
      <c r="Z49" s="493">
        <f t="shared" si="33"/>
        <v>2.7467999999999999</v>
      </c>
      <c r="AA49" s="493">
        <f t="shared" si="34"/>
        <v>1.0092000000000001</v>
      </c>
      <c r="AB49" s="493">
        <f t="shared" si="35"/>
        <v>2.3494000000000002</v>
      </c>
      <c r="AC49" s="545">
        <f t="shared" si="36"/>
        <v>0.38600000000000001</v>
      </c>
      <c r="AD49" s="493">
        <f t="shared" si="37"/>
        <v>2.7755999999999998</v>
      </c>
      <c r="AE49" s="493">
        <f t="shared" si="38"/>
        <v>3.4590999999999998</v>
      </c>
      <c r="AF49" s="493">
        <f t="shared" si="39"/>
        <v>3.4590999999999998</v>
      </c>
      <c r="AG49" s="493" t="str">
        <f t="shared" si="40"/>
        <v>.</v>
      </c>
      <c r="AH49" s="493" t="str">
        <f t="shared" si="41"/>
        <v>.</v>
      </c>
      <c r="AI49" s="423">
        <f t="shared" si="42"/>
        <v>2077.79</v>
      </c>
      <c r="AJ49" s="423">
        <f t="shared" si="43"/>
        <v>7187.28</v>
      </c>
      <c r="AK49" s="423">
        <f t="shared" si="44"/>
        <v>598.94000000000005</v>
      </c>
      <c r="AN49" s="423">
        <f t="shared" si="117"/>
        <v>37050.730000000003</v>
      </c>
      <c r="AO49" s="423">
        <f t="shared" si="117"/>
        <v>36129.300000000003</v>
      </c>
      <c r="AR49" s="546">
        <f xml:space="preserve"> ROUND(  INDEX( Kx!49:49, AR$16 ),  AR$17 )</f>
        <v>0.78220000000000001</v>
      </c>
      <c r="AS49" s="547">
        <f xml:space="preserve"> ROUND(  INDEX( qx!49:49, AS$16 ),  AS$17 )</f>
        <v>1.2999999999999999E-3</v>
      </c>
      <c r="AT49" s="547">
        <f xml:space="preserve"> ROUND(  INDEX( qx!49:49, AT$16 ),  AT$17 )</f>
        <v>8.9999999999999998E-4</v>
      </c>
      <c r="AU49" s="548" t="str">
        <f t="shared" si="46"/>
        <v>F</v>
      </c>
      <c r="AV49" s="542">
        <f t="shared" si="47"/>
        <v>0.70540000000000003</v>
      </c>
      <c r="AW49" s="542">
        <f t="shared" si="48"/>
        <v>1.1999999999999999E-3</v>
      </c>
      <c r="AX49" s="546">
        <f xml:space="preserve"> ROUND(  INDEX( wx!49:49, AX$16 ),  AX$17 )</f>
        <v>2.2499999999999999E-2</v>
      </c>
      <c r="AY49" s="546">
        <f xml:space="preserve"> ROUND(  INDEX( wx!49:49, AY$16 ),  AY$17 )</f>
        <v>3.09E-2</v>
      </c>
      <c r="AZ49" s="548" t="str">
        <f t="shared" si="49"/>
        <v>M</v>
      </c>
      <c r="BA49" s="542">
        <f t="shared" si="50"/>
        <v>0.84340000000000004</v>
      </c>
      <c r="BB49" s="542">
        <f t="shared" si="51"/>
        <v>2.3800000000000002E-2</v>
      </c>
      <c r="BC49" s="533">
        <f xml:space="preserve"> ROUND(  INDEX( Kx!49:49, BC$16 ),  BC$17 )</f>
        <v>2385.41</v>
      </c>
      <c r="BD49" s="533">
        <f xml:space="preserve"> ROUND(  INDEX( Kx!49:49, BD$16 ),  BD$17 )</f>
        <v>3093.08</v>
      </c>
      <c r="BE49" s="548" t="str">
        <f t="shared" si="52"/>
        <v>F</v>
      </c>
      <c r="BF49" s="542">
        <f t="shared" si="53"/>
        <v>0.70540000000000003</v>
      </c>
      <c r="BG49" s="420">
        <f t="shared" si="54"/>
        <v>2593.89</v>
      </c>
      <c r="BQ49" s="549">
        <f t="shared" si="96"/>
        <v>49</v>
      </c>
      <c r="BR49" s="423">
        <f t="shared" si="55"/>
        <v>33893.72</v>
      </c>
      <c r="BS49" s="550">
        <f t="shared" si="56"/>
        <v>2593.89</v>
      </c>
      <c r="BT49" s="423">
        <f t="shared" si="57"/>
        <v>1357.6</v>
      </c>
      <c r="BU49" s="551">
        <f t="shared" si="58"/>
        <v>204348.77</v>
      </c>
      <c r="BV49" s="551">
        <f t="shared" si="59"/>
        <v>1.0510999999999999</v>
      </c>
      <c r="BW49" s="529">
        <f t="shared" si="60"/>
        <v>37050.730000000003</v>
      </c>
      <c r="BX49" s="552">
        <f t="shared" si="61"/>
        <v>1799.4100000000035</v>
      </c>
      <c r="BY49" s="560"/>
      <c r="BZ49" s="559"/>
      <c r="CB49" s="423">
        <f t="shared" si="62"/>
        <v>1290.83</v>
      </c>
      <c r="CC49" s="423">
        <f t="shared" si="63"/>
        <v>926.27</v>
      </c>
      <c r="CD49" s="423">
        <f t="shared" si="64"/>
        <v>1006.87</v>
      </c>
      <c r="CE49" s="423">
        <f t="shared" si="65"/>
        <v>3223.97</v>
      </c>
      <c r="CF49" s="553">
        <f t="shared" si="66"/>
        <v>3224.0599999999977</v>
      </c>
      <c r="CH49" s="423">
        <f t="shared" si="67"/>
        <v>3852.4304390000002</v>
      </c>
      <c r="CI49" s="423">
        <f t="shared" si="68"/>
        <v>2593.08</v>
      </c>
      <c r="CJ49" s="423">
        <f t="shared" si="69"/>
        <v>2241.75</v>
      </c>
      <c r="CK49" s="423">
        <f t="shared" si="97"/>
        <v>-982.31</v>
      </c>
      <c r="CL49" s="553">
        <f t="shared" si="70"/>
        <v>3852.52</v>
      </c>
      <c r="CN49" s="423">
        <f t="shared" si="71"/>
        <v>3898.5573770000001</v>
      </c>
      <c r="CO49" s="423">
        <f t="shared" si="72"/>
        <v>2593.08</v>
      </c>
      <c r="CP49" s="423">
        <f t="shared" si="73"/>
        <v>2265.4299999999998</v>
      </c>
      <c r="CQ49" s="423">
        <f t="shared" si="74"/>
        <v>-959.87</v>
      </c>
      <c r="CR49" s="553">
        <f t="shared" si="75"/>
        <v>3898.6400000000003</v>
      </c>
      <c r="CV49" s="564">
        <f t="shared" si="98"/>
        <v>49</v>
      </c>
      <c r="CW49" s="538">
        <f t="shared" si="76"/>
        <v>36129.300000000003</v>
      </c>
      <c r="CX49" s="566" t="str">
        <f t="shared" si="77"/>
        <v>.</v>
      </c>
      <c r="CY49" s="538" t="str">
        <f t="shared" si="78"/>
        <v>.</v>
      </c>
      <c r="CZ49" s="538" t="str">
        <f t="shared" si="79"/>
        <v>.</v>
      </c>
      <c r="DA49" s="538" t="str">
        <f t="shared" si="80"/>
        <v>.</v>
      </c>
      <c r="DB49" s="567">
        <f t="shared" si="99"/>
        <v>36129.300000000003</v>
      </c>
      <c r="DC49" s="567" t="e">
        <f t="shared" si="100"/>
        <v>#N/A</v>
      </c>
      <c r="DD49" s="567" t="e">
        <f t="shared" si="101"/>
        <v>#N/A</v>
      </c>
      <c r="DE49" s="567" t="e">
        <f t="shared" si="101"/>
        <v>#N/A</v>
      </c>
      <c r="DF49" s="568" t="e">
        <f t="shared" si="102"/>
        <v>#N/A</v>
      </c>
      <c r="EL49" s="553" t="str">
        <f t="shared" si="81"/>
        <v>.</v>
      </c>
      <c r="EM49" s="553" t="str">
        <f t="shared" si="82"/>
        <v>.</v>
      </c>
      <c r="EN49" s="423" t="str">
        <f t="shared" si="83"/>
        <v>.</v>
      </c>
      <c r="EO49" s="555">
        <f xml:space="preserve"> 'i2'!AO49</f>
        <v>36129.300000000003</v>
      </c>
      <c r="EV49" s="533" t="e">
        <f xml:space="preserve"> ROUND(    IF( $A$15=BE_MF_,   LEER,   INDEX( Kx!49:49, EV$16 ) ),    EV$17    )</f>
        <v>#VALUE!</v>
      </c>
      <c r="EW49" s="533" t="e">
        <f xml:space="preserve"> ROUND(    IF( $A$15=BE_MF_,   LEER,   INDEX( Kx!49:49, EW$16 ) ),    EW$17    )</f>
        <v>#VALUE!</v>
      </c>
      <c r="EX49" s="533" t="e">
        <f xml:space="preserve"> ROUND(    IF( $A$15=BE_MF_,   LEER,   INDEX( Kx!49:49, EX$16 ) ),    EX$17    )</f>
        <v>#VALUE!</v>
      </c>
      <c r="EY49" s="556" t="e">
        <f t="shared" si="103"/>
        <v>#VALUE!</v>
      </c>
      <c r="FB49" s="533" t="e">
        <f xml:space="preserve"> ROUND(    IF( $A$15=BE_MF_,   LEER,   INDEX( Kx!49:49, FB$16 ) ),    FB$17    )</f>
        <v>#VALUE!</v>
      </c>
      <c r="FC49" s="533" t="e">
        <f xml:space="preserve"> ROUND(    IF( $A$15=BE_MF_,   LEER,   INDEX( Kx!49:49, FC$16 ) ),    FC$17    )</f>
        <v>#VALUE!</v>
      </c>
      <c r="FD49" s="556" t="e">
        <f t="shared" si="104"/>
        <v>#VALUE!</v>
      </c>
      <c r="FG49" s="556" t="e">
        <f t="shared" si="105"/>
        <v>#VALUE!</v>
      </c>
      <c r="FH49" s="556" t="e">
        <f t="shared" si="105"/>
        <v>#VALUE!</v>
      </c>
      <c r="FI49" s="556" t="e">
        <f t="shared" si="105"/>
        <v>#VALUE!</v>
      </c>
      <c r="FN49" s="557">
        <f t="shared" si="84"/>
        <v>49</v>
      </c>
      <c r="FO49" s="493">
        <f t="shared" si="85"/>
        <v>54.869300000000003</v>
      </c>
      <c r="FP49" s="493">
        <f t="shared" si="86"/>
        <v>19.975999999999999</v>
      </c>
      <c r="FR49" s="427">
        <f t="shared" si="106"/>
        <v>1057153.3700000001</v>
      </c>
      <c r="FS49" s="558">
        <f t="shared" si="113"/>
        <v>64183.16</v>
      </c>
      <c r="FT49" s="558">
        <f t="shared" si="113"/>
        <v>62502.17</v>
      </c>
      <c r="FU49" s="558">
        <f t="shared" si="113"/>
        <v>60817.03</v>
      </c>
      <c r="FV49" s="558">
        <f t="shared" si="113"/>
        <v>59131.89</v>
      </c>
      <c r="FW49" s="558">
        <f t="shared" si="113"/>
        <v>57388.639999999999</v>
      </c>
      <c r="FX49" s="558">
        <f t="shared" si="113"/>
        <v>55595.58</v>
      </c>
      <c r="FY49" s="558">
        <f t="shared" si="113"/>
        <v>53819.13</v>
      </c>
      <c r="FZ49" s="558">
        <f t="shared" si="113"/>
        <v>52030.22</v>
      </c>
      <c r="GA49" s="558">
        <f t="shared" si="113"/>
        <v>50179.06</v>
      </c>
      <c r="GB49" s="558">
        <f t="shared" si="113"/>
        <v>48253.18</v>
      </c>
      <c r="GC49" s="558">
        <f t="shared" si="113"/>
        <v>46314.86</v>
      </c>
      <c r="GD49" s="558">
        <f t="shared" si="113"/>
        <v>44347.48</v>
      </c>
      <c r="GE49" s="558">
        <f t="shared" si="113"/>
        <v>42334.44</v>
      </c>
      <c r="GF49" s="558">
        <f t="shared" si="113"/>
        <v>40313.1</v>
      </c>
      <c r="GG49" s="558">
        <f t="shared" si="113"/>
        <v>38229.5</v>
      </c>
      <c r="GH49" s="558">
        <f t="shared" si="113"/>
        <v>36129.300000000003</v>
      </c>
      <c r="GI49" s="558">
        <f t="shared" si="111"/>
        <v>33966.839999999997</v>
      </c>
      <c r="GJ49" s="558">
        <f t="shared" si="111"/>
        <v>31754.58</v>
      </c>
      <c r="GK49" s="558">
        <f t="shared" si="111"/>
        <v>29480.05</v>
      </c>
      <c r="GL49" s="558">
        <f t="shared" si="111"/>
        <v>27139.119999999999</v>
      </c>
      <c r="GM49" s="558">
        <f t="shared" si="111"/>
        <v>24727.62</v>
      </c>
      <c r="GN49" s="558">
        <f t="shared" si="111"/>
        <v>22224.81</v>
      </c>
      <c r="GO49" s="558">
        <f t="shared" si="111"/>
        <v>19630.689999999999</v>
      </c>
      <c r="GP49" s="558">
        <f t="shared" si="111"/>
        <v>16941.11</v>
      </c>
      <c r="GQ49" s="558">
        <f t="shared" si="111"/>
        <v>14143.61</v>
      </c>
      <c r="GR49" s="558">
        <f t="shared" si="111"/>
        <v>11258.95</v>
      </c>
      <c r="GS49" s="558">
        <f t="shared" si="111"/>
        <v>8274.67</v>
      </c>
      <c r="GT49" s="558">
        <f t="shared" si="111"/>
        <v>5199.08</v>
      </c>
      <c r="GU49" s="558">
        <f t="shared" si="111"/>
        <v>2040.48</v>
      </c>
      <c r="GV49" s="558">
        <f t="shared" si="111"/>
        <v>-1196.98</v>
      </c>
      <c r="GW49" s="558" t="str">
        <f t="shared" si="111"/>
        <v>.</v>
      </c>
      <c r="GX49" s="558" t="str">
        <f t="shared" si="114"/>
        <v>.</v>
      </c>
      <c r="GY49" s="558" t="str">
        <f t="shared" si="114"/>
        <v>.</v>
      </c>
      <c r="GZ49" s="558" t="str">
        <f t="shared" si="114"/>
        <v>.</v>
      </c>
      <c r="HA49" s="558" t="str">
        <f t="shared" si="114"/>
        <v>.</v>
      </c>
      <c r="HB49" s="558" t="str">
        <f t="shared" si="114"/>
        <v>.</v>
      </c>
      <c r="HC49" s="558" t="str">
        <f t="shared" si="114"/>
        <v>.</v>
      </c>
      <c r="HD49" s="558" t="str">
        <f t="shared" si="114"/>
        <v>.</v>
      </c>
      <c r="HE49" s="558" t="str">
        <f t="shared" si="114"/>
        <v>.</v>
      </c>
      <c r="HF49" s="558" t="str">
        <f t="shared" si="114"/>
        <v>.</v>
      </c>
      <c r="HG49" s="558" t="str">
        <f t="shared" si="114"/>
        <v>.</v>
      </c>
      <c r="HH49" s="558" t="str">
        <f t="shared" si="114"/>
        <v>.</v>
      </c>
      <c r="HI49" s="558" t="str">
        <f t="shared" si="114"/>
        <v>.</v>
      </c>
      <c r="HJ49" s="558" t="str">
        <f t="shared" si="114"/>
        <v>.</v>
      </c>
      <c r="HK49" s="558" t="str">
        <f t="shared" si="114"/>
        <v>.</v>
      </c>
      <c r="HL49" s="558" t="str">
        <f t="shared" si="114"/>
        <v>.</v>
      </c>
      <c r="HM49" s="558" t="str">
        <f t="shared" si="114"/>
        <v>.</v>
      </c>
      <c r="HN49" s="558" t="str">
        <f t="shared" si="121"/>
        <v>.</v>
      </c>
      <c r="HO49" s="558" t="str">
        <f t="shared" si="121"/>
        <v>.</v>
      </c>
      <c r="HP49" s="558" t="str">
        <f t="shared" si="121"/>
        <v>.</v>
      </c>
      <c r="HQ49" s="558" t="str">
        <f t="shared" si="121"/>
        <v>.</v>
      </c>
      <c r="HR49" s="558" t="str">
        <f t="shared" si="121"/>
        <v>.</v>
      </c>
      <c r="HS49" s="558" t="str">
        <f t="shared" ref="HS49:IH50" si="125" xml:space="preserve"> IF(  OR( HS$18&gt;$FN49, $FN49&gt;$FS$12 ),  LEER,  ROUND( $FR$19 * ( $FO49 - HS$15 * $FP49 ), HS$17 )  )</f>
        <v>.</v>
      </c>
      <c r="HT49" s="558" t="str">
        <f t="shared" si="125"/>
        <v>.</v>
      </c>
      <c r="HU49" s="558" t="str">
        <f t="shared" si="125"/>
        <v>.</v>
      </c>
      <c r="HV49" s="558" t="str">
        <f t="shared" si="125"/>
        <v>.</v>
      </c>
      <c r="HW49" s="558" t="str">
        <f t="shared" si="125"/>
        <v>.</v>
      </c>
      <c r="HX49" s="558" t="str">
        <f t="shared" si="125"/>
        <v>.</v>
      </c>
      <c r="HY49" s="558" t="str">
        <f t="shared" si="125"/>
        <v>.</v>
      </c>
      <c r="HZ49" s="558" t="str">
        <f t="shared" si="125"/>
        <v>.</v>
      </c>
      <c r="IA49" s="558" t="str">
        <f t="shared" si="125"/>
        <v>.</v>
      </c>
      <c r="IB49" s="558" t="str">
        <f t="shared" si="125"/>
        <v>.</v>
      </c>
      <c r="IC49" s="558" t="str">
        <f t="shared" si="125"/>
        <v>.</v>
      </c>
      <c r="ID49" s="558" t="str">
        <f t="shared" si="125"/>
        <v>.</v>
      </c>
      <c r="IE49" s="558" t="str">
        <f t="shared" si="125"/>
        <v>.</v>
      </c>
      <c r="IF49" s="558" t="str">
        <f t="shared" si="125"/>
        <v>.</v>
      </c>
      <c r="IG49" s="558" t="str">
        <f t="shared" si="125"/>
        <v>.</v>
      </c>
      <c r="IH49" s="558" t="str">
        <f t="shared" si="125"/>
        <v>.</v>
      </c>
      <c r="II49" s="558" t="str">
        <f t="shared" si="124"/>
        <v>.</v>
      </c>
      <c r="IJ49" s="558" t="str">
        <f t="shared" si="124"/>
        <v>.</v>
      </c>
      <c r="IK49" s="558" t="str">
        <f t="shared" si="124"/>
        <v>.</v>
      </c>
      <c r="IL49" s="558" t="str">
        <f t="shared" si="124"/>
        <v>.</v>
      </c>
      <c r="IM49" s="558" t="str">
        <f t="shared" si="124"/>
        <v>.</v>
      </c>
      <c r="IN49" s="558" t="str">
        <f t="shared" si="124"/>
        <v>.</v>
      </c>
      <c r="IO49" s="558" t="str">
        <f t="shared" si="124"/>
        <v>.</v>
      </c>
      <c r="IP49" s="558" t="str">
        <f t="shared" si="124"/>
        <v>.</v>
      </c>
      <c r="IQ49" s="558" t="str">
        <f t="shared" si="124"/>
        <v>.</v>
      </c>
      <c r="IR49" s="558" t="str">
        <f t="shared" si="122"/>
        <v>.</v>
      </c>
      <c r="IS49" s="558" t="str">
        <f t="shared" si="122"/>
        <v>.</v>
      </c>
      <c r="IT49" s="558" t="str">
        <f t="shared" si="122"/>
        <v>.</v>
      </c>
      <c r="IU49" s="558" t="str">
        <f t="shared" si="122"/>
        <v>.</v>
      </c>
      <c r="IV49" s="558" t="str">
        <f t="shared" si="122"/>
        <v>.</v>
      </c>
      <c r="IW49" s="558" t="str">
        <f t="shared" si="122"/>
        <v>.</v>
      </c>
      <c r="IX49" s="558" t="str">
        <f t="shared" si="122"/>
        <v>.</v>
      </c>
      <c r="IY49" s="558" t="str">
        <f t="shared" si="122"/>
        <v>.</v>
      </c>
      <c r="IZ49" s="558" t="str">
        <f t="shared" si="122"/>
        <v>.</v>
      </c>
      <c r="JA49" s="558" t="str">
        <f t="shared" si="122"/>
        <v>.</v>
      </c>
      <c r="JB49" s="558" t="str">
        <f t="shared" si="122"/>
        <v>.</v>
      </c>
      <c r="JC49" s="558" t="str">
        <f t="shared" si="122"/>
        <v>.</v>
      </c>
      <c r="JD49" s="558" t="str">
        <f t="shared" si="122"/>
        <v>.</v>
      </c>
      <c r="JE49" s="558" t="str">
        <f t="shared" si="122"/>
        <v>.</v>
      </c>
      <c r="JF49" s="558" t="str">
        <f t="shared" si="122"/>
        <v>.</v>
      </c>
      <c r="JG49" s="558" t="str">
        <f t="shared" si="122"/>
        <v>.</v>
      </c>
      <c r="JH49" s="558" t="str">
        <f t="shared" si="122"/>
        <v>.</v>
      </c>
      <c r="JI49" s="558" t="str">
        <f t="shared" si="123"/>
        <v>.</v>
      </c>
      <c r="JJ49" s="558" t="str">
        <f t="shared" si="123"/>
        <v>.</v>
      </c>
      <c r="JK49" s="558" t="str">
        <f t="shared" si="115"/>
        <v>.</v>
      </c>
      <c r="JL49" s="558" t="str">
        <f t="shared" si="115"/>
        <v>.</v>
      </c>
      <c r="JM49" s="558" t="str">
        <f t="shared" si="115"/>
        <v>.</v>
      </c>
      <c r="JN49" s="558" t="str">
        <f t="shared" si="115"/>
        <v>.</v>
      </c>
      <c r="JO49" s="558" t="str">
        <f t="shared" si="115"/>
        <v>.</v>
      </c>
    </row>
    <row r="50" spans="1:275" x14ac:dyDescent="0.2">
      <c r="A50" s="534">
        <f xml:space="preserve"> Basis!A50</f>
        <v>50</v>
      </c>
      <c r="F50" s="536">
        <f xml:space="preserve"> ROUND(    IF( $A$15=BE_MF_,   AW50,   INDEX( qx!50:50, F$16 ) ),    F$17    )</f>
        <v>1.2999999999999999E-3</v>
      </c>
      <c r="G50" s="536">
        <f xml:space="preserve"> ROUND(    IF( $A$15=BE_MF_,   BB50,   INDEX( wx!50:50, G$16 ) ),    G$17    )</f>
        <v>2.3900000000000001E-2</v>
      </c>
      <c r="H50" s="537">
        <f xml:space="preserve"> ROUND(    IF( $A$15=BE_MF_,   BG50,   INDEX( Kx!50:50, H$16 ) ),    H$17    )</f>
        <v>2697.99</v>
      </c>
      <c r="I50" s="538">
        <f t="shared" si="93"/>
        <v>2697.99</v>
      </c>
      <c r="J50" s="539">
        <f t="shared" si="23"/>
        <v>1.298</v>
      </c>
      <c r="K50" s="540">
        <f t="shared" si="94"/>
        <v>2</v>
      </c>
      <c r="L50" s="541">
        <f t="shared" si="116"/>
        <v>0</v>
      </c>
      <c r="M50" s="541">
        <f t="shared" si="116"/>
        <v>8.5999999999999993E-2</v>
      </c>
      <c r="O50" s="542" t="b">
        <f t="shared" si="95"/>
        <v>1</v>
      </c>
      <c r="P50" s="493">
        <f t="shared" si="25"/>
        <v>2.52E-2</v>
      </c>
      <c r="Q50" s="493">
        <f t="shared" si="26"/>
        <v>0.9748</v>
      </c>
      <c r="R50" s="543">
        <f t="shared" si="27"/>
        <v>668107</v>
      </c>
      <c r="S50" s="544">
        <f t="shared" si="28"/>
        <v>0.97560975599999999</v>
      </c>
      <c r="T50" s="423">
        <f t="shared" si="29"/>
        <v>194380.52</v>
      </c>
      <c r="U50" s="423">
        <f xml:space="preserve"> IF( $O50,    ROUND(  SUM( T50:T$120), U$17 ),  LEER  )</f>
        <v>3877718.28</v>
      </c>
      <c r="V50" s="493">
        <f t="shared" si="30"/>
        <v>19.949100000000001</v>
      </c>
      <c r="W50" s="493">
        <f t="shared" si="31"/>
        <v>252305.91</v>
      </c>
      <c r="X50" s="493">
        <f xml:space="preserve"> IF( $O50,    ROUND(  SUM( W50:W$120), X$17 ),  LEER  )</f>
        <v>10957439.470000001</v>
      </c>
      <c r="Y50" s="493">
        <f t="shared" si="32"/>
        <v>56.371099999999998</v>
      </c>
      <c r="Z50" s="493">
        <f t="shared" si="33"/>
        <v>2.8256999999999999</v>
      </c>
      <c r="AA50" s="493">
        <f t="shared" si="34"/>
        <v>1.0092000000000001</v>
      </c>
      <c r="AB50" s="493">
        <f t="shared" si="35"/>
        <v>2.3494000000000002</v>
      </c>
      <c r="AC50" s="545">
        <f t="shared" si="36"/>
        <v>0.38600000000000001</v>
      </c>
      <c r="AD50" s="493">
        <f t="shared" si="37"/>
        <v>2.8552</v>
      </c>
      <c r="AE50" s="493">
        <f t="shared" si="38"/>
        <v>3.5461999999999998</v>
      </c>
      <c r="AF50" s="493">
        <f t="shared" si="39"/>
        <v>3.5461999999999998</v>
      </c>
      <c r="AG50" s="493" t="str">
        <f t="shared" si="40"/>
        <v>.</v>
      </c>
      <c r="AH50" s="493" t="str">
        <f t="shared" si="41"/>
        <v>.</v>
      </c>
      <c r="AI50" s="423">
        <f t="shared" si="42"/>
        <v>2077.79</v>
      </c>
      <c r="AJ50" s="423">
        <f t="shared" si="43"/>
        <v>7368.26</v>
      </c>
      <c r="AK50" s="423">
        <f t="shared" si="44"/>
        <v>614.02</v>
      </c>
      <c r="AN50" s="423">
        <f t="shared" si="117"/>
        <v>40274.79</v>
      </c>
      <c r="AO50" s="423">
        <f t="shared" si="117"/>
        <v>39354.6</v>
      </c>
      <c r="AR50" s="546">
        <f xml:space="preserve"> ROUND(  INDEX( Kx!50:50, AR$16 ),  AR$17 )</f>
        <v>0.78129999999999999</v>
      </c>
      <c r="AS50" s="547">
        <f xml:space="preserve"> ROUND(  INDEX( qx!50:50, AS$16 ),  AS$17 )</f>
        <v>1.4E-3</v>
      </c>
      <c r="AT50" s="547">
        <f xml:space="preserve"> ROUND(  INDEX( qx!50:50, AT$16 ),  AT$17 )</f>
        <v>1E-3</v>
      </c>
      <c r="AU50" s="548" t="str">
        <f t="shared" si="46"/>
        <v>F</v>
      </c>
      <c r="AV50" s="542">
        <f t="shared" si="47"/>
        <v>0.70430000000000004</v>
      </c>
      <c r="AW50" s="542">
        <f t="shared" si="48"/>
        <v>1.2999999999999999E-3</v>
      </c>
      <c r="AX50" s="546">
        <f xml:space="preserve"> ROUND(  INDEX( wx!50:50, AX$16 ),  AX$17 )</f>
        <v>2.2499999999999999E-2</v>
      </c>
      <c r="AY50" s="546">
        <f xml:space="preserve"> ROUND(  INDEX( wx!50:50, AY$16 ),  AY$17 )</f>
        <v>3.1099999999999999E-2</v>
      </c>
      <c r="AZ50" s="548" t="str">
        <f t="shared" si="49"/>
        <v>M</v>
      </c>
      <c r="BA50" s="542">
        <f t="shared" si="50"/>
        <v>0.8427</v>
      </c>
      <c r="BB50" s="542">
        <f t="shared" si="51"/>
        <v>2.3900000000000001E-2</v>
      </c>
      <c r="BC50" s="533">
        <f xml:space="preserve"> ROUND(  INDEX( Kx!50:50, BC$16 ),  BC$17 )</f>
        <v>2495.48</v>
      </c>
      <c r="BD50" s="533">
        <f xml:space="preserve"> ROUND(  INDEX( Kx!50:50, BD$16 ),  BD$17 )</f>
        <v>3180.32</v>
      </c>
      <c r="BE50" s="548" t="str">
        <f t="shared" si="52"/>
        <v>F</v>
      </c>
      <c r="BF50" s="542">
        <f t="shared" si="53"/>
        <v>0.70430000000000004</v>
      </c>
      <c r="BG50" s="420">
        <f t="shared" si="54"/>
        <v>2697.99</v>
      </c>
      <c r="BQ50" s="549">
        <f t="shared" si="96"/>
        <v>50</v>
      </c>
      <c r="BR50" s="423">
        <f t="shared" si="55"/>
        <v>37050.730000000003</v>
      </c>
      <c r="BS50" s="550">
        <f t="shared" si="56"/>
        <v>2697.99</v>
      </c>
      <c r="BT50" s="423">
        <f t="shared" si="57"/>
        <v>1258.54</v>
      </c>
      <c r="BU50" s="551">
        <f t="shared" si="58"/>
        <v>194380.52</v>
      </c>
      <c r="BV50" s="551">
        <f t="shared" si="59"/>
        <v>1.0512999999999999</v>
      </c>
      <c r="BW50" s="529">
        <f t="shared" si="60"/>
        <v>40274.79</v>
      </c>
      <c r="BX50" s="552">
        <f t="shared" si="61"/>
        <v>1965.5199999999968</v>
      </c>
      <c r="BY50" s="560"/>
      <c r="BZ50" s="559"/>
      <c r="CB50" s="423">
        <f t="shared" si="62"/>
        <v>1184.3499999999999</v>
      </c>
      <c r="CC50" s="423">
        <f t="shared" si="63"/>
        <v>1006.87</v>
      </c>
      <c r="CD50" s="423">
        <f t="shared" si="64"/>
        <v>1097.8</v>
      </c>
      <c r="CE50" s="423">
        <f t="shared" si="65"/>
        <v>3289.0199999999995</v>
      </c>
      <c r="CF50" s="553">
        <f t="shared" si="66"/>
        <v>3288.9000000000015</v>
      </c>
      <c r="CH50" s="423">
        <f t="shared" si="67"/>
        <v>3852.4304390000002</v>
      </c>
      <c r="CI50" s="423">
        <f t="shared" si="68"/>
        <v>2696.97</v>
      </c>
      <c r="CJ50" s="423">
        <f t="shared" si="69"/>
        <v>2226.37</v>
      </c>
      <c r="CK50" s="423">
        <f t="shared" si="97"/>
        <v>-1071.03</v>
      </c>
      <c r="CL50" s="553">
        <f t="shared" si="70"/>
        <v>3852.3100000000004</v>
      </c>
      <c r="CN50" s="423">
        <f t="shared" si="71"/>
        <v>3898.5573770000001</v>
      </c>
      <c r="CO50" s="423">
        <f t="shared" si="72"/>
        <v>2696.97</v>
      </c>
      <c r="CP50" s="423">
        <f t="shared" si="73"/>
        <v>2249.9</v>
      </c>
      <c r="CQ50" s="423">
        <f t="shared" si="74"/>
        <v>-1048.43</v>
      </c>
      <c r="CR50" s="553">
        <f t="shared" si="75"/>
        <v>3898.4399999999996</v>
      </c>
      <c r="CV50" s="564">
        <f t="shared" si="98"/>
        <v>50</v>
      </c>
      <c r="CW50" s="538">
        <f t="shared" si="76"/>
        <v>39354.6</v>
      </c>
      <c r="CX50" s="566">
        <f t="shared" si="77"/>
        <v>39354.6</v>
      </c>
      <c r="CY50" s="538">
        <f t="shared" si="78"/>
        <v>39354.6</v>
      </c>
      <c r="CZ50" s="538" t="str">
        <f t="shared" si="79"/>
        <v>.</v>
      </c>
      <c r="DA50" s="538" t="str">
        <f t="shared" si="80"/>
        <v>.</v>
      </c>
      <c r="DB50" s="567">
        <f t="shared" si="99"/>
        <v>39354.6</v>
      </c>
      <c r="DC50" s="567">
        <f t="shared" si="100"/>
        <v>39354.6</v>
      </c>
      <c r="DD50" s="567">
        <f t="shared" si="101"/>
        <v>39354.6</v>
      </c>
      <c r="DE50" s="567" t="e">
        <f t="shared" si="101"/>
        <v>#N/A</v>
      </c>
      <c r="DF50" s="568" t="e">
        <f t="shared" si="102"/>
        <v>#N/A</v>
      </c>
      <c r="EL50" s="553">
        <f t="shared" si="81"/>
        <v>-1220.8499999999999</v>
      </c>
      <c r="EM50" s="553">
        <f t="shared" si="82"/>
        <v>40582.800000000003</v>
      </c>
      <c r="EN50" s="423">
        <f t="shared" si="83"/>
        <v>39361.949999999997</v>
      </c>
      <c r="EO50" s="555">
        <f xml:space="preserve"> 'i2'!AO50</f>
        <v>39354.6</v>
      </c>
      <c r="EV50" s="533" t="e">
        <f xml:space="preserve"> ROUND(    IF( $A$15=BE_MF_,   LEER,   INDEX( Kx!50:50, EV$16 ) ),    EV$17    )</f>
        <v>#VALUE!</v>
      </c>
      <c r="EW50" s="533" t="e">
        <f xml:space="preserve"> ROUND(    IF( $A$15=BE_MF_,   LEER,   INDEX( Kx!50:50, EW$16 ) ),    EW$17    )</f>
        <v>#VALUE!</v>
      </c>
      <c r="EX50" s="533" t="e">
        <f xml:space="preserve"> ROUND(    IF( $A$15=BE_MF_,   LEER,   INDEX( Kx!50:50, EX$16 ) ),    EX$17    )</f>
        <v>#VALUE!</v>
      </c>
      <c r="EY50" s="556" t="e">
        <f t="shared" si="103"/>
        <v>#VALUE!</v>
      </c>
      <c r="FB50" s="533" t="e">
        <f xml:space="preserve"> ROUND(    IF( $A$15=BE_MF_,   LEER,   INDEX( Kx!50:50, FB$16 ) ),    FB$17    )</f>
        <v>#VALUE!</v>
      </c>
      <c r="FC50" s="533" t="e">
        <f xml:space="preserve"> ROUND(    IF( $A$15=BE_MF_,   LEER,   INDEX( Kx!50:50, FC$16 ) ),    FC$17    )</f>
        <v>#VALUE!</v>
      </c>
      <c r="FD50" s="556" t="e">
        <f t="shared" si="104"/>
        <v>#VALUE!</v>
      </c>
      <c r="FG50" s="556" t="e">
        <f t="shared" si="105"/>
        <v>#VALUE!</v>
      </c>
      <c r="FH50" s="556" t="e">
        <f t="shared" si="105"/>
        <v>#VALUE!</v>
      </c>
      <c r="FI50" s="556" t="e">
        <f t="shared" si="105"/>
        <v>#VALUE!</v>
      </c>
      <c r="FN50" s="557">
        <f t="shared" si="84"/>
        <v>50</v>
      </c>
      <c r="FO50" s="493">
        <f t="shared" si="85"/>
        <v>56.371099999999998</v>
      </c>
      <c r="FP50" s="493">
        <f t="shared" si="86"/>
        <v>19.949100000000001</v>
      </c>
      <c r="FR50" s="427">
        <f t="shared" si="106"/>
        <v>1152727.3799999999</v>
      </c>
      <c r="FS50" s="558">
        <f t="shared" si="113"/>
        <v>67370.679999999993</v>
      </c>
      <c r="FT50" s="558">
        <f t="shared" si="113"/>
        <v>65691.95</v>
      </c>
      <c r="FU50" s="558">
        <f t="shared" si="113"/>
        <v>64009.08</v>
      </c>
      <c r="FV50" s="558">
        <f t="shared" si="113"/>
        <v>62326.21</v>
      </c>
      <c r="FW50" s="558">
        <f t="shared" si="113"/>
        <v>60585.31</v>
      </c>
      <c r="FX50" s="558">
        <f t="shared" si="113"/>
        <v>58794.67</v>
      </c>
      <c r="FY50" s="558">
        <f t="shared" si="113"/>
        <v>57020.6</v>
      </c>
      <c r="FZ50" s="558">
        <f t="shared" si="113"/>
        <v>55234.11</v>
      </c>
      <c r="GA50" s="558">
        <f t="shared" si="113"/>
        <v>53385.440000000002</v>
      </c>
      <c r="GB50" s="558">
        <f t="shared" si="113"/>
        <v>51462.15</v>
      </c>
      <c r="GC50" s="558">
        <f t="shared" si="113"/>
        <v>49526.44</v>
      </c>
      <c r="GD50" s="558">
        <f t="shared" si="113"/>
        <v>47561.7</v>
      </c>
      <c r="GE50" s="558">
        <f t="shared" si="113"/>
        <v>45551.38</v>
      </c>
      <c r="GF50" s="558">
        <f t="shared" si="113"/>
        <v>43532.76</v>
      </c>
      <c r="GG50" s="558">
        <f t="shared" si="113"/>
        <v>41451.97</v>
      </c>
      <c r="GH50" s="558">
        <f t="shared" si="113"/>
        <v>39354.6</v>
      </c>
      <c r="GI50" s="558">
        <f t="shared" si="111"/>
        <v>37195.050000000003</v>
      </c>
      <c r="GJ50" s="558">
        <f t="shared" si="111"/>
        <v>34985.760000000002</v>
      </c>
      <c r="GK50" s="558">
        <f t="shared" si="111"/>
        <v>32714.3</v>
      </c>
      <c r="GL50" s="558">
        <f t="shared" si="111"/>
        <v>30376.52</v>
      </c>
      <c r="GM50" s="558">
        <f t="shared" si="111"/>
        <v>27968.27</v>
      </c>
      <c r="GN50" s="558">
        <f t="shared" si="111"/>
        <v>25468.83</v>
      </c>
      <c r="GO50" s="558">
        <f t="shared" si="111"/>
        <v>22878.21</v>
      </c>
      <c r="GP50" s="558">
        <f t="shared" si="111"/>
        <v>20192.240000000002</v>
      </c>
      <c r="GQ50" s="558">
        <f t="shared" si="111"/>
        <v>17398.509999999998</v>
      </c>
      <c r="GR50" s="558">
        <f t="shared" si="111"/>
        <v>14517.73</v>
      </c>
      <c r="GS50" s="558">
        <f t="shared" si="111"/>
        <v>11537.47</v>
      </c>
      <c r="GT50" s="558">
        <f t="shared" si="111"/>
        <v>8466.0300000000007</v>
      </c>
      <c r="GU50" s="558">
        <f t="shared" si="111"/>
        <v>5311.68</v>
      </c>
      <c r="GV50" s="558">
        <f t="shared" si="111"/>
        <v>2078.58</v>
      </c>
      <c r="GW50" s="558">
        <f t="shared" si="111"/>
        <v>-1220.8499999999999</v>
      </c>
      <c r="GX50" s="558" t="str">
        <f t="shared" si="114"/>
        <v>.</v>
      </c>
      <c r="GY50" s="558" t="str">
        <f t="shared" si="114"/>
        <v>.</v>
      </c>
      <c r="GZ50" s="558" t="str">
        <f t="shared" si="114"/>
        <v>.</v>
      </c>
      <c r="HA50" s="558" t="str">
        <f t="shared" si="114"/>
        <v>.</v>
      </c>
      <c r="HB50" s="558" t="str">
        <f t="shared" si="114"/>
        <v>.</v>
      </c>
      <c r="HC50" s="558" t="str">
        <f t="shared" si="114"/>
        <v>.</v>
      </c>
      <c r="HD50" s="558" t="str">
        <f t="shared" si="114"/>
        <v>.</v>
      </c>
      <c r="HE50" s="558" t="str">
        <f t="shared" si="114"/>
        <v>.</v>
      </c>
      <c r="HF50" s="558" t="str">
        <f t="shared" si="114"/>
        <v>.</v>
      </c>
      <c r="HG50" s="558" t="str">
        <f t="shared" si="114"/>
        <v>.</v>
      </c>
      <c r="HH50" s="558" t="str">
        <f t="shared" si="114"/>
        <v>.</v>
      </c>
      <c r="HI50" s="558" t="str">
        <f t="shared" si="114"/>
        <v>.</v>
      </c>
      <c r="HJ50" s="558" t="str">
        <f t="shared" si="114"/>
        <v>.</v>
      </c>
      <c r="HK50" s="558" t="str">
        <f t="shared" si="114"/>
        <v>.</v>
      </c>
      <c r="HL50" s="558" t="str">
        <f t="shared" si="114"/>
        <v>.</v>
      </c>
      <c r="HM50" s="558" t="str">
        <f t="shared" si="114"/>
        <v>.</v>
      </c>
      <c r="HN50" s="558" t="str">
        <f t="shared" si="121"/>
        <v>.</v>
      </c>
      <c r="HO50" s="558" t="str">
        <f t="shared" si="121"/>
        <v>.</v>
      </c>
      <c r="HP50" s="558" t="str">
        <f t="shared" si="121"/>
        <v>.</v>
      </c>
      <c r="HQ50" s="558" t="str">
        <f t="shared" si="121"/>
        <v>.</v>
      </c>
      <c r="HR50" s="558" t="str">
        <f t="shared" si="121"/>
        <v>.</v>
      </c>
      <c r="HS50" s="558" t="str">
        <f t="shared" si="125"/>
        <v>.</v>
      </c>
      <c r="HT50" s="558" t="str">
        <f t="shared" si="125"/>
        <v>.</v>
      </c>
      <c r="HU50" s="558" t="str">
        <f t="shared" si="125"/>
        <v>.</v>
      </c>
      <c r="HV50" s="558" t="str">
        <f t="shared" si="125"/>
        <v>.</v>
      </c>
      <c r="HW50" s="558" t="str">
        <f t="shared" si="125"/>
        <v>.</v>
      </c>
      <c r="HX50" s="558" t="str">
        <f t="shared" si="125"/>
        <v>.</v>
      </c>
      <c r="HY50" s="558" t="str">
        <f t="shared" si="125"/>
        <v>.</v>
      </c>
      <c r="HZ50" s="558" t="str">
        <f t="shared" si="125"/>
        <v>.</v>
      </c>
      <c r="IA50" s="558" t="str">
        <f t="shared" si="125"/>
        <v>.</v>
      </c>
      <c r="IB50" s="558" t="str">
        <f t="shared" si="125"/>
        <v>.</v>
      </c>
      <c r="IC50" s="558" t="str">
        <f t="shared" si="125"/>
        <v>.</v>
      </c>
      <c r="ID50" s="558" t="str">
        <f t="shared" si="125"/>
        <v>.</v>
      </c>
      <c r="IE50" s="558" t="str">
        <f t="shared" si="125"/>
        <v>.</v>
      </c>
      <c r="IF50" s="558" t="str">
        <f t="shared" si="125"/>
        <v>.</v>
      </c>
      <c r="IG50" s="558" t="str">
        <f t="shared" si="125"/>
        <v>.</v>
      </c>
      <c r="IH50" s="558" t="str">
        <f t="shared" si="125"/>
        <v>.</v>
      </c>
      <c r="II50" s="558" t="str">
        <f t="shared" si="124"/>
        <v>.</v>
      </c>
      <c r="IJ50" s="558" t="str">
        <f t="shared" si="124"/>
        <v>.</v>
      </c>
      <c r="IK50" s="558" t="str">
        <f t="shared" si="124"/>
        <v>.</v>
      </c>
      <c r="IL50" s="558" t="str">
        <f t="shared" si="124"/>
        <v>.</v>
      </c>
      <c r="IM50" s="558" t="str">
        <f t="shared" si="124"/>
        <v>.</v>
      </c>
      <c r="IN50" s="558" t="str">
        <f t="shared" si="124"/>
        <v>.</v>
      </c>
      <c r="IO50" s="558" t="str">
        <f t="shared" si="124"/>
        <v>.</v>
      </c>
      <c r="IP50" s="558" t="str">
        <f t="shared" si="124"/>
        <v>.</v>
      </c>
      <c r="IQ50" s="558" t="str">
        <f t="shared" si="124"/>
        <v>.</v>
      </c>
      <c r="IR50" s="558" t="str">
        <f t="shared" si="122"/>
        <v>.</v>
      </c>
      <c r="IS50" s="558" t="str">
        <f t="shared" si="122"/>
        <v>.</v>
      </c>
      <c r="IT50" s="558" t="str">
        <f t="shared" si="122"/>
        <v>.</v>
      </c>
      <c r="IU50" s="558" t="str">
        <f t="shared" si="122"/>
        <v>.</v>
      </c>
      <c r="IV50" s="558" t="str">
        <f t="shared" si="122"/>
        <v>.</v>
      </c>
      <c r="IW50" s="558" t="str">
        <f t="shared" si="122"/>
        <v>.</v>
      </c>
      <c r="IX50" s="558" t="str">
        <f t="shared" si="122"/>
        <v>.</v>
      </c>
      <c r="IY50" s="558" t="str">
        <f t="shared" si="122"/>
        <v>.</v>
      </c>
      <c r="IZ50" s="558" t="str">
        <f t="shared" si="122"/>
        <v>.</v>
      </c>
      <c r="JA50" s="558" t="str">
        <f t="shared" si="122"/>
        <v>.</v>
      </c>
      <c r="JB50" s="558" t="str">
        <f t="shared" si="122"/>
        <v>.</v>
      </c>
      <c r="JC50" s="558" t="str">
        <f t="shared" si="122"/>
        <v>.</v>
      </c>
      <c r="JD50" s="558" t="str">
        <f t="shared" si="122"/>
        <v>.</v>
      </c>
      <c r="JE50" s="558" t="str">
        <f t="shared" si="122"/>
        <v>.</v>
      </c>
      <c r="JF50" s="558" t="str">
        <f t="shared" si="122"/>
        <v>.</v>
      </c>
      <c r="JG50" s="558" t="str">
        <f t="shared" si="122"/>
        <v>.</v>
      </c>
      <c r="JH50" s="558" t="str">
        <f t="shared" si="122"/>
        <v>.</v>
      </c>
      <c r="JI50" s="558" t="str">
        <f t="shared" si="123"/>
        <v>.</v>
      </c>
      <c r="JJ50" s="558" t="str">
        <f t="shared" si="123"/>
        <v>.</v>
      </c>
      <c r="JK50" s="558" t="str">
        <f t="shared" si="115"/>
        <v>.</v>
      </c>
      <c r="JL50" s="558" t="str">
        <f t="shared" si="115"/>
        <v>.</v>
      </c>
      <c r="JM50" s="558" t="str">
        <f t="shared" si="115"/>
        <v>.</v>
      </c>
      <c r="JN50" s="558" t="str">
        <f t="shared" si="115"/>
        <v>.</v>
      </c>
      <c r="JO50" s="558" t="str">
        <f t="shared" si="115"/>
        <v>.</v>
      </c>
    </row>
    <row r="51" spans="1:275" x14ac:dyDescent="0.2">
      <c r="A51" s="534">
        <f xml:space="preserve"> Basis!A51</f>
        <v>51</v>
      </c>
      <c r="F51" s="536">
        <f xml:space="preserve"> ROUND(    IF( $A$15=BE_MF_,   AW51,   INDEX( qx!51:51, F$16 ) ),    F$17    )</f>
        <v>1.4E-3</v>
      </c>
      <c r="G51" s="536">
        <f xml:space="preserve"> ROUND(    IF( $A$15=BE_MF_,   BB51,   INDEX( wx!51:51, G$16 ) ),    G$17    )</f>
        <v>2.41E-2</v>
      </c>
      <c r="H51" s="537">
        <f xml:space="preserve"> ROUND(    IF( $A$15=BE_MF_,   BG51,   INDEX( Kx!51:51, H$16 ) ),    H$17    )</f>
        <v>2814.93</v>
      </c>
      <c r="I51" s="538">
        <f t="shared" si="93"/>
        <v>2814.93</v>
      </c>
      <c r="J51" s="539">
        <f t="shared" si="23"/>
        <v>1.355</v>
      </c>
      <c r="K51" s="540">
        <f t="shared" si="94"/>
        <v>2</v>
      </c>
      <c r="L51" s="541">
        <f t="shared" si="116"/>
        <v>0</v>
      </c>
      <c r="M51" s="541">
        <f t="shared" si="116"/>
        <v>8.5999999999999993E-2</v>
      </c>
      <c r="O51" s="542" t="b">
        <f t="shared" si="95"/>
        <v>1</v>
      </c>
      <c r="P51" s="493">
        <f t="shared" si="25"/>
        <v>2.5499999999999998E-2</v>
      </c>
      <c r="Q51" s="493">
        <f t="shared" si="26"/>
        <v>0.97450000000000003</v>
      </c>
      <c r="R51" s="543">
        <f t="shared" si="27"/>
        <v>651270</v>
      </c>
      <c r="S51" s="544">
        <f t="shared" si="28"/>
        <v>0.97560975599999999</v>
      </c>
      <c r="T51" s="423">
        <f t="shared" si="29"/>
        <v>184860.42</v>
      </c>
      <c r="U51" s="423">
        <f xml:space="preserve"> IF( $O51,    ROUND(  SUM( T51:T$120), U$17 ),  LEER  )</f>
        <v>3683337.76</v>
      </c>
      <c r="V51" s="493">
        <f t="shared" si="30"/>
        <v>19.925000000000001</v>
      </c>
      <c r="W51" s="493">
        <f t="shared" si="31"/>
        <v>250485.87</v>
      </c>
      <c r="X51" s="493">
        <f xml:space="preserve"> IF( $O51,    ROUND(  SUM( W51:W$120), X$17 ),  LEER  )</f>
        <v>10705133.560000001</v>
      </c>
      <c r="Y51" s="493">
        <f t="shared" si="32"/>
        <v>57.909300000000002</v>
      </c>
      <c r="Z51" s="493">
        <f t="shared" si="33"/>
        <v>2.9064000000000001</v>
      </c>
      <c r="AA51" s="493">
        <f t="shared" si="34"/>
        <v>1.0092000000000001</v>
      </c>
      <c r="AB51" s="493">
        <f t="shared" si="35"/>
        <v>2.3494000000000002</v>
      </c>
      <c r="AC51" s="545">
        <f t="shared" si="36"/>
        <v>0.38600000000000001</v>
      </c>
      <c r="AD51" s="493">
        <f t="shared" si="37"/>
        <v>2.9367000000000001</v>
      </c>
      <c r="AE51" s="493">
        <f t="shared" si="38"/>
        <v>3.6353</v>
      </c>
      <c r="AF51" s="493">
        <f t="shared" si="39"/>
        <v>3.6353</v>
      </c>
      <c r="AG51" s="493" t="str">
        <f t="shared" si="40"/>
        <v>.</v>
      </c>
      <c r="AH51" s="493" t="str">
        <f t="shared" si="41"/>
        <v>.</v>
      </c>
      <c r="AI51" s="423">
        <f t="shared" si="42"/>
        <v>2077.79</v>
      </c>
      <c r="AJ51" s="423">
        <f t="shared" si="43"/>
        <v>7553.39</v>
      </c>
      <c r="AK51" s="423">
        <f t="shared" si="44"/>
        <v>629.45000000000005</v>
      </c>
      <c r="AN51" s="423">
        <f t="shared" si="117"/>
        <v>43563.69</v>
      </c>
      <c r="AO51" s="423">
        <f t="shared" si="117"/>
        <v>42644.61</v>
      </c>
      <c r="AR51" s="546">
        <f xml:space="preserve"> ROUND(  INDEX( Kx!51:51, AR$16 ),  AR$17 )</f>
        <v>0.77590000000000003</v>
      </c>
      <c r="AS51" s="547">
        <f xml:space="preserve"> ROUND(  INDEX( qx!51:51, AS$16 ),  AS$17 )</f>
        <v>1.6000000000000001E-3</v>
      </c>
      <c r="AT51" s="547">
        <f xml:space="preserve"> ROUND(  INDEX( qx!51:51, AT$16 ),  AT$17 )</f>
        <v>1.1000000000000001E-3</v>
      </c>
      <c r="AU51" s="548" t="str">
        <f t="shared" si="46"/>
        <v>F</v>
      </c>
      <c r="AV51" s="542">
        <f t="shared" si="47"/>
        <v>0.69769999999999999</v>
      </c>
      <c r="AW51" s="542">
        <f t="shared" si="48"/>
        <v>1.4E-3</v>
      </c>
      <c r="AX51" s="546">
        <f xml:space="preserve"> ROUND(  INDEX( wx!51:51, AX$16 ),  AX$17 )</f>
        <v>2.2499999999999999E-2</v>
      </c>
      <c r="AY51" s="546">
        <f xml:space="preserve"> ROUND(  INDEX( wx!51:51, AY$16 ),  AY$17 )</f>
        <v>3.2399999999999998E-2</v>
      </c>
      <c r="AZ51" s="548" t="str">
        <f t="shared" si="49"/>
        <v>M</v>
      </c>
      <c r="BA51" s="542">
        <f t="shared" si="50"/>
        <v>0.83850000000000002</v>
      </c>
      <c r="BB51" s="542">
        <f t="shared" si="51"/>
        <v>2.41E-2</v>
      </c>
      <c r="BC51" s="533">
        <f xml:space="preserve"> ROUND(  INDEX( Kx!51:51, BC$16 ),  BC$17 )</f>
        <v>2616.38</v>
      </c>
      <c r="BD51" s="533">
        <f xml:space="preserve"> ROUND(  INDEX( Kx!51:51, BD$16 ),  BD$17 )</f>
        <v>3273.17</v>
      </c>
      <c r="BE51" s="548" t="str">
        <f t="shared" si="52"/>
        <v>F</v>
      </c>
      <c r="BF51" s="542">
        <f t="shared" si="53"/>
        <v>0.69769999999999999</v>
      </c>
      <c r="BG51" s="420">
        <f t="shared" si="54"/>
        <v>2814.93</v>
      </c>
      <c r="BQ51" s="549">
        <f t="shared" si="96"/>
        <v>51</v>
      </c>
      <c r="BR51" s="423">
        <f t="shared" si="55"/>
        <v>40274.79</v>
      </c>
      <c r="BS51" s="550">
        <f t="shared" si="56"/>
        <v>2814.93</v>
      </c>
      <c r="BT51" s="423">
        <f t="shared" si="57"/>
        <v>1154.44</v>
      </c>
      <c r="BU51" s="551">
        <f t="shared" si="58"/>
        <v>184860.42</v>
      </c>
      <c r="BV51" s="551">
        <f t="shared" si="59"/>
        <v>1.0515000000000001</v>
      </c>
      <c r="BW51" s="529">
        <f t="shared" si="60"/>
        <v>43563.69</v>
      </c>
      <c r="BX51" s="552">
        <f t="shared" si="61"/>
        <v>2134.4599999999991</v>
      </c>
      <c r="BY51" s="560"/>
      <c r="BZ51" s="559"/>
      <c r="CB51" s="423">
        <f t="shared" si="62"/>
        <v>1062.95</v>
      </c>
      <c r="CC51" s="423">
        <f t="shared" si="63"/>
        <v>1089.0899999999999</v>
      </c>
      <c r="CD51" s="423">
        <f t="shared" si="64"/>
        <v>1196.26</v>
      </c>
      <c r="CE51" s="423">
        <f t="shared" si="65"/>
        <v>3348.3</v>
      </c>
      <c r="CF51" s="553">
        <f t="shared" si="66"/>
        <v>3348.5299999999988</v>
      </c>
      <c r="CH51" s="423">
        <f t="shared" si="67"/>
        <v>3852.4304390000002</v>
      </c>
      <c r="CI51" s="423">
        <f t="shared" si="68"/>
        <v>2815.41</v>
      </c>
      <c r="CJ51" s="423">
        <f t="shared" si="69"/>
        <v>2204.33</v>
      </c>
      <c r="CK51" s="423">
        <f t="shared" si="97"/>
        <v>-1167.08</v>
      </c>
      <c r="CL51" s="553">
        <f t="shared" si="70"/>
        <v>3852.66</v>
      </c>
      <c r="CN51" s="423">
        <f t="shared" si="71"/>
        <v>3898.5573770000001</v>
      </c>
      <c r="CO51" s="423">
        <f t="shared" si="72"/>
        <v>2815.41</v>
      </c>
      <c r="CP51" s="423">
        <f t="shared" si="73"/>
        <v>2227.61</v>
      </c>
      <c r="CQ51" s="423">
        <f t="shared" si="74"/>
        <v>-1144.24</v>
      </c>
      <c r="CR51" s="553">
        <f t="shared" si="75"/>
        <v>3898.7800000000007</v>
      </c>
      <c r="CV51" s="564">
        <f t="shared" si="98"/>
        <v>51</v>
      </c>
      <c r="CW51" s="538" t="str">
        <f t="shared" si="76"/>
        <v>.</v>
      </c>
      <c r="CX51" s="566">
        <f t="shared" si="77"/>
        <v>42644.61</v>
      </c>
      <c r="CY51" s="538">
        <f t="shared" si="78"/>
        <v>41381.32</v>
      </c>
      <c r="CZ51" s="538" t="str">
        <f t="shared" si="79"/>
        <v>.</v>
      </c>
      <c r="DA51" s="538" t="str">
        <f t="shared" si="80"/>
        <v>.</v>
      </c>
      <c r="DB51" s="567" t="e">
        <f t="shared" si="99"/>
        <v>#N/A</v>
      </c>
      <c r="DC51" s="567">
        <f t="shared" si="100"/>
        <v>42644.61</v>
      </c>
      <c r="DD51" s="567">
        <f t="shared" si="101"/>
        <v>41381.32</v>
      </c>
      <c r="DE51" s="567" t="e">
        <f t="shared" si="101"/>
        <v>#N/A</v>
      </c>
      <c r="DF51" s="568" t="e">
        <f t="shared" si="102"/>
        <v>#N/A</v>
      </c>
      <c r="EL51" s="553">
        <f t="shared" si="81"/>
        <v>2118.1799999999998</v>
      </c>
      <c r="EM51" s="553">
        <f t="shared" si="82"/>
        <v>40533.769999999997</v>
      </c>
      <c r="EN51" s="423">
        <f t="shared" si="83"/>
        <v>42651.95</v>
      </c>
      <c r="EO51" s="555">
        <f xml:space="preserve"> 'i2'!AO51</f>
        <v>42644.61</v>
      </c>
      <c r="EV51" s="533" t="e">
        <f xml:space="preserve"> ROUND(    IF( $A$15=BE_MF_,   LEER,   INDEX( Kx!51:51, EV$16 ) ),    EV$17    )</f>
        <v>#VALUE!</v>
      </c>
      <c r="EW51" s="533" t="e">
        <f xml:space="preserve"> ROUND(    IF( $A$15=BE_MF_,   LEER,   INDEX( Kx!51:51, EW$16 ) ),    EW$17    )</f>
        <v>#VALUE!</v>
      </c>
      <c r="EX51" s="533" t="e">
        <f xml:space="preserve"> ROUND(    IF( $A$15=BE_MF_,   LEER,   INDEX( Kx!51:51, EX$16 ) ),    EX$17    )</f>
        <v>#VALUE!</v>
      </c>
      <c r="EY51" s="556" t="e">
        <f t="shared" si="103"/>
        <v>#VALUE!</v>
      </c>
      <c r="FB51" s="533" t="e">
        <f xml:space="preserve"> ROUND(    IF( $A$15=BE_MF_,   LEER,   INDEX( Kx!51:51, FB$16 ) ),    FB$17    )</f>
        <v>#VALUE!</v>
      </c>
      <c r="FC51" s="533" t="e">
        <f xml:space="preserve"> ROUND(    IF( $A$15=BE_MF_,   LEER,   INDEX( Kx!51:51, FC$16 ) ),    FC$17    )</f>
        <v>#VALUE!</v>
      </c>
      <c r="FD51" s="556" t="e">
        <f t="shared" si="104"/>
        <v>#VALUE!</v>
      </c>
      <c r="FG51" s="556" t="e">
        <f t="shared" si="105"/>
        <v>#VALUE!</v>
      </c>
      <c r="FH51" s="556" t="e">
        <f t="shared" si="105"/>
        <v>#VALUE!</v>
      </c>
      <c r="FI51" s="556" t="e">
        <f t="shared" si="105"/>
        <v>#VALUE!</v>
      </c>
      <c r="FN51" s="557">
        <f t="shared" si="84"/>
        <v>51</v>
      </c>
      <c r="FO51" s="493">
        <f t="shared" si="85"/>
        <v>57.909300000000002</v>
      </c>
      <c r="FP51" s="493">
        <f t="shared" si="86"/>
        <v>19.925000000000001</v>
      </c>
      <c r="FR51" s="427">
        <f t="shared" si="106"/>
        <v>1253543.1000000008</v>
      </c>
      <c r="FS51" s="558">
        <f t="shared" si="113"/>
        <v>70626.850000000006</v>
      </c>
      <c r="FT51" s="558">
        <f t="shared" si="113"/>
        <v>68950.149999999994</v>
      </c>
      <c r="FU51" s="558">
        <f t="shared" si="113"/>
        <v>67269.31</v>
      </c>
      <c r="FV51" s="558">
        <f t="shared" si="113"/>
        <v>65588.47</v>
      </c>
      <c r="FW51" s="558">
        <f t="shared" si="113"/>
        <v>63849.67</v>
      </c>
      <c r="FX51" s="558">
        <f t="shared" si="113"/>
        <v>62061.19</v>
      </c>
      <c r="FY51" s="558">
        <f t="shared" si="113"/>
        <v>60289.27</v>
      </c>
      <c r="FZ51" s="558">
        <f t="shared" si="113"/>
        <v>58504.94</v>
      </c>
      <c r="GA51" s="558">
        <f t="shared" si="113"/>
        <v>56658.5</v>
      </c>
      <c r="GB51" s="558">
        <f t="shared" si="113"/>
        <v>54737.54</v>
      </c>
      <c r="GC51" s="558">
        <f t="shared" si="113"/>
        <v>52804.160000000003</v>
      </c>
      <c r="GD51" s="558">
        <f t="shared" si="113"/>
        <v>50841.8</v>
      </c>
      <c r="GE51" s="558">
        <f t="shared" si="113"/>
        <v>48833.9</v>
      </c>
      <c r="GF51" s="558">
        <f t="shared" si="113"/>
        <v>46817.73</v>
      </c>
      <c r="GG51" s="558">
        <f t="shared" si="113"/>
        <v>44739.45</v>
      </c>
      <c r="GH51" s="558">
        <f t="shared" ref="GH51:GW66" si="126" xml:space="preserve"> IF(  OR( GH$18&gt;$FN51, $FN51&gt;$FS$12 ),  LEER,  ROUND( $FR$19 * ( $FO51 - GH$15 * $FP51 ), GH$17 )  )</f>
        <v>42644.61</v>
      </c>
      <c r="GI51" s="558">
        <f t="shared" si="126"/>
        <v>40487.67</v>
      </c>
      <c r="GJ51" s="558">
        <f t="shared" si="126"/>
        <v>38281.050000000003</v>
      </c>
      <c r="GK51" s="558">
        <f t="shared" si="126"/>
        <v>36012.33</v>
      </c>
      <c r="GL51" s="558">
        <f t="shared" si="126"/>
        <v>33677.379999999997</v>
      </c>
      <c r="GM51" s="558">
        <f t="shared" si="126"/>
        <v>31272.04</v>
      </c>
      <c r="GN51" s="558">
        <f t="shared" si="126"/>
        <v>28775.62</v>
      </c>
      <c r="GO51" s="558">
        <f t="shared" si="126"/>
        <v>26188.12</v>
      </c>
      <c r="GP51" s="558">
        <f t="shared" si="126"/>
        <v>23505.4</v>
      </c>
      <c r="GQ51" s="558">
        <f t="shared" si="126"/>
        <v>20715.05</v>
      </c>
      <c r="GR51" s="558">
        <f t="shared" si="126"/>
        <v>17837.75</v>
      </c>
      <c r="GS51" s="558">
        <f t="shared" si="126"/>
        <v>14861.09</v>
      </c>
      <c r="GT51" s="558">
        <f t="shared" si="126"/>
        <v>11793.35</v>
      </c>
      <c r="GU51" s="558">
        <f t="shared" si="126"/>
        <v>8642.82</v>
      </c>
      <c r="GV51" s="558">
        <f t="shared" si="126"/>
        <v>5413.62</v>
      </c>
      <c r="GW51" s="558">
        <f t="shared" si="126"/>
        <v>2118.1799999999998</v>
      </c>
      <c r="GX51" s="558">
        <f t="shared" si="114"/>
        <v>-1255.9100000000001</v>
      </c>
      <c r="GY51" s="558" t="str">
        <f t="shared" si="114"/>
        <v>.</v>
      </c>
      <c r="GZ51" s="558" t="str">
        <f t="shared" si="114"/>
        <v>.</v>
      </c>
      <c r="HA51" s="558" t="str">
        <f t="shared" si="114"/>
        <v>.</v>
      </c>
      <c r="HB51" s="558" t="str">
        <f t="shared" si="114"/>
        <v>.</v>
      </c>
      <c r="HC51" s="558" t="str">
        <f t="shared" si="114"/>
        <v>.</v>
      </c>
      <c r="HD51" s="558" t="str">
        <f t="shared" si="114"/>
        <v>.</v>
      </c>
      <c r="HE51" s="558" t="str">
        <f t="shared" si="114"/>
        <v>.</v>
      </c>
      <c r="HF51" s="558" t="str">
        <f t="shared" si="114"/>
        <v>.</v>
      </c>
      <c r="HG51" s="558" t="str">
        <f t="shared" si="114"/>
        <v>.</v>
      </c>
      <c r="HH51" s="558" t="str">
        <f t="shared" si="114"/>
        <v>.</v>
      </c>
      <c r="HI51" s="558" t="str">
        <f t="shared" si="114"/>
        <v>.</v>
      </c>
      <c r="HJ51" s="558" t="str">
        <f t="shared" si="114"/>
        <v>.</v>
      </c>
      <c r="HK51" s="558" t="str">
        <f t="shared" si="114"/>
        <v>.</v>
      </c>
      <c r="HL51" s="558" t="str">
        <f t="shared" si="114"/>
        <v>.</v>
      </c>
      <c r="HM51" s="558" t="str">
        <f t="shared" ref="HM51:ID65" si="127" xml:space="preserve"> IF(  OR( HM$18&gt;$FN51, $FN51&gt;$FS$12 ),  LEER,  ROUND( $FR$19 * ( $FO51 - HM$15 * $FP51 ), HM$17 )  )</f>
        <v>.</v>
      </c>
      <c r="HN51" s="558" t="str">
        <f t="shared" si="127"/>
        <v>.</v>
      </c>
      <c r="HO51" s="558" t="str">
        <f t="shared" si="127"/>
        <v>.</v>
      </c>
      <c r="HP51" s="558" t="str">
        <f t="shared" si="127"/>
        <v>.</v>
      </c>
      <c r="HQ51" s="558" t="str">
        <f t="shared" si="127"/>
        <v>.</v>
      </c>
      <c r="HR51" s="558" t="str">
        <f t="shared" si="127"/>
        <v>.</v>
      </c>
      <c r="HS51" s="558" t="str">
        <f t="shared" si="127"/>
        <v>.</v>
      </c>
      <c r="HT51" s="558" t="str">
        <f t="shared" si="127"/>
        <v>.</v>
      </c>
      <c r="HU51" s="558" t="str">
        <f t="shared" si="127"/>
        <v>.</v>
      </c>
      <c r="HV51" s="558" t="str">
        <f t="shared" si="127"/>
        <v>.</v>
      </c>
      <c r="HW51" s="558" t="str">
        <f t="shared" si="127"/>
        <v>.</v>
      </c>
      <c r="HX51" s="558" t="str">
        <f t="shared" si="127"/>
        <v>.</v>
      </c>
      <c r="HY51" s="558" t="str">
        <f t="shared" si="127"/>
        <v>.</v>
      </c>
      <c r="HZ51" s="558" t="str">
        <f t="shared" si="127"/>
        <v>.</v>
      </c>
      <c r="IA51" s="558" t="str">
        <f t="shared" si="127"/>
        <v>.</v>
      </c>
      <c r="IB51" s="558" t="str">
        <f t="shared" si="127"/>
        <v>.</v>
      </c>
      <c r="IC51" s="558" t="str">
        <f t="shared" si="127"/>
        <v>.</v>
      </c>
      <c r="ID51" s="558" t="str">
        <f t="shared" si="127"/>
        <v>.</v>
      </c>
      <c r="IE51" s="558" t="str">
        <f t="shared" ref="IE51:JC66" si="128" xml:space="preserve"> IF(  OR( IE$18&gt;$FN51, $FN51&gt;$FS$12 ),  LEER,  ROUND( $FR$19 * ( $FO51 - IE$15 * $FP51 ), IE$17 )  )</f>
        <v>.</v>
      </c>
      <c r="IF51" s="558" t="str">
        <f t="shared" si="128"/>
        <v>.</v>
      </c>
      <c r="IG51" s="558" t="str">
        <f t="shared" si="128"/>
        <v>.</v>
      </c>
      <c r="IH51" s="558" t="str">
        <f t="shared" si="128"/>
        <v>.</v>
      </c>
      <c r="II51" s="558" t="str">
        <f t="shared" si="128"/>
        <v>.</v>
      </c>
      <c r="IJ51" s="558" t="str">
        <f t="shared" si="128"/>
        <v>.</v>
      </c>
      <c r="IK51" s="558" t="str">
        <f t="shared" si="128"/>
        <v>.</v>
      </c>
      <c r="IL51" s="558" t="str">
        <f t="shared" si="128"/>
        <v>.</v>
      </c>
      <c r="IM51" s="558" t="str">
        <f t="shared" si="128"/>
        <v>.</v>
      </c>
      <c r="IN51" s="558" t="str">
        <f t="shared" si="128"/>
        <v>.</v>
      </c>
      <c r="IO51" s="558" t="str">
        <f t="shared" si="128"/>
        <v>.</v>
      </c>
      <c r="IP51" s="558" t="str">
        <f t="shared" si="128"/>
        <v>.</v>
      </c>
      <c r="IQ51" s="558" t="str">
        <f t="shared" si="128"/>
        <v>.</v>
      </c>
      <c r="IR51" s="558" t="str">
        <f t="shared" si="122"/>
        <v>.</v>
      </c>
      <c r="IS51" s="558" t="str">
        <f t="shared" si="122"/>
        <v>.</v>
      </c>
      <c r="IT51" s="558" t="str">
        <f t="shared" si="122"/>
        <v>.</v>
      </c>
      <c r="IU51" s="558" t="str">
        <f t="shared" si="122"/>
        <v>.</v>
      </c>
      <c r="IV51" s="558" t="str">
        <f t="shared" si="122"/>
        <v>.</v>
      </c>
      <c r="IW51" s="558" t="str">
        <f t="shared" si="122"/>
        <v>.</v>
      </c>
      <c r="IX51" s="558" t="str">
        <f t="shared" si="122"/>
        <v>.</v>
      </c>
      <c r="IY51" s="558" t="str">
        <f t="shared" si="122"/>
        <v>.</v>
      </c>
      <c r="IZ51" s="558" t="str">
        <f t="shared" si="122"/>
        <v>.</v>
      </c>
      <c r="JA51" s="558" t="str">
        <f t="shared" si="122"/>
        <v>.</v>
      </c>
      <c r="JB51" s="558" t="str">
        <f t="shared" si="122"/>
        <v>.</v>
      </c>
      <c r="JC51" s="558" t="str">
        <f t="shared" si="122"/>
        <v>.</v>
      </c>
      <c r="JD51" s="558" t="str">
        <f t="shared" si="122"/>
        <v>.</v>
      </c>
      <c r="JE51" s="558" t="str">
        <f t="shared" si="122"/>
        <v>.</v>
      </c>
      <c r="JF51" s="558" t="str">
        <f t="shared" si="122"/>
        <v>.</v>
      </c>
      <c r="JG51" s="558" t="str">
        <f t="shared" si="122"/>
        <v>.</v>
      </c>
      <c r="JH51" s="558" t="str">
        <f t="shared" si="122"/>
        <v>.</v>
      </c>
      <c r="JI51" s="558" t="str">
        <f t="shared" si="123"/>
        <v>.</v>
      </c>
      <c r="JJ51" s="558" t="str">
        <f t="shared" si="123"/>
        <v>.</v>
      </c>
      <c r="JK51" s="558" t="str">
        <f t="shared" si="115"/>
        <v>.</v>
      </c>
      <c r="JL51" s="558" t="str">
        <f t="shared" si="115"/>
        <v>.</v>
      </c>
      <c r="JM51" s="558" t="str">
        <f t="shared" si="115"/>
        <v>.</v>
      </c>
      <c r="JN51" s="558" t="str">
        <f t="shared" si="115"/>
        <v>.</v>
      </c>
      <c r="JO51" s="558" t="str">
        <f t="shared" si="115"/>
        <v>.</v>
      </c>
    </row>
    <row r="52" spans="1:275" x14ac:dyDescent="0.2">
      <c r="A52" s="534">
        <f xml:space="preserve"> Basis!A52</f>
        <v>52</v>
      </c>
      <c r="F52" s="536">
        <f xml:space="preserve"> ROUND(    IF( $A$15=BE_MF_,   AW52,   INDEX( qx!52:52, F$16 ) ),    F$17    )</f>
        <v>1.6000000000000001E-3</v>
      </c>
      <c r="G52" s="536">
        <f xml:space="preserve"> ROUND(    IF( $A$15=BE_MF_,   BB52,   INDEX( wx!52:52, G$16 ) ),    G$17    )</f>
        <v>2.4500000000000001E-2</v>
      </c>
      <c r="H52" s="537">
        <f xml:space="preserve"> ROUND(    IF( $A$15=BE_MF_,   BG52,   INDEX( Kx!52:52, H$16 ) ),    H$17    )</f>
        <v>2940.89</v>
      </c>
      <c r="I52" s="538">
        <f t="shared" si="93"/>
        <v>2940.89</v>
      </c>
      <c r="J52" s="539">
        <f t="shared" ref="J52:J83" si="129" xml:space="preserve"> ROUND(  I52 / I$19,  J$17 )</f>
        <v>1.415</v>
      </c>
      <c r="K52" s="540">
        <f t="shared" si="94"/>
        <v>2</v>
      </c>
      <c r="L52" s="541">
        <f t="shared" si="116"/>
        <v>0</v>
      </c>
      <c r="M52" s="541">
        <f t="shared" si="116"/>
        <v>8.5999999999999993E-2</v>
      </c>
      <c r="O52" s="542" t="b">
        <f t="shared" si="95"/>
        <v>1</v>
      </c>
      <c r="P52" s="493">
        <f t="shared" ref="P52:P83" si="130" xml:space="preserve"> IF( $O52,   IF(  A52&gt;= $O$12, 1,  ROUND(  MIN( 1,  F52 + G52 ),  P$17  )  ), LEER )</f>
        <v>2.6100000000000002E-2</v>
      </c>
      <c r="Q52" s="493">
        <f t="shared" ref="Q52:Q83" si="131" xml:space="preserve"> IF( $O52,    ROUND( 1 - P52,  Q$17  ),  LEER  )</f>
        <v>0.97389999999999999</v>
      </c>
      <c r="R52" s="543">
        <f t="shared" ref="R52:R83" si="132" xml:space="preserve"> IF(  NOT($O52),  LEER,  IF( $A52=R$10,  R$12,  ROUNDDOWN(  R51 * Q51,  R$17 )  )  )</f>
        <v>634662</v>
      </c>
      <c r="S52" s="544">
        <f t="shared" ref="S52:S83" si="133" xml:space="preserve"> IF( $O52,    ROUND(  ( 1 / ( 1 + S$12 ) ), S$17 ),  LEER  )</f>
        <v>0.97560975599999999</v>
      </c>
      <c r="T52" s="423">
        <f t="shared" ref="T52:T83" si="134" xml:space="preserve"> IF( $O52,    ROUND( R52 * S52 ^ A52, T$17 ),  LEER  )</f>
        <v>175752.49</v>
      </c>
      <c r="U52" s="423">
        <f xml:space="preserve"> IF( $O52,    ROUND(  SUM( T52:T$120), U$17 ),  LEER  )</f>
        <v>3498477.34</v>
      </c>
      <c r="V52" s="493">
        <f t="shared" ref="V52:V83" si="135" xml:space="preserve"> IF( $O52,    IF( T52= 0, 1,  ROUND(  U52 / T52, V$17 )   ),  LEER  )</f>
        <v>19.9057</v>
      </c>
      <c r="W52" s="493">
        <f t="shared" ref="W52:W83" si="136" xml:space="preserve"> IF( $O52,    ROUND( J52 * T52, W$17 ),  LEER  )</f>
        <v>248689.77</v>
      </c>
      <c r="X52" s="493">
        <f xml:space="preserve"> IF( $O52,    ROUND(  SUM( W52:W$120), X$17 ),  LEER  )</f>
        <v>10454647.689999999</v>
      </c>
      <c r="Y52" s="493">
        <f t="shared" ref="Y52:Y83" si="137" xml:space="preserve"> IF( $O52,    IF( T52= 0, J52,  ROUND(  X52 / T52, Y$17 )   ),   LEER  )</f>
        <v>59.485100000000003</v>
      </c>
      <c r="Z52" s="493">
        <f t="shared" ref="Z52:Z83" si="138" xml:space="preserve"> IF( $O52,    IF( V52= 0, Y52,  ROUND( Y52 / V52, Z$17 )  ),   LEER  )</f>
        <v>2.9883000000000002</v>
      </c>
      <c r="AA52" s="493">
        <f t="shared" ref="AA52:AA83" si="139" xml:space="preserve"> IF( $O52,    ROUND( ( 12 * V52 * ( 1 - M52 ) ) / ( 12 * V52 * ( 1 - M52 ) - K52 ), AA$17 ),    LEER  )</f>
        <v>1.0092000000000001</v>
      </c>
      <c r="AB52" s="493">
        <f t="shared" ref="AB52:AB83" si="140" xml:space="preserve">  IF( $O52,    ROUND( INDEX( $Z$20:$Z$120, AB$16 ) / ( 1 - M52 - L52 - INDEX( $K$20:$K$120, AB$16 ) / ( 12 * INDEX( $V$20:$V$120, AB$16 ) ) ), AB$17 ),       LEER  )</f>
        <v>2.3494000000000002</v>
      </c>
      <c r="AC52" s="545">
        <f t="shared" ref="AC52:AC83" si="141" xml:space="preserve">  IF( NOT($O52),   LEER,   ROUND(  L52 * AB52  +  IF( $A52&lt;AC$12, AC$5, AC$6 ),  AC$17  )    )</f>
        <v>0.38600000000000001</v>
      </c>
      <c r="AD52" s="493">
        <f t="shared" ref="AD52:AD83" si="142" xml:space="preserve">  IF( $O52,   ROUND( AA52 * Z52 + ( AA52 - 1 ) * AC52, AD$17 ),       LEER  )</f>
        <v>3.0192999999999999</v>
      </c>
      <c r="AE52" s="493">
        <f t="shared" ref="AE52:AE83" si="143" xml:space="preserve">  IF( $O52,   ROUND( ( AD52 + AC52 ) / ( 1 - M52), AE$17 ),       LEER  )</f>
        <v>3.7256999999999998</v>
      </c>
      <c r="AF52" s="493">
        <f t="shared" ref="AF52:AF83" si="144" xml:space="preserve">  IF(  $O52,   IF(  OR( NOT( $AF$12), $A52=$M$12, AE52&gt;=AF51 ), AE52, MAX( AE52,AF51) ),  LEER  )</f>
        <v>3.7256999999999998</v>
      </c>
      <c r="AG52" s="493" t="str">
        <f t="shared" ref="AG52:AG83" si="145" xml:space="preserve">  IF(  $O52,   IF(  AE52=AF52,  LEER, Setzung ),    LEER  )</f>
        <v>.</v>
      </c>
      <c r="AH52" s="493" t="str">
        <f t="shared" ref="AH52:AH83" si="146" xml:space="preserve">  IF(  $O52,   IF( AND( K51&lt;&gt;0, AG52=Setzung), SetzungZillmerung, LEER ),    LEER  )</f>
        <v>.</v>
      </c>
      <c r="AI52" s="423">
        <f t="shared" ref="AI52:AI83" si="147" xml:space="preserve">  IF( $O52,    $J$19,  LEER  )</f>
        <v>2077.79</v>
      </c>
      <c r="AJ52" s="423">
        <f t="shared" ref="AJ52:AJ83" si="148" xml:space="preserve">  IF( $O52,    ROUND( AF52 * AI52, AJ$17 ),  LEER  )</f>
        <v>7741.22</v>
      </c>
      <c r="AK52" s="423">
        <f t="shared" ref="AK52:AK83" si="149" xml:space="preserve">  IF( $O52,    ROUND( AJ52 / 12, AK$17 ),  LEER  )</f>
        <v>645.1</v>
      </c>
      <c r="AN52" s="423">
        <f t="shared" si="117"/>
        <v>46912.22</v>
      </c>
      <c r="AO52" s="423">
        <f t="shared" si="117"/>
        <v>45994.03</v>
      </c>
      <c r="AR52" s="546">
        <f xml:space="preserve"> ROUND(  INDEX( Kx!52:52, AR$16 ),  AR$17 )</f>
        <v>0.77159999999999995</v>
      </c>
      <c r="AS52" s="547">
        <f xml:space="preserve"> ROUND(  INDEX( qx!52:52, AS$16 ),  AS$17 )</f>
        <v>1.8E-3</v>
      </c>
      <c r="AT52" s="547">
        <f xml:space="preserve"> ROUND(  INDEX( qx!52:52, AT$16 ),  AT$17 )</f>
        <v>1.2999999999999999E-3</v>
      </c>
      <c r="AU52" s="548" t="str">
        <f t="shared" ref="AU52:AU83" si="150" xml:space="preserve"> IF( AS52&lt;AT52, AS$13, AT$13 )</f>
        <v>F</v>
      </c>
      <c r="AV52" s="542">
        <f t="shared" ref="AV52:AV83" si="151" xml:space="preserve"> ROUND(     IF( AU52=BE_M_, ( $AR52 + $AR52 * AV$18 ) / ( 1 + $AR52 * AV$18 ),  ( $AR52 ) / ( 1 + ( 1 - $AR52 ) * AV$18 ) ),   AV$17 )</f>
        <v>0.6925</v>
      </c>
      <c r="AW52" s="542">
        <f t="shared" ref="AW52:AW83" si="152" xml:space="preserve"> ROUND( AV52 * AS52 + ( 1 - AV52) * AT52, AW$17 )</f>
        <v>1.6000000000000001E-3</v>
      </c>
      <c r="AX52" s="546">
        <f xml:space="preserve"> ROUND(  INDEX( wx!52:52, AX$16 ),  AX$17 )</f>
        <v>2.2499999999999999E-2</v>
      </c>
      <c r="AY52" s="546">
        <f xml:space="preserve"> ROUND(  INDEX( wx!52:52, AY$16 ),  AY$17 )</f>
        <v>3.4700000000000002E-2</v>
      </c>
      <c r="AZ52" s="548" t="str">
        <f t="shared" ref="AZ52:AZ83" si="153" xml:space="preserve"> IF( AX52&lt;AY52, AX$13, AY$13 )</f>
        <v>M</v>
      </c>
      <c r="BA52" s="542">
        <f t="shared" ref="BA52:BA83" si="154" xml:space="preserve"> ROUND(     IF( AZ52=BE_M_, ( $AR52 + $AR52 * BA$18 ) / ( 1 + $AR52 * BA$18 ),  ( $AR52 ) / ( 1 + ( 1 - $AR52 ) * BA$18 ) ),   BA$17 )</f>
        <v>0.83520000000000005</v>
      </c>
      <c r="BB52" s="542">
        <f t="shared" ref="BB52:BB83" si="155" xml:space="preserve"> ROUND( BA52 * AX52 + ( 1 - BA52) * AY52, BB$17 )</f>
        <v>2.4500000000000001E-2</v>
      </c>
      <c r="BC52" s="533">
        <f xml:space="preserve"> ROUND(  INDEX( Kx!52:52, BC$16 ),  BC$17 )</f>
        <v>2750.19</v>
      </c>
      <c r="BD52" s="533">
        <f xml:space="preserve"> ROUND(  INDEX( Kx!52:52, BD$16 ),  BD$17 )</f>
        <v>3370.36</v>
      </c>
      <c r="BE52" s="548" t="str">
        <f t="shared" si="52"/>
        <v>F</v>
      </c>
      <c r="BF52" s="542">
        <f t="shared" ref="BF52:BF83" si="156" xml:space="preserve"> ROUND(     IF( BE52=BE_M_, ( $AR52 + $AR52 * BF$18 ) / ( 1 + $AR52 * BF$18 ),  ( $AR52 ) / ( 1 + ( 1 - $AR52 ) * BF$18 ) ),   BF$17 )</f>
        <v>0.6925</v>
      </c>
      <c r="BG52" s="420">
        <f t="shared" ref="BG52:BG83" si="157" xml:space="preserve"> ROUND( BF52 * BC52 + ( 1 - BF52) * BD52, BG$17 )</f>
        <v>2940.89</v>
      </c>
      <c r="BQ52" s="549">
        <f t="shared" si="96"/>
        <v>52</v>
      </c>
      <c r="BR52" s="423">
        <f t="shared" si="55"/>
        <v>43563.69</v>
      </c>
      <c r="BS52" s="550">
        <f t="shared" ref="BS52:BS83" si="158" xml:space="preserve"> IF(  OR( $A52 &lt; $BS$12, $A52 &gt; $O$12 ),   LEER,  I52 )</f>
        <v>2940.89</v>
      </c>
      <c r="BT52" s="423">
        <f t="shared" ref="BT52:BT83" si="159" xml:space="preserve"> IF( OR( $A52 &lt;= $BT$12, $A52 &gt; $O$12 ),   LEER,  ROUND( BT$19 * BT$8 - BS51, BT$17 )  )</f>
        <v>1037.5</v>
      </c>
      <c r="BU52" s="551">
        <f t="shared" ref="BU52:BU83" si="160" xml:space="preserve"> IF( OR( $A52 &lt; $BU$12, $A52 &gt; $O$12 ),   LEER,  T52  )</f>
        <v>175752.49</v>
      </c>
      <c r="BV52" s="551">
        <f t="shared" ref="BV52:BV83" si="161" xml:space="preserve"> IF( OR( $A52 &lt; $BV$12, $A52 &gt; $O$12 ),   LEER,   ROUND( SUM(BU51) / SUM(BU52), BV$17 )   )</f>
        <v>1.0518000000000001</v>
      </c>
      <c r="BW52" s="529">
        <f t="shared" ref="BW52:BW83" si="162" xml:space="preserve"> IF( OR( $A52 &lt; $BW$12, $A52 &gt; $O$12 ),   LEER,  IF( $A52 = $BW$12,   0,   AN52   )  )</f>
        <v>46912.22</v>
      </c>
      <c r="BX52" s="552">
        <f t="shared" ref="BX52:BX83" si="163" xml:space="preserve"> IF( OR( $A52 &lt;= $BX$12, $A52 &gt; $O$12 ),   LEER,   BW52 - ( BR52 + BT52 )   )</f>
        <v>2311.0299999999988</v>
      </c>
      <c r="BY52" s="560"/>
      <c r="BZ52" s="559"/>
      <c r="CB52" s="423">
        <f t="shared" ref="CB52:CB83" si="164" xml:space="preserve">  IF( AND( $O52, $A52&gt;=CB$12),    ROUND( AN$19 * ( AN$8 - J52 ) * ( 1 + CB$19 ), CB$17 ),  LEER  )</f>
        <v>935.17</v>
      </c>
      <c r="CC52" s="423">
        <f t="shared" ref="CC52:CC83" si="165" xml:space="preserve">  IF( AND( $O52, $A52&gt;=CC$12),    ROUND( SUM(AN52) * CC$19, CC$17 ),  LEER  )</f>
        <v>1172.81</v>
      </c>
      <c r="CD52" s="423">
        <f t="shared" ref="CD52:CD83" si="166" xml:space="preserve">  IF( AND( $O52, $A52&gt;=CD$12),    ROUND( SUM(AN53) * P52, CD$17 ),  LEER  )</f>
        <v>1313.71</v>
      </c>
      <c r="CE52" s="423">
        <f t="shared" ref="CE52:CE83" si="167" xml:space="preserve">  IF( AND( $O52, $A52&gt;=CE$12),    SUM(CB52:CD52),  LEER  )</f>
        <v>3421.69</v>
      </c>
      <c r="CF52" s="553">
        <f t="shared" ref="CF52:CF83" si="168" xml:space="preserve">  IF( AND( $O52, $A52&gt;=CF$12),   SUM( AN53 ) - SUM( AN52 ), LEER  )</f>
        <v>3421.5699999999997</v>
      </c>
      <c r="CH52" s="423">
        <f t="shared" ref="CH52:CH83" si="169" xml:space="preserve">  IF( AND( $O52, $A52&gt;=CH$12), CH$19 * CH$8, LEER  )</f>
        <v>3852.4304390000002</v>
      </c>
      <c r="CI52" s="423">
        <f t="shared" ref="CI52:CI83" si="170" xml:space="preserve">  IF( AND( $O52, $A52&gt;=CI$12), ROUND( CI$19 * SUM($J52), CI$17), LEER  )</f>
        <v>2940.07</v>
      </c>
      <c r="CJ52" s="423">
        <f t="shared" ref="CJ52:CJ83" si="171" xml:space="preserve">  IF( AND( $O52, $A52&gt;=CJ$12), ROUND( 1 / ( 1 + CJ$19 ) * SUM(AN53) - SUM(AN52), CJ$17 ), LEER  )</f>
        <v>2193.92</v>
      </c>
      <c r="CK52" s="423">
        <f t="shared" ref="CK52:CK83" si="172" xml:space="preserve">  IF( AND( $O52, $A52&gt;=CK$12), ROUND( - 1 / ( 1 + CK$19 ) * SUM(AN53) * SUM(P52), CK$17 ), LEER  )</f>
        <v>-1281.67</v>
      </c>
      <c r="CL52" s="553">
        <f t="shared" ref="CL52:CL83" si="173" xml:space="preserve">  IF( AND( $O52, $A52&gt;=CL$12), SUM( CI52:CK52 ), LEER  )</f>
        <v>3852.3199999999997</v>
      </c>
      <c r="CN52" s="423">
        <f t="shared" si="71"/>
        <v>3898.5573770000001</v>
      </c>
      <c r="CO52" s="423">
        <f t="shared" ref="CO52:CO83" si="174" xml:space="preserve">  IF( AND( $O52, $A52&gt;=CO$12), ROUND( CO$19 * SUM($J52), CO$17), LEER  )</f>
        <v>2940.07</v>
      </c>
      <c r="CP52" s="423">
        <f t="shared" ref="CP52:CP83" si="175" xml:space="preserve">  IF( AND( $O52, $A52&gt;=CP$12), ROUND( 1 / ( 1 + CP$19 ) * SUM(AO53) - SUM(AO52), CP$17 ), LEER  )</f>
        <v>2216.67</v>
      </c>
      <c r="CQ52" s="423">
        <f t="shared" ref="CQ52:CQ83" si="176" xml:space="preserve">  IF( AND( $O52, $A52&gt;=CQ$12), ROUND( - 1 / ( 1 + CQ$19 ) * SUM(AO53) * SUM($P52), CQ$17 ), LEER  )</f>
        <v>-1258.3</v>
      </c>
      <c r="CR52" s="553">
        <f t="shared" si="75"/>
        <v>3898.4399999999996</v>
      </c>
      <c r="CV52" s="564">
        <f t="shared" si="98"/>
        <v>52</v>
      </c>
      <c r="CW52" s="538" t="str">
        <f t="shared" ref="CW52:CW83" si="177" xml:space="preserve"> IF(  OR( $CV52&lt;CW$3, $CV52&gt;CY$3),   LEER,   $AO52   )</f>
        <v>.</v>
      </c>
      <c r="CX52" s="566">
        <f t="shared" ref="CX52:CX83" si="178" xml:space="preserve"> IF(  OR( $CV52&lt;CY$3, $CV52&gt;DA$3),   LEER,   $AO52   )</f>
        <v>45994.03</v>
      </c>
      <c r="CY52" s="538">
        <f t="shared" ref="CY52:CY83" si="179" xml:space="preserve"> IF(  OR( $CV52&lt;CY$3, $CV52&gt;CZ$3),   LEER,
   IF(  $CV52=CY$3,   CW52,
                                             ROUND( SUM(CY51) * T51 / T52, CY$17 )   )       )</f>
        <v>43525.8</v>
      </c>
      <c r="CZ52" s="538" t="str">
        <f t="shared" ref="CZ52:CZ83" si="180" xml:space="preserve"> IF(  OR( $CV52&lt;CZ$3, $CV52&gt;DA$3),   LEER,
   IF(  $CV52=CZ$3,   CY52,
                                             ROUND( SUM(CZ51) * V52 / V51, CZ$17 )   )       )</f>
        <v>.</v>
      </c>
      <c r="DA52" s="538" t="str">
        <f t="shared" ref="DA52:DA83" si="181" xml:space="preserve"> IF(  OR( $CV52&lt;CZ$3, $CV52&gt;DA$3),   LEER,
                                                                                ROUND( DA$7 * ( Y52 - DA$5 * V52 ), DA$17  )      )</f>
        <v>.</v>
      </c>
      <c r="DB52" s="567" t="e">
        <f t="shared" si="99"/>
        <v>#N/A</v>
      </c>
      <c r="DC52" s="567">
        <f t="shared" si="100"/>
        <v>45994.03</v>
      </c>
      <c r="DD52" s="567">
        <f t="shared" si="101"/>
        <v>43525.8</v>
      </c>
      <c r="DE52" s="567" t="e">
        <f t="shared" si="101"/>
        <v>#N/A</v>
      </c>
      <c r="DF52" s="568" t="e">
        <f t="shared" si="102"/>
        <v>#N/A</v>
      </c>
      <c r="EL52" s="553">
        <f t="shared" si="81"/>
        <v>5506.86</v>
      </c>
      <c r="EM52" s="553">
        <f t="shared" ref="EM52:EM83" si="182" xml:space="preserve">  IF( AND( $A52&lt;=$O$12, $A52&gt;=EL$12),    ROUND( ( 1 - $M52 ) * $V52 * EM$8, EL$17 ),  LEER  )</f>
        <v>40494.51</v>
      </c>
      <c r="EN52" s="423">
        <f t="shared" ref="EN52:EN83" si="183" xml:space="preserve">  IF( AND( $A52&lt;=$O$12, $A52&gt;=EL$12),    ROUND( SUM(EL52:EM52), EN$17 ),  LEER  )</f>
        <v>46001.37</v>
      </c>
      <c r="EO52" s="555">
        <f xml:space="preserve"> 'i2'!AO52</f>
        <v>45994.03</v>
      </c>
      <c r="EV52" s="533" t="e">
        <f xml:space="preserve"> ROUND(    IF( $A$15=BE_MF_,   LEER,   INDEX( Kx!52:52, EV$16 ) ),    EV$17    )</f>
        <v>#VALUE!</v>
      </c>
      <c r="EW52" s="533" t="e">
        <f xml:space="preserve"> ROUND(    IF( $A$15=BE_MF_,   LEER,   INDEX( Kx!52:52, EW$16 ) ),    EW$17    )</f>
        <v>#VALUE!</v>
      </c>
      <c r="EX52" s="533" t="e">
        <f xml:space="preserve"> ROUND(    IF( $A$15=BE_MF_,   LEER,   INDEX( Kx!52:52, EX$16 ) ),    EX$17    )</f>
        <v>#VALUE!</v>
      </c>
      <c r="EY52" s="556" t="e">
        <f t="shared" si="103"/>
        <v>#VALUE!</v>
      </c>
      <c r="FB52" s="533" t="e">
        <f xml:space="preserve"> ROUND(    IF( $A$15=BE_MF_,   LEER,   INDEX( Kx!52:52, FB$16 ) ),    FB$17    )</f>
        <v>#VALUE!</v>
      </c>
      <c r="FC52" s="533" t="e">
        <f xml:space="preserve"> ROUND(    IF( $A$15=BE_MF_,   LEER,   INDEX( Kx!52:52, FC$16 ) ),    FC$17    )</f>
        <v>#VALUE!</v>
      </c>
      <c r="FD52" s="556" t="e">
        <f t="shared" si="104"/>
        <v>#VALUE!</v>
      </c>
      <c r="FG52" s="556" t="e">
        <f t="shared" si="105"/>
        <v>#VALUE!</v>
      </c>
      <c r="FH52" s="556" t="e">
        <f t="shared" si="105"/>
        <v>#VALUE!</v>
      </c>
      <c r="FI52" s="556" t="e">
        <f t="shared" si="105"/>
        <v>#VALUE!</v>
      </c>
      <c r="FN52" s="557">
        <f t="shared" ref="FN52:FN83" si="184" xml:space="preserve"> A52</f>
        <v>52</v>
      </c>
      <c r="FO52" s="493">
        <f t="shared" ref="FO52:FO83" si="185" xml:space="preserve"> Y52</f>
        <v>59.485100000000003</v>
      </c>
      <c r="FP52" s="493">
        <f t="shared" ref="FP52:FP83" si="186" xml:space="preserve"> V52</f>
        <v>19.9057</v>
      </c>
      <c r="FR52" s="427">
        <f t="shared" si="106"/>
        <v>1359551.97</v>
      </c>
      <c r="FS52" s="558">
        <f t="shared" ref="FS52:GH67" si="187" xml:space="preserve"> IF(  OR( FS$18&gt;$FN52, $FN52&gt;$FS$12 ),  LEER,  ROUND( $FR$19 * ( $FO52 - FS$15 * $FP52 ), FS$17 )  )</f>
        <v>73949.16</v>
      </c>
      <c r="FT52" s="558">
        <f t="shared" si="187"/>
        <v>72274.09</v>
      </c>
      <c r="FU52" s="558">
        <f t="shared" si="187"/>
        <v>70594.880000000005</v>
      </c>
      <c r="FV52" s="558">
        <f t="shared" si="187"/>
        <v>68915.67</v>
      </c>
      <c r="FW52" s="558">
        <f t="shared" si="187"/>
        <v>67178.55</v>
      </c>
      <c r="FX52" s="558">
        <f t="shared" si="187"/>
        <v>65391.81</v>
      </c>
      <c r="FY52" s="558">
        <f t="shared" si="187"/>
        <v>63621.61</v>
      </c>
      <c r="FZ52" s="558">
        <f t="shared" si="187"/>
        <v>61839</v>
      </c>
      <c r="GA52" s="558">
        <f t="shared" si="187"/>
        <v>59994.35</v>
      </c>
      <c r="GB52" s="558">
        <f t="shared" si="187"/>
        <v>58075.25</v>
      </c>
      <c r="GC52" s="558">
        <f t="shared" si="187"/>
        <v>56143.74</v>
      </c>
      <c r="GD52" s="558">
        <f t="shared" si="187"/>
        <v>54183.29</v>
      </c>
      <c r="GE52" s="558">
        <f t="shared" si="187"/>
        <v>52177.33</v>
      </c>
      <c r="GF52" s="558">
        <f t="shared" si="187"/>
        <v>50163.11</v>
      </c>
      <c r="GG52" s="558">
        <f t="shared" si="187"/>
        <v>48086.84</v>
      </c>
      <c r="GH52" s="558">
        <f t="shared" si="187"/>
        <v>45994.03</v>
      </c>
      <c r="GI52" s="558">
        <f t="shared" si="126"/>
        <v>43839.18</v>
      </c>
      <c r="GJ52" s="558">
        <f t="shared" si="126"/>
        <v>41634.699999999997</v>
      </c>
      <c r="GK52" s="558">
        <f t="shared" si="126"/>
        <v>39368.18</v>
      </c>
      <c r="GL52" s="558">
        <f t="shared" si="126"/>
        <v>37035.49</v>
      </c>
      <c r="GM52" s="558">
        <f t="shared" si="126"/>
        <v>34632.480000000003</v>
      </c>
      <c r="GN52" s="558">
        <f t="shared" si="126"/>
        <v>32138.48</v>
      </c>
      <c r="GO52" s="558">
        <f t="shared" si="126"/>
        <v>29553.49</v>
      </c>
      <c r="GP52" s="558">
        <f t="shared" si="126"/>
        <v>26873.37</v>
      </c>
      <c r="GQ52" s="558">
        <f t="shared" si="126"/>
        <v>24085.71</v>
      </c>
      <c r="GR52" s="558">
        <f t="shared" si="126"/>
        <v>21211.200000000001</v>
      </c>
      <c r="GS52" s="558">
        <f t="shared" si="126"/>
        <v>18237.43</v>
      </c>
      <c r="GT52" s="558">
        <f t="shared" si="126"/>
        <v>15172.66</v>
      </c>
      <c r="GU52" s="558">
        <f t="shared" si="126"/>
        <v>12025.18</v>
      </c>
      <c r="GV52" s="558">
        <f t="shared" si="126"/>
        <v>8799.11</v>
      </c>
      <c r="GW52" s="558">
        <f t="shared" si="126"/>
        <v>5506.86</v>
      </c>
      <c r="GX52" s="558">
        <f t="shared" ref="GX52:HM67" si="188" xml:space="preserve"> IF(  OR( GX$18&gt;$FN52, $FN52&gt;$FS$12 ),  LEER,  ROUND( $FR$19 * ( $FO52 - GX$15 * $FP52 ), GX$17 )  )</f>
        <v>2136.0300000000002</v>
      </c>
      <c r="GY52" s="558">
        <f t="shared" si="188"/>
        <v>-1280.29</v>
      </c>
      <c r="GZ52" s="558" t="str">
        <f t="shared" si="188"/>
        <v>.</v>
      </c>
      <c r="HA52" s="558" t="str">
        <f t="shared" si="188"/>
        <v>.</v>
      </c>
      <c r="HB52" s="558" t="str">
        <f t="shared" si="188"/>
        <v>.</v>
      </c>
      <c r="HC52" s="558" t="str">
        <f t="shared" si="188"/>
        <v>.</v>
      </c>
      <c r="HD52" s="558" t="str">
        <f t="shared" si="188"/>
        <v>.</v>
      </c>
      <c r="HE52" s="558" t="str">
        <f t="shared" si="188"/>
        <v>.</v>
      </c>
      <c r="HF52" s="558" t="str">
        <f t="shared" si="188"/>
        <v>.</v>
      </c>
      <c r="HG52" s="558" t="str">
        <f t="shared" si="188"/>
        <v>.</v>
      </c>
      <c r="HH52" s="558" t="str">
        <f t="shared" si="188"/>
        <v>.</v>
      </c>
      <c r="HI52" s="558" t="str">
        <f t="shared" si="188"/>
        <v>.</v>
      </c>
      <c r="HJ52" s="558" t="str">
        <f t="shared" si="188"/>
        <v>.</v>
      </c>
      <c r="HK52" s="558" t="str">
        <f t="shared" si="188"/>
        <v>.</v>
      </c>
      <c r="HL52" s="558" t="str">
        <f t="shared" si="188"/>
        <v>.</v>
      </c>
      <c r="HM52" s="558" t="str">
        <f t="shared" si="188"/>
        <v>.</v>
      </c>
      <c r="HN52" s="558" t="str">
        <f t="shared" si="127"/>
        <v>.</v>
      </c>
      <c r="HO52" s="558" t="str">
        <f t="shared" si="127"/>
        <v>.</v>
      </c>
      <c r="HP52" s="558" t="str">
        <f t="shared" si="127"/>
        <v>.</v>
      </c>
      <c r="HQ52" s="558" t="str">
        <f t="shared" si="127"/>
        <v>.</v>
      </c>
      <c r="HR52" s="558" t="str">
        <f t="shared" si="127"/>
        <v>.</v>
      </c>
      <c r="HS52" s="558" t="str">
        <f t="shared" si="127"/>
        <v>.</v>
      </c>
      <c r="HT52" s="558" t="str">
        <f t="shared" si="127"/>
        <v>.</v>
      </c>
      <c r="HU52" s="558" t="str">
        <f t="shared" si="127"/>
        <v>.</v>
      </c>
      <c r="HV52" s="558" t="str">
        <f t="shared" si="127"/>
        <v>.</v>
      </c>
      <c r="HW52" s="558" t="str">
        <f t="shared" si="127"/>
        <v>.</v>
      </c>
      <c r="HX52" s="558" t="str">
        <f t="shared" si="127"/>
        <v>.</v>
      </c>
      <c r="HY52" s="558" t="str">
        <f t="shared" si="127"/>
        <v>.</v>
      </c>
      <c r="HZ52" s="558" t="str">
        <f t="shared" si="127"/>
        <v>.</v>
      </c>
      <c r="IA52" s="558" t="str">
        <f t="shared" si="127"/>
        <v>.</v>
      </c>
      <c r="IB52" s="558" t="str">
        <f t="shared" si="127"/>
        <v>.</v>
      </c>
      <c r="IC52" s="558" t="str">
        <f t="shared" si="127"/>
        <v>.</v>
      </c>
      <c r="ID52" s="558" t="str">
        <f t="shared" si="127"/>
        <v>.</v>
      </c>
      <c r="IE52" s="558" t="str">
        <f t="shared" si="128"/>
        <v>.</v>
      </c>
      <c r="IF52" s="558" t="str">
        <f t="shared" si="128"/>
        <v>.</v>
      </c>
      <c r="IG52" s="558" t="str">
        <f t="shared" si="128"/>
        <v>.</v>
      </c>
      <c r="IH52" s="558" t="str">
        <f t="shared" si="128"/>
        <v>.</v>
      </c>
      <c r="II52" s="558" t="str">
        <f t="shared" si="128"/>
        <v>.</v>
      </c>
      <c r="IJ52" s="558" t="str">
        <f t="shared" si="128"/>
        <v>.</v>
      </c>
      <c r="IK52" s="558" t="str">
        <f t="shared" si="128"/>
        <v>.</v>
      </c>
      <c r="IL52" s="558" t="str">
        <f t="shared" si="128"/>
        <v>.</v>
      </c>
      <c r="IM52" s="558" t="str">
        <f t="shared" si="128"/>
        <v>.</v>
      </c>
      <c r="IN52" s="558" t="str">
        <f t="shared" si="128"/>
        <v>.</v>
      </c>
      <c r="IO52" s="558" t="str">
        <f t="shared" si="128"/>
        <v>.</v>
      </c>
      <c r="IP52" s="558" t="str">
        <f t="shared" si="128"/>
        <v>.</v>
      </c>
      <c r="IQ52" s="558" t="str">
        <f t="shared" si="128"/>
        <v>.</v>
      </c>
      <c r="IR52" s="558" t="str">
        <f t="shared" si="122"/>
        <v>.</v>
      </c>
      <c r="IS52" s="558" t="str">
        <f t="shared" si="122"/>
        <v>.</v>
      </c>
      <c r="IT52" s="558" t="str">
        <f t="shared" si="122"/>
        <v>.</v>
      </c>
      <c r="IU52" s="558" t="str">
        <f t="shared" si="122"/>
        <v>.</v>
      </c>
      <c r="IV52" s="558" t="str">
        <f t="shared" si="122"/>
        <v>.</v>
      </c>
      <c r="IW52" s="558" t="str">
        <f t="shared" si="122"/>
        <v>.</v>
      </c>
      <c r="IX52" s="558" t="str">
        <f t="shared" si="122"/>
        <v>.</v>
      </c>
      <c r="IY52" s="558" t="str">
        <f t="shared" si="122"/>
        <v>.</v>
      </c>
      <c r="IZ52" s="558" t="str">
        <f t="shared" si="122"/>
        <v>.</v>
      </c>
      <c r="JA52" s="558" t="str">
        <f t="shared" si="122"/>
        <v>.</v>
      </c>
      <c r="JB52" s="558" t="str">
        <f t="shared" si="122"/>
        <v>.</v>
      </c>
      <c r="JC52" s="558" t="str">
        <f t="shared" si="122"/>
        <v>.</v>
      </c>
      <c r="JD52" s="558" t="str">
        <f t="shared" si="122"/>
        <v>.</v>
      </c>
      <c r="JE52" s="558" t="str">
        <f t="shared" si="122"/>
        <v>.</v>
      </c>
      <c r="JF52" s="558" t="str">
        <f t="shared" si="122"/>
        <v>.</v>
      </c>
      <c r="JG52" s="558" t="str">
        <f t="shared" si="122"/>
        <v>.</v>
      </c>
      <c r="JH52" s="558" t="str">
        <f t="shared" si="122"/>
        <v>.</v>
      </c>
      <c r="JI52" s="558" t="str">
        <f t="shared" si="123"/>
        <v>.</v>
      </c>
      <c r="JJ52" s="558" t="str">
        <f t="shared" si="123"/>
        <v>.</v>
      </c>
      <c r="JK52" s="558" t="str">
        <f xml:space="preserve"> IF(  OR( JK$18&gt;$FN52, $FN52&gt;$FS$12 ),  LEER,  ROUND( $FR$19 * ( $FO52 - JK$15 * $FP52 ), JK$17 )  )</f>
        <v>.</v>
      </c>
      <c r="JL52" s="558" t="str">
        <f xml:space="preserve"> IF(  OR( JL$18&gt;$FN52, $FN52&gt;$FS$12 ),  LEER,  ROUND( $FR$19 * ( $FO52 - JL$15 * $FP52 ), JL$17 )  )</f>
        <v>.</v>
      </c>
      <c r="JM52" s="558" t="str">
        <f t="shared" ref="JK52:JO67" si="189" xml:space="preserve"> IF(  OR( JM$18&gt;$FN52, $FN52&gt;$FS$12 ),  LEER,  ROUND( $FR$19 * ( $FO52 - JM$15 * $FP52 ), JM$17 )  )</f>
        <v>.</v>
      </c>
      <c r="JN52" s="558" t="str">
        <f t="shared" si="189"/>
        <v>.</v>
      </c>
      <c r="JO52" s="558" t="str">
        <f t="shared" si="189"/>
        <v>.</v>
      </c>
    </row>
    <row r="53" spans="1:275" x14ac:dyDescent="0.2">
      <c r="A53" s="534">
        <f xml:space="preserve"> Basis!A53</f>
        <v>53</v>
      </c>
      <c r="F53" s="536">
        <f xml:space="preserve"> ROUND(    IF( $A$15=BE_MF_,   AW53,   INDEX( qx!53:53, F$16 ) ),    F$17    )</f>
        <v>1.9E-3</v>
      </c>
      <c r="G53" s="536">
        <f xml:space="preserve"> ROUND(    IF( $A$15=BE_MF_,   BB53,   INDEX( wx!53:53, G$16 ) ),    G$17    )</f>
        <v>2.4899999999999999E-2</v>
      </c>
      <c r="H53" s="537">
        <f xml:space="preserve"> ROUND(    IF( $A$15=BE_MF_,   BG53,   INDEX( Kx!53:53, H$16 ) ),    H$17    )</f>
        <v>3073.25</v>
      </c>
      <c r="I53" s="538">
        <f t="shared" si="93"/>
        <v>3073.25</v>
      </c>
      <c r="J53" s="539">
        <f t="shared" si="129"/>
        <v>1.4790000000000001</v>
      </c>
      <c r="K53" s="540">
        <f t="shared" ref="K53:K84" si="190" xml:space="preserve"> IF( $A53&lt;K$18,  K$15,  MAX( 0, K52-K$16 )   )</f>
        <v>2</v>
      </c>
      <c r="L53" s="541">
        <f t="shared" si="116"/>
        <v>0</v>
      </c>
      <c r="M53" s="541">
        <f t="shared" si="116"/>
        <v>8.5999999999999993E-2</v>
      </c>
      <c r="O53" s="542" t="b">
        <f t="shared" si="95"/>
        <v>1</v>
      </c>
      <c r="P53" s="493">
        <f t="shared" si="130"/>
        <v>2.6800000000000001E-2</v>
      </c>
      <c r="Q53" s="493">
        <f t="shared" si="131"/>
        <v>0.97319999999999995</v>
      </c>
      <c r="R53" s="543">
        <f t="shared" si="132"/>
        <v>618097</v>
      </c>
      <c r="S53" s="544">
        <f t="shared" si="133"/>
        <v>0.97560975599999999</v>
      </c>
      <c r="T53" s="423">
        <f t="shared" si="134"/>
        <v>166990.5</v>
      </c>
      <c r="U53" s="423">
        <f xml:space="preserve"> IF( $O53,    ROUND(  SUM( T53:T$120), U$17 ),  LEER  )</f>
        <v>3322724.85</v>
      </c>
      <c r="V53" s="493">
        <f t="shared" si="135"/>
        <v>19.8977</v>
      </c>
      <c r="W53" s="493">
        <f t="shared" si="136"/>
        <v>246978.95</v>
      </c>
      <c r="X53" s="493">
        <f xml:space="preserve"> IF( $O53,    ROUND(  SUM( W53:W$120), X$17 ),  LEER  )</f>
        <v>10205957.92</v>
      </c>
      <c r="Y53" s="493">
        <f t="shared" si="137"/>
        <v>61.116999999999997</v>
      </c>
      <c r="Z53" s="493">
        <f t="shared" si="138"/>
        <v>3.0716000000000001</v>
      </c>
      <c r="AA53" s="493">
        <f t="shared" si="139"/>
        <v>1.0092000000000001</v>
      </c>
      <c r="AB53" s="493">
        <f t="shared" si="140"/>
        <v>2.3494000000000002</v>
      </c>
      <c r="AC53" s="545">
        <f t="shared" si="141"/>
        <v>0.38600000000000001</v>
      </c>
      <c r="AD53" s="493">
        <f t="shared" si="142"/>
        <v>3.1034000000000002</v>
      </c>
      <c r="AE53" s="493">
        <f t="shared" si="143"/>
        <v>3.8176999999999999</v>
      </c>
      <c r="AF53" s="493">
        <f t="shared" si="144"/>
        <v>3.8176999999999999</v>
      </c>
      <c r="AG53" s="493" t="str">
        <f t="shared" si="145"/>
        <v>.</v>
      </c>
      <c r="AH53" s="493" t="str">
        <f t="shared" si="146"/>
        <v>.</v>
      </c>
      <c r="AI53" s="423">
        <f t="shared" si="147"/>
        <v>2077.79</v>
      </c>
      <c r="AJ53" s="423">
        <f t="shared" si="148"/>
        <v>7932.38</v>
      </c>
      <c r="AK53" s="423">
        <f t="shared" si="149"/>
        <v>661.03</v>
      </c>
      <c r="AN53" s="423">
        <f t="shared" si="117"/>
        <v>50333.79</v>
      </c>
      <c r="AO53" s="423">
        <f t="shared" si="117"/>
        <v>49415.97</v>
      </c>
      <c r="AR53" s="546">
        <f xml:space="preserve"> ROUND(  INDEX( Kx!53:53, AR$16 ),  AR$17 )</f>
        <v>0.76959999999999995</v>
      </c>
      <c r="AS53" s="547">
        <f xml:space="preserve"> ROUND(  INDEX( qx!53:53, AS$16 ),  AS$17 )</f>
        <v>2.0999999999999999E-3</v>
      </c>
      <c r="AT53" s="547">
        <f xml:space="preserve"> ROUND(  INDEX( qx!53:53, AT$16 ),  AT$17 )</f>
        <v>1.4E-3</v>
      </c>
      <c r="AU53" s="548" t="str">
        <f t="shared" si="150"/>
        <v>F</v>
      </c>
      <c r="AV53" s="542">
        <f t="shared" si="151"/>
        <v>0.69010000000000005</v>
      </c>
      <c r="AW53" s="542">
        <f t="shared" si="152"/>
        <v>1.9E-3</v>
      </c>
      <c r="AX53" s="546">
        <f xml:space="preserve"> ROUND(  INDEX( wx!53:53, AX$16 ),  AX$17 )</f>
        <v>2.2499999999999999E-2</v>
      </c>
      <c r="AY53" s="546">
        <f xml:space="preserve"> ROUND(  INDEX( wx!53:53, AY$16 ),  AY$17 )</f>
        <v>3.6700000000000003E-2</v>
      </c>
      <c r="AZ53" s="548" t="str">
        <f t="shared" si="153"/>
        <v>M</v>
      </c>
      <c r="BA53" s="542">
        <f t="shared" si="154"/>
        <v>0.83360000000000001</v>
      </c>
      <c r="BB53" s="542">
        <f t="shared" si="155"/>
        <v>2.4899999999999999E-2</v>
      </c>
      <c r="BC53" s="533">
        <f xml:space="preserve"> ROUND(  INDEX( Kx!53:53, BC$16 ),  BC$17 )</f>
        <v>2895.45</v>
      </c>
      <c r="BD53" s="533">
        <f xml:space="preserve"> ROUND(  INDEX( Kx!53:53, BD$16 ),  BD$17 )</f>
        <v>3469.18</v>
      </c>
      <c r="BE53" s="548" t="str">
        <f t="shared" si="52"/>
        <v>F</v>
      </c>
      <c r="BF53" s="542">
        <f t="shared" si="156"/>
        <v>0.69010000000000005</v>
      </c>
      <c r="BG53" s="420">
        <f t="shared" si="157"/>
        <v>3073.25</v>
      </c>
      <c r="BQ53" s="549">
        <f t="shared" si="96"/>
        <v>53</v>
      </c>
      <c r="BR53" s="423">
        <f t="shared" si="55"/>
        <v>46912.22</v>
      </c>
      <c r="BS53" s="550">
        <f t="shared" si="158"/>
        <v>3073.25</v>
      </c>
      <c r="BT53" s="423">
        <f t="shared" si="159"/>
        <v>911.54</v>
      </c>
      <c r="BU53" s="551">
        <f t="shared" si="160"/>
        <v>166990.5</v>
      </c>
      <c r="BV53" s="551">
        <f t="shared" si="161"/>
        <v>1.0525</v>
      </c>
      <c r="BW53" s="529">
        <f t="shared" si="162"/>
        <v>50333.79</v>
      </c>
      <c r="BX53" s="552">
        <f t="shared" si="163"/>
        <v>2510.0299999999988</v>
      </c>
      <c r="BY53" s="560"/>
      <c r="BZ53" s="559"/>
      <c r="CB53" s="423">
        <f t="shared" si="164"/>
        <v>798.86</v>
      </c>
      <c r="CC53" s="423">
        <f t="shared" si="165"/>
        <v>1258.3399999999999</v>
      </c>
      <c r="CD53" s="423">
        <f t="shared" si="166"/>
        <v>1442.75</v>
      </c>
      <c r="CE53" s="423">
        <f t="shared" si="167"/>
        <v>3499.95</v>
      </c>
      <c r="CF53" s="553">
        <f t="shared" si="168"/>
        <v>3500.1299999999974</v>
      </c>
      <c r="CH53" s="423">
        <f t="shared" si="169"/>
        <v>3852.4304390000002</v>
      </c>
      <c r="CI53" s="423">
        <f t="shared" si="170"/>
        <v>3073.05</v>
      </c>
      <c r="CJ53" s="423">
        <f t="shared" si="171"/>
        <v>2187.11</v>
      </c>
      <c r="CK53" s="423">
        <f t="shared" si="172"/>
        <v>-1407.56</v>
      </c>
      <c r="CL53" s="553">
        <f t="shared" si="173"/>
        <v>3852.6</v>
      </c>
      <c r="CN53" s="423">
        <f t="shared" si="71"/>
        <v>3898.5573770000001</v>
      </c>
      <c r="CO53" s="423">
        <f t="shared" si="174"/>
        <v>3073.05</v>
      </c>
      <c r="CP53" s="423">
        <f t="shared" si="175"/>
        <v>2209.23</v>
      </c>
      <c r="CQ53" s="423">
        <f t="shared" si="176"/>
        <v>-1383.56</v>
      </c>
      <c r="CR53" s="553">
        <f t="shared" si="75"/>
        <v>3898.7200000000007</v>
      </c>
      <c r="CV53" s="564">
        <f t="shared" si="98"/>
        <v>53</v>
      </c>
      <c r="CW53" s="538" t="str">
        <f t="shared" si="177"/>
        <v>.</v>
      </c>
      <c r="CX53" s="566">
        <f t="shared" si="178"/>
        <v>49415.97</v>
      </c>
      <c r="CY53" s="538">
        <f t="shared" si="179"/>
        <v>45809.599999999999</v>
      </c>
      <c r="CZ53" s="538" t="str">
        <f t="shared" si="180"/>
        <v>.</v>
      </c>
      <c r="DA53" s="538" t="str">
        <f t="shared" si="181"/>
        <v>.</v>
      </c>
      <c r="DB53" s="567" t="e">
        <f t="shared" si="99"/>
        <v>#N/A</v>
      </c>
      <c r="DC53" s="567">
        <f t="shared" si="100"/>
        <v>49415.97</v>
      </c>
      <c r="DD53" s="567">
        <f t="shared" si="101"/>
        <v>45809.599999999999</v>
      </c>
      <c r="DE53" s="567" t="e">
        <f t="shared" si="101"/>
        <v>#N/A</v>
      </c>
      <c r="DF53" s="568" t="e">
        <f t="shared" si="102"/>
        <v>#N/A</v>
      </c>
      <c r="EL53" s="553">
        <f t="shared" si="81"/>
        <v>8945.07</v>
      </c>
      <c r="EM53" s="553">
        <f t="shared" si="182"/>
        <v>40478.230000000003</v>
      </c>
      <c r="EN53" s="423">
        <f t="shared" si="183"/>
        <v>49423.3</v>
      </c>
      <c r="EO53" s="555">
        <f xml:space="preserve"> 'i2'!AO53</f>
        <v>49415.97</v>
      </c>
      <c r="EV53" s="533" t="e">
        <f xml:space="preserve"> ROUND(    IF( $A$15=BE_MF_,   LEER,   INDEX( Kx!53:53, EV$16 ) ),    EV$17    )</f>
        <v>#VALUE!</v>
      </c>
      <c r="EW53" s="533" t="e">
        <f xml:space="preserve"> ROUND(    IF( $A$15=BE_MF_,   LEER,   INDEX( Kx!53:53, EW$16 ) ),    EW$17    )</f>
        <v>#VALUE!</v>
      </c>
      <c r="EX53" s="533" t="e">
        <f xml:space="preserve"> ROUND(    IF( $A$15=BE_MF_,   LEER,   INDEX( Kx!53:53, EX$16 ) ),    EX$17    )</f>
        <v>#VALUE!</v>
      </c>
      <c r="EY53" s="556" t="e">
        <f t="shared" si="103"/>
        <v>#VALUE!</v>
      </c>
      <c r="FB53" s="533" t="e">
        <f xml:space="preserve"> ROUND(    IF( $A$15=BE_MF_,   LEER,   INDEX( Kx!53:53, FB$16 ) ),    FB$17    )</f>
        <v>#VALUE!</v>
      </c>
      <c r="FC53" s="533" t="e">
        <f xml:space="preserve"> ROUND(    IF( $A$15=BE_MF_,   LEER,   INDEX( Kx!53:53, FC$16 ) ),    FC$17    )</f>
        <v>#VALUE!</v>
      </c>
      <c r="FD53" s="556" t="e">
        <f t="shared" si="104"/>
        <v>#VALUE!</v>
      </c>
      <c r="FG53" s="556" t="e">
        <f t="shared" si="105"/>
        <v>#VALUE!</v>
      </c>
      <c r="FH53" s="556" t="e">
        <f t="shared" si="105"/>
        <v>#VALUE!</v>
      </c>
      <c r="FI53" s="556" t="e">
        <f t="shared" si="105"/>
        <v>#VALUE!</v>
      </c>
      <c r="FN53" s="557">
        <f t="shared" si="184"/>
        <v>53</v>
      </c>
      <c r="FO53" s="493">
        <f t="shared" si="185"/>
        <v>61.116999999999997</v>
      </c>
      <c r="FP53" s="493">
        <f t="shared" si="186"/>
        <v>19.8977</v>
      </c>
      <c r="FR53" s="427">
        <f t="shared" si="106"/>
        <v>1471223.06</v>
      </c>
      <c r="FS53" s="558">
        <f t="shared" si="187"/>
        <v>77359.86</v>
      </c>
      <c r="FT53" s="558">
        <f t="shared" si="187"/>
        <v>75685.460000000006</v>
      </c>
      <c r="FU53" s="558">
        <f t="shared" si="187"/>
        <v>74006.929999999993</v>
      </c>
      <c r="FV53" s="558">
        <f t="shared" si="187"/>
        <v>72328.39</v>
      </c>
      <c r="FW53" s="558">
        <f t="shared" si="187"/>
        <v>70591.97</v>
      </c>
      <c r="FX53" s="558">
        <f t="shared" si="187"/>
        <v>68805.95</v>
      </c>
      <c r="FY53" s="558">
        <f t="shared" si="187"/>
        <v>67036.460000000006</v>
      </c>
      <c r="FZ53" s="558">
        <f t="shared" si="187"/>
        <v>65254.559999999998</v>
      </c>
      <c r="GA53" s="558">
        <f t="shared" si="187"/>
        <v>63410.65</v>
      </c>
      <c r="GB53" s="558">
        <f t="shared" si="187"/>
        <v>61492.33</v>
      </c>
      <c r="GC53" s="558">
        <f t="shared" si="187"/>
        <v>59561.599999999999</v>
      </c>
      <c r="GD53" s="558">
        <f t="shared" si="187"/>
        <v>57601.93</v>
      </c>
      <c r="GE53" s="558">
        <f t="shared" si="187"/>
        <v>55596.78</v>
      </c>
      <c r="GF53" s="558">
        <f t="shared" si="187"/>
        <v>53583.37</v>
      </c>
      <c r="GG53" s="558">
        <f t="shared" si="187"/>
        <v>51507.93</v>
      </c>
      <c r="GH53" s="558">
        <f t="shared" si="187"/>
        <v>49415.97</v>
      </c>
      <c r="GI53" s="558">
        <f t="shared" si="126"/>
        <v>47261.98</v>
      </c>
      <c r="GJ53" s="558">
        <f t="shared" si="126"/>
        <v>45058.39</v>
      </c>
      <c r="GK53" s="558">
        <f t="shared" si="126"/>
        <v>42792.78</v>
      </c>
      <c r="GL53" s="558">
        <f t="shared" si="126"/>
        <v>40461.019999999997</v>
      </c>
      <c r="GM53" s="558">
        <f t="shared" si="126"/>
        <v>38058.980000000003</v>
      </c>
      <c r="GN53" s="558">
        <f t="shared" si="126"/>
        <v>35565.980000000003</v>
      </c>
      <c r="GO53" s="558">
        <f t="shared" si="126"/>
        <v>32982.03</v>
      </c>
      <c r="GP53" s="558">
        <f t="shared" si="126"/>
        <v>30302.99</v>
      </c>
      <c r="GQ53" s="558">
        <f t="shared" si="126"/>
        <v>27516.45</v>
      </c>
      <c r="GR53" s="558">
        <f t="shared" si="126"/>
        <v>24643.1</v>
      </c>
      <c r="GS53" s="558">
        <f t="shared" si="126"/>
        <v>21670.52</v>
      </c>
      <c r="GT53" s="558">
        <f t="shared" si="126"/>
        <v>18606.98</v>
      </c>
      <c r="GU53" s="558">
        <f t="shared" si="126"/>
        <v>15460.76</v>
      </c>
      <c r="GV53" s="558">
        <f t="shared" si="126"/>
        <v>12235.99</v>
      </c>
      <c r="GW53" s="558">
        <f t="shared" si="126"/>
        <v>8945.07</v>
      </c>
      <c r="GX53" s="558">
        <f t="shared" si="188"/>
        <v>5575.59</v>
      </c>
      <c r="GY53" s="558">
        <f t="shared" si="188"/>
        <v>2160.64</v>
      </c>
      <c r="GZ53" s="558">
        <f t="shared" si="188"/>
        <v>-1316.33</v>
      </c>
      <c r="HA53" s="558" t="str">
        <f t="shared" si="188"/>
        <v>.</v>
      </c>
      <c r="HB53" s="558" t="str">
        <f t="shared" si="188"/>
        <v>.</v>
      </c>
      <c r="HC53" s="558" t="str">
        <f t="shared" si="188"/>
        <v>.</v>
      </c>
      <c r="HD53" s="558" t="str">
        <f t="shared" si="188"/>
        <v>.</v>
      </c>
      <c r="HE53" s="558" t="str">
        <f t="shared" si="188"/>
        <v>.</v>
      </c>
      <c r="HF53" s="558" t="str">
        <f t="shared" si="188"/>
        <v>.</v>
      </c>
      <c r="HG53" s="558" t="str">
        <f t="shared" si="188"/>
        <v>.</v>
      </c>
      <c r="HH53" s="558" t="str">
        <f t="shared" si="188"/>
        <v>.</v>
      </c>
      <c r="HI53" s="558" t="str">
        <f t="shared" si="188"/>
        <v>.</v>
      </c>
      <c r="HJ53" s="558" t="str">
        <f t="shared" si="188"/>
        <v>.</v>
      </c>
      <c r="HK53" s="558" t="str">
        <f t="shared" si="188"/>
        <v>.</v>
      </c>
      <c r="HL53" s="558" t="str">
        <f t="shared" si="188"/>
        <v>.</v>
      </c>
      <c r="HM53" s="558" t="str">
        <f t="shared" si="188"/>
        <v>.</v>
      </c>
      <c r="HN53" s="558" t="str">
        <f t="shared" si="127"/>
        <v>.</v>
      </c>
      <c r="HO53" s="558" t="str">
        <f t="shared" si="127"/>
        <v>.</v>
      </c>
      <c r="HP53" s="558" t="str">
        <f t="shared" si="127"/>
        <v>.</v>
      </c>
      <c r="HQ53" s="558" t="str">
        <f t="shared" si="127"/>
        <v>.</v>
      </c>
      <c r="HR53" s="558" t="str">
        <f t="shared" si="127"/>
        <v>.</v>
      </c>
      <c r="HS53" s="558" t="str">
        <f t="shared" si="127"/>
        <v>.</v>
      </c>
      <c r="HT53" s="558" t="str">
        <f t="shared" si="127"/>
        <v>.</v>
      </c>
      <c r="HU53" s="558" t="str">
        <f t="shared" si="127"/>
        <v>.</v>
      </c>
      <c r="HV53" s="558" t="str">
        <f t="shared" si="127"/>
        <v>.</v>
      </c>
      <c r="HW53" s="558" t="str">
        <f t="shared" si="127"/>
        <v>.</v>
      </c>
      <c r="HX53" s="558" t="str">
        <f t="shared" si="127"/>
        <v>.</v>
      </c>
      <c r="HY53" s="558" t="str">
        <f t="shared" si="127"/>
        <v>.</v>
      </c>
      <c r="HZ53" s="558" t="str">
        <f t="shared" si="127"/>
        <v>.</v>
      </c>
      <c r="IA53" s="558" t="str">
        <f t="shared" si="127"/>
        <v>.</v>
      </c>
      <c r="IB53" s="558" t="str">
        <f t="shared" si="127"/>
        <v>.</v>
      </c>
      <c r="IC53" s="558" t="str">
        <f t="shared" si="127"/>
        <v>.</v>
      </c>
      <c r="ID53" s="558" t="str">
        <f t="shared" si="127"/>
        <v>.</v>
      </c>
      <c r="IE53" s="558" t="str">
        <f t="shared" si="128"/>
        <v>.</v>
      </c>
      <c r="IF53" s="558" t="str">
        <f t="shared" si="128"/>
        <v>.</v>
      </c>
      <c r="IG53" s="558" t="str">
        <f t="shared" si="128"/>
        <v>.</v>
      </c>
      <c r="IH53" s="558" t="str">
        <f t="shared" si="128"/>
        <v>.</v>
      </c>
      <c r="II53" s="558" t="str">
        <f t="shared" si="128"/>
        <v>.</v>
      </c>
      <c r="IJ53" s="558" t="str">
        <f t="shared" si="128"/>
        <v>.</v>
      </c>
      <c r="IK53" s="558" t="str">
        <f t="shared" si="128"/>
        <v>.</v>
      </c>
      <c r="IL53" s="558" t="str">
        <f t="shared" si="128"/>
        <v>.</v>
      </c>
      <c r="IM53" s="558" t="str">
        <f t="shared" si="128"/>
        <v>.</v>
      </c>
      <c r="IN53" s="558" t="str">
        <f t="shared" si="128"/>
        <v>.</v>
      </c>
      <c r="IO53" s="558" t="str">
        <f t="shared" si="128"/>
        <v>.</v>
      </c>
      <c r="IP53" s="558" t="str">
        <f t="shared" si="128"/>
        <v>.</v>
      </c>
      <c r="IQ53" s="558" t="str">
        <f t="shared" si="128"/>
        <v>.</v>
      </c>
      <c r="IR53" s="558" t="str">
        <f t="shared" si="122"/>
        <v>.</v>
      </c>
      <c r="IS53" s="558" t="str">
        <f t="shared" si="122"/>
        <v>.</v>
      </c>
      <c r="IT53" s="558" t="str">
        <f t="shared" si="122"/>
        <v>.</v>
      </c>
      <c r="IU53" s="558" t="str">
        <f t="shared" si="122"/>
        <v>.</v>
      </c>
      <c r="IV53" s="558" t="str">
        <f t="shared" si="122"/>
        <v>.</v>
      </c>
      <c r="IW53" s="558" t="str">
        <f t="shared" si="122"/>
        <v>.</v>
      </c>
      <c r="IX53" s="558" t="str">
        <f t="shared" si="122"/>
        <v>.</v>
      </c>
      <c r="IY53" s="558" t="str">
        <f t="shared" si="122"/>
        <v>.</v>
      </c>
      <c r="IZ53" s="558" t="str">
        <f t="shared" si="122"/>
        <v>.</v>
      </c>
      <c r="JA53" s="558" t="str">
        <f t="shared" si="122"/>
        <v>.</v>
      </c>
      <c r="JB53" s="558" t="str">
        <f t="shared" si="122"/>
        <v>.</v>
      </c>
      <c r="JC53" s="558" t="str">
        <f t="shared" si="122"/>
        <v>.</v>
      </c>
      <c r="JD53" s="558" t="str">
        <f t="shared" si="122"/>
        <v>.</v>
      </c>
      <c r="JE53" s="558" t="str">
        <f t="shared" si="122"/>
        <v>.</v>
      </c>
      <c r="JF53" s="558" t="str">
        <f t="shared" si="122"/>
        <v>.</v>
      </c>
      <c r="JG53" s="558" t="str">
        <f t="shared" si="122"/>
        <v>.</v>
      </c>
      <c r="JH53" s="558" t="str">
        <f t="shared" si="122"/>
        <v>.</v>
      </c>
      <c r="JI53" s="558" t="str">
        <f t="shared" si="123"/>
        <v>.</v>
      </c>
      <c r="JJ53" s="558" t="str">
        <f t="shared" si="123"/>
        <v>.</v>
      </c>
      <c r="JK53" s="558" t="str">
        <f t="shared" si="189"/>
        <v>.</v>
      </c>
      <c r="JL53" s="558" t="str">
        <f t="shared" si="189"/>
        <v>.</v>
      </c>
      <c r="JM53" s="558" t="str">
        <f t="shared" si="189"/>
        <v>.</v>
      </c>
      <c r="JN53" s="558" t="str">
        <f t="shared" si="189"/>
        <v>.</v>
      </c>
      <c r="JO53" s="558" t="str">
        <f t="shared" si="189"/>
        <v>.</v>
      </c>
    </row>
    <row r="54" spans="1:275" x14ac:dyDescent="0.2">
      <c r="A54" s="534">
        <f xml:space="preserve"> Basis!A54</f>
        <v>54</v>
      </c>
      <c r="F54" s="536">
        <f xml:space="preserve"> ROUND(    IF( $A$15=BE_MF_,   AW54,   INDEX( qx!54:54, F$16 ) ),    F$17    )</f>
        <v>2E-3</v>
      </c>
      <c r="G54" s="536">
        <f xml:space="preserve"> ROUND(    IF( $A$15=BE_MF_,   BB54,   INDEX( wx!54:54, G$16 ) ),    G$17    )</f>
        <v>2.47E-2</v>
      </c>
      <c r="H54" s="537">
        <f xml:space="preserve"> ROUND(    IF( $A$15=BE_MF_,   BG54,   INDEX( Kx!54:54, H$16 ) ),    H$17    )</f>
        <v>3215.49</v>
      </c>
      <c r="I54" s="538">
        <f t="shared" si="93"/>
        <v>3215.49</v>
      </c>
      <c r="J54" s="539">
        <f t="shared" si="129"/>
        <v>1.548</v>
      </c>
      <c r="K54" s="540">
        <f t="shared" si="190"/>
        <v>2</v>
      </c>
      <c r="L54" s="541">
        <f t="shared" si="116"/>
        <v>0</v>
      </c>
      <c r="M54" s="541">
        <f t="shared" si="116"/>
        <v>8.5999999999999993E-2</v>
      </c>
      <c r="O54" s="542" t="b">
        <f t="shared" si="95"/>
        <v>1</v>
      </c>
      <c r="P54" s="493">
        <f t="shared" si="130"/>
        <v>2.6700000000000002E-2</v>
      </c>
      <c r="Q54" s="493">
        <f t="shared" si="131"/>
        <v>0.97330000000000005</v>
      </c>
      <c r="R54" s="543">
        <f t="shared" si="132"/>
        <v>601532</v>
      </c>
      <c r="S54" s="544">
        <f t="shared" si="133"/>
        <v>0.97560975599999999</v>
      </c>
      <c r="T54" s="423">
        <f t="shared" si="134"/>
        <v>158551.37</v>
      </c>
      <c r="U54" s="423">
        <f xml:space="preserve"> IF( $O54,    ROUND(  SUM( T54:T$120), U$17 ),  LEER  )</f>
        <v>3155734.35</v>
      </c>
      <c r="V54" s="493">
        <f t="shared" si="135"/>
        <v>19.903500000000001</v>
      </c>
      <c r="W54" s="493">
        <f t="shared" si="136"/>
        <v>245437.52</v>
      </c>
      <c r="X54" s="493">
        <f xml:space="preserve"> IF( $O54,    ROUND(  SUM( W54:W$120), X$17 ),  LEER  )</f>
        <v>9958978.9700000007</v>
      </c>
      <c r="Y54" s="493">
        <f t="shared" si="137"/>
        <v>62.8123</v>
      </c>
      <c r="Z54" s="493">
        <f t="shared" si="138"/>
        <v>3.1558000000000002</v>
      </c>
      <c r="AA54" s="493">
        <f t="shared" si="139"/>
        <v>1.0092000000000001</v>
      </c>
      <c r="AB54" s="493">
        <f t="shared" si="140"/>
        <v>2.3494000000000002</v>
      </c>
      <c r="AC54" s="545">
        <f t="shared" si="141"/>
        <v>0.38600000000000001</v>
      </c>
      <c r="AD54" s="493">
        <f t="shared" si="142"/>
        <v>3.1884000000000001</v>
      </c>
      <c r="AE54" s="493">
        <f t="shared" si="143"/>
        <v>3.9106999999999998</v>
      </c>
      <c r="AF54" s="493">
        <f t="shared" si="144"/>
        <v>3.9106999999999998</v>
      </c>
      <c r="AG54" s="493" t="str">
        <f t="shared" si="145"/>
        <v>.</v>
      </c>
      <c r="AH54" s="493" t="str">
        <f t="shared" si="146"/>
        <v>.</v>
      </c>
      <c r="AI54" s="423">
        <f t="shared" si="147"/>
        <v>2077.79</v>
      </c>
      <c r="AJ54" s="423">
        <f t="shared" si="148"/>
        <v>8125.61</v>
      </c>
      <c r="AK54" s="423">
        <f t="shared" si="149"/>
        <v>677.13</v>
      </c>
      <c r="AN54" s="423">
        <f t="shared" si="117"/>
        <v>53833.919999999998</v>
      </c>
      <c r="AO54" s="423">
        <f t="shared" si="117"/>
        <v>52915.83</v>
      </c>
      <c r="AR54" s="546">
        <f xml:space="preserve"> ROUND(  INDEX( Kx!54:54, AR$16 ),  AR$17 )</f>
        <v>0.76570000000000005</v>
      </c>
      <c r="AS54" s="547">
        <f xml:space="preserve"> ROUND(  INDEX( qx!54:54, AS$16 ),  AS$17 )</f>
        <v>2.3E-3</v>
      </c>
      <c r="AT54" s="547">
        <f xml:space="preserve"> ROUND(  INDEX( qx!54:54, AT$16 ),  AT$17 )</f>
        <v>1.5E-3</v>
      </c>
      <c r="AU54" s="548" t="str">
        <f t="shared" si="150"/>
        <v>F</v>
      </c>
      <c r="AV54" s="542">
        <f t="shared" si="151"/>
        <v>0.68540000000000001</v>
      </c>
      <c r="AW54" s="542">
        <f t="shared" si="152"/>
        <v>2E-3</v>
      </c>
      <c r="AX54" s="546">
        <f xml:space="preserve"> ROUND(  INDEX( wx!54:54, AX$16 ),  AX$17 )</f>
        <v>2.2499999999999999E-2</v>
      </c>
      <c r="AY54" s="546">
        <f xml:space="preserve"> ROUND(  INDEX( wx!54:54, AY$16 ),  AY$17 )</f>
        <v>3.5200000000000002E-2</v>
      </c>
      <c r="AZ54" s="548" t="str">
        <f t="shared" si="153"/>
        <v>M</v>
      </c>
      <c r="BA54" s="542">
        <f t="shared" si="154"/>
        <v>0.8306</v>
      </c>
      <c r="BB54" s="542">
        <f t="shared" si="155"/>
        <v>2.47E-2</v>
      </c>
      <c r="BC54" s="533">
        <f xml:space="preserve"> ROUND(  INDEX( Kx!54:54, BC$16 ),  BC$17 )</f>
        <v>3053.57</v>
      </c>
      <c r="BD54" s="533">
        <f xml:space="preserve"> ROUND(  INDEX( Kx!54:54, BD$16 ),  BD$17 )</f>
        <v>3568.25</v>
      </c>
      <c r="BE54" s="548" t="str">
        <f t="shared" si="52"/>
        <v>F</v>
      </c>
      <c r="BF54" s="542">
        <f t="shared" si="156"/>
        <v>0.68540000000000001</v>
      </c>
      <c r="BG54" s="420">
        <f t="shared" si="157"/>
        <v>3215.49</v>
      </c>
      <c r="BQ54" s="549">
        <f t="shared" si="96"/>
        <v>54</v>
      </c>
      <c r="BR54" s="423">
        <f t="shared" si="55"/>
        <v>50333.79</v>
      </c>
      <c r="BS54" s="550">
        <f t="shared" si="158"/>
        <v>3215.49</v>
      </c>
      <c r="BT54" s="423">
        <f t="shared" si="159"/>
        <v>779.18</v>
      </c>
      <c r="BU54" s="551">
        <f t="shared" si="160"/>
        <v>158551.37</v>
      </c>
      <c r="BV54" s="551">
        <f t="shared" si="161"/>
        <v>1.0531999999999999</v>
      </c>
      <c r="BW54" s="529">
        <f t="shared" si="162"/>
        <v>53833.919999999998</v>
      </c>
      <c r="BX54" s="552">
        <f t="shared" si="163"/>
        <v>2720.9499999999971</v>
      </c>
      <c r="BY54" s="560"/>
      <c r="BZ54" s="559"/>
      <c r="CB54" s="423">
        <f t="shared" si="164"/>
        <v>651.91</v>
      </c>
      <c r="CC54" s="423">
        <f t="shared" si="165"/>
        <v>1345.85</v>
      </c>
      <c r="CD54" s="423">
        <f t="shared" si="166"/>
        <v>1531.59</v>
      </c>
      <c r="CE54" s="423">
        <f t="shared" si="167"/>
        <v>3529.3499999999995</v>
      </c>
      <c r="CF54" s="553">
        <f t="shared" si="168"/>
        <v>3529.1500000000015</v>
      </c>
      <c r="CH54" s="423">
        <f t="shared" si="169"/>
        <v>3852.4304390000002</v>
      </c>
      <c r="CI54" s="423">
        <f t="shared" si="170"/>
        <v>3216.42</v>
      </c>
      <c r="CJ54" s="423">
        <f t="shared" si="171"/>
        <v>2130.0500000000002</v>
      </c>
      <c r="CK54" s="423">
        <f t="shared" si="172"/>
        <v>-1494.24</v>
      </c>
      <c r="CL54" s="553">
        <f t="shared" si="173"/>
        <v>3852.2300000000005</v>
      </c>
      <c r="CN54" s="423">
        <f t="shared" si="71"/>
        <v>3898.5573770000001</v>
      </c>
      <c r="CO54" s="423">
        <f t="shared" si="174"/>
        <v>3216.42</v>
      </c>
      <c r="CP54" s="423">
        <f t="shared" si="175"/>
        <v>2152.2600000000002</v>
      </c>
      <c r="CQ54" s="423">
        <f t="shared" si="176"/>
        <v>-1470.32</v>
      </c>
      <c r="CR54" s="553">
        <f t="shared" si="75"/>
        <v>3898.3600000000006</v>
      </c>
      <c r="CV54" s="564">
        <f t="shared" si="98"/>
        <v>54</v>
      </c>
      <c r="CW54" s="538" t="str">
        <f t="shared" si="177"/>
        <v>.</v>
      </c>
      <c r="CX54" s="566">
        <f t="shared" si="178"/>
        <v>52915.83</v>
      </c>
      <c r="CY54" s="538">
        <f t="shared" si="179"/>
        <v>48247.88</v>
      </c>
      <c r="CZ54" s="538" t="str">
        <f t="shared" si="180"/>
        <v>.</v>
      </c>
      <c r="DA54" s="538" t="str">
        <f t="shared" si="181"/>
        <v>.</v>
      </c>
      <c r="DB54" s="567" t="e">
        <f t="shared" si="99"/>
        <v>#N/A</v>
      </c>
      <c r="DC54" s="567">
        <f t="shared" si="100"/>
        <v>52915.83</v>
      </c>
      <c r="DD54" s="567">
        <f t="shared" si="101"/>
        <v>48247.88</v>
      </c>
      <c r="DE54" s="567" t="e">
        <f t="shared" si="101"/>
        <v>#N/A</v>
      </c>
      <c r="DF54" s="568" t="e">
        <f t="shared" si="102"/>
        <v>#N/A</v>
      </c>
      <c r="EL54" s="553">
        <f t="shared" si="81"/>
        <v>12433.14</v>
      </c>
      <c r="EM54" s="553">
        <f t="shared" si="182"/>
        <v>40490.03</v>
      </c>
      <c r="EN54" s="423">
        <f t="shared" si="183"/>
        <v>52923.17</v>
      </c>
      <c r="EO54" s="555">
        <f xml:space="preserve"> 'i2'!AO54</f>
        <v>52915.83</v>
      </c>
      <c r="EV54" s="533" t="e">
        <f xml:space="preserve"> ROUND(    IF( $A$15=BE_MF_,   LEER,   INDEX( Kx!54:54, EV$16 ) ),    EV$17    )</f>
        <v>#VALUE!</v>
      </c>
      <c r="EW54" s="533" t="e">
        <f xml:space="preserve"> ROUND(    IF( $A$15=BE_MF_,   LEER,   INDEX( Kx!54:54, EW$16 ) ),    EW$17    )</f>
        <v>#VALUE!</v>
      </c>
      <c r="EX54" s="533" t="e">
        <f xml:space="preserve"> ROUND(    IF( $A$15=BE_MF_,   LEER,   INDEX( Kx!54:54, EX$16 ) ),    EX$17    )</f>
        <v>#VALUE!</v>
      </c>
      <c r="EY54" s="556" t="e">
        <f t="shared" si="103"/>
        <v>#VALUE!</v>
      </c>
      <c r="FB54" s="533" t="e">
        <f xml:space="preserve"> ROUND(    IF( $A$15=BE_MF_,   LEER,   INDEX( Kx!54:54, FB$16 ) ),    FB$17    )</f>
        <v>#VALUE!</v>
      </c>
      <c r="FC54" s="533" t="e">
        <f xml:space="preserve"> ROUND(    IF( $A$15=BE_MF_,   LEER,   INDEX( Kx!54:54, FC$16 ) ),    FC$17    )</f>
        <v>#VALUE!</v>
      </c>
      <c r="FD54" s="556" t="e">
        <f t="shared" si="104"/>
        <v>#VALUE!</v>
      </c>
      <c r="FG54" s="556" t="e">
        <f t="shared" si="105"/>
        <v>#VALUE!</v>
      </c>
      <c r="FH54" s="556" t="e">
        <f t="shared" si="105"/>
        <v>#VALUE!</v>
      </c>
      <c r="FI54" s="556" t="e">
        <f t="shared" si="105"/>
        <v>#VALUE!</v>
      </c>
      <c r="FN54" s="557">
        <f t="shared" si="184"/>
        <v>54</v>
      </c>
      <c r="FO54" s="493">
        <f t="shared" si="185"/>
        <v>62.8123</v>
      </c>
      <c r="FP54" s="493">
        <f t="shared" si="186"/>
        <v>19.903500000000001</v>
      </c>
      <c r="FR54" s="427">
        <f t="shared" si="106"/>
        <v>1588811.12</v>
      </c>
      <c r="FS54" s="558">
        <f t="shared" si="187"/>
        <v>80867.87</v>
      </c>
      <c r="FT54" s="558">
        <f t="shared" si="187"/>
        <v>79192.990000000005</v>
      </c>
      <c r="FU54" s="558">
        <f t="shared" si="187"/>
        <v>77513.960000000006</v>
      </c>
      <c r="FV54" s="558">
        <f t="shared" si="187"/>
        <v>75834.94</v>
      </c>
      <c r="FW54" s="558">
        <f t="shared" si="187"/>
        <v>74098.009999999995</v>
      </c>
      <c r="FX54" s="558">
        <f t="shared" si="187"/>
        <v>72311.460000000006</v>
      </c>
      <c r="FY54" s="558">
        <f t="shared" si="187"/>
        <v>70541.460000000006</v>
      </c>
      <c r="FZ54" s="558">
        <f t="shared" si="187"/>
        <v>68759.039999999994</v>
      </c>
      <c r="GA54" s="558">
        <f t="shared" si="187"/>
        <v>66914.600000000006</v>
      </c>
      <c r="GB54" s="558">
        <f t="shared" si="187"/>
        <v>64995.71</v>
      </c>
      <c r="GC54" s="558">
        <f t="shared" si="187"/>
        <v>63064.42</v>
      </c>
      <c r="GD54" s="558">
        <f t="shared" si="187"/>
        <v>61104.18</v>
      </c>
      <c r="GE54" s="558">
        <f t="shared" si="187"/>
        <v>59098.45</v>
      </c>
      <c r="GF54" s="558">
        <f t="shared" si="187"/>
        <v>57084.45</v>
      </c>
      <c r="GG54" s="558">
        <f t="shared" si="187"/>
        <v>55008.41</v>
      </c>
      <c r="GH54" s="558">
        <f t="shared" si="187"/>
        <v>52915.83</v>
      </c>
      <c r="GI54" s="558">
        <f t="shared" si="126"/>
        <v>50761.22</v>
      </c>
      <c r="GJ54" s="558">
        <f t="shared" si="126"/>
        <v>48556.98</v>
      </c>
      <c r="GK54" s="558">
        <f t="shared" si="126"/>
        <v>46290.71</v>
      </c>
      <c r="GL54" s="558">
        <f t="shared" si="126"/>
        <v>43958.28</v>
      </c>
      <c r="GM54" s="558">
        <f t="shared" si="126"/>
        <v>41555.53</v>
      </c>
      <c r="GN54" s="558">
        <f t="shared" si="126"/>
        <v>39061.81</v>
      </c>
      <c r="GO54" s="558">
        <f t="shared" si="126"/>
        <v>36477.1</v>
      </c>
      <c r="GP54" s="558">
        <f t="shared" si="126"/>
        <v>33797.279999999999</v>
      </c>
      <c r="GQ54" s="558">
        <f t="shared" si="126"/>
        <v>31009.93</v>
      </c>
      <c r="GR54" s="558">
        <f t="shared" si="126"/>
        <v>28135.74</v>
      </c>
      <c r="GS54" s="558">
        <f t="shared" si="126"/>
        <v>25162.29</v>
      </c>
      <c r="GT54" s="558">
        <f t="shared" si="126"/>
        <v>22097.87</v>
      </c>
      <c r="GU54" s="558">
        <f t="shared" si="126"/>
        <v>18950.73</v>
      </c>
      <c r="GV54" s="558">
        <f t="shared" si="126"/>
        <v>15725.02</v>
      </c>
      <c r="GW54" s="558">
        <f t="shared" si="126"/>
        <v>12433.14</v>
      </c>
      <c r="GX54" s="558">
        <f t="shared" si="188"/>
        <v>9062.68</v>
      </c>
      <c r="GY54" s="558">
        <f t="shared" si="188"/>
        <v>5646.73</v>
      </c>
      <c r="GZ54" s="558">
        <f t="shared" si="188"/>
        <v>2168.75</v>
      </c>
      <c r="HA54" s="558">
        <f t="shared" si="188"/>
        <v>-1346.45</v>
      </c>
      <c r="HB54" s="558" t="str">
        <f t="shared" si="188"/>
        <v>.</v>
      </c>
      <c r="HC54" s="558" t="str">
        <f t="shared" si="188"/>
        <v>.</v>
      </c>
      <c r="HD54" s="558" t="str">
        <f t="shared" si="188"/>
        <v>.</v>
      </c>
      <c r="HE54" s="558" t="str">
        <f t="shared" si="188"/>
        <v>.</v>
      </c>
      <c r="HF54" s="558" t="str">
        <f t="shared" si="188"/>
        <v>.</v>
      </c>
      <c r="HG54" s="558" t="str">
        <f t="shared" si="188"/>
        <v>.</v>
      </c>
      <c r="HH54" s="558" t="str">
        <f t="shared" si="188"/>
        <v>.</v>
      </c>
      <c r="HI54" s="558" t="str">
        <f t="shared" si="188"/>
        <v>.</v>
      </c>
      <c r="HJ54" s="558" t="str">
        <f t="shared" si="188"/>
        <v>.</v>
      </c>
      <c r="HK54" s="558" t="str">
        <f t="shared" si="188"/>
        <v>.</v>
      </c>
      <c r="HL54" s="558" t="str">
        <f t="shared" si="188"/>
        <v>.</v>
      </c>
      <c r="HM54" s="558" t="str">
        <f t="shared" si="188"/>
        <v>.</v>
      </c>
      <c r="HN54" s="558" t="str">
        <f t="shared" si="127"/>
        <v>.</v>
      </c>
      <c r="HO54" s="558" t="str">
        <f t="shared" si="127"/>
        <v>.</v>
      </c>
      <c r="HP54" s="558" t="str">
        <f t="shared" si="127"/>
        <v>.</v>
      </c>
      <c r="HQ54" s="558" t="str">
        <f t="shared" si="127"/>
        <v>.</v>
      </c>
      <c r="HR54" s="558" t="str">
        <f t="shared" si="127"/>
        <v>.</v>
      </c>
      <c r="HS54" s="558" t="str">
        <f t="shared" si="127"/>
        <v>.</v>
      </c>
      <c r="HT54" s="558" t="str">
        <f t="shared" si="127"/>
        <v>.</v>
      </c>
      <c r="HU54" s="558" t="str">
        <f t="shared" si="127"/>
        <v>.</v>
      </c>
      <c r="HV54" s="558" t="str">
        <f t="shared" si="127"/>
        <v>.</v>
      </c>
      <c r="HW54" s="558" t="str">
        <f t="shared" si="127"/>
        <v>.</v>
      </c>
      <c r="HX54" s="558" t="str">
        <f t="shared" si="127"/>
        <v>.</v>
      </c>
      <c r="HY54" s="558" t="str">
        <f t="shared" si="127"/>
        <v>.</v>
      </c>
      <c r="HZ54" s="558" t="str">
        <f t="shared" si="127"/>
        <v>.</v>
      </c>
      <c r="IA54" s="558" t="str">
        <f t="shared" si="127"/>
        <v>.</v>
      </c>
      <c r="IB54" s="558" t="str">
        <f t="shared" si="127"/>
        <v>.</v>
      </c>
      <c r="IC54" s="558" t="str">
        <f t="shared" si="127"/>
        <v>.</v>
      </c>
      <c r="ID54" s="558" t="str">
        <f t="shared" si="127"/>
        <v>.</v>
      </c>
      <c r="IE54" s="558" t="str">
        <f t="shared" si="128"/>
        <v>.</v>
      </c>
      <c r="IF54" s="558" t="str">
        <f t="shared" si="128"/>
        <v>.</v>
      </c>
      <c r="IG54" s="558" t="str">
        <f t="shared" si="128"/>
        <v>.</v>
      </c>
      <c r="IH54" s="558" t="str">
        <f t="shared" si="128"/>
        <v>.</v>
      </c>
      <c r="II54" s="558" t="str">
        <f t="shared" si="128"/>
        <v>.</v>
      </c>
      <c r="IJ54" s="558" t="str">
        <f t="shared" si="128"/>
        <v>.</v>
      </c>
      <c r="IK54" s="558" t="str">
        <f t="shared" si="128"/>
        <v>.</v>
      </c>
      <c r="IL54" s="558" t="str">
        <f t="shared" si="128"/>
        <v>.</v>
      </c>
      <c r="IM54" s="558" t="str">
        <f t="shared" si="128"/>
        <v>.</v>
      </c>
      <c r="IN54" s="558" t="str">
        <f t="shared" si="128"/>
        <v>.</v>
      </c>
      <c r="IO54" s="558" t="str">
        <f t="shared" si="128"/>
        <v>.</v>
      </c>
      <c r="IP54" s="558" t="str">
        <f t="shared" si="128"/>
        <v>.</v>
      </c>
      <c r="IQ54" s="558" t="str">
        <f t="shared" si="128"/>
        <v>.</v>
      </c>
      <c r="IR54" s="558" t="str">
        <f t="shared" si="122"/>
        <v>.</v>
      </c>
      <c r="IS54" s="558" t="str">
        <f t="shared" si="122"/>
        <v>.</v>
      </c>
      <c r="IT54" s="558" t="str">
        <f t="shared" si="122"/>
        <v>.</v>
      </c>
      <c r="IU54" s="558" t="str">
        <f t="shared" si="122"/>
        <v>.</v>
      </c>
      <c r="IV54" s="558" t="str">
        <f t="shared" si="122"/>
        <v>.</v>
      </c>
      <c r="IW54" s="558" t="str">
        <f t="shared" si="122"/>
        <v>.</v>
      </c>
      <c r="IX54" s="558" t="str">
        <f t="shared" si="122"/>
        <v>.</v>
      </c>
      <c r="IY54" s="558" t="str">
        <f t="shared" si="122"/>
        <v>.</v>
      </c>
      <c r="IZ54" s="558" t="str">
        <f t="shared" si="122"/>
        <v>.</v>
      </c>
      <c r="JA54" s="558" t="str">
        <f t="shared" si="122"/>
        <v>.</v>
      </c>
      <c r="JB54" s="558" t="str">
        <f t="shared" si="122"/>
        <v>.</v>
      </c>
      <c r="JC54" s="558" t="str">
        <f t="shared" si="122"/>
        <v>.</v>
      </c>
      <c r="JD54" s="558" t="str">
        <f t="shared" si="122"/>
        <v>.</v>
      </c>
      <c r="JE54" s="558" t="str">
        <f t="shared" si="122"/>
        <v>.</v>
      </c>
      <c r="JF54" s="558" t="str">
        <f t="shared" si="122"/>
        <v>.</v>
      </c>
      <c r="JG54" s="558" t="str">
        <f t="shared" si="122"/>
        <v>.</v>
      </c>
      <c r="JH54" s="558" t="str">
        <f t="shared" si="122"/>
        <v>.</v>
      </c>
      <c r="JI54" s="558" t="str">
        <f t="shared" si="123"/>
        <v>.</v>
      </c>
      <c r="JJ54" s="558" t="str">
        <f t="shared" si="123"/>
        <v>.</v>
      </c>
      <c r="JK54" s="558" t="str">
        <f t="shared" si="189"/>
        <v>.</v>
      </c>
      <c r="JL54" s="558" t="str">
        <f t="shared" si="189"/>
        <v>.</v>
      </c>
      <c r="JM54" s="558" t="str">
        <f t="shared" si="189"/>
        <v>.</v>
      </c>
      <c r="JN54" s="558" t="str">
        <f t="shared" si="189"/>
        <v>.</v>
      </c>
      <c r="JO54" s="558" t="str">
        <f t="shared" si="189"/>
        <v>.</v>
      </c>
    </row>
    <row r="55" spans="1:275" x14ac:dyDescent="0.2">
      <c r="A55" s="534">
        <f xml:space="preserve"> Basis!A55</f>
        <v>55</v>
      </c>
      <c r="F55" s="536">
        <f xml:space="preserve"> ROUND(    IF( $A$15=BE_MF_,   AW55,   INDEX( qx!55:55, F$16 ) ),    F$17    )</f>
        <v>2.3E-3</v>
      </c>
      <c r="G55" s="536">
        <f xml:space="preserve"> ROUND(    IF( $A$15=BE_MF_,   BB55,   INDEX( wx!55:55, G$16 ) ),    G$17    )</f>
        <v>2.18E-2</v>
      </c>
      <c r="H55" s="537">
        <f xml:space="preserve"> ROUND(    IF( $A$15=BE_MF_,   BG55,   INDEX( Kx!55:55, H$16 ) ),    H$17    )</f>
        <v>3361.74</v>
      </c>
      <c r="I55" s="538">
        <f t="shared" si="93"/>
        <v>3361.74</v>
      </c>
      <c r="J55" s="539">
        <f t="shared" si="129"/>
        <v>1.6180000000000001</v>
      </c>
      <c r="K55" s="540">
        <f t="shared" si="190"/>
        <v>2</v>
      </c>
      <c r="L55" s="541">
        <f t="shared" si="116"/>
        <v>0</v>
      </c>
      <c r="M55" s="541">
        <f t="shared" si="116"/>
        <v>8.5999999999999993E-2</v>
      </c>
      <c r="O55" s="542" t="b">
        <f t="shared" si="95"/>
        <v>1</v>
      </c>
      <c r="P55" s="493">
        <f t="shared" si="130"/>
        <v>2.41E-2</v>
      </c>
      <c r="Q55" s="493">
        <f t="shared" si="131"/>
        <v>0.97589999999999999</v>
      </c>
      <c r="R55" s="543">
        <f t="shared" si="132"/>
        <v>585471</v>
      </c>
      <c r="S55" s="544">
        <f t="shared" si="133"/>
        <v>0.97560975599999999</v>
      </c>
      <c r="T55" s="423">
        <f t="shared" si="134"/>
        <v>150554.17000000001</v>
      </c>
      <c r="U55" s="423">
        <f xml:space="preserve"> IF( $O55,    ROUND(  SUM( T55:T$120), U$17 ),  LEER  )</f>
        <v>2997182.98</v>
      </c>
      <c r="V55" s="493">
        <f t="shared" si="135"/>
        <v>19.907699999999998</v>
      </c>
      <c r="W55" s="493">
        <f t="shared" si="136"/>
        <v>243596.65</v>
      </c>
      <c r="X55" s="493">
        <f xml:space="preserve"> IF( $O55,    ROUND(  SUM( W55:W$120), X$17 ),  LEER  )</f>
        <v>9713541.4499999993</v>
      </c>
      <c r="Y55" s="493">
        <f t="shared" si="137"/>
        <v>64.518600000000006</v>
      </c>
      <c r="Z55" s="493">
        <f t="shared" si="138"/>
        <v>3.2408999999999999</v>
      </c>
      <c r="AA55" s="493">
        <f t="shared" si="139"/>
        <v>1.0092000000000001</v>
      </c>
      <c r="AB55" s="493">
        <f t="shared" si="140"/>
        <v>2.3494000000000002</v>
      </c>
      <c r="AC55" s="545">
        <f t="shared" si="141"/>
        <v>0.38600000000000001</v>
      </c>
      <c r="AD55" s="493">
        <f t="shared" si="142"/>
        <v>3.2743000000000002</v>
      </c>
      <c r="AE55" s="493">
        <f t="shared" si="143"/>
        <v>4.0046999999999997</v>
      </c>
      <c r="AF55" s="493">
        <f t="shared" si="144"/>
        <v>4.0046999999999997</v>
      </c>
      <c r="AG55" s="493" t="str">
        <f t="shared" si="145"/>
        <v>.</v>
      </c>
      <c r="AH55" s="493" t="str">
        <f t="shared" si="146"/>
        <v>.</v>
      </c>
      <c r="AI55" s="423">
        <f t="shared" si="147"/>
        <v>2077.79</v>
      </c>
      <c r="AJ55" s="423">
        <f t="shared" si="148"/>
        <v>8320.93</v>
      </c>
      <c r="AK55" s="423">
        <f t="shared" si="149"/>
        <v>693.41</v>
      </c>
      <c r="AN55" s="423">
        <f t="shared" si="117"/>
        <v>57363.07</v>
      </c>
      <c r="AO55" s="423">
        <f t="shared" si="117"/>
        <v>56444.79</v>
      </c>
      <c r="AR55" s="546">
        <f xml:space="preserve"> ROUND(  INDEX( Kx!55:55, AR$16 ),  AR$17 )</f>
        <v>0.76249999999999996</v>
      </c>
      <c r="AS55" s="547">
        <f xml:space="preserve"> ROUND(  INDEX( qx!55:55, AS$16 ),  AS$17 )</f>
        <v>2.5999999999999999E-3</v>
      </c>
      <c r="AT55" s="547">
        <f xml:space="preserve"> ROUND(  INDEX( qx!55:55, AT$16 ),  AT$17 )</f>
        <v>1.6999999999999999E-3</v>
      </c>
      <c r="AU55" s="548" t="str">
        <f t="shared" si="150"/>
        <v>F</v>
      </c>
      <c r="AV55" s="542">
        <f t="shared" si="151"/>
        <v>0.68159999999999998</v>
      </c>
      <c r="AW55" s="542">
        <f t="shared" si="152"/>
        <v>2.3E-3</v>
      </c>
      <c r="AX55" s="546">
        <f xml:space="preserve"> ROUND(  INDEX( wx!55:55, AX$16 ),  AX$17 )</f>
        <v>2.0500000000000001E-2</v>
      </c>
      <c r="AY55" s="546">
        <f xml:space="preserve"> ROUND(  INDEX( wx!55:55, AY$16 ),  AY$17 )</f>
        <v>2.8000000000000001E-2</v>
      </c>
      <c r="AZ55" s="548" t="str">
        <f t="shared" si="153"/>
        <v>M</v>
      </c>
      <c r="BA55" s="542">
        <f t="shared" si="154"/>
        <v>0.82809999999999995</v>
      </c>
      <c r="BB55" s="542">
        <f t="shared" si="155"/>
        <v>2.18E-2</v>
      </c>
      <c r="BC55" s="533">
        <f xml:space="preserve"> ROUND(  INDEX( Kx!55:55, BC$16 ),  BC$17 )</f>
        <v>3218.87</v>
      </c>
      <c r="BD55" s="533">
        <f xml:space="preserve"> ROUND(  INDEX( Kx!55:55, BD$16 ),  BD$17 )</f>
        <v>3667.58</v>
      </c>
      <c r="BE55" s="548" t="str">
        <f t="shared" si="52"/>
        <v>F</v>
      </c>
      <c r="BF55" s="542">
        <f t="shared" si="156"/>
        <v>0.68159999999999998</v>
      </c>
      <c r="BG55" s="420">
        <f t="shared" si="157"/>
        <v>3361.74</v>
      </c>
      <c r="BQ55" s="549">
        <f t="shared" si="96"/>
        <v>55</v>
      </c>
      <c r="BR55" s="423">
        <f t="shared" si="55"/>
        <v>53833.919999999998</v>
      </c>
      <c r="BS55" s="550">
        <f t="shared" si="158"/>
        <v>3361.74</v>
      </c>
      <c r="BT55" s="423">
        <f t="shared" si="159"/>
        <v>636.94000000000005</v>
      </c>
      <c r="BU55" s="551">
        <f t="shared" si="160"/>
        <v>150554.17000000001</v>
      </c>
      <c r="BV55" s="551">
        <f t="shared" si="161"/>
        <v>1.0530999999999999</v>
      </c>
      <c r="BW55" s="529">
        <f t="shared" si="162"/>
        <v>57363.07</v>
      </c>
      <c r="BX55" s="552">
        <f t="shared" si="163"/>
        <v>2892.2099999999991</v>
      </c>
      <c r="BY55" s="560"/>
      <c r="BZ55" s="559"/>
      <c r="CB55" s="423">
        <f t="shared" si="164"/>
        <v>502.83</v>
      </c>
      <c r="CC55" s="423">
        <f t="shared" si="165"/>
        <v>1434.08</v>
      </c>
      <c r="CD55" s="423">
        <f t="shared" si="166"/>
        <v>1464.42</v>
      </c>
      <c r="CE55" s="423">
        <f t="shared" si="167"/>
        <v>3401.33</v>
      </c>
      <c r="CF55" s="553">
        <f t="shared" si="168"/>
        <v>3401.3300000000017</v>
      </c>
      <c r="CH55" s="423">
        <f t="shared" si="169"/>
        <v>3852.4304390000002</v>
      </c>
      <c r="CI55" s="423">
        <f t="shared" si="170"/>
        <v>3361.86</v>
      </c>
      <c r="CJ55" s="423">
        <f t="shared" si="171"/>
        <v>1919.27</v>
      </c>
      <c r="CK55" s="423">
        <f t="shared" si="172"/>
        <v>-1428.7</v>
      </c>
      <c r="CL55" s="553">
        <f t="shared" si="173"/>
        <v>3852.4300000000003</v>
      </c>
      <c r="CN55" s="423">
        <f t="shared" si="71"/>
        <v>3898.5573770000001</v>
      </c>
      <c r="CO55" s="423">
        <f t="shared" si="174"/>
        <v>3361.86</v>
      </c>
      <c r="CP55" s="423">
        <f t="shared" si="175"/>
        <v>1943.86</v>
      </c>
      <c r="CQ55" s="423">
        <f t="shared" si="176"/>
        <v>-1407.17</v>
      </c>
      <c r="CR55" s="553">
        <f t="shared" si="75"/>
        <v>3898.55</v>
      </c>
      <c r="CV55" s="564">
        <f t="shared" si="98"/>
        <v>55</v>
      </c>
      <c r="CW55" s="538" t="str">
        <f t="shared" si="177"/>
        <v>.</v>
      </c>
      <c r="CX55" s="566">
        <f t="shared" si="178"/>
        <v>56444.79</v>
      </c>
      <c r="CY55" s="538">
        <f t="shared" si="179"/>
        <v>50810.73</v>
      </c>
      <c r="CZ55" s="538" t="str">
        <f t="shared" si="180"/>
        <v>.</v>
      </c>
      <c r="DA55" s="538" t="str">
        <f t="shared" si="181"/>
        <v>.</v>
      </c>
      <c r="DB55" s="567" t="e">
        <f t="shared" si="99"/>
        <v>#N/A</v>
      </c>
      <c r="DC55" s="567">
        <f t="shared" si="100"/>
        <v>56444.79</v>
      </c>
      <c r="DD55" s="567">
        <f t="shared" si="101"/>
        <v>50810.73</v>
      </c>
      <c r="DE55" s="567" t="e">
        <f t="shared" si="101"/>
        <v>#N/A</v>
      </c>
      <c r="DF55" s="568" t="e">
        <f t="shared" si="102"/>
        <v>#N/A</v>
      </c>
      <c r="EL55" s="553">
        <f t="shared" si="81"/>
        <v>15953.55</v>
      </c>
      <c r="EM55" s="553">
        <f t="shared" si="182"/>
        <v>40498.58</v>
      </c>
      <c r="EN55" s="423">
        <f t="shared" si="183"/>
        <v>56452.13</v>
      </c>
      <c r="EO55" s="555">
        <f xml:space="preserve"> 'i2'!AO55</f>
        <v>56444.79</v>
      </c>
      <c r="EV55" s="533" t="e">
        <f xml:space="preserve"> ROUND(    IF( $A$15=BE_MF_,   LEER,   INDEX( Kx!55:55, EV$16 ) ),    EV$17    )</f>
        <v>#VALUE!</v>
      </c>
      <c r="EW55" s="533" t="e">
        <f xml:space="preserve"> ROUND(    IF( $A$15=BE_MF_,   LEER,   INDEX( Kx!55:55, EW$16 ) ),    EW$17    )</f>
        <v>#VALUE!</v>
      </c>
      <c r="EX55" s="533" t="e">
        <f xml:space="preserve"> ROUND(    IF( $A$15=BE_MF_,   LEER,   INDEX( Kx!55:55, EX$16 ) ),    EX$17    )</f>
        <v>#VALUE!</v>
      </c>
      <c r="EY55" s="556" t="e">
        <f t="shared" si="103"/>
        <v>#VALUE!</v>
      </c>
      <c r="FB55" s="533" t="e">
        <f xml:space="preserve"> ROUND(    IF( $A$15=BE_MF_,   LEER,   INDEX( Kx!55:55, FB$16 ) ),    FB$17    )</f>
        <v>#VALUE!</v>
      </c>
      <c r="FC55" s="533" t="e">
        <f xml:space="preserve"> ROUND(    IF( $A$15=BE_MF_,   LEER,   INDEX( Kx!55:55, FC$16 ) ),    FC$17    )</f>
        <v>#VALUE!</v>
      </c>
      <c r="FD55" s="556" t="e">
        <f t="shared" si="104"/>
        <v>#VALUE!</v>
      </c>
      <c r="FG55" s="556" t="e">
        <f t="shared" si="105"/>
        <v>#VALUE!</v>
      </c>
      <c r="FH55" s="556" t="e">
        <f t="shared" si="105"/>
        <v>#VALUE!</v>
      </c>
      <c r="FI55" s="556" t="e">
        <f t="shared" si="105"/>
        <v>#VALUE!</v>
      </c>
      <c r="FN55" s="557">
        <f t="shared" si="184"/>
        <v>55</v>
      </c>
      <c r="FO55" s="493">
        <f t="shared" si="185"/>
        <v>64.518600000000006</v>
      </c>
      <c r="FP55" s="493">
        <f t="shared" si="186"/>
        <v>19.907699999999998</v>
      </c>
      <c r="FR55" s="427">
        <f t="shared" si="106"/>
        <v>1710887.02</v>
      </c>
      <c r="FS55" s="558">
        <f t="shared" si="187"/>
        <v>84402.73</v>
      </c>
      <c r="FT55" s="558">
        <f t="shared" si="187"/>
        <v>82727.490000000005</v>
      </c>
      <c r="FU55" s="558">
        <f t="shared" si="187"/>
        <v>81048.11</v>
      </c>
      <c r="FV55" s="558">
        <f t="shared" si="187"/>
        <v>79368.73</v>
      </c>
      <c r="FW55" s="558">
        <f t="shared" si="187"/>
        <v>77631.44</v>
      </c>
      <c r="FX55" s="558">
        <f t="shared" si="187"/>
        <v>75844.52</v>
      </c>
      <c r="FY55" s="558">
        <f t="shared" si="187"/>
        <v>74074.14</v>
      </c>
      <c r="FZ55" s="558">
        <f t="shared" si="187"/>
        <v>72291.350000000006</v>
      </c>
      <c r="GA55" s="558">
        <f t="shared" si="187"/>
        <v>70446.509999999995</v>
      </c>
      <c r="GB55" s="558">
        <f t="shared" si="187"/>
        <v>68527.22</v>
      </c>
      <c r="GC55" s="558">
        <f t="shared" si="187"/>
        <v>66595.520000000004</v>
      </c>
      <c r="GD55" s="558">
        <f t="shared" si="187"/>
        <v>64634.87</v>
      </c>
      <c r="GE55" s="558">
        <f t="shared" si="187"/>
        <v>62628.71</v>
      </c>
      <c r="GF55" s="558">
        <f t="shared" si="187"/>
        <v>60614.28</v>
      </c>
      <c r="GG55" s="558">
        <f t="shared" si="187"/>
        <v>58537.81</v>
      </c>
      <c r="GH55" s="558">
        <f t="shared" si="187"/>
        <v>56444.79</v>
      </c>
      <c r="GI55" s="558">
        <f t="shared" si="126"/>
        <v>54289.73</v>
      </c>
      <c r="GJ55" s="558">
        <f t="shared" si="126"/>
        <v>52085.02</v>
      </c>
      <c r="GK55" s="558">
        <f t="shared" si="126"/>
        <v>49818.28</v>
      </c>
      <c r="GL55" s="558">
        <f t="shared" si="126"/>
        <v>47485.34</v>
      </c>
      <c r="GM55" s="558">
        <f t="shared" si="126"/>
        <v>45082.09</v>
      </c>
      <c r="GN55" s="558">
        <f t="shared" si="126"/>
        <v>42587.839999999997</v>
      </c>
      <c r="GO55" s="558">
        <f t="shared" si="126"/>
        <v>40002.589999999997</v>
      </c>
      <c r="GP55" s="558">
        <f t="shared" si="126"/>
        <v>37322.199999999997</v>
      </c>
      <c r="GQ55" s="558">
        <f t="shared" si="126"/>
        <v>34534.269999999997</v>
      </c>
      <c r="GR55" s="558">
        <f t="shared" si="126"/>
        <v>31659.47</v>
      </c>
      <c r="GS55" s="558">
        <f t="shared" si="126"/>
        <v>28685.4</v>
      </c>
      <c r="GT55" s="558">
        <f t="shared" si="126"/>
        <v>25620.32</v>
      </c>
      <c r="GU55" s="558">
        <f t="shared" si="126"/>
        <v>22472.52</v>
      </c>
      <c r="GV55" s="558">
        <f t="shared" si="126"/>
        <v>19246.13</v>
      </c>
      <c r="GW55" s="558">
        <f t="shared" si="126"/>
        <v>15953.55</v>
      </c>
      <c r="GX55" s="558">
        <f t="shared" si="188"/>
        <v>12582.38</v>
      </c>
      <c r="GY55" s="558">
        <f t="shared" si="188"/>
        <v>9165.7199999999993</v>
      </c>
      <c r="GZ55" s="558">
        <f t="shared" si="188"/>
        <v>5687</v>
      </c>
      <c r="HA55" s="558">
        <f t="shared" si="188"/>
        <v>2171.06</v>
      </c>
      <c r="HB55" s="558">
        <f t="shared" si="188"/>
        <v>-1382.11</v>
      </c>
      <c r="HC55" s="558" t="str">
        <f t="shared" si="188"/>
        <v>.</v>
      </c>
      <c r="HD55" s="558" t="str">
        <f t="shared" si="188"/>
        <v>.</v>
      </c>
      <c r="HE55" s="558" t="str">
        <f t="shared" si="188"/>
        <v>.</v>
      </c>
      <c r="HF55" s="558" t="str">
        <f t="shared" si="188"/>
        <v>.</v>
      </c>
      <c r="HG55" s="558" t="str">
        <f t="shared" si="188"/>
        <v>.</v>
      </c>
      <c r="HH55" s="558" t="str">
        <f t="shared" si="188"/>
        <v>.</v>
      </c>
      <c r="HI55" s="558" t="str">
        <f t="shared" si="188"/>
        <v>.</v>
      </c>
      <c r="HJ55" s="558" t="str">
        <f t="shared" si="188"/>
        <v>.</v>
      </c>
      <c r="HK55" s="558" t="str">
        <f t="shared" si="188"/>
        <v>.</v>
      </c>
      <c r="HL55" s="558" t="str">
        <f t="shared" si="188"/>
        <v>.</v>
      </c>
      <c r="HM55" s="558" t="str">
        <f t="shared" si="188"/>
        <v>.</v>
      </c>
      <c r="HN55" s="558" t="str">
        <f t="shared" si="127"/>
        <v>.</v>
      </c>
      <c r="HO55" s="558" t="str">
        <f t="shared" si="127"/>
        <v>.</v>
      </c>
      <c r="HP55" s="558" t="str">
        <f t="shared" si="127"/>
        <v>.</v>
      </c>
      <c r="HQ55" s="558" t="str">
        <f t="shared" si="127"/>
        <v>.</v>
      </c>
      <c r="HR55" s="558" t="str">
        <f t="shared" si="127"/>
        <v>.</v>
      </c>
      <c r="HS55" s="558" t="str">
        <f t="shared" si="127"/>
        <v>.</v>
      </c>
      <c r="HT55" s="558" t="str">
        <f t="shared" si="127"/>
        <v>.</v>
      </c>
      <c r="HU55" s="558" t="str">
        <f t="shared" si="127"/>
        <v>.</v>
      </c>
      <c r="HV55" s="558" t="str">
        <f t="shared" si="127"/>
        <v>.</v>
      </c>
      <c r="HW55" s="558" t="str">
        <f t="shared" si="127"/>
        <v>.</v>
      </c>
      <c r="HX55" s="558" t="str">
        <f t="shared" si="127"/>
        <v>.</v>
      </c>
      <c r="HY55" s="558" t="str">
        <f t="shared" si="127"/>
        <v>.</v>
      </c>
      <c r="HZ55" s="558" t="str">
        <f t="shared" si="127"/>
        <v>.</v>
      </c>
      <c r="IA55" s="558" t="str">
        <f t="shared" si="127"/>
        <v>.</v>
      </c>
      <c r="IB55" s="558" t="str">
        <f t="shared" si="127"/>
        <v>.</v>
      </c>
      <c r="IC55" s="558" t="str">
        <f t="shared" si="127"/>
        <v>.</v>
      </c>
      <c r="ID55" s="558" t="str">
        <f t="shared" si="127"/>
        <v>.</v>
      </c>
      <c r="IE55" s="558" t="str">
        <f t="shared" si="128"/>
        <v>.</v>
      </c>
      <c r="IF55" s="558" t="str">
        <f t="shared" si="128"/>
        <v>.</v>
      </c>
      <c r="IG55" s="558" t="str">
        <f t="shared" si="128"/>
        <v>.</v>
      </c>
      <c r="IH55" s="558" t="str">
        <f t="shared" si="128"/>
        <v>.</v>
      </c>
      <c r="II55" s="558" t="str">
        <f t="shared" si="128"/>
        <v>.</v>
      </c>
      <c r="IJ55" s="558" t="str">
        <f t="shared" si="128"/>
        <v>.</v>
      </c>
      <c r="IK55" s="558" t="str">
        <f t="shared" si="128"/>
        <v>.</v>
      </c>
      <c r="IL55" s="558" t="str">
        <f t="shared" si="128"/>
        <v>.</v>
      </c>
      <c r="IM55" s="558" t="str">
        <f t="shared" si="128"/>
        <v>.</v>
      </c>
      <c r="IN55" s="558" t="str">
        <f t="shared" si="128"/>
        <v>.</v>
      </c>
      <c r="IO55" s="558" t="str">
        <f t="shared" si="128"/>
        <v>.</v>
      </c>
      <c r="IP55" s="558" t="str">
        <f t="shared" si="128"/>
        <v>.</v>
      </c>
      <c r="IQ55" s="558" t="str">
        <f t="shared" si="128"/>
        <v>.</v>
      </c>
      <c r="IR55" s="558" t="str">
        <f t="shared" si="122"/>
        <v>.</v>
      </c>
      <c r="IS55" s="558" t="str">
        <f t="shared" si="122"/>
        <v>.</v>
      </c>
      <c r="IT55" s="558" t="str">
        <f t="shared" si="122"/>
        <v>.</v>
      </c>
      <c r="IU55" s="558" t="str">
        <f t="shared" si="122"/>
        <v>.</v>
      </c>
      <c r="IV55" s="558" t="str">
        <f t="shared" si="122"/>
        <v>.</v>
      </c>
      <c r="IW55" s="558" t="str">
        <f t="shared" si="122"/>
        <v>.</v>
      </c>
      <c r="IX55" s="558" t="str">
        <f t="shared" si="122"/>
        <v>.</v>
      </c>
      <c r="IY55" s="558" t="str">
        <f t="shared" si="122"/>
        <v>.</v>
      </c>
      <c r="IZ55" s="558" t="str">
        <f t="shared" si="122"/>
        <v>.</v>
      </c>
      <c r="JA55" s="558" t="str">
        <f t="shared" si="122"/>
        <v>.</v>
      </c>
      <c r="JB55" s="558" t="str">
        <f t="shared" si="122"/>
        <v>.</v>
      </c>
      <c r="JC55" s="558" t="str">
        <f t="shared" si="122"/>
        <v>.</v>
      </c>
      <c r="JD55" s="558" t="str">
        <f t="shared" si="122"/>
        <v>.</v>
      </c>
      <c r="JE55" s="558" t="str">
        <f t="shared" si="122"/>
        <v>.</v>
      </c>
      <c r="JF55" s="558" t="str">
        <f t="shared" si="122"/>
        <v>.</v>
      </c>
      <c r="JG55" s="558" t="str">
        <f t="shared" si="122"/>
        <v>.</v>
      </c>
      <c r="JH55" s="558" t="str">
        <f t="shared" si="122"/>
        <v>.</v>
      </c>
      <c r="JI55" s="558" t="str">
        <f t="shared" si="123"/>
        <v>.</v>
      </c>
      <c r="JJ55" s="558" t="str">
        <f t="shared" si="123"/>
        <v>.</v>
      </c>
      <c r="JK55" s="558" t="str">
        <f t="shared" si="189"/>
        <v>.</v>
      </c>
      <c r="JL55" s="558" t="str">
        <f t="shared" si="189"/>
        <v>.</v>
      </c>
      <c r="JM55" s="558" t="str">
        <f t="shared" si="189"/>
        <v>.</v>
      </c>
      <c r="JN55" s="558" t="str">
        <f t="shared" si="189"/>
        <v>.</v>
      </c>
      <c r="JO55" s="558" t="str">
        <f t="shared" si="189"/>
        <v>.</v>
      </c>
    </row>
    <row r="56" spans="1:275" x14ac:dyDescent="0.2">
      <c r="A56" s="534">
        <f xml:space="preserve"> Basis!A56</f>
        <v>56</v>
      </c>
      <c r="F56" s="536">
        <f xml:space="preserve"> ROUND(    IF( $A$15=BE_MF_,   AW56,   INDEX( qx!56:56, F$16 ) ),    F$17    )</f>
        <v>2.5999999999999999E-3</v>
      </c>
      <c r="G56" s="536">
        <f xml:space="preserve"> ROUND(    IF( $A$15=BE_MF_,   BB56,   INDEX( wx!56:56, G$16 ) ),    G$17    )</f>
        <v>1.72E-2</v>
      </c>
      <c r="H56" s="537">
        <f xml:space="preserve"> ROUND(    IF( $A$15=BE_MF_,   BG56,   INDEX( Kx!56:56, H$16 ) ),    H$17    )</f>
        <v>3512.84</v>
      </c>
      <c r="I56" s="538">
        <f t="shared" si="93"/>
        <v>3512.84</v>
      </c>
      <c r="J56" s="539">
        <f t="shared" si="129"/>
        <v>1.6910000000000001</v>
      </c>
      <c r="K56" s="540">
        <f t="shared" si="190"/>
        <v>2</v>
      </c>
      <c r="L56" s="541">
        <f t="shared" si="116"/>
        <v>0</v>
      </c>
      <c r="M56" s="541">
        <f t="shared" si="116"/>
        <v>8.5999999999999993E-2</v>
      </c>
      <c r="O56" s="542" t="b">
        <f t="shared" si="95"/>
        <v>1</v>
      </c>
      <c r="P56" s="493">
        <f t="shared" si="130"/>
        <v>1.9800000000000002E-2</v>
      </c>
      <c r="Q56" s="493">
        <f t="shared" si="131"/>
        <v>0.98019999999999996</v>
      </c>
      <c r="R56" s="543">
        <f t="shared" si="132"/>
        <v>571361</v>
      </c>
      <c r="S56" s="544">
        <f t="shared" si="133"/>
        <v>0.97560975599999999</v>
      </c>
      <c r="T56" s="423">
        <f t="shared" si="134"/>
        <v>143342.22</v>
      </c>
      <c r="U56" s="423">
        <f xml:space="preserve"> IF( $O56,    ROUND(  SUM( T56:T$120), U$17 ),  LEER  )</f>
        <v>2846628.81</v>
      </c>
      <c r="V56" s="493">
        <f t="shared" si="135"/>
        <v>19.859000000000002</v>
      </c>
      <c r="W56" s="493">
        <f t="shared" si="136"/>
        <v>242391.69</v>
      </c>
      <c r="X56" s="493">
        <f xml:space="preserve"> IF( $O56,    ROUND(  SUM( W56:W$120), X$17 ),  LEER  )</f>
        <v>9469944.8000000007</v>
      </c>
      <c r="Y56" s="493">
        <f t="shared" si="137"/>
        <v>66.065299999999993</v>
      </c>
      <c r="Z56" s="493">
        <f t="shared" si="138"/>
        <v>3.3267000000000002</v>
      </c>
      <c r="AA56" s="493">
        <f t="shared" si="139"/>
        <v>1.0093000000000001</v>
      </c>
      <c r="AB56" s="493">
        <f t="shared" si="140"/>
        <v>2.3494000000000002</v>
      </c>
      <c r="AC56" s="545">
        <f t="shared" si="141"/>
        <v>0.38600000000000001</v>
      </c>
      <c r="AD56" s="493">
        <f t="shared" si="142"/>
        <v>3.3612000000000002</v>
      </c>
      <c r="AE56" s="493">
        <f t="shared" si="143"/>
        <v>4.0998000000000001</v>
      </c>
      <c r="AF56" s="493">
        <f t="shared" si="144"/>
        <v>4.0998000000000001</v>
      </c>
      <c r="AG56" s="493" t="str">
        <f t="shared" si="145"/>
        <v>.</v>
      </c>
      <c r="AH56" s="493" t="str">
        <f t="shared" si="146"/>
        <v>.</v>
      </c>
      <c r="AI56" s="423">
        <f t="shared" si="147"/>
        <v>2077.79</v>
      </c>
      <c r="AJ56" s="423">
        <f t="shared" si="148"/>
        <v>8518.52</v>
      </c>
      <c r="AK56" s="423">
        <f t="shared" si="149"/>
        <v>709.88</v>
      </c>
      <c r="AN56" s="423">
        <f t="shared" si="117"/>
        <v>60764.4</v>
      </c>
      <c r="AO56" s="423">
        <f t="shared" si="117"/>
        <v>59848.37</v>
      </c>
      <c r="AR56" s="546">
        <f xml:space="preserve"> ROUND(  INDEX( Kx!56:56, AR$16 ),  AR$17 )</f>
        <v>0.76419999999999999</v>
      </c>
      <c r="AS56" s="547">
        <f xml:space="preserve"> ROUND(  INDEX( qx!56:56, AS$16 ),  AS$17 )</f>
        <v>2.8999999999999998E-3</v>
      </c>
      <c r="AT56" s="547">
        <f xml:space="preserve"> ROUND(  INDEX( qx!56:56, AT$16 ),  AT$17 )</f>
        <v>1.8E-3</v>
      </c>
      <c r="AU56" s="548" t="str">
        <f t="shared" si="150"/>
        <v>F</v>
      </c>
      <c r="AV56" s="542">
        <f t="shared" si="151"/>
        <v>0.68359999999999999</v>
      </c>
      <c r="AW56" s="542">
        <f t="shared" si="152"/>
        <v>2.5999999999999999E-3</v>
      </c>
      <c r="AX56" s="546">
        <f xml:space="preserve"> ROUND(  INDEX( wx!56:56, AX$16 ),  AX$17 )</f>
        <v>1.7100000000000001E-2</v>
      </c>
      <c r="AY56" s="546">
        <f xml:space="preserve"> ROUND(  INDEX( wx!56:56, AY$16 ),  AY$17 )</f>
        <v>1.7899999999999999E-2</v>
      </c>
      <c r="AZ56" s="548" t="str">
        <f t="shared" si="153"/>
        <v>M</v>
      </c>
      <c r="BA56" s="542">
        <f t="shared" si="154"/>
        <v>0.82940000000000003</v>
      </c>
      <c r="BB56" s="542">
        <f t="shared" si="155"/>
        <v>1.72E-2</v>
      </c>
      <c r="BC56" s="533">
        <f xml:space="preserve"> ROUND(  INDEX( Kx!56:56, BC$16 ),  BC$17 )</f>
        <v>3394.01</v>
      </c>
      <c r="BD56" s="533">
        <f xml:space="preserve"> ROUND(  INDEX( Kx!56:56, BD$16 ),  BD$17 )</f>
        <v>3769.57</v>
      </c>
      <c r="BE56" s="548" t="str">
        <f t="shared" si="52"/>
        <v>F</v>
      </c>
      <c r="BF56" s="542">
        <f t="shared" si="156"/>
        <v>0.68359999999999999</v>
      </c>
      <c r="BG56" s="420">
        <f t="shared" si="157"/>
        <v>3512.84</v>
      </c>
      <c r="BQ56" s="549">
        <f t="shared" si="96"/>
        <v>56</v>
      </c>
      <c r="BR56" s="423">
        <f t="shared" si="55"/>
        <v>57363.07</v>
      </c>
      <c r="BS56" s="550">
        <f t="shared" si="158"/>
        <v>3512.84</v>
      </c>
      <c r="BT56" s="423">
        <f t="shared" si="159"/>
        <v>490.69</v>
      </c>
      <c r="BU56" s="551">
        <f t="shared" si="160"/>
        <v>143342.22</v>
      </c>
      <c r="BV56" s="551">
        <f t="shared" si="161"/>
        <v>1.0503</v>
      </c>
      <c r="BW56" s="529">
        <f t="shared" si="162"/>
        <v>60764.4</v>
      </c>
      <c r="BX56" s="552">
        <f t="shared" si="163"/>
        <v>2910.6399999999994</v>
      </c>
      <c r="BY56" s="560"/>
      <c r="BZ56" s="559"/>
      <c r="CB56" s="423">
        <f t="shared" si="164"/>
        <v>347.36</v>
      </c>
      <c r="CC56" s="423">
        <f t="shared" si="165"/>
        <v>1519.11</v>
      </c>
      <c r="CD56" s="423">
        <f t="shared" si="166"/>
        <v>1265.1400000000001</v>
      </c>
      <c r="CE56" s="423">
        <f t="shared" si="167"/>
        <v>3131.6099999999997</v>
      </c>
      <c r="CF56" s="553">
        <f t="shared" si="168"/>
        <v>3131.760000000002</v>
      </c>
      <c r="CH56" s="423">
        <f t="shared" si="169"/>
        <v>3852.4304390000002</v>
      </c>
      <c r="CI56" s="423">
        <f t="shared" si="170"/>
        <v>3513.54</v>
      </c>
      <c r="CJ56" s="423">
        <f t="shared" si="171"/>
        <v>1573.32</v>
      </c>
      <c r="CK56" s="423">
        <f t="shared" si="172"/>
        <v>-1234.29</v>
      </c>
      <c r="CL56" s="553">
        <f t="shared" si="173"/>
        <v>3852.5699999999997</v>
      </c>
      <c r="CN56" s="423">
        <f t="shared" si="71"/>
        <v>3898.5573770000001</v>
      </c>
      <c r="CO56" s="423">
        <f t="shared" si="174"/>
        <v>3513.54</v>
      </c>
      <c r="CP56" s="423">
        <f t="shared" si="175"/>
        <v>1601.86</v>
      </c>
      <c r="CQ56" s="423">
        <f t="shared" si="176"/>
        <v>-1216.71</v>
      </c>
      <c r="CR56" s="553">
        <f t="shared" si="75"/>
        <v>3898.6899999999996</v>
      </c>
      <c r="CV56" s="564">
        <f t="shared" si="98"/>
        <v>56</v>
      </c>
      <c r="CW56" s="538" t="str">
        <f t="shared" si="177"/>
        <v>.</v>
      </c>
      <c r="CX56" s="566">
        <f t="shared" si="178"/>
        <v>59848.37</v>
      </c>
      <c r="CY56" s="538">
        <f t="shared" si="179"/>
        <v>53367.16</v>
      </c>
      <c r="CZ56" s="538" t="str">
        <f t="shared" si="180"/>
        <v>.</v>
      </c>
      <c r="DA56" s="538" t="str">
        <f t="shared" si="181"/>
        <v>.</v>
      </c>
      <c r="DB56" s="567" t="e">
        <f t="shared" si="99"/>
        <v>#N/A</v>
      </c>
      <c r="DC56" s="567">
        <f t="shared" si="100"/>
        <v>59848.37</v>
      </c>
      <c r="DD56" s="567">
        <f t="shared" si="101"/>
        <v>53367.16</v>
      </c>
      <c r="DE56" s="567" t="e">
        <f t="shared" si="101"/>
        <v>#N/A</v>
      </c>
      <c r="DF56" s="568" t="e">
        <f t="shared" si="102"/>
        <v>#N/A</v>
      </c>
      <c r="EL56" s="553">
        <f t="shared" si="81"/>
        <v>19456.18</v>
      </c>
      <c r="EM56" s="553">
        <f t="shared" si="182"/>
        <v>40399.51</v>
      </c>
      <c r="EN56" s="423">
        <f t="shared" si="183"/>
        <v>59855.69</v>
      </c>
      <c r="EO56" s="555">
        <f xml:space="preserve"> 'i2'!AO56</f>
        <v>59848.37</v>
      </c>
      <c r="EV56" s="533" t="e">
        <f xml:space="preserve"> ROUND(    IF( $A$15=BE_MF_,   LEER,   INDEX( Kx!56:56, EV$16 ) ),    EV$17    )</f>
        <v>#VALUE!</v>
      </c>
      <c r="EW56" s="533" t="e">
        <f xml:space="preserve"> ROUND(    IF( $A$15=BE_MF_,   LEER,   INDEX( Kx!56:56, EW$16 ) ),    EW$17    )</f>
        <v>#VALUE!</v>
      </c>
      <c r="EX56" s="533" t="e">
        <f xml:space="preserve"> ROUND(    IF( $A$15=BE_MF_,   LEER,   INDEX( Kx!56:56, EX$16 ) ),    EX$17    )</f>
        <v>#VALUE!</v>
      </c>
      <c r="EY56" s="556" t="e">
        <f t="shared" si="103"/>
        <v>#VALUE!</v>
      </c>
      <c r="FB56" s="533" t="e">
        <f xml:space="preserve"> ROUND(    IF( $A$15=BE_MF_,   LEER,   INDEX( Kx!56:56, FB$16 ) ),    FB$17    )</f>
        <v>#VALUE!</v>
      </c>
      <c r="FC56" s="533" t="e">
        <f xml:space="preserve"> ROUND(    IF( $A$15=BE_MF_,   LEER,   INDEX( Kx!56:56, FC$16 ) ),    FC$17    )</f>
        <v>#VALUE!</v>
      </c>
      <c r="FD56" s="556" t="e">
        <f t="shared" si="104"/>
        <v>#VALUE!</v>
      </c>
      <c r="FG56" s="556" t="e">
        <f t="shared" si="105"/>
        <v>#VALUE!</v>
      </c>
      <c r="FH56" s="556" t="e">
        <f t="shared" si="105"/>
        <v>#VALUE!</v>
      </c>
      <c r="FI56" s="556" t="e">
        <f t="shared" si="105"/>
        <v>#VALUE!</v>
      </c>
      <c r="FN56" s="557">
        <f t="shared" si="184"/>
        <v>56</v>
      </c>
      <c r="FO56" s="493">
        <f t="shared" si="185"/>
        <v>66.065299999999993</v>
      </c>
      <c r="FP56" s="493">
        <f t="shared" si="186"/>
        <v>19.859000000000002</v>
      </c>
      <c r="FR56" s="427">
        <f t="shared" si="106"/>
        <v>1832778.6099999999</v>
      </c>
      <c r="FS56" s="558">
        <f t="shared" si="187"/>
        <v>87737.919999999998</v>
      </c>
      <c r="FT56" s="558">
        <f t="shared" si="187"/>
        <v>86066.77</v>
      </c>
      <c r="FU56" s="558">
        <f t="shared" si="187"/>
        <v>84391.5</v>
      </c>
      <c r="FV56" s="558">
        <f t="shared" si="187"/>
        <v>82716.23</v>
      </c>
      <c r="FW56" s="558">
        <f t="shared" si="187"/>
        <v>80983.19</v>
      </c>
      <c r="FX56" s="558">
        <f t="shared" si="187"/>
        <v>79200.639999999999</v>
      </c>
      <c r="FY56" s="558">
        <f t="shared" si="187"/>
        <v>77434.59</v>
      </c>
      <c r="FZ56" s="558">
        <f t="shared" si="187"/>
        <v>75656.160000000003</v>
      </c>
      <c r="GA56" s="558">
        <f t="shared" si="187"/>
        <v>73815.839999999997</v>
      </c>
      <c r="GB56" s="558">
        <f t="shared" si="187"/>
        <v>71901.240000000005</v>
      </c>
      <c r="GC56" s="558">
        <f t="shared" si="187"/>
        <v>69974.27</v>
      </c>
      <c r="GD56" s="558">
        <f t="shared" si="187"/>
        <v>68018.41</v>
      </c>
      <c r="GE56" s="558">
        <f t="shared" si="187"/>
        <v>66017.16</v>
      </c>
      <c r="GF56" s="558">
        <f t="shared" si="187"/>
        <v>64007.66</v>
      </c>
      <c r="GG56" s="558">
        <f t="shared" si="187"/>
        <v>61936.27</v>
      </c>
      <c r="GH56" s="558">
        <f t="shared" si="187"/>
        <v>59848.37</v>
      </c>
      <c r="GI56" s="558">
        <f t="shared" si="126"/>
        <v>57698.58</v>
      </c>
      <c r="GJ56" s="558">
        <f t="shared" si="126"/>
        <v>55499.27</v>
      </c>
      <c r="GK56" s="558">
        <f t="shared" si="126"/>
        <v>53238.06</v>
      </c>
      <c r="GL56" s="558">
        <f t="shared" si="126"/>
        <v>50910.84</v>
      </c>
      <c r="GM56" s="558">
        <f t="shared" si="126"/>
        <v>48513.47</v>
      </c>
      <c r="GN56" s="558">
        <f t="shared" si="126"/>
        <v>46025.32</v>
      </c>
      <c r="GO56" s="558">
        <f t="shared" si="126"/>
        <v>43446.39</v>
      </c>
      <c r="GP56" s="558">
        <f t="shared" si="126"/>
        <v>40772.559999999998</v>
      </c>
      <c r="GQ56" s="558">
        <f t="shared" si="126"/>
        <v>37991.449999999997</v>
      </c>
      <c r="GR56" s="558">
        <f t="shared" si="126"/>
        <v>35123.68</v>
      </c>
      <c r="GS56" s="558">
        <f t="shared" si="126"/>
        <v>32156.880000000001</v>
      </c>
      <c r="GT56" s="558">
        <f t="shared" si="126"/>
        <v>29099.31</v>
      </c>
      <c r="GU56" s="558">
        <f t="shared" si="126"/>
        <v>25959.21</v>
      </c>
      <c r="GV56" s="558">
        <f t="shared" si="126"/>
        <v>22740.7</v>
      </c>
      <c r="GW56" s="558">
        <f t="shared" si="126"/>
        <v>19456.18</v>
      </c>
      <c r="GX56" s="558">
        <f t="shared" si="188"/>
        <v>16093.26</v>
      </c>
      <c r="GY56" s="558">
        <f t="shared" si="188"/>
        <v>12684.95</v>
      </c>
      <c r="GZ56" s="558">
        <f t="shared" si="188"/>
        <v>9214.75</v>
      </c>
      <c r="HA56" s="558">
        <f t="shared" si="188"/>
        <v>5707.41</v>
      </c>
      <c r="HB56" s="558">
        <f t="shared" si="188"/>
        <v>2162.9299999999998</v>
      </c>
      <c r="HC56" s="558">
        <f t="shared" si="188"/>
        <v>-1422.81</v>
      </c>
      <c r="HD56" s="558" t="str">
        <f t="shared" si="188"/>
        <v>.</v>
      </c>
      <c r="HE56" s="558" t="str">
        <f t="shared" si="188"/>
        <v>.</v>
      </c>
      <c r="HF56" s="558" t="str">
        <f t="shared" si="188"/>
        <v>.</v>
      </c>
      <c r="HG56" s="558" t="str">
        <f t="shared" si="188"/>
        <v>.</v>
      </c>
      <c r="HH56" s="558" t="str">
        <f t="shared" si="188"/>
        <v>.</v>
      </c>
      <c r="HI56" s="558" t="str">
        <f t="shared" si="188"/>
        <v>.</v>
      </c>
      <c r="HJ56" s="558" t="str">
        <f t="shared" si="188"/>
        <v>.</v>
      </c>
      <c r="HK56" s="558" t="str">
        <f t="shared" si="188"/>
        <v>.</v>
      </c>
      <c r="HL56" s="558" t="str">
        <f t="shared" si="188"/>
        <v>.</v>
      </c>
      <c r="HM56" s="558" t="str">
        <f t="shared" si="188"/>
        <v>.</v>
      </c>
      <c r="HN56" s="558" t="str">
        <f t="shared" si="127"/>
        <v>.</v>
      </c>
      <c r="HO56" s="558" t="str">
        <f t="shared" si="127"/>
        <v>.</v>
      </c>
      <c r="HP56" s="558" t="str">
        <f t="shared" si="127"/>
        <v>.</v>
      </c>
      <c r="HQ56" s="558" t="str">
        <f t="shared" si="127"/>
        <v>.</v>
      </c>
      <c r="HR56" s="558" t="str">
        <f t="shared" si="127"/>
        <v>.</v>
      </c>
      <c r="HS56" s="558" t="str">
        <f t="shared" si="127"/>
        <v>.</v>
      </c>
      <c r="HT56" s="558" t="str">
        <f t="shared" si="127"/>
        <v>.</v>
      </c>
      <c r="HU56" s="558" t="str">
        <f t="shared" si="127"/>
        <v>.</v>
      </c>
      <c r="HV56" s="558" t="str">
        <f t="shared" si="127"/>
        <v>.</v>
      </c>
      <c r="HW56" s="558" t="str">
        <f t="shared" si="127"/>
        <v>.</v>
      </c>
      <c r="HX56" s="558" t="str">
        <f t="shared" si="127"/>
        <v>.</v>
      </c>
      <c r="HY56" s="558" t="str">
        <f t="shared" si="127"/>
        <v>.</v>
      </c>
      <c r="HZ56" s="558" t="str">
        <f t="shared" si="127"/>
        <v>.</v>
      </c>
      <c r="IA56" s="558" t="str">
        <f t="shared" si="127"/>
        <v>.</v>
      </c>
      <c r="IB56" s="558" t="str">
        <f t="shared" si="127"/>
        <v>.</v>
      </c>
      <c r="IC56" s="558" t="str">
        <f t="shared" si="127"/>
        <v>.</v>
      </c>
      <c r="ID56" s="558" t="str">
        <f t="shared" si="127"/>
        <v>.</v>
      </c>
      <c r="IE56" s="558" t="str">
        <f t="shared" si="128"/>
        <v>.</v>
      </c>
      <c r="IF56" s="558" t="str">
        <f t="shared" si="128"/>
        <v>.</v>
      </c>
      <c r="IG56" s="558" t="str">
        <f t="shared" si="128"/>
        <v>.</v>
      </c>
      <c r="IH56" s="558" t="str">
        <f t="shared" si="128"/>
        <v>.</v>
      </c>
      <c r="II56" s="558" t="str">
        <f t="shared" si="128"/>
        <v>.</v>
      </c>
      <c r="IJ56" s="558" t="str">
        <f t="shared" si="128"/>
        <v>.</v>
      </c>
      <c r="IK56" s="558" t="str">
        <f t="shared" si="128"/>
        <v>.</v>
      </c>
      <c r="IL56" s="558" t="str">
        <f t="shared" si="128"/>
        <v>.</v>
      </c>
      <c r="IM56" s="558" t="str">
        <f t="shared" si="128"/>
        <v>.</v>
      </c>
      <c r="IN56" s="558" t="str">
        <f t="shared" si="128"/>
        <v>.</v>
      </c>
      <c r="IO56" s="558" t="str">
        <f t="shared" si="128"/>
        <v>.</v>
      </c>
      <c r="IP56" s="558" t="str">
        <f t="shared" si="128"/>
        <v>.</v>
      </c>
      <c r="IQ56" s="558" t="str">
        <f t="shared" si="128"/>
        <v>.</v>
      </c>
      <c r="IR56" s="558" t="str">
        <f t="shared" si="122"/>
        <v>.</v>
      </c>
      <c r="IS56" s="558" t="str">
        <f t="shared" si="122"/>
        <v>.</v>
      </c>
      <c r="IT56" s="558" t="str">
        <f t="shared" si="122"/>
        <v>.</v>
      </c>
      <c r="IU56" s="558" t="str">
        <f t="shared" si="122"/>
        <v>.</v>
      </c>
      <c r="IV56" s="558" t="str">
        <f t="shared" si="122"/>
        <v>.</v>
      </c>
      <c r="IW56" s="558" t="str">
        <f t="shared" si="122"/>
        <v>.</v>
      </c>
      <c r="IX56" s="558" t="str">
        <f t="shared" si="122"/>
        <v>.</v>
      </c>
      <c r="IY56" s="558" t="str">
        <f t="shared" si="122"/>
        <v>.</v>
      </c>
      <c r="IZ56" s="558" t="str">
        <f t="shared" si="122"/>
        <v>.</v>
      </c>
      <c r="JA56" s="558" t="str">
        <f t="shared" si="122"/>
        <v>.</v>
      </c>
      <c r="JB56" s="558" t="str">
        <f t="shared" si="122"/>
        <v>.</v>
      </c>
      <c r="JC56" s="558" t="str">
        <f t="shared" si="122"/>
        <v>.</v>
      </c>
      <c r="JD56" s="558" t="str">
        <f t="shared" si="122"/>
        <v>.</v>
      </c>
      <c r="JE56" s="558" t="str">
        <f t="shared" si="122"/>
        <v>.</v>
      </c>
      <c r="JF56" s="558" t="str">
        <f t="shared" si="122"/>
        <v>.</v>
      </c>
      <c r="JG56" s="558" t="str">
        <f t="shared" si="122"/>
        <v>.</v>
      </c>
      <c r="JH56" s="558" t="str">
        <f t="shared" si="122"/>
        <v>.</v>
      </c>
      <c r="JI56" s="558" t="str">
        <f t="shared" si="123"/>
        <v>.</v>
      </c>
      <c r="JJ56" s="558" t="str">
        <f t="shared" si="123"/>
        <v>.</v>
      </c>
      <c r="JK56" s="558" t="str">
        <f t="shared" si="189"/>
        <v>.</v>
      </c>
      <c r="JL56" s="558" t="str">
        <f t="shared" si="189"/>
        <v>.</v>
      </c>
      <c r="JM56" s="558" t="str">
        <f t="shared" si="189"/>
        <v>.</v>
      </c>
      <c r="JN56" s="558" t="str">
        <f t="shared" si="189"/>
        <v>.</v>
      </c>
      <c r="JO56" s="558" t="str">
        <f t="shared" si="189"/>
        <v>.</v>
      </c>
    </row>
    <row r="57" spans="1:275" x14ac:dyDescent="0.2">
      <c r="A57" s="534">
        <f xml:space="preserve"> Basis!A57</f>
        <v>57</v>
      </c>
      <c r="F57" s="536">
        <f xml:space="preserve"> ROUND(    IF( $A$15=BE_MF_,   AW57,   INDEX( qx!57:57, F$16 ) ),    F$17    )</f>
        <v>2.8E-3</v>
      </c>
      <c r="G57" s="536">
        <f xml:space="preserve"> ROUND(    IF( $A$15=BE_MF_,   BB57,   INDEX( wx!57:57, G$16 ) ),    G$17    )</f>
        <v>1.2699999999999999E-2</v>
      </c>
      <c r="H57" s="537">
        <f xml:space="preserve"> ROUND(    IF( $A$15=BE_MF_,   BG57,   INDEX( Kx!57:57, H$16 ) ),    H$17    )</f>
        <v>3677.97</v>
      </c>
      <c r="I57" s="538">
        <f t="shared" si="93"/>
        <v>3677.97</v>
      </c>
      <c r="J57" s="539">
        <f t="shared" si="129"/>
        <v>1.77</v>
      </c>
      <c r="K57" s="540">
        <f t="shared" si="190"/>
        <v>2</v>
      </c>
      <c r="L57" s="541">
        <f t="shared" si="116"/>
        <v>0</v>
      </c>
      <c r="M57" s="541">
        <f t="shared" si="116"/>
        <v>8.5999999999999993E-2</v>
      </c>
      <c r="O57" s="542" t="b">
        <f t="shared" si="95"/>
        <v>1</v>
      </c>
      <c r="P57" s="493">
        <f t="shared" si="130"/>
        <v>1.55E-2</v>
      </c>
      <c r="Q57" s="493">
        <f t="shared" si="131"/>
        <v>0.98450000000000004</v>
      </c>
      <c r="R57" s="543">
        <f t="shared" si="132"/>
        <v>560048</v>
      </c>
      <c r="S57" s="544">
        <f t="shared" si="133"/>
        <v>0.97560975599999999</v>
      </c>
      <c r="T57" s="423">
        <f t="shared" si="134"/>
        <v>137077.1</v>
      </c>
      <c r="U57" s="423">
        <f xml:space="preserve"> IF( $O57,    ROUND(  SUM( T57:T$120), U$17 ),  LEER  )</f>
        <v>2703286.59</v>
      </c>
      <c r="V57" s="493">
        <f t="shared" si="135"/>
        <v>19.7209</v>
      </c>
      <c r="W57" s="493">
        <f t="shared" si="136"/>
        <v>242626.47</v>
      </c>
      <c r="X57" s="493">
        <f xml:space="preserve"> IF( $O57,    ROUND(  SUM( W57:W$120), X$17 ),  LEER  )</f>
        <v>9227553.1099999994</v>
      </c>
      <c r="Y57" s="493">
        <f t="shared" si="137"/>
        <v>67.316500000000005</v>
      </c>
      <c r="Z57" s="493">
        <f t="shared" si="138"/>
        <v>3.4135</v>
      </c>
      <c r="AA57" s="493">
        <f t="shared" si="139"/>
        <v>1.0093000000000001</v>
      </c>
      <c r="AB57" s="493">
        <f t="shared" si="140"/>
        <v>2.3494000000000002</v>
      </c>
      <c r="AC57" s="545">
        <f t="shared" si="141"/>
        <v>0.38600000000000001</v>
      </c>
      <c r="AD57" s="493">
        <f t="shared" si="142"/>
        <v>3.4487999999999999</v>
      </c>
      <c r="AE57" s="493">
        <f t="shared" si="143"/>
        <v>4.1955999999999998</v>
      </c>
      <c r="AF57" s="493">
        <f t="shared" si="144"/>
        <v>4.1955999999999998</v>
      </c>
      <c r="AG57" s="493" t="str">
        <f t="shared" si="145"/>
        <v>.</v>
      </c>
      <c r="AH57" s="493" t="str">
        <f t="shared" si="146"/>
        <v>.</v>
      </c>
      <c r="AI57" s="423">
        <f t="shared" si="147"/>
        <v>2077.79</v>
      </c>
      <c r="AJ57" s="423">
        <f t="shared" si="148"/>
        <v>8717.58</v>
      </c>
      <c r="AK57" s="423">
        <f t="shared" si="149"/>
        <v>726.47</v>
      </c>
      <c r="AN57" s="423">
        <f t="shared" si="117"/>
        <v>63896.160000000003</v>
      </c>
      <c r="AO57" s="423">
        <f t="shared" si="117"/>
        <v>62986.49</v>
      </c>
      <c r="AR57" s="546">
        <f xml:space="preserve"> ROUND(  INDEX( Kx!57:57, AR$16 ),  AR$17 )</f>
        <v>0.75439999999999996</v>
      </c>
      <c r="AS57" s="547">
        <f xml:space="preserve"> ROUND(  INDEX( qx!57:57, AS$16 ),  AS$17 )</f>
        <v>3.2000000000000002E-3</v>
      </c>
      <c r="AT57" s="547">
        <f xml:space="preserve"> ROUND(  INDEX( qx!57:57, AT$16 ),  AT$17 )</f>
        <v>2E-3</v>
      </c>
      <c r="AU57" s="548" t="str">
        <f t="shared" si="150"/>
        <v>F</v>
      </c>
      <c r="AV57" s="542">
        <f t="shared" si="151"/>
        <v>0.67190000000000005</v>
      </c>
      <c r="AW57" s="542">
        <f t="shared" si="152"/>
        <v>2.8E-3</v>
      </c>
      <c r="AX57" s="546">
        <f xml:space="preserve"> ROUND(  INDEX( wx!57:57, AX$16 ),  AX$17 )</f>
        <v>1.38E-2</v>
      </c>
      <c r="AY57" s="546">
        <f xml:space="preserve"> ROUND(  INDEX( wx!57:57, AY$16 ),  AY$17 )</f>
        <v>1.0500000000000001E-2</v>
      </c>
      <c r="AZ57" s="548" t="str">
        <f t="shared" si="153"/>
        <v>F</v>
      </c>
      <c r="BA57" s="542">
        <f t="shared" si="154"/>
        <v>0.67190000000000005</v>
      </c>
      <c r="BB57" s="542">
        <f t="shared" si="155"/>
        <v>1.2699999999999999E-2</v>
      </c>
      <c r="BC57" s="533">
        <f xml:space="preserve"> ROUND(  INDEX( Kx!57:57, BC$16 ),  BC$17 )</f>
        <v>3581.28</v>
      </c>
      <c r="BD57" s="533">
        <f xml:space="preserve"> ROUND(  INDEX( Kx!57:57, BD$16 ),  BD$17 )</f>
        <v>3875.97</v>
      </c>
      <c r="BE57" s="548" t="str">
        <f t="shared" si="52"/>
        <v>F</v>
      </c>
      <c r="BF57" s="542">
        <f t="shared" si="156"/>
        <v>0.67190000000000005</v>
      </c>
      <c r="BG57" s="420">
        <f t="shared" si="157"/>
        <v>3677.97</v>
      </c>
      <c r="BQ57" s="549">
        <f t="shared" si="96"/>
        <v>57</v>
      </c>
      <c r="BR57" s="423">
        <f t="shared" si="55"/>
        <v>60764.4</v>
      </c>
      <c r="BS57" s="550">
        <f t="shared" si="158"/>
        <v>3677.97</v>
      </c>
      <c r="BT57" s="423">
        <f t="shared" si="159"/>
        <v>339.59</v>
      </c>
      <c r="BU57" s="551">
        <f t="shared" si="160"/>
        <v>137077.1</v>
      </c>
      <c r="BV57" s="551">
        <f t="shared" si="161"/>
        <v>1.0457000000000001</v>
      </c>
      <c r="BW57" s="529">
        <f t="shared" si="162"/>
        <v>63896.160000000003</v>
      </c>
      <c r="BX57" s="552">
        <f t="shared" si="163"/>
        <v>2792.1700000000055</v>
      </c>
      <c r="BY57" s="560"/>
      <c r="BZ57" s="559"/>
      <c r="CB57" s="423">
        <f t="shared" si="164"/>
        <v>179.11</v>
      </c>
      <c r="CC57" s="423">
        <f t="shared" si="165"/>
        <v>1597.4</v>
      </c>
      <c r="CD57" s="423">
        <f t="shared" si="166"/>
        <v>1033.95</v>
      </c>
      <c r="CE57" s="423">
        <f t="shared" si="167"/>
        <v>2810.46</v>
      </c>
      <c r="CF57" s="553">
        <f t="shared" si="168"/>
        <v>2810.3600000000006</v>
      </c>
      <c r="CH57" s="423">
        <f t="shared" si="169"/>
        <v>3852.4304390000002</v>
      </c>
      <c r="CI57" s="423">
        <f t="shared" si="170"/>
        <v>3677.69</v>
      </c>
      <c r="CJ57" s="423">
        <f t="shared" si="171"/>
        <v>1183.3699999999999</v>
      </c>
      <c r="CK57" s="423">
        <f t="shared" si="172"/>
        <v>-1008.73</v>
      </c>
      <c r="CL57" s="553">
        <f t="shared" si="173"/>
        <v>3852.3299999999995</v>
      </c>
      <c r="CN57" s="423">
        <f t="shared" si="71"/>
        <v>3898.5573770000001</v>
      </c>
      <c r="CO57" s="423">
        <f t="shared" si="174"/>
        <v>3677.69</v>
      </c>
      <c r="CP57" s="423">
        <f t="shared" si="175"/>
        <v>1215.9000000000001</v>
      </c>
      <c r="CQ57" s="423">
        <f t="shared" si="176"/>
        <v>-995.14</v>
      </c>
      <c r="CR57" s="553">
        <f t="shared" si="75"/>
        <v>3898.4500000000003</v>
      </c>
      <c r="CV57" s="564">
        <f t="shared" si="98"/>
        <v>57</v>
      </c>
      <c r="CW57" s="538" t="str">
        <f t="shared" si="177"/>
        <v>.</v>
      </c>
      <c r="CX57" s="566">
        <f t="shared" si="178"/>
        <v>62986.49</v>
      </c>
      <c r="CY57" s="538">
        <f t="shared" si="179"/>
        <v>55806.31</v>
      </c>
      <c r="CZ57" s="538" t="str">
        <f t="shared" si="180"/>
        <v>.</v>
      </c>
      <c r="DA57" s="538" t="str">
        <f t="shared" si="181"/>
        <v>.</v>
      </c>
      <c r="DB57" s="567" t="e">
        <f t="shared" si="99"/>
        <v>#N/A</v>
      </c>
      <c r="DC57" s="567">
        <f t="shared" si="100"/>
        <v>62986.49</v>
      </c>
      <c r="DD57" s="567">
        <f t="shared" si="101"/>
        <v>55806.31</v>
      </c>
      <c r="DE57" s="567" t="e">
        <f t="shared" si="101"/>
        <v>#N/A</v>
      </c>
      <c r="DF57" s="568" t="e">
        <f t="shared" si="102"/>
        <v>#N/A</v>
      </c>
      <c r="EL57" s="553">
        <f t="shared" si="81"/>
        <v>22875.19</v>
      </c>
      <c r="EM57" s="553">
        <f t="shared" si="182"/>
        <v>40118.57</v>
      </c>
      <c r="EN57" s="423">
        <f t="shared" si="183"/>
        <v>62993.760000000002</v>
      </c>
      <c r="EO57" s="555">
        <f xml:space="preserve"> 'i2'!AO57</f>
        <v>62986.49</v>
      </c>
      <c r="EV57" s="533" t="e">
        <f xml:space="preserve"> ROUND(    IF( $A$15=BE_MF_,   LEER,   INDEX( Kx!57:57, EV$16 ) ),    EV$17    )</f>
        <v>#VALUE!</v>
      </c>
      <c r="EW57" s="533" t="e">
        <f xml:space="preserve"> ROUND(    IF( $A$15=BE_MF_,   LEER,   INDEX( Kx!57:57, EW$16 ) ),    EW$17    )</f>
        <v>#VALUE!</v>
      </c>
      <c r="EX57" s="533" t="e">
        <f xml:space="preserve"> ROUND(    IF( $A$15=BE_MF_,   LEER,   INDEX( Kx!57:57, EX$16 ) ),    EX$17    )</f>
        <v>#VALUE!</v>
      </c>
      <c r="EY57" s="556" t="e">
        <f t="shared" si="103"/>
        <v>#VALUE!</v>
      </c>
      <c r="FB57" s="533" t="e">
        <f xml:space="preserve"> ROUND(    IF( $A$15=BE_MF_,   LEER,   INDEX( Kx!57:57, FB$16 ) ),    FB$17    )</f>
        <v>#VALUE!</v>
      </c>
      <c r="FC57" s="533" t="e">
        <f xml:space="preserve"> ROUND(    IF( $A$15=BE_MF_,   LEER,   INDEX( Kx!57:57, FC$16 ) ),    FC$17    )</f>
        <v>#VALUE!</v>
      </c>
      <c r="FD57" s="556" t="e">
        <f t="shared" si="104"/>
        <v>#VALUE!</v>
      </c>
      <c r="FG57" s="556" t="e">
        <f t="shared" si="105"/>
        <v>#VALUE!</v>
      </c>
      <c r="FH57" s="556" t="e">
        <f t="shared" si="105"/>
        <v>#VALUE!</v>
      </c>
      <c r="FI57" s="556" t="e">
        <f t="shared" si="105"/>
        <v>#VALUE!</v>
      </c>
      <c r="FN57" s="557">
        <f t="shared" si="184"/>
        <v>57</v>
      </c>
      <c r="FO57" s="493">
        <f t="shared" si="185"/>
        <v>67.316500000000005</v>
      </c>
      <c r="FP57" s="493">
        <f t="shared" si="186"/>
        <v>19.7209</v>
      </c>
      <c r="FR57" s="427">
        <f t="shared" si="106"/>
        <v>1950094.73</v>
      </c>
      <c r="FS57" s="558">
        <f t="shared" si="187"/>
        <v>90682.09</v>
      </c>
      <c r="FT57" s="558">
        <f t="shared" si="187"/>
        <v>89022.57</v>
      </c>
      <c r="FU57" s="558">
        <f t="shared" si="187"/>
        <v>87358.95</v>
      </c>
      <c r="FV57" s="558">
        <f t="shared" si="187"/>
        <v>85695.33</v>
      </c>
      <c r="FW57" s="558">
        <f t="shared" si="187"/>
        <v>83974.34</v>
      </c>
      <c r="FX57" s="558">
        <f t="shared" si="187"/>
        <v>82204.179999999993</v>
      </c>
      <c r="FY57" s="558">
        <f t="shared" si="187"/>
        <v>80450.41</v>
      </c>
      <c r="FZ57" s="558">
        <f t="shared" si="187"/>
        <v>78684.350000000006</v>
      </c>
      <c r="GA57" s="558">
        <f t="shared" si="187"/>
        <v>76856.83</v>
      </c>
      <c r="GB57" s="558">
        <f t="shared" si="187"/>
        <v>74955.55</v>
      </c>
      <c r="GC57" s="558">
        <f t="shared" si="187"/>
        <v>73041.97</v>
      </c>
      <c r="GD57" s="558">
        <f t="shared" si="187"/>
        <v>71099.72</v>
      </c>
      <c r="GE57" s="558">
        <f t="shared" si="187"/>
        <v>69112.39</v>
      </c>
      <c r="GF57" s="558">
        <f t="shared" si="187"/>
        <v>67116.86</v>
      </c>
      <c r="GG57" s="558">
        <f t="shared" si="187"/>
        <v>65059.87</v>
      </c>
      <c r="GH57" s="558">
        <f t="shared" si="187"/>
        <v>62986.49</v>
      </c>
      <c r="GI57" s="558">
        <f t="shared" si="126"/>
        <v>60851.65</v>
      </c>
      <c r="GJ57" s="558">
        <f t="shared" si="126"/>
        <v>58667.63</v>
      </c>
      <c r="GK57" s="558">
        <f t="shared" si="126"/>
        <v>56422.15</v>
      </c>
      <c r="GL57" s="558">
        <f t="shared" si="126"/>
        <v>54111.11</v>
      </c>
      <c r="GM57" s="558">
        <f t="shared" si="126"/>
        <v>51730.41</v>
      </c>
      <c r="GN57" s="558">
        <f t="shared" si="126"/>
        <v>49259.57</v>
      </c>
      <c r="GO57" s="558">
        <f t="shared" si="126"/>
        <v>46698.57</v>
      </c>
      <c r="GP57" s="558">
        <f t="shared" si="126"/>
        <v>44043.34</v>
      </c>
      <c r="GQ57" s="558">
        <f t="shared" si="126"/>
        <v>41281.56</v>
      </c>
      <c r="GR57" s="558">
        <f t="shared" si="126"/>
        <v>38433.74</v>
      </c>
      <c r="GS57" s="558">
        <f t="shared" si="126"/>
        <v>35487.57</v>
      </c>
      <c r="GT57" s="558">
        <f t="shared" si="126"/>
        <v>32451.26</v>
      </c>
      <c r="GU57" s="558">
        <f t="shared" si="126"/>
        <v>29332.99</v>
      </c>
      <c r="GV57" s="558">
        <f t="shared" si="126"/>
        <v>26136.87</v>
      </c>
      <c r="GW57" s="558">
        <f t="shared" si="126"/>
        <v>22875.19</v>
      </c>
      <c r="GX57" s="558">
        <f t="shared" si="188"/>
        <v>19535.66</v>
      </c>
      <c r="GY57" s="558">
        <f t="shared" si="188"/>
        <v>16151.05</v>
      </c>
      <c r="GZ57" s="558">
        <f t="shared" si="188"/>
        <v>12704.98</v>
      </c>
      <c r="HA57" s="558">
        <f t="shared" si="188"/>
        <v>9222.0300000000007</v>
      </c>
      <c r="HB57" s="558">
        <f t="shared" si="188"/>
        <v>5702.2</v>
      </c>
      <c r="HC57" s="558">
        <f t="shared" si="188"/>
        <v>2141.39</v>
      </c>
      <c r="HD57" s="558">
        <f t="shared" si="188"/>
        <v>-1448.09</v>
      </c>
      <c r="HE57" s="558" t="str">
        <f t="shared" si="188"/>
        <v>.</v>
      </c>
      <c r="HF57" s="558" t="str">
        <f t="shared" si="188"/>
        <v>.</v>
      </c>
      <c r="HG57" s="558" t="str">
        <f t="shared" si="188"/>
        <v>.</v>
      </c>
      <c r="HH57" s="558" t="str">
        <f t="shared" si="188"/>
        <v>.</v>
      </c>
      <c r="HI57" s="558" t="str">
        <f t="shared" si="188"/>
        <v>.</v>
      </c>
      <c r="HJ57" s="558" t="str">
        <f t="shared" si="188"/>
        <v>.</v>
      </c>
      <c r="HK57" s="558" t="str">
        <f t="shared" si="188"/>
        <v>.</v>
      </c>
      <c r="HL57" s="558" t="str">
        <f t="shared" si="188"/>
        <v>.</v>
      </c>
      <c r="HM57" s="558" t="str">
        <f t="shared" si="188"/>
        <v>.</v>
      </c>
      <c r="HN57" s="558" t="str">
        <f t="shared" si="127"/>
        <v>.</v>
      </c>
      <c r="HO57" s="558" t="str">
        <f t="shared" si="127"/>
        <v>.</v>
      </c>
      <c r="HP57" s="558" t="str">
        <f t="shared" si="127"/>
        <v>.</v>
      </c>
      <c r="HQ57" s="558" t="str">
        <f t="shared" si="127"/>
        <v>.</v>
      </c>
      <c r="HR57" s="558" t="str">
        <f t="shared" si="127"/>
        <v>.</v>
      </c>
      <c r="HS57" s="558" t="str">
        <f t="shared" si="127"/>
        <v>.</v>
      </c>
      <c r="HT57" s="558" t="str">
        <f t="shared" si="127"/>
        <v>.</v>
      </c>
      <c r="HU57" s="558" t="str">
        <f t="shared" si="127"/>
        <v>.</v>
      </c>
      <c r="HV57" s="558" t="str">
        <f t="shared" si="127"/>
        <v>.</v>
      </c>
      <c r="HW57" s="558" t="str">
        <f t="shared" si="127"/>
        <v>.</v>
      </c>
      <c r="HX57" s="558" t="str">
        <f t="shared" si="127"/>
        <v>.</v>
      </c>
      <c r="HY57" s="558" t="str">
        <f t="shared" si="127"/>
        <v>.</v>
      </c>
      <c r="HZ57" s="558" t="str">
        <f t="shared" si="127"/>
        <v>.</v>
      </c>
      <c r="IA57" s="558" t="str">
        <f t="shared" si="127"/>
        <v>.</v>
      </c>
      <c r="IB57" s="558" t="str">
        <f t="shared" si="127"/>
        <v>.</v>
      </c>
      <c r="IC57" s="558" t="str">
        <f t="shared" si="127"/>
        <v>.</v>
      </c>
      <c r="ID57" s="558" t="str">
        <f t="shared" si="127"/>
        <v>.</v>
      </c>
      <c r="IE57" s="558" t="str">
        <f t="shared" si="128"/>
        <v>.</v>
      </c>
      <c r="IF57" s="558" t="str">
        <f t="shared" si="128"/>
        <v>.</v>
      </c>
      <c r="IG57" s="558" t="str">
        <f t="shared" si="128"/>
        <v>.</v>
      </c>
      <c r="IH57" s="558" t="str">
        <f t="shared" si="128"/>
        <v>.</v>
      </c>
      <c r="II57" s="558" t="str">
        <f t="shared" si="128"/>
        <v>.</v>
      </c>
      <c r="IJ57" s="558" t="str">
        <f t="shared" si="128"/>
        <v>.</v>
      </c>
      <c r="IK57" s="558" t="str">
        <f t="shared" si="128"/>
        <v>.</v>
      </c>
      <c r="IL57" s="558" t="str">
        <f t="shared" si="128"/>
        <v>.</v>
      </c>
      <c r="IM57" s="558" t="str">
        <f t="shared" si="128"/>
        <v>.</v>
      </c>
      <c r="IN57" s="558" t="str">
        <f t="shared" si="128"/>
        <v>.</v>
      </c>
      <c r="IO57" s="558" t="str">
        <f t="shared" si="128"/>
        <v>.</v>
      </c>
      <c r="IP57" s="558" t="str">
        <f t="shared" si="128"/>
        <v>.</v>
      </c>
      <c r="IQ57" s="558" t="str">
        <f t="shared" si="128"/>
        <v>.</v>
      </c>
      <c r="IR57" s="558" t="str">
        <f t="shared" si="122"/>
        <v>.</v>
      </c>
      <c r="IS57" s="558" t="str">
        <f t="shared" si="122"/>
        <v>.</v>
      </c>
      <c r="IT57" s="558" t="str">
        <f t="shared" si="122"/>
        <v>.</v>
      </c>
      <c r="IU57" s="558" t="str">
        <f t="shared" si="122"/>
        <v>.</v>
      </c>
      <c r="IV57" s="558" t="str">
        <f t="shared" si="122"/>
        <v>.</v>
      </c>
      <c r="IW57" s="558" t="str">
        <f t="shared" si="122"/>
        <v>.</v>
      </c>
      <c r="IX57" s="558" t="str">
        <f t="shared" si="122"/>
        <v>.</v>
      </c>
      <c r="IY57" s="558" t="str">
        <f t="shared" si="122"/>
        <v>.</v>
      </c>
      <c r="IZ57" s="558" t="str">
        <f t="shared" si="122"/>
        <v>.</v>
      </c>
      <c r="JA57" s="558" t="str">
        <f t="shared" si="122"/>
        <v>.</v>
      </c>
      <c r="JB57" s="558" t="str">
        <f t="shared" si="122"/>
        <v>.</v>
      </c>
      <c r="JC57" s="558" t="str">
        <f t="shared" si="122"/>
        <v>.</v>
      </c>
      <c r="JD57" s="558" t="str">
        <f t="shared" si="122"/>
        <v>.</v>
      </c>
      <c r="JE57" s="558" t="str">
        <f t="shared" si="122"/>
        <v>.</v>
      </c>
      <c r="JF57" s="558" t="str">
        <f t="shared" si="122"/>
        <v>.</v>
      </c>
      <c r="JG57" s="558" t="str">
        <f t="shared" si="122"/>
        <v>.</v>
      </c>
      <c r="JH57" s="558" t="str">
        <f t="shared" si="122"/>
        <v>.</v>
      </c>
      <c r="JI57" s="558" t="str">
        <f t="shared" si="123"/>
        <v>.</v>
      </c>
      <c r="JJ57" s="558" t="str">
        <f t="shared" si="123"/>
        <v>.</v>
      </c>
      <c r="JK57" s="558" t="str">
        <f t="shared" si="189"/>
        <v>.</v>
      </c>
      <c r="JL57" s="558" t="str">
        <f t="shared" si="189"/>
        <v>.</v>
      </c>
      <c r="JM57" s="558" t="str">
        <f t="shared" si="189"/>
        <v>.</v>
      </c>
      <c r="JN57" s="558" t="str">
        <f t="shared" si="189"/>
        <v>.</v>
      </c>
      <c r="JO57" s="558" t="str">
        <f t="shared" si="189"/>
        <v>.</v>
      </c>
    </row>
    <row r="58" spans="1:275" x14ac:dyDescent="0.2">
      <c r="A58" s="534">
        <f xml:space="preserve"> Basis!A58</f>
        <v>58</v>
      </c>
      <c r="F58" s="536">
        <f xml:space="preserve"> ROUND(    IF( $A$15=BE_MF_,   AW58,   INDEX( qx!58:58, F$16 ) ),    F$17    )</f>
        <v>3.0999999999999999E-3</v>
      </c>
      <c r="G58" s="536">
        <f xml:space="preserve"> ROUND(    IF( $A$15=BE_MF_,   BB58,   INDEX( wx!58:58, G$16 ) ),    G$17    )</f>
        <v>9.7999999999999997E-3</v>
      </c>
      <c r="H58" s="537">
        <f xml:space="preserve"> ROUND(    IF( $A$15=BE_MF_,   BG58,   INDEX( Kx!58:58, H$16 ) ),    H$17    )</f>
        <v>3853.38</v>
      </c>
      <c r="I58" s="538">
        <f t="shared" si="93"/>
        <v>3853.38</v>
      </c>
      <c r="J58" s="539">
        <f t="shared" si="129"/>
        <v>1.855</v>
      </c>
      <c r="K58" s="540">
        <f t="shared" si="190"/>
        <v>2</v>
      </c>
      <c r="L58" s="541">
        <f t="shared" si="116"/>
        <v>0</v>
      </c>
      <c r="M58" s="541">
        <f t="shared" si="116"/>
        <v>8.5999999999999993E-2</v>
      </c>
      <c r="O58" s="542" t="b">
        <f t="shared" si="95"/>
        <v>1</v>
      </c>
      <c r="P58" s="493">
        <f t="shared" si="130"/>
        <v>1.29E-2</v>
      </c>
      <c r="Q58" s="493">
        <f t="shared" si="131"/>
        <v>0.98709999999999998</v>
      </c>
      <c r="R58" s="543">
        <f t="shared" si="132"/>
        <v>551367</v>
      </c>
      <c r="S58" s="544">
        <f t="shared" si="133"/>
        <v>0.97560975599999999</v>
      </c>
      <c r="T58" s="423">
        <f t="shared" si="134"/>
        <v>131660.82999999999</v>
      </c>
      <c r="U58" s="423">
        <f xml:space="preserve"> IF( $O58,    ROUND(  SUM( T58:T$120), U$17 ),  LEER  )</f>
        <v>2566209.4900000002</v>
      </c>
      <c r="V58" s="493">
        <f t="shared" si="135"/>
        <v>19.491099999999999</v>
      </c>
      <c r="W58" s="493">
        <f t="shared" si="136"/>
        <v>244230.84</v>
      </c>
      <c r="X58" s="493">
        <f xml:space="preserve"> IF( $O58,    ROUND(  SUM( W58:W$120), X$17 ),  LEER  )</f>
        <v>8984926.6400000006</v>
      </c>
      <c r="Y58" s="493">
        <f t="shared" si="137"/>
        <v>68.242999999999995</v>
      </c>
      <c r="Z58" s="493">
        <f t="shared" si="138"/>
        <v>3.5011999999999999</v>
      </c>
      <c r="AA58" s="493">
        <f t="shared" si="139"/>
        <v>1.0094000000000001</v>
      </c>
      <c r="AB58" s="493">
        <f t="shared" si="140"/>
        <v>2.3494000000000002</v>
      </c>
      <c r="AC58" s="545">
        <f t="shared" si="141"/>
        <v>0.38600000000000001</v>
      </c>
      <c r="AD58" s="493">
        <f t="shared" si="142"/>
        <v>3.5377000000000001</v>
      </c>
      <c r="AE58" s="493">
        <f t="shared" si="143"/>
        <v>4.2929000000000004</v>
      </c>
      <c r="AF58" s="493">
        <f t="shared" si="144"/>
        <v>4.2929000000000004</v>
      </c>
      <c r="AG58" s="493" t="str">
        <f t="shared" si="145"/>
        <v>.</v>
      </c>
      <c r="AH58" s="493" t="str">
        <f t="shared" si="146"/>
        <v>.</v>
      </c>
      <c r="AI58" s="423">
        <f t="shared" si="147"/>
        <v>2077.79</v>
      </c>
      <c r="AJ58" s="423">
        <f t="shared" si="148"/>
        <v>8919.74</v>
      </c>
      <c r="AK58" s="423">
        <f t="shared" si="149"/>
        <v>743.31</v>
      </c>
      <c r="AN58" s="423">
        <f t="shared" si="117"/>
        <v>66706.52</v>
      </c>
      <c r="AO58" s="423">
        <f t="shared" si="117"/>
        <v>65807.45</v>
      </c>
      <c r="AR58" s="546">
        <f xml:space="preserve"> ROUND(  INDEX( Kx!58:58, AR$16 ),  AR$17 )</f>
        <v>0.74909999999999999</v>
      </c>
      <c r="AS58" s="547">
        <f xml:space="preserve"> ROUND(  INDEX( qx!58:58, AS$16 ),  AS$17 )</f>
        <v>3.5999999999999999E-3</v>
      </c>
      <c r="AT58" s="547">
        <f xml:space="preserve"> ROUND(  INDEX( qx!58:58, AT$16 ),  AT$17 )</f>
        <v>2.2000000000000001E-3</v>
      </c>
      <c r="AU58" s="548" t="str">
        <f t="shared" si="150"/>
        <v>F</v>
      </c>
      <c r="AV58" s="542">
        <f t="shared" si="151"/>
        <v>0.66559999999999997</v>
      </c>
      <c r="AW58" s="542">
        <f t="shared" si="152"/>
        <v>3.0999999999999999E-3</v>
      </c>
      <c r="AX58" s="546">
        <f xml:space="preserve"> ROUND(  INDEX( wx!58:58, AX$16 ),  AX$17 )</f>
        <v>1.11E-2</v>
      </c>
      <c r="AY58" s="546">
        <f xml:space="preserve"> ROUND(  INDEX( wx!58:58, AY$16 ),  AY$17 )</f>
        <v>7.3000000000000001E-3</v>
      </c>
      <c r="AZ58" s="548" t="str">
        <f t="shared" si="153"/>
        <v>F</v>
      </c>
      <c r="BA58" s="542">
        <f t="shared" si="154"/>
        <v>0.66559999999999997</v>
      </c>
      <c r="BB58" s="542">
        <f t="shared" si="155"/>
        <v>9.7999999999999997E-3</v>
      </c>
      <c r="BC58" s="533">
        <f xml:space="preserve"> ROUND(  INDEX( Kx!58:58, BC$16 ),  BC$17 )</f>
        <v>3785.66</v>
      </c>
      <c r="BD58" s="533">
        <f xml:space="preserve"> ROUND(  INDEX( Kx!58:58, BD$16 ),  BD$17 )</f>
        <v>3988.18</v>
      </c>
      <c r="BE58" s="548" t="str">
        <f t="shared" si="52"/>
        <v>F</v>
      </c>
      <c r="BF58" s="542">
        <f t="shared" si="156"/>
        <v>0.66559999999999997</v>
      </c>
      <c r="BG58" s="420">
        <f t="shared" si="157"/>
        <v>3853.38</v>
      </c>
      <c r="BQ58" s="549">
        <f t="shared" si="96"/>
        <v>58</v>
      </c>
      <c r="BR58" s="423">
        <f t="shared" si="55"/>
        <v>63896.160000000003</v>
      </c>
      <c r="BS58" s="550">
        <f t="shared" si="158"/>
        <v>3853.38</v>
      </c>
      <c r="BT58" s="423">
        <f t="shared" si="159"/>
        <v>174.46</v>
      </c>
      <c r="BU58" s="551">
        <f t="shared" si="160"/>
        <v>131660.82999999999</v>
      </c>
      <c r="BV58" s="551">
        <f t="shared" si="161"/>
        <v>1.0410999999999999</v>
      </c>
      <c r="BW58" s="529">
        <f t="shared" si="162"/>
        <v>66706.52</v>
      </c>
      <c r="BX58" s="552">
        <f t="shared" si="163"/>
        <v>2635.9000000000015</v>
      </c>
      <c r="BY58" s="560"/>
      <c r="BZ58" s="559"/>
      <c r="CB58" s="423">
        <f t="shared" si="164"/>
        <v>-1.92</v>
      </c>
      <c r="CC58" s="423">
        <f t="shared" si="165"/>
        <v>1667.66</v>
      </c>
      <c r="CD58" s="423">
        <f t="shared" si="166"/>
        <v>893.53</v>
      </c>
      <c r="CE58" s="423">
        <f t="shared" si="167"/>
        <v>2559.27</v>
      </c>
      <c r="CF58" s="553">
        <f t="shared" si="168"/>
        <v>2559.5699999999924</v>
      </c>
      <c r="CH58" s="423">
        <f t="shared" si="169"/>
        <v>3852.4304390000002</v>
      </c>
      <c r="CI58" s="423">
        <f t="shared" si="170"/>
        <v>3854.3</v>
      </c>
      <c r="CJ58" s="423">
        <f t="shared" si="171"/>
        <v>870.15</v>
      </c>
      <c r="CK58" s="423">
        <f t="shared" si="172"/>
        <v>-871.74</v>
      </c>
      <c r="CL58" s="553">
        <f t="shared" si="173"/>
        <v>3852.71</v>
      </c>
      <c r="CN58" s="423">
        <f t="shared" si="71"/>
        <v>3898.5573770000001</v>
      </c>
      <c r="CO58" s="423">
        <f t="shared" si="174"/>
        <v>3854.3</v>
      </c>
      <c r="CP58" s="423">
        <f t="shared" si="175"/>
        <v>905.15</v>
      </c>
      <c r="CQ58" s="423">
        <f t="shared" si="176"/>
        <v>-860.59</v>
      </c>
      <c r="CR58" s="553">
        <f t="shared" si="75"/>
        <v>3898.8599999999997</v>
      </c>
      <c r="CV58" s="564">
        <f t="shared" si="98"/>
        <v>58</v>
      </c>
      <c r="CW58" s="538" t="str">
        <f t="shared" si="177"/>
        <v>.</v>
      </c>
      <c r="CX58" s="566">
        <f t="shared" si="178"/>
        <v>65807.45</v>
      </c>
      <c r="CY58" s="538">
        <f t="shared" si="179"/>
        <v>58102.07</v>
      </c>
      <c r="CZ58" s="538" t="str">
        <f t="shared" si="180"/>
        <v>.</v>
      </c>
      <c r="DA58" s="538" t="str">
        <f t="shared" si="181"/>
        <v>.</v>
      </c>
      <c r="DB58" s="567" t="e">
        <f t="shared" si="99"/>
        <v>#N/A</v>
      </c>
      <c r="DC58" s="567">
        <f t="shared" si="100"/>
        <v>65807.45</v>
      </c>
      <c r="DD58" s="567">
        <f t="shared" si="101"/>
        <v>58102.07</v>
      </c>
      <c r="DE58" s="567" t="e">
        <f t="shared" si="101"/>
        <v>#N/A</v>
      </c>
      <c r="DF58" s="568" t="e">
        <f t="shared" si="102"/>
        <v>#N/A</v>
      </c>
      <c r="EL58" s="553">
        <f t="shared" si="81"/>
        <v>26163.56</v>
      </c>
      <c r="EM58" s="553">
        <f t="shared" si="182"/>
        <v>39651.08</v>
      </c>
      <c r="EN58" s="423">
        <f t="shared" si="183"/>
        <v>65814.64</v>
      </c>
      <c r="EO58" s="555">
        <f xml:space="preserve"> 'i2'!AO58</f>
        <v>65807.45</v>
      </c>
      <c r="EV58" s="533" t="e">
        <f xml:space="preserve"> ROUND(    IF( $A$15=BE_MF_,   LEER,   INDEX( Kx!58:58, EV$16 ) ),    EV$17    )</f>
        <v>#VALUE!</v>
      </c>
      <c r="EW58" s="533" t="e">
        <f xml:space="preserve"> ROUND(    IF( $A$15=BE_MF_,   LEER,   INDEX( Kx!58:58, EW$16 ) ),    EW$17    )</f>
        <v>#VALUE!</v>
      </c>
      <c r="EX58" s="533" t="e">
        <f xml:space="preserve"> ROUND(    IF( $A$15=BE_MF_,   LEER,   INDEX( Kx!58:58, EX$16 ) ),    EX$17    )</f>
        <v>#VALUE!</v>
      </c>
      <c r="EY58" s="556" t="e">
        <f t="shared" si="103"/>
        <v>#VALUE!</v>
      </c>
      <c r="FB58" s="533" t="e">
        <f xml:space="preserve"> ROUND(    IF( $A$15=BE_MF_,   LEER,   INDEX( Kx!58:58, FB$16 ) ),    FB$17    )</f>
        <v>#VALUE!</v>
      </c>
      <c r="FC58" s="533" t="e">
        <f xml:space="preserve"> ROUND(    IF( $A$15=BE_MF_,   LEER,   INDEX( Kx!58:58, FC$16 ) ),    FC$17    )</f>
        <v>#VALUE!</v>
      </c>
      <c r="FD58" s="556" t="e">
        <f t="shared" si="104"/>
        <v>#VALUE!</v>
      </c>
      <c r="FG58" s="556" t="e">
        <f t="shared" si="105"/>
        <v>#VALUE!</v>
      </c>
      <c r="FH58" s="556" t="e">
        <f t="shared" si="105"/>
        <v>#VALUE!</v>
      </c>
      <c r="FI58" s="556" t="e">
        <f t="shared" si="105"/>
        <v>#VALUE!</v>
      </c>
      <c r="FN58" s="557">
        <f t="shared" si="184"/>
        <v>58</v>
      </c>
      <c r="FO58" s="493">
        <f t="shared" si="185"/>
        <v>68.242999999999995</v>
      </c>
      <c r="FP58" s="493">
        <f t="shared" si="186"/>
        <v>19.491099999999999</v>
      </c>
      <c r="FR58" s="427">
        <f t="shared" si="106"/>
        <v>2060981.31</v>
      </c>
      <c r="FS58" s="558">
        <f t="shared" si="187"/>
        <v>93180.33</v>
      </c>
      <c r="FT58" s="558">
        <f t="shared" si="187"/>
        <v>91540.14</v>
      </c>
      <c r="FU58" s="558">
        <f t="shared" si="187"/>
        <v>89895.91</v>
      </c>
      <c r="FV58" s="558">
        <f t="shared" si="187"/>
        <v>88251.67</v>
      </c>
      <c r="FW58" s="558">
        <f t="shared" si="187"/>
        <v>86550.74</v>
      </c>
      <c r="FX58" s="558">
        <f t="shared" si="187"/>
        <v>84801.21</v>
      </c>
      <c r="FY58" s="558">
        <f t="shared" si="187"/>
        <v>83067.87</v>
      </c>
      <c r="FZ58" s="558">
        <f t="shared" si="187"/>
        <v>81322.39</v>
      </c>
      <c r="GA58" s="558">
        <f t="shared" si="187"/>
        <v>79516.160000000003</v>
      </c>
      <c r="GB58" s="558">
        <f t="shared" si="187"/>
        <v>77637.039999999994</v>
      </c>
      <c r="GC58" s="558">
        <f t="shared" si="187"/>
        <v>75745.759999999995</v>
      </c>
      <c r="GD58" s="558">
        <f t="shared" si="187"/>
        <v>73826.14</v>
      </c>
      <c r="GE58" s="558">
        <f t="shared" si="187"/>
        <v>71861.960000000006</v>
      </c>
      <c r="GF58" s="558">
        <f t="shared" si="187"/>
        <v>69889.69</v>
      </c>
      <c r="GG58" s="558">
        <f t="shared" si="187"/>
        <v>67856.67</v>
      </c>
      <c r="GH58" s="558">
        <f t="shared" si="187"/>
        <v>65807.45</v>
      </c>
      <c r="GI58" s="558">
        <f t="shared" si="126"/>
        <v>63697.48</v>
      </c>
      <c r="GJ58" s="558">
        <f t="shared" si="126"/>
        <v>61538.92</v>
      </c>
      <c r="GK58" s="558">
        <f t="shared" si="126"/>
        <v>59319.61</v>
      </c>
      <c r="GL58" s="558">
        <f t="shared" si="126"/>
        <v>57035.5</v>
      </c>
      <c r="GM58" s="558">
        <f t="shared" si="126"/>
        <v>54682.54</v>
      </c>
      <c r="GN58" s="558">
        <f t="shared" si="126"/>
        <v>52240.480000000003</v>
      </c>
      <c r="GO58" s="558">
        <f t="shared" si="126"/>
        <v>49709.33</v>
      </c>
      <c r="GP58" s="558">
        <f t="shared" si="126"/>
        <v>47085.04</v>
      </c>
      <c r="GQ58" s="558">
        <f t="shared" si="126"/>
        <v>44355.44</v>
      </c>
      <c r="GR58" s="558">
        <f t="shared" si="126"/>
        <v>41540.800000000003</v>
      </c>
      <c r="GS58" s="558">
        <f t="shared" si="126"/>
        <v>38628.97</v>
      </c>
      <c r="GT58" s="558">
        <f t="shared" si="126"/>
        <v>35628.03</v>
      </c>
      <c r="GU58" s="558">
        <f t="shared" si="126"/>
        <v>32546.1</v>
      </c>
      <c r="GV58" s="558">
        <f t="shared" si="126"/>
        <v>29387.23</v>
      </c>
      <c r="GW58" s="558">
        <f t="shared" si="126"/>
        <v>26163.56</v>
      </c>
      <c r="GX58" s="558">
        <f t="shared" si="188"/>
        <v>22862.93</v>
      </c>
      <c r="GY58" s="558">
        <f t="shared" si="188"/>
        <v>19517.77</v>
      </c>
      <c r="GZ58" s="558">
        <f t="shared" si="188"/>
        <v>16111.85</v>
      </c>
      <c r="HA58" s="558">
        <f t="shared" si="188"/>
        <v>12669.48</v>
      </c>
      <c r="HB58" s="558">
        <f t="shared" si="188"/>
        <v>9190.67</v>
      </c>
      <c r="HC58" s="558">
        <f t="shared" si="188"/>
        <v>5671.36</v>
      </c>
      <c r="HD58" s="558">
        <f t="shared" si="188"/>
        <v>2123.6999999999998</v>
      </c>
      <c r="HE58" s="558">
        <f t="shared" si="188"/>
        <v>-1476.61</v>
      </c>
      <c r="HF58" s="558" t="str">
        <f t="shared" si="188"/>
        <v>.</v>
      </c>
      <c r="HG58" s="558" t="str">
        <f t="shared" si="188"/>
        <v>.</v>
      </c>
      <c r="HH58" s="558" t="str">
        <f t="shared" si="188"/>
        <v>.</v>
      </c>
      <c r="HI58" s="558" t="str">
        <f t="shared" si="188"/>
        <v>.</v>
      </c>
      <c r="HJ58" s="558" t="str">
        <f t="shared" si="188"/>
        <v>.</v>
      </c>
      <c r="HK58" s="558" t="str">
        <f t="shared" si="188"/>
        <v>.</v>
      </c>
      <c r="HL58" s="558" t="str">
        <f t="shared" si="188"/>
        <v>.</v>
      </c>
      <c r="HM58" s="558" t="str">
        <f t="shared" si="188"/>
        <v>.</v>
      </c>
      <c r="HN58" s="558" t="str">
        <f t="shared" si="127"/>
        <v>.</v>
      </c>
      <c r="HO58" s="558" t="str">
        <f t="shared" si="127"/>
        <v>.</v>
      </c>
      <c r="HP58" s="558" t="str">
        <f t="shared" si="127"/>
        <v>.</v>
      </c>
      <c r="HQ58" s="558" t="str">
        <f t="shared" si="127"/>
        <v>.</v>
      </c>
      <c r="HR58" s="558" t="str">
        <f t="shared" si="127"/>
        <v>.</v>
      </c>
      <c r="HS58" s="558" t="str">
        <f t="shared" si="127"/>
        <v>.</v>
      </c>
      <c r="HT58" s="558" t="str">
        <f t="shared" si="127"/>
        <v>.</v>
      </c>
      <c r="HU58" s="558" t="str">
        <f t="shared" si="127"/>
        <v>.</v>
      </c>
      <c r="HV58" s="558" t="str">
        <f t="shared" si="127"/>
        <v>.</v>
      </c>
      <c r="HW58" s="558" t="str">
        <f t="shared" si="127"/>
        <v>.</v>
      </c>
      <c r="HX58" s="558" t="str">
        <f t="shared" si="127"/>
        <v>.</v>
      </c>
      <c r="HY58" s="558" t="str">
        <f t="shared" si="127"/>
        <v>.</v>
      </c>
      <c r="HZ58" s="558" t="str">
        <f t="shared" si="127"/>
        <v>.</v>
      </c>
      <c r="IA58" s="558" t="str">
        <f t="shared" si="127"/>
        <v>.</v>
      </c>
      <c r="IB58" s="558" t="str">
        <f t="shared" si="127"/>
        <v>.</v>
      </c>
      <c r="IC58" s="558" t="str">
        <f t="shared" si="127"/>
        <v>.</v>
      </c>
      <c r="ID58" s="558" t="str">
        <f t="shared" si="127"/>
        <v>.</v>
      </c>
      <c r="IE58" s="558" t="str">
        <f t="shared" si="128"/>
        <v>.</v>
      </c>
      <c r="IF58" s="558" t="str">
        <f t="shared" si="128"/>
        <v>.</v>
      </c>
      <c r="IG58" s="558" t="str">
        <f t="shared" si="128"/>
        <v>.</v>
      </c>
      <c r="IH58" s="558" t="str">
        <f t="shared" si="128"/>
        <v>.</v>
      </c>
      <c r="II58" s="558" t="str">
        <f t="shared" si="128"/>
        <v>.</v>
      </c>
      <c r="IJ58" s="558" t="str">
        <f t="shared" si="128"/>
        <v>.</v>
      </c>
      <c r="IK58" s="558" t="str">
        <f t="shared" si="128"/>
        <v>.</v>
      </c>
      <c r="IL58" s="558" t="str">
        <f t="shared" si="128"/>
        <v>.</v>
      </c>
      <c r="IM58" s="558" t="str">
        <f t="shared" si="128"/>
        <v>.</v>
      </c>
      <c r="IN58" s="558" t="str">
        <f t="shared" si="128"/>
        <v>.</v>
      </c>
      <c r="IO58" s="558" t="str">
        <f t="shared" si="128"/>
        <v>.</v>
      </c>
      <c r="IP58" s="558" t="str">
        <f t="shared" si="128"/>
        <v>.</v>
      </c>
      <c r="IQ58" s="558" t="str">
        <f t="shared" si="128"/>
        <v>.</v>
      </c>
      <c r="IR58" s="558" t="str">
        <f t="shared" si="122"/>
        <v>.</v>
      </c>
      <c r="IS58" s="558" t="str">
        <f t="shared" si="122"/>
        <v>.</v>
      </c>
      <c r="IT58" s="558" t="str">
        <f t="shared" si="122"/>
        <v>.</v>
      </c>
      <c r="IU58" s="558" t="str">
        <f t="shared" si="122"/>
        <v>.</v>
      </c>
      <c r="IV58" s="558" t="str">
        <f t="shared" si="122"/>
        <v>.</v>
      </c>
      <c r="IW58" s="558" t="str">
        <f t="shared" si="122"/>
        <v>.</v>
      </c>
      <c r="IX58" s="558" t="str">
        <f t="shared" si="122"/>
        <v>.</v>
      </c>
      <c r="IY58" s="558" t="str">
        <f t="shared" si="122"/>
        <v>.</v>
      </c>
      <c r="IZ58" s="558" t="str">
        <f t="shared" si="122"/>
        <v>.</v>
      </c>
      <c r="JA58" s="558" t="str">
        <f t="shared" si="122"/>
        <v>.</v>
      </c>
      <c r="JB58" s="558" t="str">
        <f t="shared" si="122"/>
        <v>.</v>
      </c>
      <c r="JC58" s="558" t="str">
        <f t="shared" si="122"/>
        <v>.</v>
      </c>
      <c r="JD58" s="558" t="str">
        <f t="shared" si="122"/>
        <v>.</v>
      </c>
      <c r="JE58" s="558" t="str">
        <f t="shared" si="122"/>
        <v>.</v>
      </c>
      <c r="JF58" s="558" t="str">
        <f t="shared" si="122"/>
        <v>.</v>
      </c>
      <c r="JG58" s="558" t="str">
        <f t="shared" si="122"/>
        <v>.</v>
      </c>
      <c r="JH58" s="558" t="str">
        <f t="shared" si="122"/>
        <v>.</v>
      </c>
      <c r="JI58" s="558" t="str">
        <f t="shared" si="123"/>
        <v>.</v>
      </c>
      <c r="JJ58" s="558" t="str">
        <f t="shared" si="123"/>
        <v>.</v>
      </c>
      <c r="JK58" s="558" t="str">
        <f t="shared" si="189"/>
        <v>.</v>
      </c>
      <c r="JL58" s="558" t="str">
        <f t="shared" si="189"/>
        <v>.</v>
      </c>
      <c r="JM58" s="558" t="str">
        <f t="shared" si="189"/>
        <v>.</v>
      </c>
      <c r="JN58" s="558" t="str">
        <f t="shared" si="189"/>
        <v>.</v>
      </c>
      <c r="JO58" s="558" t="str">
        <f t="shared" si="189"/>
        <v>.</v>
      </c>
    </row>
    <row r="59" spans="1:275" x14ac:dyDescent="0.2">
      <c r="A59" s="534">
        <f xml:space="preserve"> Basis!A59</f>
        <v>59</v>
      </c>
      <c r="F59" s="536">
        <f xml:space="preserve"> ROUND(    IF( $A$15=BE_MF_,   AW59,   INDEX( qx!59:59, F$16 ) ),    F$17    )</f>
        <v>3.3999999999999998E-3</v>
      </c>
      <c r="G59" s="536">
        <f xml:space="preserve"> ROUND(    IF( $A$15=BE_MF_,   BB59,   INDEX( wx!59:59, G$16 ) ),    G$17    )</f>
        <v>8.3999999999999995E-3</v>
      </c>
      <c r="H59" s="537">
        <f xml:space="preserve"> ROUND(    IF( $A$15=BE_MF_,   BG59,   INDEX( Kx!59:59, H$16 ) ),    H$17    )</f>
        <v>4042.14</v>
      </c>
      <c r="I59" s="538">
        <f t="shared" si="93"/>
        <v>4042.14</v>
      </c>
      <c r="J59" s="539">
        <f t="shared" si="129"/>
        <v>1.9450000000000001</v>
      </c>
      <c r="K59" s="540">
        <f t="shared" si="190"/>
        <v>2</v>
      </c>
      <c r="L59" s="541">
        <f t="shared" si="116"/>
        <v>0</v>
      </c>
      <c r="M59" s="541">
        <f t="shared" si="116"/>
        <v>8.5999999999999993E-2</v>
      </c>
      <c r="O59" s="542" t="b">
        <f t="shared" si="95"/>
        <v>1</v>
      </c>
      <c r="P59" s="493">
        <f t="shared" si="130"/>
        <v>1.18E-2</v>
      </c>
      <c r="Q59" s="493">
        <f t="shared" si="131"/>
        <v>0.98819999999999997</v>
      </c>
      <c r="R59" s="543">
        <f t="shared" si="132"/>
        <v>544254</v>
      </c>
      <c r="S59" s="544">
        <f t="shared" si="133"/>
        <v>0.97560975599999999</v>
      </c>
      <c r="T59" s="423">
        <f t="shared" si="134"/>
        <v>126792.5</v>
      </c>
      <c r="U59" s="423">
        <f xml:space="preserve"> IF( $O59,    ROUND(  SUM( T59:T$120), U$17 ),  LEER  )</f>
        <v>2434548.66</v>
      </c>
      <c r="V59" s="493">
        <f t="shared" si="135"/>
        <v>19.201000000000001</v>
      </c>
      <c r="W59" s="493">
        <f t="shared" si="136"/>
        <v>246611.41</v>
      </c>
      <c r="X59" s="493">
        <f xml:space="preserve"> IF( $O59,    ROUND(  SUM( W59:W$120), X$17 ),  LEER  )</f>
        <v>8740695.8000000007</v>
      </c>
      <c r="Y59" s="493">
        <f t="shared" si="137"/>
        <v>68.936999999999998</v>
      </c>
      <c r="Z59" s="493">
        <f t="shared" si="138"/>
        <v>3.5903</v>
      </c>
      <c r="AA59" s="493">
        <f t="shared" si="139"/>
        <v>1.0096000000000001</v>
      </c>
      <c r="AB59" s="493">
        <f t="shared" si="140"/>
        <v>2.3494000000000002</v>
      </c>
      <c r="AC59" s="545">
        <f t="shared" si="141"/>
        <v>0.38600000000000001</v>
      </c>
      <c r="AD59" s="493">
        <f t="shared" si="142"/>
        <v>3.6284999999999998</v>
      </c>
      <c r="AE59" s="493">
        <f t="shared" si="143"/>
        <v>4.3921999999999999</v>
      </c>
      <c r="AF59" s="493">
        <f t="shared" si="144"/>
        <v>4.3921999999999999</v>
      </c>
      <c r="AG59" s="493" t="str">
        <f t="shared" si="145"/>
        <v>.</v>
      </c>
      <c r="AH59" s="493" t="str">
        <f t="shared" si="146"/>
        <v>.</v>
      </c>
      <c r="AI59" s="423">
        <f t="shared" si="147"/>
        <v>2077.79</v>
      </c>
      <c r="AJ59" s="423">
        <f t="shared" si="148"/>
        <v>9126.07</v>
      </c>
      <c r="AK59" s="423">
        <f t="shared" si="149"/>
        <v>760.51</v>
      </c>
      <c r="AN59" s="423">
        <f t="shared" si="117"/>
        <v>69266.09</v>
      </c>
      <c r="AO59" s="423">
        <f t="shared" si="117"/>
        <v>68380.41</v>
      </c>
      <c r="AR59" s="546">
        <f xml:space="preserve"> ROUND(  INDEX( Kx!59:59, AR$16 ),  AR$17 )</f>
        <v>0.74019999999999997</v>
      </c>
      <c r="AS59" s="547">
        <f xml:space="preserve"> ROUND(  INDEX( qx!59:59, AS$16 ),  AS$17 )</f>
        <v>3.8999999999999998E-3</v>
      </c>
      <c r="AT59" s="547">
        <f xml:space="preserve"> ROUND(  INDEX( qx!59:59, AT$16 ),  AT$17 )</f>
        <v>2.3999999999999998E-3</v>
      </c>
      <c r="AU59" s="548" t="str">
        <f t="shared" si="150"/>
        <v>F</v>
      </c>
      <c r="AV59" s="542">
        <f t="shared" si="151"/>
        <v>0.65510000000000002</v>
      </c>
      <c r="AW59" s="542">
        <f t="shared" si="152"/>
        <v>3.3999999999999998E-3</v>
      </c>
      <c r="AX59" s="546">
        <f xml:space="preserve"> ROUND(  INDEX( wx!59:59, AX$16 ),  AX$17 )</f>
        <v>9.1000000000000004E-3</v>
      </c>
      <c r="AY59" s="546">
        <f xml:space="preserve"> ROUND(  INDEX( wx!59:59, AY$16 ),  AY$17 )</f>
        <v>7.0000000000000001E-3</v>
      </c>
      <c r="AZ59" s="548" t="str">
        <f t="shared" si="153"/>
        <v>F</v>
      </c>
      <c r="BA59" s="542">
        <f t="shared" si="154"/>
        <v>0.65510000000000002</v>
      </c>
      <c r="BB59" s="542">
        <f t="shared" si="155"/>
        <v>8.3999999999999995E-3</v>
      </c>
      <c r="BC59" s="533">
        <f xml:space="preserve"> ROUND(  INDEX( Kx!59:59, BC$16 ),  BC$17 )</f>
        <v>4007.19</v>
      </c>
      <c r="BD59" s="533">
        <f xml:space="preserve"> ROUND(  INDEX( Kx!59:59, BD$16 ),  BD$17 )</f>
        <v>4108.5200000000004</v>
      </c>
      <c r="BE59" s="548" t="str">
        <f t="shared" si="52"/>
        <v>F</v>
      </c>
      <c r="BF59" s="542">
        <f t="shared" si="156"/>
        <v>0.65510000000000002</v>
      </c>
      <c r="BG59" s="420">
        <f t="shared" si="157"/>
        <v>4042.14</v>
      </c>
      <c r="BQ59" s="549">
        <f t="shared" si="96"/>
        <v>59</v>
      </c>
      <c r="BR59" s="423">
        <f t="shared" si="55"/>
        <v>66706.52</v>
      </c>
      <c r="BS59" s="550">
        <f t="shared" si="158"/>
        <v>4042.14</v>
      </c>
      <c r="BT59" s="423">
        <f t="shared" si="159"/>
        <v>-0.95</v>
      </c>
      <c r="BU59" s="551">
        <f t="shared" si="160"/>
        <v>126792.5</v>
      </c>
      <c r="BV59" s="551">
        <f t="shared" si="161"/>
        <v>1.0384</v>
      </c>
      <c r="BW59" s="529">
        <f t="shared" si="162"/>
        <v>69266.09</v>
      </c>
      <c r="BX59" s="552">
        <f t="shared" si="163"/>
        <v>2560.5199999999895</v>
      </c>
      <c r="BY59" s="560"/>
      <c r="BZ59" s="559"/>
      <c r="CB59" s="423">
        <f t="shared" si="164"/>
        <v>-193.59</v>
      </c>
      <c r="CC59" s="423">
        <f t="shared" si="165"/>
        <v>1731.65</v>
      </c>
      <c r="CD59" s="423">
        <f t="shared" si="166"/>
        <v>845.46</v>
      </c>
      <c r="CE59" s="423">
        <f t="shared" si="167"/>
        <v>2383.5200000000004</v>
      </c>
      <c r="CF59" s="553">
        <f t="shared" si="168"/>
        <v>2383.4499999999971</v>
      </c>
      <c r="CH59" s="423">
        <f t="shared" si="169"/>
        <v>3852.4304390000002</v>
      </c>
      <c r="CI59" s="423">
        <f t="shared" si="170"/>
        <v>4041.3</v>
      </c>
      <c r="CJ59" s="423">
        <f t="shared" si="171"/>
        <v>635.9</v>
      </c>
      <c r="CK59" s="423">
        <f t="shared" si="172"/>
        <v>-824.84</v>
      </c>
      <c r="CL59" s="553">
        <f t="shared" si="173"/>
        <v>3852.3599999999997</v>
      </c>
      <c r="CN59" s="423">
        <f t="shared" si="71"/>
        <v>3898.5573770000001</v>
      </c>
      <c r="CO59" s="423">
        <f t="shared" si="174"/>
        <v>4041.3</v>
      </c>
      <c r="CP59" s="423">
        <f t="shared" si="175"/>
        <v>671.99</v>
      </c>
      <c r="CQ59" s="423">
        <f t="shared" si="176"/>
        <v>-814.82</v>
      </c>
      <c r="CR59" s="553">
        <f t="shared" si="75"/>
        <v>3898.47</v>
      </c>
      <c r="CV59" s="564">
        <f t="shared" si="98"/>
        <v>59</v>
      </c>
      <c r="CW59" s="538" t="str">
        <f t="shared" si="177"/>
        <v>.</v>
      </c>
      <c r="CX59" s="566">
        <f t="shared" si="178"/>
        <v>68380.41</v>
      </c>
      <c r="CY59" s="538">
        <f t="shared" si="179"/>
        <v>60332.959999999999</v>
      </c>
      <c r="CZ59" s="538" t="str">
        <f t="shared" si="180"/>
        <v>.</v>
      </c>
      <c r="DA59" s="538" t="str">
        <f t="shared" si="181"/>
        <v>.</v>
      </c>
      <c r="DB59" s="567" t="e">
        <f t="shared" si="99"/>
        <v>#N/A</v>
      </c>
      <c r="DC59" s="567">
        <f t="shared" si="100"/>
        <v>68380.41</v>
      </c>
      <c r="DD59" s="567">
        <f t="shared" si="101"/>
        <v>60332.959999999999</v>
      </c>
      <c r="DE59" s="567" t="e">
        <f t="shared" si="101"/>
        <v>#N/A</v>
      </c>
      <c r="DF59" s="568" t="e">
        <f t="shared" si="102"/>
        <v>#N/A</v>
      </c>
      <c r="EL59" s="553">
        <f t="shared" si="81"/>
        <v>29326.560000000001</v>
      </c>
      <c r="EM59" s="553">
        <f t="shared" si="182"/>
        <v>39060.92</v>
      </c>
      <c r="EN59" s="423">
        <f t="shared" si="183"/>
        <v>68387.48</v>
      </c>
      <c r="EO59" s="555">
        <f xml:space="preserve"> 'i2'!AO59</f>
        <v>68380.41</v>
      </c>
      <c r="EV59" s="533" t="e">
        <f xml:space="preserve"> ROUND(    IF( $A$15=BE_MF_,   LEER,   INDEX( Kx!59:59, EV$16 ) ),    EV$17    )</f>
        <v>#VALUE!</v>
      </c>
      <c r="EW59" s="533" t="e">
        <f xml:space="preserve"> ROUND(    IF( $A$15=BE_MF_,   LEER,   INDEX( Kx!59:59, EW$16 ) ),    EW$17    )</f>
        <v>#VALUE!</v>
      </c>
      <c r="EX59" s="533" t="e">
        <f xml:space="preserve"> ROUND(    IF( $A$15=BE_MF_,   LEER,   INDEX( Kx!59:59, EX$16 ) ),    EX$17    )</f>
        <v>#VALUE!</v>
      </c>
      <c r="EY59" s="556" t="e">
        <f t="shared" si="103"/>
        <v>#VALUE!</v>
      </c>
      <c r="FB59" s="533" t="e">
        <f xml:space="preserve"> ROUND(    IF( $A$15=BE_MF_,   LEER,   INDEX( Kx!59:59, FB$16 ) ),    FB$17    )</f>
        <v>#VALUE!</v>
      </c>
      <c r="FC59" s="533" t="e">
        <f xml:space="preserve"> ROUND(    IF( $A$15=BE_MF_,   LEER,   INDEX( Kx!59:59, FC$16 ) ),    FC$17    )</f>
        <v>#VALUE!</v>
      </c>
      <c r="FD59" s="556" t="e">
        <f t="shared" si="104"/>
        <v>#VALUE!</v>
      </c>
      <c r="FG59" s="556" t="e">
        <f t="shared" si="105"/>
        <v>#VALUE!</v>
      </c>
      <c r="FH59" s="556" t="e">
        <f t="shared" si="105"/>
        <v>#VALUE!</v>
      </c>
      <c r="FI59" s="556" t="e">
        <f t="shared" si="105"/>
        <v>#VALUE!</v>
      </c>
      <c r="FN59" s="557">
        <f t="shared" si="184"/>
        <v>59</v>
      </c>
      <c r="FO59" s="493">
        <f t="shared" si="185"/>
        <v>68.936999999999998</v>
      </c>
      <c r="FP59" s="493">
        <f t="shared" si="186"/>
        <v>19.201000000000001</v>
      </c>
      <c r="FR59" s="427">
        <f t="shared" si="106"/>
        <v>2167325.8199999989</v>
      </c>
      <c r="FS59" s="558">
        <f t="shared" si="187"/>
        <v>95345.88</v>
      </c>
      <c r="FT59" s="558">
        <f t="shared" si="187"/>
        <v>93730.1</v>
      </c>
      <c r="FU59" s="558">
        <f t="shared" si="187"/>
        <v>92110.34</v>
      </c>
      <c r="FV59" s="558">
        <f t="shared" si="187"/>
        <v>90490.58</v>
      </c>
      <c r="FW59" s="558">
        <f t="shared" si="187"/>
        <v>88814.96</v>
      </c>
      <c r="FX59" s="558">
        <f t="shared" si="187"/>
        <v>87091.47</v>
      </c>
      <c r="FY59" s="558">
        <f t="shared" si="187"/>
        <v>85383.93</v>
      </c>
      <c r="FZ59" s="558">
        <f t="shared" si="187"/>
        <v>83664.429999999993</v>
      </c>
      <c r="GA59" s="558">
        <f t="shared" si="187"/>
        <v>81885.09</v>
      </c>
      <c r="GB59" s="558">
        <f t="shared" si="187"/>
        <v>80033.929999999993</v>
      </c>
      <c r="GC59" s="558">
        <f t="shared" si="187"/>
        <v>78170.8</v>
      </c>
      <c r="GD59" s="558">
        <f t="shared" si="187"/>
        <v>76279.75</v>
      </c>
      <c r="GE59" s="558">
        <f t="shared" si="187"/>
        <v>74344.81</v>
      </c>
      <c r="GF59" s="558">
        <f t="shared" si="187"/>
        <v>72401.89</v>
      </c>
      <c r="GG59" s="558">
        <f t="shared" si="187"/>
        <v>70399.13</v>
      </c>
      <c r="GH59" s="558">
        <f t="shared" si="187"/>
        <v>68380.41</v>
      </c>
      <c r="GI59" s="558">
        <f t="shared" si="126"/>
        <v>66301.850000000006</v>
      </c>
      <c r="GJ59" s="558">
        <f t="shared" si="126"/>
        <v>64175.41</v>
      </c>
      <c r="GK59" s="558">
        <f t="shared" si="126"/>
        <v>61989.13</v>
      </c>
      <c r="GL59" s="558">
        <f t="shared" si="126"/>
        <v>59739.01</v>
      </c>
      <c r="GM59" s="558">
        <f t="shared" si="126"/>
        <v>57421.08</v>
      </c>
      <c r="GN59" s="558">
        <f t="shared" si="126"/>
        <v>55015.37</v>
      </c>
      <c r="GO59" s="558">
        <f t="shared" si="126"/>
        <v>52521.89</v>
      </c>
      <c r="GP59" s="558">
        <f t="shared" si="126"/>
        <v>49936.65</v>
      </c>
      <c r="GQ59" s="558">
        <f t="shared" si="126"/>
        <v>47247.69</v>
      </c>
      <c r="GR59" s="558">
        <f t="shared" si="126"/>
        <v>44474.94</v>
      </c>
      <c r="GS59" s="558">
        <f t="shared" si="126"/>
        <v>41606.44</v>
      </c>
      <c r="GT59" s="558">
        <f t="shared" si="126"/>
        <v>38650.17</v>
      </c>
      <c r="GU59" s="558">
        <f t="shared" si="126"/>
        <v>35614.120000000003</v>
      </c>
      <c r="GV59" s="558">
        <f t="shared" si="126"/>
        <v>32502.25</v>
      </c>
      <c r="GW59" s="558">
        <f t="shared" si="126"/>
        <v>29326.560000000001</v>
      </c>
      <c r="GX59" s="558">
        <f t="shared" si="188"/>
        <v>26075.07</v>
      </c>
      <c r="GY59" s="558">
        <f t="shared" si="188"/>
        <v>22779.69</v>
      </c>
      <c r="GZ59" s="558">
        <f t="shared" si="188"/>
        <v>19424.46</v>
      </c>
      <c r="HA59" s="558">
        <f t="shared" si="188"/>
        <v>16033.33</v>
      </c>
      <c r="HB59" s="558">
        <f t="shared" si="188"/>
        <v>12606.3</v>
      </c>
      <c r="HC59" s="558">
        <f t="shared" si="188"/>
        <v>9139.36</v>
      </c>
      <c r="HD59" s="558">
        <f t="shared" si="188"/>
        <v>5644.51</v>
      </c>
      <c r="HE59" s="558">
        <f t="shared" si="188"/>
        <v>2097.7800000000002</v>
      </c>
      <c r="HF59" s="558">
        <f t="shared" si="188"/>
        <v>-1524.74</v>
      </c>
      <c r="HG59" s="558" t="str">
        <f t="shared" si="188"/>
        <v>.</v>
      </c>
      <c r="HH59" s="558" t="str">
        <f t="shared" si="188"/>
        <v>.</v>
      </c>
      <c r="HI59" s="558" t="str">
        <f t="shared" si="188"/>
        <v>.</v>
      </c>
      <c r="HJ59" s="558" t="str">
        <f t="shared" si="188"/>
        <v>.</v>
      </c>
      <c r="HK59" s="558" t="str">
        <f t="shared" si="188"/>
        <v>.</v>
      </c>
      <c r="HL59" s="558" t="str">
        <f t="shared" si="188"/>
        <v>.</v>
      </c>
      <c r="HM59" s="558" t="str">
        <f t="shared" si="188"/>
        <v>.</v>
      </c>
      <c r="HN59" s="558" t="str">
        <f t="shared" si="127"/>
        <v>.</v>
      </c>
      <c r="HO59" s="558" t="str">
        <f t="shared" si="127"/>
        <v>.</v>
      </c>
      <c r="HP59" s="558" t="str">
        <f t="shared" si="127"/>
        <v>.</v>
      </c>
      <c r="HQ59" s="558" t="str">
        <f t="shared" si="127"/>
        <v>.</v>
      </c>
      <c r="HR59" s="558" t="str">
        <f t="shared" si="127"/>
        <v>.</v>
      </c>
      <c r="HS59" s="558" t="str">
        <f t="shared" si="127"/>
        <v>.</v>
      </c>
      <c r="HT59" s="558" t="str">
        <f t="shared" si="127"/>
        <v>.</v>
      </c>
      <c r="HU59" s="558" t="str">
        <f t="shared" si="127"/>
        <v>.</v>
      </c>
      <c r="HV59" s="558" t="str">
        <f t="shared" si="127"/>
        <v>.</v>
      </c>
      <c r="HW59" s="558" t="str">
        <f t="shared" si="127"/>
        <v>.</v>
      </c>
      <c r="HX59" s="558" t="str">
        <f t="shared" si="127"/>
        <v>.</v>
      </c>
      <c r="HY59" s="558" t="str">
        <f t="shared" si="127"/>
        <v>.</v>
      </c>
      <c r="HZ59" s="558" t="str">
        <f t="shared" si="127"/>
        <v>.</v>
      </c>
      <c r="IA59" s="558" t="str">
        <f t="shared" si="127"/>
        <v>.</v>
      </c>
      <c r="IB59" s="558" t="str">
        <f t="shared" si="127"/>
        <v>.</v>
      </c>
      <c r="IC59" s="558" t="str">
        <f t="shared" si="127"/>
        <v>.</v>
      </c>
      <c r="ID59" s="558" t="str">
        <f t="shared" si="127"/>
        <v>.</v>
      </c>
      <c r="IE59" s="558" t="str">
        <f t="shared" si="128"/>
        <v>.</v>
      </c>
      <c r="IF59" s="558" t="str">
        <f t="shared" si="128"/>
        <v>.</v>
      </c>
      <c r="IG59" s="558" t="str">
        <f t="shared" si="128"/>
        <v>.</v>
      </c>
      <c r="IH59" s="558" t="str">
        <f t="shared" si="128"/>
        <v>.</v>
      </c>
      <c r="II59" s="558" t="str">
        <f t="shared" si="128"/>
        <v>.</v>
      </c>
      <c r="IJ59" s="558" t="str">
        <f t="shared" si="128"/>
        <v>.</v>
      </c>
      <c r="IK59" s="558" t="str">
        <f t="shared" si="128"/>
        <v>.</v>
      </c>
      <c r="IL59" s="558" t="str">
        <f t="shared" si="128"/>
        <v>.</v>
      </c>
      <c r="IM59" s="558" t="str">
        <f t="shared" si="128"/>
        <v>.</v>
      </c>
      <c r="IN59" s="558" t="str">
        <f t="shared" si="128"/>
        <v>.</v>
      </c>
      <c r="IO59" s="558" t="str">
        <f t="shared" si="128"/>
        <v>.</v>
      </c>
      <c r="IP59" s="558" t="str">
        <f t="shared" si="128"/>
        <v>.</v>
      </c>
      <c r="IQ59" s="558" t="str">
        <f t="shared" si="128"/>
        <v>.</v>
      </c>
      <c r="IR59" s="558" t="str">
        <f t="shared" si="122"/>
        <v>.</v>
      </c>
      <c r="IS59" s="558" t="str">
        <f t="shared" si="122"/>
        <v>.</v>
      </c>
      <c r="IT59" s="558" t="str">
        <f t="shared" si="122"/>
        <v>.</v>
      </c>
      <c r="IU59" s="558" t="str">
        <f t="shared" si="122"/>
        <v>.</v>
      </c>
      <c r="IV59" s="558" t="str">
        <f t="shared" si="122"/>
        <v>.</v>
      </c>
      <c r="IW59" s="558" t="str">
        <f t="shared" si="122"/>
        <v>.</v>
      </c>
      <c r="IX59" s="558" t="str">
        <f t="shared" si="122"/>
        <v>.</v>
      </c>
      <c r="IY59" s="558" t="str">
        <f t="shared" si="122"/>
        <v>.</v>
      </c>
      <c r="IZ59" s="558" t="str">
        <f t="shared" si="122"/>
        <v>.</v>
      </c>
      <c r="JA59" s="558" t="str">
        <f t="shared" si="122"/>
        <v>.</v>
      </c>
      <c r="JB59" s="558" t="str">
        <f t="shared" si="122"/>
        <v>.</v>
      </c>
      <c r="JC59" s="558" t="str">
        <f t="shared" si="122"/>
        <v>.</v>
      </c>
      <c r="JD59" s="558" t="str">
        <f t="shared" si="122"/>
        <v>.</v>
      </c>
      <c r="JE59" s="558" t="str">
        <f t="shared" si="122"/>
        <v>.</v>
      </c>
      <c r="JF59" s="558" t="str">
        <f t="shared" si="122"/>
        <v>.</v>
      </c>
      <c r="JG59" s="558" t="str">
        <f t="shared" si="122"/>
        <v>.</v>
      </c>
      <c r="JH59" s="558" t="str">
        <f t="shared" si="122"/>
        <v>.</v>
      </c>
      <c r="JI59" s="558" t="str">
        <f t="shared" si="123"/>
        <v>.</v>
      </c>
      <c r="JJ59" s="558" t="str">
        <f t="shared" si="123"/>
        <v>.</v>
      </c>
      <c r="JK59" s="558" t="str">
        <f t="shared" si="189"/>
        <v>.</v>
      </c>
      <c r="JL59" s="558" t="str">
        <f t="shared" si="189"/>
        <v>.</v>
      </c>
      <c r="JM59" s="558" t="str">
        <f t="shared" si="189"/>
        <v>.</v>
      </c>
      <c r="JN59" s="558" t="str">
        <f t="shared" si="189"/>
        <v>.</v>
      </c>
      <c r="JO59" s="558" t="str">
        <f t="shared" si="189"/>
        <v>.</v>
      </c>
    </row>
    <row r="60" spans="1:275" x14ac:dyDescent="0.2">
      <c r="A60" s="534">
        <f xml:space="preserve"> Basis!A60</f>
        <v>60</v>
      </c>
      <c r="F60" s="536">
        <f xml:space="preserve"> ROUND(    IF( $A$15=BE_MF_,   AW60,   INDEX( qx!60:60, F$16 ) ),    F$17    )</f>
        <v>3.7000000000000002E-3</v>
      </c>
      <c r="G60" s="536">
        <f xml:space="preserve"> ROUND(    IF( $A$15=BE_MF_,   BB60,   INDEX( wx!60:60, G$16 ) ),    G$17    )</f>
        <v>7.7000000000000002E-3</v>
      </c>
      <c r="H60" s="537">
        <f xml:space="preserve"> ROUND(    IF( $A$15=BE_MF_,   BG60,   INDEX( Kx!60:60, H$16 ) ),    H$17    )</f>
        <v>4241.26</v>
      </c>
      <c r="I60" s="538">
        <f t="shared" si="93"/>
        <v>4241.26</v>
      </c>
      <c r="J60" s="539">
        <f t="shared" si="129"/>
        <v>2.0409999999999999</v>
      </c>
      <c r="K60" s="540">
        <f t="shared" si="190"/>
        <v>2</v>
      </c>
      <c r="L60" s="541">
        <f t="shared" si="116"/>
        <v>0</v>
      </c>
      <c r="M60" s="541">
        <f t="shared" si="116"/>
        <v>8.5999999999999993E-2</v>
      </c>
      <c r="O60" s="542" t="b">
        <f t="shared" si="95"/>
        <v>1</v>
      </c>
      <c r="P60" s="493">
        <f t="shared" si="130"/>
        <v>1.14E-2</v>
      </c>
      <c r="Q60" s="493">
        <f t="shared" si="131"/>
        <v>0.98860000000000003</v>
      </c>
      <c r="R60" s="543">
        <f t="shared" si="132"/>
        <v>537831</v>
      </c>
      <c r="S60" s="544">
        <f t="shared" si="133"/>
        <v>0.97560975599999999</v>
      </c>
      <c r="T60" s="423">
        <f t="shared" si="134"/>
        <v>122240.16</v>
      </c>
      <c r="U60" s="423">
        <f xml:space="preserve"> IF( $O60,    ROUND(  SUM( T60:T$120), U$17 ),  LEER  )</f>
        <v>2307756.16</v>
      </c>
      <c r="V60" s="493">
        <f t="shared" si="135"/>
        <v>18.878900000000002</v>
      </c>
      <c r="W60" s="493">
        <f t="shared" si="136"/>
        <v>249492.17</v>
      </c>
      <c r="X60" s="493">
        <f xml:space="preserve"> IF( $O60,    ROUND(  SUM( W60:W$120), X$17 ),  LEER  )</f>
        <v>8494084.3900000006</v>
      </c>
      <c r="Y60" s="493">
        <f t="shared" si="137"/>
        <v>69.486900000000006</v>
      </c>
      <c r="Z60" s="493">
        <f t="shared" si="138"/>
        <v>3.6806999999999999</v>
      </c>
      <c r="AA60" s="493">
        <f t="shared" si="139"/>
        <v>1.0098</v>
      </c>
      <c r="AB60" s="493">
        <f t="shared" si="140"/>
        <v>2.3494000000000002</v>
      </c>
      <c r="AC60" s="545">
        <f t="shared" si="141"/>
        <v>0.38600000000000001</v>
      </c>
      <c r="AD60" s="493">
        <f t="shared" si="142"/>
        <v>3.7206000000000001</v>
      </c>
      <c r="AE60" s="493">
        <f t="shared" si="143"/>
        <v>4.4930000000000003</v>
      </c>
      <c r="AF60" s="493">
        <f t="shared" si="144"/>
        <v>4.4930000000000003</v>
      </c>
      <c r="AG60" s="493" t="str">
        <f t="shared" si="145"/>
        <v>.</v>
      </c>
      <c r="AH60" s="493" t="str">
        <f t="shared" si="146"/>
        <v>.</v>
      </c>
      <c r="AI60" s="423">
        <f t="shared" si="147"/>
        <v>2077.79</v>
      </c>
      <c r="AJ60" s="423">
        <f t="shared" si="148"/>
        <v>9335.51</v>
      </c>
      <c r="AK60" s="423">
        <f t="shared" si="149"/>
        <v>777.96</v>
      </c>
      <c r="AN60" s="423">
        <f t="shared" ref="AN60:AO79" si="191" xml:space="preserve">  IF( AND( $A60&lt;=$O$12, $A60&gt;=AN$12),    ROUND( AN$19 * ( SUM($Y60) - SUM(AN$8) * SUM($V60) ), AN$17 ),  LEER  )</f>
        <v>71649.539999999994</v>
      </c>
      <c r="AO60" s="423">
        <f t="shared" si="191"/>
        <v>70778.710000000006</v>
      </c>
      <c r="AR60" s="546">
        <f xml:space="preserve"> ROUND(  INDEX( Kx!60:60, AR$16 ),  AR$17 )</f>
        <v>0.74009999999999998</v>
      </c>
      <c r="AS60" s="547">
        <f xml:space="preserve"> ROUND(  INDEX( qx!60:60, AS$16 ),  AS$17 )</f>
        <v>4.1999999999999997E-3</v>
      </c>
      <c r="AT60" s="547">
        <f xml:space="preserve"> ROUND(  INDEX( qx!60:60, AT$16 ),  AT$17 )</f>
        <v>2.7000000000000001E-3</v>
      </c>
      <c r="AU60" s="548" t="str">
        <f t="shared" si="150"/>
        <v>F</v>
      </c>
      <c r="AV60" s="542">
        <f t="shared" si="151"/>
        <v>0.65500000000000003</v>
      </c>
      <c r="AW60" s="542">
        <f t="shared" si="152"/>
        <v>3.7000000000000002E-3</v>
      </c>
      <c r="AX60" s="546">
        <f xml:space="preserve"> ROUND(  INDEX( wx!60:60, AX$16 ),  AX$17 )</f>
        <v>7.7999999999999996E-3</v>
      </c>
      <c r="AY60" s="546">
        <f xml:space="preserve"> ROUND(  INDEX( wx!60:60, AY$16 ),  AY$17 )</f>
        <v>7.4999999999999997E-3</v>
      </c>
      <c r="AZ60" s="548" t="str">
        <f t="shared" si="153"/>
        <v>F</v>
      </c>
      <c r="BA60" s="542">
        <f t="shared" si="154"/>
        <v>0.65500000000000003</v>
      </c>
      <c r="BB60" s="542">
        <f t="shared" si="155"/>
        <v>7.7000000000000002E-3</v>
      </c>
      <c r="BC60" s="533">
        <f xml:space="preserve"> ROUND(  INDEX( Kx!60:60, BC$16 ),  BC$17 )</f>
        <v>4241.84</v>
      </c>
      <c r="BD60" s="533">
        <f xml:space="preserve"> ROUND(  INDEX( Kx!60:60, BD$16 ),  BD$17 )</f>
        <v>4238.78</v>
      </c>
      <c r="BE60" s="548" t="str">
        <f t="shared" si="52"/>
        <v>M</v>
      </c>
      <c r="BF60" s="542">
        <f t="shared" si="156"/>
        <v>0.81030000000000002</v>
      </c>
      <c r="BG60" s="420">
        <f t="shared" si="157"/>
        <v>4241.26</v>
      </c>
      <c r="BQ60" s="549">
        <f t="shared" si="96"/>
        <v>60</v>
      </c>
      <c r="BR60" s="423">
        <f t="shared" si="55"/>
        <v>69266.09</v>
      </c>
      <c r="BS60" s="550">
        <f t="shared" si="158"/>
        <v>4241.26</v>
      </c>
      <c r="BT60" s="423">
        <f t="shared" si="159"/>
        <v>-189.71</v>
      </c>
      <c r="BU60" s="551">
        <f t="shared" si="160"/>
        <v>122240.16</v>
      </c>
      <c r="BV60" s="551">
        <f t="shared" si="161"/>
        <v>1.0371999999999999</v>
      </c>
      <c r="BW60" s="529">
        <f t="shared" si="162"/>
        <v>71649.539999999994</v>
      </c>
      <c r="BX60" s="552">
        <f t="shared" si="163"/>
        <v>2573.1600000000035</v>
      </c>
      <c r="BY60" s="560"/>
      <c r="BZ60" s="559"/>
      <c r="CB60" s="423">
        <f t="shared" si="164"/>
        <v>-398.05</v>
      </c>
      <c r="CC60" s="423">
        <f t="shared" si="165"/>
        <v>1791.24</v>
      </c>
      <c r="CD60" s="423">
        <f t="shared" si="166"/>
        <v>842.29</v>
      </c>
      <c r="CE60" s="423">
        <f t="shared" si="167"/>
        <v>2235.48</v>
      </c>
      <c r="CF60" s="553">
        <f t="shared" si="168"/>
        <v>2235.5900000000111</v>
      </c>
      <c r="CH60" s="423">
        <f t="shared" si="169"/>
        <v>3852.4304390000002</v>
      </c>
      <c r="CI60" s="423">
        <f t="shared" si="170"/>
        <v>4240.7700000000004</v>
      </c>
      <c r="CJ60" s="423">
        <f t="shared" si="171"/>
        <v>433.51</v>
      </c>
      <c r="CK60" s="423">
        <f t="shared" si="172"/>
        <v>-821.75</v>
      </c>
      <c r="CL60" s="553">
        <f t="shared" si="173"/>
        <v>3852.5300000000007</v>
      </c>
      <c r="CN60" s="423">
        <f t="shared" si="71"/>
        <v>3898.5573770000001</v>
      </c>
      <c r="CO60" s="423">
        <f t="shared" si="174"/>
        <v>4240.7700000000004</v>
      </c>
      <c r="CP60" s="423">
        <f t="shared" si="175"/>
        <v>470.13</v>
      </c>
      <c r="CQ60" s="423">
        <f t="shared" si="176"/>
        <v>-812.24</v>
      </c>
      <c r="CR60" s="553">
        <f t="shared" si="75"/>
        <v>3898.6600000000008</v>
      </c>
      <c r="CV60" s="564">
        <f t="shared" si="98"/>
        <v>60</v>
      </c>
      <c r="CW60" s="538" t="str">
        <f t="shared" si="177"/>
        <v>.</v>
      </c>
      <c r="CX60" s="566">
        <f t="shared" si="178"/>
        <v>70778.710000000006</v>
      </c>
      <c r="CY60" s="538">
        <f t="shared" si="179"/>
        <v>62579.82</v>
      </c>
      <c r="CZ60" s="538" t="str">
        <f t="shared" si="180"/>
        <v>.</v>
      </c>
      <c r="DA60" s="538" t="str">
        <f t="shared" si="181"/>
        <v>.</v>
      </c>
      <c r="DB60" s="567" t="e">
        <f t="shared" si="99"/>
        <v>#N/A</v>
      </c>
      <c r="DC60" s="567">
        <f t="shared" si="100"/>
        <v>70778.710000000006</v>
      </c>
      <c r="DD60" s="567">
        <f t="shared" si="101"/>
        <v>62579.82</v>
      </c>
      <c r="DE60" s="567" t="e">
        <f t="shared" si="101"/>
        <v>#N/A</v>
      </c>
      <c r="DF60" s="568" t="e">
        <f t="shared" si="102"/>
        <v>#N/A</v>
      </c>
      <c r="EL60" s="553">
        <f t="shared" si="81"/>
        <v>32380</v>
      </c>
      <c r="EM60" s="553">
        <f t="shared" si="182"/>
        <v>38405.67</v>
      </c>
      <c r="EN60" s="423">
        <f t="shared" si="183"/>
        <v>70785.67</v>
      </c>
      <c r="EO60" s="555">
        <f xml:space="preserve"> 'i2'!AO60</f>
        <v>70778.710000000006</v>
      </c>
      <c r="EV60" s="533" t="e">
        <f xml:space="preserve"> ROUND(    IF( $A$15=BE_MF_,   LEER,   INDEX( Kx!60:60, EV$16 ) ),    EV$17    )</f>
        <v>#VALUE!</v>
      </c>
      <c r="EW60" s="533" t="e">
        <f xml:space="preserve"> ROUND(    IF( $A$15=BE_MF_,   LEER,   INDEX( Kx!60:60, EW$16 ) ),    EW$17    )</f>
        <v>#VALUE!</v>
      </c>
      <c r="EX60" s="533" t="e">
        <f xml:space="preserve"> ROUND(    IF( $A$15=BE_MF_,   LEER,   INDEX( Kx!60:60, EX$16 ) ),    EX$17    )</f>
        <v>#VALUE!</v>
      </c>
      <c r="EY60" s="556" t="e">
        <f t="shared" si="103"/>
        <v>#VALUE!</v>
      </c>
      <c r="FB60" s="533" t="e">
        <f xml:space="preserve"> ROUND(    IF( $A$15=BE_MF_,   LEER,   INDEX( Kx!60:60, FB$16 ) ),    FB$17    )</f>
        <v>#VALUE!</v>
      </c>
      <c r="FC60" s="533" t="e">
        <f xml:space="preserve"> ROUND(    IF( $A$15=BE_MF_,   LEER,   INDEX( Kx!60:60, FC$16 ) ),    FC$17    )</f>
        <v>#VALUE!</v>
      </c>
      <c r="FD60" s="556" t="e">
        <f t="shared" si="104"/>
        <v>#VALUE!</v>
      </c>
      <c r="FG60" s="556" t="e">
        <f t="shared" si="105"/>
        <v>#VALUE!</v>
      </c>
      <c r="FH60" s="556" t="e">
        <f t="shared" si="105"/>
        <v>#VALUE!</v>
      </c>
      <c r="FI60" s="556" t="e">
        <f t="shared" si="105"/>
        <v>#VALUE!</v>
      </c>
      <c r="FN60" s="557">
        <f t="shared" si="184"/>
        <v>60</v>
      </c>
      <c r="FO60" s="493">
        <f t="shared" si="185"/>
        <v>69.486900000000006</v>
      </c>
      <c r="FP60" s="493">
        <f t="shared" si="186"/>
        <v>18.878900000000002</v>
      </c>
      <c r="FR60" s="427">
        <f t="shared" si="106"/>
        <v>2271217.8500000006</v>
      </c>
      <c r="FS60" s="558">
        <f t="shared" si="187"/>
        <v>97291.83</v>
      </c>
      <c r="FT60" s="558">
        <f t="shared" si="187"/>
        <v>95703.16</v>
      </c>
      <c r="FU60" s="558">
        <f t="shared" si="187"/>
        <v>94110.57</v>
      </c>
      <c r="FV60" s="558">
        <f t="shared" si="187"/>
        <v>92517.98</v>
      </c>
      <c r="FW60" s="558">
        <f t="shared" si="187"/>
        <v>90870.47</v>
      </c>
      <c r="FX60" s="558">
        <f t="shared" si="187"/>
        <v>89175.89</v>
      </c>
      <c r="FY60" s="558">
        <f t="shared" si="187"/>
        <v>87497</v>
      </c>
      <c r="FZ60" s="558">
        <f t="shared" si="187"/>
        <v>85806.34</v>
      </c>
      <c r="GA60" s="558">
        <f t="shared" si="187"/>
        <v>84056.84</v>
      </c>
      <c r="GB60" s="558">
        <f t="shared" si="187"/>
        <v>82236.740000000005</v>
      </c>
      <c r="GC60" s="558">
        <f t="shared" si="187"/>
        <v>80404.87</v>
      </c>
      <c r="GD60" s="558">
        <f t="shared" si="187"/>
        <v>78545.539999999994</v>
      </c>
      <c r="GE60" s="558">
        <f t="shared" si="187"/>
        <v>76643.06</v>
      </c>
      <c r="GF60" s="558">
        <f t="shared" si="187"/>
        <v>74732.73</v>
      </c>
      <c r="GG60" s="558">
        <f t="shared" si="187"/>
        <v>72763.570000000007</v>
      </c>
      <c r="GH60" s="558">
        <f t="shared" si="187"/>
        <v>70778.710000000006</v>
      </c>
      <c r="GI60" s="558">
        <f t="shared" si="126"/>
        <v>68735.02</v>
      </c>
      <c r="GJ60" s="558">
        <f t="shared" si="126"/>
        <v>66644.25</v>
      </c>
      <c r="GK60" s="558">
        <f t="shared" si="126"/>
        <v>64494.64</v>
      </c>
      <c r="GL60" s="558">
        <f t="shared" si="126"/>
        <v>62282.28</v>
      </c>
      <c r="GM60" s="558">
        <f t="shared" si="126"/>
        <v>60003.22</v>
      </c>
      <c r="GN60" s="558">
        <f t="shared" si="126"/>
        <v>57637.87</v>
      </c>
      <c r="GO60" s="558">
        <f t="shared" si="126"/>
        <v>55186.22</v>
      </c>
      <c r="GP60" s="558">
        <f t="shared" si="126"/>
        <v>52644.35</v>
      </c>
      <c r="GQ60" s="558">
        <f t="shared" si="126"/>
        <v>50000.49</v>
      </c>
      <c r="GR60" s="558">
        <f t="shared" si="126"/>
        <v>47274.26</v>
      </c>
      <c r="GS60" s="558">
        <f t="shared" si="126"/>
        <v>44453.88</v>
      </c>
      <c r="GT60" s="558">
        <f t="shared" si="126"/>
        <v>41547.21</v>
      </c>
      <c r="GU60" s="558">
        <f t="shared" si="126"/>
        <v>38562.080000000002</v>
      </c>
      <c r="GV60" s="558">
        <f t="shared" si="126"/>
        <v>35502.42</v>
      </c>
      <c r="GW60" s="558">
        <f t="shared" si="126"/>
        <v>32380</v>
      </c>
      <c r="GX60" s="558">
        <f t="shared" si="188"/>
        <v>29183.05</v>
      </c>
      <c r="GY60" s="558">
        <f t="shared" si="188"/>
        <v>25942.95</v>
      </c>
      <c r="GZ60" s="558">
        <f t="shared" si="188"/>
        <v>22644.01</v>
      </c>
      <c r="HA60" s="558">
        <f t="shared" si="188"/>
        <v>19309.77</v>
      </c>
      <c r="HB60" s="558">
        <f t="shared" si="188"/>
        <v>15940.22</v>
      </c>
      <c r="HC60" s="558">
        <f t="shared" si="188"/>
        <v>12531.45</v>
      </c>
      <c r="HD60" s="558">
        <f t="shared" si="188"/>
        <v>9095.2099999999991</v>
      </c>
      <c r="HE60" s="558">
        <f t="shared" si="188"/>
        <v>5607.99</v>
      </c>
      <c r="HF60" s="558">
        <f t="shared" si="188"/>
        <v>2046.23</v>
      </c>
      <c r="HG60" s="558">
        <f t="shared" si="188"/>
        <v>-1566.52</v>
      </c>
      <c r="HH60" s="558" t="str">
        <f t="shared" si="188"/>
        <v>.</v>
      </c>
      <c r="HI60" s="558" t="str">
        <f t="shared" si="188"/>
        <v>.</v>
      </c>
      <c r="HJ60" s="558" t="str">
        <f t="shared" si="188"/>
        <v>.</v>
      </c>
      <c r="HK60" s="558" t="str">
        <f t="shared" si="188"/>
        <v>.</v>
      </c>
      <c r="HL60" s="558" t="str">
        <f t="shared" si="188"/>
        <v>.</v>
      </c>
      <c r="HM60" s="558" t="str">
        <f t="shared" si="188"/>
        <v>.</v>
      </c>
      <c r="HN60" s="558" t="str">
        <f t="shared" si="127"/>
        <v>.</v>
      </c>
      <c r="HO60" s="558" t="str">
        <f t="shared" si="127"/>
        <v>.</v>
      </c>
      <c r="HP60" s="558" t="str">
        <f t="shared" si="127"/>
        <v>.</v>
      </c>
      <c r="HQ60" s="558" t="str">
        <f t="shared" si="127"/>
        <v>.</v>
      </c>
      <c r="HR60" s="558" t="str">
        <f t="shared" si="127"/>
        <v>.</v>
      </c>
      <c r="HS60" s="558" t="str">
        <f t="shared" si="127"/>
        <v>.</v>
      </c>
      <c r="HT60" s="558" t="str">
        <f t="shared" si="127"/>
        <v>.</v>
      </c>
      <c r="HU60" s="558" t="str">
        <f t="shared" si="127"/>
        <v>.</v>
      </c>
      <c r="HV60" s="558" t="str">
        <f t="shared" si="127"/>
        <v>.</v>
      </c>
      <c r="HW60" s="558" t="str">
        <f t="shared" si="127"/>
        <v>.</v>
      </c>
      <c r="HX60" s="558" t="str">
        <f t="shared" si="127"/>
        <v>.</v>
      </c>
      <c r="HY60" s="558" t="str">
        <f t="shared" si="127"/>
        <v>.</v>
      </c>
      <c r="HZ60" s="558" t="str">
        <f t="shared" si="127"/>
        <v>.</v>
      </c>
      <c r="IA60" s="558" t="str">
        <f t="shared" si="127"/>
        <v>.</v>
      </c>
      <c r="IB60" s="558" t="str">
        <f t="shared" si="127"/>
        <v>.</v>
      </c>
      <c r="IC60" s="558" t="str">
        <f t="shared" si="127"/>
        <v>.</v>
      </c>
      <c r="ID60" s="558" t="str">
        <f t="shared" si="127"/>
        <v>.</v>
      </c>
      <c r="IE60" s="558" t="str">
        <f t="shared" si="128"/>
        <v>.</v>
      </c>
      <c r="IF60" s="558" t="str">
        <f t="shared" si="128"/>
        <v>.</v>
      </c>
      <c r="IG60" s="558" t="str">
        <f t="shared" si="128"/>
        <v>.</v>
      </c>
      <c r="IH60" s="558" t="str">
        <f t="shared" si="128"/>
        <v>.</v>
      </c>
      <c r="II60" s="558" t="str">
        <f t="shared" si="128"/>
        <v>.</v>
      </c>
      <c r="IJ60" s="558" t="str">
        <f t="shared" si="128"/>
        <v>.</v>
      </c>
      <c r="IK60" s="558" t="str">
        <f t="shared" si="128"/>
        <v>.</v>
      </c>
      <c r="IL60" s="558" t="str">
        <f t="shared" si="128"/>
        <v>.</v>
      </c>
      <c r="IM60" s="558" t="str">
        <f t="shared" si="128"/>
        <v>.</v>
      </c>
      <c r="IN60" s="558" t="str">
        <f t="shared" si="128"/>
        <v>.</v>
      </c>
      <c r="IO60" s="558" t="str">
        <f t="shared" si="128"/>
        <v>.</v>
      </c>
      <c r="IP60" s="558" t="str">
        <f t="shared" si="128"/>
        <v>.</v>
      </c>
      <c r="IQ60" s="558" t="str">
        <f t="shared" si="128"/>
        <v>.</v>
      </c>
      <c r="IR60" s="558" t="str">
        <f t="shared" si="122"/>
        <v>.</v>
      </c>
      <c r="IS60" s="558" t="str">
        <f t="shared" si="122"/>
        <v>.</v>
      </c>
      <c r="IT60" s="558" t="str">
        <f t="shared" si="122"/>
        <v>.</v>
      </c>
      <c r="IU60" s="558" t="str">
        <f t="shared" si="122"/>
        <v>.</v>
      </c>
      <c r="IV60" s="558" t="str">
        <f t="shared" si="122"/>
        <v>.</v>
      </c>
      <c r="IW60" s="558" t="str">
        <f t="shared" si="122"/>
        <v>.</v>
      </c>
      <c r="IX60" s="558" t="str">
        <f t="shared" si="122"/>
        <v>.</v>
      </c>
      <c r="IY60" s="558" t="str">
        <f t="shared" si="122"/>
        <v>.</v>
      </c>
      <c r="IZ60" s="558" t="str">
        <f t="shared" si="122"/>
        <v>.</v>
      </c>
      <c r="JA60" s="558" t="str">
        <f t="shared" si="122"/>
        <v>.</v>
      </c>
      <c r="JB60" s="558" t="str">
        <f t="shared" si="122"/>
        <v>.</v>
      </c>
      <c r="JC60" s="558" t="str">
        <f t="shared" si="122"/>
        <v>.</v>
      </c>
      <c r="JD60" s="558" t="str">
        <f t="shared" si="122"/>
        <v>.</v>
      </c>
      <c r="JE60" s="558" t="str">
        <f t="shared" si="122"/>
        <v>.</v>
      </c>
      <c r="JF60" s="558" t="str">
        <f t="shared" si="122"/>
        <v>.</v>
      </c>
      <c r="JG60" s="558" t="str">
        <f t="shared" si="122"/>
        <v>.</v>
      </c>
      <c r="JH60" s="558" t="str">
        <f t="shared" si="122"/>
        <v>.</v>
      </c>
      <c r="JI60" s="558" t="str">
        <f t="shared" si="123"/>
        <v>.</v>
      </c>
      <c r="JJ60" s="558" t="str">
        <f t="shared" si="123"/>
        <v>.</v>
      </c>
      <c r="JK60" s="558" t="str">
        <f t="shared" si="189"/>
        <v>.</v>
      </c>
      <c r="JL60" s="558" t="str">
        <f t="shared" si="189"/>
        <v>.</v>
      </c>
      <c r="JM60" s="558" t="str">
        <f t="shared" si="189"/>
        <v>.</v>
      </c>
      <c r="JN60" s="558" t="str">
        <f t="shared" si="189"/>
        <v>.</v>
      </c>
      <c r="JO60" s="558" t="str">
        <f t="shared" si="189"/>
        <v>.</v>
      </c>
    </row>
    <row r="61" spans="1:275" x14ac:dyDescent="0.2">
      <c r="A61" s="534">
        <f xml:space="preserve"> Basis!A61</f>
        <v>61</v>
      </c>
      <c r="F61" s="536">
        <f xml:space="preserve"> ROUND(    IF( $A$15=BE_MF_,   AW61,   INDEX( qx!61:61, F$16 ) ),    F$17    )</f>
        <v>4.0000000000000001E-3</v>
      </c>
      <c r="G61" s="536">
        <f xml:space="preserve"> ROUND(    IF( $A$15=BE_MF_,   BB61,   INDEX( wx!61:61, G$16 ) ),    G$17    )</f>
        <v>7.1999999999999998E-3</v>
      </c>
      <c r="H61" s="537">
        <f xml:space="preserve"> ROUND(    IF( $A$15=BE_MF_,   BG61,   INDEX( Kx!61:61, H$16 ) ),    H$17    )</f>
        <v>4467.4399999999996</v>
      </c>
      <c r="I61" s="538">
        <f t="shared" si="93"/>
        <v>4467.4399999999996</v>
      </c>
      <c r="J61" s="539">
        <f t="shared" si="129"/>
        <v>2.15</v>
      </c>
      <c r="K61" s="540">
        <f t="shared" si="190"/>
        <v>2</v>
      </c>
      <c r="L61" s="541">
        <f t="shared" si="116"/>
        <v>0</v>
      </c>
      <c r="M61" s="541">
        <f t="shared" si="116"/>
        <v>8.5999999999999993E-2</v>
      </c>
      <c r="O61" s="542" t="b">
        <f t="shared" si="95"/>
        <v>1</v>
      </c>
      <c r="P61" s="493">
        <f t="shared" si="130"/>
        <v>1.12E-2</v>
      </c>
      <c r="Q61" s="493">
        <f t="shared" si="131"/>
        <v>0.98880000000000001</v>
      </c>
      <c r="R61" s="543">
        <f t="shared" si="132"/>
        <v>531699</v>
      </c>
      <c r="S61" s="544">
        <f t="shared" si="133"/>
        <v>0.97560975599999999</v>
      </c>
      <c r="T61" s="423">
        <f t="shared" si="134"/>
        <v>117898.98</v>
      </c>
      <c r="U61" s="423">
        <f xml:space="preserve"> IF( $O61,    ROUND(  SUM( T61:T$120), U$17 ),  LEER  )</f>
        <v>2185516</v>
      </c>
      <c r="V61" s="493">
        <f t="shared" si="135"/>
        <v>18.537199999999999</v>
      </c>
      <c r="W61" s="493">
        <f t="shared" si="136"/>
        <v>253482.81</v>
      </c>
      <c r="X61" s="493">
        <f xml:space="preserve"> IF( $O61,    ROUND(  SUM( W61:W$120), X$17 ),  LEER  )</f>
        <v>8244592.2199999997</v>
      </c>
      <c r="Y61" s="493">
        <f t="shared" si="137"/>
        <v>69.929299999999998</v>
      </c>
      <c r="Z61" s="493">
        <f t="shared" si="138"/>
        <v>3.7724000000000002</v>
      </c>
      <c r="AA61" s="493">
        <f t="shared" si="139"/>
        <v>1.0099</v>
      </c>
      <c r="AB61" s="493">
        <f t="shared" si="140"/>
        <v>2.3494000000000002</v>
      </c>
      <c r="AC61" s="545">
        <f t="shared" si="141"/>
        <v>0.38600000000000001</v>
      </c>
      <c r="AD61" s="493">
        <f t="shared" si="142"/>
        <v>3.8136000000000001</v>
      </c>
      <c r="AE61" s="493">
        <f t="shared" si="143"/>
        <v>4.5946999999999996</v>
      </c>
      <c r="AF61" s="493">
        <f t="shared" si="144"/>
        <v>4.5946999999999996</v>
      </c>
      <c r="AG61" s="493" t="str">
        <f t="shared" si="145"/>
        <v>.</v>
      </c>
      <c r="AH61" s="493" t="str">
        <f t="shared" si="146"/>
        <v>.</v>
      </c>
      <c r="AI61" s="423">
        <f t="shared" si="147"/>
        <v>2077.79</v>
      </c>
      <c r="AJ61" s="423">
        <f t="shared" si="148"/>
        <v>9546.82</v>
      </c>
      <c r="AK61" s="423">
        <f t="shared" si="149"/>
        <v>795.57</v>
      </c>
      <c r="AN61" s="423">
        <f t="shared" si="191"/>
        <v>73885.13</v>
      </c>
      <c r="AO61" s="423">
        <f t="shared" si="191"/>
        <v>73030.06</v>
      </c>
      <c r="AR61" s="546">
        <f xml:space="preserve"> ROUND(  INDEX( Kx!61:61, AR$16 ),  AR$17 )</f>
        <v>0.73860000000000003</v>
      </c>
      <c r="AS61" s="547">
        <f xml:space="preserve"> ROUND(  INDEX( qx!61:61, AS$16 ),  AS$17 )</f>
        <v>4.5999999999999999E-3</v>
      </c>
      <c r="AT61" s="547">
        <f xml:space="preserve"> ROUND(  INDEX( qx!61:61, AT$16 ),  AT$17 )</f>
        <v>2.8999999999999998E-3</v>
      </c>
      <c r="AU61" s="548" t="str">
        <f t="shared" si="150"/>
        <v>F</v>
      </c>
      <c r="AV61" s="542">
        <f t="shared" si="151"/>
        <v>0.6532</v>
      </c>
      <c r="AW61" s="542">
        <f t="shared" si="152"/>
        <v>4.0000000000000001E-3</v>
      </c>
      <c r="AX61" s="546">
        <f xml:space="preserve"> ROUND(  INDEX( wx!61:61, AX$16 ),  AX$17 )</f>
        <v>7.0000000000000001E-3</v>
      </c>
      <c r="AY61" s="546">
        <f xml:space="preserve"> ROUND(  INDEX( wx!61:61, AY$16 ),  AY$17 )</f>
        <v>7.9000000000000008E-3</v>
      </c>
      <c r="AZ61" s="548" t="str">
        <f t="shared" si="153"/>
        <v>M</v>
      </c>
      <c r="BA61" s="542">
        <f t="shared" si="154"/>
        <v>0.80910000000000004</v>
      </c>
      <c r="BB61" s="542">
        <f t="shared" si="155"/>
        <v>7.1999999999999998E-3</v>
      </c>
      <c r="BC61" s="533">
        <f xml:space="preserve"> ROUND(  INDEX( Kx!61:61, BC$16 ),  BC$17 )</f>
        <v>4487.8599999999997</v>
      </c>
      <c r="BD61" s="533">
        <f xml:space="preserve"> ROUND(  INDEX( Kx!61:61, BD$16 ),  BD$17 )</f>
        <v>4380.8900000000003</v>
      </c>
      <c r="BE61" s="548" t="str">
        <f t="shared" si="52"/>
        <v>M</v>
      </c>
      <c r="BF61" s="542">
        <f t="shared" si="156"/>
        <v>0.80910000000000004</v>
      </c>
      <c r="BG61" s="420">
        <f t="shared" si="157"/>
        <v>4467.4399999999996</v>
      </c>
      <c r="BQ61" s="549">
        <f t="shared" si="96"/>
        <v>61</v>
      </c>
      <c r="BR61" s="423">
        <f t="shared" si="55"/>
        <v>71649.539999999994</v>
      </c>
      <c r="BS61" s="550">
        <f t="shared" si="158"/>
        <v>4467.4399999999996</v>
      </c>
      <c r="BT61" s="423">
        <f t="shared" si="159"/>
        <v>-388.83</v>
      </c>
      <c r="BU61" s="551">
        <f t="shared" si="160"/>
        <v>117898.98</v>
      </c>
      <c r="BV61" s="551">
        <f t="shared" si="161"/>
        <v>1.0367999999999999</v>
      </c>
      <c r="BW61" s="529">
        <f t="shared" si="162"/>
        <v>73885.13</v>
      </c>
      <c r="BX61" s="552">
        <f t="shared" si="163"/>
        <v>2624.4200000000128</v>
      </c>
      <c r="BY61" s="560"/>
      <c r="BZ61" s="559"/>
      <c r="CB61" s="423">
        <f t="shared" si="164"/>
        <v>-630.19000000000005</v>
      </c>
      <c r="CC61" s="423">
        <f t="shared" si="165"/>
        <v>1847.13</v>
      </c>
      <c r="CD61" s="423">
        <f t="shared" si="166"/>
        <v>850.67</v>
      </c>
      <c r="CE61" s="423">
        <f t="shared" si="167"/>
        <v>2067.61</v>
      </c>
      <c r="CF61" s="553">
        <f t="shared" si="168"/>
        <v>2067.5699999999924</v>
      </c>
      <c r="CH61" s="423">
        <f t="shared" si="169"/>
        <v>3852.4304390000002</v>
      </c>
      <c r="CI61" s="423">
        <f t="shared" si="170"/>
        <v>4467.25</v>
      </c>
      <c r="CJ61" s="423">
        <f t="shared" si="171"/>
        <v>215.07</v>
      </c>
      <c r="CK61" s="423">
        <f t="shared" si="172"/>
        <v>-829.92</v>
      </c>
      <c r="CL61" s="553">
        <f t="shared" si="173"/>
        <v>3852.3999999999996</v>
      </c>
      <c r="CN61" s="423">
        <f t="shared" si="71"/>
        <v>3898.5573770000001</v>
      </c>
      <c r="CO61" s="423">
        <f t="shared" si="174"/>
        <v>4467.25</v>
      </c>
      <c r="CP61" s="423">
        <f t="shared" si="175"/>
        <v>252.03</v>
      </c>
      <c r="CQ61" s="423">
        <f t="shared" si="176"/>
        <v>-820.76</v>
      </c>
      <c r="CR61" s="553">
        <f t="shared" si="75"/>
        <v>3898.5199999999995</v>
      </c>
      <c r="CV61" s="564">
        <f t="shared" si="98"/>
        <v>61</v>
      </c>
      <c r="CW61" s="538" t="str">
        <f t="shared" si="177"/>
        <v>.</v>
      </c>
      <c r="CX61" s="566">
        <f t="shared" si="178"/>
        <v>73030.06</v>
      </c>
      <c r="CY61" s="538">
        <f t="shared" si="179"/>
        <v>64884.08</v>
      </c>
      <c r="CZ61" s="538" t="str">
        <f t="shared" si="180"/>
        <v>.</v>
      </c>
      <c r="DA61" s="538" t="str">
        <f t="shared" si="181"/>
        <v>.</v>
      </c>
      <c r="DB61" s="567" t="e">
        <f t="shared" si="99"/>
        <v>#N/A</v>
      </c>
      <c r="DC61" s="567">
        <f t="shared" si="100"/>
        <v>73030.06</v>
      </c>
      <c r="DD61" s="567">
        <f t="shared" si="101"/>
        <v>64884.08</v>
      </c>
      <c r="DE61" s="567" t="e">
        <f t="shared" si="101"/>
        <v>#N/A</v>
      </c>
      <c r="DF61" s="568" t="e">
        <f t="shared" si="102"/>
        <v>#N/A</v>
      </c>
      <c r="EL61" s="553">
        <f t="shared" si="81"/>
        <v>35326.35</v>
      </c>
      <c r="EM61" s="553">
        <f t="shared" si="182"/>
        <v>37710.550000000003</v>
      </c>
      <c r="EN61" s="423">
        <f t="shared" si="183"/>
        <v>73036.899999999994</v>
      </c>
      <c r="EO61" s="555">
        <f xml:space="preserve"> 'i2'!AO61</f>
        <v>73030.06</v>
      </c>
      <c r="EV61" s="533" t="e">
        <f xml:space="preserve"> ROUND(    IF( $A$15=BE_MF_,   LEER,   INDEX( Kx!61:61, EV$16 ) ),    EV$17    )</f>
        <v>#VALUE!</v>
      </c>
      <c r="EW61" s="533" t="e">
        <f xml:space="preserve"> ROUND(    IF( $A$15=BE_MF_,   LEER,   INDEX( Kx!61:61, EW$16 ) ),    EW$17    )</f>
        <v>#VALUE!</v>
      </c>
      <c r="EX61" s="533" t="e">
        <f xml:space="preserve"> ROUND(    IF( $A$15=BE_MF_,   LEER,   INDEX( Kx!61:61, EX$16 ) ),    EX$17    )</f>
        <v>#VALUE!</v>
      </c>
      <c r="EY61" s="556" t="e">
        <f t="shared" si="103"/>
        <v>#VALUE!</v>
      </c>
      <c r="FB61" s="533" t="e">
        <f xml:space="preserve"> ROUND(    IF( $A$15=BE_MF_,   LEER,   INDEX( Kx!61:61, FB$16 ) ),    FB$17    )</f>
        <v>#VALUE!</v>
      </c>
      <c r="FC61" s="533" t="e">
        <f xml:space="preserve"> ROUND(    IF( $A$15=BE_MF_,   LEER,   INDEX( Kx!61:61, FC$16 ) ),    FC$17    )</f>
        <v>#VALUE!</v>
      </c>
      <c r="FD61" s="556" t="e">
        <f t="shared" si="104"/>
        <v>#VALUE!</v>
      </c>
      <c r="FG61" s="556" t="e">
        <f t="shared" si="105"/>
        <v>#VALUE!</v>
      </c>
      <c r="FH61" s="556" t="e">
        <f t="shared" si="105"/>
        <v>#VALUE!</v>
      </c>
      <c r="FI61" s="556" t="e">
        <f t="shared" si="105"/>
        <v>#VALUE!</v>
      </c>
      <c r="FN61" s="557">
        <f t="shared" si="184"/>
        <v>61</v>
      </c>
      <c r="FO61" s="493">
        <f t="shared" si="185"/>
        <v>69.929299999999998</v>
      </c>
      <c r="FP61" s="493">
        <f t="shared" si="186"/>
        <v>18.537199999999999</v>
      </c>
      <c r="FR61" s="427">
        <f t="shared" si="106"/>
        <v>2373351.0199999996</v>
      </c>
      <c r="FS61" s="558">
        <f t="shared" si="187"/>
        <v>99063.3</v>
      </c>
      <c r="FT61" s="558">
        <f t="shared" si="187"/>
        <v>97503.39</v>
      </c>
      <c r="FU61" s="558">
        <f t="shared" si="187"/>
        <v>95939.62</v>
      </c>
      <c r="FV61" s="558">
        <f t="shared" si="187"/>
        <v>94375.86</v>
      </c>
      <c r="FW61" s="558">
        <f t="shared" si="187"/>
        <v>92758.17</v>
      </c>
      <c r="FX61" s="558">
        <f t="shared" si="187"/>
        <v>91094.26</v>
      </c>
      <c r="FY61" s="558">
        <f t="shared" si="187"/>
        <v>89445.759999999995</v>
      </c>
      <c r="FZ61" s="558">
        <f t="shared" si="187"/>
        <v>87785.7</v>
      </c>
      <c r="GA61" s="558">
        <f t="shared" si="187"/>
        <v>86067.87</v>
      </c>
      <c r="GB61" s="558">
        <f t="shared" si="187"/>
        <v>84280.71</v>
      </c>
      <c r="GC61" s="558">
        <f t="shared" si="187"/>
        <v>82481.990000000005</v>
      </c>
      <c r="GD61" s="558">
        <f t="shared" si="187"/>
        <v>80656.31</v>
      </c>
      <c r="GE61" s="558">
        <f t="shared" si="187"/>
        <v>78788.27</v>
      </c>
      <c r="GF61" s="558">
        <f t="shared" si="187"/>
        <v>76912.52</v>
      </c>
      <c r="GG61" s="558">
        <f t="shared" si="187"/>
        <v>74978.990000000005</v>
      </c>
      <c r="GH61" s="558">
        <f t="shared" si="187"/>
        <v>73030.06</v>
      </c>
      <c r="GI61" s="558">
        <f t="shared" si="126"/>
        <v>71023.360000000001</v>
      </c>
      <c r="GJ61" s="558">
        <f t="shared" si="126"/>
        <v>68970.429999999993</v>
      </c>
      <c r="GK61" s="558">
        <f t="shared" si="126"/>
        <v>66859.73</v>
      </c>
      <c r="GL61" s="558">
        <f t="shared" si="126"/>
        <v>64687.41</v>
      </c>
      <c r="GM61" s="558">
        <f t="shared" si="126"/>
        <v>62449.599999999999</v>
      </c>
      <c r="GN61" s="558">
        <f t="shared" si="126"/>
        <v>60127.07</v>
      </c>
      <c r="GO61" s="558">
        <f t="shared" si="126"/>
        <v>57719.79</v>
      </c>
      <c r="GP61" s="558">
        <f t="shared" si="126"/>
        <v>55223.93</v>
      </c>
      <c r="GQ61" s="558">
        <f t="shared" si="126"/>
        <v>52627.92</v>
      </c>
      <c r="GR61" s="558">
        <f t="shared" si="126"/>
        <v>49951.03</v>
      </c>
      <c r="GS61" s="558">
        <f t="shared" si="126"/>
        <v>47181.7</v>
      </c>
      <c r="GT61" s="558">
        <f t="shared" si="126"/>
        <v>44327.63</v>
      </c>
      <c r="GU61" s="558">
        <f t="shared" si="126"/>
        <v>41396.54</v>
      </c>
      <c r="GV61" s="558">
        <f t="shared" si="126"/>
        <v>38392.26</v>
      </c>
      <c r="GW61" s="558">
        <f t="shared" si="126"/>
        <v>35326.35</v>
      </c>
      <c r="GX61" s="558">
        <f t="shared" si="188"/>
        <v>32187.26</v>
      </c>
      <c r="GY61" s="558">
        <f t="shared" si="188"/>
        <v>29005.81</v>
      </c>
      <c r="GZ61" s="558">
        <f t="shared" si="188"/>
        <v>25766.58</v>
      </c>
      <c r="HA61" s="558">
        <f t="shared" si="188"/>
        <v>22492.68</v>
      </c>
      <c r="HB61" s="558">
        <f t="shared" si="188"/>
        <v>19184.12</v>
      </c>
      <c r="HC61" s="558">
        <f t="shared" si="188"/>
        <v>15837.05</v>
      </c>
      <c r="HD61" s="558">
        <f t="shared" si="188"/>
        <v>12463.01</v>
      </c>
      <c r="HE61" s="558">
        <f t="shared" si="188"/>
        <v>9038.9</v>
      </c>
      <c r="HF61" s="558">
        <f t="shared" si="188"/>
        <v>5541.61</v>
      </c>
      <c r="HG61" s="558">
        <f t="shared" si="188"/>
        <v>1994.25</v>
      </c>
      <c r="HH61" s="558">
        <f t="shared" si="188"/>
        <v>-1587.78</v>
      </c>
      <c r="HI61" s="558" t="str">
        <f t="shared" si="188"/>
        <v>.</v>
      </c>
      <c r="HJ61" s="558" t="str">
        <f t="shared" si="188"/>
        <v>.</v>
      </c>
      <c r="HK61" s="558" t="str">
        <f t="shared" si="188"/>
        <v>.</v>
      </c>
      <c r="HL61" s="558" t="str">
        <f t="shared" si="188"/>
        <v>.</v>
      </c>
      <c r="HM61" s="558" t="str">
        <f t="shared" si="188"/>
        <v>.</v>
      </c>
      <c r="HN61" s="558" t="str">
        <f t="shared" si="127"/>
        <v>.</v>
      </c>
      <c r="HO61" s="558" t="str">
        <f t="shared" si="127"/>
        <v>.</v>
      </c>
      <c r="HP61" s="558" t="str">
        <f t="shared" si="127"/>
        <v>.</v>
      </c>
      <c r="HQ61" s="558" t="str">
        <f t="shared" si="127"/>
        <v>.</v>
      </c>
      <c r="HR61" s="558" t="str">
        <f t="shared" si="127"/>
        <v>.</v>
      </c>
      <c r="HS61" s="558" t="str">
        <f t="shared" si="127"/>
        <v>.</v>
      </c>
      <c r="HT61" s="558" t="str">
        <f t="shared" si="127"/>
        <v>.</v>
      </c>
      <c r="HU61" s="558" t="str">
        <f t="shared" si="127"/>
        <v>.</v>
      </c>
      <c r="HV61" s="558" t="str">
        <f t="shared" si="127"/>
        <v>.</v>
      </c>
      <c r="HW61" s="558" t="str">
        <f t="shared" si="127"/>
        <v>.</v>
      </c>
      <c r="HX61" s="558" t="str">
        <f t="shared" si="127"/>
        <v>.</v>
      </c>
      <c r="HY61" s="558" t="str">
        <f t="shared" si="127"/>
        <v>.</v>
      </c>
      <c r="HZ61" s="558" t="str">
        <f t="shared" si="127"/>
        <v>.</v>
      </c>
      <c r="IA61" s="558" t="str">
        <f t="shared" si="127"/>
        <v>.</v>
      </c>
      <c r="IB61" s="558" t="str">
        <f t="shared" si="127"/>
        <v>.</v>
      </c>
      <c r="IC61" s="558" t="str">
        <f t="shared" si="127"/>
        <v>.</v>
      </c>
      <c r="ID61" s="558" t="str">
        <f t="shared" si="127"/>
        <v>.</v>
      </c>
      <c r="IE61" s="558" t="str">
        <f t="shared" si="128"/>
        <v>.</v>
      </c>
      <c r="IF61" s="558" t="str">
        <f t="shared" si="128"/>
        <v>.</v>
      </c>
      <c r="IG61" s="558" t="str">
        <f t="shared" si="128"/>
        <v>.</v>
      </c>
      <c r="IH61" s="558" t="str">
        <f t="shared" si="128"/>
        <v>.</v>
      </c>
      <c r="II61" s="558" t="str">
        <f t="shared" si="128"/>
        <v>.</v>
      </c>
      <c r="IJ61" s="558" t="str">
        <f t="shared" si="128"/>
        <v>.</v>
      </c>
      <c r="IK61" s="558" t="str">
        <f t="shared" si="128"/>
        <v>.</v>
      </c>
      <c r="IL61" s="558" t="str">
        <f t="shared" si="128"/>
        <v>.</v>
      </c>
      <c r="IM61" s="558" t="str">
        <f t="shared" si="128"/>
        <v>.</v>
      </c>
      <c r="IN61" s="558" t="str">
        <f t="shared" si="128"/>
        <v>.</v>
      </c>
      <c r="IO61" s="558" t="str">
        <f t="shared" si="128"/>
        <v>.</v>
      </c>
      <c r="IP61" s="558" t="str">
        <f t="shared" si="128"/>
        <v>.</v>
      </c>
      <c r="IQ61" s="558" t="str">
        <f t="shared" si="128"/>
        <v>.</v>
      </c>
      <c r="IR61" s="558" t="str">
        <f t="shared" si="122"/>
        <v>.</v>
      </c>
      <c r="IS61" s="558" t="str">
        <f t="shared" si="122"/>
        <v>.</v>
      </c>
      <c r="IT61" s="558" t="str">
        <f t="shared" si="122"/>
        <v>.</v>
      </c>
      <c r="IU61" s="558" t="str">
        <f t="shared" si="122"/>
        <v>.</v>
      </c>
      <c r="IV61" s="558" t="str">
        <f t="shared" si="122"/>
        <v>.</v>
      </c>
      <c r="IW61" s="558" t="str">
        <f t="shared" si="122"/>
        <v>.</v>
      </c>
      <c r="IX61" s="558" t="str">
        <f t="shared" si="122"/>
        <v>.</v>
      </c>
      <c r="IY61" s="558" t="str">
        <f t="shared" si="122"/>
        <v>.</v>
      </c>
      <c r="IZ61" s="558" t="str">
        <f t="shared" si="122"/>
        <v>.</v>
      </c>
      <c r="JA61" s="558" t="str">
        <f t="shared" ref="IZ61:JO76" si="192" xml:space="preserve"> IF(  OR( JA$18&gt;$FN61, $FN61&gt;$FS$12 ),  LEER,  ROUND( $FR$19 * ( $FO61 - JA$15 * $FP61 ), JA$17 )  )</f>
        <v>.</v>
      </c>
      <c r="JB61" s="558" t="str">
        <f t="shared" si="192"/>
        <v>.</v>
      </c>
      <c r="JC61" s="558" t="str">
        <f t="shared" si="192"/>
        <v>.</v>
      </c>
      <c r="JD61" s="558" t="str">
        <f t="shared" si="192"/>
        <v>.</v>
      </c>
      <c r="JE61" s="558" t="str">
        <f t="shared" si="192"/>
        <v>.</v>
      </c>
      <c r="JF61" s="558" t="str">
        <f t="shared" si="192"/>
        <v>.</v>
      </c>
      <c r="JG61" s="558" t="str">
        <f t="shared" si="192"/>
        <v>.</v>
      </c>
      <c r="JH61" s="558" t="str">
        <f t="shared" si="192"/>
        <v>.</v>
      </c>
      <c r="JI61" s="558" t="str">
        <f t="shared" si="192"/>
        <v>.</v>
      </c>
      <c r="JJ61" s="558" t="str">
        <f t="shared" si="192"/>
        <v>.</v>
      </c>
      <c r="JK61" s="558" t="str">
        <f t="shared" si="189"/>
        <v>.</v>
      </c>
      <c r="JL61" s="558" t="str">
        <f t="shared" si="189"/>
        <v>.</v>
      </c>
      <c r="JM61" s="558" t="str">
        <f t="shared" si="189"/>
        <v>.</v>
      </c>
      <c r="JN61" s="558" t="str">
        <f t="shared" si="189"/>
        <v>.</v>
      </c>
      <c r="JO61" s="558" t="str">
        <f t="shared" si="189"/>
        <v>.</v>
      </c>
    </row>
    <row r="62" spans="1:275" x14ac:dyDescent="0.2">
      <c r="A62" s="534">
        <f xml:space="preserve"> Basis!A62</f>
        <v>62</v>
      </c>
      <c r="F62" s="536">
        <f xml:space="preserve"> ROUND(    IF( $A$15=BE_MF_,   AW62,   INDEX( qx!62:62, F$16 ) ),    F$17    )</f>
        <v>4.4000000000000003E-3</v>
      </c>
      <c r="G62" s="536">
        <f xml:space="preserve"> ROUND(    IF( $A$15=BE_MF_,   BB62,   INDEX( wx!62:62, G$16 ) ),    G$17    )</f>
        <v>6.7000000000000002E-3</v>
      </c>
      <c r="H62" s="537">
        <f xml:space="preserve"> ROUND(    IF( $A$15=BE_MF_,   BG62,   INDEX( Kx!62:62, H$16 ) ),    H$17    )</f>
        <v>4706.04</v>
      </c>
      <c r="I62" s="538">
        <f t="shared" si="93"/>
        <v>4706.04</v>
      </c>
      <c r="J62" s="539">
        <f t="shared" si="129"/>
        <v>2.2650000000000001</v>
      </c>
      <c r="K62" s="540">
        <f t="shared" si="190"/>
        <v>2</v>
      </c>
      <c r="L62" s="541">
        <f t="shared" si="116"/>
        <v>0</v>
      </c>
      <c r="M62" s="541">
        <f t="shared" si="116"/>
        <v>8.5999999999999993E-2</v>
      </c>
      <c r="O62" s="542" t="b">
        <f t="shared" si="95"/>
        <v>1</v>
      </c>
      <c r="P62" s="493">
        <f t="shared" si="130"/>
        <v>1.11E-2</v>
      </c>
      <c r="Q62" s="493">
        <f t="shared" si="131"/>
        <v>0.9889</v>
      </c>
      <c r="R62" s="543">
        <f t="shared" si="132"/>
        <v>525743</v>
      </c>
      <c r="S62" s="544">
        <f t="shared" si="133"/>
        <v>0.97560975599999999</v>
      </c>
      <c r="T62" s="423">
        <f t="shared" si="134"/>
        <v>113734.92</v>
      </c>
      <c r="U62" s="423">
        <f xml:space="preserve"> IF( $O62,    ROUND(  SUM( T62:T$120), U$17 ),  LEER  )</f>
        <v>2067617.02</v>
      </c>
      <c r="V62" s="493">
        <f t="shared" si="135"/>
        <v>18.179300000000001</v>
      </c>
      <c r="W62" s="493">
        <f t="shared" si="136"/>
        <v>257609.59</v>
      </c>
      <c r="X62" s="493">
        <f xml:space="preserve"> IF( $O62,    ROUND(  SUM( W62:W$120), X$17 ),  LEER  )</f>
        <v>7991109.4100000001</v>
      </c>
      <c r="Y62" s="493">
        <f t="shared" si="137"/>
        <v>70.260800000000003</v>
      </c>
      <c r="Z62" s="493">
        <f t="shared" si="138"/>
        <v>3.8649</v>
      </c>
      <c r="AA62" s="493">
        <f t="shared" si="139"/>
        <v>1.0101</v>
      </c>
      <c r="AB62" s="493">
        <f t="shared" si="140"/>
        <v>2.3494000000000002</v>
      </c>
      <c r="AC62" s="545">
        <f t="shared" si="141"/>
        <v>0.38600000000000001</v>
      </c>
      <c r="AD62" s="493">
        <f t="shared" si="142"/>
        <v>3.9077999999999999</v>
      </c>
      <c r="AE62" s="493">
        <f t="shared" si="143"/>
        <v>4.6978</v>
      </c>
      <c r="AF62" s="493">
        <f t="shared" si="144"/>
        <v>4.6978</v>
      </c>
      <c r="AG62" s="493" t="str">
        <f t="shared" si="145"/>
        <v>.</v>
      </c>
      <c r="AH62" s="493" t="str">
        <f t="shared" si="146"/>
        <v>.</v>
      </c>
      <c r="AI62" s="423">
        <f t="shared" si="147"/>
        <v>2077.79</v>
      </c>
      <c r="AJ62" s="423">
        <f t="shared" si="148"/>
        <v>9761.0400000000009</v>
      </c>
      <c r="AK62" s="423">
        <f t="shared" si="149"/>
        <v>813.42</v>
      </c>
      <c r="AN62" s="423">
        <f t="shared" si="191"/>
        <v>75952.7</v>
      </c>
      <c r="AO62" s="423">
        <f t="shared" si="191"/>
        <v>75114.14</v>
      </c>
      <c r="AR62" s="546">
        <f xml:space="preserve"> ROUND(  INDEX( Kx!62:62, AR$16 ),  AR$17 )</f>
        <v>0.73860000000000003</v>
      </c>
      <c r="AS62" s="547">
        <f xml:space="preserve"> ROUND(  INDEX( qx!62:62, AS$16 ),  AS$17 )</f>
        <v>5.0000000000000001E-3</v>
      </c>
      <c r="AT62" s="547">
        <f xml:space="preserve"> ROUND(  INDEX( qx!62:62, AT$16 ),  AT$17 )</f>
        <v>3.2000000000000002E-3</v>
      </c>
      <c r="AU62" s="548" t="str">
        <f t="shared" si="150"/>
        <v>F</v>
      </c>
      <c r="AV62" s="542">
        <f t="shared" si="151"/>
        <v>0.6532</v>
      </c>
      <c r="AW62" s="542">
        <f t="shared" si="152"/>
        <v>4.4000000000000003E-3</v>
      </c>
      <c r="AX62" s="546">
        <f xml:space="preserve"> ROUND(  INDEX( wx!62:62, AX$16 ),  AX$17 )</f>
        <v>6.4999999999999997E-3</v>
      </c>
      <c r="AY62" s="546">
        <f xml:space="preserve"> ROUND(  INDEX( wx!62:62, AY$16 ),  AY$17 )</f>
        <v>7.6E-3</v>
      </c>
      <c r="AZ62" s="548" t="str">
        <f t="shared" si="153"/>
        <v>M</v>
      </c>
      <c r="BA62" s="542">
        <f t="shared" si="154"/>
        <v>0.80910000000000004</v>
      </c>
      <c r="BB62" s="542">
        <f t="shared" si="155"/>
        <v>6.7000000000000002E-3</v>
      </c>
      <c r="BC62" s="533">
        <f xml:space="preserve"> ROUND(  INDEX( Kx!62:62, BC$16 ),  BC$17 )</f>
        <v>4746.25</v>
      </c>
      <c r="BD62" s="533">
        <f xml:space="preserve"> ROUND(  INDEX( Kx!62:62, BD$16 ),  BD$17 )</f>
        <v>4535.6400000000003</v>
      </c>
      <c r="BE62" s="548" t="str">
        <f t="shared" si="52"/>
        <v>M</v>
      </c>
      <c r="BF62" s="542">
        <f t="shared" si="156"/>
        <v>0.80910000000000004</v>
      </c>
      <c r="BG62" s="420">
        <f t="shared" si="157"/>
        <v>4706.04</v>
      </c>
      <c r="BQ62" s="549">
        <f t="shared" si="96"/>
        <v>62</v>
      </c>
      <c r="BR62" s="423">
        <f t="shared" si="55"/>
        <v>73885.13</v>
      </c>
      <c r="BS62" s="550">
        <f t="shared" si="158"/>
        <v>4706.04</v>
      </c>
      <c r="BT62" s="423">
        <f t="shared" si="159"/>
        <v>-615.01</v>
      </c>
      <c r="BU62" s="551">
        <f t="shared" si="160"/>
        <v>113734.92</v>
      </c>
      <c r="BV62" s="551">
        <f t="shared" si="161"/>
        <v>1.0366</v>
      </c>
      <c r="BW62" s="529">
        <f t="shared" si="162"/>
        <v>75952.7</v>
      </c>
      <c r="BX62" s="552">
        <f t="shared" si="163"/>
        <v>2682.5799999999872</v>
      </c>
      <c r="BY62" s="560"/>
      <c r="BZ62" s="559"/>
      <c r="CB62" s="423">
        <f t="shared" si="164"/>
        <v>-875.11</v>
      </c>
      <c r="CC62" s="423">
        <f t="shared" si="165"/>
        <v>1898.82</v>
      </c>
      <c r="CD62" s="423">
        <f t="shared" si="166"/>
        <v>864.03</v>
      </c>
      <c r="CE62" s="423">
        <f t="shared" si="167"/>
        <v>1887.7399999999998</v>
      </c>
      <c r="CF62" s="553">
        <f t="shared" si="168"/>
        <v>1888.070000000007</v>
      </c>
      <c r="CH62" s="423">
        <f t="shared" si="169"/>
        <v>3852.4304390000002</v>
      </c>
      <c r="CI62" s="423">
        <f t="shared" si="170"/>
        <v>4706.1899999999996</v>
      </c>
      <c r="CJ62" s="423">
        <f t="shared" si="171"/>
        <v>-10.49</v>
      </c>
      <c r="CK62" s="423">
        <f t="shared" si="172"/>
        <v>-842.96</v>
      </c>
      <c r="CL62" s="553">
        <f t="shared" si="173"/>
        <v>3852.74</v>
      </c>
      <c r="CN62" s="423">
        <f t="shared" si="71"/>
        <v>3898.5573770000001</v>
      </c>
      <c r="CO62" s="423">
        <f t="shared" si="174"/>
        <v>4706.1899999999996</v>
      </c>
      <c r="CP62" s="423">
        <f t="shared" si="175"/>
        <v>26.76</v>
      </c>
      <c r="CQ62" s="423">
        <f t="shared" si="176"/>
        <v>-834.06</v>
      </c>
      <c r="CR62" s="553">
        <f t="shared" si="75"/>
        <v>3898.89</v>
      </c>
      <c r="CV62" s="564">
        <f t="shared" si="98"/>
        <v>62</v>
      </c>
      <c r="CW62" s="538" t="str">
        <f t="shared" si="177"/>
        <v>.</v>
      </c>
      <c r="CX62" s="566">
        <f t="shared" si="178"/>
        <v>75114.14</v>
      </c>
      <c r="CY62" s="538">
        <f t="shared" si="179"/>
        <v>67259.61</v>
      </c>
      <c r="CZ62" s="538" t="str">
        <f t="shared" si="180"/>
        <v>.</v>
      </c>
      <c r="DA62" s="538" t="str">
        <f t="shared" si="181"/>
        <v>.</v>
      </c>
      <c r="DB62" s="567" t="e">
        <f t="shared" si="99"/>
        <v>#N/A</v>
      </c>
      <c r="DC62" s="567">
        <f t="shared" si="100"/>
        <v>75114.14</v>
      </c>
      <c r="DD62" s="567">
        <f t="shared" si="101"/>
        <v>67259.61</v>
      </c>
      <c r="DE62" s="567" t="e">
        <f t="shared" si="101"/>
        <v>#N/A</v>
      </c>
      <c r="DF62" s="568" t="e">
        <f t="shared" si="102"/>
        <v>#N/A</v>
      </c>
      <c r="EL62" s="553">
        <f t="shared" si="81"/>
        <v>38138.379999999997</v>
      </c>
      <c r="EM62" s="553">
        <f t="shared" si="182"/>
        <v>36982.46</v>
      </c>
      <c r="EN62" s="423">
        <f t="shared" si="183"/>
        <v>75120.84</v>
      </c>
      <c r="EO62" s="555">
        <f xml:space="preserve"> 'i2'!AO62</f>
        <v>75114.14</v>
      </c>
      <c r="EV62" s="533" t="e">
        <f xml:space="preserve"> ROUND(    IF( $A$15=BE_MF_,   LEER,   INDEX( Kx!62:62, EV$16 ) ),    EV$17    )</f>
        <v>#VALUE!</v>
      </c>
      <c r="EW62" s="533" t="e">
        <f xml:space="preserve"> ROUND(    IF( $A$15=BE_MF_,   LEER,   INDEX( Kx!62:62, EW$16 ) ),    EW$17    )</f>
        <v>#VALUE!</v>
      </c>
      <c r="EX62" s="533" t="e">
        <f xml:space="preserve"> ROUND(    IF( $A$15=BE_MF_,   LEER,   INDEX( Kx!62:62, EX$16 ) ),    EX$17    )</f>
        <v>#VALUE!</v>
      </c>
      <c r="EY62" s="556" t="e">
        <f t="shared" si="103"/>
        <v>#VALUE!</v>
      </c>
      <c r="FB62" s="533" t="e">
        <f xml:space="preserve"> ROUND(    IF( $A$15=BE_MF_,   LEER,   INDEX( Kx!62:62, FB$16 ) ),    FB$17    )</f>
        <v>#VALUE!</v>
      </c>
      <c r="FC62" s="533" t="e">
        <f xml:space="preserve"> ROUND(    IF( $A$15=BE_MF_,   LEER,   INDEX( Kx!62:62, FC$16 ) ),    FC$17    )</f>
        <v>#VALUE!</v>
      </c>
      <c r="FD62" s="556" t="e">
        <f t="shared" si="104"/>
        <v>#VALUE!</v>
      </c>
      <c r="FG62" s="556" t="e">
        <f t="shared" si="105"/>
        <v>#VALUE!</v>
      </c>
      <c r="FH62" s="556" t="e">
        <f t="shared" si="105"/>
        <v>#VALUE!</v>
      </c>
      <c r="FI62" s="556" t="e">
        <f t="shared" si="105"/>
        <v>#VALUE!</v>
      </c>
      <c r="FN62" s="557">
        <f t="shared" si="184"/>
        <v>62</v>
      </c>
      <c r="FO62" s="493">
        <f t="shared" si="185"/>
        <v>70.260800000000003</v>
      </c>
      <c r="FP62" s="493">
        <f t="shared" si="186"/>
        <v>18.179300000000001</v>
      </c>
      <c r="FR62" s="427">
        <f t="shared" si="106"/>
        <v>2472658.62</v>
      </c>
      <c r="FS62" s="558">
        <f t="shared" si="187"/>
        <v>100644.76</v>
      </c>
      <c r="FT62" s="558">
        <f t="shared" si="187"/>
        <v>99114.96</v>
      </c>
      <c r="FU62" s="558">
        <f t="shared" si="187"/>
        <v>97581.39</v>
      </c>
      <c r="FV62" s="558">
        <f t="shared" si="187"/>
        <v>96047.81</v>
      </c>
      <c r="FW62" s="558">
        <f t="shared" si="187"/>
        <v>94461.36</v>
      </c>
      <c r="FX62" s="558">
        <f t="shared" si="187"/>
        <v>92829.57</v>
      </c>
      <c r="FY62" s="558">
        <f t="shared" si="187"/>
        <v>91212.9</v>
      </c>
      <c r="FZ62" s="558">
        <f t="shared" si="187"/>
        <v>89584.89</v>
      </c>
      <c r="GA62" s="558">
        <f t="shared" si="187"/>
        <v>87900.23</v>
      </c>
      <c r="GB62" s="558">
        <f t="shared" si="187"/>
        <v>86147.57</v>
      </c>
      <c r="GC62" s="558">
        <f t="shared" si="187"/>
        <v>84383.58</v>
      </c>
      <c r="GD62" s="558">
        <f t="shared" si="187"/>
        <v>82593.149999999994</v>
      </c>
      <c r="GE62" s="558">
        <f t="shared" si="187"/>
        <v>80761.17</v>
      </c>
      <c r="GF62" s="558">
        <f t="shared" si="187"/>
        <v>78921.64</v>
      </c>
      <c r="GG62" s="558">
        <f t="shared" si="187"/>
        <v>77025.45</v>
      </c>
      <c r="GH62" s="558">
        <f t="shared" si="187"/>
        <v>75114.14</v>
      </c>
      <c r="GI62" s="558">
        <f t="shared" si="126"/>
        <v>73146.179999999993</v>
      </c>
      <c r="GJ62" s="558">
        <f t="shared" si="126"/>
        <v>71132.89</v>
      </c>
      <c r="GK62" s="558">
        <f t="shared" si="126"/>
        <v>69062.95</v>
      </c>
      <c r="GL62" s="558">
        <f t="shared" si="126"/>
        <v>66932.56</v>
      </c>
      <c r="GM62" s="558">
        <f t="shared" si="126"/>
        <v>64737.96</v>
      </c>
      <c r="GN62" s="558">
        <f t="shared" si="126"/>
        <v>62460.27</v>
      </c>
      <c r="GO62" s="558">
        <f t="shared" si="126"/>
        <v>60099.47</v>
      </c>
      <c r="GP62" s="558">
        <f t="shared" si="126"/>
        <v>57651.79</v>
      </c>
      <c r="GQ62" s="558">
        <f t="shared" si="126"/>
        <v>55105.91</v>
      </c>
      <c r="GR62" s="558">
        <f t="shared" si="126"/>
        <v>52480.7</v>
      </c>
      <c r="GS62" s="558">
        <f t="shared" si="126"/>
        <v>49764.84</v>
      </c>
      <c r="GT62" s="558">
        <f t="shared" si="126"/>
        <v>46965.88</v>
      </c>
      <c r="GU62" s="558">
        <f t="shared" si="126"/>
        <v>44091.37</v>
      </c>
      <c r="GV62" s="558">
        <f t="shared" si="126"/>
        <v>41145.089999999997</v>
      </c>
      <c r="GW62" s="558">
        <f t="shared" si="126"/>
        <v>38138.379999999997</v>
      </c>
      <c r="GX62" s="558">
        <f t="shared" si="188"/>
        <v>35059.9</v>
      </c>
      <c r="GY62" s="558">
        <f t="shared" si="188"/>
        <v>31939.87</v>
      </c>
      <c r="GZ62" s="558">
        <f t="shared" si="188"/>
        <v>28763.18</v>
      </c>
      <c r="HA62" s="558">
        <f t="shared" si="188"/>
        <v>25552.49</v>
      </c>
      <c r="HB62" s="558">
        <f t="shared" si="188"/>
        <v>22307.81</v>
      </c>
      <c r="HC62" s="558">
        <f t="shared" si="188"/>
        <v>19025.36</v>
      </c>
      <c r="HD62" s="558">
        <f t="shared" si="188"/>
        <v>15716.47</v>
      </c>
      <c r="HE62" s="558">
        <f t="shared" si="188"/>
        <v>12358.47</v>
      </c>
      <c r="HF62" s="558">
        <f t="shared" si="188"/>
        <v>8928.7000000000007</v>
      </c>
      <c r="HG62" s="558">
        <f t="shared" si="188"/>
        <v>5449.83</v>
      </c>
      <c r="HH62" s="558">
        <f t="shared" si="188"/>
        <v>1936.96</v>
      </c>
      <c r="HI62" s="558">
        <f t="shared" si="188"/>
        <v>-1621.23</v>
      </c>
      <c r="HJ62" s="558" t="str">
        <f t="shared" si="188"/>
        <v>.</v>
      </c>
      <c r="HK62" s="558" t="str">
        <f t="shared" si="188"/>
        <v>.</v>
      </c>
      <c r="HL62" s="558" t="str">
        <f t="shared" si="188"/>
        <v>.</v>
      </c>
      <c r="HM62" s="558" t="str">
        <f t="shared" si="188"/>
        <v>.</v>
      </c>
      <c r="HN62" s="558" t="str">
        <f t="shared" si="127"/>
        <v>.</v>
      </c>
      <c r="HO62" s="558" t="str">
        <f t="shared" si="127"/>
        <v>.</v>
      </c>
      <c r="HP62" s="558" t="str">
        <f t="shared" si="127"/>
        <v>.</v>
      </c>
      <c r="HQ62" s="558" t="str">
        <f t="shared" si="127"/>
        <v>.</v>
      </c>
      <c r="HR62" s="558" t="str">
        <f t="shared" si="127"/>
        <v>.</v>
      </c>
      <c r="HS62" s="558" t="str">
        <f t="shared" si="127"/>
        <v>.</v>
      </c>
      <c r="HT62" s="558" t="str">
        <f t="shared" si="127"/>
        <v>.</v>
      </c>
      <c r="HU62" s="558" t="str">
        <f t="shared" si="127"/>
        <v>.</v>
      </c>
      <c r="HV62" s="558" t="str">
        <f t="shared" si="127"/>
        <v>.</v>
      </c>
      <c r="HW62" s="558" t="str">
        <f t="shared" si="127"/>
        <v>.</v>
      </c>
      <c r="HX62" s="558" t="str">
        <f t="shared" si="127"/>
        <v>.</v>
      </c>
      <c r="HY62" s="558" t="str">
        <f t="shared" si="127"/>
        <v>.</v>
      </c>
      <c r="HZ62" s="558" t="str">
        <f t="shared" si="127"/>
        <v>.</v>
      </c>
      <c r="IA62" s="558" t="str">
        <f t="shared" si="127"/>
        <v>.</v>
      </c>
      <c r="IB62" s="558" t="str">
        <f t="shared" si="127"/>
        <v>.</v>
      </c>
      <c r="IC62" s="558" t="str">
        <f t="shared" si="127"/>
        <v>.</v>
      </c>
      <c r="ID62" s="558" t="str">
        <f t="shared" si="127"/>
        <v>.</v>
      </c>
      <c r="IE62" s="558" t="str">
        <f t="shared" si="128"/>
        <v>.</v>
      </c>
      <c r="IF62" s="558" t="str">
        <f t="shared" si="128"/>
        <v>.</v>
      </c>
      <c r="IG62" s="558" t="str">
        <f t="shared" si="128"/>
        <v>.</v>
      </c>
      <c r="IH62" s="558" t="str">
        <f t="shared" si="128"/>
        <v>.</v>
      </c>
      <c r="II62" s="558" t="str">
        <f t="shared" si="128"/>
        <v>.</v>
      </c>
      <c r="IJ62" s="558" t="str">
        <f t="shared" si="128"/>
        <v>.</v>
      </c>
      <c r="IK62" s="558" t="str">
        <f t="shared" si="128"/>
        <v>.</v>
      </c>
      <c r="IL62" s="558" t="str">
        <f t="shared" si="128"/>
        <v>.</v>
      </c>
      <c r="IM62" s="558" t="str">
        <f t="shared" si="128"/>
        <v>.</v>
      </c>
      <c r="IN62" s="558" t="str">
        <f t="shared" si="128"/>
        <v>.</v>
      </c>
      <c r="IO62" s="558" t="str">
        <f t="shared" si="128"/>
        <v>.</v>
      </c>
      <c r="IP62" s="558" t="str">
        <f t="shared" si="128"/>
        <v>.</v>
      </c>
      <c r="IQ62" s="558" t="str">
        <f t="shared" si="128"/>
        <v>.</v>
      </c>
      <c r="IR62" s="558" t="str">
        <f t="shared" si="128"/>
        <v>.</v>
      </c>
      <c r="IS62" s="558" t="str">
        <f t="shared" si="128"/>
        <v>.</v>
      </c>
      <c r="IT62" s="558" t="str">
        <f t="shared" si="128"/>
        <v>.</v>
      </c>
      <c r="IU62" s="558" t="str">
        <f t="shared" si="128"/>
        <v>.</v>
      </c>
      <c r="IV62" s="558" t="str">
        <f t="shared" si="128"/>
        <v>.</v>
      </c>
      <c r="IW62" s="558" t="str">
        <f t="shared" si="128"/>
        <v>.</v>
      </c>
      <c r="IX62" s="558" t="str">
        <f t="shared" si="128"/>
        <v>.</v>
      </c>
      <c r="IY62" s="558" t="str">
        <f t="shared" si="128"/>
        <v>.</v>
      </c>
      <c r="IZ62" s="558" t="str">
        <f t="shared" si="128"/>
        <v>.</v>
      </c>
      <c r="JA62" s="558" t="str">
        <f t="shared" si="128"/>
        <v>.</v>
      </c>
      <c r="JB62" s="558" t="str">
        <f t="shared" si="128"/>
        <v>.</v>
      </c>
      <c r="JC62" s="558" t="str">
        <f t="shared" si="128"/>
        <v>.</v>
      </c>
      <c r="JD62" s="558" t="str">
        <f t="shared" si="192"/>
        <v>.</v>
      </c>
      <c r="JE62" s="558" t="str">
        <f t="shared" si="192"/>
        <v>.</v>
      </c>
      <c r="JF62" s="558" t="str">
        <f t="shared" si="192"/>
        <v>.</v>
      </c>
      <c r="JG62" s="558" t="str">
        <f t="shared" si="192"/>
        <v>.</v>
      </c>
      <c r="JH62" s="558" t="str">
        <f t="shared" si="192"/>
        <v>.</v>
      </c>
      <c r="JI62" s="558" t="str">
        <f t="shared" si="192"/>
        <v>.</v>
      </c>
      <c r="JJ62" s="558" t="str">
        <f t="shared" si="192"/>
        <v>.</v>
      </c>
      <c r="JK62" s="558" t="str">
        <f t="shared" si="189"/>
        <v>.</v>
      </c>
      <c r="JL62" s="558" t="str">
        <f t="shared" si="189"/>
        <v>.</v>
      </c>
      <c r="JM62" s="558" t="str">
        <f t="shared" si="189"/>
        <v>.</v>
      </c>
      <c r="JN62" s="558" t="str">
        <f t="shared" si="189"/>
        <v>.</v>
      </c>
      <c r="JO62" s="558" t="str">
        <f t="shared" si="189"/>
        <v>.</v>
      </c>
    </row>
    <row r="63" spans="1:275" x14ac:dyDescent="0.2">
      <c r="A63" s="534">
        <f xml:space="preserve"> Basis!A63</f>
        <v>63</v>
      </c>
      <c r="F63" s="536">
        <f xml:space="preserve"> ROUND(    IF( $A$15=BE_MF_,   AW63,   INDEX( qx!63:63, F$16 ) ),    F$17    )</f>
        <v>4.7000000000000002E-3</v>
      </c>
      <c r="G63" s="536">
        <f xml:space="preserve"> ROUND(    IF( $A$15=BE_MF_,   BB63,   INDEX( wx!63:63, G$16 ) ),    G$17    )</f>
        <v>6.4000000000000003E-3</v>
      </c>
      <c r="H63" s="537">
        <f xml:space="preserve"> ROUND(    IF( $A$15=BE_MF_,   BG63,   INDEX( Kx!63:63, H$16 ) ),    H$17    )</f>
        <v>4955.95</v>
      </c>
      <c r="I63" s="538">
        <f t="shared" si="93"/>
        <v>4955.95</v>
      </c>
      <c r="J63" s="539">
        <f t="shared" si="129"/>
        <v>2.3849999999999998</v>
      </c>
      <c r="K63" s="540">
        <f t="shared" si="190"/>
        <v>2</v>
      </c>
      <c r="L63" s="541">
        <f t="shared" si="116"/>
        <v>0</v>
      </c>
      <c r="M63" s="541">
        <f t="shared" si="116"/>
        <v>8.5999999999999993E-2</v>
      </c>
      <c r="O63" s="542" t="b">
        <f t="shared" si="95"/>
        <v>1</v>
      </c>
      <c r="P63" s="493">
        <f t="shared" si="130"/>
        <v>1.11E-2</v>
      </c>
      <c r="Q63" s="493">
        <f t="shared" si="131"/>
        <v>0.9889</v>
      </c>
      <c r="R63" s="543">
        <f t="shared" si="132"/>
        <v>519907</v>
      </c>
      <c r="S63" s="544">
        <f t="shared" si="133"/>
        <v>0.97560975599999999</v>
      </c>
      <c r="T63" s="423">
        <f t="shared" si="134"/>
        <v>109729.18</v>
      </c>
      <c r="U63" s="423">
        <f xml:space="preserve"> IF( $O63,    ROUND(  SUM( T63:T$120), U$17 ),  LEER  )</f>
        <v>1953882.1</v>
      </c>
      <c r="V63" s="493">
        <f t="shared" si="135"/>
        <v>17.8064</v>
      </c>
      <c r="W63" s="493">
        <f t="shared" si="136"/>
        <v>261704.09</v>
      </c>
      <c r="X63" s="493">
        <f xml:space="preserve"> IF( $O63,    ROUND(  SUM( W63:W$120), X$17 ),  LEER  )</f>
        <v>7733499.8200000003</v>
      </c>
      <c r="Y63" s="493">
        <f t="shared" si="137"/>
        <v>70.478099999999998</v>
      </c>
      <c r="Z63" s="493">
        <f t="shared" si="138"/>
        <v>3.9580000000000002</v>
      </c>
      <c r="AA63" s="493">
        <f t="shared" si="139"/>
        <v>1.0103</v>
      </c>
      <c r="AB63" s="493">
        <f t="shared" si="140"/>
        <v>2.3494000000000002</v>
      </c>
      <c r="AC63" s="545">
        <f t="shared" si="141"/>
        <v>0.38600000000000001</v>
      </c>
      <c r="AD63" s="493">
        <f t="shared" si="142"/>
        <v>4.0026999999999999</v>
      </c>
      <c r="AE63" s="493">
        <f t="shared" si="143"/>
        <v>4.8015999999999996</v>
      </c>
      <c r="AF63" s="493">
        <f t="shared" si="144"/>
        <v>4.8015999999999996</v>
      </c>
      <c r="AG63" s="493" t="str">
        <f t="shared" si="145"/>
        <v>.</v>
      </c>
      <c r="AH63" s="493" t="str">
        <f t="shared" si="146"/>
        <v>.</v>
      </c>
      <c r="AI63" s="423">
        <f t="shared" si="147"/>
        <v>2077.79</v>
      </c>
      <c r="AJ63" s="423">
        <f t="shared" si="148"/>
        <v>9976.7199999999993</v>
      </c>
      <c r="AK63" s="423">
        <f t="shared" si="149"/>
        <v>831.39</v>
      </c>
      <c r="AN63" s="423">
        <f t="shared" si="191"/>
        <v>77840.77</v>
      </c>
      <c r="AO63" s="423">
        <f t="shared" si="191"/>
        <v>77019.42</v>
      </c>
      <c r="AR63" s="546">
        <f xml:space="preserve"> ROUND(  INDEX( Kx!63:63, AR$16 ),  AR$17 )</f>
        <v>0.7298</v>
      </c>
      <c r="AS63" s="547">
        <f xml:space="preserve"> ROUND(  INDEX( qx!63:63, AS$16 ),  AS$17 )</f>
        <v>5.4000000000000003E-3</v>
      </c>
      <c r="AT63" s="547">
        <f xml:space="preserve"> ROUND(  INDEX( qx!63:63, AT$16 ),  AT$17 )</f>
        <v>3.5000000000000001E-3</v>
      </c>
      <c r="AU63" s="548" t="str">
        <f t="shared" si="150"/>
        <v>F</v>
      </c>
      <c r="AV63" s="542">
        <f t="shared" si="151"/>
        <v>0.64290000000000003</v>
      </c>
      <c r="AW63" s="542">
        <f t="shared" si="152"/>
        <v>4.7000000000000002E-3</v>
      </c>
      <c r="AX63" s="546">
        <f xml:space="preserve"> ROUND(  INDEX( wx!63:63, AX$16 ),  AX$17 )</f>
        <v>6.1999999999999998E-3</v>
      </c>
      <c r="AY63" s="546">
        <f xml:space="preserve"> ROUND(  INDEX( wx!63:63, AY$16 ),  AY$17 )</f>
        <v>7.0000000000000001E-3</v>
      </c>
      <c r="AZ63" s="548" t="str">
        <f t="shared" si="153"/>
        <v>M</v>
      </c>
      <c r="BA63" s="542">
        <f t="shared" si="154"/>
        <v>0.80200000000000005</v>
      </c>
      <c r="BB63" s="542">
        <f t="shared" si="155"/>
        <v>6.4000000000000003E-3</v>
      </c>
      <c r="BC63" s="533">
        <f xml:space="preserve"> ROUND(  INDEX( Kx!63:63, BC$16 ),  BC$17 )</f>
        <v>5018.3599999999997</v>
      </c>
      <c r="BD63" s="533">
        <f xml:space="preserve"> ROUND(  INDEX( Kx!63:63, BD$16 ),  BD$17 )</f>
        <v>4703.16</v>
      </c>
      <c r="BE63" s="548" t="str">
        <f t="shared" si="52"/>
        <v>M</v>
      </c>
      <c r="BF63" s="542">
        <f t="shared" si="156"/>
        <v>0.80200000000000005</v>
      </c>
      <c r="BG63" s="420">
        <f t="shared" si="157"/>
        <v>4955.95</v>
      </c>
      <c r="BQ63" s="549">
        <f t="shared" si="96"/>
        <v>63</v>
      </c>
      <c r="BR63" s="423">
        <f t="shared" si="55"/>
        <v>75952.7</v>
      </c>
      <c r="BS63" s="550">
        <f t="shared" si="158"/>
        <v>4955.95</v>
      </c>
      <c r="BT63" s="423">
        <f t="shared" si="159"/>
        <v>-853.61</v>
      </c>
      <c r="BU63" s="551">
        <f t="shared" si="160"/>
        <v>109729.18</v>
      </c>
      <c r="BV63" s="551">
        <f t="shared" si="161"/>
        <v>1.0365</v>
      </c>
      <c r="BW63" s="529">
        <f t="shared" si="162"/>
        <v>77840.77</v>
      </c>
      <c r="BX63" s="552">
        <f t="shared" si="163"/>
        <v>2741.6800000000076</v>
      </c>
      <c r="BY63" s="560"/>
      <c r="BZ63" s="559"/>
      <c r="CB63" s="423">
        <f t="shared" si="164"/>
        <v>-1130.68</v>
      </c>
      <c r="CC63" s="423">
        <f t="shared" si="165"/>
        <v>1946.02</v>
      </c>
      <c r="CD63" s="423">
        <f t="shared" si="166"/>
        <v>882.88</v>
      </c>
      <c r="CE63" s="423">
        <f t="shared" si="167"/>
        <v>1698.2199999999998</v>
      </c>
      <c r="CF63" s="553">
        <f t="shared" si="168"/>
        <v>1698.1999999999971</v>
      </c>
      <c r="CH63" s="423">
        <f t="shared" si="169"/>
        <v>3852.4304390000002</v>
      </c>
      <c r="CI63" s="423">
        <f t="shared" si="170"/>
        <v>4955.53</v>
      </c>
      <c r="CJ63" s="423">
        <f t="shared" si="171"/>
        <v>-241.77</v>
      </c>
      <c r="CK63" s="423">
        <f t="shared" si="172"/>
        <v>-861.35</v>
      </c>
      <c r="CL63" s="553">
        <f t="shared" si="173"/>
        <v>3852.4099999999994</v>
      </c>
      <c r="CN63" s="423">
        <f t="shared" si="71"/>
        <v>3898.5573770000001</v>
      </c>
      <c r="CO63" s="423">
        <f t="shared" si="174"/>
        <v>4955.53</v>
      </c>
      <c r="CP63" s="423">
        <f t="shared" si="175"/>
        <v>-204.35</v>
      </c>
      <c r="CQ63" s="423">
        <f t="shared" si="176"/>
        <v>-852.65</v>
      </c>
      <c r="CR63" s="553">
        <f t="shared" si="75"/>
        <v>3898.5299999999993</v>
      </c>
      <c r="CV63" s="564">
        <f t="shared" si="98"/>
        <v>63</v>
      </c>
      <c r="CW63" s="538" t="str">
        <f t="shared" si="177"/>
        <v>.</v>
      </c>
      <c r="CX63" s="566">
        <f t="shared" si="178"/>
        <v>77019.42</v>
      </c>
      <c r="CY63" s="538">
        <f t="shared" si="179"/>
        <v>69714.97</v>
      </c>
      <c r="CZ63" s="538" t="str">
        <f t="shared" si="180"/>
        <v>.</v>
      </c>
      <c r="DA63" s="538" t="str">
        <f t="shared" si="181"/>
        <v>.</v>
      </c>
      <c r="DB63" s="567" t="e">
        <f t="shared" si="99"/>
        <v>#N/A</v>
      </c>
      <c r="DC63" s="567">
        <f t="shared" si="100"/>
        <v>77019.42</v>
      </c>
      <c r="DD63" s="567">
        <f t="shared" si="101"/>
        <v>69714.97</v>
      </c>
      <c r="DE63" s="567" t="e">
        <f t="shared" si="101"/>
        <v>#N/A</v>
      </c>
      <c r="DF63" s="568" t="e">
        <f t="shared" si="102"/>
        <v>#N/A</v>
      </c>
      <c r="EL63" s="553">
        <f t="shared" si="81"/>
        <v>40802.120000000003</v>
      </c>
      <c r="EM63" s="553">
        <f t="shared" si="182"/>
        <v>36223.870000000003</v>
      </c>
      <c r="EN63" s="423">
        <f t="shared" si="183"/>
        <v>77025.990000000005</v>
      </c>
      <c r="EO63" s="555">
        <f xml:space="preserve"> 'i2'!AO63</f>
        <v>77019.42</v>
      </c>
      <c r="EV63" s="533" t="e">
        <f xml:space="preserve"> ROUND(    IF( $A$15=BE_MF_,   LEER,   INDEX( Kx!63:63, EV$16 ) ),    EV$17    )</f>
        <v>#VALUE!</v>
      </c>
      <c r="EW63" s="533" t="e">
        <f xml:space="preserve"> ROUND(    IF( $A$15=BE_MF_,   LEER,   INDEX( Kx!63:63, EW$16 ) ),    EW$17    )</f>
        <v>#VALUE!</v>
      </c>
      <c r="EX63" s="533" t="e">
        <f xml:space="preserve"> ROUND(    IF( $A$15=BE_MF_,   LEER,   INDEX( Kx!63:63, EX$16 ) ),    EX$17    )</f>
        <v>#VALUE!</v>
      </c>
      <c r="EY63" s="556" t="e">
        <f t="shared" si="103"/>
        <v>#VALUE!</v>
      </c>
      <c r="FB63" s="533" t="e">
        <f xml:space="preserve"> ROUND(    IF( $A$15=BE_MF_,   LEER,   INDEX( Kx!63:63, FB$16 ) ),    FB$17    )</f>
        <v>#VALUE!</v>
      </c>
      <c r="FC63" s="533" t="e">
        <f xml:space="preserve"> ROUND(    IF( $A$15=BE_MF_,   LEER,   INDEX( Kx!63:63, FC$16 ) ),    FC$17    )</f>
        <v>#VALUE!</v>
      </c>
      <c r="FD63" s="556" t="e">
        <f t="shared" si="104"/>
        <v>#VALUE!</v>
      </c>
      <c r="FG63" s="556" t="e">
        <f t="shared" si="105"/>
        <v>#VALUE!</v>
      </c>
      <c r="FH63" s="556" t="e">
        <f t="shared" si="105"/>
        <v>#VALUE!</v>
      </c>
      <c r="FI63" s="556" t="e">
        <f t="shared" si="105"/>
        <v>#VALUE!</v>
      </c>
      <c r="FN63" s="557">
        <f t="shared" si="184"/>
        <v>63</v>
      </c>
      <c r="FO63" s="493">
        <f t="shared" si="185"/>
        <v>70.478099999999998</v>
      </c>
      <c r="FP63" s="493">
        <f t="shared" si="186"/>
        <v>17.8064</v>
      </c>
      <c r="FR63" s="427">
        <f t="shared" si="106"/>
        <v>2568465.37</v>
      </c>
      <c r="FS63" s="558">
        <f t="shared" si="187"/>
        <v>102026.34</v>
      </c>
      <c r="FT63" s="558">
        <f t="shared" si="187"/>
        <v>100527.92</v>
      </c>
      <c r="FU63" s="558">
        <f t="shared" si="187"/>
        <v>99025.81</v>
      </c>
      <c r="FV63" s="558">
        <f t="shared" si="187"/>
        <v>97523.69</v>
      </c>
      <c r="FW63" s="558">
        <f t="shared" si="187"/>
        <v>95969.77</v>
      </c>
      <c r="FX63" s="558">
        <f t="shared" si="187"/>
        <v>94371.46</v>
      </c>
      <c r="FY63" s="558">
        <f t="shared" si="187"/>
        <v>92787.95</v>
      </c>
      <c r="FZ63" s="558">
        <f t="shared" si="187"/>
        <v>91193.34</v>
      </c>
      <c r="GA63" s="558">
        <f t="shared" si="187"/>
        <v>89543.23</v>
      </c>
      <c r="GB63" s="558">
        <f t="shared" si="187"/>
        <v>87826.52</v>
      </c>
      <c r="GC63" s="558">
        <f t="shared" si="187"/>
        <v>86098.72</v>
      </c>
      <c r="GD63" s="558">
        <f t="shared" si="187"/>
        <v>84345.02</v>
      </c>
      <c r="GE63" s="558">
        <f t="shared" si="187"/>
        <v>82550.61</v>
      </c>
      <c r="GF63" s="558">
        <f t="shared" si="187"/>
        <v>80748.81</v>
      </c>
      <c r="GG63" s="558">
        <f t="shared" si="187"/>
        <v>78891.520000000004</v>
      </c>
      <c r="GH63" s="558">
        <f t="shared" si="187"/>
        <v>77019.42</v>
      </c>
      <c r="GI63" s="558">
        <f t="shared" si="126"/>
        <v>75091.83</v>
      </c>
      <c r="GJ63" s="558">
        <f t="shared" si="126"/>
        <v>73119.83</v>
      </c>
      <c r="GK63" s="558">
        <f t="shared" si="126"/>
        <v>71092.350000000006</v>
      </c>
      <c r="GL63" s="558">
        <f t="shared" si="126"/>
        <v>69005.66</v>
      </c>
      <c r="GM63" s="558">
        <f t="shared" si="126"/>
        <v>66856.08</v>
      </c>
      <c r="GN63" s="558">
        <f t="shared" si="126"/>
        <v>64625.1</v>
      </c>
      <c r="GO63" s="558">
        <f t="shared" si="126"/>
        <v>62312.73</v>
      </c>
      <c r="GP63" s="558">
        <f t="shared" si="126"/>
        <v>59915.26</v>
      </c>
      <c r="GQ63" s="558">
        <f t="shared" si="126"/>
        <v>57421.599999999999</v>
      </c>
      <c r="GR63" s="558">
        <f t="shared" si="126"/>
        <v>54850.239999999998</v>
      </c>
      <c r="GS63" s="558">
        <f t="shared" si="126"/>
        <v>52190.09</v>
      </c>
      <c r="GT63" s="558">
        <f t="shared" si="126"/>
        <v>49448.54</v>
      </c>
      <c r="GU63" s="558">
        <f t="shared" si="126"/>
        <v>46632.99</v>
      </c>
      <c r="GV63" s="558">
        <f t="shared" si="126"/>
        <v>43747.15</v>
      </c>
      <c r="GW63" s="558">
        <f t="shared" si="126"/>
        <v>40802.120000000003</v>
      </c>
      <c r="GX63" s="558">
        <f t="shared" si="188"/>
        <v>37786.78</v>
      </c>
      <c r="GY63" s="558">
        <f t="shared" si="188"/>
        <v>34730.75</v>
      </c>
      <c r="GZ63" s="558">
        <f t="shared" si="188"/>
        <v>31619.22</v>
      </c>
      <c r="HA63" s="558">
        <f t="shared" si="188"/>
        <v>28474.400000000001</v>
      </c>
      <c r="HB63" s="558">
        <f t="shared" si="188"/>
        <v>25296.27</v>
      </c>
      <c r="HC63" s="558">
        <f t="shared" si="188"/>
        <v>22081.15</v>
      </c>
      <c r="HD63" s="558">
        <f t="shared" si="188"/>
        <v>18840.13</v>
      </c>
      <c r="HE63" s="558">
        <f t="shared" si="188"/>
        <v>15551.01</v>
      </c>
      <c r="HF63" s="558">
        <f t="shared" si="188"/>
        <v>12191.59</v>
      </c>
      <c r="HG63" s="558">
        <f t="shared" si="188"/>
        <v>8784.08</v>
      </c>
      <c r="HH63" s="558">
        <f t="shared" si="188"/>
        <v>5343.27</v>
      </c>
      <c r="HI63" s="558">
        <f t="shared" si="188"/>
        <v>1858.06</v>
      </c>
      <c r="HJ63" s="558">
        <f t="shared" si="188"/>
        <v>-1653.04</v>
      </c>
      <c r="HK63" s="558" t="str">
        <f t="shared" si="188"/>
        <v>.</v>
      </c>
      <c r="HL63" s="558" t="str">
        <f t="shared" si="188"/>
        <v>.</v>
      </c>
      <c r="HM63" s="558" t="str">
        <f t="shared" si="188"/>
        <v>.</v>
      </c>
      <c r="HN63" s="558" t="str">
        <f t="shared" si="127"/>
        <v>.</v>
      </c>
      <c r="HO63" s="558" t="str">
        <f t="shared" si="127"/>
        <v>.</v>
      </c>
      <c r="HP63" s="558" t="str">
        <f t="shared" si="127"/>
        <v>.</v>
      </c>
      <c r="HQ63" s="558" t="str">
        <f t="shared" si="127"/>
        <v>.</v>
      </c>
      <c r="HR63" s="558" t="str">
        <f t="shared" si="127"/>
        <v>.</v>
      </c>
      <c r="HS63" s="558" t="str">
        <f t="shared" si="127"/>
        <v>.</v>
      </c>
      <c r="HT63" s="558" t="str">
        <f t="shared" si="127"/>
        <v>.</v>
      </c>
      <c r="HU63" s="558" t="str">
        <f t="shared" si="127"/>
        <v>.</v>
      </c>
      <c r="HV63" s="558" t="str">
        <f t="shared" si="127"/>
        <v>.</v>
      </c>
      <c r="HW63" s="558" t="str">
        <f t="shared" si="127"/>
        <v>.</v>
      </c>
      <c r="HX63" s="558" t="str">
        <f t="shared" si="127"/>
        <v>.</v>
      </c>
      <c r="HY63" s="558" t="str">
        <f t="shared" si="127"/>
        <v>.</v>
      </c>
      <c r="HZ63" s="558" t="str">
        <f t="shared" si="127"/>
        <v>.</v>
      </c>
      <c r="IA63" s="558" t="str">
        <f t="shared" si="127"/>
        <v>.</v>
      </c>
      <c r="IB63" s="558" t="str">
        <f t="shared" si="127"/>
        <v>.</v>
      </c>
      <c r="IC63" s="558" t="str">
        <f t="shared" si="127"/>
        <v>.</v>
      </c>
      <c r="ID63" s="558" t="str">
        <f t="shared" si="127"/>
        <v>.</v>
      </c>
      <c r="IE63" s="558" t="str">
        <f t="shared" si="128"/>
        <v>.</v>
      </c>
      <c r="IF63" s="558" t="str">
        <f t="shared" si="128"/>
        <v>.</v>
      </c>
      <c r="IG63" s="558" t="str">
        <f t="shared" si="128"/>
        <v>.</v>
      </c>
      <c r="IH63" s="558" t="str">
        <f t="shared" si="128"/>
        <v>.</v>
      </c>
      <c r="II63" s="558" t="str">
        <f t="shared" si="128"/>
        <v>.</v>
      </c>
      <c r="IJ63" s="558" t="str">
        <f t="shared" si="128"/>
        <v>.</v>
      </c>
      <c r="IK63" s="558" t="str">
        <f t="shared" si="128"/>
        <v>.</v>
      </c>
      <c r="IL63" s="558" t="str">
        <f t="shared" si="128"/>
        <v>.</v>
      </c>
      <c r="IM63" s="558" t="str">
        <f t="shared" si="128"/>
        <v>.</v>
      </c>
      <c r="IN63" s="558" t="str">
        <f t="shared" si="128"/>
        <v>.</v>
      </c>
      <c r="IO63" s="558" t="str">
        <f t="shared" si="128"/>
        <v>.</v>
      </c>
      <c r="IP63" s="558" t="str">
        <f t="shared" si="128"/>
        <v>.</v>
      </c>
      <c r="IQ63" s="558" t="str">
        <f t="shared" si="128"/>
        <v>.</v>
      </c>
      <c r="IR63" s="558" t="str">
        <f t="shared" si="128"/>
        <v>.</v>
      </c>
      <c r="IS63" s="558" t="str">
        <f t="shared" si="128"/>
        <v>.</v>
      </c>
      <c r="IT63" s="558" t="str">
        <f t="shared" si="128"/>
        <v>.</v>
      </c>
      <c r="IU63" s="558" t="str">
        <f t="shared" si="128"/>
        <v>.</v>
      </c>
      <c r="IV63" s="558" t="str">
        <f t="shared" si="128"/>
        <v>.</v>
      </c>
      <c r="IW63" s="558" t="str">
        <f t="shared" si="128"/>
        <v>.</v>
      </c>
      <c r="IX63" s="558" t="str">
        <f t="shared" si="128"/>
        <v>.</v>
      </c>
      <c r="IY63" s="558" t="str">
        <f t="shared" si="128"/>
        <v>.</v>
      </c>
      <c r="IZ63" s="558" t="str">
        <f t="shared" si="192"/>
        <v>.</v>
      </c>
      <c r="JA63" s="558" t="str">
        <f t="shared" si="192"/>
        <v>.</v>
      </c>
      <c r="JB63" s="558" t="str">
        <f t="shared" si="192"/>
        <v>.</v>
      </c>
      <c r="JC63" s="558" t="str">
        <f t="shared" si="192"/>
        <v>.</v>
      </c>
      <c r="JD63" s="558" t="str">
        <f t="shared" si="192"/>
        <v>.</v>
      </c>
      <c r="JE63" s="558" t="str">
        <f t="shared" si="192"/>
        <v>.</v>
      </c>
      <c r="JF63" s="558" t="str">
        <f t="shared" si="192"/>
        <v>.</v>
      </c>
      <c r="JG63" s="558" t="str">
        <f t="shared" si="192"/>
        <v>.</v>
      </c>
      <c r="JH63" s="558" t="str">
        <f t="shared" si="192"/>
        <v>.</v>
      </c>
      <c r="JI63" s="558" t="str">
        <f t="shared" si="192"/>
        <v>.</v>
      </c>
      <c r="JJ63" s="558" t="str">
        <f t="shared" si="192"/>
        <v>.</v>
      </c>
      <c r="JK63" s="558" t="str">
        <f t="shared" si="189"/>
        <v>.</v>
      </c>
      <c r="JL63" s="558" t="str">
        <f t="shared" si="189"/>
        <v>.</v>
      </c>
      <c r="JM63" s="558" t="str">
        <f t="shared" si="189"/>
        <v>.</v>
      </c>
      <c r="JN63" s="558" t="str">
        <f t="shared" si="189"/>
        <v>.</v>
      </c>
      <c r="JO63" s="558" t="str">
        <f t="shared" si="189"/>
        <v>.</v>
      </c>
    </row>
    <row r="64" spans="1:275" x14ac:dyDescent="0.2">
      <c r="A64" s="534">
        <f xml:space="preserve"> Basis!A64</f>
        <v>64</v>
      </c>
      <c r="F64" s="536">
        <f xml:space="preserve"> ROUND(    IF( $A$15=BE_MF_,   AW64,   INDEX( qx!64:64, F$16 ) ),    F$17    )</f>
        <v>5.1000000000000004E-3</v>
      </c>
      <c r="G64" s="536">
        <f xml:space="preserve"> ROUND(    IF( $A$15=BE_MF_,   BB64,   INDEX( wx!64:64, G$16 ) ),    G$17    )</f>
        <v>5.8999999999999999E-3</v>
      </c>
      <c r="H64" s="537">
        <f xml:space="preserve"> ROUND(    IF( $A$15=BE_MF_,   BG64,   INDEX( Kx!64:64, H$16 ) ),    H$17    )</f>
        <v>5222.17</v>
      </c>
      <c r="I64" s="538">
        <f t="shared" si="93"/>
        <v>5222.17</v>
      </c>
      <c r="J64" s="539">
        <f t="shared" si="129"/>
        <v>2.5129999999999999</v>
      </c>
      <c r="K64" s="540">
        <f t="shared" si="190"/>
        <v>2</v>
      </c>
      <c r="L64" s="541">
        <f t="shared" si="116"/>
        <v>0</v>
      </c>
      <c r="M64" s="541">
        <f t="shared" si="116"/>
        <v>8.5999999999999993E-2</v>
      </c>
      <c r="O64" s="542" t="b">
        <f t="shared" si="95"/>
        <v>1</v>
      </c>
      <c r="P64" s="493">
        <f t="shared" si="130"/>
        <v>1.0999999999999999E-2</v>
      </c>
      <c r="Q64" s="493">
        <f t="shared" si="131"/>
        <v>0.98899999999999999</v>
      </c>
      <c r="R64" s="543">
        <f t="shared" si="132"/>
        <v>514136</v>
      </c>
      <c r="S64" s="544">
        <f t="shared" si="133"/>
        <v>0.97560975599999999</v>
      </c>
      <c r="T64" s="423">
        <f t="shared" si="134"/>
        <v>105864.57</v>
      </c>
      <c r="U64" s="423">
        <f xml:space="preserve"> IF( $O64,    ROUND(  SUM( T64:T$120), U$17 ),  LEER  )</f>
        <v>1844152.92</v>
      </c>
      <c r="V64" s="493">
        <f t="shared" si="135"/>
        <v>17.419899999999998</v>
      </c>
      <c r="W64" s="493">
        <f t="shared" si="136"/>
        <v>266037.65999999997</v>
      </c>
      <c r="X64" s="493">
        <f xml:space="preserve"> IF( $O64,    ROUND(  SUM( W64:W$120), X$17 ),  LEER  )</f>
        <v>7471795.7300000004</v>
      </c>
      <c r="Y64" s="493">
        <f t="shared" si="137"/>
        <v>70.578800000000001</v>
      </c>
      <c r="Z64" s="493">
        <f t="shared" si="138"/>
        <v>4.0515999999999996</v>
      </c>
      <c r="AA64" s="493">
        <f t="shared" si="139"/>
        <v>1.0105999999999999</v>
      </c>
      <c r="AB64" s="493">
        <f t="shared" si="140"/>
        <v>2.3494000000000002</v>
      </c>
      <c r="AC64" s="545">
        <f t="shared" si="141"/>
        <v>0.38600000000000001</v>
      </c>
      <c r="AD64" s="493">
        <f t="shared" si="142"/>
        <v>4.0986000000000002</v>
      </c>
      <c r="AE64" s="493">
        <f t="shared" si="143"/>
        <v>4.9066000000000001</v>
      </c>
      <c r="AF64" s="493">
        <f t="shared" si="144"/>
        <v>4.9066000000000001</v>
      </c>
      <c r="AG64" s="493" t="str">
        <f t="shared" si="145"/>
        <v>.</v>
      </c>
      <c r="AH64" s="493" t="str">
        <f t="shared" si="146"/>
        <v>.</v>
      </c>
      <c r="AI64" s="423">
        <f t="shared" si="147"/>
        <v>2077.79</v>
      </c>
      <c r="AJ64" s="423">
        <f t="shared" si="148"/>
        <v>10194.879999999999</v>
      </c>
      <c r="AK64" s="423">
        <f t="shared" si="149"/>
        <v>849.57</v>
      </c>
      <c r="AN64" s="423">
        <f t="shared" si="191"/>
        <v>79538.97</v>
      </c>
      <c r="AO64" s="423">
        <f t="shared" si="191"/>
        <v>78735.45</v>
      </c>
      <c r="AR64" s="546">
        <f xml:space="preserve"> ROUND(  INDEX( Kx!64:64, AR$16 ),  AR$17 )</f>
        <v>0.72729999999999995</v>
      </c>
      <c r="AS64" s="547">
        <f xml:space="preserve"> ROUND(  INDEX( qx!64:64, AS$16 ),  AS$17 )</f>
        <v>5.8999999999999999E-3</v>
      </c>
      <c r="AT64" s="547">
        <f xml:space="preserve"> ROUND(  INDEX( qx!64:64, AT$16 ),  AT$17 )</f>
        <v>3.8E-3</v>
      </c>
      <c r="AU64" s="548" t="str">
        <f t="shared" si="150"/>
        <v>F</v>
      </c>
      <c r="AV64" s="542">
        <f t="shared" si="151"/>
        <v>0.64</v>
      </c>
      <c r="AW64" s="542">
        <f t="shared" si="152"/>
        <v>5.1000000000000004E-3</v>
      </c>
      <c r="AX64" s="546">
        <f xml:space="preserve"> ROUND(  INDEX( wx!64:64, AX$16 ),  AX$17 )</f>
        <v>5.8999999999999999E-3</v>
      </c>
      <c r="AY64" s="546">
        <f xml:space="preserve"> ROUND(  INDEX( wx!64:64, AY$16 ),  AY$17 )</f>
        <v>5.7999999999999996E-3</v>
      </c>
      <c r="AZ64" s="548" t="str">
        <f t="shared" si="153"/>
        <v>F</v>
      </c>
      <c r="BA64" s="542">
        <f t="shared" si="154"/>
        <v>0.64</v>
      </c>
      <c r="BB64" s="542">
        <f t="shared" si="155"/>
        <v>5.8999999999999999E-3</v>
      </c>
      <c r="BC64" s="533">
        <f xml:space="preserve"> ROUND(  INDEX( Kx!64:64, BC$16 ),  BC$17 )</f>
        <v>5306.13</v>
      </c>
      <c r="BD64" s="533">
        <f xml:space="preserve"> ROUND(  INDEX( Kx!64:64, BD$16 ),  BD$17 )</f>
        <v>4886.3500000000004</v>
      </c>
      <c r="BE64" s="548" t="str">
        <f t="shared" si="52"/>
        <v>M</v>
      </c>
      <c r="BF64" s="542">
        <f t="shared" si="156"/>
        <v>0.8</v>
      </c>
      <c r="BG64" s="420">
        <f t="shared" si="157"/>
        <v>5222.17</v>
      </c>
      <c r="BQ64" s="549">
        <f t="shared" si="96"/>
        <v>64</v>
      </c>
      <c r="BR64" s="423">
        <f t="shared" si="55"/>
        <v>77840.77</v>
      </c>
      <c r="BS64" s="550">
        <f t="shared" si="158"/>
        <v>5222.17</v>
      </c>
      <c r="BT64" s="423">
        <f t="shared" si="159"/>
        <v>-1103.52</v>
      </c>
      <c r="BU64" s="551">
        <f t="shared" si="160"/>
        <v>105864.57</v>
      </c>
      <c r="BV64" s="551">
        <f t="shared" si="161"/>
        <v>1.0365</v>
      </c>
      <c r="BW64" s="529">
        <f t="shared" si="162"/>
        <v>79538.97</v>
      </c>
      <c r="BX64" s="552">
        <f t="shared" si="163"/>
        <v>2801.7200000000012</v>
      </c>
      <c r="BY64" s="560"/>
      <c r="BZ64" s="559"/>
      <c r="CB64" s="423">
        <f t="shared" si="164"/>
        <v>-1403.28</v>
      </c>
      <c r="CC64" s="423">
        <f t="shared" si="165"/>
        <v>1988.47</v>
      </c>
      <c r="CD64" s="423">
        <f t="shared" si="166"/>
        <v>891.17</v>
      </c>
      <c r="CE64" s="423">
        <f t="shared" si="167"/>
        <v>1476.3600000000001</v>
      </c>
      <c r="CF64" s="553">
        <f t="shared" si="168"/>
        <v>1476.4900000000052</v>
      </c>
      <c r="CH64" s="423">
        <f t="shared" si="169"/>
        <v>3852.4304390000002</v>
      </c>
      <c r="CI64" s="423">
        <f t="shared" si="170"/>
        <v>5221.49</v>
      </c>
      <c r="CJ64" s="423">
        <f t="shared" si="171"/>
        <v>-499.5</v>
      </c>
      <c r="CK64" s="423">
        <f t="shared" si="172"/>
        <v>-869.43</v>
      </c>
      <c r="CL64" s="553">
        <f t="shared" si="173"/>
        <v>3852.56</v>
      </c>
      <c r="CN64" s="423">
        <f t="shared" si="71"/>
        <v>3898.5573770000001</v>
      </c>
      <c r="CO64" s="423">
        <f t="shared" si="174"/>
        <v>5221.49</v>
      </c>
      <c r="CP64" s="423">
        <f t="shared" si="175"/>
        <v>-461.8</v>
      </c>
      <c r="CQ64" s="423">
        <f t="shared" si="176"/>
        <v>-861.01</v>
      </c>
      <c r="CR64" s="553">
        <f t="shared" si="75"/>
        <v>3898.6799999999994</v>
      </c>
      <c r="CV64" s="564">
        <f t="shared" si="98"/>
        <v>64</v>
      </c>
      <c r="CW64" s="538" t="str">
        <f t="shared" si="177"/>
        <v>.</v>
      </c>
      <c r="CX64" s="566">
        <f t="shared" si="178"/>
        <v>78735.45</v>
      </c>
      <c r="CY64" s="538">
        <f t="shared" si="179"/>
        <v>72259.929999999993</v>
      </c>
      <c r="CZ64" s="538" t="str">
        <f t="shared" si="180"/>
        <v>.</v>
      </c>
      <c r="DA64" s="538" t="str">
        <f t="shared" si="181"/>
        <v>.</v>
      </c>
      <c r="DB64" s="567" t="e">
        <f t="shared" si="99"/>
        <v>#N/A</v>
      </c>
      <c r="DC64" s="567">
        <f t="shared" si="100"/>
        <v>78735.45</v>
      </c>
      <c r="DD64" s="567">
        <f t="shared" si="101"/>
        <v>72259.929999999993</v>
      </c>
      <c r="DE64" s="567" t="e">
        <f t="shared" si="101"/>
        <v>#N/A</v>
      </c>
      <c r="DF64" s="568" t="e">
        <f t="shared" si="102"/>
        <v>#N/A</v>
      </c>
      <c r="EL64" s="553">
        <f t="shared" si="81"/>
        <v>43304.26</v>
      </c>
      <c r="EM64" s="553">
        <f t="shared" si="182"/>
        <v>35437.599999999999</v>
      </c>
      <c r="EN64" s="423">
        <f t="shared" si="183"/>
        <v>78741.86</v>
      </c>
      <c r="EO64" s="555">
        <f xml:space="preserve"> 'i2'!AO64</f>
        <v>78735.45</v>
      </c>
      <c r="EV64" s="533" t="e">
        <f xml:space="preserve"> ROUND(    IF( $A$15=BE_MF_,   LEER,   INDEX( Kx!64:64, EV$16 ) ),    EV$17    )</f>
        <v>#VALUE!</v>
      </c>
      <c r="EW64" s="533" t="e">
        <f xml:space="preserve"> ROUND(    IF( $A$15=BE_MF_,   LEER,   INDEX( Kx!64:64, EW$16 ) ),    EW$17    )</f>
        <v>#VALUE!</v>
      </c>
      <c r="EX64" s="533" t="e">
        <f xml:space="preserve"> ROUND(    IF( $A$15=BE_MF_,   LEER,   INDEX( Kx!64:64, EX$16 ) ),    EX$17    )</f>
        <v>#VALUE!</v>
      </c>
      <c r="EY64" s="556" t="e">
        <f t="shared" si="103"/>
        <v>#VALUE!</v>
      </c>
      <c r="FB64" s="533" t="e">
        <f xml:space="preserve"> ROUND(    IF( $A$15=BE_MF_,   LEER,   INDEX( Kx!64:64, FB$16 ) ),    FB$17    )</f>
        <v>#VALUE!</v>
      </c>
      <c r="FC64" s="533" t="e">
        <f xml:space="preserve"> ROUND(    IF( $A$15=BE_MF_,   LEER,   INDEX( Kx!64:64, FC$16 ) ),    FC$17    )</f>
        <v>#VALUE!</v>
      </c>
      <c r="FD64" s="556" t="e">
        <f t="shared" si="104"/>
        <v>#VALUE!</v>
      </c>
      <c r="FG64" s="556" t="e">
        <f t="shared" si="105"/>
        <v>#VALUE!</v>
      </c>
      <c r="FH64" s="556" t="e">
        <f t="shared" si="105"/>
        <v>#VALUE!</v>
      </c>
      <c r="FI64" s="556" t="e">
        <f t="shared" si="105"/>
        <v>#VALUE!</v>
      </c>
      <c r="FN64" s="557">
        <f t="shared" si="184"/>
        <v>64</v>
      </c>
      <c r="FO64" s="493">
        <f t="shared" si="185"/>
        <v>70.578800000000001</v>
      </c>
      <c r="FP64" s="493">
        <f t="shared" si="186"/>
        <v>17.419899999999998</v>
      </c>
      <c r="FR64" s="427">
        <f t="shared" si="106"/>
        <v>2660077.1399999992</v>
      </c>
      <c r="FS64" s="558">
        <f t="shared" si="187"/>
        <v>103199.57</v>
      </c>
      <c r="FT64" s="558">
        <f t="shared" si="187"/>
        <v>101733.68</v>
      </c>
      <c r="FU64" s="558">
        <f t="shared" si="187"/>
        <v>100264.17</v>
      </c>
      <c r="FV64" s="558">
        <f t="shared" si="187"/>
        <v>98794.66</v>
      </c>
      <c r="FW64" s="558">
        <f t="shared" si="187"/>
        <v>97274.47</v>
      </c>
      <c r="FX64" s="558">
        <f t="shared" si="187"/>
        <v>95710.85</v>
      </c>
      <c r="FY64" s="558">
        <f t="shared" si="187"/>
        <v>94161.71</v>
      </c>
      <c r="FZ64" s="558">
        <f t="shared" si="187"/>
        <v>92601.71</v>
      </c>
      <c r="GA64" s="558">
        <f t="shared" si="187"/>
        <v>90987.42</v>
      </c>
      <c r="GB64" s="558">
        <f t="shared" si="187"/>
        <v>89307.97</v>
      </c>
      <c r="GC64" s="558">
        <f t="shared" si="187"/>
        <v>87617.67</v>
      </c>
      <c r="GD64" s="558">
        <f t="shared" si="187"/>
        <v>85902.03</v>
      </c>
      <c r="GE64" s="558">
        <f t="shared" si="187"/>
        <v>84146.58</v>
      </c>
      <c r="GF64" s="558">
        <f t="shared" si="187"/>
        <v>82383.89</v>
      </c>
      <c r="GG64" s="558">
        <f t="shared" si="187"/>
        <v>80566.91</v>
      </c>
      <c r="GH64" s="558">
        <f t="shared" si="187"/>
        <v>78735.45</v>
      </c>
      <c r="GI64" s="558">
        <f t="shared" si="126"/>
        <v>76849.69</v>
      </c>
      <c r="GJ64" s="558">
        <f t="shared" si="126"/>
        <v>74920.5</v>
      </c>
      <c r="GK64" s="558">
        <f t="shared" si="126"/>
        <v>72937.02</v>
      </c>
      <c r="GL64" s="558">
        <f t="shared" si="126"/>
        <v>70895.63</v>
      </c>
      <c r="GM64" s="558">
        <f t="shared" si="126"/>
        <v>68792.710000000006</v>
      </c>
      <c r="GN64" s="558">
        <f t="shared" si="126"/>
        <v>66610.16</v>
      </c>
      <c r="GO64" s="558">
        <f t="shared" si="126"/>
        <v>64347.97</v>
      </c>
      <c r="GP64" s="558">
        <f t="shared" si="126"/>
        <v>62002.55</v>
      </c>
      <c r="GQ64" s="558">
        <f t="shared" si="126"/>
        <v>59563.01</v>
      </c>
      <c r="GR64" s="558">
        <f t="shared" si="126"/>
        <v>57047.46</v>
      </c>
      <c r="GS64" s="558">
        <f t="shared" si="126"/>
        <v>54445.05</v>
      </c>
      <c r="GT64" s="558">
        <f t="shared" si="126"/>
        <v>51763.01</v>
      </c>
      <c r="GU64" s="558">
        <f t="shared" si="126"/>
        <v>49008.58</v>
      </c>
      <c r="GV64" s="558">
        <f t="shared" si="126"/>
        <v>46185.38</v>
      </c>
      <c r="GW64" s="558">
        <f t="shared" si="126"/>
        <v>43304.26</v>
      </c>
      <c r="GX64" s="558">
        <f t="shared" si="188"/>
        <v>40354.379999999997</v>
      </c>
      <c r="GY64" s="558">
        <f t="shared" si="188"/>
        <v>37364.68</v>
      </c>
      <c r="GZ64" s="558">
        <f t="shared" si="188"/>
        <v>34320.69</v>
      </c>
      <c r="HA64" s="558">
        <f t="shared" si="188"/>
        <v>31244.12</v>
      </c>
      <c r="HB64" s="558">
        <f t="shared" si="188"/>
        <v>28134.98</v>
      </c>
      <c r="HC64" s="558">
        <f t="shared" si="188"/>
        <v>24989.65</v>
      </c>
      <c r="HD64" s="558">
        <f t="shared" si="188"/>
        <v>21818.97</v>
      </c>
      <c r="HE64" s="558">
        <f t="shared" si="188"/>
        <v>18601.25</v>
      </c>
      <c r="HF64" s="558">
        <f t="shared" si="188"/>
        <v>15314.75</v>
      </c>
      <c r="HG64" s="558">
        <f t="shared" si="188"/>
        <v>11981.2</v>
      </c>
      <c r="HH64" s="558">
        <f t="shared" si="188"/>
        <v>8615.08</v>
      </c>
      <c r="HI64" s="558">
        <f t="shared" si="188"/>
        <v>5205.5200000000004</v>
      </c>
      <c r="HJ64" s="558">
        <f t="shared" si="188"/>
        <v>1770.62</v>
      </c>
      <c r="HK64" s="558">
        <f t="shared" si="188"/>
        <v>-1700.47</v>
      </c>
      <c r="HL64" s="558" t="str">
        <f t="shared" si="188"/>
        <v>.</v>
      </c>
      <c r="HM64" s="558" t="str">
        <f t="shared" si="188"/>
        <v>.</v>
      </c>
      <c r="HN64" s="558" t="str">
        <f t="shared" si="127"/>
        <v>.</v>
      </c>
      <c r="HO64" s="558" t="str">
        <f t="shared" si="127"/>
        <v>.</v>
      </c>
      <c r="HP64" s="558" t="str">
        <f t="shared" si="127"/>
        <v>.</v>
      </c>
      <c r="HQ64" s="558" t="str">
        <f t="shared" si="127"/>
        <v>.</v>
      </c>
      <c r="HR64" s="558" t="str">
        <f t="shared" si="127"/>
        <v>.</v>
      </c>
      <c r="HS64" s="558" t="str">
        <f t="shared" si="127"/>
        <v>.</v>
      </c>
      <c r="HT64" s="558" t="str">
        <f t="shared" si="127"/>
        <v>.</v>
      </c>
      <c r="HU64" s="558" t="str">
        <f t="shared" si="127"/>
        <v>.</v>
      </c>
      <c r="HV64" s="558" t="str">
        <f t="shared" si="127"/>
        <v>.</v>
      </c>
      <c r="HW64" s="558" t="str">
        <f t="shared" si="127"/>
        <v>.</v>
      </c>
      <c r="HX64" s="558" t="str">
        <f t="shared" si="127"/>
        <v>.</v>
      </c>
      <c r="HY64" s="558" t="str">
        <f t="shared" si="127"/>
        <v>.</v>
      </c>
      <c r="HZ64" s="558" t="str">
        <f t="shared" si="127"/>
        <v>.</v>
      </c>
      <c r="IA64" s="558" t="str">
        <f t="shared" si="127"/>
        <v>.</v>
      </c>
      <c r="IB64" s="558" t="str">
        <f t="shared" si="127"/>
        <v>.</v>
      </c>
      <c r="IC64" s="558" t="str">
        <f t="shared" si="127"/>
        <v>.</v>
      </c>
      <c r="ID64" s="558" t="str">
        <f t="shared" si="127"/>
        <v>.</v>
      </c>
      <c r="IE64" s="558" t="str">
        <f t="shared" si="128"/>
        <v>.</v>
      </c>
      <c r="IF64" s="558" t="str">
        <f t="shared" si="128"/>
        <v>.</v>
      </c>
      <c r="IG64" s="558" t="str">
        <f t="shared" si="128"/>
        <v>.</v>
      </c>
      <c r="IH64" s="558" t="str">
        <f t="shared" si="128"/>
        <v>.</v>
      </c>
      <c r="II64" s="558" t="str">
        <f t="shared" si="128"/>
        <v>.</v>
      </c>
      <c r="IJ64" s="558" t="str">
        <f t="shared" si="128"/>
        <v>.</v>
      </c>
      <c r="IK64" s="558" t="str">
        <f t="shared" si="128"/>
        <v>.</v>
      </c>
      <c r="IL64" s="558" t="str">
        <f t="shared" si="128"/>
        <v>.</v>
      </c>
      <c r="IM64" s="558" t="str">
        <f t="shared" si="128"/>
        <v>.</v>
      </c>
      <c r="IN64" s="558" t="str">
        <f t="shared" si="128"/>
        <v>.</v>
      </c>
      <c r="IO64" s="558" t="str">
        <f t="shared" si="128"/>
        <v>.</v>
      </c>
      <c r="IP64" s="558" t="str">
        <f t="shared" si="128"/>
        <v>.</v>
      </c>
      <c r="IQ64" s="558" t="str">
        <f t="shared" si="128"/>
        <v>.</v>
      </c>
      <c r="IR64" s="558" t="str">
        <f t="shared" si="128"/>
        <v>.</v>
      </c>
      <c r="IS64" s="558" t="str">
        <f t="shared" si="128"/>
        <v>.</v>
      </c>
      <c r="IT64" s="558" t="str">
        <f t="shared" si="128"/>
        <v>.</v>
      </c>
      <c r="IU64" s="558" t="str">
        <f t="shared" si="128"/>
        <v>.</v>
      </c>
      <c r="IV64" s="558" t="str">
        <f t="shared" si="128"/>
        <v>.</v>
      </c>
      <c r="IW64" s="558" t="str">
        <f t="shared" si="128"/>
        <v>.</v>
      </c>
      <c r="IX64" s="558" t="str">
        <f t="shared" si="128"/>
        <v>.</v>
      </c>
      <c r="IY64" s="558" t="str">
        <f t="shared" si="128"/>
        <v>.</v>
      </c>
      <c r="IZ64" s="558" t="str">
        <f t="shared" si="192"/>
        <v>.</v>
      </c>
      <c r="JA64" s="558" t="str">
        <f t="shared" si="192"/>
        <v>.</v>
      </c>
      <c r="JB64" s="558" t="str">
        <f t="shared" si="192"/>
        <v>.</v>
      </c>
      <c r="JC64" s="558" t="str">
        <f t="shared" si="192"/>
        <v>.</v>
      </c>
      <c r="JD64" s="558" t="str">
        <f t="shared" si="192"/>
        <v>.</v>
      </c>
      <c r="JE64" s="558" t="str">
        <f t="shared" si="192"/>
        <v>.</v>
      </c>
      <c r="JF64" s="558" t="str">
        <f t="shared" si="192"/>
        <v>.</v>
      </c>
      <c r="JG64" s="558" t="str">
        <f t="shared" si="192"/>
        <v>.</v>
      </c>
      <c r="JH64" s="558" t="str">
        <f t="shared" si="192"/>
        <v>.</v>
      </c>
      <c r="JI64" s="558" t="str">
        <f t="shared" si="192"/>
        <v>.</v>
      </c>
      <c r="JJ64" s="558" t="str">
        <f t="shared" si="192"/>
        <v>.</v>
      </c>
      <c r="JK64" s="558" t="str">
        <f t="shared" si="189"/>
        <v>.</v>
      </c>
      <c r="JL64" s="558" t="str">
        <f t="shared" si="189"/>
        <v>.</v>
      </c>
      <c r="JM64" s="558" t="str">
        <f t="shared" si="189"/>
        <v>.</v>
      </c>
      <c r="JN64" s="558" t="str">
        <f t="shared" si="189"/>
        <v>.</v>
      </c>
      <c r="JO64" s="558" t="str">
        <f t="shared" si="189"/>
        <v>.</v>
      </c>
    </row>
    <row r="65" spans="1:275" x14ac:dyDescent="0.2">
      <c r="A65" s="534">
        <f xml:space="preserve"> Basis!A65</f>
        <v>65</v>
      </c>
      <c r="F65" s="536">
        <f xml:space="preserve"> ROUND(    IF( $A$15=BE_MF_,   AW65,   INDEX( qx!65:65, F$16 ) ),    F$17    )</f>
        <v>5.5999999999999999E-3</v>
      </c>
      <c r="G65" s="536">
        <f xml:space="preserve"> ROUND(    IF( $A$15=BE_MF_,   BB65,   INDEX( wx!65:65, G$16 ) ),    G$17    )</f>
        <v>5.3E-3</v>
      </c>
      <c r="H65" s="537">
        <f xml:space="preserve"> ROUND(    IF( $A$15=BE_MF_,   BG65,   INDEX( Kx!65:65, H$16 ) ),    H$17    )</f>
        <v>5505.39</v>
      </c>
      <c r="I65" s="538">
        <f t="shared" si="93"/>
        <v>5505.39</v>
      </c>
      <c r="J65" s="539">
        <f t="shared" si="129"/>
        <v>2.65</v>
      </c>
      <c r="K65" s="540">
        <f t="shared" si="190"/>
        <v>2</v>
      </c>
      <c r="L65" s="541">
        <f t="shared" si="116"/>
        <v>0</v>
      </c>
      <c r="M65" s="541">
        <f t="shared" si="116"/>
        <v>8.5999999999999993E-2</v>
      </c>
      <c r="O65" s="542" t="b">
        <f t="shared" si="95"/>
        <v>1</v>
      </c>
      <c r="P65" s="493">
        <f t="shared" si="130"/>
        <v>1.09E-2</v>
      </c>
      <c r="Q65" s="493">
        <f t="shared" si="131"/>
        <v>0.98909999999999998</v>
      </c>
      <c r="R65" s="543">
        <f t="shared" si="132"/>
        <v>508480</v>
      </c>
      <c r="S65" s="544">
        <f t="shared" si="133"/>
        <v>0.97560975599999999</v>
      </c>
      <c r="T65" s="423">
        <f t="shared" si="134"/>
        <v>102146.3</v>
      </c>
      <c r="U65" s="423">
        <f xml:space="preserve"> IF( $O65,    ROUND(  SUM( T65:T$120), U$17 ),  LEER  )</f>
        <v>1738288.35</v>
      </c>
      <c r="V65" s="493">
        <f t="shared" si="135"/>
        <v>17.017600000000002</v>
      </c>
      <c r="W65" s="493">
        <f t="shared" si="136"/>
        <v>270687.7</v>
      </c>
      <c r="X65" s="493">
        <f xml:space="preserve"> IF( $O65,    ROUND(  SUM( W65:W$120), X$17 ),  LEER  )</f>
        <v>7205758.0700000003</v>
      </c>
      <c r="Y65" s="493">
        <f t="shared" si="137"/>
        <v>70.543499999999995</v>
      </c>
      <c r="Z65" s="493">
        <f t="shared" si="138"/>
        <v>4.1452999999999998</v>
      </c>
      <c r="AA65" s="493">
        <f t="shared" si="139"/>
        <v>1.0107999999999999</v>
      </c>
      <c r="AB65" s="493">
        <f t="shared" si="140"/>
        <v>2.3494000000000002</v>
      </c>
      <c r="AC65" s="545">
        <f t="shared" si="141"/>
        <v>0.32679999999999998</v>
      </c>
      <c r="AD65" s="493">
        <f t="shared" si="142"/>
        <v>4.1936</v>
      </c>
      <c r="AE65" s="493">
        <f t="shared" si="143"/>
        <v>4.9457000000000004</v>
      </c>
      <c r="AF65" s="493">
        <f t="shared" si="144"/>
        <v>4.9457000000000004</v>
      </c>
      <c r="AG65" s="493" t="str">
        <f t="shared" si="145"/>
        <v>.</v>
      </c>
      <c r="AH65" s="493" t="str">
        <f t="shared" si="146"/>
        <v>.</v>
      </c>
      <c r="AI65" s="423">
        <f t="shared" si="147"/>
        <v>2077.79</v>
      </c>
      <c r="AJ65" s="423">
        <f t="shared" si="148"/>
        <v>10276.129999999999</v>
      </c>
      <c r="AK65" s="423">
        <f t="shared" si="149"/>
        <v>856.34</v>
      </c>
      <c r="AN65" s="423">
        <f t="shared" si="191"/>
        <v>81015.460000000006</v>
      </c>
      <c r="AO65" s="423">
        <f t="shared" si="191"/>
        <v>80230.490000000005</v>
      </c>
      <c r="AR65" s="546">
        <f xml:space="preserve"> ROUND(  INDEX( Kx!65:65, AR$16 ),  AR$17 )</f>
        <v>0.72950000000000004</v>
      </c>
      <c r="AS65" s="547">
        <f xml:space="preserve"> ROUND(  INDEX( qx!65:65, AS$16 ),  AS$17 )</f>
        <v>6.4000000000000003E-3</v>
      </c>
      <c r="AT65" s="547">
        <f xml:space="preserve"> ROUND(  INDEX( qx!65:65, AT$16 ),  AT$17 )</f>
        <v>4.1000000000000003E-3</v>
      </c>
      <c r="AU65" s="548" t="str">
        <f t="shared" si="150"/>
        <v>F</v>
      </c>
      <c r="AV65" s="542">
        <f t="shared" si="151"/>
        <v>0.64259999999999995</v>
      </c>
      <c r="AW65" s="542">
        <f t="shared" si="152"/>
        <v>5.5999999999999999E-3</v>
      </c>
      <c r="AX65" s="546">
        <f xml:space="preserve"> ROUND(  INDEX( wx!65:65, AX$16 ),  AX$17 )</f>
        <v>5.5999999999999999E-3</v>
      </c>
      <c r="AY65" s="546">
        <f xml:space="preserve"> ROUND(  INDEX( wx!65:65, AY$16 ),  AY$17 )</f>
        <v>4.7999999999999996E-3</v>
      </c>
      <c r="AZ65" s="548" t="str">
        <f t="shared" si="153"/>
        <v>F</v>
      </c>
      <c r="BA65" s="542">
        <f t="shared" si="154"/>
        <v>0.64259999999999995</v>
      </c>
      <c r="BB65" s="542">
        <f t="shared" si="155"/>
        <v>5.3E-3</v>
      </c>
      <c r="BC65" s="533">
        <f xml:space="preserve"> ROUND(  INDEX( Kx!65:65, BC$16 ),  BC$17 )</f>
        <v>5608.68</v>
      </c>
      <c r="BD65" s="533">
        <f xml:space="preserve"> ROUND(  INDEX( Kx!65:65, BD$16 ),  BD$17 )</f>
        <v>5087.53</v>
      </c>
      <c r="BE65" s="548" t="str">
        <f t="shared" si="52"/>
        <v>M</v>
      </c>
      <c r="BF65" s="542">
        <f t="shared" si="156"/>
        <v>0.80179999999999996</v>
      </c>
      <c r="BG65" s="420">
        <f t="shared" si="157"/>
        <v>5505.39</v>
      </c>
      <c r="BQ65" s="549">
        <f t="shared" si="96"/>
        <v>65</v>
      </c>
      <c r="BR65" s="423">
        <f t="shared" si="55"/>
        <v>79538.97</v>
      </c>
      <c r="BS65" s="550">
        <f t="shared" si="158"/>
        <v>5505.39</v>
      </c>
      <c r="BT65" s="423">
        <f t="shared" si="159"/>
        <v>-1369.74</v>
      </c>
      <c r="BU65" s="551">
        <f t="shared" si="160"/>
        <v>102146.3</v>
      </c>
      <c r="BV65" s="551">
        <f t="shared" si="161"/>
        <v>1.0364</v>
      </c>
      <c r="BW65" s="529">
        <f t="shared" si="162"/>
        <v>81015.460000000006</v>
      </c>
      <c r="BX65" s="552">
        <f t="shared" si="163"/>
        <v>2846.2300000000105</v>
      </c>
      <c r="BY65" s="560"/>
      <c r="BZ65" s="559"/>
      <c r="CB65" s="423">
        <f t="shared" si="164"/>
        <v>-1695.06</v>
      </c>
      <c r="CC65" s="423">
        <f t="shared" si="165"/>
        <v>2025.39</v>
      </c>
      <c r="CD65" s="423">
        <f t="shared" si="166"/>
        <v>896.44</v>
      </c>
      <c r="CE65" s="423">
        <f t="shared" si="167"/>
        <v>1226.7700000000002</v>
      </c>
      <c r="CF65" s="553">
        <f t="shared" si="168"/>
        <v>1226.7799999999988</v>
      </c>
      <c r="CH65" s="423">
        <f t="shared" si="169"/>
        <v>3852.4304390000002</v>
      </c>
      <c r="CI65" s="423">
        <f t="shared" si="170"/>
        <v>5506.14</v>
      </c>
      <c r="CJ65" s="423">
        <f t="shared" si="171"/>
        <v>-779.13</v>
      </c>
      <c r="CK65" s="423">
        <f t="shared" si="172"/>
        <v>-874.58</v>
      </c>
      <c r="CL65" s="553">
        <f t="shared" si="173"/>
        <v>3852.4300000000003</v>
      </c>
      <c r="CN65" s="423">
        <f t="shared" si="71"/>
        <v>3898.5573770000001</v>
      </c>
      <c r="CO65" s="423">
        <f t="shared" si="174"/>
        <v>5506.14</v>
      </c>
      <c r="CP65" s="423">
        <f t="shared" si="175"/>
        <v>-741.14</v>
      </c>
      <c r="CQ65" s="423">
        <f t="shared" si="176"/>
        <v>-866.43</v>
      </c>
      <c r="CR65" s="553">
        <f t="shared" si="75"/>
        <v>3898.57</v>
      </c>
      <c r="CV65" s="564">
        <f t="shared" si="98"/>
        <v>65</v>
      </c>
      <c r="CW65" s="538" t="str">
        <f t="shared" si="177"/>
        <v>.</v>
      </c>
      <c r="CX65" s="566">
        <f t="shared" si="178"/>
        <v>80230.490000000005</v>
      </c>
      <c r="CY65" s="538">
        <f t="shared" si="179"/>
        <v>74890.289999999994</v>
      </c>
      <c r="CZ65" s="538">
        <f t="shared" si="180"/>
        <v>74890.289999999994</v>
      </c>
      <c r="DA65" s="538">
        <f t="shared" si="181"/>
        <v>0.92</v>
      </c>
      <c r="DB65" s="567" t="e">
        <f t="shared" si="99"/>
        <v>#N/A</v>
      </c>
      <c r="DC65" s="567">
        <f t="shared" si="100"/>
        <v>80230.490000000005</v>
      </c>
      <c r="DD65" s="567">
        <f t="shared" si="101"/>
        <v>74890.289999999994</v>
      </c>
      <c r="DE65" s="567">
        <f t="shared" si="101"/>
        <v>74890.289999999994</v>
      </c>
      <c r="DF65" s="568">
        <f t="shared" si="102"/>
        <v>74891.209999999992</v>
      </c>
      <c r="EL65" s="553">
        <f t="shared" si="81"/>
        <v>45617.56</v>
      </c>
      <c r="EM65" s="553">
        <f t="shared" si="182"/>
        <v>34619.199999999997</v>
      </c>
      <c r="EN65" s="423">
        <f t="shared" si="183"/>
        <v>80236.759999999995</v>
      </c>
      <c r="EO65" s="555">
        <f xml:space="preserve"> 'i2'!AO65</f>
        <v>80230.490000000005</v>
      </c>
      <c r="EV65" s="533" t="e">
        <f xml:space="preserve"> ROUND(    IF( $A$15=BE_MF_,   LEER,   INDEX( Kx!65:65, EV$16 ) ),    EV$17    )</f>
        <v>#VALUE!</v>
      </c>
      <c r="EW65" s="533" t="e">
        <f xml:space="preserve"> ROUND(    IF( $A$15=BE_MF_,   LEER,   INDEX( Kx!65:65, EW$16 ) ),    EW$17    )</f>
        <v>#VALUE!</v>
      </c>
      <c r="EX65" s="533" t="e">
        <f xml:space="preserve"> ROUND(    IF( $A$15=BE_MF_,   LEER,   INDEX( Kx!65:65, EX$16 ) ),    EX$17    )</f>
        <v>#VALUE!</v>
      </c>
      <c r="EY65" s="556" t="e">
        <f t="shared" si="103"/>
        <v>#VALUE!</v>
      </c>
      <c r="FB65" s="533" t="e">
        <f xml:space="preserve"> ROUND(    IF( $A$15=BE_MF_,   LEER,   INDEX( Kx!65:65, FB$16 ) ),    FB$17    )</f>
        <v>#VALUE!</v>
      </c>
      <c r="FC65" s="533" t="e">
        <f xml:space="preserve"> ROUND(    IF( $A$15=BE_MF_,   LEER,   INDEX( Kx!65:65, FC$16 ) ),    FC$17    )</f>
        <v>#VALUE!</v>
      </c>
      <c r="FD65" s="556" t="e">
        <f t="shared" si="104"/>
        <v>#VALUE!</v>
      </c>
      <c r="FG65" s="556" t="e">
        <f t="shared" si="105"/>
        <v>#VALUE!</v>
      </c>
      <c r="FH65" s="556" t="e">
        <f t="shared" si="105"/>
        <v>#VALUE!</v>
      </c>
      <c r="FI65" s="556" t="e">
        <f t="shared" si="105"/>
        <v>#VALUE!</v>
      </c>
      <c r="FN65" s="557">
        <f t="shared" si="184"/>
        <v>65</v>
      </c>
      <c r="FO65" s="493">
        <f t="shared" si="185"/>
        <v>70.543499999999995</v>
      </c>
      <c r="FP65" s="493">
        <f t="shared" si="186"/>
        <v>17.017600000000002</v>
      </c>
      <c r="FR65" s="427">
        <f t="shared" si="106"/>
        <v>2746039.8600000003</v>
      </c>
      <c r="FS65" s="558">
        <f t="shared" si="187"/>
        <v>104129.64</v>
      </c>
      <c r="FT65" s="558">
        <f t="shared" si="187"/>
        <v>102697.60000000001</v>
      </c>
      <c r="FU65" s="558">
        <f t="shared" si="187"/>
        <v>101262.02</v>
      </c>
      <c r="FV65" s="558">
        <f t="shared" si="187"/>
        <v>99826.45</v>
      </c>
      <c r="FW65" s="558">
        <f t="shared" si="187"/>
        <v>98341.37</v>
      </c>
      <c r="FX65" s="558">
        <f t="shared" si="187"/>
        <v>96813.86</v>
      </c>
      <c r="FY65" s="558">
        <f t="shared" si="187"/>
        <v>95300.49</v>
      </c>
      <c r="FZ65" s="558">
        <f t="shared" si="187"/>
        <v>93776.52</v>
      </c>
      <c r="GA65" s="558">
        <f t="shared" si="187"/>
        <v>92199.51</v>
      </c>
      <c r="GB65" s="558">
        <f t="shared" si="187"/>
        <v>90558.85</v>
      </c>
      <c r="GC65" s="558">
        <f t="shared" si="187"/>
        <v>88907.59</v>
      </c>
      <c r="GD65" s="558">
        <f t="shared" si="187"/>
        <v>87231.57</v>
      </c>
      <c r="GE65" s="558">
        <f t="shared" si="187"/>
        <v>85516.66</v>
      </c>
      <c r="GF65" s="558">
        <f t="shared" si="187"/>
        <v>83794.679999999993</v>
      </c>
      <c r="GG65" s="558">
        <f t="shared" si="187"/>
        <v>82019.649999999994</v>
      </c>
      <c r="GH65" s="558">
        <f t="shared" si="187"/>
        <v>80230.490000000005</v>
      </c>
      <c r="GI65" s="558">
        <f t="shared" si="126"/>
        <v>78388.28</v>
      </c>
      <c r="GJ65" s="558">
        <f t="shared" si="126"/>
        <v>76503.649999999994</v>
      </c>
      <c r="GK65" s="558">
        <f t="shared" si="126"/>
        <v>74565.98</v>
      </c>
      <c r="GL65" s="558">
        <f t="shared" si="126"/>
        <v>72571.73</v>
      </c>
      <c r="GM65" s="558">
        <f t="shared" si="126"/>
        <v>70517.37</v>
      </c>
      <c r="GN65" s="558">
        <f t="shared" si="126"/>
        <v>68385.22</v>
      </c>
      <c r="GO65" s="558">
        <f t="shared" si="126"/>
        <v>66175.289999999994</v>
      </c>
      <c r="GP65" s="558">
        <f t="shared" si="126"/>
        <v>63884.02</v>
      </c>
      <c r="GQ65" s="558">
        <f t="shared" si="126"/>
        <v>61500.83</v>
      </c>
      <c r="GR65" s="558">
        <f t="shared" si="126"/>
        <v>59043.38</v>
      </c>
      <c r="GS65" s="558">
        <f t="shared" si="126"/>
        <v>56501.06</v>
      </c>
      <c r="GT65" s="558">
        <f t="shared" si="126"/>
        <v>53880.959999999999</v>
      </c>
      <c r="GU65" s="558">
        <f t="shared" si="126"/>
        <v>51190.14</v>
      </c>
      <c r="GV65" s="558">
        <f t="shared" si="126"/>
        <v>48432.14</v>
      </c>
      <c r="GW65" s="558">
        <f t="shared" si="126"/>
        <v>45617.56</v>
      </c>
      <c r="GX65" s="558">
        <f t="shared" si="188"/>
        <v>42735.81</v>
      </c>
      <c r="GY65" s="558">
        <f t="shared" si="188"/>
        <v>39815.15</v>
      </c>
      <c r="GZ65" s="558">
        <f t="shared" si="188"/>
        <v>36841.46</v>
      </c>
      <c r="HA65" s="558">
        <f t="shared" si="188"/>
        <v>33835.949999999997</v>
      </c>
      <c r="HB65" s="558">
        <f t="shared" si="188"/>
        <v>30798.61</v>
      </c>
      <c r="HC65" s="558">
        <f t="shared" si="188"/>
        <v>27725.91</v>
      </c>
      <c r="HD65" s="558">
        <f t="shared" si="188"/>
        <v>24628.46</v>
      </c>
      <c r="HE65" s="558">
        <f t="shared" si="188"/>
        <v>21485.05</v>
      </c>
      <c r="HF65" s="558">
        <f t="shared" si="188"/>
        <v>18274.45</v>
      </c>
      <c r="HG65" s="558">
        <f t="shared" si="188"/>
        <v>15017.89</v>
      </c>
      <c r="HH65" s="558">
        <f t="shared" si="188"/>
        <v>11729.5</v>
      </c>
      <c r="HI65" s="558">
        <f t="shared" si="188"/>
        <v>8398.68</v>
      </c>
      <c r="HJ65" s="558">
        <f t="shared" si="188"/>
        <v>5043.1099999999997</v>
      </c>
      <c r="HK65" s="558">
        <f t="shared" si="188"/>
        <v>1652.19</v>
      </c>
      <c r="HL65" s="558">
        <f t="shared" si="188"/>
        <v>-1706.92</v>
      </c>
      <c r="HM65" s="558" t="str">
        <f t="shared" si="188"/>
        <v>.</v>
      </c>
      <c r="HN65" s="558" t="str">
        <f t="shared" si="127"/>
        <v>.</v>
      </c>
      <c r="HO65" s="558" t="str">
        <f t="shared" si="127"/>
        <v>.</v>
      </c>
      <c r="HP65" s="558" t="str">
        <f t="shared" si="127"/>
        <v>.</v>
      </c>
      <c r="HQ65" s="558" t="str">
        <f t="shared" si="127"/>
        <v>.</v>
      </c>
      <c r="HR65" s="558" t="str">
        <f t="shared" si="127"/>
        <v>.</v>
      </c>
      <c r="HS65" s="558" t="str">
        <f t="shared" si="127"/>
        <v>.</v>
      </c>
      <c r="HT65" s="558" t="str">
        <f t="shared" si="127"/>
        <v>.</v>
      </c>
      <c r="HU65" s="558" t="str">
        <f t="shared" si="127"/>
        <v>.</v>
      </c>
      <c r="HV65" s="558" t="str">
        <f t="shared" si="127"/>
        <v>.</v>
      </c>
      <c r="HW65" s="558" t="str">
        <f t="shared" si="127"/>
        <v>.</v>
      </c>
      <c r="HX65" s="558" t="str">
        <f t="shared" si="127"/>
        <v>.</v>
      </c>
      <c r="HY65" s="558" t="str">
        <f t="shared" si="127"/>
        <v>.</v>
      </c>
      <c r="HZ65" s="558" t="str">
        <f t="shared" si="127"/>
        <v>.</v>
      </c>
      <c r="IA65" s="558" t="str">
        <f t="shared" si="127"/>
        <v>.</v>
      </c>
      <c r="IB65" s="558" t="str">
        <f t="shared" si="127"/>
        <v>.</v>
      </c>
      <c r="IC65" s="558" t="str">
        <f t="shared" si="127"/>
        <v>.</v>
      </c>
      <c r="ID65" s="558" t="str">
        <f t="shared" ref="ID65:IU80" si="193" xml:space="preserve"> IF(  OR( ID$18&gt;$FN65, $FN65&gt;$FS$12 ),  LEER,  ROUND( $FR$19 * ( $FO65 - ID$15 * $FP65 ), ID$17 )  )</f>
        <v>.</v>
      </c>
      <c r="IE65" s="558" t="str">
        <f t="shared" si="193"/>
        <v>.</v>
      </c>
      <c r="IF65" s="558" t="str">
        <f t="shared" si="193"/>
        <v>.</v>
      </c>
      <c r="IG65" s="558" t="str">
        <f t="shared" si="128"/>
        <v>.</v>
      </c>
      <c r="IH65" s="558" t="str">
        <f t="shared" si="128"/>
        <v>.</v>
      </c>
      <c r="II65" s="558" t="str">
        <f t="shared" si="128"/>
        <v>.</v>
      </c>
      <c r="IJ65" s="558" t="str">
        <f t="shared" si="128"/>
        <v>.</v>
      </c>
      <c r="IK65" s="558" t="str">
        <f t="shared" si="128"/>
        <v>.</v>
      </c>
      <c r="IL65" s="558" t="str">
        <f t="shared" si="128"/>
        <v>.</v>
      </c>
      <c r="IM65" s="558" t="str">
        <f t="shared" si="128"/>
        <v>.</v>
      </c>
      <c r="IN65" s="558" t="str">
        <f t="shared" si="128"/>
        <v>.</v>
      </c>
      <c r="IO65" s="558" t="str">
        <f t="shared" si="128"/>
        <v>.</v>
      </c>
      <c r="IP65" s="558" t="str">
        <f t="shared" si="128"/>
        <v>.</v>
      </c>
      <c r="IQ65" s="558" t="str">
        <f t="shared" si="128"/>
        <v>.</v>
      </c>
      <c r="IR65" s="558" t="str">
        <f t="shared" si="128"/>
        <v>.</v>
      </c>
      <c r="IS65" s="558" t="str">
        <f t="shared" si="128"/>
        <v>.</v>
      </c>
      <c r="IT65" s="558" t="str">
        <f t="shared" si="128"/>
        <v>.</v>
      </c>
      <c r="IU65" s="558" t="str">
        <f t="shared" si="128"/>
        <v>.</v>
      </c>
      <c r="IV65" s="558" t="str">
        <f t="shared" si="128"/>
        <v>.</v>
      </c>
      <c r="IW65" s="558" t="str">
        <f t="shared" si="128"/>
        <v>.</v>
      </c>
      <c r="IX65" s="558" t="str">
        <f t="shared" si="128"/>
        <v>.</v>
      </c>
      <c r="IY65" s="558" t="str">
        <f t="shared" si="128"/>
        <v>.</v>
      </c>
      <c r="IZ65" s="558" t="str">
        <f t="shared" si="128"/>
        <v>.</v>
      </c>
      <c r="JA65" s="558" t="str">
        <f t="shared" si="128"/>
        <v>.</v>
      </c>
      <c r="JB65" s="558" t="str">
        <f t="shared" si="128"/>
        <v>.</v>
      </c>
      <c r="JC65" s="558" t="str">
        <f t="shared" si="128"/>
        <v>.</v>
      </c>
      <c r="JD65" s="558" t="str">
        <f t="shared" si="192"/>
        <v>.</v>
      </c>
      <c r="JE65" s="558" t="str">
        <f t="shared" si="192"/>
        <v>.</v>
      </c>
      <c r="JF65" s="558" t="str">
        <f t="shared" si="192"/>
        <v>.</v>
      </c>
      <c r="JG65" s="558" t="str">
        <f t="shared" si="192"/>
        <v>.</v>
      </c>
      <c r="JH65" s="558" t="str">
        <f t="shared" si="192"/>
        <v>.</v>
      </c>
      <c r="JI65" s="558" t="str">
        <f t="shared" si="192"/>
        <v>.</v>
      </c>
      <c r="JJ65" s="558" t="str">
        <f t="shared" si="192"/>
        <v>.</v>
      </c>
      <c r="JK65" s="558" t="str">
        <f t="shared" si="189"/>
        <v>.</v>
      </c>
      <c r="JL65" s="558" t="str">
        <f t="shared" si="189"/>
        <v>.</v>
      </c>
      <c r="JM65" s="558" t="str">
        <f t="shared" si="189"/>
        <v>.</v>
      </c>
      <c r="JN65" s="558" t="str">
        <f t="shared" si="189"/>
        <v>.</v>
      </c>
      <c r="JO65" s="558" t="str">
        <f t="shared" si="189"/>
        <v>.</v>
      </c>
    </row>
    <row r="66" spans="1:275" x14ac:dyDescent="0.2">
      <c r="A66" s="534">
        <f xml:space="preserve"> Basis!A66</f>
        <v>66</v>
      </c>
      <c r="F66" s="536">
        <f xml:space="preserve"> ROUND(    IF( $A$15=BE_MF_,   AW66,   INDEX( qx!66:66, F$16 ) ),    F$17    )</f>
        <v>6.1000000000000004E-3</v>
      </c>
      <c r="G66" s="536">
        <f xml:space="preserve"> ROUND(    IF( $A$15=BE_MF_,   BB66,   INDEX( wx!66:66, G$16 ) ),    G$17    )</f>
        <v>4.7000000000000002E-3</v>
      </c>
      <c r="H66" s="537">
        <f xml:space="preserve"> ROUND(    IF( $A$15=BE_MF_,   BG66,   INDEX( Kx!66:66, H$16 ) ),    H$17    )</f>
        <v>5798.42</v>
      </c>
      <c r="I66" s="538">
        <f t="shared" si="93"/>
        <v>5798.42</v>
      </c>
      <c r="J66" s="539">
        <f t="shared" si="129"/>
        <v>2.7909999999999999</v>
      </c>
      <c r="K66" s="540">
        <f t="shared" si="190"/>
        <v>2</v>
      </c>
      <c r="L66" s="541">
        <f t="shared" si="116"/>
        <v>0</v>
      </c>
      <c r="M66" s="541">
        <f t="shared" si="116"/>
        <v>8.5999999999999993E-2</v>
      </c>
      <c r="O66" s="542" t="b">
        <f t="shared" si="95"/>
        <v>1</v>
      </c>
      <c r="P66" s="493">
        <f t="shared" si="130"/>
        <v>1.0800000000000001E-2</v>
      </c>
      <c r="Q66" s="493">
        <f t="shared" si="131"/>
        <v>0.98919999999999997</v>
      </c>
      <c r="R66" s="543">
        <f t="shared" si="132"/>
        <v>502937</v>
      </c>
      <c r="S66" s="544">
        <f t="shared" si="133"/>
        <v>0.97560975599999999</v>
      </c>
      <c r="T66" s="423">
        <f t="shared" si="134"/>
        <v>98568.57</v>
      </c>
      <c r="U66" s="423">
        <f xml:space="preserve"> IF( $O66,    ROUND(  SUM( T66:T$120), U$17 ),  LEER  )</f>
        <v>1636142.05</v>
      </c>
      <c r="V66" s="493">
        <f t="shared" si="135"/>
        <v>16.599</v>
      </c>
      <c r="W66" s="493">
        <f t="shared" si="136"/>
        <v>275104.88</v>
      </c>
      <c r="X66" s="493">
        <f xml:space="preserve"> IF( $O66,    ROUND(  SUM( W66:W$120), X$17 ),  LEER  )</f>
        <v>6935070.3700000001</v>
      </c>
      <c r="Y66" s="493">
        <f t="shared" si="137"/>
        <v>70.357799999999997</v>
      </c>
      <c r="Z66" s="493">
        <f t="shared" si="138"/>
        <v>4.2386999999999997</v>
      </c>
      <c r="AA66" s="493">
        <f t="shared" si="139"/>
        <v>1.0111000000000001</v>
      </c>
      <c r="AB66" s="493">
        <f t="shared" si="140"/>
        <v>2.3494000000000002</v>
      </c>
      <c r="AC66" s="545">
        <f t="shared" si="141"/>
        <v>0.32679999999999998</v>
      </c>
      <c r="AD66" s="493">
        <f t="shared" si="142"/>
        <v>4.2893999999999997</v>
      </c>
      <c r="AE66" s="493">
        <f t="shared" si="143"/>
        <v>5.0505000000000004</v>
      </c>
      <c r="AF66" s="493">
        <f t="shared" si="144"/>
        <v>5.0505000000000004</v>
      </c>
      <c r="AG66" s="493" t="str">
        <f t="shared" si="145"/>
        <v>.</v>
      </c>
      <c r="AH66" s="493" t="str">
        <f t="shared" si="146"/>
        <v>.</v>
      </c>
      <c r="AI66" s="423">
        <f t="shared" si="147"/>
        <v>2077.79</v>
      </c>
      <c r="AJ66" s="423">
        <f t="shared" si="148"/>
        <v>10493.88</v>
      </c>
      <c r="AK66" s="423">
        <f t="shared" si="149"/>
        <v>874.49</v>
      </c>
      <c r="AN66" s="423">
        <f t="shared" si="191"/>
        <v>82242.240000000005</v>
      </c>
      <c r="AO66" s="423">
        <f t="shared" si="191"/>
        <v>81476.58</v>
      </c>
      <c r="AR66" s="546">
        <f xml:space="preserve"> ROUND(  INDEX( Kx!66:66, AR$16 ),  AR$17 )</f>
        <v>0.72860000000000003</v>
      </c>
      <c r="AS66" s="547">
        <f xml:space="preserve"> ROUND(  INDEX( qx!66:66, AS$16 ),  AS$17 )</f>
        <v>7.0000000000000001E-3</v>
      </c>
      <c r="AT66" s="547">
        <f xml:space="preserve"> ROUND(  INDEX( qx!66:66, AT$16 ),  AT$17 )</f>
        <v>4.4000000000000003E-3</v>
      </c>
      <c r="AU66" s="548" t="str">
        <f t="shared" si="150"/>
        <v>F</v>
      </c>
      <c r="AV66" s="542">
        <f t="shared" si="151"/>
        <v>0.64149999999999996</v>
      </c>
      <c r="AW66" s="542">
        <f t="shared" si="152"/>
        <v>6.1000000000000004E-3</v>
      </c>
      <c r="AX66" s="546">
        <f xml:space="preserve"> ROUND(  INDEX( wx!66:66, AX$16 ),  AX$17 )</f>
        <v>5.1000000000000004E-3</v>
      </c>
      <c r="AY66" s="546">
        <f xml:space="preserve"> ROUND(  INDEX( wx!66:66, AY$16 ),  AY$17 )</f>
        <v>4.0000000000000001E-3</v>
      </c>
      <c r="AZ66" s="548" t="str">
        <f t="shared" si="153"/>
        <v>F</v>
      </c>
      <c r="BA66" s="542">
        <f t="shared" si="154"/>
        <v>0.64149999999999996</v>
      </c>
      <c r="BB66" s="542">
        <f t="shared" si="155"/>
        <v>4.7000000000000002E-3</v>
      </c>
      <c r="BC66" s="533">
        <f xml:space="preserve"> ROUND(  INDEX( Kx!66:66, BC$16 ),  BC$17 )</f>
        <v>5922.4</v>
      </c>
      <c r="BD66" s="533">
        <f xml:space="preserve"> ROUND(  INDEX( Kx!66:66, BD$16 ),  BD$17 )</f>
        <v>5299.05</v>
      </c>
      <c r="BE66" s="548" t="str">
        <f t="shared" si="52"/>
        <v>M</v>
      </c>
      <c r="BF66" s="542">
        <f t="shared" si="156"/>
        <v>0.80110000000000003</v>
      </c>
      <c r="BG66" s="420">
        <f t="shared" si="157"/>
        <v>5798.42</v>
      </c>
      <c r="BQ66" s="549">
        <f t="shared" si="96"/>
        <v>66</v>
      </c>
      <c r="BR66" s="423">
        <f t="shared" si="55"/>
        <v>81015.460000000006</v>
      </c>
      <c r="BS66" s="550">
        <f t="shared" si="158"/>
        <v>5798.42</v>
      </c>
      <c r="BT66" s="423">
        <f t="shared" si="159"/>
        <v>-1652.96</v>
      </c>
      <c r="BU66" s="551">
        <f t="shared" si="160"/>
        <v>98568.57</v>
      </c>
      <c r="BV66" s="551">
        <f t="shared" si="161"/>
        <v>1.0363</v>
      </c>
      <c r="BW66" s="529">
        <f t="shared" si="162"/>
        <v>82242.240000000005</v>
      </c>
      <c r="BX66" s="552">
        <f t="shared" si="163"/>
        <v>2879.7400000000052</v>
      </c>
      <c r="BY66" s="560"/>
      <c r="BZ66" s="559"/>
      <c r="CB66" s="423">
        <f t="shared" si="164"/>
        <v>-1995.35</v>
      </c>
      <c r="CC66" s="423">
        <f t="shared" si="165"/>
        <v>2056.06</v>
      </c>
      <c r="CD66" s="423">
        <f t="shared" si="166"/>
        <v>898.58</v>
      </c>
      <c r="CE66" s="423">
        <f t="shared" si="167"/>
        <v>959.29000000000008</v>
      </c>
      <c r="CF66" s="553">
        <f t="shared" si="168"/>
        <v>959.25999999999476</v>
      </c>
      <c r="CH66" s="423">
        <f t="shared" si="169"/>
        <v>3852.4304390000002</v>
      </c>
      <c r="CI66" s="423">
        <f t="shared" si="170"/>
        <v>5799.11</v>
      </c>
      <c r="CJ66" s="423">
        <f t="shared" si="171"/>
        <v>-1070.04</v>
      </c>
      <c r="CK66" s="423">
        <f t="shared" si="172"/>
        <v>-876.66</v>
      </c>
      <c r="CL66" s="553">
        <f t="shared" si="173"/>
        <v>3852.41</v>
      </c>
      <c r="CN66" s="423">
        <f t="shared" si="71"/>
        <v>3898.5573770000001</v>
      </c>
      <c r="CO66" s="423">
        <f t="shared" si="174"/>
        <v>5799.11</v>
      </c>
      <c r="CP66" s="423">
        <f t="shared" si="175"/>
        <v>-1031.77</v>
      </c>
      <c r="CQ66" s="423">
        <f t="shared" si="176"/>
        <v>-868.8</v>
      </c>
      <c r="CR66" s="553">
        <f t="shared" si="75"/>
        <v>3898.54</v>
      </c>
      <c r="CV66" s="564">
        <f t="shared" si="98"/>
        <v>66</v>
      </c>
      <c r="CW66" s="538" t="str">
        <f t="shared" si="177"/>
        <v>.</v>
      </c>
      <c r="CX66" s="566">
        <f t="shared" si="178"/>
        <v>81476.58</v>
      </c>
      <c r="CY66" s="538" t="str">
        <f t="shared" si="179"/>
        <v>.</v>
      </c>
      <c r="CZ66" s="538">
        <f t="shared" si="180"/>
        <v>73048</v>
      </c>
      <c r="DA66" s="538">
        <f t="shared" si="181"/>
        <v>3220.5</v>
      </c>
      <c r="DB66" s="567" t="e">
        <f t="shared" si="99"/>
        <v>#N/A</v>
      </c>
      <c r="DC66" s="567">
        <f t="shared" si="100"/>
        <v>81476.58</v>
      </c>
      <c r="DD66" s="567" t="e">
        <f t="shared" si="101"/>
        <v>#N/A</v>
      </c>
      <c r="DE66" s="567">
        <f t="shared" si="101"/>
        <v>73048</v>
      </c>
      <c r="DF66" s="568">
        <f t="shared" si="102"/>
        <v>76268.5</v>
      </c>
      <c r="EL66" s="553">
        <f t="shared" si="81"/>
        <v>47715.07</v>
      </c>
      <c r="EM66" s="553">
        <f t="shared" si="182"/>
        <v>33767.629999999997</v>
      </c>
      <c r="EN66" s="423">
        <f t="shared" si="183"/>
        <v>81482.7</v>
      </c>
      <c r="EO66" s="555">
        <f xml:space="preserve"> 'i2'!AO66</f>
        <v>81476.58</v>
      </c>
      <c r="EV66" s="533" t="e">
        <f xml:space="preserve"> ROUND(    IF( $A$15=BE_MF_,   LEER,   INDEX( Kx!66:66, EV$16 ) ),    EV$17    )</f>
        <v>#VALUE!</v>
      </c>
      <c r="EW66" s="533" t="e">
        <f xml:space="preserve"> ROUND(    IF( $A$15=BE_MF_,   LEER,   INDEX( Kx!66:66, EW$16 ) ),    EW$17    )</f>
        <v>#VALUE!</v>
      </c>
      <c r="EX66" s="533" t="e">
        <f xml:space="preserve"> ROUND(    IF( $A$15=BE_MF_,   LEER,   INDEX( Kx!66:66, EX$16 ) ),    EX$17    )</f>
        <v>#VALUE!</v>
      </c>
      <c r="EY66" s="556" t="e">
        <f t="shared" si="103"/>
        <v>#VALUE!</v>
      </c>
      <c r="FB66" s="533" t="e">
        <f xml:space="preserve"> ROUND(    IF( $A$15=BE_MF_,   LEER,   INDEX( Kx!66:66, FB$16 ) ),    FB$17    )</f>
        <v>#VALUE!</v>
      </c>
      <c r="FC66" s="533" t="e">
        <f xml:space="preserve"> ROUND(    IF( $A$15=BE_MF_,   LEER,   INDEX( Kx!66:66, FC$16 ) ),    FC$17    )</f>
        <v>#VALUE!</v>
      </c>
      <c r="FD66" s="556" t="e">
        <f t="shared" si="104"/>
        <v>#VALUE!</v>
      </c>
      <c r="FG66" s="556" t="e">
        <f t="shared" si="105"/>
        <v>#VALUE!</v>
      </c>
      <c r="FH66" s="556" t="e">
        <f t="shared" si="105"/>
        <v>#VALUE!</v>
      </c>
      <c r="FI66" s="556" t="e">
        <f t="shared" si="105"/>
        <v>#VALUE!</v>
      </c>
      <c r="FN66" s="557">
        <f t="shared" si="184"/>
        <v>66</v>
      </c>
      <c r="FO66" s="493">
        <f t="shared" si="185"/>
        <v>70.357799999999997</v>
      </c>
      <c r="FP66" s="493">
        <f t="shared" si="186"/>
        <v>16.599</v>
      </c>
      <c r="FR66" s="427">
        <f t="shared" si="106"/>
        <v>2824845.0499999993</v>
      </c>
      <c r="FS66" s="558">
        <f t="shared" si="187"/>
        <v>104787.85</v>
      </c>
      <c r="FT66" s="558">
        <f t="shared" si="187"/>
        <v>103391.03999999999</v>
      </c>
      <c r="FU66" s="558">
        <f t="shared" si="187"/>
        <v>101990.78</v>
      </c>
      <c r="FV66" s="558">
        <f t="shared" si="187"/>
        <v>100590.51</v>
      </c>
      <c r="FW66" s="558">
        <f t="shared" si="187"/>
        <v>99141.97</v>
      </c>
      <c r="FX66" s="558">
        <f t="shared" si="187"/>
        <v>97652.03</v>
      </c>
      <c r="FY66" s="558">
        <f t="shared" si="187"/>
        <v>96175.89</v>
      </c>
      <c r="FZ66" s="558">
        <f t="shared" si="187"/>
        <v>94689.41</v>
      </c>
      <c r="GA66" s="558">
        <f t="shared" si="187"/>
        <v>93151.19</v>
      </c>
      <c r="GB66" s="558">
        <f t="shared" si="187"/>
        <v>91550.89</v>
      </c>
      <c r="GC66" s="558">
        <f t="shared" si="187"/>
        <v>89940.24</v>
      </c>
      <c r="GD66" s="558">
        <f t="shared" si="187"/>
        <v>88305.45</v>
      </c>
      <c r="GE66" s="558">
        <f t="shared" si="187"/>
        <v>86632.72</v>
      </c>
      <c r="GF66" s="558">
        <f t="shared" si="187"/>
        <v>84953.09</v>
      </c>
      <c r="GG66" s="558">
        <f t="shared" si="187"/>
        <v>83221.73</v>
      </c>
      <c r="GH66" s="558">
        <f t="shared" si="187"/>
        <v>81476.58</v>
      </c>
      <c r="GI66" s="558">
        <f t="shared" si="126"/>
        <v>79679.69</v>
      </c>
      <c r="GJ66" s="558">
        <f t="shared" si="126"/>
        <v>77841.41</v>
      </c>
      <c r="GK66" s="558">
        <f t="shared" si="126"/>
        <v>75951.399999999994</v>
      </c>
      <c r="GL66" s="558">
        <f t="shared" si="126"/>
        <v>74006.210000000006</v>
      </c>
      <c r="GM66" s="558">
        <f t="shared" si="126"/>
        <v>72002.39</v>
      </c>
      <c r="GN66" s="558">
        <f t="shared" si="126"/>
        <v>69922.69</v>
      </c>
      <c r="GO66" s="558">
        <f t="shared" si="126"/>
        <v>67767.11</v>
      </c>
      <c r="GP66" s="558">
        <f t="shared" si="126"/>
        <v>65532.21</v>
      </c>
      <c r="GQ66" s="558">
        <f t="shared" si="126"/>
        <v>63207.63</v>
      </c>
      <c r="GR66" s="558">
        <f t="shared" si="126"/>
        <v>60810.63</v>
      </c>
      <c r="GS66" s="558">
        <f t="shared" si="126"/>
        <v>58330.85</v>
      </c>
      <c r="GT66" s="558">
        <f t="shared" si="126"/>
        <v>55775.199999999997</v>
      </c>
      <c r="GU66" s="558">
        <f t="shared" si="126"/>
        <v>53150.57</v>
      </c>
      <c r="GV66" s="558">
        <f t="shared" si="126"/>
        <v>50460.41</v>
      </c>
      <c r="GW66" s="558">
        <f t="shared" si="126"/>
        <v>47715.07</v>
      </c>
      <c r="GX66" s="558">
        <f t="shared" si="188"/>
        <v>44904.19</v>
      </c>
      <c r="GY66" s="558">
        <f t="shared" si="188"/>
        <v>42055.38</v>
      </c>
      <c r="GZ66" s="558">
        <f t="shared" si="188"/>
        <v>39154.839999999997</v>
      </c>
      <c r="HA66" s="558">
        <f t="shared" si="188"/>
        <v>36223.25</v>
      </c>
      <c r="HB66" s="558">
        <f t="shared" si="188"/>
        <v>33260.629999999997</v>
      </c>
      <c r="HC66" s="558">
        <f t="shared" si="188"/>
        <v>30263.51</v>
      </c>
      <c r="HD66" s="558">
        <f t="shared" si="188"/>
        <v>27242.26</v>
      </c>
      <c r="HE66" s="558">
        <f t="shared" si="188"/>
        <v>24176.16</v>
      </c>
      <c r="HF66" s="558">
        <f t="shared" si="188"/>
        <v>21044.54</v>
      </c>
      <c r="HG66" s="558">
        <f t="shared" si="188"/>
        <v>17868.080000000002</v>
      </c>
      <c r="HH66" s="558">
        <f t="shared" si="188"/>
        <v>14660.58</v>
      </c>
      <c r="HI66" s="558">
        <f t="shared" si="188"/>
        <v>11411.7</v>
      </c>
      <c r="HJ66" s="558">
        <f t="shared" si="188"/>
        <v>8138.67</v>
      </c>
      <c r="HK66" s="558">
        <f t="shared" si="188"/>
        <v>4831.1499999999996</v>
      </c>
      <c r="HL66" s="558">
        <f t="shared" si="188"/>
        <v>1554.67</v>
      </c>
      <c r="HM66" s="558">
        <f t="shared" si="188"/>
        <v>-1749.4</v>
      </c>
      <c r="HN66" s="558" t="str">
        <f t="shared" ref="HN66:IC81" si="194" xml:space="preserve"> IF(  OR( HN$18&gt;$FN66, $FN66&gt;$FS$12 ),  LEER,  ROUND( $FR$19 * ( $FO66 - HN$15 * $FP66 ), HN$17 )  )</f>
        <v>.</v>
      </c>
      <c r="HO66" s="558" t="str">
        <f t="shared" si="194"/>
        <v>.</v>
      </c>
      <c r="HP66" s="558" t="str">
        <f t="shared" si="194"/>
        <v>.</v>
      </c>
      <c r="HQ66" s="558" t="str">
        <f t="shared" si="194"/>
        <v>.</v>
      </c>
      <c r="HR66" s="558" t="str">
        <f t="shared" si="194"/>
        <v>.</v>
      </c>
      <c r="HS66" s="558" t="str">
        <f t="shared" si="194"/>
        <v>.</v>
      </c>
      <c r="HT66" s="558" t="str">
        <f t="shared" si="194"/>
        <v>.</v>
      </c>
      <c r="HU66" s="558" t="str">
        <f t="shared" si="194"/>
        <v>.</v>
      </c>
      <c r="HV66" s="558" t="str">
        <f t="shared" si="194"/>
        <v>.</v>
      </c>
      <c r="HW66" s="558" t="str">
        <f t="shared" si="194"/>
        <v>.</v>
      </c>
      <c r="HX66" s="558" t="str">
        <f t="shared" si="194"/>
        <v>.</v>
      </c>
      <c r="HY66" s="558" t="str">
        <f t="shared" si="194"/>
        <v>.</v>
      </c>
      <c r="HZ66" s="558" t="str">
        <f t="shared" si="194"/>
        <v>.</v>
      </c>
      <c r="IA66" s="558" t="str">
        <f t="shared" si="194"/>
        <v>.</v>
      </c>
      <c r="IB66" s="558" t="str">
        <f t="shared" si="194"/>
        <v>.</v>
      </c>
      <c r="IC66" s="558" t="str">
        <f t="shared" si="194"/>
        <v>.</v>
      </c>
      <c r="ID66" s="558" t="str">
        <f t="shared" si="193"/>
        <v>.</v>
      </c>
      <c r="IE66" s="558" t="str">
        <f t="shared" si="193"/>
        <v>.</v>
      </c>
      <c r="IF66" s="558" t="str">
        <f t="shared" si="193"/>
        <v>.</v>
      </c>
      <c r="IG66" s="558" t="str">
        <f t="shared" si="193"/>
        <v>.</v>
      </c>
      <c r="IH66" s="558" t="str">
        <f t="shared" si="193"/>
        <v>.</v>
      </c>
      <c r="II66" s="558" t="str">
        <f t="shared" si="193"/>
        <v>.</v>
      </c>
      <c r="IJ66" s="558" t="str">
        <f t="shared" si="128"/>
        <v>.</v>
      </c>
      <c r="IK66" s="558" t="str">
        <f t="shared" si="128"/>
        <v>.</v>
      </c>
      <c r="IL66" s="558" t="str">
        <f t="shared" si="128"/>
        <v>.</v>
      </c>
      <c r="IM66" s="558" t="str">
        <f t="shared" si="128"/>
        <v>.</v>
      </c>
      <c r="IN66" s="558" t="str">
        <f t="shared" si="128"/>
        <v>.</v>
      </c>
      <c r="IO66" s="558" t="str">
        <f t="shared" si="128"/>
        <v>.</v>
      </c>
      <c r="IP66" s="558" t="str">
        <f t="shared" si="128"/>
        <v>.</v>
      </c>
      <c r="IQ66" s="558" t="str">
        <f t="shared" si="128"/>
        <v>.</v>
      </c>
      <c r="IR66" s="558" t="str">
        <f t="shared" si="128"/>
        <v>.</v>
      </c>
      <c r="IS66" s="558" t="str">
        <f t="shared" si="128"/>
        <v>.</v>
      </c>
      <c r="IT66" s="558" t="str">
        <f t="shared" si="128"/>
        <v>.</v>
      </c>
      <c r="IU66" s="558" t="str">
        <f t="shared" si="128"/>
        <v>.</v>
      </c>
      <c r="IV66" s="558" t="str">
        <f t="shared" si="128"/>
        <v>.</v>
      </c>
      <c r="IW66" s="558" t="str">
        <f t="shared" si="128"/>
        <v>.</v>
      </c>
      <c r="IX66" s="558" t="str">
        <f t="shared" si="128"/>
        <v>.</v>
      </c>
      <c r="IY66" s="558" t="str">
        <f t="shared" si="128"/>
        <v>.</v>
      </c>
      <c r="IZ66" s="558" t="str">
        <f t="shared" si="128"/>
        <v>.</v>
      </c>
      <c r="JA66" s="558" t="str">
        <f t="shared" si="128"/>
        <v>.</v>
      </c>
      <c r="JB66" s="558" t="str">
        <f t="shared" si="128"/>
        <v>.</v>
      </c>
      <c r="JC66" s="558" t="str">
        <f t="shared" si="128"/>
        <v>.</v>
      </c>
      <c r="JD66" s="558" t="str">
        <f t="shared" si="192"/>
        <v>.</v>
      </c>
      <c r="JE66" s="558" t="str">
        <f t="shared" si="192"/>
        <v>.</v>
      </c>
      <c r="JF66" s="558" t="str">
        <f t="shared" si="192"/>
        <v>.</v>
      </c>
      <c r="JG66" s="558" t="str">
        <f t="shared" si="192"/>
        <v>.</v>
      </c>
      <c r="JH66" s="558" t="str">
        <f t="shared" si="192"/>
        <v>.</v>
      </c>
      <c r="JI66" s="558" t="str">
        <f t="shared" si="192"/>
        <v>.</v>
      </c>
      <c r="JJ66" s="558" t="str">
        <f t="shared" si="192"/>
        <v>.</v>
      </c>
      <c r="JK66" s="558" t="str">
        <f t="shared" si="189"/>
        <v>.</v>
      </c>
      <c r="JL66" s="558" t="str">
        <f t="shared" si="189"/>
        <v>.</v>
      </c>
      <c r="JM66" s="558" t="str">
        <f t="shared" si="189"/>
        <v>.</v>
      </c>
      <c r="JN66" s="558" t="str">
        <f t="shared" si="189"/>
        <v>.</v>
      </c>
      <c r="JO66" s="558" t="str">
        <f t="shared" si="189"/>
        <v>.</v>
      </c>
    </row>
    <row r="67" spans="1:275" x14ac:dyDescent="0.2">
      <c r="A67" s="534">
        <f xml:space="preserve"> Basis!A67</f>
        <v>67</v>
      </c>
      <c r="F67" s="536">
        <f xml:space="preserve"> ROUND(    IF( $A$15=BE_MF_,   AW67,   INDEX( qx!67:67, F$16 ) ),    F$17    )</f>
        <v>6.7000000000000002E-3</v>
      </c>
      <c r="G67" s="536">
        <f xml:space="preserve"> ROUND(    IF( $A$15=BE_MF_,   BB67,   INDEX( wx!67:67, G$16 ) ),    G$17    )</f>
        <v>4.1000000000000003E-3</v>
      </c>
      <c r="H67" s="537">
        <f xml:space="preserve"> ROUND(    IF( $A$15=BE_MF_,   BG67,   INDEX( Kx!67:67, H$16 ) ),    H$17    )</f>
        <v>6101.4</v>
      </c>
      <c r="I67" s="538">
        <f t="shared" si="93"/>
        <v>6101.4</v>
      </c>
      <c r="J67" s="539">
        <f t="shared" si="129"/>
        <v>2.9359999999999999</v>
      </c>
      <c r="K67" s="540">
        <f t="shared" si="190"/>
        <v>2</v>
      </c>
      <c r="L67" s="541">
        <f t="shared" si="116"/>
        <v>0</v>
      </c>
      <c r="M67" s="541">
        <f t="shared" si="116"/>
        <v>8.5999999999999993E-2</v>
      </c>
      <c r="O67" s="542" t="b">
        <f t="shared" si="95"/>
        <v>1</v>
      </c>
      <c r="P67" s="493">
        <f t="shared" si="130"/>
        <v>1.0800000000000001E-2</v>
      </c>
      <c r="Q67" s="493">
        <f t="shared" si="131"/>
        <v>0.98919999999999997</v>
      </c>
      <c r="R67" s="543">
        <f t="shared" si="132"/>
        <v>497505</v>
      </c>
      <c r="S67" s="544">
        <f t="shared" si="133"/>
        <v>0.97560975599999999</v>
      </c>
      <c r="T67" s="423">
        <f t="shared" si="134"/>
        <v>95125.83</v>
      </c>
      <c r="U67" s="423">
        <f xml:space="preserve"> IF( $O67,    ROUND(  SUM( T67:T$120), U$17 ),  LEER  )</f>
        <v>1537573.48</v>
      </c>
      <c r="V67" s="493">
        <f t="shared" si="135"/>
        <v>16.163599999999999</v>
      </c>
      <c r="W67" s="493">
        <f t="shared" si="136"/>
        <v>279289.44</v>
      </c>
      <c r="X67" s="493">
        <f xml:space="preserve"> IF( $O67,    ROUND(  SUM( W67:W$120), X$17 ),  LEER  )</f>
        <v>6659965.4900000002</v>
      </c>
      <c r="Y67" s="493">
        <f t="shared" si="137"/>
        <v>70.012200000000007</v>
      </c>
      <c r="Z67" s="493">
        <f t="shared" si="138"/>
        <v>4.3315000000000001</v>
      </c>
      <c r="AA67" s="493">
        <f t="shared" si="139"/>
        <v>1.0114000000000001</v>
      </c>
      <c r="AB67" s="493">
        <f t="shared" si="140"/>
        <v>2.3494000000000002</v>
      </c>
      <c r="AC67" s="545">
        <f t="shared" si="141"/>
        <v>0.32679999999999998</v>
      </c>
      <c r="AD67" s="493">
        <f t="shared" si="142"/>
        <v>4.3845999999999998</v>
      </c>
      <c r="AE67" s="493">
        <f t="shared" si="143"/>
        <v>5.1547000000000001</v>
      </c>
      <c r="AF67" s="493">
        <f t="shared" si="144"/>
        <v>5.1547000000000001</v>
      </c>
      <c r="AG67" s="493" t="str">
        <f t="shared" si="145"/>
        <v>.</v>
      </c>
      <c r="AH67" s="493" t="str">
        <f t="shared" si="146"/>
        <v>.</v>
      </c>
      <c r="AI67" s="423">
        <f t="shared" si="147"/>
        <v>2077.79</v>
      </c>
      <c r="AJ67" s="423">
        <f t="shared" si="148"/>
        <v>10710.38</v>
      </c>
      <c r="AK67" s="423">
        <f t="shared" si="149"/>
        <v>892.53</v>
      </c>
      <c r="AN67" s="423">
        <f t="shared" si="191"/>
        <v>83201.5</v>
      </c>
      <c r="AO67" s="423">
        <f t="shared" si="191"/>
        <v>82455.929999999993</v>
      </c>
      <c r="AR67" s="546">
        <f xml:space="preserve"> ROUND(  INDEX( Kx!67:67, AR$16 ),  AR$17 )</f>
        <v>0.7288</v>
      </c>
      <c r="AS67" s="547">
        <f xml:space="preserve"> ROUND(  INDEX( qx!67:67, AS$16 ),  AS$17 )</f>
        <v>7.7000000000000002E-3</v>
      </c>
      <c r="AT67" s="547">
        <f xml:space="preserve"> ROUND(  INDEX( qx!67:67, AT$16 ),  AT$17 )</f>
        <v>4.7999999999999996E-3</v>
      </c>
      <c r="AU67" s="548" t="str">
        <f t="shared" si="150"/>
        <v>F</v>
      </c>
      <c r="AV67" s="542">
        <f t="shared" si="151"/>
        <v>0.64180000000000004</v>
      </c>
      <c r="AW67" s="542">
        <f t="shared" si="152"/>
        <v>6.7000000000000002E-3</v>
      </c>
      <c r="AX67" s="546">
        <f xml:space="preserve"> ROUND(  INDEX( wx!67:67, AX$16 ),  AX$17 )</f>
        <v>4.5999999999999999E-3</v>
      </c>
      <c r="AY67" s="546">
        <f xml:space="preserve"> ROUND(  INDEX( wx!67:67, AY$16 ),  AY$17 )</f>
        <v>3.3E-3</v>
      </c>
      <c r="AZ67" s="548" t="str">
        <f t="shared" si="153"/>
        <v>F</v>
      </c>
      <c r="BA67" s="542">
        <f t="shared" si="154"/>
        <v>0.64180000000000004</v>
      </c>
      <c r="BB67" s="542">
        <f t="shared" si="155"/>
        <v>4.1000000000000003E-3</v>
      </c>
      <c r="BC67" s="533">
        <f xml:space="preserve"> ROUND(  INDEX( Kx!67:67, BC$16 ),  BC$17 )</f>
        <v>6242.11</v>
      </c>
      <c r="BD67" s="533">
        <f xml:space="preserve"> ROUND(  INDEX( Kx!67:67, BD$16 ),  BD$17 )</f>
        <v>5534.32</v>
      </c>
      <c r="BE67" s="548" t="str">
        <f t="shared" si="52"/>
        <v>M</v>
      </c>
      <c r="BF67" s="542">
        <f t="shared" si="156"/>
        <v>0.80120000000000002</v>
      </c>
      <c r="BG67" s="420">
        <f t="shared" si="157"/>
        <v>6101.4</v>
      </c>
      <c r="BQ67" s="549">
        <f t="shared" si="96"/>
        <v>67</v>
      </c>
      <c r="BR67" s="423">
        <f t="shared" si="55"/>
        <v>82242.240000000005</v>
      </c>
      <c r="BS67" s="550">
        <f t="shared" si="158"/>
        <v>6101.4</v>
      </c>
      <c r="BT67" s="423">
        <f t="shared" si="159"/>
        <v>-1945.99</v>
      </c>
      <c r="BU67" s="551">
        <f t="shared" si="160"/>
        <v>95125.83</v>
      </c>
      <c r="BV67" s="551">
        <f t="shared" si="161"/>
        <v>1.0362</v>
      </c>
      <c r="BW67" s="529">
        <f t="shared" si="162"/>
        <v>83201.5</v>
      </c>
      <c r="BX67" s="552">
        <f t="shared" si="163"/>
        <v>2905.25</v>
      </c>
      <c r="BY67" s="560"/>
      <c r="BZ67" s="559"/>
      <c r="CB67" s="423">
        <f t="shared" si="164"/>
        <v>-2304.16</v>
      </c>
      <c r="CC67" s="423">
        <f t="shared" si="165"/>
        <v>2080.04</v>
      </c>
      <c r="CD67" s="423">
        <f t="shared" si="166"/>
        <v>905.94</v>
      </c>
      <c r="CE67" s="423">
        <f t="shared" si="167"/>
        <v>681.82000000000016</v>
      </c>
      <c r="CF67" s="553">
        <f t="shared" si="168"/>
        <v>681.86999999999534</v>
      </c>
      <c r="CH67" s="423">
        <f t="shared" si="169"/>
        <v>3852.4304390000002</v>
      </c>
      <c r="CI67" s="423">
        <f t="shared" si="170"/>
        <v>6100.39</v>
      </c>
      <c r="CJ67" s="423">
        <f t="shared" si="171"/>
        <v>-1364.07</v>
      </c>
      <c r="CK67" s="423">
        <f t="shared" si="172"/>
        <v>-883.84</v>
      </c>
      <c r="CL67" s="553">
        <f t="shared" si="173"/>
        <v>3852.4800000000005</v>
      </c>
      <c r="CN67" s="423">
        <f t="shared" si="71"/>
        <v>3898.5573770000001</v>
      </c>
      <c r="CO67" s="423">
        <f t="shared" si="174"/>
        <v>6100.39</v>
      </c>
      <c r="CP67" s="423">
        <f t="shared" si="175"/>
        <v>-1325.58</v>
      </c>
      <c r="CQ67" s="423">
        <f t="shared" si="176"/>
        <v>-876.21</v>
      </c>
      <c r="CR67" s="553">
        <f t="shared" si="75"/>
        <v>3898.6000000000004</v>
      </c>
      <c r="CV67" s="564">
        <f t="shared" si="98"/>
        <v>67</v>
      </c>
      <c r="CW67" s="538" t="str">
        <f t="shared" si="177"/>
        <v>.</v>
      </c>
      <c r="CX67" s="566">
        <f t="shared" si="178"/>
        <v>82455.929999999993</v>
      </c>
      <c r="CY67" s="538" t="str">
        <f t="shared" si="179"/>
        <v>.</v>
      </c>
      <c r="CZ67" s="538">
        <f t="shared" si="180"/>
        <v>71132</v>
      </c>
      <c r="DA67" s="538">
        <f t="shared" si="181"/>
        <v>6252.55</v>
      </c>
      <c r="DB67" s="567" t="e">
        <f t="shared" si="99"/>
        <v>#N/A</v>
      </c>
      <c r="DC67" s="567">
        <f t="shared" si="100"/>
        <v>82455.929999999993</v>
      </c>
      <c r="DD67" s="567" t="e">
        <f t="shared" si="101"/>
        <v>#N/A</v>
      </c>
      <c r="DE67" s="567">
        <f t="shared" si="101"/>
        <v>71132</v>
      </c>
      <c r="DF67" s="568">
        <f t="shared" si="102"/>
        <v>77384.55</v>
      </c>
      <c r="EL67" s="553">
        <f t="shared" si="81"/>
        <v>49579.99</v>
      </c>
      <c r="EM67" s="553">
        <f t="shared" si="182"/>
        <v>32881.89</v>
      </c>
      <c r="EN67" s="423">
        <f t="shared" si="183"/>
        <v>82461.88</v>
      </c>
      <c r="EO67" s="555">
        <f xml:space="preserve"> 'i2'!AO67</f>
        <v>82455.929999999993</v>
      </c>
      <c r="EV67" s="533" t="e">
        <f xml:space="preserve"> ROUND(    IF( $A$15=BE_MF_,   LEER,   INDEX( Kx!67:67, EV$16 ) ),    EV$17    )</f>
        <v>#VALUE!</v>
      </c>
      <c r="EW67" s="533" t="e">
        <f xml:space="preserve"> ROUND(    IF( $A$15=BE_MF_,   LEER,   INDEX( Kx!67:67, EW$16 ) ),    EW$17    )</f>
        <v>#VALUE!</v>
      </c>
      <c r="EX67" s="533" t="e">
        <f xml:space="preserve"> ROUND(    IF( $A$15=BE_MF_,   LEER,   INDEX( Kx!67:67, EX$16 ) ),    EX$17    )</f>
        <v>#VALUE!</v>
      </c>
      <c r="EY67" s="556" t="e">
        <f t="shared" si="103"/>
        <v>#VALUE!</v>
      </c>
      <c r="FB67" s="533" t="e">
        <f xml:space="preserve"> ROUND(    IF( $A$15=BE_MF_,   LEER,   INDEX( Kx!67:67, FB$16 ) ),    FB$17    )</f>
        <v>#VALUE!</v>
      </c>
      <c r="FC67" s="533" t="e">
        <f xml:space="preserve"> ROUND(    IF( $A$15=BE_MF_,   LEER,   INDEX( Kx!67:67, FC$16 ) ),    FC$17    )</f>
        <v>#VALUE!</v>
      </c>
      <c r="FD67" s="556" t="e">
        <f t="shared" si="104"/>
        <v>#VALUE!</v>
      </c>
      <c r="FG67" s="556" t="e">
        <f t="shared" si="105"/>
        <v>#VALUE!</v>
      </c>
      <c r="FH67" s="556" t="e">
        <f t="shared" si="105"/>
        <v>#VALUE!</v>
      </c>
      <c r="FI67" s="556" t="e">
        <f t="shared" si="105"/>
        <v>#VALUE!</v>
      </c>
      <c r="FN67" s="557">
        <f t="shared" si="184"/>
        <v>67</v>
      </c>
      <c r="FO67" s="493">
        <f t="shared" si="185"/>
        <v>70.012200000000007</v>
      </c>
      <c r="FP67" s="493">
        <f t="shared" si="186"/>
        <v>16.163599999999999</v>
      </c>
      <c r="FR67" s="427">
        <f t="shared" si="106"/>
        <v>2895440.0900000003</v>
      </c>
      <c r="FS67" s="558">
        <f t="shared" si="187"/>
        <v>105155.74</v>
      </c>
      <c r="FT67" s="558">
        <f t="shared" si="187"/>
        <v>103795.56</v>
      </c>
      <c r="FU67" s="558">
        <f t="shared" si="187"/>
        <v>102432.03</v>
      </c>
      <c r="FV67" s="558">
        <f t="shared" si="187"/>
        <v>101068.49</v>
      </c>
      <c r="FW67" s="558">
        <f t="shared" si="187"/>
        <v>99657.94</v>
      </c>
      <c r="FX67" s="558">
        <f t="shared" si="187"/>
        <v>98207.09</v>
      </c>
      <c r="FY67" s="558">
        <f t="shared" si="187"/>
        <v>96769.67</v>
      </c>
      <c r="FZ67" s="558">
        <f t="shared" si="187"/>
        <v>95322.17</v>
      </c>
      <c r="GA67" s="558">
        <f t="shared" si="187"/>
        <v>93824.3</v>
      </c>
      <c r="GB67" s="558">
        <f t="shared" si="187"/>
        <v>92265.98</v>
      </c>
      <c r="GC67" s="558">
        <f t="shared" si="187"/>
        <v>90697.58</v>
      </c>
      <c r="GD67" s="558">
        <f t="shared" si="187"/>
        <v>89105.67</v>
      </c>
      <c r="GE67" s="558">
        <f t="shared" si="187"/>
        <v>87476.82</v>
      </c>
      <c r="GF67" s="558">
        <f t="shared" si="187"/>
        <v>85841.25</v>
      </c>
      <c r="GG67" s="558">
        <f t="shared" si="187"/>
        <v>84155.31</v>
      </c>
      <c r="GH67" s="558">
        <f t="shared" ref="GH67:GW82" si="195" xml:space="preserve"> IF(  OR( GH$18&gt;$FN67, $FN67&gt;$FS$12 ),  LEER,  ROUND( $FR$19 * ( $FO67 - GH$15 * $FP67 ), GH$17 )  )</f>
        <v>82455.929999999993</v>
      </c>
      <c r="GI67" s="558">
        <f t="shared" si="195"/>
        <v>80706.17</v>
      </c>
      <c r="GJ67" s="558">
        <f t="shared" si="195"/>
        <v>78916.11</v>
      </c>
      <c r="GK67" s="558">
        <f t="shared" si="195"/>
        <v>77075.679999999993</v>
      </c>
      <c r="GL67" s="558">
        <f t="shared" si="195"/>
        <v>75181.509999999995</v>
      </c>
      <c r="GM67" s="558">
        <f t="shared" si="195"/>
        <v>73230.25</v>
      </c>
      <c r="GN67" s="558">
        <f t="shared" si="195"/>
        <v>71205.100000000006</v>
      </c>
      <c r="GO67" s="558">
        <f t="shared" si="195"/>
        <v>69106.06</v>
      </c>
      <c r="GP67" s="558">
        <f t="shared" si="195"/>
        <v>66929.78</v>
      </c>
      <c r="GQ67" s="558">
        <f t="shared" si="195"/>
        <v>64666.18</v>
      </c>
      <c r="GR67" s="558">
        <f t="shared" si="195"/>
        <v>62332.05</v>
      </c>
      <c r="GS67" s="558">
        <f t="shared" si="195"/>
        <v>59917.32</v>
      </c>
      <c r="GT67" s="558">
        <f t="shared" si="195"/>
        <v>57428.71</v>
      </c>
      <c r="GU67" s="558">
        <f t="shared" si="195"/>
        <v>54872.92</v>
      </c>
      <c r="GV67" s="558">
        <f t="shared" si="195"/>
        <v>52253.33</v>
      </c>
      <c r="GW67" s="558">
        <f t="shared" si="195"/>
        <v>49579.99</v>
      </c>
      <c r="GX67" s="558">
        <f t="shared" si="188"/>
        <v>46842.85</v>
      </c>
      <c r="GY67" s="558">
        <f t="shared" si="188"/>
        <v>44068.77</v>
      </c>
      <c r="GZ67" s="558">
        <f t="shared" si="188"/>
        <v>41244.31</v>
      </c>
      <c r="HA67" s="558">
        <f t="shared" si="188"/>
        <v>38389.620000000003</v>
      </c>
      <c r="HB67" s="558">
        <f t="shared" si="188"/>
        <v>35504.699999999997</v>
      </c>
      <c r="HC67" s="558">
        <f t="shared" si="188"/>
        <v>32586.2</v>
      </c>
      <c r="HD67" s="558">
        <f t="shared" si="188"/>
        <v>29644.2</v>
      </c>
      <c r="HE67" s="558">
        <f t="shared" si="188"/>
        <v>26658.53</v>
      </c>
      <c r="HF67" s="558">
        <f t="shared" si="188"/>
        <v>23609.05</v>
      </c>
      <c r="HG67" s="558">
        <f t="shared" si="188"/>
        <v>20515.91</v>
      </c>
      <c r="HH67" s="558">
        <f t="shared" si="188"/>
        <v>17392.55</v>
      </c>
      <c r="HI67" s="558">
        <f t="shared" si="188"/>
        <v>14228.88</v>
      </c>
      <c r="HJ67" s="558">
        <f t="shared" si="188"/>
        <v>11041.7</v>
      </c>
      <c r="HK67" s="558">
        <f t="shared" si="188"/>
        <v>7820.95</v>
      </c>
      <c r="HL67" s="558">
        <f t="shared" si="188"/>
        <v>4630.41</v>
      </c>
      <c r="HM67" s="558">
        <f xml:space="preserve"> IF(  OR( HM$18&gt;$FN67, $FN67&gt;$FS$12 ),  LEER,  ROUND( $FR$19 * ( $FO67 - HM$15 * $FP67 ), HM$17 )  )</f>
        <v>1413.01</v>
      </c>
      <c r="HN67" s="558">
        <f xml:space="preserve"> IF(  OR( HN$18&gt;$FN67, $FN67&gt;$FS$12 ),  LEER,  ROUND( $FR$19 * ( $FO67 - HN$15 * $FP67 ), HN$17 )  )</f>
        <v>-1784.24</v>
      </c>
      <c r="HO67" s="558" t="str">
        <f t="shared" si="194"/>
        <v>.</v>
      </c>
      <c r="HP67" s="558" t="str">
        <f t="shared" si="194"/>
        <v>.</v>
      </c>
      <c r="HQ67" s="558" t="str">
        <f t="shared" si="194"/>
        <v>.</v>
      </c>
      <c r="HR67" s="558" t="str">
        <f t="shared" si="194"/>
        <v>.</v>
      </c>
      <c r="HS67" s="558" t="str">
        <f t="shared" si="194"/>
        <v>.</v>
      </c>
      <c r="HT67" s="558" t="str">
        <f t="shared" si="194"/>
        <v>.</v>
      </c>
      <c r="HU67" s="558" t="str">
        <f t="shared" si="194"/>
        <v>.</v>
      </c>
      <c r="HV67" s="558" t="str">
        <f t="shared" si="194"/>
        <v>.</v>
      </c>
      <c r="HW67" s="558" t="str">
        <f t="shared" si="194"/>
        <v>.</v>
      </c>
      <c r="HX67" s="558" t="str">
        <f t="shared" si="194"/>
        <v>.</v>
      </c>
      <c r="HY67" s="558" t="str">
        <f t="shared" si="194"/>
        <v>.</v>
      </c>
      <c r="HZ67" s="558" t="str">
        <f t="shared" si="194"/>
        <v>.</v>
      </c>
      <c r="IA67" s="558" t="str">
        <f t="shared" si="194"/>
        <v>.</v>
      </c>
      <c r="IB67" s="558" t="str">
        <f t="shared" si="194"/>
        <v>.</v>
      </c>
      <c r="IC67" s="558" t="str">
        <f t="shared" si="194"/>
        <v>.</v>
      </c>
      <c r="ID67" s="558" t="str">
        <f t="shared" si="193"/>
        <v>.</v>
      </c>
      <c r="IE67" s="558" t="str">
        <f t="shared" si="193"/>
        <v>.</v>
      </c>
      <c r="IF67" s="558" t="str">
        <f t="shared" si="193"/>
        <v>.</v>
      </c>
      <c r="IG67" s="558" t="str">
        <f t="shared" si="193"/>
        <v>.</v>
      </c>
      <c r="IH67" s="558" t="str">
        <f t="shared" si="193"/>
        <v>.</v>
      </c>
      <c r="II67" s="558" t="str">
        <f t="shared" si="193"/>
        <v>.</v>
      </c>
      <c r="IJ67" s="558" t="str">
        <f t="shared" si="193"/>
        <v>.</v>
      </c>
      <c r="IK67" s="558" t="str">
        <f t="shared" si="193"/>
        <v>.</v>
      </c>
      <c r="IL67" s="558" t="str">
        <f t="shared" si="193"/>
        <v>.</v>
      </c>
      <c r="IM67" s="558" t="str">
        <f t="shared" si="193"/>
        <v>.</v>
      </c>
      <c r="IN67" s="558" t="str">
        <f t="shared" si="193"/>
        <v>.</v>
      </c>
      <c r="IO67" s="558" t="str">
        <f t="shared" si="193"/>
        <v>.</v>
      </c>
      <c r="IP67" s="558" t="str">
        <f t="shared" si="193"/>
        <v>.</v>
      </c>
      <c r="IQ67" s="558" t="str">
        <f t="shared" si="193"/>
        <v>.</v>
      </c>
      <c r="IR67" s="558" t="str">
        <f t="shared" si="193"/>
        <v>.</v>
      </c>
      <c r="IS67" s="558" t="str">
        <f t="shared" si="193"/>
        <v>.</v>
      </c>
      <c r="IT67" s="558" t="str">
        <f t="shared" si="193"/>
        <v>.</v>
      </c>
      <c r="IU67" s="558" t="str">
        <f t="shared" si="193"/>
        <v>.</v>
      </c>
      <c r="IV67" s="558" t="str">
        <f t="shared" ref="IV67:JO82" si="196" xml:space="preserve"> IF(  OR( IV$18&gt;$FN67, $FN67&gt;$FS$12 ),  LEER,  ROUND( $FR$19 * ( $FO67 - IV$15 * $FP67 ), IV$17 )  )</f>
        <v>.</v>
      </c>
      <c r="IW67" s="558" t="str">
        <f t="shared" si="196"/>
        <v>.</v>
      </c>
      <c r="IX67" s="558" t="str">
        <f t="shared" si="196"/>
        <v>.</v>
      </c>
      <c r="IY67" s="558" t="str">
        <f t="shared" si="196"/>
        <v>.</v>
      </c>
      <c r="IZ67" s="558" t="str">
        <f t="shared" si="196"/>
        <v>.</v>
      </c>
      <c r="JA67" s="558" t="str">
        <f t="shared" si="196"/>
        <v>.</v>
      </c>
      <c r="JB67" s="558" t="str">
        <f t="shared" si="196"/>
        <v>.</v>
      </c>
      <c r="JC67" s="558" t="str">
        <f t="shared" si="196"/>
        <v>.</v>
      </c>
      <c r="JD67" s="558" t="str">
        <f t="shared" si="196"/>
        <v>.</v>
      </c>
      <c r="JE67" s="558" t="str">
        <f t="shared" si="196"/>
        <v>.</v>
      </c>
      <c r="JF67" s="558" t="str">
        <f t="shared" si="192"/>
        <v>.</v>
      </c>
      <c r="JG67" s="558" t="str">
        <f t="shared" si="192"/>
        <v>.</v>
      </c>
      <c r="JH67" s="558" t="str">
        <f t="shared" si="192"/>
        <v>.</v>
      </c>
      <c r="JI67" s="558" t="str">
        <f t="shared" si="192"/>
        <v>.</v>
      </c>
      <c r="JJ67" s="558" t="str">
        <f t="shared" si="192"/>
        <v>.</v>
      </c>
      <c r="JK67" s="558" t="str">
        <f t="shared" si="189"/>
        <v>.</v>
      </c>
      <c r="JL67" s="558" t="str">
        <f t="shared" si="189"/>
        <v>.</v>
      </c>
      <c r="JM67" s="558" t="str">
        <f t="shared" si="189"/>
        <v>.</v>
      </c>
      <c r="JN67" s="558" t="str">
        <f t="shared" si="189"/>
        <v>.</v>
      </c>
      <c r="JO67" s="558" t="str">
        <f t="shared" si="189"/>
        <v>.</v>
      </c>
    </row>
    <row r="68" spans="1:275" x14ac:dyDescent="0.2">
      <c r="A68" s="534">
        <f xml:space="preserve"> Basis!A68</f>
        <v>68</v>
      </c>
      <c r="F68" s="536">
        <f xml:space="preserve"> ROUND(    IF( $A$15=BE_MF_,   AW68,   INDEX( qx!68:68, F$16 ) ),    F$17    )</f>
        <v>7.1999999999999998E-3</v>
      </c>
      <c r="G68" s="536">
        <f xml:space="preserve"> ROUND(    IF( $A$15=BE_MF_,   BB68,   INDEX( wx!68:68, G$16 ) ),    G$17    )</f>
        <v>3.7000000000000002E-3</v>
      </c>
      <c r="H68" s="537">
        <f xml:space="preserve"> ROUND(    IF( $A$15=BE_MF_,   BG68,   INDEX( Kx!68:68, H$16 ) ),    H$17    )</f>
        <v>6404.98</v>
      </c>
      <c r="I68" s="538">
        <f t="shared" si="93"/>
        <v>6404.98</v>
      </c>
      <c r="J68" s="539">
        <f t="shared" si="129"/>
        <v>3.0830000000000002</v>
      </c>
      <c r="K68" s="540">
        <f t="shared" si="190"/>
        <v>2</v>
      </c>
      <c r="L68" s="541">
        <f t="shared" si="116"/>
        <v>0</v>
      </c>
      <c r="M68" s="541">
        <f t="shared" si="116"/>
        <v>8.5999999999999993E-2</v>
      </c>
      <c r="O68" s="542" t="b">
        <f t="shared" si="95"/>
        <v>1</v>
      </c>
      <c r="P68" s="493">
        <f t="shared" si="130"/>
        <v>1.09E-2</v>
      </c>
      <c r="Q68" s="493">
        <f t="shared" si="131"/>
        <v>0.98909999999999998</v>
      </c>
      <c r="R68" s="543">
        <f t="shared" si="132"/>
        <v>492131</v>
      </c>
      <c r="S68" s="544">
        <f t="shared" si="133"/>
        <v>0.97560975599999999</v>
      </c>
      <c r="T68" s="423">
        <f t="shared" si="134"/>
        <v>91803.21</v>
      </c>
      <c r="U68" s="423">
        <f xml:space="preserve"> IF( $O68,    ROUND(  SUM( T68:T$120), U$17 ),  LEER  )</f>
        <v>1442447.65</v>
      </c>
      <c r="V68" s="493">
        <f t="shared" si="135"/>
        <v>15.712400000000001</v>
      </c>
      <c r="W68" s="493">
        <f t="shared" si="136"/>
        <v>283029.3</v>
      </c>
      <c r="X68" s="493">
        <f xml:space="preserve"> IF( $O68,    ROUND(  SUM( W68:W$120), X$17 ),  LEER  )</f>
        <v>6380676.0499999998</v>
      </c>
      <c r="Y68" s="493">
        <f t="shared" si="137"/>
        <v>69.503799999999998</v>
      </c>
      <c r="Z68" s="493">
        <f t="shared" si="138"/>
        <v>4.4234999999999998</v>
      </c>
      <c r="AA68" s="493">
        <f t="shared" si="139"/>
        <v>1.0117</v>
      </c>
      <c r="AB68" s="493">
        <f t="shared" si="140"/>
        <v>2.3494000000000002</v>
      </c>
      <c r="AC68" s="545">
        <f t="shared" si="141"/>
        <v>0.32679999999999998</v>
      </c>
      <c r="AD68" s="493">
        <f t="shared" si="142"/>
        <v>4.4790999999999999</v>
      </c>
      <c r="AE68" s="493">
        <f t="shared" si="143"/>
        <v>5.2580999999999998</v>
      </c>
      <c r="AF68" s="493">
        <f t="shared" si="144"/>
        <v>5.2580999999999998</v>
      </c>
      <c r="AG68" s="493" t="str">
        <f t="shared" si="145"/>
        <v>.</v>
      </c>
      <c r="AH68" s="493" t="str">
        <f t="shared" si="146"/>
        <v>.</v>
      </c>
      <c r="AI68" s="423">
        <f t="shared" si="147"/>
        <v>2077.79</v>
      </c>
      <c r="AJ68" s="423">
        <f t="shared" si="148"/>
        <v>10925.23</v>
      </c>
      <c r="AK68" s="423">
        <f t="shared" si="149"/>
        <v>910.44</v>
      </c>
      <c r="AN68" s="423">
        <f t="shared" si="191"/>
        <v>83883.37</v>
      </c>
      <c r="AO68" s="423">
        <f t="shared" si="191"/>
        <v>83158.61</v>
      </c>
      <c r="AR68" s="546">
        <f xml:space="preserve"> ROUND(  INDEX( Kx!68:68, AR$16 ),  AR$17 )</f>
        <v>0.72399999999999998</v>
      </c>
      <c r="AS68" s="547">
        <f xml:space="preserve"> ROUND(  INDEX( qx!68:68, AS$16 ),  AS$17 )</f>
        <v>8.3999999999999995E-3</v>
      </c>
      <c r="AT68" s="547">
        <f xml:space="preserve"> ROUND(  INDEX( qx!68:68, AT$16 ),  AT$17 )</f>
        <v>5.1000000000000004E-3</v>
      </c>
      <c r="AU68" s="548" t="str">
        <f t="shared" si="150"/>
        <v>F</v>
      </c>
      <c r="AV68" s="542">
        <f t="shared" si="151"/>
        <v>0.63619999999999999</v>
      </c>
      <c r="AW68" s="542">
        <f t="shared" si="152"/>
        <v>7.1999999999999998E-3</v>
      </c>
      <c r="AX68" s="546">
        <f xml:space="preserve"> ROUND(  INDEX( wx!68:68, AX$16 ),  AX$17 )</f>
        <v>4.1999999999999997E-3</v>
      </c>
      <c r="AY68" s="546">
        <f xml:space="preserve"> ROUND(  INDEX( wx!68:68, AY$16 ),  AY$17 )</f>
        <v>2.8999999999999998E-3</v>
      </c>
      <c r="AZ68" s="548" t="str">
        <f t="shared" si="153"/>
        <v>F</v>
      </c>
      <c r="BA68" s="542">
        <f t="shared" si="154"/>
        <v>0.63619999999999999</v>
      </c>
      <c r="BB68" s="542">
        <f t="shared" si="155"/>
        <v>3.7000000000000002E-3</v>
      </c>
      <c r="BC68" s="533">
        <f xml:space="preserve"> ROUND(  INDEX( Kx!68:68, BC$16 ),  BC$17 )</f>
        <v>6564.2</v>
      </c>
      <c r="BD68" s="533">
        <f xml:space="preserve"> ROUND(  INDEX( Kx!68:68, BD$16 ),  BD$17 )</f>
        <v>5778.3</v>
      </c>
      <c r="BE68" s="548" t="str">
        <f t="shared" si="52"/>
        <v>M</v>
      </c>
      <c r="BF68" s="542">
        <f t="shared" si="156"/>
        <v>0.7974</v>
      </c>
      <c r="BG68" s="420">
        <f t="shared" si="157"/>
        <v>6404.98</v>
      </c>
      <c r="BQ68" s="549">
        <f t="shared" si="96"/>
        <v>68</v>
      </c>
      <c r="BR68" s="423">
        <f t="shared" si="55"/>
        <v>83201.5</v>
      </c>
      <c r="BS68" s="550">
        <f t="shared" si="158"/>
        <v>6404.98</v>
      </c>
      <c r="BT68" s="423">
        <f t="shared" si="159"/>
        <v>-2248.9699999999998</v>
      </c>
      <c r="BU68" s="551">
        <f t="shared" si="160"/>
        <v>91803.21</v>
      </c>
      <c r="BV68" s="551">
        <f t="shared" si="161"/>
        <v>1.0362</v>
      </c>
      <c r="BW68" s="529">
        <f t="shared" si="162"/>
        <v>83883.37</v>
      </c>
      <c r="BX68" s="552">
        <f t="shared" si="163"/>
        <v>2930.8399999999965</v>
      </c>
      <c r="BY68" s="560"/>
      <c r="BZ68" s="559"/>
      <c r="CB68" s="423">
        <f t="shared" si="164"/>
        <v>-2617.23</v>
      </c>
      <c r="CC68" s="423">
        <f t="shared" si="165"/>
        <v>2097.08</v>
      </c>
      <c r="CD68" s="423">
        <f t="shared" si="166"/>
        <v>918.68</v>
      </c>
      <c r="CE68" s="423">
        <f t="shared" si="167"/>
        <v>398.52999999999986</v>
      </c>
      <c r="CF68" s="553">
        <f t="shared" si="168"/>
        <v>398.75</v>
      </c>
      <c r="CH68" s="423">
        <f t="shared" si="169"/>
        <v>3852.4304390000002</v>
      </c>
      <c r="CI68" s="423">
        <f t="shared" si="170"/>
        <v>6405.83</v>
      </c>
      <c r="CJ68" s="423">
        <f t="shared" si="171"/>
        <v>-1656.91</v>
      </c>
      <c r="CK68" s="423">
        <f t="shared" si="172"/>
        <v>-896.27</v>
      </c>
      <c r="CL68" s="553">
        <f t="shared" si="173"/>
        <v>3852.65</v>
      </c>
      <c r="CN68" s="423">
        <f t="shared" si="71"/>
        <v>3898.5573770000001</v>
      </c>
      <c r="CO68" s="423">
        <f t="shared" si="174"/>
        <v>6405.83</v>
      </c>
      <c r="CP68" s="423">
        <f t="shared" si="175"/>
        <v>-1618.27</v>
      </c>
      <c r="CQ68" s="423">
        <f t="shared" si="176"/>
        <v>-888.79</v>
      </c>
      <c r="CR68" s="553">
        <f t="shared" si="75"/>
        <v>3898.7699999999995</v>
      </c>
      <c r="CV68" s="564">
        <f t="shared" si="98"/>
        <v>68</v>
      </c>
      <c r="CW68" s="538" t="str">
        <f t="shared" si="177"/>
        <v>.</v>
      </c>
      <c r="CX68" s="566">
        <f t="shared" si="178"/>
        <v>83158.61</v>
      </c>
      <c r="CY68" s="538" t="str">
        <f t="shared" si="179"/>
        <v>.</v>
      </c>
      <c r="CZ68" s="538">
        <f t="shared" si="180"/>
        <v>69146</v>
      </c>
      <c r="DA68" s="538">
        <f t="shared" si="181"/>
        <v>9082.41</v>
      </c>
      <c r="DB68" s="567" t="e">
        <f t="shared" si="99"/>
        <v>#N/A</v>
      </c>
      <c r="DC68" s="567">
        <f t="shared" si="100"/>
        <v>83158.61</v>
      </c>
      <c r="DD68" s="567" t="e">
        <f t="shared" si="101"/>
        <v>#N/A</v>
      </c>
      <c r="DE68" s="567">
        <f t="shared" si="101"/>
        <v>69146</v>
      </c>
      <c r="DF68" s="568">
        <f t="shared" si="102"/>
        <v>78228.41</v>
      </c>
      <c r="EL68" s="553">
        <f t="shared" si="81"/>
        <v>51200.39</v>
      </c>
      <c r="EM68" s="553">
        <f t="shared" si="182"/>
        <v>31964.01</v>
      </c>
      <c r="EN68" s="423">
        <f t="shared" si="183"/>
        <v>83164.399999999994</v>
      </c>
      <c r="EO68" s="555">
        <f xml:space="preserve"> 'i2'!AO68</f>
        <v>83158.61</v>
      </c>
      <c r="EV68" s="533" t="e">
        <f xml:space="preserve"> ROUND(    IF( $A$15=BE_MF_,   LEER,   INDEX( Kx!68:68, EV$16 ) ),    EV$17    )</f>
        <v>#VALUE!</v>
      </c>
      <c r="EW68" s="533" t="e">
        <f xml:space="preserve"> ROUND(    IF( $A$15=BE_MF_,   LEER,   INDEX( Kx!68:68, EW$16 ) ),    EW$17    )</f>
        <v>#VALUE!</v>
      </c>
      <c r="EX68" s="533" t="e">
        <f xml:space="preserve"> ROUND(    IF( $A$15=BE_MF_,   LEER,   INDEX( Kx!68:68, EX$16 ) ),    EX$17    )</f>
        <v>#VALUE!</v>
      </c>
      <c r="EY68" s="556" t="e">
        <f t="shared" si="103"/>
        <v>#VALUE!</v>
      </c>
      <c r="FB68" s="533" t="e">
        <f xml:space="preserve"> ROUND(    IF( $A$15=BE_MF_,   LEER,   INDEX( Kx!68:68, FB$16 ) ),    FB$17    )</f>
        <v>#VALUE!</v>
      </c>
      <c r="FC68" s="533" t="e">
        <f xml:space="preserve"> ROUND(    IF( $A$15=BE_MF_,   LEER,   INDEX( Kx!68:68, FC$16 ) ),    FC$17    )</f>
        <v>#VALUE!</v>
      </c>
      <c r="FD68" s="556" t="e">
        <f t="shared" si="104"/>
        <v>#VALUE!</v>
      </c>
      <c r="FG68" s="556" t="e">
        <f t="shared" si="105"/>
        <v>#VALUE!</v>
      </c>
      <c r="FH68" s="556" t="e">
        <f t="shared" si="105"/>
        <v>#VALUE!</v>
      </c>
      <c r="FI68" s="556" t="e">
        <f t="shared" si="105"/>
        <v>#VALUE!</v>
      </c>
      <c r="FN68" s="557">
        <f t="shared" si="184"/>
        <v>68</v>
      </c>
      <c r="FO68" s="493">
        <f t="shared" si="185"/>
        <v>69.503799999999998</v>
      </c>
      <c r="FP68" s="493">
        <f t="shared" si="186"/>
        <v>15.712400000000001</v>
      </c>
      <c r="FR68" s="427">
        <f t="shared" si="106"/>
        <v>2957011.28</v>
      </c>
      <c r="FS68" s="558">
        <f t="shared" ref="FS68:GH83" si="197" xml:space="preserve"> IF(  OR( FS$18&gt;$FN68, $FN68&gt;$FS$12 ),  LEER,  ROUND( $FR$19 * ( $FO68 - FS$15 * $FP68 ), FS$17 )  )</f>
        <v>105224.76</v>
      </c>
      <c r="FT68" s="558">
        <f t="shared" si="197"/>
        <v>103902.55</v>
      </c>
      <c r="FU68" s="558">
        <f t="shared" si="197"/>
        <v>102577.08</v>
      </c>
      <c r="FV68" s="558">
        <f t="shared" si="197"/>
        <v>101251.61</v>
      </c>
      <c r="FW68" s="558">
        <f t="shared" si="197"/>
        <v>99880.44</v>
      </c>
      <c r="FX68" s="558">
        <f t="shared" si="197"/>
        <v>98470.080000000002</v>
      </c>
      <c r="FY68" s="558">
        <f t="shared" si="197"/>
        <v>97072.79</v>
      </c>
      <c r="FZ68" s="558">
        <f t="shared" si="197"/>
        <v>95665.7</v>
      </c>
      <c r="GA68" s="558">
        <f t="shared" si="197"/>
        <v>94209.64</v>
      </c>
      <c r="GB68" s="558">
        <f t="shared" si="197"/>
        <v>92694.82</v>
      </c>
      <c r="GC68" s="558">
        <f t="shared" si="197"/>
        <v>91170.2</v>
      </c>
      <c r="GD68" s="558">
        <f t="shared" si="197"/>
        <v>89622.73</v>
      </c>
      <c r="GE68" s="558">
        <f t="shared" si="197"/>
        <v>88039.34</v>
      </c>
      <c r="GF68" s="558">
        <f t="shared" si="197"/>
        <v>86449.43</v>
      </c>
      <c r="GG68" s="558">
        <f t="shared" si="197"/>
        <v>84810.55</v>
      </c>
      <c r="GH68" s="558">
        <f t="shared" si="197"/>
        <v>83158.61</v>
      </c>
      <c r="GI68" s="558">
        <f t="shared" si="195"/>
        <v>81457.7</v>
      </c>
      <c r="GJ68" s="558">
        <f t="shared" si="195"/>
        <v>79717.61</v>
      </c>
      <c r="GK68" s="558">
        <f t="shared" si="195"/>
        <v>77928.55</v>
      </c>
      <c r="GL68" s="558">
        <f t="shared" si="195"/>
        <v>76087.25</v>
      </c>
      <c r="GM68" s="558">
        <f t="shared" si="195"/>
        <v>74190.460000000006</v>
      </c>
      <c r="GN68" s="558">
        <f t="shared" si="195"/>
        <v>72221.84</v>
      </c>
      <c r="GO68" s="558">
        <f t="shared" si="195"/>
        <v>70181.399999999994</v>
      </c>
      <c r="GP68" s="558">
        <f t="shared" si="195"/>
        <v>68065.87</v>
      </c>
      <c r="GQ68" s="558">
        <f t="shared" si="195"/>
        <v>65865.460000000006</v>
      </c>
      <c r="GR68" s="558">
        <f t="shared" si="195"/>
        <v>63596.480000000003</v>
      </c>
      <c r="GS68" s="558">
        <f t="shared" si="195"/>
        <v>61249.16</v>
      </c>
      <c r="GT68" s="558">
        <f t="shared" si="195"/>
        <v>58830.01</v>
      </c>
      <c r="GU68" s="558">
        <f t="shared" si="195"/>
        <v>56345.57</v>
      </c>
      <c r="GV68" s="558">
        <f t="shared" si="195"/>
        <v>53799.1</v>
      </c>
      <c r="GW68" s="558">
        <f t="shared" si="195"/>
        <v>51200.39</v>
      </c>
      <c r="GX68" s="558">
        <f t="shared" ref="GX68:HM83" si="198" xml:space="preserve"> IF(  OR( GX$18&gt;$FN68, $FN68&gt;$FS$12 ),  LEER,  ROUND( $FR$19 * ( $FO68 - GX$15 * $FP68 ), GX$17 )  )</f>
        <v>48539.66</v>
      </c>
      <c r="GY68" s="558">
        <f t="shared" si="198"/>
        <v>45843.01</v>
      </c>
      <c r="GZ68" s="558">
        <f t="shared" si="198"/>
        <v>43097.39</v>
      </c>
      <c r="HA68" s="558">
        <f t="shared" si="198"/>
        <v>40322.39</v>
      </c>
      <c r="HB68" s="558">
        <f t="shared" si="198"/>
        <v>37518.01</v>
      </c>
      <c r="HC68" s="558">
        <f t="shared" si="198"/>
        <v>34680.980000000003</v>
      </c>
      <c r="HD68" s="558">
        <f t="shared" si="198"/>
        <v>31821.09</v>
      </c>
      <c r="HE68" s="558">
        <f t="shared" si="198"/>
        <v>28918.77</v>
      </c>
      <c r="HF68" s="558">
        <f t="shared" si="198"/>
        <v>25954.42</v>
      </c>
      <c r="HG68" s="558">
        <f t="shared" si="198"/>
        <v>22947.62</v>
      </c>
      <c r="HH68" s="558">
        <f t="shared" si="198"/>
        <v>19911.439999999999</v>
      </c>
      <c r="HI68" s="558">
        <f t="shared" si="198"/>
        <v>16836.09</v>
      </c>
      <c r="HJ68" s="558">
        <f t="shared" si="198"/>
        <v>13737.88</v>
      </c>
      <c r="HK68" s="558">
        <f t="shared" si="198"/>
        <v>10607.03</v>
      </c>
      <c r="HL68" s="558">
        <f t="shared" si="198"/>
        <v>7505.56</v>
      </c>
      <c r="HM68" s="558">
        <f t="shared" si="198"/>
        <v>4377.97</v>
      </c>
      <c r="HN68" s="558">
        <f t="shared" ref="HN68:HR82" si="199" xml:space="preserve"> IF(  OR( HN$18&gt;$FN68, $FN68&gt;$FS$12 ),  LEER,  ROUND( $FR$19 * ( $FO68 - HN$15 * $FP68 ), HN$17 )  )</f>
        <v>1269.97</v>
      </c>
      <c r="HO68" s="558">
        <f t="shared" si="199"/>
        <v>-1815.18</v>
      </c>
      <c r="HP68" s="558" t="str">
        <f t="shared" si="199"/>
        <v>.</v>
      </c>
      <c r="HQ68" s="558" t="str">
        <f t="shared" si="199"/>
        <v>.</v>
      </c>
      <c r="HR68" s="558" t="str">
        <f t="shared" si="199"/>
        <v>.</v>
      </c>
      <c r="HS68" s="558" t="str">
        <f t="shared" si="194"/>
        <v>.</v>
      </c>
      <c r="HT68" s="558" t="str">
        <f t="shared" si="194"/>
        <v>.</v>
      </c>
      <c r="HU68" s="558" t="str">
        <f t="shared" si="194"/>
        <v>.</v>
      </c>
      <c r="HV68" s="558" t="str">
        <f t="shared" si="194"/>
        <v>.</v>
      </c>
      <c r="HW68" s="558" t="str">
        <f t="shared" si="194"/>
        <v>.</v>
      </c>
      <c r="HX68" s="558" t="str">
        <f t="shared" si="194"/>
        <v>.</v>
      </c>
      <c r="HY68" s="558" t="str">
        <f t="shared" si="194"/>
        <v>.</v>
      </c>
      <c r="HZ68" s="558" t="str">
        <f t="shared" si="194"/>
        <v>.</v>
      </c>
      <c r="IA68" s="558" t="str">
        <f t="shared" si="194"/>
        <v>.</v>
      </c>
      <c r="IB68" s="558" t="str">
        <f t="shared" si="194"/>
        <v>.</v>
      </c>
      <c r="IC68" s="558" t="str">
        <f t="shared" si="194"/>
        <v>.</v>
      </c>
      <c r="ID68" s="558" t="str">
        <f t="shared" si="193"/>
        <v>.</v>
      </c>
      <c r="IE68" s="558" t="str">
        <f t="shared" si="193"/>
        <v>.</v>
      </c>
      <c r="IF68" s="558" t="str">
        <f t="shared" si="193"/>
        <v>.</v>
      </c>
      <c r="IG68" s="558" t="str">
        <f t="shared" si="193"/>
        <v>.</v>
      </c>
      <c r="IH68" s="558" t="str">
        <f t="shared" si="193"/>
        <v>.</v>
      </c>
      <c r="II68" s="558" t="str">
        <f t="shared" si="193"/>
        <v>.</v>
      </c>
      <c r="IJ68" s="558" t="str">
        <f t="shared" si="193"/>
        <v>.</v>
      </c>
      <c r="IK68" s="558" t="str">
        <f t="shared" si="193"/>
        <v>.</v>
      </c>
      <c r="IL68" s="558" t="str">
        <f t="shared" si="193"/>
        <v>.</v>
      </c>
      <c r="IM68" s="558" t="str">
        <f t="shared" si="193"/>
        <v>.</v>
      </c>
      <c r="IN68" s="558" t="str">
        <f t="shared" si="193"/>
        <v>.</v>
      </c>
      <c r="IO68" s="558" t="str">
        <f t="shared" si="193"/>
        <v>.</v>
      </c>
      <c r="IP68" s="558" t="str">
        <f t="shared" si="193"/>
        <v>.</v>
      </c>
      <c r="IQ68" s="558" t="str">
        <f t="shared" si="193"/>
        <v>.</v>
      </c>
      <c r="IR68" s="558" t="str">
        <f t="shared" si="193"/>
        <v>.</v>
      </c>
      <c r="IS68" s="558" t="str">
        <f t="shared" si="193"/>
        <v>.</v>
      </c>
      <c r="IT68" s="558" t="str">
        <f t="shared" si="193"/>
        <v>.</v>
      </c>
      <c r="IU68" s="558" t="str">
        <f t="shared" si="193"/>
        <v>.</v>
      </c>
      <c r="IV68" s="558" t="str">
        <f t="shared" si="196"/>
        <v>.</v>
      </c>
      <c r="IW68" s="558" t="str">
        <f t="shared" si="196"/>
        <v>.</v>
      </c>
      <c r="IX68" s="558" t="str">
        <f t="shared" si="196"/>
        <v>.</v>
      </c>
      <c r="IY68" s="558" t="str">
        <f t="shared" si="196"/>
        <v>.</v>
      </c>
      <c r="IZ68" s="558" t="str">
        <f t="shared" si="196"/>
        <v>.</v>
      </c>
      <c r="JA68" s="558" t="str">
        <f t="shared" si="196"/>
        <v>.</v>
      </c>
      <c r="JB68" s="558" t="str">
        <f t="shared" si="196"/>
        <v>.</v>
      </c>
      <c r="JC68" s="558" t="str">
        <f t="shared" si="196"/>
        <v>.</v>
      </c>
      <c r="JD68" s="558" t="str">
        <f t="shared" si="196"/>
        <v>.</v>
      </c>
      <c r="JE68" s="558" t="str">
        <f t="shared" si="196"/>
        <v>.</v>
      </c>
      <c r="JF68" s="558" t="str">
        <f t="shared" si="192"/>
        <v>.</v>
      </c>
      <c r="JG68" s="558" t="str">
        <f t="shared" si="192"/>
        <v>.</v>
      </c>
      <c r="JH68" s="558" t="str">
        <f t="shared" si="192"/>
        <v>.</v>
      </c>
      <c r="JI68" s="558" t="str">
        <f t="shared" si="192"/>
        <v>.</v>
      </c>
      <c r="JJ68" s="558" t="str">
        <f t="shared" si="192"/>
        <v>.</v>
      </c>
      <c r="JK68" s="558" t="str">
        <f t="shared" si="192"/>
        <v>.</v>
      </c>
      <c r="JL68" s="558" t="str">
        <f t="shared" si="192"/>
        <v>.</v>
      </c>
      <c r="JM68" s="558" t="str">
        <f t="shared" si="192"/>
        <v>.</v>
      </c>
      <c r="JN68" s="558" t="str">
        <f t="shared" si="192"/>
        <v>.</v>
      </c>
      <c r="JO68" s="558" t="str">
        <f t="shared" si="192"/>
        <v>.</v>
      </c>
    </row>
    <row r="69" spans="1:275" x14ac:dyDescent="0.2">
      <c r="A69" s="534">
        <f xml:space="preserve"> Basis!A69</f>
        <v>69</v>
      </c>
      <c r="F69" s="536">
        <f xml:space="preserve"> ROUND(    IF( $A$15=BE_MF_,   AW69,   INDEX( qx!69:69, F$16 ) ),    F$17    )</f>
        <v>7.9000000000000008E-3</v>
      </c>
      <c r="G69" s="536">
        <f xml:space="preserve"> ROUND(    IF( $A$15=BE_MF_,   BB69,   INDEX( wx!69:69, G$16 ) ),    G$17    )</f>
        <v>3.3E-3</v>
      </c>
      <c r="H69" s="537">
        <f xml:space="preserve"> ROUND(    IF( $A$15=BE_MF_,   BG69,   INDEX( Kx!69:69, H$16 ) ),    H$17    )</f>
        <v>6711.93</v>
      </c>
      <c r="I69" s="538">
        <f t="shared" si="93"/>
        <v>6711.93</v>
      </c>
      <c r="J69" s="539">
        <f t="shared" si="129"/>
        <v>3.23</v>
      </c>
      <c r="K69" s="540">
        <f t="shared" si="190"/>
        <v>2</v>
      </c>
      <c r="L69" s="541">
        <f t="shared" si="116"/>
        <v>0</v>
      </c>
      <c r="M69" s="541">
        <f t="shared" si="116"/>
        <v>8.5999999999999993E-2</v>
      </c>
      <c r="O69" s="542" t="b">
        <f t="shared" si="95"/>
        <v>1</v>
      </c>
      <c r="P69" s="493">
        <f t="shared" si="130"/>
        <v>1.12E-2</v>
      </c>
      <c r="Q69" s="493">
        <f t="shared" si="131"/>
        <v>0.98880000000000001</v>
      </c>
      <c r="R69" s="543">
        <f t="shared" si="132"/>
        <v>486766</v>
      </c>
      <c r="S69" s="544">
        <f t="shared" si="133"/>
        <v>0.97560975599999999</v>
      </c>
      <c r="T69" s="423">
        <f t="shared" si="134"/>
        <v>88587.72</v>
      </c>
      <c r="U69" s="423">
        <f xml:space="preserve"> IF( $O69,    ROUND(  SUM( T69:T$120), U$17 ),  LEER  )</f>
        <v>1350644.44</v>
      </c>
      <c r="V69" s="493">
        <f t="shared" si="135"/>
        <v>15.2464</v>
      </c>
      <c r="W69" s="493">
        <f t="shared" si="136"/>
        <v>286138.34000000003</v>
      </c>
      <c r="X69" s="493">
        <f xml:space="preserve"> IF( $O69,    ROUND(  SUM( W69:W$120), X$17 ),  LEER  )</f>
        <v>6097646.75</v>
      </c>
      <c r="Y69" s="493">
        <f t="shared" si="137"/>
        <v>68.831699999999998</v>
      </c>
      <c r="Z69" s="493">
        <f t="shared" si="138"/>
        <v>4.5145999999999997</v>
      </c>
      <c r="AA69" s="493">
        <f t="shared" si="139"/>
        <v>1.0121</v>
      </c>
      <c r="AB69" s="493">
        <f t="shared" si="140"/>
        <v>2.3494000000000002</v>
      </c>
      <c r="AC69" s="545">
        <f t="shared" si="141"/>
        <v>0.32679999999999998</v>
      </c>
      <c r="AD69" s="493">
        <f t="shared" si="142"/>
        <v>4.5731999999999999</v>
      </c>
      <c r="AE69" s="493">
        <f t="shared" si="143"/>
        <v>5.3611000000000004</v>
      </c>
      <c r="AF69" s="493">
        <f t="shared" si="144"/>
        <v>5.3611000000000004</v>
      </c>
      <c r="AG69" s="493" t="str">
        <f t="shared" si="145"/>
        <v>.</v>
      </c>
      <c r="AH69" s="493" t="str">
        <f t="shared" si="146"/>
        <v>.</v>
      </c>
      <c r="AI69" s="423">
        <f t="shared" si="147"/>
        <v>2077.79</v>
      </c>
      <c r="AJ69" s="423">
        <f t="shared" si="148"/>
        <v>11139.24</v>
      </c>
      <c r="AK69" s="423">
        <f t="shared" si="149"/>
        <v>928.27</v>
      </c>
      <c r="AN69" s="423">
        <f t="shared" si="191"/>
        <v>84282.12</v>
      </c>
      <c r="AO69" s="423">
        <f t="shared" si="191"/>
        <v>83578.850000000006</v>
      </c>
      <c r="AR69" s="546">
        <f xml:space="preserve"> ROUND(  INDEX( Kx!69:69, AR$16 ),  AR$17 )</f>
        <v>0.71760000000000002</v>
      </c>
      <c r="AS69" s="547">
        <f xml:space="preserve"> ROUND(  INDEX( qx!69:69, AS$16 ),  AS$17 )</f>
        <v>9.1999999999999998E-3</v>
      </c>
      <c r="AT69" s="547">
        <f xml:space="preserve"> ROUND(  INDEX( qx!69:69, AT$16 ),  AT$17 )</f>
        <v>5.5999999999999999E-3</v>
      </c>
      <c r="AU69" s="548" t="str">
        <f t="shared" si="150"/>
        <v>F</v>
      </c>
      <c r="AV69" s="542">
        <f t="shared" si="151"/>
        <v>0.62880000000000003</v>
      </c>
      <c r="AW69" s="542">
        <f t="shared" si="152"/>
        <v>7.9000000000000008E-3</v>
      </c>
      <c r="AX69" s="546">
        <f xml:space="preserve"> ROUND(  INDEX( wx!69:69, AX$16 ),  AX$17 )</f>
        <v>3.8E-3</v>
      </c>
      <c r="AY69" s="546">
        <f xml:space="preserve"> ROUND(  INDEX( wx!69:69, AY$16 ),  AY$17 )</f>
        <v>2.5000000000000001E-3</v>
      </c>
      <c r="AZ69" s="548" t="str">
        <f t="shared" si="153"/>
        <v>F</v>
      </c>
      <c r="BA69" s="542">
        <f t="shared" si="154"/>
        <v>0.62880000000000003</v>
      </c>
      <c r="BB69" s="542">
        <f t="shared" si="155"/>
        <v>3.3E-3</v>
      </c>
      <c r="BC69" s="533">
        <f xml:space="preserve"> ROUND(  INDEX( Kx!69:69, BC$16 ),  BC$17 )</f>
        <v>6889.55</v>
      </c>
      <c r="BD69" s="533">
        <f xml:space="preserve"> ROUND(  INDEX( Kx!69:69, BD$16 ),  BD$17 )</f>
        <v>6034.78</v>
      </c>
      <c r="BE69" s="548" t="str">
        <f t="shared" si="52"/>
        <v>M</v>
      </c>
      <c r="BF69" s="542">
        <f t="shared" si="156"/>
        <v>0.79220000000000002</v>
      </c>
      <c r="BG69" s="420">
        <f t="shared" si="157"/>
        <v>6711.93</v>
      </c>
      <c r="BQ69" s="549">
        <f t="shared" si="96"/>
        <v>69</v>
      </c>
      <c r="BR69" s="423">
        <f t="shared" si="55"/>
        <v>83883.37</v>
      </c>
      <c r="BS69" s="550">
        <f t="shared" si="158"/>
        <v>6711.93</v>
      </c>
      <c r="BT69" s="423">
        <f t="shared" si="159"/>
        <v>-2552.5500000000002</v>
      </c>
      <c r="BU69" s="551">
        <f t="shared" si="160"/>
        <v>88587.72</v>
      </c>
      <c r="BV69" s="551">
        <f t="shared" si="161"/>
        <v>1.0363</v>
      </c>
      <c r="BW69" s="529">
        <f t="shared" si="162"/>
        <v>84282.12</v>
      </c>
      <c r="BX69" s="552">
        <f t="shared" si="163"/>
        <v>2951.3000000000029</v>
      </c>
      <c r="BY69" s="560"/>
      <c r="BZ69" s="559"/>
      <c r="CB69" s="423">
        <f t="shared" si="164"/>
        <v>-2930.3</v>
      </c>
      <c r="CC69" s="423">
        <f t="shared" si="165"/>
        <v>2107.0500000000002</v>
      </c>
      <c r="CD69" s="423">
        <f t="shared" si="166"/>
        <v>945.33</v>
      </c>
      <c r="CE69" s="423">
        <f t="shared" si="167"/>
        <v>122.08000000000004</v>
      </c>
      <c r="CF69" s="553">
        <f t="shared" si="168"/>
        <v>122.18000000000757</v>
      </c>
      <c r="CH69" s="423">
        <f t="shared" si="169"/>
        <v>3852.4304390000002</v>
      </c>
      <c r="CI69" s="423">
        <f t="shared" si="170"/>
        <v>6711.26</v>
      </c>
      <c r="CJ69" s="423">
        <f t="shared" si="171"/>
        <v>-1936.46</v>
      </c>
      <c r="CK69" s="423">
        <f t="shared" si="172"/>
        <v>-922.27</v>
      </c>
      <c r="CL69" s="553">
        <f t="shared" si="173"/>
        <v>3852.53</v>
      </c>
      <c r="CN69" s="423">
        <f t="shared" si="71"/>
        <v>3898.5573770000001</v>
      </c>
      <c r="CO69" s="423">
        <f t="shared" si="174"/>
        <v>6711.26</v>
      </c>
      <c r="CP69" s="423">
        <f t="shared" si="175"/>
        <v>-1897.78</v>
      </c>
      <c r="CQ69" s="423">
        <f t="shared" si="176"/>
        <v>-914.83</v>
      </c>
      <c r="CR69" s="553">
        <f t="shared" si="75"/>
        <v>3898.6500000000005</v>
      </c>
      <c r="CV69" s="564">
        <f t="shared" si="98"/>
        <v>69</v>
      </c>
      <c r="CW69" s="538" t="str">
        <f t="shared" si="177"/>
        <v>.</v>
      </c>
      <c r="CX69" s="566">
        <f t="shared" si="178"/>
        <v>83578.850000000006</v>
      </c>
      <c r="CY69" s="538" t="str">
        <f t="shared" si="179"/>
        <v>.</v>
      </c>
      <c r="CZ69" s="538">
        <f t="shared" si="180"/>
        <v>67095</v>
      </c>
      <c r="DA69" s="538">
        <f t="shared" si="181"/>
        <v>11699.62</v>
      </c>
      <c r="DB69" s="567" t="e">
        <f t="shared" si="99"/>
        <v>#N/A</v>
      </c>
      <c r="DC69" s="567">
        <f t="shared" si="100"/>
        <v>83578.850000000006</v>
      </c>
      <c r="DD69" s="567" t="e">
        <f t="shared" si="101"/>
        <v>#N/A</v>
      </c>
      <c r="DE69" s="567">
        <f t="shared" si="101"/>
        <v>67095</v>
      </c>
      <c r="DF69" s="568">
        <f t="shared" si="102"/>
        <v>78794.62</v>
      </c>
      <c r="EL69" s="553">
        <f t="shared" si="81"/>
        <v>52568.46</v>
      </c>
      <c r="EM69" s="553">
        <f t="shared" si="182"/>
        <v>31016.01</v>
      </c>
      <c r="EN69" s="423">
        <f t="shared" si="183"/>
        <v>83584.47</v>
      </c>
      <c r="EO69" s="555">
        <f xml:space="preserve"> 'i2'!AO69</f>
        <v>83578.850000000006</v>
      </c>
      <c r="EV69" s="533" t="e">
        <f xml:space="preserve"> ROUND(    IF( $A$15=BE_MF_,   LEER,   INDEX( Kx!69:69, EV$16 ) ),    EV$17    )</f>
        <v>#VALUE!</v>
      </c>
      <c r="EW69" s="533" t="e">
        <f xml:space="preserve"> ROUND(    IF( $A$15=BE_MF_,   LEER,   INDEX( Kx!69:69, EW$16 ) ),    EW$17    )</f>
        <v>#VALUE!</v>
      </c>
      <c r="EX69" s="533" t="e">
        <f xml:space="preserve"> ROUND(    IF( $A$15=BE_MF_,   LEER,   INDEX( Kx!69:69, EX$16 ) ),    EX$17    )</f>
        <v>#VALUE!</v>
      </c>
      <c r="EY69" s="556" t="e">
        <f t="shared" si="103"/>
        <v>#VALUE!</v>
      </c>
      <c r="FB69" s="533" t="e">
        <f xml:space="preserve"> ROUND(    IF( $A$15=BE_MF_,   LEER,   INDEX( Kx!69:69, FB$16 ) ),    FB$17    )</f>
        <v>#VALUE!</v>
      </c>
      <c r="FC69" s="533" t="e">
        <f xml:space="preserve"> ROUND(    IF( $A$15=BE_MF_,   LEER,   INDEX( Kx!69:69, FC$16 ) ),    FC$17    )</f>
        <v>#VALUE!</v>
      </c>
      <c r="FD69" s="556" t="e">
        <f t="shared" si="104"/>
        <v>#VALUE!</v>
      </c>
      <c r="FG69" s="556" t="e">
        <f t="shared" si="105"/>
        <v>#VALUE!</v>
      </c>
      <c r="FH69" s="556" t="e">
        <f t="shared" si="105"/>
        <v>#VALUE!</v>
      </c>
      <c r="FI69" s="556" t="e">
        <f t="shared" si="105"/>
        <v>#VALUE!</v>
      </c>
      <c r="FN69" s="557">
        <f t="shared" si="184"/>
        <v>69</v>
      </c>
      <c r="FO69" s="493">
        <f t="shared" si="185"/>
        <v>68.831699999999998</v>
      </c>
      <c r="FP69" s="493">
        <f t="shared" si="186"/>
        <v>15.2464</v>
      </c>
      <c r="FR69" s="427">
        <f t="shared" si="106"/>
        <v>3008898.2199999997</v>
      </c>
      <c r="FS69" s="558">
        <f t="shared" si="197"/>
        <v>104990.57</v>
      </c>
      <c r="FT69" s="558">
        <f t="shared" si="197"/>
        <v>103707.57</v>
      </c>
      <c r="FU69" s="558">
        <f t="shared" si="197"/>
        <v>102421.41</v>
      </c>
      <c r="FV69" s="558">
        <f t="shared" si="197"/>
        <v>101135.25</v>
      </c>
      <c r="FW69" s="558">
        <f t="shared" si="197"/>
        <v>99804.74</v>
      </c>
      <c r="FX69" s="558">
        <f t="shared" si="197"/>
        <v>98436.22</v>
      </c>
      <c r="FY69" s="558">
        <f t="shared" si="197"/>
        <v>97080.36</v>
      </c>
      <c r="FZ69" s="558">
        <f t="shared" si="197"/>
        <v>95715.01</v>
      </c>
      <c r="GA69" s="558">
        <f t="shared" si="197"/>
        <v>94302.13</v>
      </c>
      <c r="GB69" s="558">
        <f t="shared" si="197"/>
        <v>92832.24</v>
      </c>
      <c r="GC69" s="558">
        <f t="shared" si="197"/>
        <v>91352.83</v>
      </c>
      <c r="GD69" s="558">
        <f t="shared" si="197"/>
        <v>89851.26</v>
      </c>
      <c r="GE69" s="558">
        <f t="shared" si="197"/>
        <v>88314.84</v>
      </c>
      <c r="GF69" s="558">
        <f t="shared" si="197"/>
        <v>86772.08</v>
      </c>
      <c r="GG69" s="558">
        <f t="shared" si="197"/>
        <v>85181.8</v>
      </c>
      <c r="GH69" s="558">
        <f t="shared" si="197"/>
        <v>83578.850000000006</v>
      </c>
      <c r="GI69" s="558">
        <f t="shared" si="195"/>
        <v>81928.39</v>
      </c>
      <c r="GJ69" s="558">
        <f t="shared" si="195"/>
        <v>80239.91</v>
      </c>
      <c r="GK69" s="558">
        <f t="shared" si="195"/>
        <v>78503.91</v>
      </c>
      <c r="GL69" s="558">
        <f t="shared" si="195"/>
        <v>76717.22</v>
      </c>
      <c r="GM69" s="558">
        <f t="shared" si="195"/>
        <v>74876.679999999993</v>
      </c>
      <c r="GN69" s="558">
        <f t="shared" si="195"/>
        <v>72966.45</v>
      </c>
      <c r="GO69" s="558">
        <f t="shared" si="195"/>
        <v>70986.52</v>
      </c>
      <c r="GP69" s="558">
        <f t="shared" si="195"/>
        <v>68933.740000000005</v>
      </c>
      <c r="GQ69" s="558">
        <f t="shared" si="195"/>
        <v>66798.58</v>
      </c>
      <c r="GR69" s="558">
        <f t="shared" si="195"/>
        <v>64596.91</v>
      </c>
      <c r="GS69" s="558">
        <f t="shared" si="195"/>
        <v>62319.199999999997</v>
      </c>
      <c r="GT69" s="558">
        <f t="shared" si="195"/>
        <v>59971.8</v>
      </c>
      <c r="GU69" s="558">
        <f t="shared" si="195"/>
        <v>57561.04</v>
      </c>
      <c r="GV69" s="558">
        <f t="shared" si="195"/>
        <v>55090.09</v>
      </c>
      <c r="GW69" s="558">
        <f t="shared" si="195"/>
        <v>52568.46</v>
      </c>
      <c r="GX69" s="558">
        <f t="shared" si="198"/>
        <v>49986.63</v>
      </c>
      <c r="GY69" s="558">
        <f t="shared" si="198"/>
        <v>47369.96</v>
      </c>
      <c r="GZ69" s="558">
        <f t="shared" si="198"/>
        <v>44705.78</v>
      </c>
      <c r="HA69" s="558">
        <f t="shared" si="198"/>
        <v>42013.08</v>
      </c>
      <c r="HB69" s="558">
        <f t="shared" si="198"/>
        <v>39291.870000000003</v>
      </c>
      <c r="HC69" s="558">
        <f t="shared" si="198"/>
        <v>36538.980000000003</v>
      </c>
      <c r="HD69" s="558">
        <f t="shared" si="198"/>
        <v>33763.910000000003</v>
      </c>
      <c r="HE69" s="558">
        <f t="shared" si="198"/>
        <v>30947.67</v>
      </c>
      <c r="HF69" s="558">
        <f t="shared" si="198"/>
        <v>28071.23</v>
      </c>
      <c r="HG69" s="558">
        <f t="shared" si="198"/>
        <v>25153.61</v>
      </c>
      <c r="HH69" s="558">
        <f t="shared" si="198"/>
        <v>22207.48</v>
      </c>
      <c r="HI69" s="558">
        <f t="shared" si="198"/>
        <v>19223.34</v>
      </c>
      <c r="HJ69" s="558">
        <f t="shared" si="198"/>
        <v>16217.02</v>
      </c>
      <c r="HK69" s="558">
        <f t="shared" si="198"/>
        <v>13179.02</v>
      </c>
      <c r="HL69" s="558">
        <f t="shared" si="198"/>
        <v>10169.530000000001</v>
      </c>
      <c r="HM69" s="558">
        <f t="shared" si="198"/>
        <v>7134.7</v>
      </c>
      <c r="HN69" s="558">
        <f t="shared" si="199"/>
        <v>4118.87</v>
      </c>
      <c r="HO69" s="558">
        <f t="shared" si="199"/>
        <v>1125.23</v>
      </c>
      <c r="HP69" s="558">
        <f t="shared" si="199"/>
        <v>-1855.75</v>
      </c>
      <c r="HQ69" s="558" t="str">
        <f t="shared" si="199"/>
        <v>.</v>
      </c>
      <c r="HR69" s="558" t="str">
        <f t="shared" si="199"/>
        <v>.</v>
      </c>
      <c r="HS69" s="558" t="str">
        <f t="shared" si="194"/>
        <v>.</v>
      </c>
      <c r="HT69" s="558" t="str">
        <f t="shared" si="194"/>
        <v>.</v>
      </c>
      <c r="HU69" s="558" t="str">
        <f t="shared" si="194"/>
        <v>.</v>
      </c>
      <c r="HV69" s="558" t="str">
        <f t="shared" si="194"/>
        <v>.</v>
      </c>
      <c r="HW69" s="558" t="str">
        <f t="shared" si="194"/>
        <v>.</v>
      </c>
      <c r="HX69" s="558" t="str">
        <f t="shared" si="194"/>
        <v>.</v>
      </c>
      <c r="HY69" s="558" t="str">
        <f t="shared" si="194"/>
        <v>.</v>
      </c>
      <c r="HZ69" s="558" t="str">
        <f t="shared" si="194"/>
        <v>.</v>
      </c>
      <c r="IA69" s="558" t="str">
        <f t="shared" si="194"/>
        <v>.</v>
      </c>
      <c r="IB69" s="558" t="str">
        <f t="shared" si="194"/>
        <v>.</v>
      </c>
      <c r="IC69" s="558" t="str">
        <f t="shared" si="194"/>
        <v>.</v>
      </c>
      <c r="ID69" s="558" t="str">
        <f t="shared" si="193"/>
        <v>.</v>
      </c>
      <c r="IE69" s="558" t="str">
        <f t="shared" si="193"/>
        <v>.</v>
      </c>
      <c r="IF69" s="558" t="str">
        <f t="shared" si="193"/>
        <v>.</v>
      </c>
      <c r="IG69" s="558" t="str">
        <f t="shared" si="193"/>
        <v>.</v>
      </c>
      <c r="IH69" s="558" t="str">
        <f t="shared" si="193"/>
        <v>.</v>
      </c>
      <c r="II69" s="558" t="str">
        <f t="shared" si="193"/>
        <v>.</v>
      </c>
      <c r="IJ69" s="558" t="str">
        <f t="shared" si="193"/>
        <v>.</v>
      </c>
      <c r="IK69" s="558" t="str">
        <f t="shared" si="193"/>
        <v>.</v>
      </c>
      <c r="IL69" s="558" t="str">
        <f t="shared" si="193"/>
        <v>.</v>
      </c>
      <c r="IM69" s="558" t="str">
        <f t="shared" si="193"/>
        <v>.</v>
      </c>
      <c r="IN69" s="558" t="str">
        <f t="shared" si="193"/>
        <v>.</v>
      </c>
      <c r="IO69" s="558" t="str">
        <f t="shared" si="193"/>
        <v>.</v>
      </c>
      <c r="IP69" s="558" t="str">
        <f t="shared" si="193"/>
        <v>.</v>
      </c>
      <c r="IQ69" s="558" t="str">
        <f t="shared" si="193"/>
        <v>.</v>
      </c>
      <c r="IR69" s="558" t="str">
        <f t="shared" si="193"/>
        <v>.</v>
      </c>
      <c r="IS69" s="558" t="str">
        <f t="shared" si="193"/>
        <v>.</v>
      </c>
      <c r="IT69" s="558" t="str">
        <f t="shared" si="193"/>
        <v>.</v>
      </c>
      <c r="IU69" s="558" t="str">
        <f t="shared" si="193"/>
        <v>.</v>
      </c>
      <c r="IV69" s="558" t="str">
        <f t="shared" si="196"/>
        <v>.</v>
      </c>
      <c r="IW69" s="558" t="str">
        <f t="shared" si="196"/>
        <v>.</v>
      </c>
      <c r="IX69" s="558" t="str">
        <f t="shared" si="196"/>
        <v>.</v>
      </c>
      <c r="IY69" s="558" t="str">
        <f t="shared" si="196"/>
        <v>.</v>
      </c>
      <c r="IZ69" s="558" t="str">
        <f t="shared" si="196"/>
        <v>.</v>
      </c>
      <c r="JA69" s="558" t="str">
        <f t="shared" si="196"/>
        <v>.</v>
      </c>
      <c r="JB69" s="558" t="str">
        <f t="shared" si="196"/>
        <v>.</v>
      </c>
      <c r="JC69" s="558" t="str">
        <f t="shared" si="196"/>
        <v>.</v>
      </c>
      <c r="JD69" s="558" t="str">
        <f t="shared" si="196"/>
        <v>.</v>
      </c>
      <c r="JE69" s="558" t="str">
        <f t="shared" si="196"/>
        <v>.</v>
      </c>
      <c r="JF69" s="558" t="str">
        <f t="shared" si="192"/>
        <v>.</v>
      </c>
      <c r="JG69" s="558" t="str">
        <f t="shared" si="192"/>
        <v>.</v>
      </c>
      <c r="JH69" s="558" t="str">
        <f t="shared" si="192"/>
        <v>.</v>
      </c>
      <c r="JI69" s="558" t="str">
        <f t="shared" si="192"/>
        <v>.</v>
      </c>
      <c r="JJ69" s="558" t="str">
        <f t="shared" si="192"/>
        <v>.</v>
      </c>
      <c r="JK69" s="558" t="str">
        <f t="shared" si="192"/>
        <v>.</v>
      </c>
      <c r="JL69" s="558" t="str">
        <f t="shared" si="192"/>
        <v>.</v>
      </c>
      <c r="JM69" s="558" t="str">
        <f t="shared" si="192"/>
        <v>.</v>
      </c>
      <c r="JN69" s="558" t="str">
        <f t="shared" si="192"/>
        <v>.</v>
      </c>
      <c r="JO69" s="558" t="str">
        <f t="shared" si="192"/>
        <v>.</v>
      </c>
    </row>
    <row r="70" spans="1:275" x14ac:dyDescent="0.2">
      <c r="A70" s="534">
        <f xml:space="preserve"> Basis!A70</f>
        <v>70</v>
      </c>
      <c r="F70" s="536">
        <f xml:space="preserve"> ROUND(    IF( $A$15=BE_MF_,   AW70,   INDEX( qx!70:70, F$16 ) ),    F$17    )</f>
        <v>8.6E-3</v>
      </c>
      <c r="G70" s="536">
        <f xml:space="preserve"> ROUND(    IF( $A$15=BE_MF_,   BB70,   INDEX( wx!70:70, G$16 ) ),    G$17    )</f>
        <v>3.0000000000000001E-3</v>
      </c>
      <c r="H70" s="537">
        <f xml:space="preserve"> ROUND(    IF( $A$15=BE_MF_,   BG70,   INDEX( Kx!70:70, H$16 ) ),    H$17    )</f>
        <v>7024.79</v>
      </c>
      <c r="I70" s="538">
        <f t="shared" si="93"/>
        <v>7024.79</v>
      </c>
      <c r="J70" s="539">
        <f t="shared" si="129"/>
        <v>3.3809999999999998</v>
      </c>
      <c r="K70" s="540">
        <f t="shared" si="190"/>
        <v>1.5</v>
      </c>
      <c r="L70" s="541">
        <f t="shared" si="116"/>
        <v>0</v>
      </c>
      <c r="M70" s="541">
        <f t="shared" si="116"/>
        <v>8.5999999999999993E-2</v>
      </c>
      <c r="O70" s="542" t="b">
        <f t="shared" si="95"/>
        <v>1</v>
      </c>
      <c r="P70" s="493">
        <f t="shared" si="130"/>
        <v>1.1599999999999999E-2</v>
      </c>
      <c r="Q70" s="493">
        <f t="shared" si="131"/>
        <v>0.98839999999999995</v>
      </c>
      <c r="R70" s="543">
        <f t="shared" si="132"/>
        <v>481314</v>
      </c>
      <c r="S70" s="544">
        <f t="shared" si="133"/>
        <v>0.97560975599999999</v>
      </c>
      <c r="T70" s="423">
        <f t="shared" si="134"/>
        <v>85459.02</v>
      </c>
      <c r="U70" s="423">
        <f xml:space="preserve"> IF( $O70,    ROUND(  SUM( T70:T$120), U$17 ),  LEER  )</f>
        <v>1262056.72</v>
      </c>
      <c r="V70" s="493">
        <f t="shared" si="135"/>
        <v>14.768000000000001</v>
      </c>
      <c r="W70" s="493">
        <f t="shared" si="136"/>
        <v>288936.95</v>
      </c>
      <c r="X70" s="493">
        <f xml:space="preserve"> IF( $O70,    ROUND(  SUM( W70:W$120), X$17 ),  LEER  )</f>
        <v>5811508.4100000001</v>
      </c>
      <c r="Y70" s="493">
        <f t="shared" si="137"/>
        <v>68.003500000000003</v>
      </c>
      <c r="Z70" s="493">
        <f t="shared" si="138"/>
        <v>4.6048</v>
      </c>
      <c r="AA70" s="493">
        <f t="shared" si="139"/>
        <v>1.0093000000000001</v>
      </c>
      <c r="AB70" s="493">
        <f t="shared" si="140"/>
        <v>2.3494000000000002</v>
      </c>
      <c r="AC70" s="545">
        <f t="shared" si="141"/>
        <v>0.32679999999999998</v>
      </c>
      <c r="AD70" s="493">
        <f t="shared" si="142"/>
        <v>4.6506999999999996</v>
      </c>
      <c r="AE70" s="493">
        <f t="shared" si="143"/>
        <v>5.4458000000000002</v>
      </c>
      <c r="AF70" s="493">
        <f t="shared" si="144"/>
        <v>5.4458000000000002</v>
      </c>
      <c r="AG70" s="493" t="str">
        <f t="shared" si="145"/>
        <v>.</v>
      </c>
      <c r="AH70" s="493" t="str">
        <f t="shared" si="146"/>
        <v>.</v>
      </c>
      <c r="AI70" s="423">
        <f t="shared" si="147"/>
        <v>2077.79</v>
      </c>
      <c r="AJ70" s="423">
        <f t="shared" si="148"/>
        <v>11315.23</v>
      </c>
      <c r="AK70" s="423">
        <f t="shared" si="149"/>
        <v>942.94</v>
      </c>
      <c r="AN70" s="423">
        <f t="shared" si="191"/>
        <v>84404.3</v>
      </c>
      <c r="AO70" s="423">
        <f t="shared" si="191"/>
        <v>83723.100000000006</v>
      </c>
      <c r="AR70" s="546">
        <f xml:space="preserve"> ROUND(  INDEX( Kx!70:70, AR$16 ),  AR$17 )</f>
        <v>0.71040000000000003</v>
      </c>
      <c r="AS70" s="547">
        <f xml:space="preserve"> ROUND(  INDEX( qx!70:70, AS$16 ),  AS$17 )</f>
        <v>1.01E-2</v>
      </c>
      <c r="AT70" s="547">
        <f xml:space="preserve"> ROUND(  INDEX( qx!70:70, AT$16 ),  AT$17 )</f>
        <v>6.1000000000000004E-3</v>
      </c>
      <c r="AU70" s="548" t="str">
        <f t="shared" si="150"/>
        <v>F</v>
      </c>
      <c r="AV70" s="542">
        <f t="shared" si="151"/>
        <v>0.62050000000000005</v>
      </c>
      <c r="AW70" s="542">
        <f t="shared" si="152"/>
        <v>8.6E-3</v>
      </c>
      <c r="AX70" s="546">
        <f xml:space="preserve"> ROUND(  INDEX( wx!70:70, AX$16 ),  AX$17 )</f>
        <v>3.5000000000000001E-3</v>
      </c>
      <c r="AY70" s="546">
        <f xml:space="preserve"> ROUND(  INDEX( wx!70:70, AY$16 ),  AY$17 )</f>
        <v>2.3E-3</v>
      </c>
      <c r="AZ70" s="548" t="str">
        <f t="shared" si="153"/>
        <v>F</v>
      </c>
      <c r="BA70" s="542">
        <f t="shared" si="154"/>
        <v>0.62050000000000005</v>
      </c>
      <c r="BB70" s="542">
        <f t="shared" si="155"/>
        <v>3.0000000000000001E-3</v>
      </c>
      <c r="BC70" s="533">
        <f xml:space="preserve"> ROUND(  INDEX( Kx!70:70, BC$16 ),  BC$17 )</f>
        <v>7220.62</v>
      </c>
      <c r="BD70" s="533">
        <f xml:space="preserve"> ROUND(  INDEX( Kx!70:70, BD$16 ),  BD$17 )</f>
        <v>6304.25</v>
      </c>
      <c r="BE70" s="548" t="str">
        <f t="shared" si="52"/>
        <v>M</v>
      </c>
      <c r="BF70" s="542">
        <f t="shared" si="156"/>
        <v>0.7863</v>
      </c>
      <c r="BG70" s="420">
        <f t="shared" si="157"/>
        <v>7024.79</v>
      </c>
      <c r="BQ70" s="549">
        <f t="shared" si="96"/>
        <v>70</v>
      </c>
      <c r="BR70" s="423">
        <f t="shared" si="55"/>
        <v>84282.12</v>
      </c>
      <c r="BS70" s="550">
        <f t="shared" si="158"/>
        <v>7024.79</v>
      </c>
      <c r="BT70" s="423">
        <f t="shared" si="159"/>
        <v>-2859.5</v>
      </c>
      <c r="BU70" s="551">
        <f t="shared" si="160"/>
        <v>85459.02</v>
      </c>
      <c r="BV70" s="551">
        <f t="shared" si="161"/>
        <v>1.0366</v>
      </c>
      <c r="BW70" s="529">
        <f t="shared" si="162"/>
        <v>84404.3</v>
      </c>
      <c r="BX70" s="552">
        <f t="shared" si="163"/>
        <v>2981.6800000000076</v>
      </c>
      <c r="BY70" s="560"/>
      <c r="BZ70" s="559"/>
      <c r="CB70" s="423">
        <f t="shared" si="164"/>
        <v>-3251.89</v>
      </c>
      <c r="CC70" s="423">
        <f t="shared" si="165"/>
        <v>2110.11</v>
      </c>
      <c r="CD70" s="423">
        <f t="shared" si="166"/>
        <v>977.18</v>
      </c>
      <c r="CE70" s="423">
        <f t="shared" si="167"/>
        <v>-164.5999999999998</v>
      </c>
      <c r="CF70" s="553">
        <f t="shared" si="168"/>
        <v>-164.40000000000873</v>
      </c>
      <c r="CH70" s="423">
        <f t="shared" si="169"/>
        <v>3852.4304390000002</v>
      </c>
      <c r="CI70" s="423">
        <f t="shared" si="170"/>
        <v>7025.01</v>
      </c>
      <c r="CJ70" s="423">
        <f t="shared" si="171"/>
        <v>-2219.0300000000002</v>
      </c>
      <c r="CK70" s="423">
        <f t="shared" si="172"/>
        <v>-953.35</v>
      </c>
      <c r="CL70" s="553">
        <f t="shared" si="173"/>
        <v>3852.6299999999997</v>
      </c>
      <c r="CN70" s="423">
        <f t="shared" si="71"/>
        <v>3898.5573770000001</v>
      </c>
      <c r="CO70" s="423">
        <f t="shared" si="174"/>
        <v>7025.01</v>
      </c>
      <c r="CP70" s="423">
        <f t="shared" si="175"/>
        <v>-2180.36</v>
      </c>
      <c r="CQ70" s="423">
        <f t="shared" si="176"/>
        <v>-945.9</v>
      </c>
      <c r="CR70" s="553">
        <f t="shared" si="75"/>
        <v>3898.7499999999995</v>
      </c>
      <c r="CV70" s="564">
        <f t="shared" si="98"/>
        <v>70</v>
      </c>
      <c r="CW70" s="538" t="str">
        <f t="shared" si="177"/>
        <v>.</v>
      </c>
      <c r="CX70" s="566">
        <f t="shared" si="178"/>
        <v>83723.100000000006</v>
      </c>
      <c r="CY70" s="538" t="str">
        <f t="shared" si="179"/>
        <v>.</v>
      </c>
      <c r="CZ70" s="538">
        <f t="shared" si="180"/>
        <v>64990</v>
      </c>
      <c r="DA70" s="538">
        <f t="shared" si="181"/>
        <v>14099.28</v>
      </c>
      <c r="DB70" s="567" t="e">
        <f t="shared" si="99"/>
        <v>#N/A</v>
      </c>
      <c r="DC70" s="567">
        <f t="shared" si="100"/>
        <v>83723.100000000006</v>
      </c>
      <c r="DD70" s="567" t="e">
        <f t="shared" si="101"/>
        <v>#N/A</v>
      </c>
      <c r="DE70" s="567">
        <f t="shared" si="101"/>
        <v>64990</v>
      </c>
      <c r="DF70" s="568">
        <f t="shared" si="102"/>
        <v>79089.279999999999</v>
      </c>
      <c r="EL70" s="553">
        <f t="shared" si="81"/>
        <v>53685.74</v>
      </c>
      <c r="EM70" s="553">
        <f t="shared" si="182"/>
        <v>30042.799999999999</v>
      </c>
      <c r="EN70" s="423">
        <f t="shared" si="183"/>
        <v>83728.539999999994</v>
      </c>
      <c r="EO70" s="555">
        <f xml:space="preserve"> 'i2'!AO70</f>
        <v>83723.100000000006</v>
      </c>
      <c r="EV70" s="533" t="e">
        <f xml:space="preserve"> ROUND(    IF( $A$15=BE_MF_,   LEER,   INDEX( Kx!70:70, EV$16 ) ),    EV$17    )</f>
        <v>#VALUE!</v>
      </c>
      <c r="EW70" s="533" t="e">
        <f xml:space="preserve"> ROUND(    IF( $A$15=BE_MF_,   LEER,   INDEX( Kx!70:70, EW$16 ) ),    EW$17    )</f>
        <v>#VALUE!</v>
      </c>
      <c r="EX70" s="533" t="e">
        <f xml:space="preserve"> ROUND(    IF( $A$15=BE_MF_,   LEER,   INDEX( Kx!70:70, EX$16 ) ),    EX$17    )</f>
        <v>#VALUE!</v>
      </c>
      <c r="EY70" s="556" t="e">
        <f t="shared" si="103"/>
        <v>#VALUE!</v>
      </c>
      <c r="FB70" s="533" t="e">
        <f xml:space="preserve"> ROUND(    IF( $A$15=BE_MF_,   LEER,   INDEX( Kx!70:70, FB$16 ) ),    FB$17    )</f>
        <v>#VALUE!</v>
      </c>
      <c r="FC70" s="533" t="e">
        <f xml:space="preserve"> ROUND(    IF( $A$15=BE_MF_,   LEER,   INDEX( Kx!70:70, FC$16 ) ),    FC$17    )</f>
        <v>#VALUE!</v>
      </c>
      <c r="FD70" s="556" t="e">
        <f t="shared" si="104"/>
        <v>#VALUE!</v>
      </c>
      <c r="FG70" s="556" t="e">
        <f t="shared" si="105"/>
        <v>#VALUE!</v>
      </c>
      <c r="FH70" s="556" t="e">
        <f t="shared" si="105"/>
        <v>#VALUE!</v>
      </c>
      <c r="FI70" s="556" t="e">
        <f t="shared" si="105"/>
        <v>#VALUE!</v>
      </c>
      <c r="FN70" s="557">
        <f t="shared" si="184"/>
        <v>70</v>
      </c>
      <c r="FO70" s="493">
        <f t="shared" si="185"/>
        <v>68.003500000000003</v>
      </c>
      <c r="FP70" s="493">
        <f t="shared" si="186"/>
        <v>14.768000000000001</v>
      </c>
      <c r="FR70" s="427">
        <f t="shared" si="106"/>
        <v>3051415.1199999996</v>
      </c>
      <c r="FS70" s="558">
        <f t="shared" si="197"/>
        <v>104462.96</v>
      </c>
      <c r="FT70" s="558">
        <f t="shared" si="197"/>
        <v>103220.22</v>
      </c>
      <c r="FU70" s="558">
        <f t="shared" si="197"/>
        <v>101974.42</v>
      </c>
      <c r="FV70" s="558">
        <f t="shared" si="197"/>
        <v>100728.61</v>
      </c>
      <c r="FW70" s="558">
        <f t="shared" si="197"/>
        <v>99439.85</v>
      </c>
      <c r="FX70" s="558">
        <f t="shared" si="197"/>
        <v>98114.27</v>
      </c>
      <c r="FY70" s="558">
        <f t="shared" si="197"/>
        <v>96800.960000000006</v>
      </c>
      <c r="FZ70" s="558">
        <f t="shared" si="197"/>
        <v>95478.44</v>
      </c>
      <c r="GA70" s="558">
        <f t="shared" si="197"/>
        <v>94109.9</v>
      </c>
      <c r="GB70" s="558">
        <f t="shared" si="197"/>
        <v>92686.13</v>
      </c>
      <c r="GC70" s="558">
        <f t="shared" si="197"/>
        <v>91253.15</v>
      </c>
      <c r="GD70" s="558">
        <f t="shared" si="197"/>
        <v>89798.69</v>
      </c>
      <c r="GE70" s="558">
        <f t="shared" si="197"/>
        <v>88310.47</v>
      </c>
      <c r="GF70" s="558">
        <f t="shared" si="197"/>
        <v>86816.13</v>
      </c>
      <c r="GG70" s="558">
        <f t="shared" si="197"/>
        <v>85275.75</v>
      </c>
      <c r="GH70" s="558">
        <f t="shared" si="197"/>
        <v>83723.100000000006</v>
      </c>
      <c r="GI70" s="558">
        <f t="shared" si="195"/>
        <v>82124.42</v>
      </c>
      <c r="GJ70" s="558">
        <f t="shared" si="195"/>
        <v>80488.92</v>
      </c>
      <c r="GK70" s="558">
        <f t="shared" si="195"/>
        <v>78807.39</v>
      </c>
      <c r="GL70" s="558">
        <f t="shared" si="195"/>
        <v>77076.77</v>
      </c>
      <c r="GM70" s="558">
        <f t="shared" si="195"/>
        <v>75293.98</v>
      </c>
      <c r="GN70" s="558">
        <f t="shared" si="195"/>
        <v>73443.69</v>
      </c>
      <c r="GO70" s="558">
        <f t="shared" si="195"/>
        <v>71525.89</v>
      </c>
      <c r="GP70" s="558">
        <f t="shared" si="195"/>
        <v>69537.509999999995</v>
      </c>
      <c r="GQ70" s="558">
        <f t="shared" si="195"/>
        <v>67469.36</v>
      </c>
      <c r="GR70" s="558">
        <f t="shared" si="195"/>
        <v>65336.76</v>
      </c>
      <c r="GS70" s="558">
        <f t="shared" si="195"/>
        <v>63130.53</v>
      </c>
      <c r="GT70" s="558">
        <f t="shared" si="195"/>
        <v>60856.78</v>
      </c>
      <c r="GU70" s="558">
        <f t="shared" si="195"/>
        <v>58521.67</v>
      </c>
      <c r="GV70" s="558">
        <f t="shared" si="195"/>
        <v>56128.25</v>
      </c>
      <c r="GW70" s="558">
        <f t="shared" si="195"/>
        <v>53685.74</v>
      </c>
      <c r="GX70" s="558">
        <f t="shared" si="198"/>
        <v>51184.93</v>
      </c>
      <c r="GY70" s="558">
        <f t="shared" si="198"/>
        <v>48650.37</v>
      </c>
      <c r="GZ70" s="558">
        <f t="shared" si="198"/>
        <v>46069.78</v>
      </c>
      <c r="HA70" s="558">
        <f t="shared" si="198"/>
        <v>43461.57</v>
      </c>
      <c r="HB70" s="558">
        <f t="shared" si="198"/>
        <v>40825.74</v>
      </c>
      <c r="HC70" s="558">
        <f t="shared" si="198"/>
        <v>38159.230000000003</v>
      </c>
      <c r="HD70" s="558">
        <f t="shared" si="198"/>
        <v>35471.24</v>
      </c>
      <c r="HE70" s="558">
        <f t="shared" si="198"/>
        <v>32743.37</v>
      </c>
      <c r="HF70" s="558">
        <f t="shared" si="198"/>
        <v>29957.19</v>
      </c>
      <c r="HG70" s="558">
        <f t="shared" si="198"/>
        <v>27131.119999999999</v>
      </c>
      <c r="HH70" s="558">
        <f t="shared" si="198"/>
        <v>24277.43</v>
      </c>
      <c r="HI70" s="558">
        <f t="shared" si="198"/>
        <v>21386.92</v>
      </c>
      <c r="HJ70" s="558">
        <f t="shared" si="198"/>
        <v>18474.93</v>
      </c>
      <c r="HK70" s="558">
        <f t="shared" si="198"/>
        <v>15532.26</v>
      </c>
      <c r="HL70" s="558">
        <f t="shared" si="198"/>
        <v>12617.2</v>
      </c>
      <c r="HM70" s="558">
        <f t="shared" si="198"/>
        <v>9677.6</v>
      </c>
      <c r="HN70" s="558">
        <f t="shared" si="199"/>
        <v>6756.41</v>
      </c>
      <c r="HO70" s="558">
        <f t="shared" si="199"/>
        <v>3856.69</v>
      </c>
      <c r="HP70" s="558">
        <f t="shared" si="199"/>
        <v>969.25</v>
      </c>
      <c r="HQ70" s="558">
        <f t="shared" si="199"/>
        <v>-1408.82</v>
      </c>
      <c r="HR70" s="558" t="str">
        <f t="shared" si="199"/>
        <v>.</v>
      </c>
      <c r="HS70" s="558" t="str">
        <f t="shared" si="194"/>
        <v>.</v>
      </c>
      <c r="HT70" s="558" t="str">
        <f t="shared" si="194"/>
        <v>.</v>
      </c>
      <c r="HU70" s="558" t="str">
        <f t="shared" si="194"/>
        <v>.</v>
      </c>
      <c r="HV70" s="558" t="str">
        <f t="shared" si="194"/>
        <v>.</v>
      </c>
      <c r="HW70" s="558" t="str">
        <f t="shared" si="194"/>
        <v>.</v>
      </c>
      <c r="HX70" s="558" t="str">
        <f t="shared" si="194"/>
        <v>.</v>
      </c>
      <c r="HY70" s="558" t="str">
        <f t="shared" si="194"/>
        <v>.</v>
      </c>
      <c r="HZ70" s="558" t="str">
        <f t="shared" si="194"/>
        <v>.</v>
      </c>
      <c r="IA70" s="558" t="str">
        <f t="shared" si="194"/>
        <v>.</v>
      </c>
      <c r="IB70" s="558" t="str">
        <f t="shared" si="194"/>
        <v>.</v>
      </c>
      <c r="IC70" s="558" t="str">
        <f t="shared" si="194"/>
        <v>.</v>
      </c>
      <c r="ID70" s="558" t="str">
        <f t="shared" si="193"/>
        <v>.</v>
      </c>
      <c r="IE70" s="558" t="str">
        <f t="shared" si="193"/>
        <v>.</v>
      </c>
      <c r="IF70" s="558" t="str">
        <f t="shared" si="193"/>
        <v>.</v>
      </c>
      <c r="IG70" s="558" t="str">
        <f t="shared" si="193"/>
        <v>.</v>
      </c>
      <c r="IH70" s="558" t="str">
        <f t="shared" si="193"/>
        <v>.</v>
      </c>
      <c r="II70" s="558" t="str">
        <f t="shared" si="193"/>
        <v>.</v>
      </c>
      <c r="IJ70" s="558" t="str">
        <f t="shared" si="193"/>
        <v>.</v>
      </c>
      <c r="IK70" s="558" t="str">
        <f t="shared" si="193"/>
        <v>.</v>
      </c>
      <c r="IL70" s="558" t="str">
        <f t="shared" si="193"/>
        <v>.</v>
      </c>
      <c r="IM70" s="558" t="str">
        <f t="shared" si="193"/>
        <v>.</v>
      </c>
      <c r="IN70" s="558" t="str">
        <f t="shared" si="193"/>
        <v>.</v>
      </c>
      <c r="IO70" s="558" t="str">
        <f t="shared" si="193"/>
        <v>.</v>
      </c>
      <c r="IP70" s="558" t="str">
        <f t="shared" si="193"/>
        <v>.</v>
      </c>
      <c r="IQ70" s="558" t="str">
        <f t="shared" si="193"/>
        <v>.</v>
      </c>
      <c r="IR70" s="558" t="str">
        <f t="shared" si="193"/>
        <v>.</v>
      </c>
      <c r="IS70" s="558" t="str">
        <f t="shared" si="193"/>
        <v>.</v>
      </c>
      <c r="IT70" s="558" t="str">
        <f t="shared" si="193"/>
        <v>.</v>
      </c>
      <c r="IU70" s="558" t="str">
        <f t="shared" si="193"/>
        <v>.</v>
      </c>
      <c r="IV70" s="558" t="str">
        <f t="shared" si="196"/>
        <v>.</v>
      </c>
      <c r="IW70" s="558" t="str">
        <f t="shared" si="196"/>
        <v>.</v>
      </c>
      <c r="IX70" s="558" t="str">
        <f t="shared" si="196"/>
        <v>.</v>
      </c>
      <c r="IY70" s="558" t="str">
        <f t="shared" si="196"/>
        <v>.</v>
      </c>
      <c r="IZ70" s="558" t="str">
        <f t="shared" si="196"/>
        <v>.</v>
      </c>
      <c r="JA70" s="558" t="str">
        <f t="shared" si="196"/>
        <v>.</v>
      </c>
      <c r="JB70" s="558" t="str">
        <f t="shared" si="196"/>
        <v>.</v>
      </c>
      <c r="JC70" s="558" t="str">
        <f t="shared" si="196"/>
        <v>.</v>
      </c>
      <c r="JD70" s="558" t="str">
        <f t="shared" si="196"/>
        <v>.</v>
      </c>
      <c r="JE70" s="558" t="str">
        <f t="shared" si="196"/>
        <v>.</v>
      </c>
      <c r="JF70" s="558" t="str">
        <f t="shared" si="192"/>
        <v>.</v>
      </c>
      <c r="JG70" s="558" t="str">
        <f t="shared" si="192"/>
        <v>.</v>
      </c>
      <c r="JH70" s="558" t="str">
        <f t="shared" si="192"/>
        <v>.</v>
      </c>
      <c r="JI70" s="558" t="str">
        <f t="shared" si="192"/>
        <v>.</v>
      </c>
      <c r="JJ70" s="558" t="str">
        <f t="shared" si="192"/>
        <v>.</v>
      </c>
      <c r="JK70" s="558" t="str">
        <f t="shared" si="192"/>
        <v>.</v>
      </c>
      <c r="JL70" s="558" t="str">
        <f t="shared" si="192"/>
        <v>.</v>
      </c>
      <c r="JM70" s="558" t="str">
        <f t="shared" si="192"/>
        <v>.</v>
      </c>
      <c r="JN70" s="558" t="str">
        <f t="shared" si="192"/>
        <v>.</v>
      </c>
      <c r="JO70" s="558" t="str">
        <f t="shared" si="192"/>
        <v>.</v>
      </c>
    </row>
    <row r="71" spans="1:275" x14ac:dyDescent="0.2">
      <c r="A71" s="534">
        <f xml:space="preserve"> Basis!A71</f>
        <v>71</v>
      </c>
      <c r="F71" s="536">
        <f xml:space="preserve"> ROUND(    IF( $A$15=BE_MF_,   AW71,   INDEX( qx!71:71, F$16 ) ),    F$17    )</f>
        <v>9.4000000000000004E-3</v>
      </c>
      <c r="G71" s="536">
        <f xml:space="preserve"> ROUND(    IF( $A$15=BE_MF_,   BB71,   INDEX( wx!71:71, G$16 ) ),    G$17    )</f>
        <v>2.8E-3</v>
      </c>
      <c r="H71" s="537">
        <f xml:space="preserve"> ROUND(    IF( $A$15=BE_MF_,   BG71,   INDEX( Kx!71:71, H$16 ) ),    H$17    )</f>
        <v>7349.56</v>
      </c>
      <c r="I71" s="538">
        <f t="shared" si="93"/>
        <v>7349.56</v>
      </c>
      <c r="J71" s="539">
        <f t="shared" si="129"/>
        <v>3.5369999999999999</v>
      </c>
      <c r="K71" s="540">
        <f t="shared" si="190"/>
        <v>1</v>
      </c>
      <c r="L71" s="541">
        <f t="shared" si="116"/>
        <v>0</v>
      </c>
      <c r="M71" s="541">
        <f t="shared" si="116"/>
        <v>8.5999999999999993E-2</v>
      </c>
      <c r="O71" s="542" t="b">
        <f t="shared" si="95"/>
        <v>1</v>
      </c>
      <c r="P71" s="493">
        <f t="shared" si="130"/>
        <v>1.2200000000000001E-2</v>
      </c>
      <c r="Q71" s="493">
        <f t="shared" si="131"/>
        <v>0.98780000000000001</v>
      </c>
      <c r="R71" s="543">
        <f t="shared" si="132"/>
        <v>475730</v>
      </c>
      <c r="S71" s="544">
        <f t="shared" si="133"/>
        <v>0.97560975599999999</v>
      </c>
      <c r="T71" s="423">
        <f t="shared" si="134"/>
        <v>82407.38</v>
      </c>
      <c r="U71" s="423">
        <f xml:space="preserve"> IF( $O71,    ROUND(  SUM( T71:T$120), U$17 ),  LEER  )</f>
        <v>1176597.7</v>
      </c>
      <c r="V71" s="493">
        <f t="shared" si="135"/>
        <v>14.277799999999999</v>
      </c>
      <c r="W71" s="493">
        <f t="shared" si="136"/>
        <v>291474.90000000002</v>
      </c>
      <c r="X71" s="493">
        <f xml:space="preserve"> IF( $O71,    ROUND(  SUM( W71:W$120), X$17 ),  LEER  )</f>
        <v>5522571.46</v>
      </c>
      <c r="Y71" s="493">
        <f t="shared" si="137"/>
        <v>67.015500000000003</v>
      </c>
      <c r="Z71" s="493">
        <f t="shared" si="138"/>
        <v>4.6936999999999998</v>
      </c>
      <c r="AA71" s="493">
        <f t="shared" si="139"/>
        <v>1.0064</v>
      </c>
      <c r="AB71" s="493">
        <f t="shared" si="140"/>
        <v>2.3494000000000002</v>
      </c>
      <c r="AC71" s="545">
        <f t="shared" si="141"/>
        <v>0.32679999999999998</v>
      </c>
      <c r="AD71" s="493">
        <f t="shared" si="142"/>
        <v>4.7257999999999996</v>
      </c>
      <c r="AE71" s="493">
        <f t="shared" si="143"/>
        <v>5.5279999999999996</v>
      </c>
      <c r="AF71" s="493">
        <f t="shared" si="144"/>
        <v>5.5279999999999996</v>
      </c>
      <c r="AG71" s="493" t="str">
        <f t="shared" si="145"/>
        <v>.</v>
      </c>
      <c r="AH71" s="493" t="str">
        <f t="shared" si="146"/>
        <v>.</v>
      </c>
      <c r="AI71" s="423">
        <f t="shared" si="147"/>
        <v>2077.79</v>
      </c>
      <c r="AJ71" s="423">
        <f t="shared" si="148"/>
        <v>11486.02</v>
      </c>
      <c r="AK71" s="423">
        <f t="shared" si="149"/>
        <v>957.17</v>
      </c>
      <c r="AN71" s="423">
        <f t="shared" si="191"/>
        <v>84239.9</v>
      </c>
      <c r="AO71" s="423">
        <f t="shared" si="191"/>
        <v>83581.31</v>
      </c>
      <c r="AR71" s="546">
        <f xml:space="preserve"> ROUND(  INDEX( Kx!71:71, AR$16 ),  AR$17 )</f>
        <v>0.70979999999999999</v>
      </c>
      <c r="AS71" s="547">
        <f xml:space="preserve"> ROUND(  INDEX( qx!71:71, AS$16 ),  AS$17 )</f>
        <v>1.11E-2</v>
      </c>
      <c r="AT71" s="547">
        <f xml:space="preserve"> ROUND(  INDEX( qx!71:71, AT$16 ),  AT$17 )</f>
        <v>6.7000000000000002E-3</v>
      </c>
      <c r="AU71" s="548" t="str">
        <f t="shared" si="150"/>
        <v>F</v>
      </c>
      <c r="AV71" s="542">
        <f t="shared" si="151"/>
        <v>0.61990000000000001</v>
      </c>
      <c r="AW71" s="542">
        <f t="shared" si="152"/>
        <v>9.4000000000000004E-3</v>
      </c>
      <c r="AX71" s="546">
        <f xml:space="preserve"> ROUND(  INDEX( wx!71:71, AX$16 ),  AX$17 )</f>
        <v>3.2000000000000002E-3</v>
      </c>
      <c r="AY71" s="546">
        <f xml:space="preserve"> ROUND(  INDEX( wx!71:71, AY$16 ),  AY$17 )</f>
        <v>2.2000000000000001E-3</v>
      </c>
      <c r="AZ71" s="548" t="str">
        <f t="shared" si="153"/>
        <v>F</v>
      </c>
      <c r="BA71" s="542">
        <f t="shared" si="154"/>
        <v>0.61990000000000001</v>
      </c>
      <c r="BB71" s="542">
        <f t="shared" si="155"/>
        <v>2.8E-3</v>
      </c>
      <c r="BC71" s="533">
        <f xml:space="preserve"> ROUND(  INDEX( Kx!71:71, BC$16 ),  BC$17 )</f>
        <v>7558.22</v>
      </c>
      <c r="BD71" s="533">
        <f xml:space="preserve"> ROUND(  INDEX( Kx!71:71, BD$16 ),  BD$17 )</f>
        <v>6584.07</v>
      </c>
      <c r="BE71" s="548" t="str">
        <f t="shared" si="52"/>
        <v>M</v>
      </c>
      <c r="BF71" s="542">
        <f t="shared" si="156"/>
        <v>0.78580000000000005</v>
      </c>
      <c r="BG71" s="420">
        <f t="shared" si="157"/>
        <v>7349.56</v>
      </c>
      <c r="BQ71" s="549">
        <f t="shared" si="96"/>
        <v>71</v>
      </c>
      <c r="BR71" s="423">
        <f t="shared" si="55"/>
        <v>84404.3</v>
      </c>
      <c r="BS71" s="550">
        <f t="shared" si="158"/>
        <v>7349.56</v>
      </c>
      <c r="BT71" s="423">
        <f t="shared" si="159"/>
        <v>-3172.36</v>
      </c>
      <c r="BU71" s="551">
        <f t="shared" si="160"/>
        <v>82407.38</v>
      </c>
      <c r="BV71" s="551">
        <f t="shared" si="161"/>
        <v>1.0369999999999999</v>
      </c>
      <c r="BW71" s="529">
        <f t="shared" si="162"/>
        <v>84239.9</v>
      </c>
      <c r="BX71" s="552">
        <f t="shared" si="163"/>
        <v>3007.9599999999919</v>
      </c>
      <c r="BY71" s="560"/>
      <c r="BZ71" s="559"/>
      <c r="CB71" s="423">
        <f t="shared" si="164"/>
        <v>-3584.13</v>
      </c>
      <c r="CC71" s="423">
        <f t="shared" si="165"/>
        <v>2106</v>
      </c>
      <c r="CD71" s="423">
        <f t="shared" si="166"/>
        <v>1022.16</v>
      </c>
      <c r="CE71" s="423">
        <f t="shared" si="167"/>
        <v>-455.97000000000014</v>
      </c>
      <c r="CF71" s="553">
        <f t="shared" si="168"/>
        <v>-456.13999999999942</v>
      </c>
      <c r="CH71" s="423">
        <f t="shared" si="169"/>
        <v>3852.4304390000002</v>
      </c>
      <c r="CI71" s="423">
        <f t="shared" si="170"/>
        <v>7349.14</v>
      </c>
      <c r="CJ71" s="423">
        <f t="shared" si="171"/>
        <v>-2499.65</v>
      </c>
      <c r="CK71" s="423">
        <f t="shared" si="172"/>
        <v>-997.23</v>
      </c>
      <c r="CL71" s="553">
        <f t="shared" si="173"/>
        <v>3852.2599999999998</v>
      </c>
      <c r="CN71" s="423">
        <f t="shared" si="71"/>
        <v>3898.5573770000001</v>
      </c>
      <c r="CO71" s="423">
        <f t="shared" si="174"/>
        <v>7349.14</v>
      </c>
      <c r="CP71" s="423">
        <f t="shared" si="175"/>
        <v>-2461.1</v>
      </c>
      <c r="CQ71" s="423">
        <f t="shared" si="176"/>
        <v>-989.67</v>
      </c>
      <c r="CR71" s="553">
        <f t="shared" si="75"/>
        <v>3898.3700000000008</v>
      </c>
      <c r="CV71" s="564">
        <f t="shared" si="98"/>
        <v>71</v>
      </c>
      <c r="CW71" s="538" t="str">
        <f t="shared" si="177"/>
        <v>.</v>
      </c>
      <c r="CX71" s="566">
        <f t="shared" si="178"/>
        <v>83581.31</v>
      </c>
      <c r="CY71" s="538" t="str">
        <f t="shared" si="179"/>
        <v>.</v>
      </c>
      <c r="CZ71" s="538">
        <f t="shared" si="180"/>
        <v>62833</v>
      </c>
      <c r="DA71" s="538">
        <f t="shared" si="181"/>
        <v>16268.55</v>
      </c>
      <c r="DB71" s="567" t="e">
        <f t="shared" si="99"/>
        <v>#N/A</v>
      </c>
      <c r="DC71" s="567">
        <f t="shared" si="100"/>
        <v>83581.31</v>
      </c>
      <c r="DD71" s="567" t="e">
        <f t="shared" si="101"/>
        <v>#N/A</v>
      </c>
      <c r="DE71" s="567">
        <f t="shared" si="101"/>
        <v>62833</v>
      </c>
      <c r="DF71" s="568">
        <f t="shared" si="102"/>
        <v>79101.55</v>
      </c>
      <c r="EL71" s="553">
        <f t="shared" si="81"/>
        <v>54541</v>
      </c>
      <c r="EM71" s="553">
        <f t="shared" si="182"/>
        <v>29045.57</v>
      </c>
      <c r="EN71" s="423">
        <f t="shared" si="183"/>
        <v>83586.570000000007</v>
      </c>
      <c r="EO71" s="555">
        <f xml:space="preserve"> 'i2'!AO71</f>
        <v>83581.31</v>
      </c>
      <c r="EV71" s="533" t="e">
        <f xml:space="preserve"> ROUND(    IF( $A$15=BE_MF_,   LEER,   INDEX( Kx!71:71, EV$16 ) ),    EV$17    )</f>
        <v>#VALUE!</v>
      </c>
      <c r="EW71" s="533" t="e">
        <f xml:space="preserve"> ROUND(    IF( $A$15=BE_MF_,   LEER,   INDEX( Kx!71:71, EW$16 ) ),    EW$17    )</f>
        <v>#VALUE!</v>
      </c>
      <c r="EX71" s="533" t="e">
        <f xml:space="preserve"> ROUND(    IF( $A$15=BE_MF_,   LEER,   INDEX( Kx!71:71, EX$16 ) ),    EX$17    )</f>
        <v>#VALUE!</v>
      </c>
      <c r="EY71" s="556" t="e">
        <f t="shared" si="103"/>
        <v>#VALUE!</v>
      </c>
      <c r="FB71" s="533" t="e">
        <f xml:space="preserve"> ROUND(    IF( $A$15=BE_MF_,   LEER,   INDEX( Kx!71:71, FB$16 ) ),    FB$17    )</f>
        <v>#VALUE!</v>
      </c>
      <c r="FC71" s="533" t="e">
        <f xml:space="preserve"> ROUND(    IF( $A$15=BE_MF_,   LEER,   INDEX( Kx!71:71, FC$16 ) ),    FC$17    )</f>
        <v>#VALUE!</v>
      </c>
      <c r="FD71" s="556" t="e">
        <f t="shared" si="104"/>
        <v>#VALUE!</v>
      </c>
      <c r="FG71" s="556" t="e">
        <f t="shared" si="105"/>
        <v>#VALUE!</v>
      </c>
      <c r="FH71" s="556" t="e">
        <f t="shared" si="105"/>
        <v>#VALUE!</v>
      </c>
      <c r="FI71" s="556" t="e">
        <f t="shared" si="105"/>
        <v>#VALUE!</v>
      </c>
      <c r="FN71" s="557">
        <f t="shared" si="184"/>
        <v>71</v>
      </c>
      <c r="FO71" s="493">
        <f t="shared" si="185"/>
        <v>67.015500000000003</v>
      </c>
      <c r="FP71" s="493">
        <f t="shared" si="186"/>
        <v>14.277799999999999</v>
      </c>
      <c r="FR71" s="427">
        <f t="shared" si="106"/>
        <v>3083676.36</v>
      </c>
      <c r="FS71" s="558">
        <f t="shared" si="197"/>
        <v>103632.75</v>
      </c>
      <c r="FT71" s="558">
        <f t="shared" si="197"/>
        <v>102431.26</v>
      </c>
      <c r="FU71" s="558">
        <f t="shared" si="197"/>
        <v>101226.81</v>
      </c>
      <c r="FV71" s="558">
        <f t="shared" si="197"/>
        <v>100022.36</v>
      </c>
      <c r="FW71" s="558">
        <f t="shared" si="197"/>
        <v>98776.38</v>
      </c>
      <c r="FX71" s="558">
        <f t="shared" si="197"/>
        <v>97494.79</v>
      </c>
      <c r="FY71" s="558">
        <f t="shared" si="197"/>
        <v>96225.08</v>
      </c>
      <c r="FZ71" s="558">
        <f t="shared" si="197"/>
        <v>94946.46</v>
      </c>
      <c r="GA71" s="558">
        <f t="shared" si="197"/>
        <v>93623.35</v>
      </c>
      <c r="GB71" s="558">
        <f t="shared" si="197"/>
        <v>92246.83</v>
      </c>
      <c r="GC71" s="558">
        <f t="shared" si="197"/>
        <v>90861.42</v>
      </c>
      <c r="GD71" s="558">
        <f t="shared" si="197"/>
        <v>89455.23</v>
      </c>
      <c r="GE71" s="558">
        <f t="shared" si="197"/>
        <v>88016.42</v>
      </c>
      <c r="GF71" s="558">
        <f t="shared" si="197"/>
        <v>86571.67</v>
      </c>
      <c r="GG71" s="558">
        <f t="shared" si="197"/>
        <v>85082.43</v>
      </c>
      <c r="GH71" s="558">
        <f t="shared" si="197"/>
        <v>83581.31</v>
      </c>
      <c r="GI71" s="558">
        <f t="shared" si="195"/>
        <v>82035.7</v>
      </c>
      <c r="GJ71" s="558">
        <f t="shared" si="195"/>
        <v>80454.490000000005</v>
      </c>
      <c r="GK71" s="558">
        <f t="shared" si="195"/>
        <v>78828.78</v>
      </c>
      <c r="GL71" s="558">
        <f t="shared" si="195"/>
        <v>77155.600000000006</v>
      </c>
      <c r="GM71" s="558">
        <f t="shared" si="195"/>
        <v>75431.990000000005</v>
      </c>
      <c r="GN71" s="558">
        <f t="shared" si="195"/>
        <v>73643.11</v>
      </c>
      <c r="GO71" s="558">
        <f t="shared" si="195"/>
        <v>71788.97</v>
      </c>
      <c r="GP71" s="558">
        <f t="shared" si="195"/>
        <v>69866.600000000006</v>
      </c>
      <c r="GQ71" s="558">
        <f t="shared" si="195"/>
        <v>67867.09</v>
      </c>
      <c r="GR71" s="558">
        <f t="shared" si="195"/>
        <v>65805.279999999999</v>
      </c>
      <c r="GS71" s="558">
        <f t="shared" si="195"/>
        <v>63672.28</v>
      </c>
      <c r="GT71" s="558">
        <f t="shared" si="195"/>
        <v>61474.01</v>
      </c>
      <c r="GU71" s="558">
        <f t="shared" si="195"/>
        <v>59216.41</v>
      </c>
      <c r="GV71" s="558">
        <f t="shared" si="195"/>
        <v>56902.44</v>
      </c>
      <c r="GW71" s="558">
        <f t="shared" si="195"/>
        <v>54541</v>
      </c>
      <c r="GX71" s="558">
        <f t="shared" si="198"/>
        <v>52123.199999999997</v>
      </c>
      <c r="GY71" s="558">
        <f t="shared" si="198"/>
        <v>49672.77</v>
      </c>
      <c r="GZ71" s="558">
        <f t="shared" si="198"/>
        <v>47177.83</v>
      </c>
      <c r="HA71" s="558">
        <f t="shared" si="198"/>
        <v>44656.2</v>
      </c>
      <c r="HB71" s="558">
        <f t="shared" si="198"/>
        <v>42107.87</v>
      </c>
      <c r="HC71" s="558">
        <f t="shared" si="198"/>
        <v>39529.870000000003</v>
      </c>
      <c r="HD71" s="558">
        <f t="shared" si="198"/>
        <v>36931.1</v>
      </c>
      <c r="HE71" s="558">
        <f t="shared" si="198"/>
        <v>34293.769999999997</v>
      </c>
      <c r="HF71" s="558">
        <f t="shared" si="198"/>
        <v>31600.07</v>
      </c>
      <c r="HG71" s="558">
        <f t="shared" si="198"/>
        <v>28867.81</v>
      </c>
      <c r="HH71" s="558">
        <f t="shared" si="198"/>
        <v>26108.85</v>
      </c>
      <c r="HI71" s="558">
        <f t="shared" si="198"/>
        <v>23314.29</v>
      </c>
      <c r="HJ71" s="558">
        <f t="shared" si="198"/>
        <v>20498.96</v>
      </c>
      <c r="HK71" s="558">
        <f t="shared" si="198"/>
        <v>17653.96</v>
      </c>
      <c r="HL71" s="558">
        <f t="shared" si="198"/>
        <v>14835.67</v>
      </c>
      <c r="HM71" s="558">
        <f t="shared" si="198"/>
        <v>11993.64</v>
      </c>
      <c r="HN71" s="558">
        <f t="shared" si="199"/>
        <v>9169.41</v>
      </c>
      <c r="HO71" s="558">
        <f t="shared" si="199"/>
        <v>6365.95</v>
      </c>
      <c r="HP71" s="558">
        <f t="shared" si="199"/>
        <v>3574.35</v>
      </c>
      <c r="HQ71" s="558">
        <f t="shared" si="199"/>
        <v>1275.21</v>
      </c>
      <c r="HR71" s="558">
        <f t="shared" si="199"/>
        <v>-952.72</v>
      </c>
      <c r="HS71" s="558" t="str">
        <f t="shared" si="194"/>
        <v>.</v>
      </c>
      <c r="HT71" s="558" t="str">
        <f t="shared" si="194"/>
        <v>.</v>
      </c>
      <c r="HU71" s="558" t="str">
        <f t="shared" si="194"/>
        <v>.</v>
      </c>
      <c r="HV71" s="558" t="str">
        <f t="shared" si="194"/>
        <v>.</v>
      </c>
      <c r="HW71" s="558" t="str">
        <f t="shared" si="194"/>
        <v>.</v>
      </c>
      <c r="HX71" s="558" t="str">
        <f t="shared" si="194"/>
        <v>.</v>
      </c>
      <c r="HY71" s="558" t="str">
        <f t="shared" si="194"/>
        <v>.</v>
      </c>
      <c r="HZ71" s="558" t="str">
        <f t="shared" si="194"/>
        <v>.</v>
      </c>
      <c r="IA71" s="558" t="str">
        <f t="shared" si="194"/>
        <v>.</v>
      </c>
      <c r="IB71" s="558" t="str">
        <f t="shared" si="194"/>
        <v>.</v>
      </c>
      <c r="IC71" s="558" t="str">
        <f t="shared" si="194"/>
        <v>.</v>
      </c>
      <c r="ID71" s="558" t="str">
        <f t="shared" si="193"/>
        <v>.</v>
      </c>
      <c r="IE71" s="558" t="str">
        <f t="shared" si="193"/>
        <v>.</v>
      </c>
      <c r="IF71" s="558" t="str">
        <f t="shared" si="193"/>
        <v>.</v>
      </c>
      <c r="IG71" s="558" t="str">
        <f t="shared" si="193"/>
        <v>.</v>
      </c>
      <c r="IH71" s="558" t="str">
        <f t="shared" si="193"/>
        <v>.</v>
      </c>
      <c r="II71" s="558" t="str">
        <f t="shared" si="193"/>
        <v>.</v>
      </c>
      <c r="IJ71" s="558" t="str">
        <f t="shared" si="193"/>
        <v>.</v>
      </c>
      <c r="IK71" s="558" t="str">
        <f t="shared" si="193"/>
        <v>.</v>
      </c>
      <c r="IL71" s="558" t="str">
        <f t="shared" si="193"/>
        <v>.</v>
      </c>
      <c r="IM71" s="558" t="str">
        <f t="shared" si="193"/>
        <v>.</v>
      </c>
      <c r="IN71" s="558" t="str">
        <f t="shared" si="193"/>
        <v>.</v>
      </c>
      <c r="IO71" s="558" t="str">
        <f t="shared" si="193"/>
        <v>.</v>
      </c>
      <c r="IP71" s="558" t="str">
        <f t="shared" si="193"/>
        <v>.</v>
      </c>
      <c r="IQ71" s="558" t="str">
        <f t="shared" si="193"/>
        <v>.</v>
      </c>
      <c r="IR71" s="558" t="str">
        <f t="shared" si="193"/>
        <v>.</v>
      </c>
      <c r="IS71" s="558" t="str">
        <f t="shared" si="193"/>
        <v>.</v>
      </c>
      <c r="IT71" s="558" t="str">
        <f t="shared" si="193"/>
        <v>.</v>
      </c>
      <c r="IU71" s="558" t="str">
        <f t="shared" si="193"/>
        <v>.</v>
      </c>
      <c r="IV71" s="558" t="str">
        <f t="shared" si="196"/>
        <v>.</v>
      </c>
      <c r="IW71" s="558" t="str">
        <f t="shared" si="196"/>
        <v>.</v>
      </c>
      <c r="IX71" s="558" t="str">
        <f t="shared" si="196"/>
        <v>.</v>
      </c>
      <c r="IY71" s="558" t="str">
        <f t="shared" si="196"/>
        <v>.</v>
      </c>
      <c r="IZ71" s="558" t="str">
        <f t="shared" si="196"/>
        <v>.</v>
      </c>
      <c r="JA71" s="558" t="str">
        <f t="shared" si="196"/>
        <v>.</v>
      </c>
      <c r="JB71" s="558" t="str">
        <f t="shared" si="196"/>
        <v>.</v>
      </c>
      <c r="JC71" s="558" t="str">
        <f t="shared" si="196"/>
        <v>.</v>
      </c>
      <c r="JD71" s="558" t="str">
        <f t="shared" si="196"/>
        <v>.</v>
      </c>
      <c r="JE71" s="558" t="str">
        <f t="shared" si="196"/>
        <v>.</v>
      </c>
      <c r="JF71" s="558" t="str">
        <f t="shared" si="192"/>
        <v>.</v>
      </c>
      <c r="JG71" s="558" t="str">
        <f t="shared" si="192"/>
        <v>.</v>
      </c>
      <c r="JH71" s="558" t="str">
        <f t="shared" si="192"/>
        <v>.</v>
      </c>
      <c r="JI71" s="558" t="str">
        <f t="shared" si="192"/>
        <v>.</v>
      </c>
      <c r="JJ71" s="558" t="str">
        <f t="shared" si="192"/>
        <v>.</v>
      </c>
      <c r="JK71" s="558" t="str">
        <f t="shared" si="192"/>
        <v>.</v>
      </c>
      <c r="JL71" s="558" t="str">
        <f t="shared" si="192"/>
        <v>.</v>
      </c>
      <c r="JM71" s="558" t="str">
        <f t="shared" si="192"/>
        <v>.</v>
      </c>
      <c r="JN71" s="558" t="str">
        <f t="shared" si="192"/>
        <v>.</v>
      </c>
      <c r="JO71" s="558" t="str">
        <f t="shared" si="192"/>
        <v>.</v>
      </c>
    </row>
    <row r="72" spans="1:275" x14ac:dyDescent="0.2">
      <c r="A72" s="534">
        <f xml:space="preserve"> Basis!A72</f>
        <v>72</v>
      </c>
      <c r="F72" s="536">
        <f xml:space="preserve"> ROUND(    IF( $A$15=BE_MF_,   AW72,   INDEX( qx!72:72, F$16 ) ),    F$17    )</f>
        <v>1.04E-2</v>
      </c>
      <c r="G72" s="536">
        <f xml:space="preserve"> ROUND(    IF( $A$15=BE_MF_,   BB72,   INDEX( wx!72:72, G$16 ) ),    G$17    )</f>
        <v>2.7000000000000001E-3</v>
      </c>
      <c r="H72" s="537">
        <f xml:space="preserve"> ROUND(    IF( $A$15=BE_MF_,   BG72,   INDEX( Kx!72:72, H$16 ) ),    H$17    )</f>
        <v>7677.94</v>
      </c>
      <c r="I72" s="538">
        <f t="shared" si="93"/>
        <v>7677.94</v>
      </c>
      <c r="J72" s="539">
        <f t="shared" si="129"/>
        <v>3.6949999999999998</v>
      </c>
      <c r="K72" s="540">
        <f t="shared" si="190"/>
        <v>0.5</v>
      </c>
      <c r="L72" s="541">
        <f t="shared" si="116"/>
        <v>0</v>
      </c>
      <c r="M72" s="541">
        <f t="shared" si="116"/>
        <v>8.5999999999999993E-2</v>
      </c>
      <c r="O72" s="542" t="b">
        <f t="shared" si="95"/>
        <v>1</v>
      </c>
      <c r="P72" s="493">
        <f t="shared" si="130"/>
        <v>1.3100000000000001E-2</v>
      </c>
      <c r="Q72" s="493">
        <f t="shared" si="131"/>
        <v>0.9869</v>
      </c>
      <c r="R72" s="543">
        <f t="shared" si="132"/>
        <v>469926</v>
      </c>
      <c r="S72" s="544">
        <f t="shared" si="133"/>
        <v>0.97560975599999999</v>
      </c>
      <c r="T72" s="423">
        <f t="shared" si="134"/>
        <v>79416.58</v>
      </c>
      <c r="U72" s="423">
        <f xml:space="preserve"> IF( $O72,    ROUND(  SUM( T72:T$120), U$17 ),  LEER  )</f>
        <v>1094190.32</v>
      </c>
      <c r="V72" s="493">
        <f t="shared" si="135"/>
        <v>13.777900000000001</v>
      </c>
      <c r="W72" s="493">
        <f t="shared" si="136"/>
        <v>293444.26</v>
      </c>
      <c r="X72" s="493">
        <f xml:space="preserve"> IF( $O72,    ROUND(  SUM( W72:W$120), X$17 ),  LEER  )</f>
        <v>5231096.5599999996</v>
      </c>
      <c r="Y72" s="493">
        <f t="shared" si="137"/>
        <v>65.869100000000003</v>
      </c>
      <c r="Z72" s="493">
        <f t="shared" si="138"/>
        <v>4.7808000000000002</v>
      </c>
      <c r="AA72" s="493">
        <f t="shared" si="139"/>
        <v>1.0033000000000001</v>
      </c>
      <c r="AB72" s="493">
        <f t="shared" si="140"/>
        <v>2.3494000000000002</v>
      </c>
      <c r="AC72" s="545">
        <f t="shared" si="141"/>
        <v>0.32679999999999998</v>
      </c>
      <c r="AD72" s="493">
        <f t="shared" si="142"/>
        <v>4.7976999999999999</v>
      </c>
      <c r="AE72" s="493">
        <f t="shared" si="143"/>
        <v>5.6067</v>
      </c>
      <c r="AF72" s="493">
        <f t="shared" si="144"/>
        <v>5.6067</v>
      </c>
      <c r="AG72" s="493" t="str">
        <f t="shared" si="145"/>
        <v>.</v>
      </c>
      <c r="AH72" s="493" t="str">
        <f t="shared" si="146"/>
        <v>.</v>
      </c>
      <c r="AI72" s="423">
        <f t="shared" si="147"/>
        <v>2077.79</v>
      </c>
      <c r="AJ72" s="423">
        <f t="shared" si="148"/>
        <v>11649.55</v>
      </c>
      <c r="AK72" s="423">
        <f t="shared" si="149"/>
        <v>970.8</v>
      </c>
      <c r="AN72" s="423">
        <f t="shared" si="191"/>
        <v>83783.759999999995</v>
      </c>
      <c r="AO72" s="423">
        <f t="shared" si="191"/>
        <v>83148.22</v>
      </c>
      <c r="AR72" s="546">
        <f xml:space="preserve"> ROUND(  INDEX( Kx!72:72, AR$16 ),  AR$17 )</f>
        <v>0.70579999999999998</v>
      </c>
      <c r="AS72" s="547">
        <f xml:space="preserve"> ROUND(  INDEX( qx!72:72, AS$16 ),  AS$17 )</f>
        <v>1.23E-2</v>
      </c>
      <c r="AT72" s="547">
        <f xml:space="preserve"> ROUND(  INDEX( qx!72:72, AT$16 ),  AT$17 )</f>
        <v>7.4000000000000003E-3</v>
      </c>
      <c r="AU72" s="548" t="str">
        <f t="shared" si="150"/>
        <v>F</v>
      </c>
      <c r="AV72" s="542">
        <f t="shared" si="151"/>
        <v>0.61529999999999996</v>
      </c>
      <c r="AW72" s="542">
        <f t="shared" si="152"/>
        <v>1.04E-2</v>
      </c>
      <c r="AX72" s="546">
        <f xml:space="preserve"> ROUND(  INDEX( wx!72:72, AX$16 ),  AX$17 )</f>
        <v>3.0999999999999999E-3</v>
      </c>
      <c r="AY72" s="546">
        <f xml:space="preserve"> ROUND(  INDEX( wx!72:72, AY$16 ),  AY$17 )</f>
        <v>2.0999999999999999E-3</v>
      </c>
      <c r="AZ72" s="548" t="str">
        <f t="shared" si="153"/>
        <v>F</v>
      </c>
      <c r="BA72" s="542">
        <f t="shared" si="154"/>
        <v>0.61529999999999996</v>
      </c>
      <c r="BB72" s="542">
        <f t="shared" si="155"/>
        <v>2.7000000000000001E-3</v>
      </c>
      <c r="BC72" s="533">
        <f xml:space="preserve"> ROUND(  INDEX( Kx!72:72, BC$16 ),  BC$17 )</f>
        <v>7900.91</v>
      </c>
      <c r="BD72" s="533">
        <f xml:space="preserve"> ROUND(  INDEX( Kx!72:72, BD$16 ),  BD$17 )</f>
        <v>6875.78</v>
      </c>
      <c r="BE72" s="548" t="str">
        <f t="shared" si="52"/>
        <v>M</v>
      </c>
      <c r="BF72" s="542">
        <f t="shared" si="156"/>
        <v>0.78249999999999997</v>
      </c>
      <c r="BG72" s="420">
        <f t="shared" si="157"/>
        <v>7677.94</v>
      </c>
      <c r="BQ72" s="549">
        <f t="shared" si="96"/>
        <v>72</v>
      </c>
      <c r="BR72" s="423">
        <f t="shared" si="55"/>
        <v>84239.9</v>
      </c>
      <c r="BS72" s="550">
        <f t="shared" si="158"/>
        <v>7677.94</v>
      </c>
      <c r="BT72" s="423">
        <f t="shared" si="159"/>
        <v>-3497.13</v>
      </c>
      <c r="BU72" s="551">
        <f t="shared" si="160"/>
        <v>79416.58</v>
      </c>
      <c r="BV72" s="551">
        <f t="shared" si="161"/>
        <v>1.0377000000000001</v>
      </c>
      <c r="BW72" s="529">
        <f t="shared" si="162"/>
        <v>83783.759999999995</v>
      </c>
      <c r="BX72" s="552">
        <f t="shared" si="163"/>
        <v>3040.9900000000052</v>
      </c>
      <c r="BY72" s="560"/>
      <c r="BZ72" s="559"/>
      <c r="CB72" s="423">
        <f t="shared" si="164"/>
        <v>-3920.63</v>
      </c>
      <c r="CC72" s="423">
        <f t="shared" si="165"/>
        <v>2094.59</v>
      </c>
      <c r="CD72" s="423">
        <f t="shared" si="166"/>
        <v>1087.9000000000001</v>
      </c>
      <c r="CE72" s="423">
        <f t="shared" si="167"/>
        <v>-738.13999999999987</v>
      </c>
      <c r="CF72" s="553">
        <f t="shared" si="168"/>
        <v>-737.8799999999901</v>
      </c>
      <c r="CH72" s="423">
        <f t="shared" si="169"/>
        <v>3852.4304390000002</v>
      </c>
      <c r="CI72" s="423">
        <f t="shared" si="170"/>
        <v>7677.43</v>
      </c>
      <c r="CJ72" s="423">
        <f t="shared" si="171"/>
        <v>-2763.39</v>
      </c>
      <c r="CK72" s="423">
        <f t="shared" si="172"/>
        <v>-1061.3699999999999</v>
      </c>
      <c r="CL72" s="553">
        <f t="shared" si="173"/>
        <v>3852.670000000001</v>
      </c>
      <c r="CN72" s="423">
        <f t="shared" si="71"/>
        <v>3898.5573770000001</v>
      </c>
      <c r="CO72" s="423">
        <f t="shared" si="174"/>
        <v>7677.43</v>
      </c>
      <c r="CP72" s="423">
        <f t="shared" si="175"/>
        <v>-2725.08</v>
      </c>
      <c r="CQ72" s="423">
        <f t="shared" si="176"/>
        <v>-1053.54</v>
      </c>
      <c r="CR72" s="553">
        <f t="shared" si="75"/>
        <v>3898.8100000000004</v>
      </c>
      <c r="CV72" s="564">
        <f t="shared" si="98"/>
        <v>72</v>
      </c>
      <c r="CW72" s="538" t="str">
        <f t="shared" si="177"/>
        <v>.</v>
      </c>
      <c r="CX72" s="566">
        <f t="shared" si="178"/>
        <v>83148.22</v>
      </c>
      <c r="CY72" s="538" t="str">
        <f t="shared" si="179"/>
        <v>.</v>
      </c>
      <c r="CZ72" s="538">
        <f t="shared" si="180"/>
        <v>60633</v>
      </c>
      <c r="DA72" s="538">
        <f t="shared" si="181"/>
        <v>18192.240000000002</v>
      </c>
      <c r="DB72" s="567" t="e">
        <f t="shared" si="99"/>
        <v>#N/A</v>
      </c>
      <c r="DC72" s="567">
        <f t="shared" si="100"/>
        <v>83148.22</v>
      </c>
      <c r="DD72" s="567" t="e">
        <f t="shared" si="101"/>
        <v>#N/A</v>
      </c>
      <c r="DE72" s="567">
        <f t="shared" si="101"/>
        <v>60633</v>
      </c>
      <c r="DF72" s="568">
        <f t="shared" si="102"/>
        <v>78825.240000000005</v>
      </c>
      <c r="EL72" s="553">
        <f t="shared" si="81"/>
        <v>55124.68</v>
      </c>
      <c r="EM72" s="553">
        <f t="shared" si="182"/>
        <v>28028.62</v>
      </c>
      <c r="EN72" s="423">
        <f t="shared" si="183"/>
        <v>83153.3</v>
      </c>
      <c r="EO72" s="555">
        <f xml:space="preserve"> 'i2'!AO72</f>
        <v>83148.22</v>
      </c>
      <c r="EV72" s="533" t="e">
        <f xml:space="preserve"> ROUND(    IF( $A$15=BE_MF_,   LEER,   INDEX( Kx!72:72, EV$16 ) ),    EV$17    )</f>
        <v>#VALUE!</v>
      </c>
      <c r="EW72" s="533" t="e">
        <f xml:space="preserve"> ROUND(    IF( $A$15=BE_MF_,   LEER,   INDEX( Kx!72:72, EW$16 ) ),    EW$17    )</f>
        <v>#VALUE!</v>
      </c>
      <c r="EX72" s="533" t="e">
        <f xml:space="preserve"> ROUND(    IF( $A$15=BE_MF_,   LEER,   INDEX( Kx!72:72, EX$16 ) ),    EX$17    )</f>
        <v>#VALUE!</v>
      </c>
      <c r="EY72" s="556" t="e">
        <f t="shared" si="103"/>
        <v>#VALUE!</v>
      </c>
      <c r="FB72" s="533" t="e">
        <f xml:space="preserve"> ROUND(    IF( $A$15=BE_MF_,   LEER,   INDEX( Kx!72:72, FB$16 ) ),    FB$17    )</f>
        <v>#VALUE!</v>
      </c>
      <c r="FC72" s="533" t="e">
        <f xml:space="preserve"> ROUND(    IF( $A$15=BE_MF_,   LEER,   INDEX( Kx!72:72, FC$16 ) ),    FC$17    )</f>
        <v>#VALUE!</v>
      </c>
      <c r="FD72" s="556" t="e">
        <f t="shared" si="104"/>
        <v>#VALUE!</v>
      </c>
      <c r="FG72" s="556" t="e">
        <f t="shared" si="105"/>
        <v>#VALUE!</v>
      </c>
      <c r="FH72" s="556" t="e">
        <f t="shared" si="105"/>
        <v>#VALUE!</v>
      </c>
      <c r="FI72" s="556" t="e">
        <f t="shared" si="105"/>
        <v>#VALUE!</v>
      </c>
      <c r="FN72" s="557">
        <f t="shared" si="184"/>
        <v>72</v>
      </c>
      <c r="FO72" s="493">
        <f t="shared" si="185"/>
        <v>65.869100000000003</v>
      </c>
      <c r="FP72" s="493">
        <f t="shared" si="186"/>
        <v>13.777900000000001</v>
      </c>
      <c r="FR72" s="427">
        <f t="shared" si="106"/>
        <v>3104876.26</v>
      </c>
      <c r="FS72" s="558">
        <f t="shared" si="197"/>
        <v>102497.61</v>
      </c>
      <c r="FT72" s="558">
        <f t="shared" si="197"/>
        <v>101338.19</v>
      </c>
      <c r="FU72" s="558">
        <f t="shared" si="197"/>
        <v>100175.91</v>
      </c>
      <c r="FV72" s="558">
        <f t="shared" si="197"/>
        <v>99013.63</v>
      </c>
      <c r="FW72" s="558">
        <f t="shared" si="197"/>
        <v>97811.27</v>
      </c>
      <c r="FX72" s="558">
        <f t="shared" si="197"/>
        <v>96574.56</v>
      </c>
      <c r="FY72" s="558">
        <f t="shared" si="197"/>
        <v>95349.3</v>
      </c>
      <c r="FZ72" s="558">
        <f t="shared" si="197"/>
        <v>94115.45</v>
      </c>
      <c r="GA72" s="558">
        <f t="shared" si="197"/>
        <v>92838.66</v>
      </c>
      <c r="GB72" s="558">
        <f t="shared" si="197"/>
        <v>91510.34</v>
      </c>
      <c r="GC72" s="558">
        <f t="shared" si="197"/>
        <v>90173.43</v>
      </c>
      <c r="GD72" s="558">
        <f t="shared" si="197"/>
        <v>88816.49</v>
      </c>
      <c r="GE72" s="558">
        <f t="shared" si="197"/>
        <v>87428.05</v>
      </c>
      <c r="GF72" s="558">
        <f t="shared" si="197"/>
        <v>86033.88</v>
      </c>
      <c r="GG72" s="558">
        <f t="shared" si="197"/>
        <v>84596.78</v>
      </c>
      <c r="GH72" s="558">
        <f t="shared" si="197"/>
        <v>83148.22</v>
      </c>
      <c r="GI72" s="558">
        <f t="shared" si="195"/>
        <v>81656.73</v>
      </c>
      <c r="GJ72" s="558">
        <f t="shared" si="195"/>
        <v>80130.880000000005</v>
      </c>
      <c r="GK72" s="558">
        <f t="shared" si="195"/>
        <v>78562.080000000002</v>
      </c>
      <c r="GL72" s="558">
        <f t="shared" si="195"/>
        <v>76947.490000000005</v>
      </c>
      <c r="GM72" s="558">
        <f t="shared" si="195"/>
        <v>75284.23</v>
      </c>
      <c r="GN72" s="558">
        <f t="shared" si="195"/>
        <v>73557.98</v>
      </c>
      <c r="GO72" s="558">
        <f t="shared" si="195"/>
        <v>71768.759999999995</v>
      </c>
      <c r="GP72" s="558">
        <f t="shared" si="195"/>
        <v>69913.69</v>
      </c>
      <c r="GQ72" s="558">
        <f t="shared" si="195"/>
        <v>67984.19</v>
      </c>
      <c r="GR72" s="558">
        <f t="shared" si="195"/>
        <v>65994.58</v>
      </c>
      <c r="GS72" s="558">
        <f t="shared" si="195"/>
        <v>63936.25</v>
      </c>
      <c r="GT72" s="558">
        <f t="shared" si="195"/>
        <v>61814.95</v>
      </c>
      <c r="GU72" s="558">
        <f t="shared" si="195"/>
        <v>59636.39</v>
      </c>
      <c r="GV72" s="558">
        <f t="shared" si="195"/>
        <v>57403.44</v>
      </c>
      <c r="GW72" s="558">
        <f t="shared" si="195"/>
        <v>55124.68</v>
      </c>
      <c r="GX72" s="558">
        <f t="shared" si="198"/>
        <v>52791.53</v>
      </c>
      <c r="GY72" s="558">
        <f t="shared" si="198"/>
        <v>50426.9</v>
      </c>
      <c r="GZ72" s="558">
        <f t="shared" si="198"/>
        <v>48019.32</v>
      </c>
      <c r="HA72" s="558">
        <f t="shared" si="198"/>
        <v>45585.97</v>
      </c>
      <c r="HB72" s="558">
        <f t="shared" si="198"/>
        <v>43126.86</v>
      </c>
      <c r="HC72" s="558">
        <f t="shared" si="198"/>
        <v>40639.129999999997</v>
      </c>
      <c r="HD72" s="558">
        <f t="shared" si="198"/>
        <v>38131.35</v>
      </c>
      <c r="HE72" s="558">
        <f t="shared" si="198"/>
        <v>35586.36</v>
      </c>
      <c r="HF72" s="558">
        <f t="shared" si="198"/>
        <v>32986.97</v>
      </c>
      <c r="HG72" s="558">
        <f t="shared" si="198"/>
        <v>30350.37</v>
      </c>
      <c r="HH72" s="558">
        <f t="shared" si="198"/>
        <v>27688.01</v>
      </c>
      <c r="HI72" s="558">
        <f t="shared" si="198"/>
        <v>24991.29</v>
      </c>
      <c r="HJ72" s="558">
        <f t="shared" si="198"/>
        <v>22274.53</v>
      </c>
      <c r="HK72" s="558">
        <f t="shared" si="198"/>
        <v>19529.150000000001</v>
      </c>
      <c r="HL72" s="558">
        <f t="shared" si="198"/>
        <v>16809.53</v>
      </c>
      <c r="HM72" s="558">
        <f t="shared" si="198"/>
        <v>14067</v>
      </c>
      <c r="HN72" s="558">
        <f t="shared" si="199"/>
        <v>11341.66</v>
      </c>
      <c r="HO72" s="558">
        <f t="shared" si="199"/>
        <v>8636.35</v>
      </c>
      <c r="HP72" s="558">
        <f t="shared" si="199"/>
        <v>5942.5</v>
      </c>
      <c r="HQ72" s="558">
        <f t="shared" si="199"/>
        <v>3723.86</v>
      </c>
      <c r="HR72" s="558">
        <f t="shared" si="199"/>
        <v>1573.93</v>
      </c>
      <c r="HS72" s="558">
        <f t="shared" si="194"/>
        <v>-484.4</v>
      </c>
      <c r="HT72" s="558" t="str">
        <f t="shared" si="194"/>
        <v>.</v>
      </c>
      <c r="HU72" s="558" t="str">
        <f t="shared" si="194"/>
        <v>.</v>
      </c>
      <c r="HV72" s="558" t="str">
        <f t="shared" si="194"/>
        <v>.</v>
      </c>
      <c r="HW72" s="558" t="str">
        <f t="shared" si="194"/>
        <v>.</v>
      </c>
      <c r="HX72" s="558" t="str">
        <f t="shared" si="194"/>
        <v>.</v>
      </c>
      <c r="HY72" s="558" t="str">
        <f t="shared" si="194"/>
        <v>.</v>
      </c>
      <c r="HZ72" s="558" t="str">
        <f t="shared" si="194"/>
        <v>.</v>
      </c>
      <c r="IA72" s="558" t="str">
        <f t="shared" si="194"/>
        <v>.</v>
      </c>
      <c r="IB72" s="558" t="str">
        <f t="shared" si="194"/>
        <v>.</v>
      </c>
      <c r="IC72" s="558" t="str">
        <f t="shared" si="194"/>
        <v>.</v>
      </c>
      <c r="ID72" s="558" t="str">
        <f t="shared" si="193"/>
        <v>.</v>
      </c>
      <c r="IE72" s="558" t="str">
        <f t="shared" si="193"/>
        <v>.</v>
      </c>
      <c r="IF72" s="558" t="str">
        <f t="shared" si="193"/>
        <v>.</v>
      </c>
      <c r="IG72" s="558" t="str">
        <f t="shared" si="193"/>
        <v>.</v>
      </c>
      <c r="IH72" s="558" t="str">
        <f t="shared" si="193"/>
        <v>.</v>
      </c>
      <c r="II72" s="558" t="str">
        <f t="shared" si="193"/>
        <v>.</v>
      </c>
      <c r="IJ72" s="558" t="str">
        <f t="shared" si="193"/>
        <v>.</v>
      </c>
      <c r="IK72" s="558" t="str">
        <f t="shared" si="193"/>
        <v>.</v>
      </c>
      <c r="IL72" s="558" t="str">
        <f t="shared" si="193"/>
        <v>.</v>
      </c>
      <c r="IM72" s="558" t="str">
        <f t="shared" si="193"/>
        <v>.</v>
      </c>
      <c r="IN72" s="558" t="str">
        <f t="shared" si="193"/>
        <v>.</v>
      </c>
      <c r="IO72" s="558" t="str">
        <f t="shared" si="193"/>
        <v>.</v>
      </c>
      <c r="IP72" s="558" t="str">
        <f t="shared" si="193"/>
        <v>.</v>
      </c>
      <c r="IQ72" s="558" t="str">
        <f t="shared" si="193"/>
        <v>.</v>
      </c>
      <c r="IR72" s="558" t="str">
        <f t="shared" si="193"/>
        <v>.</v>
      </c>
      <c r="IS72" s="558" t="str">
        <f t="shared" si="193"/>
        <v>.</v>
      </c>
      <c r="IT72" s="558" t="str">
        <f t="shared" si="193"/>
        <v>.</v>
      </c>
      <c r="IU72" s="558" t="str">
        <f t="shared" si="193"/>
        <v>.</v>
      </c>
      <c r="IV72" s="558" t="str">
        <f t="shared" si="196"/>
        <v>.</v>
      </c>
      <c r="IW72" s="558" t="str">
        <f t="shared" si="196"/>
        <v>.</v>
      </c>
      <c r="IX72" s="558" t="str">
        <f t="shared" si="196"/>
        <v>.</v>
      </c>
      <c r="IY72" s="558" t="str">
        <f t="shared" si="196"/>
        <v>.</v>
      </c>
      <c r="IZ72" s="558" t="str">
        <f t="shared" si="196"/>
        <v>.</v>
      </c>
      <c r="JA72" s="558" t="str">
        <f t="shared" si="196"/>
        <v>.</v>
      </c>
      <c r="JB72" s="558" t="str">
        <f t="shared" si="196"/>
        <v>.</v>
      </c>
      <c r="JC72" s="558" t="str">
        <f t="shared" si="196"/>
        <v>.</v>
      </c>
      <c r="JD72" s="558" t="str">
        <f t="shared" si="196"/>
        <v>.</v>
      </c>
      <c r="JE72" s="558" t="str">
        <f t="shared" si="196"/>
        <v>.</v>
      </c>
      <c r="JF72" s="558" t="str">
        <f t="shared" si="192"/>
        <v>.</v>
      </c>
      <c r="JG72" s="558" t="str">
        <f t="shared" si="192"/>
        <v>.</v>
      </c>
      <c r="JH72" s="558" t="str">
        <f t="shared" si="192"/>
        <v>.</v>
      </c>
      <c r="JI72" s="558" t="str">
        <f t="shared" si="192"/>
        <v>.</v>
      </c>
      <c r="JJ72" s="558" t="str">
        <f t="shared" si="192"/>
        <v>.</v>
      </c>
      <c r="JK72" s="558" t="str">
        <f t="shared" si="192"/>
        <v>.</v>
      </c>
      <c r="JL72" s="558" t="str">
        <f t="shared" si="192"/>
        <v>.</v>
      </c>
      <c r="JM72" s="558" t="str">
        <f t="shared" si="192"/>
        <v>.</v>
      </c>
      <c r="JN72" s="558" t="str">
        <f t="shared" si="192"/>
        <v>.</v>
      </c>
      <c r="JO72" s="558" t="str">
        <f t="shared" si="192"/>
        <v>.</v>
      </c>
    </row>
    <row r="73" spans="1:275" x14ac:dyDescent="0.2">
      <c r="A73" s="534">
        <f xml:space="preserve"> Basis!A73</f>
        <v>73</v>
      </c>
      <c r="F73" s="536">
        <f xml:space="preserve"> ROUND(    IF( $A$15=BE_MF_,   AW73,   INDEX( qx!73:73, F$16 ) ),    F$17    )</f>
        <v>1.1599999999999999E-2</v>
      </c>
      <c r="G73" s="536">
        <f xml:space="preserve"> ROUND(    IF( $A$15=BE_MF_,   BB73,   INDEX( wx!73:73, G$16 ) ),    G$17    )</f>
        <v>2.5999999999999999E-3</v>
      </c>
      <c r="H73" s="537">
        <f xml:space="preserve"> ROUND(    IF( $A$15=BE_MF_,   BG73,   INDEX( Kx!73:73, H$16 ) ),    H$17    )</f>
        <v>8011.86</v>
      </c>
      <c r="I73" s="538">
        <f t="shared" si="93"/>
        <v>8011.86</v>
      </c>
      <c r="J73" s="539">
        <f t="shared" si="129"/>
        <v>3.8559999999999999</v>
      </c>
      <c r="K73" s="540">
        <f t="shared" si="190"/>
        <v>0</v>
      </c>
      <c r="L73" s="541">
        <f t="shared" si="116"/>
        <v>0</v>
      </c>
      <c r="M73" s="541">
        <f t="shared" si="116"/>
        <v>8.5999999999999993E-2</v>
      </c>
      <c r="O73" s="542" t="b">
        <f t="shared" si="95"/>
        <v>1</v>
      </c>
      <c r="P73" s="493">
        <f t="shared" si="130"/>
        <v>1.4200000000000001E-2</v>
      </c>
      <c r="Q73" s="493">
        <f t="shared" si="131"/>
        <v>0.98580000000000001</v>
      </c>
      <c r="R73" s="543">
        <f t="shared" si="132"/>
        <v>463769</v>
      </c>
      <c r="S73" s="544">
        <f t="shared" si="133"/>
        <v>0.97560975599999999</v>
      </c>
      <c r="T73" s="423">
        <f t="shared" si="134"/>
        <v>76464.44</v>
      </c>
      <c r="U73" s="423">
        <f xml:space="preserve"> IF( $O73,    ROUND(  SUM( T73:T$120), U$17 ),  LEER  )</f>
        <v>1014773.74</v>
      </c>
      <c r="V73" s="493">
        <f t="shared" si="135"/>
        <v>13.2712</v>
      </c>
      <c r="W73" s="493">
        <f t="shared" si="136"/>
        <v>294846.88</v>
      </c>
      <c r="X73" s="493">
        <f xml:space="preserve"> IF( $O73,    ROUND(  SUM( W73:W$120), X$17 ),  LEER  )</f>
        <v>4937652.3</v>
      </c>
      <c r="Y73" s="493">
        <f t="shared" si="137"/>
        <v>64.5745</v>
      </c>
      <c r="Z73" s="493">
        <f t="shared" si="138"/>
        <v>4.8658000000000001</v>
      </c>
      <c r="AA73" s="493">
        <f t="shared" si="139"/>
        <v>1</v>
      </c>
      <c r="AB73" s="493">
        <f t="shared" si="140"/>
        <v>2.3494000000000002</v>
      </c>
      <c r="AC73" s="545">
        <f t="shared" si="141"/>
        <v>0.32679999999999998</v>
      </c>
      <c r="AD73" s="493">
        <f t="shared" si="142"/>
        <v>4.8658000000000001</v>
      </c>
      <c r="AE73" s="493">
        <f t="shared" si="143"/>
        <v>5.6811999999999996</v>
      </c>
      <c r="AF73" s="493">
        <f t="shared" si="144"/>
        <v>5.6811999999999996</v>
      </c>
      <c r="AG73" s="493" t="str">
        <f t="shared" si="145"/>
        <v>.</v>
      </c>
      <c r="AH73" s="493" t="str">
        <f t="shared" si="146"/>
        <v>.</v>
      </c>
      <c r="AI73" s="423">
        <f t="shared" si="147"/>
        <v>2077.79</v>
      </c>
      <c r="AJ73" s="423">
        <f t="shared" si="148"/>
        <v>11804.34</v>
      </c>
      <c r="AK73" s="423">
        <f t="shared" si="149"/>
        <v>983.7</v>
      </c>
      <c r="AN73" s="423">
        <f t="shared" si="191"/>
        <v>83045.88</v>
      </c>
      <c r="AO73" s="423">
        <f t="shared" si="191"/>
        <v>82433.72</v>
      </c>
      <c r="AR73" s="546">
        <f xml:space="preserve"> ROUND(  INDEX( Kx!73:73, AR$16 ),  AR$17 )</f>
        <v>0.70169999999999999</v>
      </c>
      <c r="AS73" s="547">
        <f xml:space="preserve"> ROUND(  INDEX( qx!73:73, AS$16 ),  AS$17 )</f>
        <v>1.37E-2</v>
      </c>
      <c r="AT73" s="547">
        <f xml:space="preserve"> ROUND(  INDEX( qx!73:73, AT$16 ),  AT$17 )</f>
        <v>8.2000000000000007E-3</v>
      </c>
      <c r="AU73" s="548" t="str">
        <f t="shared" si="150"/>
        <v>F</v>
      </c>
      <c r="AV73" s="542">
        <f t="shared" si="151"/>
        <v>0.61060000000000003</v>
      </c>
      <c r="AW73" s="542">
        <f t="shared" si="152"/>
        <v>1.1599999999999999E-2</v>
      </c>
      <c r="AX73" s="546">
        <f xml:space="preserve"> ROUND(  INDEX( wx!73:73, AX$16 ),  AX$17 )</f>
        <v>3.0000000000000001E-3</v>
      </c>
      <c r="AY73" s="546">
        <f xml:space="preserve"> ROUND(  INDEX( wx!73:73, AY$16 ),  AY$17 )</f>
        <v>2.0999999999999999E-3</v>
      </c>
      <c r="AZ73" s="548" t="str">
        <f t="shared" si="153"/>
        <v>F</v>
      </c>
      <c r="BA73" s="542">
        <f t="shared" si="154"/>
        <v>0.61060000000000003</v>
      </c>
      <c r="BB73" s="542">
        <f t="shared" si="155"/>
        <v>2.5999999999999999E-3</v>
      </c>
      <c r="BC73" s="533">
        <f xml:space="preserve"> ROUND(  INDEX( Kx!73:73, BC$16 ),  BC$17 )</f>
        <v>8249.5</v>
      </c>
      <c r="BD73" s="533">
        <f xml:space="preserve"> ROUND(  INDEX( Kx!73:73, BD$16 ),  BD$17 )</f>
        <v>7173.22</v>
      </c>
      <c r="BE73" s="548" t="str">
        <f t="shared" si="52"/>
        <v>M</v>
      </c>
      <c r="BF73" s="542">
        <f t="shared" si="156"/>
        <v>0.7792</v>
      </c>
      <c r="BG73" s="420">
        <f t="shared" si="157"/>
        <v>8011.86</v>
      </c>
      <c r="BQ73" s="549">
        <f t="shared" si="96"/>
        <v>73</v>
      </c>
      <c r="BR73" s="423">
        <f t="shared" si="55"/>
        <v>83783.759999999995</v>
      </c>
      <c r="BS73" s="550">
        <f t="shared" si="158"/>
        <v>8011.86</v>
      </c>
      <c r="BT73" s="423">
        <f t="shared" si="159"/>
        <v>-3825.51</v>
      </c>
      <c r="BU73" s="551">
        <f t="shared" si="160"/>
        <v>76464.44</v>
      </c>
      <c r="BV73" s="551">
        <f t="shared" si="161"/>
        <v>1.0386</v>
      </c>
      <c r="BW73" s="529">
        <f t="shared" si="162"/>
        <v>83045.88</v>
      </c>
      <c r="BX73" s="552">
        <f t="shared" si="163"/>
        <v>3087.6300000000047</v>
      </c>
      <c r="BY73" s="560"/>
      <c r="BZ73" s="559"/>
      <c r="CB73" s="423">
        <f t="shared" si="164"/>
        <v>-4263.5200000000004</v>
      </c>
      <c r="CC73" s="423">
        <f t="shared" si="165"/>
        <v>2076.15</v>
      </c>
      <c r="CD73" s="423">
        <f t="shared" si="166"/>
        <v>1164.73</v>
      </c>
      <c r="CE73" s="423">
        <f t="shared" si="167"/>
        <v>-1022.6400000000003</v>
      </c>
      <c r="CF73" s="553">
        <f t="shared" si="168"/>
        <v>-1022.6900000000023</v>
      </c>
      <c r="CH73" s="423">
        <f t="shared" si="169"/>
        <v>3852.4304390000002</v>
      </c>
      <c r="CI73" s="423">
        <f t="shared" si="170"/>
        <v>8011.96</v>
      </c>
      <c r="CJ73" s="423">
        <f t="shared" si="171"/>
        <v>-3023.26</v>
      </c>
      <c r="CK73" s="423">
        <f t="shared" si="172"/>
        <v>-1136.32</v>
      </c>
      <c r="CL73" s="553">
        <f t="shared" si="173"/>
        <v>3852.38</v>
      </c>
      <c r="CN73" s="423">
        <f t="shared" si="71"/>
        <v>3898.5573770000001</v>
      </c>
      <c r="CO73" s="423">
        <f t="shared" si="174"/>
        <v>8011.96</v>
      </c>
      <c r="CP73" s="423">
        <f t="shared" si="175"/>
        <v>-2985.29</v>
      </c>
      <c r="CQ73" s="423">
        <f t="shared" si="176"/>
        <v>-1128.17</v>
      </c>
      <c r="CR73" s="553">
        <f t="shared" si="75"/>
        <v>3898.5</v>
      </c>
      <c r="CV73" s="564">
        <f t="shared" si="98"/>
        <v>73</v>
      </c>
      <c r="CW73" s="538" t="str">
        <f t="shared" si="177"/>
        <v>.</v>
      </c>
      <c r="CX73" s="566">
        <f t="shared" si="178"/>
        <v>82433.72</v>
      </c>
      <c r="CY73" s="538" t="str">
        <f t="shared" si="179"/>
        <v>.</v>
      </c>
      <c r="CZ73" s="538">
        <f t="shared" si="180"/>
        <v>58403</v>
      </c>
      <c r="DA73" s="538">
        <f t="shared" si="181"/>
        <v>19866.57</v>
      </c>
      <c r="DB73" s="567" t="e">
        <f t="shared" si="99"/>
        <v>#N/A</v>
      </c>
      <c r="DC73" s="567">
        <f t="shared" si="100"/>
        <v>82433.72</v>
      </c>
      <c r="DD73" s="567" t="e">
        <f t="shared" si="101"/>
        <v>#N/A</v>
      </c>
      <c r="DE73" s="567">
        <f t="shared" si="101"/>
        <v>58403</v>
      </c>
      <c r="DF73" s="568">
        <f t="shared" si="102"/>
        <v>78269.570000000007</v>
      </c>
      <c r="EL73" s="553">
        <f t="shared" si="81"/>
        <v>55440.78</v>
      </c>
      <c r="EM73" s="553">
        <f t="shared" si="182"/>
        <v>26997.83</v>
      </c>
      <c r="EN73" s="423">
        <f t="shared" si="183"/>
        <v>82438.61</v>
      </c>
      <c r="EO73" s="555">
        <f xml:space="preserve"> 'i2'!AO73</f>
        <v>82433.72</v>
      </c>
      <c r="EV73" s="533" t="e">
        <f xml:space="preserve"> ROUND(    IF( $A$15=BE_MF_,   LEER,   INDEX( Kx!73:73, EV$16 ) ),    EV$17    )</f>
        <v>#VALUE!</v>
      </c>
      <c r="EW73" s="533" t="e">
        <f xml:space="preserve"> ROUND(    IF( $A$15=BE_MF_,   LEER,   INDEX( Kx!73:73, EW$16 ) ),    EW$17    )</f>
        <v>#VALUE!</v>
      </c>
      <c r="EX73" s="533" t="e">
        <f xml:space="preserve"> ROUND(    IF( $A$15=BE_MF_,   LEER,   INDEX( Kx!73:73, EX$16 ) ),    EX$17    )</f>
        <v>#VALUE!</v>
      </c>
      <c r="EY73" s="556" t="e">
        <f t="shared" si="103"/>
        <v>#VALUE!</v>
      </c>
      <c r="FB73" s="533" t="e">
        <f xml:space="preserve"> ROUND(    IF( $A$15=BE_MF_,   LEER,   INDEX( Kx!73:73, FB$16 ) ),    FB$17    )</f>
        <v>#VALUE!</v>
      </c>
      <c r="FC73" s="533" t="e">
        <f xml:space="preserve"> ROUND(    IF( $A$15=BE_MF_,   LEER,   INDEX( Kx!73:73, FC$16 ) ),    FC$17    )</f>
        <v>#VALUE!</v>
      </c>
      <c r="FD73" s="556" t="e">
        <f t="shared" si="104"/>
        <v>#VALUE!</v>
      </c>
      <c r="FG73" s="556" t="e">
        <f t="shared" si="105"/>
        <v>#VALUE!</v>
      </c>
      <c r="FH73" s="556" t="e">
        <f t="shared" si="105"/>
        <v>#VALUE!</v>
      </c>
      <c r="FI73" s="556" t="e">
        <f t="shared" si="105"/>
        <v>#VALUE!</v>
      </c>
      <c r="FN73" s="557">
        <f t="shared" si="184"/>
        <v>73</v>
      </c>
      <c r="FO73" s="493">
        <f t="shared" si="185"/>
        <v>64.5745</v>
      </c>
      <c r="FP73" s="493">
        <f t="shared" si="186"/>
        <v>13.2712</v>
      </c>
      <c r="FR73" s="427">
        <f t="shared" si="106"/>
        <v>3114888.2599999993</v>
      </c>
      <c r="FS73" s="558">
        <f t="shared" si="197"/>
        <v>101071.5</v>
      </c>
      <c r="FT73" s="558">
        <f t="shared" si="197"/>
        <v>99954.72</v>
      </c>
      <c r="FU73" s="558">
        <f t="shared" si="197"/>
        <v>98835.19</v>
      </c>
      <c r="FV73" s="558">
        <f t="shared" si="197"/>
        <v>97715.65</v>
      </c>
      <c r="FW73" s="558">
        <f t="shared" si="197"/>
        <v>96557.51</v>
      </c>
      <c r="FX73" s="558">
        <f t="shared" si="197"/>
        <v>95366.28</v>
      </c>
      <c r="FY73" s="558">
        <f t="shared" si="197"/>
        <v>94186.08</v>
      </c>
      <c r="FZ73" s="558">
        <f t="shared" si="197"/>
        <v>92997.61</v>
      </c>
      <c r="GA73" s="558">
        <f t="shared" si="197"/>
        <v>91767.77</v>
      </c>
      <c r="GB73" s="558">
        <f t="shared" si="197"/>
        <v>90488.31</v>
      </c>
      <c r="GC73" s="558">
        <f t="shared" si="197"/>
        <v>89200.56</v>
      </c>
      <c r="GD73" s="558">
        <f t="shared" si="197"/>
        <v>87893.52</v>
      </c>
      <c r="GE73" s="558">
        <f t="shared" si="197"/>
        <v>86556.14</v>
      </c>
      <c r="GF73" s="558">
        <f t="shared" si="197"/>
        <v>85213.25</v>
      </c>
      <c r="GG73" s="558">
        <f t="shared" si="197"/>
        <v>83829</v>
      </c>
      <c r="GH73" s="558">
        <f t="shared" si="197"/>
        <v>82433.72</v>
      </c>
      <c r="GI73" s="558">
        <f t="shared" si="195"/>
        <v>80997.070000000007</v>
      </c>
      <c r="GJ73" s="558">
        <f t="shared" si="195"/>
        <v>79527.34</v>
      </c>
      <c r="GK73" s="558">
        <f t="shared" si="195"/>
        <v>78016.240000000005</v>
      </c>
      <c r="GL73" s="558">
        <f t="shared" si="195"/>
        <v>76461.02</v>
      </c>
      <c r="GM73" s="558">
        <f t="shared" si="195"/>
        <v>74858.929999999993</v>
      </c>
      <c r="GN73" s="558">
        <f t="shared" si="195"/>
        <v>73196.17</v>
      </c>
      <c r="GO73" s="558">
        <f t="shared" si="195"/>
        <v>71472.75</v>
      </c>
      <c r="GP73" s="558">
        <f t="shared" si="195"/>
        <v>69685.899999999994</v>
      </c>
      <c r="GQ73" s="558">
        <f t="shared" si="195"/>
        <v>67827.360000000001</v>
      </c>
      <c r="GR73" s="558">
        <f t="shared" si="195"/>
        <v>65910.92</v>
      </c>
      <c r="GS73" s="558">
        <f t="shared" si="195"/>
        <v>63928.29</v>
      </c>
      <c r="GT73" s="558">
        <f t="shared" si="195"/>
        <v>61885</v>
      </c>
      <c r="GU73" s="558">
        <f t="shared" si="195"/>
        <v>59786.559999999998</v>
      </c>
      <c r="GV73" s="558">
        <f t="shared" si="195"/>
        <v>57635.73</v>
      </c>
      <c r="GW73" s="558">
        <f t="shared" si="195"/>
        <v>55440.78</v>
      </c>
      <c r="GX73" s="558">
        <f t="shared" si="198"/>
        <v>53193.43</v>
      </c>
      <c r="GY73" s="558">
        <f t="shared" si="198"/>
        <v>50915.76</v>
      </c>
      <c r="GZ73" s="558">
        <f t="shared" si="198"/>
        <v>48596.72</v>
      </c>
      <c r="HA73" s="558">
        <f t="shared" si="198"/>
        <v>46252.86</v>
      </c>
      <c r="HB73" s="558">
        <f t="shared" si="198"/>
        <v>43884.19</v>
      </c>
      <c r="HC73" s="558">
        <f t="shared" si="198"/>
        <v>41487.94</v>
      </c>
      <c r="HD73" s="558">
        <f t="shared" si="198"/>
        <v>39072.400000000001</v>
      </c>
      <c r="HE73" s="558">
        <f t="shared" si="198"/>
        <v>36621</v>
      </c>
      <c r="HF73" s="558">
        <f t="shared" si="198"/>
        <v>34117.21</v>
      </c>
      <c r="HG73" s="558">
        <f t="shared" si="198"/>
        <v>31577.57</v>
      </c>
      <c r="HH73" s="558">
        <f t="shared" si="198"/>
        <v>29013.119999999999</v>
      </c>
      <c r="HI73" s="558">
        <f t="shared" si="198"/>
        <v>26415.58</v>
      </c>
      <c r="HJ73" s="558">
        <f t="shared" si="198"/>
        <v>23798.73</v>
      </c>
      <c r="HK73" s="558">
        <f t="shared" si="198"/>
        <v>21154.31</v>
      </c>
      <c r="HL73" s="558">
        <f t="shared" si="198"/>
        <v>18534.71</v>
      </c>
      <c r="HM73" s="558">
        <f t="shared" si="198"/>
        <v>15893.05</v>
      </c>
      <c r="HN73" s="558">
        <f t="shared" si="199"/>
        <v>13267.93</v>
      </c>
      <c r="HO73" s="558">
        <f t="shared" si="199"/>
        <v>10662.11</v>
      </c>
      <c r="HP73" s="558">
        <f t="shared" si="199"/>
        <v>8067.33</v>
      </c>
      <c r="HQ73" s="558">
        <f t="shared" si="199"/>
        <v>5930.28</v>
      </c>
      <c r="HR73" s="558">
        <f t="shared" si="199"/>
        <v>3859.42</v>
      </c>
      <c r="HS73" s="558">
        <f t="shared" si="194"/>
        <v>1876.79</v>
      </c>
      <c r="HT73" s="558">
        <f t="shared" si="194"/>
        <v>-1.05</v>
      </c>
      <c r="HU73" s="558" t="str">
        <f t="shared" si="194"/>
        <v>.</v>
      </c>
      <c r="HV73" s="558" t="str">
        <f t="shared" si="194"/>
        <v>.</v>
      </c>
      <c r="HW73" s="558" t="str">
        <f t="shared" si="194"/>
        <v>.</v>
      </c>
      <c r="HX73" s="558" t="str">
        <f t="shared" si="194"/>
        <v>.</v>
      </c>
      <c r="HY73" s="558" t="str">
        <f t="shared" si="194"/>
        <v>.</v>
      </c>
      <c r="HZ73" s="558" t="str">
        <f t="shared" si="194"/>
        <v>.</v>
      </c>
      <c r="IA73" s="558" t="str">
        <f t="shared" si="194"/>
        <v>.</v>
      </c>
      <c r="IB73" s="558" t="str">
        <f t="shared" si="194"/>
        <v>.</v>
      </c>
      <c r="IC73" s="558" t="str">
        <f t="shared" si="194"/>
        <v>.</v>
      </c>
      <c r="ID73" s="558" t="str">
        <f t="shared" si="193"/>
        <v>.</v>
      </c>
      <c r="IE73" s="558" t="str">
        <f t="shared" si="193"/>
        <v>.</v>
      </c>
      <c r="IF73" s="558" t="str">
        <f t="shared" si="193"/>
        <v>.</v>
      </c>
      <c r="IG73" s="558" t="str">
        <f t="shared" si="193"/>
        <v>.</v>
      </c>
      <c r="IH73" s="558" t="str">
        <f t="shared" si="193"/>
        <v>.</v>
      </c>
      <c r="II73" s="558" t="str">
        <f t="shared" si="193"/>
        <v>.</v>
      </c>
      <c r="IJ73" s="558" t="str">
        <f t="shared" si="193"/>
        <v>.</v>
      </c>
      <c r="IK73" s="558" t="str">
        <f t="shared" si="193"/>
        <v>.</v>
      </c>
      <c r="IL73" s="558" t="str">
        <f t="shared" si="193"/>
        <v>.</v>
      </c>
      <c r="IM73" s="558" t="str">
        <f t="shared" si="193"/>
        <v>.</v>
      </c>
      <c r="IN73" s="558" t="str">
        <f t="shared" si="193"/>
        <v>.</v>
      </c>
      <c r="IO73" s="558" t="str">
        <f t="shared" si="193"/>
        <v>.</v>
      </c>
      <c r="IP73" s="558" t="str">
        <f t="shared" si="193"/>
        <v>.</v>
      </c>
      <c r="IQ73" s="558" t="str">
        <f t="shared" si="193"/>
        <v>.</v>
      </c>
      <c r="IR73" s="558" t="str">
        <f t="shared" si="193"/>
        <v>.</v>
      </c>
      <c r="IS73" s="558" t="str">
        <f t="shared" si="193"/>
        <v>.</v>
      </c>
      <c r="IT73" s="558" t="str">
        <f t="shared" si="193"/>
        <v>.</v>
      </c>
      <c r="IU73" s="558" t="str">
        <f t="shared" si="193"/>
        <v>.</v>
      </c>
      <c r="IV73" s="558" t="str">
        <f t="shared" si="196"/>
        <v>.</v>
      </c>
      <c r="IW73" s="558" t="str">
        <f t="shared" si="196"/>
        <v>.</v>
      </c>
      <c r="IX73" s="558" t="str">
        <f t="shared" si="196"/>
        <v>.</v>
      </c>
      <c r="IY73" s="558" t="str">
        <f t="shared" si="196"/>
        <v>.</v>
      </c>
      <c r="IZ73" s="558" t="str">
        <f t="shared" si="196"/>
        <v>.</v>
      </c>
      <c r="JA73" s="558" t="str">
        <f t="shared" si="196"/>
        <v>.</v>
      </c>
      <c r="JB73" s="558" t="str">
        <f t="shared" si="196"/>
        <v>.</v>
      </c>
      <c r="JC73" s="558" t="str">
        <f t="shared" si="196"/>
        <v>.</v>
      </c>
      <c r="JD73" s="558" t="str">
        <f t="shared" si="196"/>
        <v>.</v>
      </c>
      <c r="JE73" s="558" t="str">
        <f t="shared" si="196"/>
        <v>.</v>
      </c>
      <c r="JF73" s="558" t="str">
        <f t="shared" si="192"/>
        <v>.</v>
      </c>
      <c r="JG73" s="558" t="str">
        <f t="shared" si="192"/>
        <v>.</v>
      </c>
      <c r="JH73" s="558" t="str">
        <f t="shared" si="192"/>
        <v>.</v>
      </c>
      <c r="JI73" s="558" t="str">
        <f t="shared" si="192"/>
        <v>.</v>
      </c>
      <c r="JJ73" s="558" t="str">
        <f t="shared" si="192"/>
        <v>.</v>
      </c>
      <c r="JK73" s="558" t="str">
        <f t="shared" si="192"/>
        <v>.</v>
      </c>
      <c r="JL73" s="558" t="str">
        <f t="shared" si="192"/>
        <v>.</v>
      </c>
      <c r="JM73" s="558" t="str">
        <f t="shared" si="192"/>
        <v>.</v>
      </c>
      <c r="JN73" s="558" t="str">
        <f t="shared" si="192"/>
        <v>.</v>
      </c>
      <c r="JO73" s="558" t="str">
        <f t="shared" si="192"/>
        <v>.</v>
      </c>
    </row>
    <row r="74" spans="1:275" x14ac:dyDescent="0.2">
      <c r="A74" s="534">
        <f xml:space="preserve"> Basis!A74</f>
        <v>74</v>
      </c>
      <c r="F74" s="536">
        <f xml:space="preserve"> ROUND(    IF( $A$15=BE_MF_,   AW74,   INDEX( qx!74:74, F$16 ) ),    F$17    )</f>
        <v>1.29E-2</v>
      </c>
      <c r="G74" s="536">
        <f xml:space="preserve"> ROUND(    IF( $A$15=BE_MF_,   BB74,   INDEX( wx!74:74, G$16 ) ),    G$17    )</f>
        <v>2.5000000000000001E-3</v>
      </c>
      <c r="H74" s="537">
        <f xml:space="preserve"> ROUND(    IF( $A$15=BE_MF_,   BG74,   INDEX( Kx!74:74, H$16 ) ),    H$17    )</f>
        <v>8350.9699999999993</v>
      </c>
      <c r="I74" s="538">
        <f t="shared" si="93"/>
        <v>8350.9699999999993</v>
      </c>
      <c r="J74" s="539">
        <f t="shared" si="129"/>
        <v>4.0190000000000001</v>
      </c>
      <c r="K74" s="540">
        <f t="shared" si="190"/>
        <v>0</v>
      </c>
      <c r="L74" s="541">
        <f t="shared" si="116"/>
        <v>0</v>
      </c>
      <c r="M74" s="541">
        <f t="shared" si="116"/>
        <v>8.5999999999999993E-2</v>
      </c>
      <c r="O74" s="542" t="b">
        <f t="shared" si="95"/>
        <v>1</v>
      </c>
      <c r="P74" s="493">
        <f t="shared" si="130"/>
        <v>1.54E-2</v>
      </c>
      <c r="Q74" s="493">
        <f t="shared" si="131"/>
        <v>0.98460000000000003</v>
      </c>
      <c r="R74" s="543">
        <f t="shared" si="132"/>
        <v>457183</v>
      </c>
      <c r="S74" s="544">
        <f t="shared" si="133"/>
        <v>0.97560975599999999</v>
      </c>
      <c r="T74" s="423">
        <f t="shared" si="134"/>
        <v>73540.070000000007</v>
      </c>
      <c r="U74" s="423">
        <f xml:space="preserve"> IF( $O74,    ROUND(  SUM( T74:T$120), U$17 ),  LEER  )</f>
        <v>938309.3</v>
      </c>
      <c r="V74" s="493">
        <f t="shared" si="135"/>
        <v>12.7592</v>
      </c>
      <c r="W74" s="493">
        <f t="shared" si="136"/>
        <v>295557.53999999998</v>
      </c>
      <c r="X74" s="493">
        <f xml:space="preserve"> IF( $O74,    ROUND(  SUM( W74:W$120), X$17 ),  LEER  )</f>
        <v>4642805.42</v>
      </c>
      <c r="Y74" s="493">
        <f t="shared" si="137"/>
        <v>63.133000000000003</v>
      </c>
      <c r="Z74" s="493">
        <f t="shared" si="138"/>
        <v>4.9480000000000004</v>
      </c>
      <c r="AA74" s="493">
        <f t="shared" si="139"/>
        <v>1</v>
      </c>
      <c r="AB74" s="493">
        <f t="shared" si="140"/>
        <v>2.3494000000000002</v>
      </c>
      <c r="AC74" s="545">
        <f t="shared" si="141"/>
        <v>0.32679999999999998</v>
      </c>
      <c r="AD74" s="493">
        <f t="shared" si="142"/>
        <v>4.9480000000000004</v>
      </c>
      <c r="AE74" s="493">
        <f t="shared" si="143"/>
        <v>5.7710999999999997</v>
      </c>
      <c r="AF74" s="493">
        <f t="shared" si="144"/>
        <v>5.7710999999999997</v>
      </c>
      <c r="AG74" s="493" t="str">
        <f t="shared" si="145"/>
        <v>.</v>
      </c>
      <c r="AH74" s="493" t="str">
        <f t="shared" si="146"/>
        <v>.</v>
      </c>
      <c r="AI74" s="423">
        <f t="shared" si="147"/>
        <v>2077.79</v>
      </c>
      <c r="AJ74" s="423">
        <f t="shared" si="148"/>
        <v>11991.13</v>
      </c>
      <c r="AK74" s="423">
        <f t="shared" si="149"/>
        <v>999.26</v>
      </c>
      <c r="AN74" s="423">
        <f t="shared" si="191"/>
        <v>82023.19</v>
      </c>
      <c r="AO74" s="423">
        <f t="shared" si="191"/>
        <v>81434.64</v>
      </c>
      <c r="AR74" s="546">
        <f xml:space="preserve"> ROUND(  INDEX( Kx!74:74, AR$16 ),  AR$17 )</f>
        <v>0.69969999999999999</v>
      </c>
      <c r="AS74" s="547">
        <f xml:space="preserve"> ROUND(  INDEX( qx!74:74, AS$16 ),  AS$17 )</f>
        <v>1.5299999999999999E-2</v>
      </c>
      <c r="AT74" s="547">
        <f xml:space="preserve"> ROUND(  INDEX( qx!74:74, AT$16 ),  AT$17 )</f>
        <v>9.1999999999999998E-3</v>
      </c>
      <c r="AU74" s="548" t="str">
        <f t="shared" si="150"/>
        <v>F</v>
      </c>
      <c r="AV74" s="542">
        <f t="shared" si="151"/>
        <v>0.60840000000000005</v>
      </c>
      <c r="AW74" s="542">
        <f t="shared" si="152"/>
        <v>1.29E-2</v>
      </c>
      <c r="AX74" s="546">
        <f xml:space="preserve"> ROUND(  INDEX( wx!74:74, AX$16 ),  AX$17 )</f>
        <v>2.7000000000000001E-3</v>
      </c>
      <c r="AY74" s="546">
        <f xml:space="preserve"> ROUND(  INDEX( wx!74:74, AY$16 ),  AY$17 )</f>
        <v>2.0999999999999999E-3</v>
      </c>
      <c r="AZ74" s="548" t="str">
        <f t="shared" si="153"/>
        <v>F</v>
      </c>
      <c r="BA74" s="542">
        <f t="shared" si="154"/>
        <v>0.60840000000000005</v>
      </c>
      <c r="BB74" s="542">
        <f t="shared" si="155"/>
        <v>2.5000000000000001E-3</v>
      </c>
      <c r="BC74" s="533">
        <f xml:space="preserve"> ROUND(  INDEX( Kx!74:74, BC$16 ),  BC$17 )</f>
        <v>8601.9699999999993</v>
      </c>
      <c r="BD74" s="533">
        <f xml:space="preserve"> ROUND(  INDEX( Kx!74:74, BD$16 ),  BD$17 )</f>
        <v>7473.87</v>
      </c>
      <c r="BE74" s="548" t="str">
        <f t="shared" si="52"/>
        <v>M</v>
      </c>
      <c r="BF74" s="542">
        <f t="shared" si="156"/>
        <v>0.77749999999999997</v>
      </c>
      <c r="BG74" s="420">
        <f t="shared" si="157"/>
        <v>8350.9699999999993</v>
      </c>
      <c r="BQ74" s="549">
        <f t="shared" si="96"/>
        <v>74</v>
      </c>
      <c r="BR74" s="423">
        <f t="shared" si="55"/>
        <v>83045.88</v>
      </c>
      <c r="BS74" s="550">
        <f t="shared" si="158"/>
        <v>8350.9699999999993</v>
      </c>
      <c r="BT74" s="423">
        <f t="shared" si="159"/>
        <v>-4159.43</v>
      </c>
      <c r="BU74" s="551">
        <f t="shared" si="160"/>
        <v>73540.070000000007</v>
      </c>
      <c r="BV74" s="551">
        <f t="shared" si="161"/>
        <v>1.0398000000000001</v>
      </c>
      <c r="BW74" s="529">
        <f t="shared" si="162"/>
        <v>82023.19</v>
      </c>
      <c r="BX74" s="552">
        <f t="shared" si="163"/>
        <v>3136.7399999999907</v>
      </c>
      <c r="BY74" s="560"/>
      <c r="BZ74" s="559"/>
      <c r="CB74" s="423">
        <f t="shared" si="164"/>
        <v>-4610.66</v>
      </c>
      <c r="CC74" s="423">
        <f t="shared" si="165"/>
        <v>2050.58</v>
      </c>
      <c r="CD74" s="423">
        <f t="shared" si="166"/>
        <v>1242.8699999999999</v>
      </c>
      <c r="CE74" s="423">
        <f t="shared" si="167"/>
        <v>-1317.21</v>
      </c>
      <c r="CF74" s="553">
        <f t="shared" si="168"/>
        <v>-1317.1199999999953</v>
      </c>
      <c r="CH74" s="423">
        <f t="shared" si="169"/>
        <v>3852.4304390000002</v>
      </c>
      <c r="CI74" s="423">
        <f t="shared" si="170"/>
        <v>8350.64</v>
      </c>
      <c r="CJ74" s="423">
        <f t="shared" si="171"/>
        <v>-3285.56</v>
      </c>
      <c r="CK74" s="423">
        <f t="shared" si="172"/>
        <v>-1212.56</v>
      </c>
      <c r="CL74" s="553">
        <f t="shared" si="173"/>
        <v>3852.52</v>
      </c>
      <c r="CN74" s="423">
        <f t="shared" si="71"/>
        <v>3898.5573770000001</v>
      </c>
      <c r="CO74" s="423">
        <f t="shared" si="174"/>
        <v>8350.64</v>
      </c>
      <c r="CP74" s="423">
        <f t="shared" si="175"/>
        <v>-3247.91</v>
      </c>
      <c r="CQ74" s="423">
        <f t="shared" si="176"/>
        <v>-1204.08</v>
      </c>
      <c r="CR74" s="553">
        <f t="shared" si="75"/>
        <v>3898.6499999999996</v>
      </c>
      <c r="CV74" s="564">
        <f t="shared" si="98"/>
        <v>74</v>
      </c>
      <c r="CW74" s="538" t="str">
        <f t="shared" si="177"/>
        <v>.</v>
      </c>
      <c r="CX74" s="566">
        <f t="shared" si="178"/>
        <v>81434.64</v>
      </c>
      <c r="CY74" s="538" t="str">
        <f t="shared" si="179"/>
        <v>.</v>
      </c>
      <c r="CZ74" s="538">
        <f t="shared" si="180"/>
        <v>56150</v>
      </c>
      <c r="DA74" s="538">
        <f t="shared" si="181"/>
        <v>21281.32</v>
      </c>
      <c r="DB74" s="567" t="e">
        <f t="shared" si="99"/>
        <v>#N/A</v>
      </c>
      <c r="DC74" s="567">
        <f t="shared" si="100"/>
        <v>81434.64</v>
      </c>
      <c r="DD74" s="567" t="e">
        <f t="shared" si="101"/>
        <v>#N/A</v>
      </c>
      <c r="DE74" s="567">
        <f t="shared" si="101"/>
        <v>56150</v>
      </c>
      <c r="DF74" s="568">
        <f t="shared" si="102"/>
        <v>77431.320000000007</v>
      </c>
      <c r="EL74" s="553">
        <f t="shared" si="81"/>
        <v>55483.09</v>
      </c>
      <c r="EM74" s="553">
        <f t="shared" si="182"/>
        <v>25956.26</v>
      </c>
      <c r="EN74" s="423">
        <f t="shared" si="183"/>
        <v>81439.350000000006</v>
      </c>
      <c r="EO74" s="555">
        <f xml:space="preserve"> 'i2'!AO74</f>
        <v>81434.64</v>
      </c>
      <c r="EV74" s="533" t="e">
        <f xml:space="preserve"> ROUND(    IF( $A$15=BE_MF_,   LEER,   INDEX( Kx!74:74, EV$16 ) ),    EV$17    )</f>
        <v>#VALUE!</v>
      </c>
      <c r="EW74" s="533" t="e">
        <f xml:space="preserve"> ROUND(    IF( $A$15=BE_MF_,   LEER,   INDEX( Kx!74:74, EW$16 ) ),    EW$17    )</f>
        <v>#VALUE!</v>
      </c>
      <c r="EX74" s="533" t="e">
        <f xml:space="preserve"> ROUND(    IF( $A$15=BE_MF_,   LEER,   INDEX( Kx!74:74, EX$16 ) ),    EX$17    )</f>
        <v>#VALUE!</v>
      </c>
      <c r="EY74" s="556" t="e">
        <f t="shared" si="103"/>
        <v>#VALUE!</v>
      </c>
      <c r="FB74" s="533" t="e">
        <f xml:space="preserve"> ROUND(    IF( $A$15=BE_MF_,   LEER,   INDEX( Kx!74:74, FB$16 ) ),    FB$17    )</f>
        <v>#VALUE!</v>
      </c>
      <c r="FC74" s="533" t="e">
        <f xml:space="preserve"> ROUND(    IF( $A$15=BE_MF_,   LEER,   INDEX( Kx!74:74, FC$16 ) ),    FC$17    )</f>
        <v>#VALUE!</v>
      </c>
      <c r="FD74" s="556" t="e">
        <f t="shared" si="104"/>
        <v>#VALUE!</v>
      </c>
      <c r="FG74" s="556" t="e">
        <f t="shared" si="105"/>
        <v>#VALUE!</v>
      </c>
      <c r="FH74" s="556" t="e">
        <f t="shared" si="105"/>
        <v>#VALUE!</v>
      </c>
      <c r="FI74" s="556" t="e">
        <f t="shared" si="105"/>
        <v>#VALUE!</v>
      </c>
      <c r="FN74" s="557">
        <f t="shared" si="184"/>
        <v>74</v>
      </c>
      <c r="FO74" s="493">
        <f t="shared" si="185"/>
        <v>63.133000000000003</v>
      </c>
      <c r="FP74" s="493">
        <f t="shared" si="186"/>
        <v>12.7592</v>
      </c>
      <c r="FR74" s="427">
        <f t="shared" si="106"/>
        <v>3112502.4299999997</v>
      </c>
      <c r="FS74" s="558">
        <f t="shared" si="197"/>
        <v>99353.39</v>
      </c>
      <c r="FT74" s="558">
        <f t="shared" si="197"/>
        <v>98279.69</v>
      </c>
      <c r="FU74" s="558">
        <f t="shared" si="197"/>
        <v>97203.35</v>
      </c>
      <c r="FV74" s="558">
        <f t="shared" si="197"/>
        <v>96127</v>
      </c>
      <c r="FW74" s="558">
        <f t="shared" si="197"/>
        <v>95013.55</v>
      </c>
      <c r="FX74" s="558">
        <f t="shared" si="197"/>
        <v>93868.27</v>
      </c>
      <c r="FY74" s="558">
        <f t="shared" si="197"/>
        <v>92733.6</v>
      </c>
      <c r="FZ74" s="558">
        <f t="shared" si="197"/>
        <v>91590.98</v>
      </c>
      <c r="GA74" s="558">
        <f t="shared" si="197"/>
        <v>90408.6</v>
      </c>
      <c r="GB74" s="558">
        <f t="shared" si="197"/>
        <v>89178.49</v>
      </c>
      <c r="GC74" s="558">
        <f t="shared" si="197"/>
        <v>87940.43</v>
      </c>
      <c r="GD74" s="558">
        <f t="shared" si="197"/>
        <v>86683.81</v>
      </c>
      <c r="GE74" s="558">
        <f t="shared" si="197"/>
        <v>85398.03</v>
      </c>
      <c r="GF74" s="558">
        <f t="shared" si="197"/>
        <v>84106.95</v>
      </c>
      <c r="GG74" s="558">
        <f t="shared" si="197"/>
        <v>82776.100000000006</v>
      </c>
      <c r="GH74" s="558">
        <f t="shared" si="197"/>
        <v>81434.64</v>
      </c>
      <c r="GI74" s="558">
        <f t="shared" si="195"/>
        <v>80053.42</v>
      </c>
      <c r="GJ74" s="558">
        <f t="shared" si="195"/>
        <v>78640.39</v>
      </c>
      <c r="GK74" s="558">
        <f t="shared" si="195"/>
        <v>77187.59</v>
      </c>
      <c r="GL74" s="558">
        <f t="shared" si="195"/>
        <v>75692.37</v>
      </c>
      <c r="GM74" s="558">
        <f t="shared" si="195"/>
        <v>74152.09</v>
      </c>
      <c r="GN74" s="558">
        <f t="shared" si="195"/>
        <v>72553.48</v>
      </c>
      <c r="GO74" s="558">
        <f t="shared" si="195"/>
        <v>70896.539999999994</v>
      </c>
      <c r="GP74" s="558">
        <f t="shared" si="195"/>
        <v>69178.64</v>
      </c>
      <c r="GQ74" s="558">
        <f t="shared" si="195"/>
        <v>67391.8</v>
      </c>
      <c r="GR74" s="558">
        <f t="shared" si="195"/>
        <v>65549.289999999994</v>
      </c>
      <c r="GS74" s="558">
        <f t="shared" si="195"/>
        <v>63643.15</v>
      </c>
      <c r="GT74" s="558">
        <f t="shared" si="195"/>
        <v>61678.69</v>
      </c>
      <c r="GU74" s="558">
        <f t="shared" si="195"/>
        <v>59661.21</v>
      </c>
      <c r="GV74" s="558">
        <f t="shared" si="195"/>
        <v>57593.36</v>
      </c>
      <c r="GW74" s="558">
        <f t="shared" si="195"/>
        <v>55483.09</v>
      </c>
      <c r="GX74" s="558">
        <f t="shared" si="198"/>
        <v>53322.44</v>
      </c>
      <c r="GY74" s="558">
        <f t="shared" si="198"/>
        <v>51132.639999999999</v>
      </c>
      <c r="GZ74" s="558">
        <f t="shared" si="198"/>
        <v>48903.07</v>
      </c>
      <c r="HA74" s="558">
        <f t="shared" si="198"/>
        <v>46649.64</v>
      </c>
      <c r="HB74" s="558">
        <f t="shared" si="198"/>
        <v>44372.35</v>
      </c>
      <c r="HC74" s="558">
        <f t="shared" si="198"/>
        <v>42068.55</v>
      </c>
      <c r="HD74" s="558">
        <f t="shared" si="198"/>
        <v>39746.19</v>
      </c>
      <c r="HE74" s="558">
        <f t="shared" si="198"/>
        <v>37389.370000000003</v>
      </c>
      <c r="HF74" s="558">
        <f t="shared" si="198"/>
        <v>34982.18</v>
      </c>
      <c r="HG74" s="558">
        <f t="shared" si="198"/>
        <v>32540.52</v>
      </c>
      <c r="HH74" s="558">
        <f t="shared" si="198"/>
        <v>30075</v>
      </c>
      <c r="HI74" s="558">
        <f t="shared" si="198"/>
        <v>27577.67</v>
      </c>
      <c r="HJ74" s="558">
        <f t="shared" si="198"/>
        <v>25061.78</v>
      </c>
      <c r="HK74" s="558">
        <f t="shared" si="198"/>
        <v>22519.38</v>
      </c>
      <c r="HL74" s="558">
        <f t="shared" si="198"/>
        <v>20000.849999999999</v>
      </c>
      <c r="HM74" s="558">
        <f t="shared" si="198"/>
        <v>17461.099999999999</v>
      </c>
      <c r="HN74" s="558">
        <f t="shared" si="199"/>
        <v>14937.26</v>
      </c>
      <c r="HO74" s="558">
        <f t="shared" si="199"/>
        <v>12431.97</v>
      </c>
      <c r="HP74" s="558">
        <f t="shared" si="199"/>
        <v>9937.2900000000009</v>
      </c>
      <c r="HQ74" s="558">
        <f t="shared" si="199"/>
        <v>7882.7</v>
      </c>
      <c r="HR74" s="558">
        <f t="shared" si="199"/>
        <v>5891.72</v>
      </c>
      <c r="HS74" s="558">
        <f t="shared" si="194"/>
        <v>3985.59</v>
      </c>
      <c r="HT74" s="558">
        <f t="shared" si="194"/>
        <v>2180.19</v>
      </c>
      <c r="HU74" s="558">
        <f t="shared" si="194"/>
        <v>0.99</v>
      </c>
      <c r="HV74" s="558" t="str">
        <f t="shared" si="194"/>
        <v>.</v>
      </c>
      <c r="HW74" s="558" t="str">
        <f t="shared" si="194"/>
        <v>.</v>
      </c>
      <c r="HX74" s="558" t="str">
        <f t="shared" si="194"/>
        <v>.</v>
      </c>
      <c r="HY74" s="558" t="str">
        <f t="shared" si="194"/>
        <v>.</v>
      </c>
      <c r="HZ74" s="558" t="str">
        <f t="shared" si="194"/>
        <v>.</v>
      </c>
      <c r="IA74" s="558" t="str">
        <f t="shared" si="194"/>
        <v>.</v>
      </c>
      <c r="IB74" s="558" t="str">
        <f t="shared" si="194"/>
        <v>.</v>
      </c>
      <c r="IC74" s="558" t="str">
        <f t="shared" si="194"/>
        <v>.</v>
      </c>
      <c r="ID74" s="558" t="str">
        <f t="shared" si="193"/>
        <v>.</v>
      </c>
      <c r="IE74" s="558" t="str">
        <f t="shared" si="193"/>
        <v>.</v>
      </c>
      <c r="IF74" s="558" t="str">
        <f t="shared" si="193"/>
        <v>.</v>
      </c>
      <c r="IG74" s="558" t="str">
        <f t="shared" si="193"/>
        <v>.</v>
      </c>
      <c r="IH74" s="558" t="str">
        <f t="shared" si="193"/>
        <v>.</v>
      </c>
      <c r="II74" s="558" t="str">
        <f t="shared" si="193"/>
        <v>.</v>
      </c>
      <c r="IJ74" s="558" t="str">
        <f t="shared" si="193"/>
        <v>.</v>
      </c>
      <c r="IK74" s="558" t="str">
        <f t="shared" si="193"/>
        <v>.</v>
      </c>
      <c r="IL74" s="558" t="str">
        <f t="shared" si="193"/>
        <v>.</v>
      </c>
      <c r="IM74" s="558" t="str">
        <f t="shared" si="193"/>
        <v>.</v>
      </c>
      <c r="IN74" s="558" t="str">
        <f t="shared" si="193"/>
        <v>.</v>
      </c>
      <c r="IO74" s="558" t="str">
        <f t="shared" si="193"/>
        <v>.</v>
      </c>
      <c r="IP74" s="558" t="str">
        <f t="shared" si="193"/>
        <v>.</v>
      </c>
      <c r="IQ74" s="558" t="str">
        <f t="shared" si="193"/>
        <v>.</v>
      </c>
      <c r="IR74" s="558" t="str">
        <f t="shared" si="193"/>
        <v>.</v>
      </c>
      <c r="IS74" s="558" t="str">
        <f t="shared" si="193"/>
        <v>.</v>
      </c>
      <c r="IT74" s="558" t="str">
        <f t="shared" si="193"/>
        <v>.</v>
      </c>
      <c r="IU74" s="558" t="str">
        <f t="shared" si="193"/>
        <v>.</v>
      </c>
      <c r="IV74" s="558" t="str">
        <f t="shared" si="196"/>
        <v>.</v>
      </c>
      <c r="IW74" s="558" t="str">
        <f t="shared" si="196"/>
        <v>.</v>
      </c>
      <c r="IX74" s="558" t="str">
        <f t="shared" si="196"/>
        <v>.</v>
      </c>
      <c r="IY74" s="558" t="str">
        <f t="shared" si="196"/>
        <v>.</v>
      </c>
      <c r="IZ74" s="558" t="str">
        <f t="shared" si="196"/>
        <v>.</v>
      </c>
      <c r="JA74" s="558" t="str">
        <f t="shared" si="196"/>
        <v>.</v>
      </c>
      <c r="JB74" s="558" t="str">
        <f t="shared" si="196"/>
        <v>.</v>
      </c>
      <c r="JC74" s="558" t="str">
        <f t="shared" si="196"/>
        <v>.</v>
      </c>
      <c r="JD74" s="558" t="str">
        <f t="shared" si="196"/>
        <v>.</v>
      </c>
      <c r="JE74" s="558" t="str">
        <f t="shared" si="196"/>
        <v>.</v>
      </c>
      <c r="JF74" s="558" t="str">
        <f t="shared" si="192"/>
        <v>.</v>
      </c>
      <c r="JG74" s="558" t="str">
        <f t="shared" si="192"/>
        <v>.</v>
      </c>
      <c r="JH74" s="558" t="str">
        <f t="shared" si="192"/>
        <v>.</v>
      </c>
      <c r="JI74" s="558" t="str">
        <f t="shared" si="192"/>
        <v>.</v>
      </c>
      <c r="JJ74" s="558" t="str">
        <f t="shared" si="192"/>
        <v>.</v>
      </c>
      <c r="JK74" s="558" t="str">
        <f t="shared" si="192"/>
        <v>.</v>
      </c>
      <c r="JL74" s="558" t="str">
        <f t="shared" si="192"/>
        <v>.</v>
      </c>
      <c r="JM74" s="558" t="str">
        <f t="shared" si="192"/>
        <v>.</v>
      </c>
      <c r="JN74" s="558" t="str">
        <f t="shared" si="192"/>
        <v>.</v>
      </c>
      <c r="JO74" s="558" t="str">
        <f t="shared" si="192"/>
        <v>.</v>
      </c>
    </row>
    <row r="75" spans="1:275" x14ac:dyDescent="0.2">
      <c r="A75" s="534">
        <f xml:space="preserve"> Basis!A75</f>
        <v>75</v>
      </c>
      <c r="F75" s="536">
        <f xml:space="preserve"> ROUND(    IF( $A$15=BE_MF_,   AW75,   INDEX( qx!75:75, F$16 ) ),    F$17    )</f>
        <v>1.46E-2</v>
      </c>
      <c r="G75" s="536">
        <f xml:space="preserve"> ROUND(    IF( $A$15=BE_MF_,   BB75,   INDEX( wx!75:75, G$16 ) ),    G$17    )</f>
        <v>2.3E-3</v>
      </c>
      <c r="H75" s="537">
        <f xml:space="preserve"> ROUND(    IF( $A$15=BE_MF_,   BG75,   INDEX( Kx!75:75, H$16 ) ),    H$17    )</f>
        <v>8688.0400000000009</v>
      </c>
      <c r="I75" s="538">
        <f t="shared" si="93"/>
        <v>8688.0400000000009</v>
      </c>
      <c r="J75" s="539">
        <f t="shared" si="129"/>
        <v>4.181</v>
      </c>
      <c r="K75" s="540">
        <f t="shared" si="190"/>
        <v>0</v>
      </c>
      <c r="L75" s="541">
        <f t="shared" si="116"/>
        <v>0</v>
      </c>
      <c r="M75" s="541">
        <f t="shared" si="116"/>
        <v>8.5999999999999993E-2</v>
      </c>
      <c r="O75" s="542" t="b">
        <f t="shared" si="95"/>
        <v>1</v>
      </c>
      <c r="P75" s="493">
        <f t="shared" si="130"/>
        <v>1.6899999999999998E-2</v>
      </c>
      <c r="Q75" s="493">
        <f t="shared" si="131"/>
        <v>0.98309999999999997</v>
      </c>
      <c r="R75" s="543">
        <f t="shared" si="132"/>
        <v>450142</v>
      </c>
      <c r="S75" s="544">
        <f t="shared" si="133"/>
        <v>0.97560975599999999</v>
      </c>
      <c r="T75" s="423">
        <f t="shared" si="134"/>
        <v>70641.45</v>
      </c>
      <c r="U75" s="423">
        <f xml:space="preserve"> IF( $O75,    ROUND(  SUM( T75:T$120), U$17 ),  LEER  )</f>
        <v>864769.23</v>
      </c>
      <c r="V75" s="493">
        <f t="shared" si="135"/>
        <v>12.2417</v>
      </c>
      <c r="W75" s="493">
        <f t="shared" si="136"/>
        <v>295351.90000000002</v>
      </c>
      <c r="X75" s="493">
        <f xml:space="preserve"> IF( $O75,    ROUND(  SUM( W75:W$120), X$17 ),  LEER  )</f>
        <v>4347247.88</v>
      </c>
      <c r="Y75" s="493">
        <f t="shared" si="137"/>
        <v>61.5396</v>
      </c>
      <c r="Z75" s="493">
        <f t="shared" si="138"/>
        <v>5.0270000000000001</v>
      </c>
      <c r="AA75" s="493">
        <f t="shared" si="139"/>
        <v>1</v>
      </c>
      <c r="AB75" s="493">
        <f t="shared" si="140"/>
        <v>2.3494000000000002</v>
      </c>
      <c r="AC75" s="545">
        <f t="shared" si="141"/>
        <v>0.32679999999999998</v>
      </c>
      <c r="AD75" s="493">
        <f t="shared" si="142"/>
        <v>5.0270000000000001</v>
      </c>
      <c r="AE75" s="493">
        <f t="shared" si="143"/>
        <v>5.8574999999999999</v>
      </c>
      <c r="AF75" s="493">
        <f t="shared" si="144"/>
        <v>5.8574999999999999</v>
      </c>
      <c r="AG75" s="493" t="str">
        <f t="shared" si="145"/>
        <v>.</v>
      </c>
      <c r="AH75" s="493" t="str">
        <f t="shared" si="146"/>
        <v>.</v>
      </c>
      <c r="AI75" s="423">
        <f t="shared" si="147"/>
        <v>2077.79</v>
      </c>
      <c r="AJ75" s="423">
        <f t="shared" si="148"/>
        <v>12170.65</v>
      </c>
      <c r="AK75" s="423">
        <f t="shared" si="149"/>
        <v>1014.22</v>
      </c>
      <c r="AN75" s="423">
        <f t="shared" si="191"/>
        <v>80706.070000000007</v>
      </c>
      <c r="AO75" s="423">
        <f t="shared" si="191"/>
        <v>80141.399999999994</v>
      </c>
      <c r="AR75" s="546">
        <f xml:space="preserve"> ROUND(  INDEX( Kx!75:75, AR$16 ),  AR$17 )</f>
        <v>0.69520000000000004</v>
      </c>
      <c r="AS75" s="547">
        <f xml:space="preserve"> ROUND(  INDEX( qx!75:75, AS$16 ),  AS$17 )</f>
        <v>1.7299999999999999E-2</v>
      </c>
      <c r="AT75" s="547">
        <f xml:space="preserve"> ROUND(  INDEX( qx!75:75, AT$16 ),  AT$17 )</f>
        <v>1.04E-2</v>
      </c>
      <c r="AU75" s="548" t="str">
        <f t="shared" si="150"/>
        <v>F</v>
      </c>
      <c r="AV75" s="542">
        <f t="shared" si="151"/>
        <v>0.60329999999999995</v>
      </c>
      <c r="AW75" s="542">
        <f t="shared" si="152"/>
        <v>1.46E-2</v>
      </c>
      <c r="AX75" s="546">
        <f xml:space="preserve"> ROUND(  INDEX( wx!75:75, AX$16 ),  AX$17 )</f>
        <v>2.3999999999999998E-3</v>
      </c>
      <c r="AY75" s="546">
        <f xml:space="preserve"> ROUND(  INDEX( wx!75:75, AY$16 ),  AY$17 )</f>
        <v>2.0999999999999999E-3</v>
      </c>
      <c r="AZ75" s="548" t="str">
        <f t="shared" si="153"/>
        <v>F</v>
      </c>
      <c r="BA75" s="542">
        <f t="shared" si="154"/>
        <v>0.60329999999999995</v>
      </c>
      <c r="BB75" s="542">
        <f t="shared" si="155"/>
        <v>2.3E-3</v>
      </c>
      <c r="BC75" s="533">
        <f xml:space="preserve"> ROUND(  INDEX( Kx!75:75, BC$16 ),  BC$17 )</f>
        <v>8956.01</v>
      </c>
      <c r="BD75" s="533">
        <f xml:space="preserve"> ROUND(  INDEX( Kx!75:75, BD$16 ),  BD$17 )</f>
        <v>7771.37</v>
      </c>
      <c r="BE75" s="548" t="str">
        <f t="shared" si="52"/>
        <v>M</v>
      </c>
      <c r="BF75" s="542">
        <f t="shared" si="156"/>
        <v>0.77380000000000004</v>
      </c>
      <c r="BG75" s="420">
        <f t="shared" si="157"/>
        <v>8688.0400000000009</v>
      </c>
      <c r="BQ75" s="549">
        <f t="shared" si="96"/>
        <v>75</v>
      </c>
      <c r="BR75" s="423">
        <f t="shared" si="55"/>
        <v>82023.19</v>
      </c>
      <c r="BS75" s="550">
        <f t="shared" si="158"/>
        <v>8688.0400000000009</v>
      </c>
      <c r="BT75" s="423">
        <f t="shared" si="159"/>
        <v>-4498.54</v>
      </c>
      <c r="BU75" s="551">
        <f t="shared" si="160"/>
        <v>70641.45</v>
      </c>
      <c r="BV75" s="551">
        <f t="shared" si="161"/>
        <v>1.0409999999999999</v>
      </c>
      <c r="BW75" s="529">
        <f t="shared" si="162"/>
        <v>80706.070000000007</v>
      </c>
      <c r="BX75" s="552">
        <f t="shared" si="163"/>
        <v>3181.4199999999983</v>
      </c>
      <c r="BY75" s="560"/>
      <c r="BZ75" s="559"/>
      <c r="CB75" s="423">
        <f t="shared" si="164"/>
        <v>-4955.68</v>
      </c>
      <c r="CC75" s="423">
        <f t="shared" si="165"/>
        <v>2017.65</v>
      </c>
      <c r="CD75" s="423">
        <f t="shared" si="166"/>
        <v>1336.88</v>
      </c>
      <c r="CE75" s="423">
        <f t="shared" si="167"/>
        <v>-1601.15</v>
      </c>
      <c r="CF75" s="553">
        <f t="shared" si="168"/>
        <v>-1600.9400000000023</v>
      </c>
      <c r="CH75" s="423">
        <f t="shared" si="169"/>
        <v>3852.4304390000002</v>
      </c>
      <c r="CI75" s="423">
        <f t="shared" si="170"/>
        <v>8687.24</v>
      </c>
      <c r="CJ75" s="423">
        <f t="shared" si="171"/>
        <v>-3530.33</v>
      </c>
      <c r="CK75" s="423">
        <f t="shared" si="172"/>
        <v>-1304.27</v>
      </c>
      <c r="CL75" s="553">
        <f t="shared" si="173"/>
        <v>3852.64</v>
      </c>
      <c r="CN75" s="423">
        <f t="shared" si="71"/>
        <v>3898.5573770000001</v>
      </c>
      <c r="CO75" s="423">
        <f t="shared" si="174"/>
        <v>8687.24</v>
      </c>
      <c r="CP75" s="423">
        <f t="shared" si="175"/>
        <v>-3493.12</v>
      </c>
      <c r="CQ75" s="423">
        <f t="shared" si="176"/>
        <v>-1295.3599999999999</v>
      </c>
      <c r="CR75" s="553">
        <f t="shared" si="75"/>
        <v>3898.76</v>
      </c>
      <c r="CV75" s="564">
        <f t="shared" si="98"/>
        <v>75</v>
      </c>
      <c r="CW75" s="538" t="str">
        <f t="shared" si="177"/>
        <v>.</v>
      </c>
      <c r="CX75" s="566">
        <f t="shared" si="178"/>
        <v>80141.399999999994</v>
      </c>
      <c r="CY75" s="538" t="str">
        <f t="shared" si="179"/>
        <v>.</v>
      </c>
      <c r="CZ75" s="538">
        <f t="shared" si="180"/>
        <v>53873</v>
      </c>
      <c r="DA75" s="538">
        <f t="shared" si="181"/>
        <v>22427.83</v>
      </c>
      <c r="DB75" s="567" t="e">
        <f t="shared" si="99"/>
        <v>#N/A</v>
      </c>
      <c r="DC75" s="567">
        <f t="shared" si="100"/>
        <v>80141.399999999994</v>
      </c>
      <c r="DD75" s="567" t="e">
        <f t="shared" si="101"/>
        <v>#N/A</v>
      </c>
      <c r="DE75" s="567">
        <f t="shared" si="101"/>
        <v>53873</v>
      </c>
      <c r="DF75" s="568">
        <f t="shared" si="102"/>
        <v>76300.83</v>
      </c>
      <c r="EL75" s="553">
        <f t="shared" si="81"/>
        <v>55242.41</v>
      </c>
      <c r="EM75" s="553">
        <f t="shared" si="182"/>
        <v>24903.5</v>
      </c>
      <c r="EN75" s="423">
        <f t="shared" si="183"/>
        <v>80145.91</v>
      </c>
      <c r="EO75" s="555">
        <f xml:space="preserve"> 'i2'!AO75</f>
        <v>80141.399999999994</v>
      </c>
      <c r="EV75" s="533" t="e">
        <f xml:space="preserve"> ROUND(    IF( $A$15=BE_MF_,   LEER,   INDEX( Kx!75:75, EV$16 ) ),    EV$17    )</f>
        <v>#VALUE!</v>
      </c>
      <c r="EW75" s="533" t="e">
        <f xml:space="preserve"> ROUND(    IF( $A$15=BE_MF_,   LEER,   INDEX( Kx!75:75, EW$16 ) ),    EW$17    )</f>
        <v>#VALUE!</v>
      </c>
      <c r="EX75" s="533" t="e">
        <f xml:space="preserve"> ROUND(    IF( $A$15=BE_MF_,   LEER,   INDEX( Kx!75:75, EX$16 ) ),    EX$17    )</f>
        <v>#VALUE!</v>
      </c>
      <c r="EY75" s="556" t="e">
        <f t="shared" si="103"/>
        <v>#VALUE!</v>
      </c>
      <c r="FB75" s="533" t="e">
        <f xml:space="preserve"> ROUND(    IF( $A$15=BE_MF_,   LEER,   INDEX( Kx!75:75, FB$16 ) ),    FB$17    )</f>
        <v>#VALUE!</v>
      </c>
      <c r="FC75" s="533" t="e">
        <f xml:space="preserve"> ROUND(    IF( $A$15=BE_MF_,   LEER,   INDEX( Kx!75:75, FC$16 ) ),    FC$17    )</f>
        <v>#VALUE!</v>
      </c>
      <c r="FD75" s="556" t="e">
        <f t="shared" si="104"/>
        <v>#VALUE!</v>
      </c>
      <c r="FG75" s="556" t="e">
        <f t="shared" si="105"/>
        <v>#VALUE!</v>
      </c>
      <c r="FH75" s="556" t="e">
        <f t="shared" si="105"/>
        <v>#VALUE!</v>
      </c>
      <c r="FI75" s="556" t="e">
        <f t="shared" si="105"/>
        <v>#VALUE!</v>
      </c>
      <c r="FN75" s="557">
        <f t="shared" si="184"/>
        <v>75</v>
      </c>
      <c r="FO75" s="493">
        <f t="shared" si="185"/>
        <v>61.5396</v>
      </c>
      <c r="FP75" s="493">
        <f t="shared" si="186"/>
        <v>12.2417</v>
      </c>
      <c r="FR75" s="427">
        <f t="shared" si="106"/>
        <v>3096794.9099999997</v>
      </c>
      <c r="FS75" s="558">
        <f t="shared" si="197"/>
        <v>97333.37</v>
      </c>
      <c r="FT75" s="558">
        <f t="shared" si="197"/>
        <v>96303.23</v>
      </c>
      <c r="FU75" s="558">
        <f t="shared" si="197"/>
        <v>95270.54</v>
      </c>
      <c r="FV75" s="558">
        <f t="shared" si="197"/>
        <v>94237.85</v>
      </c>
      <c r="FW75" s="558">
        <f t="shared" si="197"/>
        <v>93169.55</v>
      </c>
      <c r="FX75" s="558">
        <f t="shared" si="197"/>
        <v>92070.73</v>
      </c>
      <c r="FY75" s="558">
        <f t="shared" si="197"/>
        <v>90982.080000000002</v>
      </c>
      <c r="FZ75" s="558">
        <f t="shared" si="197"/>
        <v>89885.81</v>
      </c>
      <c r="GA75" s="558">
        <f t="shared" si="197"/>
        <v>88751.37</v>
      </c>
      <c r="GB75" s="558">
        <f t="shared" si="197"/>
        <v>87571.16</v>
      </c>
      <c r="GC75" s="558">
        <f t="shared" si="197"/>
        <v>86383.31</v>
      </c>
      <c r="GD75" s="558">
        <f t="shared" si="197"/>
        <v>85177.66</v>
      </c>
      <c r="GE75" s="558">
        <f t="shared" si="197"/>
        <v>83944.03</v>
      </c>
      <c r="GF75" s="558">
        <f t="shared" si="197"/>
        <v>82705.31</v>
      </c>
      <c r="GG75" s="558">
        <f t="shared" si="197"/>
        <v>81428.44</v>
      </c>
      <c r="GH75" s="558">
        <f t="shared" si="197"/>
        <v>80141.399999999994</v>
      </c>
      <c r="GI75" s="558">
        <f t="shared" si="195"/>
        <v>78816.2</v>
      </c>
      <c r="GJ75" s="558">
        <f t="shared" si="195"/>
        <v>77460.47</v>
      </c>
      <c r="GK75" s="558">
        <f t="shared" si="195"/>
        <v>76066.600000000006</v>
      </c>
      <c r="GL75" s="558">
        <f t="shared" si="195"/>
        <v>74632.03</v>
      </c>
      <c r="GM75" s="558">
        <f t="shared" si="195"/>
        <v>73154.210000000006</v>
      </c>
      <c r="GN75" s="558">
        <f t="shared" si="195"/>
        <v>71620.44</v>
      </c>
      <c r="GO75" s="558">
        <f t="shared" si="195"/>
        <v>70030.710000000006</v>
      </c>
      <c r="GP75" s="558">
        <f t="shared" si="195"/>
        <v>68382.48</v>
      </c>
      <c r="GQ75" s="558">
        <f t="shared" si="195"/>
        <v>66668.11</v>
      </c>
      <c r="GR75" s="558">
        <f t="shared" si="195"/>
        <v>64900.34</v>
      </c>
      <c r="GS75" s="558">
        <f t="shared" si="195"/>
        <v>63071.51</v>
      </c>
      <c r="GT75" s="558">
        <f t="shared" si="195"/>
        <v>61186.73</v>
      </c>
      <c r="GU75" s="558">
        <f t="shared" si="195"/>
        <v>59251.07</v>
      </c>
      <c r="GV75" s="558">
        <f t="shared" si="195"/>
        <v>57267.09</v>
      </c>
      <c r="GW75" s="558">
        <f t="shared" si="195"/>
        <v>55242.41</v>
      </c>
      <c r="GX75" s="558">
        <f t="shared" si="198"/>
        <v>53169.4</v>
      </c>
      <c r="GY75" s="558">
        <f t="shared" si="198"/>
        <v>51068.41</v>
      </c>
      <c r="GZ75" s="558">
        <f t="shared" si="198"/>
        <v>48929.27</v>
      </c>
      <c r="HA75" s="558">
        <f t="shared" si="198"/>
        <v>46767.24</v>
      </c>
      <c r="HB75" s="558">
        <f t="shared" si="198"/>
        <v>44582.31</v>
      </c>
      <c r="HC75" s="558">
        <f t="shared" si="198"/>
        <v>42371.95</v>
      </c>
      <c r="HD75" s="558">
        <f t="shared" si="198"/>
        <v>40143.79</v>
      </c>
      <c r="HE75" s="558">
        <f t="shared" si="198"/>
        <v>37882.550000000003</v>
      </c>
      <c r="HF75" s="558">
        <f t="shared" si="198"/>
        <v>35572.99</v>
      </c>
      <c r="HG75" s="558">
        <f t="shared" si="198"/>
        <v>33230.370000000003</v>
      </c>
      <c r="HH75" s="558">
        <f t="shared" si="198"/>
        <v>30864.85</v>
      </c>
      <c r="HI75" s="558">
        <f t="shared" si="198"/>
        <v>28468.81</v>
      </c>
      <c r="HJ75" s="558">
        <f t="shared" si="198"/>
        <v>26054.959999999999</v>
      </c>
      <c r="HK75" s="558">
        <f t="shared" si="198"/>
        <v>23615.68</v>
      </c>
      <c r="HL75" s="558">
        <f t="shared" si="198"/>
        <v>21199.29</v>
      </c>
      <c r="HM75" s="558">
        <f t="shared" si="198"/>
        <v>18762.55</v>
      </c>
      <c r="HN75" s="558">
        <f t="shared" si="199"/>
        <v>16341.07</v>
      </c>
      <c r="HO75" s="558">
        <f t="shared" si="199"/>
        <v>13937.4</v>
      </c>
      <c r="HP75" s="558">
        <f t="shared" si="199"/>
        <v>11543.91</v>
      </c>
      <c r="HQ75" s="558">
        <f t="shared" si="199"/>
        <v>9572.64</v>
      </c>
      <c r="HR75" s="558">
        <f t="shared" si="199"/>
        <v>7662.42</v>
      </c>
      <c r="HS75" s="558">
        <f t="shared" si="194"/>
        <v>5833.59</v>
      </c>
      <c r="HT75" s="558">
        <f t="shared" si="194"/>
        <v>4101.42</v>
      </c>
      <c r="HU75" s="558">
        <f t="shared" si="194"/>
        <v>2010.61</v>
      </c>
      <c r="HV75" s="558">
        <f t="shared" si="194"/>
        <v>1.19</v>
      </c>
      <c r="HW75" s="558" t="str">
        <f t="shared" si="194"/>
        <v>.</v>
      </c>
      <c r="HX75" s="558" t="str">
        <f t="shared" si="194"/>
        <v>.</v>
      </c>
      <c r="HY75" s="558" t="str">
        <f t="shared" si="194"/>
        <v>.</v>
      </c>
      <c r="HZ75" s="558" t="str">
        <f t="shared" si="194"/>
        <v>.</v>
      </c>
      <c r="IA75" s="558" t="str">
        <f t="shared" si="194"/>
        <v>.</v>
      </c>
      <c r="IB75" s="558" t="str">
        <f t="shared" si="194"/>
        <v>.</v>
      </c>
      <c r="IC75" s="558" t="str">
        <f t="shared" si="194"/>
        <v>.</v>
      </c>
      <c r="ID75" s="558" t="str">
        <f t="shared" si="193"/>
        <v>.</v>
      </c>
      <c r="IE75" s="558" t="str">
        <f t="shared" si="193"/>
        <v>.</v>
      </c>
      <c r="IF75" s="558" t="str">
        <f t="shared" si="193"/>
        <v>.</v>
      </c>
      <c r="IG75" s="558" t="str">
        <f t="shared" si="193"/>
        <v>.</v>
      </c>
      <c r="IH75" s="558" t="str">
        <f t="shared" si="193"/>
        <v>.</v>
      </c>
      <c r="II75" s="558" t="str">
        <f t="shared" si="193"/>
        <v>.</v>
      </c>
      <c r="IJ75" s="558" t="str">
        <f t="shared" si="193"/>
        <v>.</v>
      </c>
      <c r="IK75" s="558" t="str">
        <f t="shared" si="193"/>
        <v>.</v>
      </c>
      <c r="IL75" s="558" t="str">
        <f t="shared" si="193"/>
        <v>.</v>
      </c>
      <c r="IM75" s="558" t="str">
        <f t="shared" si="193"/>
        <v>.</v>
      </c>
      <c r="IN75" s="558" t="str">
        <f t="shared" si="193"/>
        <v>.</v>
      </c>
      <c r="IO75" s="558" t="str">
        <f t="shared" si="193"/>
        <v>.</v>
      </c>
      <c r="IP75" s="558" t="str">
        <f t="shared" si="193"/>
        <v>.</v>
      </c>
      <c r="IQ75" s="558" t="str">
        <f t="shared" si="193"/>
        <v>.</v>
      </c>
      <c r="IR75" s="558" t="str">
        <f t="shared" si="193"/>
        <v>.</v>
      </c>
      <c r="IS75" s="558" t="str">
        <f t="shared" si="193"/>
        <v>.</v>
      </c>
      <c r="IT75" s="558" t="str">
        <f t="shared" si="193"/>
        <v>.</v>
      </c>
      <c r="IU75" s="558" t="str">
        <f t="shared" si="193"/>
        <v>.</v>
      </c>
      <c r="IV75" s="558" t="str">
        <f t="shared" si="196"/>
        <v>.</v>
      </c>
      <c r="IW75" s="558" t="str">
        <f t="shared" si="196"/>
        <v>.</v>
      </c>
      <c r="IX75" s="558" t="str">
        <f t="shared" si="196"/>
        <v>.</v>
      </c>
      <c r="IY75" s="558" t="str">
        <f t="shared" si="196"/>
        <v>.</v>
      </c>
      <c r="IZ75" s="558" t="str">
        <f t="shared" si="196"/>
        <v>.</v>
      </c>
      <c r="JA75" s="558" t="str">
        <f t="shared" si="196"/>
        <v>.</v>
      </c>
      <c r="JB75" s="558" t="str">
        <f t="shared" si="196"/>
        <v>.</v>
      </c>
      <c r="JC75" s="558" t="str">
        <f t="shared" si="196"/>
        <v>.</v>
      </c>
      <c r="JD75" s="558" t="str">
        <f t="shared" si="196"/>
        <v>.</v>
      </c>
      <c r="JE75" s="558" t="str">
        <f t="shared" si="196"/>
        <v>.</v>
      </c>
      <c r="JF75" s="558" t="str">
        <f t="shared" si="192"/>
        <v>.</v>
      </c>
      <c r="JG75" s="558" t="str">
        <f t="shared" si="192"/>
        <v>.</v>
      </c>
      <c r="JH75" s="558" t="str">
        <f t="shared" si="192"/>
        <v>.</v>
      </c>
      <c r="JI75" s="558" t="str">
        <f t="shared" si="192"/>
        <v>.</v>
      </c>
      <c r="JJ75" s="558" t="str">
        <f t="shared" si="192"/>
        <v>.</v>
      </c>
      <c r="JK75" s="558" t="str">
        <f t="shared" si="192"/>
        <v>.</v>
      </c>
      <c r="JL75" s="558" t="str">
        <f t="shared" si="192"/>
        <v>.</v>
      </c>
      <c r="JM75" s="558" t="str">
        <f t="shared" si="192"/>
        <v>.</v>
      </c>
      <c r="JN75" s="558" t="str">
        <f t="shared" si="192"/>
        <v>.</v>
      </c>
      <c r="JO75" s="558" t="str">
        <f t="shared" si="192"/>
        <v>.</v>
      </c>
    </row>
    <row r="76" spans="1:275" x14ac:dyDescent="0.2">
      <c r="A76" s="534">
        <f xml:space="preserve"> Basis!A76</f>
        <v>76</v>
      </c>
      <c r="F76" s="536">
        <f xml:space="preserve"> ROUND(    IF( $A$15=BE_MF_,   AW76,   INDEX( qx!76:76, F$16 ) ),    F$17    )</f>
        <v>1.6500000000000001E-2</v>
      </c>
      <c r="G76" s="536">
        <f xml:space="preserve"> ROUND(    IF( $A$15=BE_MF_,   BB76,   INDEX( wx!76:76, G$16 ) ),    G$17    )</f>
        <v>2.2000000000000001E-3</v>
      </c>
      <c r="H76" s="537">
        <f xml:space="preserve"> ROUND(    IF( $A$15=BE_MF_,   BG76,   INDEX( Kx!76:76, H$16 ) ),    H$17    )</f>
        <v>9062.2800000000007</v>
      </c>
      <c r="I76" s="538">
        <f t="shared" si="93"/>
        <v>9062.2800000000007</v>
      </c>
      <c r="J76" s="539">
        <f t="shared" si="129"/>
        <v>4.3609999999999998</v>
      </c>
      <c r="K76" s="540">
        <f t="shared" si="190"/>
        <v>0</v>
      </c>
      <c r="L76" s="541">
        <f t="shared" si="116"/>
        <v>0</v>
      </c>
      <c r="M76" s="541">
        <f t="shared" si="116"/>
        <v>8.5999999999999993E-2</v>
      </c>
      <c r="O76" s="542" t="b">
        <f t="shared" si="95"/>
        <v>1</v>
      </c>
      <c r="P76" s="493">
        <f t="shared" si="130"/>
        <v>1.8700000000000001E-2</v>
      </c>
      <c r="Q76" s="493">
        <f t="shared" si="131"/>
        <v>0.98129999999999995</v>
      </c>
      <c r="R76" s="543">
        <f t="shared" si="132"/>
        <v>442534</v>
      </c>
      <c r="S76" s="544">
        <f t="shared" si="133"/>
        <v>0.97560975599999999</v>
      </c>
      <c r="T76" s="423">
        <f t="shared" si="134"/>
        <v>67753.679999999993</v>
      </c>
      <c r="U76" s="423">
        <f xml:space="preserve"> IF( $O76,    ROUND(  SUM( T76:T$120), U$17 ),  LEER  )</f>
        <v>794127.78</v>
      </c>
      <c r="V76" s="493">
        <f t="shared" si="135"/>
        <v>11.720800000000001</v>
      </c>
      <c r="W76" s="493">
        <f t="shared" si="136"/>
        <v>295473.8</v>
      </c>
      <c r="X76" s="493">
        <f xml:space="preserve"> IF( $O76,    ROUND(  SUM( W76:W$120), X$17 ),  LEER  )</f>
        <v>4051895.98</v>
      </c>
      <c r="Y76" s="493">
        <f t="shared" si="137"/>
        <v>59.8033</v>
      </c>
      <c r="Z76" s="493">
        <f t="shared" si="138"/>
        <v>5.1022999999999996</v>
      </c>
      <c r="AA76" s="493">
        <f t="shared" si="139"/>
        <v>1</v>
      </c>
      <c r="AB76" s="493">
        <f t="shared" si="140"/>
        <v>2.3494000000000002</v>
      </c>
      <c r="AC76" s="545">
        <f t="shared" si="141"/>
        <v>0.32679999999999998</v>
      </c>
      <c r="AD76" s="493">
        <f t="shared" si="142"/>
        <v>5.1022999999999996</v>
      </c>
      <c r="AE76" s="493">
        <f t="shared" si="143"/>
        <v>5.9398999999999997</v>
      </c>
      <c r="AF76" s="493">
        <f t="shared" si="144"/>
        <v>5.9398999999999997</v>
      </c>
      <c r="AG76" s="493" t="str">
        <f t="shared" si="145"/>
        <v>.</v>
      </c>
      <c r="AH76" s="493" t="str">
        <f t="shared" si="146"/>
        <v>.</v>
      </c>
      <c r="AI76" s="423">
        <f t="shared" si="147"/>
        <v>2077.79</v>
      </c>
      <c r="AJ76" s="423">
        <f t="shared" si="148"/>
        <v>12341.86</v>
      </c>
      <c r="AK76" s="423">
        <f t="shared" si="149"/>
        <v>1028.49</v>
      </c>
      <c r="AN76" s="423">
        <f t="shared" si="191"/>
        <v>79105.13</v>
      </c>
      <c r="AO76" s="423">
        <f t="shared" si="191"/>
        <v>78564.490000000005</v>
      </c>
      <c r="AR76" s="546">
        <f xml:space="preserve"> ROUND(  INDEX( Kx!76:76, AR$16 ),  AR$17 )</f>
        <v>0.6986</v>
      </c>
      <c r="AS76" s="547">
        <f xml:space="preserve"> ROUND(  INDEX( qx!76:76, AS$16 ),  AS$17 )</f>
        <v>1.9599999999999999E-2</v>
      </c>
      <c r="AT76" s="547">
        <f xml:space="preserve"> ROUND(  INDEX( qx!76:76, AT$16 ),  AT$17 )</f>
        <v>1.18E-2</v>
      </c>
      <c r="AU76" s="548" t="str">
        <f t="shared" si="150"/>
        <v>F</v>
      </c>
      <c r="AV76" s="542">
        <f t="shared" si="151"/>
        <v>0.60709999999999997</v>
      </c>
      <c r="AW76" s="542">
        <f t="shared" si="152"/>
        <v>1.6500000000000001E-2</v>
      </c>
      <c r="AX76" s="546">
        <f xml:space="preserve"> ROUND(  INDEX( wx!76:76, AX$16 ),  AX$17 )</f>
        <v>2.2000000000000001E-3</v>
      </c>
      <c r="AY76" s="546">
        <f xml:space="preserve"> ROUND(  INDEX( wx!76:76, AY$16 ),  AY$17 )</f>
        <v>2.0999999999999999E-3</v>
      </c>
      <c r="AZ76" s="548" t="str">
        <f t="shared" si="153"/>
        <v>F</v>
      </c>
      <c r="BA76" s="542">
        <f t="shared" si="154"/>
        <v>0.60709999999999997</v>
      </c>
      <c r="BB76" s="542">
        <f t="shared" si="155"/>
        <v>2.2000000000000001E-3</v>
      </c>
      <c r="BC76" s="533">
        <f xml:space="preserve"> ROUND(  INDEX( Kx!76:76, BC$16 ),  BC$17 )</f>
        <v>9348.7000000000007</v>
      </c>
      <c r="BD76" s="533">
        <f xml:space="preserve"> ROUND(  INDEX( Kx!76:76, BD$16 ),  BD$17 )</f>
        <v>8066.61</v>
      </c>
      <c r="BE76" s="548" t="str">
        <f t="shared" si="52"/>
        <v>M</v>
      </c>
      <c r="BF76" s="542">
        <f t="shared" si="156"/>
        <v>0.77659999999999996</v>
      </c>
      <c r="BG76" s="420">
        <f t="shared" si="157"/>
        <v>9062.2800000000007</v>
      </c>
      <c r="BQ76" s="549">
        <f t="shared" si="96"/>
        <v>76</v>
      </c>
      <c r="BR76" s="423">
        <f t="shared" si="55"/>
        <v>80706.070000000007</v>
      </c>
      <c r="BS76" s="550">
        <f t="shared" si="158"/>
        <v>9062.2800000000007</v>
      </c>
      <c r="BT76" s="423">
        <f t="shared" si="159"/>
        <v>-4835.6099999999997</v>
      </c>
      <c r="BU76" s="551">
        <f t="shared" si="160"/>
        <v>67753.679999999993</v>
      </c>
      <c r="BV76" s="551">
        <f t="shared" si="161"/>
        <v>1.0426</v>
      </c>
      <c r="BW76" s="529">
        <f t="shared" si="162"/>
        <v>79105.13</v>
      </c>
      <c r="BX76" s="552">
        <f t="shared" si="163"/>
        <v>3234.6699999999983</v>
      </c>
      <c r="BY76" s="560"/>
      <c r="BZ76" s="559"/>
      <c r="CB76" s="423">
        <f t="shared" si="164"/>
        <v>-5339.03</v>
      </c>
      <c r="CC76" s="423">
        <f t="shared" si="165"/>
        <v>1977.63</v>
      </c>
      <c r="CD76" s="423">
        <f t="shared" si="166"/>
        <v>1443.41</v>
      </c>
      <c r="CE76" s="423">
        <f t="shared" si="167"/>
        <v>-1917.9899999999996</v>
      </c>
      <c r="CF76" s="553">
        <f t="shared" si="168"/>
        <v>-1917.6900000000023</v>
      </c>
      <c r="CH76" s="423">
        <f t="shared" si="169"/>
        <v>3852.4304390000002</v>
      </c>
      <c r="CI76" s="423">
        <f t="shared" si="170"/>
        <v>9061.24</v>
      </c>
      <c r="CJ76" s="423">
        <f t="shared" si="171"/>
        <v>-3800.31</v>
      </c>
      <c r="CK76" s="423">
        <f t="shared" si="172"/>
        <v>-1408.2</v>
      </c>
      <c r="CL76" s="553">
        <f t="shared" si="173"/>
        <v>3852.7300000000005</v>
      </c>
      <c r="CN76" s="423">
        <f t="shared" si="71"/>
        <v>3898.5573770000001</v>
      </c>
      <c r="CO76" s="423">
        <f t="shared" si="174"/>
        <v>9061.24</v>
      </c>
      <c r="CP76" s="423">
        <f t="shared" si="175"/>
        <v>-3763.61</v>
      </c>
      <c r="CQ76" s="423">
        <f t="shared" si="176"/>
        <v>-1398.78</v>
      </c>
      <c r="CR76" s="553">
        <f t="shared" si="75"/>
        <v>3898.8499999999995</v>
      </c>
      <c r="CV76" s="564">
        <f t="shared" si="98"/>
        <v>76</v>
      </c>
      <c r="CW76" s="538" t="str">
        <f t="shared" si="177"/>
        <v>.</v>
      </c>
      <c r="CX76" s="566">
        <f t="shared" si="178"/>
        <v>78564.490000000005</v>
      </c>
      <c r="CY76" s="538" t="str">
        <f t="shared" si="179"/>
        <v>.</v>
      </c>
      <c r="CZ76" s="538">
        <f t="shared" si="180"/>
        <v>51581</v>
      </c>
      <c r="DA76" s="538">
        <f t="shared" si="181"/>
        <v>23306.71</v>
      </c>
      <c r="DB76" s="567" t="e">
        <f t="shared" si="99"/>
        <v>#N/A</v>
      </c>
      <c r="DC76" s="567">
        <f t="shared" si="100"/>
        <v>78564.490000000005</v>
      </c>
      <c r="DD76" s="567" t="e">
        <f t="shared" si="101"/>
        <v>#N/A</v>
      </c>
      <c r="DE76" s="567">
        <f t="shared" si="101"/>
        <v>51581</v>
      </c>
      <c r="DF76" s="568">
        <f t="shared" si="102"/>
        <v>74887.709999999992</v>
      </c>
      <c r="EL76" s="553">
        <f t="shared" si="81"/>
        <v>54724.98</v>
      </c>
      <c r="EM76" s="553">
        <f t="shared" si="182"/>
        <v>23843.83</v>
      </c>
      <c r="EN76" s="423">
        <f t="shared" si="183"/>
        <v>78568.81</v>
      </c>
      <c r="EO76" s="555">
        <f xml:space="preserve"> 'i2'!AO76</f>
        <v>78564.490000000005</v>
      </c>
      <c r="EV76" s="533" t="e">
        <f xml:space="preserve"> ROUND(    IF( $A$15=BE_MF_,   LEER,   INDEX( Kx!76:76, EV$16 ) ),    EV$17    )</f>
        <v>#VALUE!</v>
      </c>
      <c r="EW76" s="533" t="e">
        <f xml:space="preserve"> ROUND(    IF( $A$15=BE_MF_,   LEER,   INDEX( Kx!76:76, EW$16 ) ),    EW$17    )</f>
        <v>#VALUE!</v>
      </c>
      <c r="EX76" s="533" t="e">
        <f xml:space="preserve"> ROUND(    IF( $A$15=BE_MF_,   LEER,   INDEX( Kx!76:76, EX$16 ) ),    EX$17    )</f>
        <v>#VALUE!</v>
      </c>
      <c r="EY76" s="556" t="e">
        <f t="shared" si="103"/>
        <v>#VALUE!</v>
      </c>
      <c r="FB76" s="533" t="e">
        <f xml:space="preserve"> ROUND(    IF( $A$15=BE_MF_,   LEER,   INDEX( Kx!76:76, FB$16 ) ),    FB$17    )</f>
        <v>#VALUE!</v>
      </c>
      <c r="FC76" s="533" t="e">
        <f xml:space="preserve"> ROUND(    IF( $A$15=BE_MF_,   LEER,   INDEX( Kx!76:76, FC$16 ) ),    FC$17    )</f>
        <v>#VALUE!</v>
      </c>
      <c r="FD76" s="556" t="e">
        <f t="shared" si="104"/>
        <v>#VALUE!</v>
      </c>
      <c r="FG76" s="556" t="e">
        <f t="shared" si="105"/>
        <v>#VALUE!</v>
      </c>
      <c r="FH76" s="556" t="e">
        <f t="shared" si="105"/>
        <v>#VALUE!</v>
      </c>
      <c r="FI76" s="556" t="e">
        <f t="shared" si="105"/>
        <v>#VALUE!</v>
      </c>
      <c r="FN76" s="557">
        <f t="shared" si="184"/>
        <v>76</v>
      </c>
      <c r="FO76" s="493">
        <f t="shared" si="185"/>
        <v>59.8033</v>
      </c>
      <c r="FP76" s="493">
        <f t="shared" si="186"/>
        <v>11.720800000000001</v>
      </c>
      <c r="FR76" s="427">
        <f t="shared" si="106"/>
        <v>3067682.6500000008</v>
      </c>
      <c r="FS76" s="558">
        <f t="shared" si="197"/>
        <v>95024.92</v>
      </c>
      <c r="FT76" s="558">
        <f t="shared" si="197"/>
        <v>94038.61</v>
      </c>
      <c r="FU76" s="558">
        <f t="shared" si="197"/>
        <v>93049.87</v>
      </c>
      <c r="FV76" s="558">
        <f t="shared" si="197"/>
        <v>92061.119999999995</v>
      </c>
      <c r="FW76" s="558">
        <f t="shared" si="197"/>
        <v>91038.28</v>
      </c>
      <c r="FX76" s="558">
        <f t="shared" si="197"/>
        <v>89986.21</v>
      </c>
      <c r="FY76" s="558">
        <f t="shared" si="197"/>
        <v>88943.89</v>
      </c>
      <c r="FZ76" s="558">
        <f t="shared" si="197"/>
        <v>87894.26</v>
      </c>
      <c r="GA76" s="558">
        <f t="shared" si="197"/>
        <v>86808.1</v>
      </c>
      <c r="GB76" s="558">
        <f t="shared" si="197"/>
        <v>85678.1</v>
      </c>
      <c r="GC76" s="558">
        <f t="shared" si="197"/>
        <v>84540.800000000003</v>
      </c>
      <c r="GD76" s="558">
        <f t="shared" si="197"/>
        <v>83386.45</v>
      </c>
      <c r="GE76" s="558">
        <f t="shared" si="197"/>
        <v>82205.31</v>
      </c>
      <c r="GF76" s="558">
        <f t="shared" si="197"/>
        <v>81019.31</v>
      </c>
      <c r="GG76" s="558">
        <f t="shared" si="197"/>
        <v>79796.77</v>
      </c>
      <c r="GH76" s="558">
        <f t="shared" si="197"/>
        <v>78564.490000000005</v>
      </c>
      <c r="GI76" s="558">
        <f t="shared" si="195"/>
        <v>77295.679999999993</v>
      </c>
      <c r="GJ76" s="558">
        <f t="shared" si="195"/>
        <v>75997.64</v>
      </c>
      <c r="GK76" s="558">
        <f t="shared" si="195"/>
        <v>74663.08</v>
      </c>
      <c r="GL76" s="558">
        <f t="shared" si="195"/>
        <v>73289.55</v>
      </c>
      <c r="GM76" s="558">
        <f t="shared" si="195"/>
        <v>71874.62</v>
      </c>
      <c r="GN76" s="558">
        <f t="shared" si="195"/>
        <v>70406.11</v>
      </c>
      <c r="GO76" s="558">
        <f t="shared" si="195"/>
        <v>68884.03</v>
      </c>
      <c r="GP76" s="558">
        <f t="shared" si="195"/>
        <v>67305.929999999993</v>
      </c>
      <c r="GQ76" s="558">
        <f t="shared" si="195"/>
        <v>65664.509999999995</v>
      </c>
      <c r="GR76" s="558">
        <f t="shared" si="195"/>
        <v>63971.95</v>
      </c>
      <c r="GS76" s="558">
        <f t="shared" si="195"/>
        <v>62220.95</v>
      </c>
      <c r="GT76" s="558">
        <f t="shared" si="195"/>
        <v>60416.36</v>
      </c>
      <c r="GU76" s="558">
        <f t="shared" si="195"/>
        <v>58563.07</v>
      </c>
      <c r="GV76" s="558">
        <f t="shared" si="195"/>
        <v>56663.51</v>
      </c>
      <c r="GW76" s="558">
        <f t="shared" si="195"/>
        <v>54724.98</v>
      </c>
      <c r="GX76" s="558">
        <f t="shared" si="198"/>
        <v>52740.18</v>
      </c>
      <c r="GY76" s="558">
        <f t="shared" si="198"/>
        <v>50728.6</v>
      </c>
      <c r="GZ76" s="558">
        <f t="shared" si="198"/>
        <v>48680.480000000003</v>
      </c>
      <c r="HA76" s="558">
        <f t="shared" si="198"/>
        <v>46610.44</v>
      </c>
      <c r="HB76" s="558">
        <f t="shared" si="198"/>
        <v>44518.49</v>
      </c>
      <c r="HC76" s="558">
        <f t="shared" si="198"/>
        <v>42402.18</v>
      </c>
      <c r="HD76" s="558">
        <f t="shared" si="198"/>
        <v>40268.83</v>
      </c>
      <c r="HE76" s="558">
        <f t="shared" si="198"/>
        <v>38103.81</v>
      </c>
      <c r="HF76" s="558">
        <f t="shared" si="198"/>
        <v>35892.53</v>
      </c>
      <c r="HG76" s="558">
        <f t="shared" si="198"/>
        <v>33649.58</v>
      </c>
      <c r="HH76" s="558">
        <f t="shared" si="198"/>
        <v>31384.720000000001</v>
      </c>
      <c r="HI76" s="558">
        <f t="shared" si="198"/>
        <v>29090.63</v>
      </c>
      <c r="HJ76" s="558">
        <f t="shared" si="198"/>
        <v>26779.5</v>
      </c>
      <c r="HK76" s="558">
        <f t="shared" si="198"/>
        <v>24444.01</v>
      </c>
      <c r="HL76" s="558">
        <f t="shared" si="198"/>
        <v>22130.44</v>
      </c>
      <c r="HM76" s="558">
        <f t="shared" si="198"/>
        <v>19797.39</v>
      </c>
      <c r="HN76" s="558">
        <f t="shared" si="199"/>
        <v>17478.95</v>
      </c>
      <c r="HO76" s="558">
        <f t="shared" si="199"/>
        <v>15177.56</v>
      </c>
      <c r="HP76" s="558">
        <f t="shared" si="199"/>
        <v>12885.91</v>
      </c>
      <c r="HQ76" s="558">
        <f t="shared" si="199"/>
        <v>10998.52</v>
      </c>
      <c r="HR76" s="558">
        <f t="shared" si="199"/>
        <v>9169.59</v>
      </c>
      <c r="HS76" s="558">
        <f t="shared" si="194"/>
        <v>7418.58</v>
      </c>
      <c r="HT76" s="558">
        <f t="shared" si="194"/>
        <v>5760.11</v>
      </c>
      <c r="HU76" s="558">
        <f t="shared" si="194"/>
        <v>3758.27</v>
      </c>
      <c r="HV76" s="558">
        <f t="shared" si="194"/>
        <v>1834.35</v>
      </c>
      <c r="HW76" s="558">
        <f t="shared" si="194"/>
        <v>0.54</v>
      </c>
      <c r="HX76" s="558" t="str">
        <f t="shared" si="194"/>
        <v>.</v>
      </c>
      <c r="HY76" s="558" t="str">
        <f t="shared" si="194"/>
        <v>.</v>
      </c>
      <c r="HZ76" s="558" t="str">
        <f t="shared" si="194"/>
        <v>.</v>
      </c>
      <c r="IA76" s="558" t="str">
        <f t="shared" si="194"/>
        <v>.</v>
      </c>
      <c r="IB76" s="558" t="str">
        <f t="shared" si="194"/>
        <v>.</v>
      </c>
      <c r="IC76" s="558" t="str">
        <f t="shared" si="194"/>
        <v>.</v>
      </c>
      <c r="ID76" s="558" t="str">
        <f t="shared" si="193"/>
        <v>.</v>
      </c>
      <c r="IE76" s="558" t="str">
        <f t="shared" si="193"/>
        <v>.</v>
      </c>
      <c r="IF76" s="558" t="str">
        <f t="shared" si="193"/>
        <v>.</v>
      </c>
      <c r="IG76" s="558" t="str">
        <f t="shared" si="193"/>
        <v>.</v>
      </c>
      <c r="IH76" s="558" t="str">
        <f t="shared" si="193"/>
        <v>.</v>
      </c>
      <c r="II76" s="558" t="str">
        <f t="shared" si="193"/>
        <v>.</v>
      </c>
      <c r="IJ76" s="558" t="str">
        <f t="shared" si="193"/>
        <v>.</v>
      </c>
      <c r="IK76" s="558" t="str">
        <f t="shared" si="193"/>
        <v>.</v>
      </c>
      <c r="IL76" s="558" t="str">
        <f t="shared" si="193"/>
        <v>.</v>
      </c>
      <c r="IM76" s="558" t="str">
        <f t="shared" si="193"/>
        <v>.</v>
      </c>
      <c r="IN76" s="558" t="str">
        <f t="shared" si="193"/>
        <v>.</v>
      </c>
      <c r="IO76" s="558" t="str">
        <f t="shared" si="193"/>
        <v>.</v>
      </c>
      <c r="IP76" s="558" t="str">
        <f t="shared" si="193"/>
        <v>.</v>
      </c>
      <c r="IQ76" s="558" t="str">
        <f t="shared" si="193"/>
        <v>.</v>
      </c>
      <c r="IR76" s="558" t="str">
        <f t="shared" si="193"/>
        <v>.</v>
      </c>
      <c r="IS76" s="558" t="str">
        <f t="shared" si="193"/>
        <v>.</v>
      </c>
      <c r="IT76" s="558" t="str">
        <f t="shared" si="193"/>
        <v>.</v>
      </c>
      <c r="IU76" s="558" t="str">
        <f t="shared" si="193"/>
        <v>.</v>
      </c>
      <c r="IV76" s="558" t="str">
        <f t="shared" si="196"/>
        <v>.</v>
      </c>
      <c r="IW76" s="558" t="str">
        <f t="shared" si="196"/>
        <v>.</v>
      </c>
      <c r="IX76" s="558" t="str">
        <f t="shared" si="196"/>
        <v>.</v>
      </c>
      <c r="IY76" s="558" t="str">
        <f t="shared" si="196"/>
        <v>.</v>
      </c>
      <c r="IZ76" s="558" t="str">
        <f t="shared" si="196"/>
        <v>.</v>
      </c>
      <c r="JA76" s="558" t="str">
        <f t="shared" si="196"/>
        <v>.</v>
      </c>
      <c r="JB76" s="558" t="str">
        <f t="shared" si="196"/>
        <v>.</v>
      </c>
      <c r="JC76" s="558" t="str">
        <f t="shared" si="196"/>
        <v>.</v>
      </c>
      <c r="JD76" s="558" t="str">
        <f t="shared" si="196"/>
        <v>.</v>
      </c>
      <c r="JE76" s="558" t="str">
        <f t="shared" si="196"/>
        <v>.</v>
      </c>
      <c r="JF76" s="558" t="str">
        <f t="shared" si="196"/>
        <v>.</v>
      </c>
      <c r="JG76" s="558" t="str">
        <f t="shared" si="196"/>
        <v>.</v>
      </c>
      <c r="JH76" s="558" t="str">
        <f t="shared" si="196"/>
        <v>.</v>
      </c>
      <c r="JI76" s="558" t="str">
        <f t="shared" si="196"/>
        <v>.</v>
      </c>
      <c r="JJ76" s="558" t="str">
        <f t="shared" si="196"/>
        <v>.</v>
      </c>
      <c r="JK76" s="558" t="str">
        <f t="shared" si="192"/>
        <v>.</v>
      </c>
      <c r="JL76" s="558" t="str">
        <f t="shared" si="192"/>
        <v>.</v>
      </c>
      <c r="JM76" s="558" t="str">
        <f t="shared" si="192"/>
        <v>.</v>
      </c>
      <c r="JN76" s="558" t="str">
        <f t="shared" si="192"/>
        <v>.</v>
      </c>
      <c r="JO76" s="558" t="str">
        <f t="shared" si="192"/>
        <v>.</v>
      </c>
    </row>
    <row r="77" spans="1:275" x14ac:dyDescent="0.2">
      <c r="A77" s="534">
        <f xml:space="preserve"> Basis!A77</f>
        <v>77</v>
      </c>
      <c r="F77" s="536">
        <f xml:space="preserve"> ROUND(    IF( $A$15=BE_MF_,   AW77,   INDEX( qx!77:77, F$16 ) ),    F$17    )</f>
        <v>1.8700000000000001E-2</v>
      </c>
      <c r="G77" s="536">
        <f xml:space="preserve"> ROUND(    IF( $A$15=BE_MF_,   BB77,   INDEX( wx!77:77, G$16 ) ),    G$17    )</f>
        <v>2E-3</v>
      </c>
      <c r="H77" s="537">
        <f xml:space="preserve"> ROUND(    IF( $A$15=BE_MF_,   BG77,   INDEX( Kx!77:77, H$16 ) ),    H$17    )</f>
        <v>9394.36</v>
      </c>
      <c r="I77" s="538">
        <f t="shared" si="93"/>
        <v>9394.36</v>
      </c>
      <c r="J77" s="539">
        <f t="shared" si="129"/>
        <v>4.5209999999999999</v>
      </c>
      <c r="K77" s="540">
        <f t="shared" si="190"/>
        <v>0</v>
      </c>
      <c r="L77" s="541">
        <f t="shared" si="116"/>
        <v>0</v>
      </c>
      <c r="M77" s="541">
        <f t="shared" si="116"/>
        <v>8.5999999999999993E-2</v>
      </c>
      <c r="O77" s="542" t="b">
        <f t="shared" si="95"/>
        <v>1</v>
      </c>
      <c r="P77" s="493">
        <f t="shared" si="130"/>
        <v>2.07E-2</v>
      </c>
      <c r="Q77" s="493">
        <f t="shared" si="131"/>
        <v>0.97929999999999995</v>
      </c>
      <c r="R77" s="543">
        <f t="shared" si="132"/>
        <v>434258</v>
      </c>
      <c r="S77" s="544">
        <f t="shared" si="133"/>
        <v>0.97560975599999999</v>
      </c>
      <c r="T77" s="423">
        <f t="shared" si="134"/>
        <v>64864.97</v>
      </c>
      <c r="U77" s="423">
        <f xml:space="preserve"> IF( $O77,    ROUND(  SUM( T77:T$120), U$17 ),  LEER  )</f>
        <v>726374.1</v>
      </c>
      <c r="V77" s="493">
        <f t="shared" si="135"/>
        <v>11.1982</v>
      </c>
      <c r="W77" s="493">
        <f t="shared" si="136"/>
        <v>293254.53000000003</v>
      </c>
      <c r="X77" s="493">
        <f xml:space="preserve"> IF( $O77,    ROUND(  SUM( W77:W$120), X$17 ),  LEER  )</f>
        <v>3756422.18</v>
      </c>
      <c r="Y77" s="493">
        <f t="shared" si="137"/>
        <v>57.9114</v>
      </c>
      <c r="Z77" s="493">
        <f t="shared" si="138"/>
        <v>5.1715</v>
      </c>
      <c r="AA77" s="493">
        <f t="shared" si="139"/>
        <v>1</v>
      </c>
      <c r="AB77" s="493">
        <f t="shared" si="140"/>
        <v>2.3494000000000002</v>
      </c>
      <c r="AC77" s="545">
        <f t="shared" si="141"/>
        <v>0.32679999999999998</v>
      </c>
      <c r="AD77" s="493">
        <f t="shared" si="142"/>
        <v>5.1715</v>
      </c>
      <c r="AE77" s="493">
        <f t="shared" si="143"/>
        <v>6.0156000000000001</v>
      </c>
      <c r="AF77" s="493">
        <f t="shared" si="144"/>
        <v>6.0156000000000001</v>
      </c>
      <c r="AG77" s="493" t="str">
        <f t="shared" si="145"/>
        <v>.</v>
      </c>
      <c r="AH77" s="493" t="str">
        <f t="shared" si="146"/>
        <v>.</v>
      </c>
      <c r="AI77" s="423">
        <f t="shared" si="147"/>
        <v>2077.79</v>
      </c>
      <c r="AJ77" s="423">
        <f t="shared" si="148"/>
        <v>12499.15</v>
      </c>
      <c r="AK77" s="423">
        <f t="shared" si="149"/>
        <v>1041.5999999999999</v>
      </c>
      <c r="AN77" s="423">
        <f t="shared" si="191"/>
        <v>77187.44</v>
      </c>
      <c r="AO77" s="423">
        <f t="shared" si="191"/>
        <v>76670.899999999994</v>
      </c>
      <c r="AR77" s="546">
        <f xml:space="preserve"> ROUND(  INDEX( Kx!77:77, AR$16 ),  AR$17 )</f>
        <v>0.68430000000000002</v>
      </c>
      <c r="AS77" s="547">
        <f xml:space="preserve"> ROUND(  INDEX( qx!77:77, AS$16 ),  AS$17 )</f>
        <v>2.23E-2</v>
      </c>
      <c r="AT77" s="547">
        <f xml:space="preserve"> ROUND(  INDEX( qx!77:77, AT$16 ),  AT$17 )</f>
        <v>1.3599999999999999E-2</v>
      </c>
      <c r="AU77" s="548" t="str">
        <f t="shared" si="150"/>
        <v>F</v>
      </c>
      <c r="AV77" s="542">
        <f t="shared" si="151"/>
        <v>0.59099999999999997</v>
      </c>
      <c r="AW77" s="542">
        <f t="shared" si="152"/>
        <v>1.8700000000000001E-2</v>
      </c>
      <c r="AX77" s="546">
        <f xml:space="preserve"> ROUND(  INDEX( wx!77:77, AX$16 ),  AX$17 )</f>
        <v>2E-3</v>
      </c>
      <c r="AY77" s="546">
        <f xml:space="preserve"> ROUND(  INDEX( wx!77:77, AY$16 ),  AY$17 )</f>
        <v>2.0999999999999999E-3</v>
      </c>
      <c r="AZ77" s="548" t="str">
        <f t="shared" si="153"/>
        <v>M</v>
      </c>
      <c r="BA77" s="542">
        <f t="shared" si="154"/>
        <v>0.76480000000000004</v>
      </c>
      <c r="BB77" s="542">
        <f t="shared" si="155"/>
        <v>2E-3</v>
      </c>
      <c r="BC77" s="533">
        <f xml:space="preserve"> ROUND(  INDEX( Kx!77:77, BC$16 ),  BC$17 )</f>
        <v>9712.2099999999991</v>
      </c>
      <c r="BD77" s="533">
        <f xml:space="preserve"> ROUND(  INDEX( Kx!77:77, BD$16 ),  BD$17 )</f>
        <v>8360.7999999999993</v>
      </c>
      <c r="BE77" s="548" t="str">
        <f t="shared" si="52"/>
        <v>M</v>
      </c>
      <c r="BF77" s="542">
        <f t="shared" si="156"/>
        <v>0.76480000000000004</v>
      </c>
      <c r="BG77" s="420">
        <f t="shared" si="157"/>
        <v>9394.36</v>
      </c>
      <c r="BQ77" s="549">
        <f t="shared" si="96"/>
        <v>77</v>
      </c>
      <c r="BR77" s="423">
        <f t="shared" si="55"/>
        <v>79105.13</v>
      </c>
      <c r="BS77" s="550">
        <f t="shared" si="158"/>
        <v>9394.36</v>
      </c>
      <c r="BT77" s="423">
        <f t="shared" si="159"/>
        <v>-5209.8500000000004</v>
      </c>
      <c r="BU77" s="551">
        <f t="shared" si="160"/>
        <v>64864.97</v>
      </c>
      <c r="BV77" s="551">
        <f t="shared" si="161"/>
        <v>1.0445</v>
      </c>
      <c r="BW77" s="529">
        <f t="shared" si="162"/>
        <v>77187.44</v>
      </c>
      <c r="BX77" s="552">
        <f t="shared" si="163"/>
        <v>3292.1600000000035</v>
      </c>
      <c r="BY77" s="560"/>
      <c r="BZ77" s="559"/>
      <c r="CB77" s="423">
        <f t="shared" si="164"/>
        <v>-5679.79</v>
      </c>
      <c r="CC77" s="423">
        <f t="shared" si="165"/>
        <v>1929.69</v>
      </c>
      <c r="CD77" s="423">
        <f t="shared" si="166"/>
        <v>1552.28</v>
      </c>
      <c r="CE77" s="423">
        <f t="shared" si="167"/>
        <v>-2197.8199999999997</v>
      </c>
      <c r="CF77" s="553">
        <f t="shared" si="168"/>
        <v>-2197.9900000000052</v>
      </c>
      <c r="CH77" s="423">
        <f t="shared" si="169"/>
        <v>3852.4304390000002</v>
      </c>
      <c r="CI77" s="423">
        <f t="shared" si="170"/>
        <v>9393.69</v>
      </c>
      <c r="CJ77" s="423">
        <f t="shared" si="171"/>
        <v>-4027</v>
      </c>
      <c r="CK77" s="423">
        <f t="shared" si="172"/>
        <v>-1514.42</v>
      </c>
      <c r="CL77" s="553">
        <f t="shared" si="173"/>
        <v>3852.2700000000004</v>
      </c>
      <c r="CN77" s="423">
        <f t="shared" si="71"/>
        <v>3898.5573770000001</v>
      </c>
      <c r="CO77" s="423">
        <f t="shared" si="174"/>
        <v>9393.69</v>
      </c>
      <c r="CP77" s="423">
        <f t="shared" si="175"/>
        <v>-3990.82</v>
      </c>
      <c r="CQ77" s="423">
        <f t="shared" si="176"/>
        <v>-1504.48</v>
      </c>
      <c r="CR77" s="553">
        <f t="shared" si="75"/>
        <v>3898.3900000000008</v>
      </c>
      <c r="CV77" s="564">
        <f t="shared" si="98"/>
        <v>77</v>
      </c>
      <c r="CW77" s="538" t="str">
        <f t="shared" si="177"/>
        <v>.</v>
      </c>
      <c r="CX77" s="566">
        <f t="shared" si="178"/>
        <v>76670.899999999994</v>
      </c>
      <c r="CY77" s="538" t="str">
        <f t="shared" si="179"/>
        <v>.</v>
      </c>
      <c r="CZ77" s="538">
        <f t="shared" si="180"/>
        <v>49281</v>
      </c>
      <c r="DA77" s="538">
        <f t="shared" si="181"/>
        <v>23876.93</v>
      </c>
      <c r="DB77" s="567" t="e">
        <f t="shared" si="99"/>
        <v>#N/A</v>
      </c>
      <c r="DC77" s="567">
        <f t="shared" si="100"/>
        <v>76670.899999999994</v>
      </c>
      <c r="DD77" s="567" t="e">
        <f t="shared" si="101"/>
        <v>#N/A</v>
      </c>
      <c r="DE77" s="567">
        <f t="shared" si="101"/>
        <v>49281</v>
      </c>
      <c r="DF77" s="568">
        <f t="shared" si="102"/>
        <v>73157.929999999993</v>
      </c>
      <c r="EL77" s="553">
        <f t="shared" si="81"/>
        <v>53894.34</v>
      </c>
      <c r="EM77" s="553">
        <f t="shared" si="182"/>
        <v>22780.69</v>
      </c>
      <c r="EN77" s="423">
        <f t="shared" si="183"/>
        <v>76675.03</v>
      </c>
      <c r="EO77" s="555">
        <f xml:space="preserve"> 'i2'!AO77</f>
        <v>76670.899999999994</v>
      </c>
      <c r="EV77" s="533" t="e">
        <f xml:space="preserve"> ROUND(    IF( $A$15=BE_MF_,   LEER,   INDEX( Kx!77:77, EV$16 ) ),    EV$17    )</f>
        <v>#VALUE!</v>
      </c>
      <c r="EW77" s="533" t="e">
        <f xml:space="preserve"> ROUND(    IF( $A$15=BE_MF_,   LEER,   INDEX( Kx!77:77, EW$16 ) ),    EW$17    )</f>
        <v>#VALUE!</v>
      </c>
      <c r="EX77" s="533" t="e">
        <f xml:space="preserve"> ROUND(    IF( $A$15=BE_MF_,   LEER,   INDEX( Kx!77:77, EX$16 ) ),    EX$17    )</f>
        <v>#VALUE!</v>
      </c>
      <c r="EY77" s="556" t="e">
        <f t="shared" si="103"/>
        <v>#VALUE!</v>
      </c>
      <c r="FB77" s="533" t="e">
        <f xml:space="preserve"> ROUND(    IF( $A$15=BE_MF_,   LEER,   INDEX( Kx!77:77, FB$16 ) ),    FB$17    )</f>
        <v>#VALUE!</v>
      </c>
      <c r="FC77" s="533" t="e">
        <f xml:space="preserve"> ROUND(    IF( $A$15=BE_MF_,   LEER,   INDEX( Kx!77:77, FC$16 ) ),    FC$17    )</f>
        <v>#VALUE!</v>
      </c>
      <c r="FD77" s="556" t="e">
        <f t="shared" si="104"/>
        <v>#VALUE!</v>
      </c>
      <c r="FG77" s="556" t="e">
        <f t="shared" si="105"/>
        <v>#VALUE!</v>
      </c>
      <c r="FH77" s="556" t="e">
        <f t="shared" si="105"/>
        <v>#VALUE!</v>
      </c>
      <c r="FI77" s="556" t="e">
        <f t="shared" si="105"/>
        <v>#VALUE!</v>
      </c>
      <c r="FN77" s="557">
        <f t="shared" si="184"/>
        <v>77</v>
      </c>
      <c r="FO77" s="493">
        <f t="shared" si="185"/>
        <v>57.9114</v>
      </c>
      <c r="FP77" s="493">
        <f t="shared" si="186"/>
        <v>11.1982</v>
      </c>
      <c r="FR77" s="427">
        <f t="shared" si="106"/>
        <v>3022638.4099999992</v>
      </c>
      <c r="FS77" s="558">
        <f t="shared" si="197"/>
        <v>92397.41</v>
      </c>
      <c r="FT77" s="558">
        <f t="shared" si="197"/>
        <v>91455.08</v>
      </c>
      <c r="FU77" s="558">
        <f t="shared" si="197"/>
        <v>90510.42</v>
      </c>
      <c r="FV77" s="558">
        <f t="shared" si="197"/>
        <v>89565.759999999995</v>
      </c>
      <c r="FW77" s="558">
        <f t="shared" si="197"/>
        <v>88588.52</v>
      </c>
      <c r="FX77" s="558">
        <f t="shared" si="197"/>
        <v>87583.360000000001</v>
      </c>
      <c r="FY77" s="558">
        <f t="shared" si="197"/>
        <v>86587.51</v>
      </c>
      <c r="FZ77" s="558">
        <f t="shared" si="197"/>
        <v>85584.68</v>
      </c>
      <c r="GA77" s="558">
        <f t="shared" si="197"/>
        <v>84546.95</v>
      </c>
      <c r="GB77" s="558">
        <f t="shared" si="197"/>
        <v>83467.34</v>
      </c>
      <c r="GC77" s="558">
        <f t="shared" si="197"/>
        <v>82380.75</v>
      </c>
      <c r="GD77" s="558">
        <f t="shared" si="197"/>
        <v>81277.87</v>
      </c>
      <c r="GE77" s="558">
        <f t="shared" si="197"/>
        <v>80149.399999999994</v>
      </c>
      <c r="GF77" s="558">
        <f t="shared" si="197"/>
        <v>79016.27</v>
      </c>
      <c r="GG77" s="558">
        <f t="shared" si="197"/>
        <v>77848.240000000005</v>
      </c>
      <c r="GH77" s="558">
        <f t="shared" si="197"/>
        <v>76670.899999999994</v>
      </c>
      <c r="GI77" s="558">
        <f t="shared" si="195"/>
        <v>75458.67</v>
      </c>
      <c r="GJ77" s="558">
        <f t="shared" si="195"/>
        <v>74218.509999999995</v>
      </c>
      <c r="GK77" s="558">
        <f t="shared" si="195"/>
        <v>72943.45</v>
      </c>
      <c r="GL77" s="558">
        <f t="shared" si="195"/>
        <v>71631.16</v>
      </c>
      <c r="GM77" s="558">
        <f t="shared" si="195"/>
        <v>70279.320000000007</v>
      </c>
      <c r="GN77" s="558">
        <f t="shared" si="195"/>
        <v>68876.289999999994</v>
      </c>
      <c r="GO77" s="558">
        <f t="shared" si="195"/>
        <v>67422.070000000007</v>
      </c>
      <c r="GP77" s="558">
        <f t="shared" si="195"/>
        <v>65914.33</v>
      </c>
      <c r="GQ77" s="558">
        <f t="shared" si="195"/>
        <v>64346.1</v>
      </c>
      <c r="GR77" s="558">
        <f t="shared" si="195"/>
        <v>62729.01</v>
      </c>
      <c r="GS77" s="558">
        <f t="shared" si="195"/>
        <v>61056.08</v>
      </c>
      <c r="GT77" s="558">
        <f t="shared" si="195"/>
        <v>59331.96</v>
      </c>
      <c r="GU77" s="558">
        <f t="shared" si="195"/>
        <v>57561.3</v>
      </c>
      <c r="GV77" s="558">
        <f t="shared" si="195"/>
        <v>55746.43</v>
      </c>
      <c r="GW77" s="558">
        <f t="shared" si="195"/>
        <v>53894.34</v>
      </c>
      <c r="GX77" s="558">
        <f t="shared" si="198"/>
        <v>51998.04</v>
      </c>
      <c r="GY77" s="558">
        <f t="shared" si="198"/>
        <v>50076.14</v>
      </c>
      <c r="GZ77" s="558">
        <f t="shared" si="198"/>
        <v>48119.34</v>
      </c>
      <c r="HA77" s="558">
        <f t="shared" si="198"/>
        <v>46141.61</v>
      </c>
      <c r="HB77" s="558">
        <f t="shared" si="198"/>
        <v>44142.93</v>
      </c>
      <c r="HC77" s="558">
        <f t="shared" si="198"/>
        <v>42120.98</v>
      </c>
      <c r="HD77" s="558">
        <f t="shared" si="198"/>
        <v>40082.75</v>
      </c>
      <c r="HE77" s="558">
        <f t="shared" si="198"/>
        <v>38014.26</v>
      </c>
      <c r="HF77" s="558">
        <f t="shared" si="198"/>
        <v>35901.58</v>
      </c>
      <c r="HG77" s="558">
        <f t="shared" si="198"/>
        <v>33758.639999999999</v>
      </c>
      <c r="HH77" s="558">
        <f t="shared" si="198"/>
        <v>31594.76</v>
      </c>
      <c r="HI77" s="558">
        <f t="shared" si="198"/>
        <v>29402.959999999999</v>
      </c>
      <c r="HJ77" s="558">
        <f t="shared" si="198"/>
        <v>27194.87</v>
      </c>
      <c r="HK77" s="558">
        <f t="shared" si="198"/>
        <v>24963.52</v>
      </c>
      <c r="HL77" s="558">
        <f t="shared" si="198"/>
        <v>22753.11</v>
      </c>
      <c r="HM77" s="558">
        <f t="shared" si="198"/>
        <v>20524.080000000002</v>
      </c>
      <c r="HN77" s="558">
        <f t="shared" si="199"/>
        <v>18309.009999999998</v>
      </c>
      <c r="HO77" s="558">
        <f t="shared" si="199"/>
        <v>16110.23</v>
      </c>
      <c r="HP77" s="558">
        <f t="shared" si="199"/>
        <v>13920.76</v>
      </c>
      <c r="HQ77" s="558">
        <f t="shared" si="199"/>
        <v>12117.53</v>
      </c>
      <c r="HR77" s="558">
        <f t="shared" si="199"/>
        <v>10370.14</v>
      </c>
      <c r="HS77" s="558">
        <f t="shared" si="194"/>
        <v>8697.2000000000007</v>
      </c>
      <c r="HT77" s="558">
        <f t="shared" si="194"/>
        <v>7112.69</v>
      </c>
      <c r="HU77" s="558">
        <f t="shared" si="194"/>
        <v>5200.1000000000004</v>
      </c>
      <c r="HV77" s="558">
        <f t="shared" si="194"/>
        <v>3361.97</v>
      </c>
      <c r="HW77" s="558">
        <f t="shared" si="194"/>
        <v>1609.92</v>
      </c>
      <c r="HX77" s="558">
        <f t="shared" si="194"/>
        <v>-0.19</v>
      </c>
      <c r="HY77" s="558" t="str">
        <f t="shared" si="194"/>
        <v>.</v>
      </c>
      <c r="HZ77" s="558" t="str">
        <f t="shared" si="194"/>
        <v>.</v>
      </c>
      <c r="IA77" s="558" t="str">
        <f t="shared" si="194"/>
        <v>.</v>
      </c>
      <c r="IB77" s="558" t="str">
        <f t="shared" si="194"/>
        <v>.</v>
      </c>
      <c r="IC77" s="558" t="str">
        <f t="shared" si="194"/>
        <v>.</v>
      </c>
      <c r="ID77" s="558" t="str">
        <f t="shared" si="193"/>
        <v>.</v>
      </c>
      <c r="IE77" s="558" t="str">
        <f t="shared" si="193"/>
        <v>.</v>
      </c>
      <c r="IF77" s="558" t="str">
        <f t="shared" si="193"/>
        <v>.</v>
      </c>
      <c r="IG77" s="558" t="str">
        <f t="shared" si="193"/>
        <v>.</v>
      </c>
      <c r="IH77" s="558" t="str">
        <f t="shared" si="193"/>
        <v>.</v>
      </c>
      <c r="II77" s="558" t="str">
        <f t="shared" si="193"/>
        <v>.</v>
      </c>
      <c r="IJ77" s="558" t="str">
        <f t="shared" si="193"/>
        <v>.</v>
      </c>
      <c r="IK77" s="558" t="str">
        <f t="shared" si="193"/>
        <v>.</v>
      </c>
      <c r="IL77" s="558" t="str">
        <f t="shared" si="193"/>
        <v>.</v>
      </c>
      <c r="IM77" s="558" t="str">
        <f t="shared" si="193"/>
        <v>.</v>
      </c>
      <c r="IN77" s="558" t="str">
        <f t="shared" si="193"/>
        <v>.</v>
      </c>
      <c r="IO77" s="558" t="str">
        <f t="shared" si="193"/>
        <v>.</v>
      </c>
      <c r="IP77" s="558" t="str">
        <f t="shared" si="193"/>
        <v>.</v>
      </c>
      <c r="IQ77" s="558" t="str">
        <f t="shared" si="193"/>
        <v>.</v>
      </c>
      <c r="IR77" s="558" t="str">
        <f t="shared" si="193"/>
        <v>.</v>
      </c>
      <c r="IS77" s="558" t="str">
        <f t="shared" si="193"/>
        <v>.</v>
      </c>
      <c r="IT77" s="558" t="str">
        <f t="shared" si="193"/>
        <v>.</v>
      </c>
      <c r="IU77" s="558" t="str">
        <f t="shared" si="193"/>
        <v>.</v>
      </c>
      <c r="IV77" s="558" t="str">
        <f t="shared" si="196"/>
        <v>.</v>
      </c>
      <c r="IW77" s="558" t="str">
        <f t="shared" si="196"/>
        <v>.</v>
      </c>
      <c r="IX77" s="558" t="str">
        <f t="shared" si="196"/>
        <v>.</v>
      </c>
      <c r="IY77" s="558" t="str">
        <f t="shared" si="196"/>
        <v>.</v>
      </c>
      <c r="IZ77" s="558" t="str">
        <f t="shared" si="196"/>
        <v>.</v>
      </c>
      <c r="JA77" s="558" t="str">
        <f t="shared" si="196"/>
        <v>.</v>
      </c>
      <c r="JB77" s="558" t="str">
        <f t="shared" si="196"/>
        <v>.</v>
      </c>
      <c r="JC77" s="558" t="str">
        <f t="shared" si="196"/>
        <v>.</v>
      </c>
      <c r="JD77" s="558" t="str">
        <f t="shared" si="196"/>
        <v>.</v>
      </c>
      <c r="JE77" s="558" t="str">
        <f t="shared" si="196"/>
        <v>.</v>
      </c>
      <c r="JF77" s="558" t="str">
        <f t="shared" si="196"/>
        <v>.</v>
      </c>
      <c r="JG77" s="558" t="str">
        <f t="shared" si="196"/>
        <v>.</v>
      </c>
      <c r="JH77" s="558" t="str">
        <f t="shared" si="196"/>
        <v>.</v>
      </c>
      <c r="JI77" s="558" t="str">
        <f t="shared" si="196"/>
        <v>.</v>
      </c>
      <c r="JJ77" s="558" t="str">
        <f t="shared" si="196"/>
        <v>.</v>
      </c>
      <c r="JK77" s="558" t="str">
        <f t="shared" si="196"/>
        <v>.</v>
      </c>
      <c r="JL77" s="558" t="str">
        <f t="shared" si="196"/>
        <v>.</v>
      </c>
      <c r="JM77" s="558" t="str">
        <f t="shared" si="196"/>
        <v>.</v>
      </c>
      <c r="JN77" s="558" t="str">
        <f t="shared" si="196"/>
        <v>.</v>
      </c>
      <c r="JO77" s="558" t="str">
        <f t="shared" si="196"/>
        <v>.</v>
      </c>
    </row>
    <row r="78" spans="1:275" x14ac:dyDescent="0.2">
      <c r="A78" s="534">
        <f xml:space="preserve"> Basis!A78</f>
        <v>78</v>
      </c>
      <c r="F78" s="536">
        <f xml:space="preserve"> ROUND(    IF( $A$15=BE_MF_,   AW78,   INDEX( qx!78:78, F$16 ) ),    F$17    )</f>
        <v>2.1299999999999999E-2</v>
      </c>
      <c r="G78" s="536">
        <f xml:space="preserve"> ROUND(    IF( $A$15=BE_MF_,   BB78,   INDEX( wx!78:78, G$16 ) ),    G$17    )</f>
        <v>1.9E-3</v>
      </c>
      <c r="H78" s="537">
        <f xml:space="preserve"> ROUND(    IF( $A$15=BE_MF_,   BG78,   INDEX( Kx!78:78, H$16 ) ),    H$17    )</f>
        <v>9713.98</v>
      </c>
      <c r="I78" s="538">
        <f t="shared" si="93"/>
        <v>9713.98</v>
      </c>
      <c r="J78" s="539">
        <f t="shared" si="129"/>
        <v>4.6749999999999998</v>
      </c>
      <c r="K78" s="540">
        <f t="shared" si="190"/>
        <v>0</v>
      </c>
      <c r="L78" s="541">
        <f t="shared" si="116"/>
        <v>0</v>
      </c>
      <c r="M78" s="541">
        <f t="shared" si="116"/>
        <v>8.5999999999999993E-2</v>
      </c>
      <c r="O78" s="542" t="b">
        <f t="shared" si="95"/>
        <v>1</v>
      </c>
      <c r="P78" s="493">
        <f t="shared" si="130"/>
        <v>2.3199999999999998E-2</v>
      </c>
      <c r="Q78" s="493">
        <f t="shared" si="131"/>
        <v>0.9768</v>
      </c>
      <c r="R78" s="543">
        <f t="shared" si="132"/>
        <v>425268</v>
      </c>
      <c r="S78" s="544">
        <f t="shared" si="133"/>
        <v>0.97560975599999999</v>
      </c>
      <c r="T78" s="423">
        <f t="shared" si="134"/>
        <v>61972.81</v>
      </c>
      <c r="U78" s="423">
        <f xml:space="preserve"> IF( $O78,    ROUND(  SUM( T78:T$120), U$17 ),  LEER  )</f>
        <v>661509.13</v>
      </c>
      <c r="V78" s="493">
        <f t="shared" si="135"/>
        <v>10.674200000000001</v>
      </c>
      <c r="W78" s="493">
        <f t="shared" si="136"/>
        <v>289722.89</v>
      </c>
      <c r="X78" s="493">
        <f xml:space="preserve"> IF( $O78,    ROUND(  SUM( W78:W$120), X$17 ),  LEER  )</f>
        <v>3463167.65</v>
      </c>
      <c r="Y78" s="493">
        <f t="shared" si="137"/>
        <v>55.881999999999998</v>
      </c>
      <c r="Z78" s="493">
        <f t="shared" si="138"/>
        <v>5.2351999999999999</v>
      </c>
      <c r="AA78" s="493">
        <f t="shared" si="139"/>
        <v>1</v>
      </c>
      <c r="AB78" s="493">
        <f t="shared" si="140"/>
        <v>2.3494000000000002</v>
      </c>
      <c r="AC78" s="545">
        <f t="shared" si="141"/>
        <v>0.32679999999999998</v>
      </c>
      <c r="AD78" s="493">
        <f t="shared" si="142"/>
        <v>5.2351999999999999</v>
      </c>
      <c r="AE78" s="493">
        <f t="shared" si="143"/>
        <v>6.0853000000000002</v>
      </c>
      <c r="AF78" s="493">
        <f t="shared" si="144"/>
        <v>6.0853000000000002</v>
      </c>
      <c r="AG78" s="493" t="str">
        <f t="shared" si="145"/>
        <v>.</v>
      </c>
      <c r="AH78" s="493" t="str">
        <f t="shared" si="146"/>
        <v>.</v>
      </c>
      <c r="AI78" s="423">
        <f t="shared" si="147"/>
        <v>2077.79</v>
      </c>
      <c r="AJ78" s="423">
        <f t="shared" si="148"/>
        <v>12643.98</v>
      </c>
      <c r="AK78" s="423">
        <f t="shared" si="149"/>
        <v>1053.67</v>
      </c>
      <c r="AN78" s="423">
        <f t="shared" si="191"/>
        <v>74989.45</v>
      </c>
      <c r="AO78" s="423">
        <f t="shared" si="191"/>
        <v>74497.08</v>
      </c>
      <c r="AR78" s="546">
        <f xml:space="preserve"> ROUND(  INDEX( Kx!78:78, AR$16 ),  AR$17 )</f>
        <v>0.66959999999999997</v>
      </c>
      <c r="AS78" s="547">
        <f xml:space="preserve"> ROUND(  INDEX( qx!78:78, AS$16 ),  AS$17 )</f>
        <v>2.5399999999999999E-2</v>
      </c>
      <c r="AT78" s="547">
        <f xml:space="preserve"> ROUND(  INDEX( qx!78:78, AT$16 ),  AT$17 )</f>
        <v>1.5699999999999999E-2</v>
      </c>
      <c r="AU78" s="548" t="str">
        <f t="shared" si="150"/>
        <v>F</v>
      </c>
      <c r="AV78" s="542">
        <f t="shared" si="151"/>
        <v>0.57469999999999999</v>
      </c>
      <c r="AW78" s="542">
        <f t="shared" si="152"/>
        <v>2.1299999999999999E-2</v>
      </c>
      <c r="AX78" s="546">
        <f xml:space="preserve"> ROUND(  INDEX( wx!78:78, AX$16 ),  AX$17 )</f>
        <v>1.9E-3</v>
      </c>
      <c r="AY78" s="546">
        <f xml:space="preserve"> ROUND(  INDEX( wx!78:78, AY$16 ),  AY$17 )</f>
        <v>2.0999999999999999E-3</v>
      </c>
      <c r="AZ78" s="548" t="str">
        <f t="shared" si="153"/>
        <v>M</v>
      </c>
      <c r="BA78" s="542">
        <f t="shared" si="154"/>
        <v>0.75249999999999995</v>
      </c>
      <c r="BB78" s="542">
        <f t="shared" si="155"/>
        <v>1.9E-3</v>
      </c>
      <c r="BC78" s="533">
        <f xml:space="preserve"> ROUND(  INDEX( Kx!78:78, BC$16 ),  BC$17 )</f>
        <v>10064.959999999999</v>
      </c>
      <c r="BD78" s="533">
        <f xml:space="preserve"> ROUND(  INDEX( Kx!78:78, BD$16 ),  BD$17 )</f>
        <v>8646.84</v>
      </c>
      <c r="BE78" s="548" t="str">
        <f t="shared" si="52"/>
        <v>M</v>
      </c>
      <c r="BF78" s="542">
        <f t="shared" si="156"/>
        <v>0.75249999999999995</v>
      </c>
      <c r="BG78" s="420">
        <f t="shared" si="157"/>
        <v>9713.98</v>
      </c>
      <c r="BQ78" s="549">
        <f t="shared" si="96"/>
        <v>78</v>
      </c>
      <c r="BR78" s="423">
        <f t="shared" si="55"/>
        <v>77187.44</v>
      </c>
      <c r="BS78" s="550">
        <f t="shared" si="158"/>
        <v>9713.98</v>
      </c>
      <c r="BT78" s="423">
        <f t="shared" si="159"/>
        <v>-5541.93</v>
      </c>
      <c r="BU78" s="551">
        <f t="shared" si="160"/>
        <v>61972.81</v>
      </c>
      <c r="BV78" s="551">
        <f t="shared" si="161"/>
        <v>1.0467</v>
      </c>
      <c r="BW78" s="529">
        <f t="shared" si="162"/>
        <v>74989.45</v>
      </c>
      <c r="BX78" s="552">
        <f t="shared" si="163"/>
        <v>3343.9399999999878</v>
      </c>
      <c r="BY78" s="560"/>
      <c r="BZ78" s="559"/>
      <c r="CB78" s="423">
        <f t="shared" si="164"/>
        <v>-6007.77</v>
      </c>
      <c r="CC78" s="423">
        <f t="shared" si="165"/>
        <v>1874.74</v>
      </c>
      <c r="CD78" s="423">
        <f t="shared" si="166"/>
        <v>1682.91</v>
      </c>
      <c r="CE78" s="423">
        <f t="shared" si="167"/>
        <v>-2450.1200000000008</v>
      </c>
      <c r="CF78" s="553">
        <f t="shared" si="168"/>
        <v>-2450.0200000000041</v>
      </c>
      <c r="CH78" s="423">
        <f t="shared" si="169"/>
        <v>3852.4304390000002</v>
      </c>
      <c r="CI78" s="423">
        <f t="shared" si="170"/>
        <v>9713.67</v>
      </c>
      <c r="CJ78" s="423">
        <f t="shared" si="171"/>
        <v>-4219.2700000000004</v>
      </c>
      <c r="CK78" s="423">
        <f t="shared" si="172"/>
        <v>-1641.87</v>
      </c>
      <c r="CL78" s="553">
        <f t="shared" si="173"/>
        <v>3852.5299999999997</v>
      </c>
      <c r="CN78" s="423">
        <f t="shared" si="71"/>
        <v>3898.5573770000001</v>
      </c>
      <c r="CO78" s="423">
        <f t="shared" si="174"/>
        <v>9713.67</v>
      </c>
      <c r="CP78" s="423">
        <f t="shared" si="175"/>
        <v>-4183.74</v>
      </c>
      <c r="CQ78" s="423">
        <f t="shared" si="176"/>
        <v>-1631.27</v>
      </c>
      <c r="CR78" s="553">
        <f t="shared" si="75"/>
        <v>3898.6600000000003</v>
      </c>
      <c r="CV78" s="564">
        <f t="shared" si="98"/>
        <v>78</v>
      </c>
      <c r="CW78" s="538" t="str">
        <f t="shared" si="177"/>
        <v>.</v>
      </c>
      <c r="CX78" s="566">
        <f t="shared" si="178"/>
        <v>74497.08</v>
      </c>
      <c r="CY78" s="538" t="str">
        <f t="shared" si="179"/>
        <v>.</v>
      </c>
      <c r="CZ78" s="538">
        <f t="shared" si="180"/>
        <v>46975</v>
      </c>
      <c r="DA78" s="538">
        <f t="shared" si="181"/>
        <v>24173.5</v>
      </c>
      <c r="DB78" s="567" t="e">
        <f t="shared" si="99"/>
        <v>#N/A</v>
      </c>
      <c r="DC78" s="567">
        <f t="shared" si="100"/>
        <v>74497.08</v>
      </c>
      <c r="DD78" s="567" t="e">
        <f t="shared" si="101"/>
        <v>#N/A</v>
      </c>
      <c r="DE78" s="567">
        <f t="shared" si="101"/>
        <v>46975</v>
      </c>
      <c r="DF78" s="568">
        <f t="shared" si="102"/>
        <v>71148.5</v>
      </c>
      <c r="EL78" s="553">
        <f t="shared" si="81"/>
        <v>52786.31</v>
      </c>
      <c r="EM78" s="553">
        <f t="shared" si="182"/>
        <v>21714.71</v>
      </c>
      <c r="EN78" s="423">
        <f t="shared" si="183"/>
        <v>74501.02</v>
      </c>
      <c r="EO78" s="555">
        <f xml:space="preserve"> 'i2'!AO78</f>
        <v>74497.08</v>
      </c>
      <c r="EV78" s="533" t="e">
        <f xml:space="preserve"> ROUND(    IF( $A$15=BE_MF_,   LEER,   INDEX( Kx!78:78, EV$16 ) ),    EV$17    )</f>
        <v>#VALUE!</v>
      </c>
      <c r="EW78" s="533" t="e">
        <f xml:space="preserve"> ROUND(    IF( $A$15=BE_MF_,   LEER,   INDEX( Kx!78:78, EW$16 ) ),    EW$17    )</f>
        <v>#VALUE!</v>
      </c>
      <c r="EX78" s="533" t="e">
        <f xml:space="preserve"> ROUND(    IF( $A$15=BE_MF_,   LEER,   INDEX( Kx!78:78, EX$16 ) ),    EX$17    )</f>
        <v>#VALUE!</v>
      </c>
      <c r="EY78" s="556" t="e">
        <f t="shared" si="103"/>
        <v>#VALUE!</v>
      </c>
      <c r="FB78" s="533" t="e">
        <f xml:space="preserve"> ROUND(    IF( $A$15=BE_MF_,   LEER,   INDEX( Kx!78:78, FB$16 ) ),    FB$17    )</f>
        <v>#VALUE!</v>
      </c>
      <c r="FC78" s="533" t="e">
        <f xml:space="preserve"> ROUND(    IF( $A$15=BE_MF_,   LEER,   INDEX( Kx!78:78, FC$16 ) ),    FC$17    )</f>
        <v>#VALUE!</v>
      </c>
      <c r="FD78" s="556" t="e">
        <f t="shared" si="104"/>
        <v>#VALUE!</v>
      </c>
      <c r="FG78" s="556" t="e">
        <f t="shared" si="105"/>
        <v>#VALUE!</v>
      </c>
      <c r="FH78" s="556" t="e">
        <f t="shared" si="105"/>
        <v>#VALUE!</v>
      </c>
      <c r="FI78" s="556" t="e">
        <f t="shared" si="105"/>
        <v>#VALUE!</v>
      </c>
      <c r="FN78" s="557">
        <f t="shared" si="184"/>
        <v>78</v>
      </c>
      <c r="FO78" s="493">
        <f t="shared" si="185"/>
        <v>55.881999999999998</v>
      </c>
      <c r="FP78" s="493">
        <f t="shared" si="186"/>
        <v>10.674200000000001</v>
      </c>
      <c r="FR78" s="427">
        <f t="shared" si="106"/>
        <v>2963203.9200000009</v>
      </c>
      <c r="FS78" s="558">
        <f t="shared" si="197"/>
        <v>89487.69</v>
      </c>
      <c r="FT78" s="558">
        <f t="shared" si="197"/>
        <v>88589.45</v>
      </c>
      <c r="FU78" s="558">
        <f t="shared" si="197"/>
        <v>87689</v>
      </c>
      <c r="FV78" s="558">
        <f t="shared" si="197"/>
        <v>86788.54</v>
      </c>
      <c r="FW78" s="558">
        <f t="shared" si="197"/>
        <v>85857.03</v>
      </c>
      <c r="FX78" s="558">
        <f t="shared" si="197"/>
        <v>84898.91</v>
      </c>
      <c r="FY78" s="558">
        <f t="shared" si="197"/>
        <v>83949.66</v>
      </c>
      <c r="FZ78" s="558">
        <f t="shared" si="197"/>
        <v>82993.759999999995</v>
      </c>
      <c r="GA78" s="558">
        <f t="shared" si="197"/>
        <v>82004.59</v>
      </c>
      <c r="GB78" s="558">
        <f t="shared" si="197"/>
        <v>80975.490000000005</v>
      </c>
      <c r="GC78" s="558">
        <f t="shared" si="197"/>
        <v>79939.740000000005</v>
      </c>
      <c r="GD78" s="558">
        <f t="shared" si="197"/>
        <v>78888.47</v>
      </c>
      <c r="GE78" s="558">
        <f t="shared" si="197"/>
        <v>77812.800000000003</v>
      </c>
      <c r="GF78" s="558">
        <f t="shared" si="197"/>
        <v>76732.7</v>
      </c>
      <c r="GG78" s="558">
        <f t="shared" si="197"/>
        <v>75619.320000000007</v>
      </c>
      <c r="GH78" s="558">
        <f t="shared" si="197"/>
        <v>74497.08</v>
      </c>
      <c r="GI78" s="558">
        <f t="shared" si="195"/>
        <v>73341.570000000007</v>
      </c>
      <c r="GJ78" s="558">
        <f t="shared" si="195"/>
        <v>72159.44</v>
      </c>
      <c r="GK78" s="558">
        <f t="shared" si="195"/>
        <v>70944.039999999994</v>
      </c>
      <c r="GL78" s="558">
        <f t="shared" si="195"/>
        <v>69693.16</v>
      </c>
      <c r="GM78" s="558">
        <f t="shared" si="195"/>
        <v>68404.58</v>
      </c>
      <c r="GN78" s="558">
        <f t="shared" si="195"/>
        <v>67067.199999999997</v>
      </c>
      <c r="GO78" s="558">
        <f t="shared" si="195"/>
        <v>65681.03</v>
      </c>
      <c r="GP78" s="558">
        <f t="shared" si="195"/>
        <v>64243.85</v>
      </c>
      <c r="GQ78" s="558">
        <f t="shared" si="195"/>
        <v>62749</v>
      </c>
      <c r="GR78" s="558">
        <f t="shared" si="195"/>
        <v>61207.58</v>
      </c>
      <c r="GS78" s="558">
        <f t="shared" si="195"/>
        <v>59612.92</v>
      </c>
      <c r="GT78" s="558">
        <f t="shared" si="195"/>
        <v>57969.48</v>
      </c>
      <c r="GU78" s="558">
        <f t="shared" si="195"/>
        <v>56281.68</v>
      </c>
      <c r="GV78" s="558">
        <f t="shared" si="195"/>
        <v>54551.73</v>
      </c>
      <c r="GW78" s="558">
        <f t="shared" si="195"/>
        <v>52786.31</v>
      </c>
      <c r="GX78" s="558">
        <f t="shared" si="198"/>
        <v>50978.74</v>
      </c>
      <c r="GY78" s="558">
        <f t="shared" si="198"/>
        <v>49146.77</v>
      </c>
      <c r="GZ78" s="558">
        <f t="shared" si="198"/>
        <v>47281.54</v>
      </c>
      <c r="HA78" s="558">
        <f t="shared" si="198"/>
        <v>45396.35</v>
      </c>
      <c r="HB78" s="558">
        <f t="shared" si="198"/>
        <v>43491.19</v>
      </c>
      <c r="HC78" s="558">
        <f t="shared" si="198"/>
        <v>41563.86</v>
      </c>
      <c r="HD78" s="558">
        <f t="shared" si="198"/>
        <v>39621</v>
      </c>
      <c r="HE78" s="558">
        <f t="shared" si="198"/>
        <v>37649.31</v>
      </c>
      <c r="HF78" s="558">
        <f t="shared" si="198"/>
        <v>35635.480000000003</v>
      </c>
      <c r="HG78" s="558">
        <f t="shared" si="198"/>
        <v>33592.82</v>
      </c>
      <c r="HH78" s="558">
        <f t="shared" si="198"/>
        <v>31530.19</v>
      </c>
      <c r="HI78" s="558">
        <f t="shared" si="198"/>
        <v>29440.959999999999</v>
      </c>
      <c r="HJ78" s="558">
        <f t="shared" si="198"/>
        <v>27336.19</v>
      </c>
      <c r="HK78" s="558">
        <f t="shared" si="198"/>
        <v>25209.25</v>
      </c>
      <c r="HL78" s="558">
        <f t="shared" si="198"/>
        <v>23102.27</v>
      </c>
      <c r="HM78" s="558">
        <f t="shared" si="198"/>
        <v>20977.55</v>
      </c>
      <c r="HN78" s="558">
        <f t="shared" si="199"/>
        <v>18866.13</v>
      </c>
      <c r="HO78" s="558">
        <f t="shared" si="199"/>
        <v>16770.240000000002</v>
      </c>
      <c r="HP78" s="558">
        <f t="shared" si="199"/>
        <v>14683.22</v>
      </c>
      <c r="HQ78" s="558">
        <f t="shared" si="199"/>
        <v>12964.37</v>
      </c>
      <c r="HR78" s="558">
        <f t="shared" si="199"/>
        <v>11298.74</v>
      </c>
      <c r="HS78" s="558">
        <f t="shared" si="194"/>
        <v>9704.09</v>
      </c>
      <c r="HT78" s="558">
        <f t="shared" si="194"/>
        <v>8193.7199999999993</v>
      </c>
      <c r="HU78" s="558">
        <f t="shared" si="194"/>
        <v>6370.63</v>
      </c>
      <c r="HV78" s="558">
        <f t="shared" si="194"/>
        <v>4618.5</v>
      </c>
      <c r="HW78" s="558">
        <f t="shared" si="194"/>
        <v>2948.44</v>
      </c>
      <c r="HX78" s="558">
        <f t="shared" si="194"/>
        <v>1413.68</v>
      </c>
      <c r="HY78" s="558">
        <f t="shared" si="194"/>
        <v>0.89</v>
      </c>
      <c r="HZ78" s="558" t="str">
        <f t="shared" si="194"/>
        <v>.</v>
      </c>
      <c r="IA78" s="558" t="str">
        <f t="shared" si="194"/>
        <v>.</v>
      </c>
      <c r="IB78" s="558" t="str">
        <f t="shared" si="194"/>
        <v>.</v>
      </c>
      <c r="IC78" s="558" t="str">
        <f t="shared" si="194"/>
        <v>.</v>
      </c>
      <c r="ID78" s="558" t="str">
        <f t="shared" si="193"/>
        <v>.</v>
      </c>
      <c r="IE78" s="558" t="str">
        <f t="shared" si="193"/>
        <v>.</v>
      </c>
      <c r="IF78" s="558" t="str">
        <f t="shared" si="193"/>
        <v>.</v>
      </c>
      <c r="IG78" s="558" t="str">
        <f t="shared" si="193"/>
        <v>.</v>
      </c>
      <c r="IH78" s="558" t="str">
        <f t="shared" si="193"/>
        <v>.</v>
      </c>
      <c r="II78" s="558" t="str">
        <f t="shared" si="193"/>
        <v>.</v>
      </c>
      <c r="IJ78" s="558" t="str">
        <f t="shared" si="193"/>
        <v>.</v>
      </c>
      <c r="IK78" s="558" t="str">
        <f t="shared" si="193"/>
        <v>.</v>
      </c>
      <c r="IL78" s="558" t="str">
        <f t="shared" si="193"/>
        <v>.</v>
      </c>
      <c r="IM78" s="558" t="str">
        <f t="shared" si="193"/>
        <v>.</v>
      </c>
      <c r="IN78" s="558" t="str">
        <f t="shared" si="193"/>
        <v>.</v>
      </c>
      <c r="IO78" s="558" t="str">
        <f t="shared" si="193"/>
        <v>.</v>
      </c>
      <c r="IP78" s="558" t="str">
        <f t="shared" si="193"/>
        <v>.</v>
      </c>
      <c r="IQ78" s="558" t="str">
        <f t="shared" si="193"/>
        <v>.</v>
      </c>
      <c r="IR78" s="558" t="str">
        <f t="shared" si="193"/>
        <v>.</v>
      </c>
      <c r="IS78" s="558" t="str">
        <f t="shared" si="193"/>
        <v>.</v>
      </c>
      <c r="IT78" s="558" t="str">
        <f t="shared" si="193"/>
        <v>.</v>
      </c>
      <c r="IU78" s="558" t="str">
        <f t="shared" si="193"/>
        <v>.</v>
      </c>
      <c r="IV78" s="558" t="str">
        <f t="shared" si="196"/>
        <v>.</v>
      </c>
      <c r="IW78" s="558" t="str">
        <f t="shared" si="196"/>
        <v>.</v>
      </c>
      <c r="IX78" s="558" t="str">
        <f t="shared" si="196"/>
        <v>.</v>
      </c>
      <c r="IY78" s="558" t="str">
        <f t="shared" si="196"/>
        <v>.</v>
      </c>
      <c r="IZ78" s="558" t="str">
        <f t="shared" si="196"/>
        <v>.</v>
      </c>
      <c r="JA78" s="558" t="str">
        <f t="shared" si="196"/>
        <v>.</v>
      </c>
      <c r="JB78" s="558" t="str">
        <f t="shared" si="196"/>
        <v>.</v>
      </c>
      <c r="JC78" s="558" t="str">
        <f t="shared" si="196"/>
        <v>.</v>
      </c>
      <c r="JD78" s="558" t="str">
        <f t="shared" si="196"/>
        <v>.</v>
      </c>
      <c r="JE78" s="558" t="str">
        <f t="shared" si="196"/>
        <v>.</v>
      </c>
      <c r="JF78" s="558" t="str">
        <f t="shared" si="196"/>
        <v>.</v>
      </c>
      <c r="JG78" s="558" t="str">
        <f t="shared" si="196"/>
        <v>.</v>
      </c>
      <c r="JH78" s="558" t="str">
        <f t="shared" si="196"/>
        <v>.</v>
      </c>
      <c r="JI78" s="558" t="str">
        <f t="shared" si="196"/>
        <v>.</v>
      </c>
      <c r="JJ78" s="558" t="str">
        <f t="shared" si="196"/>
        <v>.</v>
      </c>
      <c r="JK78" s="558" t="str">
        <f t="shared" si="196"/>
        <v>.</v>
      </c>
      <c r="JL78" s="558" t="str">
        <f t="shared" si="196"/>
        <v>.</v>
      </c>
      <c r="JM78" s="558" t="str">
        <f t="shared" si="196"/>
        <v>.</v>
      </c>
      <c r="JN78" s="558" t="str">
        <f t="shared" si="196"/>
        <v>.</v>
      </c>
      <c r="JO78" s="558" t="str">
        <f t="shared" si="196"/>
        <v>.</v>
      </c>
    </row>
    <row r="79" spans="1:275" x14ac:dyDescent="0.2">
      <c r="A79" s="534">
        <f xml:space="preserve"> Basis!A79</f>
        <v>79</v>
      </c>
      <c r="F79" s="536">
        <f xml:space="preserve"> ROUND(    IF( $A$15=BE_MF_,   AW79,   INDEX( qx!79:79, F$16 ) ),    F$17    )</f>
        <v>2.47E-2</v>
      </c>
      <c r="G79" s="536">
        <f xml:space="preserve"> ROUND(    IF( $A$15=BE_MF_,   BB79,   INDEX( wx!79:79, G$16 ) ),    G$17    )</f>
        <v>1.8E-3</v>
      </c>
      <c r="H79" s="537">
        <f xml:space="preserve"> ROUND(    IF( $A$15=BE_MF_,   BG79,   INDEX( Kx!79:79, H$16 ) ),    H$17    )</f>
        <v>10036.23</v>
      </c>
      <c r="I79" s="538">
        <f t="shared" si="93"/>
        <v>10036.23</v>
      </c>
      <c r="J79" s="539">
        <f t="shared" si="129"/>
        <v>4.83</v>
      </c>
      <c r="K79" s="540">
        <f t="shared" si="190"/>
        <v>0</v>
      </c>
      <c r="L79" s="541">
        <f t="shared" si="116"/>
        <v>0</v>
      </c>
      <c r="M79" s="541">
        <f t="shared" si="116"/>
        <v>8.5999999999999993E-2</v>
      </c>
      <c r="O79" s="542" t="b">
        <f t="shared" si="95"/>
        <v>1</v>
      </c>
      <c r="P79" s="493">
        <f t="shared" si="130"/>
        <v>2.6499999999999999E-2</v>
      </c>
      <c r="Q79" s="493">
        <f t="shared" si="131"/>
        <v>0.97350000000000003</v>
      </c>
      <c r="R79" s="543">
        <f t="shared" si="132"/>
        <v>415401</v>
      </c>
      <c r="S79" s="544">
        <f t="shared" si="133"/>
        <v>0.97560975599999999</v>
      </c>
      <c r="T79" s="423">
        <f t="shared" si="134"/>
        <v>59058.47</v>
      </c>
      <c r="U79" s="423">
        <f xml:space="preserve"> IF( $O79,    ROUND(  SUM( T79:T$120), U$17 ),  LEER  )</f>
        <v>599536.31999999995</v>
      </c>
      <c r="V79" s="493">
        <f t="shared" si="135"/>
        <v>10.1516</v>
      </c>
      <c r="W79" s="493">
        <f t="shared" si="136"/>
        <v>285252.40999999997</v>
      </c>
      <c r="X79" s="493">
        <f xml:space="preserve"> IF( $O79,    ROUND(  SUM( W79:W$120), X$17 ),  LEER  )</f>
        <v>3173444.76</v>
      </c>
      <c r="Y79" s="493">
        <f t="shared" si="137"/>
        <v>53.733899999999998</v>
      </c>
      <c r="Z79" s="493">
        <f t="shared" si="138"/>
        <v>5.2930999999999999</v>
      </c>
      <c r="AA79" s="493">
        <f t="shared" si="139"/>
        <v>1</v>
      </c>
      <c r="AB79" s="493">
        <f t="shared" si="140"/>
        <v>2.3494000000000002</v>
      </c>
      <c r="AC79" s="545">
        <f t="shared" si="141"/>
        <v>0.32679999999999998</v>
      </c>
      <c r="AD79" s="493">
        <f t="shared" si="142"/>
        <v>5.2930999999999999</v>
      </c>
      <c r="AE79" s="493">
        <f t="shared" si="143"/>
        <v>6.1486999999999998</v>
      </c>
      <c r="AF79" s="493">
        <f t="shared" si="144"/>
        <v>6.1486999999999998</v>
      </c>
      <c r="AG79" s="493" t="str">
        <f t="shared" si="145"/>
        <v>.</v>
      </c>
      <c r="AH79" s="493" t="str">
        <f t="shared" si="146"/>
        <v>.</v>
      </c>
      <c r="AI79" s="423">
        <f t="shared" si="147"/>
        <v>2077.79</v>
      </c>
      <c r="AJ79" s="423">
        <f t="shared" si="148"/>
        <v>12775.71</v>
      </c>
      <c r="AK79" s="423">
        <f t="shared" si="149"/>
        <v>1064.6400000000001</v>
      </c>
      <c r="AN79" s="423">
        <f t="shared" si="191"/>
        <v>72539.429999999993</v>
      </c>
      <c r="AO79" s="423">
        <f t="shared" si="191"/>
        <v>72071.17</v>
      </c>
      <c r="AR79" s="546">
        <f xml:space="preserve"> ROUND(  INDEX( Kx!79:79, AR$16 ),  AR$17 )</f>
        <v>0.67149999999999999</v>
      </c>
      <c r="AS79" s="547">
        <f xml:space="preserve"> ROUND(  INDEX( qx!79:79, AS$16 ),  AS$17 )</f>
        <v>2.93E-2</v>
      </c>
      <c r="AT79" s="547">
        <f xml:space="preserve"> ROUND(  INDEX( qx!79:79, AT$16 ),  AT$17 )</f>
        <v>1.84E-2</v>
      </c>
      <c r="AU79" s="548" t="str">
        <f t="shared" si="150"/>
        <v>F</v>
      </c>
      <c r="AV79" s="542">
        <f t="shared" si="151"/>
        <v>0.57679999999999998</v>
      </c>
      <c r="AW79" s="542">
        <f t="shared" si="152"/>
        <v>2.47E-2</v>
      </c>
      <c r="AX79" s="546">
        <f xml:space="preserve"> ROUND(  INDEX( wx!79:79, AX$16 ),  AX$17 )</f>
        <v>1.6999999999999999E-3</v>
      </c>
      <c r="AY79" s="546">
        <f xml:space="preserve"> ROUND(  INDEX( wx!79:79, AY$16 ),  AY$17 )</f>
        <v>2.0999999999999999E-3</v>
      </c>
      <c r="AZ79" s="548" t="str">
        <f t="shared" si="153"/>
        <v>M</v>
      </c>
      <c r="BA79" s="542">
        <f t="shared" si="154"/>
        <v>0.75409999999999999</v>
      </c>
      <c r="BB79" s="542">
        <f t="shared" si="155"/>
        <v>1.8E-3</v>
      </c>
      <c r="BC79" s="533">
        <f xml:space="preserve"> ROUND(  INDEX( Kx!79:79, BC$16 ),  BC$17 )</f>
        <v>10401.56</v>
      </c>
      <c r="BD79" s="533">
        <f xml:space="preserve"> ROUND(  INDEX( Kx!79:79, BD$16 ),  BD$17 )</f>
        <v>8915.89</v>
      </c>
      <c r="BE79" s="548" t="str">
        <f t="shared" si="52"/>
        <v>M</v>
      </c>
      <c r="BF79" s="542">
        <f t="shared" si="156"/>
        <v>0.75409999999999999</v>
      </c>
      <c r="BG79" s="420">
        <f t="shared" si="157"/>
        <v>10036.23</v>
      </c>
      <c r="BQ79" s="549">
        <f t="shared" si="96"/>
        <v>79</v>
      </c>
      <c r="BR79" s="423">
        <f t="shared" si="55"/>
        <v>74989.45</v>
      </c>
      <c r="BS79" s="550">
        <f t="shared" si="158"/>
        <v>10036.23</v>
      </c>
      <c r="BT79" s="423">
        <f t="shared" si="159"/>
        <v>-5861.55</v>
      </c>
      <c r="BU79" s="551">
        <f t="shared" si="160"/>
        <v>59058.47</v>
      </c>
      <c r="BV79" s="551">
        <f t="shared" si="161"/>
        <v>1.0492999999999999</v>
      </c>
      <c r="BW79" s="529">
        <f t="shared" si="162"/>
        <v>72539.429999999993</v>
      </c>
      <c r="BX79" s="552">
        <f t="shared" si="163"/>
        <v>3411.5299999999988</v>
      </c>
      <c r="BY79" s="560"/>
      <c r="BZ79" s="559"/>
      <c r="CB79" s="423">
        <f t="shared" si="164"/>
        <v>-6337.88</v>
      </c>
      <c r="CC79" s="423">
        <f t="shared" si="165"/>
        <v>1813.49</v>
      </c>
      <c r="CD79" s="423">
        <f t="shared" si="166"/>
        <v>1851.48</v>
      </c>
      <c r="CE79" s="423">
        <f t="shared" si="167"/>
        <v>-2672.9100000000003</v>
      </c>
      <c r="CF79" s="553">
        <f t="shared" si="168"/>
        <v>-2672.3899999999994</v>
      </c>
      <c r="CH79" s="423">
        <f t="shared" si="169"/>
        <v>3852.4304390000002</v>
      </c>
      <c r="CI79" s="423">
        <f t="shared" si="170"/>
        <v>10035.73</v>
      </c>
      <c r="CJ79" s="423">
        <f t="shared" si="171"/>
        <v>-4376.46</v>
      </c>
      <c r="CK79" s="423">
        <f t="shared" si="172"/>
        <v>-1806.32</v>
      </c>
      <c r="CL79" s="553">
        <f t="shared" si="173"/>
        <v>3852.95</v>
      </c>
      <c r="CN79" s="423">
        <f t="shared" si="71"/>
        <v>3898.5573770000001</v>
      </c>
      <c r="CO79" s="423">
        <f t="shared" si="174"/>
        <v>10035.73</v>
      </c>
      <c r="CP79" s="423">
        <f t="shared" si="175"/>
        <v>-4341.83</v>
      </c>
      <c r="CQ79" s="423">
        <f t="shared" si="176"/>
        <v>-1794.83</v>
      </c>
      <c r="CR79" s="553">
        <f t="shared" si="75"/>
        <v>3899.0699999999997</v>
      </c>
      <c r="CV79" s="564">
        <f t="shared" si="98"/>
        <v>79</v>
      </c>
      <c r="CW79" s="538" t="str">
        <f t="shared" si="177"/>
        <v>.</v>
      </c>
      <c r="CX79" s="566">
        <f t="shared" si="178"/>
        <v>72071.17</v>
      </c>
      <c r="CY79" s="538" t="str">
        <f t="shared" si="179"/>
        <v>.</v>
      </c>
      <c r="CZ79" s="538">
        <f t="shared" si="180"/>
        <v>44675</v>
      </c>
      <c r="DA79" s="538">
        <f t="shared" si="181"/>
        <v>24211.39</v>
      </c>
      <c r="DB79" s="567" t="e">
        <f t="shared" si="99"/>
        <v>#N/A</v>
      </c>
      <c r="DC79" s="567">
        <f t="shared" si="100"/>
        <v>72071.17</v>
      </c>
      <c r="DD79" s="567" t="e">
        <f t="shared" si="101"/>
        <v>#N/A</v>
      </c>
      <c r="DE79" s="567">
        <f t="shared" si="101"/>
        <v>44675</v>
      </c>
      <c r="DF79" s="568">
        <f t="shared" si="102"/>
        <v>68886.39</v>
      </c>
      <c r="EL79" s="553">
        <f t="shared" si="81"/>
        <v>51423.33</v>
      </c>
      <c r="EM79" s="553">
        <f t="shared" si="182"/>
        <v>20651.57</v>
      </c>
      <c r="EN79" s="423">
        <f t="shared" si="183"/>
        <v>72074.899999999994</v>
      </c>
      <c r="EO79" s="555">
        <f xml:space="preserve"> 'i2'!AO79</f>
        <v>72071.17</v>
      </c>
      <c r="EV79" s="533" t="e">
        <f xml:space="preserve"> ROUND(    IF( $A$15=BE_MF_,   LEER,   INDEX( Kx!79:79, EV$16 ) ),    EV$17    )</f>
        <v>#VALUE!</v>
      </c>
      <c r="EW79" s="533" t="e">
        <f xml:space="preserve"> ROUND(    IF( $A$15=BE_MF_,   LEER,   INDEX( Kx!79:79, EW$16 ) ),    EW$17    )</f>
        <v>#VALUE!</v>
      </c>
      <c r="EX79" s="533" t="e">
        <f xml:space="preserve"> ROUND(    IF( $A$15=BE_MF_,   LEER,   INDEX( Kx!79:79, EX$16 ) ),    EX$17    )</f>
        <v>#VALUE!</v>
      </c>
      <c r="EY79" s="556" t="e">
        <f t="shared" si="103"/>
        <v>#VALUE!</v>
      </c>
      <c r="FB79" s="533" t="e">
        <f xml:space="preserve"> ROUND(    IF( $A$15=BE_MF_,   LEER,   INDEX( Kx!79:79, FB$16 ) ),    FB$17    )</f>
        <v>#VALUE!</v>
      </c>
      <c r="FC79" s="533" t="e">
        <f xml:space="preserve"> ROUND(    IF( $A$15=BE_MF_,   LEER,   INDEX( Kx!79:79, FC$16 ) ),    FC$17    )</f>
        <v>#VALUE!</v>
      </c>
      <c r="FD79" s="556" t="e">
        <f t="shared" si="104"/>
        <v>#VALUE!</v>
      </c>
      <c r="FG79" s="556" t="e">
        <f t="shared" si="105"/>
        <v>#VALUE!</v>
      </c>
      <c r="FH79" s="556" t="e">
        <f t="shared" si="105"/>
        <v>#VALUE!</v>
      </c>
      <c r="FI79" s="556" t="e">
        <f t="shared" si="105"/>
        <v>#VALUE!</v>
      </c>
      <c r="FN79" s="557">
        <f t="shared" si="184"/>
        <v>79</v>
      </c>
      <c r="FO79" s="493">
        <f t="shared" si="185"/>
        <v>53.733899999999998</v>
      </c>
      <c r="FP79" s="493">
        <f t="shared" si="186"/>
        <v>10.1516</v>
      </c>
      <c r="FR79" s="427">
        <f t="shared" si="106"/>
        <v>2890191.5300000017</v>
      </c>
      <c r="FS79" s="558">
        <f t="shared" si="197"/>
        <v>86327.85</v>
      </c>
      <c r="FT79" s="558">
        <f t="shared" si="197"/>
        <v>85473.59</v>
      </c>
      <c r="FU79" s="558">
        <f t="shared" si="197"/>
        <v>84617.22</v>
      </c>
      <c r="FV79" s="558">
        <f t="shared" si="197"/>
        <v>83760.850000000006</v>
      </c>
      <c r="FW79" s="558">
        <f t="shared" si="197"/>
        <v>82874.94</v>
      </c>
      <c r="FX79" s="558">
        <f t="shared" si="197"/>
        <v>81963.73</v>
      </c>
      <c r="FY79" s="558">
        <f t="shared" si="197"/>
        <v>81060.960000000006</v>
      </c>
      <c r="FZ79" s="558">
        <f t="shared" si="197"/>
        <v>80151.850000000006</v>
      </c>
      <c r="GA79" s="558">
        <f t="shared" si="197"/>
        <v>79211.11</v>
      </c>
      <c r="GB79" s="558">
        <f t="shared" si="197"/>
        <v>78232.399999999994</v>
      </c>
      <c r="GC79" s="558">
        <f t="shared" si="197"/>
        <v>77247.360000000001</v>
      </c>
      <c r="GD79" s="558">
        <f t="shared" si="197"/>
        <v>76247.56</v>
      </c>
      <c r="GE79" s="558">
        <f t="shared" si="197"/>
        <v>75224.55</v>
      </c>
      <c r="GF79" s="558">
        <f t="shared" si="197"/>
        <v>74197.33</v>
      </c>
      <c r="GG79" s="558">
        <f t="shared" si="197"/>
        <v>73138.47</v>
      </c>
      <c r="GH79" s="558">
        <f t="shared" si="197"/>
        <v>72071.17</v>
      </c>
      <c r="GI79" s="558">
        <f t="shared" si="195"/>
        <v>70972.23</v>
      </c>
      <c r="GJ79" s="558">
        <f t="shared" si="195"/>
        <v>69847.97</v>
      </c>
      <c r="GK79" s="558">
        <f t="shared" si="195"/>
        <v>68692.08</v>
      </c>
      <c r="GL79" s="558">
        <f t="shared" si="195"/>
        <v>67502.44</v>
      </c>
      <c r="GM79" s="558">
        <f t="shared" si="195"/>
        <v>66276.95</v>
      </c>
      <c r="GN79" s="558">
        <f t="shared" si="195"/>
        <v>65005.05</v>
      </c>
      <c r="GO79" s="558">
        <f t="shared" si="195"/>
        <v>63686.74</v>
      </c>
      <c r="GP79" s="558">
        <f t="shared" si="195"/>
        <v>62319.92</v>
      </c>
      <c r="GQ79" s="558">
        <f t="shared" si="195"/>
        <v>60898.26</v>
      </c>
      <c r="GR79" s="558">
        <f t="shared" si="195"/>
        <v>59432.3</v>
      </c>
      <c r="GS79" s="558">
        <f t="shared" si="195"/>
        <v>57915.72</v>
      </c>
      <c r="GT79" s="558">
        <f t="shared" si="195"/>
        <v>56352.74</v>
      </c>
      <c r="GU79" s="558">
        <f t="shared" si="195"/>
        <v>54747.57</v>
      </c>
      <c r="GV79" s="558">
        <f t="shared" si="195"/>
        <v>53102.33</v>
      </c>
      <c r="GW79" s="558">
        <f t="shared" si="195"/>
        <v>51423.33</v>
      </c>
      <c r="GX79" s="558">
        <f t="shared" si="198"/>
        <v>49704.26</v>
      </c>
      <c r="GY79" s="558">
        <f t="shared" si="198"/>
        <v>47961.99</v>
      </c>
      <c r="GZ79" s="558">
        <f t="shared" si="198"/>
        <v>46188.08</v>
      </c>
      <c r="HA79" s="558">
        <f t="shared" si="198"/>
        <v>44395.18</v>
      </c>
      <c r="HB79" s="558">
        <f t="shared" si="198"/>
        <v>42583.3</v>
      </c>
      <c r="HC79" s="558">
        <f t="shared" si="198"/>
        <v>40750.33</v>
      </c>
      <c r="HD79" s="558">
        <f t="shared" si="198"/>
        <v>38902.589999999997</v>
      </c>
      <c r="HE79" s="558">
        <f t="shared" si="198"/>
        <v>37027.43</v>
      </c>
      <c r="HF79" s="558">
        <f t="shared" si="198"/>
        <v>35112.199999999997</v>
      </c>
      <c r="HG79" s="558">
        <f t="shared" si="198"/>
        <v>33169.54</v>
      </c>
      <c r="HH79" s="558">
        <f t="shared" si="198"/>
        <v>31207.9</v>
      </c>
      <c r="HI79" s="558">
        <f t="shared" si="198"/>
        <v>29220.95</v>
      </c>
      <c r="HJ79" s="558">
        <f t="shared" si="198"/>
        <v>27219.24</v>
      </c>
      <c r="HK79" s="558">
        <f t="shared" si="198"/>
        <v>25196.43</v>
      </c>
      <c r="HL79" s="558">
        <f t="shared" si="198"/>
        <v>23192.6</v>
      </c>
      <c r="HM79" s="558">
        <f t="shared" si="198"/>
        <v>21171.91</v>
      </c>
      <c r="HN79" s="558">
        <f t="shared" si="199"/>
        <v>19163.86</v>
      </c>
      <c r="HO79" s="558">
        <f t="shared" si="199"/>
        <v>17170.580000000002</v>
      </c>
      <c r="HP79" s="558">
        <f t="shared" si="199"/>
        <v>15185.74</v>
      </c>
      <c r="HQ79" s="558">
        <f t="shared" si="199"/>
        <v>13551.04</v>
      </c>
      <c r="HR79" s="558">
        <f t="shared" si="199"/>
        <v>11966.97</v>
      </c>
      <c r="HS79" s="558">
        <f t="shared" si="194"/>
        <v>10450.39</v>
      </c>
      <c r="HT79" s="558">
        <f t="shared" si="194"/>
        <v>9013.9599999999991</v>
      </c>
      <c r="HU79" s="558">
        <f t="shared" si="194"/>
        <v>7280.13</v>
      </c>
      <c r="HV79" s="558">
        <f t="shared" si="194"/>
        <v>5613.79</v>
      </c>
      <c r="HW79" s="558">
        <f t="shared" si="194"/>
        <v>4025.49</v>
      </c>
      <c r="HX79" s="558">
        <f t="shared" si="194"/>
        <v>2565.86</v>
      </c>
      <c r="HY79" s="558">
        <f t="shared" si="194"/>
        <v>1222.25</v>
      </c>
      <c r="HZ79" s="558">
        <f t="shared" si="194"/>
        <v>0.97</v>
      </c>
      <c r="IA79" s="558" t="str">
        <f t="shared" si="194"/>
        <v>.</v>
      </c>
      <c r="IB79" s="558" t="str">
        <f t="shared" si="194"/>
        <v>.</v>
      </c>
      <c r="IC79" s="558" t="str">
        <f t="shared" si="194"/>
        <v>.</v>
      </c>
      <c r="ID79" s="558" t="str">
        <f t="shared" si="193"/>
        <v>.</v>
      </c>
      <c r="IE79" s="558" t="str">
        <f t="shared" si="193"/>
        <v>.</v>
      </c>
      <c r="IF79" s="558" t="str">
        <f t="shared" si="193"/>
        <v>.</v>
      </c>
      <c r="IG79" s="558" t="str">
        <f t="shared" si="193"/>
        <v>.</v>
      </c>
      <c r="IH79" s="558" t="str">
        <f t="shared" si="193"/>
        <v>.</v>
      </c>
      <c r="II79" s="558" t="str">
        <f t="shared" si="193"/>
        <v>.</v>
      </c>
      <c r="IJ79" s="558" t="str">
        <f t="shared" si="193"/>
        <v>.</v>
      </c>
      <c r="IK79" s="558" t="str">
        <f t="shared" si="193"/>
        <v>.</v>
      </c>
      <c r="IL79" s="558" t="str">
        <f t="shared" si="193"/>
        <v>.</v>
      </c>
      <c r="IM79" s="558" t="str">
        <f t="shared" si="193"/>
        <v>.</v>
      </c>
      <c r="IN79" s="558" t="str">
        <f t="shared" si="193"/>
        <v>.</v>
      </c>
      <c r="IO79" s="558" t="str">
        <f t="shared" si="193"/>
        <v>.</v>
      </c>
      <c r="IP79" s="558" t="str">
        <f t="shared" si="193"/>
        <v>.</v>
      </c>
      <c r="IQ79" s="558" t="str">
        <f t="shared" si="193"/>
        <v>.</v>
      </c>
      <c r="IR79" s="558" t="str">
        <f t="shared" si="193"/>
        <v>.</v>
      </c>
      <c r="IS79" s="558" t="str">
        <f t="shared" si="193"/>
        <v>.</v>
      </c>
      <c r="IT79" s="558" t="str">
        <f t="shared" si="193"/>
        <v>.</v>
      </c>
      <c r="IU79" s="558" t="str">
        <f t="shared" si="193"/>
        <v>.</v>
      </c>
      <c r="IV79" s="558" t="str">
        <f t="shared" si="196"/>
        <v>.</v>
      </c>
      <c r="IW79" s="558" t="str">
        <f t="shared" si="196"/>
        <v>.</v>
      </c>
      <c r="IX79" s="558" t="str">
        <f t="shared" si="196"/>
        <v>.</v>
      </c>
      <c r="IY79" s="558" t="str">
        <f t="shared" si="196"/>
        <v>.</v>
      </c>
      <c r="IZ79" s="558" t="str">
        <f t="shared" si="196"/>
        <v>.</v>
      </c>
      <c r="JA79" s="558" t="str">
        <f t="shared" si="196"/>
        <v>.</v>
      </c>
      <c r="JB79" s="558" t="str">
        <f t="shared" si="196"/>
        <v>.</v>
      </c>
      <c r="JC79" s="558" t="str">
        <f t="shared" si="196"/>
        <v>.</v>
      </c>
      <c r="JD79" s="558" t="str">
        <f t="shared" si="196"/>
        <v>.</v>
      </c>
      <c r="JE79" s="558" t="str">
        <f t="shared" si="196"/>
        <v>.</v>
      </c>
      <c r="JF79" s="558" t="str">
        <f t="shared" si="196"/>
        <v>.</v>
      </c>
      <c r="JG79" s="558" t="str">
        <f t="shared" si="196"/>
        <v>.</v>
      </c>
      <c r="JH79" s="558" t="str">
        <f t="shared" si="196"/>
        <v>.</v>
      </c>
      <c r="JI79" s="558" t="str">
        <f t="shared" si="196"/>
        <v>.</v>
      </c>
      <c r="JJ79" s="558" t="str">
        <f t="shared" si="196"/>
        <v>.</v>
      </c>
      <c r="JK79" s="558" t="str">
        <f t="shared" si="196"/>
        <v>.</v>
      </c>
      <c r="JL79" s="558" t="str">
        <f t="shared" si="196"/>
        <v>.</v>
      </c>
      <c r="JM79" s="558" t="str">
        <f t="shared" si="196"/>
        <v>.</v>
      </c>
      <c r="JN79" s="558" t="str">
        <f t="shared" si="196"/>
        <v>.</v>
      </c>
      <c r="JO79" s="558" t="str">
        <f t="shared" si="196"/>
        <v>.</v>
      </c>
    </row>
    <row r="80" spans="1:275" x14ac:dyDescent="0.2">
      <c r="A80" s="534">
        <f xml:space="preserve"> Basis!A80</f>
        <v>80</v>
      </c>
      <c r="F80" s="536">
        <f xml:space="preserve"> ROUND(    IF( $A$15=BE_MF_,   AW80,   INDEX( qx!80:80, F$16 ) ),    F$17    )</f>
        <v>2.8299999999999999E-2</v>
      </c>
      <c r="G80" s="536">
        <f xml:space="preserve"> ROUND(    IF( $A$15=BE_MF_,   BB80,   INDEX( wx!80:80, G$16 ) ),    G$17    )</f>
        <v>1.6999999999999999E-3</v>
      </c>
      <c r="H80" s="537">
        <f xml:space="preserve"> ROUND(    IF( $A$15=BE_MF_,   BG80,   INDEX( Kx!80:80, H$16 ) ),    H$17    )</f>
        <v>10301.86</v>
      </c>
      <c r="I80" s="538">
        <f t="shared" si="93"/>
        <v>10301.86</v>
      </c>
      <c r="J80" s="539">
        <f t="shared" si="129"/>
        <v>4.9580000000000002</v>
      </c>
      <c r="K80" s="540">
        <f t="shared" si="190"/>
        <v>0</v>
      </c>
      <c r="L80" s="541">
        <f t="shared" si="116"/>
        <v>0</v>
      </c>
      <c r="M80" s="541">
        <f t="shared" si="116"/>
        <v>8.5999999999999993E-2</v>
      </c>
      <c r="O80" s="542" t="b">
        <f t="shared" si="95"/>
        <v>1</v>
      </c>
      <c r="P80" s="493">
        <f t="shared" si="130"/>
        <v>0.03</v>
      </c>
      <c r="Q80" s="493">
        <f t="shared" si="131"/>
        <v>0.97</v>
      </c>
      <c r="R80" s="543">
        <f t="shared" si="132"/>
        <v>404392</v>
      </c>
      <c r="S80" s="544">
        <f t="shared" si="133"/>
        <v>0.97560975599999999</v>
      </c>
      <c r="T80" s="423">
        <f t="shared" si="134"/>
        <v>56091.02</v>
      </c>
      <c r="U80" s="423">
        <f xml:space="preserve"> IF( $O80,    ROUND(  SUM( T80:T$120), U$17 ),  LEER  )</f>
        <v>540477.85</v>
      </c>
      <c r="V80" s="493">
        <f t="shared" si="135"/>
        <v>9.6356999999999999</v>
      </c>
      <c r="W80" s="493">
        <f t="shared" si="136"/>
        <v>278099.28000000003</v>
      </c>
      <c r="X80" s="493">
        <f xml:space="preserve"> IF( $O80,    ROUND(  SUM( W80:W$120), X$17 ),  LEER  )</f>
        <v>2888192.35</v>
      </c>
      <c r="Y80" s="493">
        <f t="shared" si="137"/>
        <v>51.491199999999999</v>
      </c>
      <c r="Z80" s="493">
        <f t="shared" si="138"/>
        <v>5.3437999999999999</v>
      </c>
      <c r="AA80" s="493">
        <f t="shared" si="139"/>
        <v>1</v>
      </c>
      <c r="AB80" s="493">
        <f t="shared" si="140"/>
        <v>2.3494000000000002</v>
      </c>
      <c r="AC80" s="545">
        <f t="shared" si="141"/>
        <v>0.32679999999999998</v>
      </c>
      <c r="AD80" s="493">
        <f t="shared" si="142"/>
        <v>5.3437999999999999</v>
      </c>
      <c r="AE80" s="493">
        <f t="shared" si="143"/>
        <v>6.2042000000000002</v>
      </c>
      <c r="AF80" s="493">
        <f t="shared" si="144"/>
        <v>6.2042000000000002</v>
      </c>
      <c r="AG80" s="493" t="str">
        <f t="shared" si="145"/>
        <v>.</v>
      </c>
      <c r="AH80" s="493" t="str">
        <f t="shared" si="146"/>
        <v>.</v>
      </c>
      <c r="AI80" s="423">
        <f t="shared" si="147"/>
        <v>2077.79</v>
      </c>
      <c r="AJ80" s="423">
        <f t="shared" si="148"/>
        <v>12891.02</v>
      </c>
      <c r="AK80" s="423">
        <f t="shared" si="149"/>
        <v>1074.25</v>
      </c>
      <c r="AN80" s="423">
        <f t="shared" ref="AN80:AO99" si="200" xml:space="preserve">  IF( AND( $A80&lt;=$O$12, $A80&gt;=AN$12),    ROUND( AN$19 * ( SUM($Y80) - SUM(AN$8) * SUM($V80) ), AN$17 ),  LEER  )</f>
        <v>69867.039999999994</v>
      </c>
      <c r="AO80" s="423">
        <f t="shared" si="200"/>
        <v>69422.570000000007</v>
      </c>
      <c r="AR80" s="546">
        <f xml:space="preserve"> ROUND(  INDEX( Kx!80:80, AR$16 ),  AR$17 )</f>
        <v>0.64510000000000001</v>
      </c>
      <c r="AS80" s="547">
        <f xml:space="preserve"> ROUND(  INDEX( qx!80:80, AS$16 ),  AS$17 )</f>
        <v>3.3799999999999997E-2</v>
      </c>
      <c r="AT80" s="547">
        <f xml:space="preserve"> ROUND(  INDEX( qx!80:80, AT$16 ),  AT$17 )</f>
        <v>2.1600000000000001E-2</v>
      </c>
      <c r="AU80" s="548" t="str">
        <f t="shared" si="150"/>
        <v>F</v>
      </c>
      <c r="AV80" s="542">
        <f t="shared" si="151"/>
        <v>0.54790000000000005</v>
      </c>
      <c r="AW80" s="542">
        <f t="shared" si="152"/>
        <v>2.8299999999999999E-2</v>
      </c>
      <c r="AX80" s="546">
        <f xml:space="preserve"> ROUND(  INDEX( wx!80:80, AX$16 ),  AX$17 )</f>
        <v>1.6000000000000001E-3</v>
      </c>
      <c r="AY80" s="546">
        <f xml:space="preserve"> ROUND(  INDEX( wx!80:80, AY$16 ),  AY$17 )</f>
        <v>2.0999999999999999E-3</v>
      </c>
      <c r="AZ80" s="548" t="str">
        <f t="shared" si="153"/>
        <v>M</v>
      </c>
      <c r="BA80" s="542">
        <f t="shared" si="154"/>
        <v>0.73170000000000002</v>
      </c>
      <c r="BB80" s="542">
        <f t="shared" si="155"/>
        <v>1.6999999999999999E-3</v>
      </c>
      <c r="BC80" s="533">
        <f xml:space="preserve"> ROUND(  INDEX( Kx!80:80, BC$16 ),  BC$17 )</f>
        <v>10718.26</v>
      </c>
      <c r="BD80" s="533">
        <f xml:space="preserve"> ROUND(  INDEX( Kx!80:80, BD$16 ),  BD$17 )</f>
        <v>9166.27</v>
      </c>
      <c r="BE80" s="548" t="str">
        <f t="shared" si="52"/>
        <v>M</v>
      </c>
      <c r="BF80" s="542">
        <f t="shared" si="156"/>
        <v>0.73170000000000002</v>
      </c>
      <c r="BG80" s="420">
        <f t="shared" si="157"/>
        <v>10301.86</v>
      </c>
      <c r="BQ80" s="549">
        <f t="shared" si="96"/>
        <v>80</v>
      </c>
      <c r="BR80" s="423">
        <f t="shared" si="55"/>
        <v>72539.429999999993</v>
      </c>
      <c r="BS80" s="550">
        <f t="shared" si="158"/>
        <v>10301.86</v>
      </c>
      <c r="BT80" s="423">
        <f t="shared" si="159"/>
        <v>-6183.8</v>
      </c>
      <c r="BU80" s="551">
        <f t="shared" si="160"/>
        <v>56091.02</v>
      </c>
      <c r="BV80" s="551">
        <f t="shared" si="161"/>
        <v>1.0528999999999999</v>
      </c>
      <c r="BW80" s="529">
        <f t="shared" si="162"/>
        <v>69867.039999999994</v>
      </c>
      <c r="BX80" s="552">
        <f t="shared" si="163"/>
        <v>3511.4100000000035</v>
      </c>
      <c r="BY80" s="560"/>
      <c r="BZ80" s="559"/>
      <c r="CB80" s="423">
        <f t="shared" si="164"/>
        <v>-6610.48</v>
      </c>
      <c r="CC80" s="423">
        <f t="shared" si="165"/>
        <v>1746.68</v>
      </c>
      <c r="CD80" s="423">
        <f t="shared" si="166"/>
        <v>2010.41</v>
      </c>
      <c r="CE80" s="423">
        <f t="shared" si="167"/>
        <v>-2853.3899999999994</v>
      </c>
      <c r="CF80" s="553">
        <f t="shared" si="168"/>
        <v>-2853.5399999999936</v>
      </c>
      <c r="CH80" s="423">
        <f t="shared" si="169"/>
        <v>3852.4304390000002</v>
      </c>
      <c r="CI80" s="423">
        <f t="shared" si="170"/>
        <v>10301.68</v>
      </c>
      <c r="CJ80" s="423">
        <f t="shared" si="171"/>
        <v>-4488.0200000000004</v>
      </c>
      <c r="CK80" s="423">
        <f t="shared" si="172"/>
        <v>-1961.37</v>
      </c>
      <c r="CL80" s="553">
        <f t="shared" si="173"/>
        <v>3852.29</v>
      </c>
      <c r="CN80" s="423">
        <f t="shared" si="71"/>
        <v>3898.5573770000001</v>
      </c>
      <c r="CO80" s="423">
        <f t="shared" si="174"/>
        <v>10301.68</v>
      </c>
      <c r="CP80" s="423">
        <f t="shared" si="175"/>
        <v>-4454.21</v>
      </c>
      <c r="CQ80" s="423">
        <f t="shared" si="176"/>
        <v>-1949.05</v>
      </c>
      <c r="CR80" s="553">
        <f t="shared" si="75"/>
        <v>3898.42</v>
      </c>
      <c r="CV80" s="564">
        <f t="shared" si="98"/>
        <v>80</v>
      </c>
      <c r="CW80" s="538" t="str">
        <f t="shared" si="177"/>
        <v>.</v>
      </c>
      <c r="CX80" s="566">
        <f t="shared" si="178"/>
        <v>69422.570000000007</v>
      </c>
      <c r="CY80" s="538" t="str">
        <f t="shared" si="179"/>
        <v>.</v>
      </c>
      <c r="CZ80" s="538">
        <f t="shared" si="180"/>
        <v>42405</v>
      </c>
      <c r="DA80" s="538">
        <f t="shared" si="181"/>
        <v>23995.01</v>
      </c>
      <c r="DB80" s="567" t="e">
        <f t="shared" si="99"/>
        <v>#N/A</v>
      </c>
      <c r="DC80" s="567">
        <f t="shared" si="100"/>
        <v>69422.570000000007</v>
      </c>
      <c r="DD80" s="567" t="e">
        <f t="shared" si="101"/>
        <v>#N/A</v>
      </c>
      <c r="DE80" s="567">
        <f t="shared" si="101"/>
        <v>42405</v>
      </c>
      <c r="DF80" s="568">
        <f t="shared" si="102"/>
        <v>66400.009999999995</v>
      </c>
      <c r="EL80" s="553">
        <f t="shared" si="81"/>
        <v>49824.05</v>
      </c>
      <c r="EM80" s="553">
        <f t="shared" si="182"/>
        <v>19602.07</v>
      </c>
      <c r="EN80" s="423">
        <f t="shared" si="183"/>
        <v>69426.12</v>
      </c>
      <c r="EO80" s="555">
        <f xml:space="preserve"> 'i2'!AO80</f>
        <v>69422.570000000007</v>
      </c>
      <c r="EV80" s="533" t="e">
        <f xml:space="preserve"> ROUND(    IF( $A$15=BE_MF_,   LEER,   INDEX( Kx!80:80, EV$16 ) ),    EV$17    )</f>
        <v>#VALUE!</v>
      </c>
      <c r="EW80" s="533" t="e">
        <f xml:space="preserve"> ROUND(    IF( $A$15=BE_MF_,   LEER,   INDEX( Kx!80:80, EW$16 ) ),    EW$17    )</f>
        <v>#VALUE!</v>
      </c>
      <c r="EX80" s="533" t="e">
        <f xml:space="preserve"> ROUND(    IF( $A$15=BE_MF_,   LEER,   INDEX( Kx!80:80, EX$16 ) ),    EX$17    )</f>
        <v>#VALUE!</v>
      </c>
      <c r="EY80" s="556" t="e">
        <f t="shared" si="103"/>
        <v>#VALUE!</v>
      </c>
      <c r="FB80" s="533" t="e">
        <f xml:space="preserve"> ROUND(    IF( $A$15=BE_MF_,   LEER,   INDEX( Kx!80:80, FB$16 ) ),    FB$17    )</f>
        <v>#VALUE!</v>
      </c>
      <c r="FC80" s="533" t="e">
        <f xml:space="preserve"> ROUND(    IF( $A$15=BE_MF_,   LEER,   INDEX( Kx!80:80, FC$16 ) ),    FC$17    )</f>
        <v>#VALUE!</v>
      </c>
      <c r="FD80" s="556" t="e">
        <f t="shared" si="104"/>
        <v>#VALUE!</v>
      </c>
      <c r="FG80" s="556" t="e">
        <f t="shared" si="105"/>
        <v>#VALUE!</v>
      </c>
      <c r="FH80" s="556" t="e">
        <f t="shared" si="105"/>
        <v>#VALUE!</v>
      </c>
      <c r="FI80" s="556" t="e">
        <f t="shared" si="105"/>
        <v>#VALUE!</v>
      </c>
      <c r="FN80" s="557">
        <f t="shared" si="184"/>
        <v>80</v>
      </c>
      <c r="FO80" s="493">
        <f t="shared" si="185"/>
        <v>51.491199999999999</v>
      </c>
      <c r="FP80" s="493">
        <f t="shared" si="186"/>
        <v>9.6356999999999999</v>
      </c>
      <c r="FR80" s="427">
        <f t="shared" si="106"/>
        <v>2804155.0000000005</v>
      </c>
      <c r="FS80" s="558">
        <f t="shared" si="197"/>
        <v>82954.740000000005</v>
      </c>
      <c r="FT80" s="558">
        <f t="shared" si="197"/>
        <v>82143.89</v>
      </c>
      <c r="FU80" s="558">
        <f t="shared" si="197"/>
        <v>81331.039999999994</v>
      </c>
      <c r="FV80" s="558">
        <f t="shared" si="197"/>
        <v>80518.19</v>
      </c>
      <c r="FW80" s="558">
        <f t="shared" si="197"/>
        <v>79677.31</v>
      </c>
      <c r="FX80" s="558">
        <f t="shared" si="197"/>
        <v>78812.399999999994</v>
      </c>
      <c r="FY80" s="558">
        <f t="shared" si="197"/>
        <v>77955.5</v>
      </c>
      <c r="FZ80" s="558">
        <f t="shared" si="197"/>
        <v>77092.600000000006</v>
      </c>
      <c r="GA80" s="558">
        <f t="shared" si="197"/>
        <v>76199.67</v>
      </c>
      <c r="GB80" s="558">
        <f t="shared" si="197"/>
        <v>75270.69</v>
      </c>
      <c r="GC80" s="558">
        <f t="shared" si="197"/>
        <v>74335.710000000006</v>
      </c>
      <c r="GD80" s="558">
        <f t="shared" si="197"/>
        <v>73386.720000000001</v>
      </c>
      <c r="GE80" s="558">
        <f t="shared" si="197"/>
        <v>72415.7</v>
      </c>
      <c r="GF80" s="558">
        <f t="shared" si="197"/>
        <v>71440.679999999993</v>
      </c>
      <c r="GG80" s="558">
        <f t="shared" si="197"/>
        <v>70435.63</v>
      </c>
      <c r="GH80" s="558">
        <f t="shared" si="197"/>
        <v>69422.570000000007</v>
      </c>
      <c r="GI80" s="558">
        <f t="shared" si="195"/>
        <v>68379.48</v>
      </c>
      <c r="GJ80" s="558">
        <f t="shared" si="195"/>
        <v>67312.36</v>
      </c>
      <c r="GK80" s="558">
        <f t="shared" si="195"/>
        <v>66215.210000000006</v>
      </c>
      <c r="GL80" s="558">
        <f t="shared" si="195"/>
        <v>65086.03</v>
      </c>
      <c r="GM80" s="558">
        <f t="shared" si="195"/>
        <v>63922.81</v>
      </c>
      <c r="GN80" s="558">
        <f t="shared" si="195"/>
        <v>62715.55</v>
      </c>
      <c r="GO80" s="558">
        <f t="shared" si="195"/>
        <v>61464.24</v>
      </c>
      <c r="GP80" s="558">
        <f t="shared" si="195"/>
        <v>60166.879999999997</v>
      </c>
      <c r="GQ80" s="558">
        <f t="shared" si="195"/>
        <v>58817.47</v>
      </c>
      <c r="GR80" s="558">
        <f t="shared" si="195"/>
        <v>57426.01</v>
      </c>
      <c r="GS80" s="558">
        <f t="shared" si="195"/>
        <v>55986.5</v>
      </c>
      <c r="GT80" s="558">
        <f t="shared" si="195"/>
        <v>54502.95</v>
      </c>
      <c r="GU80" s="558">
        <f t="shared" si="195"/>
        <v>52979.360000000001</v>
      </c>
      <c r="GV80" s="558">
        <f t="shared" si="195"/>
        <v>51417.72</v>
      </c>
      <c r="GW80" s="558">
        <f t="shared" si="195"/>
        <v>49824.05</v>
      </c>
      <c r="GX80" s="558">
        <f t="shared" si="198"/>
        <v>48192.34</v>
      </c>
      <c r="GY80" s="558">
        <f t="shared" si="198"/>
        <v>46538.61</v>
      </c>
      <c r="GZ80" s="558">
        <f t="shared" si="198"/>
        <v>44854.85</v>
      </c>
      <c r="HA80" s="558">
        <f t="shared" si="198"/>
        <v>43153.07</v>
      </c>
      <c r="HB80" s="558">
        <f t="shared" si="198"/>
        <v>41433.269999999997</v>
      </c>
      <c r="HC80" s="558">
        <f t="shared" si="198"/>
        <v>39693.449999999997</v>
      </c>
      <c r="HD80" s="558">
        <f t="shared" si="198"/>
        <v>37939.61</v>
      </c>
      <c r="HE80" s="558">
        <f t="shared" si="198"/>
        <v>36159.75</v>
      </c>
      <c r="HF80" s="558">
        <f t="shared" si="198"/>
        <v>34341.839999999997</v>
      </c>
      <c r="HG80" s="558">
        <f t="shared" si="198"/>
        <v>32497.91</v>
      </c>
      <c r="HH80" s="558">
        <f t="shared" si="198"/>
        <v>30635.96</v>
      </c>
      <c r="HI80" s="558">
        <f t="shared" si="198"/>
        <v>28749.99</v>
      </c>
      <c r="HJ80" s="558">
        <f t="shared" si="198"/>
        <v>26850</v>
      </c>
      <c r="HK80" s="558">
        <f t="shared" si="198"/>
        <v>24929.99</v>
      </c>
      <c r="HL80" s="558">
        <f t="shared" si="198"/>
        <v>23028</v>
      </c>
      <c r="HM80" s="558">
        <f t="shared" si="198"/>
        <v>21109.99</v>
      </c>
      <c r="HN80" s="558">
        <f t="shared" si="199"/>
        <v>19203.990000000002</v>
      </c>
      <c r="HO80" s="558">
        <f t="shared" si="199"/>
        <v>17312.009999999998</v>
      </c>
      <c r="HP80" s="558">
        <f t="shared" si="199"/>
        <v>15428.04</v>
      </c>
      <c r="HQ80" s="558">
        <f t="shared" si="199"/>
        <v>13876.42</v>
      </c>
      <c r="HR80" s="558">
        <f t="shared" si="199"/>
        <v>12372.84</v>
      </c>
      <c r="HS80" s="558">
        <f t="shared" si="194"/>
        <v>10933.34</v>
      </c>
      <c r="HT80" s="558">
        <f t="shared" si="194"/>
        <v>9569.91</v>
      </c>
      <c r="HU80" s="558">
        <f t="shared" si="194"/>
        <v>7924.18</v>
      </c>
      <c r="HV80" s="558">
        <f t="shared" si="194"/>
        <v>6342.53</v>
      </c>
      <c r="HW80" s="558">
        <f t="shared" si="194"/>
        <v>4834.95</v>
      </c>
      <c r="HX80" s="558">
        <f t="shared" si="194"/>
        <v>3449.5</v>
      </c>
      <c r="HY80" s="558">
        <f t="shared" si="194"/>
        <v>2174.16</v>
      </c>
      <c r="HZ80" s="558">
        <f t="shared" si="194"/>
        <v>1014.95</v>
      </c>
      <c r="IA80" s="558">
        <f t="shared" si="194"/>
        <v>-0.11</v>
      </c>
      <c r="IB80" s="558" t="str">
        <f t="shared" si="194"/>
        <v>.</v>
      </c>
      <c r="IC80" s="558" t="str">
        <f t="shared" si="194"/>
        <v>.</v>
      </c>
      <c r="ID80" s="558" t="str">
        <f t="shared" si="193"/>
        <v>.</v>
      </c>
      <c r="IE80" s="558" t="str">
        <f t="shared" si="193"/>
        <v>.</v>
      </c>
      <c r="IF80" s="558" t="str">
        <f t="shared" si="193"/>
        <v>.</v>
      </c>
      <c r="IG80" s="558" t="str">
        <f t="shared" si="193"/>
        <v>.</v>
      </c>
      <c r="IH80" s="558" t="str">
        <f t="shared" si="193"/>
        <v>.</v>
      </c>
      <c r="II80" s="558" t="str">
        <f t="shared" si="193"/>
        <v>.</v>
      </c>
      <c r="IJ80" s="558" t="str">
        <f t="shared" si="193"/>
        <v>.</v>
      </c>
      <c r="IK80" s="558" t="str">
        <f t="shared" si="193"/>
        <v>.</v>
      </c>
      <c r="IL80" s="558" t="str">
        <f t="shared" si="193"/>
        <v>.</v>
      </c>
      <c r="IM80" s="558" t="str">
        <f t="shared" si="193"/>
        <v>.</v>
      </c>
      <c r="IN80" s="558" t="str">
        <f t="shared" si="193"/>
        <v>.</v>
      </c>
      <c r="IO80" s="558" t="str">
        <f t="shared" si="193"/>
        <v>.</v>
      </c>
      <c r="IP80" s="558" t="str">
        <f t="shared" ref="IP80:JN94" si="201" xml:space="preserve"> IF(  OR( IP$18&gt;$FN80, $FN80&gt;$FS$12 ),  LEER,  ROUND( $FR$19 * ( $FO80 - IP$15 * $FP80 ), IP$17 )  )</f>
        <v>.</v>
      </c>
      <c r="IQ80" s="558" t="str">
        <f t="shared" si="201"/>
        <v>.</v>
      </c>
      <c r="IR80" s="558" t="str">
        <f t="shared" si="201"/>
        <v>.</v>
      </c>
      <c r="IS80" s="558" t="str">
        <f t="shared" si="201"/>
        <v>.</v>
      </c>
      <c r="IT80" s="558" t="str">
        <f t="shared" si="201"/>
        <v>.</v>
      </c>
      <c r="IU80" s="558" t="str">
        <f t="shared" si="201"/>
        <v>.</v>
      </c>
      <c r="IV80" s="558" t="str">
        <f t="shared" si="201"/>
        <v>.</v>
      </c>
      <c r="IW80" s="558" t="str">
        <f t="shared" si="201"/>
        <v>.</v>
      </c>
      <c r="IX80" s="558" t="str">
        <f t="shared" si="201"/>
        <v>.</v>
      </c>
      <c r="IY80" s="558" t="str">
        <f t="shared" si="201"/>
        <v>.</v>
      </c>
      <c r="IZ80" s="558" t="str">
        <f t="shared" si="201"/>
        <v>.</v>
      </c>
      <c r="JA80" s="558" t="str">
        <f t="shared" si="201"/>
        <v>.</v>
      </c>
      <c r="JB80" s="558" t="str">
        <f t="shared" si="201"/>
        <v>.</v>
      </c>
      <c r="JC80" s="558" t="str">
        <f t="shared" si="201"/>
        <v>.</v>
      </c>
      <c r="JD80" s="558" t="str">
        <f t="shared" si="201"/>
        <v>.</v>
      </c>
      <c r="JE80" s="558" t="str">
        <f t="shared" si="201"/>
        <v>.</v>
      </c>
      <c r="JF80" s="558" t="str">
        <f t="shared" si="201"/>
        <v>.</v>
      </c>
      <c r="JG80" s="558" t="str">
        <f t="shared" si="201"/>
        <v>.</v>
      </c>
      <c r="JH80" s="558" t="str">
        <f t="shared" si="201"/>
        <v>.</v>
      </c>
      <c r="JI80" s="558" t="str">
        <f t="shared" si="196"/>
        <v>.</v>
      </c>
      <c r="JJ80" s="558" t="str">
        <f t="shared" si="196"/>
        <v>.</v>
      </c>
      <c r="JK80" s="558" t="str">
        <f t="shared" si="196"/>
        <v>.</v>
      </c>
      <c r="JL80" s="558" t="str">
        <f t="shared" si="196"/>
        <v>.</v>
      </c>
      <c r="JM80" s="558" t="str">
        <f t="shared" si="196"/>
        <v>.</v>
      </c>
      <c r="JN80" s="558" t="str">
        <f t="shared" si="196"/>
        <v>.</v>
      </c>
      <c r="JO80" s="558" t="str">
        <f t="shared" si="196"/>
        <v>.</v>
      </c>
    </row>
    <row r="81" spans="1:275" x14ac:dyDescent="0.2">
      <c r="A81" s="534">
        <f xml:space="preserve"> Basis!A81</f>
        <v>81</v>
      </c>
      <c r="F81" s="536">
        <f xml:space="preserve"> ROUND(    IF( $A$15=BE_MF_,   AW81,   INDEX( qx!81:81, F$16 ) ),    F$17    )</f>
        <v>3.3000000000000002E-2</v>
      </c>
      <c r="G81" s="536">
        <f xml:space="preserve"> ROUND(    IF( $A$15=BE_MF_,   BB81,   INDEX( wx!81:81, G$16 ) ),    G$17    )</f>
        <v>1.6999999999999999E-3</v>
      </c>
      <c r="H81" s="537">
        <f xml:space="preserve"> ROUND(    IF( $A$15=BE_MF_,   BG81,   INDEX( Kx!81:81, H$16 ) ),    H$17    )</f>
        <v>10583.86</v>
      </c>
      <c r="I81" s="538">
        <f t="shared" si="93"/>
        <v>10583.86</v>
      </c>
      <c r="J81" s="539">
        <f t="shared" si="129"/>
        <v>5.0940000000000003</v>
      </c>
      <c r="K81" s="540">
        <f t="shared" si="190"/>
        <v>0</v>
      </c>
      <c r="L81" s="541">
        <f t="shared" si="116"/>
        <v>0</v>
      </c>
      <c r="M81" s="541">
        <f t="shared" si="116"/>
        <v>8.5999999999999993E-2</v>
      </c>
      <c r="O81" s="542" t="b">
        <f t="shared" si="95"/>
        <v>1</v>
      </c>
      <c r="P81" s="493">
        <f t="shared" si="130"/>
        <v>3.4700000000000002E-2</v>
      </c>
      <c r="Q81" s="493">
        <f t="shared" si="131"/>
        <v>0.96530000000000005</v>
      </c>
      <c r="R81" s="543">
        <f t="shared" si="132"/>
        <v>392260</v>
      </c>
      <c r="S81" s="544">
        <f t="shared" si="133"/>
        <v>0.97560975599999999</v>
      </c>
      <c r="T81" s="423">
        <f t="shared" si="134"/>
        <v>53081.22</v>
      </c>
      <c r="U81" s="423">
        <f xml:space="preserve"> IF( $O81,    ROUND(  SUM( T81:T$120), U$17 ),  LEER  )</f>
        <v>484386.83</v>
      </c>
      <c r="V81" s="493">
        <f t="shared" si="135"/>
        <v>9.1254000000000008</v>
      </c>
      <c r="W81" s="493">
        <f t="shared" si="136"/>
        <v>270395.73</v>
      </c>
      <c r="X81" s="493">
        <f xml:space="preserve"> IF( $O81,    ROUND(  SUM( W81:W$120), X$17 ),  LEER  )</f>
        <v>2610093.0699999998</v>
      </c>
      <c r="Y81" s="493">
        <f t="shared" si="137"/>
        <v>49.171700000000001</v>
      </c>
      <c r="Z81" s="493">
        <f t="shared" si="138"/>
        <v>5.3883999999999999</v>
      </c>
      <c r="AA81" s="493">
        <f t="shared" si="139"/>
        <v>1</v>
      </c>
      <c r="AB81" s="493">
        <f t="shared" si="140"/>
        <v>2.3494000000000002</v>
      </c>
      <c r="AC81" s="545">
        <f t="shared" si="141"/>
        <v>0.32679999999999998</v>
      </c>
      <c r="AD81" s="493">
        <f t="shared" si="142"/>
        <v>5.3883999999999999</v>
      </c>
      <c r="AE81" s="493">
        <f t="shared" si="143"/>
        <v>6.2530000000000001</v>
      </c>
      <c r="AF81" s="493">
        <f t="shared" si="144"/>
        <v>6.2530000000000001</v>
      </c>
      <c r="AG81" s="493" t="str">
        <f t="shared" si="145"/>
        <v>.</v>
      </c>
      <c r="AH81" s="493" t="str">
        <f t="shared" si="146"/>
        <v>.</v>
      </c>
      <c r="AI81" s="423">
        <f t="shared" si="147"/>
        <v>2077.79</v>
      </c>
      <c r="AJ81" s="423">
        <f t="shared" si="148"/>
        <v>12992.42</v>
      </c>
      <c r="AK81" s="423">
        <f t="shared" si="149"/>
        <v>1082.7</v>
      </c>
      <c r="AN81" s="423">
        <f t="shared" si="200"/>
        <v>67013.5</v>
      </c>
      <c r="AO81" s="423">
        <f t="shared" si="200"/>
        <v>66592.570000000007</v>
      </c>
      <c r="AR81" s="546">
        <f xml:space="preserve"> ROUND(  INDEX( Kx!81:81, AR$16 ),  AR$17 )</f>
        <v>0.6482</v>
      </c>
      <c r="AS81" s="547">
        <f xml:space="preserve"> ROUND(  INDEX( qx!81:81, AS$16 ),  AS$17 )</f>
        <v>3.9100000000000003E-2</v>
      </c>
      <c r="AT81" s="547">
        <f xml:space="preserve"> ROUND(  INDEX( qx!81:81, AT$16 ),  AT$17 )</f>
        <v>2.5399999999999999E-2</v>
      </c>
      <c r="AU81" s="548" t="str">
        <f t="shared" si="150"/>
        <v>F</v>
      </c>
      <c r="AV81" s="542">
        <f t="shared" si="151"/>
        <v>0.55120000000000002</v>
      </c>
      <c r="AW81" s="542">
        <f t="shared" si="152"/>
        <v>3.3000000000000002E-2</v>
      </c>
      <c r="AX81" s="546">
        <f xml:space="preserve"> ROUND(  INDEX( wx!81:81, AX$16 ),  AX$17 )</f>
        <v>1.5E-3</v>
      </c>
      <c r="AY81" s="546">
        <f xml:space="preserve"> ROUND(  INDEX( wx!81:81, AY$16 ),  AY$17 )</f>
        <v>2.0999999999999999E-3</v>
      </c>
      <c r="AZ81" s="548" t="str">
        <f t="shared" si="153"/>
        <v>M</v>
      </c>
      <c r="BA81" s="542">
        <f t="shared" si="154"/>
        <v>0.73429999999999995</v>
      </c>
      <c r="BB81" s="542">
        <f t="shared" si="155"/>
        <v>1.6999999999999999E-3</v>
      </c>
      <c r="BC81" s="533">
        <f xml:space="preserve"> ROUND(  INDEX( Kx!81:81, BC$16 ),  BC$17 )</f>
        <v>11012.77</v>
      </c>
      <c r="BD81" s="533">
        <f xml:space="preserve"> ROUND(  INDEX( Kx!81:81, BD$16 ),  BD$17 )</f>
        <v>9398.51</v>
      </c>
      <c r="BE81" s="548" t="str">
        <f t="shared" si="52"/>
        <v>M</v>
      </c>
      <c r="BF81" s="542">
        <f t="shared" si="156"/>
        <v>0.73429999999999995</v>
      </c>
      <c r="BG81" s="420">
        <f t="shared" si="157"/>
        <v>10583.86</v>
      </c>
      <c r="BQ81" s="549">
        <f t="shared" si="96"/>
        <v>81</v>
      </c>
      <c r="BR81" s="423">
        <f t="shared" si="55"/>
        <v>69867.039999999994</v>
      </c>
      <c r="BS81" s="550">
        <f t="shared" si="158"/>
        <v>10583.86</v>
      </c>
      <c r="BT81" s="423">
        <f t="shared" si="159"/>
        <v>-6449.43</v>
      </c>
      <c r="BU81" s="551">
        <f t="shared" si="160"/>
        <v>53081.22</v>
      </c>
      <c r="BV81" s="551">
        <f t="shared" si="161"/>
        <v>1.0567</v>
      </c>
      <c r="BW81" s="529">
        <f t="shared" si="162"/>
        <v>67013.5</v>
      </c>
      <c r="BX81" s="552">
        <f t="shared" si="163"/>
        <v>3595.8900000000067</v>
      </c>
      <c r="BY81" s="560"/>
      <c r="BZ81" s="559"/>
      <c r="CB81" s="423">
        <f t="shared" si="164"/>
        <v>-6900.13</v>
      </c>
      <c r="CC81" s="423">
        <f t="shared" si="165"/>
        <v>1675.34</v>
      </c>
      <c r="CD81" s="423">
        <f t="shared" si="166"/>
        <v>2221.15</v>
      </c>
      <c r="CE81" s="423">
        <f t="shared" si="167"/>
        <v>-3003.64</v>
      </c>
      <c r="CF81" s="553">
        <f t="shared" si="168"/>
        <v>-3003.4199999999983</v>
      </c>
      <c r="CH81" s="423">
        <f t="shared" si="169"/>
        <v>3852.4304390000002</v>
      </c>
      <c r="CI81" s="423">
        <f t="shared" si="170"/>
        <v>10584.26</v>
      </c>
      <c r="CJ81" s="423">
        <f t="shared" si="171"/>
        <v>-4564.6400000000003</v>
      </c>
      <c r="CK81" s="423">
        <f t="shared" si="172"/>
        <v>-2166.98</v>
      </c>
      <c r="CL81" s="553">
        <f t="shared" si="173"/>
        <v>3852.64</v>
      </c>
      <c r="CN81" s="423">
        <f t="shared" si="71"/>
        <v>3898.5573770000001</v>
      </c>
      <c r="CO81" s="423">
        <f t="shared" si="174"/>
        <v>10584.26</v>
      </c>
      <c r="CP81" s="423">
        <f t="shared" si="175"/>
        <v>-4531.9799999999996</v>
      </c>
      <c r="CQ81" s="423">
        <f t="shared" si="176"/>
        <v>-2153.5</v>
      </c>
      <c r="CR81" s="553">
        <f t="shared" si="75"/>
        <v>3898.7800000000007</v>
      </c>
      <c r="CV81" s="564">
        <f t="shared" si="98"/>
        <v>81</v>
      </c>
      <c r="CW81" s="538" t="str">
        <f t="shared" si="177"/>
        <v>.</v>
      </c>
      <c r="CX81" s="566">
        <f t="shared" si="178"/>
        <v>66592.570000000007</v>
      </c>
      <c r="CY81" s="538" t="str">
        <f t="shared" si="179"/>
        <v>.</v>
      </c>
      <c r="CZ81" s="538">
        <f t="shared" si="180"/>
        <v>40159</v>
      </c>
      <c r="DA81" s="538">
        <f t="shared" si="181"/>
        <v>23570.82</v>
      </c>
      <c r="DB81" s="567" t="e">
        <f t="shared" si="99"/>
        <v>#N/A</v>
      </c>
      <c r="DC81" s="567">
        <f t="shared" si="100"/>
        <v>66592.570000000007</v>
      </c>
      <c r="DD81" s="567" t="e">
        <f t="shared" si="101"/>
        <v>#N/A</v>
      </c>
      <c r="DE81" s="567">
        <f t="shared" si="101"/>
        <v>40159</v>
      </c>
      <c r="DF81" s="568">
        <f t="shared" si="102"/>
        <v>63729.82</v>
      </c>
      <c r="EL81" s="553">
        <f t="shared" si="81"/>
        <v>48031.98</v>
      </c>
      <c r="EM81" s="553">
        <f t="shared" si="182"/>
        <v>18563.96</v>
      </c>
      <c r="EN81" s="423">
        <f t="shared" si="183"/>
        <v>66595.94</v>
      </c>
      <c r="EO81" s="555">
        <f xml:space="preserve"> 'i2'!AO81</f>
        <v>66592.570000000007</v>
      </c>
      <c r="EV81" s="533" t="e">
        <f xml:space="preserve"> ROUND(    IF( $A$15=BE_MF_,   LEER,   INDEX( Kx!81:81, EV$16 ) ),    EV$17    )</f>
        <v>#VALUE!</v>
      </c>
      <c r="EW81" s="533" t="e">
        <f xml:space="preserve"> ROUND(    IF( $A$15=BE_MF_,   LEER,   INDEX( Kx!81:81, EW$16 ) ),    EW$17    )</f>
        <v>#VALUE!</v>
      </c>
      <c r="EX81" s="533" t="e">
        <f xml:space="preserve"> ROUND(    IF( $A$15=BE_MF_,   LEER,   INDEX( Kx!81:81, EX$16 ) ),    EX$17    )</f>
        <v>#VALUE!</v>
      </c>
      <c r="EY81" s="556" t="e">
        <f t="shared" si="103"/>
        <v>#VALUE!</v>
      </c>
      <c r="FB81" s="533" t="e">
        <f xml:space="preserve"> ROUND(    IF( $A$15=BE_MF_,   LEER,   INDEX( Kx!81:81, FB$16 ) ),    FB$17    )</f>
        <v>#VALUE!</v>
      </c>
      <c r="FC81" s="533" t="e">
        <f xml:space="preserve"> ROUND(    IF( $A$15=BE_MF_,   LEER,   INDEX( Kx!81:81, FC$16 ) ),    FC$17    )</f>
        <v>#VALUE!</v>
      </c>
      <c r="FD81" s="556" t="e">
        <f t="shared" si="104"/>
        <v>#VALUE!</v>
      </c>
      <c r="FG81" s="556" t="e">
        <f t="shared" si="105"/>
        <v>#VALUE!</v>
      </c>
      <c r="FH81" s="556" t="e">
        <f t="shared" si="105"/>
        <v>#VALUE!</v>
      </c>
      <c r="FI81" s="556" t="e">
        <f t="shared" si="105"/>
        <v>#VALUE!</v>
      </c>
      <c r="FN81" s="557">
        <f t="shared" si="184"/>
        <v>81</v>
      </c>
      <c r="FO81" s="493">
        <f t="shared" si="185"/>
        <v>49.171700000000001</v>
      </c>
      <c r="FP81" s="493">
        <f t="shared" si="186"/>
        <v>9.1254000000000008</v>
      </c>
      <c r="FR81" s="427">
        <f t="shared" si="106"/>
        <v>2707290.6000000006</v>
      </c>
      <c r="FS81" s="558">
        <f t="shared" si="197"/>
        <v>79408.08</v>
      </c>
      <c r="FT81" s="558">
        <f t="shared" si="197"/>
        <v>78640.179999999993</v>
      </c>
      <c r="FU81" s="558">
        <f t="shared" si="197"/>
        <v>77870.37</v>
      </c>
      <c r="FV81" s="558">
        <f t="shared" si="197"/>
        <v>77100.570000000007</v>
      </c>
      <c r="FW81" s="558">
        <f t="shared" si="197"/>
        <v>76304.22</v>
      </c>
      <c r="FX81" s="558">
        <f t="shared" si="197"/>
        <v>75485.119999999995</v>
      </c>
      <c r="FY81" s="558">
        <f t="shared" si="197"/>
        <v>74673.61</v>
      </c>
      <c r="FZ81" s="558">
        <f t="shared" si="197"/>
        <v>73856.399999999994</v>
      </c>
      <c r="GA81" s="558">
        <f t="shared" si="197"/>
        <v>73010.759999999995</v>
      </c>
      <c r="GB81" s="558">
        <f t="shared" si="197"/>
        <v>72130.98</v>
      </c>
      <c r="GC81" s="558">
        <f t="shared" si="197"/>
        <v>71245.52</v>
      </c>
      <c r="GD81" s="558">
        <f t="shared" si="197"/>
        <v>70346.78</v>
      </c>
      <c r="GE81" s="558">
        <f t="shared" si="197"/>
        <v>69427.19</v>
      </c>
      <c r="GF81" s="558">
        <f t="shared" si="197"/>
        <v>68503.81</v>
      </c>
      <c r="GG81" s="558">
        <f t="shared" si="197"/>
        <v>67551.98</v>
      </c>
      <c r="GH81" s="558">
        <f t="shared" si="197"/>
        <v>66592.570000000007</v>
      </c>
      <c r="GI81" s="558">
        <f t="shared" si="195"/>
        <v>65604.72</v>
      </c>
      <c r="GJ81" s="558">
        <f t="shared" si="195"/>
        <v>64594.12</v>
      </c>
      <c r="GK81" s="558">
        <f t="shared" si="195"/>
        <v>63555.07</v>
      </c>
      <c r="GL81" s="558">
        <f t="shared" si="195"/>
        <v>62485.69</v>
      </c>
      <c r="GM81" s="558">
        <f t="shared" si="195"/>
        <v>61384.08</v>
      </c>
      <c r="GN81" s="558">
        <f t="shared" si="195"/>
        <v>60240.75</v>
      </c>
      <c r="GO81" s="558">
        <f t="shared" si="195"/>
        <v>59055.71</v>
      </c>
      <c r="GP81" s="558">
        <f t="shared" si="195"/>
        <v>57827.06</v>
      </c>
      <c r="GQ81" s="558">
        <f t="shared" si="195"/>
        <v>56549.11</v>
      </c>
      <c r="GR81" s="558">
        <f t="shared" si="195"/>
        <v>55231.34</v>
      </c>
      <c r="GS81" s="558">
        <f t="shared" si="195"/>
        <v>53868.07</v>
      </c>
      <c r="GT81" s="558">
        <f t="shared" si="195"/>
        <v>52463.08</v>
      </c>
      <c r="GU81" s="558">
        <f t="shared" si="195"/>
        <v>51020.18</v>
      </c>
      <c r="GV81" s="558">
        <f t="shared" si="195"/>
        <v>49541.25</v>
      </c>
      <c r="GW81" s="558">
        <f t="shared" si="195"/>
        <v>48031.98</v>
      </c>
      <c r="GX81" s="558">
        <f t="shared" si="198"/>
        <v>46486.68</v>
      </c>
      <c r="GY81" s="558">
        <f t="shared" si="198"/>
        <v>44920.53</v>
      </c>
      <c r="GZ81" s="558">
        <f t="shared" si="198"/>
        <v>43325.94</v>
      </c>
      <c r="HA81" s="558">
        <f t="shared" si="198"/>
        <v>41714.28</v>
      </c>
      <c r="HB81" s="558">
        <f t="shared" si="198"/>
        <v>40085.56</v>
      </c>
      <c r="HC81" s="558">
        <f t="shared" si="198"/>
        <v>38437.879999999997</v>
      </c>
      <c r="HD81" s="558">
        <f t="shared" si="198"/>
        <v>36776.93</v>
      </c>
      <c r="HE81" s="558">
        <f t="shared" si="198"/>
        <v>35091.32</v>
      </c>
      <c r="HF81" s="558">
        <f t="shared" si="198"/>
        <v>33369.69</v>
      </c>
      <c r="HG81" s="558">
        <f t="shared" si="198"/>
        <v>31623.42</v>
      </c>
      <c r="HH81" s="558">
        <f t="shared" si="198"/>
        <v>29860.080000000002</v>
      </c>
      <c r="HI81" s="558">
        <f t="shared" si="198"/>
        <v>28073.98</v>
      </c>
      <c r="HJ81" s="558">
        <f t="shared" si="198"/>
        <v>26274.61</v>
      </c>
      <c r="HK81" s="558">
        <f t="shared" si="198"/>
        <v>24456.29</v>
      </c>
      <c r="HL81" s="558">
        <f t="shared" si="198"/>
        <v>22655.02</v>
      </c>
      <c r="HM81" s="558">
        <f t="shared" si="198"/>
        <v>20838.59</v>
      </c>
      <c r="HN81" s="558">
        <f t="shared" si="199"/>
        <v>19033.54</v>
      </c>
      <c r="HO81" s="558">
        <f t="shared" si="199"/>
        <v>17241.75</v>
      </c>
      <c r="HP81" s="558">
        <f t="shared" si="199"/>
        <v>15457.55</v>
      </c>
      <c r="HQ81" s="558">
        <f t="shared" si="199"/>
        <v>13988.1</v>
      </c>
      <c r="HR81" s="558">
        <f t="shared" si="199"/>
        <v>12564.16</v>
      </c>
      <c r="HS81" s="558">
        <f t="shared" ref="HS81:IB82" si="202" xml:space="preserve"> IF(  OR( HS$18&gt;$FN81, $FN81&gt;$FS$12 ),  LEER,  ROUND( $FR$19 * ( $FO81 - HS$15 * $FP81 ), HS$17 )  )</f>
        <v>11200.88</v>
      </c>
      <c r="HT81" s="558">
        <f t="shared" si="202"/>
        <v>9909.66</v>
      </c>
      <c r="HU81" s="558">
        <f t="shared" si="202"/>
        <v>8351.1</v>
      </c>
      <c r="HV81" s="558">
        <f t="shared" si="202"/>
        <v>6853.2</v>
      </c>
      <c r="HW81" s="558">
        <f t="shared" si="202"/>
        <v>5425.47</v>
      </c>
      <c r="HX81" s="558">
        <f t="shared" si="202"/>
        <v>4113.3900000000003</v>
      </c>
      <c r="HY81" s="558">
        <f t="shared" si="202"/>
        <v>2905.59</v>
      </c>
      <c r="HZ81" s="558">
        <f t="shared" si="202"/>
        <v>1807.77</v>
      </c>
      <c r="IA81" s="558">
        <f t="shared" si="202"/>
        <v>846.47</v>
      </c>
      <c r="IB81" s="558">
        <f t="shared" si="202"/>
        <v>0.82</v>
      </c>
      <c r="IC81" s="558" t="str">
        <f t="shared" si="194"/>
        <v>.</v>
      </c>
      <c r="ID81" s="558" t="str">
        <f t="shared" ref="ID81:IU96" si="203" xml:space="preserve"> IF(  OR( ID$18&gt;$FN81, $FN81&gt;$FS$12 ),  LEER,  ROUND( $FR$19 * ( $FO81 - ID$15 * $FP81 ), ID$17 )  )</f>
        <v>.</v>
      </c>
      <c r="IE81" s="558" t="str">
        <f t="shared" si="203"/>
        <v>.</v>
      </c>
      <c r="IF81" s="558" t="str">
        <f t="shared" si="203"/>
        <v>.</v>
      </c>
      <c r="IG81" s="558" t="str">
        <f t="shared" si="203"/>
        <v>.</v>
      </c>
      <c r="IH81" s="558" t="str">
        <f t="shared" si="203"/>
        <v>.</v>
      </c>
      <c r="II81" s="558" t="str">
        <f t="shared" si="203"/>
        <v>.</v>
      </c>
      <c r="IJ81" s="558" t="str">
        <f t="shared" si="203"/>
        <v>.</v>
      </c>
      <c r="IK81" s="558" t="str">
        <f t="shared" si="203"/>
        <v>.</v>
      </c>
      <c r="IL81" s="558" t="str">
        <f t="shared" si="203"/>
        <v>.</v>
      </c>
      <c r="IM81" s="558" t="str">
        <f t="shared" si="203"/>
        <v>.</v>
      </c>
      <c r="IN81" s="558" t="str">
        <f t="shared" si="203"/>
        <v>.</v>
      </c>
      <c r="IO81" s="558" t="str">
        <f t="shared" si="203"/>
        <v>.</v>
      </c>
      <c r="IP81" s="558" t="str">
        <f t="shared" si="203"/>
        <v>.</v>
      </c>
      <c r="IQ81" s="558" t="str">
        <f t="shared" si="203"/>
        <v>.</v>
      </c>
      <c r="IR81" s="558" t="str">
        <f t="shared" si="201"/>
        <v>.</v>
      </c>
      <c r="IS81" s="558" t="str">
        <f t="shared" si="201"/>
        <v>.</v>
      </c>
      <c r="IT81" s="558" t="str">
        <f t="shared" si="201"/>
        <v>.</v>
      </c>
      <c r="IU81" s="558" t="str">
        <f t="shared" si="201"/>
        <v>.</v>
      </c>
      <c r="IV81" s="558" t="str">
        <f t="shared" si="201"/>
        <v>.</v>
      </c>
      <c r="IW81" s="558" t="str">
        <f t="shared" si="201"/>
        <v>.</v>
      </c>
      <c r="IX81" s="558" t="str">
        <f t="shared" si="201"/>
        <v>.</v>
      </c>
      <c r="IY81" s="558" t="str">
        <f t="shared" si="201"/>
        <v>.</v>
      </c>
      <c r="IZ81" s="558" t="str">
        <f t="shared" si="201"/>
        <v>.</v>
      </c>
      <c r="JA81" s="558" t="str">
        <f t="shared" si="201"/>
        <v>.</v>
      </c>
      <c r="JB81" s="558" t="str">
        <f t="shared" si="201"/>
        <v>.</v>
      </c>
      <c r="JC81" s="558" t="str">
        <f t="shared" si="201"/>
        <v>.</v>
      </c>
      <c r="JD81" s="558" t="str">
        <f t="shared" si="201"/>
        <v>.</v>
      </c>
      <c r="JE81" s="558" t="str">
        <f t="shared" si="201"/>
        <v>.</v>
      </c>
      <c r="JF81" s="558" t="str">
        <f t="shared" si="201"/>
        <v>.</v>
      </c>
      <c r="JG81" s="558" t="str">
        <f t="shared" si="201"/>
        <v>.</v>
      </c>
      <c r="JH81" s="558" t="str">
        <f t="shared" si="201"/>
        <v>.</v>
      </c>
      <c r="JI81" s="558" t="str">
        <f t="shared" si="196"/>
        <v>.</v>
      </c>
      <c r="JJ81" s="558" t="str">
        <f t="shared" si="196"/>
        <v>.</v>
      </c>
      <c r="JK81" s="558" t="str">
        <f t="shared" si="196"/>
        <v>.</v>
      </c>
      <c r="JL81" s="558" t="str">
        <f t="shared" si="196"/>
        <v>.</v>
      </c>
      <c r="JM81" s="558" t="str">
        <f t="shared" si="196"/>
        <v>.</v>
      </c>
      <c r="JN81" s="558" t="str">
        <f t="shared" si="196"/>
        <v>.</v>
      </c>
      <c r="JO81" s="558" t="str">
        <f t="shared" si="196"/>
        <v>.</v>
      </c>
    </row>
    <row r="82" spans="1:275" x14ac:dyDescent="0.2">
      <c r="A82" s="534">
        <f xml:space="preserve"> Basis!A82</f>
        <v>82</v>
      </c>
      <c r="F82" s="536">
        <f xml:space="preserve"> ROUND(    IF( $A$15=BE_MF_,   AW82,   INDEX( qx!82:82, F$16 ) ),    F$17    )</f>
        <v>3.7999999999999999E-2</v>
      </c>
      <c r="G82" s="536">
        <f xml:space="preserve"> ROUND(    IF( $A$15=BE_MF_,   BB82,   INDEX( wx!82:82, G$16 ) ),    G$17    )</f>
        <v>1.6000000000000001E-3</v>
      </c>
      <c r="H82" s="537">
        <f xml:space="preserve"> ROUND(    IF( $A$15=BE_MF_,   BG82,   INDEX( Kx!82:82, H$16 ) ),    H$17    )</f>
        <v>10809.2</v>
      </c>
      <c r="I82" s="538">
        <f t="shared" si="93"/>
        <v>10809.2</v>
      </c>
      <c r="J82" s="539">
        <f t="shared" si="129"/>
        <v>5.202</v>
      </c>
      <c r="K82" s="540">
        <f t="shared" si="190"/>
        <v>0</v>
      </c>
      <c r="L82" s="541">
        <f t="shared" si="116"/>
        <v>0</v>
      </c>
      <c r="M82" s="541">
        <f t="shared" si="116"/>
        <v>8.5999999999999993E-2</v>
      </c>
      <c r="O82" s="542" t="b">
        <f t="shared" si="95"/>
        <v>1</v>
      </c>
      <c r="P82" s="493">
        <f t="shared" si="130"/>
        <v>3.9600000000000003E-2</v>
      </c>
      <c r="Q82" s="493">
        <f t="shared" si="131"/>
        <v>0.96040000000000003</v>
      </c>
      <c r="R82" s="543">
        <f t="shared" si="132"/>
        <v>378648</v>
      </c>
      <c r="S82" s="544">
        <f t="shared" si="133"/>
        <v>0.97560975599999999</v>
      </c>
      <c r="T82" s="423">
        <f t="shared" si="134"/>
        <v>49989.49</v>
      </c>
      <c r="U82" s="423">
        <f xml:space="preserve"> IF( $O82,    ROUND(  SUM( T82:T$120), U$17 ),  LEER  )</f>
        <v>431305.61</v>
      </c>
      <c r="V82" s="493">
        <f t="shared" si="135"/>
        <v>8.6279000000000003</v>
      </c>
      <c r="W82" s="493">
        <f t="shared" si="136"/>
        <v>260045.33</v>
      </c>
      <c r="X82" s="493">
        <f xml:space="preserve"> IF( $O82,    ROUND(  SUM( W82:W$120), X$17 ),  LEER  )</f>
        <v>2339697.34</v>
      </c>
      <c r="Y82" s="493">
        <f t="shared" si="137"/>
        <v>46.803800000000003</v>
      </c>
      <c r="Z82" s="493">
        <f t="shared" si="138"/>
        <v>5.4246999999999996</v>
      </c>
      <c r="AA82" s="493">
        <f t="shared" si="139"/>
        <v>1</v>
      </c>
      <c r="AB82" s="493">
        <f t="shared" si="140"/>
        <v>2.3494000000000002</v>
      </c>
      <c r="AC82" s="545">
        <f t="shared" si="141"/>
        <v>0.32679999999999998</v>
      </c>
      <c r="AD82" s="493">
        <f t="shared" si="142"/>
        <v>5.4246999999999996</v>
      </c>
      <c r="AE82" s="493">
        <f t="shared" si="143"/>
        <v>6.2927</v>
      </c>
      <c r="AF82" s="493">
        <f t="shared" si="144"/>
        <v>6.2927</v>
      </c>
      <c r="AG82" s="493" t="str">
        <f t="shared" si="145"/>
        <v>.</v>
      </c>
      <c r="AH82" s="493" t="str">
        <f t="shared" si="146"/>
        <v>.</v>
      </c>
      <c r="AI82" s="423">
        <f t="shared" si="147"/>
        <v>2077.79</v>
      </c>
      <c r="AJ82" s="423">
        <f t="shared" si="148"/>
        <v>13074.91</v>
      </c>
      <c r="AK82" s="423">
        <f t="shared" si="149"/>
        <v>1089.58</v>
      </c>
      <c r="AN82" s="423">
        <f t="shared" si="200"/>
        <v>64010.080000000002</v>
      </c>
      <c r="AO82" s="423">
        <f t="shared" si="200"/>
        <v>63612.1</v>
      </c>
      <c r="AR82" s="546">
        <f xml:space="preserve"> ROUND(  INDEX( Kx!82:82, AR$16 ),  AR$17 )</f>
        <v>0.62949999999999995</v>
      </c>
      <c r="AS82" s="547">
        <f xml:space="preserve"> ROUND(  INDEX( qx!82:82, AS$16 ),  AS$17 )</f>
        <v>4.5100000000000001E-2</v>
      </c>
      <c r="AT82" s="547">
        <f xml:space="preserve"> ROUND(  INDEX( qx!82:82, AT$16 ),  AT$17 )</f>
        <v>0.03</v>
      </c>
      <c r="AU82" s="548" t="str">
        <f t="shared" si="150"/>
        <v>F</v>
      </c>
      <c r="AV82" s="542">
        <f t="shared" si="151"/>
        <v>0.53110000000000002</v>
      </c>
      <c r="AW82" s="542">
        <f t="shared" si="152"/>
        <v>3.7999999999999999E-2</v>
      </c>
      <c r="AX82" s="546">
        <f xml:space="preserve"> ROUND(  INDEX( wx!82:82, AX$16 ),  AX$17 )</f>
        <v>1.4E-3</v>
      </c>
      <c r="AY82" s="546">
        <f xml:space="preserve"> ROUND(  INDEX( wx!82:82, AY$16 ),  AY$17 )</f>
        <v>2.0999999999999999E-3</v>
      </c>
      <c r="AZ82" s="548" t="str">
        <f t="shared" si="153"/>
        <v>M</v>
      </c>
      <c r="BA82" s="542">
        <f t="shared" si="154"/>
        <v>0.71819999999999995</v>
      </c>
      <c r="BB82" s="542">
        <f t="shared" si="155"/>
        <v>1.6000000000000001E-3</v>
      </c>
      <c r="BC82" s="533">
        <f xml:space="preserve"> ROUND(  INDEX( Kx!82:82, BC$16 ),  BC$17 )</f>
        <v>11280.84</v>
      </c>
      <c r="BD82" s="533">
        <f xml:space="preserve"> ROUND(  INDEX( Kx!82:82, BD$16 ),  BD$17 )</f>
        <v>9607.18</v>
      </c>
      <c r="BE82" s="548" t="str">
        <f t="shared" si="52"/>
        <v>M</v>
      </c>
      <c r="BF82" s="542">
        <f t="shared" si="156"/>
        <v>0.71819999999999995</v>
      </c>
      <c r="BG82" s="420">
        <f t="shared" si="157"/>
        <v>10809.2</v>
      </c>
      <c r="BQ82" s="549">
        <f t="shared" si="96"/>
        <v>82</v>
      </c>
      <c r="BR82" s="423">
        <f t="shared" si="55"/>
        <v>67013.5</v>
      </c>
      <c r="BS82" s="550">
        <f t="shared" si="158"/>
        <v>10809.2</v>
      </c>
      <c r="BT82" s="423">
        <f t="shared" si="159"/>
        <v>-6731.43</v>
      </c>
      <c r="BU82" s="551">
        <f t="shared" si="160"/>
        <v>49989.49</v>
      </c>
      <c r="BV82" s="551">
        <f t="shared" si="161"/>
        <v>1.0618000000000001</v>
      </c>
      <c r="BW82" s="529">
        <f t="shared" si="162"/>
        <v>64010.080000000002</v>
      </c>
      <c r="BX82" s="552">
        <f t="shared" si="163"/>
        <v>3728.010000000002</v>
      </c>
      <c r="BY82" s="560"/>
      <c r="BZ82" s="559"/>
      <c r="CB82" s="423">
        <f t="shared" si="164"/>
        <v>-7130.14</v>
      </c>
      <c r="CC82" s="423">
        <f t="shared" si="165"/>
        <v>1600.25</v>
      </c>
      <c r="CD82" s="423">
        <f t="shared" si="166"/>
        <v>2411.3000000000002</v>
      </c>
      <c r="CE82" s="423">
        <f t="shared" si="167"/>
        <v>-3118.59</v>
      </c>
      <c r="CF82" s="553">
        <f t="shared" si="168"/>
        <v>-3118.6300000000047</v>
      </c>
      <c r="CH82" s="423">
        <f t="shared" si="169"/>
        <v>3852.4304390000002</v>
      </c>
      <c r="CI82" s="423">
        <f t="shared" si="170"/>
        <v>10808.66</v>
      </c>
      <c r="CJ82" s="423">
        <f t="shared" si="171"/>
        <v>-4603.79</v>
      </c>
      <c r="CK82" s="423">
        <f t="shared" si="172"/>
        <v>-2352.4899999999998</v>
      </c>
      <c r="CL82" s="553">
        <f t="shared" si="173"/>
        <v>3852.38</v>
      </c>
      <c r="CN82" s="423">
        <f t="shared" si="71"/>
        <v>3898.5573770000001</v>
      </c>
      <c r="CO82" s="423">
        <f t="shared" si="174"/>
        <v>10808.66</v>
      </c>
      <c r="CP82" s="423">
        <f t="shared" si="175"/>
        <v>-4572.17</v>
      </c>
      <c r="CQ82" s="423">
        <f t="shared" si="176"/>
        <v>-2337.98</v>
      </c>
      <c r="CR82" s="553">
        <f t="shared" si="75"/>
        <v>3898.5099999999998</v>
      </c>
      <c r="CV82" s="564">
        <f t="shared" si="98"/>
        <v>82</v>
      </c>
      <c r="CW82" s="538" t="str">
        <f t="shared" si="177"/>
        <v>.</v>
      </c>
      <c r="CX82" s="566">
        <f t="shared" si="178"/>
        <v>63612.1</v>
      </c>
      <c r="CY82" s="538" t="str">
        <f t="shared" si="179"/>
        <v>.</v>
      </c>
      <c r="CZ82" s="538">
        <f t="shared" si="180"/>
        <v>37970</v>
      </c>
      <c r="DA82" s="538">
        <f t="shared" si="181"/>
        <v>22935.82</v>
      </c>
      <c r="DB82" s="567" t="e">
        <f t="shared" si="99"/>
        <v>#N/A</v>
      </c>
      <c r="DC82" s="567">
        <f t="shared" si="100"/>
        <v>63612.1</v>
      </c>
      <c r="DD82" s="567" t="e">
        <f t="shared" si="101"/>
        <v>#N/A</v>
      </c>
      <c r="DE82" s="567">
        <f t="shared" si="101"/>
        <v>37970</v>
      </c>
      <c r="DF82" s="568">
        <f t="shared" si="102"/>
        <v>60905.82</v>
      </c>
      <c r="EL82" s="553">
        <f t="shared" si="81"/>
        <v>46063.4</v>
      </c>
      <c r="EM82" s="553">
        <f t="shared" si="182"/>
        <v>17551.89</v>
      </c>
      <c r="EN82" s="423">
        <f t="shared" si="183"/>
        <v>63615.29</v>
      </c>
      <c r="EO82" s="555">
        <f xml:space="preserve"> 'i2'!AO82</f>
        <v>63612.1</v>
      </c>
      <c r="EV82" s="533" t="e">
        <f xml:space="preserve"> ROUND(    IF( $A$15=BE_MF_,   LEER,   INDEX( Kx!82:82, EV$16 ) ),    EV$17    )</f>
        <v>#VALUE!</v>
      </c>
      <c r="EW82" s="533" t="e">
        <f xml:space="preserve"> ROUND(    IF( $A$15=BE_MF_,   LEER,   INDEX( Kx!82:82, EW$16 ) ),    EW$17    )</f>
        <v>#VALUE!</v>
      </c>
      <c r="EX82" s="533" t="e">
        <f xml:space="preserve"> ROUND(    IF( $A$15=BE_MF_,   LEER,   INDEX( Kx!82:82, EX$16 ) ),    EX$17    )</f>
        <v>#VALUE!</v>
      </c>
      <c r="EY82" s="556" t="e">
        <f t="shared" si="103"/>
        <v>#VALUE!</v>
      </c>
      <c r="FB82" s="533" t="e">
        <f xml:space="preserve"> ROUND(    IF( $A$15=BE_MF_,   LEER,   INDEX( Kx!82:82, FB$16 ) ),    FB$17    )</f>
        <v>#VALUE!</v>
      </c>
      <c r="FC82" s="533" t="e">
        <f xml:space="preserve"> ROUND(    IF( $A$15=BE_MF_,   LEER,   INDEX( Kx!82:82, FC$16 ) ),    FC$17    )</f>
        <v>#VALUE!</v>
      </c>
      <c r="FD82" s="556" t="e">
        <f t="shared" si="104"/>
        <v>#VALUE!</v>
      </c>
      <c r="FG82" s="556" t="e">
        <f t="shared" si="105"/>
        <v>#VALUE!</v>
      </c>
      <c r="FH82" s="556" t="e">
        <f t="shared" si="105"/>
        <v>#VALUE!</v>
      </c>
      <c r="FI82" s="556" t="e">
        <f t="shared" si="105"/>
        <v>#VALUE!</v>
      </c>
      <c r="FN82" s="557">
        <f t="shared" si="184"/>
        <v>82</v>
      </c>
      <c r="FO82" s="493">
        <f t="shared" si="185"/>
        <v>46.803800000000003</v>
      </c>
      <c r="FP82" s="493">
        <f t="shared" si="186"/>
        <v>8.6279000000000003</v>
      </c>
      <c r="FR82" s="427">
        <f t="shared" si="106"/>
        <v>2599996.4900000002</v>
      </c>
      <c r="FS82" s="558">
        <f t="shared" si="197"/>
        <v>75728.94</v>
      </c>
      <c r="FT82" s="558">
        <f t="shared" si="197"/>
        <v>75002.899999999994</v>
      </c>
      <c r="FU82" s="558">
        <f t="shared" si="197"/>
        <v>74275.06</v>
      </c>
      <c r="FV82" s="558">
        <f t="shared" si="197"/>
        <v>73547.23</v>
      </c>
      <c r="FW82" s="558">
        <f t="shared" si="197"/>
        <v>72794.3</v>
      </c>
      <c r="FX82" s="558">
        <f t="shared" si="197"/>
        <v>72019.850000000006</v>
      </c>
      <c r="FY82" s="558">
        <f t="shared" si="197"/>
        <v>71252.58</v>
      </c>
      <c r="FZ82" s="558">
        <f t="shared" si="197"/>
        <v>70479.92</v>
      </c>
      <c r="GA82" s="558">
        <f t="shared" si="197"/>
        <v>69680.38</v>
      </c>
      <c r="GB82" s="558">
        <f t="shared" si="197"/>
        <v>68848.570000000007</v>
      </c>
      <c r="GC82" s="558">
        <f t="shared" si="197"/>
        <v>68011.38</v>
      </c>
      <c r="GD82" s="558">
        <f t="shared" si="197"/>
        <v>67161.64</v>
      </c>
      <c r="GE82" s="558">
        <f t="shared" si="197"/>
        <v>66292.19</v>
      </c>
      <c r="GF82" s="558">
        <f t="shared" si="197"/>
        <v>65419.14</v>
      </c>
      <c r="GG82" s="558">
        <f t="shared" si="197"/>
        <v>64519.21</v>
      </c>
      <c r="GH82" s="558">
        <f t="shared" si="197"/>
        <v>63612.1</v>
      </c>
      <c r="GI82" s="558">
        <f t="shared" si="195"/>
        <v>62678.11</v>
      </c>
      <c r="GJ82" s="558">
        <f t="shared" si="195"/>
        <v>61722.6</v>
      </c>
      <c r="GK82" s="558">
        <f t="shared" si="195"/>
        <v>60740.2</v>
      </c>
      <c r="GL82" s="558">
        <f t="shared" si="195"/>
        <v>59729.120000000003</v>
      </c>
      <c r="GM82" s="558">
        <f t="shared" si="195"/>
        <v>58687.57</v>
      </c>
      <c r="GN82" s="558">
        <f t="shared" si="195"/>
        <v>57606.57</v>
      </c>
      <c r="GO82" s="558">
        <f t="shared" si="195"/>
        <v>56486.14</v>
      </c>
      <c r="GP82" s="558">
        <f t="shared" si="195"/>
        <v>55324.47</v>
      </c>
      <c r="GQ82" s="558">
        <f t="shared" si="195"/>
        <v>54116.19</v>
      </c>
      <c r="GR82" s="558">
        <f t="shared" si="195"/>
        <v>52870.27</v>
      </c>
      <c r="GS82" s="558">
        <f t="shared" si="195"/>
        <v>51581.32</v>
      </c>
      <c r="GT82" s="558">
        <f t="shared" si="195"/>
        <v>50252.93</v>
      </c>
      <c r="GU82" s="558">
        <f t="shared" si="195"/>
        <v>48888.69</v>
      </c>
      <c r="GV82" s="558">
        <f t="shared" si="195"/>
        <v>47490.39</v>
      </c>
      <c r="GW82" s="558">
        <f t="shared" si="195"/>
        <v>46063.4</v>
      </c>
      <c r="GX82" s="558">
        <f t="shared" si="198"/>
        <v>44602.35</v>
      </c>
      <c r="GY82" s="558">
        <f t="shared" si="198"/>
        <v>43121.58</v>
      </c>
      <c r="GZ82" s="558">
        <f t="shared" si="198"/>
        <v>41613.93</v>
      </c>
      <c r="HA82" s="558">
        <f t="shared" si="198"/>
        <v>40090.129999999997</v>
      </c>
      <c r="HB82" s="558">
        <f t="shared" si="198"/>
        <v>38550.21</v>
      </c>
      <c r="HC82" s="558">
        <f t="shared" si="198"/>
        <v>36992.36</v>
      </c>
      <c r="HD82" s="558">
        <f t="shared" si="198"/>
        <v>35421.949999999997</v>
      </c>
      <c r="HE82" s="558">
        <f t="shared" si="198"/>
        <v>33828.25</v>
      </c>
      <c r="HF82" s="558">
        <f t="shared" si="198"/>
        <v>32200.48</v>
      </c>
      <c r="HG82" s="558">
        <f t="shared" si="198"/>
        <v>30549.4</v>
      </c>
      <c r="HH82" s="558">
        <f t="shared" si="198"/>
        <v>28882.2</v>
      </c>
      <c r="HI82" s="558">
        <f t="shared" si="198"/>
        <v>27193.48</v>
      </c>
      <c r="HJ82" s="558">
        <f t="shared" si="198"/>
        <v>25492.21</v>
      </c>
      <c r="HK82" s="558">
        <f t="shared" si="198"/>
        <v>23773.01</v>
      </c>
      <c r="HL82" s="558">
        <f t="shared" si="198"/>
        <v>22069.95</v>
      </c>
      <c r="HM82" s="558">
        <f t="shared" si="198"/>
        <v>20352.55</v>
      </c>
      <c r="HN82" s="558">
        <f t="shared" si="199"/>
        <v>18645.900000000001</v>
      </c>
      <c r="HO82" s="558">
        <f t="shared" si="199"/>
        <v>16951.8</v>
      </c>
      <c r="HP82" s="558">
        <f t="shared" si="199"/>
        <v>15264.87</v>
      </c>
      <c r="HQ82" s="558">
        <f t="shared" si="199"/>
        <v>13875.53</v>
      </c>
      <c r="HR82" s="558">
        <f t="shared" si="199"/>
        <v>12529.22</v>
      </c>
      <c r="HS82" s="558">
        <f t="shared" si="202"/>
        <v>11240.27</v>
      </c>
      <c r="HT82" s="558">
        <f t="shared" si="202"/>
        <v>10019.44</v>
      </c>
      <c r="HU82" s="558">
        <f t="shared" si="202"/>
        <v>8545.85</v>
      </c>
      <c r="HV82" s="558">
        <f t="shared" si="202"/>
        <v>7129.62</v>
      </c>
      <c r="HW82" s="558">
        <f t="shared" si="202"/>
        <v>5779.72</v>
      </c>
      <c r="HX82" s="558">
        <f t="shared" si="202"/>
        <v>4539.17</v>
      </c>
      <c r="HY82" s="558">
        <f t="shared" si="202"/>
        <v>3397.22</v>
      </c>
      <c r="HZ82" s="558">
        <f t="shared" si="202"/>
        <v>2359.25</v>
      </c>
      <c r="IA82" s="558">
        <f t="shared" si="202"/>
        <v>1450.36</v>
      </c>
      <c r="IB82" s="558">
        <f t="shared" si="202"/>
        <v>650.80999999999995</v>
      </c>
      <c r="IC82" s="558">
        <f t="shared" ref="IC82:IE97" si="204" xml:space="preserve"> IF(  OR( IC$18&gt;$FN82, $FN82&gt;$FS$12 ),  LEER,  ROUND( $FR$19 * ( $FO82 - IC$15 * $FP82 ), IC$17 )  )</f>
        <v>0.06</v>
      </c>
      <c r="ID82" s="558" t="str">
        <f t="shared" si="204"/>
        <v>.</v>
      </c>
      <c r="IE82" s="558" t="str">
        <f t="shared" si="204"/>
        <v>.</v>
      </c>
      <c r="IF82" s="558" t="str">
        <f t="shared" si="203"/>
        <v>.</v>
      </c>
      <c r="IG82" s="558" t="str">
        <f t="shared" si="203"/>
        <v>.</v>
      </c>
      <c r="IH82" s="558" t="str">
        <f t="shared" si="203"/>
        <v>.</v>
      </c>
      <c r="II82" s="558" t="str">
        <f t="shared" si="203"/>
        <v>.</v>
      </c>
      <c r="IJ82" s="558" t="str">
        <f t="shared" si="203"/>
        <v>.</v>
      </c>
      <c r="IK82" s="558" t="str">
        <f t="shared" si="203"/>
        <v>.</v>
      </c>
      <c r="IL82" s="558" t="str">
        <f t="shared" si="203"/>
        <v>.</v>
      </c>
      <c r="IM82" s="558" t="str">
        <f t="shared" si="203"/>
        <v>.</v>
      </c>
      <c r="IN82" s="558" t="str">
        <f t="shared" si="203"/>
        <v>.</v>
      </c>
      <c r="IO82" s="558" t="str">
        <f t="shared" si="203"/>
        <v>.</v>
      </c>
      <c r="IP82" s="558" t="str">
        <f t="shared" si="203"/>
        <v>.</v>
      </c>
      <c r="IQ82" s="558" t="str">
        <f t="shared" si="203"/>
        <v>.</v>
      </c>
      <c r="IR82" s="558" t="str">
        <f t="shared" si="201"/>
        <v>.</v>
      </c>
      <c r="IS82" s="558" t="str">
        <f t="shared" si="201"/>
        <v>.</v>
      </c>
      <c r="IT82" s="558" t="str">
        <f t="shared" si="201"/>
        <v>.</v>
      </c>
      <c r="IU82" s="558" t="str">
        <f t="shared" si="201"/>
        <v>.</v>
      </c>
      <c r="IV82" s="558" t="str">
        <f t="shared" si="201"/>
        <v>.</v>
      </c>
      <c r="IW82" s="558" t="str">
        <f t="shared" si="201"/>
        <v>.</v>
      </c>
      <c r="IX82" s="558" t="str">
        <f t="shared" si="201"/>
        <v>.</v>
      </c>
      <c r="IY82" s="558" t="str">
        <f t="shared" si="201"/>
        <v>.</v>
      </c>
      <c r="IZ82" s="558" t="str">
        <f t="shared" si="201"/>
        <v>.</v>
      </c>
      <c r="JA82" s="558" t="str">
        <f t="shared" si="201"/>
        <v>.</v>
      </c>
      <c r="JB82" s="558" t="str">
        <f t="shared" si="201"/>
        <v>.</v>
      </c>
      <c r="JC82" s="558" t="str">
        <f t="shared" si="201"/>
        <v>.</v>
      </c>
      <c r="JD82" s="558" t="str">
        <f t="shared" si="201"/>
        <v>.</v>
      </c>
      <c r="JE82" s="558" t="str">
        <f t="shared" si="201"/>
        <v>.</v>
      </c>
      <c r="JF82" s="558" t="str">
        <f t="shared" si="201"/>
        <v>.</v>
      </c>
      <c r="JG82" s="558" t="str">
        <f t="shared" si="201"/>
        <v>.</v>
      </c>
      <c r="JH82" s="558" t="str">
        <f t="shared" si="201"/>
        <v>.</v>
      </c>
      <c r="JI82" s="558" t="str">
        <f t="shared" si="196"/>
        <v>.</v>
      </c>
      <c r="JJ82" s="558" t="str">
        <f t="shared" si="196"/>
        <v>.</v>
      </c>
      <c r="JK82" s="558" t="str">
        <f t="shared" si="196"/>
        <v>.</v>
      </c>
      <c r="JL82" s="558" t="str">
        <f t="shared" si="196"/>
        <v>.</v>
      </c>
      <c r="JM82" s="558" t="str">
        <f t="shared" si="196"/>
        <v>.</v>
      </c>
      <c r="JN82" s="558" t="str">
        <f t="shared" si="196"/>
        <v>.</v>
      </c>
      <c r="JO82" s="558" t="str">
        <f t="shared" si="196"/>
        <v>.</v>
      </c>
    </row>
    <row r="83" spans="1:275" x14ac:dyDescent="0.2">
      <c r="A83" s="534">
        <f xml:space="preserve"> Basis!A83</f>
        <v>83</v>
      </c>
      <c r="F83" s="536">
        <f xml:space="preserve"> ROUND(    IF( $A$15=BE_MF_,   AW83,   INDEX( qx!83:83, F$16 ) ),    F$17    )</f>
        <v>4.3999999999999997E-2</v>
      </c>
      <c r="G83" s="536">
        <f xml:space="preserve"> ROUND(    IF( $A$15=BE_MF_,   BB83,   INDEX( wx!83:83, G$16 ) ),    G$17    )</f>
        <v>1.5E-3</v>
      </c>
      <c r="H83" s="537">
        <f xml:space="preserve"> ROUND(    IF( $A$15=BE_MF_,   BG83,   INDEX( Kx!83:83, H$16 ) ),    H$17    )</f>
        <v>11008.65</v>
      </c>
      <c r="I83" s="538">
        <f t="shared" si="93"/>
        <v>11008.65</v>
      </c>
      <c r="J83" s="539">
        <f t="shared" si="129"/>
        <v>5.298</v>
      </c>
      <c r="K83" s="540">
        <f t="shared" si="190"/>
        <v>0</v>
      </c>
      <c r="L83" s="541">
        <f t="shared" si="116"/>
        <v>0</v>
      </c>
      <c r="M83" s="541">
        <f t="shared" si="116"/>
        <v>8.5999999999999993E-2</v>
      </c>
      <c r="O83" s="542" t="b">
        <f t="shared" si="95"/>
        <v>1</v>
      </c>
      <c r="P83" s="493">
        <f t="shared" si="130"/>
        <v>4.5499999999999999E-2</v>
      </c>
      <c r="Q83" s="493">
        <f t="shared" si="131"/>
        <v>0.95450000000000002</v>
      </c>
      <c r="R83" s="543">
        <f t="shared" si="132"/>
        <v>363653</v>
      </c>
      <c r="S83" s="544">
        <f t="shared" si="133"/>
        <v>0.97560975599999999</v>
      </c>
      <c r="T83" s="423">
        <f t="shared" si="134"/>
        <v>46838.86</v>
      </c>
      <c r="U83" s="423">
        <f xml:space="preserve"> IF( $O83,    ROUND(  SUM( T83:T$120), U$17 ),  LEER  )</f>
        <v>381316.12</v>
      </c>
      <c r="V83" s="493">
        <f t="shared" si="135"/>
        <v>8.141</v>
      </c>
      <c r="W83" s="493">
        <f t="shared" si="136"/>
        <v>248152.28</v>
      </c>
      <c r="X83" s="493">
        <f xml:space="preserve"> IF( $O83,    ROUND(  SUM( W83:W$120), X$17 ),  LEER  )</f>
        <v>2079652.01</v>
      </c>
      <c r="Y83" s="493">
        <f t="shared" si="137"/>
        <v>44.400100000000002</v>
      </c>
      <c r="Z83" s="493">
        <f t="shared" si="138"/>
        <v>5.4539</v>
      </c>
      <c r="AA83" s="493">
        <f t="shared" si="139"/>
        <v>1</v>
      </c>
      <c r="AB83" s="493">
        <f t="shared" si="140"/>
        <v>2.3494000000000002</v>
      </c>
      <c r="AC83" s="545">
        <f t="shared" si="141"/>
        <v>0.32679999999999998</v>
      </c>
      <c r="AD83" s="493">
        <f t="shared" si="142"/>
        <v>5.4539</v>
      </c>
      <c r="AE83" s="493">
        <f t="shared" si="143"/>
        <v>6.3246000000000002</v>
      </c>
      <c r="AF83" s="493">
        <f t="shared" si="144"/>
        <v>6.3246000000000002</v>
      </c>
      <c r="AG83" s="493" t="str">
        <f t="shared" si="145"/>
        <v>.</v>
      </c>
      <c r="AH83" s="493" t="str">
        <f t="shared" si="146"/>
        <v>.</v>
      </c>
      <c r="AI83" s="423">
        <f t="shared" si="147"/>
        <v>2077.79</v>
      </c>
      <c r="AJ83" s="423">
        <f t="shared" si="148"/>
        <v>13141.19</v>
      </c>
      <c r="AK83" s="423">
        <f t="shared" si="149"/>
        <v>1095.0999999999999</v>
      </c>
      <c r="AN83" s="423">
        <f t="shared" si="200"/>
        <v>60891.45</v>
      </c>
      <c r="AO83" s="423">
        <f t="shared" si="200"/>
        <v>60515.93</v>
      </c>
      <c r="AR83" s="546">
        <f xml:space="preserve"> ROUND(  INDEX( Kx!83:83, AR$16 ),  AR$17 )</f>
        <v>0.61509999999999998</v>
      </c>
      <c r="AS83" s="547">
        <f xml:space="preserve"> ROUND(  INDEX( qx!83:83, AS$16 ),  AS$17 )</f>
        <v>5.21E-2</v>
      </c>
      <c r="AT83" s="547">
        <f xml:space="preserve"> ROUND(  INDEX( qx!83:83, AT$16 ),  AT$17 )</f>
        <v>3.5400000000000001E-2</v>
      </c>
      <c r="AU83" s="548" t="str">
        <f t="shared" si="150"/>
        <v>F</v>
      </c>
      <c r="AV83" s="542">
        <f t="shared" si="151"/>
        <v>0.51580000000000004</v>
      </c>
      <c r="AW83" s="542">
        <f t="shared" si="152"/>
        <v>4.3999999999999997E-2</v>
      </c>
      <c r="AX83" s="546">
        <f xml:space="preserve"> ROUND(  INDEX( wx!83:83, AX$16 ),  AX$17 )</f>
        <v>1.2999999999999999E-3</v>
      </c>
      <c r="AY83" s="546">
        <f xml:space="preserve"> ROUND(  INDEX( wx!83:83, AY$16 ),  AY$17 )</f>
        <v>2.0999999999999999E-3</v>
      </c>
      <c r="AZ83" s="548" t="str">
        <f t="shared" si="153"/>
        <v>M</v>
      </c>
      <c r="BA83" s="542">
        <f t="shared" si="154"/>
        <v>0.7056</v>
      </c>
      <c r="BB83" s="542">
        <f t="shared" si="155"/>
        <v>1.5E-3</v>
      </c>
      <c r="BC83" s="533">
        <f xml:space="preserve"> ROUND(  INDEX( Kx!83:83, BC$16 ),  BC$17 )</f>
        <v>11518.7</v>
      </c>
      <c r="BD83" s="533">
        <f xml:space="preserve"> ROUND(  INDEX( Kx!83:83, BD$16 ),  BD$17 )</f>
        <v>9786.2099999999991</v>
      </c>
      <c r="BE83" s="548" t="str">
        <f t="shared" si="52"/>
        <v>M</v>
      </c>
      <c r="BF83" s="542">
        <f t="shared" si="156"/>
        <v>0.7056</v>
      </c>
      <c r="BG83" s="420">
        <f t="shared" si="157"/>
        <v>11008.65</v>
      </c>
      <c r="BQ83" s="549">
        <f t="shared" si="96"/>
        <v>83</v>
      </c>
      <c r="BR83" s="423">
        <f t="shared" si="55"/>
        <v>64010.080000000002</v>
      </c>
      <c r="BS83" s="550">
        <f t="shared" si="158"/>
        <v>11008.65</v>
      </c>
      <c r="BT83" s="423">
        <f t="shared" si="159"/>
        <v>-6956.77</v>
      </c>
      <c r="BU83" s="551">
        <f t="shared" si="160"/>
        <v>46838.86</v>
      </c>
      <c r="BV83" s="551">
        <f t="shared" si="161"/>
        <v>1.0672999999999999</v>
      </c>
      <c r="BW83" s="529">
        <f t="shared" si="162"/>
        <v>60891.45</v>
      </c>
      <c r="BX83" s="552">
        <f t="shared" si="163"/>
        <v>3838.1399999999994</v>
      </c>
      <c r="BY83" s="560"/>
      <c r="BZ83" s="559"/>
      <c r="CB83" s="423">
        <f t="shared" si="164"/>
        <v>-7334.59</v>
      </c>
      <c r="CC83" s="423">
        <f t="shared" si="165"/>
        <v>1522.29</v>
      </c>
      <c r="CD83" s="423">
        <f t="shared" si="166"/>
        <v>2625.56</v>
      </c>
      <c r="CE83" s="423">
        <f t="shared" si="167"/>
        <v>-3186.7400000000002</v>
      </c>
      <c r="CF83" s="553">
        <f t="shared" si="168"/>
        <v>-3186.7899999999936</v>
      </c>
      <c r="CH83" s="423">
        <f t="shared" si="169"/>
        <v>3852.4304390000002</v>
      </c>
      <c r="CI83" s="423">
        <f t="shared" si="170"/>
        <v>11008.13</v>
      </c>
      <c r="CJ83" s="423">
        <f t="shared" si="171"/>
        <v>-4594.22</v>
      </c>
      <c r="CK83" s="423">
        <f t="shared" si="172"/>
        <v>-2561.52</v>
      </c>
      <c r="CL83" s="553">
        <f t="shared" si="173"/>
        <v>3852.389999999999</v>
      </c>
      <c r="CN83" s="423">
        <f t="shared" si="71"/>
        <v>3898.5573770000001</v>
      </c>
      <c r="CO83" s="423">
        <f t="shared" si="174"/>
        <v>11008.13</v>
      </c>
      <c r="CP83" s="423">
        <f t="shared" si="175"/>
        <v>-4563.79</v>
      </c>
      <c r="CQ83" s="423">
        <f t="shared" si="176"/>
        <v>-2545.8200000000002</v>
      </c>
      <c r="CR83" s="553">
        <f t="shared" si="75"/>
        <v>3898.5199999999991</v>
      </c>
      <c r="CV83" s="564">
        <f t="shared" si="98"/>
        <v>83</v>
      </c>
      <c r="CW83" s="538" t="str">
        <f t="shared" si="177"/>
        <v>.</v>
      </c>
      <c r="CX83" s="566">
        <f t="shared" si="178"/>
        <v>60515.93</v>
      </c>
      <c r="CY83" s="538" t="str">
        <f t="shared" si="179"/>
        <v>.</v>
      </c>
      <c r="CZ83" s="538">
        <f t="shared" si="180"/>
        <v>35827</v>
      </c>
      <c r="DA83" s="538">
        <f t="shared" si="181"/>
        <v>22135.14</v>
      </c>
      <c r="DB83" s="567" t="e">
        <f t="shared" si="99"/>
        <v>#N/A</v>
      </c>
      <c r="DC83" s="567">
        <f t="shared" si="100"/>
        <v>60515.93</v>
      </c>
      <c r="DD83" s="567" t="e">
        <f t="shared" si="101"/>
        <v>#N/A</v>
      </c>
      <c r="DE83" s="567">
        <f t="shared" si="101"/>
        <v>35827</v>
      </c>
      <c r="DF83" s="568">
        <f t="shared" si="102"/>
        <v>57962.14</v>
      </c>
      <c r="EL83" s="553">
        <f t="shared" si="81"/>
        <v>43957.55</v>
      </c>
      <c r="EM83" s="553">
        <f t="shared" si="182"/>
        <v>16561.38</v>
      </c>
      <c r="EN83" s="423">
        <f t="shared" si="183"/>
        <v>60518.93</v>
      </c>
      <c r="EO83" s="555">
        <f xml:space="preserve"> 'i2'!AO83</f>
        <v>60515.93</v>
      </c>
      <c r="EV83" s="533" t="e">
        <f xml:space="preserve"> ROUND(    IF( $A$15=BE_MF_,   LEER,   INDEX( Kx!83:83, EV$16 ) ),    EV$17    )</f>
        <v>#VALUE!</v>
      </c>
      <c r="EW83" s="533" t="e">
        <f xml:space="preserve"> ROUND(    IF( $A$15=BE_MF_,   LEER,   INDEX( Kx!83:83, EW$16 ) ),    EW$17    )</f>
        <v>#VALUE!</v>
      </c>
      <c r="EX83" s="533" t="e">
        <f xml:space="preserve"> ROUND(    IF( $A$15=BE_MF_,   LEER,   INDEX( Kx!83:83, EX$16 ) ),    EX$17    )</f>
        <v>#VALUE!</v>
      </c>
      <c r="EY83" s="556" t="e">
        <f t="shared" si="103"/>
        <v>#VALUE!</v>
      </c>
      <c r="FB83" s="533" t="e">
        <f xml:space="preserve"> ROUND(    IF( $A$15=BE_MF_,   LEER,   INDEX( Kx!83:83, FB$16 ) ),    FB$17    )</f>
        <v>#VALUE!</v>
      </c>
      <c r="FC83" s="533" t="e">
        <f xml:space="preserve"> ROUND(    IF( $A$15=BE_MF_,   LEER,   INDEX( Kx!83:83, FC$16 ) ),    FC$17    )</f>
        <v>#VALUE!</v>
      </c>
      <c r="FD83" s="556" t="e">
        <f t="shared" si="104"/>
        <v>#VALUE!</v>
      </c>
      <c r="FG83" s="556" t="e">
        <f t="shared" si="105"/>
        <v>#VALUE!</v>
      </c>
      <c r="FH83" s="556" t="e">
        <f t="shared" si="105"/>
        <v>#VALUE!</v>
      </c>
      <c r="FI83" s="556" t="e">
        <f t="shared" si="105"/>
        <v>#VALUE!</v>
      </c>
      <c r="FN83" s="557">
        <f t="shared" si="184"/>
        <v>83</v>
      </c>
      <c r="FO83" s="493">
        <f t="shared" si="185"/>
        <v>44.400100000000002</v>
      </c>
      <c r="FP83" s="493">
        <f t="shared" si="186"/>
        <v>8.141</v>
      </c>
      <c r="FR83" s="427">
        <f t="shared" si="106"/>
        <v>2484370.67</v>
      </c>
      <c r="FS83" s="558">
        <f t="shared" si="197"/>
        <v>71948.97</v>
      </c>
      <c r="FT83" s="558">
        <f t="shared" si="197"/>
        <v>71263.899999999994</v>
      </c>
      <c r="FU83" s="558">
        <f t="shared" si="197"/>
        <v>70577.14</v>
      </c>
      <c r="FV83" s="558">
        <f t="shared" si="197"/>
        <v>69890.38</v>
      </c>
      <c r="FW83" s="558">
        <f t="shared" si="197"/>
        <v>69179.94</v>
      </c>
      <c r="FX83" s="558">
        <f t="shared" si="197"/>
        <v>68449.2</v>
      </c>
      <c r="FY83" s="558">
        <f t="shared" si="197"/>
        <v>67725.22</v>
      </c>
      <c r="FZ83" s="558">
        <f t="shared" si="197"/>
        <v>66996.179999999993</v>
      </c>
      <c r="GA83" s="558">
        <f t="shared" si="197"/>
        <v>66241.75</v>
      </c>
      <c r="GB83" s="558">
        <f t="shared" si="197"/>
        <v>65456.88</v>
      </c>
      <c r="GC83" s="558">
        <f t="shared" si="197"/>
        <v>64666.94</v>
      </c>
      <c r="GD83" s="558">
        <f t="shared" si="197"/>
        <v>63865.16</v>
      </c>
      <c r="GE83" s="558">
        <f t="shared" si="197"/>
        <v>63044.76</v>
      </c>
      <c r="GF83" s="558">
        <f t="shared" si="197"/>
        <v>62220.99</v>
      </c>
      <c r="GG83" s="558">
        <f t="shared" si="197"/>
        <v>61371.839999999997</v>
      </c>
      <c r="GH83" s="558">
        <f t="shared" ref="GH83:GW98" si="205" xml:space="preserve"> IF(  OR( GH$18&gt;$FN83, $FN83&gt;$FS$12 ),  LEER,  ROUND( $FR$19 * ( $FO83 - GH$15 * $FP83 ), GH$17 )  )</f>
        <v>60515.93</v>
      </c>
      <c r="GI83" s="558">
        <f t="shared" si="205"/>
        <v>59634.64</v>
      </c>
      <c r="GJ83" s="558">
        <f t="shared" si="205"/>
        <v>58733.06</v>
      </c>
      <c r="GK83" s="558">
        <f t="shared" si="205"/>
        <v>57806.1</v>
      </c>
      <c r="GL83" s="558">
        <f t="shared" si="205"/>
        <v>56852.08</v>
      </c>
      <c r="GM83" s="558">
        <f t="shared" si="205"/>
        <v>55869.3</v>
      </c>
      <c r="GN83" s="558">
        <f t="shared" si="205"/>
        <v>54849.31</v>
      </c>
      <c r="GO83" s="558">
        <f t="shared" si="205"/>
        <v>53792.1</v>
      </c>
      <c r="GP83" s="558">
        <f t="shared" si="205"/>
        <v>52695.99</v>
      </c>
      <c r="GQ83" s="558">
        <f t="shared" si="205"/>
        <v>51555.9</v>
      </c>
      <c r="GR83" s="558">
        <f t="shared" si="205"/>
        <v>50380.29</v>
      </c>
      <c r="GS83" s="558">
        <f t="shared" si="205"/>
        <v>49164.08</v>
      </c>
      <c r="GT83" s="558">
        <f t="shared" si="205"/>
        <v>47910.66</v>
      </c>
      <c r="GU83" s="558">
        <f t="shared" si="205"/>
        <v>46623.4</v>
      </c>
      <c r="GV83" s="558">
        <f t="shared" si="205"/>
        <v>45304.01</v>
      </c>
      <c r="GW83" s="558">
        <f t="shared" si="205"/>
        <v>43957.55</v>
      </c>
      <c r="GX83" s="558">
        <f t="shared" si="198"/>
        <v>42578.96</v>
      </c>
      <c r="GY83" s="558">
        <f t="shared" si="198"/>
        <v>41181.75</v>
      </c>
      <c r="GZ83" s="558">
        <f t="shared" si="198"/>
        <v>39759.18</v>
      </c>
      <c r="HA83" s="558">
        <f t="shared" si="198"/>
        <v>38321.379999999997</v>
      </c>
      <c r="HB83" s="558">
        <f t="shared" si="198"/>
        <v>36868.36</v>
      </c>
      <c r="HC83" s="558">
        <f t="shared" si="198"/>
        <v>35398.42</v>
      </c>
      <c r="HD83" s="558">
        <f t="shared" si="198"/>
        <v>33916.639999999999</v>
      </c>
      <c r="HE83" s="558">
        <f t="shared" si="198"/>
        <v>32412.87</v>
      </c>
      <c r="HF83" s="558">
        <f t="shared" si="198"/>
        <v>30876.959999999999</v>
      </c>
      <c r="HG83" s="558">
        <f t="shared" si="198"/>
        <v>29319.06</v>
      </c>
      <c r="HH83" s="558">
        <f t="shared" si="198"/>
        <v>27745.94</v>
      </c>
      <c r="HI83" s="558">
        <f t="shared" si="198"/>
        <v>26152.52</v>
      </c>
      <c r="HJ83" s="558">
        <f t="shared" si="198"/>
        <v>24547.26</v>
      </c>
      <c r="HK83" s="558">
        <f t="shared" si="198"/>
        <v>22925.08</v>
      </c>
      <c r="HL83" s="558">
        <f t="shared" si="198"/>
        <v>21318.13</v>
      </c>
      <c r="HM83" s="558">
        <f t="shared" ref="HM83:IB98" si="206" xml:space="preserve"> IF(  OR( HM$18&gt;$FN83, $FN83&gt;$FS$12 ),  LEER,  ROUND( $FR$19 * ( $FO83 - HM$15 * $FP83 ), HM$17 )  )</f>
        <v>19697.650000000001</v>
      </c>
      <c r="HN83" s="558">
        <f t="shared" si="206"/>
        <v>18087.310000000001</v>
      </c>
      <c r="HO83" s="558">
        <f t="shared" si="206"/>
        <v>16488.82</v>
      </c>
      <c r="HP83" s="558">
        <f t="shared" si="206"/>
        <v>14897.09</v>
      </c>
      <c r="HQ83" s="558">
        <f t="shared" si="206"/>
        <v>13586.15</v>
      </c>
      <c r="HR83" s="558">
        <f t="shared" si="206"/>
        <v>12315.81</v>
      </c>
      <c r="HS83" s="558">
        <f t="shared" si="206"/>
        <v>11099.6</v>
      </c>
      <c r="HT83" s="558">
        <f t="shared" si="206"/>
        <v>9947.67</v>
      </c>
      <c r="HU83" s="558">
        <f t="shared" si="206"/>
        <v>8557.24</v>
      </c>
      <c r="HV83" s="558">
        <f t="shared" si="206"/>
        <v>7220.93</v>
      </c>
      <c r="HW83" s="558">
        <f t="shared" si="206"/>
        <v>5947.21</v>
      </c>
      <c r="HX83" s="558">
        <f t="shared" si="206"/>
        <v>4776.67</v>
      </c>
      <c r="HY83" s="558">
        <f t="shared" si="206"/>
        <v>3699.17</v>
      </c>
      <c r="HZ83" s="558">
        <f t="shared" si="206"/>
        <v>2719.77</v>
      </c>
      <c r="IA83" s="558">
        <f t="shared" si="206"/>
        <v>1862.17</v>
      </c>
      <c r="IB83" s="558">
        <f t="shared" si="206"/>
        <v>1107.74</v>
      </c>
      <c r="IC83" s="558">
        <f t="shared" si="204"/>
        <v>493.72</v>
      </c>
      <c r="ID83" s="558">
        <f t="shared" si="204"/>
        <v>-0.21</v>
      </c>
      <c r="IE83" s="558" t="str">
        <f t="shared" si="204"/>
        <v>.</v>
      </c>
      <c r="IF83" s="558" t="str">
        <f t="shared" si="203"/>
        <v>.</v>
      </c>
      <c r="IG83" s="558" t="str">
        <f t="shared" si="203"/>
        <v>.</v>
      </c>
      <c r="IH83" s="558" t="str">
        <f t="shared" si="203"/>
        <v>.</v>
      </c>
      <c r="II83" s="558" t="str">
        <f t="shared" si="203"/>
        <v>.</v>
      </c>
      <c r="IJ83" s="558" t="str">
        <f t="shared" si="203"/>
        <v>.</v>
      </c>
      <c r="IK83" s="558" t="str">
        <f t="shared" si="203"/>
        <v>.</v>
      </c>
      <c r="IL83" s="558" t="str">
        <f t="shared" si="203"/>
        <v>.</v>
      </c>
      <c r="IM83" s="558" t="str">
        <f t="shared" si="203"/>
        <v>.</v>
      </c>
      <c r="IN83" s="558" t="str">
        <f t="shared" si="203"/>
        <v>.</v>
      </c>
      <c r="IO83" s="558" t="str">
        <f t="shared" si="203"/>
        <v>.</v>
      </c>
      <c r="IP83" s="558" t="str">
        <f t="shared" si="203"/>
        <v>.</v>
      </c>
      <c r="IQ83" s="558" t="str">
        <f t="shared" si="203"/>
        <v>.</v>
      </c>
      <c r="IR83" s="558" t="str">
        <f t="shared" si="201"/>
        <v>.</v>
      </c>
      <c r="IS83" s="558" t="str">
        <f t="shared" si="201"/>
        <v>.</v>
      </c>
      <c r="IT83" s="558" t="str">
        <f t="shared" si="201"/>
        <v>.</v>
      </c>
      <c r="IU83" s="558" t="str">
        <f t="shared" si="201"/>
        <v>.</v>
      </c>
      <c r="IV83" s="558" t="str">
        <f t="shared" si="201"/>
        <v>.</v>
      </c>
      <c r="IW83" s="558" t="str">
        <f t="shared" si="201"/>
        <v>.</v>
      </c>
      <c r="IX83" s="558" t="str">
        <f t="shared" si="201"/>
        <v>.</v>
      </c>
      <c r="IY83" s="558" t="str">
        <f t="shared" si="201"/>
        <v>.</v>
      </c>
      <c r="IZ83" s="558" t="str">
        <f t="shared" si="201"/>
        <v>.</v>
      </c>
      <c r="JA83" s="558" t="str">
        <f t="shared" si="201"/>
        <v>.</v>
      </c>
      <c r="JB83" s="558" t="str">
        <f t="shared" si="201"/>
        <v>.</v>
      </c>
      <c r="JC83" s="558" t="str">
        <f t="shared" si="201"/>
        <v>.</v>
      </c>
      <c r="JD83" s="558" t="str">
        <f t="shared" si="201"/>
        <v>.</v>
      </c>
      <c r="JE83" s="558" t="str">
        <f t="shared" si="201"/>
        <v>.</v>
      </c>
      <c r="JF83" s="558" t="str">
        <f t="shared" si="201"/>
        <v>.</v>
      </c>
      <c r="JG83" s="558" t="str">
        <f t="shared" si="201"/>
        <v>.</v>
      </c>
      <c r="JH83" s="558" t="str">
        <f t="shared" si="201"/>
        <v>.</v>
      </c>
      <c r="JI83" s="558" t="str">
        <f t="shared" si="201"/>
        <v>.</v>
      </c>
      <c r="JJ83" s="558" t="str">
        <f t="shared" si="201"/>
        <v>.</v>
      </c>
      <c r="JK83" s="558" t="str">
        <f t="shared" si="201"/>
        <v>.</v>
      </c>
      <c r="JL83" s="558" t="str">
        <f t="shared" si="201"/>
        <v>.</v>
      </c>
      <c r="JM83" s="558" t="str">
        <f t="shared" si="201"/>
        <v>.</v>
      </c>
      <c r="JN83" s="558" t="str">
        <f t="shared" si="201"/>
        <v>.</v>
      </c>
      <c r="JO83" s="558" t="str">
        <f t="shared" ref="JK83:JO93" si="207" xml:space="preserve"> IF(  OR( JO$18&gt;$FN83, $FN83&gt;$FS$12 ),  LEER,  ROUND( $FR$19 * ( $FO83 - JO$15 * $FP83 ), JO$17 )  )</f>
        <v>.</v>
      </c>
    </row>
    <row r="84" spans="1:275" x14ac:dyDescent="0.2">
      <c r="A84" s="534">
        <f xml:space="preserve"> Basis!A84</f>
        <v>84</v>
      </c>
      <c r="F84" s="536">
        <f xml:space="preserve"> ROUND(    IF( $A$15=BE_MF_,   AW84,   INDEX( qx!84:84, F$16 ) ),    F$17    )</f>
        <v>5.0900000000000001E-2</v>
      </c>
      <c r="G84" s="536">
        <f xml:space="preserve"> ROUND(    IF( $A$15=BE_MF_,   BB84,   INDEX( wx!84:84, G$16 ) ),    G$17    )</f>
        <v>1.5E-3</v>
      </c>
      <c r="H84" s="537">
        <f xml:space="preserve"> ROUND(    IF( $A$15=BE_MF_,   BG84,   INDEX( Kx!84:84, H$16 ) ),    H$17    )</f>
        <v>11175.87</v>
      </c>
      <c r="I84" s="538">
        <f t="shared" si="93"/>
        <v>11175.87</v>
      </c>
      <c r="J84" s="539">
        <f t="shared" ref="J84:J115" si="208" xml:space="preserve"> ROUND(  I84 / I$19,  J$17 )</f>
        <v>5.3789999999999996</v>
      </c>
      <c r="K84" s="540">
        <f t="shared" si="190"/>
        <v>0</v>
      </c>
      <c r="L84" s="541">
        <f t="shared" si="116"/>
        <v>0</v>
      </c>
      <c r="M84" s="541">
        <f t="shared" si="116"/>
        <v>8.5999999999999993E-2</v>
      </c>
      <c r="O84" s="542" t="b">
        <f t="shared" si="95"/>
        <v>1</v>
      </c>
      <c r="P84" s="493">
        <f t="shared" ref="P84:P120" si="209" xml:space="preserve"> IF( $O84,   IF(  A84&gt;= $O$12, 1,  ROUND(  MIN( 1,  F84 + G84 ),  P$17  )  ), LEER )</f>
        <v>5.2400000000000002E-2</v>
      </c>
      <c r="Q84" s="493">
        <f t="shared" ref="Q84:Q115" si="210" xml:space="preserve"> IF( $O84,    ROUND( 1 - P84,  Q$17  ),  LEER  )</f>
        <v>0.9476</v>
      </c>
      <c r="R84" s="543">
        <f t="shared" ref="R84:R120" si="211" xml:space="preserve"> IF(  NOT($O84),  LEER,  IF( $A84=R$10,  R$12,  ROUNDDOWN(  R83 * Q83,  R$17 )  )  )</f>
        <v>347106</v>
      </c>
      <c r="S84" s="544">
        <f t="shared" ref="S84:S120" si="212" xml:space="preserve"> IF( $O84,    ROUND(  ( 1 / ( 1 + S$12 ) ), S$17 ),  LEER  )</f>
        <v>0.97560975599999999</v>
      </c>
      <c r="T84" s="423">
        <f t="shared" ref="T84:T115" si="213" xml:space="preserve"> IF( $O84,    ROUND( R84 * S84 ^ A84, T$17 ),  LEER  )</f>
        <v>43617.16</v>
      </c>
      <c r="U84" s="423">
        <f xml:space="preserve"> IF( $O84,    ROUND(  SUM( T84:T$120), U$17 ),  LEER  )</f>
        <v>334477.26</v>
      </c>
      <c r="V84" s="493">
        <f t="shared" ref="V84:V115" si="214" xml:space="preserve"> IF( $O84,    IF( T84= 0, 1,  ROUND(  U84 / T84, V$17 )   ),  LEER  )</f>
        <v>7.6684999999999999</v>
      </c>
      <c r="W84" s="493">
        <f t="shared" ref="W84:W120" si="215" xml:space="preserve"> IF( $O84,    ROUND( J84 * T84, W$17 ),  LEER  )</f>
        <v>234616.7</v>
      </c>
      <c r="X84" s="493">
        <f xml:space="preserve"> IF( $O84,    ROUND(  SUM( W84:W$120), X$17 ),  LEER  )</f>
        <v>1831499.73</v>
      </c>
      <c r="Y84" s="493">
        <f t="shared" ref="Y84:Y115" si="216" xml:space="preserve"> IF( $O84,    IF( T84= 0, J84,  ROUND(  X84 / T84, Y$17 )   ),   LEER  )</f>
        <v>41.990299999999998</v>
      </c>
      <c r="Z84" s="493">
        <f t="shared" ref="Z84:Z115" si="217" xml:space="preserve"> IF( $O84,    IF( V84= 0, Y84,  ROUND( Y84 / V84, Z$17 )  ),   LEER  )</f>
        <v>5.4756999999999998</v>
      </c>
      <c r="AA84" s="493">
        <f t="shared" ref="AA84:AA120" si="218" xml:space="preserve"> IF( $O84,    ROUND( ( 12 * V84 * ( 1 - M84 ) ) / ( 12 * V84 * ( 1 - M84 ) - K84 ), AA$17 ),    LEER  )</f>
        <v>1</v>
      </c>
      <c r="AB84" s="493">
        <f t="shared" ref="AB84:AB120" si="219" xml:space="preserve">  IF( $O84,    ROUND( INDEX( $Z$20:$Z$120, AB$16 ) / ( 1 - M84 - L84 - INDEX( $K$20:$K$120, AB$16 ) / ( 12 * INDEX( $V$20:$V$120, AB$16 ) ) ), AB$17 ),       LEER  )</f>
        <v>2.3494000000000002</v>
      </c>
      <c r="AC84" s="545">
        <f t="shared" ref="AC84:AC115" si="220" xml:space="preserve">  IF( NOT($O84),   LEER,   ROUND(  L84 * AB84  +  IF( $A84&lt;AC$12, AC$5, AC$6 ),  AC$17  )    )</f>
        <v>0.32679999999999998</v>
      </c>
      <c r="AD84" s="493">
        <f t="shared" ref="AD84:AD115" si="221" xml:space="preserve">  IF( $O84,   ROUND( AA84 * Z84 + ( AA84 - 1 ) * AC84, AD$17 ),       LEER  )</f>
        <v>5.4756999999999998</v>
      </c>
      <c r="AE84" s="493">
        <f t="shared" ref="AE84:AE115" si="222" xml:space="preserve">  IF( $O84,   ROUND( ( AD84 + AC84 ) / ( 1 - M84), AE$17 ),       LEER  )</f>
        <v>6.3484999999999996</v>
      </c>
      <c r="AF84" s="493">
        <f t="shared" ref="AF84:AF115" si="223" xml:space="preserve">  IF(  $O84,   IF(  OR( NOT( $AF$12), $A84=$M$12, AE84&gt;=AF83 ), AE84, MAX( AE84,AF83) ),  LEER  )</f>
        <v>6.3484999999999996</v>
      </c>
      <c r="AG84" s="493" t="str">
        <f t="shared" ref="AG84:AG115" si="224" xml:space="preserve">  IF(  $O84,   IF(  AE84=AF84,  LEER, Setzung ),    LEER  )</f>
        <v>.</v>
      </c>
      <c r="AH84" s="493" t="str">
        <f t="shared" ref="AH84:AH115" si="225" xml:space="preserve">  IF(  $O84,   IF( AND( K83&lt;&gt;0, AG84=Setzung), SetzungZillmerung, LEER ),    LEER  )</f>
        <v>.</v>
      </c>
      <c r="AI84" s="423">
        <f t="shared" ref="AI84:AI120" si="226" xml:space="preserve">  IF( $O84,    $J$19,  LEER  )</f>
        <v>2077.79</v>
      </c>
      <c r="AJ84" s="423">
        <f t="shared" ref="AJ84:AJ115" si="227" xml:space="preserve">  IF( $O84,    ROUND( AF84 * AI84, AJ$17 ),  LEER  )</f>
        <v>13190.85</v>
      </c>
      <c r="AK84" s="423">
        <f t="shared" ref="AK84:AK115" si="228" xml:space="preserve">  IF( $O84,    ROUND( AJ84 / 12, AK$17 ),  LEER  )</f>
        <v>1099.24</v>
      </c>
      <c r="AN84" s="423">
        <f t="shared" si="200"/>
        <v>57704.66</v>
      </c>
      <c r="AO84" s="423">
        <f t="shared" si="200"/>
        <v>57350.94</v>
      </c>
      <c r="AR84" s="546">
        <f xml:space="preserve"> ROUND(  INDEX( Kx!84:84, AR$16 ),  AR$17 )</f>
        <v>0.60209999999999997</v>
      </c>
      <c r="AS84" s="547">
        <f xml:space="preserve"> ROUND(  INDEX( qx!84:84, AS$16 ),  AS$17 )</f>
        <v>6.0100000000000001E-2</v>
      </c>
      <c r="AT84" s="547">
        <f xml:space="preserve"> ROUND(  INDEX( qx!84:84, AT$16 ),  AT$17 )</f>
        <v>4.1700000000000001E-2</v>
      </c>
      <c r="AU84" s="548" t="str">
        <f t="shared" ref="AU84:AU115" si="229" xml:space="preserve"> IF( AS84&lt;AT84, AS$13, AT$13 )</f>
        <v>F</v>
      </c>
      <c r="AV84" s="542">
        <f t="shared" ref="AV84:AV115" si="230" xml:space="preserve"> ROUND(     IF( AU84=BE_M_, ( $AR84 + $AR84 * AV$18 ) / ( 1 + $AR84 * AV$18 ),  ( $AR84 ) / ( 1 + ( 1 - $AR84 ) * AV$18 ) ),   AV$17 )</f>
        <v>0.50219999999999998</v>
      </c>
      <c r="AW84" s="542">
        <f t="shared" ref="AW84:AW115" si="231" xml:space="preserve"> ROUND( AV84 * AS84 + ( 1 - AV84) * AT84, AW$17 )</f>
        <v>5.0900000000000001E-2</v>
      </c>
      <c r="AX84" s="546">
        <f xml:space="preserve"> ROUND(  INDEX( wx!84:84, AX$16 ),  AX$17 )</f>
        <v>1.1999999999999999E-3</v>
      </c>
      <c r="AY84" s="546">
        <f xml:space="preserve"> ROUND(  INDEX( wx!84:84, AY$16 ),  AY$17 )</f>
        <v>2.0999999999999999E-3</v>
      </c>
      <c r="AZ84" s="548" t="str">
        <f t="shared" ref="AZ84:AZ115" si="232" xml:space="preserve"> IF( AX84&lt;AY84, AX$13, AY$13 )</f>
        <v>M</v>
      </c>
      <c r="BA84" s="542">
        <f t="shared" ref="BA84:BA115" si="233" xml:space="preserve"> ROUND(     IF( AZ84=BE_M_, ( $AR84 + $AR84 * BA$18 ) / ( 1 + $AR84 * BA$18 ),  ( $AR84 ) / ( 1 + ( 1 - $AR84 ) * BA$18 ) ),   BA$17 )</f>
        <v>0.69420000000000004</v>
      </c>
      <c r="BB84" s="542">
        <f t="shared" ref="BB84:BB115" si="234" xml:space="preserve"> ROUND( BA84 * AX84 + ( 1 - BA84) * AY84, BB$17 )</f>
        <v>1.5E-3</v>
      </c>
      <c r="BC84" s="533">
        <f xml:space="preserve"> ROUND(  INDEX( Kx!84:84, BC$16 ),  BC$17 )</f>
        <v>11725.22</v>
      </c>
      <c r="BD84" s="533">
        <f xml:space="preserve"> ROUND(  INDEX( Kx!84:84, BD$16 ),  BD$17 )</f>
        <v>9928.7900000000009</v>
      </c>
      <c r="BE84" s="548" t="str">
        <f t="shared" ref="BE84:BE120" si="235" xml:space="preserve"> IF( BC84&gt;BD84, BC$18, BD$18 )</f>
        <v>M</v>
      </c>
      <c r="BF84" s="542">
        <f t="shared" ref="BF84:BF115" si="236" xml:space="preserve"> ROUND(     IF( BE84=BE_M_, ( $AR84 + $AR84 * BF$18 ) / ( 1 + $AR84 * BF$18 ),  ( $AR84 ) / ( 1 + ( 1 - $AR84 ) * BF$18 ) ),   BF$17 )</f>
        <v>0.69420000000000004</v>
      </c>
      <c r="BG84" s="420">
        <f t="shared" ref="BG84:BG115" si="237" xml:space="preserve"> ROUND( BF84 * BC84 + ( 1 - BF84) * BD84, BG$17 )</f>
        <v>11175.87</v>
      </c>
      <c r="BQ84" s="549">
        <f t="shared" si="96"/>
        <v>84</v>
      </c>
      <c r="BR84" s="423">
        <f t="shared" ref="BR84:BR120" si="238" xml:space="preserve"> IF( OR( $A84 &lt;= $BR$12, $A84 &gt; $O$12 ),   LEER,   BW83  )</f>
        <v>60891.45</v>
      </c>
      <c r="BS84" s="550">
        <f t="shared" ref="BS84:BS120" si="239" xml:space="preserve"> IF(  OR( $A84 &lt; $BS$12, $A84 &gt; $O$12 ),   LEER,  I84 )</f>
        <v>11175.87</v>
      </c>
      <c r="BT84" s="423">
        <f t="shared" ref="BT84:BT120" si="240" xml:space="preserve"> IF( OR( $A84 &lt;= $BT$12, $A84 &gt; $O$12 ),   LEER,  ROUND( BT$19 * BT$8 - BS83, BT$17 )  )</f>
        <v>-7156.22</v>
      </c>
      <c r="BU84" s="551">
        <f t="shared" ref="BU84:BU120" si="241" xml:space="preserve"> IF( OR( $A84 &lt; $BU$12, $A84 &gt; $O$12 ),   LEER,  T84  )</f>
        <v>43617.16</v>
      </c>
      <c r="BV84" s="551">
        <f t="shared" ref="BV84:BV115" si="242" xml:space="preserve"> IF( OR( $A84 &lt; $BV$12, $A84 &gt; $O$12 ),   LEER,   ROUND( SUM(BU83) / SUM(BU84), BV$17 )   )</f>
        <v>1.0739000000000001</v>
      </c>
      <c r="BW84" s="529">
        <f t="shared" ref="BW84:BW120" si="243" xml:space="preserve"> IF( OR( $A84 &lt; $BW$12, $A84 &gt; $O$12 ),   LEER,  IF( $A84 = $BW$12,   0,   AN84   )  )</f>
        <v>57704.66</v>
      </c>
      <c r="BX84" s="552">
        <f t="shared" ref="BX84:BX115" si="244" xml:space="preserve"> IF( OR( $A84 &lt;= $BX$12, $A84 &gt; $O$12 ),   LEER,   BW84 - ( BR84 + BT84 )   )</f>
        <v>3969.4300000000076</v>
      </c>
      <c r="BY84" s="560"/>
      <c r="BZ84" s="559"/>
      <c r="CB84" s="423">
        <f t="shared" ref="CB84:CB120" si="245" xml:space="preserve">  IF( AND( $O84, $A84&gt;=CB$12),    ROUND( AN$19 * ( AN$8 - J84 ) * ( 1 + CB$19 ), CB$17 ),  LEER  )</f>
        <v>-7507.1</v>
      </c>
      <c r="CC84" s="423">
        <f t="shared" ref="CC84:CC120" si="246" xml:space="preserve">  IF( AND( $O84, $A84&gt;=CC$12),    ROUND( SUM(AN84) * CC$19, CC$17 ),  LEER  )</f>
        <v>1442.62</v>
      </c>
      <c r="CD84" s="423">
        <f t="shared" ref="CD84:CD120" si="247" xml:space="preserve">  IF( AND( $O84, $A84&gt;=CD$12),    ROUND( SUM(AN85) * P84, CD$17 ),  LEER  )</f>
        <v>2855.58</v>
      </c>
      <c r="CE84" s="423">
        <f t="shared" ref="CE84:CE115" si="248" xml:space="preserve">  IF( AND( $O84, $A84&gt;=CE$12),    SUM(CB84:CD84),  LEER  )</f>
        <v>-3208.9000000000005</v>
      </c>
      <c r="CF84" s="553">
        <f t="shared" ref="CF84:CF120" si="249" xml:space="preserve">  IF( AND( $O84, $A84&gt;=CF$12),   SUM( AN85 ) - SUM( AN84 ), LEER  )</f>
        <v>-3208.7900000000009</v>
      </c>
      <c r="CH84" s="423">
        <f t="shared" ref="CH84:CH120" si="250" xml:space="preserve">  IF( AND( $O84, $A84&gt;=CH$12), CH$19 * CH$8, LEER  )</f>
        <v>3852.4304390000002</v>
      </c>
      <c r="CI84" s="423">
        <f t="shared" ref="CI84:CI120" si="251" xml:space="preserve">  IF( AND( $O84, $A84&gt;=CI$12), ROUND( CI$19 * SUM($J84), CI$17), LEER  )</f>
        <v>11176.43</v>
      </c>
      <c r="CJ84" s="423">
        <f t="shared" ref="CJ84:CJ120" si="252" xml:space="preserve">  IF( AND( $O84, $A84&gt;=CJ$12), ROUND( 1 / ( 1 + CJ$19 ) * SUM(AN85) - SUM(AN84), CJ$17 ), LEER  )</f>
        <v>-4537.96</v>
      </c>
      <c r="CK84" s="423">
        <f t="shared" ref="CK84:CK120" si="253" xml:space="preserve">  IF( AND( $O84, $A84&gt;=CK$12), ROUND( - 1 / ( 1 + CK$19 ) * SUM(AN85) * SUM(P84), CK$17 ), LEER  )</f>
        <v>-2785.94</v>
      </c>
      <c r="CL84" s="553">
        <f t="shared" ref="CL84:CL115" si="254" xml:space="preserve">  IF( AND( $O84, $A84&gt;=CL$12), SUM( CI84:CK84 ), LEER  )</f>
        <v>3852.53</v>
      </c>
      <c r="CN84" s="423">
        <f t="shared" ref="CN84:CN120" si="255" xml:space="preserve">  IF( AND( $O84, $A84&gt;=CN$12), CN$19 * CN$8, LEER  )</f>
        <v>3898.5573770000001</v>
      </c>
      <c r="CO84" s="423">
        <f t="shared" ref="CO84:CO120" si="256" xml:space="preserve">  IF( AND( $O84, $A84&gt;=CO$12), ROUND( CO$19 * SUM($J84), CO$17), LEER  )</f>
        <v>11176.43</v>
      </c>
      <c r="CP84" s="423">
        <f t="shared" ref="CP84:CP120" si="257" xml:space="preserve">  IF( AND( $O84, $A84&gt;=CP$12), ROUND( 1 / ( 1 + CP$19 ) * SUM(AO85) - SUM(AO84), CP$17 ), LEER  )</f>
        <v>-4508.84</v>
      </c>
      <c r="CQ84" s="423">
        <f t="shared" ref="CQ84:CQ120" si="258" xml:space="preserve">  IF( AND( $O84, $A84&gt;=CQ$12), ROUND( - 1 / ( 1 + CQ$19 ) * SUM(AO85) * SUM($P84), CQ$17 ), LEER  )</f>
        <v>-2768.93</v>
      </c>
      <c r="CR84" s="553">
        <f t="shared" ref="CR84:CR120" si="259" xml:space="preserve">  IF( AND( $O84, $A84&gt;=CR$12), SUM( CO84:CQ84 ), LEER  )</f>
        <v>3898.6600000000003</v>
      </c>
      <c r="CV84" s="564">
        <f t="shared" si="98"/>
        <v>84</v>
      </c>
      <c r="CW84" s="538" t="str">
        <f t="shared" ref="CW84:CW120" si="260" xml:space="preserve"> IF(  OR( $CV84&lt;CW$3, $CV84&gt;CY$3),   LEER,   $AO84   )</f>
        <v>.</v>
      </c>
      <c r="CX84" s="566">
        <f t="shared" ref="CX84:CX115" si="261" xml:space="preserve"> IF(  OR( $CV84&lt;CY$3, $CV84&gt;DA$3),   LEER,   $AO84   )</f>
        <v>57350.94</v>
      </c>
      <c r="CY84" s="538" t="str">
        <f t="shared" ref="CY84:CY115" si="262" xml:space="preserve"> IF(  OR( $CV84&lt;CY$3, $CV84&gt;CZ$3),   LEER,
   IF(  $CV84=CY$3,   CW84,
                                             ROUND( SUM(CY83) * T83 / T84, CY$17 )   )       )</f>
        <v>.</v>
      </c>
      <c r="CZ84" s="538">
        <f t="shared" ref="CZ84:CZ115" si="263" xml:space="preserve"> IF(  OR( $CV84&lt;CZ$3, $CV84&gt;DA$3),   LEER,
   IF(  $CV84=CZ$3,   CY84,
                                             ROUND( SUM(CZ83) * V84 / V83, CZ$17 )   )       )</f>
        <v>33748</v>
      </c>
      <c r="DA84" s="538">
        <f t="shared" ref="DA84:DA115" si="264" xml:space="preserve"> IF(  OR( $CV84&lt;CZ$3, $CV84&gt;DA$3),   LEER,
                                                                                ROUND( DA$7 * ( Y84 - DA$5 * V84 ), DA$17  )      )</f>
        <v>21197.75</v>
      </c>
      <c r="DB84" s="567" t="e">
        <f t="shared" si="99"/>
        <v>#N/A</v>
      </c>
      <c r="DC84" s="567">
        <f t="shared" si="100"/>
        <v>57350.94</v>
      </c>
      <c r="DD84" s="567" t="e">
        <f t="shared" si="101"/>
        <v>#N/A</v>
      </c>
      <c r="DE84" s="567">
        <f t="shared" si="101"/>
        <v>33748</v>
      </c>
      <c r="DF84" s="568">
        <f t="shared" si="102"/>
        <v>54945.75</v>
      </c>
      <c r="EL84" s="553">
        <f t="shared" ref="EL84:EL120" si="265" xml:space="preserve">  IF( AND( $A84&lt;=$O$12, $A84&gt;=EL$12),    ROUND( EL$19 * ( SUM($Y84) - SUM(EL$8) * SUM($V84) ), EL$17 ),  LEER  )</f>
        <v>41753.599999999999</v>
      </c>
      <c r="EM84" s="553">
        <f t="shared" ref="EM84:EM115" si="266" xml:space="preserve">  IF( AND( $A84&lt;=$O$12, $A84&gt;=EL$12),    ROUND( ( 1 - $M84 ) * $V84 * EM$8, EL$17 ),  LEER  )</f>
        <v>15600.16</v>
      </c>
      <c r="EN84" s="423">
        <f t="shared" ref="EN84:EN115" si="267" xml:space="preserve">  IF( AND( $A84&lt;=$O$12, $A84&gt;=EL$12),    ROUND( SUM(EL84:EM84), EN$17 ),  LEER  )</f>
        <v>57353.760000000002</v>
      </c>
      <c r="EO84" s="555">
        <f xml:space="preserve"> 'i2'!AO84</f>
        <v>57350.94</v>
      </c>
      <c r="EV84" s="533" t="e">
        <f xml:space="preserve"> ROUND(    IF( $A$15=BE_MF_,   LEER,   INDEX( Kx!84:84, EV$16 ) ),    EV$17    )</f>
        <v>#VALUE!</v>
      </c>
      <c r="EW84" s="533" t="e">
        <f xml:space="preserve"> ROUND(    IF( $A$15=BE_MF_,   LEER,   INDEX( Kx!84:84, EW$16 ) ),    EW$17    )</f>
        <v>#VALUE!</v>
      </c>
      <c r="EX84" s="533" t="e">
        <f xml:space="preserve"> ROUND(    IF( $A$15=BE_MF_,   LEER,   INDEX( Kx!84:84, EX$16 ) ),    EX$17    )</f>
        <v>#VALUE!</v>
      </c>
      <c r="EY84" s="556" t="e">
        <f t="shared" si="103"/>
        <v>#VALUE!</v>
      </c>
      <c r="FB84" s="533" t="e">
        <f xml:space="preserve"> ROUND(    IF( $A$15=BE_MF_,   LEER,   INDEX( Kx!84:84, FB$16 ) ),    FB$17    )</f>
        <v>#VALUE!</v>
      </c>
      <c r="FC84" s="533" t="e">
        <f xml:space="preserve"> ROUND(    IF( $A$15=BE_MF_,   LEER,   INDEX( Kx!84:84, FC$16 ) ),    FC$17    )</f>
        <v>#VALUE!</v>
      </c>
      <c r="FD84" s="556" t="e">
        <f t="shared" si="104"/>
        <v>#VALUE!</v>
      </c>
      <c r="FG84" s="556" t="e">
        <f t="shared" si="105"/>
        <v>#VALUE!</v>
      </c>
      <c r="FH84" s="556" t="e">
        <f t="shared" si="105"/>
        <v>#VALUE!</v>
      </c>
      <c r="FI84" s="556" t="e">
        <f t="shared" si="105"/>
        <v>#VALUE!</v>
      </c>
      <c r="FN84" s="557">
        <f t="shared" ref="FN84:FN120" si="268" xml:space="preserve"> A84</f>
        <v>84</v>
      </c>
      <c r="FO84" s="493">
        <f t="shared" ref="FO84:FO120" si="269" xml:space="preserve"> Y84</f>
        <v>41.990299999999998</v>
      </c>
      <c r="FP84" s="493">
        <f t="shared" ref="FP84:FP120" si="270" xml:space="preserve"> V84</f>
        <v>7.6684999999999999</v>
      </c>
      <c r="FR84" s="427">
        <f t="shared" si="106"/>
        <v>2362407.6100000008</v>
      </c>
      <c r="FS84" s="558">
        <f t="shared" ref="FS84:GH99" si="271" xml:space="preserve"> IF(  OR( FS$18&gt;$FN84, $FN84&gt;$FS$12 ),  LEER,  ROUND( $FR$19 * ( $FO84 - FS$15 * $FP84 ), FS$17 )  )</f>
        <v>68120.41</v>
      </c>
      <c r="FT84" s="558">
        <f t="shared" si="271"/>
        <v>67475.100000000006</v>
      </c>
      <c r="FU84" s="558">
        <f t="shared" si="271"/>
        <v>66828.2</v>
      </c>
      <c r="FV84" s="558">
        <f t="shared" si="271"/>
        <v>66181.3</v>
      </c>
      <c r="FW84" s="558">
        <f t="shared" si="271"/>
        <v>65512.09</v>
      </c>
      <c r="FX84" s="558">
        <f t="shared" si="271"/>
        <v>64823.76</v>
      </c>
      <c r="FY84" s="558">
        <f t="shared" si="271"/>
        <v>64141.81</v>
      </c>
      <c r="FZ84" s="558">
        <f t="shared" si="271"/>
        <v>63455.07</v>
      </c>
      <c r="GA84" s="558">
        <f t="shared" si="271"/>
        <v>62744.44</v>
      </c>
      <c r="GB84" s="558">
        <f t="shared" si="271"/>
        <v>62005.120000000003</v>
      </c>
      <c r="GC84" s="558">
        <f t="shared" si="271"/>
        <v>61261.03</v>
      </c>
      <c r="GD84" s="558">
        <f t="shared" si="271"/>
        <v>60505.78</v>
      </c>
      <c r="GE84" s="558">
        <f t="shared" si="271"/>
        <v>59733</v>
      </c>
      <c r="GF84" s="558">
        <f t="shared" si="271"/>
        <v>58957.04</v>
      </c>
      <c r="GG84" s="558">
        <f t="shared" si="271"/>
        <v>58157.17</v>
      </c>
      <c r="GH84" s="558">
        <f t="shared" si="271"/>
        <v>57350.94</v>
      </c>
      <c r="GI84" s="558">
        <f t="shared" si="205"/>
        <v>56520.800000000003</v>
      </c>
      <c r="GJ84" s="558">
        <f t="shared" si="205"/>
        <v>55671.54</v>
      </c>
      <c r="GK84" s="558">
        <f t="shared" si="205"/>
        <v>54798.39</v>
      </c>
      <c r="GL84" s="558">
        <f t="shared" si="205"/>
        <v>53899.74</v>
      </c>
      <c r="GM84" s="558">
        <f t="shared" si="205"/>
        <v>52974</v>
      </c>
      <c r="GN84" s="558">
        <f t="shared" si="205"/>
        <v>52013.2</v>
      </c>
      <c r="GO84" s="558">
        <f t="shared" si="205"/>
        <v>51017.36</v>
      </c>
      <c r="GP84" s="558">
        <f t="shared" si="205"/>
        <v>49984.87</v>
      </c>
      <c r="GQ84" s="558">
        <f t="shared" si="205"/>
        <v>48910.95</v>
      </c>
      <c r="GR84" s="558">
        <f t="shared" si="205"/>
        <v>47803.57</v>
      </c>
      <c r="GS84" s="558">
        <f t="shared" si="205"/>
        <v>46657.94</v>
      </c>
      <c r="GT84" s="558">
        <f t="shared" si="205"/>
        <v>45477.27</v>
      </c>
      <c r="GU84" s="558">
        <f t="shared" si="205"/>
        <v>44264.73</v>
      </c>
      <c r="GV84" s="558">
        <f t="shared" si="205"/>
        <v>43021.91</v>
      </c>
      <c r="GW84" s="558">
        <f t="shared" si="205"/>
        <v>41753.599999999999</v>
      </c>
      <c r="GX84" s="558">
        <f t="shared" ref="GX84:HM99" si="272" xml:space="preserve"> IF(  OR( GX$18&gt;$FN84, $FN84&gt;$FS$12 ),  LEER,  ROUND( $FR$19 * ( $FO84 - GX$15 * $FP84 ), GX$17 )  )</f>
        <v>40455.019999999997</v>
      </c>
      <c r="GY84" s="558">
        <f t="shared" si="272"/>
        <v>39138.910000000003</v>
      </c>
      <c r="GZ84" s="558">
        <f t="shared" si="272"/>
        <v>37798.9</v>
      </c>
      <c r="HA84" s="558">
        <f t="shared" si="272"/>
        <v>36444.550000000003</v>
      </c>
      <c r="HB84" s="558">
        <f t="shared" si="272"/>
        <v>35075.86</v>
      </c>
      <c r="HC84" s="558">
        <f t="shared" si="272"/>
        <v>33691.24</v>
      </c>
      <c r="HD84" s="558">
        <f t="shared" si="272"/>
        <v>32295.46</v>
      </c>
      <c r="HE84" s="558">
        <f t="shared" si="272"/>
        <v>30878.97</v>
      </c>
      <c r="HF84" s="558">
        <f t="shared" si="272"/>
        <v>29432.2</v>
      </c>
      <c r="HG84" s="558">
        <f t="shared" si="272"/>
        <v>27964.720000000001</v>
      </c>
      <c r="HH84" s="558">
        <f t="shared" si="272"/>
        <v>26482.91</v>
      </c>
      <c r="HI84" s="558">
        <f t="shared" si="272"/>
        <v>24981.97</v>
      </c>
      <c r="HJ84" s="558">
        <f t="shared" si="272"/>
        <v>23469.87</v>
      </c>
      <c r="HK84" s="558">
        <f t="shared" si="272"/>
        <v>21941.85</v>
      </c>
      <c r="HL84" s="558">
        <f t="shared" si="272"/>
        <v>20428.16</v>
      </c>
      <c r="HM84" s="558">
        <f t="shared" si="272"/>
        <v>18901.73</v>
      </c>
      <c r="HN84" s="558">
        <f t="shared" si="206"/>
        <v>17384.86</v>
      </c>
      <c r="HO84" s="558">
        <f t="shared" si="206"/>
        <v>15879.14</v>
      </c>
      <c r="HP84" s="558">
        <f t="shared" si="206"/>
        <v>14379.79</v>
      </c>
      <c r="HQ84" s="558">
        <f t="shared" si="206"/>
        <v>13144.95</v>
      </c>
      <c r="HR84" s="558">
        <f t="shared" si="206"/>
        <v>11948.34</v>
      </c>
      <c r="HS84" s="558">
        <f t="shared" si="206"/>
        <v>10802.72</v>
      </c>
      <c r="HT84" s="558">
        <f t="shared" si="206"/>
        <v>9717.64</v>
      </c>
      <c r="HU84" s="558">
        <f t="shared" si="206"/>
        <v>8407.91</v>
      </c>
      <c r="HV84" s="558">
        <f t="shared" si="206"/>
        <v>7149.16</v>
      </c>
      <c r="HW84" s="558">
        <f t="shared" si="206"/>
        <v>5949.36</v>
      </c>
      <c r="HX84" s="558">
        <f t="shared" si="206"/>
        <v>4846.76</v>
      </c>
      <c r="HY84" s="558">
        <f t="shared" si="206"/>
        <v>3831.8</v>
      </c>
      <c r="HZ84" s="558">
        <f t="shared" si="206"/>
        <v>2909.24</v>
      </c>
      <c r="IA84" s="558">
        <f t="shared" si="206"/>
        <v>2101.41</v>
      </c>
      <c r="IB84" s="558">
        <f t="shared" si="206"/>
        <v>1390.78</v>
      </c>
      <c r="IC84" s="558">
        <f t="shared" si="204"/>
        <v>812.39</v>
      </c>
      <c r="ID84" s="558">
        <f t="shared" si="204"/>
        <v>347.13</v>
      </c>
      <c r="IE84" s="558">
        <f t="shared" si="204"/>
        <v>-0.22</v>
      </c>
      <c r="IF84" s="558" t="str">
        <f t="shared" si="203"/>
        <v>.</v>
      </c>
      <c r="IG84" s="558" t="str">
        <f t="shared" si="203"/>
        <v>.</v>
      </c>
      <c r="IH84" s="558" t="str">
        <f t="shared" si="203"/>
        <v>.</v>
      </c>
      <c r="II84" s="558" t="str">
        <f t="shared" si="203"/>
        <v>.</v>
      </c>
      <c r="IJ84" s="558" t="str">
        <f t="shared" si="203"/>
        <v>.</v>
      </c>
      <c r="IK84" s="558" t="str">
        <f t="shared" si="203"/>
        <v>.</v>
      </c>
      <c r="IL84" s="558" t="str">
        <f t="shared" si="203"/>
        <v>.</v>
      </c>
      <c r="IM84" s="558" t="str">
        <f t="shared" si="203"/>
        <v>.</v>
      </c>
      <c r="IN84" s="558" t="str">
        <f t="shared" si="203"/>
        <v>.</v>
      </c>
      <c r="IO84" s="558" t="str">
        <f t="shared" si="203"/>
        <v>.</v>
      </c>
      <c r="IP84" s="558" t="str">
        <f t="shared" si="203"/>
        <v>.</v>
      </c>
      <c r="IQ84" s="558" t="str">
        <f t="shared" si="203"/>
        <v>.</v>
      </c>
      <c r="IR84" s="558" t="str">
        <f t="shared" si="201"/>
        <v>.</v>
      </c>
      <c r="IS84" s="558" t="str">
        <f t="shared" si="201"/>
        <v>.</v>
      </c>
      <c r="IT84" s="558" t="str">
        <f t="shared" si="201"/>
        <v>.</v>
      </c>
      <c r="IU84" s="558" t="str">
        <f t="shared" si="201"/>
        <v>.</v>
      </c>
      <c r="IV84" s="558" t="str">
        <f t="shared" si="201"/>
        <v>.</v>
      </c>
      <c r="IW84" s="558" t="str">
        <f t="shared" si="201"/>
        <v>.</v>
      </c>
      <c r="IX84" s="558" t="str">
        <f t="shared" si="201"/>
        <v>.</v>
      </c>
      <c r="IY84" s="558" t="str">
        <f t="shared" si="201"/>
        <v>.</v>
      </c>
      <c r="IZ84" s="558" t="str">
        <f t="shared" si="201"/>
        <v>.</v>
      </c>
      <c r="JA84" s="558" t="str">
        <f t="shared" si="201"/>
        <v>.</v>
      </c>
      <c r="JB84" s="558" t="str">
        <f t="shared" si="201"/>
        <v>.</v>
      </c>
      <c r="JC84" s="558" t="str">
        <f t="shared" si="201"/>
        <v>.</v>
      </c>
      <c r="JD84" s="558" t="str">
        <f t="shared" si="201"/>
        <v>.</v>
      </c>
      <c r="JE84" s="558" t="str">
        <f t="shared" si="201"/>
        <v>.</v>
      </c>
      <c r="JF84" s="558" t="str">
        <f t="shared" si="201"/>
        <v>.</v>
      </c>
      <c r="JG84" s="558" t="str">
        <f t="shared" si="201"/>
        <v>.</v>
      </c>
      <c r="JH84" s="558" t="str">
        <f t="shared" si="201"/>
        <v>.</v>
      </c>
      <c r="JI84" s="558" t="str">
        <f t="shared" si="201"/>
        <v>.</v>
      </c>
      <c r="JJ84" s="558" t="str">
        <f t="shared" si="201"/>
        <v>.</v>
      </c>
      <c r="JK84" s="558" t="str">
        <f t="shared" si="207"/>
        <v>.</v>
      </c>
      <c r="JL84" s="558" t="str">
        <f t="shared" si="207"/>
        <v>.</v>
      </c>
      <c r="JM84" s="558" t="str">
        <f t="shared" si="207"/>
        <v>.</v>
      </c>
      <c r="JN84" s="558" t="str">
        <f t="shared" si="207"/>
        <v>.</v>
      </c>
      <c r="JO84" s="558" t="str">
        <f t="shared" si="207"/>
        <v>.</v>
      </c>
    </row>
    <row r="85" spans="1:275" x14ac:dyDescent="0.2">
      <c r="A85" s="534">
        <f xml:space="preserve"> Basis!A85</f>
        <v>85</v>
      </c>
      <c r="F85" s="536">
        <f xml:space="preserve"> ROUND(    IF( $A$15=BE_MF_,   AW85,   INDEX( qx!85:85, F$16 ) ),    F$17    )</f>
        <v>5.8700000000000002E-2</v>
      </c>
      <c r="G85" s="536">
        <f xml:space="preserve"> ROUND(    IF( $A$15=BE_MF_,   BB85,   INDEX( wx!85:85, G$16 ) ),    G$17    )</f>
        <v>1.4E-3</v>
      </c>
      <c r="H85" s="537">
        <f xml:space="preserve"> ROUND(    IF( $A$15=BE_MF_,   BG85,   INDEX( Kx!85:85, H$16 ) ),    H$17    )</f>
        <v>11283.49</v>
      </c>
      <c r="I85" s="538">
        <f t="shared" ref="I85:I120" si="273" xml:space="preserve"> IF( $A85&gt;$H$12, MAX( H85, I84 ), H85 )</f>
        <v>11283.49</v>
      </c>
      <c r="J85" s="539">
        <f t="shared" si="208"/>
        <v>5.431</v>
      </c>
      <c r="K85" s="540">
        <f t="shared" ref="K85:K120" si="274" xml:space="preserve"> IF( $A85&lt;K$18,  K$15,  MAX( 0, K84-K$16 )   )</f>
        <v>0</v>
      </c>
      <c r="L85" s="541">
        <f t="shared" si="116"/>
        <v>0</v>
      </c>
      <c r="M85" s="541">
        <f t="shared" si="116"/>
        <v>8.5999999999999993E-2</v>
      </c>
      <c r="O85" s="542" t="b">
        <f t="shared" ref="O85:O120" si="275" xml:space="preserve"> AND( O$10&lt;=$A85, $A85&lt;=$O$12 )</f>
        <v>1</v>
      </c>
      <c r="P85" s="493">
        <f t="shared" si="209"/>
        <v>6.0100000000000001E-2</v>
      </c>
      <c r="Q85" s="493">
        <f t="shared" si="210"/>
        <v>0.93989999999999996</v>
      </c>
      <c r="R85" s="543">
        <f t="shared" si="211"/>
        <v>328917</v>
      </c>
      <c r="S85" s="544">
        <f t="shared" si="212"/>
        <v>0.97560975599999999</v>
      </c>
      <c r="T85" s="423">
        <f t="shared" si="213"/>
        <v>40323.46</v>
      </c>
      <c r="U85" s="423">
        <f xml:space="preserve"> IF( $O85,    ROUND(  SUM( T85:T$120), U$17 ),  LEER  )</f>
        <v>290860.09999999998</v>
      </c>
      <c r="V85" s="493">
        <f t="shared" si="214"/>
        <v>7.2131999999999996</v>
      </c>
      <c r="W85" s="493">
        <f t="shared" si="215"/>
        <v>218996.71</v>
      </c>
      <c r="X85" s="493">
        <f xml:space="preserve"> IF( $O85,    ROUND(  SUM( W85:W$120), X$17 ),  LEER  )</f>
        <v>1596883.03</v>
      </c>
      <c r="Y85" s="493">
        <f t="shared" si="216"/>
        <v>39.601799999999997</v>
      </c>
      <c r="Z85" s="493">
        <f t="shared" si="217"/>
        <v>5.4901999999999997</v>
      </c>
      <c r="AA85" s="493">
        <f t="shared" si="218"/>
        <v>1</v>
      </c>
      <c r="AB85" s="493">
        <f t="shared" si="219"/>
        <v>2.3494000000000002</v>
      </c>
      <c r="AC85" s="545">
        <f t="shared" si="220"/>
        <v>0.32679999999999998</v>
      </c>
      <c r="AD85" s="493">
        <f t="shared" si="221"/>
        <v>5.4901999999999997</v>
      </c>
      <c r="AE85" s="493">
        <f t="shared" si="222"/>
        <v>6.3643000000000001</v>
      </c>
      <c r="AF85" s="493">
        <f t="shared" si="223"/>
        <v>6.3643000000000001</v>
      </c>
      <c r="AG85" s="493" t="str">
        <f t="shared" si="224"/>
        <v>.</v>
      </c>
      <c r="AH85" s="493" t="str">
        <f t="shared" si="225"/>
        <v>.</v>
      </c>
      <c r="AI85" s="423">
        <f t="shared" si="226"/>
        <v>2077.79</v>
      </c>
      <c r="AJ85" s="423">
        <f t="shared" si="227"/>
        <v>13223.68</v>
      </c>
      <c r="AK85" s="423">
        <f t="shared" si="228"/>
        <v>1101.97</v>
      </c>
      <c r="AN85" s="423">
        <f t="shared" si="200"/>
        <v>54495.87</v>
      </c>
      <c r="AO85" s="423">
        <f t="shared" si="200"/>
        <v>54163.15</v>
      </c>
      <c r="AR85" s="546">
        <f xml:space="preserve"> ROUND(  INDEX( Kx!85:85, AR$16 ),  AR$17 )</f>
        <v>0.57469999999999999</v>
      </c>
      <c r="AS85" s="547">
        <f xml:space="preserve"> ROUND(  INDEX( qx!85:85, AS$16 ),  AS$17 )</f>
        <v>6.9199999999999998E-2</v>
      </c>
      <c r="AT85" s="547">
        <f xml:space="preserve"> ROUND(  INDEX( qx!85:85, AT$16 ),  AT$17 )</f>
        <v>4.9200000000000001E-2</v>
      </c>
      <c r="AU85" s="548" t="str">
        <f t="shared" si="229"/>
        <v>F</v>
      </c>
      <c r="AV85" s="542">
        <f t="shared" si="230"/>
        <v>0.47389999999999999</v>
      </c>
      <c r="AW85" s="542">
        <f t="shared" si="231"/>
        <v>5.8700000000000002E-2</v>
      </c>
      <c r="AX85" s="546">
        <f xml:space="preserve"> ROUND(  INDEX( wx!85:85, AX$16 ),  AX$17 )</f>
        <v>1.1000000000000001E-3</v>
      </c>
      <c r="AY85" s="546">
        <f xml:space="preserve"> ROUND(  INDEX( wx!85:85, AY$16 ),  AY$17 )</f>
        <v>2.0999999999999999E-3</v>
      </c>
      <c r="AZ85" s="548" t="str">
        <f t="shared" si="232"/>
        <v>M</v>
      </c>
      <c r="BA85" s="542">
        <f t="shared" si="233"/>
        <v>0.66959999999999997</v>
      </c>
      <c r="BB85" s="542">
        <f t="shared" si="234"/>
        <v>1.4E-3</v>
      </c>
      <c r="BC85" s="533">
        <f xml:space="preserve"> ROUND(  INDEX( Kx!85:85, BC$16 ),  BC$17 )</f>
        <v>11901.02</v>
      </c>
      <c r="BD85" s="533">
        <f xml:space="preserve"> ROUND(  INDEX( Kx!85:85, BD$16 ),  BD$17 )</f>
        <v>10031.99</v>
      </c>
      <c r="BE85" s="548" t="str">
        <f t="shared" si="235"/>
        <v>M</v>
      </c>
      <c r="BF85" s="542">
        <f t="shared" si="236"/>
        <v>0.66959999999999997</v>
      </c>
      <c r="BG85" s="420">
        <f t="shared" si="237"/>
        <v>11283.49</v>
      </c>
      <c r="BQ85" s="549">
        <f t="shared" ref="BQ85:BQ120" si="276" xml:space="preserve"> A85</f>
        <v>85</v>
      </c>
      <c r="BR85" s="423">
        <f t="shared" si="238"/>
        <v>57704.66</v>
      </c>
      <c r="BS85" s="550">
        <f t="shared" si="239"/>
        <v>11283.49</v>
      </c>
      <c r="BT85" s="423">
        <f t="shared" si="240"/>
        <v>-7323.44</v>
      </c>
      <c r="BU85" s="551">
        <f t="shared" si="241"/>
        <v>40323.46</v>
      </c>
      <c r="BV85" s="551">
        <f t="shared" si="242"/>
        <v>1.0817000000000001</v>
      </c>
      <c r="BW85" s="529">
        <f t="shared" si="243"/>
        <v>54495.87</v>
      </c>
      <c r="BX85" s="552">
        <f t="shared" si="244"/>
        <v>4114.6500000000015</v>
      </c>
      <c r="BY85" s="560"/>
      <c r="BZ85" s="559"/>
      <c r="CB85" s="423">
        <f t="shared" si="245"/>
        <v>-7617.85</v>
      </c>
      <c r="CC85" s="423">
        <f t="shared" si="246"/>
        <v>1362.4</v>
      </c>
      <c r="CD85" s="423">
        <f t="shared" si="247"/>
        <v>3084.65</v>
      </c>
      <c r="CE85" s="423">
        <f t="shared" si="248"/>
        <v>-3170.8000000000006</v>
      </c>
      <c r="CF85" s="553">
        <f t="shared" si="249"/>
        <v>-3170.5600000000049</v>
      </c>
      <c r="CH85" s="423">
        <f t="shared" si="250"/>
        <v>3852.4304390000002</v>
      </c>
      <c r="CI85" s="423">
        <f t="shared" si="251"/>
        <v>11284.48</v>
      </c>
      <c r="CJ85" s="423">
        <f t="shared" si="252"/>
        <v>-4422.3999999999996</v>
      </c>
      <c r="CK85" s="423">
        <f t="shared" si="253"/>
        <v>-3009.42</v>
      </c>
      <c r="CL85" s="553">
        <f t="shared" si="254"/>
        <v>3852.66</v>
      </c>
      <c r="CN85" s="423">
        <f t="shared" si="255"/>
        <v>3898.5573770000001</v>
      </c>
      <c r="CO85" s="423">
        <f t="shared" si="256"/>
        <v>11284.48</v>
      </c>
      <c r="CP85" s="423">
        <f t="shared" si="257"/>
        <v>-4394.59</v>
      </c>
      <c r="CQ85" s="423">
        <f t="shared" si="258"/>
        <v>-2991.09</v>
      </c>
      <c r="CR85" s="553">
        <f t="shared" si="259"/>
        <v>3898.7999999999993</v>
      </c>
      <c r="CV85" s="564">
        <f t="shared" ref="CV85:CV120" si="277" xml:space="preserve"> $A85</f>
        <v>85</v>
      </c>
      <c r="CW85" s="538" t="str">
        <f t="shared" si="260"/>
        <v>.</v>
      </c>
      <c r="CX85" s="566">
        <f t="shared" si="261"/>
        <v>54163.15</v>
      </c>
      <c r="CY85" s="538" t="str">
        <f t="shared" si="262"/>
        <v>.</v>
      </c>
      <c r="CZ85" s="538">
        <f t="shared" si="263"/>
        <v>31744</v>
      </c>
      <c r="DA85" s="538">
        <f t="shared" si="264"/>
        <v>20156.48</v>
      </c>
      <c r="DB85" s="567" t="e">
        <f t="shared" ref="DB85:DB120" si="278" xml:space="preserve"> IF( SUM(CW85)=0, #N/A, CW85 )</f>
        <v>#N/A</v>
      </c>
      <c r="DC85" s="567">
        <f t="shared" ref="DC85:DC120" si="279" xml:space="preserve"> IF( SUM(CX85)=0, #N/A, CX85 )</f>
        <v>54163.15</v>
      </c>
      <c r="DD85" s="567" t="e">
        <f t="shared" ref="DD85:DE120" si="280" xml:space="preserve"> IF( SUM(CY85)=0, #N/A, CY85 )</f>
        <v>#N/A</v>
      </c>
      <c r="DE85" s="567">
        <f t="shared" si="280"/>
        <v>31744</v>
      </c>
      <c r="DF85" s="568">
        <f t="shared" ref="DF85:DF120" si="281" xml:space="preserve"> IF(  OR( $CV85&lt;CZ$3, $CV85&gt;DA$3),   #N/A,
                                                                                     SUM( CZ85:DA85 )      )</f>
        <v>51900.479999999996</v>
      </c>
      <c r="EL85" s="553">
        <f t="shared" si="265"/>
        <v>39491.870000000003</v>
      </c>
      <c r="EM85" s="553">
        <f t="shared" si="266"/>
        <v>14673.94</v>
      </c>
      <c r="EN85" s="423">
        <f t="shared" si="267"/>
        <v>54165.81</v>
      </c>
      <c r="EO85" s="555">
        <f xml:space="preserve"> 'i2'!AO85</f>
        <v>54163.15</v>
      </c>
      <c r="EV85" s="533" t="e">
        <f xml:space="preserve"> ROUND(    IF( $A$15=BE_MF_,   LEER,   INDEX( Kx!85:85, EV$16 ) ),    EV$17    )</f>
        <v>#VALUE!</v>
      </c>
      <c r="EW85" s="533" t="e">
        <f xml:space="preserve"> ROUND(    IF( $A$15=BE_MF_,   LEER,   INDEX( Kx!85:85, EW$16 ) ),    EW$17    )</f>
        <v>#VALUE!</v>
      </c>
      <c r="EX85" s="533" t="e">
        <f xml:space="preserve"> ROUND(    IF( $A$15=BE_MF_,   LEER,   INDEX( Kx!85:85, EX$16 ) ),    EX$17    )</f>
        <v>#VALUE!</v>
      </c>
      <c r="EY85" s="556" t="e">
        <f t="shared" ref="EY85:EY120" si="282" xml:space="preserve"> MAX( 0,   EX85 - IF( $A85&lt;=64, EX$19, 0 )   )</f>
        <v>#VALUE!</v>
      </c>
      <c r="FB85" s="533" t="e">
        <f xml:space="preserve"> ROUND(    IF( $A$15=BE_MF_,   LEER,   INDEX( Kx!85:85, FB$16 ) ),    FB$17    )</f>
        <v>#VALUE!</v>
      </c>
      <c r="FC85" s="533" t="e">
        <f xml:space="preserve"> ROUND(    IF( $A$15=BE_MF_,   LEER,   INDEX( Kx!85:85, FC$16 ) ),    FC$17    )</f>
        <v>#VALUE!</v>
      </c>
      <c r="FD85" s="556" t="e">
        <f t="shared" ref="FD85:FD120" si="283" xml:space="preserve"> MAX( 0,   FC85 - IF( $A85&lt;=64, FC$19, 0 )   )</f>
        <v>#VALUE!</v>
      </c>
      <c r="FG85" s="556" t="e">
        <f t="shared" ref="FG85:FI120" si="284" xml:space="preserve"> EV85 - $EY85</f>
        <v>#VALUE!</v>
      </c>
      <c r="FH85" s="556" t="e">
        <f t="shared" si="284"/>
        <v>#VALUE!</v>
      </c>
      <c r="FI85" s="556" t="e">
        <f t="shared" si="284"/>
        <v>#VALUE!</v>
      </c>
      <c r="FN85" s="557">
        <f t="shared" si="268"/>
        <v>85</v>
      </c>
      <c r="FO85" s="493">
        <f t="shared" si="269"/>
        <v>39.601799999999997</v>
      </c>
      <c r="FP85" s="493">
        <f t="shared" si="270"/>
        <v>7.2131999999999996</v>
      </c>
      <c r="FR85" s="427">
        <f t="shared" ref="FR85:FR120" si="285" xml:space="preserve"> SUM( FS85:JO85 )</f>
        <v>2236268.91</v>
      </c>
      <c r="FS85" s="558">
        <f t="shared" si="271"/>
        <v>64293.21</v>
      </c>
      <c r="FT85" s="558">
        <f t="shared" si="271"/>
        <v>63686.22</v>
      </c>
      <c r="FU85" s="558">
        <f t="shared" si="271"/>
        <v>63077.72</v>
      </c>
      <c r="FV85" s="558">
        <f t="shared" si="271"/>
        <v>62469.23</v>
      </c>
      <c r="FW85" s="558">
        <f t="shared" si="271"/>
        <v>61839.76</v>
      </c>
      <c r="FX85" s="558">
        <f t="shared" si="271"/>
        <v>61192.29</v>
      </c>
      <c r="FY85" s="558">
        <f t="shared" si="271"/>
        <v>60550.83</v>
      </c>
      <c r="FZ85" s="558">
        <f t="shared" si="271"/>
        <v>59904.87</v>
      </c>
      <c r="GA85" s="558">
        <f t="shared" si="271"/>
        <v>59236.42</v>
      </c>
      <c r="GB85" s="558">
        <f t="shared" si="271"/>
        <v>58541</v>
      </c>
      <c r="GC85" s="558">
        <f t="shared" si="271"/>
        <v>57841.09</v>
      </c>
      <c r="GD85" s="558">
        <f t="shared" si="271"/>
        <v>57130.68</v>
      </c>
      <c r="GE85" s="558">
        <f t="shared" si="271"/>
        <v>56403.78</v>
      </c>
      <c r="GF85" s="558">
        <f t="shared" si="271"/>
        <v>55673.89</v>
      </c>
      <c r="GG85" s="558">
        <f t="shared" si="271"/>
        <v>54921.52</v>
      </c>
      <c r="GH85" s="558">
        <f t="shared" si="271"/>
        <v>54163.15</v>
      </c>
      <c r="GI85" s="558">
        <f t="shared" si="205"/>
        <v>53382.3</v>
      </c>
      <c r="GJ85" s="558">
        <f t="shared" si="205"/>
        <v>52583.47</v>
      </c>
      <c r="GK85" s="558">
        <f t="shared" si="205"/>
        <v>51762.15</v>
      </c>
      <c r="GL85" s="558">
        <f t="shared" si="205"/>
        <v>50916.85</v>
      </c>
      <c r="GM85" s="558">
        <f t="shared" si="205"/>
        <v>50046.080000000002</v>
      </c>
      <c r="GN85" s="558">
        <f t="shared" si="205"/>
        <v>49142.33</v>
      </c>
      <c r="GO85" s="558">
        <f t="shared" si="205"/>
        <v>48205.61</v>
      </c>
      <c r="GP85" s="558">
        <f t="shared" si="205"/>
        <v>47234.42</v>
      </c>
      <c r="GQ85" s="558">
        <f t="shared" si="205"/>
        <v>46224.26</v>
      </c>
      <c r="GR85" s="558">
        <f t="shared" si="205"/>
        <v>45182.63</v>
      </c>
      <c r="GS85" s="558">
        <f t="shared" si="205"/>
        <v>44105.03</v>
      </c>
      <c r="GT85" s="558">
        <f t="shared" si="205"/>
        <v>42994.45</v>
      </c>
      <c r="GU85" s="558">
        <f t="shared" si="205"/>
        <v>41853.9</v>
      </c>
      <c r="GV85" s="558">
        <f t="shared" si="205"/>
        <v>40684.879999999997</v>
      </c>
      <c r="GW85" s="558">
        <f t="shared" si="205"/>
        <v>39491.870000000003</v>
      </c>
      <c r="GX85" s="558">
        <f t="shared" si="272"/>
        <v>38270.39</v>
      </c>
      <c r="GY85" s="558">
        <f t="shared" si="272"/>
        <v>37032.42</v>
      </c>
      <c r="GZ85" s="558">
        <f t="shared" si="272"/>
        <v>35771.97</v>
      </c>
      <c r="HA85" s="558">
        <f t="shared" si="272"/>
        <v>34498.03</v>
      </c>
      <c r="HB85" s="558">
        <f t="shared" si="272"/>
        <v>33210.6</v>
      </c>
      <c r="HC85" s="558">
        <f t="shared" si="272"/>
        <v>31908.19</v>
      </c>
      <c r="HD85" s="558">
        <f t="shared" si="272"/>
        <v>30595.279999999999</v>
      </c>
      <c r="HE85" s="558">
        <f t="shared" si="272"/>
        <v>29262.89</v>
      </c>
      <c r="HF85" s="558">
        <f t="shared" si="272"/>
        <v>27902.03</v>
      </c>
      <c r="HG85" s="558">
        <f t="shared" si="272"/>
        <v>26521.68</v>
      </c>
      <c r="HH85" s="558">
        <f t="shared" si="272"/>
        <v>25127.84</v>
      </c>
      <c r="HI85" s="558">
        <f t="shared" si="272"/>
        <v>23716.01</v>
      </c>
      <c r="HJ85" s="558">
        <f t="shared" si="272"/>
        <v>22293.7</v>
      </c>
      <c r="HK85" s="558">
        <f t="shared" si="272"/>
        <v>20856.400000000001</v>
      </c>
      <c r="HL85" s="558">
        <f t="shared" si="272"/>
        <v>19432.580000000002</v>
      </c>
      <c r="HM85" s="558">
        <f t="shared" si="272"/>
        <v>17996.78</v>
      </c>
      <c r="HN85" s="558">
        <f t="shared" si="206"/>
        <v>16569.97</v>
      </c>
      <c r="HO85" s="558">
        <f t="shared" si="206"/>
        <v>15153.65</v>
      </c>
      <c r="HP85" s="558">
        <f t="shared" si="206"/>
        <v>13743.32</v>
      </c>
      <c r="HQ85" s="558">
        <f t="shared" si="206"/>
        <v>12581.79</v>
      </c>
      <c r="HR85" s="558">
        <f t="shared" si="206"/>
        <v>11456.23</v>
      </c>
      <c r="HS85" s="558">
        <f t="shared" si="206"/>
        <v>10378.620000000001</v>
      </c>
      <c r="HT85" s="558">
        <f t="shared" si="206"/>
        <v>9357.9699999999993</v>
      </c>
      <c r="HU85" s="558">
        <f t="shared" si="206"/>
        <v>8126</v>
      </c>
      <c r="HV85" s="558">
        <f t="shared" si="206"/>
        <v>6941.99</v>
      </c>
      <c r="HW85" s="558">
        <f t="shared" si="206"/>
        <v>5813.43</v>
      </c>
      <c r="HX85" s="558">
        <f t="shared" si="206"/>
        <v>4776.29</v>
      </c>
      <c r="HY85" s="558">
        <f t="shared" si="206"/>
        <v>3821.59</v>
      </c>
      <c r="HZ85" s="558">
        <f t="shared" si="206"/>
        <v>2953.81</v>
      </c>
      <c r="IA85" s="558">
        <f t="shared" si="206"/>
        <v>2193.94</v>
      </c>
      <c r="IB85" s="558">
        <f t="shared" si="206"/>
        <v>1525.5</v>
      </c>
      <c r="IC85" s="558">
        <f t="shared" si="204"/>
        <v>981.45</v>
      </c>
      <c r="ID85" s="558">
        <f t="shared" si="204"/>
        <v>543.82000000000005</v>
      </c>
      <c r="IE85" s="558">
        <f t="shared" si="204"/>
        <v>217.09</v>
      </c>
      <c r="IF85" s="558">
        <f t="shared" si="203"/>
        <v>-0.23</v>
      </c>
      <c r="IG85" s="558" t="str">
        <f t="shared" si="203"/>
        <v>.</v>
      </c>
      <c r="IH85" s="558" t="str">
        <f t="shared" si="203"/>
        <v>.</v>
      </c>
      <c r="II85" s="558" t="str">
        <f t="shared" si="203"/>
        <v>.</v>
      </c>
      <c r="IJ85" s="558" t="str">
        <f t="shared" si="203"/>
        <v>.</v>
      </c>
      <c r="IK85" s="558" t="str">
        <f t="shared" si="203"/>
        <v>.</v>
      </c>
      <c r="IL85" s="558" t="str">
        <f t="shared" si="203"/>
        <v>.</v>
      </c>
      <c r="IM85" s="558" t="str">
        <f t="shared" si="203"/>
        <v>.</v>
      </c>
      <c r="IN85" s="558" t="str">
        <f t="shared" si="203"/>
        <v>.</v>
      </c>
      <c r="IO85" s="558" t="str">
        <f t="shared" si="203"/>
        <v>.</v>
      </c>
      <c r="IP85" s="558" t="str">
        <f t="shared" si="203"/>
        <v>.</v>
      </c>
      <c r="IQ85" s="558" t="str">
        <f t="shared" si="203"/>
        <v>.</v>
      </c>
      <c r="IR85" s="558" t="str">
        <f t="shared" si="201"/>
        <v>.</v>
      </c>
      <c r="IS85" s="558" t="str">
        <f t="shared" si="201"/>
        <v>.</v>
      </c>
      <c r="IT85" s="558" t="str">
        <f t="shared" si="201"/>
        <v>.</v>
      </c>
      <c r="IU85" s="558" t="str">
        <f t="shared" si="201"/>
        <v>.</v>
      </c>
      <c r="IV85" s="558" t="str">
        <f t="shared" si="201"/>
        <v>.</v>
      </c>
      <c r="IW85" s="558" t="str">
        <f t="shared" si="201"/>
        <v>.</v>
      </c>
      <c r="IX85" s="558" t="str">
        <f t="shared" si="201"/>
        <v>.</v>
      </c>
      <c r="IY85" s="558" t="str">
        <f t="shared" si="201"/>
        <v>.</v>
      </c>
      <c r="IZ85" s="558" t="str">
        <f t="shared" si="201"/>
        <v>.</v>
      </c>
      <c r="JA85" s="558" t="str">
        <f t="shared" si="201"/>
        <v>.</v>
      </c>
      <c r="JB85" s="558" t="str">
        <f t="shared" si="201"/>
        <v>.</v>
      </c>
      <c r="JC85" s="558" t="str">
        <f t="shared" si="201"/>
        <v>.</v>
      </c>
      <c r="JD85" s="558" t="str">
        <f t="shared" si="201"/>
        <v>.</v>
      </c>
      <c r="JE85" s="558" t="str">
        <f t="shared" si="201"/>
        <v>.</v>
      </c>
      <c r="JF85" s="558" t="str">
        <f t="shared" si="201"/>
        <v>.</v>
      </c>
      <c r="JG85" s="558" t="str">
        <f t="shared" si="201"/>
        <v>.</v>
      </c>
      <c r="JH85" s="558" t="str">
        <f t="shared" si="201"/>
        <v>.</v>
      </c>
      <c r="JI85" s="558" t="str">
        <f t="shared" si="201"/>
        <v>.</v>
      </c>
      <c r="JJ85" s="558" t="str">
        <f t="shared" si="201"/>
        <v>.</v>
      </c>
      <c r="JK85" s="558" t="str">
        <f t="shared" si="207"/>
        <v>.</v>
      </c>
      <c r="JL85" s="558" t="str">
        <f t="shared" si="207"/>
        <v>.</v>
      </c>
      <c r="JM85" s="558" t="str">
        <f t="shared" si="207"/>
        <v>.</v>
      </c>
      <c r="JN85" s="558" t="str">
        <f t="shared" si="207"/>
        <v>.</v>
      </c>
      <c r="JO85" s="558" t="str">
        <f t="shared" si="207"/>
        <v>.</v>
      </c>
    </row>
    <row r="86" spans="1:275" x14ac:dyDescent="0.2">
      <c r="A86" s="534">
        <f xml:space="preserve"> Basis!A86</f>
        <v>86</v>
      </c>
      <c r="F86" s="536">
        <f xml:space="preserve"> ROUND(    IF( $A$15=BE_MF_,   AW86,   INDEX( qx!86:86, F$16 ) ),    F$17    )</f>
        <v>6.7400000000000002E-2</v>
      </c>
      <c r="G86" s="536">
        <f xml:space="preserve"> ROUND(    IF( $A$15=BE_MF_,   BB86,   INDEX( wx!86:86, G$16 ) ),    G$17    )</f>
        <v>1.5E-3</v>
      </c>
      <c r="H86" s="537">
        <f xml:space="preserve"> ROUND(    IF( $A$15=BE_MF_,   BG86,   INDEX( Kx!86:86, H$16 ) ),    H$17    )</f>
        <v>11347.26</v>
      </c>
      <c r="I86" s="538">
        <f t="shared" si="273"/>
        <v>11347.26</v>
      </c>
      <c r="J86" s="539">
        <f t="shared" si="208"/>
        <v>5.4610000000000003</v>
      </c>
      <c r="K86" s="540">
        <f t="shared" si="274"/>
        <v>0</v>
      </c>
      <c r="L86" s="541">
        <f t="shared" si="116"/>
        <v>0</v>
      </c>
      <c r="M86" s="541">
        <f t="shared" si="116"/>
        <v>8.5999999999999993E-2</v>
      </c>
      <c r="O86" s="542" t="b">
        <f t="shared" si="275"/>
        <v>1</v>
      </c>
      <c r="P86" s="493">
        <f t="shared" si="209"/>
        <v>6.8900000000000003E-2</v>
      </c>
      <c r="Q86" s="493">
        <f t="shared" si="210"/>
        <v>0.93110000000000004</v>
      </c>
      <c r="R86" s="543">
        <f t="shared" si="211"/>
        <v>309149</v>
      </c>
      <c r="S86" s="544">
        <f t="shared" si="212"/>
        <v>0.97560975599999999</v>
      </c>
      <c r="T86" s="423">
        <f t="shared" si="213"/>
        <v>36975.620000000003</v>
      </c>
      <c r="U86" s="423">
        <f xml:space="preserve"> IF( $O86,    ROUND(  SUM( T86:T$120), U$17 ),  LEER  )</f>
        <v>250536.64</v>
      </c>
      <c r="V86" s="493">
        <f t="shared" si="214"/>
        <v>6.7756999999999996</v>
      </c>
      <c r="W86" s="493">
        <f t="shared" si="215"/>
        <v>201923.86</v>
      </c>
      <c r="X86" s="493">
        <f xml:space="preserve"> IF( $O86,    ROUND(  SUM( W86:W$120), X$17 ),  LEER  )</f>
        <v>1377886.32</v>
      </c>
      <c r="Y86" s="493">
        <f t="shared" si="216"/>
        <v>37.264699999999998</v>
      </c>
      <c r="Z86" s="493">
        <f t="shared" si="217"/>
        <v>5.4997999999999996</v>
      </c>
      <c r="AA86" s="493">
        <f t="shared" si="218"/>
        <v>1</v>
      </c>
      <c r="AB86" s="493">
        <f t="shared" si="219"/>
        <v>2.3494000000000002</v>
      </c>
      <c r="AC86" s="545">
        <f t="shared" si="220"/>
        <v>0.32679999999999998</v>
      </c>
      <c r="AD86" s="493">
        <f t="shared" si="221"/>
        <v>5.4997999999999996</v>
      </c>
      <c r="AE86" s="493">
        <f t="shared" si="222"/>
        <v>6.3747999999999996</v>
      </c>
      <c r="AF86" s="493">
        <f t="shared" si="223"/>
        <v>6.3747999999999996</v>
      </c>
      <c r="AG86" s="493" t="str">
        <f t="shared" si="224"/>
        <v>.</v>
      </c>
      <c r="AH86" s="493" t="str">
        <f t="shared" si="225"/>
        <v>.</v>
      </c>
      <c r="AI86" s="423">
        <f t="shared" si="226"/>
        <v>2077.79</v>
      </c>
      <c r="AJ86" s="423">
        <f t="shared" si="227"/>
        <v>13245.5</v>
      </c>
      <c r="AK86" s="423">
        <f t="shared" si="228"/>
        <v>1103.79</v>
      </c>
      <c r="AN86" s="423">
        <f t="shared" si="200"/>
        <v>51325.31</v>
      </c>
      <c r="AO86" s="423">
        <f t="shared" si="200"/>
        <v>51012.77</v>
      </c>
      <c r="AR86" s="546">
        <f xml:space="preserve"> ROUND(  INDEX( Kx!86:86, AR$16 ),  AR$17 )</f>
        <v>0.54579999999999995</v>
      </c>
      <c r="AS86" s="547">
        <f xml:space="preserve"> ROUND(  INDEX( qx!86:86, AS$16 ),  AS$17 )</f>
        <v>7.9500000000000001E-2</v>
      </c>
      <c r="AT86" s="547">
        <f xml:space="preserve"> ROUND(  INDEX( qx!86:86, AT$16 ),  AT$17 )</f>
        <v>5.7700000000000001E-2</v>
      </c>
      <c r="AU86" s="548" t="str">
        <f t="shared" si="229"/>
        <v>F</v>
      </c>
      <c r="AV86" s="542">
        <f t="shared" si="230"/>
        <v>0.44479999999999997</v>
      </c>
      <c r="AW86" s="542">
        <f t="shared" si="231"/>
        <v>6.7400000000000002E-2</v>
      </c>
      <c r="AX86" s="546">
        <f xml:space="preserve"> ROUND(  INDEX( wx!86:86, AX$16 ),  AX$17 )</f>
        <v>1.1000000000000001E-3</v>
      </c>
      <c r="AY86" s="546">
        <f xml:space="preserve"> ROUND(  INDEX( wx!86:86, AY$16 ),  AY$17 )</f>
        <v>2.0999999999999999E-3</v>
      </c>
      <c r="AZ86" s="548" t="str">
        <f t="shared" si="232"/>
        <v>M</v>
      </c>
      <c r="BA86" s="542">
        <f t="shared" si="233"/>
        <v>0.64319999999999999</v>
      </c>
      <c r="BB86" s="542">
        <f t="shared" si="234"/>
        <v>1.5E-3</v>
      </c>
      <c r="BC86" s="533">
        <f xml:space="preserve"> ROUND(  INDEX( Kx!86:86, BC$16 ),  BC$17 )</f>
        <v>12046.14</v>
      </c>
      <c r="BD86" s="533">
        <f xml:space="preserve"> ROUND(  INDEX( Kx!86:86, BD$16 ),  BD$17 )</f>
        <v>10087.4</v>
      </c>
      <c r="BE86" s="548" t="str">
        <f t="shared" si="235"/>
        <v>M</v>
      </c>
      <c r="BF86" s="542">
        <f t="shared" si="236"/>
        <v>0.64319999999999999</v>
      </c>
      <c r="BG86" s="420">
        <f t="shared" si="237"/>
        <v>11347.26</v>
      </c>
      <c r="BQ86" s="549">
        <f t="shared" si="276"/>
        <v>86</v>
      </c>
      <c r="BR86" s="423">
        <f t="shared" si="238"/>
        <v>54495.87</v>
      </c>
      <c r="BS86" s="550">
        <f t="shared" si="239"/>
        <v>11347.26</v>
      </c>
      <c r="BT86" s="423">
        <f t="shared" si="240"/>
        <v>-7431.06</v>
      </c>
      <c r="BU86" s="551">
        <f t="shared" si="241"/>
        <v>36975.620000000003</v>
      </c>
      <c r="BV86" s="551">
        <f t="shared" si="242"/>
        <v>1.0905</v>
      </c>
      <c r="BW86" s="529">
        <f t="shared" si="243"/>
        <v>51325.31</v>
      </c>
      <c r="BX86" s="552">
        <f t="shared" si="244"/>
        <v>4260.4999999999927</v>
      </c>
      <c r="BY86" s="560"/>
      <c r="BZ86" s="559"/>
      <c r="CB86" s="423">
        <f t="shared" si="245"/>
        <v>-7681.74</v>
      </c>
      <c r="CC86" s="423">
        <f t="shared" si="246"/>
        <v>1283.1300000000001</v>
      </c>
      <c r="CD86" s="423">
        <f t="shared" si="247"/>
        <v>3324.52</v>
      </c>
      <c r="CE86" s="423">
        <f t="shared" si="248"/>
        <v>-3074.0899999999997</v>
      </c>
      <c r="CF86" s="553">
        <f t="shared" si="249"/>
        <v>-3073.9099999999962</v>
      </c>
      <c r="CH86" s="423">
        <f t="shared" si="250"/>
        <v>3852.4304390000002</v>
      </c>
      <c r="CI86" s="423">
        <f t="shared" si="251"/>
        <v>11346.81</v>
      </c>
      <c r="CJ86" s="423">
        <f t="shared" si="252"/>
        <v>-4250.7700000000004</v>
      </c>
      <c r="CK86" s="423">
        <f t="shared" si="253"/>
        <v>-3243.44</v>
      </c>
      <c r="CL86" s="553">
        <f t="shared" si="254"/>
        <v>3852.599999999999</v>
      </c>
      <c r="CN86" s="423">
        <f t="shared" si="255"/>
        <v>3898.5573770000001</v>
      </c>
      <c r="CO86" s="423">
        <f t="shared" si="256"/>
        <v>11346.81</v>
      </c>
      <c r="CP86" s="423">
        <f t="shared" si="257"/>
        <v>-4224.37</v>
      </c>
      <c r="CQ86" s="423">
        <f t="shared" si="258"/>
        <v>-3223.72</v>
      </c>
      <c r="CR86" s="553">
        <f t="shared" si="259"/>
        <v>3898.72</v>
      </c>
      <c r="CV86" s="564">
        <f t="shared" si="277"/>
        <v>86</v>
      </c>
      <c r="CW86" s="538" t="str">
        <f t="shared" si="260"/>
        <v>.</v>
      </c>
      <c r="CX86" s="566">
        <f t="shared" si="261"/>
        <v>51012.77</v>
      </c>
      <c r="CY86" s="538" t="str">
        <f t="shared" si="262"/>
        <v>.</v>
      </c>
      <c r="CZ86" s="538">
        <f t="shared" si="263"/>
        <v>29819</v>
      </c>
      <c r="DA86" s="538">
        <f t="shared" si="264"/>
        <v>19068.689999999999</v>
      </c>
      <c r="DB86" s="567" t="e">
        <f t="shared" si="278"/>
        <v>#N/A</v>
      </c>
      <c r="DC86" s="567">
        <f t="shared" si="279"/>
        <v>51012.77</v>
      </c>
      <c r="DD86" s="567" t="e">
        <f t="shared" si="280"/>
        <v>#N/A</v>
      </c>
      <c r="DE86" s="567">
        <f t="shared" si="280"/>
        <v>29819</v>
      </c>
      <c r="DF86" s="568">
        <f t="shared" si="281"/>
        <v>48887.69</v>
      </c>
      <c r="EL86" s="553">
        <f t="shared" si="265"/>
        <v>37231.339999999997</v>
      </c>
      <c r="EM86" s="553">
        <f t="shared" si="266"/>
        <v>13783.92</v>
      </c>
      <c r="EN86" s="423">
        <f t="shared" si="267"/>
        <v>51015.26</v>
      </c>
      <c r="EO86" s="555">
        <f xml:space="preserve"> 'i2'!AO86</f>
        <v>51012.77</v>
      </c>
      <c r="EV86" s="533" t="e">
        <f xml:space="preserve"> ROUND(    IF( $A$15=BE_MF_,   LEER,   INDEX( Kx!86:86, EV$16 ) ),    EV$17    )</f>
        <v>#VALUE!</v>
      </c>
      <c r="EW86" s="533" t="e">
        <f xml:space="preserve"> ROUND(    IF( $A$15=BE_MF_,   LEER,   INDEX( Kx!86:86, EW$16 ) ),    EW$17    )</f>
        <v>#VALUE!</v>
      </c>
      <c r="EX86" s="533" t="e">
        <f xml:space="preserve"> ROUND(    IF( $A$15=BE_MF_,   LEER,   INDEX( Kx!86:86, EX$16 ) ),    EX$17    )</f>
        <v>#VALUE!</v>
      </c>
      <c r="EY86" s="556" t="e">
        <f t="shared" si="282"/>
        <v>#VALUE!</v>
      </c>
      <c r="FB86" s="533" t="e">
        <f xml:space="preserve"> ROUND(    IF( $A$15=BE_MF_,   LEER,   INDEX( Kx!86:86, FB$16 ) ),    FB$17    )</f>
        <v>#VALUE!</v>
      </c>
      <c r="FC86" s="533" t="e">
        <f xml:space="preserve"> ROUND(    IF( $A$15=BE_MF_,   LEER,   INDEX( Kx!86:86, FC$16 ) ),    FC$17    )</f>
        <v>#VALUE!</v>
      </c>
      <c r="FD86" s="556" t="e">
        <f t="shared" si="283"/>
        <v>#VALUE!</v>
      </c>
      <c r="FG86" s="556" t="e">
        <f t="shared" si="284"/>
        <v>#VALUE!</v>
      </c>
      <c r="FH86" s="556" t="e">
        <f t="shared" si="284"/>
        <v>#VALUE!</v>
      </c>
      <c r="FI86" s="556" t="e">
        <f t="shared" si="284"/>
        <v>#VALUE!</v>
      </c>
      <c r="FN86" s="557">
        <f t="shared" si="268"/>
        <v>86</v>
      </c>
      <c r="FO86" s="493">
        <f t="shared" si="269"/>
        <v>37.264699999999998</v>
      </c>
      <c r="FP86" s="493">
        <f t="shared" si="270"/>
        <v>6.7756999999999996</v>
      </c>
      <c r="FR86" s="427">
        <f t="shared" si="285"/>
        <v>2109526.4900000002</v>
      </c>
      <c r="FS86" s="558">
        <f t="shared" si="271"/>
        <v>60528.41</v>
      </c>
      <c r="FT86" s="558">
        <f t="shared" si="271"/>
        <v>59958.23</v>
      </c>
      <c r="FU86" s="558">
        <f t="shared" si="271"/>
        <v>59386.65</v>
      </c>
      <c r="FV86" s="558">
        <f t="shared" si="271"/>
        <v>58815.06</v>
      </c>
      <c r="FW86" s="558">
        <f t="shared" si="271"/>
        <v>58223.76</v>
      </c>
      <c r="FX86" s="558">
        <f t="shared" si="271"/>
        <v>57615.57</v>
      </c>
      <c r="FY86" s="558">
        <f t="shared" si="271"/>
        <v>57013.01</v>
      </c>
      <c r="FZ86" s="558">
        <f t="shared" si="271"/>
        <v>56406.23</v>
      </c>
      <c r="GA86" s="558">
        <f t="shared" si="271"/>
        <v>55778.33</v>
      </c>
      <c r="GB86" s="558">
        <f t="shared" si="271"/>
        <v>55125.09</v>
      </c>
      <c r="GC86" s="558">
        <f t="shared" si="271"/>
        <v>54467.63</v>
      </c>
      <c r="GD86" s="558">
        <f t="shared" si="271"/>
        <v>53800.31</v>
      </c>
      <c r="GE86" s="558">
        <f t="shared" si="271"/>
        <v>53117.5</v>
      </c>
      <c r="GF86" s="558">
        <f t="shared" si="271"/>
        <v>52431.88</v>
      </c>
      <c r="GG86" s="558">
        <f t="shared" si="271"/>
        <v>51725.14</v>
      </c>
      <c r="GH86" s="558">
        <f t="shared" si="271"/>
        <v>51012.77</v>
      </c>
      <c r="GI86" s="558">
        <f t="shared" si="205"/>
        <v>50279.28</v>
      </c>
      <c r="GJ86" s="558">
        <f t="shared" si="205"/>
        <v>49528.89</v>
      </c>
      <c r="GK86" s="558">
        <f t="shared" si="205"/>
        <v>48757.39</v>
      </c>
      <c r="GL86" s="558">
        <f t="shared" si="205"/>
        <v>47963.37</v>
      </c>
      <c r="GM86" s="558">
        <f t="shared" si="205"/>
        <v>47145.41</v>
      </c>
      <c r="GN86" s="558">
        <f t="shared" si="205"/>
        <v>46296.47</v>
      </c>
      <c r="GO86" s="558">
        <f t="shared" si="205"/>
        <v>45416.57</v>
      </c>
      <c r="GP86" s="558">
        <f t="shared" si="205"/>
        <v>44504.28</v>
      </c>
      <c r="GQ86" s="558">
        <f t="shared" si="205"/>
        <v>43555.39</v>
      </c>
      <c r="GR86" s="558">
        <f t="shared" si="205"/>
        <v>42576.94</v>
      </c>
      <c r="GS86" s="558">
        <f t="shared" si="205"/>
        <v>41564.699999999997</v>
      </c>
      <c r="GT86" s="558">
        <f t="shared" si="205"/>
        <v>40521.480000000003</v>
      </c>
      <c r="GU86" s="558">
        <f t="shared" si="205"/>
        <v>39450.11</v>
      </c>
      <c r="GV86" s="558">
        <f t="shared" si="205"/>
        <v>38351.99</v>
      </c>
      <c r="GW86" s="558">
        <f t="shared" si="205"/>
        <v>37231.339999999997</v>
      </c>
      <c r="GX86" s="558">
        <f t="shared" si="272"/>
        <v>36083.94</v>
      </c>
      <c r="GY86" s="558">
        <f t="shared" si="272"/>
        <v>34921.06</v>
      </c>
      <c r="GZ86" s="558">
        <f t="shared" si="272"/>
        <v>33737.06</v>
      </c>
      <c r="HA86" s="558">
        <f t="shared" si="272"/>
        <v>32540.39</v>
      </c>
      <c r="HB86" s="558">
        <f t="shared" si="272"/>
        <v>31331.05</v>
      </c>
      <c r="HC86" s="558">
        <f t="shared" si="272"/>
        <v>30107.63</v>
      </c>
      <c r="HD86" s="558">
        <f t="shared" si="272"/>
        <v>28874.35</v>
      </c>
      <c r="HE86" s="558">
        <f t="shared" si="272"/>
        <v>27622.78</v>
      </c>
      <c r="HF86" s="558">
        <f t="shared" si="272"/>
        <v>26344.45</v>
      </c>
      <c r="HG86" s="558">
        <f t="shared" si="272"/>
        <v>25047.82</v>
      </c>
      <c r="HH86" s="558">
        <f t="shared" si="272"/>
        <v>23738.52</v>
      </c>
      <c r="HI86" s="558">
        <f t="shared" si="272"/>
        <v>22412.33</v>
      </c>
      <c r="HJ86" s="558">
        <f t="shared" si="272"/>
        <v>21076.28</v>
      </c>
      <c r="HK86" s="558">
        <f t="shared" si="272"/>
        <v>19726.16</v>
      </c>
      <c r="HL86" s="558">
        <f t="shared" si="272"/>
        <v>18388.7</v>
      </c>
      <c r="HM86" s="558">
        <f t="shared" si="272"/>
        <v>17039.98</v>
      </c>
      <c r="HN86" s="558">
        <f t="shared" si="206"/>
        <v>15699.71</v>
      </c>
      <c r="HO86" s="558">
        <f t="shared" si="206"/>
        <v>14369.29</v>
      </c>
      <c r="HP86" s="558">
        <f t="shared" si="206"/>
        <v>13044.51</v>
      </c>
      <c r="HQ86" s="558">
        <f t="shared" si="206"/>
        <v>11953.43</v>
      </c>
      <c r="HR86" s="558">
        <f t="shared" si="206"/>
        <v>10896.13</v>
      </c>
      <c r="HS86" s="558">
        <f t="shared" si="206"/>
        <v>9883.89</v>
      </c>
      <c r="HT86" s="558">
        <f t="shared" si="206"/>
        <v>8925.14</v>
      </c>
      <c r="HU86" s="558">
        <f t="shared" si="206"/>
        <v>7767.89</v>
      </c>
      <c r="HV86" s="558">
        <f t="shared" si="206"/>
        <v>6655.69</v>
      </c>
      <c r="HW86" s="558">
        <f t="shared" si="206"/>
        <v>5595.58</v>
      </c>
      <c r="HX86" s="558">
        <f t="shared" si="206"/>
        <v>4621.3500000000004</v>
      </c>
      <c r="HY86" s="558">
        <f t="shared" si="206"/>
        <v>3724.55</v>
      </c>
      <c r="HZ86" s="558">
        <f t="shared" si="206"/>
        <v>2909.41</v>
      </c>
      <c r="IA86" s="558">
        <f t="shared" si="206"/>
        <v>2195.63</v>
      </c>
      <c r="IB86" s="558">
        <f t="shared" si="206"/>
        <v>1567.73</v>
      </c>
      <c r="IC86" s="558">
        <f t="shared" si="204"/>
        <v>1056.68</v>
      </c>
      <c r="ID86" s="558">
        <f t="shared" si="204"/>
        <v>645.59</v>
      </c>
      <c r="IE86" s="558">
        <f t="shared" si="204"/>
        <v>338.68</v>
      </c>
      <c r="IF86" s="558">
        <f t="shared" si="203"/>
        <v>134.54</v>
      </c>
      <c r="IG86" s="558">
        <f t="shared" si="203"/>
        <v>-0.61</v>
      </c>
      <c r="IH86" s="558" t="str">
        <f t="shared" si="203"/>
        <v>.</v>
      </c>
      <c r="II86" s="558" t="str">
        <f t="shared" si="203"/>
        <v>.</v>
      </c>
      <c r="IJ86" s="558" t="str">
        <f t="shared" si="203"/>
        <v>.</v>
      </c>
      <c r="IK86" s="558" t="str">
        <f t="shared" si="203"/>
        <v>.</v>
      </c>
      <c r="IL86" s="558" t="str">
        <f t="shared" si="203"/>
        <v>.</v>
      </c>
      <c r="IM86" s="558" t="str">
        <f t="shared" si="203"/>
        <v>.</v>
      </c>
      <c r="IN86" s="558" t="str">
        <f t="shared" si="203"/>
        <v>.</v>
      </c>
      <c r="IO86" s="558" t="str">
        <f t="shared" si="203"/>
        <v>.</v>
      </c>
      <c r="IP86" s="558" t="str">
        <f t="shared" si="203"/>
        <v>.</v>
      </c>
      <c r="IQ86" s="558" t="str">
        <f t="shared" si="203"/>
        <v>.</v>
      </c>
      <c r="IR86" s="558" t="str">
        <f t="shared" si="201"/>
        <v>.</v>
      </c>
      <c r="IS86" s="558" t="str">
        <f t="shared" si="201"/>
        <v>.</v>
      </c>
      <c r="IT86" s="558" t="str">
        <f t="shared" si="201"/>
        <v>.</v>
      </c>
      <c r="IU86" s="558" t="str">
        <f t="shared" si="201"/>
        <v>.</v>
      </c>
      <c r="IV86" s="558" t="str">
        <f t="shared" si="201"/>
        <v>.</v>
      </c>
      <c r="IW86" s="558" t="str">
        <f t="shared" si="201"/>
        <v>.</v>
      </c>
      <c r="IX86" s="558" t="str">
        <f t="shared" si="201"/>
        <v>.</v>
      </c>
      <c r="IY86" s="558" t="str">
        <f t="shared" si="201"/>
        <v>.</v>
      </c>
      <c r="IZ86" s="558" t="str">
        <f t="shared" si="201"/>
        <v>.</v>
      </c>
      <c r="JA86" s="558" t="str">
        <f t="shared" si="201"/>
        <v>.</v>
      </c>
      <c r="JB86" s="558" t="str">
        <f t="shared" si="201"/>
        <v>.</v>
      </c>
      <c r="JC86" s="558" t="str">
        <f t="shared" si="201"/>
        <v>.</v>
      </c>
      <c r="JD86" s="558" t="str">
        <f t="shared" si="201"/>
        <v>.</v>
      </c>
      <c r="JE86" s="558" t="str">
        <f t="shared" si="201"/>
        <v>.</v>
      </c>
      <c r="JF86" s="558" t="str">
        <f t="shared" si="201"/>
        <v>.</v>
      </c>
      <c r="JG86" s="558" t="str">
        <f t="shared" si="201"/>
        <v>.</v>
      </c>
      <c r="JH86" s="558" t="str">
        <f t="shared" si="201"/>
        <v>.</v>
      </c>
      <c r="JI86" s="558" t="str">
        <f t="shared" si="201"/>
        <v>.</v>
      </c>
      <c r="JJ86" s="558" t="str">
        <f t="shared" si="201"/>
        <v>.</v>
      </c>
      <c r="JK86" s="558" t="str">
        <f t="shared" si="207"/>
        <v>.</v>
      </c>
      <c r="JL86" s="558" t="str">
        <f t="shared" si="207"/>
        <v>.</v>
      </c>
      <c r="JM86" s="558" t="str">
        <f t="shared" si="207"/>
        <v>.</v>
      </c>
      <c r="JN86" s="558" t="str">
        <f t="shared" si="207"/>
        <v>.</v>
      </c>
      <c r="JO86" s="558" t="str">
        <f t="shared" si="207"/>
        <v>.</v>
      </c>
    </row>
    <row r="87" spans="1:275" x14ac:dyDescent="0.2">
      <c r="A87" s="534">
        <f xml:space="preserve"> Basis!A87</f>
        <v>87</v>
      </c>
      <c r="F87" s="536">
        <f xml:space="preserve"> ROUND(    IF( $A$15=BE_MF_,   AW87,   INDEX( qx!87:87, F$16 ) ),    F$17    )</f>
        <v>7.8E-2</v>
      </c>
      <c r="G87" s="536">
        <f xml:space="preserve"> ROUND(    IF( $A$15=BE_MF_,   BB87,   INDEX( wx!87:87, G$16 ) ),    G$17    )</f>
        <v>1.4E-3</v>
      </c>
      <c r="H87" s="537">
        <f xml:space="preserve"> ROUND(    IF( $A$15=BE_MF_,   BG87,   INDEX( Kx!87:87, H$16 ) ),    H$17    )</f>
        <v>11437.67</v>
      </c>
      <c r="I87" s="538">
        <f t="shared" si="273"/>
        <v>11437.67</v>
      </c>
      <c r="J87" s="539">
        <f t="shared" si="208"/>
        <v>5.5049999999999999</v>
      </c>
      <c r="K87" s="540">
        <f t="shared" si="274"/>
        <v>0</v>
      </c>
      <c r="L87" s="541">
        <f t="shared" si="116"/>
        <v>0</v>
      </c>
      <c r="M87" s="541">
        <f t="shared" si="116"/>
        <v>8.5999999999999993E-2</v>
      </c>
      <c r="O87" s="542" t="b">
        <f t="shared" si="275"/>
        <v>1</v>
      </c>
      <c r="P87" s="493">
        <f t="shared" si="209"/>
        <v>7.9399999999999998E-2</v>
      </c>
      <c r="Q87" s="493">
        <f t="shared" si="210"/>
        <v>0.92059999999999997</v>
      </c>
      <c r="R87" s="543">
        <f t="shared" si="211"/>
        <v>287848</v>
      </c>
      <c r="S87" s="544">
        <f t="shared" si="212"/>
        <v>0.97560975599999999</v>
      </c>
      <c r="T87" s="423">
        <f t="shared" si="213"/>
        <v>33588.21</v>
      </c>
      <c r="U87" s="423">
        <f xml:space="preserve"> IF( $O87,    ROUND(  SUM( T87:T$120), U$17 ),  LEER  )</f>
        <v>213561.02</v>
      </c>
      <c r="V87" s="493">
        <f t="shared" si="214"/>
        <v>6.3582000000000001</v>
      </c>
      <c r="W87" s="493">
        <f t="shared" si="215"/>
        <v>184903.1</v>
      </c>
      <c r="X87" s="493">
        <f xml:space="preserve"> IF( $O87,    ROUND(  SUM( W87:W$120), X$17 ),  LEER  )</f>
        <v>1175962.46</v>
      </c>
      <c r="Y87" s="493">
        <f t="shared" si="216"/>
        <v>35.011200000000002</v>
      </c>
      <c r="Z87" s="493">
        <f t="shared" si="217"/>
        <v>5.5065</v>
      </c>
      <c r="AA87" s="493">
        <f t="shared" si="218"/>
        <v>1</v>
      </c>
      <c r="AB87" s="493">
        <f t="shared" si="219"/>
        <v>2.3494000000000002</v>
      </c>
      <c r="AC87" s="545">
        <f t="shared" si="220"/>
        <v>0.32679999999999998</v>
      </c>
      <c r="AD87" s="493">
        <f t="shared" si="221"/>
        <v>5.5065</v>
      </c>
      <c r="AE87" s="493">
        <f t="shared" si="222"/>
        <v>6.3822000000000001</v>
      </c>
      <c r="AF87" s="493">
        <f t="shared" si="223"/>
        <v>6.3822000000000001</v>
      </c>
      <c r="AG87" s="493" t="str">
        <f t="shared" si="224"/>
        <v>.</v>
      </c>
      <c r="AH87" s="493" t="str">
        <f t="shared" si="225"/>
        <v>.</v>
      </c>
      <c r="AI87" s="423">
        <f t="shared" si="226"/>
        <v>2077.79</v>
      </c>
      <c r="AJ87" s="423">
        <f t="shared" si="227"/>
        <v>13260.87</v>
      </c>
      <c r="AK87" s="423">
        <f t="shared" si="228"/>
        <v>1105.07</v>
      </c>
      <c r="AN87" s="423">
        <f t="shared" si="200"/>
        <v>48251.4</v>
      </c>
      <c r="AO87" s="423">
        <f t="shared" si="200"/>
        <v>47958.11</v>
      </c>
      <c r="AR87" s="546">
        <f xml:space="preserve"> ROUND(  INDEX( Kx!87:87, AR$16 ),  AR$17 )</f>
        <v>0.54530000000000001</v>
      </c>
      <c r="AS87" s="547">
        <f xml:space="preserve"> ROUND(  INDEX( qx!87:87, AS$16 ),  AS$17 )</f>
        <v>9.11E-2</v>
      </c>
      <c r="AT87" s="547">
        <f xml:space="preserve"> ROUND(  INDEX( qx!87:87, AT$16 ),  AT$17 )</f>
        <v>6.7599999999999993E-2</v>
      </c>
      <c r="AU87" s="548" t="str">
        <f t="shared" si="229"/>
        <v>F</v>
      </c>
      <c r="AV87" s="542">
        <f t="shared" si="230"/>
        <v>0.44429999999999997</v>
      </c>
      <c r="AW87" s="542">
        <f t="shared" si="231"/>
        <v>7.8E-2</v>
      </c>
      <c r="AX87" s="546">
        <f xml:space="preserve"> ROUND(  INDEX( wx!87:87, AX$16 ),  AX$17 )</f>
        <v>1E-3</v>
      </c>
      <c r="AY87" s="546">
        <f xml:space="preserve"> ROUND(  INDEX( wx!87:87, AY$16 ),  AY$17 )</f>
        <v>2.0999999999999999E-3</v>
      </c>
      <c r="AZ87" s="548" t="str">
        <f t="shared" si="232"/>
        <v>M</v>
      </c>
      <c r="BA87" s="542">
        <f t="shared" si="233"/>
        <v>0.64270000000000005</v>
      </c>
      <c r="BB87" s="542">
        <f t="shared" si="234"/>
        <v>1.4E-3</v>
      </c>
      <c r="BC87" s="533">
        <f xml:space="preserve"> ROUND(  INDEX( Kx!87:87, BC$16 ),  BC$17 )</f>
        <v>12169.91</v>
      </c>
      <c r="BD87" s="533">
        <f xml:space="preserve"> ROUND(  INDEX( Kx!87:87, BD$16 ),  BD$17 )</f>
        <v>10120.549999999999</v>
      </c>
      <c r="BE87" s="548" t="str">
        <f t="shared" si="235"/>
        <v>M</v>
      </c>
      <c r="BF87" s="542">
        <f t="shared" si="236"/>
        <v>0.64270000000000005</v>
      </c>
      <c r="BG87" s="420">
        <f t="shared" si="237"/>
        <v>11437.67</v>
      </c>
      <c r="BQ87" s="549">
        <f t="shared" si="276"/>
        <v>87</v>
      </c>
      <c r="BR87" s="423">
        <f t="shared" si="238"/>
        <v>51325.31</v>
      </c>
      <c r="BS87" s="550">
        <f t="shared" si="239"/>
        <v>11437.67</v>
      </c>
      <c r="BT87" s="423">
        <f t="shared" si="240"/>
        <v>-7494.83</v>
      </c>
      <c r="BU87" s="551">
        <f t="shared" si="241"/>
        <v>33588.21</v>
      </c>
      <c r="BV87" s="551">
        <f t="shared" si="242"/>
        <v>1.1009</v>
      </c>
      <c r="BW87" s="529">
        <f t="shared" si="243"/>
        <v>48251.4</v>
      </c>
      <c r="BX87" s="552">
        <f t="shared" si="244"/>
        <v>4420.9200000000055</v>
      </c>
      <c r="BY87" s="560"/>
      <c r="BZ87" s="559"/>
      <c r="CB87" s="423">
        <f t="shared" si="245"/>
        <v>-7775.45</v>
      </c>
      <c r="CC87" s="423">
        <f t="shared" si="246"/>
        <v>1206.29</v>
      </c>
      <c r="CD87" s="423">
        <f t="shared" si="247"/>
        <v>3595.01</v>
      </c>
      <c r="CE87" s="423">
        <f t="shared" si="248"/>
        <v>-2974.1499999999996</v>
      </c>
      <c r="CF87" s="553">
        <f t="shared" si="249"/>
        <v>-2974.2300000000032</v>
      </c>
      <c r="CH87" s="423">
        <f t="shared" si="250"/>
        <v>3852.4304390000002</v>
      </c>
      <c r="CI87" s="423">
        <f t="shared" si="251"/>
        <v>11438.23</v>
      </c>
      <c r="CJ87" s="423">
        <f t="shared" si="252"/>
        <v>-4078.55</v>
      </c>
      <c r="CK87" s="423">
        <f t="shared" si="253"/>
        <v>-3507.32</v>
      </c>
      <c r="CL87" s="553">
        <f t="shared" si="254"/>
        <v>3852.3599999999992</v>
      </c>
      <c r="CN87" s="423">
        <f t="shared" si="255"/>
        <v>3898.5573770000001</v>
      </c>
      <c r="CO87" s="423">
        <f t="shared" si="256"/>
        <v>11438.23</v>
      </c>
      <c r="CP87" s="423">
        <f t="shared" si="257"/>
        <v>-4053.74</v>
      </c>
      <c r="CQ87" s="423">
        <f t="shared" si="258"/>
        <v>-3486.01</v>
      </c>
      <c r="CR87" s="553">
        <f t="shared" si="259"/>
        <v>3898.4799999999996</v>
      </c>
      <c r="CV87" s="564">
        <f t="shared" si="277"/>
        <v>87</v>
      </c>
      <c r="CW87" s="538" t="str">
        <f t="shared" si="260"/>
        <v>.</v>
      </c>
      <c r="CX87" s="566">
        <f t="shared" si="261"/>
        <v>47958.11</v>
      </c>
      <c r="CY87" s="538" t="str">
        <f t="shared" si="262"/>
        <v>.</v>
      </c>
      <c r="CZ87" s="538">
        <f t="shared" si="263"/>
        <v>27982</v>
      </c>
      <c r="DA87" s="538">
        <f t="shared" si="264"/>
        <v>17982.34</v>
      </c>
      <c r="DB87" s="567" t="e">
        <f t="shared" si="278"/>
        <v>#N/A</v>
      </c>
      <c r="DC87" s="567">
        <f t="shared" si="279"/>
        <v>47958.11</v>
      </c>
      <c r="DD87" s="567" t="e">
        <f t="shared" si="280"/>
        <v>#N/A</v>
      </c>
      <c r="DE87" s="567">
        <f t="shared" si="280"/>
        <v>27982</v>
      </c>
      <c r="DF87" s="568">
        <f t="shared" si="281"/>
        <v>45964.34</v>
      </c>
      <c r="EL87" s="553">
        <f t="shared" si="265"/>
        <v>35025.86</v>
      </c>
      <c r="EM87" s="553">
        <f t="shared" si="266"/>
        <v>12934.6</v>
      </c>
      <c r="EN87" s="423">
        <f t="shared" si="267"/>
        <v>47960.46</v>
      </c>
      <c r="EO87" s="555">
        <f xml:space="preserve"> 'i2'!AO87</f>
        <v>47958.11</v>
      </c>
      <c r="EV87" s="533" t="e">
        <f xml:space="preserve"> ROUND(    IF( $A$15=BE_MF_,   LEER,   INDEX( Kx!87:87, EV$16 ) ),    EV$17    )</f>
        <v>#VALUE!</v>
      </c>
      <c r="EW87" s="533" t="e">
        <f xml:space="preserve"> ROUND(    IF( $A$15=BE_MF_,   LEER,   INDEX( Kx!87:87, EW$16 ) ),    EW$17    )</f>
        <v>#VALUE!</v>
      </c>
      <c r="EX87" s="533" t="e">
        <f xml:space="preserve"> ROUND(    IF( $A$15=BE_MF_,   LEER,   INDEX( Kx!87:87, EX$16 ) ),    EX$17    )</f>
        <v>#VALUE!</v>
      </c>
      <c r="EY87" s="556" t="e">
        <f t="shared" si="282"/>
        <v>#VALUE!</v>
      </c>
      <c r="FB87" s="533" t="e">
        <f xml:space="preserve"> ROUND(    IF( $A$15=BE_MF_,   LEER,   INDEX( Kx!87:87, FB$16 ) ),    FB$17    )</f>
        <v>#VALUE!</v>
      </c>
      <c r="FC87" s="533" t="e">
        <f xml:space="preserve"> ROUND(    IF( $A$15=BE_MF_,   LEER,   INDEX( Kx!87:87, FC$16 ) ),    FC$17    )</f>
        <v>#VALUE!</v>
      </c>
      <c r="FD87" s="556" t="e">
        <f t="shared" si="283"/>
        <v>#VALUE!</v>
      </c>
      <c r="FG87" s="556" t="e">
        <f t="shared" si="284"/>
        <v>#VALUE!</v>
      </c>
      <c r="FH87" s="556" t="e">
        <f t="shared" si="284"/>
        <v>#VALUE!</v>
      </c>
      <c r="FI87" s="556" t="e">
        <f t="shared" si="284"/>
        <v>#VALUE!</v>
      </c>
      <c r="FN87" s="557">
        <f t="shared" si="268"/>
        <v>87</v>
      </c>
      <c r="FO87" s="493">
        <f t="shared" si="269"/>
        <v>35.011200000000002</v>
      </c>
      <c r="FP87" s="493">
        <f t="shared" si="270"/>
        <v>6.3582000000000001</v>
      </c>
      <c r="FR87" s="427">
        <f t="shared" si="285"/>
        <v>1985479.9499999995</v>
      </c>
      <c r="FS87" s="558">
        <f t="shared" si="271"/>
        <v>56887.43</v>
      </c>
      <c r="FT87" s="558">
        <f t="shared" si="271"/>
        <v>56352.39</v>
      </c>
      <c r="FU87" s="558">
        <f t="shared" si="271"/>
        <v>55816.02</v>
      </c>
      <c r="FV87" s="558">
        <f t="shared" si="271"/>
        <v>55279.65</v>
      </c>
      <c r="FW87" s="558">
        <f t="shared" si="271"/>
        <v>54724.79</v>
      </c>
      <c r="FX87" s="558">
        <f t="shared" si="271"/>
        <v>54154.07</v>
      </c>
      <c r="FY87" s="558">
        <f t="shared" si="271"/>
        <v>53588.639999999999</v>
      </c>
      <c r="FZ87" s="558">
        <f t="shared" si="271"/>
        <v>53019.25</v>
      </c>
      <c r="GA87" s="558">
        <f t="shared" si="271"/>
        <v>52430.04</v>
      </c>
      <c r="GB87" s="558">
        <f t="shared" si="271"/>
        <v>51817.05</v>
      </c>
      <c r="GC87" s="558">
        <f t="shared" si="271"/>
        <v>51200.09</v>
      </c>
      <c r="GD87" s="558">
        <f t="shared" si="271"/>
        <v>50573.89</v>
      </c>
      <c r="GE87" s="558">
        <f t="shared" si="271"/>
        <v>49933.16</v>
      </c>
      <c r="GF87" s="558">
        <f t="shared" si="271"/>
        <v>49289.78</v>
      </c>
      <c r="GG87" s="558">
        <f t="shared" si="271"/>
        <v>48626.59</v>
      </c>
      <c r="GH87" s="558">
        <f t="shared" si="271"/>
        <v>47958.11</v>
      </c>
      <c r="GI87" s="558">
        <f t="shared" si="205"/>
        <v>47269.82</v>
      </c>
      <c r="GJ87" s="558">
        <f t="shared" si="205"/>
        <v>46565.67</v>
      </c>
      <c r="GK87" s="558">
        <f t="shared" si="205"/>
        <v>45841.71</v>
      </c>
      <c r="GL87" s="558">
        <f t="shared" si="205"/>
        <v>45096.61</v>
      </c>
      <c r="GM87" s="558">
        <f t="shared" si="205"/>
        <v>44329.05</v>
      </c>
      <c r="GN87" s="558">
        <f t="shared" si="205"/>
        <v>43532.43</v>
      </c>
      <c r="GO87" s="558">
        <f t="shared" si="205"/>
        <v>42706.74</v>
      </c>
      <c r="GP87" s="558">
        <f t="shared" si="205"/>
        <v>41850.67</v>
      </c>
      <c r="GQ87" s="558">
        <f t="shared" si="205"/>
        <v>40960.239999999998</v>
      </c>
      <c r="GR87" s="558">
        <f t="shared" si="205"/>
        <v>40042.080000000002</v>
      </c>
      <c r="GS87" s="558">
        <f t="shared" si="205"/>
        <v>39092.21</v>
      </c>
      <c r="GT87" s="558">
        <f t="shared" si="205"/>
        <v>38113.269999999997</v>
      </c>
      <c r="GU87" s="558">
        <f t="shared" si="205"/>
        <v>37107.919999999998</v>
      </c>
      <c r="GV87" s="558">
        <f t="shared" si="205"/>
        <v>36077.46</v>
      </c>
      <c r="GW87" s="558">
        <f t="shared" si="205"/>
        <v>35025.86</v>
      </c>
      <c r="GX87" s="558">
        <f t="shared" si="272"/>
        <v>33949.160000000003</v>
      </c>
      <c r="GY87" s="558">
        <f t="shared" si="272"/>
        <v>32857.94</v>
      </c>
      <c r="GZ87" s="558">
        <f t="shared" si="272"/>
        <v>31746.89</v>
      </c>
      <c r="HA87" s="558">
        <f t="shared" si="272"/>
        <v>30623.95</v>
      </c>
      <c r="HB87" s="558">
        <f t="shared" si="272"/>
        <v>29489.13</v>
      </c>
      <c r="HC87" s="558">
        <f t="shared" si="272"/>
        <v>28341.09</v>
      </c>
      <c r="HD87" s="558">
        <f t="shared" si="272"/>
        <v>27183.81</v>
      </c>
      <c r="HE87" s="558">
        <f t="shared" si="272"/>
        <v>26009.35</v>
      </c>
      <c r="HF87" s="558">
        <f t="shared" si="272"/>
        <v>24809.79</v>
      </c>
      <c r="HG87" s="558">
        <f t="shared" si="272"/>
        <v>23593.06</v>
      </c>
      <c r="HH87" s="558">
        <f t="shared" si="272"/>
        <v>22364.43</v>
      </c>
      <c r="HI87" s="558">
        <f t="shared" si="272"/>
        <v>21119.96</v>
      </c>
      <c r="HJ87" s="558">
        <f t="shared" si="272"/>
        <v>19866.23</v>
      </c>
      <c r="HK87" s="558">
        <f t="shared" si="272"/>
        <v>18599.3</v>
      </c>
      <c r="HL87" s="558">
        <f t="shared" si="272"/>
        <v>17344.25</v>
      </c>
      <c r="HM87" s="558">
        <f t="shared" si="272"/>
        <v>16078.64</v>
      </c>
      <c r="HN87" s="558">
        <f t="shared" si="206"/>
        <v>14820.95</v>
      </c>
      <c r="HO87" s="558">
        <f t="shared" si="206"/>
        <v>13572.51</v>
      </c>
      <c r="HP87" s="558">
        <f t="shared" si="206"/>
        <v>12329.36</v>
      </c>
      <c r="HQ87" s="558">
        <f t="shared" si="206"/>
        <v>11305.5</v>
      </c>
      <c r="HR87" s="558">
        <f t="shared" si="206"/>
        <v>10313.36</v>
      </c>
      <c r="HS87" s="558">
        <f t="shared" si="206"/>
        <v>9363.49</v>
      </c>
      <c r="HT87" s="558">
        <f t="shared" si="206"/>
        <v>8463.82</v>
      </c>
      <c r="HU87" s="558">
        <f t="shared" si="206"/>
        <v>7377.87</v>
      </c>
      <c r="HV87" s="558">
        <f t="shared" si="206"/>
        <v>6334.2</v>
      </c>
      <c r="HW87" s="558">
        <f t="shared" si="206"/>
        <v>5339.41</v>
      </c>
      <c r="HX87" s="558">
        <f t="shared" si="206"/>
        <v>4425.21</v>
      </c>
      <c r="HY87" s="558">
        <f t="shared" si="206"/>
        <v>3583.67</v>
      </c>
      <c r="HZ87" s="558">
        <f t="shared" si="206"/>
        <v>2818.75</v>
      </c>
      <c r="IA87" s="558">
        <f t="shared" si="206"/>
        <v>2148.96</v>
      </c>
      <c r="IB87" s="558">
        <f t="shared" si="206"/>
        <v>1559.75</v>
      </c>
      <c r="IC87" s="558">
        <f t="shared" si="204"/>
        <v>1080.19</v>
      </c>
      <c r="ID87" s="558">
        <f t="shared" si="204"/>
        <v>694.42</v>
      </c>
      <c r="IE87" s="558">
        <f t="shared" si="204"/>
        <v>406.42</v>
      </c>
      <c r="IF87" s="558">
        <f t="shared" si="203"/>
        <v>214.87</v>
      </c>
      <c r="IG87" s="558">
        <f t="shared" si="203"/>
        <v>88.04</v>
      </c>
      <c r="IH87" s="558">
        <f t="shared" si="203"/>
        <v>-0.47</v>
      </c>
      <c r="II87" s="558" t="str">
        <f t="shared" si="203"/>
        <v>.</v>
      </c>
      <c r="IJ87" s="558" t="str">
        <f t="shared" si="203"/>
        <v>.</v>
      </c>
      <c r="IK87" s="558" t="str">
        <f t="shared" si="203"/>
        <v>.</v>
      </c>
      <c r="IL87" s="558" t="str">
        <f t="shared" si="203"/>
        <v>.</v>
      </c>
      <c r="IM87" s="558" t="str">
        <f t="shared" si="203"/>
        <v>.</v>
      </c>
      <c r="IN87" s="558" t="str">
        <f t="shared" si="203"/>
        <v>.</v>
      </c>
      <c r="IO87" s="558" t="str">
        <f t="shared" si="203"/>
        <v>.</v>
      </c>
      <c r="IP87" s="558" t="str">
        <f t="shared" si="203"/>
        <v>.</v>
      </c>
      <c r="IQ87" s="558" t="str">
        <f t="shared" si="203"/>
        <v>.</v>
      </c>
      <c r="IR87" s="558" t="str">
        <f t="shared" si="201"/>
        <v>.</v>
      </c>
      <c r="IS87" s="558" t="str">
        <f t="shared" si="201"/>
        <v>.</v>
      </c>
      <c r="IT87" s="558" t="str">
        <f t="shared" si="201"/>
        <v>.</v>
      </c>
      <c r="IU87" s="558" t="str">
        <f t="shared" si="201"/>
        <v>.</v>
      </c>
      <c r="IV87" s="558" t="str">
        <f t="shared" si="201"/>
        <v>.</v>
      </c>
      <c r="IW87" s="558" t="str">
        <f t="shared" si="201"/>
        <v>.</v>
      </c>
      <c r="IX87" s="558" t="str">
        <f t="shared" si="201"/>
        <v>.</v>
      </c>
      <c r="IY87" s="558" t="str">
        <f t="shared" si="201"/>
        <v>.</v>
      </c>
      <c r="IZ87" s="558" t="str">
        <f t="shared" si="201"/>
        <v>.</v>
      </c>
      <c r="JA87" s="558" t="str">
        <f t="shared" si="201"/>
        <v>.</v>
      </c>
      <c r="JB87" s="558" t="str">
        <f t="shared" si="201"/>
        <v>.</v>
      </c>
      <c r="JC87" s="558" t="str">
        <f t="shared" si="201"/>
        <v>.</v>
      </c>
      <c r="JD87" s="558" t="str">
        <f t="shared" si="201"/>
        <v>.</v>
      </c>
      <c r="JE87" s="558" t="str">
        <f t="shared" si="201"/>
        <v>.</v>
      </c>
      <c r="JF87" s="558" t="str">
        <f t="shared" si="201"/>
        <v>.</v>
      </c>
      <c r="JG87" s="558" t="str">
        <f t="shared" si="201"/>
        <v>.</v>
      </c>
      <c r="JH87" s="558" t="str">
        <f t="shared" si="201"/>
        <v>.</v>
      </c>
      <c r="JI87" s="558" t="str">
        <f t="shared" si="201"/>
        <v>.</v>
      </c>
      <c r="JJ87" s="558" t="str">
        <f t="shared" si="201"/>
        <v>.</v>
      </c>
      <c r="JK87" s="558" t="str">
        <f t="shared" si="207"/>
        <v>.</v>
      </c>
      <c r="JL87" s="558" t="str">
        <f t="shared" si="207"/>
        <v>.</v>
      </c>
      <c r="JM87" s="558" t="str">
        <f t="shared" si="207"/>
        <v>.</v>
      </c>
      <c r="JN87" s="558" t="str">
        <f t="shared" si="207"/>
        <v>.</v>
      </c>
      <c r="JO87" s="558" t="str">
        <f t="shared" si="207"/>
        <v>.</v>
      </c>
    </row>
    <row r="88" spans="1:275" x14ac:dyDescent="0.2">
      <c r="A88" s="534">
        <f xml:space="preserve"> Basis!A88</f>
        <v>88</v>
      </c>
      <c r="F88" s="536">
        <f xml:space="preserve"> ROUND(    IF( $A$15=BE_MF_,   AW88,   INDEX( qx!88:88, F$16 ) ),    F$17    )</f>
        <v>8.8599999999999998E-2</v>
      </c>
      <c r="G88" s="536">
        <f xml:space="preserve"> ROUND(    IF( $A$15=BE_MF_,   BB88,   INDEX( wx!88:88, G$16 ) ),    G$17    )</f>
        <v>1.4E-3</v>
      </c>
      <c r="H88" s="537">
        <f xml:space="preserve"> ROUND(    IF( $A$15=BE_MF_,   BG88,   INDEX( Kx!88:88, H$16 ) ),    H$17    )</f>
        <v>11400.96</v>
      </c>
      <c r="I88" s="538">
        <f t="shared" si="273"/>
        <v>11437.67</v>
      </c>
      <c r="J88" s="539">
        <f t="shared" si="208"/>
        <v>5.5049999999999999</v>
      </c>
      <c r="K88" s="540">
        <f t="shared" si="274"/>
        <v>0</v>
      </c>
      <c r="L88" s="541">
        <f t="shared" si="116"/>
        <v>0</v>
      </c>
      <c r="M88" s="541">
        <f t="shared" si="116"/>
        <v>8.5999999999999993E-2</v>
      </c>
      <c r="O88" s="542" t="b">
        <f t="shared" si="275"/>
        <v>1</v>
      </c>
      <c r="P88" s="493">
        <f t="shared" si="209"/>
        <v>0.09</v>
      </c>
      <c r="Q88" s="493">
        <f t="shared" si="210"/>
        <v>0.91</v>
      </c>
      <c r="R88" s="543">
        <f t="shared" si="211"/>
        <v>264992</v>
      </c>
      <c r="S88" s="544">
        <f t="shared" si="212"/>
        <v>0.97560975599999999</v>
      </c>
      <c r="T88" s="423">
        <f t="shared" si="213"/>
        <v>30167.03</v>
      </c>
      <c r="U88" s="423">
        <f xml:space="preserve"> IF( $O88,    ROUND(  SUM( T88:T$120), U$17 ),  LEER  )</f>
        <v>179972.81</v>
      </c>
      <c r="V88" s="493">
        <f t="shared" si="214"/>
        <v>5.9659000000000004</v>
      </c>
      <c r="W88" s="493">
        <f t="shared" si="215"/>
        <v>166069.5</v>
      </c>
      <c r="X88" s="493">
        <f xml:space="preserve"> IF( $O88,    ROUND(  SUM( W88:W$120), X$17 ),  LEER  )</f>
        <v>991059.36</v>
      </c>
      <c r="Y88" s="493">
        <f t="shared" si="216"/>
        <v>32.852400000000003</v>
      </c>
      <c r="Z88" s="493">
        <f t="shared" si="217"/>
        <v>5.5067000000000004</v>
      </c>
      <c r="AA88" s="493">
        <f t="shared" si="218"/>
        <v>1</v>
      </c>
      <c r="AB88" s="493">
        <f t="shared" si="219"/>
        <v>2.3494000000000002</v>
      </c>
      <c r="AC88" s="545">
        <f t="shared" si="220"/>
        <v>0.32679999999999998</v>
      </c>
      <c r="AD88" s="493">
        <f t="shared" si="221"/>
        <v>5.5067000000000004</v>
      </c>
      <c r="AE88" s="493">
        <f t="shared" si="222"/>
        <v>6.3823999999999996</v>
      </c>
      <c r="AF88" s="493">
        <f t="shared" si="223"/>
        <v>6.3823999999999996</v>
      </c>
      <c r="AG88" s="493" t="str">
        <f t="shared" si="224"/>
        <v>.</v>
      </c>
      <c r="AH88" s="493" t="str">
        <f t="shared" si="225"/>
        <v>.</v>
      </c>
      <c r="AI88" s="423">
        <f t="shared" si="226"/>
        <v>2077.79</v>
      </c>
      <c r="AJ88" s="423">
        <f t="shared" si="227"/>
        <v>13261.29</v>
      </c>
      <c r="AK88" s="423">
        <f t="shared" si="228"/>
        <v>1105.1099999999999</v>
      </c>
      <c r="AN88" s="423">
        <f t="shared" si="200"/>
        <v>45277.17</v>
      </c>
      <c r="AO88" s="423">
        <f t="shared" si="200"/>
        <v>45001.98</v>
      </c>
      <c r="AR88" s="546">
        <f xml:space="preserve"> ROUND(  INDEX( Kx!88:88, AR$16 ),  AR$17 )</f>
        <v>0.49080000000000001</v>
      </c>
      <c r="AS88" s="547">
        <f xml:space="preserve"> ROUND(  INDEX( qx!88:88, AS$16 ),  AS$17 )</f>
        <v>0.1041</v>
      </c>
      <c r="AT88" s="547">
        <f xml:space="preserve"> ROUND(  INDEX( qx!88:88, AT$16 ),  AT$17 )</f>
        <v>7.8700000000000006E-2</v>
      </c>
      <c r="AU88" s="548" t="str">
        <f t="shared" si="229"/>
        <v>F</v>
      </c>
      <c r="AV88" s="542">
        <f t="shared" si="230"/>
        <v>0.39119999999999999</v>
      </c>
      <c r="AW88" s="542">
        <f t="shared" si="231"/>
        <v>8.8599999999999998E-2</v>
      </c>
      <c r="AX88" s="546">
        <f xml:space="preserve"> ROUND(  INDEX( wx!88:88, AX$16 ),  AX$17 )</f>
        <v>8.9999999999999998E-4</v>
      </c>
      <c r="AY88" s="546">
        <f xml:space="preserve"> ROUND(  INDEX( wx!88:88, AY$16 ),  AY$17 )</f>
        <v>2.0999999999999999E-3</v>
      </c>
      <c r="AZ88" s="548" t="str">
        <f t="shared" si="232"/>
        <v>M</v>
      </c>
      <c r="BA88" s="542">
        <f t="shared" si="233"/>
        <v>0.59109999999999996</v>
      </c>
      <c r="BB88" s="542">
        <f t="shared" si="234"/>
        <v>1.4E-3</v>
      </c>
      <c r="BC88" s="533">
        <f xml:space="preserve"> ROUND(  INDEX( Kx!88:88, BC$16 ),  BC$17 )</f>
        <v>12277.72</v>
      </c>
      <c r="BD88" s="533">
        <f xml:space="preserve"> ROUND(  INDEX( Kx!88:88, BD$16 ),  BD$17 )</f>
        <v>10133.52</v>
      </c>
      <c r="BE88" s="548" t="str">
        <f t="shared" si="235"/>
        <v>M</v>
      </c>
      <c r="BF88" s="542">
        <f t="shared" si="236"/>
        <v>0.59109999999999996</v>
      </c>
      <c r="BG88" s="420">
        <f t="shared" si="237"/>
        <v>11400.96</v>
      </c>
      <c r="BQ88" s="549">
        <f t="shared" si="276"/>
        <v>88</v>
      </c>
      <c r="BR88" s="423">
        <f t="shared" si="238"/>
        <v>48251.4</v>
      </c>
      <c r="BS88" s="550">
        <f t="shared" si="239"/>
        <v>11437.67</v>
      </c>
      <c r="BT88" s="423">
        <f t="shared" si="240"/>
        <v>-7585.24</v>
      </c>
      <c r="BU88" s="551">
        <f t="shared" si="241"/>
        <v>30167.03</v>
      </c>
      <c r="BV88" s="551">
        <f t="shared" si="242"/>
        <v>1.1133999999999999</v>
      </c>
      <c r="BW88" s="529">
        <f t="shared" si="243"/>
        <v>45277.17</v>
      </c>
      <c r="BX88" s="552">
        <f t="shared" si="244"/>
        <v>4611.0099999999948</v>
      </c>
      <c r="BY88" s="560"/>
      <c r="BZ88" s="559"/>
      <c r="CB88" s="423">
        <f t="shared" si="245"/>
        <v>-7775.45</v>
      </c>
      <c r="CC88" s="423">
        <f t="shared" si="246"/>
        <v>1131.93</v>
      </c>
      <c r="CD88" s="423">
        <f t="shared" si="247"/>
        <v>3820.95</v>
      </c>
      <c r="CE88" s="423">
        <f t="shared" si="248"/>
        <v>-2822.5699999999997</v>
      </c>
      <c r="CF88" s="553">
        <f t="shared" si="249"/>
        <v>-2822.1500000000015</v>
      </c>
      <c r="CH88" s="423">
        <f t="shared" si="250"/>
        <v>3852.4304390000002</v>
      </c>
      <c r="CI88" s="423">
        <f t="shared" si="251"/>
        <v>11438.23</v>
      </c>
      <c r="CJ88" s="423">
        <f t="shared" si="252"/>
        <v>-3857.64</v>
      </c>
      <c r="CK88" s="423">
        <f t="shared" si="253"/>
        <v>-3727.76</v>
      </c>
      <c r="CL88" s="553">
        <f t="shared" si="254"/>
        <v>3852.83</v>
      </c>
      <c r="CN88" s="423">
        <f t="shared" si="255"/>
        <v>3898.5573770000001</v>
      </c>
      <c r="CO88" s="423">
        <f t="shared" si="256"/>
        <v>11438.23</v>
      </c>
      <c r="CP88" s="423">
        <f t="shared" si="257"/>
        <v>-3834.17</v>
      </c>
      <c r="CQ88" s="423">
        <f t="shared" si="258"/>
        <v>-3705.1</v>
      </c>
      <c r="CR88" s="553">
        <f t="shared" si="259"/>
        <v>3898.9599999999996</v>
      </c>
      <c r="CV88" s="564">
        <f t="shared" si="277"/>
        <v>88</v>
      </c>
      <c r="CW88" s="538" t="str">
        <f t="shared" si="260"/>
        <v>.</v>
      </c>
      <c r="CX88" s="566">
        <f t="shared" si="261"/>
        <v>45001.98</v>
      </c>
      <c r="CY88" s="538" t="str">
        <f t="shared" si="262"/>
        <v>.</v>
      </c>
      <c r="CZ88" s="538">
        <f t="shared" si="263"/>
        <v>26256</v>
      </c>
      <c r="DA88" s="538">
        <f t="shared" si="264"/>
        <v>16875.72</v>
      </c>
      <c r="DB88" s="567" t="e">
        <f t="shared" si="278"/>
        <v>#N/A</v>
      </c>
      <c r="DC88" s="567">
        <f t="shared" si="279"/>
        <v>45001.98</v>
      </c>
      <c r="DD88" s="567" t="e">
        <f t="shared" si="280"/>
        <v>#N/A</v>
      </c>
      <c r="DE88" s="567">
        <f t="shared" si="280"/>
        <v>26256</v>
      </c>
      <c r="DF88" s="568">
        <f t="shared" si="281"/>
        <v>43131.72</v>
      </c>
      <c r="EL88" s="553">
        <f t="shared" si="265"/>
        <v>32867.65</v>
      </c>
      <c r="EM88" s="553">
        <f t="shared" si="266"/>
        <v>12136.53</v>
      </c>
      <c r="EN88" s="423">
        <f t="shared" si="267"/>
        <v>45004.18</v>
      </c>
      <c r="EO88" s="555">
        <f xml:space="preserve"> 'i2'!AO88</f>
        <v>45001.98</v>
      </c>
      <c r="EV88" s="533" t="e">
        <f xml:space="preserve"> ROUND(    IF( $A$15=BE_MF_,   LEER,   INDEX( Kx!88:88, EV$16 ) ),    EV$17    )</f>
        <v>#VALUE!</v>
      </c>
      <c r="EW88" s="533" t="e">
        <f xml:space="preserve"> ROUND(    IF( $A$15=BE_MF_,   LEER,   INDEX( Kx!88:88, EW$16 ) ),    EW$17    )</f>
        <v>#VALUE!</v>
      </c>
      <c r="EX88" s="533" t="e">
        <f xml:space="preserve"> ROUND(    IF( $A$15=BE_MF_,   LEER,   INDEX( Kx!88:88, EX$16 ) ),    EX$17    )</f>
        <v>#VALUE!</v>
      </c>
      <c r="EY88" s="556" t="e">
        <f t="shared" si="282"/>
        <v>#VALUE!</v>
      </c>
      <c r="FB88" s="533" t="e">
        <f xml:space="preserve"> ROUND(    IF( $A$15=BE_MF_,   LEER,   INDEX( Kx!88:88, FB$16 ) ),    FB$17    )</f>
        <v>#VALUE!</v>
      </c>
      <c r="FC88" s="533" t="e">
        <f xml:space="preserve"> ROUND(    IF( $A$15=BE_MF_,   LEER,   INDEX( Kx!88:88, FC$16 ) ),    FC$17    )</f>
        <v>#VALUE!</v>
      </c>
      <c r="FD88" s="556" t="e">
        <f t="shared" si="283"/>
        <v>#VALUE!</v>
      </c>
      <c r="FG88" s="556" t="e">
        <f t="shared" si="284"/>
        <v>#VALUE!</v>
      </c>
      <c r="FH88" s="556" t="e">
        <f t="shared" si="284"/>
        <v>#VALUE!</v>
      </c>
      <c r="FI88" s="556" t="e">
        <f t="shared" si="284"/>
        <v>#VALUE!</v>
      </c>
      <c r="FN88" s="557">
        <f t="shared" si="268"/>
        <v>88</v>
      </c>
      <c r="FO88" s="493">
        <f t="shared" si="269"/>
        <v>32.852400000000003</v>
      </c>
      <c r="FP88" s="493">
        <f t="shared" si="270"/>
        <v>5.9659000000000004</v>
      </c>
      <c r="FR88" s="427">
        <f t="shared" si="285"/>
        <v>1863171.9299999997</v>
      </c>
      <c r="FS88" s="558">
        <f t="shared" si="271"/>
        <v>53380.37</v>
      </c>
      <c r="FT88" s="558">
        <f t="shared" si="271"/>
        <v>52878.33</v>
      </c>
      <c r="FU88" s="558">
        <f t="shared" si="271"/>
        <v>52375.06</v>
      </c>
      <c r="FV88" s="558">
        <f t="shared" si="271"/>
        <v>51871.79</v>
      </c>
      <c r="FW88" s="558">
        <f t="shared" si="271"/>
        <v>51351.16</v>
      </c>
      <c r="FX88" s="558">
        <f t="shared" si="271"/>
        <v>50815.66</v>
      </c>
      <c r="FY88" s="558">
        <f t="shared" si="271"/>
        <v>50285.11</v>
      </c>
      <c r="FZ88" s="558">
        <f t="shared" si="271"/>
        <v>49750.85</v>
      </c>
      <c r="GA88" s="558">
        <f t="shared" si="271"/>
        <v>49197.99</v>
      </c>
      <c r="GB88" s="558">
        <f t="shared" si="271"/>
        <v>48622.82</v>
      </c>
      <c r="GC88" s="558">
        <f t="shared" si="271"/>
        <v>48043.94</v>
      </c>
      <c r="GD88" s="558">
        <f t="shared" si="271"/>
        <v>47456.37</v>
      </c>
      <c r="GE88" s="558">
        <f t="shared" si="271"/>
        <v>46855.17</v>
      </c>
      <c r="GF88" s="558">
        <f t="shared" si="271"/>
        <v>46251.49</v>
      </c>
      <c r="GG88" s="558">
        <f t="shared" si="271"/>
        <v>45629.22</v>
      </c>
      <c r="GH88" s="558">
        <f t="shared" si="271"/>
        <v>45001.98</v>
      </c>
      <c r="GI88" s="558">
        <f t="shared" si="205"/>
        <v>44356.160000000003</v>
      </c>
      <c r="GJ88" s="558">
        <f t="shared" si="205"/>
        <v>43695.46</v>
      </c>
      <c r="GK88" s="558">
        <f t="shared" si="205"/>
        <v>43016.160000000003</v>
      </c>
      <c r="GL88" s="558">
        <f t="shared" si="205"/>
        <v>42317.04</v>
      </c>
      <c r="GM88" s="558">
        <f t="shared" si="205"/>
        <v>41596.83</v>
      </c>
      <c r="GN88" s="558">
        <f t="shared" si="205"/>
        <v>40849.360000000001</v>
      </c>
      <c r="GO88" s="558">
        <f t="shared" si="205"/>
        <v>40074.620000000003</v>
      </c>
      <c r="GP88" s="558">
        <f t="shared" si="205"/>
        <v>39271.370000000003</v>
      </c>
      <c r="GQ88" s="558">
        <f t="shared" si="205"/>
        <v>38435.879999999997</v>
      </c>
      <c r="GR88" s="558">
        <f t="shared" si="205"/>
        <v>37574.370000000003</v>
      </c>
      <c r="GS88" s="558">
        <f t="shared" si="205"/>
        <v>36683.1</v>
      </c>
      <c r="GT88" s="558">
        <f t="shared" si="205"/>
        <v>35764.57</v>
      </c>
      <c r="GU88" s="558">
        <f t="shared" si="205"/>
        <v>34821.24</v>
      </c>
      <c r="GV88" s="558">
        <f t="shared" si="205"/>
        <v>33854.36</v>
      </c>
      <c r="GW88" s="558">
        <f t="shared" si="205"/>
        <v>32867.65</v>
      </c>
      <c r="GX88" s="558">
        <f t="shared" si="272"/>
        <v>31857.39</v>
      </c>
      <c r="GY88" s="558">
        <f t="shared" si="272"/>
        <v>30833.49</v>
      </c>
      <c r="GZ88" s="558">
        <f t="shared" si="272"/>
        <v>29790.99</v>
      </c>
      <c r="HA88" s="558">
        <f t="shared" si="272"/>
        <v>28737.34</v>
      </c>
      <c r="HB88" s="558">
        <f t="shared" si="272"/>
        <v>27672.53</v>
      </c>
      <c r="HC88" s="558">
        <f t="shared" si="272"/>
        <v>26595.33</v>
      </c>
      <c r="HD88" s="558">
        <f t="shared" si="272"/>
        <v>25509.45</v>
      </c>
      <c r="HE88" s="558">
        <f t="shared" si="272"/>
        <v>24407.46</v>
      </c>
      <c r="HF88" s="558">
        <f t="shared" si="272"/>
        <v>23281.91</v>
      </c>
      <c r="HG88" s="558">
        <f t="shared" si="272"/>
        <v>22140.25</v>
      </c>
      <c r="HH88" s="558">
        <f t="shared" si="272"/>
        <v>20987.43</v>
      </c>
      <c r="HI88" s="558">
        <f t="shared" si="272"/>
        <v>19819.740000000002</v>
      </c>
      <c r="HJ88" s="558">
        <f t="shared" si="272"/>
        <v>18643.37</v>
      </c>
      <c r="HK88" s="558">
        <f t="shared" si="272"/>
        <v>17454.599999999999</v>
      </c>
      <c r="HL88" s="558">
        <f t="shared" si="272"/>
        <v>16276.99</v>
      </c>
      <c r="HM88" s="558">
        <f t="shared" si="272"/>
        <v>15089.47</v>
      </c>
      <c r="HN88" s="558">
        <f t="shared" si="206"/>
        <v>13909.38</v>
      </c>
      <c r="HO88" s="558">
        <f t="shared" si="206"/>
        <v>12737.97</v>
      </c>
      <c r="HP88" s="558">
        <f t="shared" si="206"/>
        <v>11571.52</v>
      </c>
      <c r="HQ88" s="558">
        <f t="shared" si="206"/>
        <v>10610.83</v>
      </c>
      <c r="HR88" s="558">
        <f t="shared" si="206"/>
        <v>9679.9</v>
      </c>
      <c r="HS88" s="558">
        <f t="shared" si="206"/>
        <v>8788.64</v>
      </c>
      <c r="HT88" s="558">
        <f t="shared" si="206"/>
        <v>7944.48</v>
      </c>
      <c r="HU88" s="558">
        <f t="shared" si="206"/>
        <v>6925.54</v>
      </c>
      <c r="HV88" s="558">
        <f t="shared" si="206"/>
        <v>5946.26</v>
      </c>
      <c r="HW88" s="558">
        <f t="shared" si="206"/>
        <v>5012.8500000000004</v>
      </c>
      <c r="HX88" s="558">
        <f t="shared" si="206"/>
        <v>4155.0600000000004</v>
      </c>
      <c r="HY88" s="558">
        <f t="shared" si="206"/>
        <v>3365.44</v>
      </c>
      <c r="HZ88" s="558">
        <f t="shared" si="206"/>
        <v>2647.72</v>
      </c>
      <c r="IA88" s="558">
        <f t="shared" si="206"/>
        <v>2019.25</v>
      </c>
      <c r="IB88" s="558">
        <f t="shared" si="206"/>
        <v>1466.39</v>
      </c>
      <c r="IC88" s="558">
        <f t="shared" si="204"/>
        <v>1016.42</v>
      </c>
      <c r="ID88" s="558">
        <f t="shared" si="204"/>
        <v>654.46</v>
      </c>
      <c r="IE88" s="558">
        <f t="shared" si="204"/>
        <v>384.23</v>
      </c>
      <c r="IF88" s="558">
        <f t="shared" si="203"/>
        <v>204.49</v>
      </c>
      <c r="IG88" s="558">
        <f t="shared" si="203"/>
        <v>85.49</v>
      </c>
      <c r="IH88" s="558">
        <f t="shared" si="203"/>
        <v>2.4300000000000002</v>
      </c>
      <c r="II88" s="558">
        <f t="shared" si="203"/>
        <v>-0.04</v>
      </c>
      <c r="IJ88" s="558" t="str">
        <f t="shared" si="203"/>
        <v>.</v>
      </c>
      <c r="IK88" s="558" t="str">
        <f t="shared" si="203"/>
        <v>.</v>
      </c>
      <c r="IL88" s="558" t="str">
        <f t="shared" si="203"/>
        <v>.</v>
      </c>
      <c r="IM88" s="558" t="str">
        <f t="shared" si="203"/>
        <v>.</v>
      </c>
      <c r="IN88" s="558" t="str">
        <f t="shared" si="203"/>
        <v>.</v>
      </c>
      <c r="IO88" s="558" t="str">
        <f t="shared" si="203"/>
        <v>.</v>
      </c>
      <c r="IP88" s="558" t="str">
        <f t="shared" si="203"/>
        <v>.</v>
      </c>
      <c r="IQ88" s="558" t="str">
        <f t="shared" si="203"/>
        <v>.</v>
      </c>
      <c r="IR88" s="558" t="str">
        <f t="shared" si="201"/>
        <v>.</v>
      </c>
      <c r="IS88" s="558" t="str">
        <f t="shared" si="201"/>
        <v>.</v>
      </c>
      <c r="IT88" s="558" t="str">
        <f t="shared" si="201"/>
        <v>.</v>
      </c>
      <c r="IU88" s="558" t="str">
        <f t="shared" si="201"/>
        <v>.</v>
      </c>
      <c r="IV88" s="558" t="str">
        <f t="shared" si="201"/>
        <v>.</v>
      </c>
      <c r="IW88" s="558" t="str">
        <f t="shared" si="201"/>
        <v>.</v>
      </c>
      <c r="IX88" s="558" t="str">
        <f t="shared" si="201"/>
        <v>.</v>
      </c>
      <c r="IY88" s="558" t="str">
        <f t="shared" si="201"/>
        <v>.</v>
      </c>
      <c r="IZ88" s="558" t="str">
        <f t="shared" si="201"/>
        <v>.</v>
      </c>
      <c r="JA88" s="558" t="str">
        <f t="shared" si="201"/>
        <v>.</v>
      </c>
      <c r="JB88" s="558" t="str">
        <f t="shared" si="201"/>
        <v>.</v>
      </c>
      <c r="JC88" s="558" t="str">
        <f t="shared" si="201"/>
        <v>.</v>
      </c>
      <c r="JD88" s="558" t="str">
        <f t="shared" si="201"/>
        <v>.</v>
      </c>
      <c r="JE88" s="558" t="str">
        <f t="shared" si="201"/>
        <v>.</v>
      </c>
      <c r="JF88" s="558" t="str">
        <f t="shared" si="201"/>
        <v>.</v>
      </c>
      <c r="JG88" s="558" t="str">
        <f t="shared" si="201"/>
        <v>.</v>
      </c>
      <c r="JH88" s="558" t="str">
        <f t="shared" si="201"/>
        <v>.</v>
      </c>
      <c r="JI88" s="558" t="str">
        <f t="shared" si="201"/>
        <v>.</v>
      </c>
      <c r="JJ88" s="558" t="str">
        <f t="shared" si="201"/>
        <v>.</v>
      </c>
      <c r="JK88" s="558" t="str">
        <f t="shared" si="207"/>
        <v>.</v>
      </c>
      <c r="JL88" s="558" t="str">
        <f t="shared" si="207"/>
        <v>.</v>
      </c>
      <c r="JM88" s="558" t="str">
        <f t="shared" si="207"/>
        <v>.</v>
      </c>
      <c r="JN88" s="558" t="str">
        <f t="shared" si="207"/>
        <v>.</v>
      </c>
      <c r="JO88" s="558" t="str">
        <f t="shared" si="207"/>
        <v>.</v>
      </c>
    </row>
    <row r="89" spans="1:275" x14ac:dyDescent="0.2">
      <c r="A89" s="534">
        <f xml:space="preserve"> Basis!A89</f>
        <v>89</v>
      </c>
      <c r="F89" s="536">
        <f xml:space="preserve"> ROUND(    IF( $A$15=BE_MF_,   AW89,   INDEX( qx!89:89, F$16 ) ),    F$17    )</f>
        <v>0.1014</v>
      </c>
      <c r="G89" s="536">
        <f xml:space="preserve"> ROUND(    IF( $A$15=BE_MF_,   BB89,   INDEX( wx!89:89, G$16 ) ),    G$17    )</f>
        <v>1.4E-3</v>
      </c>
      <c r="H89" s="537">
        <f xml:space="preserve"> ROUND(    IF( $A$15=BE_MF_,   BG89,   INDEX( Kx!89:89, H$16 ) ),    H$17    )</f>
        <v>11417.02</v>
      </c>
      <c r="I89" s="538">
        <f t="shared" si="273"/>
        <v>11437.67</v>
      </c>
      <c r="J89" s="539">
        <f t="shared" si="208"/>
        <v>5.5049999999999999</v>
      </c>
      <c r="K89" s="540">
        <f t="shared" si="274"/>
        <v>0</v>
      </c>
      <c r="L89" s="541">
        <f t="shared" si="116"/>
        <v>0</v>
      </c>
      <c r="M89" s="541">
        <f t="shared" si="116"/>
        <v>8.5999999999999993E-2</v>
      </c>
      <c r="O89" s="542" t="b">
        <f t="shared" si="275"/>
        <v>1</v>
      </c>
      <c r="P89" s="493">
        <f t="shared" si="209"/>
        <v>0.1028</v>
      </c>
      <c r="Q89" s="493">
        <f t="shared" si="210"/>
        <v>0.8972</v>
      </c>
      <c r="R89" s="543">
        <f t="shared" si="211"/>
        <v>241142</v>
      </c>
      <c r="S89" s="544">
        <f t="shared" si="212"/>
        <v>0.97560975599999999</v>
      </c>
      <c r="T89" s="423">
        <f t="shared" si="213"/>
        <v>26782.36</v>
      </c>
      <c r="U89" s="423">
        <f xml:space="preserve"> IF( $O89,    ROUND(  SUM( T89:T$120), U$17 ),  LEER  )</f>
        <v>149805.78</v>
      </c>
      <c r="V89" s="493">
        <f t="shared" si="214"/>
        <v>5.5933999999999999</v>
      </c>
      <c r="W89" s="493">
        <f t="shared" si="215"/>
        <v>147436.89000000001</v>
      </c>
      <c r="X89" s="493">
        <f xml:space="preserve"> IF( $O89,    ROUND(  SUM( W89:W$120), X$17 ),  LEER  )</f>
        <v>824989.86</v>
      </c>
      <c r="Y89" s="493">
        <f t="shared" si="216"/>
        <v>30.8035</v>
      </c>
      <c r="Z89" s="493">
        <f t="shared" si="217"/>
        <v>5.5071000000000003</v>
      </c>
      <c r="AA89" s="493">
        <f t="shared" si="218"/>
        <v>1</v>
      </c>
      <c r="AB89" s="493">
        <f t="shared" si="219"/>
        <v>2.3494000000000002</v>
      </c>
      <c r="AC89" s="545">
        <f t="shared" si="220"/>
        <v>0.32679999999999998</v>
      </c>
      <c r="AD89" s="493">
        <f t="shared" si="221"/>
        <v>5.5071000000000003</v>
      </c>
      <c r="AE89" s="493">
        <f t="shared" si="222"/>
        <v>6.3827999999999996</v>
      </c>
      <c r="AF89" s="493">
        <f t="shared" si="223"/>
        <v>6.3827999999999996</v>
      </c>
      <c r="AG89" s="493" t="str">
        <f t="shared" si="224"/>
        <v>.</v>
      </c>
      <c r="AH89" s="493" t="str">
        <f t="shared" si="225"/>
        <v>.</v>
      </c>
      <c r="AI89" s="423">
        <f t="shared" si="226"/>
        <v>2077.79</v>
      </c>
      <c r="AJ89" s="423">
        <f t="shared" si="227"/>
        <v>13262.12</v>
      </c>
      <c r="AK89" s="423">
        <f t="shared" si="228"/>
        <v>1105.18</v>
      </c>
      <c r="AN89" s="423">
        <f t="shared" si="200"/>
        <v>42455.02</v>
      </c>
      <c r="AO89" s="423">
        <f t="shared" si="200"/>
        <v>42197.01</v>
      </c>
      <c r="AR89" s="546">
        <f xml:space="preserve"> ROUND(  INDEX( Kx!89:89, AR$16 ),  AR$17 )</f>
        <v>0.46949999999999997</v>
      </c>
      <c r="AS89" s="547">
        <f xml:space="preserve"> ROUND(  INDEX( qx!89:89, AS$16 ),  AS$17 )</f>
        <v>0.1186</v>
      </c>
      <c r="AT89" s="547">
        <f xml:space="preserve"> ROUND(  INDEX( qx!89:89, AT$16 ),  AT$17 )</f>
        <v>9.1200000000000003E-2</v>
      </c>
      <c r="AU89" s="548" t="str">
        <f t="shared" si="229"/>
        <v>F</v>
      </c>
      <c r="AV89" s="542">
        <f t="shared" si="230"/>
        <v>0.37109999999999999</v>
      </c>
      <c r="AW89" s="542">
        <f t="shared" si="231"/>
        <v>0.1014</v>
      </c>
      <c r="AX89" s="546">
        <f xml:space="preserve"> ROUND(  INDEX( wx!89:89, AX$16 ),  AX$17 )</f>
        <v>8.9999999999999998E-4</v>
      </c>
      <c r="AY89" s="546">
        <f xml:space="preserve"> ROUND(  INDEX( wx!89:89, AY$16 ),  AY$17 )</f>
        <v>2.0999999999999999E-3</v>
      </c>
      <c r="AZ89" s="548" t="str">
        <f t="shared" si="232"/>
        <v>M</v>
      </c>
      <c r="BA89" s="542">
        <f t="shared" si="233"/>
        <v>0.57040000000000002</v>
      </c>
      <c r="BB89" s="542">
        <f t="shared" si="234"/>
        <v>1.4E-3</v>
      </c>
      <c r="BC89" s="533">
        <f xml:space="preserve"> ROUND(  INDEX( Kx!89:89, BC$16 ),  BC$17 )</f>
        <v>12375.44</v>
      </c>
      <c r="BD89" s="533">
        <f xml:space="preserve"> ROUND(  INDEX( Kx!89:89, BD$16 ),  BD$17 )</f>
        <v>10144.49</v>
      </c>
      <c r="BE89" s="548" t="str">
        <f t="shared" si="235"/>
        <v>M</v>
      </c>
      <c r="BF89" s="542">
        <f t="shared" si="236"/>
        <v>0.57040000000000002</v>
      </c>
      <c r="BG89" s="420">
        <f t="shared" si="237"/>
        <v>11417.02</v>
      </c>
      <c r="BQ89" s="549">
        <f t="shared" si="276"/>
        <v>89</v>
      </c>
      <c r="BR89" s="423">
        <f t="shared" si="238"/>
        <v>45277.17</v>
      </c>
      <c r="BS89" s="550">
        <f t="shared" si="239"/>
        <v>11437.67</v>
      </c>
      <c r="BT89" s="423">
        <f t="shared" si="240"/>
        <v>-7585.24</v>
      </c>
      <c r="BU89" s="551">
        <f t="shared" si="241"/>
        <v>26782.36</v>
      </c>
      <c r="BV89" s="551">
        <f t="shared" si="242"/>
        <v>1.1264000000000001</v>
      </c>
      <c r="BW89" s="529">
        <f t="shared" si="243"/>
        <v>42455.02</v>
      </c>
      <c r="BX89" s="552">
        <f t="shared" si="244"/>
        <v>4763.0899999999965</v>
      </c>
      <c r="BY89" s="560"/>
      <c r="BZ89" s="559"/>
      <c r="CB89" s="423">
        <f t="shared" si="245"/>
        <v>-7775.45</v>
      </c>
      <c r="CC89" s="423">
        <f t="shared" si="246"/>
        <v>1061.3800000000001</v>
      </c>
      <c r="CD89" s="423">
        <f t="shared" si="247"/>
        <v>4095.13</v>
      </c>
      <c r="CE89" s="423">
        <f t="shared" si="248"/>
        <v>-2618.9399999999996</v>
      </c>
      <c r="CF89" s="553">
        <f t="shared" si="249"/>
        <v>-2619.0999999999985</v>
      </c>
      <c r="CH89" s="423">
        <f t="shared" si="250"/>
        <v>3852.4304390000002</v>
      </c>
      <c r="CI89" s="423">
        <f t="shared" si="251"/>
        <v>11438.23</v>
      </c>
      <c r="CJ89" s="423">
        <f t="shared" si="252"/>
        <v>-3590.71</v>
      </c>
      <c r="CK89" s="423">
        <f t="shared" si="253"/>
        <v>-3995.25</v>
      </c>
      <c r="CL89" s="553">
        <f t="shared" si="254"/>
        <v>3852.2699999999995</v>
      </c>
      <c r="CN89" s="423">
        <f t="shared" si="255"/>
        <v>3898.5573770000001</v>
      </c>
      <c r="CO89" s="423">
        <f t="shared" si="256"/>
        <v>11438.23</v>
      </c>
      <c r="CP89" s="423">
        <f t="shared" si="257"/>
        <v>-3568.86</v>
      </c>
      <c r="CQ89" s="423">
        <f t="shared" si="258"/>
        <v>-3970.97</v>
      </c>
      <c r="CR89" s="553">
        <f t="shared" si="259"/>
        <v>3898.3999999999992</v>
      </c>
      <c r="CV89" s="564">
        <f t="shared" si="277"/>
        <v>89</v>
      </c>
      <c r="CW89" s="538" t="str">
        <f t="shared" si="260"/>
        <v>.</v>
      </c>
      <c r="CX89" s="566">
        <f t="shared" si="261"/>
        <v>42197.01</v>
      </c>
      <c r="CY89" s="538" t="str">
        <f t="shared" si="262"/>
        <v>.</v>
      </c>
      <c r="CZ89" s="538">
        <f t="shared" si="263"/>
        <v>24617</v>
      </c>
      <c r="DA89" s="538">
        <f t="shared" si="264"/>
        <v>15826.9</v>
      </c>
      <c r="DB89" s="567" t="e">
        <f t="shared" si="278"/>
        <v>#N/A</v>
      </c>
      <c r="DC89" s="567">
        <f t="shared" si="279"/>
        <v>42197.01</v>
      </c>
      <c r="DD89" s="567" t="e">
        <f t="shared" si="280"/>
        <v>#N/A</v>
      </c>
      <c r="DE89" s="567">
        <f t="shared" si="280"/>
        <v>24617</v>
      </c>
      <c r="DF89" s="568">
        <f t="shared" si="281"/>
        <v>40443.9</v>
      </c>
      <c r="EL89" s="553">
        <f t="shared" si="265"/>
        <v>30820.33</v>
      </c>
      <c r="EM89" s="553">
        <f t="shared" si="266"/>
        <v>11378.75</v>
      </c>
      <c r="EN89" s="423">
        <f t="shared" si="267"/>
        <v>42199.08</v>
      </c>
      <c r="EO89" s="555">
        <f xml:space="preserve"> 'i2'!AO89</f>
        <v>42197.01</v>
      </c>
      <c r="EV89" s="533" t="e">
        <f xml:space="preserve"> ROUND(    IF( $A$15=BE_MF_,   LEER,   INDEX( Kx!89:89, EV$16 ) ),    EV$17    )</f>
        <v>#VALUE!</v>
      </c>
      <c r="EW89" s="533" t="e">
        <f xml:space="preserve"> ROUND(    IF( $A$15=BE_MF_,   LEER,   INDEX( Kx!89:89, EW$16 ) ),    EW$17    )</f>
        <v>#VALUE!</v>
      </c>
      <c r="EX89" s="533" t="e">
        <f xml:space="preserve"> ROUND(    IF( $A$15=BE_MF_,   LEER,   INDEX( Kx!89:89, EX$16 ) ),    EX$17    )</f>
        <v>#VALUE!</v>
      </c>
      <c r="EY89" s="556" t="e">
        <f t="shared" si="282"/>
        <v>#VALUE!</v>
      </c>
      <c r="FB89" s="533" t="e">
        <f xml:space="preserve"> ROUND(    IF( $A$15=BE_MF_,   LEER,   INDEX( Kx!89:89, FB$16 ) ),    FB$17    )</f>
        <v>#VALUE!</v>
      </c>
      <c r="FC89" s="533" t="e">
        <f xml:space="preserve"> ROUND(    IF( $A$15=BE_MF_,   LEER,   INDEX( Kx!89:89, FC$16 ) ),    FC$17    )</f>
        <v>#VALUE!</v>
      </c>
      <c r="FD89" s="556" t="e">
        <f t="shared" si="283"/>
        <v>#VALUE!</v>
      </c>
      <c r="FG89" s="556" t="e">
        <f t="shared" si="284"/>
        <v>#VALUE!</v>
      </c>
      <c r="FH89" s="556" t="e">
        <f t="shared" si="284"/>
        <v>#VALUE!</v>
      </c>
      <c r="FI89" s="556" t="e">
        <f t="shared" si="284"/>
        <v>#VALUE!</v>
      </c>
      <c r="FN89" s="557">
        <f t="shared" si="268"/>
        <v>89</v>
      </c>
      <c r="FO89" s="493">
        <f t="shared" si="269"/>
        <v>30.8035</v>
      </c>
      <c r="FP89" s="493">
        <f t="shared" si="270"/>
        <v>5.5933999999999999</v>
      </c>
      <c r="FR89" s="427">
        <f t="shared" si="285"/>
        <v>1747175.0999999999</v>
      </c>
      <c r="FS89" s="558">
        <f t="shared" si="271"/>
        <v>50052.26</v>
      </c>
      <c r="FT89" s="558">
        <f t="shared" si="271"/>
        <v>49581.58</v>
      </c>
      <c r="FU89" s="558">
        <f t="shared" si="271"/>
        <v>49109.73</v>
      </c>
      <c r="FV89" s="558">
        <f t="shared" si="271"/>
        <v>48637.88</v>
      </c>
      <c r="FW89" s="558">
        <f t="shared" si="271"/>
        <v>48149.760000000002</v>
      </c>
      <c r="FX89" s="558">
        <f t="shared" si="271"/>
        <v>47647.69</v>
      </c>
      <c r="FY89" s="558">
        <f t="shared" si="271"/>
        <v>47150.27</v>
      </c>
      <c r="FZ89" s="558">
        <f t="shared" si="271"/>
        <v>46649.37</v>
      </c>
      <c r="GA89" s="558">
        <f t="shared" si="271"/>
        <v>46131.03</v>
      </c>
      <c r="GB89" s="558">
        <f t="shared" si="271"/>
        <v>45591.77</v>
      </c>
      <c r="GC89" s="558">
        <f t="shared" si="271"/>
        <v>45049.03</v>
      </c>
      <c r="GD89" s="558">
        <f t="shared" si="271"/>
        <v>44498.15</v>
      </c>
      <c r="GE89" s="558">
        <f t="shared" si="271"/>
        <v>43934.49</v>
      </c>
      <c r="GF89" s="558">
        <f t="shared" si="271"/>
        <v>43368.5</v>
      </c>
      <c r="GG89" s="558">
        <f t="shared" si="271"/>
        <v>42785.08</v>
      </c>
      <c r="GH89" s="558">
        <f t="shared" si="271"/>
        <v>42197.01</v>
      </c>
      <c r="GI89" s="558">
        <f t="shared" si="205"/>
        <v>41591.51</v>
      </c>
      <c r="GJ89" s="558">
        <f t="shared" si="205"/>
        <v>40972.06</v>
      </c>
      <c r="GK89" s="558">
        <f t="shared" si="205"/>
        <v>40335.18</v>
      </c>
      <c r="GL89" s="558">
        <f t="shared" si="205"/>
        <v>39679.71</v>
      </c>
      <c r="GM89" s="558">
        <f t="shared" si="205"/>
        <v>39004.47</v>
      </c>
      <c r="GN89" s="558">
        <f t="shared" si="205"/>
        <v>38303.67</v>
      </c>
      <c r="GO89" s="558">
        <f t="shared" si="205"/>
        <v>37577.300000000003</v>
      </c>
      <c r="GP89" s="558">
        <f t="shared" si="205"/>
        <v>36824.199999999997</v>
      </c>
      <c r="GQ89" s="558">
        <f t="shared" si="205"/>
        <v>36040.89</v>
      </c>
      <c r="GR89" s="558">
        <f t="shared" si="205"/>
        <v>35233.160000000003</v>
      </c>
      <c r="GS89" s="558">
        <f t="shared" si="205"/>
        <v>34397.550000000003</v>
      </c>
      <c r="GT89" s="558">
        <f t="shared" si="205"/>
        <v>33536.370000000003</v>
      </c>
      <c r="GU89" s="558">
        <f t="shared" si="205"/>
        <v>32651.94</v>
      </c>
      <c r="GV89" s="558">
        <f t="shared" si="205"/>
        <v>31745.43</v>
      </c>
      <c r="GW89" s="558">
        <f t="shared" si="205"/>
        <v>30820.33</v>
      </c>
      <c r="GX89" s="558">
        <f t="shared" si="272"/>
        <v>29873.14</v>
      </c>
      <c r="GY89" s="558">
        <f t="shared" si="272"/>
        <v>28913.17</v>
      </c>
      <c r="GZ89" s="558">
        <f t="shared" si="272"/>
        <v>27935.77</v>
      </c>
      <c r="HA89" s="558">
        <f t="shared" si="272"/>
        <v>26947.9</v>
      </c>
      <c r="HB89" s="558">
        <f t="shared" si="272"/>
        <v>25949.58</v>
      </c>
      <c r="HC89" s="558">
        <f t="shared" si="272"/>
        <v>24939.64</v>
      </c>
      <c r="HD89" s="558">
        <f t="shared" si="272"/>
        <v>23921.56</v>
      </c>
      <c r="HE89" s="558">
        <f t="shared" si="272"/>
        <v>22888.37</v>
      </c>
      <c r="HF89" s="558">
        <f t="shared" si="272"/>
        <v>21833.1</v>
      </c>
      <c r="HG89" s="558">
        <f t="shared" si="272"/>
        <v>20762.72</v>
      </c>
      <c r="HH89" s="558">
        <f t="shared" si="272"/>
        <v>19681.89</v>
      </c>
      <c r="HI89" s="558">
        <f t="shared" si="272"/>
        <v>18587.099999999999</v>
      </c>
      <c r="HJ89" s="558">
        <f t="shared" si="272"/>
        <v>17484.18</v>
      </c>
      <c r="HK89" s="558">
        <f t="shared" si="272"/>
        <v>16369.64</v>
      </c>
      <c r="HL89" s="558">
        <f t="shared" si="272"/>
        <v>15265.56</v>
      </c>
      <c r="HM89" s="558">
        <f t="shared" si="272"/>
        <v>14152.18</v>
      </c>
      <c r="HN89" s="558">
        <f t="shared" si="206"/>
        <v>13045.78</v>
      </c>
      <c r="HO89" s="558">
        <f t="shared" si="206"/>
        <v>11947.5</v>
      </c>
      <c r="HP89" s="558">
        <f t="shared" si="206"/>
        <v>10853.88</v>
      </c>
      <c r="HQ89" s="558">
        <f t="shared" si="206"/>
        <v>9953.18</v>
      </c>
      <c r="HR89" s="558">
        <f t="shared" si="206"/>
        <v>9080.3799999999992</v>
      </c>
      <c r="HS89" s="558">
        <f t="shared" si="206"/>
        <v>8244.76</v>
      </c>
      <c r="HT89" s="558">
        <f t="shared" si="206"/>
        <v>7453.31</v>
      </c>
      <c r="HU89" s="558">
        <f t="shared" si="206"/>
        <v>6497.99</v>
      </c>
      <c r="HV89" s="558">
        <f t="shared" si="206"/>
        <v>5579.86</v>
      </c>
      <c r="HW89" s="558">
        <f t="shared" si="206"/>
        <v>4704.7299999999996</v>
      </c>
      <c r="HX89" s="558">
        <f t="shared" si="206"/>
        <v>3900.49</v>
      </c>
      <c r="HY89" s="558">
        <f t="shared" si="206"/>
        <v>3160.18</v>
      </c>
      <c r="HZ89" s="558">
        <f t="shared" si="206"/>
        <v>2487.27</v>
      </c>
      <c r="IA89" s="558">
        <f t="shared" si="206"/>
        <v>1898.04</v>
      </c>
      <c r="IB89" s="558">
        <f t="shared" si="206"/>
        <v>1379.7</v>
      </c>
      <c r="IC89" s="558">
        <f t="shared" si="204"/>
        <v>957.83</v>
      </c>
      <c r="ID89" s="558">
        <f t="shared" si="204"/>
        <v>618.47</v>
      </c>
      <c r="IE89" s="558">
        <f t="shared" si="204"/>
        <v>365.11</v>
      </c>
      <c r="IF89" s="558">
        <f t="shared" si="203"/>
        <v>196.59</v>
      </c>
      <c r="IG89" s="558">
        <f t="shared" si="203"/>
        <v>85.02</v>
      </c>
      <c r="IH89" s="558">
        <f t="shared" si="203"/>
        <v>7.15</v>
      </c>
      <c r="II89" s="558">
        <f t="shared" si="203"/>
        <v>4.83</v>
      </c>
      <c r="IJ89" s="558">
        <f t="shared" si="203"/>
        <v>0.18</v>
      </c>
      <c r="IK89" s="558" t="str">
        <f t="shared" si="203"/>
        <v>.</v>
      </c>
      <c r="IL89" s="558" t="str">
        <f t="shared" si="203"/>
        <v>.</v>
      </c>
      <c r="IM89" s="558" t="str">
        <f t="shared" si="203"/>
        <v>.</v>
      </c>
      <c r="IN89" s="558" t="str">
        <f t="shared" si="203"/>
        <v>.</v>
      </c>
      <c r="IO89" s="558" t="str">
        <f t="shared" si="203"/>
        <v>.</v>
      </c>
      <c r="IP89" s="558" t="str">
        <f t="shared" si="203"/>
        <v>.</v>
      </c>
      <c r="IQ89" s="558" t="str">
        <f t="shared" si="203"/>
        <v>.</v>
      </c>
      <c r="IR89" s="558" t="str">
        <f t="shared" si="201"/>
        <v>.</v>
      </c>
      <c r="IS89" s="558" t="str">
        <f t="shared" si="201"/>
        <v>.</v>
      </c>
      <c r="IT89" s="558" t="str">
        <f t="shared" si="201"/>
        <v>.</v>
      </c>
      <c r="IU89" s="558" t="str">
        <f t="shared" si="201"/>
        <v>.</v>
      </c>
      <c r="IV89" s="558" t="str">
        <f t="shared" si="201"/>
        <v>.</v>
      </c>
      <c r="IW89" s="558" t="str">
        <f t="shared" si="201"/>
        <v>.</v>
      </c>
      <c r="IX89" s="558" t="str">
        <f t="shared" si="201"/>
        <v>.</v>
      </c>
      <c r="IY89" s="558" t="str">
        <f t="shared" si="201"/>
        <v>.</v>
      </c>
      <c r="IZ89" s="558" t="str">
        <f t="shared" si="201"/>
        <v>.</v>
      </c>
      <c r="JA89" s="558" t="str">
        <f t="shared" si="201"/>
        <v>.</v>
      </c>
      <c r="JB89" s="558" t="str">
        <f t="shared" si="201"/>
        <v>.</v>
      </c>
      <c r="JC89" s="558" t="str">
        <f t="shared" si="201"/>
        <v>.</v>
      </c>
      <c r="JD89" s="558" t="str">
        <f t="shared" si="201"/>
        <v>.</v>
      </c>
      <c r="JE89" s="558" t="str">
        <f t="shared" si="201"/>
        <v>.</v>
      </c>
      <c r="JF89" s="558" t="str">
        <f t="shared" si="201"/>
        <v>.</v>
      </c>
      <c r="JG89" s="558" t="str">
        <f t="shared" si="201"/>
        <v>.</v>
      </c>
      <c r="JH89" s="558" t="str">
        <f t="shared" si="201"/>
        <v>.</v>
      </c>
      <c r="JI89" s="558" t="str">
        <f t="shared" si="201"/>
        <v>.</v>
      </c>
      <c r="JJ89" s="558" t="str">
        <f t="shared" si="201"/>
        <v>.</v>
      </c>
      <c r="JK89" s="558" t="str">
        <f t="shared" si="207"/>
        <v>.</v>
      </c>
      <c r="JL89" s="558" t="str">
        <f t="shared" si="207"/>
        <v>.</v>
      </c>
      <c r="JM89" s="558" t="str">
        <f t="shared" si="207"/>
        <v>.</v>
      </c>
      <c r="JN89" s="558" t="str">
        <f t="shared" si="207"/>
        <v>.</v>
      </c>
      <c r="JO89" s="558" t="str">
        <f t="shared" si="207"/>
        <v>.</v>
      </c>
    </row>
    <row r="90" spans="1:275" x14ac:dyDescent="0.2">
      <c r="A90" s="534">
        <f xml:space="preserve"> Basis!A90</f>
        <v>90</v>
      </c>
      <c r="F90" s="536">
        <f xml:space="preserve"> ROUND(    IF( $A$15=BE_MF_,   AW90,   INDEX( qx!90:90, F$16 ) ),    F$17    )</f>
        <v>0.11559999999999999</v>
      </c>
      <c r="G90" s="536">
        <f xml:space="preserve"> ROUND(    IF( $A$15=BE_MF_,   BB90,   INDEX( wx!90:90, G$16 ) ),    G$17    )</f>
        <v>1.4E-3</v>
      </c>
      <c r="H90" s="537">
        <f xml:space="preserve"> ROUND(    IF( $A$15=BE_MF_,   BG90,   INDEX( Kx!90:90, H$16 ) ),    H$17    )</f>
        <v>11433.23</v>
      </c>
      <c r="I90" s="538">
        <f t="shared" si="273"/>
        <v>11437.67</v>
      </c>
      <c r="J90" s="539">
        <f t="shared" si="208"/>
        <v>5.5049999999999999</v>
      </c>
      <c r="K90" s="540">
        <f t="shared" si="274"/>
        <v>0</v>
      </c>
      <c r="L90" s="541">
        <f t="shared" si="116"/>
        <v>0</v>
      </c>
      <c r="M90" s="541">
        <f t="shared" si="116"/>
        <v>8.5999999999999993E-2</v>
      </c>
      <c r="O90" s="542" t="b">
        <f t="shared" si="275"/>
        <v>1</v>
      </c>
      <c r="P90" s="493">
        <f t="shared" si="209"/>
        <v>0.11700000000000001</v>
      </c>
      <c r="Q90" s="493">
        <f t="shared" si="210"/>
        <v>0.88300000000000001</v>
      </c>
      <c r="R90" s="543">
        <f t="shared" si="211"/>
        <v>216352</v>
      </c>
      <c r="S90" s="544">
        <f t="shared" si="212"/>
        <v>0.97560975599999999</v>
      </c>
      <c r="T90" s="423">
        <f t="shared" si="213"/>
        <v>23442.99</v>
      </c>
      <c r="U90" s="423">
        <f xml:space="preserve"> IF( $O90,    ROUND(  SUM( T90:T$120), U$17 ),  LEER  )</f>
        <v>123023.42</v>
      </c>
      <c r="V90" s="493">
        <f t="shared" si="214"/>
        <v>5.2477999999999998</v>
      </c>
      <c r="W90" s="493">
        <f t="shared" si="215"/>
        <v>129053.66</v>
      </c>
      <c r="X90" s="493">
        <f xml:space="preserve"> IF( $O90,    ROUND(  SUM( W90:W$120), X$17 ),  LEER  )</f>
        <v>677552.97</v>
      </c>
      <c r="Y90" s="493">
        <f t="shared" si="216"/>
        <v>28.902200000000001</v>
      </c>
      <c r="Z90" s="493">
        <f t="shared" si="217"/>
        <v>5.5075000000000003</v>
      </c>
      <c r="AA90" s="493">
        <f t="shared" si="218"/>
        <v>1</v>
      </c>
      <c r="AB90" s="493">
        <f t="shared" si="219"/>
        <v>2.3494000000000002</v>
      </c>
      <c r="AC90" s="545">
        <f t="shared" si="220"/>
        <v>0.32679999999999998</v>
      </c>
      <c r="AD90" s="493">
        <f t="shared" si="221"/>
        <v>5.5075000000000003</v>
      </c>
      <c r="AE90" s="493">
        <f t="shared" si="222"/>
        <v>6.3833000000000002</v>
      </c>
      <c r="AF90" s="493">
        <f t="shared" si="223"/>
        <v>6.3833000000000002</v>
      </c>
      <c r="AG90" s="493" t="str">
        <f t="shared" si="224"/>
        <v>.</v>
      </c>
      <c r="AH90" s="493" t="str">
        <f t="shared" si="225"/>
        <v>.</v>
      </c>
      <c r="AI90" s="423">
        <f t="shared" si="226"/>
        <v>2077.79</v>
      </c>
      <c r="AJ90" s="423">
        <f t="shared" si="227"/>
        <v>13263.16</v>
      </c>
      <c r="AK90" s="423">
        <f t="shared" si="228"/>
        <v>1105.26</v>
      </c>
      <c r="AN90" s="423">
        <f t="shared" si="200"/>
        <v>39835.919999999998</v>
      </c>
      <c r="AO90" s="423">
        <f t="shared" si="200"/>
        <v>39593.85</v>
      </c>
      <c r="AR90" s="546">
        <f xml:space="preserve"> ROUND(  INDEX( Kx!90:90, AR$16 ),  AR$17 )</f>
        <v>0.45229999999999998</v>
      </c>
      <c r="AS90" s="547">
        <f xml:space="preserve"> ROUND(  INDEX( qx!90:90, AS$16 ),  AS$17 )</f>
        <v>0.1346</v>
      </c>
      <c r="AT90" s="547">
        <f xml:space="preserve"> ROUND(  INDEX( qx!90:90, AT$16 ),  AT$17 )</f>
        <v>0.1051</v>
      </c>
      <c r="AU90" s="548" t="str">
        <f t="shared" si="229"/>
        <v>F</v>
      </c>
      <c r="AV90" s="542">
        <f t="shared" si="230"/>
        <v>0.35510000000000003</v>
      </c>
      <c r="AW90" s="542">
        <f t="shared" si="231"/>
        <v>0.11559999999999999</v>
      </c>
      <c r="AX90" s="546">
        <f xml:space="preserve"> ROUND(  INDEX( wx!90:90, AX$16 ),  AX$17 )</f>
        <v>8.0000000000000004E-4</v>
      </c>
      <c r="AY90" s="546">
        <f xml:space="preserve"> ROUND(  INDEX( wx!90:90, AY$16 ),  AY$17 )</f>
        <v>2.0999999999999999E-3</v>
      </c>
      <c r="AZ90" s="548" t="str">
        <f t="shared" si="232"/>
        <v>M</v>
      </c>
      <c r="BA90" s="542">
        <f t="shared" si="233"/>
        <v>0.55330000000000001</v>
      </c>
      <c r="BB90" s="542">
        <f t="shared" si="234"/>
        <v>1.4E-3</v>
      </c>
      <c r="BC90" s="533">
        <f xml:space="preserve"> ROUND(  INDEX( Kx!90:90, BC$16 ),  BC$17 )</f>
        <v>12466.24</v>
      </c>
      <c r="BD90" s="533">
        <f xml:space="preserve"> ROUND(  INDEX( Kx!90:90, BD$16 ),  BD$17 )</f>
        <v>10153.700000000001</v>
      </c>
      <c r="BE90" s="548" t="str">
        <f t="shared" si="235"/>
        <v>M</v>
      </c>
      <c r="BF90" s="542">
        <f t="shared" si="236"/>
        <v>0.55330000000000001</v>
      </c>
      <c r="BG90" s="420">
        <f t="shared" si="237"/>
        <v>11433.23</v>
      </c>
      <c r="BQ90" s="549">
        <f t="shared" si="276"/>
        <v>90</v>
      </c>
      <c r="BR90" s="423">
        <f t="shared" si="238"/>
        <v>42455.02</v>
      </c>
      <c r="BS90" s="550">
        <f t="shared" si="239"/>
        <v>11437.67</v>
      </c>
      <c r="BT90" s="423">
        <f t="shared" si="240"/>
        <v>-7585.24</v>
      </c>
      <c r="BU90" s="551">
        <f t="shared" si="241"/>
        <v>23442.99</v>
      </c>
      <c r="BV90" s="551">
        <f t="shared" si="242"/>
        <v>1.1424000000000001</v>
      </c>
      <c r="BW90" s="529">
        <f t="shared" si="243"/>
        <v>39835.919999999998</v>
      </c>
      <c r="BX90" s="552">
        <f t="shared" si="244"/>
        <v>4966.1399999999994</v>
      </c>
      <c r="BY90" s="560"/>
      <c r="BZ90" s="559"/>
      <c r="CB90" s="423">
        <f t="shared" si="245"/>
        <v>-7775.45</v>
      </c>
      <c r="CC90" s="423">
        <f t="shared" si="246"/>
        <v>995.9</v>
      </c>
      <c r="CD90" s="423">
        <f t="shared" si="247"/>
        <v>4380.08</v>
      </c>
      <c r="CE90" s="423">
        <f t="shared" si="248"/>
        <v>-2399.4700000000003</v>
      </c>
      <c r="CF90" s="553">
        <f t="shared" si="249"/>
        <v>-2399.2999999999956</v>
      </c>
      <c r="CH90" s="423">
        <f t="shared" si="250"/>
        <v>3852.4304390000002</v>
      </c>
      <c r="CI90" s="423">
        <f t="shared" si="251"/>
        <v>11438.23</v>
      </c>
      <c r="CJ90" s="423">
        <f t="shared" si="252"/>
        <v>-3312.39</v>
      </c>
      <c r="CK90" s="423">
        <f t="shared" si="253"/>
        <v>-4273.25</v>
      </c>
      <c r="CL90" s="553">
        <f t="shared" si="254"/>
        <v>3852.59</v>
      </c>
      <c r="CN90" s="423">
        <f t="shared" si="255"/>
        <v>3898.5573770000001</v>
      </c>
      <c r="CO90" s="423">
        <f t="shared" si="256"/>
        <v>11438.23</v>
      </c>
      <c r="CP90" s="423">
        <f t="shared" si="257"/>
        <v>-3292.22</v>
      </c>
      <c r="CQ90" s="423">
        <f t="shared" si="258"/>
        <v>-4247.29</v>
      </c>
      <c r="CR90" s="553">
        <f t="shared" si="259"/>
        <v>3898.7200000000003</v>
      </c>
      <c r="CV90" s="564">
        <f t="shared" si="277"/>
        <v>90</v>
      </c>
      <c r="CW90" s="538" t="str">
        <f t="shared" si="260"/>
        <v>.</v>
      </c>
      <c r="CX90" s="566">
        <f t="shared" si="261"/>
        <v>39593.85</v>
      </c>
      <c r="CY90" s="538" t="str">
        <f t="shared" si="262"/>
        <v>.</v>
      </c>
      <c r="CZ90" s="538">
        <f t="shared" si="263"/>
        <v>23096</v>
      </c>
      <c r="DA90" s="538">
        <f t="shared" si="264"/>
        <v>14853.07</v>
      </c>
      <c r="DB90" s="567" t="e">
        <f t="shared" si="278"/>
        <v>#N/A</v>
      </c>
      <c r="DC90" s="567">
        <f t="shared" si="279"/>
        <v>39593.85</v>
      </c>
      <c r="DD90" s="567" t="e">
        <f t="shared" si="280"/>
        <v>#N/A</v>
      </c>
      <c r="DE90" s="567">
        <f t="shared" si="280"/>
        <v>23096</v>
      </c>
      <c r="DF90" s="568">
        <f t="shared" si="281"/>
        <v>37949.07</v>
      </c>
      <c r="EL90" s="553">
        <f t="shared" si="265"/>
        <v>28920.1</v>
      </c>
      <c r="EM90" s="553">
        <f t="shared" si="266"/>
        <v>10675.69</v>
      </c>
      <c r="EN90" s="423">
        <f t="shared" si="267"/>
        <v>39595.79</v>
      </c>
      <c r="EO90" s="555">
        <f xml:space="preserve"> 'i2'!AO90</f>
        <v>39593.85</v>
      </c>
      <c r="EV90" s="533" t="e">
        <f xml:space="preserve"> ROUND(    IF( $A$15=BE_MF_,   LEER,   INDEX( Kx!90:90, EV$16 ) ),    EV$17    )</f>
        <v>#VALUE!</v>
      </c>
      <c r="EW90" s="533" t="e">
        <f xml:space="preserve"> ROUND(    IF( $A$15=BE_MF_,   LEER,   INDEX( Kx!90:90, EW$16 ) ),    EW$17    )</f>
        <v>#VALUE!</v>
      </c>
      <c r="EX90" s="533" t="e">
        <f xml:space="preserve"> ROUND(    IF( $A$15=BE_MF_,   LEER,   INDEX( Kx!90:90, EX$16 ) ),    EX$17    )</f>
        <v>#VALUE!</v>
      </c>
      <c r="EY90" s="556" t="e">
        <f t="shared" si="282"/>
        <v>#VALUE!</v>
      </c>
      <c r="FB90" s="533" t="e">
        <f xml:space="preserve"> ROUND(    IF( $A$15=BE_MF_,   LEER,   INDEX( Kx!90:90, FB$16 ) ),    FB$17    )</f>
        <v>#VALUE!</v>
      </c>
      <c r="FC90" s="533" t="e">
        <f xml:space="preserve"> ROUND(    IF( $A$15=BE_MF_,   LEER,   INDEX( Kx!90:90, FC$16 ) ),    FC$17    )</f>
        <v>#VALUE!</v>
      </c>
      <c r="FD90" s="556" t="e">
        <f t="shared" si="283"/>
        <v>#VALUE!</v>
      </c>
      <c r="FG90" s="556" t="e">
        <f t="shared" si="284"/>
        <v>#VALUE!</v>
      </c>
      <c r="FH90" s="556" t="e">
        <f t="shared" si="284"/>
        <v>#VALUE!</v>
      </c>
      <c r="FI90" s="556" t="e">
        <f t="shared" si="284"/>
        <v>#VALUE!</v>
      </c>
      <c r="FN90" s="557">
        <f t="shared" si="268"/>
        <v>90</v>
      </c>
      <c r="FO90" s="493">
        <f t="shared" si="269"/>
        <v>28.902200000000001</v>
      </c>
      <c r="FP90" s="493">
        <f t="shared" si="270"/>
        <v>5.2477999999999998</v>
      </c>
      <c r="FR90" s="427">
        <f t="shared" si="285"/>
        <v>1639507.0400000003</v>
      </c>
      <c r="FS90" s="558">
        <f t="shared" si="271"/>
        <v>46963.75</v>
      </c>
      <c r="FT90" s="558">
        <f t="shared" si="271"/>
        <v>46522.14</v>
      </c>
      <c r="FU90" s="558">
        <f t="shared" si="271"/>
        <v>46079.45</v>
      </c>
      <c r="FV90" s="558">
        <f t="shared" si="271"/>
        <v>45636.75</v>
      </c>
      <c r="FW90" s="558">
        <f t="shared" si="271"/>
        <v>45178.79</v>
      </c>
      <c r="FX90" s="558">
        <f t="shared" si="271"/>
        <v>44707.75</v>
      </c>
      <c r="FY90" s="558">
        <f t="shared" si="271"/>
        <v>44241.06</v>
      </c>
      <c r="FZ90" s="558">
        <f t="shared" si="271"/>
        <v>43771.11</v>
      </c>
      <c r="GA90" s="558">
        <f t="shared" si="271"/>
        <v>43284.800000000003</v>
      </c>
      <c r="GB90" s="558">
        <f t="shared" si="271"/>
        <v>42778.86</v>
      </c>
      <c r="GC90" s="558">
        <f t="shared" si="271"/>
        <v>42269.65</v>
      </c>
      <c r="GD90" s="558">
        <f t="shared" si="271"/>
        <v>41752.81</v>
      </c>
      <c r="GE90" s="558">
        <f t="shared" si="271"/>
        <v>41223.97</v>
      </c>
      <c r="GF90" s="558">
        <f t="shared" si="271"/>
        <v>40692.959999999999</v>
      </c>
      <c r="GG90" s="558">
        <f t="shared" si="271"/>
        <v>40145.589999999997</v>
      </c>
      <c r="GH90" s="558">
        <f t="shared" si="271"/>
        <v>39593.85</v>
      </c>
      <c r="GI90" s="558">
        <f t="shared" si="205"/>
        <v>39025.760000000002</v>
      </c>
      <c r="GJ90" s="558">
        <f t="shared" si="205"/>
        <v>38444.589999999997</v>
      </c>
      <c r="GK90" s="558">
        <f t="shared" si="205"/>
        <v>37847.06</v>
      </c>
      <c r="GL90" s="558">
        <f t="shared" si="205"/>
        <v>37232.080000000002</v>
      </c>
      <c r="GM90" s="558">
        <f t="shared" si="205"/>
        <v>36598.57</v>
      </c>
      <c r="GN90" s="558">
        <f t="shared" si="205"/>
        <v>35941.07</v>
      </c>
      <c r="GO90" s="558">
        <f t="shared" si="205"/>
        <v>35259.58</v>
      </c>
      <c r="GP90" s="558">
        <f t="shared" si="205"/>
        <v>34553.01</v>
      </c>
      <c r="GQ90" s="558">
        <f t="shared" si="205"/>
        <v>33818.1</v>
      </c>
      <c r="GR90" s="558">
        <f t="shared" si="205"/>
        <v>33060.28</v>
      </c>
      <c r="GS90" s="558">
        <f t="shared" si="205"/>
        <v>32276.29</v>
      </c>
      <c r="GT90" s="558">
        <f t="shared" si="205"/>
        <v>31468.32</v>
      </c>
      <c r="GU90" s="558">
        <f t="shared" si="205"/>
        <v>30638.54</v>
      </c>
      <c r="GV90" s="558">
        <f t="shared" si="205"/>
        <v>29788.04</v>
      </c>
      <c r="GW90" s="558">
        <f t="shared" si="205"/>
        <v>28920.1</v>
      </c>
      <c r="GX90" s="558">
        <f t="shared" si="272"/>
        <v>28031.439999999999</v>
      </c>
      <c r="GY90" s="558">
        <f t="shared" si="272"/>
        <v>27130.78</v>
      </c>
      <c r="GZ90" s="558">
        <f t="shared" si="272"/>
        <v>26213.77</v>
      </c>
      <c r="HA90" s="558">
        <f t="shared" si="272"/>
        <v>25286.94</v>
      </c>
      <c r="HB90" s="558">
        <f t="shared" si="272"/>
        <v>24350.3</v>
      </c>
      <c r="HC90" s="558">
        <f t="shared" si="272"/>
        <v>23402.76</v>
      </c>
      <c r="HD90" s="558">
        <f t="shared" si="272"/>
        <v>22447.59</v>
      </c>
      <c r="HE90" s="558">
        <f t="shared" si="272"/>
        <v>21478.240000000002</v>
      </c>
      <c r="HF90" s="558">
        <f t="shared" si="272"/>
        <v>20488.169999999998</v>
      </c>
      <c r="HG90" s="558">
        <f t="shared" si="272"/>
        <v>19483.93</v>
      </c>
      <c r="HH90" s="558">
        <f t="shared" si="272"/>
        <v>18469.87</v>
      </c>
      <c r="HI90" s="558">
        <f t="shared" si="272"/>
        <v>17442.73</v>
      </c>
      <c r="HJ90" s="558">
        <f t="shared" si="272"/>
        <v>16407.96</v>
      </c>
      <c r="HK90" s="558">
        <f t="shared" si="272"/>
        <v>15362.28</v>
      </c>
      <c r="HL90" s="558">
        <f t="shared" si="272"/>
        <v>14326.42</v>
      </c>
      <c r="HM90" s="558">
        <f t="shared" si="272"/>
        <v>13281.83</v>
      </c>
      <c r="HN90" s="558">
        <f t="shared" si="206"/>
        <v>12243.79</v>
      </c>
      <c r="HO90" s="558">
        <f t="shared" si="206"/>
        <v>11213.37</v>
      </c>
      <c r="HP90" s="558">
        <f t="shared" si="206"/>
        <v>10187.32</v>
      </c>
      <c r="HQ90" s="558">
        <f t="shared" si="206"/>
        <v>9342.2800000000007</v>
      </c>
      <c r="HR90" s="558">
        <f t="shared" si="206"/>
        <v>8523.4</v>
      </c>
      <c r="HS90" s="558">
        <f t="shared" si="206"/>
        <v>7739.41</v>
      </c>
      <c r="HT90" s="558">
        <f t="shared" si="206"/>
        <v>6996.86</v>
      </c>
      <c r="HU90" s="558">
        <f t="shared" si="206"/>
        <v>6100.57</v>
      </c>
      <c r="HV90" s="558">
        <f t="shared" si="206"/>
        <v>5239.17</v>
      </c>
      <c r="HW90" s="558">
        <f t="shared" si="206"/>
        <v>4418.1099999999997</v>
      </c>
      <c r="HX90" s="558">
        <f t="shared" si="206"/>
        <v>3663.56</v>
      </c>
      <c r="HY90" s="558">
        <f t="shared" si="206"/>
        <v>2968.99</v>
      </c>
      <c r="HZ90" s="558">
        <f t="shared" si="206"/>
        <v>2337.66</v>
      </c>
      <c r="IA90" s="558">
        <f t="shared" si="206"/>
        <v>1784.83</v>
      </c>
      <c r="IB90" s="558">
        <f t="shared" si="206"/>
        <v>1298.52</v>
      </c>
      <c r="IC90" s="558">
        <f t="shared" si="204"/>
        <v>902.72</v>
      </c>
      <c r="ID90" s="558">
        <f t="shared" si="204"/>
        <v>584.32000000000005</v>
      </c>
      <c r="IE90" s="558">
        <f t="shared" si="204"/>
        <v>346.62</v>
      </c>
      <c r="IF90" s="558">
        <f t="shared" si="203"/>
        <v>188.51</v>
      </c>
      <c r="IG90" s="558">
        <f t="shared" si="203"/>
        <v>83.84</v>
      </c>
      <c r="IH90" s="558">
        <f t="shared" si="203"/>
        <v>10.78</v>
      </c>
      <c r="II90" s="558">
        <f t="shared" si="203"/>
        <v>8.6</v>
      </c>
      <c r="IJ90" s="558">
        <f t="shared" si="203"/>
        <v>4.24</v>
      </c>
      <c r="IK90" s="558">
        <f t="shared" si="203"/>
        <v>-0.12</v>
      </c>
      <c r="IL90" s="558" t="str">
        <f t="shared" si="203"/>
        <v>.</v>
      </c>
      <c r="IM90" s="558" t="str">
        <f t="shared" si="203"/>
        <v>.</v>
      </c>
      <c r="IN90" s="558" t="str">
        <f t="shared" si="203"/>
        <v>.</v>
      </c>
      <c r="IO90" s="558" t="str">
        <f t="shared" si="203"/>
        <v>.</v>
      </c>
      <c r="IP90" s="558" t="str">
        <f t="shared" si="203"/>
        <v>.</v>
      </c>
      <c r="IQ90" s="558" t="str">
        <f t="shared" si="203"/>
        <v>.</v>
      </c>
      <c r="IR90" s="558" t="str">
        <f t="shared" si="201"/>
        <v>.</v>
      </c>
      <c r="IS90" s="558" t="str">
        <f t="shared" si="201"/>
        <v>.</v>
      </c>
      <c r="IT90" s="558" t="str">
        <f t="shared" si="201"/>
        <v>.</v>
      </c>
      <c r="IU90" s="558" t="str">
        <f t="shared" si="201"/>
        <v>.</v>
      </c>
      <c r="IV90" s="558" t="str">
        <f t="shared" si="201"/>
        <v>.</v>
      </c>
      <c r="IW90" s="558" t="str">
        <f t="shared" si="201"/>
        <v>.</v>
      </c>
      <c r="IX90" s="558" t="str">
        <f t="shared" si="201"/>
        <v>.</v>
      </c>
      <c r="IY90" s="558" t="str">
        <f t="shared" si="201"/>
        <v>.</v>
      </c>
      <c r="IZ90" s="558" t="str">
        <f t="shared" si="201"/>
        <v>.</v>
      </c>
      <c r="JA90" s="558" t="str">
        <f t="shared" si="201"/>
        <v>.</v>
      </c>
      <c r="JB90" s="558" t="str">
        <f t="shared" si="201"/>
        <v>.</v>
      </c>
      <c r="JC90" s="558" t="str">
        <f t="shared" si="201"/>
        <v>.</v>
      </c>
      <c r="JD90" s="558" t="str">
        <f t="shared" si="201"/>
        <v>.</v>
      </c>
      <c r="JE90" s="558" t="str">
        <f t="shared" si="201"/>
        <v>.</v>
      </c>
      <c r="JF90" s="558" t="str">
        <f t="shared" si="201"/>
        <v>.</v>
      </c>
      <c r="JG90" s="558" t="str">
        <f t="shared" si="201"/>
        <v>.</v>
      </c>
      <c r="JH90" s="558" t="str">
        <f t="shared" si="201"/>
        <v>.</v>
      </c>
      <c r="JI90" s="558" t="str">
        <f t="shared" si="201"/>
        <v>.</v>
      </c>
      <c r="JJ90" s="558" t="str">
        <f t="shared" si="201"/>
        <v>.</v>
      </c>
      <c r="JK90" s="558" t="str">
        <f t="shared" si="207"/>
        <v>.</v>
      </c>
      <c r="JL90" s="558" t="str">
        <f t="shared" si="207"/>
        <v>.</v>
      </c>
      <c r="JM90" s="558" t="str">
        <f t="shared" si="207"/>
        <v>.</v>
      </c>
      <c r="JN90" s="558" t="str">
        <f t="shared" si="207"/>
        <v>.</v>
      </c>
      <c r="JO90" s="558" t="str">
        <f t="shared" si="207"/>
        <v>.</v>
      </c>
    </row>
    <row r="91" spans="1:275" x14ac:dyDescent="0.2">
      <c r="A91" s="534">
        <f xml:space="preserve"> Basis!A91</f>
        <v>91</v>
      </c>
      <c r="F91" s="536">
        <f xml:space="preserve"> ROUND(    IF( $A$15=BE_MF_,   AW91,   INDEX( qx!91:91, F$16 ) ),    F$17    )</f>
        <v>0.12909999999999999</v>
      </c>
      <c r="G91" s="536">
        <f xml:space="preserve"> ROUND(    IF( $A$15=BE_MF_,   BB91,   INDEX( wx!91:91, G$16 ) ),    G$17    )</f>
        <v>1.5E-3</v>
      </c>
      <c r="H91" s="537">
        <f xml:space="preserve"> ROUND(    IF( $A$15=BE_MF_,   BG91,   INDEX( Kx!91:91, H$16 ) ),    H$17    )</f>
        <v>11314.39</v>
      </c>
      <c r="I91" s="538">
        <f t="shared" si="273"/>
        <v>11437.67</v>
      </c>
      <c r="J91" s="539">
        <f t="shared" si="208"/>
        <v>5.5049999999999999</v>
      </c>
      <c r="K91" s="540">
        <f t="shared" si="274"/>
        <v>0</v>
      </c>
      <c r="L91" s="541">
        <f t="shared" si="116"/>
        <v>0</v>
      </c>
      <c r="M91" s="541">
        <f t="shared" si="116"/>
        <v>8.5999999999999993E-2</v>
      </c>
      <c r="O91" s="542" t="b">
        <f t="shared" si="275"/>
        <v>1</v>
      </c>
      <c r="P91" s="493">
        <f t="shared" si="209"/>
        <v>0.13059999999999999</v>
      </c>
      <c r="Q91" s="493">
        <f t="shared" si="210"/>
        <v>0.86939999999999995</v>
      </c>
      <c r="R91" s="543">
        <f t="shared" si="211"/>
        <v>191038</v>
      </c>
      <c r="S91" s="544">
        <f t="shared" si="212"/>
        <v>0.97560975599999999</v>
      </c>
      <c r="T91" s="423">
        <f t="shared" si="213"/>
        <v>20195.189999999999</v>
      </c>
      <c r="U91" s="423">
        <f xml:space="preserve"> IF( $O91,    ROUND(  SUM( T91:T$120), U$17 ),  LEER  )</f>
        <v>99580.43</v>
      </c>
      <c r="V91" s="493">
        <f t="shared" si="214"/>
        <v>4.9309000000000003</v>
      </c>
      <c r="W91" s="493">
        <f t="shared" si="215"/>
        <v>111174.52</v>
      </c>
      <c r="X91" s="493">
        <f xml:space="preserve"> IF( $O91,    ROUND(  SUM( W91:W$120), X$17 ),  LEER  )</f>
        <v>548499.31000000006</v>
      </c>
      <c r="Y91" s="493">
        <f t="shared" si="216"/>
        <v>27.1599</v>
      </c>
      <c r="Z91" s="493">
        <f t="shared" si="217"/>
        <v>5.5080999999999998</v>
      </c>
      <c r="AA91" s="493">
        <f t="shared" si="218"/>
        <v>1</v>
      </c>
      <c r="AB91" s="493">
        <f t="shared" si="219"/>
        <v>2.3494000000000002</v>
      </c>
      <c r="AC91" s="545">
        <f t="shared" si="220"/>
        <v>0.32679999999999998</v>
      </c>
      <c r="AD91" s="493">
        <f t="shared" si="221"/>
        <v>5.5080999999999998</v>
      </c>
      <c r="AE91" s="493">
        <f t="shared" si="222"/>
        <v>6.3838999999999997</v>
      </c>
      <c r="AF91" s="493">
        <f t="shared" si="223"/>
        <v>6.3838999999999997</v>
      </c>
      <c r="AG91" s="493" t="str">
        <f t="shared" si="224"/>
        <v>.</v>
      </c>
      <c r="AH91" s="493" t="str">
        <f t="shared" si="225"/>
        <v>.</v>
      </c>
      <c r="AI91" s="423">
        <f t="shared" si="226"/>
        <v>2077.79</v>
      </c>
      <c r="AJ91" s="423">
        <f t="shared" si="227"/>
        <v>13264.4</v>
      </c>
      <c r="AK91" s="423">
        <f t="shared" si="228"/>
        <v>1105.3699999999999</v>
      </c>
      <c r="AN91" s="423">
        <f t="shared" si="200"/>
        <v>37436.620000000003</v>
      </c>
      <c r="AO91" s="423">
        <f t="shared" si="200"/>
        <v>37209.17</v>
      </c>
      <c r="AR91" s="546">
        <f xml:space="preserve"> ROUND(  INDEX( Kx!91:91, AR$16 ),  AR$17 )</f>
        <v>0.38300000000000001</v>
      </c>
      <c r="AS91" s="547">
        <f xml:space="preserve"> ROUND(  INDEX( qx!91:91, AS$16 ),  AS$17 )</f>
        <v>0.15210000000000001</v>
      </c>
      <c r="AT91" s="547">
        <f xml:space="preserve"> ROUND(  INDEX( qx!91:91, AT$16 ),  AT$17 )</f>
        <v>0.1196</v>
      </c>
      <c r="AU91" s="548" t="str">
        <f t="shared" si="229"/>
        <v>F</v>
      </c>
      <c r="AV91" s="542">
        <f t="shared" si="230"/>
        <v>0.29270000000000002</v>
      </c>
      <c r="AW91" s="542">
        <f t="shared" si="231"/>
        <v>0.12909999999999999</v>
      </c>
      <c r="AX91" s="546">
        <f xml:space="preserve"> ROUND(  INDEX( wx!91:91, AX$16 ),  AX$17 )</f>
        <v>8.0000000000000004E-4</v>
      </c>
      <c r="AY91" s="546">
        <f xml:space="preserve"> ROUND(  INDEX( wx!91:91, AY$16 ),  AY$17 )</f>
        <v>2.0999999999999999E-3</v>
      </c>
      <c r="AZ91" s="548" t="str">
        <f t="shared" si="232"/>
        <v>M</v>
      </c>
      <c r="BA91" s="542">
        <f t="shared" si="233"/>
        <v>0.48220000000000002</v>
      </c>
      <c r="BB91" s="542">
        <f t="shared" si="234"/>
        <v>1.5E-3</v>
      </c>
      <c r="BC91" s="533">
        <f xml:space="preserve"> ROUND(  INDEX( Kx!91:91, BC$16 ),  BC$17 )</f>
        <v>12551.78</v>
      </c>
      <c r="BD91" s="533">
        <f xml:space="preserve"> ROUND(  INDEX( Kx!91:91, BD$16 ),  BD$17 )</f>
        <v>10162.08</v>
      </c>
      <c r="BE91" s="548" t="str">
        <f t="shared" si="235"/>
        <v>M</v>
      </c>
      <c r="BF91" s="542">
        <f t="shared" si="236"/>
        <v>0.48220000000000002</v>
      </c>
      <c r="BG91" s="420">
        <f t="shared" si="237"/>
        <v>11314.39</v>
      </c>
      <c r="BQ91" s="549">
        <f t="shared" si="276"/>
        <v>91</v>
      </c>
      <c r="BR91" s="423">
        <f t="shared" si="238"/>
        <v>39835.919999999998</v>
      </c>
      <c r="BS91" s="550">
        <f t="shared" si="239"/>
        <v>11437.67</v>
      </c>
      <c r="BT91" s="423">
        <f t="shared" si="240"/>
        <v>-7585.24</v>
      </c>
      <c r="BU91" s="551">
        <f t="shared" si="241"/>
        <v>20195.189999999999</v>
      </c>
      <c r="BV91" s="551">
        <f t="shared" si="242"/>
        <v>1.1608000000000001</v>
      </c>
      <c r="BW91" s="529">
        <f t="shared" si="243"/>
        <v>37436.620000000003</v>
      </c>
      <c r="BX91" s="552">
        <f t="shared" si="244"/>
        <v>5185.9400000000023</v>
      </c>
      <c r="BY91" s="560"/>
      <c r="BZ91" s="559"/>
      <c r="CB91" s="423">
        <f t="shared" si="245"/>
        <v>-7775.45</v>
      </c>
      <c r="CC91" s="423">
        <f t="shared" si="246"/>
        <v>935.92</v>
      </c>
      <c r="CD91" s="423">
        <f t="shared" si="247"/>
        <v>4596.2700000000004</v>
      </c>
      <c r="CE91" s="423">
        <f t="shared" si="248"/>
        <v>-2243.2599999999993</v>
      </c>
      <c r="CF91" s="553">
        <f t="shared" si="249"/>
        <v>-2243.1000000000058</v>
      </c>
      <c r="CH91" s="423">
        <f t="shared" si="250"/>
        <v>3852.4304390000002</v>
      </c>
      <c r="CI91" s="423">
        <f t="shared" si="251"/>
        <v>11438.23</v>
      </c>
      <c r="CJ91" s="423">
        <f t="shared" si="252"/>
        <v>-3101.48</v>
      </c>
      <c r="CK91" s="423">
        <f t="shared" si="253"/>
        <v>-4484.17</v>
      </c>
      <c r="CL91" s="553">
        <f t="shared" si="254"/>
        <v>3852.58</v>
      </c>
      <c r="CN91" s="423">
        <f t="shared" si="255"/>
        <v>3898.5573770000001</v>
      </c>
      <c r="CO91" s="423">
        <f t="shared" si="256"/>
        <v>11438.23</v>
      </c>
      <c r="CP91" s="423">
        <f t="shared" si="257"/>
        <v>-3082.58</v>
      </c>
      <c r="CQ91" s="423">
        <f t="shared" si="258"/>
        <v>-4456.93</v>
      </c>
      <c r="CR91" s="553">
        <f t="shared" si="259"/>
        <v>3898.7199999999993</v>
      </c>
      <c r="CV91" s="564">
        <f t="shared" si="277"/>
        <v>91</v>
      </c>
      <c r="CW91" s="538" t="str">
        <f t="shared" si="260"/>
        <v>.</v>
      </c>
      <c r="CX91" s="566">
        <f t="shared" si="261"/>
        <v>37209.17</v>
      </c>
      <c r="CY91" s="538" t="str">
        <f t="shared" si="262"/>
        <v>.</v>
      </c>
      <c r="CZ91" s="538">
        <f t="shared" si="263"/>
        <v>21701</v>
      </c>
      <c r="DA91" s="538">
        <f t="shared" si="264"/>
        <v>13962.42</v>
      </c>
      <c r="DB91" s="567" t="e">
        <f t="shared" si="278"/>
        <v>#N/A</v>
      </c>
      <c r="DC91" s="567">
        <f t="shared" si="279"/>
        <v>37209.17</v>
      </c>
      <c r="DD91" s="567" t="e">
        <f t="shared" si="280"/>
        <v>#N/A</v>
      </c>
      <c r="DE91" s="567">
        <f t="shared" si="280"/>
        <v>21701</v>
      </c>
      <c r="DF91" s="568">
        <f t="shared" si="281"/>
        <v>35663.42</v>
      </c>
      <c r="EL91" s="553">
        <f t="shared" si="265"/>
        <v>27179.97</v>
      </c>
      <c r="EM91" s="553">
        <f t="shared" si="266"/>
        <v>10031.01</v>
      </c>
      <c r="EN91" s="423">
        <f t="shared" si="267"/>
        <v>37210.980000000003</v>
      </c>
      <c r="EO91" s="555">
        <f xml:space="preserve"> 'i2'!AO91</f>
        <v>37209.17</v>
      </c>
      <c r="EV91" s="533" t="e">
        <f xml:space="preserve"> ROUND(    IF( $A$15=BE_MF_,   LEER,   INDEX( Kx!91:91, EV$16 ) ),    EV$17    )</f>
        <v>#VALUE!</v>
      </c>
      <c r="EW91" s="533" t="e">
        <f xml:space="preserve"> ROUND(    IF( $A$15=BE_MF_,   LEER,   INDEX( Kx!91:91, EW$16 ) ),    EW$17    )</f>
        <v>#VALUE!</v>
      </c>
      <c r="EX91" s="533" t="e">
        <f xml:space="preserve"> ROUND(    IF( $A$15=BE_MF_,   LEER,   INDEX( Kx!91:91, EX$16 ) ),    EX$17    )</f>
        <v>#VALUE!</v>
      </c>
      <c r="EY91" s="556" t="e">
        <f t="shared" si="282"/>
        <v>#VALUE!</v>
      </c>
      <c r="FB91" s="533" t="e">
        <f xml:space="preserve"> ROUND(    IF( $A$15=BE_MF_,   LEER,   INDEX( Kx!91:91, FB$16 ) ),    FB$17    )</f>
        <v>#VALUE!</v>
      </c>
      <c r="FC91" s="533" t="e">
        <f xml:space="preserve"> ROUND(    IF( $A$15=BE_MF_,   LEER,   INDEX( Kx!91:91, FC$16 ) ),    FC$17    )</f>
        <v>#VALUE!</v>
      </c>
      <c r="FD91" s="556" t="e">
        <f t="shared" si="283"/>
        <v>#VALUE!</v>
      </c>
      <c r="FG91" s="556" t="e">
        <f t="shared" si="284"/>
        <v>#VALUE!</v>
      </c>
      <c r="FH91" s="556" t="e">
        <f t="shared" si="284"/>
        <v>#VALUE!</v>
      </c>
      <c r="FI91" s="556" t="e">
        <f t="shared" si="284"/>
        <v>#VALUE!</v>
      </c>
      <c r="FN91" s="557">
        <f t="shared" si="268"/>
        <v>91</v>
      </c>
      <c r="FO91" s="493">
        <f t="shared" si="269"/>
        <v>27.1599</v>
      </c>
      <c r="FP91" s="493">
        <f t="shared" si="270"/>
        <v>4.9309000000000003</v>
      </c>
      <c r="FR91" s="427">
        <f t="shared" si="285"/>
        <v>1540947.8499999999</v>
      </c>
      <c r="FS91" s="558">
        <f t="shared" si="271"/>
        <v>44134.02</v>
      </c>
      <c r="FT91" s="558">
        <f t="shared" si="271"/>
        <v>43719.08</v>
      </c>
      <c r="FU91" s="558">
        <f t="shared" si="271"/>
        <v>43303.12</v>
      </c>
      <c r="FV91" s="558">
        <f t="shared" si="271"/>
        <v>42887.16</v>
      </c>
      <c r="FW91" s="558">
        <f t="shared" si="271"/>
        <v>42456.85</v>
      </c>
      <c r="FX91" s="558">
        <f t="shared" si="271"/>
        <v>42014.25</v>
      </c>
      <c r="FY91" s="558">
        <f t="shared" si="271"/>
        <v>41575.75</v>
      </c>
      <c r="FZ91" s="558">
        <f t="shared" si="271"/>
        <v>41134.18</v>
      </c>
      <c r="GA91" s="558">
        <f t="shared" si="271"/>
        <v>40677.230000000003</v>
      </c>
      <c r="GB91" s="558">
        <f t="shared" si="271"/>
        <v>40201.85</v>
      </c>
      <c r="GC91" s="558">
        <f t="shared" si="271"/>
        <v>39723.39</v>
      </c>
      <c r="GD91" s="558">
        <f t="shared" si="271"/>
        <v>39237.760000000002</v>
      </c>
      <c r="GE91" s="558">
        <f t="shared" si="271"/>
        <v>38740.86</v>
      </c>
      <c r="GF91" s="558">
        <f t="shared" si="271"/>
        <v>38241.910000000003</v>
      </c>
      <c r="GG91" s="558">
        <f t="shared" si="271"/>
        <v>37727.589999999997</v>
      </c>
      <c r="GH91" s="558">
        <f t="shared" si="271"/>
        <v>37209.17</v>
      </c>
      <c r="GI91" s="558">
        <f t="shared" si="205"/>
        <v>36675.39</v>
      </c>
      <c r="GJ91" s="558">
        <f t="shared" si="205"/>
        <v>36129.31</v>
      </c>
      <c r="GK91" s="558">
        <f t="shared" si="205"/>
        <v>35567.86</v>
      </c>
      <c r="GL91" s="558">
        <f t="shared" si="205"/>
        <v>34990.019999999997</v>
      </c>
      <c r="GM91" s="558">
        <f t="shared" si="205"/>
        <v>34394.769999999997</v>
      </c>
      <c r="GN91" s="558">
        <f t="shared" si="205"/>
        <v>33776.97</v>
      </c>
      <c r="GO91" s="558">
        <f t="shared" si="205"/>
        <v>33136.639999999999</v>
      </c>
      <c r="GP91" s="558">
        <f t="shared" si="205"/>
        <v>32472.74</v>
      </c>
      <c r="GQ91" s="558">
        <f t="shared" si="205"/>
        <v>31782.2</v>
      </c>
      <c r="GR91" s="558">
        <f t="shared" si="205"/>
        <v>31070.14</v>
      </c>
      <c r="GS91" s="558">
        <f t="shared" si="205"/>
        <v>30333.5</v>
      </c>
      <c r="GT91" s="558">
        <f t="shared" si="205"/>
        <v>29574.32</v>
      </c>
      <c r="GU91" s="558">
        <f t="shared" si="205"/>
        <v>28794.65</v>
      </c>
      <c r="GV91" s="558">
        <f t="shared" si="205"/>
        <v>27995.51</v>
      </c>
      <c r="GW91" s="558">
        <f t="shared" si="205"/>
        <v>27179.97</v>
      </c>
      <c r="GX91" s="558">
        <f t="shared" si="272"/>
        <v>26344.98</v>
      </c>
      <c r="GY91" s="558">
        <f t="shared" si="272"/>
        <v>25498.71</v>
      </c>
      <c r="GZ91" s="558">
        <f t="shared" si="272"/>
        <v>24637.07</v>
      </c>
      <c r="HA91" s="558">
        <f t="shared" si="272"/>
        <v>23766.22</v>
      </c>
      <c r="HB91" s="558">
        <f t="shared" si="272"/>
        <v>22886.14</v>
      </c>
      <c r="HC91" s="558">
        <f t="shared" si="272"/>
        <v>21995.82</v>
      </c>
      <c r="HD91" s="558">
        <f t="shared" si="272"/>
        <v>21098.32</v>
      </c>
      <c r="HE91" s="558">
        <f t="shared" si="272"/>
        <v>20187.509999999998</v>
      </c>
      <c r="HF91" s="558">
        <f t="shared" si="272"/>
        <v>19257.23</v>
      </c>
      <c r="HG91" s="558">
        <f t="shared" si="272"/>
        <v>18313.63</v>
      </c>
      <c r="HH91" s="558">
        <f t="shared" si="272"/>
        <v>17360.810000000001</v>
      </c>
      <c r="HI91" s="558">
        <f t="shared" si="272"/>
        <v>16395.689999999999</v>
      </c>
      <c r="HJ91" s="558">
        <f t="shared" si="272"/>
        <v>15423.41</v>
      </c>
      <c r="HK91" s="558">
        <f t="shared" si="272"/>
        <v>14440.88</v>
      </c>
      <c r="HL91" s="558">
        <f t="shared" si="272"/>
        <v>13467.57</v>
      </c>
      <c r="HM91" s="558">
        <f t="shared" si="272"/>
        <v>12486.06</v>
      </c>
      <c r="HN91" s="558">
        <f t="shared" si="206"/>
        <v>11510.7</v>
      </c>
      <c r="HO91" s="558">
        <f t="shared" si="206"/>
        <v>10542.51</v>
      </c>
      <c r="HP91" s="558">
        <f t="shared" si="206"/>
        <v>9578.42</v>
      </c>
      <c r="HQ91" s="558">
        <f t="shared" si="206"/>
        <v>8784.4</v>
      </c>
      <c r="HR91" s="558">
        <f t="shared" si="206"/>
        <v>8014.98</v>
      </c>
      <c r="HS91" s="558">
        <f t="shared" si="206"/>
        <v>7278.33</v>
      </c>
      <c r="HT91" s="558">
        <f t="shared" si="206"/>
        <v>6580.62</v>
      </c>
      <c r="HU91" s="558">
        <f t="shared" si="206"/>
        <v>5738.45</v>
      </c>
      <c r="HV91" s="558">
        <f t="shared" si="206"/>
        <v>4929.07</v>
      </c>
      <c r="HW91" s="558">
        <f t="shared" si="206"/>
        <v>4157.59</v>
      </c>
      <c r="HX91" s="558">
        <f t="shared" si="206"/>
        <v>3448.61</v>
      </c>
      <c r="HY91" s="558">
        <f t="shared" si="206"/>
        <v>2795.98</v>
      </c>
      <c r="HZ91" s="558">
        <f t="shared" si="206"/>
        <v>2202.7800000000002</v>
      </c>
      <c r="IA91" s="558">
        <f t="shared" si="206"/>
        <v>1683.34</v>
      </c>
      <c r="IB91" s="558">
        <f t="shared" si="206"/>
        <v>1226.3900000000001</v>
      </c>
      <c r="IC91" s="558">
        <f t="shared" si="204"/>
        <v>854.48</v>
      </c>
      <c r="ID91" s="558">
        <f t="shared" si="204"/>
        <v>555.32000000000005</v>
      </c>
      <c r="IE91" s="558">
        <f t="shared" si="204"/>
        <v>331.97</v>
      </c>
      <c r="IF91" s="558">
        <f t="shared" si="203"/>
        <v>183.41</v>
      </c>
      <c r="IG91" s="558">
        <f t="shared" si="203"/>
        <v>85.06</v>
      </c>
      <c r="IH91" s="558">
        <f t="shared" si="203"/>
        <v>16.41</v>
      </c>
      <c r="II91" s="558">
        <f t="shared" si="203"/>
        <v>14.36</v>
      </c>
      <c r="IJ91" s="558">
        <f t="shared" si="203"/>
        <v>10.27</v>
      </c>
      <c r="IK91" s="558">
        <f t="shared" si="203"/>
        <v>6.17</v>
      </c>
      <c r="IL91" s="558">
        <f t="shared" si="203"/>
        <v>0.02</v>
      </c>
      <c r="IM91" s="558" t="str">
        <f t="shared" si="203"/>
        <v>.</v>
      </c>
      <c r="IN91" s="558" t="str">
        <f t="shared" si="203"/>
        <v>.</v>
      </c>
      <c r="IO91" s="558" t="str">
        <f t="shared" si="203"/>
        <v>.</v>
      </c>
      <c r="IP91" s="558" t="str">
        <f t="shared" si="203"/>
        <v>.</v>
      </c>
      <c r="IQ91" s="558" t="str">
        <f t="shared" si="203"/>
        <v>.</v>
      </c>
      <c r="IR91" s="558" t="str">
        <f t="shared" si="203"/>
        <v>.</v>
      </c>
      <c r="IS91" s="558" t="str">
        <f t="shared" si="203"/>
        <v>.</v>
      </c>
      <c r="IT91" s="558" t="str">
        <f t="shared" si="203"/>
        <v>.</v>
      </c>
      <c r="IU91" s="558" t="str">
        <f t="shared" si="203"/>
        <v>.</v>
      </c>
      <c r="IV91" s="558" t="str">
        <f t="shared" si="201"/>
        <v>.</v>
      </c>
      <c r="IW91" s="558" t="str">
        <f t="shared" si="201"/>
        <v>.</v>
      </c>
      <c r="IX91" s="558" t="str">
        <f t="shared" si="201"/>
        <v>.</v>
      </c>
      <c r="IY91" s="558" t="str">
        <f t="shared" si="201"/>
        <v>.</v>
      </c>
      <c r="IZ91" s="558" t="str">
        <f t="shared" si="201"/>
        <v>.</v>
      </c>
      <c r="JA91" s="558" t="str">
        <f t="shared" si="201"/>
        <v>.</v>
      </c>
      <c r="JB91" s="558" t="str">
        <f t="shared" si="201"/>
        <v>.</v>
      </c>
      <c r="JC91" s="558" t="str">
        <f t="shared" si="201"/>
        <v>.</v>
      </c>
      <c r="JD91" s="558" t="str">
        <f t="shared" si="201"/>
        <v>.</v>
      </c>
      <c r="JE91" s="558" t="str">
        <f t="shared" si="201"/>
        <v>.</v>
      </c>
      <c r="JF91" s="558" t="str">
        <f t="shared" si="201"/>
        <v>.</v>
      </c>
      <c r="JG91" s="558" t="str">
        <f t="shared" si="201"/>
        <v>.</v>
      </c>
      <c r="JH91" s="558" t="str">
        <f t="shared" si="201"/>
        <v>.</v>
      </c>
      <c r="JI91" s="558" t="str">
        <f t="shared" si="201"/>
        <v>.</v>
      </c>
      <c r="JJ91" s="558" t="str">
        <f t="shared" si="201"/>
        <v>.</v>
      </c>
      <c r="JK91" s="558" t="str">
        <f t="shared" si="207"/>
        <v>.</v>
      </c>
      <c r="JL91" s="558" t="str">
        <f t="shared" si="207"/>
        <v>.</v>
      </c>
      <c r="JM91" s="558" t="str">
        <f t="shared" si="207"/>
        <v>.</v>
      </c>
      <c r="JN91" s="558" t="str">
        <f t="shared" si="207"/>
        <v>.</v>
      </c>
      <c r="JO91" s="558" t="str">
        <f t="shared" si="207"/>
        <v>.</v>
      </c>
    </row>
    <row r="92" spans="1:275" x14ac:dyDescent="0.2">
      <c r="A92" s="534">
        <f xml:space="preserve"> Basis!A92</f>
        <v>92</v>
      </c>
      <c r="F92" s="536">
        <f xml:space="preserve"> ROUND(    IF( $A$15=BE_MF_,   AW92,   INDEX( qx!92:92, F$16 ) ),    F$17    )</f>
        <v>0.14510000000000001</v>
      </c>
      <c r="G92" s="536">
        <f xml:space="preserve"> ROUND(    IF( $A$15=BE_MF_,   BB92,   INDEX( wx!92:92, G$16 ) ),    G$17    )</f>
        <v>1.4E-3</v>
      </c>
      <c r="H92" s="537">
        <f xml:space="preserve"> ROUND(    IF( $A$15=BE_MF_,   BG92,   INDEX( Kx!92:92, H$16 ) ),    H$17    )</f>
        <v>11317.65</v>
      </c>
      <c r="I92" s="538">
        <f t="shared" si="273"/>
        <v>11437.67</v>
      </c>
      <c r="J92" s="539">
        <f t="shared" si="208"/>
        <v>5.5049999999999999</v>
      </c>
      <c r="K92" s="540">
        <f t="shared" si="274"/>
        <v>0</v>
      </c>
      <c r="L92" s="541">
        <f t="shared" si="116"/>
        <v>0</v>
      </c>
      <c r="M92" s="541">
        <f t="shared" si="116"/>
        <v>8.5999999999999993E-2</v>
      </c>
      <c r="O92" s="542" t="b">
        <f t="shared" si="275"/>
        <v>1</v>
      </c>
      <c r="P92" s="493">
        <f t="shared" si="209"/>
        <v>0.14649999999999999</v>
      </c>
      <c r="Q92" s="493">
        <f t="shared" si="210"/>
        <v>0.85350000000000004</v>
      </c>
      <c r="R92" s="543">
        <f t="shared" si="211"/>
        <v>166088</v>
      </c>
      <c r="S92" s="544">
        <f t="shared" si="212"/>
        <v>0.97560975599999999</v>
      </c>
      <c r="T92" s="423">
        <f t="shared" si="213"/>
        <v>17129.419999999998</v>
      </c>
      <c r="U92" s="423">
        <f xml:space="preserve"> IF( $O92,    ROUND(  SUM( T92:T$120), U$17 ),  LEER  )</f>
        <v>79385.240000000005</v>
      </c>
      <c r="V92" s="493">
        <f t="shared" si="214"/>
        <v>4.6344000000000003</v>
      </c>
      <c r="W92" s="493">
        <f t="shared" si="215"/>
        <v>94297.46</v>
      </c>
      <c r="X92" s="493">
        <f xml:space="preserve"> IF( $O92,    ROUND(  SUM( W92:W$120), X$17 ),  LEER  )</f>
        <v>437324.79</v>
      </c>
      <c r="Y92" s="493">
        <f t="shared" si="216"/>
        <v>25.5306</v>
      </c>
      <c r="Z92" s="493">
        <f t="shared" si="217"/>
        <v>5.5088999999999997</v>
      </c>
      <c r="AA92" s="493">
        <f t="shared" si="218"/>
        <v>1</v>
      </c>
      <c r="AB92" s="493">
        <f t="shared" si="219"/>
        <v>2.3494000000000002</v>
      </c>
      <c r="AC92" s="545">
        <f t="shared" si="220"/>
        <v>0.32679999999999998</v>
      </c>
      <c r="AD92" s="493">
        <f t="shared" si="221"/>
        <v>5.5088999999999997</v>
      </c>
      <c r="AE92" s="493">
        <f t="shared" si="222"/>
        <v>6.3848000000000003</v>
      </c>
      <c r="AF92" s="493">
        <f t="shared" si="223"/>
        <v>6.3848000000000003</v>
      </c>
      <c r="AG92" s="493" t="str">
        <f t="shared" si="224"/>
        <v>.</v>
      </c>
      <c r="AH92" s="493" t="str">
        <f t="shared" si="225"/>
        <v>.</v>
      </c>
      <c r="AI92" s="423">
        <f t="shared" si="226"/>
        <v>2077.79</v>
      </c>
      <c r="AJ92" s="423">
        <f t="shared" si="227"/>
        <v>13266.27</v>
      </c>
      <c r="AK92" s="423">
        <f t="shared" si="228"/>
        <v>1105.52</v>
      </c>
      <c r="AN92" s="423">
        <f t="shared" si="200"/>
        <v>35193.519999999997</v>
      </c>
      <c r="AO92" s="423">
        <f t="shared" si="200"/>
        <v>34979.75</v>
      </c>
      <c r="AR92" s="546">
        <f xml:space="preserve"> ROUND(  INDEX( Kx!92:92, AR$16 ),  AR$17 )</f>
        <v>0.36759999999999998</v>
      </c>
      <c r="AS92" s="547">
        <f xml:space="preserve"> ROUND(  INDEX( qx!92:92, AS$16 ),  AS$17 )</f>
        <v>0.17100000000000001</v>
      </c>
      <c r="AT92" s="547">
        <f xml:space="preserve"> ROUND(  INDEX( qx!92:92, AT$16 ),  AT$17 )</f>
        <v>0.1351</v>
      </c>
      <c r="AU92" s="548" t="str">
        <f t="shared" si="229"/>
        <v>F</v>
      </c>
      <c r="AV92" s="542">
        <f t="shared" si="230"/>
        <v>0.27929999999999999</v>
      </c>
      <c r="AW92" s="542">
        <f t="shared" si="231"/>
        <v>0.14510000000000001</v>
      </c>
      <c r="AX92" s="546">
        <f xml:space="preserve"> ROUND(  INDEX( wx!92:92, AX$16 ),  AX$17 )</f>
        <v>6.9999999999999999E-4</v>
      </c>
      <c r="AY92" s="546">
        <f xml:space="preserve"> ROUND(  INDEX( wx!92:92, AY$16 ),  AY$17 )</f>
        <v>2.0999999999999999E-3</v>
      </c>
      <c r="AZ92" s="548" t="str">
        <f t="shared" si="232"/>
        <v>M</v>
      </c>
      <c r="BA92" s="542">
        <f t="shared" si="233"/>
        <v>0.46579999999999999</v>
      </c>
      <c r="BB92" s="542">
        <f t="shared" si="234"/>
        <v>1.4E-3</v>
      </c>
      <c r="BC92" s="533">
        <f xml:space="preserve"> ROUND(  INDEX( Kx!92:92, BC$16 ),  BC$17 )</f>
        <v>12633.61</v>
      </c>
      <c r="BD92" s="533">
        <f xml:space="preserve"> ROUND(  INDEX( Kx!92:92, BD$16 ),  BD$17 )</f>
        <v>10170.18</v>
      </c>
      <c r="BE92" s="548" t="str">
        <f t="shared" si="235"/>
        <v>M</v>
      </c>
      <c r="BF92" s="542">
        <f t="shared" si="236"/>
        <v>0.46579999999999999</v>
      </c>
      <c r="BG92" s="420">
        <f t="shared" si="237"/>
        <v>11317.65</v>
      </c>
      <c r="BQ92" s="549">
        <f t="shared" si="276"/>
        <v>92</v>
      </c>
      <c r="BR92" s="423">
        <f t="shared" si="238"/>
        <v>37436.620000000003</v>
      </c>
      <c r="BS92" s="550">
        <f t="shared" si="239"/>
        <v>11437.67</v>
      </c>
      <c r="BT92" s="423">
        <f t="shared" si="240"/>
        <v>-7585.24</v>
      </c>
      <c r="BU92" s="551">
        <f t="shared" si="241"/>
        <v>17129.419999999998</v>
      </c>
      <c r="BV92" s="551">
        <f t="shared" si="242"/>
        <v>1.179</v>
      </c>
      <c r="BW92" s="529">
        <f t="shared" si="243"/>
        <v>35193.519999999997</v>
      </c>
      <c r="BX92" s="552">
        <f t="shared" si="244"/>
        <v>5342.1399999999921</v>
      </c>
      <c r="BY92" s="560"/>
      <c r="BZ92" s="559"/>
      <c r="CB92" s="423">
        <f t="shared" si="245"/>
        <v>-7775.45</v>
      </c>
      <c r="CC92" s="423">
        <f t="shared" si="246"/>
        <v>879.84</v>
      </c>
      <c r="CD92" s="423">
        <f t="shared" si="247"/>
        <v>4857.22</v>
      </c>
      <c r="CE92" s="423">
        <f t="shared" si="248"/>
        <v>-2038.3899999999994</v>
      </c>
      <c r="CF92" s="553">
        <f t="shared" si="249"/>
        <v>-2038.4099999999962</v>
      </c>
      <c r="CH92" s="423">
        <f t="shared" si="250"/>
        <v>3852.4304390000002</v>
      </c>
      <c r="CI92" s="423">
        <f t="shared" si="251"/>
        <v>11438.23</v>
      </c>
      <c r="CJ92" s="423">
        <f t="shared" si="252"/>
        <v>-2847.07</v>
      </c>
      <c r="CK92" s="423">
        <f t="shared" si="253"/>
        <v>-4738.75</v>
      </c>
      <c r="CL92" s="553">
        <f t="shared" si="254"/>
        <v>3852.41</v>
      </c>
      <c r="CN92" s="423">
        <f t="shared" si="255"/>
        <v>3898.5573770000001</v>
      </c>
      <c r="CO92" s="423">
        <f t="shared" si="256"/>
        <v>11438.23</v>
      </c>
      <c r="CP92" s="423">
        <f t="shared" si="257"/>
        <v>-2829.72</v>
      </c>
      <c r="CQ92" s="423">
        <f t="shared" si="258"/>
        <v>-4709.9799999999996</v>
      </c>
      <c r="CR92" s="553">
        <f t="shared" si="259"/>
        <v>3898.5300000000007</v>
      </c>
      <c r="CV92" s="564">
        <f t="shared" si="277"/>
        <v>92</v>
      </c>
      <c r="CW92" s="538" t="str">
        <f t="shared" si="260"/>
        <v>.</v>
      </c>
      <c r="CX92" s="566">
        <f t="shared" si="261"/>
        <v>34979.75</v>
      </c>
      <c r="CY92" s="538" t="str">
        <f t="shared" si="262"/>
        <v>.</v>
      </c>
      <c r="CZ92" s="538">
        <f t="shared" si="263"/>
        <v>20396</v>
      </c>
      <c r="DA92" s="538">
        <f t="shared" si="264"/>
        <v>13130.85</v>
      </c>
      <c r="DB92" s="567" t="e">
        <f t="shared" si="278"/>
        <v>#N/A</v>
      </c>
      <c r="DC92" s="567">
        <f t="shared" si="279"/>
        <v>34979.75</v>
      </c>
      <c r="DD92" s="567" t="e">
        <f t="shared" si="280"/>
        <v>#N/A</v>
      </c>
      <c r="DE92" s="567">
        <f t="shared" si="280"/>
        <v>20396</v>
      </c>
      <c r="DF92" s="568">
        <f t="shared" si="281"/>
        <v>33526.85</v>
      </c>
      <c r="EL92" s="553">
        <f t="shared" si="265"/>
        <v>25553.62</v>
      </c>
      <c r="EM92" s="553">
        <f t="shared" si="266"/>
        <v>9427.84</v>
      </c>
      <c r="EN92" s="423">
        <f t="shared" si="267"/>
        <v>34981.46</v>
      </c>
      <c r="EO92" s="555">
        <f xml:space="preserve"> 'i2'!AO92</f>
        <v>34979.75</v>
      </c>
      <c r="EV92" s="533" t="e">
        <f xml:space="preserve"> ROUND(    IF( $A$15=BE_MF_,   LEER,   INDEX( Kx!92:92, EV$16 ) ),    EV$17    )</f>
        <v>#VALUE!</v>
      </c>
      <c r="EW92" s="533" t="e">
        <f xml:space="preserve"> ROUND(    IF( $A$15=BE_MF_,   LEER,   INDEX( Kx!92:92, EW$16 ) ),    EW$17    )</f>
        <v>#VALUE!</v>
      </c>
      <c r="EX92" s="533" t="e">
        <f xml:space="preserve"> ROUND(    IF( $A$15=BE_MF_,   LEER,   INDEX( Kx!92:92, EX$16 ) ),    EX$17    )</f>
        <v>#VALUE!</v>
      </c>
      <c r="EY92" s="556" t="e">
        <f t="shared" si="282"/>
        <v>#VALUE!</v>
      </c>
      <c r="FB92" s="533" t="e">
        <f xml:space="preserve"> ROUND(    IF( $A$15=BE_MF_,   LEER,   INDEX( Kx!92:92, FB$16 ) ),    FB$17    )</f>
        <v>#VALUE!</v>
      </c>
      <c r="FC92" s="533" t="e">
        <f xml:space="preserve"> ROUND(    IF( $A$15=BE_MF_,   LEER,   INDEX( Kx!92:92, FC$16 ) ),    FC$17    )</f>
        <v>#VALUE!</v>
      </c>
      <c r="FD92" s="556" t="e">
        <f t="shared" si="283"/>
        <v>#VALUE!</v>
      </c>
      <c r="FG92" s="556" t="e">
        <f t="shared" si="284"/>
        <v>#VALUE!</v>
      </c>
      <c r="FH92" s="556" t="e">
        <f t="shared" si="284"/>
        <v>#VALUE!</v>
      </c>
      <c r="FI92" s="556" t="e">
        <f t="shared" si="284"/>
        <v>#VALUE!</v>
      </c>
      <c r="FN92" s="557">
        <f t="shared" si="268"/>
        <v>92</v>
      </c>
      <c r="FO92" s="493">
        <f t="shared" si="269"/>
        <v>25.5306</v>
      </c>
      <c r="FP92" s="493">
        <f t="shared" si="270"/>
        <v>4.6344000000000003</v>
      </c>
      <c r="FR92" s="427">
        <f t="shared" si="285"/>
        <v>1448865.6099999996</v>
      </c>
      <c r="FS92" s="558">
        <f t="shared" si="271"/>
        <v>41488.199999999997</v>
      </c>
      <c r="FT92" s="558">
        <f t="shared" si="271"/>
        <v>41098.21</v>
      </c>
      <c r="FU92" s="558">
        <f t="shared" si="271"/>
        <v>40707.26</v>
      </c>
      <c r="FV92" s="558">
        <f t="shared" si="271"/>
        <v>40316.31</v>
      </c>
      <c r="FW92" s="558">
        <f t="shared" si="271"/>
        <v>39911.879999999997</v>
      </c>
      <c r="FX92" s="558">
        <f t="shared" si="271"/>
        <v>39495.9</v>
      </c>
      <c r="FY92" s="558">
        <f t="shared" si="271"/>
        <v>39083.760000000002</v>
      </c>
      <c r="FZ92" s="558">
        <f t="shared" si="271"/>
        <v>38668.74</v>
      </c>
      <c r="GA92" s="558">
        <f t="shared" si="271"/>
        <v>38239.269999999997</v>
      </c>
      <c r="GB92" s="558">
        <f t="shared" si="271"/>
        <v>37792.47</v>
      </c>
      <c r="GC92" s="558">
        <f t="shared" si="271"/>
        <v>37342.78</v>
      </c>
      <c r="GD92" s="558">
        <f t="shared" si="271"/>
        <v>36886.35</v>
      </c>
      <c r="GE92" s="558">
        <f t="shared" si="271"/>
        <v>36419.33</v>
      </c>
      <c r="GF92" s="558">
        <f t="shared" si="271"/>
        <v>35950.39</v>
      </c>
      <c r="GG92" s="558">
        <f t="shared" si="271"/>
        <v>35466.99</v>
      </c>
      <c r="GH92" s="558">
        <f t="shared" si="271"/>
        <v>34979.75</v>
      </c>
      <c r="GI92" s="558">
        <f t="shared" si="205"/>
        <v>34478.06</v>
      </c>
      <c r="GJ92" s="558">
        <f t="shared" si="205"/>
        <v>33964.82</v>
      </c>
      <c r="GK92" s="558">
        <f t="shared" si="205"/>
        <v>33437.14</v>
      </c>
      <c r="GL92" s="558">
        <f t="shared" si="205"/>
        <v>32894.04</v>
      </c>
      <c r="GM92" s="558">
        <f t="shared" si="205"/>
        <v>32334.58</v>
      </c>
      <c r="GN92" s="558">
        <f t="shared" si="205"/>
        <v>31753.93</v>
      </c>
      <c r="GO92" s="558">
        <f t="shared" si="205"/>
        <v>31152.1</v>
      </c>
      <c r="GP92" s="558">
        <f t="shared" si="205"/>
        <v>30528.12</v>
      </c>
      <c r="GQ92" s="558">
        <f t="shared" si="205"/>
        <v>29879.11</v>
      </c>
      <c r="GR92" s="558">
        <f t="shared" si="205"/>
        <v>29209.87</v>
      </c>
      <c r="GS92" s="558">
        <f t="shared" si="205"/>
        <v>28517.52</v>
      </c>
      <c r="GT92" s="558">
        <f t="shared" si="205"/>
        <v>27803.99</v>
      </c>
      <c r="GU92" s="558">
        <f t="shared" si="205"/>
        <v>27071.200000000001</v>
      </c>
      <c r="GV92" s="558">
        <f t="shared" si="205"/>
        <v>26320.11</v>
      </c>
      <c r="GW92" s="558">
        <f t="shared" si="205"/>
        <v>25553.62</v>
      </c>
      <c r="GX92" s="558">
        <f t="shared" si="272"/>
        <v>24768.83</v>
      </c>
      <c r="GY92" s="558">
        <f t="shared" si="272"/>
        <v>23973.45</v>
      </c>
      <c r="GZ92" s="558">
        <f t="shared" si="272"/>
        <v>23163.62</v>
      </c>
      <c r="HA92" s="558">
        <f t="shared" si="272"/>
        <v>22345.13</v>
      </c>
      <c r="HB92" s="558">
        <f t="shared" si="272"/>
        <v>21517.98</v>
      </c>
      <c r="HC92" s="558">
        <f t="shared" si="272"/>
        <v>20681.189999999999</v>
      </c>
      <c r="HD92" s="558">
        <f t="shared" si="272"/>
        <v>19837.66</v>
      </c>
      <c r="HE92" s="558">
        <f t="shared" si="272"/>
        <v>18981.62</v>
      </c>
      <c r="HF92" s="558">
        <f t="shared" si="272"/>
        <v>18107.27</v>
      </c>
      <c r="HG92" s="558">
        <f t="shared" si="272"/>
        <v>17220.41</v>
      </c>
      <c r="HH92" s="558">
        <f t="shared" si="272"/>
        <v>16324.89</v>
      </c>
      <c r="HI92" s="558">
        <f t="shared" si="272"/>
        <v>15417.81</v>
      </c>
      <c r="HJ92" s="558">
        <f t="shared" si="272"/>
        <v>14503.99</v>
      </c>
      <c r="HK92" s="558">
        <f t="shared" si="272"/>
        <v>13580.54</v>
      </c>
      <c r="HL92" s="558">
        <f t="shared" si="272"/>
        <v>12665.75</v>
      </c>
      <c r="HM92" s="558">
        <f t="shared" si="272"/>
        <v>11743.26</v>
      </c>
      <c r="HN92" s="558">
        <f t="shared" si="206"/>
        <v>10826.55</v>
      </c>
      <c r="HO92" s="558">
        <f t="shared" si="206"/>
        <v>9916.58</v>
      </c>
      <c r="HP92" s="558">
        <f t="shared" si="206"/>
        <v>9010.4599999999991</v>
      </c>
      <c r="HQ92" s="558">
        <f t="shared" si="206"/>
        <v>8264.19</v>
      </c>
      <c r="HR92" s="558">
        <f t="shared" si="206"/>
        <v>7541.03</v>
      </c>
      <c r="HS92" s="558">
        <f t="shared" si="206"/>
        <v>6848.68</v>
      </c>
      <c r="HT92" s="558">
        <f t="shared" si="206"/>
        <v>6192.93</v>
      </c>
      <c r="HU92" s="558">
        <f t="shared" si="206"/>
        <v>5401.4</v>
      </c>
      <c r="HV92" s="558">
        <f t="shared" si="206"/>
        <v>4640.68</v>
      </c>
      <c r="HW92" s="558">
        <f t="shared" si="206"/>
        <v>3915.6</v>
      </c>
      <c r="HX92" s="558">
        <f t="shared" si="206"/>
        <v>3249.25</v>
      </c>
      <c r="HY92" s="558">
        <f t="shared" si="206"/>
        <v>2635.86</v>
      </c>
      <c r="HZ92" s="558">
        <f t="shared" si="206"/>
        <v>2078.3200000000002</v>
      </c>
      <c r="IA92" s="558">
        <f t="shared" si="206"/>
        <v>1590.12</v>
      </c>
      <c r="IB92" s="558">
        <f t="shared" si="206"/>
        <v>1160.6500000000001</v>
      </c>
      <c r="IC92" s="558">
        <f t="shared" si="204"/>
        <v>811.11</v>
      </c>
      <c r="ID92" s="558">
        <f t="shared" si="204"/>
        <v>529.92999999999995</v>
      </c>
      <c r="IE92" s="558">
        <f t="shared" si="204"/>
        <v>320.01</v>
      </c>
      <c r="IF92" s="558">
        <f t="shared" si="203"/>
        <v>180.39</v>
      </c>
      <c r="IG92" s="558">
        <f t="shared" si="203"/>
        <v>87.95</v>
      </c>
      <c r="IH92" s="558">
        <f t="shared" si="203"/>
        <v>23.43</v>
      </c>
      <c r="II92" s="558">
        <f t="shared" si="203"/>
        <v>21.5</v>
      </c>
      <c r="IJ92" s="558">
        <f t="shared" si="203"/>
        <v>17.649999999999999</v>
      </c>
      <c r="IK92" s="558">
        <f t="shared" si="203"/>
        <v>13.8</v>
      </c>
      <c r="IL92" s="558">
        <f t="shared" si="203"/>
        <v>8.02</v>
      </c>
      <c r="IM92" s="558">
        <f t="shared" si="203"/>
        <v>0.32</v>
      </c>
      <c r="IN92" s="558" t="str">
        <f t="shared" si="203"/>
        <v>.</v>
      </c>
      <c r="IO92" s="558" t="str">
        <f t="shared" si="203"/>
        <v>.</v>
      </c>
      <c r="IP92" s="558" t="str">
        <f t="shared" si="203"/>
        <v>.</v>
      </c>
      <c r="IQ92" s="558" t="str">
        <f t="shared" si="203"/>
        <v>.</v>
      </c>
      <c r="IR92" s="558" t="str">
        <f t="shared" si="203"/>
        <v>.</v>
      </c>
      <c r="IS92" s="558" t="str">
        <f t="shared" si="203"/>
        <v>.</v>
      </c>
      <c r="IT92" s="558" t="str">
        <f t="shared" si="203"/>
        <v>.</v>
      </c>
      <c r="IU92" s="558" t="str">
        <f t="shared" si="203"/>
        <v>.</v>
      </c>
      <c r="IV92" s="558" t="str">
        <f t="shared" si="201"/>
        <v>.</v>
      </c>
      <c r="IW92" s="558" t="str">
        <f t="shared" si="201"/>
        <v>.</v>
      </c>
      <c r="IX92" s="558" t="str">
        <f t="shared" si="201"/>
        <v>.</v>
      </c>
      <c r="IY92" s="558" t="str">
        <f t="shared" si="201"/>
        <v>.</v>
      </c>
      <c r="IZ92" s="558" t="str">
        <f t="shared" si="201"/>
        <v>.</v>
      </c>
      <c r="JA92" s="558" t="str">
        <f t="shared" si="201"/>
        <v>.</v>
      </c>
      <c r="JB92" s="558" t="str">
        <f t="shared" si="201"/>
        <v>.</v>
      </c>
      <c r="JC92" s="558" t="str">
        <f t="shared" si="201"/>
        <v>.</v>
      </c>
      <c r="JD92" s="558" t="str">
        <f t="shared" si="201"/>
        <v>.</v>
      </c>
      <c r="JE92" s="558" t="str">
        <f t="shared" si="201"/>
        <v>.</v>
      </c>
      <c r="JF92" s="558" t="str">
        <f t="shared" si="201"/>
        <v>.</v>
      </c>
      <c r="JG92" s="558" t="str">
        <f t="shared" si="201"/>
        <v>.</v>
      </c>
      <c r="JH92" s="558" t="str">
        <f t="shared" si="201"/>
        <v>.</v>
      </c>
      <c r="JI92" s="558" t="str">
        <f t="shared" si="201"/>
        <v>.</v>
      </c>
      <c r="JJ92" s="558" t="str">
        <f t="shared" si="201"/>
        <v>.</v>
      </c>
      <c r="JK92" s="558" t="str">
        <f t="shared" si="207"/>
        <v>.</v>
      </c>
      <c r="JL92" s="558" t="str">
        <f t="shared" si="207"/>
        <v>.</v>
      </c>
      <c r="JM92" s="558" t="str">
        <f t="shared" si="207"/>
        <v>.</v>
      </c>
      <c r="JN92" s="558" t="str">
        <f t="shared" si="207"/>
        <v>.</v>
      </c>
      <c r="JO92" s="558" t="str">
        <f t="shared" si="207"/>
        <v>.</v>
      </c>
    </row>
    <row r="93" spans="1:275" x14ac:dyDescent="0.2">
      <c r="A93" s="534">
        <f xml:space="preserve"> Basis!A93</f>
        <v>93</v>
      </c>
      <c r="F93" s="536">
        <f xml:space="preserve"> ROUND(    IF( $A$15=BE_MF_,   AW93,   INDEX( qx!93:93, F$16 ) ),    F$17    )</f>
        <v>0.16289999999999999</v>
      </c>
      <c r="G93" s="536">
        <f xml:space="preserve"> ROUND(    IF( $A$15=BE_MF_,   BB93,   INDEX( wx!93:93, G$16 ) ),    G$17    )</f>
        <v>1.4E-3</v>
      </c>
      <c r="H93" s="537">
        <f xml:space="preserve"> ROUND(    IF( $A$15=BE_MF_,   BG93,   INDEX( Kx!93:93, H$16 ) ),    H$17    )</f>
        <v>11366.2</v>
      </c>
      <c r="I93" s="538">
        <f t="shared" si="273"/>
        <v>11437.67</v>
      </c>
      <c r="J93" s="539">
        <f t="shared" si="208"/>
        <v>5.5049999999999999</v>
      </c>
      <c r="K93" s="540">
        <f t="shared" si="274"/>
        <v>0</v>
      </c>
      <c r="L93" s="541">
        <f t="shared" si="116"/>
        <v>0</v>
      </c>
      <c r="M93" s="541">
        <f t="shared" si="116"/>
        <v>8.5999999999999993E-2</v>
      </c>
      <c r="O93" s="542" t="b">
        <f t="shared" si="275"/>
        <v>1</v>
      </c>
      <c r="P93" s="493">
        <f t="shared" si="209"/>
        <v>0.1643</v>
      </c>
      <c r="Q93" s="493">
        <f t="shared" si="210"/>
        <v>0.8357</v>
      </c>
      <c r="R93" s="543">
        <f t="shared" si="211"/>
        <v>141756</v>
      </c>
      <c r="S93" s="544">
        <f t="shared" si="212"/>
        <v>0.97560975599999999</v>
      </c>
      <c r="T93" s="423">
        <f t="shared" si="213"/>
        <v>14263.36</v>
      </c>
      <c r="U93" s="423">
        <f xml:space="preserve"> IF( $O93,    ROUND(  SUM( T93:T$120), U$17 ),  LEER  )</f>
        <v>62255.82</v>
      </c>
      <c r="V93" s="493">
        <f t="shared" si="214"/>
        <v>4.3647</v>
      </c>
      <c r="W93" s="493">
        <f t="shared" si="215"/>
        <v>78519.8</v>
      </c>
      <c r="X93" s="493">
        <f xml:space="preserve"> IF( $O93,    ROUND(  SUM( W93:W$120), X$17 ),  LEER  )</f>
        <v>343027.33</v>
      </c>
      <c r="Y93" s="493">
        <f t="shared" si="216"/>
        <v>24.049499999999998</v>
      </c>
      <c r="Z93" s="493">
        <f t="shared" si="217"/>
        <v>5.51</v>
      </c>
      <c r="AA93" s="493">
        <f t="shared" si="218"/>
        <v>1</v>
      </c>
      <c r="AB93" s="493">
        <f t="shared" si="219"/>
        <v>2.3494000000000002</v>
      </c>
      <c r="AC93" s="545">
        <f t="shared" si="220"/>
        <v>0.32679999999999998</v>
      </c>
      <c r="AD93" s="493">
        <f t="shared" si="221"/>
        <v>5.51</v>
      </c>
      <c r="AE93" s="493">
        <f t="shared" si="222"/>
        <v>6.3860000000000001</v>
      </c>
      <c r="AF93" s="493">
        <f t="shared" si="223"/>
        <v>6.3860000000000001</v>
      </c>
      <c r="AG93" s="493" t="str">
        <f t="shared" si="224"/>
        <v>.</v>
      </c>
      <c r="AH93" s="493" t="str">
        <f t="shared" si="225"/>
        <v>.</v>
      </c>
      <c r="AI93" s="423">
        <f t="shared" si="226"/>
        <v>2077.79</v>
      </c>
      <c r="AJ93" s="423">
        <f t="shared" si="227"/>
        <v>13268.77</v>
      </c>
      <c r="AK93" s="423">
        <f t="shared" si="228"/>
        <v>1105.73</v>
      </c>
      <c r="AN93" s="423">
        <f t="shared" si="200"/>
        <v>33155.11</v>
      </c>
      <c r="AO93" s="423">
        <f t="shared" si="200"/>
        <v>32953.78</v>
      </c>
      <c r="AR93" s="546">
        <f xml:space="preserve"> ROUND(  INDEX( Kx!93:93, AR$16 ),  AR$17 )</f>
        <v>0.37009999999999998</v>
      </c>
      <c r="AS93" s="547">
        <f xml:space="preserve"> ROUND(  INDEX( qx!93:93, AS$16 ),  AS$17 )</f>
        <v>0.19109999999999999</v>
      </c>
      <c r="AT93" s="547">
        <f xml:space="preserve"> ROUND(  INDEX( qx!93:93, AT$16 ),  AT$17 )</f>
        <v>0.15179999999999999</v>
      </c>
      <c r="AU93" s="548" t="str">
        <f t="shared" si="229"/>
        <v>F</v>
      </c>
      <c r="AV93" s="542">
        <f t="shared" si="230"/>
        <v>0.28149999999999997</v>
      </c>
      <c r="AW93" s="542">
        <f t="shared" si="231"/>
        <v>0.16289999999999999</v>
      </c>
      <c r="AX93" s="546">
        <f xml:space="preserve"> ROUND(  INDEX( wx!93:93, AX$16 ),  AX$17 )</f>
        <v>5.9999999999999995E-4</v>
      </c>
      <c r="AY93" s="546">
        <f xml:space="preserve"> ROUND(  INDEX( wx!93:93, AY$16 ),  AY$17 )</f>
        <v>2.0999999999999999E-3</v>
      </c>
      <c r="AZ93" s="548" t="str">
        <f t="shared" si="232"/>
        <v>M</v>
      </c>
      <c r="BA93" s="542">
        <f t="shared" si="233"/>
        <v>0.46850000000000003</v>
      </c>
      <c r="BB93" s="542">
        <f t="shared" si="234"/>
        <v>1.4E-3</v>
      </c>
      <c r="BC93" s="533">
        <f xml:space="preserve"> ROUND(  INDEX( Kx!93:93, BC$16 ),  BC$17 )</f>
        <v>12713.37</v>
      </c>
      <c r="BD93" s="533">
        <f xml:space="preserve"> ROUND(  INDEX( Kx!93:93, BD$16 ),  BD$17 )</f>
        <v>10178.709999999999</v>
      </c>
      <c r="BE93" s="548" t="str">
        <f t="shared" si="235"/>
        <v>M</v>
      </c>
      <c r="BF93" s="542">
        <f t="shared" si="236"/>
        <v>0.46850000000000003</v>
      </c>
      <c r="BG93" s="420">
        <f t="shared" si="237"/>
        <v>11366.2</v>
      </c>
      <c r="BQ93" s="549">
        <f t="shared" si="276"/>
        <v>93</v>
      </c>
      <c r="BR93" s="423">
        <f t="shared" si="238"/>
        <v>35193.519999999997</v>
      </c>
      <c r="BS93" s="550">
        <f t="shared" si="239"/>
        <v>11437.67</v>
      </c>
      <c r="BT93" s="423">
        <f t="shared" si="240"/>
        <v>-7585.24</v>
      </c>
      <c r="BU93" s="551">
        <f t="shared" si="241"/>
        <v>14263.36</v>
      </c>
      <c r="BV93" s="551">
        <f t="shared" si="242"/>
        <v>1.2009000000000001</v>
      </c>
      <c r="BW93" s="529">
        <f t="shared" si="243"/>
        <v>33155.11</v>
      </c>
      <c r="BX93" s="552">
        <f t="shared" si="244"/>
        <v>5546.8300000000017</v>
      </c>
      <c r="BY93" s="560"/>
      <c r="BZ93" s="559"/>
      <c r="CB93" s="423">
        <f t="shared" si="245"/>
        <v>-7775.45</v>
      </c>
      <c r="CC93" s="423">
        <f t="shared" si="246"/>
        <v>828.88</v>
      </c>
      <c r="CD93" s="423">
        <f t="shared" si="247"/>
        <v>5152.67</v>
      </c>
      <c r="CE93" s="423">
        <f t="shared" si="248"/>
        <v>-1793.8999999999996</v>
      </c>
      <c r="CF93" s="553">
        <f t="shared" si="249"/>
        <v>-1793.75</v>
      </c>
      <c r="CH93" s="423">
        <f t="shared" si="250"/>
        <v>3852.4304390000002</v>
      </c>
      <c r="CI93" s="423">
        <f t="shared" si="251"/>
        <v>11438.23</v>
      </c>
      <c r="CJ93" s="423">
        <f t="shared" si="252"/>
        <v>-2558.66</v>
      </c>
      <c r="CK93" s="423">
        <f t="shared" si="253"/>
        <v>-5027</v>
      </c>
      <c r="CL93" s="553">
        <f t="shared" si="254"/>
        <v>3852.5699999999997</v>
      </c>
      <c r="CN93" s="423">
        <f t="shared" si="255"/>
        <v>3898.5573770000001</v>
      </c>
      <c r="CO93" s="423">
        <f t="shared" si="256"/>
        <v>11438.23</v>
      </c>
      <c r="CP93" s="423">
        <f t="shared" si="257"/>
        <v>-2543.0500000000002</v>
      </c>
      <c r="CQ93" s="423">
        <f t="shared" si="258"/>
        <v>-4996.4799999999996</v>
      </c>
      <c r="CR93" s="553">
        <f t="shared" si="259"/>
        <v>3898.7000000000007</v>
      </c>
      <c r="CV93" s="564">
        <f t="shared" si="277"/>
        <v>93</v>
      </c>
      <c r="CW93" s="538" t="str">
        <f t="shared" si="260"/>
        <v>.</v>
      </c>
      <c r="CX93" s="566">
        <f t="shared" si="261"/>
        <v>32953.78</v>
      </c>
      <c r="CY93" s="538" t="str">
        <f t="shared" si="262"/>
        <v>.</v>
      </c>
      <c r="CZ93" s="538">
        <f t="shared" si="263"/>
        <v>19209</v>
      </c>
      <c r="DA93" s="538">
        <f t="shared" si="264"/>
        <v>12376.38</v>
      </c>
      <c r="DB93" s="567" t="e">
        <f t="shared" si="278"/>
        <v>#N/A</v>
      </c>
      <c r="DC93" s="567">
        <f t="shared" si="279"/>
        <v>32953.78</v>
      </c>
      <c r="DD93" s="567" t="e">
        <f t="shared" si="280"/>
        <v>#N/A</v>
      </c>
      <c r="DE93" s="567">
        <f t="shared" si="280"/>
        <v>19209</v>
      </c>
      <c r="DF93" s="568">
        <f t="shared" si="281"/>
        <v>31585.379999999997</v>
      </c>
      <c r="EL93" s="553">
        <f t="shared" si="265"/>
        <v>24076.2</v>
      </c>
      <c r="EM93" s="553">
        <f t="shared" si="266"/>
        <v>8879.18</v>
      </c>
      <c r="EN93" s="423">
        <f t="shared" si="267"/>
        <v>32955.379999999997</v>
      </c>
      <c r="EO93" s="555">
        <f xml:space="preserve"> 'i2'!AO93</f>
        <v>32953.78</v>
      </c>
      <c r="EV93" s="533" t="e">
        <f xml:space="preserve"> ROUND(    IF( $A$15=BE_MF_,   LEER,   INDEX( Kx!93:93, EV$16 ) ),    EV$17    )</f>
        <v>#VALUE!</v>
      </c>
      <c r="EW93" s="533" t="e">
        <f xml:space="preserve"> ROUND(    IF( $A$15=BE_MF_,   LEER,   INDEX( Kx!93:93, EW$16 ) ),    EW$17    )</f>
        <v>#VALUE!</v>
      </c>
      <c r="EX93" s="533" t="e">
        <f xml:space="preserve"> ROUND(    IF( $A$15=BE_MF_,   LEER,   INDEX( Kx!93:93, EX$16 ) ),    EX$17    )</f>
        <v>#VALUE!</v>
      </c>
      <c r="EY93" s="556" t="e">
        <f t="shared" si="282"/>
        <v>#VALUE!</v>
      </c>
      <c r="FB93" s="533" t="e">
        <f xml:space="preserve"> ROUND(    IF( $A$15=BE_MF_,   LEER,   INDEX( Kx!93:93, FB$16 ) ),    FB$17    )</f>
        <v>#VALUE!</v>
      </c>
      <c r="FC93" s="533" t="e">
        <f xml:space="preserve"> ROUND(    IF( $A$15=BE_MF_,   LEER,   INDEX( Kx!93:93, FC$16 ) ),    FC$17    )</f>
        <v>#VALUE!</v>
      </c>
      <c r="FD93" s="556" t="e">
        <f t="shared" si="283"/>
        <v>#VALUE!</v>
      </c>
      <c r="FG93" s="556" t="e">
        <f t="shared" si="284"/>
        <v>#VALUE!</v>
      </c>
      <c r="FH93" s="556" t="e">
        <f t="shared" si="284"/>
        <v>#VALUE!</v>
      </c>
      <c r="FI93" s="556" t="e">
        <f t="shared" si="284"/>
        <v>#VALUE!</v>
      </c>
      <c r="FN93" s="557">
        <f t="shared" si="268"/>
        <v>93</v>
      </c>
      <c r="FO93" s="493">
        <f t="shared" si="269"/>
        <v>24.049499999999998</v>
      </c>
      <c r="FP93" s="493">
        <f t="shared" si="270"/>
        <v>4.3647</v>
      </c>
      <c r="FR93" s="427">
        <f t="shared" si="285"/>
        <v>1365255.3499999999</v>
      </c>
      <c r="FS93" s="558">
        <f t="shared" si="271"/>
        <v>39083.47</v>
      </c>
      <c r="FT93" s="558">
        <f t="shared" si="271"/>
        <v>38716.18</v>
      </c>
      <c r="FU93" s="558">
        <f t="shared" si="271"/>
        <v>38347.980000000003</v>
      </c>
      <c r="FV93" s="558">
        <f t="shared" si="271"/>
        <v>37979.78</v>
      </c>
      <c r="FW93" s="558">
        <f t="shared" si="271"/>
        <v>37598.879999999997</v>
      </c>
      <c r="FX93" s="558">
        <f t="shared" si="271"/>
        <v>37207.11</v>
      </c>
      <c r="FY93" s="558">
        <f t="shared" si="271"/>
        <v>36818.959999999999</v>
      </c>
      <c r="FZ93" s="558">
        <f t="shared" si="271"/>
        <v>36428.080000000002</v>
      </c>
      <c r="GA93" s="558">
        <f t="shared" si="271"/>
        <v>36023.61</v>
      </c>
      <c r="GB93" s="558">
        <f t="shared" si="271"/>
        <v>35602.81</v>
      </c>
      <c r="GC93" s="558">
        <f t="shared" si="271"/>
        <v>35179.29</v>
      </c>
      <c r="GD93" s="558">
        <f t="shared" si="271"/>
        <v>34749.43</v>
      </c>
      <c r="GE93" s="558">
        <f t="shared" si="271"/>
        <v>34309.58</v>
      </c>
      <c r="GF93" s="558">
        <f t="shared" si="271"/>
        <v>33867.93</v>
      </c>
      <c r="GG93" s="558">
        <f t="shared" si="271"/>
        <v>33412.67</v>
      </c>
      <c r="GH93" s="558">
        <f t="shared" si="271"/>
        <v>32953.78</v>
      </c>
      <c r="GI93" s="558">
        <f t="shared" si="205"/>
        <v>32481.29</v>
      </c>
      <c r="GJ93" s="558">
        <f t="shared" si="205"/>
        <v>31997.91</v>
      </c>
      <c r="GK93" s="558">
        <f t="shared" si="205"/>
        <v>31500.93</v>
      </c>
      <c r="GL93" s="558">
        <f t="shared" si="205"/>
        <v>30989.45</v>
      </c>
      <c r="GM93" s="558">
        <f t="shared" si="205"/>
        <v>30462.54</v>
      </c>
      <c r="GN93" s="558">
        <f t="shared" si="205"/>
        <v>29915.69</v>
      </c>
      <c r="GO93" s="558">
        <f t="shared" si="205"/>
        <v>29348.880000000001</v>
      </c>
      <c r="GP93" s="558">
        <f t="shared" si="205"/>
        <v>28761.21</v>
      </c>
      <c r="GQ93" s="558">
        <f t="shared" si="205"/>
        <v>28149.96</v>
      </c>
      <c r="GR93" s="558">
        <f t="shared" si="205"/>
        <v>27519.67</v>
      </c>
      <c r="GS93" s="558">
        <f t="shared" si="205"/>
        <v>26867.62</v>
      </c>
      <c r="GT93" s="558">
        <f t="shared" si="205"/>
        <v>26195.61</v>
      </c>
      <c r="GU93" s="558">
        <f t="shared" si="205"/>
        <v>25505.47</v>
      </c>
      <c r="GV93" s="558">
        <f t="shared" si="205"/>
        <v>24798.09</v>
      </c>
      <c r="GW93" s="558">
        <f t="shared" si="205"/>
        <v>24076.2</v>
      </c>
      <c r="GX93" s="558">
        <f t="shared" si="272"/>
        <v>23337.08</v>
      </c>
      <c r="GY93" s="558">
        <f t="shared" si="272"/>
        <v>22587.99</v>
      </c>
      <c r="GZ93" s="558">
        <f t="shared" si="272"/>
        <v>21825.29</v>
      </c>
      <c r="HA93" s="558">
        <f t="shared" si="272"/>
        <v>21054.43</v>
      </c>
      <c r="HB93" s="558">
        <f t="shared" si="272"/>
        <v>20275.41</v>
      </c>
      <c r="HC93" s="558">
        <f t="shared" si="272"/>
        <v>19487.32</v>
      </c>
      <c r="HD93" s="558">
        <f t="shared" si="272"/>
        <v>18692.88</v>
      </c>
      <c r="HE93" s="558">
        <f t="shared" si="272"/>
        <v>17886.66</v>
      </c>
      <c r="HF93" s="558">
        <f t="shared" si="272"/>
        <v>17063.2</v>
      </c>
      <c r="HG93" s="558">
        <f t="shared" si="272"/>
        <v>16227.95</v>
      </c>
      <c r="HH93" s="558">
        <f t="shared" si="272"/>
        <v>15384.54</v>
      </c>
      <c r="HI93" s="558">
        <f t="shared" si="272"/>
        <v>14530.25</v>
      </c>
      <c r="HJ93" s="558">
        <f t="shared" si="272"/>
        <v>13669.6</v>
      </c>
      <c r="HK93" s="558">
        <f t="shared" si="272"/>
        <v>12799.89</v>
      </c>
      <c r="HL93" s="558">
        <f t="shared" si="272"/>
        <v>11938.35</v>
      </c>
      <c r="HM93" s="558">
        <f t="shared" si="272"/>
        <v>11069.54</v>
      </c>
      <c r="HN93" s="558">
        <f t="shared" si="206"/>
        <v>10206.18</v>
      </c>
      <c r="HO93" s="558">
        <f t="shared" si="206"/>
        <v>9349.17</v>
      </c>
      <c r="HP93" s="558">
        <f t="shared" si="206"/>
        <v>8495.7800000000007</v>
      </c>
      <c r="HQ93" s="558">
        <f t="shared" si="206"/>
        <v>7792.94</v>
      </c>
      <c r="HR93" s="558">
        <f t="shared" si="206"/>
        <v>7111.86</v>
      </c>
      <c r="HS93" s="558">
        <f t="shared" si="206"/>
        <v>6459.81</v>
      </c>
      <c r="HT93" s="558">
        <f t="shared" si="206"/>
        <v>5842.21</v>
      </c>
      <c r="HU93" s="558">
        <f t="shared" si="206"/>
        <v>5096.74</v>
      </c>
      <c r="HV93" s="558">
        <f t="shared" si="206"/>
        <v>4380.3</v>
      </c>
      <c r="HW93" s="558">
        <f t="shared" si="206"/>
        <v>3697.41</v>
      </c>
      <c r="HX93" s="558">
        <f t="shared" si="206"/>
        <v>3069.84</v>
      </c>
      <c r="HY93" s="558">
        <f t="shared" si="206"/>
        <v>2492.15</v>
      </c>
      <c r="HZ93" s="558">
        <f t="shared" si="206"/>
        <v>1967.06</v>
      </c>
      <c r="IA93" s="558">
        <f t="shared" si="206"/>
        <v>1507.26</v>
      </c>
      <c r="IB93" s="558">
        <f t="shared" si="206"/>
        <v>1102.79</v>
      </c>
      <c r="IC93" s="558">
        <f t="shared" si="204"/>
        <v>773.59</v>
      </c>
      <c r="ID93" s="558">
        <f t="shared" si="204"/>
        <v>508.77</v>
      </c>
      <c r="IE93" s="558">
        <f t="shared" si="204"/>
        <v>311.07</v>
      </c>
      <c r="IF93" s="558">
        <f t="shared" si="203"/>
        <v>179.57</v>
      </c>
      <c r="IG93" s="558">
        <f t="shared" si="203"/>
        <v>92.51</v>
      </c>
      <c r="IH93" s="558">
        <f t="shared" si="203"/>
        <v>31.75</v>
      </c>
      <c r="II93" s="558">
        <f t="shared" si="203"/>
        <v>29.93</v>
      </c>
      <c r="IJ93" s="558">
        <f t="shared" si="203"/>
        <v>26.31</v>
      </c>
      <c r="IK93" s="558">
        <f t="shared" si="203"/>
        <v>22.68</v>
      </c>
      <c r="IL93" s="558">
        <f t="shared" si="203"/>
        <v>17.239999999999998</v>
      </c>
      <c r="IM93" s="558">
        <f t="shared" si="203"/>
        <v>9.98</v>
      </c>
      <c r="IN93" s="558">
        <f t="shared" si="203"/>
        <v>0.01</v>
      </c>
      <c r="IO93" s="558" t="str">
        <f t="shared" si="203"/>
        <v>.</v>
      </c>
      <c r="IP93" s="558" t="str">
        <f t="shared" si="203"/>
        <v>.</v>
      </c>
      <c r="IQ93" s="558" t="str">
        <f t="shared" si="203"/>
        <v>.</v>
      </c>
      <c r="IR93" s="558" t="str">
        <f t="shared" si="203"/>
        <v>.</v>
      </c>
      <c r="IS93" s="558" t="str">
        <f t="shared" si="203"/>
        <v>.</v>
      </c>
      <c r="IT93" s="558" t="str">
        <f t="shared" si="203"/>
        <v>.</v>
      </c>
      <c r="IU93" s="558" t="str">
        <f t="shared" si="203"/>
        <v>.</v>
      </c>
      <c r="IV93" s="558" t="str">
        <f t="shared" si="201"/>
        <v>.</v>
      </c>
      <c r="IW93" s="558" t="str">
        <f t="shared" si="201"/>
        <v>.</v>
      </c>
      <c r="IX93" s="558" t="str">
        <f t="shared" si="201"/>
        <v>.</v>
      </c>
      <c r="IY93" s="558" t="str">
        <f t="shared" si="201"/>
        <v>.</v>
      </c>
      <c r="IZ93" s="558" t="str">
        <f t="shared" si="201"/>
        <v>.</v>
      </c>
      <c r="JA93" s="558" t="str">
        <f t="shared" si="201"/>
        <v>.</v>
      </c>
      <c r="JB93" s="558" t="str">
        <f t="shared" si="201"/>
        <v>.</v>
      </c>
      <c r="JC93" s="558" t="str">
        <f t="shared" si="201"/>
        <v>.</v>
      </c>
      <c r="JD93" s="558" t="str">
        <f t="shared" si="201"/>
        <v>.</v>
      </c>
      <c r="JE93" s="558" t="str">
        <f t="shared" si="201"/>
        <v>.</v>
      </c>
      <c r="JF93" s="558" t="str">
        <f t="shared" si="201"/>
        <v>.</v>
      </c>
      <c r="JG93" s="558" t="str">
        <f t="shared" si="201"/>
        <v>.</v>
      </c>
      <c r="JH93" s="558" t="str">
        <f t="shared" si="201"/>
        <v>.</v>
      </c>
      <c r="JI93" s="558" t="str">
        <f t="shared" si="201"/>
        <v>.</v>
      </c>
      <c r="JJ93" s="558" t="str">
        <f t="shared" si="201"/>
        <v>.</v>
      </c>
      <c r="JK93" s="558" t="str">
        <f t="shared" si="207"/>
        <v>.</v>
      </c>
      <c r="JL93" s="558" t="str">
        <f t="shared" si="207"/>
        <v>.</v>
      </c>
      <c r="JM93" s="558" t="str">
        <f t="shared" si="207"/>
        <v>.</v>
      </c>
      <c r="JN93" s="558" t="str">
        <f t="shared" si="207"/>
        <v>.</v>
      </c>
      <c r="JO93" s="558" t="str">
        <f t="shared" si="207"/>
        <v>.</v>
      </c>
    </row>
    <row r="94" spans="1:275" x14ac:dyDescent="0.2">
      <c r="A94" s="534">
        <f xml:space="preserve"> Basis!A94</f>
        <v>94</v>
      </c>
      <c r="F94" s="536">
        <f xml:space="preserve"> ROUND(    IF( $A$15=BE_MF_,   AW94,   INDEX( qx!94:94, F$16 ) ),    F$17    )</f>
        <v>0.18</v>
      </c>
      <c r="G94" s="536">
        <f xml:space="preserve"> ROUND(    IF( $A$15=BE_MF_,   BB94,   INDEX( wx!94:94, G$16 ) ),    G$17    )</f>
        <v>1.5E-3</v>
      </c>
      <c r="H94" s="537">
        <f xml:space="preserve"> ROUND(    IF( $A$15=BE_MF_,   BG94,   INDEX( Kx!94:94, H$16 ) ),    H$17    )</f>
        <v>11291.78</v>
      </c>
      <c r="I94" s="538">
        <f t="shared" si="273"/>
        <v>11437.67</v>
      </c>
      <c r="J94" s="539">
        <f t="shared" si="208"/>
        <v>5.5049999999999999</v>
      </c>
      <c r="K94" s="540">
        <f t="shared" si="274"/>
        <v>0</v>
      </c>
      <c r="L94" s="541">
        <f t="shared" si="116"/>
        <v>0</v>
      </c>
      <c r="M94" s="541">
        <f t="shared" si="116"/>
        <v>8.5999999999999993E-2</v>
      </c>
      <c r="O94" s="542" t="b">
        <f t="shared" si="275"/>
        <v>1</v>
      </c>
      <c r="P94" s="493">
        <f t="shared" si="209"/>
        <v>0.18149999999999999</v>
      </c>
      <c r="Q94" s="493">
        <f t="shared" si="210"/>
        <v>0.81850000000000001</v>
      </c>
      <c r="R94" s="543">
        <f t="shared" si="211"/>
        <v>118465</v>
      </c>
      <c r="S94" s="544">
        <f t="shared" si="212"/>
        <v>0.97560975599999999</v>
      </c>
      <c r="T94" s="423">
        <f t="shared" si="213"/>
        <v>11629.12</v>
      </c>
      <c r="U94" s="423">
        <f xml:space="preserve"> IF( $O94,    ROUND(  SUM( T94:T$120), U$17 ),  LEER  )</f>
        <v>47992.46</v>
      </c>
      <c r="V94" s="493">
        <f t="shared" si="214"/>
        <v>4.1269</v>
      </c>
      <c r="W94" s="493">
        <f t="shared" si="215"/>
        <v>64018.31</v>
      </c>
      <c r="X94" s="493">
        <f xml:space="preserve"> IF( $O94,    ROUND(  SUM( W94:W$120), X$17 ),  LEER  )</f>
        <v>264507.53000000003</v>
      </c>
      <c r="Y94" s="493">
        <f t="shared" si="216"/>
        <v>22.7453</v>
      </c>
      <c r="Z94" s="493">
        <f t="shared" si="217"/>
        <v>5.5114999999999998</v>
      </c>
      <c r="AA94" s="493">
        <f t="shared" si="218"/>
        <v>1</v>
      </c>
      <c r="AB94" s="493">
        <f t="shared" si="219"/>
        <v>2.3494000000000002</v>
      </c>
      <c r="AC94" s="545">
        <f t="shared" si="220"/>
        <v>0.32679999999999998</v>
      </c>
      <c r="AD94" s="493">
        <f t="shared" si="221"/>
        <v>5.5114999999999998</v>
      </c>
      <c r="AE94" s="493">
        <f t="shared" si="222"/>
        <v>6.3875999999999999</v>
      </c>
      <c r="AF94" s="493">
        <f t="shared" si="223"/>
        <v>6.3875999999999999</v>
      </c>
      <c r="AG94" s="493" t="str">
        <f t="shared" si="224"/>
        <v>.</v>
      </c>
      <c r="AH94" s="493" t="str">
        <f t="shared" si="225"/>
        <v>.</v>
      </c>
      <c r="AI94" s="423">
        <f t="shared" si="226"/>
        <v>2077.79</v>
      </c>
      <c r="AJ94" s="423">
        <f t="shared" si="227"/>
        <v>13272.09</v>
      </c>
      <c r="AK94" s="423">
        <f t="shared" si="228"/>
        <v>1106.01</v>
      </c>
      <c r="AN94" s="423">
        <f t="shared" si="200"/>
        <v>31361.360000000001</v>
      </c>
      <c r="AO94" s="423">
        <f t="shared" si="200"/>
        <v>31171</v>
      </c>
      <c r="AR94" s="546">
        <f xml:space="preserve"> ROUND(  INDEX( Kx!94:94, AR$16 ),  AR$17 )</f>
        <v>0.3291</v>
      </c>
      <c r="AS94" s="547">
        <f xml:space="preserve"> ROUND(  INDEX( qx!94:94, AS$16 ),  AS$17 )</f>
        <v>0.2114</v>
      </c>
      <c r="AT94" s="547">
        <f xml:space="preserve"> ROUND(  INDEX( qx!94:94, AT$16 ),  AT$17 )</f>
        <v>0.16969999999999999</v>
      </c>
      <c r="AU94" s="548" t="str">
        <f t="shared" si="229"/>
        <v>F</v>
      </c>
      <c r="AV94" s="542">
        <f t="shared" si="230"/>
        <v>0.24640000000000001</v>
      </c>
      <c r="AW94" s="542">
        <f t="shared" si="231"/>
        <v>0.18</v>
      </c>
      <c r="AX94" s="546">
        <f xml:space="preserve"> ROUND(  INDEX( wx!94:94, AX$16 ),  AX$17 )</f>
        <v>5.9999999999999995E-4</v>
      </c>
      <c r="AY94" s="546">
        <f xml:space="preserve"> ROUND(  INDEX( wx!94:94, AY$16 ),  AY$17 )</f>
        <v>2.0999999999999999E-3</v>
      </c>
      <c r="AZ94" s="548" t="str">
        <f t="shared" si="232"/>
        <v>M</v>
      </c>
      <c r="BA94" s="542">
        <f t="shared" si="233"/>
        <v>0.4239</v>
      </c>
      <c r="BB94" s="542">
        <f t="shared" si="234"/>
        <v>1.5E-3</v>
      </c>
      <c r="BC94" s="533">
        <f xml:space="preserve"> ROUND(  INDEX( Kx!94:94, BC$16 ),  BC$17 )</f>
        <v>12792.07</v>
      </c>
      <c r="BD94" s="533">
        <f xml:space="preserve"> ROUND(  INDEX( Kx!94:94, BD$16 ),  BD$17 )</f>
        <v>10187.86</v>
      </c>
      <c r="BE94" s="548" t="str">
        <f t="shared" si="235"/>
        <v>M</v>
      </c>
      <c r="BF94" s="542">
        <f t="shared" si="236"/>
        <v>0.4239</v>
      </c>
      <c r="BG94" s="420">
        <f t="shared" si="237"/>
        <v>11291.78</v>
      </c>
      <c r="BQ94" s="549">
        <f t="shared" si="276"/>
        <v>94</v>
      </c>
      <c r="BR94" s="423">
        <f t="shared" si="238"/>
        <v>33155.11</v>
      </c>
      <c r="BS94" s="550">
        <f t="shared" si="239"/>
        <v>11437.67</v>
      </c>
      <c r="BT94" s="423">
        <f t="shared" si="240"/>
        <v>-7585.24</v>
      </c>
      <c r="BU94" s="551">
        <f t="shared" si="241"/>
        <v>11629.12</v>
      </c>
      <c r="BV94" s="551">
        <f t="shared" si="242"/>
        <v>1.2264999999999999</v>
      </c>
      <c r="BW94" s="529">
        <f t="shared" si="243"/>
        <v>31361.360000000001</v>
      </c>
      <c r="BX94" s="552">
        <f t="shared" si="244"/>
        <v>5791.489999999998</v>
      </c>
      <c r="BY94" s="560"/>
      <c r="BZ94" s="559"/>
      <c r="CB94" s="423">
        <f t="shared" si="245"/>
        <v>-7775.45</v>
      </c>
      <c r="CC94" s="423">
        <f t="shared" si="246"/>
        <v>784.03</v>
      </c>
      <c r="CD94" s="423">
        <f t="shared" si="247"/>
        <v>5404.01</v>
      </c>
      <c r="CE94" s="423">
        <f t="shared" si="248"/>
        <v>-1587.4099999999999</v>
      </c>
      <c r="CF94" s="553">
        <f t="shared" si="249"/>
        <v>-1587.2200000000012</v>
      </c>
      <c r="CH94" s="423">
        <f t="shared" si="250"/>
        <v>3852.4304390000002</v>
      </c>
      <c r="CI94" s="423">
        <f t="shared" si="251"/>
        <v>11438.23</v>
      </c>
      <c r="CJ94" s="423">
        <f t="shared" si="252"/>
        <v>-2313.42</v>
      </c>
      <c r="CK94" s="423">
        <f t="shared" si="253"/>
        <v>-5272.2</v>
      </c>
      <c r="CL94" s="553">
        <f t="shared" si="254"/>
        <v>3852.6099999999997</v>
      </c>
      <c r="CN94" s="423">
        <f t="shared" si="255"/>
        <v>3898.5573770000001</v>
      </c>
      <c r="CO94" s="423">
        <f t="shared" si="256"/>
        <v>11438.23</v>
      </c>
      <c r="CP94" s="423">
        <f t="shared" si="257"/>
        <v>-2299.27</v>
      </c>
      <c r="CQ94" s="423">
        <f t="shared" si="258"/>
        <v>-5240.22</v>
      </c>
      <c r="CR94" s="553">
        <f t="shared" si="259"/>
        <v>3898.7399999999989</v>
      </c>
      <c r="CV94" s="564">
        <f t="shared" si="277"/>
        <v>94</v>
      </c>
      <c r="CW94" s="538" t="str">
        <f t="shared" si="260"/>
        <v>.</v>
      </c>
      <c r="CX94" s="566">
        <f t="shared" si="261"/>
        <v>31171</v>
      </c>
      <c r="CY94" s="538" t="str">
        <f t="shared" si="262"/>
        <v>.</v>
      </c>
      <c r="CZ94" s="538">
        <f t="shared" si="263"/>
        <v>18162</v>
      </c>
      <c r="DA94" s="538">
        <f t="shared" si="264"/>
        <v>11714.71</v>
      </c>
      <c r="DB94" s="567" t="e">
        <f t="shared" si="278"/>
        <v>#N/A</v>
      </c>
      <c r="DC94" s="567">
        <f t="shared" si="279"/>
        <v>31171</v>
      </c>
      <c r="DD94" s="567" t="e">
        <f t="shared" si="280"/>
        <v>#N/A</v>
      </c>
      <c r="DE94" s="567">
        <f t="shared" si="280"/>
        <v>18162</v>
      </c>
      <c r="DF94" s="568">
        <f t="shared" si="281"/>
        <v>29876.71</v>
      </c>
      <c r="EL94" s="553">
        <f t="shared" si="265"/>
        <v>22777.1</v>
      </c>
      <c r="EM94" s="553">
        <f t="shared" si="266"/>
        <v>8395.42</v>
      </c>
      <c r="EN94" s="423">
        <f t="shared" si="267"/>
        <v>31172.52</v>
      </c>
      <c r="EO94" s="555">
        <f xml:space="preserve"> 'i2'!AO94</f>
        <v>31171</v>
      </c>
      <c r="EV94" s="533" t="e">
        <f xml:space="preserve"> ROUND(    IF( $A$15=BE_MF_,   LEER,   INDEX( Kx!94:94, EV$16 ) ),    EV$17    )</f>
        <v>#VALUE!</v>
      </c>
      <c r="EW94" s="533" t="e">
        <f xml:space="preserve"> ROUND(    IF( $A$15=BE_MF_,   LEER,   INDEX( Kx!94:94, EW$16 ) ),    EW$17    )</f>
        <v>#VALUE!</v>
      </c>
      <c r="EX94" s="533" t="e">
        <f xml:space="preserve"> ROUND(    IF( $A$15=BE_MF_,   LEER,   INDEX( Kx!94:94, EX$16 ) ),    EX$17    )</f>
        <v>#VALUE!</v>
      </c>
      <c r="EY94" s="556" t="e">
        <f t="shared" si="282"/>
        <v>#VALUE!</v>
      </c>
      <c r="FB94" s="533" t="e">
        <f xml:space="preserve"> ROUND(    IF( $A$15=BE_MF_,   LEER,   INDEX( Kx!94:94, FB$16 ) ),    FB$17    )</f>
        <v>#VALUE!</v>
      </c>
      <c r="FC94" s="533" t="e">
        <f xml:space="preserve"> ROUND(    IF( $A$15=BE_MF_,   LEER,   INDEX( Kx!94:94, FC$16 ) ),    FC$17    )</f>
        <v>#VALUE!</v>
      </c>
      <c r="FD94" s="556" t="e">
        <f t="shared" si="283"/>
        <v>#VALUE!</v>
      </c>
      <c r="FG94" s="556" t="e">
        <f t="shared" si="284"/>
        <v>#VALUE!</v>
      </c>
      <c r="FH94" s="556" t="e">
        <f t="shared" si="284"/>
        <v>#VALUE!</v>
      </c>
      <c r="FI94" s="556" t="e">
        <f t="shared" si="284"/>
        <v>#VALUE!</v>
      </c>
      <c r="FN94" s="557">
        <f t="shared" si="268"/>
        <v>94</v>
      </c>
      <c r="FO94" s="493">
        <f t="shared" si="269"/>
        <v>22.7453</v>
      </c>
      <c r="FP94" s="493">
        <f t="shared" si="270"/>
        <v>4.1269</v>
      </c>
      <c r="FR94" s="427">
        <f t="shared" si="285"/>
        <v>1291807.0499999998</v>
      </c>
      <c r="FS94" s="558">
        <f t="shared" si="271"/>
        <v>36966.730000000003</v>
      </c>
      <c r="FT94" s="558">
        <f t="shared" si="271"/>
        <v>36619.449999999997</v>
      </c>
      <c r="FU94" s="558">
        <f t="shared" si="271"/>
        <v>36271.31</v>
      </c>
      <c r="FV94" s="558">
        <f t="shared" si="271"/>
        <v>35923.17</v>
      </c>
      <c r="FW94" s="558">
        <f t="shared" si="271"/>
        <v>35563.03</v>
      </c>
      <c r="FX94" s="558">
        <f t="shared" si="271"/>
        <v>35192.6</v>
      </c>
      <c r="FY94" s="558">
        <f t="shared" si="271"/>
        <v>34825.589999999997</v>
      </c>
      <c r="FZ94" s="558">
        <f t="shared" si="271"/>
        <v>34456.019999999997</v>
      </c>
      <c r="GA94" s="558">
        <f t="shared" si="271"/>
        <v>34073.58</v>
      </c>
      <c r="GB94" s="558">
        <f t="shared" si="271"/>
        <v>33675.71</v>
      </c>
      <c r="GC94" s="558">
        <f t="shared" si="271"/>
        <v>33275.26</v>
      </c>
      <c r="GD94" s="558">
        <f t="shared" si="271"/>
        <v>32868.82</v>
      </c>
      <c r="GE94" s="558">
        <f t="shared" si="271"/>
        <v>32452.94</v>
      </c>
      <c r="GF94" s="558">
        <f t="shared" si="271"/>
        <v>32035.34</v>
      </c>
      <c r="GG94" s="558">
        <f t="shared" si="271"/>
        <v>31604.89</v>
      </c>
      <c r="GH94" s="558">
        <f t="shared" si="271"/>
        <v>31171</v>
      </c>
      <c r="GI94" s="558">
        <f t="shared" si="205"/>
        <v>30724.25</v>
      </c>
      <c r="GJ94" s="558">
        <f t="shared" si="205"/>
        <v>30267.21</v>
      </c>
      <c r="GK94" s="558">
        <f t="shared" si="205"/>
        <v>29797.31</v>
      </c>
      <c r="GL94" s="558">
        <f t="shared" si="205"/>
        <v>29313.69</v>
      </c>
      <c r="GM94" s="558">
        <f t="shared" si="205"/>
        <v>28815.49</v>
      </c>
      <c r="GN94" s="558">
        <f t="shared" si="205"/>
        <v>28298.43</v>
      </c>
      <c r="GO94" s="558">
        <f t="shared" si="205"/>
        <v>27762.5</v>
      </c>
      <c r="GP94" s="558">
        <f t="shared" si="205"/>
        <v>27206.86</v>
      </c>
      <c r="GQ94" s="558">
        <f t="shared" si="205"/>
        <v>26628.91</v>
      </c>
      <c r="GR94" s="558">
        <f t="shared" si="205"/>
        <v>26032.959999999999</v>
      </c>
      <c r="GS94" s="558">
        <f t="shared" si="205"/>
        <v>25416.43</v>
      </c>
      <c r="GT94" s="558">
        <f t="shared" si="205"/>
        <v>24781.040000000001</v>
      </c>
      <c r="GU94" s="558">
        <f t="shared" si="205"/>
        <v>24128.49</v>
      </c>
      <c r="GV94" s="558">
        <f t="shared" si="205"/>
        <v>23459.65</v>
      </c>
      <c r="GW94" s="558">
        <f t="shared" si="205"/>
        <v>22777.1</v>
      </c>
      <c r="GX94" s="558">
        <f t="shared" si="272"/>
        <v>22078.25</v>
      </c>
      <c r="GY94" s="558">
        <f t="shared" si="272"/>
        <v>21369.97</v>
      </c>
      <c r="GZ94" s="558">
        <f t="shared" si="272"/>
        <v>20648.82</v>
      </c>
      <c r="HA94" s="558">
        <f t="shared" si="272"/>
        <v>19919.96</v>
      </c>
      <c r="HB94" s="558">
        <f t="shared" si="272"/>
        <v>19183.39</v>
      </c>
      <c r="HC94" s="558">
        <f t="shared" si="272"/>
        <v>18438.23</v>
      </c>
      <c r="HD94" s="558">
        <f t="shared" si="272"/>
        <v>17687.080000000002</v>
      </c>
      <c r="HE94" s="558">
        <f t="shared" si="272"/>
        <v>16924.78</v>
      </c>
      <c r="HF94" s="558">
        <f t="shared" si="272"/>
        <v>16146.18</v>
      </c>
      <c r="HG94" s="558">
        <f t="shared" si="272"/>
        <v>15356.44</v>
      </c>
      <c r="HH94" s="558">
        <f t="shared" si="272"/>
        <v>14558.98</v>
      </c>
      <c r="HI94" s="558">
        <f t="shared" si="272"/>
        <v>13751.23</v>
      </c>
      <c r="HJ94" s="558">
        <f t="shared" si="272"/>
        <v>12937.48</v>
      </c>
      <c r="HK94" s="558">
        <f t="shared" si="272"/>
        <v>12115.15</v>
      </c>
      <c r="HL94" s="558">
        <f t="shared" si="272"/>
        <v>11300.54</v>
      </c>
      <c r="HM94" s="558">
        <f t="shared" si="272"/>
        <v>10479.07</v>
      </c>
      <c r="HN94" s="558">
        <f t="shared" si="206"/>
        <v>9662.75</v>
      </c>
      <c r="HO94" s="558">
        <f t="shared" si="206"/>
        <v>8852.43</v>
      </c>
      <c r="HP94" s="558">
        <f t="shared" si="206"/>
        <v>8045.54</v>
      </c>
      <c r="HQ94" s="558">
        <f t="shared" si="206"/>
        <v>7380.99</v>
      </c>
      <c r="HR94" s="558">
        <f t="shared" si="206"/>
        <v>6737.02</v>
      </c>
      <c r="HS94" s="558">
        <f t="shared" si="206"/>
        <v>6120.49</v>
      </c>
      <c r="HT94" s="558">
        <f t="shared" si="206"/>
        <v>5536.54</v>
      </c>
      <c r="HU94" s="558">
        <f t="shared" si="206"/>
        <v>4831.6899999999996</v>
      </c>
      <c r="HV94" s="558">
        <f t="shared" si="206"/>
        <v>4154.28</v>
      </c>
      <c r="HW94" s="558">
        <f t="shared" si="206"/>
        <v>3508.59</v>
      </c>
      <c r="HX94" s="558">
        <f t="shared" si="206"/>
        <v>2915.22</v>
      </c>
      <c r="HY94" s="558">
        <f t="shared" si="206"/>
        <v>2369</v>
      </c>
      <c r="HZ94" s="558">
        <f t="shared" si="206"/>
        <v>1872.52</v>
      </c>
      <c r="IA94" s="558">
        <f t="shared" si="206"/>
        <v>1437.77</v>
      </c>
      <c r="IB94" s="558">
        <f t="shared" si="206"/>
        <v>1055.33</v>
      </c>
      <c r="IC94" s="558">
        <f t="shared" si="204"/>
        <v>744.07</v>
      </c>
      <c r="ID94" s="558">
        <f t="shared" si="204"/>
        <v>493.68</v>
      </c>
      <c r="IE94" s="558">
        <f t="shared" si="204"/>
        <v>306.75</v>
      </c>
      <c r="IF94" s="558">
        <f t="shared" si="203"/>
        <v>182.42</v>
      </c>
      <c r="IG94" s="558">
        <f t="shared" si="203"/>
        <v>100.1</v>
      </c>
      <c r="IH94" s="558">
        <f t="shared" si="203"/>
        <v>42.65</v>
      </c>
      <c r="II94" s="558">
        <f t="shared" si="203"/>
        <v>40.93</v>
      </c>
      <c r="IJ94" s="558">
        <f t="shared" si="203"/>
        <v>37.5</v>
      </c>
      <c r="IK94" s="558">
        <f t="shared" si="203"/>
        <v>34.07</v>
      </c>
      <c r="IL94" s="558">
        <f t="shared" si="203"/>
        <v>28.93</v>
      </c>
      <c r="IM94" s="558">
        <f t="shared" si="203"/>
        <v>22.07</v>
      </c>
      <c r="IN94" s="558">
        <f t="shared" si="203"/>
        <v>12.64</v>
      </c>
      <c r="IO94" s="558">
        <f t="shared" si="203"/>
        <v>-0.23</v>
      </c>
      <c r="IP94" s="558" t="str">
        <f t="shared" si="203"/>
        <v>.</v>
      </c>
      <c r="IQ94" s="558" t="str">
        <f t="shared" si="203"/>
        <v>.</v>
      </c>
      <c r="IR94" s="558" t="str">
        <f t="shared" si="203"/>
        <v>.</v>
      </c>
      <c r="IS94" s="558" t="str">
        <f t="shared" si="203"/>
        <v>.</v>
      </c>
      <c r="IT94" s="558" t="str">
        <f t="shared" si="203"/>
        <v>.</v>
      </c>
      <c r="IU94" s="558" t="str">
        <f t="shared" si="203"/>
        <v>.</v>
      </c>
      <c r="IV94" s="558" t="str">
        <f t="shared" si="201"/>
        <v>.</v>
      </c>
      <c r="IW94" s="558" t="str">
        <f t="shared" ref="IW94:JF96" si="286" xml:space="preserve"> IF(  OR( IW$18&gt;$FN94, $FN94&gt;$FS$12 ),  LEER,  ROUND( $FR$19 * ( $FO94 - IW$15 * $FP94 ), IW$17 )  )</f>
        <v>.</v>
      </c>
      <c r="IX94" s="558" t="str">
        <f t="shared" si="286"/>
        <v>.</v>
      </c>
      <c r="IY94" s="558" t="str">
        <f t="shared" si="286"/>
        <v>.</v>
      </c>
      <c r="IZ94" s="558" t="str">
        <f t="shared" si="286"/>
        <v>.</v>
      </c>
      <c r="JA94" s="558" t="str">
        <f t="shared" si="286"/>
        <v>.</v>
      </c>
      <c r="JB94" s="558" t="str">
        <f t="shared" si="286"/>
        <v>.</v>
      </c>
      <c r="JC94" s="558" t="str">
        <f t="shared" si="286"/>
        <v>.</v>
      </c>
      <c r="JD94" s="558" t="str">
        <f t="shared" si="286"/>
        <v>.</v>
      </c>
      <c r="JE94" s="558" t="str">
        <f t="shared" si="286"/>
        <v>.</v>
      </c>
      <c r="JF94" s="558" t="str">
        <f t="shared" si="286"/>
        <v>.</v>
      </c>
      <c r="JG94" s="558" t="str">
        <f t="shared" ref="JG94:JO96" si="287" xml:space="preserve"> IF(  OR( JG$18&gt;$FN94, $FN94&gt;$FS$12 ),  LEER,  ROUND( $FR$19 * ( $FO94 - JG$15 * $FP94 ), JG$17 )  )</f>
        <v>.</v>
      </c>
      <c r="JH94" s="558" t="str">
        <f t="shared" si="287"/>
        <v>.</v>
      </c>
      <c r="JI94" s="558" t="str">
        <f t="shared" si="287"/>
        <v>.</v>
      </c>
      <c r="JJ94" s="558" t="str">
        <f t="shared" si="287"/>
        <v>.</v>
      </c>
      <c r="JK94" s="558" t="str">
        <f t="shared" si="287"/>
        <v>.</v>
      </c>
      <c r="JL94" s="558" t="str">
        <f t="shared" si="287"/>
        <v>.</v>
      </c>
      <c r="JM94" s="558" t="str">
        <f t="shared" si="287"/>
        <v>.</v>
      </c>
      <c r="JN94" s="558" t="str">
        <f t="shared" si="287"/>
        <v>.</v>
      </c>
      <c r="JO94" s="558" t="str">
        <f t="shared" si="287"/>
        <v>.</v>
      </c>
    </row>
    <row r="95" spans="1:275" x14ac:dyDescent="0.2">
      <c r="A95" s="534">
        <f xml:space="preserve"> Basis!A95</f>
        <v>95</v>
      </c>
      <c r="F95" s="536">
        <f xml:space="preserve"> ROUND(    IF( $A$15=BE_MF_,   AW95,   INDEX( qx!95:95, F$16 ) ),    F$17    )</f>
        <v>0.1993</v>
      </c>
      <c r="G95" s="536">
        <f xml:space="preserve"> ROUND(    IF( $A$15=BE_MF_,   BB95,   INDEX( wx!95:95, G$16 ) ),    G$17    )</f>
        <v>1.4E-3</v>
      </c>
      <c r="H95" s="537">
        <f xml:space="preserve"> ROUND(    IF( $A$15=BE_MF_,   BG95,   INDEX( Kx!95:95, H$16 ) ),    H$17    )</f>
        <v>11333.73</v>
      </c>
      <c r="I95" s="538">
        <f t="shared" si="273"/>
        <v>11437.67</v>
      </c>
      <c r="J95" s="539">
        <f t="shared" si="208"/>
        <v>5.5049999999999999</v>
      </c>
      <c r="K95" s="540">
        <f t="shared" si="274"/>
        <v>0</v>
      </c>
      <c r="L95" s="541">
        <f t="shared" si="116"/>
        <v>0</v>
      </c>
      <c r="M95" s="541">
        <f t="shared" si="116"/>
        <v>8.5999999999999993E-2</v>
      </c>
      <c r="O95" s="542" t="b">
        <f t="shared" si="275"/>
        <v>1</v>
      </c>
      <c r="P95" s="493">
        <f t="shared" si="209"/>
        <v>0.20069999999999999</v>
      </c>
      <c r="Q95" s="493">
        <f t="shared" si="210"/>
        <v>0.79930000000000001</v>
      </c>
      <c r="R95" s="543">
        <f t="shared" si="211"/>
        <v>96963</v>
      </c>
      <c r="S95" s="544">
        <f t="shared" si="212"/>
        <v>0.97560975599999999</v>
      </c>
      <c r="T95" s="423">
        <f t="shared" si="213"/>
        <v>9286.2199999999993</v>
      </c>
      <c r="U95" s="423">
        <f xml:space="preserve"> IF( $O95,    ROUND(  SUM( T95:T$120), U$17 ),  LEER  )</f>
        <v>36363.339999999997</v>
      </c>
      <c r="V95" s="493">
        <f t="shared" si="214"/>
        <v>3.9157999999999999</v>
      </c>
      <c r="W95" s="493">
        <f t="shared" si="215"/>
        <v>51120.639999999999</v>
      </c>
      <c r="X95" s="493">
        <f xml:space="preserve"> IF( $O95,    ROUND(  SUM( W95:W$120), X$17 ),  LEER  )</f>
        <v>200489.22</v>
      </c>
      <c r="Y95" s="493">
        <f t="shared" si="216"/>
        <v>21.59</v>
      </c>
      <c r="Z95" s="493">
        <f t="shared" si="217"/>
        <v>5.5136000000000003</v>
      </c>
      <c r="AA95" s="493">
        <f t="shared" si="218"/>
        <v>1</v>
      </c>
      <c r="AB95" s="493">
        <f t="shared" si="219"/>
        <v>2.3494000000000002</v>
      </c>
      <c r="AC95" s="545">
        <f t="shared" si="220"/>
        <v>0.32679999999999998</v>
      </c>
      <c r="AD95" s="493">
        <f t="shared" si="221"/>
        <v>5.5136000000000003</v>
      </c>
      <c r="AE95" s="493">
        <f t="shared" si="222"/>
        <v>6.3898999999999999</v>
      </c>
      <c r="AF95" s="493">
        <f t="shared" si="223"/>
        <v>6.3898999999999999</v>
      </c>
      <c r="AG95" s="493" t="str">
        <f t="shared" si="224"/>
        <v>.</v>
      </c>
      <c r="AH95" s="493" t="str">
        <f t="shared" si="225"/>
        <v>.</v>
      </c>
      <c r="AI95" s="423">
        <f t="shared" si="226"/>
        <v>2077.79</v>
      </c>
      <c r="AJ95" s="423">
        <f t="shared" si="227"/>
        <v>13276.87</v>
      </c>
      <c r="AK95" s="423">
        <f t="shared" si="228"/>
        <v>1106.4100000000001</v>
      </c>
      <c r="AN95" s="423">
        <f t="shared" si="200"/>
        <v>29774.14</v>
      </c>
      <c r="AO95" s="423">
        <f t="shared" si="200"/>
        <v>29593.52</v>
      </c>
      <c r="AR95" s="546">
        <f xml:space="preserve"> ROUND(  INDEX( Kx!95:95, AR$16 ),  AR$17 )</f>
        <v>0.3301</v>
      </c>
      <c r="AS95" s="547">
        <f xml:space="preserve"> ROUND(  INDEX( qx!95:95, AS$16 ),  AS$17 )</f>
        <v>0.23200000000000001</v>
      </c>
      <c r="AT95" s="547">
        <f xml:space="preserve"> ROUND(  INDEX( qx!95:95, AT$16 ),  AT$17 )</f>
        <v>0.1885</v>
      </c>
      <c r="AU95" s="548" t="str">
        <f t="shared" si="229"/>
        <v>F</v>
      </c>
      <c r="AV95" s="542">
        <f t="shared" si="230"/>
        <v>0.24729999999999999</v>
      </c>
      <c r="AW95" s="542">
        <f t="shared" si="231"/>
        <v>0.1993</v>
      </c>
      <c r="AX95" s="546">
        <f xml:space="preserve"> ROUND(  INDEX( wx!95:95, AX$16 ),  AX$17 )</f>
        <v>5.0000000000000001E-4</v>
      </c>
      <c r="AY95" s="546">
        <f xml:space="preserve"> ROUND(  INDEX( wx!95:95, AY$16 ),  AY$17 )</f>
        <v>2.0999999999999999E-3</v>
      </c>
      <c r="AZ95" s="548" t="str">
        <f t="shared" si="232"/>
        <v>M</v>
      </c>
      <c r="BA95" s="542">
        <f t="shared" si="233"/>
        <v>0.42499999999999999</v>
      </c>
      <c r="BB95" s="542">
        <f t="shared" si="234"/>
        <v>1.4E-3</v>
      </c>
      <c r="BC95" s="533">
        <f xml:space="preserve"> ROUND(  INDEX( Kx!95:95, BC$16 ),  BC$17 )</f>
        <v>12870.62</v>
      </c>
      <c r="BD95" s="533">
        <f xml:space="preserve"> ROUND(  INDEX( Kx!95:95, BD$16 ),  BD$17 )</f>
        <v>10197.76</v>
      </c>
      <c r="BE95" s="548" t="str">
        <f t="shared" si="235"/>
        <v>M</v>
      </c>
      <c r="BF95" s="542">
        <f t="shared" si="236"/>
        <v>0.42499999999999999</v>
      </c>
      <c r="BG95" s="420">
        <f t="shared" si="237"/>
        <v>11333.73</v>
      </c>
      <c r="BQ95" s="549">
        <f t="shared" si="276"/>
        <v>95</v>
      </c>
      <c r="BR95" s="423">
        <f t="shared" si="238"/>
        <v>31361.360000000001</v>
      </c>
      <c r="BS95" s="550">
        <f t="shared" si="239"/>
        <v>11437.67</v>
      </c>
      <c r="BT95" s="423">
        <f t="shared" si="240"/>
        <v>-7585.24</v>
      </c>
      <c r="BU95" s="551">
        <f t="shared" si="241"/>
        <v>9286.2199999999993</v>
      </c>
      <c r="BV95" s="551">
        <f t="shared" si="242"/>
        <v>1.2523</v>
      </c>
      <c r="BW95" s="529">
        <f t="shared" si="243"/>
        <v>29774.14</v>
      </c>
      <c r="BX95" s="552">
        <f t="shared" si="244"/>
        <v>5998.0199999999968</v>
      </c>
      <c r="BY95" s="560"/>
      <c r="BZ95" s="559"/>
      <c r="CB95" s="423">
        <f t="shared" si="245"/>
        <v>-7775.45</v>
      </c>
      <c r="CC95" s="423">
        <f t="shared" si="246"/>
        <v>744.35</v>
      </c>
      <c r="CD95" s="423">
        <f t="shared" si="247"/>
        <v>5710.67</v>
      </c>
      <c r="CE95" s="423">
        <f t="shared" si="248"/>
        <v>-1320.4299999999994</v>
      </c>
      <c r="CF95" s="553">
        <f t="shared" si="249"/>
        <v>-1320.369999999999</v>
      </c>
      <c r="CH95" s="423">
        <f t="shared" si="250"/>
        <v>3852.4304390000002</v>
      </c>
      <c r="CI95" s="423">
        <f t="shared" si="251"/>
        <v>11438.23</v>
      </c>
      <c r="CJ95" s="423">
        <f t="shared" si="252"/>
        <v>-2014.36</v>
      </c>
      <c r="CK95" s="423">
        <f t="shared" si="253"/>
        <v>-5571.39</v>
      </c>
      <c r="CL95" s="553">
        <f t="shared" si="254"/>
        <v>3852.4799999999987</v>
      </c>
      <c r="CN95" s="423">
        <f t="shared" si="255"/>
        <v>3898.5573770000001</v>
      </c>
      <c r="CO95" s="423">
        <f t="shared" si="256"/>
        <v>11438.23</v>
      </c>
      <c r="CP95" s="423">
        <f t="shared" si="257"/>
        <v>-2002.01</v>
      </c>
      <c r="CQ95" s="423">
        <f t="shared" si="258"/>
        <v>-5537.62</v>
      </c>
      <c r="CR95" s="553">
        <f t="shared" si="259"/>
        <v>3898.5999999999995</v>
      </c>
      <c r="CV95" s="564">
        <f t="shared" si="277"/>
        <v>95</v>
      </c>
      <c r="CW95" s="538" t="str">
        <f t="shared" si="260"/>
        <v>.</v>
      </c>
      <c r="CX95" s="566">
        <f t="shared" si="261"/>
        <v>29593.52</v>
      </c>
      <c r="CY95" s="538" t="str">
        <f t="shared" si="262"/>
        <v>.</v>
      </c>
      <c r="CZ95" s="538">
        <f t="shared" si="263"/>
        <v>17233</v>
      </c>
      <c r="DA95" s="538">
        <f t="shared" si="264"/>
        <v>11132.45</v>
      </c>
      <c r="DB95" s="567" t="e">
        <f t="shared" si="278"/>
        <v>#N/A</v>
      </c>
      <c r="DC95" s="567">
        <f t="shared" si="279"/>
        <v>29593.52</v>
      </c>
      <c r="DD95" s="567" t="e">
        <f t="shared" si="280"/>
        <v>#N/A</v>
      </c>
      <c r="DE95" s="567">
        <f t="shared" si="280"/>
        <v>17233</v>
      </c>
      <c r="DF95" s="568">
        <f t="shared" si="281"/>
        <v>28365.45</v>
      </c>
      <c r="EL95" s="553">
        <f t="shared" si="265"/>
        <v>21628.98</v>
      </c>
      <c r="EM95" s="553">
        <f t="shared" si="266"/>
        <v>7965.98</v>
      </c>
      <c r="EN95" s="423">
        <f t="shared" si="267"/>
        <v>29594.959999999999</v>
      </c>
      <c r="EO95" s="555">
        <f xml:space="preserve"> 'i2'!AO95</f>
        <v>29593.52</v>
      </c>
      <c r="EV95" s="533" t="e">
        <f xml:space="preserve"> ROUND(    IF( $A$15=BE_MF_,   LEER,   INDEX( Kx!95:95, EV$16 ) ),    EV$17    )</f>
        <v>#VALUE!</v>
      </c>
      <c r="EW95" s="533" t="e">
        <f xml:space="preserve"> ROUND(    IF( $A$15=BE_MF_,   LEER,   INDEX( Kx!95:95, EW$16 ) ),    EW$17    )</f>
        <v>#VALUE!</v>
      </c>
      <c r="EX95" s="533" t="e">
        <f xml:space="preserve"> ROUND(    IF( $A$15=BE_MF_,   LEER,   INDEX( Kx!95:95, EX$16 ) ),    EX$17    )</f>
        <v>#VALUE!</v>
      </c>
      <c r="EY95" s="556" t="e">
        <f t="shared" si="282"/>
        <v>#VALUE!</v>
      </c>
      <c r="FB95" s="533" t="e">
        <f xml:space="preserve"> ROUND(    IF( $A$15=BE_MF_,   LEER,   INDEX( Kx!95:95, FB$16 ) ),    FB$17    )</f>
        <v>#VALUE!</v>
      </c>
      <c r="FC95" s="533" t="e">
        <f xml:space="preserve"> ROUND(    IF( $A$15=BE_MF_,   LEER,   INDEX( Kx!95:95, FC$16 ) ),    FC$17    )</f>
        <v>#VALUE!</v>
      </c>
      <c r="FD95" s="556" t="e">
        <f t="shared" si="283"/>
        <v>#VALUE!</v>
      </c>
      <c r="FG95" s="556" t="e">
        <f t="shared" si="284"/>
        <v>#VALUE!</v>
      </c>
      <c r="FH95" s="556" t="e">
        <f t="shared" si="284"/>
        <v>#VALUE!</v>
      </c>
      <c r="FI95" s="556" t="e">
        <f t="shared" si="284"/>
        <v>#VALUE!</v>
      </c>
      <c r="FN95" s="557">
        <f t="shared" si="268"/>
        <v>95</v>
      </c>
      <c r="FO95" s="493">
        <f t="shared" si="269"/>
        <v>21.59</v>
      </c>
      <c r="FP95" s="493">
        <f t="shared" si="270"/>
        <v>3.9157999999999999</v>
      </c>
      <c r="FR95" s="427">
        <f t="shared" si="285"/>
        <v>1227001.4799999997</v>
      </c>
      <c r="FS95" s="558">
        <f t="shared" si="271"/>
        <v>35092.78</v>
      </c>
      <c r="FT95" s="558">
        <f t="shared" si="271"/>
        <v>34763.26</v>
      </c>
      <c r="FU95" s="558">
        <f t="shared" si="271"/>
        <v>34432.93</v>
      </c>
      <c r="FV95" s="558">
        <f t="shared" si="271"/>
        <v>34102.6</v>
      </c>
      <c r="FW95" s="558">
        <f t="shared" si="271"/>
        <v>33760.879999999997</v>
      </c>
      <c r="FX95" s="558">
        <f t="shared" si="271"/>
        <v>33409.4</v>
      </c>
      <c r="FY95" s="558">
        <f t="shared" si="271"/>
        <v>33061.17</v>
      </c>
      <c r="FZ95" s="558">
        <f t="shared" si="271"/>
        <v>32710.5</v>
      </c>
      <c r="GA95" s="558">
        <f t="shared" si="271"/>
        <v>32347.62</v>
      </c>
      <c r="GB95" s="558">
        <f t="shared" si="271"/>
        <v>31970.1</v>
      </c>
      <c r="GC95" s="558">
        <f t="shared" si="271"/>
        <v>31590.14</v>
      </c>
      <c r="GD95" s="558">
        <f t="shared" si="271"/>
        <v>31204.48</v>
      </c>
      <c r="GE95" s="558">
        <f t="shared" si="271"/>
        <v>30809.88</v>
      </c>
      <c r="GF95" s="558">
        <f t="shared" si="271"/>
        <v>30413.65</v>
      </c>
      <c r="GG95" s="558">
        <f t="shared" si="271"/>
        <v>30005.21</v>
      </c>
      <c r="GH95" s="558">
        <f t="shared" si="271"/>
        <v>29593.52</v>
      </c>
      <c r="GI95" s="558">
        <f t="shared" si="205"/>
        <v>29169.62</v>
      </c>
      <c r="GJ95" s="558">
        <f t="shared" si="205"/>
        <v>28735.96</v>
      </c>
      <c r="GK95" s="558">
        <f t="shared" si="205"/>
        <v>28290.09</v>
      </c>
      <c r="GL95" s="558">
        <f t="shared" si="205"/>
        <v>27831.21</v>
      </c>
      <c r="GM95" s="558">
        <f t="shared" si="205"/>
        <v>27358.5</v>
      </c>
      <c r="GN95" s="558">
        <f t="shared" si="205"/>
        <v>26867.88</v>
      </c>
      <c r="GO95" s="558">
        <f t="shared" si="205"/>
        <v>26359.37</v>
      </c>
      <c r="GP95" s="558">
        <f t="shared" si="205"/>
        <v>25832.15</v>
      </c>
      <c r="GQ95" s="558">
        <f t="shared" si="205"/>
        <v>25283.759999999998</v>
      </c>
      <c r="GR95" s="558">
        <f t="shared" si="205"/>
        <v>24718.3</v>
      </c>
      <c r="GS95" s="558">
        <f t="shared" si="205"/>
        <v>24133.3</v>
      </c>
      <c r="GT95" s="558">
        <f t="shared" si="205"/>
        <v>23530.41</v>
      </c>
      <c r="GU95" s="558">
        <f t="shared" si="205"/>
        <v>22911.25</v>
      </c>
      <c r="GV95" s="558">
        <f t="shared" si="205"/>
        <v>22276.62</v>
      </c>
      <c r="GW95" s="558">
        <f t="shared" si="205"/>
        <v>21628.98</v>
      </c>
      <c r="GX95" s="558">
        <f t="shared" si="272"/>
        <v>20965.88</v>
      </c>
      <c r="GY95" s="558">
        <f t="shared" si="272"/>
        <v>20293.830000000002</v>
      </c>
      <c r="GZ95" s="558">
        <f t="shared" si="272"/>
        <v>19609.57</v>
      </c>
      <c r="HA95" s="558">
        <f t="shared" si="272"/>
        <v>18917.990000000002</v>
      </c>
      <c r="HB95" s="558">
        <f t="shared" si="272"/>
        <v>18219.09</v>
      </c>
      <c r="HC95" s="558">
        <f t="shared" si="272"/>
        <v>17512.060000000001</v>
      </c>
      <c r="HD95" s="558">
        <f t="shared" si="272"/>
        <v>16799.32</v>
      </c>
      <c r="HE95" s="558">
        <f t="shared" si="272"/>
        <v>16076.02</v>
      </c>
      <c r="HF95" s="558">
        <f t="shared" si="272"/>
        <v>15337.25</v>
      </c>
      <c r="HG95" s="558">
        <f t="shared" si="272"/>
        <v>14587.9</v>
      </c>
      <c r="HH95" s="558">
        <f t="shared" si="272"/>
        <v>13831.24</v>
      </c>
      <c r="HI95" s="558">
        <f t="shared" si="272"/>
        <v>13064.8</v>
      </c>
      <c r="HJ95" s="558">
        <f t="shared" si="272"/>
        <v>12292.68</v>
      </c>
      <c r="HK95" s="558">
        <f t="shared" si="272"/>
        <v>11512.42</v>
      </c>
      <c r="HL95" s="558">
        <f t="shared" si="272"/>
        <v>10739.48</v>
      </c>
      <c r="HM95" s="558">
        <f t="shared" si="272"/>
        <v>9960.0300000000007</v>
      </c>
      <c r="HN95" s="558">
        <f t="shared" si="206"/>
        <v>9185.4599999999991</v>
      </c>
      <c r="HO95" s="558">
        <f t="shared" si="206"/>
        <v>8416.59</v>
      </c>
      <c r="HP95" s="558">
        <f t="shared" si="206"/>
        <v>7650.97</v>
      </c>
      <c r="HQ95" s="558">
        <f t="shared" si="206"/>
        <v>7020.41</v>
      </c>
      <c r="HR95" s="558">
        <f t="shared" si="206"/>
        <v>6409.38</v>
      </c>
      <c r="HS95" s="558">
        <f t="shared" si="206"/>
        <v>5824.39</v>
      </c>
      <c r="HT95" s="558">
        <f t="shared" si="206"/>
        <v>5270.32</v>
      </c>
      <c r="HU95" s="558">
        <f t="shared" si="206"/>
        <v>4601.5200000000004</v>
      </c>
      <c r="HV95" s="558">
        <f t="shared" si="206"/>
        <v>3958.76</v>
      </c>
      <c r="HW95" s="558">
        <f t="shared" si="206"/>
        <v>3346.1</v>
      </c>
      <c r="HX95" s="558">
        <f t="shared" si="206"/>
        <v>2783.08</v>
      </c>
      <c r="HY95" s="558">
        <f t="shared" si="206"/>
        <v>2264.8000000000002</v>
      </c>
      <c r="HZ95" s="558">
        <f t="shared" si="206"/>
        <v>1793.71</v>
      </c>
      <c r="IA95" s="558">
        <f t="shared" si="206"/>
        <v>1381.21</v>
      </c>
      <c r="IB95" s="558">
        <f t="shared" si="206"/>
        <v>1018.33</v>
      </c>
      <c r="IC95" s="558">
        <f t="shared" si="204"/>
        <v>722.99</v>
      </c>
      <c r="ID95" s="558">
        <f t="shared" si="204"/>
        <v>485.41</v>
      </c>
      <c r="IE95" s="558">
        <f t="shared" si="204"/>
        <v>308.04000000000002</v>
      </c>
      <c r="IF95" s="558">
        <f t="shared" si="203"/>
        <v>190.07</v>
      </c>
      <c r="IG95" s="558">
        <f t="shared" si="203"/>
        <v>111.96</v>
      </c>
      <c r="IH95" s="558">
        <f t="shared" si="203"/>
        <v>57.45</v>
      </c>
      <c r="II95" s="558">
        <f t="shared" si="203"/>
        <v>55.82</v>
      </c>
      <c r="IJ95" s="558">
        <f t="shared" si="203"/>
        <v>52.56</v>
      </c>
      <c r="IK95" s="558">
        <f t="shared" si="203"/>
        <v>49.31</v>
      </c>
      <c r="IL95" s="558">
        <f t="shared" si="203"/>
        <v>44.43</v>
      </c>
      <c r="IM95" s="558">
        <f t="shared" si="203"/>
        <v>37.92</v>
      </c>
      <c r="IN95" s="558">
        <f t="shared" si="203"/>
        <v>28.97</v>
      </c>
      <c r="IO95" s="558">
        <f t="shared" si="203"/>
        <v>16.760000000000002</v>
      </c>
      <c r="IP95" s="558">
        <f t="shared" si="203"/>
        <v>-0.32</v>
      </c>
      <c r="IQ95" s="558" t="str">
        <f t="shared" si="203"/>
        <v>.</v>
      </c>
      <c r="IR95" s="558" t="str">
        <f t="shared" si="203"/>
        <v>.</v>
      </c>
      <c r="IS95" s="558" t="str">
        <f t="shared" si="203"/>
        <v>.</v>
      </c>
      <c r="IT95" s="558" t="str">
        <f t="shared" si="203"/>
        <v>.</v>
      </c>
      <c r="IU95" s="558" t="str">
        <f t="shared" si="203"/>
        <v>.</v>
      </c>
      <c r="IV95" s="558" t="str">
        <f xml:space="preserve"> IF(  OR( IV$18&gt;$FN95, $FN95&gt;$FS$12 ),  LEER,  ROUND( $FR$19 * ( $FO95 - IV$15 * $FP95 ), IV$17 )  )</f>
        <v>.</v>
      </c>
      <c r="IW95" s="558" t="str">
        <f t="shared" si="286"/>
        <v>.</v>
      </c>
      <c r="IX95" s="558" t="str">
        <f t="shared" si="286"/>
        <v>.</v>
      </c>
      <c r="IY95" s="558" t="str">
        <f t="shared" si="286"/>
        <v>.</v>
      </c>
      <c r="IZ95" s="558" t="str">
        <f t="shared" si="286"/>
        <v>.</v>
      </c>
      <c r="JA95" s="558" t="str">
        <f t="shared" si="286"/>
        <v>.</v>
      </c>
      <c r="JB95" s="558" t="str">
        <f t="shared" si="286"/>
        <v>.</v>
      </c>
      <c r="JC95" s="558" t="str">
        <f t="shared" si="286"/>
        <v>.</v>
      </c>
      <c r="JD95" s="558" t="str">
        <f t="shared" si="286"/>
        <v>.</v>
      </c>
      <c r="JE95" s="558" t="str">
        <f t="shared" si="286"/>
        <v>.</v>
      </c>
      <c r="JF95" s="558" t="str">
        <f t="shared" si="286"/>
        <v>.</v>
      </c>
      <c r="JG95" s="558" t="str">
        <f t="shared" si="287"/>
        <v>.</v>
      </c>
      <c r="JH95" s="558" t="str">
        <f t="shared" si="287"/>
        <v>.</v>
      </c>
      <c r="JI95" s="558" t="str">
        <f t="shared" si="287"/>
        <v>.</v>
      </c>
      <c r="JJ95" s="558" t="str">
        <f t="shared" si="287"/>
        <v>.</v>
      </c>
      <c r="JK95" s="558" t="str">
        <f t="shared" si="287"/>
        <v>.</v>
      </c>
      <c r="JL95" s="558" t="str">
        <f t="shared" si="287"/>
        <v>.</v>
      </c>
      <c r="JM95" s="558" t="str">
        <f t="shared" si="287"/>
        <v>.</v>
      </c>
      <c r="JN95" s="558" t="str">
        <f t="shared" si="287"/>
        <v>.</v>
      </c>
      <c r="JO95" s="558" t="str">
        <f t="shared" si="287"/>
        <v>.</v>
      </c>
    </row>
    <row r="96" spans="1:275" x14ac:dyDescent="0.2">
      <c r="A96" s="534">
        <f xml:space="preserve"> Basis!A96</f>
        <v>96</v>
      </c>
      <c r="F96" s="536">
        <f xml:space="preserve"> ROUND(    IF( $A$15=BE_MF_,   AW96,   INDEX( qx!96:96, F$16 ) ),    F$17    )</f>
        <v>0.21709999999999999</v>
      </c>
      <c r="G96" s="536">
        <f xml:space="preserve"> ROUND(    IF( $A$15=BE_MF_,   BB96,   INDEX( wx!96:96, G$16 ) ),    G$17    )</f>
        <v>1.4E-3</v>
      </c>
      <c r="H96" s="537">
        <f xml:space="preserve"> ROUND(    IF( $A$15=BE_MF_,   BG96,   INDEX( Kx!96:96, H$16 ) ),    H$17    )</f>
        <v>11397.07</v>
      </c>
      <c r="I96" s="538">
        <f t="shared" si="273"/>
        <v>11437.67</v>
      </c>
      <c r="J96" s="539">
        <f t="shared" si="208"/>
        <v>5.5049999999999999</v>
      </c>
      <c r="K96" s="540">
        <f t="shared" si="274"/>
        <v>0</v>
      </c>
      <c r="L96" s="541">
        <f t="shared" si="116"/>
        <v>0</v>
      </c>
      <c r="M96" s="541">
        <f t="shared" si="116"/>
        <v>8.5999999999999993E-2</v>
      </c>
      <c r="O96" s="542" t="b">
        <f t="shared" si="275"/>
        <v>1</v>
      </c>
      <c r="P96" s="493">
        <f t="shared" si="209"/>
        <v>0.2185</v>
      </c>
      <c r="Q96" s="493">
        <f t="shared" si="210"/>
        <v>0.78149999999999997</v>
      </c>
      <c r="R96" s="543">
        <f t="shared" si="211"/>
        <v>77502</v>
      </c>
      <c r="S96" s="544">
        <f t="shared" si="212"/>
        <v>0.97560975599999999</v>
      </c>
      <c r="T96" s="423">
        <f t="shared" si="213"/>
        <v>7241.39</v>
      </c>
      <c r="U96" s="423">
        <f xml:space="preserve"> IF( $O96,    ROUND(  SUM( T96:T$120), U$17 ),  LEER  )</f>
        <v>27077.119999999999</v>
      </c>
      <c r="V96" s="493">
        <f t="shared" si="214"/>
        <v>3.7391999999999999</v>
      </c>
      <c r="W96" s="493">
        <f t="shared" si="215"/>
        <v>39863.85</v>
      </c>
      <c r="X96" s="493">
        <f xml:space="preserve"> IF( $O96,    ROUND(  SUM( W96:W$120), X$17 ),  LEER  )</f>
        <v>149368.57999999999</v>
      </c>
      <c r="Y96" s="493">
        <f t="shared" si="216"/>
        <v>20.627099999999999</v>
      </c>
      <c r="Z96" s="493">
        <f t="shared" si="217"/>
        <v>5.5164</v>
      </c>
      <c r="AA96" s="493">
        <f t="shared" si="218"/>
        <v>1</v>
      </c>
      <c r="AB96" s="493">
        <f t="shared" si="219"/>
        <v>2.3494000000000002</v>
      </c>
      <c r="AC96" s="545">
        <f t="shared" si="220"/>
        <v>0.32679999999999998</v>
      </c>
      <c r="AD96" s="493">
        <f t="shared" si="221"/>
        <v>5.5164</v>
      </c>
      <c r="AE96" s="493">
        <f t="shared" si="222"/>
        <v>6.3929999999999998</v>
      </c>
      <c r="AF96" s="493">
        <f t="shared" si="223"/>
        <v>6.3929999999999998</v>
      </c>
      <c r="AG96" s="493" t="str">
        <f t="shared" si="224"/>
        <v>.</v>
      </c>
      <c r="AH96" s="493" t="str">
        <f t="shared" si="225"/>
        <v>.</v>
      </c>
      <c r="AI96" s="423">
        <f t="shared" si="226"/>
        <v>2077.79</v>
      </c>
      <c r="AJ96" s="423">
        <f t="shared" si="227"/>
        <v>13283.31</v>
      </c>
      <c r="AK96" s="423">
        <f t="shared" si="228"/>
        <v>1106.94</v>
      </c>
      <c r="AN96" s="423">
        <f t="shared" si="200"/>
        <v>28453.77</v>
      </c>
      <c r="AO96" s="423">
        <f t="shared" si="200"/>
        <v>28281.3</v>
      </c>
      <c r="AR96" s="546">
        <f xml:space="preserve"> ROUND(  INDEX( Kx!96:96, AR$16 ),  AR$17 )</f>
        <v>0.33800000000000002</v>
      </c>
      <c r="AS96" s="547">
        <f xml:space="preserve"> ROUND(  INDEX( qx!96:96, AS$16 ),  AS$17 )</f>
        <v>0.24329999999999999</v>
      </c>
      <c r="AT96" s="547">
        <f xml:space="preserve"> ROUND(  INDEX( qx!96:96, AT$16 ),  AT$17 )</f>
        <v>0.2082</v>
      </c>
      <c r="AU96" s="548" t="str">
        <f t="shared" si="229"/>
        <v>F</v>
      </c>
      <c r="AV96" s="542">
        <f t="shared" si="230"/>
        <v>0.25390000000000001</v>
      </c>
      <c r="AW96" s="542">
        <f t="shared" si="231"/>
        <v>0.21709999999999999</v>
      </c>
      <c r="AX96" s="546">
        <f xml:space="preserve"> ROUND(  INDEX( wx!96:96, AX$16 ),  AX$17 )</f>
        <v>5.0000000000000001E-4</v>
      </c>
      <c r="AY96" s="546">
        <f xml:space="preserve"> ROUND(  INDEX( wx!96:96, AY$16 ),  AY$17 )</f>
        <v>2.0999999999999999E-3</v>
      </c>
      <c r="AZ96" s="548" t="str">
        <f t="shared" si="232"/>
        <v>M</v>
      </c>
      <c r="BA96" s="542">
        <f t="shared" si="233"/>
        <v>0.43369999999999997</v>
      </c>
      <c r="BB96" s="542">
        <f t="shared" si="234"/>
        <v>1.4E-3</v>
      </c>
      <c r="BC96" s="533">
        <f xml:space="preserve"> ROUND(  INDEX( Kx!96:96, BC$16 ),  BC$17 )</f>
        <v>12949.09</v>
      </c>
      <c r="BD96" s="533">
        <f xml:space="preserve"> ROUND(  INDEX( Kx!96:96, BD$16 ),  BD$17 )</f>
        <v>10208.450000000001</v>
      </c>
      <c r="BE96" s="548" t="str">
        <f t="shared" si="235"/>
        <v>M</v>
      </c>
      <c r="BF96" s="542">
        <f t="shared" si="236"/>
        <v>0.43369999999999997</v>
      </c>
      <c r="BG96" s="420">
        <f t="shared" si="237"/>
        <v>11397.07</v>
      </c>
      <c r="BQ96" s="549">
        <f t="shared" si="276"/>
        <v>96</v>
      </c>
      <c r="BR96" s="423">
        <f t="shared" si="238"/>
        <v>29774.14</v>
      </c>
      <c r="BS96" s="550">
        <f t="shared" si="239"/>
        <v>11437.67</v>
      </c>
      <c r="BT96" s="423">
        <f t="shared" si="240"/>
        <v>-7585.24</v>
      </c>
      <c r="BU96" s="551">
        <f t="shared" si="241"/>
        <v>7241.39</v>
      </c>
      <c r="BV96" s="551">
        <f t="shared" si="242"/>
        <v>1.2824</v>
      </c>
      <c r="BW96" s="529">
        <f t="shared" si="243"/>
        <v>28453.77</v>
      </c>
      <c r="BX96" s="552">
        <f t="shared" si="244"/>
        <v>6264.869999999999</v>
      </c>
      <c r="BY96" s="560"/>
      <c r="BZ96" s="559"/>
      <c r="CB96" s="423">
        <f t="shared" si="245"/>
        <v>-7775.45</v>
      </c>
      <c r="CC96" s="423">
        <f t="shared" si="246"/>
        <v>711.34</v>
      </c>
      <c r="CD96" s="423">
        <f t="shared" si="247"/>
        <v>5980.36</v>
      </c>
      <c r="CE96" s="423">
        <f t="shared" si="248"/>
        <v>-1083.75</v>
      </c>
      <c r="CF96" s="553">
        <f t="shared" si="249"/>
        <v>-1083.6899999999987</v>
      </c>
      <c r="CH96" s="423">
        <f t="shared" si="250"/>
        <v>3852.4304390000002</v>
      </c>
      <c r="CI96" s="423">
        <f t="shared" si="251"/>
        <v>11438.23</v>
      </c>
      <c r="CJ96" s="423">
        <f t="shared" si="252"/>
        <v>-1751.25</v>
      </c>
      <c r="CK96" s="423">
        <f t="shared" si="253"/>
        <v>-5834.5</v>
      </c>
      <c r="CL96" s="553">
        <f t="shared" si="254"/>
        <v>3852.4799999999996</v>
      </c>
      <c r="CN96" s="423">
        <f t="shared" si="255"/>
        <v>3898.5573770000001</v>
      </c>
      <c r="CO96" s="423">
        <f t="shared" si="256"/>
        <v>11438.23</v>
      </c>
      <c r="CP96" s="423">
        <f t="shared" si="257"/>
        <v>-1740.46</v>
      </c>
      <c r="CQ96" s="423">
        <f t="shared" si="258"/>
        <v>-5799.17</v>
      </c>
      <c r="CR96" s="553">
        <f t="shared" si="259"/>
        <v>3898.6000000000004</v>
      </c>
      <c r="CV96" s="564">
        <f t="shared" si="277"/>
        <v>96</v>
      </c>
      <c r="CW96" s="538" t="str">
        <f t="shared" si="260"/>
        <v>.</v>
      </c>
      <c r="CX96" s="566">
        <f t="shared" si="261"/>
        <v>28281.3</v>
      </c>
      <c r="CY96" s="538" t="str">
        <f t="shared" si="262"/>
        <v>.</v>
      </c>
      <c r="CZ96" s="538">
        <f t="shared" si="263"/>
        <v>16456</v>
      </c>
      <c r="DA96" s="538">
        <f t="shared" si="264"/>
        <v>10652.82</v>
      </c>
      <c r="DB96" s="567" t="e">
        <f t="shared" si="278"/>
        <v>#N/A</v>
      </c>
      <c r="DC96" s="567">
        <f t="shared" si="279"/>
        <v>28281.3</v>
      </c>
      <c r="DD96" s="567" t="e">
        <f t="shared" si="280"/>
        <v>#N/A</v>
      </c>
      <c r="DE96" s="567">
        <f t="shared" si="280"/>
        <v>16456</v>
      </c>
      <c r="DF96" s="568">
        <f t="shared" si="281"/>
        <v>27108.82</v>
      </c>
      <c r="EL96" s="553">
        <f t="shared" si="265"/>
        <v>20675.96</v>
      </c>
      <c r="EM96" s="553">
        <f t="shared" si="266"/>
        <v>7606.72</v>
      </c>
      <c r="EN96" s="423">
        <f t="shared" si="267"/>
        <v>28282.68</v>
      </c>
      <c r="EO96" s="555">
        <f xml:space="preserve"> 'i2'!AO96</f>
        <v>28281.3</v>
      </c>
      <c r="EV96" s="533" t="e">
        <f xml:space="preserve"> ROUND(    IF( $A$15=BE_MF_,   LEER,   INDEX( Kx!96:96, EV$16 ) ),    EV$17    )</f>
        <v>#VALUE!</v>
      </c>
      <c r="EW96" s="533" t="e">
        <f xml:space="preserve"> ROUND(    IF( $A$15=BE_MF_,   LEER,   INDEX( Kx!96:96, EW$16 ) ),    EW$17    )</f>
        <v>#VALUE!</v>
      </c>
      <c r="EX96" s="533" t="e">
        <f xml:space="preserve"> ROUND(    IF( $A$15=BE_MF_,   LEER,   INDEX( Kx!96:96, EX$16 ) ),    EX$17    )</f>
        <v>#VALUE!</v>
      </c>
      <c r="EY96" s="556" t="e">
        <f t="shared" si="282"/>
        <v>#VALUE!</v>
      </c>
      <c r="FB96" s="533" t="e">
        <f xml:space="preserve"> ROUND(    IF( $A$15=BE_MF_,   LEER,   INDEX( Kx!96:96, FB$16 ) ),    FB$17    )</f>
        <v>#VALUE!</v>
      </c>
      <c r="FC96" s="533" t="e">
        <f xml:space="preserve"> ROUND(    IF( $A$15=BE_MF_,   LEER,   INDEX( Kx!96:96, FC$16 ) ),    FC$17    )</f>
        <v>#VALUE!</v>
      </c>
      <c r="FD96" s="556" t="e">
        <f t="shared" si="283"/>
        <v>#VALUE!</v>
      </c>
      <c r="FG96" s="556" t="e">
        <f t="shared" si="284"/>
        <v>#VALUE!</v>
      </c>
      <c r="FH96" s="556" t="e">
        <f t="shared" si="284"/>
        <v>#VALUE!</v>
      </c>
      <c r="FI96" s="556" t="e">
        <f t="shared" si="284"/>
        <v>#VALUE!</v>
      </c>
      <c r="FN96" s="557">
        <f t="shared" si="268"/>
        <v>96</v>
      </c>
      <c r="FO96" s="493">
        <f t="shared" si="269"/>
        <v>20.627099999999999</v>
      </c>
      <c r="FP96" s="493">
        <f t="shared" si="270"/>
        <v>3.7391999999999999</v>
      </c>
      <c r="FR96" s="427">
        <f t="shared" si="285"/>
        <v>1173369.5000000005</v>
      </c>
      <c r="FS96" s="558">
        <f t="shared" si="271"/>
        <v>33532.550000000003</v>
      </c>
      <c r="FT96" s="558">
        <f t="shared" si="271"/>
        <v>33217.89</v>
      </c>
      <c r="FU96" s="558">
        <f t="shared" si="271"/>
        <v>32902.46</v>
      </c>
      <c r="FV96" s="558">
        <f t="shared" si="271"/>
        <v>32587.03</v>
      </c>
      <c r="FW96" s="558">
        <f t="shared" si="271"/>
        <v>32260.720000000001</v>
      </c>
      <c r="FX96" s="558">
        <f t="shared" si="271"/>
        <v>31925.09</v>
      </c>
      <c r="FY96" s="558">
        <f t="shared" si="271"/>
        <v>31592.560000000001</v>
      </c>
      <c r="FZ96" s="558">
        <f t="shared" si="271"/>
        <v>31257.7</v>
      </c>
      <c r="GA96" s="558">
        <f t="shared" si="271"/>
        <v>30911.200000000001</v>
      </c>
      <c r="GB96" s="558">
        <f t="shared" si="271"/>
        <v>30550.7</v>
      </c>
      <c r="GC96" s="558">
        <f t="shared" si="271"/>
        <v>30187.88</v>
      </c>
      <c r="GD96" s="558">
        <f t="shared" si="271"/>
        <v>29819.61</v>
      </c>
      <c r="GE96" s="558">
        <f t="shared" si="271"/>
        <v>29442.799999999999</v>
      </c>
      <c r="GF96" s="558">
        <f t="shared" si="271"/>
        <v>29064.44</v>
      </c>
      <c r="GG96" s="558">
        <f t="shared" si="271"/>
        <v>28674.42</v>
      </c>
      <c r="GH96" s="558">
        <f t="shared" si="271"/>
        <v>28281.3</v>
      </c>
      <c r="GI96" s="558">
        <f t="shared" si="205"/>
        <v>27876.52</v>
      </c>
      <c r="GJ96" s="558">
        <f t="shared" si="205"/>
        <v>27462.42</v>
      </c>
      <c r="GK96" s="558">
        <f t="shared" si="205"/>
        <v>27036.66</v>
      </c>
      <c r="GL96" s="558">
        <f t="shared" si="205"/>
        <v>26598.47</v>
      </c>
      <c r="GM96" s="558">
        <f t="shared" si="205"/>
        <v>26147.08</v>
      </c>
      <c r="GN96" s="558">
        <f t="shared" si="205"/>
        <v>25678.59</v>
      </c>
      <c r="GO96" s="558">
        <f t="shared" si="205"/>
        <v>25193.01</v>
      </c>
      <c r="GP96" s="558">
        <f t="shared" si="205"/>
        <v>24689.56</v>
      </c>
      <c r="GQ96" s="558">
        <f t="shared" si="205"/>
        <v>24165.91</v>
      </c>
      <c r="GR96" s="558">
        <f t="shared" si="205"/>
        <v>23625.95</v>
      </c>
      <c r="GS96" s="558">
        <f t="shared" si="205"/>
        <v>23067.34</v>
      </c>
      <c r="GT96" s="558">
        <f t="shared" si="205"/>
        <v>22491.63</v>
      </c>
      <c r="GU96" s="558">
        <f t="shared" si="205"/>
        <v>21900.39</v>
      </c>
      <c r="GV96" s="558">
        <f t="shared" si="205"/>
        <v>21294.39</v>
      </c>
      <c r="GW96" s="558">
        <f t="shared" si="205"/>
        <v>20675.96</v>
      </c>
      <c r="GX96" s="558">
        <f t="shared" si="272"/>
        <v>20042.759999999998</v>
      </c>
      <c r="GY96" s="558">
        <f t="shared" si="272"/>
        <v>19401.02</v>
      </c>
      <c r="GZ96" s="558">
        <f t="shared" si="272"/>
        <v>18747.62</v>
      </c>
      <c r="HA96" s="558">
        <f t="shared" si="272"/>
        <v>18087.23</v>
      </c>
      <c r="HB96" s="558">
        <f t="shared" si="272"/>
        <v>17419.849999999999</v>
      </c>
      <c r="HC96" s="558">
        <f t="shared" si="272"/>
        <v>16744.7</v>
      </c>
      <c r="HD96" s="558">
        <f t="shared" si="272"/>
        <v>16064.12</v>
      </c>
      <c r="HE96" s="558">
        <f t="shared" si="272"/>
        <v>15373.43</v>
      </c>
      <c r="HF96" s="558">
        <f t="shared" si="272"/>
        <v>14667.98</v>
      </c>
      <c r="HG96" s="558">
        <f t="shared" si="272"/>
        <v>13952.43</v>
      </c>
      <c r="HH96" s="558">
        <f t="shared" si="272"/>
        <v>13229.89</v>
      </c>
      <c r="HI96" s="558">
        <f t="shared" si="272"/>
        <v>12498.02</v>
      </c>
      <c r="HJ96" s="558">
        <f t="shared" si="272"/>
        <v>11760.72</v>
      </c>
      <c r="HK96" s="558">
        <f t="shared" si="272"/>
        <v>11015.64</v>
      </c>
      <c r="HL96" s="558">
        <f t="shared" si="272"/>
        <v>10277.56</v>
      </c>
      <c r="HM96" s="558">
        <f t="shared" si="272"/>
        <v>9533.27</v>
      </c>
      <c r="HN96" s="558">
        <f t="shared" si="206"/>
        <v>8793.6299999999992</v>
      </c>
      <c r="HO96" s="558">
        <f t="shared" si="206"/>
        <v>8059.43</v>
      </c>
      <c r="HP96" s="558">
        <f t="shared" si="206"/>
        <v>7328.35</v>
      </c>
      <c r="HQ96" s="558">
        <f t="shared" si="206"/>
        <v>6726.23</v>
      </c>
      <c r="HR96" s="558">
        <f t="shared" si="206"/>
        <v>6142.75</v>
      </c>
      <c r="HS96" s="558">
        <f t="shared" si="206"/>
        <v>5584.14</v>
      </c>
      <c r="HT96" s="558">
        <f t="shared" si="206"/>
        <v>5055.0600000000004</v>
      </c>
      <c r="HU96" s="558">
        <f t="shared" si="206"/>
        <v>4416.42</v>
      </c>
      <c r="HV96" s="558">
        <f t="shared" si="206"/>
        <v>3802.65</v>
      </c>
      <c r="HW96" s="558">
        <f t="shared" si="206"/>
        <v>3217.62</v>
      </c>
      <c r="HX96" s="558">
        <f t="shared" si="206"/>
        <v>2679.99</v>
      </c>
      <c r="HY96" s="558">
        <f t="shared" si="206"/>
        <v>2185.09</v>
      </c>
      <c r="HZ96" s="558">
        <f t="shared" si="206"/>
        <v>1735.25</v>
      </c>
      <c r="IA96" s="558">
        <f t="shared" si="206"/>
        <v>1341.34</v>
      </c>
      <c r="IB96" s="558">
        <f t="shared" si="206"/>
        <v>994.83</v>
      </c>
      <c r="IC96" s="558">
        <f t="shared" si="204"/>
        <v>712.81</v>
      </c>
      <c r="ID96" s="558">
        <f t="shared" si="204"/>
        <v>485.95</v>
      </c>
      <c r="IE96" s="558">
        <f t="shared" si="204"/>
        <v>316.58</v>
      </c>
      <c r="IF96" s="558">
        <f t="shared" si="203"/>
        <v>203.92</v>
      </c>
      <c r="IG96" s="558">
        <f t="shared" si="203"/>
        <v>129.34</v>
      </c>
      <c r="IH96" s="558">
        <f t="shared" si="203"/>
        <v>77.28</v>
      </c>
      <c r="II96" s="558">
        <f t="shared" si="203"/>
        <v>75.73</v>
      </c>
      <c r="IJ96" s="558">
        <f t="shared" si="203"/>
        <v>72.62</v>
      </c>
      <c r="IK96" s="558">
        <f t="shared" si="203"/>
        <v>69.510000000000005</v>
      </c>
      <c r="IL96" s="558">
        <f t="shared" si="203"/>
        <v>64.849999999999994</v>
      </c>
      <c r="IM96" s="558">
        <f t="shared" si="203"/>
        <v>58.64</v>
      </c>
      <c r="IN96" s="558">
        <f t="shared" si="203"/>
        <v>50.09</v>
      </c>
      <c r="IO96" s="558">
        <f t="shared" si="203"/>
        <v>38.44</v>
      </c>
      <c r="IP96" s="558">
        <f t="shared" si="203"/>
        <v>22.12</v>
      </c>
      <c r="IQ96" s="558">
        <f t="shared" si="203"/>
        <v>0.37</v>
      </c>
      <c r="IR96" s="558" t="str">
        <f t="shared" si="203"/>
        <v>.</v>
      </c>
      <c r="IS96" s="558" t="str">
        <f t="shared" si="203"/>
        <v>.</v>
      </c>
      <c r="IT96" s="558" t="str">
        <f t="shared" si="203"/>
        <v>.</v>
      </c>
      <c r="IU96" s="558" t="str">
        <f t="shared" si="203"/>
        <v>.</v>
      </c>
      <c r="IV96" s="558" t="str">
        <f xml:space="preserve"> IF(  OR( IV$18&gt;$FN96, $FN96&gt;$FS$12 ),  LEER,  ROUND( $FR$19 * ( $FO96 - IV$15 * $FP96 ), IV$17 )  )</f>
        <v>.</v>
      </c>
      <c r="IW96" s="558" t="str">
        <f t="shared" si="286"/>
        <v>.</v>
      </c>
      <c r="IX96" s="558" t="str">
        <f t="shared" si="286"/>
        <v>.</v>
      </c>
      <c r="IY96" s="558" t="str">
        <f t="shared" si="286"/>
        <v>.</v>
      </c>
      <c r="IZ96" s="558" t="str">
        <f t="shared" si="286"/>
        <v>.</v>
      </c>
      <c r="JA96" s="558" t="str">
        <f t="shared" si="286"/>
        <v>.</v>
      </c>
      <c r="JB96" s="558" t="str">
        <f t="shared" si="286"/>
        <v>.</v>
      </c>
      <c r="JC96" s="558" t="str">
        <f t="shared" si="286"/>
        <v>.</v>
      </c>
      <c r="JD96" s="558" t="str">
        <f t="shared" si="286"/>
        <v>.</v>
      </c>
      <c r="JE96" s="558" t="str">
        <f t="shared" si="286"/>
        <v>.</v>
      </c>
      <c r="JF96" s="558" t="str">
        <f t="shared" si="286"/>
        <v>.</v>
      </c>
      <c r="JG96" s="558" t="str">
        <f t="shared" si="287"/>
        <v>.</v>
      </c>
      <c r="JH96" s="558" t="str">
        <f t="shared" si="287"/>
        <v>.</v>
      </c>
      <c r="JI96" s="558" t="str">
        <f t="shared" si="287"/>
        <v>.</v>
      </c>
      <c r="JJ96" s="558" t="str">
        <f t="shared" si="287"/>
        <v>.</v>
      </c>
      <c r="JK96" s="558" t="str">
        <f t="shared" si="287"/>
        <v>.</v>
      </c>
      <c r="JL96" s="558" t="str">
        <f t="shared" si="287"/>
        <v>.</v>
      </c>
      <c r="JM96" s="558" t="str">
        <f t="shared" si="287"/>
        <v>.</v>
      </c>
      <c r="JN96" s="558" t="str">
        <f t="shared" si="287"/>
        <v>.</v>
      </c>
      <c r="JO96" s="558" t="str">
        <f t="shared" si="287"/>
        <v>.</v>
      </c>
    </row>
    <row r="97" spans="1:275" x14ac:dyDescent="0.2">
      <c r="A97" s="534">
        <f xml:space="preserve"> Basis!A97</f>
        <v>97</v>
      </c>
      <c r="F97" s="536">
        <f xml:space="preserve"> ROUND(    IF( $A$15=BE_MF_,   AW97,   INDEX( qx!97:97, F$16 ) ),    F$17    )</f>
        <v>0.23449999999999999</v>
      </c>
      <c r="G97" s="536">
        <f xml:space="preserve"> ROUND(    IF( $A$15=BE_MF_,   BB97,   INDEX( wx!97:97, G$16 ) ),    G$17    )</f>
        <v>1.2999999999999999E-3</v>
      </c>
      <c r="H97" s="537">
        <f xml:space="preserve"> ROUND(    IF( $A$15=BE_MF_,   BG97,   INDEX( Kx!97:97, H$16 ) ),    H$17    )</f>
        <v>11469.4</v>
      </c>
      <c r="I97" s="538">
        <f t="shared" si="273"/>
        <v>11469.4</v>
      </c>
      <c r="J97" s="539">
        <f t="shared" si="208"/>
        <v>5.52</v>
      </c>
      <c r="K97" s="540">
        <f t="shared" si="274"/>
        <v>0</v>
      </c>
      <c r="L97" s="541">
        <f t="shared" si="116"/>
        <v>0</v>
      </c>
      <c r="M97" s="541">
        <f t="shared" si="116"/>
        <v>8.5999999999999993E-2</v>
      </c>
      <c r="O97" s="542" t="b">
        <f t="shared" si="275"/>
        <v>1</v>
      </c>
      <c r="P97" s="493">
        <f t="shared" si="209"/>
        <v>0.23580000000000001</v>
      </c>
      <c r="Q97" s="493">
        <f t="shared" si="210"/>
        <v>0.76419999999999999</v>
      </c>
      <c r="R97" s="543">
        <f t="shared" si="211"/>
        <v>60567</v>
      </c>
      <c r="S97" s="544">
        <f t="shared" si="212"/>
        <v>0.97560975599999999</v>
      </c>
      <c r="T97" s="423">
        <f t="shared" si="213"/>
        <v>5521.04</v>
      </c>
      <c r="U97" s="423">
        <f xml:space="preserve"> IF( $O97,    ROUND(  SUM( T97:T$120), U$17 ),  LEER  )</f>
        <v>19835.73</v>
      </c>
      <c r="V97" s="493">
        <f t="shared" si="214"/>
        <v>3.5928</v>
      </c>
      <c r="W97" s="493">
        <f t="shared" si="215"/>
        <v>30476.14</v>
      </c>
      <c r="X97" s="493">
        <f xml:space="preserve"> IF( $O97,    ROUND(  SUM( W97:W$120), X$17 ),  LEER  )</f>
        <v>109504.73</v>
      </c>
      <c r="Y97" s="493">
        <f t="shared" si="216"/>
        <v>19.834099999999999</v>
      </c>
      <c r="Z97" s="493">
        <f t="shared" si="217"/>
        <v>5.5205000000000002</v>
      </c>
      <c r="AA97" s="493">
        <f t="shared" si="218"/>
        <v>1</v>
      </c>
      <c r="AB97" s="493">
        <f t="shared" si="219"/>
        <v>2.3494000000000002</v>
      </c>
      <c r="AC97" s="545">
        <f t="shared" si="220"/>
        <v>0.32679999999999998</v>
      </c>
      <c r="AD97" s="493">
        <f t="shared" si="221"/>
        <v>5.5205000000000002</v>
      </c>
      <c r="AE97" s="493">
        <f t="shared" si="222"/>
        <v>6.3975</v>
      </c>
      <c r="AF97" s="493">
        <f t="shared" si="223"/>
        <v>6.3975</v>
      </c>
      <c r="AG97" s="493" t="str">
        <f t="shared" si="224"/>
        <v>.</v>
      </c>
      <c r="AH97" s="493" t="str">
        <f t="shared" si="225"/>
        <v>.</v>
      </c>
      <c r="AI97" s="423">
        <f t="shared" si="226"/>
        <v>2077.79</v>
      </c>
      <c r="AJ97" s="423">
        <f t="shared" si="227"/>
        <v>13292.66</v>
      </c>
      <c r="AK97" s="423">
        <f t="shared" si="228"/>
        <v>1107.72</v>
      </c>
      <c r="AN97" s="423">
        <f t="shared" si="200"/>
        <v>27370.080000000002</v>
      </c>
      <c r="AO97" s="423">
        <f t="shared" si="200"/>
        <v>27204.36</v>
      </c>
      <c r="AR97" s="546">
        <f xml:space="preserve"> ROUND(  INDEX( Kx!97:97, AR$16 ),  AR$17 )</f>
        <v>0.3483</v>
      </c>
      <c r="AS97" s="547">
        <f xml:space="preserve"> ROUND(  INDEX( qx!97:97, AS$16 ),  AS$17 )</f>
        <v>0.25130000000000002</v>
      </c>
      <c r="AT97" s="547">
        <f xml:space="preserve"> ROUND(  INDEX( qx!97:97, AT$16 ),  AT$17 )</f>
        <v>0.22850000000000001</v>
      </c>
      <c r="AU97" s="548" t="str">
        <f t="shared" si="229"/>
        <v>F</v>
      </c>
      <c r="AV97" s="542">
        <f t="shared" si="230"/>
        <v>0.26269999999999999</v>
      </c>
      <c r="AW97" s="542">
        <f t="shared" si="231"/>
        <v>0.23449999999999999</v>
      </c>
      <c r="AX97" s="546">
        <f xml:space="preserve"> ROUND(  INDEX( wx!97:97, AX$16 ),  AX$17 )</f>
        <v>4.0000000000000002E-4</v>
      </c>
      <c r="AY97" s="546">
        <f xml:space="preserve"> ROUND(  INDEX( wx!97:97, AY$16 ),  AY$17 )</f>
        <v>2.0999999999999999E-3</v>
      </c>
      <c r="AZ97" s="548" t="str">
        <f t="shared" si="232"/>
        <v>M</v>
      </c>
      <c r="BA97" s="542">
        <f t="shared" si="233"/>
        <v>0.44500000000000001</v>
      </c>
      <c r="BB97" s="542">
        <f t="shared" si="234"/>
        <v>1.2999999999999999E-3</v>
      </c>
      <c r="BC97" s="533">
        <f xml:space="preserve"> ROUND(  INDEX( Kx!97:97, BC$16 ),  BC$17 )</f>
        <v>13027.51</v>
      </c>
      <c r="BD97" s="533">
        <f xml:space="preserve"> ROUND(  INDEX( Kx!97:97, BD$16 ),  BD$17 )</f>
        <v>10220.1</v>
      </c>
      <c r="BE97" s="548" t="str">
        <f t="shared" si="235"/>
        <v>M</v>
      </c>
      <c r="BF97" s="542">
        <f t="shared" si="236"/>
        <v>0.44500000000000001</v>
      </c>
      <c r="BG97" s="420">
        <f t="shared" si="237"/>
        <v>11469.4</v>
      </c>
      <c r="BQ97" s="549">
        <f t="shared" si="276"/>
        <v>97</v>
      </c>
      <c r="BR97" s="423">
        <f t="shared" si="238"/>
        <v>28453.77</v>
      </c>
      <c r="BS97" s="550">
        <f t="shared" si="239"/>
        <v>11469.4</v>
      </c>
      <c r="BT97" s="423">
        <f t="shared" si="240"/>
        <v>-7585.24</v>
      </c>
      <c r="BU97" s="551">
        <f t="shared" si="241"/>
        <v>5521.04</v>
      </c>
      <c r="BV97" s="551">
        <f t="shared" si="242"/>
        <v>1.3116000000000001</v>
      </c>
      <c r="BW97" s="529">
        <f t="shared" si="243"/>
        <v>27370.080000000002</v>
      </c>
      <c r="BX97" s="552">
        <f t="shared" si="244"/>
        <v>6501.5500000000029</v>
      </c>
      <c r="BY97" s="560"/>
      <c r="BZ97" s="559"/>
      <c r="CB97" s="423">
        <f t="shared" si="245"/>
        <v>-7807.39</v>
      </c>
      <c r="CC97" s="423">
        <f t="shared" si="246"/>
        <v>684.25</v>
      </c>
      <c r="CD97" s="423">
        <f t="shared" si="247"/>
        <v>6247.45</v>
      </c>
      <c r="CE97" s="423">
        <f t="shared" si="248"/>
        <v>-875.69000000000051</v>
      </c>
      <c r="CF97" s="553">
        <f t="shared" si="249"/>
        <v>-875.39000000000306</v>
      </c>
      <c r="CH97" s="423">
        <f t="shared" si="250"/>
        <v>3852.4304390000002</v>
      </c>
      <c r="CI97" s="423">
        <f t="shared" si="251"/>
        <v>11469.4</v>
      </c>
      <c r="CJ97" s="423">
        <f t="shared" si="252"/>
        <v>-1521.6</v>
      </c>
      <c r="CK97" s="423">
        <f t="shared" si="253"/>
        <v>-6095.07</v>
      </c>
      <c r="CL97" s="553">
        <f t="shared" si="254"/>
        <v>3852.7299999999996</v>
      </c>
      <c r="CN97" s="423">
        <f t="shared" si="255"/>
        <v>3898.5573770000001</v>
      </c>
      <c r="CO97" s="423">
        <f t="shared" si="256"/>
        <v>11469.4</v>
      </c>
      <c r="CP97" s="423">
        <f t="shared" si="257"/>
        <v>-1512.38</v>
      </c>
      <c r="CQ97" s="423">
        <f t="shared" si="258"/>
        <v>-6058.17</v>
      </c>
      <c r="CR97" s="553">
        <f t="shared" si="259"/>
        <v>3898.8500000000004</v>
      </c>
      <c r="CV97" s="564">
        <f t="shared" si="277"/>
        <v>97</v>
      </c>
      <c r="CW97" s="538" t="str">
        <f t="shared" si="260"/>
        <v>.</v>
      </c>
      <c r="CX97" s="566">
        <f t="shared" si="261"/>
        <v>27204.36</v>
      </c>
      <c r="CY97" s="538" t="str">
        <f t="shared" si="262"/>
        <v>.</v>
      </c>
      <c r="CZ97" s="538">
        <f t="shared" si="263"/>
        <v>15812</v>
      </c>
      <c r="DA97" s="538">
        <f t="shared" si="264"/>
        <v>10266.08</v>
      </c>
      <c r="DB97" s="567" t="e">
        <f t="shared" si="278"/>
        <v>#N/A</v>
      </c>
      <c r="DC97" s="567">
        <f t="shared" si="279"/>
        <v>27204.36</v>
      </c>
      <c r="DD97" s="567" t="e">
        <f t="shared" si="280"/>
        <v>#N/A</v>
      </c>
      <c r="DE97" s="567">
        <f t="shared" si="280"/>
        <v>15812</v>
      </c>
      <c r="DF97" s="568">
        <f t="shared" si="281"/>
        <v>26078.080000000002</v>
      </c>
      <c r="EL97" s="553">
        <f t="shared" si="265"/>
        <v>19896.79</v>
      </c>
      <c r="EM97" s="553">
        <f t="shared" si="266"/>
        <v>7308.89</v>
      </c>
      <c r="EN97" s="423">
        <f t="shared" si="267"/>
        <v>27205.68</v>
      </c>
      <c r="EO97" s="555">
        <f xml:space="preserve"> 'i2'!AO97</f>
        <v>27204.36</v>
      </c>
      <c r="EV97" s="533" t="e">
        <f xml:space="preserve"> ROUND(    IF( $A$15=BE_MF_,   LEER,   INDEX( Kx!97:97, EV$16 ) ),    EV$17    )</f>
        <v>#VALUE!</v>
      </c>
      <c r="EW97" s="533" t="e">
        <f xml:space="preserve"> ROUND(    IF( $A$15=BE_MF_,   LEER,   INDEX( Kx!97:97, EW$16 ) ),    EW$17    )</f>
        <v>#VALUE!</v>
      </c>
      <c r="EX97" s="533" t="e">
        <f xml:space="preserve"> ROUND(    IF( $A$15=BE_MF_,   LEER,   INDEX( Kx!97:97, EX$16 ) ),    EX$17    )</f>
        <v>#VALUE!</v>
      </c>
      <c r="EY97" s="556" t="e">
        <f t="shared" si="282"/>
        <v>#VALUE!</v>
      </c>
      <c r="FB97" s="533" t="e">
        <f xml:space="preserve"> ROUND(    IF( $A$15=BE_MF_,   LEER,   INDEX( Kx!97:97, FB$16 ) ),    FB$17    )</f>
        <v>#VALUE!</v>
      </c>
      <c r="FC97" s="533" t="e">
        <f xml:space="preserve"> ROUND(    IF( $A$15=BE_MF_,   LEER,   INDEX( Kx!97:97, FC$16 ) ),    FC$17    )</f>
        <v>#VALUE!</v>
      </c>
      <c r="FD97" s="556" t="e">
        <f t="shared" si="283"/>
        <v>#VALUE!</v>
      </c>
      <c r="FG97" s="556" t="e">
        <f t="shared" si="284"/>
        <v>#VALUE!</v>
      </c>
      <c r="FH97" s="556" t="e">
        <f t="shared" si="284"/>
        <v>#VALUE!</v>
      </c>
      <c r="FI97" s="556" t="e">
        <f t="shared" si="284"/>
        <v>#VALUE!</v>
      </c>
      <c r="FN97" s="557">
        <f t="shared" si="268"/>
        <v>97</v>
      </c>
      <c r="FO97" s="493">
        <f t="shared" si="269"/>
        <v>19.834099999999999</v>
      </c>
      <c r="FP97" s="493">
        <f t="shared" si="270"/>
        <v>3.5928</v>
      </c>
      <c r="FR97" s="427">
        <f t="shared" si="285"/>
        <v>1129766.0400000003</v>
      </c>
      <c r="FS97" s="558">
        <f t="shared" si="271"/>
        <v>32250.01</v>
      </c>
      <c r="FT97" s="558">
        <f t="shared" si="271"/>
        <v>31947.67</v>
      </c>
      <c r="FU97" s="558">
        <f t="shared" si="271"/>
        <v>31644.59</v>
      </c>
      <c r="FV97" s="558">
        <f t="shared" si="271"/>
        <v>31341.51</v>
      </c>
      <c r="FW97" s="558">
        <f t="shared" si="271"/>
        <v>31027.97</v>
      </c>
      <c r="FX97" s="558">
        <f t="shared" si="271"/>
        <v>30705.48</v>
      </c>
      <c r="FY97" s="558">
        <f t="shared" si="271"/>
        <v>30385.98</v>
      </c>
      <c r="FZ97" s="558">
        <f t="shared" si="271"/>
        <v>30064.23</v>
      </c>
      <c r="GA97" s="558">
        <f t="shared" si="271"/>
        <v>29731.29</v>
      </c>
      <c r="GB97" s="558">
        <f t="shared" si="271"/>
        <v>29384.91</v>
      </c>
      <c r="GC97" s="558">
        <f t="shared" si="271"/>
        <v>29036.29</v>
      </c>
      <c r="GD97" s="558">
        <f t="shared" si="271"/>
        <v>28682.44</v>
      </c>
      <c r="GE97" s="558">
        <f t="shared" si="271"/>
        <v>28320.39</v>
      </c>
      <c r="GF97" s="558">
        <f t="shared" si="271"/>
        <v>27956.84</v>
      </c>
      <c r="GG97" s="558">
        <f t="shared" si="271"/>
        <v>27582.09</v>
      </c>
      <c r="GH97" s="558">
        <f t="shared" si="271"/>
        <v>27204.36</v>
      </c>
      <c r="GI97" s="558">
        <f t="shared" si="205"/>
        <v>26815.43</v>
      </c>
      <c r="GJ97" s="558">
        <f t="shared" si="205"/>
        <v>26417.54</v>
      </c>
      <c r="GK97" s="558">
        <f t="shared" si="205"/>
        <v>26008.45</v>
      </c>
      <c r="GL97" s="558">
        <f t="shared" si="205"/>
        <v>25587.42</v>
      </c>
      <c r="GM97" s="558">
        <f t="shared" si="205"/>
        <v>25153.7</v>
      </c>
      <c r="GN97" s="558">
        <f t="shared" si="205"/>
        <v>24703.55</v>
      </c>
      <c r="GO97" s="558">
        <f t="shared" si="205"/>
        <v>24236.99</v>
      </c>
      <c r="GP97" s="558">
        <f t="shared" si="205"/>
        <v>23753.25</v>
      </c>
      <c r="GQ97" s="558">
        <f t="shared" si="205"/>
        <v>23250.1</v>
      </c>
      <c r="GR97" s="558">
        <f t="shared" si="205"/>
        <v>22731.279999999999</v>
      </c>
      <c r="GS97" s="558">
        <f t="shared" si="205"/>
        <v>22194.54</v>
      </c>
      <c r="GT97" s="558">
        <f t="shared" si="205"/>
        <v>21641.38</v>
      </c>
      <c r="GU97" s="558">
        <f t="shared" si="205"/>
        <v>21073.279999999999</v>
      </c>
      <c r="GV97" s="558">
        <f t="shared" si="205"/>
        <v>20491.009999999998</v>
      </c>
      <c r="GW97" s="558">
        <f t="shared" si="205"/>
        <v>19896.79</v>
      </c>
      <c r="GX97" s="558">
        <f t="shared" si="272"/>
        <v>19288.38</v>
      </c>
      <c r="GY97" s="558">
        <f t="shared" si="272"/>
        <v>18671.77</v>
      </c>
      <c r="GZ97" s="558">
        <f t="shared" si="272"/>
        <v>18043.95</v>
      </c>
      <c r="HA97" s="558">
        <f t="shared" si="272"/>
        <v>17409.419999999998</v>
      </c>
      <c r="HB97" s="558">
        <f t="shared" si="272"/>
        <v>16768.169999999998</v>
      </c>
      <c r="HC97" s="558">
        <f t="shared" si="272"/>
        <v>16119.45</v>
      </c>
      <c r="HD97" s="558">
        <f t="shared" si="272"/>
        <v>15465.51</v>
      </c>
      <c r="HE97" s="558">
        <f t="shared" si="272"/>
        <v>14801.87</v>
      </c>
      <c r="HF97" s="558">
        <f t="shared" si="272"/>
        <v>14124.04</v>
      </c>
      <c r="HG97" s="558">
        <f t="shared" si="272"/>
        <v>13436.5</v>
      </c>
      <c r="HH97" s="558">
        <f t="shared" si="272"/>
        <v>12742.25</v>
      </c>
      <c r="HI97" s="558">
        <f t="shared" si="272"/>
        <v>12039.04</v>
      </c>
      <c r="HJ97" s="558">
        <f t="shared" si="272"/>
        <v>11330.6</v>
      </c>
      <c r="HK97" s="558">
        <f t="shared" si="272"/>
        <v>10614.7</v>
      </c>
      <c r="HL97" s="558">
        <f t="shared" si="272"/>
        <v>9905.52</v>
      </c>
      <c r="HM97" s="558">
        <f t="shared" si="272"/>
        <v>9190.36</v>
      </c>
      <c r="HN97" s="558">
        <f t="shared" si="206"/>
        <v>8479.69</v>
      </c>
      <c r="HO97" s="558">
        <f t="shared" si="206"/>
        <v>7774.24</v>
      </c>
      <c r="HP97" s="558">
        <f t="shared" si="206"/>
        <v>7071.77</v>
      </c>
      <c r="HQ97" s="558">
        <f t="shared" si="206"/>
        <v>6493.23</v>
      </c>
      <c r="HR97" s="558">
        <f t="shared" si="206"/>
        <v>5932.6</v>
      </c>
      <c r="HS97" s="558">
        <f t="shared" si="206"/>
        <v>5395.86</v>
      </c>
      <c r="HT97" s="558">
        <f t="shared" si="206"/>
        <v>4887.49</v>
      </c>
      <c r="HU97" s="558">
        <f t="shared" si="206"/>
        <v>4273.8599999999997</v>
      </c>
      <c r="HV97" s="558">
        <f t="shared" si="206"/>
        <v>3684.12</v>
      </c>
      <c r="HW97" s="558">
        <f t="shared" si="206"/>
        <v>3122</v>
      </c>
      <c r="HX97" s="558">
        <f t="shared" si="206"/>
        <v>2605.41</v>
      </c>
      <c r="HY97" s="558">
        <f t="shared" si="206"/>
        <v>2129.89</v>
      </c>
      <c r="HZ97" s="558">
        <f t="shared" si="206"/>
        <v>1697.66</v>
      </c>
      <c r="IA97" s="558">
        <f t="shared" si="206"/>
        <v>1319.18</v>
      </c>
      <c r="IB97" s="558">
        <f t="shared" si="206"/>
        <v>986.24</v>
      </c>
      <c r="IC97" s="558">
        <f t="shared" si="204"/>
        <v>715.25</v>
      </c>
      <c r="ID97" s="558">
        <f t="shared" si="204"/>
        <v>497.27</v>
      </c>
      <c r="IE97" s="558">
        <f t="shared" si="204"/>
        <v>334.53</v>
      </c>
      <c r="IF97" s="558">
        <f t="shared" ref="IF97:IT97" si="288" xml:space="preserve"> IF(  OR( IF$18&gt;$FN97, $FN97&gt;$FS$12 ),  LEER,  ROUND( $FR$19 * ( $FO97 - IF$15 * $FP97 ), IF$17 )  )</f>
        <v>226.29</v>
      </c>
      <c r="IG97" s="558">
        <f t="shared" si="288"/>
        <v>154.63</v>
      </c>
      <c r="IH97" s="558">
        <f t="shared" si="288"/>
        <v>104.61</v>
      </c>
      <c r="II97" s="558">
        <f t="shared" si="288"/>
        <v>103.12</v>
      </c>
      <c r="IJ97" s="558">
        <f t="shared" si="288"/>
        <v>100.13</v>
      </c>
      <c r="IK97" s="558">
        <f t="shared" si="288"/>
        <v>97.14</v>
      </c>
      <c r="IL97" s="558">
        <f t="shared" si="288"/>
        <v>92.67</v>
      </c>
      <c r="IM97" s="558">
        <f t="shared" si="288"/>
        <v>86.69</v>
      </c>
      <c r="IN97" s="558">
        <f t="shared" si="288"/>
        <v>78.48</v>
      </c>
      <c r="IO97" s="558">
        <f t="shared" si="288"/>
        <v>67.28</v>
      </c>
      <c r="IP97" s="558">
        <f t="shared" si="288"/>
        <v>51.61</v>
      </c>
      <c r="IQ97" s="558">
        <f t="shared" si="288"/>
        <v>30.71</v>
      </c>
      <c r="IR97" s="558">
        <f t="shared" si="288"/>
        <v>0.1</v>
      </c>
      <c r="IS97" s="558" t="str">
        <f t="shared" si="288"/>
        <v>.</v>
      </c>
      <c r="IT97" s="558" t="str">
        <f t="shared" si="288"/>
        <v>.</v>
      </c>
      <c r="IU97" s="558" t="str">
        <f t="shared" ref="IU97:JO112" si="289" xml:space="preserve"> IF(  OR( IU$18&gt;$FN97, $FN97&gt;$FS$12 ),  LEER,  ROUND( $FR$19 * ( $FO97 - IU$15 * $FP97 ), IU$17 )  )</f>
        <v>.</v>
      </c>
      <c r="IV97" s="558" t="str">
        <f t="shared" si="289"/>
        <v>.</v>
      </c>
      <c r="IW97" s="558" t="str">
        <f t="shared" si="289"/>
        <v>.</v>
      </c>
      <c r="IX97" s="558" t="str">
        <f t="shared" si="289"/>
        <v>.</v>
      </c>
      <c r="IY97" s="558" t="str">
        <f t="shared" si="289"/>
        <v>.</v>
      </c>
      <c r="IZ97" s="558" t="str">
        <f t="shared" si="289"/>
        <v>.</v>
      </c>
      <c r="JA97" s="558" t="str">
        <f t="shared" si="289"/>
        <v>.</v>
      </c>
      <c r="JB97" s="558" t="str">
        <f t="shared" si="289"/>
        <v>.</v>
      </c>
      <c r="JC97" s="558" t="str">
        <f t="shared" si="289"/>
        <v>.</v>
      </c>
      <c r="JD97" s="558" t="str">
        <f t="shared" si="289"/>
        <v>.</v>
      </c>
      <c r="JE97" s="558" t="str">
        <f t="shared" si="289"/>
        <v>.</v>
      </c>
      <c r="JF97" s="558" t="str">
        <f t="shared" si="289"/>
        <v>.</v>
      </c>
      <c r="JG97" s="558" t="str">
        <f t="shared" si="289"/>
        <v>.</v>
      </c>
      <c r="JH97" s="558" t="str">
        <f t="shared" si="289"/>
        <v>.</v>
      </c>
      <c r="JI97" s="558" t="str">
        <f t="shared" si="289"/>
        <v>.</v>
      </c>
      <c r="JJ97" s="558" t="str">
        <f t="shared" si="289"/>
        <v>.</v>
      </c>
      <c r="JK97" s="558" t="str">
        <f t="shared" ref="JK97:JO99" si="290" xml:space="preserve"> IF(  OR( JK$18&gt;$FN97, $FN97&gt;$FS$12 ),  LEER,  ROUND( $FR$19 * ( $FO97 - JK$15 * $FP97 ), JK$17 )  )</f>
        <v>.</v>
      </c>
      <c r="JL97" s="558" t="str">
        <f t="shared" si="290"/>
        <v>.</v>
      </c>
      <c r="JM97" s="558" t="str">
        <f t="shared" si="290"/>
        <v>.</v>
      </c>
      <c r="JN97" s="558" t="str">
        <f t="shared" si="290"/>
        <v>.</v>
      </c>
      <c r="JO97" s="558" t="str">
        <f t="shared" si="290"/>
        <v>.</v>
      </c>
    </row>
    <row r="98" spans="1:275" x14ac:dyDescent="0.2">
      <c r="A98" s="534">
        <f xml:space="preserve"> Basis!A98</f>
        <v>98</v>
      </c>
      <c r="F98" s="536">
        <f xml:space="preserve"> ROUND(    IF( $A$15=BE_MF_,   AW98,   INDEX( qx!98:98, F$16 ) ),    F$17    )</f>
        <v>0.251</v>
      </c>
      <c r="G98" s="536">
        <f xml:space="preserve"> ROUND(    IF( $A$15=BE_MF_,   BB98,   INDEX( wx!98:98, G$16 ) ),    G$17    )</f>
        <v>1.5E-3</v>
      </c>
      <c r="H98" s="537">
        <f xml:space="preserve"> ROUND(    IF( $A$15=BE_MF_,   BG98,   INDEX( Kx!98:98, H$16 ) ),    H$17    )</f>
        <v>11210.02</v>
      </c>
      <c r="I98" s="538">
        <f t="shared" si="273"/>
        <v>11469.4</v>
      </c>
      <c r="J98" s="539">
        <f t="shared" si="208"/>
        <v>5.52</v>
      </c>
      <c r="K98" s="540">
        <f t="shared" si="274"/>
        <v>0</v>
      </c>
      <c r="L98" s="541">
        <f t="shared" si="116"/>
        <v>0</v>
      </c>
      <c r="M98" s="541">
        <f t="shared" si="116"/>
        <v>8.5999999999999993E-2</v>
      </c>
      <c r="O98" s="542" t="b">
        <f t="shared" si="275"/>
        <v>1</v>
      </c>
      <c r="P98" s="493">
        <f t="shared" si="209"/>
        <v>0.2525</v>
      </c>
      <c r="Q98" s="493">
        <f t="shared" si="210"/>
        <v>0.74750000000000005</v>
      </c>
      <c r="R98" s="543">
        <f t="shared" si="211"/>
        <v>46285</v>
      </c>
      <c r="S98" s="544">
        <f t="shared" si="212"/>
        <v>0.97560975599999999</v>
      </c>
      <c r="T98" s="423">
        <f t="shared" si="213"/>
        <v>4116.25</v>
      </c>
      <c r="U98" s="423">
        <f xml:space="preserve"> IF( $O98,    ROUND(  SUM( T98:T$120), U$17 ),  LEER  )</f>
        <v>14314.69</v>
      </c>
      <c r="V98" s="493">
        <f t="shared" si="214"/>
        <v>3.4775999999999998</v>
      </c>
      <c r="W98" s="493">
        <f t="shared" si="215"/>
        <v>22721.7</v>
      </c>
      <c r="X98" s="493">
        <f xml:space="preserve"> IF( $O98,    ROUND(  SUM( W98:W$120), X$17 ),  LEER  )</f>
        <v>79028.59</v>
      </c>
      <c r="Y98" s="493">
        <f t="shared" si="216"/>
        <v>19.199200000000001</v>
      </c>
      <c r="Z98" s="493">
        <f t="shared" si="217"/>
        <v>5.5208000000000004</v>
      </c>
      <c r="AA98" s="493">
        <f t="shared" si="218"/>
        <v>1</v>
      </c>
      <c r="AB98" s="493">
        <f t="shared" si="219"/>
        <v>2.3494000000000002</v>
      </c>
      <c r="AC98" s="545">
        <f t="shared" si="220"/>
        <v>0.32679999999999998</v>
      </c>
      <c r="AD98" s="493">
        <f t="shared" si="221"/>
        <v>5.5208000000000004</v>
      </c>
      <c r="AE98" s="493">
        <f t="shared" si="222"/>
        <v>6.3978000000000002</v>
      </c>
      <c r="AF98" s="493">
        <f t="shared" si="223"/>
        <v>6.3978000000000002</v>
      </c>
      <c r="AG98" s="493" t="str">
        <f t="shared" si="224"/>
        <v>.</v>
      </c>
      <c r="AH98" s="493" t="str">
        <f t="shared" si="225"/>
        <v>.</v>
      </c>
      <c r="AI98" s="423">
        <f t="shared" si="226"/>
        <v>2077.79</v>
      </c>
      <c r="AJ98" s="423">
        <f t="shared" si="227"/>
        <v>13293.28</v>
      </c>
      <c r="AK98" s="423">
        <f t="shared" si="228"/>
        <v>1107.77</v>
      </c>
      <c r="AN98" s="423">
        <f t="shared" si="200"/>
        <v>26494.69</v>
      </c>
      <c r="AO98" s="423">
        <f t="shared" si="200"/>
        <v>26334.28</v>
      </c>
      <c r="AR98" s="546">
        <f xml:space="preserve"> ROUND(  INDEX( Kx!98:98, AR$16 ),  AR$17 )</f>
        <v>0.25580000000000003</v>
      </c>
      <c r="AS98" s="547">
        <f xml:space="preserve"> ROUND(  INDEX( qx!98:98, AS$16 ),  AS$17 )</f>
        <v>0.25900000000000001</v>
      </c>
      <c r="AT98" s="547">
        <f xml:space="preserve"> ROUND(  INDEX( qx!98:98, AT$16 ),  AT$17 )</f>
        <v>0.2492</v>
      </c>
      <c r="AU98" s="548" t="str">
        <f t="shared" si="229"/>
        <v>F</v>
      </c>
      <c r="AV98" s="542">
        <f t="shared" si="230"/>
        <v>0.18640000000000001</v>
      </c>
      <c r="AW98" s="542">
        <f t="shared" si="231"/>
        <v>0.251</v>
      </c>
      <c r="AX98" s="546">
        <f xml:space="preserve"> ROUND(  INDEX( wx!98:98, AX$16 ),  AX$17 )</f>
        <v>2.9999999999999997E-4</v>
      </c>
      <c r="AY98" s="546">
        <f xml:space="preserve"> ROUND(  INDEX( wx!98:98, AY$16 ),  AY$17 )</f>
        <v>2.0999999999999999E-3</v>
      </c>
      <c r="AZ98" s="548" t="str">
        <f t="shared" si="232"/>
        <v>M</v>
      </c>
      <c r="BA98" s="542">
        <f t="shared" si="233"/>
        <v>0.3402</v>
      </c>
      <c r="BB98" s="542">
        <f t="shared" si="234"/>
        <v>1.5E-3</v>
      </c>
      <c r="BC98" s="533">
        <f xml:space="preserve"> ROUND(  INDEX( Kx!98:98, BC$16 ),  BC$17 )</f>
        <v>13105.98</v>
      </c>
      <c r="BD98" s="533">
        <f xml:space="preserve"> ROUND(  INDEX( Kx!98:98, BD$16 ),  BD$17 )</f>
        <v>10232.450000000001</v>
      </c>
      <c r="BE98" s="548" t="str">
        <f t="shared" si="235"/>
        <v>M</v>
      </c>
      <c r="BF98" s="542">
        <f t="shared" si="236"/>
        <v>0.3402</v>
      </c>
      <c r="BG98" s="420">
        <f t="shared" si="237"/>
        <v>11210.02</v>
      </c>
      <c r="BQ98" s="549">
        <f t="shared" si="276"/>
        <v>98</v>
      </c>
      <c r="BR98" s="423">
        <f t="shared" si="238"/>
        <v>27370.080000000002</v>
      </c>
      <c r="BS98" s="550">
        <f t="shared" si="239"/>
        <v>11469.4</v>
      </c>
      <c r="BT98" s="423">
        <f t="shared" si="240"/>
        <v>-7616.97</v>
      </c>
      <c r="BU98" s="551">
        <f t="shared" si="241"/>
        <v>4116.25</v>
      </c>
      <c r="BV98" s="551">
        <f t="shared" si="242"/>
        <v>1.3412999999999999</v>
      </c>
      <c r="BW98" s="529">
        <f t="shared" si="243"/>
        <v>26494.69</v>
      </c>
      <c r="BX98" s="552">
        <f t="shared" si="244"/>
        <v>6741.5799999999981</v>
      </c>
      <c r="BY98" s="560"/>
      <c r="BZ98" s="559"/>
      <c r="CB98" s="423">
        <f t="shared" si="245"/>
        <v>-7807.39</v>
      </c>
      <c r="CC98" s="423">
        <f t="shared" si="246"/>
        <v>662.37</v>
      </c>
      <c r="CD98" s="423">
        <f t="shared" si="247"/>
        <v>6536.14</v>
      </c>
      <c r="CE98" s="423">
        <f t="shared" si="248"/>
        <v>-608.88000000000011</v>
      </c>
      <c r="CF98" s="553">
        <f t="shared" si="249"/>
        <v>-609</v>
      </c>
      <c r="CH98" s="423">
        <f t="shared" si="250"/>
        <v>3852.4304390000002</v>
      </c>
      <c r="CI98" s="423">
        <f t="shared" si="251"/>
        <v>11469.4</v>
      </c>
      <c r="CJ98" s="423">
        <f t="shared" si="252"/>
        <v>-1240.3599999999999</v>
      </c>
      <c r="CK98" s="423">
        <f t="shared" si="253"/>
        <v>-6376.72</v>
      </c>
      <c r="CL98" s="553">
        <f t="shared" si="254"/>
        <v>3852.3199999999988</v>
      </c>
      <c r="CN98" s="423">
        <f t="shared" si="255"/>
        <v>3898.5573770000001</v>
      </c>
      <c r="CO98" s="423">
        <f t="shared" si="256"/>
        <v>11469.4</v>
      </c>
      <c r="CP98" s="423">
        <f t="shared" si="257"/>
        <v>-1232.8399999999999</v>
      </c>
      <c r="CQ98" s="423">
        <f t="shared" si="258"/>
        <v>-6338.11</v>
      </c>
      <c r="CR98" s="553">
        <f t="shared" si="259"/>
        <v>3898.45</v>
      </c>
      <c r="CV98" s="564">
        <f t="shared" si="277"/>
        <v>98</v>
      </c>
      <c r="CW98" s="538" t="str">
        <f t="shared" si="260"/>
        <v>.</v>
      </c>
      <c r="CX98" s="566">
        <f t="shared" si="261"/>
        <v>26334.28</v>
      </c>
      <c r="CY98" s="538" t="str">
        <f t="shared" si="262"/>
        <v>.</v>
      </c>
      <c r="CZ98" s="538">
        <f t="shared" si="263"/>
        <v>15305</v>
      </c>
      <c r="DA98" s="538">
        <f t="shared" si="264"/>
        <v>9939.1200000000008</v>
      </c>
      <c r="DB98" s="567" t="e">
        <f t="shared" si="278"/>
        <v>#N/A</v>
      </c>
      <c r="DC98" s="567">
        <f t="shared" si="279"/>
        <v>26334.28</v>
      </c>
      <c r="DD98" s="567" t="e">
        <f t="shared" si="280"/>
        <v>#N/A</v>
      </c>
      <c r="DE98" s="567">
        <f t="shared" si="280"/>
        <v>15305</v>
      </c>
      <c r="DF98" s="568">
        <f t="shared" si="281"/>
        <v>25244.120000000003</v>
      </c>
      <c r="EL98" s="553">
        <f t="shared" si="265"/>
        <v>19261.02</v>
      </c>
      <c r="EM98" s="553">
        <f t="shared" si="266"/>
        <v>7074.54</v>
      </c>
      <c r="EN98" s="423">
        <f t="shared" si="267"/>
        <v>26335.56</v>
      </c>
      <c r="EO98" s="555">
        <f xml:space="preserve"> 'i2'!AO98</f>
        <v>26334.28</v>
      </c>
      <c r="EV98" s="533" t="e">
        <f xml:space="preserve"> ROUND(    IF( $A$15=BE_MF_,   LEER,   INDEX( Kx!98:98, EV$16 ) ),    EV$17    )</f>
        <v>#VALUE!</v>
      </c>
      <c r="EW98" s="533" t="e">
        <f xml:space="preserve"> ROUND(    IF( $A$15=BE_MF_,   LEER,   INDEX( Kx!98:98, EW$16 ) ),    EW$17    )</f>
        <v>#VALUE!</v>
      </c>
      <c r="EX98" s="533" t="e">
        <f xml:space="preserve"> ROUND(    IF( $A$15=BE_MF_,   LEER,   INDEX( Kx!98:98, EX$16 ) ),    EX$17    )</f>
        <v>#VALUE!</v>
      </c>
      <c r="EY98" s="556" t="e">
        <f t="shared" si="282"/>
        <v>#VALUE!</v>
      </c>
      <c r="FB98" s="533" t="e">
        <f xml:space="preserve"> ROUND(    IF( $A$15=BE_MF_,   LEER,   INDEX( Kx!98:98, FB$16 ) ),    FB$17    )</f>
        <v>#VALUE!</v>
      </c>
      <c r="FC98" s="533" t="e">
        <f xml:space="preserve"> ROUND(    IF( $A$15=BE_MF_,   LEER,   INDEX( Kx!98:98, FC$16 ) ),    FC$17    )</f>
        <v>#VALUE!</v>
      </c>
      <c r="FD98" s="556" t="e">
        <f t="shared" si="283"/>
        <v>#VALUE!</v>
      </c>
      <c r="FG98" s="556" t="e">
        <f t="shared" si="284"/>
        <v>#VALUE!</v>
      </c>
      <c r="FH98" s="556" t="e">
        <f t="shared" si="284"/>
        <v>#VALUE!</v>
      </c>
      <c r="FI98" s="556" t="e">
        <f t="shared" si="284"/>
        <v>#VALUE!</v>
      </c>
      <c r="FN98" s="557">
        <f t="shared" si="268"/>
        <v>98</v>
      </c>
      <c r="FO98" s="493">
        <f t="shared" si="269"/>
        <v>19.199200000000001</v>
      </c>
      <c r="FP98" s="493">
        <f t="shared" si="270"/>
        <v>3.4775999999999998</v>
      </c>
      <c r="FR98" s="427">
        <f t="shared" si="285"/>
        <v>1093713.5300000003</v>
      </c>
      <c r="FS98" s="558">
        <f t="shared" si="271"/>
        <v>31218.15</v>
      </c>
      <c r="FT98" s="558">
        <f t="shared" si="271"/>
        <v>30925.51</v>
      </c>
      <c r="FU98" s="558">
        <f t="shared" si="271"/>
        <v>30632.14</v>
      </c>
      <c r="FV98" s="558">
        <f t="shared" si="271"/>
        <v>30338.78</v>
      </c>
      <c r="FW98" s="558">
        <f t="shared" si="271"/>
        <v>30035.3</v>
      </c>
      <c r="FX98" s="558">
        <f t="shared" si="271"/>
        <v>29723.15</v>
      </c>
      <c r="FY98" s="558">
        <f t="shared" si="271"/>
        <v>29413.89</v>
      </c>
      <c r="FZ98" s="558">
        <f t="shared" si="271"/>
        <v>29102.46</v>
      </c>
      <c r="GA98" s="558">
        <f t="shared" si="271"/>
        <v>28780.19</v>
      </c>
      <c r="GB98" s="558">
        <f t="shared" si="271"/>
        <v>28444.92</v>
      </c>
      <c r="GC98" s="558">
        <f t="shared" si="271"/>
        <v>28107.47</v>
      </c>
      <c r="GD98" s="558">
        <f t="shared" si="271"/>
        <v>27764.98</v>
      </c>
      <c r="GE98" s="558">
        <f t="shared" si="271"/>
        <v>27414.53</v>
      </c>
      <c r="GF98" s="558">
        <f t="shared" si="271"/>
        <v>27062.639999999999</v>
      </c>
      <c r="GG98" s="558">
        <f t="shared" si="271"/>
        <v>26699.9</v>
      </c>
      <c r="GH98" s="558">
        <f t="shared" si="271"/>
        <v>26334.28</v>
      </c>
      <c r="GI98" s="558">
        <f t="shared" si="205"/>
        <v>25957.82</v>
      </c>
      <c r="GJ98" s="558">
        <f t="shared" si="205"/>
        <v>25572.69</v>
      </c>
      <c r="GK98" s="558">
        <f t="shared" si="205"/>
        <v>25176.720000000001</v>
      </c>
      <c r="GL98" s="558">
        <f t="shared" si="205"/>
        <v>24769.19</v>
      </c>
      <c r="GM98" s="558">
        <f t="shared" si="205"/>
        <v>24349.38</v>
      </c>
      <c r="GN98" s="558">
        <f t="shared" si="205"/>
        <v>23913.67</v>
      </c>
      <c r="GO98" s="558">
        <f t="shared" si="205"/>
        <v>23462.06</v>
      </c>
      <c r="GP98" s="558">
        <f t="shared" si="205"/>
        <v>22993.83</v>
      </c>
      <c r="GQ98" s="558">
        <f t="shared" si="205"/>
        <v>22506.82</v>
      </c>
      <c r="GR98" s="558">
        <f t="shared" si="205"/>
        <v>22004.63</v>
      </c>
      <c r="GS98" s="558">
        <f t="shared" si="205"/>
        <v>21485.1</v>
      </c>
      <c r="GT98" s="558">
        <f t="shared" si="205"/>
        <v>20949.669999999998</v>
      </c>
      <c r="GU98" s="558">
        <f t="shared" si="205"/>
        <v>20399.8</v>
      </c>
      <c r="GV98" s="558">
        <f t="shared" si="205"/>
        <v>19836.189999999999</v>
      </c>
      <c r="GW98" s="558">
        <f t="shared" si="205"/>
        <v>19261.02</v>
      </c>
      <c r="GX98" s="558">
        <f t="shared" si="272"/>
        <v>18672.13</v>
      </c>
      <c r="GY98" s="558">
        <f t="shared" si="272"/>
        <v>18075.28</v>
      </c>
      <c r="GZ98" s="558">
        <f t="shared" si="272"/>
        <v>17467.599999999999</v>
      </c>
      <c r="HA98" s="558">
        <f t="shared" si="272"/>
        <v>16853.41</v>
      </c>
      <c r="HB98" s="558">
        <f t="shared" si="272"/>
        <v>16232.72</v>
      </c>
      <c r="HC98" s="558">
        <f t="shared" si="272"/>
        <v>15604.81</v>
      </c>
      <c r="HD98" s="558">
        <f t="shared" si="272"/>
        <v>14971.83</v>
      </c>
      <c r="HE98" s="558">
        <f t="shared" si="272"/>
        <v>14329.47</v>
      </c>
      <c r="HF98" s="558">
        <f t="shared" si="272"/>
        <v>13673.37</v>
      </c>
      <c r="HG98" s="558">
        <f t="shared" si="272"/>
        <v>13007.88</v>
      </c>
      <c r="HH98" s="558">
        <f t="shared" si="272"/>
        <v>12335.89</v>
      </c>
      <c r="HI98" s="558">
        <f t="shared" si="272"/>
        <v>11655.23</v>
      </c>
      <c r="HJ98" s="558">
        <f t="shared" si="272"/>
        <v>10969.51</v>
      </c>
      <c r="HK98" s="558">
        <f t="shared" si="272"/>
        <v>10276.56</v>
      </c>
      <c r="HL98" s="558">
        <f t="shared" si="272"/>
        <v>9590.1200000000008</v>
      </c>
      <c r="HM98" s="558">
        <f t="shared" si="272"/>
        <v>8897.89</v>
      </c>
      <c r="HN98" s="558">
        <f t="shared" si="206"/>
        <v>8210</v>
      </c>
      <c r="HO98" s="558">
        <f t="shared" si="206"/>
        <v>7527.17</v>
      </c>
      <c r="HP98" s="558">
        <f t="shared" si="206"/>
        <v>6847.23</v>
      </c>
      <c r="HQ98" s="558">
        <f t="shared" si="206"/>
        <v>6287.24</v>
      </c>
      <c r="HR98" s="558">
        <f t="shared" si="206"/>
        <v>5744.59</v>
      </c>
      <c r="HS98" s="558">
        <f t="shared" si="206"/>
        <v>5225.0600000000004</v>
      </c>
      <c r="HT98" s="558">
        <f t="shared" si="206"/>
        <v>4732.99</v>
      </c>
      <c r="HU98" s="558">
        <f t="shared" si="206"/>
        <v>4139.03</v>
      </c>
      <c r="HV98" s="558">
        <f t="shared" si="206"/>
        <v>3568.2</v>
      </c>
      <c r="HW98" s="558">
        <f t="shared" si="206"/>
        <v>3024.1</v>
      </c>
      <c r="HX98" s="558">
        <f t="shared" si="206"/>
        <v>2524.08</v>
      </c>
      <c r="HY98" s="558">
        <f t="shared" si="206"/>
        <v>2063.8000000000002</v>
      </c>
      <c r="HZ98" s="558">
        <f t="shared" si="206"/>
        <v>1645.43</v>
      </c>
      <c r="IA98" s="558">
        <f t="shared" si="206"/>
        <v>1279.0899999999999</v>
      </c>
      <c r="IB98" s="558">
        <f t="shared" si="206"/>
        <v>956.82</v>
      </c>
      <c r="IC98" s="558">
        <f t="shared" ref="IC98:JA108" si="291" xml:space="preserve"> IF(  OR( IC$18&gt;$FN98, $FN98&gt;$FS$12 ),  LEER,  ROUND( $FR$19 * ( $FO98 - IC$15 * $FP98 ), IC$17 )  )</f>
        <v>694.53</v>
      </c>
      <c r="ID98" s="558">
        <f t="shared" si="291"/>
        <v>483.54</v>
      </c>
      <c r="IE98" s="558">
        <f t="shared" si="291"/>
        <v>326.02</v>
      </c>
      <c r="IF98" s="558">
        <f t="shared" si="291"/>
        <v>221.24</v>
      </c>
      <c r="IG98" s="558">
        <f t="shared" si="291"/>
        <v>151.88</v>
      </c>
      <c r="IH98" s="558">
        <f t="shared" si="291"/>
        <v>103.46</v>
      </c>
      <c r="II98" s="558">
        <f t="shared" si="291"/>
        <v>102.02</v>
      </c>
      <c r="IJ98" s="558">
        <f t="shared" si="291"/>
        <v>99.13</v>
      </c>
      <c r="IK98" s="558">
        <f t="shared" si="291"/>
        <v>96.24</v>
      </c>
      <c r="IL98" s="558">
        <f t="shared" si="291"/>
        <v>91.9</v>
      </c>
      <c r="IM98" s="558">
        <f t="shared" si="291"/>
        <v>86.12</v>
      </c>
      <c r="IN98" s="558">
        <f t="shared" si="291"/>
        <v>78.17</v>
      </c>
      <c r="IO98" s="558">
        <f t="shared" si="291"/>
        <v>67.34</v>
      </c>
      <c r="IP98" s="558">
        <f t="shared" si="291"/>
        <v>52.16</v>
      </c>
      <c r="IQ98" s="558">
        <f t="shared" si="291"/>
        <v>31.93</v>
      </c>
      <c r="IR98" s="558">
        <f t="shared" si="291"/>
        <v>2.2999999999999998</v>
      </c>
      <c r="IS98" s="558">
        <f t="shared" si="291"/>
        <v>0.14000000000000001</v>
      </c>
      <c r="IT98" s="558" t="str">
        <f t="shared" si="291"/>
        <v>.</v>
      </c>
      <c r="IU98" s="558" t="str">
        <f t="shared" si="291"/>
        <v>.</v>
      </c>
      <c r="IV98" s="558" t="str">
        <f t="shared" si="291"/>
        <v>.</v>
      </c>
      <c r="IW98" s="558" t="str">
        <f t="shared" si="291"/>
        <v>.</v>
      </c>
      <c r="IX98" s="558" t="str">
        <f t="shared" si="291"/>
        <v>.</v>
      </c>
      <c r="IY98" s="558" t="str">
        <f t="shared" si="291"/>
        <v>.</v>
      </c>
      <c r="IZ98" s="558" t="str">
        <f t="shared" si="291"/>
        <v>.</v>
      </c>
      <c r="JA98" s="558" t="str">
        <f t="shared" si="291"/>
        <v>.</v>
      </c>
      <c r="JB98" s="558" t="str">
        <f t="shared" si="289"/>
        <v>.</v>
      </c>
      <c r="JC98" s="558" t="str">
        <f t="shared" si="289"/>
        <v>.</v>
      </c>
      <c r="JD98" s="558" t="str">
        <f t="shared" si="289"/>
        <v>.</v>
      </c>
      <c r="JE98" s="558" t="str">
        <f t="shared" si="289"/>
        <v>.</v>
      </c>
      <c r="JF98" s="558" t="str">
        <f t="shared" si="289"/>
        <v>.</v>
      </c>
      <c r="JG98" s="558" t="str">
        <f t="shared" si="289"/>
        <v>.</v>
      </c>
      <c r="JH98" s="558" t="str">
        <f t="shared" si="289"/>
        <v>.</v>
      </c>
      <c r="JI98" s="558" t="str">
        <f t="shared" si="289"/>
        <v>.</v>
      </c>
      <c r="JJ98" s="558" t="str">
        <f t="shared" si="289"/>
        <v>.</v>
      </c>
      <c r="JK98" s="558" t="str">
        <f t="shared" si="290"/>
        <v>.</v>
      </c>
      <c r="JL98" s="558" t="str">
        <f t="shared" si="290"/>
        <v>.</v>
      </c>
      <c r="JM98" s="558" t="str">
        <f t="shared" si="290"/>
        <v>.</v>
      </c>
      <c r="JN98" s="558" t="str">
        <f t="shared" si="290"/>
        <v>.</v>
      </c>
      <c r="JO98" s="558" t="str">
        <f t="shared" si="290"/>
        <v>.</v>
      </c>
    </row>
    <row r="99" spans="1:275" x14ac:dyDescent="0.2">
      <c r="A99" s="534">
        <f xml:space="preserve"> Basis!A99</f>
        <v>99</v>
      </c>
      <c r="F99" s="536">
        <f xml:space="preserve"> ROUND(    IF( $A$15=BE_MF_,   AW99,   INDEX( qx!99:99, F$16 ) ),    F$17    )</f>
        <v>0.2601</v>
      </c>
      <c r="G99" s="536">
        <f xml:space="preserve"> ROUND(    IF( $A$15=BE_MF_,   BB99,   INDEX( wx!99:99, G$16 ) ),    G$17    )</f>
        <v>1.4E-3</v>
      </c>
      <c r="H99" s="537">
        <f xml:space="preserve"> ROUND(    IF( $A$15=BE_MF_,   BG99,   INDEX( Kx!99:99, H$16 ) ),    H$17    )</f>
        <v>11313.29</v>
      </c>
      <c r="I99" s="538">
        <f t="shared" si="273"/>
        <v>11469.4</v>
      </c>
      <c r="J99" s="539">
        <f t="shared" si="208"/>
        <v>5.52</v>
      </c>
      <c r="K99" s="540">
        <f t="shared" si="274"/>
        <v>0</v>
      </c>
      <c r="L99" s="541">
        <f t="shared" si="116"/>
        <v>0</v>
      </c>
      <c r="M99" s="541">
        <f t="shared" si="116"/>
        <v>8.5999999999999993E-2</v>
      </c>
      <c r="O99" s="542" t="b">
        <f t="shared" si="275"/>
        <v>1</v>
      </c>
      <c r="P99" s="493">
        <f t="shared" si="209"/>
        <v>0.26150000000000001</v>
      </c>
      <c r="Q99" s="493">
        <f t="shared" si="210"/>
        <v>0.73850000000000005</v>
      </c>
      <c r="R99" s="543">
        <f t="shared" si="211"/>
        <v>34598</v>
      </c>
      <c r="S99" s="544">
        <f t="shared" si="212"/>
        <v>0.97560975599999999</v>
      </c>
      <c r="T99" s="423">
        <f t="shared" si="213"/>
        <v>3001.85</v>
      </c>
      <c r="U99" s="423">
        <f xml:space="preserve"> IF( $O99,    ROUND(  SUM( T99:T$120), U$17 ),  LEER  )</f>
        <v>10198.44</v>
      </c>
      <c r="V99" s="493">
        <f t="shared" si="214"/>
        <v>3.3974000000000002</v>
      </c>
      <c r="W99" s="493">
        <f t="shared" si="215"/>
        <v>16570.21</v>
      </c>
      <c r="X99" s="493">
        <f xml:space="preserve"> IF( $O99,    ROUND(  SUM( W99:W$120), X$17 ),  LEER  )</f>
        <v>56306.89</v>
      </c>
      <c r="Y99" s="493">
        <f t="shared" si="216"/>
        <v>18.757400000000001</v>
      </c>
      <c r="Z99" s="493">
        <f t="shared" si="217"/>
        <v>5.5210999999999997</v>
      </c>
      <c r="AA99" s="493">
        <f t="shared" si="218"/>
        <v>1</v>
      </c>
      <c r="AB99" s="493">
        <f t="shared" si="219"/>
        <v>2.3494000000000002</v>
      </c>
      <c r="AC99" s="545">
        <f t="shared" si="220"/>
        <v>0.32679999999999998</v>
      </c>
      <c r="AD99" s="493">
        <f t="shared" si="221"/>
        <v>5.5210999999999997</v>
      </c>
      <c r="AE99" s="493">
        <f t="shared" si="222"/>
        <v>6.3981000000000003</v>
      </c>
      <c r="AF99" s="493">
        <f t="shared" si="223"/>
        <v>6.3981000000000003</v>
      </c>
      <c r="AG99" s="493" t="str">
        <f t="shared" si="224"/>
        <v>.</v>
      </c>
      <c r="AH99" s="493" t="str">
        <f t="shared" si="225"/>
        <v>.</v>
      </c>
      <c r="AI99" s="423">
        <f t="shared" si="226"/>
        <v>2077.79</v>
      </c>
      <c r="AJ99" s="423">
        <f t="shared" si="227"/>
        <v>13293.91</v>
      </c>
      <c r="AK99" s="423">
        <f t="shared" si="228"/>
        <v>1107.83</v>
      </c>
      <c r="AN99" s="423">
        <f t="shared" si="200"/>
        <v>25885.69</v>
      </c>
      <c r="AO99" s="423">
        <f t="shared" si="200"/>
        <v>25728.98</v>
      </c>
      <c r="AR99" s="546">
        <f xml:space="preserve"> ROUND(  INDEX( Kx!99:99, AR$16 ),  AR$17 )</f>
        <v>0.27560000000000001</v>
      </c>
      <c r="AS99" s="547">
        <f xml:space="preserve"> ROUND(  INDEX( qx!99:99, AS$16 ),  AS$17 )</f>
        <v>0.26619999999999999</v>
      </c>
      <c r="AT99" s="547">
        <f xml:space="preserve"> ROUND(  INDEX( qx!99:99, AT$16 ),  AT$17 )</f>
        <v>0.25850000000000001</v>
      </c>
      <c r="AU99" s="548" t="str">
        <f t="shared" si="229"/>
        <v>F</v>
      </c>
      <c r="AV99" s="542">
        <f t="shared" si="230"/>
        <v>0.20230000000000001</v>
      </c>
      <c r="AW99" s="542">
        <f t="shared" si="231"/>
        <v>0.2601</v>
      </c>
      <c r="AX99" s="546">
        <f xml:space="preserve"> ROUND(  INDEX( wx!99:99, AX$16 ),  AX$17 )</f>
        <v>2.9999999999999997E-4</v>
      </c>
      <c r="AY99" s="546">
        <f xml:space="preserve"> ROUND(  INDEX( wx!99:99, AY$16 ),  AY$17 )</f>
        <v>2.0999999999999999E-3</v>
      </c>
      <c r="AZ99" s="548" t="str">
        <f t="shared" si="232"/>
        <v>M</v>
      </c>
      <c r="BA99" s="542">
        <f t="shared" si="233"/>
        <v>0.36330000000000001</v>
      </c>
      <c r="BB99" s="542">
        <f t="shared" si="234"/>
        <v>1.4E-3</v>
      </c>
      <c r="BC99" s="533">
        <f xml:space="preserve"> ROUND(  INDEX( Kx!99:99, BC$16 ),  BC$17 )</f>
        <v>13184.7</v>
      </c>
      <c r="BD99" s="533">
        <f xml:space="preserve"> ROUND(  INDEX( Kx!99:99, BD$16 ),  BD$17 )</f>
        <v>10245.459999999999</v>
      </c>
      <c r="BE99" s="548" t="str">
        <f t="shared" si="235"/>
        <v>M</v>
      </c>
      <c r="BF99" s="542">
        <f t="shared" si="236"/>
        <v>0.36330000000000001</v>
      </c>
      <c r="BG99" s="420">
        <f t="shared" si="237"/>
        <v>11313.29</v>
      </c>
      <c r="BQ99" s="549">
        <f t="shared" si="276"/>
        <v>99</v>
      </c>
      <c r="BR99" s="423">
        <f t="shared" si="238"/>
        <v>26494.69</v>
      </c>
      <c r="BS99" s="550">
        <f t="shared" si="239"/>
        <v>11469.4</v>
      </c>
      <c r="BT99" s="423">
        <f t="shared" si="240"/>
        <v>-7616.97</v>
      </c>
      <c r="BU99" s="551">
        <f t="shared" si="241"/>
        <v>3001.85</v>
      </c>
      <c r="BV99" s="551">
        <f t="shared" si="242"/>
        <v>1.3712</v>
      </c>
      <c r="BW99" s="529">
        <f t="shared" si="243"/>
        <v>25885.69</v>
      </c>
      <c r="BX99" s="552">
        <f t="shared" si="244"/>
        <v>7007.9700000000012</v>
      </c>
      <c r="BY99" s="560"/>
      <c r="BZ99" s="559"/>
      <c r="CB99" s="423">
        <f t="shared" si="245"/>
        <v>-7807.39</v>
      </c>
      <c r="CC99" s="423">
        <f t="shared" si="246"/>
        <v>647.14</v>
      </c>
      <c r="CD99" s="423">
        <f t="shared" si="247"/>
        <v>6630.83</v>
      </c>
      <c r="CE99" s="423">
        <f t="shared" si="248"/>
        <v>-529.42000000000007</v>
      </c>
      <c r="CF99" s="553">
        <f t="shared" si="249"/>
        <v>-528.78999999999724</v>
      </c>
      <c r="CH99" s="423">
        <f t="shared" si="250"/>
        <v>3852.4304390000002</v>
      </c>
      <c r="CI99" s="423">
        <f t="shared" si="251"/>
        <v>11469.4</v>
      </c>
      <c r="CJ99" s="423">
        <f t="shared" si="252"/>
        <v>-1147.25</v>
      </c>
      <c r="CK99" s="423">
        <f t="shared" si="253"/>
        <v>-6469.1</v>
      </c>
      <c r="CL99" s="553">
        <f t="shared" si="254"/>
        <v>3853.0499999999993</v>
      </c>
      <c r="CN99" s="423">
        <f t="shared" si="255"/>
        <v>3898.5573770000001</v>
      </c>
      <c r="CO99" s="423">
        <f t="shared" si="256"/>
        <v>11469.4</v>
      </c>
      <c r="CP99" s="423">
        <f t="shared" si="257"/>
        <v>-1140.29</v>
      </c>
      <c r="CQ99" s="423">
        <f t="shared" si="258"/>
        <v>-6429.94</v>
      </c>
      <c r="CR99" s="553">
        <f t="shared" si="259"/>
        <v>3899.170000000001</v>
      </c>
      <c r="CV99" s="564">
        <f t="shared" si="277"/>
        <v>99</v>
      </c>
      <c r="CW99" s="538" t="str">
        <f t="shared" si="260"/>
        <v>.</v>
      </c>
      <c r="CX99" s="566">
        <f t="shared" si="261"/>
        <v>25728.98</v>
      </c>
      <c r="CY99" s="538" t="str">
        <f t="shared" si="262"/>
        <v>.</v>
      </c>
      <c r="CZ99" s="538">
        <f t="shared" si="263"/>
        <v>14952</v>
      </c>
      <c r="DA99" s="538">
        <f t="shared" si="264"/>
        <v>9711.92</v>
      </c>
      <c r="DB99" s="567" t="e">
        <f t="shared" si="278"/>
        <v>#N/A</v>
      </c>
      <c r="DC99" s="567">
        <f t="shared" si="279"/>
        <v>25728.98</v>
      </c>
      <c r="DD99" s="567" t="e">
        <f t="shared" si="280"/>
        <v>#N/A</v>
      </c>
      <c r="DE99" s="567">
        <f t="shared" si="280"/>
        <v>14952</v>
      </c>
      <c r="DF99" s="568">
        <f t="shared" si="281"/>
        <v>24663.919999999998</v>
      </c>
      <c r="EL99" s="553">
        <f t="shared" si="265"/>
        <v>18818.84</v>
      </c>
      <c r="EM99" s="553">
        <f t="shared" si="266"/>
        <v>6911.39</v>
      </c>
      <c r="EN99" s="423">
        <f t="shared" si="267"/>
        <v>25730.23</v>
      </c>
      <c r="EO99" s="555">
        <f xml:space="preserve"> 'i2'!AO99</f>
        <v>25728.98</v>
      </c>
      <c r="EV99" s="533" t="e">
        <f xml:space="preserve"> ROUND(    IF( $A$15=BE_MF_,   LEER,   INDEX( Kx!99:99, EV$16 ) ),    EV$17    )</f>
        <v>#VALUE!</v>
      </c>
      <c r="EW99" s="533" t="e">
        <f xml:space="preserve"> ROUND(    IF( $A$15=BE_MF_,   LEER,   INDEX( Kx!99:99, EW$16 ) ),    EW$17    )</f>
        <v>#VALUE!</v>
      </c>
      <c r="EX99" s="533" t="e">
        <f xml:space="preserve"> ROUND(    IF( $A$15=BE_MF_,   LEER,   INDEX( Kx!99:99, EX$16 ) ),    EX$17    )</f>
        <v>#VALUE!</v>
      </c>
      <c r="EY99" s="556" t="e">
        <f t="shared" si="282"/>
        <v>#VALUE!</v>
      </c>
      <c r="FB99" s="533" t="e">
        <f xml:space="preserve"> ROUND(    IF( $A$15=BE_MF_,   LEER,   INDEX( Kx!99:99, FB$16 ) ),    FB$17    )</f>
        <v>#VALUE!</v>
      </c>
      <c r="FC99" s="533" t="e">
        <f xml:space="preserve"> ROUND(    IF( $A$15=BE_MF_,   LEER,   INDEX( Kx!99:99, FC$16 ) ),    FC$17    )</f>
        <v>#VALUE!</v>
      </c>
      <c r="FD99" s="556" t="e">
        <f t="shared" si="283"/>
        <v>#VALUE!</v>
      </c>
      <c r="FG99" s="556" t="e">
        <f t="shared" si="284"/>
        <v>#VALUE!</v>
      </c>
      <c r="FH99" s="556" t="e">
        <f t="shared" si="284"/>
        <v>#VALUE!</v>
      </c>
      <c r="FI99" s="556" t="e">
        <f t="shared" si="284"/>
        <v>#VALUE!</v>
      </c>
      <c r="FN99" s="557">
        <f t="shared" si="268"/>
        <v>99</v>
      </c>
      <c r="FO99" s="493">
        <f t="shared" si="269"/>
        <v>18.757400000000001</v>
      </c>
      <c r="FP99" s="493">
        <f t="shared" si="270"/>
        <v>3.3974000000000002</v>
      </c>
      <c r="FR99" s="427">
        <f t="shared" si="285"/>
        <v>1068649.6199999994</v>
      </c>
      <c r="FS99" s="558">
        <f t="shared" si="271"/>
        <v>30500.21</v>
      </c>
      <c r="FT99" s="558">
        <f t="shared" si="271"/>
        <v>30214.32</v>
      </c>
      <c r="FU99" s="558">
        <f t="shared" si="271"/>
        <v>29927.72</v>
      </c>
      <c r="FV99" s="558">
        <f t="shared" si="271"/>
        <v>29641.119999999999</v>
      </c>
      <c r="FW99" s="558">
        <f t="shared" si="271"/>
        <v>29344.639999999999</v>
      </c>
      <c r="FX99" s="558">
        <f t="shared" si="271"/>
        <v>29039.69</v>
      </c>
      <c r="FY99" s="558">
        <f t="shared" si="271"/>
        <v>28737.56</v>
      </c>
      <c r="FZ99" s="558">
        <f t="shared" si="271"/>
        <v>28433.31</v>
      </c>
      <c r="GA99" s="558">
        <f t="shared" si="271"/>
        <v>28118.48</v>
      </c>
      <c r="GB99" s="558">
        <f t="shared" si="271"/>
        <v>27790.94</v>
      </c>
      <c r="GC99" s="558">
        <f t="shared" si="271"/>
        <v>27461.279999999999</v>
      </c>
      <c r="GD99" s="558">
        <f t="shared" si="271"/>
        <v>27126.68</v>
      </c>
      <c r="GE99" s="558">
        <f t="shared" si="271"/>
        <v>26784.31</v>
      </c>
      <c r="GF99" s="558">
        <f t="shared" si="271"/>
        <v>26440.53</v>
      </c>
      <c r="GG99" s="558">
        <f t="shared" si="271"/>
        <v>26086.17</v>
      </c>
      <c r="GH99" s="558">
        <f t="shared" ref="GH99:GW114" si="292" xml:space="preserve"> IF(  OR( GH$18&gt;$FN99, $FN99&gt;$FS$12 ),  LEER,  ROUND( $FR$19 * ( $FO99 - GH$15 * $FP99 ), GH$17 )  )</f>
        <v>25728.98</v>
      </c>
      <c r="GI99" s="558">
        <f t="shared" si="292"/>
        <v>25361.200000000001</v>
      </c>
      <c r="GJ99" s="558">
        <f t="shared" si="292"/>
        <v>24984.95</v>
      </c>
      <c r="GK99" s="558">
        <f t="shared" si="292"/>
        <v>24598.11</v>
      </c>
      <c r="GL99" s="558">
        <f t="shared" si="292"/>
        <v>24199.98</v>
      </c>
      <c r="GM99" s="558">
        <f t="shared" si="292"/>
        <v>23789.85</v>
      </c>
      <c r="GN99" s="558">
        <f t="shared" si="292"/>
        <v>23364.19</v>
      </c>
      <c r="GO99" s="558">
        <f t="shared" si="292"/>
        <v>22922.99</v>
      </c>
      <c r="GP99" s="558">
        <f t="shared" si="292"/>
        <v>22465.56</v>
      </c>
      <c r="GQ99" s="558">
        <f t="shared" si="292"/>
        <v>21989.78</v>
      </c>
      <c r="GR99" s="558">
        <f t="shared" si="292"/>
        <v>21499.18</v>
      </c>
      <c r="GS99" s="558">
        <f t="shared" si="292"/>
        <v>20991.63</v>
      </c>
      <c r="GT99" s="558">
        <f t="shared" si="292"/>
        <v>20468.55</v>
      </c>
      <c r="GU99" s="558">
        <f t="shared" si="292"/>
        <v>19931.349999999999</v>
      </c>
      <c r="GV99" s="558">
        <f t="shared" si="292"/>
        <v>19380.75</v>
      </c>
      <c r="GW99" s="558">
        <f t="shared" si="292"/>
        <v>18818.84</v>
      </c>
      <c r="GX99" s="558">
        <f t="shared" si="272"/>
        <v>18243.53</v>
      </c>
      <c r="GY99" s="558">
        <f t="shared" si="272"/>
        <v>17660.45</v>
      </c>
      <c r="GZ99" s="558">
        <f t="shared" si="272"/>
        <v>17066.78</v>
      </c>
      <c r="HA99" s="558">
        <f t="shared" si="272"/>
        <v>16466.759999999998</v>
      </c>
      <c r="HB99" s="558">
        <f t="shared" si="272"/>
        <v>15860.38</v>
      </c>
      <c r="HC99" s="558">
        <f t="shared" si="272"/>
        <v>15246.95</v>
      </c>
      <c r="HD99" s="558">
        <f t="shared" si="272"/>
        <v>14628.57</v>
      </c>
      <c r="HE99" s="558">
        <f t="shared" si="272"/>
        <v>14001.02</v>
      </c>
      <c r="HF99" s="558">
        <f t="shared" si="272"/>
        <v>13360.05</v>
      </c>
      <c r="HG99" s="558">
        <f t="shared" si="272"/>
        <v>12709.91</v>
      </c>
      <c r="HH99" s="558">
        <f t="shared" si="272"/>
        <v>12053.42</v>
      </c>
      <c r="HI99" s="558">
        <f t="shared" si="272"/>
        <v>11388.45</v>
      </c>
      <c r="HJ99" s="558">
        <f t="shared" si="272"/>
        <v>10718.54</v>
      </c>
      <c r="HK99" s="558">
        <f t="shared" si="272"/>
        <v>10041.58</v>
      </c>
      <c r="HL99" s="558">
        <f t="shared" si="272"/>
        <v>9370.9599999999991</v>
      </c>
      <c r="HM99" s="558">
        <f t="shared" ref="HM99:IB114" si="293" xml:space="preserve"> IF(  OR( HM$18&gt;$FN99, $FN99&gt;$FS$12 ),  LEER,  ROUND( $FR$19 * ( $FO99 - HM$15 * $FP99 ), HM$17 )  )</f>
        <v>8694.7000000000007</v>
      </c>
      <c r="HN99" s="558">
        <f t="shared" si="293"/>
        <v>8022.68</v>
      </c>
      <c r="HO99" s="558">
        <f t="shared" si="293"/>
        <v>7355.6</v>
      </c>
      <c r="HP99" s="558">
        <f t="shared" si="293"/>
        <v>6691.34</v>
      </c>
      <c r="HQ99" s="558">
        <f t="shared" si="293"/>
        <v>6144.26</v>
      </c>
      <c r="HR99" s="558">
        <f t="shared" si="293"/>
        <v>5614.12</v>
      </c>
      <c r="HS99" s="558">
        <f t="shared" si="293"/>
        <v>5106.57</v>
      </c>
      <c r="HT99" s="558">
        <f t="shared" si="293"/>
        <v>4625.8500000000004</v>
      </c>
      <c r="HU99" s="558">
        <f t="shared" si="293"/>
        <v>4045.59</v>
      </c>
      <c r="HV99" s="558">
        <f t="shared" si="293"/>
        <v>3487.92</v>
      </c>
      <c r="HW99" s="558">
        <f t="shared" si="293"/>
        <v>2956.38</v>
      </c>
      <c r="HX99" s="558">
        <f t="shared" si="293"/>
        <v>2467.89</v>
      </c>
      <c r="HY99" s="558">
        <f t="shared" si="293"/>
        <v>2018.22</v>
      </c>
      <c r="HZ99" s="558">
        <f t="shared" si="293"/>
        <v>1609.5</v>
      </c>
      <c r="IA99" s="558">
        <f t="shared" si="293"/>
        <v>1251.6099999999999</v>
      </c>
      <c r="IB99" s="558">
        <f t="shared" si="293"/>
        <v>936.77</v>
      </c>
      <c r="IC99" s="558">
        <f t="shared" si="291"/>
        <v>680.53</v>
      </c>
      <c r="ID99" s="558">
        <f t="shared" si="291"/>
        <v>474.4</v>
      </c>
      <c r="IE99" s="558">
        <f t="shared" si="291"/>
        <v>320.51</v>
      </c>
      <c r="IF99" s="558">
        <f t="shared" si="291"/>
        <v>218.16</v>
      </c>
      <c r="IG99" s="558">
        <f t="shared" si="291"/>
        <v>150.38999999999999</v>
      </c>
      <c r="IH99" s="558">
        <f t="shared" si="291"/>
        <v>103.09</v>
      </c>
      <c r="II99" s="558">
        <f t="shared" si="291"/>
        <v>101.68</v>
      </c>
      <c r="IJ99" s="558">
        <f t="shared" si="291"/>
        <v>98.86</v>
      </c>
      <c r="IK99" s="558">
        <f t="shared" si="291"/>
        <v>96.03</v>
      </c>
      <c r="IL99" s="558">
        <f t="shared" si="291"/>
        <v>91.8</v>
      </c>
      <c r="IM99" s="558">
        <f t="shared" si="291"/>
        <v>86.15</v>
      </c>
      <c r="IN99" s="558">
        <f t="shared" si="291"/>
        <v>78.39</v>
      </c>
      <c r="IO99" s="558">
        <f t="shared" si="291"/>
        <v>67.8</v>
      </c>
      <c r="IP99" s="558">
        <f t="shared" si="291"/>
        <v>52.97</v>
      </c>
      <c r="IQ99" s="558">
        <f t="shared" si="291"/>
        <v>33.21</v>
      </c>
      <c r="IR99" s="558">
        <f t="shared" si="291"/>
        <v>4.2699999999999996</v>
      </c>
      <c r="IS99" s="558">
        <f t="shared" si="291"/>
        <v>2.15</v>
      </c>
      <c r="IT99" s="558">
        <f t="shared" si="291"/>
        <v>0.03</v>
      </c>
      <c r="IU99" s="558" t="str">
        <f t="shared" si="291"/>
        <v>.</v>
      </c>
      <c r="IV99" s="558" t="str">
        <f t="shared" si="291"/>
        <v>.</v>
      </c>
      <c r="IW99" s="558" t="str">
        <f t="shared" si="291"/>
        <v>.</v>
      </c>
      <c r="IX99" s="558" t="str">
        <f t="shared" si="291"/>
        <v>.</v>
      </c>
      <c r="IY99" s="558" t="str">
        <f t="shared" si="291"/>
        <v>.</v>
      </c>
      <c r="IZ99" s="558" t="str">
        <f t="shared" si="291"/>
        <v>.</v>
      </c>
      <c r="JA99" s="558" t="str">
        <f t="shared" si="291"/>
        <v>.</v>
      </c>
      <c r="JB99" s="558" t="str">
        <f t="shared" si="289"/>
        <v>.</v>
      </c>
      <c r="JC99" s="558" t="str">
        <f t="shared" si="289"/>
        <v>.</v>
      </c>
      <c r="JD99" s="558" t="str">
        <f t="shared" si="289"/>
        <v>.</v>
      </c>
      <c r="JE99" s="558" t="str">
        <f t="shared" si="289"/>
        <v>.</v>
      </c>
      <c r="JF99" s="558" t="str">
        <f t="shared" si="289"/>
        <v>.</v>
      </c>
      <c r="JG99" s="558" t="str">
        <f t="shared" si="289"/>
        <v>.</v>
      </c>
      <c r="JH99" s="558" t="str">
        <f t="shared" si="289"/>
        <v>.</v>
      </c>
      <c r="JI99" s="558" t="str">
        <f t="shared" si="289"/>
        <v>.</v>
      </c>
      <c r="JJ99" s="558" t="str">
        <f t="shared" si="289"/>
        <v>.</v>
      </c>
      <c r="JK99" s="558" t="str">
        <f t="shared" si="290"/>
        <v>.</v>
      </c>
      <c r="JL99" s="558" t="str">
        <f t="shared" si="290"/>
        <v>.</v>
      </c>
      <c r="JM99" s="558" t="str">
        <f t="shared" si="290"/>
        <v>.</v>
      </c>
      <c r="JN99" s="558" t="str">
        <f t="shared" si="290"/>
        <v>.</v>
      </c>
      <c r="JO99" s="558" t="str">
        <f t="shared" si="290"/>
        <v>.</v>
      </c>
    </row>
    <row r="100" spans="1:275" x14ac:dyDescent="0.2">
      <c r="A100" s="534">
        <f xml:space="preserve"> Basis!A100</f>
        <v>100</v>
      </c>
      <c r="F100" s="536">
        <f xml:space="preserve"> ROUND(    IF( $A$15=BE_MF_,   AW100,   INDEX( qx!100:100, F$16 ) ),    F$17    )</f>
        <v>0.26479999999999998</v>
      </c>
      <c r="G100" s="536">
        <f xml:space="preserve"> ROUND(    IF( $A$15=BE_MF_,   BB100,   INDEX( wx!100:100, G$16 ) ),    G$17    )</f>
        <v>1.5E-3</v>
      </c>
      <c r="H100" s="537">
        <f xml:space="preserve"> ROUND(    IF( $A$15=BE_MF_,   BG100,   INDEX( Kx!100:100, H$16 ) ),    H$17    )</f>
        <v>11249.37</v>
      </c>
      <c r="I100" s="538">
        <f t="shared" si="273"/>
        <v>11469.4</v>
      </c>
      <c r="J100" s="539">
        <f t="shared" si="208"/>
        <v>5.52</v>
      </c>
      <c r="K100" s="540">
        <f t="shared" si="274"/>
        <v>0</v>
      </c>
      <c r="L100" s="541">
        <f t="shared" si="116"/>
        <v>0</v>
      </c>
      <c r="M100" s="541">
        <f t="shared" si="116"/>
        <v>8.5999999999999993E-2</v>
      </c>
      <c r="O100" s="542" t="b">
        <f t="shared" si="275"/>
        <v>1</v>
      </c>
      <c r="P100" s="493">
        <f t="shared" si="209"/>
        <v>0.26629999999999998</v>
      </c>
      <c r="Q100" s="493">
        <f t="shared" si="210"/>
        <v>0.73370000000000002</v>
      </c>
      <c r="R100" s="543">
        <f t="shared" si="211"/>
        <v>25550</v>
      </c>
      <c r="S100" s="544">
        <f t="shared" si="212"/>
        <v>0.97560975599999999</v>
      </c>
      <c r="T100" s="423">
        <f t="shared" si="213"/>
        <v>2162.7399999999998</v>
      </c>
      <c r="U100" s="423">
        <f xml:space="preserve"> IF( $O100,    ROUND(  SUM( T100:T$120), U$17 ),  LEER  )</f>
        <v>7196.59</v>
      </c>
      <c r="V100" s="493">
        <f t="shared" si="214"/>
        <v>3.3275000000000001</v>
      </c>
      <c r="W100" s="493">
        <f t="shared" si="215"/>
        <v>11938.32</v>
      </c>
      <c r="X100" s="493">
        <f xml:space="preserve"> IF( $O100,    ROUND(  SUM( W100:W$120), X$17 ),  LEER  )</f>
        <v>39736.68</v>
      </c>
      <c r="Y100" s="493">
        <f t="shared" si="216"/>
        <v>18.3733</v>
      </c>
      <c r="Z100" s="493">
        <f t="shared" si="217"/>
        <v>5.5217000000000001</v>
      </c>
      <c r="AA100" s="493">
        <f t="shared" si="218"/>
        <v>1</v>
      </c>
      <c r="AB100" s="493">
        <f t="shared" si="219"/>
        <v>2.3494000000000002</v>
      </c>
      <c r="AC100" s="545">
        <f t="shared" si="220"/>
        <v>0.32679999999999998</v>
      </c>
      <c r="AD100" s="493">
        <f t="shared" si="221"/>
        <v>5.5217000000000001</v>
      </c>
      <c r="AE100" s="493">
        <f t="shared" si="222"/>
        <v>6.3987999999999996</v>
      </c>
      <c r="AF100" s="493">
        <f t="shared" si="223"/>
        <v>6.3987999999999996</v>
      </c>
      <c r="AG100" s="493" t="str">
        <f t="shared" si="224"/>
        <v>.</v>
      </c>
      <c r="AH100" s="493" t="str">
        <f t="shared" si="225"/>
        <v>.</v>
      </c>
      <c r="AI100" s="423">
        <f t="shared" si="226"/>
        <v>2077.79</v>
      </c>
      <c r="AJ100" s="423">
        <f t="shared" si="227"/>
        <v>13295.36</v>
      </c>
      <c r="AK100" s="423">
        <f t="shared" si="228"/>
        <v>1107.95</v>
      </c>
      <c r="AN100" s="423">
        <f t="shared" ref="AN100:AO120" si="294" xml:space="preserve">  IF( AND( $A100&lt;=$O$12, $A100&gt;=AN$12),    ROUND( AN$19 * ( SUM($Y100) - SUM(AN$8) * SUM($V100) ), AN$17 ),  LEER  )</f>
        <v>25356.9</v>
      </c>
      <c r="AO100" s="423">
        <f t="shared" si="294"/>
        <v>25203.41</v>
      </c>
      <c r="AR100" s="546">
        <f xml:space="preserve"> ROUND(  INDEX( Kx!100:100, AR$16 ),  AR$17 )</f>
        <v>0.24679999999999999</v>
      </c>
      <c r="AS100" s="547">
        <f xml:space="preserve"> ROUND(  INDEX( qx!100:100, AS$16 ),  AS$17 )</f>
        <v>0.27300000000000002</v>
      </c>
      <c r="AT100" s="547">
        <f xml:space="preserve"> ROUND(  INDEX( qx!100:100, AT$16 ),  AT$17 )</f>
        <v>0.26300000000000001</v>
      </c>
      <c r="AU100" s="548" t="str">
        <f t="shared" si="229"/>
        <v>F</v>
      </c>
      <c r="AV100" s="542">
        <f t="shared" si="230"/>
        <v>0.17929999999999999</v>
      </c>
      <c r="AW100" s="542">
        <f t="shared" si="231"/>
        <v>0.26479999999999998</v>
      </c>
      <c r="AX100" s="546">
        <f xml:space="preserve"> ROUND(  INDEX( wx!100:100, AX$16 ),  AX$17 )</f>
        <v>2.0000000000000001E-4</v>
      </c>
      <c r="AY100" s="546">
        <f xml:space="preserve"> ROUND(  INDEX( wx!100:100, AY$16 ),  AY$17 )</f>
        <v>2.0999999999999999E-3</v>
      </c>
      <c r="AZ100" s="548" t="str">
        <f t="shared" si="232"/>
        <v>M</v>
      </c>
      <c r="BA100" s="542">
        <f t="shared" si="233"/>
        <v>0.32950000000000002</v>
      </c>
      <c r="BB100" s="542">
        <f t="shared" si="234"/>
        <v>1.5E-3</v>
      </c>
      <c r="BC100" s="533">
        <f xml:space="preserve"> ROUND(  INDEX( Kx!100:100, BC$16 ),  BC$17 )</f>
        <v>13263.95</v>
      </c>
      <c r="BD100" s="533">
        <f xml:space="preserve"> ROUND(  INDEX( Kx!100:100, BD$16 ),  BD$17 )</f>
        <v>10259.35</v>
      </c>
      <c r="BE100" s="548" t="str">
        <f t="shared" si="235"/>
        <v>M</v>
      </c>
      <c r="BF100" s="542">
        <f t="shared" si="236"/>
        <v>0.32950000000000002</v>
      </c>
      <c r="BG100" s="420">
        <f t="shared" si="237"/>
        <v>11249.37</v>
      </c>
      <c r="BQ100" s="549">
        <f t="shared" si="276"/>
        <v>100</v>
      </c>
      <c r="BR100" s="423">
        <f t="shared" si="238"/>
        <v>25885.69</v>
      </c>
      <c r="BS100" s="550">
        <f t="shared" si="239"/>
        <v>11469.4</v>
      </c>
      <c r="BT100" s="423">
        <f t="shared" si="240"/>
        <v>-7616.97</v>
      </c>
      <c r="BU100" s="551">
        <f t="shared" si="241"/>
        <v>2162.7399999999998</v>
      </c>
      <c r="BV100" s="551">
        <f t="shared" si="242"/>
        <v>1.3879999999999999</v>
      </c>
      <c r="BW100" s="529">
        <f t="shared" si="243"/>
        <v>25356.9</v>
      </c>
      <c r="BX100" s="552">
        <f t="shared" si="244"/>
        <v>7088.1800000000039</v>
      </c>
      <c r="BY100" s="560"/>
      <c r="BZ100" s="559"/>
      <c r="CB100" s="423">
        <f t="shared" si="245"/>
        <v>-7807.39</v>
      </c>
      <c r="CC100" s="423">
        <f t="shared" si="246"/>
        <v>633.91999999999996</v>
      </c>
      <c r="CD100" s="423">
        <f t="shared" si="247"/>
        <v>6599.73</v>
      </c>
      <c r="CE100" s="423">
        <f t="shared" si="248"/>
        <v>-573.74000000000069</v>
      </c>
      <c r="CF100" s="553">
        <f t="shared" si="249"/>
        <v>-573.83000000000175</v>
      </c>
      <c r="CH100" s="423">
        <f t="shared" si="250"/>
        <v>3852.4304390000002</v>
      </c>
      <c r="CI100" s="423">
        <f t="shared" si="251"/>
        <v>11469.4</v>
      </c>
      <c r="CJ100" s="423">
        <f t="shared" si="252"/>
        <v>-1178.3</v>
      </c>
      <c r="CK100" s="423">
        <f t="shared" si="253"/>
        <v>-6438.76</v>
      </c>
      <c r="CL100" s="553">
        <f t="shared" si="254"/>
        <v>3852.34</v>
      </c>
      <c r="CN100" s="423">
        <f t="shared" si="255"/>
        <v>3898.5573770000001</v>
      </c>
      <c r="CO100" s="423">
        <f t="shared" si="256"/>
        <v>11469.4</v>
      </c>
      <c r="CP100" s="423">
        <f t="shared" si="257"/>
        <v>-1171.1400000000001</v>
      </c>
      <c r="CQ100" s="423">
        <f t="shared" si="258"/>
        <v>-6399.79</v>
      </c>
      <c r="CR100" s="553">
        <f t="shared" si="259"/>
        <v>3898.4700000000003</v>
      </c>
      <c r="CV100" s="564">
        <f t="shared" si="277"/>
        <v>100</v>
      </c>
      <c r="CW100" s="538" t="str">
        <f t="shared" si="260"/>
        <v>.</v>
      </c>
      <c r="CX100" s="566">
        <f t="shared" si="261"/>
        <v>25203.41</v>
      </c>
      <c r="CY100" s="538" t="str">
        <f t="shared" si="262"/>
        <v>.</v>
      </c>
      <c r="CZ100" s="538">
        <f t="shared" si="263"/>
        <v>14644</v>
      </c>
      <c r="DA100" s="538">
        <f t="shared" si="264"/>
        <v>9515.89</v>
      </c>
      <c r="DB100" s="567" t="e">
        <f t="shared" si="278"/>
        <v>#N/A</v>
      </c>
      <c r="DC100" s="567">
        <f t="shared" si="279"/>
        <v>25203.41</v>
      </c>
      <c r="DD100" s="567" t="e">
        <f t="shared" si="280"/>
        <v>#N/A</v>
      </c>
      <c r="DE100" s="567">
        <f t="shared" si="280"/>
        <v>14644</v>
      </c>
      <c r="DF100" s="568">
        <f t="shared" si="281"/>
        <v>24159.89</v>
      </c>
      <c r="EL100" s="553">
        <f t="shared" si="265"/>
        <v>18435.45</v>
      </c>
      <c r="EM100" s="553">
        <f t="shared" si="266"/>
        <v>6769.19</v>
      </c>
      <c r="EN100" s="423">
        <f t="shared" si="267"/>
        <v>25204.639999999999</v>
      </c>
      <c r="EO100" s="555">
        <f xml:space="preserve"> 'i2'!AO100</f>
        <v>25203.41</v>
      </c>
      <c r="EV100" s="533" t="e">
        <f xml:space="preserve"> ROUND(    IF( $A$15=BE_MF_,   LEER,   INDEX( Kx!100:100, EV$16 ) ),    EV$17    )</f>
        <v>#VALUE!</v>
      </c>
      <c r="EW100" s="533" t="e">
        <f xml:space="preserve"> ROUND(    IF( $A$15=BE_MF_,   LEER,   INDEX( Kx!100:100, EW$16 ) ),    EW$17    )</f>
        <v>#VALUE!</v>
      </c>
      <c r="EX100" s="533" t="e">
        <f xml:space="preserve"> ROUND(    IF( $A$15=BE_MF_,   LEER,   INDEX( Kx!100:100, EX$16 ) ),    EX$17    )</f>
        <v>#VALUE!</v>
      </c>
      <c r="EY100" s="556" t="e">
        <f t="shared" si="282"/>
        <v>#VALUE!</v>
      </c>
      <c r="FB100" s="533" t="e">
        <f xml:space="preserve"> ROUND(    IF( $A$15=BE_MF_,   LEER,   INDEX( Kx!100:100, FB$16 ) ),    FB$17    )</f>
        <v>#VALUE!</v>
      </c>
      <c r="FC100" s="533" t="e">
        <f xml:space="preserve"> ROUND(    IF( $A$15=BE_MF_,   LEER,   INDEX( Kx!100:100, FC$16 ) ),    FC$17    )</f>
        <v>#VALUE!</v>
      </c>
      <c r="FD100" s="556" t="e">
        <f t="shared" si="283"/>
        <v>#VALUE!</v>
      </c>
      <c r="FG100" s="556" t="e">
        <f t="shared" si="284"/>
        <v>#VALUE!</v>
      </c>
      <c r="FH100" s="556" t="e">
        <f t="shared" si="284"/>
        <v>#VALUE!</v>
      </c>
      <c r="FI100" s="556" t="e">
        <f t="shared" si="284"/>
        <v>#VALUE!</v>
      </c>
      <c r="FN100" s="557">
        <f t="shared" si="268"/>
        <v>100</v>
      </c>
      <c r="FO100" s="493">
        <f t="shared" si="269"/>
        <v>18.3733</v>
      </c>
      <c r="FP100" s="493">
        <f t="shared" si="270"/>
        <v>3.3275000000000001</v>
      </c>
      <c r="FR100" s="427">
        <f t="shared" si="285"/>
        <v>1046965.73</v>
      </c>
      <c r="FS100" s="558">
        <f t="shared" ref="FS100:GH115" si="295" xml:space="preserve"> IF(  OR( FS$18&gt;$FN100, $FN100&gt;$FS$12 ),  LEER,  ROUND( $FR$19 * ( $FO100 - FS$15 * $FP100 ), FS$17 )  )</f>
        <v>29876.48</v>
      </c>
      <c r="FT100" s="558">
        <f t="shared" si="295"/>
        <v>29596.47</v>
      </c>
      <c r="FU100" s="558">
        <f t="shared" si="295"/>
        <v>29315.77</v>
      </c>
      <c r="FV100" s="558">
        <f t="shared" si="295"/>
        <v>29035.06</v>
      </c>
      <c r="FW100" s="558">
        <f t="shared" si="295"/>
        <v>28744.68</v>
      </c>
      <c r="FX100" s="558">
        <f t="shared" si="295"/>
        <v>28446</v>
      </c>
      <c r="FY100" s="558">
        <f t="shared" si="295"/>
        <v>28150.09</v>
      </c>
      <c r="FZ100" s="558">
        <f t="shared" si="295"/>
        <v>27852.1</v>
      </c>
      <c r="GA100" s="558">
        <f t="shared" si="295"/>
        <v>27543.75</v>
      </c>
      <c r="GB100" s="558">
        <f t="shared" si="295"/>
        <v>27222.94</v>
      </c>
      <c r="GC100" s="558">
        <f t="shared" si="295"/>
        <v>26900.07</v>
      </c>
      <c r="GD100" s="558">
        <f t="shared" si="295"/>
        <v>26572.35</v>
      </c>
      <c r="GE100" s="558">
        <f t="shared" si="295"/>
        <v>26237.03</v>
      </c>
      <c r="GF100" s="558">
        <f t="shared" si="295"/>
        <v>25900.33</v>
      </c>
      <c r="GG100" s="558">
        <f t="shared" si="295"/>
        <v>25553.25</v>
      </c>
      <c r="GH100" s="558">
        <f t="shared" si="295"/>
        <v>25203.41</v>
      </c>
      <c r="GI100" s="558">
        <f t="shared" si="292"/>
        <v>24843.200000000001</v>
      </c>
      <c r="GJ100" s="558">
        <f t="shared" si="292"/>
        <v>24474.69</v>
      </c>
      <c r="GK100" s="558">
        <f t="shared" si="292"/>
        <v>24095.81</v>
      </c>
      <c r="GL100" s="558">
        <f t="shared" si="292"/>
        <v>23705.87</v>
      </c>
      <c r="GM100" s="558">
        <f t="shared" si="292"/>
        <v>23304.18</v>
      </c>
      <c r="GN100" s="558">
        <f t="shared" si="292"/>
        <v>22887.27</v>
      </c>
      <c r="GO100" s="558">
        <f t="shared" si="292"/>
        <v>22455.16</v>
      </c>
      <c r="GP100" s="558">
        <f t="shared" si="292"/>
        <v>22007.14</v>
      </c>
      <c r="GQ100" s="558">
        <f t="shared" si="292"/>
        <v>21541.14</v>
      </c>
      <c r="GR100" s="558">
        <f t="shared" si="292"/>
        <v>21060.63</v>
      </c>
      <c r="GS100" s="558">
        <f t="shared" si="292"/>
        <v>20563.53</v>
      </c>
      <c r="GT100" s="558">
        <f t="shared" si="292"/>
        <v>20051.21</v>
      </c>
      <c r="GU100" s="558">
        <f t="shared" si="292"/>
        <v>19525.07</v>
      </c>
      <c r="GV100" s="558">
        <f t="shared" si="292"/>
        <v>18985.79</v>
      </c>
      <c r="GW100" s="558">
        <f t="shared" si="292"/>
        <v>18435.45</v>
      </c>
      <c r="GX100" s="558">
        <f t="shared" ref="GX100:HM115" si="296" xml:space="preserve"> IF(  OR( GX$18&gt;$FN100, $FN100&gt;$FS$12 ),  LEER,  ROUND( $FR$19 * ( $FO100 - GX$15 * $FP100 ), GX$17 )  )</f>
        <v>17871.97</v>
      </c>
      <c r="GY100" s="558">
        <f t="shared" si="296"/>
        <v>17300.88</v>
      </c>
      <c r="GZ100" s="558">
        <f t="shared" si="296"/>
        <v>16719.43</v>
      </c>
      <c r="HA100" s="558">
        <f t="shared" si="296"/>
        <v>16131.75</v>
      </c>
      <c r="HB100" s="558">
        <f t="shared" si="296"/>
        <v>15537.85</v>
      </c>
      <c r="HC100" s="558">
        <f t="shared" si="296"/>
        <v>14937.04</v>
      </c>
      <c r="HD100" s="558">
        <f t="shared" si="296"/>
        <v>14331.39</v>
      </c>
      <c r="HE100" s="558">
        <f t="shared" si="296"/>
        <v>13716.75</v>
      </c>
      <c r="HF100" s="558">
        <f t="shared" si="296"/>
        <v>13088.97</v>
      </c>
      <c r="HG100" s="558">
        <f t="shared" si="296"/>
        <v>12452.2</v>
      </c>
      <c r="HH100" s="558">
        <f t="shared" si="296"/>
        <v>11809.22</v>
      </c>
      <c r="HI100" s="558">
        <f t="shared" si="296"/>
        <v>11157.93</v>
      </c>
      <c r="HJ100" s="558">
        <f t="shared" si="296"/>
        <v>10501.81</v>
      </c>
      <c r="HK100" s="558">
        <f t="shared" si="296"/>
        <v>9838.77</v>
      </c>
      <c r="HL100" s="558">
        <f t="shared" si="296"/>
        <v>9181.9500000000007</v>
      </c>
      <c r="HM100" s="558">
        <f t="shared" si="296"/>
        <v>8519.61</v>
      </c>
      <c r="HN100" s="558">
        <f t="shared" si="293"/>
        <v>7861.41</v>
      </c>
      <c r="HO100" s="558">
        <f t="shared" si="293"/>
        <v>7208.05</v>
      </c>
      <c r="HP100" s="558">
        <f t="shared" si="293"/>
        <v>6557.46</v>
      </c>
      <c r="HQ100" s="558">
        <f t="shared" si="293"/>
        <v>6021.63</v>
      </c>
      <c r="HR100" s="558">
        <f t="shared" si="293"/>
        <v>5502.4</v>
      </c>
      <c r="HS100" s="558">
        <f t="shared" si="293"/>
        <v>5005.3</v>
      </c>
      <c r="HT100" s="558">
        <f t="shared" si="293"/>
        <v>4534.47</v>
      </c>
      <c r="HU100" s="558">
        <f t="shared" si="293"/>
        <v>3966.15</v>
      </c>
      <c r="HV100" s="558">
        <f t="shared" si="293"/>
        <v>3419.95</v>
      </c>
      <c r="HW100" s="558">
        <f t="shared" si="293"/>
        <v>2899.34</v>
      </c>
      <c r="HX100" s="558">
        <f t="shared" si="293"/>
        <v>2420.9</v>
      </c>
      <c r="HY100" s="558">
        <f t="shared" si="293"/>
        <v>1980.49</v>
      </c>
      <c r="HZ100" s="558">
        <f t="shared" si="293"/>
        <v>1580.18</v>
      </c>
      <c r="IA100" s="558">
        <f t="shared" si="293"/>
        <v>1229.6500000000001</v>
      </c>
      <c r="IB100" s="558">
        <f t="shared" si="293"/>
        <v>921.29</v>
      </c>
      <c r="IC100" s="558">
        <f t="shared" si="291"/>
        <v>670.32</v>
      </c>
      <c r="ID100" s="558">
        <f t="shared" si="291"/>
        <v>468.43</v>
      </c>
      <c r="IE100" s="558">
        <f t="shared" si="291"/>
        <v>317.70999999999998</v>
      </c>
      <c r="IF100" s="558">
        <f t="shared" si="291"/>
        <v>217.46</v>
      </c>
      <c r="IG100" s="558">
        <f t="shared" si="291"/>
        <v>151.09</v>
      </c>
      <c r="IH100" s="558">
        <f t="shared" si="291"/>
        <v>104.76</v>
      </c>
      <c r="II100" s="558">
        <f t="shared" si="291"/>
        <v>103.38</v>
      </c>
      <c r="IJ100" s="558">
        <f t="shared" si="291"/>
        <v>100.62</v>
      </c>
      <c r="IK100" s="558">
        <f t="shared" si="291"/>
        <v>97.85</v>
      </c>
      <c r="IL100" s="558">
        <f t="shared" si="291"/>
        <v>93.7</v>
      </c>
      <c r="IM100" s="558">
        <f t="shared" si="291"/>
        <v>88.17</v>
      </c>
      <c r="IN100" s="558">
        <f t="shared" si="291"/>
        <v>80.569999999999993</v>
      </c>
      <c r="IO100" s="558">
        <f t="shared" si="291"/>
        <v>70.2</v>
      </c>
      <c r="IP100" s="558">
        <f t="shared" si="291"/>
        <v>55.68</v>
      </c>
      <c r="IQ100" s="558">
        <f t="shared" si="291"/>
        <v>36.32</v>
      </c>
      <c r="IR100" s="558">
        <f t="shared" si="291"/>
        <v>7.97</v>
      </c>
      <c r="IS100" s="558">
        <f t="shared" si="291"/>
        <v>5.9</v>
      </c>
      <c r="IT100" s="558">
        <f t="shared" si="291"/>
        <v>3.82</v>
      </c>
      <c r="IU100" s="558">
        <f t="shared" si="291"/>
        <v>-0.33</v>
      </c>
      <c r="IV100" s="558" t="str">
        <f t="shared" si="291"/>
        <v>.</v>
      </c>
      <c r="IW100" s="558" t="str">
        <f t="shared" si="291"/>
        <v>.</v>
      </c>
      <c r="IX100" s="558" t="str">
        <f t="shared" si="291"/>
        <v>.</v>
      </c>
      <c r="IY100" s="558" t="str">
        <f t="shared" si="291"/>
        <v>.</v>
      </c>
      <c r="IZ100" s="558" t="str">
        <f t="shared" si="291"/>
        <v>.</v>
      </c>
      <c r="JA100" s="558" t="str">
        <f t="shared" si="291"/>
        <v>.</v>
      </c>
      <c r="JB100" s="558" t="str">
        <f t="shared" si="289"/>
        <v>.</v>
      </c>
      <c r="JC100" s="558" t="str">
        <f t="shared" si="289"/>
        <v>.</v>
      </c>
      <c r="JD100" s="558" t="str">
        <f t="shared" si="289"/>
        <v>.</v>
      </c>
      <c r="JE100" s="558" t="str">
        <f t="shared" si="289"/>
        <v>.</v>
      </c>
      <c r="JF100" s="558" t="str">
        <f t="shared" si="289"/>
        <v>.</v>
      </c>
      <c r="JG100" s="558" t="str">
        <f t="shared" si="289"/>
        <v>.</v>
      </c>
      <c r="JH100" s="558" t="str">
        <f t="shared" si="289"/>
        <v>.</v>
      </c>
      <c r="JI100" s="558" t="str">
        <f t="shared" si="289"/>
        <v>.</v>
      </c>
      <c r="JJ100" s="558" t="str">
        <f t="shared" si="289"/>
        <v>.</v>
      </c>
      <c r="JK100" s="558" t="str">
        <f t="shared" si="289"/>
        <v>.</v>
      </c>
      <c r="JL100" s="558" t="str">
        <f t="shared" si="289"/>
        <v>.</v>
      </c>
      <c r="JM100" s="558" t="str">
        <f t="shared" si="289"/>
        <v>.</v>
      </c>
      <c r="JN100" s="558" t="str">
        <f t="shared" si="289"/>
        <v>.</v>
      </c>
      <c r="JO100" s="558" t="str">
        <f t="shared" ref="JO100:JO109" si="297" xml:space="preserve"> IF(  OR( JO$18&gt;$FN100, $FN100&gt;$FS$12 ),  LEER,  ROUND( $FR$19 * ( $FO100 - JO$15 * $FP100 ), JO$17 )  )</f>
        <v>.</v>
      </c>
    </row>
    <row r="101" spans="1:275" x14ac:dyDescent="0.2">
      <c r="A101" s="534">
        <f xml:space="preserve"> Basis!A101</f>
        <v>101</v>
      </c>
      <c r="F101" s="536">
        <f xml:space="preserve"> ROUND(    IF( $A$15=BE_MF_,   AW101,   INDEX( qx!101:101, F$16 ) ),    F$17    )</f>
        <v>0.27010000000000001</v>
      </c>
      <c r="G101" s="536">
        <f xml:space="preserve"> ROUND(    IF( $A$15=BE_MF_,   BB101,   INDEX( wx!101:101, G$16 ) ),    G$17    )</f>
        <v>1.4E-3</v>
      </c>
      <c r="H101" s="537">
        <f xml:space="preserve"> ROUND(    IF( $A$15=BE_MF_,   BG101,   INDEX( Kx!101:101, H$16 ) ),    H$17    )</f>
        <v>11283.21</v>
      </c>
      <c r="I101" s="538">
        <f t="shared" si="273"/>
        <v>11469.4</v>
      </c>
      <c r="J101" s="539">
        <f t="shared" si="208"/>
        <v>5.52</v>
      </c>
      <c r="K101" s="540">
        <f t="shared" si="274"/>
        <v>0</v>
      </c>
      <c r="L101" s="541">
        <f t="shared" si="116"/>
        <v>0</v>
      </c>
      <c r="M101" s="541">
        <f t="shared" si="116"/>
        <v>8.5999999999999993E-2</v>
      </c>
      <c r="O101" s="542" t="b">
        <f t="shared" si="275"/>
        <v>1</v>
      </c>
      <c r="P101" s="493">
        <f t="shared" si="209"/>
        <v>0.27150000000000002</v>
      </c>
      <c r="Q101" s="493">
        <f t="shared" si="210"/>
        <v>0.72850000000000004</v>
      </c>
      <c r="R101" s="543">
        <f t="shared" si="211"/>
        <v>18746</v>
      </c>
      <c r="S101" s="544">
        <f t="shared" si="212"/>
        <v>0.97560975599999999</v>
      </c>
      <c r="T101" s="423">
        <f t="shared" si="213"/>
        <v>1548.1</v>
      </c>
      <c r="U101" s="423">
        <f xml:space="preserve"> IF( $O101,    ROUND(  SUM( T101:T$120), U$17 ),  LEER  )</f>
        <v>5033.8500000000004</v>
      </c>
      <c r="V101" s="493">
        <f t="shared" si="214"/>
        <v>3.2515999999999998</v>
      </c>
      <c r="W101" s="493">
        <f t="shared" si="215"/>
        <v>8545.51</v>
      </c>
      <c r="X101" s="493">
        <f xml:space="preserve"> IF( $O101,    ROUND(  SUM( W101:W$120), X$17 ),  LEER  )</f>
        <v>27798.36</v>
      </c>
      <c r="Y101" s="493">
        <f t="shared" si="216"/>
        <v>17.956399999999999</v>
      </c>
      <c r="Z101" s="493">
        <f t="shared" si="217"/>
        <v>5.5223000000000004</v>
      </c>
      <c r="AA101" s="493">
        <f t="shared" si="218"/>
        <v>1</v>
      </c>
      <c r="AB101" s="493">
        <f t="shared" si="219"/>
        <v>2.3494000000000002</v>
      </c>
      <c r="AC101" s="545">
        <f t="shared" si="220"/>
        <v>0.32679999999999998</v>
      </c>
      <c r="AD101" s="493">
        <f t="shared" si="221"/>
        <v>5.5223000000000004</v>
      </c>
      <c r="AE101" s="493">
        <f t="shared" si="222"/>
        <v>6.3994999999999997</v>
      </c>
      <c r="AF101" s="493">
        <f t="shared" si="223"/>
        <v>6.3994999999999997</v>
      </c>
      <c r="AG101" s="493" t="str">
        <f t="shared" si="224"/>
        <v>.</v>
      </c>
      <c r="AH101" s="493" t="str">
        <f t="shared" si="225"/>
        <v>.</v>
      </c>
      <c r="AI101" s="423">
        <f t="shared" si="226"/>
        <v>2077.79</v>
      </c>
      <c r="AJ101" s="423">
        <f t="shared" si="227"/>
        <v>13296.82</v>
      </c>
      <c r="AK101" s="423">
        <f t="shared" si="228"/>
        <v>1108.07</v>
      </c>
      <c r="AN101" s="423">
        <f t="shared" si="294"/>
        <v>24783.07</v>
      </c>
      <c r="AO101" s="423">
        <f t="shared" si="294"/>
        <v>24633.08</v>
      </c>
      <c r="AR101" s="546">
        <f xml:space="preserve"> ROUND(  INDEX( Kx!101:101, AR$16 ),  AR$17 )</f>
        <v>0.24679999999999999</v>
      </c>
      <c r="AS101" s="547">
        <f xml:space="preserve"> ROUND(  INDEX( qx!101:101, AS$16 ),  AS$17 )</f>
        <v>0.27929999999999999</v>
      </c>
      <c r="AT101" s="547">
        <f xml:space="preserve"> ROUND(  INDEX( qx!101:101, AT$16 ),  AT$17 )</f>
        <v>0.2681</v>
      </c>
      <c r="AU101" s="548" t="str">
        <f t="shared" si="229"/>
        <v>F</v>
      </c>
      <c r="AV101" s="542">
        <f t="shared" si="230"/>
        <v>0.17929999999999999</v>
      </c>
      <c r="AW101" s="542">
        <f t="shared" si="231"/>
        <v>0.27010000000000001</v>
      </c>
      <c r="AX101" s="546">
        <f xml:space="preserve"> ROUND(  INDEX( wx!101:101, AX$16 ),  AX$17 )</f>
        <v>1E-4</v>
      </c>
      <c r="AY101" s="546">
        <f xml:space="preserve"> ROUND(  INDEX( wx!101:101, AY$16 ),  AY$17 )</f>
        <v>2.0999999999999999E-3</v>
      </c>
      <c r="AZ101" s="548" t="str">
        <f t="shared" si="232"/>
        <v>M</v>
      </c>
      <c r="BA101" s="542">
        <f t="shared" si="233"/>
        <v>0.32950000000000002</v>
      </c>
      <c r="BB101" s="542">
        <f t="shared" si="234"/>
        <v>1.4E-3</v>
      </c>
      <c r="BC101" s="533">
        <f xml:space="preserve"> ROUND(  INDEX( Kx!101:101, BC$16 ),  BC$17 )</f>
        <v>13342.32</v>
      </c>
      <c r="BD101" s="533">
        <f xml:space="preserve"> ROUND(  INDEX( Kx!101:101, BD$16 ),  BD$17 )</f>
        <v>10271.31</v>
      </c>
      <c r="BE101" s="548" t="str">
        <f t="shared" si="235"/>
        <v>M</v>
      </c>
      <c r="BF101" s="542">
        <f t="shared" si="236"/>
        <v>0.32950000000000002</v>
      </c>
      <c r="BG101" s="420">
        <f t="shared" si="237"/>
        <v>11283.21</v>
      </c>
      <c r="BQ101" s="549">
        <f t="shared" si="276"/>
        <v>101</v>
      </c>
      <c r="BR101" s="423">
        <f t="shared" si="238"/>
        <v>25356.9</v>
      </c>
      <c r="BS101" s="550">
        <f t="shared" si="239"/>
        <v>11469.4</v>
      </c>
      <c r="BT101" s="423">
        <f t="shared" si="240"/>
        <v>-7616.97</v>
      </c>
      <c r="BU101" s="551">
        <f t="shared" si="241"/>
        <v>1548.1</v>
      </c>
      <c r="BV101" s="551">
        <f t="shared" si="242"/>
        <v>1.397</v>
      </c>
      <c r="BW101" s="529">
        <f t="shared" si="243"/>
        <v>24783.07</v>
      </c>
      <c r="BX101" s="552">
        <f t="shared" si="244"/>
        <v>7043.1399999999994</v>
      </c>
      <c r="BY101" s="560"/>
      <c r="BZ101" s="559"/>
      <c r="CB101" s="423">
        <f t="shared" si="245"/>
        <v>-7807.39</v>
      </c>
      <c r="CC101" s="423">
        <f t="shared" si="246"/>
        <v>619.58000000000004</v>
      </c>
      <c r="CD101" s="423">
        <f t="shared" si="247"/>
        <v>6557.69</v>
      </c>
      <c r="CE101" s="423">
        <f t="shared" si="248"/>
        <v>-630.1200000000008</v>
      </c>
      <c r="CF101" s="553">
        <f t="shared" si="249"/>
        <v>-629.5099999999984</v>
      </c>
      <c r="CH101" s="423">
        <f t="shared" si="250"/>
        <v>3852.4304390000002</v>
      </c>
      <c r="CI101" s="423">
        <f t="shared" si="251"/>
        <v>11469.4</v>
      </c>
      <c r="CJ101" s="423">
        <f t="shared" si="252"/>
        <v>-1218.6199999999999</v>
      </c>
      <c r="CK101" s="423">
        <f t="shared" si="253"/>
        <v>-6397.75</v>
      </c>
      <c r="CL101" s="553">
        <f t="shared" si="254"/>
        <v>3853.0299999999988</v>
      </c>
      <c r="CN101" s="423">
        <f t="shared" si="255"/>
        <v>3898.5573770000001</v>
      </c>
      <c r="CO101" s="423">
        <f t="shared" si="256"/>
        <v>11469.4</v>
      </c>
      <c r="CP101" s="423">
        <f t="shared" si="257"/>
        <v>-1211.21</v>
      </c>
      <c r="CQ101" s="423">
        <f t="shared" si="258"/>
        <v>-6359.04</v>
      </c>
      <c r="CR101" s="553">
        <f t="shared" si="259"/>
        <v>3899.1499999999987</v>
      </c>
      <c r="CV101" s="564">
        <f t="shared" si="277"/>
        <v>101</v>
      </c>
      <c r="CW101" s="538" t="str">
        <f t="shared" si="260"/>
        <v>.</v>
      </c>
      <c r="CX101" s="566">
        <f t="shared" si="261"/>
        <v>24633.08</v>
      </c>
      <c r="CY101" s="538" t="str">
        <f t="shared" si="262"/>
        <v>.</v>
      </c>
      <c r="CZ101" s="538">
        <f t="shared" si="263"/>
        <v>14310</v>
      </c>
      <c r="DA101" s="538">
        <f t="shared" si="264"/>
        <v>9303.39</v>
      </c>
      <c r="DB101" s="567" t="e">
        <f t="shared" si="278"/>
        <v>#N/A</v>
      </c>
      <c r="DC101" s="567">
        <f t="shared" si="279"/>
        <v>24633.08</v>
      </c>
      <c r="DD101" s="567" t="e">
        <f t="shared" si="280"/>
        <v>#N/A</v>
      </c>
      <c r="DE101" s="567">
        <f t="shared" si="280"/>
        <v>14310</v>
      </c>
      <c r="DF101" s="568">
        <f t="shared" si="281"/>
        <v>23613.39</v>
      </c>
      <c r="EL101" s="553">
        <f t="shared" si="265"/>
        <v>18019.490000000002</v>
      </c>
      <c r="EM101" s="553">
        <f t="shared" si="266"/>
        <v>6614.79</v>
      </c>
      <c r="EN101" s="423">
        <f t="shared" si="267"/>
        <v>24634.28</v>
      </c>
      <c r="EO101" s="555">
        <f xml:space="preserve"> 'i2'!AO101</f>
        <v>24633.08</v>
      </c>
      <c r="EV101" s="533" t="e">
        <f xml:space="preserve"> ROUND(    IF( $A$15=BE_MF_,   LEER,   INDEX( Kx!101:101, EV$16 ) ),    EV$17    )</f>
        <v>#VALUE!</v>
      </c>
      <c r="EW101" s="533" t="e">
        <f xml:space="preserve"> ROUND(    IF( $A$15=BE_MF_,   LEER,   INDEX( Kx!101:101, EW$16 ) ),    EW$17    )</f>
        <v>#VALUE!</v>
      </c>
      <c r="EX101" s="533" t="e">
        <f xml:space="preserve"> ROUND(    IF( $A$15=BE_MF_,   LEER,   INDEX( Kx!101:101, EX$16 ) ),    EX$17    )</f>
        <v>#VALUE!</v>
      </c>
      <c r="EY101" s="556" t="e">
        <f t="shared" si="282"/>
        <v>#VALUE!</v>
      </c>
      <c r="FB101" s="533" t="e">
        <f xml:space="preserve"> ROUND(    IF( $A$15=BE_MF_,   LEER,   INDEX( Kx!101:101, FB$16 ) ),    FB$17    )</f>
        <v>#VALUE!</v>
      </c>
      <c r="FC101" s="533" t="e">
        <f xml:space="preserve"> ROUND(    IF( $A$15=BE_MF_,   LEER,   INDEX( Kx!101:101, FC$16 ) ),    FC$17    )</f>
        <v>#VALUE!</v>
      </c>
      <c r="FD101" s="556" t="e">
        <f t="shared" si="283"/>
        <v>#VALUE!</v>
      </c>
      <c r="FG101" s="556" t="e">
        <f t="shared" si="284"/>
        <v>#VALUE!</v>
      </c>
      <c r="FH101" s="556" t="e">
        <f t="shared" si="284"/>
        <v>#VALUE!</v>
      </c>
      <c r="FI101" s="556" t="e">
        <f t="shared" si="284"/>
        <v>#VALUE!</v>
      </c>
      <c r="FN101" s="557">
        <f t="shared" si="268"/>
        <v>101</v>
      </c>
      <c r="FO101" s="493">
        <f t="shared" si="269"/>
        <v>17.956399999999999</v>
      </c>
      <c r="FP101" s="493">
        <f t="shared" si="270"/>
        <v>3.2515999999999998</v>
      </c>
      <c r="FR101" s="427">
        <f t="shared" si="285"/>
        <v>1023453.8699999998</v>
      </c>
      <c r="FS101" s="558">
        <f t="shared" si="295"/>
        <v>29199.56</v>
      </c>
      <c r="FT101" s="558">
        <f t="shared" si="295"/>
        <v>28925.93</v>
      </c>
      <c r="FU101" s="558">
        <f t="shared" si="295"/>
        <v>28651.63</v>
      </c>
      <c r="FV101" s="558">
        <f t="shared" si="295"/>
        <v>28377.33</v>
      </c>
      <c r="FW101" s="558">
        <f t="shared" si="295"/>
        <v>28093.58</v>
      </c>
      <c r="FX101" s="558">
        <f t="shared" si="295"/>
        <v>27801.71</v>
      </c>
      <c r="FY101" s="558">
        <f t="shared" si="295"/>
        <v>27512.55</v>
      </c>
      <c r="FZ101" s="558">
        <f t="shared" si="295"/>
        <v>27221.360000000001</v>
      </c>
      <c r="GA101" s="558">
        <f t="shared" si="295"/>
        <v>26920.03</v>
      </c>
      <c r="GB101" s="558">
        <f t="shared" si="295"/>
        <v>26606.55</v>
      </c>
      <c r="GC101" s="558">
        <f t="shared" si="295"/>
        <v>26291.040000000001</v>
      </c>
      <c r="GD101" s="558">
        <f t="shared" si="295"/>
        <v>25970.799999999999</v>
      </c>
      <c r="GE101" s="558">
        <f t="shared" si="295"/>
        <v>25643.119999999999</v>
      </c>
      <c r="GF101" s="558">
        <f t="shared" si="295"/>
        <v>25314.1</v>
      </c>
      <c r="GG101" s="558">
        <f t="shared" si="295"/>
        <v>24974.94</v>
      </c>
      <c r="GH101" s="558">
        <f t="shared" si="295"/>
        <v>24633.08</v>
      </c>
      <c r="GI101" s="558">
        <f t="shared" si="292"/>
        <v>24281.08</v>
      </c>
      <c r="GJ101" s="558">
        <f t="shared" si="292"/>
        <v>23920.98</v>
      </c>
      <c r="GK101" s="558">
        <f t="shared" si="292"/>
        <v>23550.75</v>
      </c>
      <c r="GL101" s="558">
        <f t="shared" si="292"/>
        <v>23169.7</v>
      </c>
      <c r="GM101" s="558">
        <f t="shared" si="292"/>
        <v>22777.17</v>
      </c>
      <c r="GN101" s="558">
        <f t="shared" si="292"/>
        <v>22369.77</v>
      </c>
      <c r="GO101" s="558">
        <f t="shared" si="292"/>
        <v>21947.51</v>
      </c>
      <c r="GP101" s="558">
        <f t="shared" si="292"/>
        <v>21509.71</v>
      </c>
      <c r="GQ101" s="558">
        <f t="shared" si="292"/>
        <v>21054.35</v>
      </c>
      <c r="GR101" s="558">
        <f t="shared" si="292"/>
        <v>20584.8</v>
      </c>
      <c r="GS101" s="558">
        <f t="shared" si="292"/>
        <v>20099.03</v>
      </c>
      <c r="GT101" s="558">
        <f t="shared" si="292"/>
        <v>19598.400000000001</v>
      </c>
      <c r="GU101" s="558">
        <f t="shared" si="292"/>
        <v>19084.259999999998</v>
      </c>
      <c r="GV101" s="558">
        <f t="shared" si="292"/>
        <v>18557.28</v>
      </c>
      <c r="GW101" s="558">
        <f t="shared" si="292"/>
        <v>18019.490000000002</v>
      </c>
      <c r="GX101" s="558">
        <f t="shared" si="296"/>
        <v>17468.87</v>
      </c>
      <c r="GY101" s="558">
        <f t="shared" si="296"/>
        <v>16910.810000000001</v>
      </c>
      <c r="GZ101" s="558">
        <f t="shared" si="296"/>
        <v>16342.62</v>
      </c>
      <c r="HA101" s="558">
        <f t="shared" si="296"/>
        <v>15768.35</v>
      </c>
      <c r="HB101" s="558">
        <f t="shared" si="296"/>
        <v>15187.99</v>
      </c>
      <c r="HC101" s="558">
        <f t="shared" si="296"/>
        <v>14600.88</v>
      </c>
      <c r="HD101" s="558">
        <f t="shared" si="296"/>
        <v>14009.05</v>
      </c>
      <c r="HE101" s="558">
        <f t="shared" si="296"/>
        <v>13408.42</v>
      </c>
      <c r="HF101" s="558">
        <f t="shared" si="296"/>
        <v>12794.97</v>
      </c>
      <c r="HG101" s="558">
        <f t="shared" si="296"/>
        <v>12172.73</v>
      </c>
      <c r="HH101" s="558">
        <f t="shared" si="296"/>
        <v>11544.41</v>
      </c>
      <c r="HI101" s="558">
        <f t="shared" si="296"/>
        <v>10907.98</v>
      </c>
      <c r="HJ101" s="558">
        <f t="shared" si="296"/>
        <v>10266.82</v>
      </c>
      <c r="HK101" s="558">
        <f t="shared" si="296"/>
        <v>9618.9</v>
      </c>
      <c r="HL101" s="558">
        <f t="shared" si="296"/>
        <v>8977.07</v>
      </c>
      <c r="HM101" s="558">
        <f t="shared" si="296"/>
        <v>8329.83</v>
      </c>
      <c r="HN101" s="558">
        <f t="shared" si="293"/>
        <v>7686.65</v>
      </c>
      <c r="HO101" s="558">
        <f t="shared" si="293"/>
        <v>7048.19</v>
      </c>
      <c r="HP101" s="558">
        <f t="shared" si="293"/>
        <v>6412.44</v>
      </c>
      <c r="HQ101" s="558">
        <f t="shared" si="293"/>
        <v>5888.84</v>
      </c>
      <c r="HR101" s="558">
        <f t="shared" si="293"/>
        <v>5381.45</v>
      </c>
      <c r="HS101" s="558">
        <f t="shared" si="293"/>
        <v>4895.6899999999996</v>
      </c>
      <c r="HT101" s="558">
        <f t="shared" si="293"/>
        <v>4435.59</v>
      </c>
      <c r="HU101" s="558">
        <f t="shared" si="293"/>
        <v>3880.24</v>
      </c>
      <c r="HV101" s="558">
        <f t="shared" si="293"/>
        <v>3346.5</v>
      </c>
      <c r="HW101" s="558">
        <f t="shared" si="293"/>
        <v>2837.77</v>
      </c>
      <c r="HX101" s="558">
        <f t="shared" si="293"/>
        <v>2370.2399999999998</v>
      </c>
      <c r="HY101" s="558">
        <f t="shared" si="293"/>
        <v>1939.87</v>
      </c>
      <c r="HZ101" s="558">
        <f t="shared" si="293"/>
        <v>1548.69</v>
      </c>
      <c r="IA101" s="558">
        <f t="shared" si="293"/>
        <v>1206.1600000000001</v>
      </c>
      <c r="IB101" s="558">
        <f t="shared" si="293"/>
        <v>904.83</v>
      </c>
      <c r="IC101" s="558">
        <f t="shared" si="291"/>
        <v>659.59</v>
      </c>
      <c r="ID101" s="558">
        <f t="shared" si="291"/>
        <v>462.31</v>
      </c>
      <c r="IE101" s="558">
        <f t="shared" si="291"/>
        <v>315.02</v>
      </c>
      <c r="IF101" s="558">
        <f t="shared" si="291"/>
        <v>217.06</v>
      </c>
      <c r="IG101" s="558">
        <f t="shared" si="291"/>
        <v>152.19999999999999</v>
      </c>
      <c r="IH101" s="558">
        <f t="shared" si="291"/>
        <v>106.93</v>
      </c>
      <c r="II101" s="558">
        <f t="shared" si="291"/>
        <v>105.58</v>
      </c>
      <c r="IJ101" s="558">
        <f t="shared" si="291"/>
        <v>102.88</v>
      </c>
      <c r="IK101" s="558">
        <f t="shared" si="291"/>
        <v>100.18</v>
      </c>
      <c r="IL101" s="558">
        <f t="shared" si="291"/>
        <v>96.12</v>
      </c>
      <c r="IM101" s="558">
        <f t="shared" si="291"/>
        <v>90.72</v>
      </c>
      <c r="IN101" s="558">
        <f t="shared" si="291"/>
        <v>83.29</v>
      </c>
      <c r="IO101" s="558">
        <f t="shared" si="291"/>
        <v>73.150000000000006</v>
      </c>
      <c r="IP101" s="558">
        <f t="shared" si="291"/>
        <v>58.96</v>
      </c>
      <c r="IQ101" s="558">
        <f t="shared" si="291"/>
        <v>40.049999999999997</v>
      </c>
      <c r="IR101" s="558">
        <f t="shared" si="291"/>
        <v>12.35</v>
      </c>
      <c r="IS101" s="558">
        <f t="shared" si="291"/>
        <v>10.32</v>
      </c>
      <c r="IT101" s="558">
        <f t="shared" si="291"/>
        <v>8.2899999999999991</v>
      </c>
      <c r="IU101" s="558">
        <f t="shared" si="291"/>
        <v>4.24</v>
      </c>
      <c r="IV101" s="558">
        <f t="shared" si="291"/>
        <v>0.19</v>
      </c>
      <c r="IW101" s="558" t="str">
        <f t="shared" si="291"/>
        <v>.</v>
      </c>
      <c r="IX101" s="558" t="str">
        <f t="shared" si="291"/>
        <v>.</v>
      </c>
      <c r="IY101" s="558" t="str">
        <f t="shared" si="291"/>
        <v>.</v>
      </c>
      <c r="IZ101" s="558" t="str">
        <f t="shared" si="291"/>
        <v>.</v>
      </c>
      <c r="JA101" s="558" t="str">
        <f t="shared" si="291"/>
        <v>.</v>
      </c>
      <c r="JB101" s="558" t="str">
        <f t="shared" si="289"/>
        <v>.</v>
      </c>
      <c r="JC101" s="558" t="str">
        <f t="shared" si="289"/>
        <v>.</v>
      </c>
      <c r="JD101" s="558" t="str">
        <f t="shared" si="289"/>
        <v>.</v>
      </c>
      <c r="JE101" s="558" t="str">
        <f t="shared" si="289"/>
        <v>.</v>
      </c>
      <c r="JF101" s="558" t="str">
        <f t="shared" si="289"/>
        <v>.</v>
      </c>
      <c r="JG101" s="558" t="str">
        <f t="shared" si="289"/>
        <v>.</v>
      </c>
      <c r="JH101" s="558" t="str">
        <f t="shared" si="289"/>
        <v>.</v>
      </c>
      <c r="JI101" s="558" t="str">
        <f t="shared" si="289"/>
        <v>.</v>
      </c>
      <c r="JJ101" s="558" t="str">
        <f t="shared" si="289"/>
        <v>.</v>
      </c>
      <c r="JK101" s="558" t="str">
        <f t="shared" si="289"/>
        <v>.</v>
      </c>
      <c r="JL101" s="558" t="str">
        <f t="shared" si="289"/>
        <v>.</v>
      </c>
      <c r="JM101" s="558" t="str">
        <f t="shared" si="289"/>
        <v>.</v>
      </c>
      <c r="JN101" s="558" t="str">
        <f t="shared" si="289"/>
        <v>.</v>
      </c>
      <c r="JO101" s="558" t="str">
        <f t="shared" si="297"/>
        <v>.</v>
      </c>
    </row>
    <row r="102" spans="1:275" x14ac:dyDescent="0.2">
      <c r="A102" s="534">
        <f xml:space="preserve"> Basis!A102</f>
        <v>102</v>
      </c>
      <c r="F102" s="536">
        <f xml:space="preserve"> ROUND(    IF( $A$15=BE_MF_,   AW102,   INDEX( qx!102:102, F$16 ) ),    F$17    )</f>
        <v>0.27510000000000001</v>
      </c>
      <c r="G102" s="536">
        <f xml:space="preserve"> ROUND(    IF( $A$15=BE_MF_,   BB102,   INDEX( wx!102:102, G$16 ) ),    G$17    )</f>
        <v>1.4E-3</v>
      </c>
      <c r="H102" s="537">
        <f xml:space="preserve"> ROUND(    IF( $A$15=BE_MF_,   BG102,   INDEX( Kx!102:102, H$16 ) ),    H$17    )</f>
        <v>11317.66</v>
      </c>
      <c r="I102" s="538">
        <f t="shared" si="273"/>
        <v>11469.4</v>
      </c>
      <c r="J102" s="539">
        <f t="shared" si="208"/>
        <v>5.52</v>
      </c>
      <c r="K102" s="540">
        <f t="shared" si="274"/>
        <v>0</v>
      </c>
      <c r="L102" s="541">
        <f t="shared" si="116"/>
        <v>0</v>
      </c>
      <c r="M102" s="541">
        <f t="shared" si="116"/>
        <v>8.5999999999999993E-2</v>
      </c>
      <c r="O102" s="542" t="b">
        <f t="shared" si="275"/>
        <v>1</v>
      </c>
      <c r="P102" s="493">
        <f t="shared" si="209"/>
        <v>0.27650000000000002</v>
      </c>
      <c r="Q102" s="493">
        <f t="shared" si="210"/>
        <v>0.72350000000000003</v>
      </c>
      <c r="R102" s="543">
        <f t="shared" si="211"/>
        <v>13656</v>
      </c>
      <c r="S102" s="544">
        <f t="shared" si="212"/>
        <v>0.97560975599999999</v>
      </c>
      <c r="T102" s="423">
        <f t="shared" si="213"/>
        <v>1100.24</v>
      </c>
      <c r="U102" s="423">
        <f xml:space="preserve"> IF( $O102,    ROUND(  SUM( T102:T$120), U$17 ),  LEER  )</f>
        <v>3485.75</v>
      </c>
      <c r="V102" s="493">
        <f t="shared" si="214"/>
        <v>3.1682000000000001</v>
      </c>
      <c r="W102" s="493">
        <f t="shared" si="215"/>
        <v>6073.32</v>
      </c>
      <c r="X102" s="493">
        <f xml:space="preserve"> IF( $O102,    ROUND(  SUM( W102:W$120), X$17 ),  LEER  )</f>
        <v>19252.849999999999</v>
      </c>
      <c r="Y102" s="493">
        <f t="shared" si="216"/>
        <v>17.498799999999999</v>
      </c>
      <c r="Z102" s="493">
        <f t="shared" si="217"/>
        <v>5.5232999999999999</v>
      </c>
      <c r="AA102" s="493">
        <f t="shared" si="218"/>
        <v>1</v>
      </c>
      <c r="AB102" s="493">
        <f t="shared" si="219"/>
        <v>2.3494000000000002</v>
      </c>
      <c r="AC102" s="545">
        <f t="shared" si="220"/>
        <v>0.32679999999999998</v>
      </c>
      <c r="AD102" s="493">
        <f t="shared" si="221"/>
        <v>5.5232999999999999</v>
      </c>
      <c r="AE102" s="493">
        <f t="shared" si="222"/>
        <v>6.4005000000000001</v>
      </c>
      <c r="AF102" s="493">
        <f t="shared" si="223"/>
        <v>6.4005000000000001</v>
      </c>
      <c r="AG102" s="493" t="str">
        <f t="shared" si="224"/>
        <v>.</v>
      </c>
      <c r="AH102" s="493" t="str">
        <f t="shared" si="225"/>
        <v>.</v>
      </c>
      <c r="AI102" s="423">
        <f t="shared" si="226"/>
        <v>2077.79</v>
      </c>
      <c r="AJ102" s="423">
        <f t="shared" si="227"/>
        <v>13298.89</v>
      </c>
      <c r="AK102" s="423">
        <f t="shared" si="228"/>
        <v>1108.24</v>
      </c>
      <c r="AN102" s="423">
        <f t="shared" si="294"/>
        <v>24153.56</v>
      </c>
      <c r="AO102" s="423">
        <f t="shared" si="294"/>
        <v>24007.42</v>
      </c>
      <c r="AR102" s="546">
        <f xml:space="preserve"> ROUND(  INDEX( Kx!102:102, AR$16 ),  AR$17 )</f>
        <v>0.24679999999999999</v>
      </c>
      <c r="AS102" s="547">
        <f xml:space="preserve"> ROUND(  INDEX( qx!102:102, AS$16 ),  AS$17 )</f>
        <v>0.28510000000000002</v>
      </c>
      <c r="AT102" s="547">
        <f xml:space="preserve"> ROUND(  INDEX( qx!102:102, AT$16 ),  AT$17 )</f>
        <v>0.27289999999999998</v>
      </c>
      <c r="AU102" s="548" t="str">
        <f t="shared" si="229"/>
        <v>F</v>
      </c>
      <c r="AV102" s="542">
        <f t="shared" si="230"/>
        <v>0.17929999999999999</v>
      </c>
      <c r="AW102" s="542">
        <f t="shared" si="231"/>
        <v>0.27510000000000001</v>
      </c>
      <c r="AX102" s="546">
        <f xml:space="preserve"> ROUND(  INDEX( wx!102:102, AX$16 ),  AX$17 )</f>
        <v>1E-4</v>
      </c>
      <c r="AY102" s="546">
        <f xml:space="preserve"> ROUND(  INDEX( wx!102:102, AY$16 ),  AY$17 )</f>
        <v>2.0999999999999999E-3</v>
      </c>
      <c r="AZ102" s="548" t="str">
        <f t="shared" si="232"/>
        <v>M</v>
      </c>
      <c r="BA102" s="542">
        <f t="shared" si="233"/>
        <v>0.32950000000000002</v>
      </c>
      <c r="BB102" s="542">
        <f t="shared" si="234"/>
        <v>1.4E-3</v>
      </c>
      <c r="BC102" s="533">
        <f xml:space="preserve"> ROUND(  INDEX( Kx!102:102, BC$16 ),  BC$17 )</f>
        <v>13421.01</v>
      </c>
      <c r="BD102" s="533">
        <f xml:space="preserve"> ROUND(  INDEX( Kx!102:102, BD$16 ),  BD$17 )</f>
        <v>10284.030000000001</v>
      </c>
      <c r="BE102" s="548" t="str">
        <f t="shared" si="235"/>
        <v>M</v>
      </c>
      <c r="BF102" s="542">
        <f t="shared" si="236"/>
        <v>0.32950000000000002</v>
      </c>
      <c r="BG102" s="420">
        <f t="shared" si="237"/>
        <v>11317.66</v>
      </c>
      <c r="BQ102" s="549">
        <f t="shared" si="276"/>
        <v>102</v>
      </c>
      <c r="BR102" s="423">
        <f t="shared" si="238"/>
        <v>24783.07</v>
      </c>
      <c r="BS102" s="550">
        <f t="shared" si="239"/>
        <v>11469.4</v>
      </c>
      <c r="BT102" s="423">
        <f t="shared" si="240"/>
        <v>-7616.97</v>
      </c>
      <c r="BU102" s="551">
        <f t="shared" si="241"/>
        <v>1100.24</v>
      </c>
      <c r="BV102" s="551">
        <f t="shared" si="242"/>
        <v>1.4071</v>
      </c>
      <c r="BW102" s="529">
        <f t="shared" si="243"/>
        <v>24153.56</v>
      </c>
      <c r="BX102" s="552">
        <f t="shared" si="244"/>
        <v>6987.4600000000028</v>
      </c>
      <c r="BY102" s="560"/>
      <c r="BZ102" s="559"/>
      <c r="CB102" s="423">
        <f t="shared" si="245"/>
        <v>-7807.39</v>
      </c>
      <c r="CC102" s="423">
        <f t="shared" si="246"/>
        <v>603.84</v>
      </c>
      <c r="CD102" s="423">
        <f t="shared" si="247"/>
        <v>6477.91</v>
      </c>
      <c r="CE102" s="423">
        <f t="shared" si="248"/>
        <v>-725.64000000000033</v>
      </c>
      <c r="CF102" s="553">
        <f t="shared" si="249"/>
        <v>-725.31000000000131</v>
      </c>
      <c r="CH102" s="423">
        <f t="shared" si="250"/>
        <v>3852.4304390000002</v>
      </c>
      <c r="CI102" s="423">
        <f t="shared" si="251"/>
        <v>11469.4</v>
      </c>
      <c r="CJ102" s="423">
        <f t="shared" si="252"/>
        <v>-1296.73</v>
      </c>
      <c r="CK102" s="423">
        <f t="shared" si="253"/>
        <v>-6319.91</v>
      </c>
      <c r="CL102" s="553">
        <f t="shared" si="254"/>
        <v>3852.76</v>
      </c>
      <c r="CN102" s="423">
        <f t="shared" si="255"/>
        <v>3898.5573770000001</v>
      </c>
      <c r="CO102" s="423">
        <f t="shared" si="256"/>
        <v>11469.4</v>
      </c>
      <c r="CP102" s="423">
        <f t="shared" si="257"/>
        <v>-1288.82</v>
      </c>
      <c r="CQ102" s="423">
        <f t="shared" si="258"/>
        <v>-6281.69</v>
      </c>
      <c r="CR102" s="553">
        <f t="shared" si="259"/>
        <v>3898.8900000000003</v>
      </c>
      <c r="CV102" s="564">
        <f t="shared" si="277"/>
        <v>102</v>
      </c>
      <c r="CW102" s="538" t="str">
        <f t="shared" si="260"/>
        <v>.</v>
      </c>
      <c r="CX102" s="566">
        <f t="shared" si="261"/>
        <v>24007.42</v>
      </c>
      <c r="CY102" s="538" t="str">
        <f t="shared" si="262"/>
        <v>.</v>
      </c>
      <c r="CZ102" s="538">
        <f t="shared" si="263"/>
        <v>13943</v>
      </c>
      <c r="DA102" s="538">
        <f t="shared" si="264"/>
        <v>9070.93</v>
      </c>
      <c r="DB102" s="567" t="e">
        <f t="shared" si="278"/>
        <v>#N/A</v>
      </c>
      <c r="DC102" s="567">
        <f t="shared" si="279"/>
        <v>24007.42</v>
      </c>
      <c r="DD102" s="567" t="e">
        <f t="shared" si="280"/>
        <v>#N/A</v>
      </c>
      <c r="DE102" s="567">
        <f t="shared" si="280"/>
        <v>13943</v>
      </c>
      <c r="DF102" s="568">
        <f t="shared" si="281"/>
        <v>23013.93</v>
      </c>
      <c r="EL102" s="553">
        <f t="shared" si="265"/>
        <v>17563.47</v>
      </c>
      <c r="EM102" s="553">
        <f t="shared" si="266"/>
        <v>6445.12</v>
      </c>
      <c r="EN102" s="423">
        <f t="shared" si="267"/>
        <v>24008.59</v>
      </c>
      <c r="EO102" s="555">
        <f xml:space="preserve"> 'i2'!AO102</f>
        <v>24007.42</v>
      </c>
      <c r="EV102" s="533" t="e">
        <f xml:space="preserve"> ROUND(    IF( $A$15=BE_MF_,   LEER,   INDEX( Kx!102:102, EV$16 ) ),    EV$17    )</f>
        <v>#VALUE!</v>
      </c>
      <c r="EW102" s="533" t="e">
        <f xml:space="preserve"> ROUND(    IF( $A$15=BE_MF_,   LEER,   INDEX( Kx!102:102, EW$16 ) ),    EW$17    )</f>
        <v>#VALUE!</v>
      </c>
      <c r="EX102" s="533" t="e">
        <f xml:space="preserve"> ROUND(    IF( $A$15=BE_MF_,   LEER,   INDEX( Kx!102:102, EX$16 ) ),    EX$17    )</f>
        <v>#VALUE!</v>
      </c>
      <c r="EY102" s="556" t="e">
        <f t="shared" si="282"/>
        <v>#VALUE!</v>
      </c>
      <c r="FB102" s="533" t="e">
        <f xml:space="preserve"> ROUND(    IF( $A$15=BE_MF_,   LEER,   INDEX( Kx!102:102, FB$16 ) ),    FB$17    )</f>
        <v>#VALUE!</v>
      </c>
      <c r="FC102" s="533" t="e">
        <f xml:space="preserve"> ROUND(    IF( $A$15=BE_MF_,   LEER,   INDEX( Kx!102:102, FC$16 ) ),    FC$17    )</f>
        <v>#VALUE!</v>
      </c>
      <c r="FD102" s="556" t="e">
        <f t="shared" si="283"/>
        <v>#VALUE!</v>
      </c>
      <c r="FG102" s="556" t="e">
        <f t="shared" si="284"/>
        <v>#VALUE!</v>
      </c>
      <c r="FH102" s="556" t="e">
        <f t="shared" si="284"/>
        <v>#VALUE!</v>
      </c>
      <c r="FI102" s="556" t="e">
        <f t="shared" si="284"/>
        <v>#VALUE!</v>
      </c>
      <c r="FN102" s="557">
        <f t="shared" si="268"/>
        <v>102</v>
      </c>
      <c r="FO102" s="493">
        <f t="shared" si="269"/>
        <v>17.498799999999999</v>
      </c>
      <c r="FP102" s="493">
        <f t="shared" si="270"/>
        <v>3.1682000000000001</v>
      </c>
      <c r="FR102" s="427">
        <f t="shared" si="285"/>
        <v>997707.74999999988</v>
      </c>
      <c r="FS102" s="558">
        <f t="shared" si="295"/>
        <v>28456.77</v>
      </c>
      <c r="FT102" s="558">
        <f t="shared" si="295"/>
        <v>28190.17</v>
      </c>
      <c r="FU102" s="558">
        <f t="shared" si="295"/>
        <v>27922.9</v>
      </c>
      <c r="FV102" s="558">
        <f t="shared" si="295"/>
        <v>27655.64</v>
      </c>
      <c r="FW102" s="558">
        <f t="shared" si="295"/>
        <v>27379.16</v>
      </c>
      <c r="FX102" s="558">
        <f t="shared" si="295"/>
        <v>27094.78</v>
      </c>
      <c r="FY102" s="558">
        <f t="shared" si="295"/>
        <v>26813.03</v>
      </c>
      <c r="FZ102" s="558">
        <f t="shared" si="295"/>
        <v>26529.31</v>
      </c>
      <c r="GA102" s="558">
        <f t="shared" si="295"/>
        <v>26235.72</v>
      </c>
      <c r="GB102" s="558">
        <f t="shared" si="295"/>
        <v>25930.27</v>
      </c>
      <c r="GC102" s="558">
        <f t="shared" si="295"/>
        <v>25622.85</v>
      </c>
      <c r="GD102" s="558">
        <f t="shared" si="295"/>
        <v>25310.83</v>
      </c>
      <c r="GE102" s="558">
        <f t="shared" si="295"/>
        <v>24991.56</v>
      </c>
      <c r="GF102" s="558">
        <f t="shared" si="295"/>
        <v>24670.97</v>
      </c>
      <c r="GG102" s="558">
        <f t="shared" si="295"/>
        <v>24340.51</v>
      </c>
      <c r="GH102" s="558">
        <f t="shared" si="295"/>
        <v>24007.42</v>
      </c>
      <c r="GI102" s="558">
        <f t="shared" si="292"/>
        <v>23664.46</v>
      </c>
      <c r="GJ102" s="558">
        <f t="shared" si="292"/>
        <v>23313.59</v>
      </c>
      <c r="GK102" s="558">
        <f t="shared" si="292"/>
        <v>22952.85</v>
      </c>
      <c r="GL102" s="558">
        <f t="shared" si="292"/>
        <v>22581.58</v>
      </c>
      <c r="GM102" s="558">
        <f t="shared" si="292"/>
        <v>22199.11</v>
      </c>
      <c r="GN102" s="558">
        <f t="shared" si="292"/>
        <v>21802.17</v>
      </c>
      <c r="GO102" s="558">
        <f t="shared" si="292"/>
        <v>21390.74</v>
      </c>
      <c r="GP102" s="558">
        <f t="shared" si="292"/>
        <v>20964.169999999998</v>
      </c>
      <c r="GQ102" s="558">
        <f t="shared" si="292"/>
        <v>20520.48</v>
      </c>
      <c r="GR102" s="558">
        <f t="shared" si="292"/>
        <v>20062.98</v>
      </c>
      <c r="GS102" s="558">
        <f t="shared" si="292"/>
        <v>19589.669999999998</v>
      </c>
      <c r="GT102" s="558">
        <f t="shared" si="292"/>
        <v>19101.88</v>
      </c>
      <c r="GU102" s="558">
        <f t="shared" si="292"/>
        <v>18600.919999999998</v>
      </c>
      <c r="GV102" s="558">
        <f t="shared" si="292"/>
        <v>18087.46</v>
      </c>
      <c r="GW102" s="558">
        <f t="shared" si="292"/>
        <v>17563.47</v>
      </c>
      <c r="GX102" s="558">
        <f t="shared" si="296"/>
        <v>17026.96</v>
      </c>
      <c r="GY102" s="558">
        <f t="shared" si="296"/>
        <v>16483.22</v>
      </c>
      <c r="GZ102" s="558">
        <f t="shared" si="296"/>
        <v>15929.6</v>
      </c>
      <c r="HA102" s="558">
        <f t="shared" si="296"/>
        <v>15370.06</v>
      </c>
      <c r="HB102" s="558">
        <f t="shared" si="296"/>
        <v>14804.59</v>
      </c>
      <c r="HC102" s="558">
        <f t="shared" si="296"/>
        <v>14232.54</v>
      </c>
      <c r="HD102" s="558">
        <f t="shared" si="296"/>
        <v>13655.88</v>
      </c>
      <c r="HE102" s="558">
        <f t="shared" si="296"/>
        <v>13070.67</v>
      </c>
      <c r="HF102" s="558">
        <f t="shared" si="296"/>
        <v>12472.94</v>
      </c>
      <c r="HG102" s="558">
        <f t="shared" si="296"/>
        <v>11866.66</v>
      </c>
      <c r="HH102" s="558">
        <f t="shared" si="296"/>
        <v>11254.46</v>
      </c>
      <c r="HI102" s="558">
        <f t="shared" si="296"/>
        <v>10634.35</v>
      </c>
      <c r="HJ102" s="558">
        <f t="shared" si="296"/>
        <v>10009.64</v>
      </c>
      <c r="HK102" s="558">
        <f t="shared" si="296"/>
        <v>9378.35</v>
      </c>
      <c r="HL102" s="558">
        <f t="shared" si="296"/>
        <v>8752.9699999999993</v>
      </c>
      <c r="HM102" s="558">
        <f t="shared" si="296"/>
        <v>8122.34</v>
      </c>
      <c r="HN102" s="558">
        <f t="shared" si="293"/>
        <v>7495.65</v>
      </c>
      <c r="HO102" s="558">
        <f t="shared" si="293"/>
        <v>6873.57</v>
      </c>
      <c r="HP102" s="558">
        <f t="shared" si="293"/>
        <v>6254.12</v>
      </c>
      <c r="HQ102" s="558">
        <f t="shared" si="293"/>
        <v>5743.95</v>
      </c>
      <c r="HR102" s="558">
        <f t="shared" si="293"/>
        <v>5249.58</v>
      </c>
      <c r="HS102" s="558">
        <f t="shared" si="293"/>
        <v>4776.2700000000004</v>
      </c>
      <c r="HT102" s="558">
        <f t="shared" si="293"/>
        <v>4327.9799999999996</v>
      </c>
      <c r="HU102" s="558">
        <f t="shared" si="293"/>
        <v>3786.87</v>
      </c>
      <c r="HV102" s="558">
        <f t="shared" si="293"/>
        <v>3266.82</v>
      </c>
      <c r="HW102" s="558">
        <f t="shared" si="293"/>
        <v>2771.13</v>
      </c>
      <c r="HX102" s="558">
        <f t="shared" si="293"/>
        <v>2315.6</v>
      </c>
      <c r="HY102" s="558">
        <f t="shared" si="293"/>
        <v>1896.27</v>
      </c>
      <c r="HZ102" s="558">
        <f t="shared" si="293"/>
        <v>1515.13</v>
      </c>
      <c r="IA102" s="558">
        <f t="shared" si="293"/>
        <v>1181.3699999999999</v>
      </c>
      <c r="IB102" s="558">
        <f t="shared" si="293"/>
        <v>887.78</v>
      </c>
      <c r="IC102" s="558">
        <f t="shared" si="291"/>
        <v>648.82000000000005</v>
      </c>
      <c r="ID102" s="558">
        <f t="shared" si="291"/>
        <v>456.6</v>
      </c>
      <c r="IE102" s="558">
        <f t="shared" si="291"/>
        <v>313.10000000000002</v>
      </c>
      <c r="IF102" s="558">
        <f t="shared" si="291"/>
        <v>217.65</v>
      </c>
      <c r="IG102" s="558">
        <f t="shared" si="291"/>
        <v>154.44999999999999</v>
      </c>
      <c r="IH102" s="558">
        <f t="shared" si="291"/>
        <v>110.34</v>
      </c>
      <c r="II102" s="558">
        <f t="shared" si="291"/>
        <v>109.03</v>
      </c>
      <c r="IJ102" s="558">
        <f t="shared" si="291"/>
        <v>106.39</v>
      </c>
      <c r="IK102" s="558">
        <f t="shared" si="291"/>
        <v>103.76</v>
      </c>
      <c r="IL102" s="558">
        <f t="shared" si="291"/>
        <v>99.81</v>
      </c>
      <c r="IM102" s="558">
        <f t="shared" si="291"/>
        <v>94.55</v>
      </c>
      <c r="IN102" s="558">
        <f t="shared" si="291"/>
        <v>87.3</v>
      </c>
      <c r="IO102" s="558">
        <f t="shared" si="291"/>
        <v>77.430000000000007</v>
      </c>
      <c r="IP102" s="558">
        <f t="shared" si="291"/>
        <v>63.61</v>
      </c>
      <c r="IQ102" s="558">
        <f t="shared" si="291"/>
        <v>45.17</v>
      </c>
      <c r="IR102" s="558">
        <f t="shared" si="291"/>
        <v>18.18</v>
      </c>
      <c r="IS102" s="558">
        <f t="shared" si="291"/>
        <v>16.21</v>
      </c>
      <c r="IT102" s="558">
        <f t="shared" si="291"/>
        <v>14.23</v>
      </c>
      <c r="IU102" s="558">
        <f t="shared" si="291"/>
        <v>10.29</v>
      </c>
      <c r="IV102" s="558">
        <f t="shared" si="291"/>
        <v>6.34</v>
      </c>
      <c r="IW102" s="558">
        <f t="shared" si="291"/>
        <v>-0.25</v>
      </c>
      <c r="IX102" s="558" t="str">
        <f t="shared" si="291"/>
        <v>.</v>
      </c>
      <c r="IY102" s="558" t="str">
        <f t="shared" si="291"/>
        <v>.</v>
      </c>
      <c r="IZ102" s="558" t="str">
        <f t="shared" si="291"/>
        <v>.</v>
      </c>
      <c r="JA102" s="558" t="str">
        <f t="shared" si="291"/>
        <v>.</v>
      </c>
      <c r="JB102" s="558" t="str">
        <f t="shared" si="289"/>
        <v>.</v>
      </c>
      <c r="JC102" s="558" t="str">
        <f t="shared" si="289"/>
        <v>.</v>
      </c>
      <c r="JD102" s="558" t="str">
        <f t="shared" si="289"/>
        <v>.</v>
      </c>
      <c r="JE102" s="558" t="str">
        <f t="shared" si="289"/>
        <v>.</v>
      </c>
      <c r="JF102" s="558" t="str">
        <f t="shared" si="289"/>
        <v>.</v>
      </c>
      <c r="JG102" s="558" t="str">
        <f t="shared" si="289"/>
        <v>.</v>
      </c>
      <c r="JH102" s="558" t="str">
        <f t="shared" si="289"/>
        <v>.</v>
      </c>
      <c r="JI102" s="558" t="str">
        <f t="shared" si="289"/>
        <v>.</v>
      </c>
      <c r="JJ102" s="558" t="str">
        <f t="shared" si="289"/>
        <v>.</v>
      </c>
      <c r="JK102" s="558" t="str">
        <f t="shared" ref="JK102:JN105" si="298" xml:space="preserve"> IF(  OR( JK$18&gt;$FN102, $FN102&gt;$FS$12 ),  LEER,  ROUND( $FR$19 * ( $FO102 - JK$15 * $FP102 ), JK$17 )  )</f>
        <v>.</v>
      </c>
      <c r="JL102" s="558" t="str">
        <f t="shared" si="298"/>
        <v>.</v>
      </c>
      <c r="JM102" s="558" t="str">
        <f t="shared" si="298"/>
        <v>.</v>
      </c>
      <c r="JN102" s="558" t="str">
        <f t="shared" si="298"/>
        <v>.</v>
      </c>
      <c r="JO102" s="558" t="str">
        <f t="shared" si="297"/>
        <v>.</v>
      </c>
    </row>
    <row r="103" spans="1:275" x14ac:dyDescent="0.2">
      <c r="A103" s="534">
        <f xml:space="preserve"> Basis!A103</f>
        <v>103</v>
      </c>
      <c r="F103" s="536">
        <f xml:space="preserve"> ROUND(    IF( $A$15=BE_MF_,   AW103,   INDEX( qx!103:103, F$16 ) ),    F$17    )</f>
        <v>0.28170000000000001</v>
      </c>
      <c r="G103" s="536">
        <f xml:space="preserve"> ROUND(    IF( $A$15=BE_MF_,   BB103,   INDEX( wx!103:103, G$16 ) ),    G$17    )</f>
        <v>1.4E-3</v>
      </c>
      <c r="H103" s="537">
        <f xml:space="preserve"> ROUND(    IF( $A$15=BE_MF_,   BG103,   INDEX( Kx!103:103, H$16 ) ),    H$17    )</f>
        <v>11352.12</v>
      </c>
      <c r="I103" s="538">
        <f t="shared" si="273"/>
        <v>11469.4</v>
      </c>
      <c r="J103" s="539">
        <f t="shared" si="208"/>
        <v>5.52</v>
      </c>
      <c r="K103" s="540">
        <f t="shared" si="274"/>
        <v>0</v>
      </c>
      <c r="L103" s="541">
        <f t="shared" si="116"/>
        <v>0</v>
      </c>
      <c r="M103" s="541">
        <f t="shared" si="116"/>
        <v>8.5999999999999993E-2</v>
      </c>
      <c r="O103" s="542" t="b">
        <f t="shared" si="275"/>
        <v>1</v>
      </c>
      <c r="P103" s="493">
        <f t="shared" si="209"/>
        <v>0.28310000000000002</v>
      </c>
      <c r="Q103" s="493">
        <f t="shared" si="210"/>
        <v>0.71689999999999998</v>
      </c>
      <c r="R103" s="543">
        <f t="shared" si="211"/>
        <v>9880</v>
      </c>
      <c r="S103" s="544">
        <f t="shared" si="212"/>
        <v>0.97560975599999999</v>
      </c>
      <c r="T103" s="423">
        <f t="shared" si="213"/>
        <v>776.6</v>
      </c>
      <c r="U103" s="423">
        <f xml:space="preserve"> IF( $O103,    ROUND(  SUM( T103:T$120), U$17 ),  LEER  )</f>
        <v>2385.5100000000002</v>
      </c>
      <c r="V103" s="493">
        <f t="shared" si="214"/>
        <v>3.0716999999999999</v>
      </c>
      <c r="W103" s="493">
        <f t="shared" si="215"/>
        <v>4286.83</v>
      </c>
      <c r="X103" s="493">
        <f xml:space="preserve"> IF( $O103,    ROUND(  SUM( W103:W$120), X$17 ),  LEER  )</f>
        <v>13179.53</v>
      </c>
      <c r="Y103" s="493">
        <f t="shared" si="216"/>
        <v>16.970800000000001</v>
      </c>
      <c r="Z103" s="493">
        <f t="shared" si="217"/>
        <v>5.5248999999999997</v>
      </c>
      <c r="AA103" s="493">
        <f t="shared" si="218"/>
        <v>1</v>
      </c>
      <c r="AB103" s="493">
        <f t="shared" si="219"/>
        <v>2.3494000000000002</v>
      </c>
      <c r="AC103" s="545">
        <f t="shared" si="220"/>
        <v>0.32679999999999998</v>
      </c>
      <c r="AD103" s="493">
        <f t="shared" si="221"/>
        <v>5.5248999999999997</v>
      </c>
      <c r="AE103" s="493">
        <f t="shared" si="222"/>
        <v>6.4023000000000003</v>
      </c>
      <c r="AF103" s="493">
        <f t="shared" si="223"/>
        <v>6.4023000000000003</v>
      </c>
      <c r="AG103" s="493" t="str">
        <f t="shared" si="224"/>
        <v>.</v>
      </c>
      <c r="AH103" s="493" t="str">
        <f t="shared" si="225"/>
        <v>.</v>
      </c>
      <c r="AI103" s="423">
        <f t="shared" si="226"/>
        <v>2077.79</v>
      </c>
      <c r="AJ103" s="423">
        <f t="shared" si="227"/>
        <v>13302.63</v>
      </c>
      <c r="AK103" s="423">
        <f t="shared" si="228"/>
        <v>1108.55</v>
      </c>
      <c r="AN103" s="423">
        <f t="shared" si="294"/>
        <v>23428.25</v>
      </c>
      <c r="AO103" s="423">
        <f t="shared" si="294"/>
        <v>23286.560000000001</v>
      </c>
      <c r="AR103" s="546">
        <f xml:space="preserve"> ROUND(  INDEX( Kx!103:103, AR$16 ),  AR$17 )</f>
        <v>0.24679999999999999</v>
      </c>
      <c r="AS103" s="547">
        <f xml:space="preserve"> ROUND(  INDEX( qx!103:103, AS$16 ),  AS$17 )</f>
        <v>0.29220000000000002</v>
      </c>
      <c r="AT103" s="547">
        <f xml:space="preserve"> ROUND(  INDEX( qx!103:103, AT$16 ),  AT$17 )</f>
        <v>0.27939999999999998</v>
      </c>
      <c r="AU103" s="548" t="str">
        <f t="shared" si="229"/>
        <v>F</v>
      </c>
      <c r="AV103" s="542">
        <f t="shared" si="230"/>
        <v>0.17929999999999999</v>
      </c>
      <c r="AW103" s="542">
        <f t="shared" si="231"/>
        <v>0.28170000000000001</v>
      </c>
      <c r="AX103" s="546">
        <f xml:space="preserve"> ROUND(  INDEX( wx!103:103, AX$16 ),  AX$17 )</f>
        <v>0</v>
      </c>
      <c r="AY103" s="546">
        <f xml:space="preserve"> ROUND(  INDEX( wx!103:103, AY$16 ),  AY$17 )</f>
        <v>2.0999999999999999E-3</v>
      </c>
      <c r="AZ103" s="548" t="str">
        <f t="shared" si="232"/>
        <v>M</v>
      </c>
      <c r="BA103" s="542">
        <f t="shared" si="233"/>
        <v>0.32950000000000002</v>
      </c>
      <c r="BB103" s="542">
        <f t="shared" si="234"/>
        <v>1.4E-3</v>
      </c>
      <c r="BC103" s="533">
        <f xml:space="preserve"> ROUND(  INDEX( Kx!103:103, BC$16 ),  BC$17 )</f>
        <v>13499.7</v>
      </c>
      <c r="BD103" s="533">
        <f xml:space="preserve"> ROUND(  INDEX( Kx!103:103, BD$16 ),  BD$17 )</f>
        <v>10296.75</v>
      </c>
      <c r="BE103" s="548" t="str">
        <f t="shared" si="235"/>
        <v>M</v>
      </c>
      <c r="BF103" s="542">
        <f t="shared" si="236"/>
        <v>0.32950000000000002</v>
      </c>
      <c r="BG103" s="420">
        <f t="shared" si="237"/>
        <v>11352.12</v>
      </c>
      <c r="BQ103" s="549">
        <f t="shared" si="276"/>
        <v>103</v>
      </c>
      <c r="BR103" s="423">
        <f t="shared" si="238"/>
        <v>24153.56</v>
      </c>
      <c r="BS103" s="550">
        <f t="shared" si="239"/>
        <v>11469.4</v>
      </c>
      <c r="BT103" s="423">
        <f t="shared" si="240"/>
        <v>-7616.97</v>
      </c>
      <c r="BU103" s="551">
        <f t="shared" si="241"/>
        <v>776.6</v>
      </c>
      <c r="BV103" s="551">
        <f t="shared" si="242"/>
        <v>1.4167000000000001</v>
      </c>
      <c r="BW103" s="529">
        <f t="shared" si="243"/>
        <v>23428.25</v>
      </c>
      <c r="BX103" s="552">
        <f t="shared" si="244"/>
        <v>6891.66</v>
      </c>
      <c r="BY103" s="560"/>
      <c r="BZ103" s="559"/>
      <c r="CB103" s="423">
        <f t="shared" si="245"/>
        <v>-7807.39</v>
      </c>
      <c r="CC103" s="423">
        <f t="shared" si="246"/>
        <v>585.71</v>
      </c>
      <c r="CD103" s="423">
        <f t="shared" si="247"/>
        <v>6400.76</v>
      </c>
      <c r="CE103" s="423">
        <f t="shared" si="248"/>
        <v>-820.92000000000007</v>
      </c>
      <c r="CF103" s="553">
        <f t="shared" si="249"/>
        <v>-818.72000000000116</v>
      </c>
      <c r="CH103" s="423">
        <f t="shared" si="250"/>
        <v>3852.4304390000002</v>
      </c>
      <c r="CI103" s="423">
        <f t="shared" si="251"/>
        <v>11469.4</v>
      </c>
      <c r="CJ103" s="423">
        <f t="shared" si="252"/>
        <v>-1370.17</v>
      </c>
      <c r="CK103" s="423">
        <f t="shared" si="253"/>
        <v>-6244.64</v>
      </c>
      <c r="CL103" s="553">
        <f t="shared" si="254"/>
        <v>3854.5899999999992</v>
      </c>
      <c r="CN103" s="423">
        <f t="shared" si="255"/>
        <v>3898.5573770000001</v>
      </c>
      <c r="CO103" s="423">
        <f t="shared" si="256"/>
        <v>11469.4</v>
      </c>
      <c r="CP103" s="423">
        <f t="shared" si="257"/>
        <v>-1361.8</v>
      </c>
      <c r="CQ103" s="423">
        <f t="shared" si="258"/>
        <v>-6206.9</v>
      </c>
      <c r="CR103" s="553">
        <f t="shared" si="259"/>
        <v>3900.7000000000007</v>
      </c>
      <c r="CV103" s="564">
        <f t="shared" si="277"/>
        <v>103</v>
      </c>
      <c r="CW103" s="538" t="str">
        <f t="shared" si="260"/>
        <v>.</v>
      </c>
      <c r="CX103" s="566">
        <f t="shared" si="261"/>
        <v>23286.560000000001</v>
      </c>
      <c r="CY103" s="538" t="str">
        <f t="shared" si="262"/>
        <v>.</v>
      </c>
      <c r="CZ103" s="538">
        <f t="shared" si="263"/>
        <v>13518</v>
      </c>
      <c r="DA103" s="538">
        <f t="shared" si="264"/>
        <v>8805.01</v>
      </c>
      <c r="DB103" s="567" t="e">
        <f t="shared" si="278"/>
        <v>#N/A</v>
      </c>
      <c r="DC103" s="567">
        <f t="shared" si="279"/>
        <v>23286.560000000001</v>
      </c>
      <c r="DD103" s="567" t="e">
        <f t="shared" si="280"/>
        <v>#N/A</v>
      </c>
      <c r="DE103" s="567">
        <f t="shared" si="280"/>
        <v>13518</v>
      </c>
      <c r="DF103" s="568">
        <f t="shared" si="281"/>
        <v>22323.010000000002</v>
      </c>
      <c r="EL103" s="553">
        <f t="shared" si="265"/>
        <v>17038.88</v>
      </c>
      <c r="EM103" s="553">
        <f t="shared" si="266"/>
        <v>6248.81</v>
      </c>
      <c r="EN103" s="423">
        <f t="shared" si="267"/>
        <v>23287.69</v>
      </c>
      <c r="EO103" s="555">
        <f xml:space="preserve"> 'i2'!AO103</f>
        <v>23286.560000000001</v>
      </c>
      <c r="EV103" s="533" t="e">
        <f xml:space="preserve"> ROUND(    IF( $A$15=BE_MF_,   LEER,   INDEX( Kx!103:103, EV$16 ) ),    EV$17    )</f>
        <v>#VALUE!</v>
      </c>
      <c r="EW103" s="533" t="e">
        <f xml:space="preserve"> ROUND(    IF( $A$15=BE_MF_,   LEER,   INDEX( Kx!103:103, EW$16 ) ),    EW$17    )</f>
        <v>#VALUE!</v>
      </c>
      <c r="EX103" s="533" t="e">
        <f xml:space="preserve"> ROUND(    IF( $A$15=BE_MF_,   LEER,   INDEX( Kx!103:103, EX$16 ) ),    EX$17    )</f>
        <v>#VALUE!</v>
      </c>
      <c r="EY103" s="556" t="e">
        <f t="shared" si="282"/>
        <v>#VALUE!</v>
      </c>
      <c r="FB103" s="533" t="e">
        <f xml:space="preserve"> ROUND(    IF( $A$15=BE_MF_,   LEER,   INDEX( Kx!103:103, FB$16 ) ),    FB$17    )</f>
        <v>#VALUE!</v>
      </c>
      <c r="FC103" s="533" t="e">
        <f xml:space="preserve"> ROUND(    IF( $A$15=BE_MF_,   LEER,   INDEX( Kx!103:103, FC$16 ) ),    FC$17    )</f>
        <v>#VALUE!</v>
      </c>
      <c r="FD103" s="556" t="e">
        <f t="shared" si="283"/>
        <v>#VALUE!</v>
      </c>
      <c r="FG103" s="556" t="e">
        <f t="shared" si="284"/>
        <v>#VALUE!</v>
      </c>
      <c r="FH103" s="556" t="e">
        <f t="shared" si="284"/>
        <v>#VALUE!</v>
      </c>
      <c r="FI103" s="556" t="e">
        <f t="shared" si="284"/>
        <v>#VALUE!</v>
      </c>
      <c r="FN103" s="557">
        <f t="shared" si="268"/>
        <v>103</v>
      </c>
      <c r="FO103" s="493">
        <f t="shared" si="269"/>
        <v>16.970800000000001</v>
      </c>
      <c r="FP103" s="493">
        <f t="shared" si="270"/>
        <v>3.0716999999999999</v>
      </c>
      <c r="FR103" s="427">
        <f t="shared" si="285"/>
        <v>968180.02000000014</v>
      </c>
      <c r="FS103" s="558">
        <f t="shared" si="295"/>
        <v>27600.39</v>
      </c>
      <c r="FT103" s="558">
        <f t="shared" si="295"/>
        <v>27341.9</v>
      </c>
      <c r="FU103" s="558">
        <f t="shared" si="295"/>
        <v>27082.78</v>
      </c>
      <c r="FV103" s="558">
        <f t="shared" si="295"/>
        <v>26823.66</v>
      </c>
      <c r="FW103" s="558">
        <f t="shared" si="295"/>
        <v>26555.599999999999</v>
      </c>
      <c r="FX103" s="558">
        <f t="shared" si="295"/>
        <v>26279.88</v>
      </c>
      <c r="FY103" s="558">
        <f t="shared" si="295"/>
        <v>26006.720000000001</v>
      </c>
      <c r="FZ103" s="558">
        <f t="shared" si="295"/>
        <v>25731.64</v>
      </c>
      <c r="GA103" s="558">
        <f t="shared" si="295"/>
        <v>25446.98</v>
      </c>
      <c r="GB103" s="558">
        <f t="shared" si="295"/>
        <v>25150.84</v>
      </c>
      <c r="GC103" s="558">
        <f t="shared" si="295"/>
        <v>24852.79</v>
      </c>
      <c r="GD103" s="558">
        <f t="shared" si="295"/>
        <v>24550.26</v>
      </c>
      <c r="GE103" s="558">
        <f t="shared" si="295"/>
        <v>24240.720000000001</v>
      </c>
      <c r="GF103" s="558">
        <f t="shared" si="295"/>
        <v>23929.9</v>
      </c>
      <c r="GG103" s="558">
        <f t="shared" si="295"/>
        <v>23609.51</v>
      </c>
      <c r="GH103" s="558">
        <f t="shared" si="295"/>
        <v>23286.560000000001</v>
      </c>
      <c r="GI103" s="558">
        <f t="shared" si="292"/>
        <v>22954.04</v>
      </c>
      <c r="GJ103" s="558">
        <f t="shared" si="292"/>
        <v>22613.86</v>
      </c>
      <c r="GK103" s="558">
        <f t="shared" si="292"/>
        <v>22264.11</v>
      </c>
      <c r="GL103" s="558">
        <f t="shared" si="292"/>
        <v>21904.14</v>
      </c>
      <c r="GM103" s="558">
        <f t="shared" si="292"/>
        <v>21533.33</v>
      </c>
      <c r="GN103" s="558">
        <f t="shared" si="292"/>
        <v>21148.47</v>
      </c>
      <c r="GO103" s="558">
        <f t="shared" si="292"/>
        <v>20749.580000000002</v>
      </c>
      <c r="GP103" s="558">
        <f t="shared" si="292"/>
        <v>20336</v>
      </c>
      <c r="GQ103" s="558">
        <f t="shared" si="292"/>
        <v>19905.830000000002</v>
      </c>
      <c r="GR103" s="558">
        <f t="shared" si="292"/>
        <v>19462.259999999998</v>
      </c>
      <c r="GS103" s="558">
        <f t="shared" si="292"/>
        <v>19003.37</v>
      </c>
      <c r="GT103" s="558">
        <f t="shared" si="292"/>
        <v>18530.43</v>
      </c>
      <c r="GU103" s="558">
        <f t="shared" si="292"/>
        <v>18044.740000000002</v>
      </c>
      <c r="GV103" s="558">
        <f t="shared" si="292"/>
        <v>17546.91</v>
      </c>
      <c r="GW103" s="558">
        <f t="shared" si="292"/>
        <v>17038.88</v>
      </c>
      <c r="GX103" s="558">
        <f t="shared" si="296"/>
        <v>16518.72</v>
      </c>
      <c r="GY103" s="558">
        <f t="shared" si="296"/>
        <v>15991.54</v>
      </c>
      <c r="GZ103" s="558">
        <f t="shared" si="296"/>
        <v>15454.78</v>
      </c>
      <c r="HA103" s="558">
        <f t="shared" si="296"/>
        <v>14912.28</v>
      </c>
      <c r="HB103" s="558">
        <f t="shared" si="296"/>
        <v>14364.04</v>
      </c>
      <c r="HC103" s="558">
        <f t="shared" si="296"/>
        <v>13809.41</v>
      </c>
      <c r="HD103" s="558">
        <f t="shared" si="296"/>
        <v>13250.32</v>
      </c>
      <c r="HE103" s="558">
        <f t="shared" si="296"/>
        <v>12682.93</v>
      </c>
      <c r="HF103" s="558">
        <f t="shared" si="296"/>
        <v>12103.41</v>
      </c>
      <c r="HG103" s="558">
        <f t="shared" si="296"/>
        <v>11515.6</v>
      </c>
      <c r="HH103" s="558">
        <f t="shared" si="296"/>
        <v>10922.04</v>
      </c>
      <c r="HI103" s="558">
        <f t="shared" si="296"/>
        <v>10320.82</v>
      </c>
      <c r="HJ103" s="558">
        <f t="shared" si="296"/>
        <v>9715.14</v>
      </c>
      <c r="HK103" s="558">
        <f t="shared" si="296"/>
        <v>9103.07</v>
      </c>
      <c r="HL103" s="558">
        <f t="shared" si="296"/>
        <v>8496.75</v>
      </c>
      <c r="HM103" s="558">
        <f t="shared" si="296"/>
        <v>7885.32</v>
      </c>
      <c r="HN103" s="558">
        <f t="shared" si="293"/>
        <v>7277.72</v>
      </c>
      <c r="HO103" s="558">
        <f t="shared" si="293"/>
        <v>6674.59</v>
      </c>
      <c r="HP103" s="558">
        <f t="shared" si="293"/>
        <v>6074.01</v>
      </c>
      <c r="HQ103" s="558">
        <f t="shared" si="293"/>
        <v>5579.37</v>
      </c>
      <c r="HR103" s="558">
        <f t="shared" si="293"/>
        <v>5100.0600000000004</v>
      </c>
      <c r="HS103" s="558">
        <f t="shared" si="293"/>
        <v>4641.17</v>
      </c>
      <c r="HT103" s="558">
        <f t="shared" si="293"/>
        <v>4206.53</v>
      </c>
      <c r="HU103" s="558">
        <f t="shared" si="293"/>
        <v>3681.9</v>
      </c>
      <c r="HV103" s="558">
        <f t="shared" si="293"/>
        <v>3177.7</v>
      </c>
      <c r="HW103" s="558">
        <f t="shared" si="293"/>
        <v>2697.11</v>
      </c>
      <c r="HX103" s="558">
        <f t="shared" si="293"/>
        <v>2255.4499999999998</v>
      </c>
      <c r="HY103" s="558">
        <f t="shared" si="293"/>
        <v>1848.89</v>
      </c>
      <c r="HZ103" s="558">
        <f t="shared" si="293"/>
        <v>1479.35</v>
      </c>
      <c r="IA103" s="558">
        <f t="shared" si="293"/>
        <v>1155.77</v>
      </c>
      <c r="IB103" s="558">
        <f t="shared" si="293"/>
        <v>871.12</v>
      </c>
      <c r="IC103" s="558">
        <f t="shared" si="291"/>
        <v>639.44000000000005</v>
      </c>
      <c r="ID103" s="558">
        <f t="shared" si="291"/>
        <v>453.07</v>
      </c>
      <c r="IE103" s="558">
        <f t="shared" si="291"/>
        <v>313.94</v>
      </c>
      <c r="IF103" s="558">
        <f t="shared" si="291"/>
        <v>221.39</v>
      </c>
      <c r="IG103" s="558">
        <f t="shared" si="291"/>
        <v>160.12</v>
      </c>
      <c r="IH103" s="558">
        <f t="shared" si="291"/>
        <v>117.36</v>
      </c>
      <c r="II103" s="558">
        <f t="shared" si="291"/>
        <v>116.09</v>
      </c>
      <c r="IJ103" s="558">
        <f t="shared" si="291"/>
        <v>113.53</v>
      </c>
      <c r="IK103" s="558">
        <f t="shared" si="291"/>
        <v>110.98</v>
      </c>
      <c r="IL103" s="558">
        <f t="shared" si="291"/>
        <v>107.15</v>
      </c>
      <c r="IM103" s="558">
        <f t="shared" si="291"/>
        <v>102.04</v>
      </c>
      <c r="IN103" s="558">
        <f t="shared" si="291"/>
        <v>95.02</v>
      </c>
      <c r="IO103" s="558">
        <f t="shared" si="291"/>
        <v>85.45</v>
      </c>
      <c r="IP103" s="558">
        <f t="shared" si="291"/>
        <v>72.05</v>
      </c>
      <c r="IQ103" s="558">
        <f t="shared" si="291"/>
        <v>54.18</v>
      </c>
      <c r="IR103" s="558">
        <f t="shared" si="291"/>
        <v>28.01</v>
      </c>
      <c r="IS103" s="558">
        <f t="shared" si="291"/>
        <v>26.09</v>
      </c>
      <c r="IT103" s="558">
        <f t="shared" si="291"/>
        <v>24.18</v>
      </c>
      <c r="IU103" s="558">
        <f t="shared" si="291"/>
        <v>20.350000000000001</v>
      </c>
      <c r="IV103" s="558">
        <f t="shared" si="291"/>
        <v>16.52</v>
      </c>
      <c r="IW103" s="558">
        <f t="shared" si="291"/>
        <v>10.14</v>
      </c>
      <c r="IX103" s="558">
        <f t="shared" si="291"/>
        <v>-7.0000000000000007E-2</v>
      </c>
      <c r="IY103" s="558" t="str">
        <f t="shared" si="291"/>
        <v>.</v>
      </c>
      <c r="IZ103" s="558" t="str">
        <f t="shared" si="291"/>
        <v>.</v>
      </c>
      <c r="JA103" s="558" t="str">
        <f t="shared" si="291"/>
        <v>.</v>
      </c>
      <c r="JB103" s="558" t="str">
        <f t="shared" si="289"/>
        <v>.</v>
      </c>
      <c r="JC103" s="558" t="str">
        <f t="shared" si="289"/>
        <v>.</v>
      </c>
      <c r="JD103" s="558" t="str">
        <f t="shared" si="289"/>
        <v>.</v>
      </c>
      <c r="JE103" s="558" t="str">
        <f t="shared" si="289"/>
        <v>.</v>
      </c>
      <c r="JF103" s="558" t="str">
        <f t="shared" si="289"/>
        <v>.</v>
      </c>
      <c r="JG103" s="558" t="str">
        <f t="shared" si="289"/>
        <v>.</v>
      </c>
      <c r="JH103" s="558" t="str">
        <f t="shared" si="289"/>
        <v>.</v>
      </c>
      <c r="JI103" s="558" t="str">
        <f t="shared" si="289"/>
        <v>.</v>
      </c>
      <c r="JJ103" s="558" t="str">
        <f t="shared" si="289"/>
        <v>.</v>
      </c>
      <c r="JK103" s="558" t="str">
        <f t="shared" si="298"/>
        <v>.</v>
      </c>
      <c r="JL103" s="558" t="str">
        <f t="shared" si="298"/>
        <v>.</v>
      </c>
      <c r="JM103" s="558" t="str">
        <f t="shared" si="298"/>
        <v>.</v>
      </c>
      <c r="JN103" s="558" t="str">
        <f t="shared" si="298"/>
        <v>.</v>
      </c>
      <c r="JO103" s="558" t="str">
        <f t="shared" si="297"/>
        <v>.</v>
      </c>
    </row>
    <row r="104" spans="1:275" x14ac:dyDescent="0.2">
      <c r="A104" s="534">
        <f xml:space="preserve"> Basis!A104</f>
        <v>104</v>
      </c>
      <c r="F104" s="536">
        <f xml:space="preserve"> ROUND(    IF( $A$15=BE_MF_,   AW104,   INDEX( qx!104:104, F$16 ) ),    F$17    )</f>
        <v>0.28749999999999998</v>
      </c>
      <c r="G104" s="536">
        <f xml:space="preserve"> ROUND(    IF( $A$15=BE_MF_,   BB104,   INDEX( wx!104:104, G$16 ) ),    G$17    )</f>
        <v>1.4E-3</v>
      </c>
      <c r="H104" s="537">
        <f xml:space="preserve"> ROUND(    IF( $A$15=BE_MF_,   BG104,   INDEX( Kx!104:104, H$16 ) ),    H$17    )</f>
        <v>11386.57</v>
      </c>
      <c r="I104" s="538">
        <f t="shared" si="273"/>
        <v>11469.4</v>
      </c>
      <c r="J104" s="539">
        <f t="shared" si="208"/>
        <v>5.52</v>
      </c>
      <c r="K104" s="540">
        <f t="shared" si="274"/>
        <v>0</v>
      </c>
      <c r="L104" s="541">
        <f t="shared" ref="L104:M120" si="299" xml:space="preserve"> ROUND(  IF( $A104&lt;L$12, L$15, L$16 ),  L$17  )</f>
        <v>0</v>
      </c>
      <c r="M104" s="541">
        <f t="shared" si="299"/>
        <v>8.5999999999999993E-2</v>
      </c>
      <c r="O104" s="542" t="b">
        <f t="shared" si="275"/>
        <v>1</v>
      </c>
      <c r="P104" s="493">
        <f t="shared" si="209"/>
        <v>0.28889999999999999</v>
      </c>
      <c r="Q104" s="493">
        <f t="shared" si="210"/>
        <v>0.71109999999999995</v>
      </c>
      <c r="R104" s="543">
        <f t="shared" si="211"/>
        <v>7082</v>
      </c>
      <c r="S104" s="544">
        <f t="shared" si="212"/>
        <v>0.97560975599999999</v>
      </c>
      <c r="T104" s="423">
        <f t="shared" si="213"/>
        <v>543.09</v>
      </c>
      <c r="U104" s="423">
        <f xml:space="preserve"> IF( $O104,    ROUND(  SUM( T104:T$120), U$17 ),  LEER  )</f>
        <v>1608.91</v>
      </c>
      <c r="V104" s="493">
        <f t="shared" si="214"/>
        <v>2.9624999999999999</v>
      </c>
      <c r="W104" s="493">
        <f t="shared" si="215"/>
        <v>2997.86</v>
      </c>
      <c r="X104" s="493">
        <f xml:space="preserve"> IF( $O104,    ROUND(  SUM( W104:W$120), X$17 ),  LEER  )</f>
        <v>8892.7000000000007</v>
      </c>
      <c r="Y104" s="493">
        <f t="shared" si="216"/>
        <v>16.374300000000002</v>
      </c>
      <c r="Z104" s="493">
        <f t="shared" si="217"/>
        <v>5.5271999999999997</v>
      </c>
      <c r="AA104" s="493">
        <f t="shared" si="218"/>
        <v>1</v>
      </c>
      <c r="AB104" s="493">
        <f t="shared" si="219"/>
        <v>2.3494000000000002</v>
      </c>
      <c r="AC104" s="545">
        <f t="shared" si="220"/>
        <v>0.32679999999999998</v>
      </c>
      <c r="AD104" s="493">
        <f t="shared" si="221"/>
        <v>5.5271999999999997</v>
      </c>
      <c r="AE104" s="493">
        <f t="shared" si="222"/>
        <v>6.4047999999999998</v>
      </c>
      <c r="AF104" s="493">
        <f t="shared" si="223"/>
        <v>6.4047999999999998</v>
      </c>
      <c r="AG104" s="493" t="str">
        <f t="shared" si="224"/>
        <v>.</v>
      </c>
      <c r="AH104" s="493" t="str">
        <f t="shared" si="225"/>
        <v>.</v>
      </c>
      <c r="AI104" s="423">
        <f t="shared" si="226"/>
        <v>2077.79</v>
      </c>
      <c r="AJ104" s="423">
        <f t="shared" si="227"/>
        <v>13307.83</v>
      </c>
      <c r="AK104" s="423">
        <f t="shared" si="228"/>
        <v>1108.99</v>
      </c>
      <c r="AN104" s="423">
        <f t="shared" si="294"/>
        <v>22609.53</v>
      </c>
      <c r="AO104" s="423">
        <f t="shared" si="294"/>
        <v>22472.880000000001</v>
      </c>
      <c r="AR104" s="546">
        <f xml:space="preserve"> ROUND(  INDEX( Kx!104:104, AR$16 ),  AR$17 )</f>
        <v>0.24679999999999999</v>
      </c>
      <c r="AS104" s="547">
        <f xml:space="preserve"> ROUND(  INDEX( qx!104:104, AS$16 ),  AS$17 )</f>
        <v>0.29870000000000002</v>
      </c>
      <c r="AT104" s="547">
        <f xml:space="preserve"> ROUND(  INDEX( qx!104:104, AT$16 ),  AT$17 )</f>
        <v>0.28510000000000002</v>
      </c>
      <c r="AU104" s="548" t="str">
        <f t="shared" si="229"/>
        <v>F</v>
      </c>
      <c r="AV104" s="542">
        <f t="shared" si="230"/>
        <v>0.17929999999999999</v>
      </c>
      <c r="AW104" s="542">
        <f t="shared" si="231"/>
        <v>0.28749999999999998</v>
      </c>
      <c r="AX104" s="546">
        <f xml:space="preserve"> ROUND(  INDEX( wx!104:104, AX$16 ),  AX$17 )</f>
        <v>0</v>
      </c>
      <c r="AY104" s="546">
        <f xml:space="preserve"> ROUND(  INDEX( wx!104:104, AY$16 ),  AY$17 )</f>
        <v>2.0999999999999999E-3</v>
      </c>
      <c r="AZ104" s="548" t="str">
        <f t="shared" si="232"/>
        <v>M</v>
      </c>
      <c r="BA104" s="542">
        <f t="shared" si="233"/>
        <v>0.32950000000000002</v>
      </c>
      <c r="BB104" s="542">
        <f t="shared" si="234"/>
        <v>1.4E-3</v>
      </c>
      <c r="BC104" s="533">
        <f xml:space="preserve"> ROUND(  INDEX( Kx!104:104, BC$16 ),  BC$17 )</f>
        <v>13578.39</v>
      </c>
      <c r="BD104" s="533">
        <f xml:space="preserve"> ROUND(  INDEX( Kx!104:104, BD$16 ),  BD$17 )</f>
        <v>10309.459999999999</v>
      </c>
      <c r="BE104" s="548" t="str">
        <f t="shared" si="235"/>
        <v>M</v>
      </c>
      <c r="BF104" s="542">
        <f t="shared" si="236"/>
        <v>0.32950000000000002</v>
      </c>
      <c r="BG104" s="420">
        <f t="shared" si="237"/>
        <v>11386.57</v>
      </c>
      <c r="BQ104" s="549">
        <f t="shared" si="276"/>
        <v>104</v>
      </c>
      <c r="BR104" s="423">
        <f t="shared" si="238"/>
        <v>23428.25</v>
      </c>
      <c r="BS104" s="550">
        <f t="shared" si="239"/>
        <v>11469.4</v>
      </c>
      <c r="BT104" s="423">
        <f t="shared" si="240"/>
        <v>-7616.97</v>
      </c>
      <c r="BU104" s="551">
        <f t="shared" si="241"/>
        <v>543.09</v>
      </c>
      <c r="BV104" s="551">
        <f t="shared" si="242"/>
        <v>1.43</v>
      </c>
      <c r="BW104" s="529">
        <f t="shared" si="243"/>
        <v>22609.53</v>
      </c>
      <c r="BX104" s="552">
        <f t="shared" si="244"/>
        <v>6798.25</v>
      </c>
      <c r="BY104" s="560"/>
      <c r="BZ104" s="559"/>
      <c r="CB104" s="423">
        <f t="shared" si="245"/>
        <v>-7807.39</v>
      </c>
      <c r="CC104" s="423">
        <f t="shared" si="246"/>
        <v>565.24</v>
      </c>
      <c r="CD104" s="423">
        <f t="shared" si="247"/>
        <v>6243.34</v>
      </c>
      <c r="CE104" s="423">
        <f t="shared" si="248"/>
        <v>-998.8100000000004</v>
      </c>
      <c r="CF104" s="553">
        <f t="shared" si="249"/>
        <v>-998.80999999999767</v>
      </c>
      <c r="CH104" s="423">
        <f t="shared" si="250"/>
        <v>3852.4304390000002</v>
      </c>
      <c r="CI104" s="423">
        <f t="shared" si="251"/>
        <v>11469.4</v>
      </c>
      <c r="CJ104" s="423">
        <f t="shared" si="252"/>
        <v>-1525.9</v>
      </c>
      <c r="CK104" s="423">
        <f t="shared" si="253"/>
        <v>-6091.06</v>
      </c>
      <c r="CL104" s="553">
        <f t="shared" si="254"/>
        <v>3852.4399999999996</v>
      </c>
      <c r="CN104" s="423">
        <f t="shared" si="255"/>
        <v>3898.5573770000001</v>
      </c>
      <c r="CO104" s="423">
        <f t="shared" si="256"/>
        <v>11469.4</v>
      </c>
      <c r="CP104" s="423">
        <f t="shared" si="257"/>
        <v>-1516.55</v>
      </c>
      <c r="CQ104" s="423">
        <f t="shared" si="258"/>
        <v>-6054.28</v>
      </c>
      <c r="CR104" s="553">
        <f t="shared" si="259"/>
        <v>3898.5700000000006</v>
      </c>
      <c r="CV104" s="564">
        <f t="shared" si="277"/>
        <v>104</v>
      </c>
      <c r="CW104" s="538" t="str">
        <f t="shared" si="260"/>
        <v>.</v>
      </c>
      <c r="CX104" s="566">
        <f t="shared" si="261"/>
        <v>22472.880000000001</v>
      </c>
      <c r="CY104" s="538" t="str">
        <f t="shared" si="262"/>
        <v>.</v>
      </c>
      <c r="CZ104" s="538">
        <f t="shared" si="263"/>
        <v>13037</v>
      </c>
      <c r="DA104" s="538">
        <f t="shared" si="264"/>
        <v>8506.16</v>
      </c>
      <c r="DB104" s="567" t="e">
        <f t="shared" si="278"/>
        <v>#N/A</v>
      </c>
      <c r="DC104" s="567">
        <f t="shared" si="279"/>
        <v>22472.880000000001</v>
      </c>
      <c r="DD104" s="567" t="e">
        <f t="shared" si="280"/>
        <v>#N/A</v>
      </c>
      <c r="DE104" s="567">
        <f t="shared" si="280"/>
        <v>13037</v>
      </c>
      <c r="DF104" s="568">
        <f t="shared" si="281"/>
        <v>21543.16</v>
      </c>
      <c r="EL104" s="553">
        <f t="shared" si="265"/>
        <v>16447.310000000001</v>
      </c>
      <c r="EM104" s="553">
        <f t="shared" si="266"/>
        <v>6026.66</v>
      </c>
      <c r="EN104" s="423">
        <f t="shared" si="267"/>
        <v>22473.97</v>
      </c>
      <c r="EO104" s="555">
        <f xml:space="preserve"> 'i2'!AO104</f>
        <v>22472.880000000001</v>
      </c>
      <c r="EV104" s="533" t="e">
        <f xml:space="preserve"> ROUND(    IF( $A$15=BE_MF_,   LEER,   INDEX( Kx!104:104, EV$16 ) ),    EV$17    )</f>
        <v>#VALUE!</v>
      </c>
      <c r="EW104" s="533" t="e">
        <f xml:space="preserve"> ROUND(    IF( $A$15=BE_MF_,   LEER,   INDEX( Kx!104:104, EW$16 ) ),    EW$17    )</f>
        <v>#VALUE!</v>
      </c>
      <c r="EX104" s="533" t="e">
        <f xml:space="preserve"> ROUND(    IF( $A$15=BE_MF_,   LEER,   INDEX( Kx!104:104, EX$16 ) ),    EX$17    )</f>
        <v>#VALUE!</v>
      </c>
      <c r="EY104" s="556" t="e">
        <f t="shared" si="282"/>
        <v>#VALUE!</v>
      </c>
      <c r="FB104" s="533" t="e">
        <f xml:space="preserve"> ROUND(    IF( $A$15=BE_MF_,   LEER,   INDEX( Kx!104:104, FB$16 ) ),    FB$17    )</f>
        <v>#VALUE!</v>
      </c>
      <c r="FC104" s="533" t="e">
        <f xml:space="preserve"> ROUND(    IF( $A$15=BE_MF_,   LEER,   INDEX( Kx!104:104, FC$16 ) ),    FC$17    )</f>
        <v>#VALUE!</v>
      </c>
      <c r="FD104" s="556" t="e">
        <f t="shared" si="283"/>
        <v>#VALUE!</v>
      </c>
      <c r="FG104" s="556" t="e">
        <f t="shared" si="284"/>
        <v>#VALUE!</v>
      </c>
      <c r="FH104" s="556" t="e">
        <f t="shared" si="284"/>
        <v>#VALUE!</v>
      </c>
      <c r="FI104" s="556" t="e">
        <f t="shared" si="284"/>
        <v>#VALUE!</v>
      </c>
      <c r="FN104" s="557">
        <f t="shared" si="268"/>
        <v>104</v>
      </c>
      <c r="FO104" s="493">
        <f t="shared" si="269"/>
        <v>16.374300000000002</v>
      </c>
      <c r="FP104" s="493">
        <f t="shared" si="270"/>
        <v>2.9624999999999999</v>
      </c>
      <c r="FR104" s="427">
        <f t="shared" si="285"/>
        <v>934950.77</v>
      </c>
      <c r="FS104" s="558">
        <f t="shared" si="295"/>
        <v>26633.35</v>
      </c>
      <c r="FT104" s="558">
        <f t="shared" si="295"/>
        <v>26384.06</v>
      </c>
      <c r="FU104" s="558">
        <f t="shared" si="295"/>
        <v>26134.14</v>
      </c>
      <c r="FV104" s="558">
        <f t="shared" si="295"/>
        <v>25884.23</v>
      </c>
      <c r="FW104" s="558">
        <f t="shared" si="295"/>
        <v>25625.7</v>
      </c>
      <c r="FX104" s="558">
        <f t="shared" si="295"/>
        <v>25359.79</v>
      </c>
      <c r="FY104" s="558">
        <f t="shared" si="295"/>
        <v>25096.33</v>
      </c>
      <c r="FZ104" s="558">
        <f t="shared" si="295"/>
        <v>24831.03</v>
      </c>
      <c r="GA104" s="558">
        <f t="shared" si="295"/>
        <v>24556.5</v>
      </c>
      <c r="GB104" s="558">
        <f t="shared" si="295"/>
        <v>24270.89</v>
      </c>
      <c r="GC104" s="558">
        <f t="shared" si="295"/>
        <v>23983.43</v>
      </c>
      <c r="GD104" s="558">
        <f t="shared" si="295"/>
        <v>23691.66</v>
      </c>
      <c r="GE104" s="558">
        <f t="shared" si="295"/>
        <v>23393.119999999999</v>
      </c>
      <c r="GF104" s="558">
        <f t="shared" si="295"/>
        <v>23093.35</v>
      </c>
      <c r="GG104" s="558">
        <f t="shared" si="295"/>
        <v>22784.35</v>
      </c>
      <c r="GH104" s="558">
        <f t="shared" si="295"/>
        <v>22472.880000000001</v>
      </c>
      <c r="GI104" s="558">
        <f t="shared" si="292"/>
        <v>22152.18</v>
      </c>
      <c r="GJ104" s="558">
        <f t="shared" si="292"/>
        <v>21824.1</v>
      </c>
      <c r="GK104" s="558">
        <f t="shared" si="292"/>
        <v>21486.78</v>
      </c>
      <c r="GL104" s="558">
        <f t="shared" si="292"/>
        <v>21139.61</v>
      </c>
      <c r="GM104" s="558">
        <f t="shared" si="292"/>
        <v>20781.98</v>
      </c>
      <c r="GN104" s="558">
        <f t="shared" si="292"/>
        <v>20410.8</v>
      </c>
      <c r="GO104" s="558">
        <f t="shared" si="292"/>
        <v>20026.09</v>
      </c>
      <c r="GP104" s="558">
        <f t="shared" si="292"/>
        <v>19627.21</v>
      </c>
      <c r="GQ104" s="558">
        <f t="shared" si="292"/>
        <v>19212.34</v>
      </c>
      <c r="GR104" s="558">
        <f t="shared" si="292"/>
        <v>18784.53</v>
      </c>
      <c r="GS104" s="558">
        <f t="shared" si="292"/>
        <v>18341.96</v>
      </c>
      <c r="GT104" s="558">
        <f t="shared" si="292"/>
        <v>17885.84</v>
      </c>
      <c r="GU104" s="558">
        <f t="shared" si="292"/>
        <v>17417.41</v>
      </c>
      <c r="GV104" s="558">
        <f t="shared" si="292"/>
        <v>16937.28</v>
      </c>
      <c r="GW104" s="558">
        <f t="shared" si="292"/>
        <v>16447.310000000001</v>
      </c>
      <c r="GX104" s="558">
        <f t="shared" si="296"/>
        <v>15945.64</v>
      </c>
      <c r="GY104" s="558">
        <f t="shared" si="296"/>
        <v>15437.2</v>
      </c>
      <c r="GZ104" s="558">
        <f t="shared" si="296"/>
        <v>14919.52</v>
      </c>
      <c r="HA104" s="558">
        <f t="shared" si="296"/>
        <v>14396.31</v>
      </c>
      <c r="HB104" s="558">
        <f t="shared" si="296"/>
        <v>13867.56</v>
      </c>
      <c r="HC104" s="558">
        <f t="shared" si="296"/>
        <v>13332.65</v>
      </c>
      <c r="HD104" s="558">
        <f t="shared" si="296"/>
        <v>12793.43</v>
      </c>
      <c r="HE104" s="558">
        <f t="shared" si="296"/>
        <v>12246.21</v>
      </c>
      <c r="HF104" s="558">
        <f t="shared" si="296"/>
        <v>11687.3</v>
      </c>
      <c r="HG104" s="558">
        <f t="shared" si="296"/>
        <v>11120.38</v>
      </c>
      <c r="HH104" s="558">
        <f t="shared" si="296"/>
        <v>10547.92</v>
      </c>
      <c r="HI104" s="558">
        <f t="shared" si="296"/>
        <v>9968.08</v>
      </c>
      <c r="HJ104" s="558">
        <f t="shared" si="296"/>
        <v>9383.93</v>
      </c>
      <c r="HK104" s="558">
        <f t="shared" si="296"/>
        <v>8793.6200000000008</v>
      </c>
      <c r="HL104" s="558">
        <f t="shared" si="296"/>
        <v>8208.85</v>
      </c>
      <c r="HM104" s="558">
        <f t="shared" si="296"/>
        <v>7619.16</v>
      </c>
      <c r="HN104" s="558">
        <f t="shared" si="293"/>
        <v>7033.16</v>
      </c>
      <c r="HO104" s="558">
        <f t="shared" si="293"/>
        <v>6451.47</v>
      </c>
      <c r="HP104" s="558">
        <f t="shared" si="293"/>
        <v>5872.24</v>
      </c>
      <c r="HQ104" s="558">
        <f t="shared" si="293"/>
        <v>5395.19</v>
      </c>
      <c r="HR104" s="558">
        <f t="shared" si="293"/>
        <v>4932.92</v>
      </c>
      <c r="HS104" s="558">
        <f t="shared" si="293"/>
        <v>4490.34</v>
      </c>
      <c r="HT104" s="558">
        <f t="shared" si="293"/>
        <v>4071.15</v>
      </c>
      <c r="HU104" s="558">
        <f t="shared" si="293"/>
        <v>3565.18</v>
      </c>
      <c r="HV104" s="558">
        <f t="shared" si="293"/>
        <v>3078.9</v>
      </c>
      <c r="HW104" s="558">
        <f t="shared" si="293"/>
        <v>2615.39</v>
      </c>
      <c r="HX104" s="558">
        <f t="shared" si="293"/>
        <v>2189.4299999999998</v>
      </c>
      <c r="HY104" s="558">
        <f t="shared" si="293"/>
        <v>1797.33</v>
      </c>
      <c r="HZ104" s="558">
        <f t="shared" si="293"/>
        <v>1440.93</v>
      </c>
      <c r="IA104" s="558">
        <f t="shared" si="293"/>
        <v>1128.8499999999999</v>
      </c>
      <c r="IB104" s="558">
        <f t="shared" si="293"/>
        <v>854.31</v>
      </c>
      <c r="IC104" s="558">
        <f t="shared" si="291"/>
        <v>630.87</v>
      </c>
      <c r="ID104" s="558">
        <f t="shared" si="291"/>
        <v>451.13</v>
      </c>
      <c r="IE104" s="558">
        <f t="shared" si="291"/>
        <v>316.94</v>
      </c>
      <c r="IF104" s="558">
        <f t="shared" si="291"/>
        <v>227.69</v>
      </c>
      <c r="IG104" s="558">
        <f t="shared" si="291"/>
        <v>168.6</v>
      </c>
      <c r="IH104" s="558">
        <f t="shared" si="291"/>
        <v>127.36</v>
      </c>
      <c r="II104" s="558">
        <f t="shared" si="291"/>
        <v>126.12</v>
      </c>
      <c r="IJ104" s="558">
        <f t="shared" si="291"/>
        <v>123.66</v>
      </c>
      <c r="IK104" s="558">
        <f t="shared" si="291"/>
        <v>121.2</v>
      </c>
      <c r="IL104" s="558">
        <f t="shared" si="291"/>
        <v>117.51</v>
      </c>
      <c r="IM104" s="558">
        <f t="shared" si="291"/>
        <v>112.58</v>
      </c>
      <c r="IN104" s="558">
        <f t="shared" si="291"/>
        <v>105.81</v>
      </c>
      <c r="IO104" s="558">
        <f t="shared" si="291"/>
        <v>96.58</v>
      </c>
      <c r="IP104" s="558">
        <f t="shared" si="291"/>
        <v>83.65</v>
      </c>
      <c r="IQ104" s="558">
        <f t="shared" si="291"/>
        <v>66.42</v>
      </c>
      <c r="IR104" s="558">
        <f t="shared" si="291"/>
        <v>41.18</v>
      </c>
      <c r="IS104" s="558">
        <f t="shared" si="291"/>
        <v>39.33</v>
      </c>
      <c r="IT104" s="558">
        <f t="shared" si="291"/>
        <v>37.49</v>
      </c>
      <c r="IU104" s="558">
        <f t="shared" si="291"/>
        <v>33.79</v>
      </c>
      <c r="IV104" s="558">
        <f t="shared" si="291"/>
        <v>30.1</v>
      </c>
      <c r="IW104" s="558">
        <f t="shared" si="291"/>
        <v>23.94</v>
      </c>
      <c r="IX104" s="558">
        <f t="shared" si="291"/>
        <v>14.1</v>
      </c>
      <c r="IY104" s="558">
        <f t="shared" si="291"/>
        <v>-0.06</v>
      </c>
      <c r="IZ104" s="558" t="str">
        <f t="shared" si="291"/>
        <v>.</v>
      </c>
      <c r="JA104" s="558" t="str">
        <f t="shared" si="291"/>
        <v>.</v>
      </c>
      <c r="JB104" s="558" t="str">
        <f t="shared" si="289"/>
        <v>.</v>
      </c>
      <c r="JC104" s="558" t="str">
        <f t="shared" si="289"/>
        <v>.</v>
      </c>
      <c r="JD104" s="558" t="str">
        <f t="shared" si="289"/>
        <v>.</v>
      </c>
      <c r="JE104" s="558" t="str">
        <f t="shared" si="289"/>
        <v>.</v>
      </c>
      <c r="JF104" s="558" t="str">
        <f t="shared" si="289"/>
        <v>.</v>
      </c>
      <c r="JG104" s="558" t="str">
        <f t="shared" si="289"/>
        <v>.</v>
      </c>
      <c r="JH104" s="558" t="str">
        <f t="shared" si="289"/>
        <v>.</v>
      </c>
      <c r="JI104" s="558" t="str">
        <f t="shared" si="289"/>
        <v>.</v>
      </c>
      <c r="JJ104" s="558" t="str">
        <f t="shared" si="289"/>
        <v>.</v>
      </c>
      <c r="JK104" s="558" t="str">
        <f t="shared" si="298"/>
        <v>.</v>
      </c>
      <c r="JL104" s="558" t="str">
        <f t="shared" si="298"/>
        <v>.</v>
      </c>
      <c r="JM104" s="558" t="str">
        <f t="shared" si="298"/>
        <v>.</v>
      </c>
      <c r="JN104" s="558" t="str">
        <f t="shared" si="298"/>
        <v>.</v>
      </c>
      <c r="JO104" s="558" t="str">
        <f t="shared" si="297"/>
        <v>.</v>
      </c>
    </row>
    <row r="105" spans="1:275" x14ac:dyDescent="0.2">
      <c r="A105" s="534">
        <f xml:space="preserve"> Basis!A105</f>
        <v>105</v>
      </c>
      <c r="F105" s="536">
        <f xml:space="preserve"> ROUND(    IF( $A$15=BE_MF_,   AW105,   INDEX( qx!105:105, F$16 ) ),    F$17    )</f>
        <v>0.29339999999999999</v>
      </c>
      <c r="G105" s="536">
        <f xml:space="preserve"> ROUND(    IF( $A$15=BE_MF_,   BB105,   INDEX( wx!105:105, G$16 ) ),    G$17    )</f>
        <v>1.4E-3</v>
      </c>
      <c r="H105" s="537">
        <f xml:space="preserve"> ROUND(    IF( $A$15=BE_MF_,   BG105,   INDEX( Kx!105:105, H$16 ) ),    H$17    )</f>
        <v>11421.03</v>
      </c>
      <c r="I105" s="538">
        <f t="shared" si="273"/>
        <v>11469.4</v>
      </c>
      <c r="J105" s="539">
        <f t="shared" si="208"/>
        <v>5.52</v>
      </c>
      <c r="K105" s="540">
        <f t="shared" si="274"/>
        <v>0</v>
      </c>
      <c r="L105" s="541">
        <f t="shared" si="299"/>
        <v>0</v>
      </c>
      <c r="M105" s="541">
        <f t="shared" si="299"/>
        <v>8.5999999999999993E-2</v>
      </c>
      <c r="O105" s="542" t="b">
        <f t="shared" si="275"/>
        <v>1</v>
      </c>
      <c r="P105" s="493">
        <f t="shared" si="209"/>
        <v>0.29480000000000001</v>
      </c>
      <c r="Q105" s="493">
        <f t="shared" si="210"/>
        <v>0.70520000000000005</v>
      </c>
      <c r="R105" s="543">
        <f t="shared" si="211"/>
        <v>5036</v>
      </c>
      <c r="S105" s="544">
        <f t="shared" si="212"/>
        <v>0.97560975599999999</v>
      </c>
      <c r="T105" s="423">
        <f t="shared" si="213"/>
        <v>376.77</v>
      </c>
      <c r="U105" s="423">
        <f xml:space="preserve"> IF( $O105,    ROUND(  SUM( T105:T$120), U$17 ),  LEER  )</f>
        <v>1065.82</v>
      </c>
      <c r="V105" s="493">
        <f t="shared" si="214"/>
        <v>2.8288000000000002</v>
      </c>
      <c r="W105" s="493">
        <f t="shared" si="215"/>
        <v>2079.77</v>
      </c>
      <c r="X105" s="493">
        <f xml:space="preserve"> IF( $O105,    ROUND(  SUM( W105:W$120), X$17 ),  LEER  )</f>
        <v>5894.84</v>
      </c>
      <c r="Y105" s="493">
        <f t="shared" si="216"/>
        <v>15.6457</v>
      </c>
      <c r="Z105" s="493">
        <f t="shared" si="217"/>
        <v>5.5308999999999999</v>
      </c>
      <c r="AA105" s="493">
        <f t="shared" si="218"/>
        <v>1</v>
      </c>
      <c r="AB105" s="493">
        <f t="shared" si="219"/>
        <v>2.3494000000000002</v>
      </c>
      <c r="AC105" s="545">
        <f t="shared" si="220"/>
        <v>0.32679999999999998</v>
      </c>
      <c r="AD105" s="493">
        <f t="shared" si="221"/>
        <v>5.5308999999999999</v>
      </c>
      <c r="AE105" s="493">
        <f t="shared" si="222"/>
        <v>6.4089</v>
      </c>
      <c r="AF105" s="493">
        <f t="shared" si="223"/>
        <v>6.4089</v>
      </c>
      <c r="AG105" s="493" t="str">
        <f t="shared" si="224"/>
        <v>.</v>
      </c>
      <c r="AH105" s="493" t="str">
        <f t="shared" si="225"/>
        <v>.</v>
      </c>
      <c r="AI105" s="423">
        <f t="shared" si="226"/>
        <v>2077.79</v>
      </c>
      <c r="AJ105" s="423">
        <f t="shared" si="227"/>
        <v>13316.35</v>
      </c>
      <c r="AK105" s="423">
        <f t="shared" si="228"/>
        <v>1109.7</v>
      </c>
      <c r="AN105" s="423">
        <f t="shared" si="294"/>
        <v>21610.720000000001</v>
      </c>
      <c r="AO105" s="423">
        <f t="shared" si="294"/>
        <v>21480.240000000002</v>
      </c>
      <c r="AR105" s="546">
        <f xml:space="preserve"> ROUND(  INDEX( Kx!105:105, AR$16 ),  AR$17 )</f>
        <v>0.24679999999999999</v>
      </c>
      <c r="AS105" s="547">
        <f xml:space="preserve"> ROUND(  INDEX( qx!105:105, AS$16 ),  AS$17 )</f>
        <v>0.30530000000000002</v>
      </c>
      <c r="AT105" s="547">
        <f xml:space="preserve"> ROUND(  INDEX( qx!105:105, AT$16 ),  AT$17 )</f>
        <v>0.2908</v>
      </c>
      <c r="AU105" s="548" t="str">
        <f t="shared" si="229"/>
        <v>F</v>
      </c>
      <c r="AV105" s="542">
        <f t="shared" si="230"/>
        <v>0.17929999999999999</v>
      </c>
      <c r="AW105" s="542">
        <f t="shared" si="231"/>
        <v>0.29339999999999999</v>
      </c>
      <c r="AX105" s="546">
        <f xml:space="preserve"> ROUND(  INDEX( wx!105:105, AX$16 ),  AX$17 )</f>
        <v>0</v>
      </c>
      <c r="AY105" s="546">
        <f xml:space="preserve"> ROUND(  INDEX( wx!105:105, AY$16 ),  AY$17 )</f>
        <v>2.0999999999999999E-3</v>
      </c>
      <c r="AZ105" s="548" t="str">
        <f t="shared" si="232"/>
        <v>M</v>
      </c>
      <c r="BA105" s="542">
        <f t="shared" si="233"/>
        <v>0.32950000000000002</v>
      </c>
      <c r="BB105" s="542">
        <f t="shared" si="234"/>
        <v>1.4E-3</v>
      </c>
      <c r="BC105" s="533">
        <f xml:space="preserve"> ROUND(  INDEX( Kx!105:105, BC$16 ),  BC$17 )</f>
        <v>13657.08</v>
      </c>
      <c r="BD105" s="533">
        <f xml:space="preserve"> ROUND(  INDEX( Kx!105:105, BD$16 ),  BD$17 )</f>
        <v>10322.18</v>
      </c>
      <c r="BE105" s="548" t="str">
        <f t="shared" si="235"/>
        <v>M</v>
      </c>
      <c r="BF105" s="542">
        <f t="shared" si="236"/>
        <v>0.32950000000000002</v>
      </c>
      <c r="BG105" s="420">
        <f t="shared" si="237"/>
        <v>11421.03</v>
      </c>
      <c r="BQ105" s="549">
        <f t="shared" si="276"/>
        <v>105</v>
      </c>
      <c r="BR105" s="423">
        <f t="shared" si="238"/>
        <v>22609.53</v>
      </c>
      <c r="BS105" s="550">
        <f t="shared" si="239"/>
        <v>11469.4</v>
      </c>
      <c r="BT105" s="423">
        <f t="shared" si="240"/>
        <v>-7616.97</v>
      </c>
      <c r="BU105" s="551">
        <f t="shared" si="241"/>
        <v>376.77</v>
      </c>
      <c r="BV105" s="551">
        <f t="shared" si="242"/>
        <v>1.4414</v>
      </c>
      <c r="BW105" s="529">
        <f t="shared" si="243"/>
        <v>21610.720000000001</v>
      </c>
      <c r="BX105" s="552">
        <f t="shared" si="244"/>
        <v>6618.1600000000035</v>
      </c>
      <c r="BY105" s="560"/>
      <c r="BZ105" s="559"/>
      <c r="CB105" s="423">
        <f t="shared" si="245"/>
        <v>-7807.39</v>
      </c>
      <c r="CC105" s="423">
        <f t="shared" si="246"/>
        <v>540.27</v>
      </c>
      <c r="CD105" s="423">
        <f t="shared" si="247"/>
        <v>5996.74</v>
      </c>
      <c r="CE105" s="423">
        <f t="shared" si="248"/>
        <v>-1270.380000000001</v>
      </c>
      <c r="CF105" s="553">
        <f t="shared" si="249"/>
        <v>-1269</v>
      </c>
      <c r="CH105" s="423">
        <f t="shared" si="250"/>
        <v>3852.4304390000002</v>
      </c>
      <c r="CI105" s="423">
        <f t="shared" si="251"/>
        <v>11469.4</v>
      </c>
      <c r="CJ105" s="423">
        <f t="shared" si="252"/>
        <v>-1765.14</v>
      </c>
      <c r="CK105" s="423">
        <f t="shared" si="253"/>
        <v>-5850.48</v>
      </c>
      <c r="CL105" s="553">
        <f t="shared" si="254"/>
        <v>3853.7800000000007</v>
      </c>
      <c r="CN105" s="423">
        <f t="shared" si="255"/>
        <v>3898.5573770000001</v>
      </c>
      <c r="CO105" s="423">
        <f t="shared" si="256"/>
        <v>11469.4</v>
      </c>
      <c r="CP105" s="423">
        <f t="shared" si="257"/>
        <v>-1754.3</v>
      </c>
      <c r="CQ105" s="423">
        <f t="shared" si="258"/>
        <v>-5815.21</v>
      </c>
      <c r="CR105" s="553">
        <f t="shared" si="259"/>
        <v>3899.8900000000003</v>
      </c>
      <c r="CV105" s="564">
        <f t="shared" si="277"/>
        <v>105</v>
      </c>
      <c r="CW105" s="538" t="str">
        <f t="shared" si="260"/>
        <v>.</v>
      </c>
      <c r="CX105" s="566">
        <f t="shared" si="261"/>
        <v>21480.240000000002</v>
      </c>
      <c r="CY105" s="538" t="str">
        <f t="shared" si="262"/>
        <v>.</v>
      </c>
      <c r="CZ105" s="538">
        <f t="shared" si="263"/>
        <v>12449</v>
      </c>
      <c r="DA105" s="538">
        <f t="shared" si="264"/>
        <v>8143.85</v>
      </c>
      <c r="DB105" s="567" t="e">
        <f t="shared" si="278"/>
        <v>#N/A</v>
      </c>
      <c r="DC105" s="567">
        <f t="shared" si="279"/>
        <v>21480.240000000002</v>
      </c>
      <c r="DD105" s="567" t="e">
        <f t="shared" si="280"/>
        <v>#N/A</v>
      </c>
      <c r="DE105" s="567">
        <f t="shared" si="280"/>
        <v>12449</v>
      </c>
      <c r="DF105" s="568">
        <f t="shared" si="281"/>
        <v>20592.849999999999</v>
      </c>
      <c r="EL105" s="553">
        <f t="shared" si="265"/>
        <v>15726.61</v>
      </c>
      <c r="EM105" s="553">
        <f t="shared" si="266"/>
        <v>5754.68</v>
      </c>
      <c r="EN105" s="423">
        <f t="shared" si="267"/>
        <v>21481.29</v>
      </c>
      <c r="EO105" s="555">
        <f xml:space="preserve"> 'i2'!AO105</f>
        <v>21480.240000000002</v>
      </c>
      <c r="EV105" s="533" t="e">
        <f xml:space="preserve"> ROUND(    IF( $A$15=BE_MF_,   LEER,   INDEX( Kx!105:105, EV$16 ) ),    EV$17    )</f>
        <v>#VALUE!</v>
      </c>
      <c r="EW105" s="533" t="e">
        <f xml:space="preserve"> ROUND(    IF( $A$15=BE_MF_,   LEER,   INDEX( Kx!105:105, EW$16 ) ),    EW$17    )</f>
        <v>#VALUE!</v>
      </c>
      <c r="EX105" s="533" t="e">
        <f xml:space="preserve"> ROUND(    IF( $A$15=BE_MF_,   LEER,   INDEX( Kx!105:105, EX$16 ) ),    EX$17    )</f>
        <v>#VALUE!</v>
      </c>
      <c r="EY105" s="556" t="e">
        <f t="shared" si="282"/>
        <v>#VALUE!</v>
      </c>
      <c r="FB105" s="533" t="e">
        <f xml:space="preserve"> ROUND(    IF( $A$15=BE_MF_,   LEER,   INDEX( Kx!105:105, FB$16 ) ),    FB$17    )</f>
        <v>#VALUE!</v>
      </c>
      <c r="FC105" s="533" t="e">
        <f xml:space="preserve"> ROUND(    IF( $A$15=BE_MF_,   LEER,   INDEX( Kx!105:105, FC$16 ) ),    FC$17    )</f>
        <v>#VALUE!</v>
      </c>
      <c r="FD105" s="556" t="e">
        <f t="shared" si="283"/>
        <v>#VALUE!</v>
      </c>
      <c r="FG105" s="556" t="e">
        <f t="shared" si="284"/>
        <v>#VALUE!</v>
      </c>
      <c r="FH105" s="556" t="e">
        <f t="shared" si="284"/>
        <v>#VALUE!</v>
      </c>
      <c r="FI105" s="556" t="e">
        <f t="shared" si="284"/>
        <v>#VALUE!</v>
      </c>
      <c r="FN105" s="557">
        <f t="shared" si="268"/>
        <v>105</v>
      </c>
      <c r="FO105" s="493">
        <f t="shared" si="269"/>
        <v>15.6457</v>
      </c>
      <c r="FP105" s="493">
        <f t="shared" si="270"/>
        <v>2.8288000000000002</v>
      </c>
      <c r="FR105" s="427">
        <f t="shared" si="285"/>
        <v>894589.64999999979</v>
      </c>
      <c r="FS105" s="558">
        <f t="shared" si="295"/>
        <v>25452.95</v>
      </c>
      <c r="FT105" s="558">
        <f t="shared" si="295"/>
        <v>25214.9</v>
      </c>
      <c r="FU105" s="558">
        <f t="shared" si="295"/>
        <v>24976.27</v>
      </c>
      <c r="FV105" s="558">
        <f t="shared" si="295"/>
        <v>24737.63</v>
      </c>
      <c r="FW105" s="558">
        <f t="shared" si="295"/>
        <v>24490.77</v>
      </c>
      <c r="FX105" s="558">
        <f t="shared" si="295"/>
        <v>24236.86</v>
      </c>
      <c r="FY105" s="558">
        <f t="shared" si="295"/>
        <v>23985.3</v>
      </c>
      <c r="FZ105" s="558">
        <f t="shared" si="295"/>
        <v>23731.97</v>
      </c>
      <c r="GA105" s="558">
        <f t="shared" si="295"/>
        <v>23469.83</v>
      </c>
      <c r="GB105" s="558">
        <f t="shared" si="295"/>
        <v>23197.1</v>
      </c>
      <c r="GC105" s="558">
        <f t="shared" si="295"/>
        <v>22922.62</v>
      </c>
      <c r="GD105" s="558">
        <f t="shared" si="295"/>
        <v>22644.02</v>
      </c>
      <c r="GE105" s="558">
        <f t="shared" si="295"/>
        <v>22358.95</v>
      </c>
      <c r="GF105" s="558">
        <f t="shared" si="295"/>
        <v>22072.71</v>
      </c>
      <c r="GG105" s="558">
        <f t="shared" si="295"/>
        <v>21777.65</v>
      </c>
      <c r="GH105" s="558">
        <f t="shared" si="295"/>
        <v>21480.240000000002</v>
      </c>
      <c r="GI105" s="558">
        <f t="shared" si="292"/>
        <v>21174.01</v>
      </c>
      <c r="GJ105" s="558">
        <f t="shared" si="292"/>
        <v>20860.740000000002</v>
      </c>
      <c r="GK105" s="558">
        <f t="shared" si="292"/>
        <v>20538.64</v>
      </c>
      <c r="GL105" s="558">
        <f t="shared" si="292"/>
        <v>20207.14</v>
      </c>
      <c r="GM105" s="558">
        <f t="shared" si="292"/>
        <v>19865.650000000001</v>
      </c>
      <c r="GN105" s="558">
        <f t="shared" si="292"/>
        <v>19511.23</v>
      </c>
      <c r="GO105" s="558">
        <f t="shared" si="292"/>
        <v>19143.87</v>
      </c>
      <c r="GP105" s="558">
        <f t="shared" si="292"/>
        <v>18763</v>
      </c>
      <c r="GQ105" s="558">
        <f t="shared" si="292"/>
        <v>18366.849999999999</v>
      </c>
      <c r="GR105" s="558">
        <f t="shared" si="292"/>
        <v>17958.349999999999</v>
      </c>
      <c r="GS105" s="558">
        <f t="shared" si="292"/>
        <v>17535.75</v>
      </c>
      <c r="GT105" s="558">
        <f t="shared" si="292"/>
        <v>17100.21</v>
      </c>
      <c r="GU105" s="558">
        <f t="shared" si="292"/>
        <v>16652.919999999998</v>
      </c>
      <c r="GV105" s="558">
        <f t="shared" si="292"/>
        <v>16194.47</v>
      </c>
      <c r="GW105" s="558">
        <f t="shared" si="292"/>
        <v>15726.61</v>
      </c>
      <c r="GX105" s="558">
        <f t="shared" si="296"/>
        <v>15247.58</v>
      </c>
      <c r="GY105" s="558">
        <f t="shared" si="296"/>
        <v>14762.08</v>
      </c>
      <c r="GZ105" s="558">
        <f t="shared" si="296"/>
        <v>14267.77</v>
      </c>
      <c r="HA105" s="558">
        <f t="shared" si="296"/>
        <v>13768.17</v>
      </c>
      <c r="HB105" s="558">
        <f t="shared" si="296"/>
        <v>13263.28</v>
      </c>
      <c r="HC105" s="558">
        <f t="shared" si="296"/>
        <v>12752.51</v>
      </c>
      <c r="HD105" s="558">
        <f t="shared" si="296"/>
        <v>12237.63</v>
      </c>
      <c r="HE105" s="558">
        <f t="shared" si="296"/>
        <v>11715.11</v>
      </c>
      <c r="HF105" s="558">
        <f t="shared" si="296"/>
        <v>11181.42</v>
      </c>
      <c r="HG105" s="558">
        <f t="shared" si="296"/>
        <v>10640.09</v>
      </c>
      <c r="HH105" s="558">
        <f t="shared" si="296"/>
        <v>10093.459999999999</v>
      </c>
      <c r="HI105" s="558">
        <f t="shared" si="296"/>
        <v>9539.7900000000009</v>
      </c>
      <c r="HJ105" s="558">
        <f t="shared" si="296"/>
        <v>8982</v>
      </c>
      <c r="HK105" s="558">
        <f t="shared" si="296"/>
        <v>8418.33</v>
      </c>
      <c r="HL105" s="558">
        <f t="shared" si="296"/>
        <v>7859.96</v>
      </c>
      <c r="HM105" s="558">
        <f t="shared" si="296"/>
        <v>7296.88</v>
      </c>
      <c r="HN105" s="558">
        <f t="shared" si="293"/>
        <v>6737.32</v>
      </c>
      <c r="HO105" s="558">
        <f t="shared" si="293"/>
        <v>6181.89</v>
      </c>
      <c r="HP105" s="558">
        <f t="shared" si="293"/>
        <v>5628.8</v>
      </c>
      <c r="HQ105" s="558">
        <f t="shared" si="293"/>
        <v>5173.28</v>
      </c>
      <c r="HR105" s="558">
        <f t="shared" si="293"/>
        <v>4731.87</v>
      </c>
      <c r="HS105" s="558">
        <f t="shared" si="293"/>
        <v>4309.2700000000004</v>
      </c>
      <c r="HT105" s="558">
        <f t="shared" si="293"/>
        <v>3909</v>
      </c>
      <c r="HU105" s="558">
        <f t="shared" si="293"/>
        <v>3425.86</v>
      </c>
      <c r="HV105" s="558">
        <f t="shared" si="293"/>
        <v>2961.52</v>
      </c>
      <c r="HW105" s="558">
        <f t="shared" si="293"/>
        <v>2518.9299999999998</v>
      </c>
      <c r="HX105" s="558">
        <f t="shared" si="293"/>
        <v>2112.1999999999998</v>
      </c>
      <c r="HY105" s="558">
        <f t="shared" si="293"/>
        <v>1737.79</v>
      </c>
      <c r="HZ105" s="558">
        <f t="shared" si="293"/>
        <v>1397.48</v>
      </c>
      <c r="IA105" s="558">
        <f t="shared" si="293"/>
        <v>1099.48</v>
      </c>
      <c r="IB105" s="558">
        <f t="shared" si="293"/>
        <v>837.34</v>
      </c>
      <c r="IC105" s="558">
        <f t="shared" si="291"/>
        <v>623.98</v>
      </c>
      <c r="ID105" s="558">
        <f t="shared" si="291"/>
        <v>452.35</v>
      </c>
      <c r="IE105" s="558">
        <f t="shared" si="291"/>
        <v>324.22000000000003</v>
      </c>
      <c r="IF105" s="558">
        <f t="shared" si="291"/>
        <v>238.99</v>
      </c>
      <c r="IG105" s="558">
        <f t="shared" si="291"/>
        <v>182.57</v>
      </c>
      <c r="IH105" s="558">
        <f t="shared" si="291"/>
        <v>143.19</v>
      </c>
      <c r="II105" s="558">
        <f t="shared" si="291"/>
        <v>142.01</v>
      </c>
      <c r="IJ105" s="558">
        <f t="shared" si="291"/>
        <v>139.66</v>
      </c>
      <c r="IK105" s="558">
        <f t="shared" si="291"/>
        <v>137.31</v>
      </c>
      <c r="IL105" s="558">
        <f t="shared" si="291"/>
        <v>133.78</v>
      </c>
      <c r="IM105" s="558">
        <f t="shared" si="291"/>
        <v>129.08000000000001</v>
      </c>
      <c r="IN105" s="558">
        <f t="shared" si="291"/>
        <v>122.61</v>
      </c>
      <c r="IO105" s="558">
        <f t="shared" si="291"/>
        <v>113.8</v>
      </c>
      <c r="IP105" s="558">
        <f t="shared" si="291"/>
        <v>101.45</v>
      </c>
      <c r="IQ105" s="558">
        <f t="shared" si="291"/>
        <v>85</v>
      </c>
      <c r="IR105" s="558">
        <f t="shared" si="291"/>
        <v>60.9</v>
      </c>
      <c r="IS105" s="558">
        <f t="shared" si="291"/>
        <v>59.14</v>
      </c>
      <c r="IT105" s="558">
        <f t="shared" si="291"/>
        <v>57.37</v>
      </c>
      <c r="IU105" s="558">
        <f t="shared" si="291"/>
        <v>53.85</v>
      </c>
      <c r="IV105" s="558">
        <f t="shared" si="291"/>
        <v>50.32</v>
      </c>
      <c r="IW105" s="558">
        <f t="shared" si="291"/>
        <v>44.44</v>
      </c>
      <c r="IX105" s="558">
        <f t="shared" si="291"/>
        <v>35.04</v>
      </c>
      <c r="IY105" s="558">
        <f t="shared" si="291"/>
        <v>21.52</v>
      </c>
      <c r="IZ105" s="558">
        <f t="shared" si="291"/>
        <v>-0.23</v>
      </c>
      <c r="JA105" s="558" t="str">
        <f t="shared" si="291"/>
        <v>.</v>
      </c>
      <c r="JB105" s="558" t="str">
        <f t="shared" si="289"/>
        <v>.</v>
      </c>
      <c r="JC105" s="558" t="str">
        <f t="shared" si="289"/>
        <v>.</v>
      </c>
      <c r="JD105" s="558" t="str">
        <f t="shared" si="289"/>
        <v>.</v>
      </c>
      <c r="JE105" s="558" t="str">
        <f t="shared" si="289"/>
        <v>.</v>
      </c>
      <c r="JF105" s="558" t="str">
        <f t="shared" si="289"/>
        <v>.</v>
      </c>
      <c r="JG105" s="558" t="str">
        <f t="shared" si="289"/>
        <v>.</v>
      </c>
      <c r="JH105" s="558" t="str">
        <f t="shared" si="289"/>
        <v>.</v>
      </c>
      <c r="JI105" s="558" t="str">
        <f t="shared" si="289"/>
        <v>.</v>
      </c>
      <c r="JJ105" s="558" t="str">
        <f t="shared" si="289"/>
        <v>.</v>
      </c>
      <c r="JK105" s="558" t="str">
        <f t="shared" si="298"/>
        <v>.</v>
      </c>
      <c r="JL105" s="558" t="str">
        <f t="shared" si="298"/>
        <v>.</v>
      </c>
      <c r="JM105" s="558" t="str">
        <f t="shared" si="298"/>
        <v>.</v>
      </c>
      <c r="JN105" s="558" t="str">
        <f t="shared" si="298"/>
        <v>.</v>
      </c>
      <c r="JO105" s="558" t="str">
        <f t="shared" si="297"/>
        <v>.</v>
      </c>
    </row>
    <row r="106" spans="1:275" x14ac:dyDescent="0.2">
      <c r="A106" s="534">
        <f xml:space="preserve"> Basis!A106</f>
        <v>106</v>
      </c>
      <c r="F106" s="536">
        <f xml:space="preserve"> ROUND(    IF( $A$15=BE_MF_,   AW106,   INDEX( qx!106:106, F$16 ) ),    F$17    )</f>
        <v>0.29920000000000002</v>
      </c>
      <c r="G106" s="536">
        <f xml:space="preserve"> ROUND(    IF( $A$15=BE_MF_,   BB106,   INDEX( wx!106:106, G$16 ) ),    G$17    )</f>
        <v>1.4E-3</v>
      </c>
      <c r="H106" s="537">
        <f xml:space="preserve"> ROUND(    IF( $A$15=BE_MF_,   BG106,   INDEX( Kx!106:106, H$16 ) ),    H$17    )</f>
        <v>11455.48</v>
      </c>
      <c r="I106" s="538">
        <f t="shared" si="273"/>
        <v>11469.4</v>
      </c>
      <c r="J106" s="539">
        <f t="shared" si="208"/>
        <v>5.52</v>
      </c>
      <c r="K106" s="540">
        <f t="shared" si="274"/>
        <v>0</v>
      </c>
      <c r="L106" s="541">
        <f t="shared" si="299"/>
        <v>0</v>
      </c>
      <c r="M106" s="541">
        <f t="shared" si="299"/>
        <v>8.5999999999999993E-2</v>
      </c>
      <c r="O106" s="542" t="b">
        <f t="shared" si="275"/>
        <v>1</v>
      </c>
      <c r="P106" s="493">
        <f t="shared" si="209"/>
        <v>0.30059999999999998</v>
      </c>
      <c r="Q106" s="493">
        <f t="shared" si="210"/>
        <v>0.69940000000000002</v>
      </c>
      <c r="R106" s="543">
        <f t="shared" si="211"/>
        <v>3551</v>
      </c>
      <c r="S106" s="544">
        <f t="shared" si="212"/>
        <v>0.97560975599999999</v>
      </c>
      <c r="T106" s="423">
        <f t="shared" si="213"/>
        <v>259.19</v>
      </c>
      <c r="U106" s="423">
        <f xml:space="preserve"> IF( $O106,    ROUND(  SUM( T106:T$120), U$17 ),  LEER  )</f>
        <v>689.05</v>
      </c>
      <c r="V106" s="493">
        <f t="shared" si="214"/>
        <v>2.6585000000000001</v>
      </c>
      <c r="W106" s="493">
        <f t="shared" si="215"/>
        <v>1430.73</v>
      </c>
      <c r="X106" s="493">
        <f xml:space="preserve"> IF( $O106,    ROUND(  SUM( W106:W$120), X$17 ),  LEER  )</f>
        <v>3815.07</v>
      </c>
      <c r="Y106" s="493">
        <f t="shared" si="216"/>
        <v>14.719200000000001</v>
      </c>
      <c r="Z106" s="493">
        <f t="shared" si="217"/>
        <v>5.5366999999999997</v>
      </c>
      <c r="AA106" s="493">
        <f t="shared" si="218"/>
        <v>1</v>
      </c>
      <c r="AB106" s="493">
        <f t="shared" si="219"/>
        <v>2.3494000000000002</v>
      </c>
      <c r="AC106" s="545">
        <f t="shared" si="220"/>
        <v>0.32679999999999998</v>
      </c>
      <c r="AD106" s="493">
        <f t="shared" si="221"/>
        <v>5.5366999999999997</v>
      </c>
      <c r="AE106" s="493">
        <f t="shared" si="222"/>
        <v>6.4151999999999996</v>
      </c>
      <c r="AF106" s="493">
        <f t="shared" si="223"/>
        <v>6.4151999999999996</v>
      </c>
      <c r="AG106" s="493" t="str">
        <f t="shared" si="224"/>
        <v>.</v>
      </c>
      <c r="AH106" s="493" t="str">
        <f t="shared" si="225"/>
        <v>.</v>
      </c>
      <c r="AI106" s="423">
        <f t="shared" si="226"/>
        <v>2077.79</v>
      </c>
      <c r="AJ106" s="423">
        <f t="shared" si="227"/>
        <v>13329.44</v>
      </c>
      <c r="AK106" s="423">
        <f t="shared" si="228"/>
        <v>1110.79</v>
      </c>
      <c r="AN106" s="423">
        <f t="shared" si="294"/>
        <v>20341.72</v>
      </c>
      <c r="AO106" s="423">
        <f t="shared" si="294"/>
        <v>20219.09</v>
      </c>
      <c r="AR106" s="546">
        <f xml:space="preserve"> ROUND(  INDEX( Kx!106:106, AR$16 ),  AR$17 )</f>
        <v>0.24679999999999999</v>
      </c>
      <c r="AS106" s="547">
        <f xml:space="preserve"> ROUND(  INDEX( qx!106:106, AS$16 ),  AS$17 )</f>
        <v>0.31180000000000002</v>
      </c>
      <c r="AT106" s="547">
        <f xml:space="preserve"> ROUND(  INDEX( qx!106:106, AT$16 ),  AT$17 )</f>
        <v>0.29649999999999999</v>
      </c>
      <c r="AU106" s="548" t="str">
        <f t="shared" si="229"/>
        <v>F</v>
      </c>
      <c r="AV106" s="542">
        <f t="shared" si="230"/>
        <v>0.17929999999999999</v>
      </c>
      <c r="AW106" s="542">
        <f t="shared" si="231"/>
        <v>0.29920000000000002</v>
      </c>
      <c r="AX106" s="546">
        <f xml:space="preserve"> ROUND(  INDEX( wx!106:106, AX$16 ),  AX$17 )</f>
        <v>0</v>
      </c>
      <c r="AY106" s="546">
        <f xml:space="preserve"> ROUND(  INDEX( wx!106:106, AY$16 ),  AY$17 )</f>
        <v>2.0999999999999999E-3</v>
      </c>
      <c r="AZ106" s="548" t="str">
        <f t="shared" si="232"/>
        <v>M</v>
      </c>
      <c r="BA106" s="542">
        <f t="shared" si="233"/>
        <v>0.32950000000000002</v>
      </c>
      <c r="BB106" s="542">
        <f t="shared" si="234"/>
        <v>1.4E-3</v>
      </c>
      <c r="BC106" s="533">
        <f xml:space="preserve"> ROUND(  INDEX( Kx!106:106, BC$16 ),  BC$17 )</f>
        <v>13735.77</v>
      </c>
      <c r="BD106" s="533">
        <f xml:space="preserve"> ROUND(  INDEX( Kx!106:106, BD$16 ),  BD$17 )</f>
        <v>10334.89</v>
      </c>
      <c r="BE106" s="548" t="str">
        <f t="shared" si="235"/>
        <v>M</v>
      </c>
      <c r="BF106" s="542">
        <f t="shared" si="236"/>
        <v>0.32950000000000002</v>
      </c>
      <c r="BG106" s="420">
        <f t="shared" si="237"/>
        <v>11455.48</v>
      </c>
      <c r="BQ106" s="549">
        <f t="shared" si="276"/>
        <v>106</v>
      </c>
      <c r="BR106" s="423">
        <f t="shared" si="238"/>
        <v>21610.720000000001</v>
      </c>
      <c r="BS106" s="550">
        <f t="shared" si="239"/>
        <v>11469.4</v>
      </c>
      <c r="BT106" s="423">
        <f t="shared" si="240"/>
        <v>-7616.97</v>
      </c>
      <c r="BU106" s="551">
        <f t="shared" si="241"/>
        <v>259.19</v>
      </c>
      <c r="BV106" s="551">
        <f t="shared" si="242"/>
        <v>1.4536</v>
      </c>
      <c r="BW106" s="529">
        <f t="shared" si="243"/>
        <v>20341.72</v>
      </c>
      <c r="BX106" s="552">
        <f t="shared" si="244"/>
        <v>6347.9700000000012</v>
      </c>
      <c r="BY106" s="560"/>
      <c r="BZ106" s="559"/>
      <c r="CB106" s="423">
        <f t="shared" si="245"/>
        <v>-7807.39</v>
      </c>
      <c r="CC106" s="423">
        <f t="shared" si="246"/>
        <v>508.54</v>
      </c>
      <c r="CD106" s="423">
        <f t="shared" si="247"/>
        <v>5606.95</v>
      </c>
      <c r="CE106" s="423">
        <f t="shared" si="248"/>
        <v>-1691.9000000000005</v>
      </c>
      <c r="CF106" s="553">
        <f t="shared" si="249"/>
        <v>-1689.2000000000007</v>
      </c>
      <c r="CH106" s="423">
        <f t="shared" si="250"/>
        <v>3852.4304390000002</v>
      </c>
      <c r="CI106" s="423">
        <f t="shared" si="251"/>
        <v>11469.4</v>
      </c>
      <c r="CJ106" s="423">
        <f t="shared" si="252"/>
        <v>-2144.14</v>
      </c>
      <c r="CK106" s="423">
        <f t="shared" si="253"/>
        <v>-5470.19</v>
      </c>
      <c r="CL106" s="553">
        <f t="shared" si="254"/>
        <v>3855.0700000000006</v>
      </c>
      <c r="CN106" s="423">
        <f t="shared" si="255"/>
        <v>3898.5573770000001</v>
      </c>
      <c r="CO106" s="423">
        <f t="shared" si="256"/>
        <v>11469.4</v>
      </c>
      <c r="CP106" s="423">
        <f t="shared" si="257"/>
        <v>-2130.91</v>
      </c>
      <c r="CQ106" s="423">
        <f t="shared" si="258"/>
        <v>-5437.31</v>
      </c>
      <c r="CR106" s="553">
        <f t="shared" si="259"/>
        <v>3901.1799999999994</v>
      </c>
      <c r="CV106" s="564">
        <f t="shared" si="277"/>
        <v>106</v>
      </c>
      <c r="CW106" s="538" t="str">
        <f t="shared" si="260"/>
        <v>.</v>
      </c>
      <c r="CX106" s="566">
        <f t="shared" si="261"/>
        <v>20219.09</v>
      </c>
      <c r="CY106" s="538" t="str">
        <f t="shared" si="262"/>
        <v>.</v>
      </c>
      <c r="CZ106" s="538">
        <f t="shared" si="263"/>
        <v>11700</v>
      </c>
      <c r="DA106" s="538">
        <f t="shared" si="264"/>
        <v>7685.58</v>
      </c>
      <c r="DB106" s="567" t="e">
        <f t="shared" si="278"/>
        <v>#N/A</v>
      </c>
      <c r="DC106" s="567">
        <f t="shared" si="279"/>
        <v>20219.09</v>
      </c>
      <c r="DD106" s="567" t="e">
        <f t="shared" si="280"/>
        <v>#N/A</v>
      </c>
      <c r="DE106" s="567">
        <f t="shared" si="280"/>
        <v>11700</v>
      </c>
      <c r="DF106" s="568">
        <f t="shared" si="281"/>
        <v>19385.580000000002</v>
      </c>
      <c r="EL106" s="553">
        <f t="shared" si="265"/>
        <v>14811.84</v>
      </c>
      <c r="EM106" s="553">
        <f t="shared" si="266"/>
        <v>5408.23</v>
      </c>
      <c r="EN106" s="423">
        <f t="shared" si="267"/>
        <v>20220.07</v>
      </c>
      <c r="EO106" s="555">
        <f xml:space="preserve"> 'i2'!AO106</f>
        <v>20219.09</v>
      </c>
      <c r="EV106" s="533" t="e">
        <f xml:space="preserve"> ROUND(    IF( $A$15=BE_MF_,   LEER,   INDEX( Kx!106:106, EV$16 ) ),    EV$17    )</f>
        <v>#VALUE!</v>
      </c>
      <c r="EW106" s="533" t="e">
        <f xml:space="preserve"> ROUND(    IF( $A$15=BE_MF_,   LEER,   INDEX( Kx!106:106, EW$16 ) ),    EW$17    )</f>
        <v>#VALUE!</v>
      </c>
      <c r="EX106" s="533" t="e">
        <f xml:space="preserve"> ROUND(    IF( $A$15=BE_MF_,   LEER,   INDEX( Kx!106:106, EX$16 ) ),    EX$17    )</f>
        <v>#VALUE!</v>
      </c>
      <c r="EY106" s="556" t="e">
        <f t="shared" si="282"/>
        <v>#VALUE!</v>
      </c>
      <c r="FB106" s="533" t="e">
        <f xml:space="preserve"> ROUND(    IF( $A$15=BE_MF_,   LEER,   INDEX( Kx!106:106, FB$16 ) ),    FB$17    )</f>
        <v>#VALUE!</v>
      </c>
      <c r="FC106" s="533" t="e">
        <f xml:space="preserve"> ROUND(    IF( $A$15=BE_MF_,   LEER,   INDEX( Kx!106:106, FC$16 ) ),    FC$17    )</f>
        <v>#VALUE!</v>
      </c>
      <c r="FD106" s="556" t="e">
        <f t="shared" si="283"/>
        <v>#VALUE!</v>
      </c>
      <c r="FG106" s="556" t="e">
        <f t="shared" si="284"/>
        <v>#VALUE!</v>
      </c>
      <c r="FH106" s="556" t="e">
        <f t="shared" si="284"/>
        <v>#VALUE!</v>
      </c>
      <c r="FI106" s="556" t="e">
        <f t="shared" si="284"/>
        <v>#VALUE!</v>
      </c>
      <c r="FN106" s="557">
        <f t="shared" si="268"/>
        <v>106</v>
      </c>
      <c r="FO106" s="493">
        <f t="shared" si="269"/>
        <v>14.719200000000001</v>
      </c>
      <c r="FP106" s="493">
        <f t="shared" si="270"/>
        <v>2.6585000000000001</v>
      </c>
      <c r="FR106" s="427">
        <f t="shared" si="285"/>
        <v>843485.94000000018</v>
      </c>
      <c r="FS106" s="558">
        <f t="shared" si="295"/>
        <v>23952.63</v>
      </c>
      <c r="FT106" s="558">
        <f t="shared" si="295"/>
        <v>23728.92</v>
      </c>
      <c r="FU106" s="558">
        <f t="shared" si="295"/>
        <v>23504.65</v>
      </c>
      <c r="FV106" s="558">
        <f t="shared" si="295"/>
        <v>23280.38</v>
      </c>
      <c r="FW106" s="558">
        <f t="shared" si="295"/>
        <v>23048.38</v>
      </c>
      <c r="FX106" s="558">
        <f t="shared" si="295"/>
        <v>22809.759999999998</v>
      </c>
      <c r="FY106" s="558">
        <f t="shared" si="295"/>
        <v>22573.34</v>
      </c>
      <c r="FZ106" s="558">
        <f t="shared" si="295"/>
        <v>22335.26</v>
      </c>
      <c r="GA106" s="558">
        <f t="shared" si="295"/>
        <v>22088.9</v>
      </c>
      <c r="GB106" s="558">
        <f t="shared" si="295"/>
        <v>21832.6</v>
      </c>
      <c r="GC106" s="558">
        <f t="shared" si="295"/>
        <v>21574.63</v>
      </c>
      <c r="GD106" s="558">
        <f t="shared" si="295"/>
        <v>21312.81</v>
      </c>
      <c r="GE106" s="558">
        <f t="shared" si="295"/>
        <v>21044.9</v>
      </c>
      <c r="GF106" s="558">
        <f t="shared" si="295"/>
        <v>20775.89</v>
      </c>
      <c r="GG106" s="558">
        <f t="shared" si="295"/>
        <v>20498.599999999999</v>
      </c>
      <c r="GH106" s="558">
        <f t="shared" si="295"/>
        <v>20219.09</v>
      </c>
      <c r="GI106" s="558">
        <f t="shared" si="292"/>
        <v>19931.3</v>
      </c>
      <c r="GJ106" s="558">
        <f t="shared" si="292"/>
        <v>19636.88</v>
      </c>
      <c r="GK106" s="558">
        <f t="shared" si="292"/>
        <v>19334.18</v>
      </c>
      <c r="GL106" s="558">
        <f t="shared" si="292"/>
        <v>19022.64</v>
      </c>
      <c r="GM106" s="558">
        <f t="shared" si="292"/>
        <v>18701.7</v>
      </c>
      <c r="GN106" s="558">
        <f t="shared" si="292"/>
        <v>18368.62</v>
      </c>
      <c r="GO106" s="558">
        <f t="shared" si="292"/>
        <v>18023.38</v>
      </c>
      <c r="GP106" s="558">
        <f t="shared" si="292"/>
        <v>17665.439999999999</v>
      </c>
      <c r="GQ106" s="558">
        <f t="shared" si="292"/>
        <v>17293.13</v>
      </c>
      <c r="GR106" s="558">
        <f t="shared" si="292"/>
        <v>16909.23</v>
      </c>
      <c r="GS106" s="558">
        <f t="shared" si="292"/>
        <v>16512.07</v>
      </c>
      <c r="GT106" s="558">
        <f t="shared" si="292"/>
        <v>16102.75</v>
      </c>
      <c r="GU106" s="558">
        <f t="shared" si="292"/>
        <v>15682.39</v>
      </c>
      <c r="GV106" s="558">
        <f t="shared" si="292"/>
        <v>15251.53</v>
      </c>
      <c r="GW106" s="558">
        <f t="shared" si="292"/>
        <v>14811.84</v>
      </c>
      <c r="GX106" s="558">
        <f t="shared" si="296"/>
        <v>14361.65</v>
      </c>
      <c r="GY106" s="558">
        <f t="shared" si="296"/>
        <v>13905.38</v>
      </c>
      <c r="GZ106" s="558">
        <f t="shared" si="296"/>
        <v>13440.83</v>
      </c>
      <c r="HA106" s="558">
        <f t="shared" si="296"/>
        <v>12971.31</v>
      </c>
      <c r="HB106" s="558">
        <f t="shared" si="296"/>
        <v>12496.81</v>
      </c>
      <c r="HC106" s="558">
        <f t="shared" si="296"/>
        <v>12016.79</v>
      </c>
      <c r="HD106" s="558">
        <f t="shared" si="296"/>
        <v>11532.91</v>
      </c>
      <c r="HE106" s="558">
        <f t="shared" si="296"/>
        <v>11041.84</v>
      </c>
      <c r="HF106" s="558">
        <f t="shared" si="296"/>
        <v>10540.28</v>
      </c>
      <c r="HG106" s="558">
        <f t="shared" si="296"/>
        <v>10031.540000000001</v>
      </c>
      <c r="HH106" s="558">
        <f t="shared" si="296"/>
        <v>9517.82</v>
      </c>
      <c r="HI106" s="558">
        <f t="shared" si="296"/>
        <v>8997.48</v>
      </c>
      <c r="HJ106" s="558">
        <f t="shared" si="296"/>
        <v>8473.27</v>
      </c>
      <c r="HK106" s="558">
        <f t="shared" si="296"/>
        <v>7943.54</v>
      </c>
      <c r="HL106" s="558">
        <f t="shared" si="296"/>
        <v>7418.78</v>
      </c>
      <c r="HM106" s="558">
        <f t="shared" si="296"/>
        <v>6889.6</v>
      </c>
      <c r="HN106" s="558">
        <f t="shared" si="293"/>
        <v>6363.73</v>
      </c>
      <c r="HO106" s="558">
        <f t="shared" si="293"/>
        <v>5841.73</v>
      </c>
      <c r="HP106" s="558">
        <f t="shared" si="293"/>
        <v>5321.94</v>
      </c>
      <c r="HQ106" s="558">
        <f t="shared" si="293"/>
        <v>4893.8500000000004</v>
      </c>
      <c r="HR106" s="558">
        <f t="shared" si="293"/>
        <v>4479.01</v>
      </c>
      <c r="HS106" s="558">
        <f t="shared" si="293"/>
        <v>4081.85</v>
      </c>
      <c r="HT106" s="558">
        <f t="shared" si="293"/>
        <v>3705.68</v>
      </c>
      <c r="HU106" s="558">
        <f t="shared" si="293"/>
        <v>3251.62</v>
      </c>
      <c r="HV106" s="558">
        <f t="shared" si="293"/>
        <v>2815.24</v>
      </c>
      <c r="HW106" s="558">
        <f t="shared" si="293"/>
        <v>2399.3000000000002</v>
      </c>
      <c r="HX106" s="558">
        <f t="shared" si="293"/>
        <v>2017.05</v>
      </c>
      <c r="HY106" s="558">
        <f t="shared" si="293"/>
        <v>1665.18</v>
      </c>
      <c r="HZ106" s="558">
        <f t="shared" si="293"/>
        <v>1345.36</v>
      </c>
      <c r="IA106" s="558">
        <f t="shared" si="293"/>
        <v>1065.3</v>
      </c>
      <c r="IB106" s="558">
        <f t="shared" si="293"/>
        <v>818.94</v>
      </c>
      <c r="IC106" s="558">
        <f t="shared" si="291"/>
        <v>618.41999999999996</v>
      </c>
      <c r="ID106" s="558">
        <f t="shared" si="291"/>
        <v>457.13</v>
      </c>
      <c r="IE106" s="558">
        <f t="shared" si="291"/>
        <v>336.71</v>
      </c>
      <c r="IF106" s="558">
        <f t="shared" si="291"/>
        <v>256.61</v>
      </c>
      <c r="IG106" s="558">
        <f t="shared" si="291"/>
        <v>203.59</v>
      </c>
      <c r="IH106" s="558">
        <f t="shared" si="291"/>
        <v>166.58</v>
      </c>
      <c r="II106" s="558">
        <f t="shared" si="291"/>
        <v>165.47</v>
      </c>
      <c r="IJ106" s="558">
        <f t="shared" si="291"/>
        <v>163.26</v>
      </c>
      <c r="IK106" s="558">
        <f t="shared" si="291"/>
        <v>161.05000000000001</v>
      </c>
      <c r="IL106" s="558">
        <f t="shared" si="291"/>
        <v>157.74</v>
      </c>
      <c r="IM106" s="558">
        <f t="shared" si="291"/>
        <v>153.32</v>
      </c>
      <c r="IN106" s="558">
        <f t="shared" si="291"/>
        <v>147.24</v>
      </c>
      <c r="IO106" s="558">
        <f t="shared" si="291"/>
        <v>138.96</v>
      </c>
      <c r="IP106" s="558">
        <f t="shared" si="291"/>
        <v>127.36</v>
      </c>
      <c r="IQ106" s="558">
        <f t="shared" si="291"/>
        <v>111.89</v>
      </c>
      <c r="IR106" s="558">
        <f t="shared" si="291"/>
        <v>89.24</v>
      </c>
      <c r="IS106" s="558">
        <f t="shared" si="291"/>
        <v>87.59</v>
      </c>
      <c r="IT106" s="558">
        <f t="shared" si="291"/>
        <v>85.93</v>
      </c>
      <c r="IU106" s="558">
        <f t="shared" si="291"/>
        <v>82.61</v>
      </c>
      <c r="IV106" s="558">
        <f t="shared" si="291"/>
        <v>79.3</v>
      </c>
      <c r="IW106" s="558">
        <f t="shared" si="291"/>
        <v>73.78</v>
      </c>
      <c r="IX106" s="558">
        <f t="shared" si="291"/>
        <v>64.94</v>
      </c>
      <c r="IY106" s="558">
        <f t="shared" si="291"/>
        <v>52.23</v>
      </c>
      <c r="IZ106" s="558">
        <f t="shared" si="291"/>
        <v>31.8</v>
      </c>
      <c r="JA106" s="558">
        <f t="shared" si="291"/>
        <v>-0.24</v>
      </c>
      <c r="JB106" s="558" t="str">
        <f t="shared" si="289"/>
        <v>.</v>
      </c>
      <c r="JC106" s="558" t="str">
        <f t="shared" si="289"/>
        <v>.</v>
      </c>
      <c r="JD106" s="558" t="str">
        <f t="shared" si="289"/>
        <v>.</v>
      </c>
      <c r="JE106" s="558" t="str">
        <f t="shared" si="289"/>
        <v>.</v>
      </c>
      <c r="JF106" s="558" t="str">
        <f t="shared" si="289"/>
        <v>.</v>
      </c>
      <c r="JG106" s="558" t="str">
        <f t="shared" si="289"/>
        <v>.</v>
      </c>
      <c r="JH106" s="558" t="str">
        <f t="shared" si="289"/>
        <v>.</v>
      </c>
      <c r="JI106" s="558" t="str">
        <f t="shared" si="289"/>
        <v>.</v>
      </c>
      <c r="JJ106" s="558" t="str">
        <f t="shared" si="289"/>
        <v>.</v>
      </c>
      <c r="JK106" s="558" t="str">
        <f t="shared" si="289"/>
        <v>.</v>
      </c>
      <c r="JL106" s="558" t="str">
        <f t="shared" si="289"/>
        <v>.</v>
      </c>
      <c r="JM106" s="558" t="str">
        <f t="shared" si="289"/>
        <v>.</v>
      </c>
      <c r="JN106" s="558" t="str">
        <f t="shared" si="289"/>
        <v>.</v>
      </c>
      <c r="JO106" s="558" t="str">
        <f t="shared" si="297"/>
        <v>.</v>
      </c>
    </row>
    <row r="107" spans="1:275" x14ac:dyDescent="0.2">
      <c r="A107" s="534">
        <f xml:space="preserve"> Basis!A107</f>
        <v>107</v>
      </c>
      <c r="F107" s="536">
        <f xml:space="preserve"> ROUND(    IF( $A$15=BE_MF_,   AW107,   INDEX( qx!107:107, F$16 ) ),    F$17    )</f>
        <v>0.30509999999999998</v>
      </c>
      <c r="G107" s="536">
        <f xml:space="preserve"> ROUND(    IF( $A$15=BE_MF_,   BB107,   INDEX( wx!107:107, G$16 ) ),    G$17    )</f>
        <v>1.4E-3</v>
      </c>
      <c r="H107" s="537">
        <f xml:space="preserve"> ROUND(    IF( $A$15=BE_MF_,   BG107,   INDEX( Kx!107:107, H$16 ) ),    H$17    )</f>
        <v>11489.93</v>
      </c>
      <c r="I107" s="538">
        <f t="shared" si="273"/>
        <v>11489.93</v>
      </c>
      <c r="J107" s="539">
        <f t="shared" si="208"/>
        <v>5.53</v>
      </c>
      <c r="K107" s="540">
        <f t="shared" si="274"/>
        <v>0</v>
      </c>
      <c r="L107" s="541">
        <f t="shared" si="299"/>
        <v>0</v>
      </c>
      <c r="M107" s="541">
        <f t="shared" si="299"/>
        <v>8.5999999999999993E-2</v>
      </c>
      <c r="O107" s="542" t="b">
        <f t="shared" si="275"/>
        <v>1</v>
      </c>
      <c r="P107" s="493">
        <f t="shared" si="209"/>
        <v>0.30649999999999999</v>
      </c>
      <c r="Q107" s="493">
        <f t="shared" si="210"/>
        <v>0.69350000000000001</v>
      </c>
      <c r="R107" s="543">
        <f t="shared" si="211"/>
        <v>2483</v>
      </c>
      <c r="S107" s="544">
        <f t="shared" si="212"/>
        <v>0.97560975599999999</v>
      </c>
      <c r="T107" s="423">
        <f t="shared" si="213"/>
        <v>176.82</v>
      </c>
      <c r="U107" s="423">
        <f xml:space="preserve"> IF( $O107,    ROUND(  SUM( T107:T$120), U$17 ),  LEER  )</f>
        <v>429.86</v>
      </c>
      <c r="V107" s="493">
        <f t="shared" si="214"/>
        <v>2.4310999999999998</v>
      </c>
      <c r="W107" s="493">
        <f t="shared" si="215"/>
        <v>977.81</v>
      </c>
      <c r="X107" s="493">
        <f xml:space="preserve"> IF( $O107,    ROUND(  SUM( W107:W$120), X$17 ),  LEER  )</f>
        <v>2384.34</v>
      </c>
      <c r="Y107" s="493">
        <f t="shared" si="216"/>
        <v>13.4846</v>
      </c>
      <c r="Z107" s="493">
        <f t="shared" si="217"/>
        <v>5.5467000000000004</v>
      </c>
      <c r="AA107" s="493">
        <f t="shared" si="218"/>
        <v>1</v>
      </c>
      <c r="AB107" s="493">
        <f t="shared" si="219"/>
        <v>2.3494000000000002</v>
      </c>
      <c r="AC107" s="545">
        <f t="shared" si="220"/>
        <v>0.32679999999999998</v>
      </c>
      <c r="AD107" s="493">
        <f t="shared" si="221"/>
        <v>5.5467000000000004</v>
      </c>
      <c r="AE107" s="493">
        <f t="shared" si="222"/>
        <v>6.4260999999999999</v>
      </c>
      <c r="AF107" s="493">
        <f t="shared" si="223"/>
        <v>6.4260999999999999</v>
      </c>
      <c r="AG107" s="493" t="str">
        <f t="shared" si="224"/>
        <v>.</v>
      </c>
      <c r="AH107" s="493" t="str">
        <f t="shared" si="225"/>
        <v>.</v>
      </c>
      <c r="AI107" s="423">
        <f t="shared" si="226"/>
        <v>2077.79</v>
      </c>
      <c r="AJ107" s="423">
        <f t="shared" si="227"/>
        <v>13352.09</v>
      </c>
      <c r="AK107" s="423">
        <f t="shared" si="228"/>
        <v>1112.67</v>
      </c>
      <c r="AN107" s="423">
        <f t="shared" si="294"/>
        <v>18652.52</v>
      </c>
      <c r="AO107" s="423">
        <f t="shared" si="294"/>
        <v>18540.38</v>
      </c>
      <c r="AR107" s="546">
        <f xml:space="preserve"> ROUND(  INDEX( Kx!107:107, AR$16 ),  AR$17 )</f>
        <v>0.24679999999999999</v>
      </c>
      <c r="AS107" s="547">
        <f xml:space="preserve"> ROUND(  INDEX( qx!107:107, AS$16 ),  AS$17 )</f>
        <v>0.31840000000000002</v>
      </c>
      <c r="AT107" s="547">
        <f xml:space="preserve"> ROUND(  INDEX( qx!107:107, AT$16 ),  AT$17 )</f>
        <v>0.30220000000000002</v>
      </c>
      <c r="AU107" s="548" t="str">
        <f t="shared" si="229"/>
        <v>F</v>
      </c>
      <c r="AV107" s="542">
        <f t="shared" si="230"/>
        <v>0.17929999999999999</v>
      </c>
      <c r="AW107" s="542">
        <f t="shared" si="231"/>
        <v>0.30509999999999998</v>
      </c>
      <c r="AX107" s="546">
        <f xml:space="preserve"> ROUND(  INDEX( wx!107:107, AX$16 ),  AX$17 )</f>
        <v>0</v>
      </c>
      <c r="AY107" s="546">
        <f xml:space="preserve"> ROUND(  INDEX( wx!107:107, AY$16 ),  AY$17 )</f>
        <v>2.0999999999999999E-3</v>
      </c>
      <c r="AZ107" s="548" t="str">
        <f t="shared" si="232"/>
        <v>M</v>
      </c>
      <c r="BA107" s="542">
        <f t="shared" si="233"/>
        <v>0.32950000000000002</v>
      </c>
      <c r="BB107" s="542">
        <f t="shared" si="234"/>
        <v>1.4E-3</v>
      </c>
      <c r="BC107" s="533">
        <f xml:space="preserve"> ROUND(  INDEX( Kx!107:107, BC$16 ),  BC$17 )</f>
        <v>13814.45</v>
      </c>
      <c r="BD107" s="533">
        <f xml:space="preserve"> ROUND(  INDEX( Kx!107:107, BD$16 ),  BD$17 )</f>
        <v>10347.61</v>
      </c>
      <c r="BE107" s="548" t="str">
        <f t="shared" si="235"/>
        <v>M</v>
      </c>
      <c r="BF107" s="542">
        <f t="shared" si="236"/>
        <v>0.32950000000000002</v>
      </c>
      <c r="BG107" s="420">
        <f t="shared" si="237"/>
        <v>11489.93</v>
      </c>
      <c r="BQ107" s="549">
        <f t="shared" si="276"/>
        <v>107</v>
      </c>
      <c r="BR107" s="423">
        <f t="shared" si="238"/>
        <v>20341.72</v>
      </c>
      <c r="BS107" s="550">
        <f t="shared" si="239"/>
        <v>11489.93</v>
      </c>
      <c r="BT107" s="423">
        <f t="shared" si="240"/>
        <v>-7616.97</v>
      </c>
      <c r="BU107" s="551">
        <f t="shared" si="241"/>
        <v>176.82</v>
      </c>
      <c r="BV107" s="551">
        <f t="shared" si="242"/>
        <v>1.4658</v>
      </c>
      <c r="BW107" s="529">
        <f t="shared" si="243"/>
        <v>18652.52</v>
      </c>
      <c r="BX107" s="552">
        <f t="shared" si="244"/>
        <v>5927.77</v>
      </c>
      <c r="BY107" s="560"/>
      <c r="BZ107" s="559"/>
      <c r="CB107" s="423">
        <f t="shared" si="245"/>
        <v>-7828.69</v>
      </c>
      <c r="CC107" s="423">
        <f t="shared" si="246"/>
        <v>466.31</v>
      </c>
      <c r="CD107" s="423">
        <f t="shared" si="247"/>
        <v>4992.96</v>
      </c>
      <c r="CE107" s="423">
        <f t="shared" si="248"/>
        <v>-2369.4199999999992</v>
      </c>
      <c r="CF107" s="553">
        <f t="shared" si="249"/>
        <v>-2362.2700000000004</v>
      </c>
      <c r="CH107" s="423">
        <f t="shared" si="250"/>
        <v>3852.4304390000002</v>
      </c>
      <c r="CI107" s="423">
        <f t="shared" si="251"/>
        <v>11490.18</v>
      </c>
      <c r="CJ107" s="423">
        <f t="shared" si="252"/>
        <v>-2759.59</v>
      </c>
      <c r="CK107" s="423">
        <f t="shared" si="253"/>
        <v>-4871.18</v>
      </c>
      <c r="CL107" s="553">
        <f t="shared" si="254"/>
        <v>3859.41</v>
      </c>
      <c r="CN107" s="423">
        <f t="shared" si="255"/>
        <v>3898.5573770000001</v>
      </c>
      <c r="CO107" s="423">
        <f t="shared" si="256"/>
        <v>11490.18</v>
      </c>
      <c r="CP107" s="423">
        <f t="shared" si="257"/>
        <v>-2742.69</v>
      </c>
      <c r="CQ107" s="423">
        <f t="shared" si="258"/>
        <v>-4841.99</v>
      </c>
      <c r="CR107" s="553">
        <f t="shared" si="259"/>
        <v>3905.5</v>
      </c>
      <c r="CV107" s="564">
        <f t="shared" si="277"/>
        <v>107</v>
      </c>
      <c r="CW107" s="538" t="str">
        <f t="shared" si="260"/>
        <v>.</v>
      </c>
      <c r="CX107" s="566">
        <f t="shared" si="261"/>
        <v>18540.38</v>
      </c>
      <c r="CY107" s="538" t="str">
        <f t="shared" si="262"/>
        <v>.</v>
      </c>
      <c r="CZ107" s="538">
        <f t="shared" si="263"/>
        <v>10699</v>
      </c>
      <c r="DA107" s="538">
        <f t="shared" si="264"/>
        <v>7078.95</v>
      </c>
      <c r="DB107" s="567" t="e">
        <f t="shared" si="278"/>
        <v>#N/A</v>
      </c>
      <c r="DC107" s="567">
        <f t="shared" si="279"/>
        <v>18540.38</v>
      </c>
      <c r="DD107" s="567" t="e">
        <f t="shared" si="280"/>
        <v>#N/A</v>
      </c>
      <c r="DE107" s="567">
        <f t="shared" si="280"/>
        <v>10699</v>
      </c>
      <c r="DF107" s="568">
        <f t="shared" si="281"/>
        <v>17777.95</v>
      </c>
      <c r="EL107" s="553">
        <f t="shared" si="265"/>
        <v>13595.65</v>
      </c>
      <c r="EM107" s="553">
        <f t="shared" si="266"/>
        <v>4945.63</v>
      </c>
      <c r="EN107" s="423">
        <f t="shared" si="267"/>
        <v>18541.28</v>
      </c>
      <c r="EO107" s="555">
        <f xml:space="preserve"> 'i2'!AO107</f>
        <v>18540.38</v>
      </c>
      <c r="EV107" s="533" t="e">
        <f xml:space="preserve"> ROUND(    IF( $A$15=BE_MF_,   LEER,   INDEX( Kx!107:107, EV$16 ) ),    EV$17    )</f>
        <v>#VALUE!</v>
      </c>
      <c r="EW107" s="533" t="e">
        <f xml:space="preserve"> ROUND(    IF( $A$15=BE_MF_,   LEER,   INDEX( Kx!107:107, EW$16 ) ),    EW$17    )</f>
        <v>#VALUE!</v>
      </c>
      <c r="EX107" s="533" t="e">
        <f xml:space="preserve"> ROUND(    IF( $A$15=BE_MF_,   LEER,   INDEX( Kx!107:107, EX$16 ) ),    EX$17    )</f>
        <v>#VALUE!</v>
      </c>
      <c r="EY107" s="556" t="e">
        <f t="shared" si="282"/>
        <v>#VALUE!</v>
      </c>
      <c r="FB107" s="533" t="e">
        <f xml:space="preserve"> ROUND(    IF( $A$15=BE_MF_,   LEER,   INDEX( Kx!107:107, FB$16 ) ),    FB$17    )</f>
        <v>#VALUE!</v>
      </c>
      <c r="FC107" s="533" t="e">
        <f xml:space="preserve"> ROUND(    IF( $A$15=BE_MF_,   LEER,   INDEX( Kx!107:107, FC$16 ) ),    FC$17    )</f>
        <v>#VALUE!</v>
      </c>
      <c r="FD107" s="556" t="e">
        <f t="shared" si="283"/>
        <v>#VALUE!</v>
      </c>
      <c r="FG107" s="556" t="e">
        <f t="shared" si="284"/>
        <v>#VALUE!</v>
      </c>
      <c r="FH107" s="556" t="e">
        <f t="shared" si="284"/>
        <v>#VALUE!</v>
      </c>
      <c r="FI107" s="556" t="e">
        <f t="shared" si="284"/>
        <v>#VALUE!</v>
      </c>
      <c r="FN107" s="557">
        <f t="shared" si="268"/>
        <v>107</v>
      </c>
      <c r="FO107" s="493">
        <f t="shared" si="269"/>
        <v>13.4846</v>
      </c>
      <c r="FP107" s="493">
        <f t="shared" si="270"/>
        <v>2.4310999999999998</v>
      </c>
      <c r="FR107" s="427">
        <f t="shared" si="285"/>
        <v>775753.97</v>
      </c>
      <c r="FS107" s="558">
        <f t="shared" si="295"/>
        <v>21954.57</v>
      </c>
      <c r="FT107" s="558">
        <f t="shared" si="295"/>
        <v>21749.99</v>
      </c>
      <c r="FU107" s="558">
        <f t="shared" si="295"/>
        <v>21544.91</v>
      </c>
      <c r="FV107" s="558">
        <f t="shared" si="295"/>
        <v>21339.82</v>
      </c>
      <c r="FW107" s="558">
        <f t="shared" si="295"/>
        <v>21127.67</v>
      </c>
      <c r="FX107" s="558">
        <f t="shared" si="295"/>
        <v>20909.45</v>
      </c>
      <c r="FY107" s="558">
        <f t="shared" si="295"/>
        <v>20693.25</v>
      </c>
      <c r="FZ107" s="558">
        <f t="shared" si="295"/>
        <v>20475.54</v>
      </c>
      <c r="GA107" s="558">
        <f t="shared" si="295"/>
        <v>20250.25</v>
      </c>
      <c r="GB107" s="558">
        <f t="shared" si="295"/>
        <v>20015.87</v>
      </c>
      <c r="GC107" s="558">
        <f t="shared" si="295"/>
        <v>19779.98</v>
      </c>
      <c r="GD107" s="558">
        <f t="shared" si="295"/>
        <v>19540.54</v>
      </c>
      <c r="GE107" s="558">
        <f t="shared" si="295"/>
        <v>19295.560000000001</v>
      </c>
      <c r="GF107" s="558">
        <f t="shared" si="295"/>
        <v>19049.560000000001</v>
      </c>
      <c r="GG107" s="558">
        <f t="shared" si="295"/>
        <v>18795.98</v>
      </c>
      <c r="GH107" s="558">
        <f t="shared" si="295"/>
        <v>18540.38</v>
      </c>
      <c r="GI107" s="558">
        <f t="shared" si="292"/>
        <v>18277.21</v>
      </c>
      <c r="GJ107" s="558">
        <f t="shared" si="292"/>
        <v>18007.98</v>
      </c>
      <c r="GK107" s="558">
        <f t="shared" si="292"/>
        <v>17731.16</v>
      </c>
      <c r="GL107" s="558">
        <f t="shared" si="292"/>
        <v>17446.27</v>
      </c>
      <c r="GM107" s="558">
        <f t="shared" si="292"/>
        <v>17152.79</v>
      </c>
      <c r="GN107" s="558">
        <f t="shared" si="292"/>
        <v>16848.189999999999</v>
      </c>
      <c r="GO107" s="558">
        <f t="shared" si="292"/>
        <v>16532.490000000002</v>
      </c>
      <c r="GP107" s="558">
        <f t="shared" si="292"/>
        <v>16205.16</v>
      </c>
      <c r="GQ107" s="558">
        <f t="shared" si="292"/>
        <v>15864.7</v>
      </c>
      <c r="GR107" s="558">
        <f t="shared" si="292"/>
        <v>15513.64</v>
      </c>
      <c r="GS107" s="558">
        <f t="shared" si="292"/>
        <v>15150.45</v>
      </c>
      <c r="GT107" s="558">
        <f t="shared" si="292"/>
        <v>14776.14</v>
      </c>
      <c r="GU107" s="558">
        <f t="shared" si="292"/>
        <v>14391.74</v>
      </c>
      <c r="GV107" s="558">
        <f t="shared" si="292"/>
        <v>13997.74</v>
      </c>
      <c r="GW107" s="558">
        <f t="shared" si="292"/>
        <v>13595.65</v>
      </c>
      <c r="GX107" s="558">
        <f t="shared" si="296"/>
        <v>13183.97</v>
      </c>
      <c r="GY107" s="558">
        <f t="shared" si="296"/>
        <v>12766.73</v>
      </c>
      <c r="GZ107" s="558">
        <f t="shared" si="296"/>
        <v>12341.92</v>
      </c>
      <c r="HA107" s="558">
        <f t="shared" si="296"/>
        <v>11912.55</v>
      </c>
      <c r="HB107" s="558">
        <f t="shared" si="296"/>
        <v>11478.65</v>
      </c>
      <c r="HC107" s="558">
        <f t="shared" si="296"/>
        <v>11039.69</v>
      </c>
      <c r="HD107" s="558">
        <f t="shared" si="296"/>
        <v>10597.19</v>
      </c>
      <c r="HE107" s="558">
        <f t="shared" si="296"/>
        <v>10148.129999999999</v>
      </c>
      <c r="HF107" s="558">
        <f t="shared" si="296"/>
        <v>9689.4699999999993</v>
      </c>
      <c r="HG107" s="558">
        <f t="shared" si="296"/>
        <v>9224.24</v>
      </c>
      <c r="HH107" s="558">
        <f t="shared" si="296"/>
        <v>8754.4699999999993</v>
      </c>
      <c r="HI107" s="558">
        <f t="shared" si="296"/>
        <v>8278.64</v>
      </c>
      <c r="HJ107" s="558">
        <f t="shared" si="296"/>
        <v>7799.27</v>
      </c>
      <c r="HK107" s="558">
        <f t="shared" si="296"/>
        <v>7314.85</v>
      </c>
      <c r="HL107" s="558">
        <f t="shared" si="296"/>
        <v>6834.97</v>
      </c>
      <c r="HM107" s="558">
        <f t="shared" si="296"/>
        <v>6351.06</v>
      </c>
      <c r="HN107" s="558">
        <f t="shared" si="293"/>
        <v>5870.17</v>
      </c>
      <c r="HO107" s="558">
        <f t="shared" si="293"/>
        <v>5392.82</v>
      </c>
      <c r="HP107" s="558">
        <f t="shared" si="293"/>
        <v>4917.49</v>
      </c>
      <c r="HQ107" s="558">
        <f t="shared" si="293"/>
        <v>4526.0200000000004</v>
      </c>
      <c r="HR107" s="558">
        <f t="shared" si="293"/>
        <v>4146.66</v>
      </c>
      <c r="HS107" s="558">
        <f t="shared" si="293"/>
        <v>3783.47</v>
      </c>
      <c r="HT107" s="558">
        <f t="shared" si="293"/>
        <v>3439.48</v>
      </c>
      <c r="HU107" s="558">
        <f t="shared" si="293"/>
        <v>3024.26</v>
      </c>
      <c r="HV107" s="558">
        <f t="shared" si="293"/>
        <v>2625.21</v>
      </c>
      <c r="HW107" s="558">
        <f t="shared" si="293"/>
        <v>2244.84</v>
      </c>
      <c r="HX107" s="558">
        <f t="shared" si="293"/>
        <v>1895.29</v>
      </c>
      <c r="HY107" s="558">
        <f t="shared" si="293"/>
        <v>1573.52</v>
      </c>
      <c r="HZ107" s="558">
        <f t="shared" si="293"/>
        <v>1281.05</v>
      </c>
      <c r="IA107" s="558">
        <f t="shared" si="293"/>
        <v>1024.95</v>
      </c>
      <c r="IB107" s="558">
        <f t="shared" si="293"/>
        <v>799.66</v>
      </c>
      <c r="IC107" s="558">
        <f t="shared" si="291"/>
        <v>616.29999999999995</v>
      </c>
      <c r="ID107" s="558">
        <f t="shared" si="291"/>
        <v>468.8</v>
      </c>
      <c r="IE107" s="558">
        <f t="shared" si="291"/>
        <v>358.68</v>
      </c>
      <c r="IF107" s="558">
        <f t="shared" si="291"/>
        <v>285.44</v>
      </c>
      <c r="IG107" s="558">
        <f t="shared" si="291"/>
        <v>236.94</v>
      </c>
      <c r="IH107" s="558">
        <f t="shared" si="291"/>
        <v>203.1</v>
      </c>
      <c r="II107" s="558">
        <f t="shared" si="291"/>
        <v>202.09</v>
      </c>
      <c r="IJ107" s="558">
        <f t="shared" si="291"/>
        <v>200.07</v>
      </c>
      <c r="IK107" s="558">
        <f t="shared" si="291"/>
        <v>198.05</v>
      </c>
      <c r="IL107" s="558">
        <f t="shared" si="291"/>
        <v>195.02</v>
      </c>
      <c r="IM107" s="558">
        <f t="shared" si="291"/>
        <v>190.98</v>
      </c>
      <c r="IN107" s="558">
        <f t="shared" si="291"/>
        <v>185.42</v>
      </c>
      <c r="IO107" s="558">
        <f t="shared" si="291"/>
        <v>177.84</v>
      </c>
      <c r="IP107" s="558">
        <f t="shared" si="291"/>
        <v>167.24</v>
      </c>
      <c r="IQ107" s="558">
        <f t="shared" si="291"/>
        <v>153.09</v>
      </c>
      <c r="IR107" s="558">
        <f t="shared" si="291"/>
        <v>132.38</v>
      </c>
      <c r="IS107" s="558">
        <f t="shared" si="291"/>
        <v>130.87</v>
      </c>
      <c r="IT107" s="558">
        <f t="shared" si="291"/>
        <v>129.35</v>
      </c>
      <c r="IU107" s="558">
        <f t="shared" si="291"/>
        <v>126.32</v>
      </c>
      <c r="IV107" s="558">
        <f t="shared" si="291"/>
        <v>123.29</v>
      </c>
      <c r="IW107" s="558">
        <f t="shared" si="291"/>
        <v>118.24</v>
      </c>
      <c r="IX107" s="558">
        <f t="shared" si="291"/>
        <v>110.16</v>
      </c>
      <c r="IY107" s="558">
        <f t="shared" si="291"/>
        <v>98.54</v>
      </c>
      <c r="IZ107" s="558">
        <f t="shared" si="291"/>
        <v>79.849999999999994</v>
      </c>
      <c r="JA107" s="558">
        <f t="shared" si="291"/>
        <v>50.55</v>
      </c>
      <c r="JB107" s="558">
        <f t="shared" si="289"/>
        <v>0.04</v>
      </c>
      <c r="JC107" s="558" t="str">
        <f t="shared" si="289"/>
        <v>.</v>
      </c>
      <c r="JD107" s="558" t="str">
        <f t="shared" si="289"/>
        <v>.</v>
      </c>
      <c r="JE107" s="558" t="str">
        <f t="shared" si="289"/>
        <v>.</v>
      </c>
      <c r="JF107" s="558" t="str">
        <f t="shared" si="289"/>
        <v>.</v>
      </c>
      <c r="JG107" s="558" t="str">
        <f t="shared" si="289"/>
        <v>.</v>
      </c>
      <c r="JH107" s="558" t="str">
        <f t="shared" si="289"/>
        <v>.</v>
      </c>
      <c r="JI107" s="558" t="str">
        <f t="shared" si="289"/>
        <v>.</v>
      </c>
      <c r="JJ107" s="558" t="str">
        <f t="shared" si="289"/>
        <v>.</v>
      </c>
      <c r="JK107" s="558" t="str">
        <f t="shared" ref="JK107:JN109" si="300" xml:space="preserve"> IF(  OR( JK$18&gt;$FN107, $FN107&gt;$FS$12 ),  LEER,  ROUND( $FR$19 * ( $FO107 - JK$15 * $FP107 ), JK$17 )  )</f>
        <v>.</v>
      </c>
      <c r="JL107" s="558" t="str">
        <f t="shared" si="300"/>
        <v>.</v>
      </c>
      <c r="JM107" s="558" t="str">
        <f t="shared" si="300"/>
        <v>.</v>
      </c>
      <c r="JN107" s="558" t="str">
        <f t="shared" si="300"/>
        <v>.</v>
      </c>
      <c r="JO107" s="558" t="str">
        <f t="shared" si="297"/>
        <v>.</v>
      </c>
    </row>
    <row r="108" spans="1:275" x14ac:dyDescent="0.2">
      <c r="A108" s="534">
        <f xml:space="preserve"> Basis!A108</f>
        <v>108</v>
      </c>
      <c r="F108" s="536">
        <f xml:space="preserve"> ROUND(    IF( $A$15=BE_MF_,   AW108,   INDEX( qx!108:108, F$16 ) ),    F$17    )</f>
        <v>0.31090000000000001</v>
      </c>
      <c r="G108" s="536">
        <f xml:space="preserve"> ROUND(    IF( $A$15=BE_MF_,   BB108,   INDEX( wx!108:108, G$16 ) ),    G$17    )</f>
        <v>1.4E-3</v>
      </c>
      <c r="H108" s="537">
        <f xml:space="preserve"> ROUND(    IF( $A$15=BE_MF_,   BG108,   INDEX( Kx!108:108, H$16 ) ),    H$17    )</f>
        <v>11524.39</v>
      </c>
      <c r="I108" s="538">
        <f t="shared" si="273"/>
        <v>11524.39</v>
      </c>
      <c r="J108" s="539">
        <f t="shared" si="208"/>
        <v>5.5460000000000003</v>
      </c>
      <c r="K108" s="540">
        <f t="shared" si="274"/>
        <v>0</v>
      </c>
      <c r="L108" s="541">
        <f t="shared" si="299"/>
        <v>0</v>
      </c>
      <c r="M108" s="541">
        <f t="shared" si="299"/>
        <v>8.5999999999999993E-2</v>
      </c>
      <c r="O108" s="542" t="b">
        <f t="shared" si="275"/>
        <v>1</v>
      </c>
      <c r="P108" s="493">
        <f t="shared" si="209"/>
        <v>0.31230000000000002</v>
      </c>
      <c r="Q108" s="493">
        <f t="shared" si="210"/>
        <v>0.68769999999999998</v>
      </c>
      <c r="R108" s="543">
        <f t="shared" si="211"/>
        <v>1721</v>
      </c>
      <c r="S108" s="544">
        <f t="shared" si="212"/>
        <v>0.97560975599999999</v>
      </c>
      <c r="T108" s="423">
        <f t="shared" si="213"/>
        <v>119.56</v>
      </c>
      <c r="U108" s="423">
        <f xml:space="preserve"> IF( $O108,    ROUND(  SUM( T108:T$120), U$17 ),  LEER  )</f>
        <v>253.04</v>
      </c>
      <c r="V108" s="493">
        <f t="shared" si="214"/>
        <v>2.1164000000000001</v>
      </c>
      <c r="W108" s="493">
        <f t="shared" si="215"/>
        <v>663.08</v>
      </c>
      <c r="X108" s="493">
        <f xml:space="preserve"> IF( $O108,    ROUND(  SUM( W108:W$120), X$17 ),  LEER  )</f>
        <v>1406.53</v>
      </c>
      <c r="Y108" s="493">
        <f t="shared" si="216"/>
        <v>11.764200000000001</v>
      </c>
      <c r="Z108" s="493">
        <f t="shared" si="217"/>
        <v>5.5586000000000002</v>
      </c>
      <c r="AA108" s="493">
        <f t="shared" si="218"/>
        <v>1</v>
      </c>
      <c r="AB108" s="493">
        <f t="shared" si="219"/>
        <v>2.3494000000000002</v>
      </c>
      <c r="AC108" s="545">
        <f t="shared" si="220"/>
        <v>0.32679999999999998</v>
      </c>
      <c r="AD108" s="493">
        <f t="shared" si="221"/>
        <v>5.5586000000000002</v>
      </c>
      <c r="AE108" s="493">
        <f t="shared" si="222"/>
        <v>6.4391999999999996</v>
      </c>
      <c r="AF108" s="493">
        <f t="shared" si="223"/>
        <v>6.4391999999999996</v>
      </c>
      <c r="AG108" s="493" t="str">
        <f t="shared" si="224"/>
        <v>.</v>
      </c>
      <c r="AH108" s="493" t="str">
        <f t="shared" si="225"/>
        <v>.</v>
      </c>
      <c r="AI108" s="423">
        <f t="shared" si="226"/>
        <v>2077.79</v>
      </c>
      <c r="AJ108" s="423">
        <f t="shared" si="227"/>
        <v>13379.31</v>
      </c>
      <c r="AK108" s="423">
        <f t="shared" si="228"/>
        <v>1114.94</v>
      </c>
      <c r="AN108" s="423">
        <f t="shared" si="294"/>
        <v>16290.25</v>
      </c>
      <c r="AO108" s="423">
        <f t="shared" si="294"/>
        <v>16192.63</v>
      </c>
      <c r="AR108" s="546">
        <f xml:space="preserve"> ROUND(  INDEX( Kx!108:108, AR$16 ),  AR$17 )</f>
        <v>0.24679999999999999</v>
      </c>
      <c r="AS108" s="547">
        <f xml:space="preserve"> ROUND(  INDEX( qx!108:108, AS$16 ),  AS$17 )</f>
        <v>0.32490000000000002</v>
      </c>
      <c r="AT108" s="547">
        <f xml:space="preserve"> ROUND(  INDEX( qx!108:108, AT$16 ),  AT$17 )</f>
        <v>0.30790000000000001</v>
      </c>
      <c r="AU108" s="548" t="str">
        <f t="shared" si="229"/>
        <v>F</v>
      </c>
      <c r="AV108" s="542">
        <f t="shared" si="230"/>
        <v>0.17929999999999999</v>
      </c>
      <c r="AW108" s="542">
        <f t="shared" si="231"/>
        <v>0.31090000000000001</v>
      </c>
      <c r="AX108" s="546">
        <f xml:space="preserve"> ROUND(  INDEX( wx!108:108, AX$16 ),  AX$17 )</f>
        <v>0</v>
      </c>
      <c r="AY108" s="546">
        <f xml:space="preserve"> ROUND(  INDEX( wx!108:108, AY$16 ),  AY$17 )</f>
        <v>2.0999999999999999E-3</v>
      </c>
      <c r="AZ108" s="548" t="str">
        <f t="shared" si="232"/>
        <v>M</v>
      </c>
      <c r="BA108" s="542">
        <f t="shared" si="233"/>
        <v>0.32950000000000002</v>
      </c>
      <c r="BB108" s="542">
        <f t="shared" si="234"/>
        <v>1.4E-3</v>
      </c>
      <c r="BC108" s="533">
        <f xml:space="preserve"> ROUND(  INDEX( Kx!108:108, BC$16 ),  BC$17 )</f>
        <v>13893.14</v>
      </c>
      <c r="BD108" s="533">
        <f xml:space="preserve"> ROUND(  INDEX( Kx!108:108, BD$16 ),  BD$17 )</f>
        <v>10360.33</v>
      </c>
      <c r="BE108" s="548" t="str">
        <f t="shared" si="235"/>
        <v>M</v>
      </c>
      <c r="BF108" s="542">
        <f t="shared" si="236"/>
        <v>0.32950000000000002</v>
      </c>
      <c r="BG108" s="420">
        <f t="shared" si="237"/>
        <v>11524.39</v>
      </c>
      <c r="BQ108" s="549">
        <f t="shared" si="276"/>
        <v>108</v>
      </c>
      <c r="BR108" s="423">
        <f t="shared" si="238"/>
        <v>18652.52</v>
      </c>
      <c r="BS108" s="550">
        <f t="shared" si="239"/>
        <v>11524.39</v>
      </c>
      <c r="BT108" s="423">
        <f t="shared" si="240"/>
        <v>-7637.5</v>
      </c>
      <c r="BU108" s="551">
        <f t="shared" si="241"/>
        <v>119.56</v>
      </c>
      <c r="BV108" s="551">
        <f t="shared" si="242"/>
        <v>1.4789000000000001</v>
      </c>
      <c r="BW108" s="529">
        <f t="shared" si="243"/>
        <v>16290.25</v>
      </c>
      <c r="BX108" s="552">
        <f t="shared" si="244"/>
        <v>5275.23</v>
      </c>
      <c r="BY108" s="560"/>
      <c r="BZ108" s="559"/>
      <c r="CB108" s="423">
        <f t="shared" si="245"/>
        <v>-7862.77</v>
      </c>
      <c r="CC108" s="423">
        <f t="shared" si="246"/>
        <v>407.26</v>
      </c>
      <c r="CD108" s="423">
        <f t="shared" si="247"/>
        <v>4013.8</v>
      </c>
      <c r="CE108" s="423">
        <f t="shared" si="248"/>
        <v>-3441.71</v>
      </c>
      <c r="CF108" s="553">
        <f t="shared" si="249"/>
        <v>-3437.8799999999992</v>
      </c>
      <c r="CH108" s="423">
        <f t="shared" si="250"/>
        <v>3852.4304390000002</v>
      </c>
      <c r="CI108" s="423">
        <f t="shared" si="251"/>
        <v>11523.42</v>
      </c>
      <c r="CJ108" s="423">
        <f t="shared" si="252"/>
        <v>-3751.35</v>
      </c>
      <c r="CK108" s="423">
        <f t="shared" si="253"/>
        <v>-3915.9</v>
      </c>
      <c r="CL108" s="553">
        <f t="shared" si="254"/>
        <v>3856.1699999999996</v>
      </c>
      <c r="CN108" s="423">
        <f t="shared" si="255"/>
        <v>3898.5573770000001</v>
      </c>
      <c r="CO108" s="423">
        <f t="shared" si="256"/>
        <v>11523.42</v>
      </c>
      <c r="CP108" s="423">
        <f t="shared" si="257"/>
        <v>-3728.66</v>
      </c>
      <c r="CQ108" s="423">
        <f t="shared" si="258"/>
        <v>-3892.5</v>
      </c>
      <c r="CR108" s="553">
        <f t="shared" si="259"/>
        <v>3902.26</v>
      </c>
      <c r="CV108" s="564">
        <f t="shared" si="277"/>
        <v>108</v>
      </c>
      <c r="CW108" s="538" t="str">
        <f t="shared" si="260"/>
        <v>.</v>
      </c>
      <c r="CX108" s="566">
        <f t="shared" si="261"/>
        <v>16192.63</v>
      </c>
      <c r="CY108" s="538" t="str">
        <f t="shared" si="262"/>
        <v>.</v>
      </c>
      <c r="CZ108" s="538">
        <f t="shared" si="263"/>
        <v>9314</v>
      </c>
      <c r="DA108" s="538">
        <f t="shared" si="264"/>
        <v>6214.85</v>
      </c>
      <c r="DB108" s="567" t="e">
        <f t="shared" si="278"/>
        <v>#N/A</v>
      </c>
      <c r="DC108" s="567">
        <f t="shared" si="279"/>
        <v>16192.63</v>
      </c>
      <c r="DD108" s="567" t="e">
        <f t="shared" si="280"/>
        <v>#N/A</v>
      </c>
      <c r="DE108" s="567">
        <f t="shared" si="280"/>
        <v>9314</v>
      </c>
      <c r="DF108" s="568">
        <f t="shared" si="281"/>
        <v>15528.85</v>
      </c>
      <c r="EL108" s="553">
        <f t="shared" si="265"/>
        <v>11887.98</v>
      </c>
      <c r="EM108" s="553">
        <f t="shared" si="266"/>
        <v>4305.43</v>
      </c>
      <c r="EN108" s="423">
        <f t="shared" si="267"/>
        <v>16193.41</v>
      </c>
      <c r="EO108" s="555">
        <f xml:space="preserve"> 'i2'!AO108</f>
        <v>16192.63</v>
      </c>
      <c r="EV108" s="533" t="e">
        <f xml:space="preserve"> ROUND(    IF( $A$15=BE_MF_,   LEER,   INDEX( Kx!108:108, EV$16 ) ),    EV$17    )</f>
        <v>#VALUE!</v>
      </c>
      <c r="EW108" s="533" t="e">
        <f xml:space="preserve"> ROUND(    IF( $A$15=BE_MF_,   LEER,   INDEX( Kx!108:108, EW$16 ) ),    EW$17    )</f>
        <v>#VALUE!</v>
      </c>
      <c r="EX108" s="533" t="e">
        <f xml:space="preserve"> ROUND(    IF( $A$15=BE_MF_,   LEER,   INDEX( Kx!108:108, EX$16 ) ),    EX$17    )</f>
        <v>#VALUE!</v>
      </c>
      <c r="EY108" s="556" t="e">
        <f t="shared" si="282"/>
        <v>#VALUE!</v>
      </c>
      <c r="FB108" s="533" t="e">
        <f xml:space="preserve"> ROUND(    IF( $A$15=BE_MF_,   LEER,   INDEX( Kx!108:108, FB$16 ) ),    FB$17    )</f>
        <v>#VALUE!</v>
      </c>
      <c r="FC108" s="533" t="e">
        <f xml:space="preserve"> ROUND(    IF( $A$15=BE_MF_,   LEER,   INDEX( Kx!108:108, FC$16 ) ),    FC$17    )</f>
        <v>#VALUE!</v>
      </c>
      <c r="FD108" s="556" t="e">
        <f t="shared" si="283"/>
        <v>#VALUE!</v>
      </c>
      <c r="FG108" s="556" t="e">
        <f t="shared" si="284"/>
        <v>#VALUE!</v>
      </c>
      <c r="FH108" s="556" t="e">
        <f t="shared" si="284"/>
        <v>#VALUE!</v>
      </c>
      <c r="FI108" s="556" t="e">
        <f t="shared" si="284"/>
        <v>#VALUE!</v>
      </c>
      <c r="FN108" s="557">
        <f t="shared" si="268"/>
        <v>108</v>
      </c>
      <c r="FO108" s="493">
        <f t="shared" si="269"/>
        <v>11.764200000000001</v>
      </c>
      <c r="FP108" s="493">
        <f t="shared" si="270"/>
        <v>2.1164000000000001</v>
      </c>
      <c r="FR108" s="427">
        <f t="shared" si="285"/>
        <v>679932.79000000027</v>
      </c>
      <c r="FS108" s="558">
        <f t="shared" si="295"/>
        <v>19164.86</v>
      </c>
      <c r="FT108" s="558">
        <f t="shared" si="295"/>
        <v>18986.759999999998</v>
      </c>
      <c r="FU108" s="558">
        <f t="shared" si="295"/>
        <v>18808.22</v>
      </c>
      <c r="FV108" s="558">
        <f t="shared" si="295"/>
        <v>18629.689999999999</v>
      </c>
      <c r="FW108" s="558">
        <f t="shared" si="295"/>
        <v>18445</v>
      </c>
      <c r="FX108" s="558">
        <f t="shared" si="295"/>
        <v>18255.03</v>
      </c>
      <c r="FY108" s="558">
        <f t="shared" si="295"/>
        <v>18066.82</v>
      </c>
      <c r="FZ108" s="558">
        <f t="shared" si="295"/>
        <v>17877.29</v>
      </c>
      <c r="GA108" s="558">
        <f t="shared" si="295"/>
        <v>17681.16</v>
      </c>
      <c r="GB108" s="558">
        <f t="shared" si="295"/>
        <v>17477.12</v>
      </c>
      <c r="GC108" s="558">
        <f t="shared" si="295"/>
        <v>17271.759999999998</v>
      </c>
      <c r="GD108" s="558">
        <f t="shared" si="295"/>
        <v>17063.32</v>
      </c>
      <c r="GE108" s="558">
        <f t="shared" si="295"/>
        <v>16850.05</v>
      </c>
      <c r="GF108" s="558">
        <f t="shared" si="295"/>
        <v>16635.89</v>
      </c>
      <c r="GG108" s="558">
        <f t="shared" si="295"/>
        <v>16415.14</v>
      </c>
      <c r="GH108" s="558">
        <f t="shared" si="295"/>
        <v>16192.63</v>
      </c>
      <c r="GI108" s="558">
        <f t="shared" si="292"/>
        <v>15963.52</v>
      </c>
      <c r="GJ108" s="558">
        <f t="shared" si="292"/>
        <v>15729.14</v>
      </c>
      <c r="GK108" s="558">
        <f t="shared" si="292"/>
        <v>15488.16</v>
      </c>
      <c r="GL108" s="558">
        <f t="shared" si="292"/>
        <v>15240.15</v>
      </c>
      <c r="GM108" s="558">
        <f t="shared" si="292"/>
        <v>14984.65</v>
      </c>
      <c r="GN108" s="558">
        <f t="shared" si="292"/>
        <v>14719.49</v>
      </c>
      <c r="GO108" s="558">
        <f t="shared" si="292"/>
        <v>14444.65</v>
      </c>
      <c r="GP108" s="558">
        <f t="shared" si="292"/>
        <v>14159.7</v>
      </c>
      <c r="GQ108" s="558">
        <f t="shared" si="292"/>
        <v>13863.31</v>
      </c>
      <c r="GR108" s="558">
        <f t="shared" si="292"/>
        <v>13557.69</v>
      </c>
      <c r="GS108" s="558">
        <f t="shared" si="292"/>
        <v>13241.51</v>
      </c>
      <c r="GT108" s="558">
        <f t="shared" si="292"/>
        <v>12915.66</v>
      </c>
      <c r="GU108" s="558">
        <f t="shared" si="292"/>
        <v>12581.02</v>
      </c>
      <c r="GV108" s="558">
        <f t="shared" si="292"/>
        <v>12238.02</v>
      </c>
      <c r="GW108" s="558">
        <f t="shared" si="292"/>
        <v>11887.98</v>
      </c>
      <c r="GX108" s="558">
        <f t="shared" si="296"/>
        <v>11529.59</v>
      </c>
      <c r="GY108" s="558">
        <f t="shared" si="296"/>
        <v>11166.36</v>
      </c>
      <c r="GZ108" s="558">
        <f t="shared" si="296"/>
        <v>10796.54</v>
      </c>
      <c r="HA108" s="558">
        <f t="shared" si="296"/>
        <v>10422.76</v>
      </c>
      <c r="HB108" s="558">
        <f t="shared" si="296"/>
        <v>10045.02</v>
      </c>
      <c r="HC108" s="558">
        <f t="shared" si="296"/>
        <v>9662.8799999999992</v>
      </c>
      <c r="HD108" s="558">
        <f t="shared" si="296"/>
        <v>9277.66</v>
      </c>
      <c r="HE108" s="558">
        <f t="shared" si="296"/>
        <v>8886.73</v>
      </c>
      <c r="HF108" s="558">
        <f t="shared" si="296"/>
        <v>8487.4500000000007</v>
      </c>
      <c r="HG108" s="558">
        <f t="shared" si="296"/>
        <v>8082.44</v>
      </c>
      <c r="HH108" s="558">
        <f t="shared" si="296"/>
        <v>7673.48</v>
      </c>
      <c r="HI108" s="558">
        <f t="shared" si="296"/>
        <v>7259.24</v>
      </c>
      <c r="HJ108" s="558">
        <f t="shared" si="296"/>
        <v>6841.93</v>
      </c>
      <c r="HK108" s="558">
        <f t="shared" si="296"/>
        <v>6420.21</v>
      </c>
      <c r="HL108" s="558">
        <f t="shared" si="296"/>
        <v>6002.45</v>
      </c>
      <c r="HM108" s="558">
        <f t="shared" si="296"/>
        <v>5581.18</v>
      </c>
      <c r="HN108" s="558">
        <f t="shared" si="293"/>
        <v>5162.54</v>
      </c>
      <c r="HO108" s="558">
        <f t="shared" si="293"/>
        <v>4746.99</v>
      </c>
      <c r="HP108" s="558">
        <f t="shared" si="293"/>
        <v>4333.1899999999996</v>
      </c>
      <c r="HQ108" s="558">
        <f t="shared" si="293"/>
        <v>3992.39</v>
      </c>
      <c r="HR108" s="558">
        <f t="shared" si="293"/>
        <v>3662.14</v>
      </c>
      <c r="HS108" s="558">
        <f t="shared" si="293"/>
        <v>3345.96</v>
      </c>
      <c r="HT108" s="558">
        <f t="shared" si="293"/>
        <v>3046.5</v>
      </c>
      <c r="HU108" s="558">
        <f t="shared" si="293"/>
        <v>2685.03</v>
      </c>
      <c r="HV108" s="558">
        <f t="shared" si="293"/>
        <v>2337.63</v>
      </c>
      <c r="HW108" s="558">
        <f t="shared" si="293"/>
        <v>2006.51</v>
      </c>
      <c r="HX108" s="558">
        <f t="shared" si="293"/>
        <v>1702.2</v>
      </c>
      <c r="HY108" s="558">
        <f t="shared" si="293"/>
        <v>1422.09</v>
      </c>
      <c r="HZ108" s="558">
        <f t="shared" si="293"/>
        <v>1167.48</v>
      </c>
      <c r="IA108" s="558">
        <f t="shared" si="293"/>
        <v>944.53</v>
      </c>
      <c r="IB108" s="558">
        <f t="shared" si="293"/>
        <v>748.4</v>
      </c>
      <c r="IC108" s="558">
        <f t="shared" si="291"/>
        <v>588.77</v>
      </c>
      <c r="ID108" s="558">
        <f t="shared" si="291"/>
        <v>460.37</v>
      </c>
      <c r="IE108" s="558">
        <f t="shared" si="291"/>
        <v>364.5</v>
      </c>
      <c r="IF108" s="558">
        <f t="shared" si="291"/>
        <v>300.74</v>
      </c>
      <c r="IG108" s="558">
        <f t="shared" si="291"/>
        <v>258.52999999999997</v>
      </c>
      <c r="IH108" s="558">
        <f t="shared" ref="IH108:JD108" si="301" xml:space="preserve"> IF(  OR( IH$18&gt;$FN108, $FN108&gt;$FS$12 ),  LEER,  ROUND( $FR$19 * ( $FO108 - IH$15 * $FP108 ), IH$17 )  )</f>
        <v>229.06</v>
      </c>
      <c r="II108" s="558">
        <f t="shared" si="301"/>
        <v>228.18</v>
      </c>
      <c r="IJ108" s="558">
        <f t="shared" si="301"/>
        <v>226.42</v>
      </c>
      <c r="IK108" s="558">
        <f t="shared" si="301"/>
        <v>224.67</v>
      </c>
      <c r="IL108" s="558">
        <f t="shared" si="301"/>
        <v>222.03</v>
      </c>
      <c r="IM108" s="558">
        <f t="shared" si="301"/>
        <v>218.51</v>
      </c>
      <c r="IN108" s="558">
        <f t="shared" si="301"/>
        <v>213.67</v>
      </c>
      <c r="IO108" s="558">
        <f t="shared" si="301"/>
        <v>207.08</v>
      </c>
      <c r="IP108" s="558">
        <f t="shared" si="301"/>
        <v>197.84</v>
      </c>
      <c r="IQ108" s="558">
        <f t="shared" si="301"/>
        <v>185.53</v>
      </c>
      <c r="IR108" s="558">
        <f t="shared" si="301"/>
        <v>167.5</v>
      </c>
      <c r="IS108" s="558">
        <f t="shared" si="301"/>
        <v>166.18</v>
      </c>
      <c r="IT108" s="558">
        <f t="shared" si="301"/>
        <v>164.86</v>
      </c>
      <c r="IU108" s="558">
        <f t="shared" si="301"/>
        <v>162.22</v>
      </c>
      <c r="IV108" s="558">
        <f t="shared" si="301"/>
        <v>159.58000000000001</v>
      </c>
      <c r="IW108" s="558">
        <f t="shared" si="301"/>
        <v>155.19</v>
      </c>
      <c r="IX108" s="558">
        <f t="shared" si="301"/>
        <v>148.15</v>
      </c>
      <c r="IY108" s="558">
        <f t="shared" si="301"/>
        <v>138.04</v>
      </c>
      <c r="IZ108" s="558">
        <f t="shared" si="301"/>
        <v>121.77</v>
      </c>
      <c r="JA108" s="558">
        <f t="shared" si="301"/>
        <v>96.26</v>
      </c>
      <c r="JB108" s="558">
        <f t="shared" si="301"/>
        <v>52.29</v>
      </c>
      <c r="JC108" s="558">
        <f t="shared" si="301"/>
        <v>-0.04</v>
      </c>
      <c r="JD108" s="558" t="str">
        <f t="shared" si="301"/>
        <v>.</v>
      </c>
      <c r="JE108" s="558" t="str">
        <f t="shared" si="289"/>
        <v>.</v>
      </c>
      <c r="JF108" s="558" t="str">
        <f t="shared" si="289"/>
        <v>.</v>
      </c>
      <c r="JG108" s="558" t="str">
        <f t="shared" si="289"/>
        <v>.</v>
      </c>
      <c r="JH108" s="558" t="str">
        <f t="shared" si="289"/>
        <v>.</v>
      </c>
      <c r="JI108" s="558" t="str">
        <f t="shared" si="289"/>
        <v>.</v>
      </c>
      <c r="JJ108" s="558" t="str">
        <f t="shared" si="289"/>
        <v>.</v>
      </c>
      <c r="JK108" s="558" t="str">
        <f t="shared" si="300"/>
        <v>.</v>
      </c>
      <c r="JL108" s="558" t="str">
        <f t="shared" si="300"/>
        <v>.</v>
      </c>
      <c r="JM108" s="558" t="str">
        <f t="shared" si="300"/>
        <v>.</v>
      </c>
      <c r="JN108" s="558" t="str">
        <f t="shared" si="300"/>
        <v>.</v>
      </c>
      <c r="JO108" s="558" t="str">
        <f t="shared" si="297"/>
        <v>.</v>
      </c>
    </row>
    <row r="109" spans="1:275" x14ac:dyDescent="0.2">
      <c r="A109" s="534">
        <f xml:space="preserve"> Basis!A109</f>
        <v>109</v>
      </c>
      <c r="F109" s="536">
        <f xml:space="preserve"> ROUND(    IF( $A$15=BE_MF_,   AW109,   INDEX( qx!109:109, F$16 ) ),    F$17    )</f>
        <v>0.31680000000000003</v>
      </c>
      <c r="G109" s="536">
        <f xml:space="preserve"> ROUND(    IF( $A$15=BE_MF_,   BB109,   INDEX( wx!109:109, G$16 ) ),    G$17    )</f>
        <v>1.4E-3</v>
      </c>
      <c r="H109" s="537">
        <f xml:space="preserve"> ROUND(    IF( $A$15=BE_MF_,   BG109,   INDEX( Kx!109:109, H$16 ) ),    H$17    )</f>
        <v>11558.84</v>
      </c>
      <c r="I109" s="538">
        <f t="shared" si="273"/>
        <v>11558.84</v>
      </c>
      <c r="J109" s="539">
        <f t="shared" si="208"/>
        <v>5.5629999999999997</v>
      </c>
      <c r="K109" s="540">
        <f t="shared" si="274"/>
        <v>0</v>
      </c>
      <c r="L109" s="541">
        <f t="shared" si="299"/>
        <v>0</v>
      </c>
      <c r="M109" s="541">
        <f t="shared" si="299"/>
        <v>8.5999999999999993E-2</v>
      </c>
      <c r="O109" s="542" t="b">
        <f t="shared" si="275"/>
        <v>1</v>
      </c>
      <c r="P109" s="493">
        <f t="shared" si="209"/>
        <v>0.31819999999999998</v>
      </c>
      <c r="Q109" s="493">
        <f t="shared" si="210"/>
        <v>0.68179999999999996</v>
      </c>
      <c r="R109" s="543">
        <f t="shared" si="211"/>
        <v>1183</v>
      </c>
      <c r="S109" s="544">
        <f t="shared" si="212"/>
        <v>0.97560975599999999</v>
      </c>
      <c r="T109" s="423">
        <f t="shared" si="213"/>
        <v>80.180000000000007</v>
      </c>
      <c r="U109" s="423">
        <f xml:space="preserve"> IF( $O109,    ROUND(  SUM( T109:T$120), U$17 ),  LEER  )</f>
        <v>133.47999999999999</v>
      </c>
      <c r="V109" s="493">
        <f t="shared" si="214"/>
        <v>1.6648000000000001</v>
      </c>
      <c r="W109" s="493">
        <f t="shared" si="215"/>
        <v>446.04</v>
      </c>
      <c r="X109" s="493">
        <f xml:space="preserve"> IF( $O109,    ROUND(  SUM( W109:W$120), X$17 ),  LEER  )</f>
        <v>743.45</v>
      </c>
      <c r="Y109" s="493">
        <f t="shared" si="216"/>
        <v>9.2722999999999995</v>
      </c>
      <c r="Z109" s="493">
        <f t="shared" si="217"/>
        <v>5.5696000000000003</v>
      </c>
      <c r="AA109" s="493">
        <f t="shared" si="218"/>
        <v>1</v>
      </c>
      <c r="AB109" s="493">
        <f t="shared" si="219"/>
        <v>2.3494000000000002</v>
      </c>
      <c r="AC109" s="545">
        <f t="shared" si="220"/>
        <v>0.32679999999999998</v>
      </c>
      <c r="AD109" s="493">
        <f t="shared" si="221"/>
        <v>5.5696000000000003</v>
      </c>
      <c r="AE109" s="493">
        <f t="shared" si="222"/>
        <v>6.4512</v>
      </c>
      <c r="AF109" s="493">
        <f t="shared" si="223"/>
        <v>6.4512</v>
      </c>
      <c r="AG109" s="493" t="str">
        <f t="shared" si="224"/>
        <v>.</v>
      </c>
      <c r="AH109" s="493" t="str">
        <f t="shared" si="225"/>
        <v>.</v>
      </c>
      <c r="AI109" s="423">
        <f t="shared" si="226"/>
        <v>2077.79</v>
      </c>
      <c r="AJ109" s="423">
        <f t="shared" si="227"/>
        <v>13404.24</v>
      </c>
      <c r="AK109" s="423">
        <f t="shared" si="228"/>
        <v>1117.02</v>
      </c>
      <c r="AN109" s="423">
        <f t="shared" si="294"/>
        <v>12852.37</v>
      </c>
      <c r="AO109" s="423">
        <f t="shared" si="294"/>
        <v>12775.57</v>
      </c>
      <c r="AR109" s="546">
        <f xml:space="preserve"> ROUND(  INDEX( Kx!109:109, AR$16 ),  AR$17 )</f>
        <v>0.24679999999999999</v>
      </c>
      <c r="AS109" s="547">
        <f xml:space="preserve"> ROUND(  INDEX( qx!109:109, AS$16 ),  AS$17 )</f>
        <v>0.33150000000000002</v>
      </c>
      <c r="AT109" s="547">
        <f xml:space="preserve"> ROUND(  INDEX( qx!109:109, AT$16 ),  AT$17 )</f>
        <v>0.31359999999999999</v>
      </c>
      <c r="AU109" s="548" t="str">
        <f t="shared" si="229"/>
        <v>F</v>
      </c>
      <c r="AV109" s="542">
        <f t="shared" si="230"/>
        <v>0.17929999999999999</v>
      </c>
      <c r="AW109" s="542">
        <f t="shared" si="231"/>
        <v>0.31680000000000003</v>
      </c>
      <c r="AX109" s="546">
        <f xml:space="preserve"> ROUND(  INDEX( wx!109:109, AX$16 ),  AX$17 )</f>
        <v>0</v>
      </c>
      <c r="AY109" s="546">
        <f xml:space="preserve"> ROUND(  INDEX( wx!109:109, AY$16 ),  AY$17 )</f>
        <v>2.0999999999999999E-3</v>
      </c>
      <c r="AZ109" s="548" t="str">
        <f t="shared" si="232"/>
        <v>M</v>
      </c>
      <c r="BA109" s="542">
        <f t="shared" si="233"/>
        <v>0.32950000000000002</v>
      </c>
      <c r="BB109" s="542">
        <f t="shared" si="234"/>
        <v>1.4E-3</v>
      </c>
      <c r="BC109" s="533">
        <f xml:space="preserve"> ROUND(  INDEX( Kx!109:109, BC$16 ),  BC$17 )</f>
        <v>13971.83</v>
      </c>
      <c r="BD109" s="533">
        <f xml:space="preserve"> ROUND(  INDEX( Kx!109:109, BD$16 ),  BD$17 )</f>
        <v>10373.040000000001</v>
      </c>
      <c r="BE109" s="548" t="str">
        <f t="shared" si="235"/>
        <v>M</v>
      </c>
      <c r="BF109" s="542">
        <f t="shared" si="236"/>
        <v>0.32950000000000002</v>
      </c>
      <c r="BG109" s="420">
        <f t="shared" si="237"/>
        <v>11558.84</v>
      </c>
      <c r="BQ109" s="549">
        <f t="shared" si="276"/>
        <v>109</v>
      </c>
      <c r="BR109" s="423">
        <f t="shared" si="238"/>
        <v>16290.25</v>
      </c>
      <c r="BS109" s="550">
        <f t="shared" si="239"/>
        <v>11558.84</v>
      </c>
      <c r="BT109" s="423">
        <f t="shared" si="240"/>
        <v>-7671.96</v>
      </c>
      <c r="BU109" s="551">
        <f t="shared" si="241"/>
        <v>80.180000000000007</v>
      </c>
      <c r="BV109" s="551">
        <f t="shared" si="242"/>
        <v>1.4911000000000001</v>
      </c>
      <c r="BW109" s="529">
        <f t="shared" si="243"/>
        <v>12852.37</v>
      </c>
      <c r="BX109" s="552">
        <f t="shared" si="244"/>
        <v>4234.08</v>
      </c>
      <c r="BY109" s="560"/>
      <c r="BZ109" s="559"/>
      <c r="CB109" s="423">
        <f t="shared" si="245"/>
        <v>-7898.97</v>
      </c>
      <c r="CC109" s="423">
        <f t="shared" si="246"/>
        <v>321.31</v>
      </c>
      <c r="CD109" s="423">
        <f t="shared" si="247"/>
        <v>2463.3200000000002</v>
      </c>
      <c r="CE109" s="423">
        <f t="shared" si="248"/>
        <v>-5114.34</v>
      </c>
      <c r="CF109" s="553">
        <f t="shared" si="249"/>
        <v>-5110.9400000000005</v>
      </c>
      <c r="CH109" s="423">
        <f t="shared" si="250"/>
        <v>3852.4304390000002</v>
      </c>
      <c r="CI109" s="423">
        <f t="shared" si="251"/>
        <v>11558.75</v>
      </c>
      <c r="CJ109" s="423">
        <f t="shared" si="252"/>
        <v>-5299.76</v>
      </c>
      <c r="CK109" s="423">
        <f t="shared" si="253"/>
        <v>-2403.2399999999998</v>
      </c>
      <c r="CL109" s="553">
        <f t="shared" si="254"/>
        <v>3855.75</v>
      </c>
      <c r="CN109" s="423">
        <f t="shared" si="255"/>
        <v>3898.5573770000001</v>
      </c>
      <c r="CO109" s="423">
        <f t="shared" si="256"/>
        <v>11558.75</v>
      </c>
      <c r="CP109" s="423">
        <f t="shared" si="257"/>
        <v>-5267.96</v>
      </c>
      <c r="CQ109" s="423">
        <f t="shared" si="258"/>
        <v>-2388.92</v>
      </c>
      <c r="CR109" s="553">
        <f t="shared" si="259"/>
        <v>3901.87</v>
      </c>
      <c r="CV109" s="564">
        <f t="shared" si="277"/>
        <v>109</v>
      </c>
      <c r="CW109" s="538" t="str">
        <f t="shared" si="260"/>
        <v>.</v>
      </c>
      <c r="CX109" s="566">
        <f t="shared" si="261"/>
        <v>12775.57</v>
      </c>
      <c r="CY109" s="538" t="str">
        <f t="shared" si="262"/>
        <v>.</v>
      </c>
      <c r="CZ109" s="538">
        <f t="shared" si="263"/>
        <v>7327</v>
      </c>
      <c r="DA109" s="538">
        <f t="shared" si="264"/>
        <v>4926.87</v>
      </c>
      <c r="DB109" s="567" t="e">
        <f t="shared" si="278"/>
        <v>#N/A</v>
      </c>
      <c r="DC109" s="567">
        <f t="shared" si="279"/>
        <v>12775.57</v>
      </c>
      <c r="DD109" s="567" t="e">
        <f t="shared" si="280"/>
        <v>#N/A</v>
      </c>
      <c r="DE109" s="567">
        <f t="shared" si="280"/>
        <v>7327</v>
      </c>
      <c r="DF109" s="568">
        <f t="shared" si="281"/>
        <v>12253.869999999999</v>
      </c>
      <c r="EL109" s="553">
        <f t="shared" si="265"/>
        <v>9389.4599999999991</v>
      </c>
      <c r="EM109" s="553">
        <f t="shared" si="266"/>
        <v>3386.73</v>
      </c>
      <c r="EN109" s="423">
        <f t="shared" si="267"/>
        <v>12776.19</v>
      </c>
      <c r="EO109" s="555">
        <f xml:space="preserve"> 'i2'!AO109</f>
        <v>12775.57</v>
      </c>
      <c r="EV109" s="533" t="e">
        <f xml:space="preserve"> ROUND(    IF( $A$15=BE_MF_,   LEER,   INDEX( Kx!109:109, EV$16 ) ),    EV$17    )</f>
        <v>#VALUE!</v>
      </c>
      <c r="EW109" s="533" t="e">
        <f xml:space="preserve"> ROUND(    IF( $A$15=BE_MF_,   LEER,   INDEX( Kx!109:109, EW$16 ) ),    EW$17    )</f>
        <v>#VALUE!</v>
      </c>
      <c r="EX109" s="533" t="e">
        <f xml:space="preserve"> ROUND(    IF( $A$15=BE_MF_,   LEER,   INDEX( Kx!109:109, EX$16 ) ),    EX$17    )</f>
        <v>#VALUE!</v>
      </c>
      <c r="EY109" s="556" t="e">
        <f t="shared" si="282"/>
        <v>#VALUE!</v>
      </c>
      <c r="FB109" s="533" t="e">
        <f xml:space="preserve"> ROUND(    IF( $A$15=BE_MF_,   LEER,   INDEX( Kx!109:109, FB$16 ) ),    FB$17    )</f>
        <v>#VALUE!</v>
      </c>
      <c r="FC109" s="533" t="e">
        <f xml:space="preserve"> ROUND(    IF( $A$15=BE_MF_,   LEER,   INDEX( Kx!109:109, FC$16 ) ),    FC$17    )</f>
        <v>#VALUE!</v>
      </c>
      <c r="FD109" s="556" t="e">
        <f t="shared" si="283"/>
        <v>#VALUE!</v>
      </c>
      <c r="FG109" s="556" t="e">
        <f t="shared" si="284"/>
        <v>#VALUE!</v>
      </c>
      <c r="FH109" s="556" t="e">
        <f t="shared" si="284"/>
        <v>#VALUE!</v>
      </c>
      <c r="FI109" s="556" t="e">
        <f t="shared" si="284"/>
        <v>#VALUE!</v>
      </c>
      <c r="FN109" s="557">
        <f t="shared" si="268"/>
        <v>109</v>
      </c>
      <c r="FO109" s="493">
        <f t="shared" si="269"/>
        <v>9.2722999999999995</v>
      </c>
      <c r="FP109" s="493">
        <f t="shared" si="270"/>
        <v>1.6648000000000001</v>
      </c>
      <c r="FR109" s="427">
        <f t="shared" si="285"/>
        <v>538243.00000000023</v>
      </c>
      <c r="FS109" s="558">
        <f t="shared" si="295"/>
        <v>15113.58</v>
      </c>
      <c r="FT109" s="558">
        <f t="shared" si="295"/>
        <v>14973.49</v>
      </c>
      <c r="FU109" s="558">
        <f t="shared" si="295"/>
        <v>14833.05</v>
      </c>
      <c r="FV109" s="558">
        <f t="shared" si="295"/>
        <v>14692.61</v>
      </c>
      <c r="FW109" s="558">
        <f t="shared" si="295"/>
        <v>14547.33</v>
      </c>
      <c r="FX109" s="558">
        <f t="shared" si="295"/>
        <v>14397.89</v>
      </c>
      <c r="FY109" s="558">
        <f t="shared" si="295"/>
        <v>14249.84</v>
      </c>
      <c r="FZ109" s="558">
        <f t="shared" si="295"/>
        <v>14100.76</v>
      </c>
      <c r="GA109" s="558">
        <f t="shared" si="295"/>
        <v>13946.48</v>
      </c>
      <c r="GB109" s="558">
        <f t="shared" si="295"/>
        <v>13785.98</v>
      </c>
      <c r="GC109" s="558">
        <f t="shared" si="295"/>
        <v>13624.44</v>
      </c>
      <c r="GD109" s="558">
        <f t="shared" si="295"/>
        <v>13460.48</v>
      </c>
      <c r="GE109" s="558">
        <f t="shared" si="295"/>
        <v>13292.71</v>
      </c>
      <c r="GF109" s="558">
        <f t="shared" si="295"/>
        <v>13124.25</v>
      </c>
      <c r="GG109" s="558">
        <f t="shared" si="295"/>
        <v>12950.6</v>
      </c>
      <c r="GH109" s="558">
        <f t="shared" si="295"/>
        <v>12775.57</v>
      </c>
      <c r="GI109" s="558">
        <f t="shared" si="292"/>
        <v>12595.35</v>
      </c>
      <c r="GJ109" s="558">
        <f t="shared" si="292"/>
        <v>12410.98</v>
      </c>
      <c r="GK109" s="558">
        <f t="shared" si="292"/>
        <v>12221.43</v>
      </c>
      <c r="GL109" s="558">
        <f t="shared" si="292"/>
        <v>12026.33</v>
      </c>
      <c r="GM109" s="558">
        <f t="shared" si="292"/>
        <v>11825.36</v>
      </c>
      <c r="GN109" s="558">
        <f t="shared" si="292"/>
        <v>11616.77</v>
      </c>
      <c r="GO109" s="558">
        <f t="shared" si="292"/>
        <v>11400.58</v>
      </c>
      <c r="GP109" s="558">
        <f t="shared" si="292"/>
        <v>11176.43</v>
      </c>
      <c r="GQ109" s="558">
        <f t="shared" si="292"/>
        <v>10943.29</v>
      </c>
      <c r="GR109" s="558">
        <f t="shared" si="292"/>
        <v>10702.88</v>
      </c>
      <c r="GS109" s="558">
        <f t="shared" si="292"/>
        <v>10454.17</v>
      </c>
      <c r="GT109" s="558">
        <f t="shared" si="292"/>
        <v>10197.85</v>
      </c>
      <c r="GU109" s="558">
        <f t="shared" si="292"/>
        <v>9934.61</v>
      </c>
      <c r="GV109" s="558">
        <f t="shared" si="292"/>
        <v>9664.7999999999993</v>
      </c>
      <c r="GW109" s="558">
        <f t="shared" si="292"/>
        <v>9389.4599999999991</v>
      </c>
      <c r="GX109" s="558">
        <f t="shared" si="296"/>
        <v>9107.5400000000009</v>
      </c>
      <c r="GY109" s="558">
        <f t="shared" si="296"/>
        <v>8821.82</v>
      </c>
      <c r="GZ109" s="558">
        <f t="shared" si="296"/>
        <v>8530.91</v>
      </c>
      <c r="HA109" s="558">
        <f t="shared" si="296"/>
        <v>8236.8799999999992</v>
      </c>
      <c r="HB109" s="558">
        <f t="shared" si="296"/>
        <v>7939.75</v>
      </c>
      <c r="HC109" s="558">
        <f t="shared" si="296"/>
        <v>7639.15</v>
      </c>
      <c r="HD109" s="558">
        <f t="shared" si="296"/>
        <v>7336.13</v>
      </c>
      <c r="HE109" s="558">
        <f t="shared" si="296"/>
        <v>7028.62</v>
      </c>
      <c r="HF109" s="558">
        <f t="shared" si="296"/>
        <v>6714.53</v>
      </c>
      <c r="HG109" s="558">
        <f t="shared" si="296"/>
        <v>6395.95</v>
      </c>
      <c r="HH109" s="558">
        <f t="shared" si="296"/>
        <v>6074.25</v>
      </c>
      <c r="HI109" s="558">
        <f t="shared" si="296"/>
        <v>5748.4</v>
      </c>
      <c r="HJ109" s="558">
        <f t="shared" si="296"/>
        <v>5420.13</v>
      </c>
      <c r="HK109" s="558">
        <f t="shared" si="296"/>
        <v>5088.41</v>
      </c>
      <c r="HL109" s="558">
        <f t="shared" si="296"/>
        <v>4759.79</v>
      </c>
      <c r="HM109" s="558">
        <f t="shared" si="296"/>
        <v>4428.41</v>
      </c>
      <c r="HN109" s="558">
        <f t="shared" si="293"/>
        <v>4099.1000000000004</v>
      </c>
      <c r="HO109" s="558">
        <f t="shared" si="293"/>
        <v>3772.22</v>
      </c>
      <c r="HP109" s="558">
        <f t="shared" si="293"/>
        <v>3446.71</v>
      </c>
      <c r="HQ109" s="558">
        <f t="shared" si="293"/>
        <v>3178.63</v>
      </c>
      <c r="HR109" s="558">
        <f t="shared" si="293"/>
        <v>2918.85</v>
      </c>
      <c r="HS109" s="558">
        <f t="shared" si="293"/>
        <v>2670.15</v>
      </c>
      <c r="HT109" s="558">
        <f t="shared" si="293"/>
        <v>2434.58</v>
      </c>
      <c r="HU109" s="558">
        <f t="shared" si="293"/>
        <v>2150.2399999999998</v>
      </c>
      <c r="HV109" s="558">
        <f t="shared" si="293"/>
        <v>1876.97</v>
      </c>
      <c r="HW109" s="558">
        <f t="shared" si="293"/>
        <v>1616.5</v>
      </c>
      <c r="HX109" s="558">
        <f t="shared" si="293"/>
        <v>1377.13</v>
      </c>
      <c r="HY109" s="558">
        <f t="shared" si="293"/>
        <v>1156.79</v>
      </c>
      <c r="HZ109" s="558">
        <f t="shared" si="293"/>
        <v>956.5</v>
      </c>
      <c r="IA109" s="558">
        <f t="shared" si="293"/>
        <v>781.13</v>
      </c>
      <c r="IB109" s="558">
        <f t="shared" si="293"/>
        <v>626.85</v>
      </c>
      <c r="IC109" s="558">
        <f t="shared" ref="IC109:IT120" si="302" xml:space="preserve"> IF(  OR( IC$18&gt;$FN109, $FN109&gt;$FS$12 ),  LEER,  ROUND( $FR$19 * ( $FO109 - IC$15 * $FP109 ), IC$17 )  )</f>
        <v>501.29</v>
      </c>
      <c r="ID109" s="558">
        <f t="shared" si="302"/>
        <v>400.28</v>
      </c>
      <c r="IE109" s="558">
        <f t="shared" si="302"/>
        <v>324.87</v>
      </c>
      <c r="IF109" s="558">
        <f t="shared" si="302"/>
        <v>274.72000000000003</v>
      </c>
      <c r="IG109" s="558">
        <f t="shared" si="302"/>
        <v>241.51</v>
      </c>
      <c r="IH109" s="558">
        <f t="shared" si="302"/>
        <v>218.33</v>
      </c>
      <c r="II109" s="558">
        <f t="shared" si="302"/>
        <v>217.64</v>
      </c>
      <c r="IJ109" s="558">
        <f t="shared" si="302"/>
        <v>216.26</v>
      </c>
      <c r="IK109" s="558">
        <f t="shared" si="302"/>
        <v>214.87</v>
      </c>
      <c r="IL109" s="558">
        <f t="shared" si="302"/>
        <v>212.8</v>
      </c>
      <c r="IM109" s="558">
        <f t="shared" si="302"/>
        <v>210.03</v>
      </c>
      <c r="IN109" s="558">
        <f t="shared" si="302"/>
        <v>206.22</v>
      </c>
      <c r="IO109" s="558">
        <f t="shared" si="302"/>
        <v>201.04</v>
      </c>
      <c r="IP109" s="558">
        <f t="shared" si="302"/>
        <v>193.77</v>
      </c>
      <c r="IQ109" s="558">
        <f t="shared" si="302"/>
        <v>184.09</v>
      </c>
      <c r="IR109" s="558">
        <f t="shared" si="302"/>
        <v>169.9</v>
      </c>
      <c r="IS109" s="558">
        <f t="shared" si="302"/>
        <v>168.87</v>
      </c>
      <c r="IT109" s="558">
        <f t="shared" si="302"/>
        <v>167.83</v>
      </c>
      <c r="IU109" s="558">
        <f t="shared" ref="IU109:JF109" si="303" xml:space="preserve"> IF(  OR( IU$18&gt;$FN109, $FN109&gt;$FS$12 ),  LEER,  ROUND( $FR$19 * ( $FO109 - IU$15 * $FP109 ), IU$17 )  )</f>
        <v>165.75</v>
      </c>
      <c r="IV109" s="558">
        <f t="shared" si="303"/>
        <v>163.68</v>
      </c>
      <c r="IW109" s="558">
        <f t="shared" si="303"/>
        <v>160.22</v>
      </c>
      <c r="IX109" s="558">
        <f t="shared" si="303"/>
        <v>154.68</v>
      </c>
      <c r="IY109" s="558">
        <f t="shared" si="303"/>
        <v>146.72999999999999</v>
      </c>
      <c r="IZ109" s="558">
        <f t="shared" si="303"/>
        <v>133.93</v>
      </c>
      <c r="JA109" s="558">
        <f t="shared" si="303"/>
        <v>113.87</v>
      </c>
      <c r="JB109" s="558">
        <f t="shared" si="303"/>
        <v>79.28</v>
      </c>
      <c r="JC109" s="558">
        <f t="shared" si="303"/>
        <v>38.11</v>
      </c>
      <c r="JD109" s="558">
        <f t="shared" si="303"/>
        <v>0.06</v>
      </c>
      <c r="JE109" s="558" t="str">
        <f t="shared" si="303"/>
        <v>.</v>
      </c>
      <c r="JF109" s="558" t="str">
        <f t="shared" si="303"/>
        <v>.</v>
      </c>
      <c r="JG109" s="558" t="str">
        <f t="shared" si="289"/>
        <v>.</v>
      </c>
      <c r="JH109" s="558" t="str">
        <f t="shared" si="289"/>
        <v>.</v>
      </c>
      <c r="JI109" s="558" t="str">
        <f t="shared" si="289"/>
        <v>.</v>
      </c>
      <c r="JJ109" s="558" t="str">
        <f t="shared" si="289"/>
        <v>.</v>
      </c>
      <c r="JK109" s="558" t="str">
        <f t="shared" si="300"/>
        <v>.</v>
      </c>
      <c r="JL109" s="558" t="str">
        <f t="shared" si="300"/>
        <v>.</v>
      </c>
      <c r="JM109" s="558" t="str">
        <f t="shared" si="300"/>
        <v>.</v>
      </c>
      <c r="JN109" s="558" t="str">
        <f t="shared" si="300"/>
        <v>.</v>
      </c>
      <c r="JO109" s="558" t="str">
        <f t="shared" si="297"/>
        <v>.</v>
      </c>
    </row>
    <row r="110" spans="1:275" x14ac:dyDescent="0.2">
      <c r="A110" s="534">
        <f xml:space="preserve"> Basis!A110</f>
        <v>110</v>
      </c>
      <c r="F110" s="536">
        <f xml:space="preserve"> ROUND(    IF( $A$15=BE_MF_,   AW110,   INDEX( qx!110:110, F$16 ) ),    F$17    )</f>
        <v>0.32269999999999999</v>
      </c>
      <c r="G110" s="536">
        <f xml:space="preserve"> ROUND(    IF( $A$15=BE_MF_,   BB110,   INDEX( wx!110:110, G$16 ) ),    G$17    )</f>
        <v>1.4E-3</v>
      </c>
      <c r="H110" s="537">
        <f xml:space="preserve"> ROUND(    IF( $A$15=BE_MF_,   BG110,   INDEX( Kx!110:110, H$16 ) ),    H$17    )</f>
        <v>11593.3</v>
      </c>
      <c r="I110" s="538">
        <f t="shared" si="273"/>
        <v>11593.3</v>
      </c>
      <c r="J110" s="539">
        <f t="shared" si="208"/>
        <v>5.58</v>
      </c>
      <c r="K110" s="540">
        <f t="shared" si="274"/>
        <v>0</v>
      </c>
      <c r="L110" s="541">
        <f t="shared" si="299"/>
        <v>0</v>
      </c>
      <c r="M110" s="541">
        <f t="shared" si="299"/>
        <v>8.5999999999999993E-2</v>
      </c>
      <c r="O110" s="542" t="b">
        <f t="shared" si="275"/>
        <v>1</v>
      </c>
      <c r="P110" s="493">
        <f t="shared" si="209"/>
        <v>1</v>
      </c>
      <c r="Q110" s="493">
        <f t="shared" si="210"/>
        <v>0</v>
      </c>
      <c r="R110" s="543">
        <f t="shared" si="211"/>
        <v>806</v>
      </c>
      <c r="S110" s="544">
        <f t="shared" si="212"/>
        <v>0.97560975599999999</v>
      </c>
      <c r="T110" s="423">
        <f t="shared" si="213"/>
        <v>53.3</v>
      </c>
      <c r="U110" s="423">
        <f xml:space="preserve"> IF( $O110,    ROUND(  SUM( T110:T$120), U$17 ),  LEER  )</f>
        <v>53.3</v>
      </c>
      <c r="V110" s="493">
        <f t="shared" si="214"/>
        <v>1</v>
      </c>
      <c r="W110" s="493">
        <f t="shared" si="215"/>
        <v>297.41000000000003</v>
      </c>
      <c r="X110" s="493">
        <f xml:space="preserve"> IF( $O110,    ROUND(  SUM( W110:W$120), X$17 ),  LEER  )</f>
        <v>297.41000000000003</v>
      </c>
      <c r="Y110" s="493">
        <f t="shared" si="216"/>
        <v>5.5799000000000003</v>
      </c>
      <c r="Z110" s="493">
        <f t="shared" si="217"/>
        <v>5.5799000000000003</v>
      </c>
      <c r="AA110" s="493">
        <f t="shared" si="218"/>
        <v>1</v>
      </c>
      <c r="AB110" s="493">
        <f t="shared" si="219"/>
        <v>2.3494000000000002</v>
      </c>
      <c r="AC110" s="545">
        <f t="shared" si="220"/>
        <v>0.32679999999999998</v>
      </c>
      <c r="AD110" s="493">
        <f t="shared" si="221"/>
        <v>5.5799000000000003</v>
      </c>
      <c r="AE110" s="493">
        <f t="shared" si="222"/>
        <v>6.4625000000000004</v>
      </c>
      <c r="AF110" s="493">
        <f t="shared" si="223"/>
        <v>6.4625000000000004</v>
      </c>
      <c r="AG110" s="493" t="str">
        <f t="shared" si="224"/>
        <v>.</v>
      </c>
      <c r="AH110" s="493" t="str">
        <f t="shared" si="225"/>
        <v>.</v>
      </c>
      <c r="AI110" s="423">
        <f t="shared" si="226"/>
        <v>2077.79</v>
      </c>
      <c r="AJ110" s="423">
        <f t="shared" si="227"/>
        <v>13427.72</v>
      </c>
      <c r="AK110" s="423">
        <f t="shared" si="228"/>
        <v>1118.98</v>
      </c>
      <c r="AN110" s="423">
        <f t="shared" si="294"/>
        <v>7741.43</v>
      </c>
      <c r="AO110" s="423">
        <f t="shared" si="294"/>
        <v>7695.3</v>
      </c>
      <c r="AR110" s="546">
        <f xml:space="preserve"> ROUND(  INDEX( Kx!110:110, AR$16 ),  AR$17 )</f>
        <v>0.24679999999999999</v>
      </c>
      <c r="AS110" s="547">
        <f xml:space="preserve"> ROUND(  INDEX( qx!110:110, AS$16 ),  AS$17 )</f>
        <v>0.33800000000000002</v>
      </c>
      <c r="AT110" s="547">
        <f xml:space="preserve"> ROUND(  INDEX( qx!110:110, AT$16 ),  AT$17 )</f>
        <v>0.31929999999999997</v>
      </c>
      <c r="AU110" s="548" t="str">
        <f t="shared" si="229"/>
        <v>F</v>
      </c>
      <c r="AV110" s="542">
        <f t="shared" si="230"/>
        <v>0.17929999999999999</v>
      </c>
      <c r="AW110" s="542">
        <f t="shared" si="231"/>
        <v>0.32269999999999999</v>
      </c>
      <c r="AX110" s="546">
        <f xml:space="preserve"> ROUND(  INDEX( wx!110:110, AX$16 ),  AX$17 )</f>
        <v>0</v>
      </c>
      <c r="AY110" s="546">
        <f xml:space="preserve"> ROUND(  INDEX( wx!110:110, AY$16 ),  AY$17 )</f>
        <v>2.0999999999999999E-3</v>
      </c>
      <c r="AZ110" s="548" t="str">
        <f t="shared" si="232"/>
        <v>M</v>
      </c>
      <c r="BA110" s="542">
        <f t="shared" si="233"/>
        <v>0.32950000000000002</v>
      </c>
      <c r="BB110" s="542">
        <f t="shared" si="234"/>
        <v>1.4E-3</v>
      </c>
      <c r="BC110" s="533">
        <f xml:space="preserve"> ROUND(  INDEX( Kx!110:110, BC$16 ),  BC$17 )</f>
        <v>14050.52</v>
      </c>
      <c r="BD110" s="533">
        <f xml:space="preserve"> ROUND(  INDEX( Kx!110:110, BD$16 ),  BD$17 )</f>
        <v>10385.76</v>
      </c>
      <c r="BE110" s="548" t="str">
        <f t="shared" si="235"/>
        <v>M</v>
      </c>
      <c r="BF110" s="542">
        <f t="shared" si="236"/>
        <v>0.32950000000000002</v>
      </c>
      <c r="BG110" s="420">
        <f t="shared" si="237"/>
        <v>11593.3</v>
      </c>
      <c r="BQ110" s="549">
        <f t="shared" si="276"/>
        <v>110</v>
      </c>
      <c r="BR110" s="423">
        <f t="shared" si="238"/>
        <v>12852.37</v>
      </c>
      <c r="BS110" s="550">
        <f t="shared" si="239"/>
        <v>11593.3</v>
      </c>
      <c r="BT110" s="423">
        <f t="shared" si="240"/>
        <v>-7706.41</v>
      </c>
      <c r="BU110" s="551">
        <f t="shared" si="241"/>
        <v>53.3</v>
      </c>
      <c r="BV110" s="551">
        <f t="shared" si="242"/>
        <v>1.5043</v>
      </c>
      <c r="BW110" s="529">
        <f t="shared" si="243"/>
        <v>7741.43</v>
      </c>
      <c r="BX110" s="552">
        <f t="shared" si="244"/>
        <v>2595.4699999999993</v>
      </c>
      <c r="BY110" s="560"/>
      <c r="BZ110" s="559"/>
      <c r="CB110" s="423">
        <f t="shared" si="245"/>
        <v>-7935.18</v>
      </c>
      <c r="CC110" s="423">
        <f t="shared" si="246"/>
        <v>193.54</v>
      </c>
      <c r="CD110" s="423">
        <f t="shared" si="247"/>
        <v>0</v>
      </c>
      <c r="CE110" s="423">
        <f t="shared" si="248"/>
        <v>-7741.64</v>
      </c>
      <c r="CF110" s="553">
        <f t="shared" si="249"/>
        <v>-7741.43</v>
      </c>
      <c r="CH110" s="423">
        <f t="shared" si="250"/>
        <v>3852.4304390000002</v>
      </c>
      <c r="CI110" s="423">
        <f t="shared" si="251"/>
        <v>11594.07</v>
      </c>
      <c r="CJ110" s="423">
        <f t="shared" si="252"/>
        <v>-7741.43</v>
      </c>
      <c r="CK110" s="423">
        <f t="shared" si="253"/>
        <v>0</v>
      </c>
      <c r="CL110" s="553">
        <f t="shared" si="254"/>
        <v>3852.6399999999994</v>
      </c>
      <c r="CN110" s="423">
        <f t="shared" si="255"/>
        <v>3898.5573770000001</v>
      </c>
      <c r="CO110" s="423">
        <f t="shared" si="256"/>
        <v>11594.07</v>
      </c>
      <c r="CP110" s="423">
        <f t="shared" si="257"/>
        <v>-7695.3</v>
      </c>
      <c r="CQ110" s="423">
        <f t="shared" si="258"/>
        <v>0</v>
      </c>
      <c r="CR110" s="553">
        <f t="shared" si="259"/>
        <v>3898.7699999999995</v>
      </c>
      <c r="CV110" s="564">
        <f t="shared" si="277"/>
        <v>110</v>
      </c>
      <c r="CW110" s="538" t="str">
        <f t="shared" si="260"/>
        <v>.</v>
      </c>
      <c r="CX110" s="566">
        <f t="shared" si="261"/>
        <v>7695.3</v>
      </c>
      <c r="CY110" s="538" t="str">
        <f t="shared" si="262"/>
        <v>.</v>
      </c>
      <c r="CZ110" s="538">
        <f t="shared" si="263"/>
        <v>4401</v>
      </c>
      <c r="DA110" s="538">
        <f t="shared" si="264"/>
        <v>2980.8</v>
      </c>
      <c r="DB110" s="567" t="e">
        <f t="shared" si="278"/>
        <v>#N/A</v>
      </c>
      <c r="DC110" s="567">
        <f t="shared" si="279"/>
        <v>7695.3</v>
      </c>
      <c r="DD110" s="567" t="e">
        <f t="shared" si="280"/>
        <v>#N/A</v>
      </c>
      <c r="DE110" s="567">
        <f t="shared" si="280"/>
        <v>4401</v>
      </c>
      <c r="DF110" s="568">
        <f t="shared" si="281"/>
        <v>7381.8</v>
      </c>
      <c r="EL110" s="553">
        <f t="shared" si="265"/>
        <v>5661.35</v>
      </c>
      <c r="EM110" s="553">
        <f t="shared" si="266"/>
        <v>2034.32</v>
      </c>
      <c r="EN110" s="423">
        <f t="shared" si="267"/>
        <v>7695.67</v>
      </c>
      <c r="EO110" s="555">
        <f xml:space="preserve"> 'i2'!AO110</f>
        <v>7695.3</v>
      </c>
      <c r="EV110" s="533" t="e">
        <f xml:space="preserve"> ROUND(    IF( $A$15=BE_MF_,   LEER,   INDEX( Kx!110:110, EV$16 ) ),    EV$17    )</f>
        <v>#VALUE!</v>
      </c>
      <c r="EW110" s="533" t="e">
        <f xml:space="preserve"> ROUND(    IF( $A$15=BE_MF_,   LEER,   INDEX( Kx!110:110, EW$16 ) ),    EW$17    )</f>
        <v>#VALUE!</v>
      </c>
      <c r="EX110" s="533" t="e">
        <f xml:space="preserve"> ROUND(    IF( $A$15=BE_MF_,   LEER,   INDEX( Kx!110:110, EX$16 ) ),    EX$17    )</f>
        <v>#VALUE!</v>
      </c>
      <c r="EY110" s="556" t="e">
        <f t="shared" si="282"/>
        <v>#VALUE!</v>
      </c>
      <c r="FB110" s="533" t="e">
        <f xml:space="preserve"> ROUND(    IF( $A$15=BE_MF_,   LEER,   INDEX( Kx!110:110, FB$16 ) ),    FB$17    )</f>
        <v>#VALUE!</v>
      </c>
      <c r="FC110" s="533" t="e">
        <f xml:space="preserve"> ROUND(    IF( $A$15=BE_MF_,   LEER,   INDEX( Kx!110:110, FC$16 ) ),    FC$17    )</f>
        <v>#VALUE!</v>
      </c>
      <c r="FD110" s="556" t="e">
        <f t="shared" si="283"/>
        <v>#VALUE!</v>
      </c>
      <c r="FG110" s="556" t="e">
        <f t="shared" si="284"/>
        <v>#VALUE!</v>
      </c>
      <c r="FH110" s="556" t="e">
        <f t="shared" si="284"/>
        <v>#VALUE!</v>
      </c>
      <c r="FI110" s="556" t="e">
        <f t="shared" si="284"/>
        <v>#VALUE!</v>
      </c>
      <c r="FN110" s="557">
        <f t="shared" si="268"/>
        <v>110</v>
      </c>
      <c r="FO110" s="493">
        <f t="shared" si="269"/>
        <v>5.5799000000000003</v>
      </c>
      <c r="FP110" s="493">
        <f t="shared" si="270"/>
        <v>1</v>
      </c>
      <c r="FR110" s="427">
        <f t="shared" si="285"/>
        <v>325230.59000000008</v>
      </c>
      <c r="FS110" s="558">
        <f t="shared" si="295"/>
        <v>9099.68</v>
      </c>
      <c r="FT110" s="558">
        <f t="shared" si="295"/>
        <v>9015.5300000000007</v>
      </c>
      <c r="FU110" s="558">
        <f t="shared" si="295"/>
        <v>8931.17</v>
      </c>
      <c r="FV110" s="558">
        <f t="shared" si="295"/>
        <v>8846.81</v>
      </c>
      <c r="FW110" s="558">
        <f t="shared" si="295"/>
        <v>8759.5499999999993</v>
      </c>
      <c r="FX110" s="558">
        <f t="shared" si="295"/>
        <v>8669.7900000000009</v>
      </c>
      <c r="FY110" s="558">
        <f t="shared" si="295"/>
        <v>8580.86</v>
      </c>
      <c r="FZ110" s="558">
        <f t="shared" si="295"/>
        <v>8491.2999999999993</v>
      </c>
      <c r="GA110" s="558">
        <f t="shared" si="295"/>
        <v>8398.6299999999992</v>
      </c>
      <c r="GB110" s="558">
        <f t="shared" si="295"/>
        <v>8302.23</v>
      </c>
      <c r="GC110" s="558">
        <f t="shared" si="295"/>
        <v>8205.19</v>
      </c>
      <c r="GD110" s="558">
        <f t="shared" si="295"/>
        <v>8106.71</v>
      </c>
      <c r="GE110" s="558">
        <f t="shared" si="295"/>
        <v>8005.93</v>
      </c>
      <c r="GF110" s="558">
        <f t="shared" si="295"/>
        <v>7904.74</v>
      </c>
      <c r="GG110" s="558">
        <f t="shared" si="295"/>
        <v>7800.44</v>
      </c>
      <c r="GH110" s="558">
        <f t="shared" si="295"/>
        <v>7695.3</v>
      </c>
      <c r="GI110" s="558">
        <f t="shared" si="292"/>
        <v>7587.05</v>
      </c>
      <c r="GJ110" s="558">
        <f t="shared" si="292"/>
        <v>7476.3</v>
      </c>
      <c r="GK110" s="558">
        <f t="shared" si="292"/>
        <v>7362.44</v>
      </c>
      <c r="GL110" s="558">
        <f t="shared" si="292"/>
        <v>7245.25</v>
      </c>
      <c r="GM110" s="558">
        <f t="shared" si="292"/>
        <v>7124.53</v>
      </c>
      <c r="GN110" s="558">
        <f t="shared" si="292"/>
        <v>6999.24</v>
      </c>
      <c r="GO110" s="558">
        <f t="shared" si="292"/>
        <v>6869.38</v>
      </c>
      <c r="GP110" s="558">
        <f t="shared" si="292"/>
        <v>6734.74</v>
      </c>
      <c r="GQ110" s="558">
        <f t="shared" si="292"/>
        <v>6594.7</v>
      </c>
      <c r="GR110" s="558">
        <f t="shared" si="292"/>
        <v>6450.29</v>
      </c>
      <c r="GS110" s="558">
        <f t="shared" si="292"/>
        <v>6300.9</v>
      </c>
      <c r="GT110" s="558">
        <f t="shared" si="292"/>
        <v>6146.93</v>
      </c>
      <c r="GU110" s="558">
        <f t="shared" si="292"/>
        <v>5988.81</v>
      </c>
      <c r="GV110" s="558">
        <f t="shared" si="292"/>
        <v>5826.75</v>
      </c>
      <c r="GW110" s="558">
        <f t="shared" si="292"/>
        <v>5661.35</v>
      </c>
      <c r="GX110" s="558">
        <f t="shared" si="296"/>
        <v>5492.01</v>
      </c>
      <c r="GY110" s="558">
        <f t="shared" si="296"/>
        <v>5320.39</v>
      </c>
      <c r="GZ110" s="558">
        <f t="shared" si="296"/>
        <v>5145.6499999999996</v>
      </c>
      <c r="HA110" s="558">
        <f t="shared" si="296"/>
        <v>4969.03</v>
      </c>
      <c r="HB110" s="558">
        <f t="shared" si="296"/>
        <v>4790.55</v>
      </c>
      <c r="HC110" s="558">
        <f t="shared" si="296"/>
        <v>4609.99</v>
      </c>
      <c r="HD110" s="558">
        <f t="shared" si="296"/>
        <v>4427.9799999999996</v>
      </c>
      <c r="HE110" s="558">
        <f t="shared" si="296"/>
        <v>4243.26</v>
      </c>
      <c r="HF110" s="558">
        <f t="shared" si="296"/>
        <v>4054.6</v>
      </c>
      <c r="HG110" s="558">
        <f t="shared" si="296"/>
        <v>3863.23</v>
      </c>
      <c r="HH110" s="558">
        <f t="shared" si="296"/>
        <v>3670</v>
      </c>
      <c r="HI110" s="558">
        <f t="shared" si="296"/>
        <v>3474.27</v>
      </c>
      <c r="HJ110" s="558">
        <f t="shared" si="296"/>
        <v>3277.09</v>
      </c>
      <c r="HK110" s="558">
        <f t="shared" si="296"/>
        <v>3077.83</v>
      </c>
      <c r="HL110" s="558">
        <f t="shared" si="296"/>
        <v>2880.44</v>
      </c>
      <c r="HM110" s="558">
        <f t="shared" si="296"/>
        <v>2681.39</v>
      </c>
      <c r="HN110" s="558">
        <f t="shared" si="293"/>
        <v>2483.58</v>
      </c>
      <c r="HO110" s="558">
        <f t="shared" si="293"/>
        <v>2287.23</v>
      </c>
      <c r="HP110" s="558">
        <f t="shared" si="293"/>
        <v>2091.71</v>
      </c>
      <c r="HQ110" s="558">
        <f t="shared" si="293"/>
        <v>1930.68</v>
      </c>
      <c r="HR110" s="558">
        <f t="shared" si="293"/>
        <v>1774.64</v>
      </c>
      <c r="HS110" s="558">
        <f t="shared" si="293"/>
        <v>1625.25</v>
      </c>
      <c r="HT110" s="558">
        <f t="shared" si="293"/>
        <v>1483.75</v>
      </c>
      <c r="HU110" s="558">
        <f t="shared" si="293"/>
        <v>1312.96</v>
      </c>
      <c r="HV110" s="558">
        <f t="shared" si="293"/>
        <v>1148.81</v>
      </c>
      <c r="HW110" s="558">
        <f t="shared" si="293"/>
        <v>992.35</v>
      </c>
      <c r="HX110" s="558">
        <f t="shared" si="293"/>
        <v>848.57</v>
      </c>
      <c r="HY110" s="558">
        <f t="shared" si="293"/>
        <v>716.21</v>
      </c>
      <c r="HZ110" s="558">
        <f t="shared" si="293"/>
        <v>595.91</v>
      </c>
      <c r="IA110" s="558">
        <f t="shared" si="293"/>
        <v>490.57</v>
      </c>
      <c r="IB110" s="558">
        <f t="shared" si="293"/>
        <v>397.9</v>
      </c>
      <c r="IC110" s="558">
        <f t="shared" si="302"/>
        <v>322.47000000000003</v>
      </c>
      <c r="ID110" s="558">
        <f t="shared" si="302"/>
        <v>261.8</v>
      </c>
      <c r="IE110" s="558">
        <f t="shared" si="302"/>
        <v>216.51</v>
      </c>
      <c r="IF110" s="558">
        <f t="shared" si="302"/>
        <v>186.38</v>
      </c>
      <c r="IG110" s="558">
        <f t="shared" si="302"/>
        <v>166.43</v>
      </c>
      <c r="IH110" s="558">
        <f t="shared" si="302"/>
        <v>152.51</v>
      </c>
      <c r="II110" s="558">
        <f t="shared" si="302"/>
        <v>152.09</v>
      </c>
      <c r="IJ110" s="558">
        <f t="shared" si="302"/>
        <v>151.26</v>
      </c>
      <c r="IK110" s="558">
        <f t="shared" si="302"/>
        <v>150.43</v>
      </c>
      <c r="IL110" s="558">
        <f t="shared" si="302"/>
        <v>149.19</v>
      </c>
      <c r="IM110" s="558">
        <f t="shared" si="302"/>
        <v>147.52000000000001</v>
      </c>
      <c r="IN110" s="558">
        <f t="shared" si="302"/>
        <v>145.24</v>
      </c>
      <c r="IO110" s="558">
        <f t="shared" si="302"/>
        <v>142.12</v>
      </c>
      <c r="IP110" s="558">
        <f t="shared" si="302"/>
        <v>137.76</v>
      </c>
      <c r="IQ110" s="558">
        <f t="shared" si="302"/>
        <v>131.94</v>
      </c>
      <c r="IR110" s="558">
        <f t="shared" si="302"/>
        <v>123.42</v>
      </c>
      <c r="IS110" s="558">
        <f t="shared" si="302"/>
        <v>122.8</v>
      </c>
      <c r="IT110" s="558">
        <f t="shared" si="302"/>
        <v>122.17</v>
      </c>
      <c r="IU110" s="558">
        <f t="shared" ref="IU110:IY120" si="304" xml:space="preserve"> IF(  OR( IU$18&gt;$FN110, $FN110&gt;$FS$12 ),  LEER,  ROUND( $FR$19 * ( $FO110 - IU$15 * $FP110 ), IU$17 )  )</f>
        <v>120.93</v>
      </c>
      <c r="IV110" s="558">
        <f t="shared" si="304"/>
        <v>119.68</v>
      </c>
      <c r="IW110" s="558">
        <f t="shared" si="304"/>
        <v>117.6</v>
      </c>
      <c r="IX110" s="558">
        <f t="shared" si="304"/>
        <v>114.28</v>
      </c>
      <c r="IY110" s="558">
        <f t="shared" si="304"/>
        <v>109.5</v>
      </c>
      <c r="IZ110" s="558">
        <f t="shared" si="289"/>
        <v>101.81</v>
      </c>
      <c r="JA110" s="558">
        <f t="shared" si="289"/>
        <v>89.76</v>
      </c>
      <c r="JB110" s="558">
        <f t="shared" si="289"/>
        <v>68.98</v>
      </c>
      <c r="JC110" s="558">
        <f t="shared" si="289"/>
        <v>44.26</v>
      </c>
      <c r="JD110" s="558">
        <f t="shared" si="289"/>
        <v>21.4</v>
      </c>
      <c r="JE110" s="558">
        <f t="shared" si="289"/>
        <v>0</v>
      </c>
      <c r="JF110" s="558" t="str">
        <f t="shared" si="289"/>
        <v>.</v>
      </c>
      <c r="JG110" s="558" t="str">
        <f t="shared" si="289"/>
        <v>.</v>
      </c>
      <c r="JH110" s="558" t="str">
        <f t="shared" si="289"/>
        <v>.</v>
      </c>
      <c r="JI110" s="558" t="str">
        <f t="shared" si="289"/>
        <v>.</v>
      </c>
      <c r="JJ110" s="558" t="str">
        <f t="shared" si="289"/>
        <v>.</v>
      </c>
      <c r="JK110" s="558" t="str">
        <f t="shared" si="289"/>
        <v>.</v>
      </c>
      <c r="JL110" s="558" t="str">
        <f t="shared" si="289"/>
        <v>.</v>
      </c>
      <c r="JM110" s="558" t="str">
        <f t="shared" si="289"/>
        <v>.</v>
      </c>
      <c r="JN110" s="558" t="str">
        <f t="shared" si="289"/>
        <v>.</v>
      </c>
      <c r="JO110" s="558" t="str">
        <f t="shared" si="289"/>
        <v>.</v>
      </c>
    </row>
    <row r="111" spans="1:275" x14ac:dyDescent="0.2">
      <c r="A111" s="534">
        <f xml:space="preserve"> Basis!A111</f>
        <v>111</v>
      </c>
      <c r="F111" s="536">
        <f xml:space="preserve"> ROUND(    IF( $A$15=BE_MF_,   AW111,   INDEX( qx!111:111, F$16 ) ),    F$17    )</f>
        <v>0.32850000000000001</v>
      </c>
      <c r="G111" s="536">
        <f xml:space="preserve"> ROUND(    IF( $A$15=BE_MF_,   BB111,   INDEX( wx!111:111, G$16 ) ),    G$17    )</f>
        <v>1.4E-3</v>
      </c>
      <c r="H111" s="537">
        <f xml:space="preserve"> ROUND(    IF( $A$15=BE_MF_,   BG111,   INDEX( Kx!111:111, H$16 ) ),    H$17    )</f>
        <v>11627.75</v>
      </c>
      <c r="I111" s="538">
        <f t="shared" si="273"/>
        <v>11627.75</v>
      </c>
      <c r="J111" s="539">
        <f t="shared" si="208"/>
        <v>5.5960000000000001</v>
      </c>
      <c r="K111" s="540">
        <f t="shared" si="274"/>
        <v>0</v>
      </c>
      <c r="L111" s="541">
        <f t="shared" si="299"/>
        <v>0</v>
      </c>
      <c r="M111" s="541">
        <f t="shared" si="299"/>
        <v>8.5999999999999993E-2</v>
      </c>
      <c r="O111" s="542" t="b">
        <f t="shared" si="275"/>
        <v>0</v>
      </c>
      <c r="P111" s="493" t="str">
        <f t="shared" si="209"/>
        <v>.</v>
      </c>
      <c r="Q111" s="493" t="str">
        <f t="shared" si="210"/>
        <v>.</v>
      </c>
      <c r="R111" s="543" t="str">
        <f t="shared" si="211"/>
        <v>.</v>
      </c>
      <c r="S111" s="544" t="str">
        <f t="shared" si="212"/>
        <v>.</v>
      </c>
      <c r="T111" s="423" t="str">
        <f t="shared" si="213"/>
        <v>.</v>
      </c>
      <c r="U111" s="423" t="str">
        <f xml:space="preserve"> IF( $O111,    ROUND(  SUM( T111:T$120), U$17 ),  LEER  )</f>
        <v>.</v>
      </c>
      <c r="V111" s="493" t="str">
        <f t="shared" si="214"/>
        <v>.</v>
      </c>
      <c r="W111" s="493" t="str">
        <f t="shared" si="215"/>
        <v>.</v>
      </c>
      <c r="X111" s="493" t="str">
        <f xml:space="preserve"> IF( $O111,    ROUND(  SUM( W111:W$120), X$17 ),  LEER  )</f>
        <v>.</v>
      </c>
      <c r="Y111" s="493" t="str">
        <f t="shared" si="216"/>
        <v>.</v>
      </c>
      <c r="Z111" s="493" t="str">
        <f t="shared" si="217"/>
        <v>.</v>
      </c>
      <c r="AA111" s="493" t="str">
        <f t="shared" si="218"/>
        <v>.</v>
      </c>
      <c r="AB111" s="493" t="str">
        <f t="shared" si="219"/>
        <v>.</v>
      </c>
      <c r="AC111" s="545" t="str">
        <f t="shared" si="220"/>
        <v>.</v>
      </c>
      <c r="AD111" s="493" t="str">
        <f t="shared" si="221"/>
        <v>.</v>
      </c>
      <c r="AE111" s="493" t="str">
        <f t="shared" si="222"/>
        <v>.</v>
      </c>
      <c r="AF111" s="493" t="str">
        <f t="shared" si="223"/>
        <v>.</v>
      </c>
      <c r="AG111" s="493" t="str">
        <f t="shared" si="224"/>
        <v>.</v>
      </c>
      <c r="AH111" s="493" t="str">
        <f t="shared" si="225"/>
        <v>.</v>
      </c>
      <c r="AI111" s="423" t="str">
        <f t="shared" si="226"/>
        <v>.</v>
      </c>
      <c r="AJ111" s="423" t="str">
        <f t="shared" si="227"/>
        <v>.</v>
      </c>
      <c r="AK111" s="423" t="str">
        <f t="shared" si="228"/>
        <v>.</v>
      </c>
      <c r="AN111" s="423" t="str">
        <f t="shared" si="294"/>
        <v>.</v>
      </c>
      <c r="AO111" s="423" t="str">
        <f t="shared" si="294"/>
        <v>.</v>
      </c>
      <c r="AR111" s="546">
        <f xml:space="preserve"> ROUND(  INDEX( Kx!111:111, AR$16 ),  AR$17 )</f>
        <v>0.24679999999999999</v>
      </c>
      <c r="AS111" s="547">
        <f xml:space="preserve"> ROUND(  INDEX( qx!111:111, AS$16 ),  AS$17 )</f>
        <v>0.34460000000000002</v>
      </c>
      <c r="AT111" s="547">
        <f xml:space="preserve"> ROUND(  INDEX( qx!111:111, AT$16 ),  AT$17 )</f>
        <v>0.32500000000000001</v>
      </c>
      <c r="AU111" s="548" t="str">
        <f t="shared" si="229"/>
        <v>F</v>
      </c>
      <c r="AV111" s="542">
        <f t="shared" si="230"/>
        <v>0.17929999999999999</v>
      </c>
      <c r="AW111" s="542">
        <f t="shared" si="231"/>
        <v>0.32850000000000001</v>
      </c>
      <c r="AX111" s="546">
        <f xml:space="preserve"> ROUND(  INDEX( wx!111:111, AX$16 ),  AX$17 )</f>
        <v>0</v>
      </c>
      <c r="AY111" s="546">
        <f xml:space="preserve"> ROUND(  INDEX( wx!111:111, AY$16 ),  AY$17 )</f>
        <v>2.0999999999999999E-3</v>
      </c>
      <c r="AZ111" s="548" t="str">
        <f t="shared" si="232"/>
        <v>M</v>
      </c>
      <c r="BA111" s="542">
        <f t="shared" si="233"/>
        <v>0.32950000000000002</v>
      </c>
      <c r="BB111" s="542">
        <f t="shared" si="234"/>
        <v>1.4E-3</v>
      </c>
      <c r="BC111" s="533">
        <f xml:space="preserve"> ROUND(  INDEX( Kx!111:111, BC$16 ),  BC$17 )</f>
        <v>14129.21</v>
      </c>
      <c r="BD111" s="533">
        <f xml:space="preserve"> ROUND(  INDEX( Kx!111:111, BD$16 ),  BD$17 )</f>
        <v>10398.469999999999</v>
      </c>
      <c r="BE111" s="548" t="str">
        <f t="shared" si="235"/>
        <v>M</v>
      </c>
      <c r="BF111" s="542">
        <f t="shared" si="236"/>
        <v>0.32950000000000002</v>
      </c>
      <c r="BG111" s="420">
        <f t="shared" si="237"/>
        <v>11627.75</v>
      </c>
      <c r="BQ111" s="549">
        <f t="shared" si="276"/>
        <v>111</v>
      </c>
      <c r="BR111" s="423" t="str">
        <f t="shared" si="238"/>
        <v>.</v>
      </c>
      <c r="BS111" s="550" t="str">
        <f t="shared" si="239"/>
        <v>.</v>
      </c>
      <c r="BT111" s="423" t="str">
        <f t="shared" si="240"/>
        <v>.</v>
      </c>
      <c r="BU111" s="551" t="str">
        <f t="shared" si="241"/>
        <v>.</v>
      </c>
      <c r="BV111" s="551" t="str">
        <f t="shared" si="242"/>
        <v>.</v>
      </c>
      <c r="BW111" s="529" t="str">
        <f t="shared" si="243"/>
        <v>.</v>
      </c>
      <c r="BX111" s="552" t="str">
        <f t="shared" si="244"/>
        <v>.</v>
      </c>
      <c r="BY111" s="560"/>
      <c r="BZ111" s="559"/>
      <c r="CB111" s="423" t="str">
        <f t="shared" si="245"/>
        <v>.</v>
      </c>
      <c r="CC111" s="423" t="str">
        <f t="shared" si="246"/>
        <v>.</v>
      </c>
      <c r="CD111" s="423" t="str">
        <f t="shared" si="247"/>
        <v>.</v>
      </c>
      <c r="CE111" s="423" t="str">
        <f t="shared" si="248"/>
        <v>.</v>
      </c>
      <c r="CF111" s="553" t="str">
        <f t="shared" si="249"/>
        <v>.</v>
      </c>
      <c r="CH111" s="423" t="str">
        <f t="shared" si="250"/>
        <v>.</v>
      </c>
      <c r="CI111" s="423" t="str">
        <f t="shared" si="251"/>
        <v>.</v>
      </c>
      <c r="CJ111" s="423" t="str">
        <f t="shared" si="252"/>
        <v>.</v>
      </c>
      <c r="CK111" s="423" t="str">
        <f t="shared" si="253"/>
        <v>.</v>
      </c>
      <c r="CL111" s="553" t="str">
        <f t="shared" si="254"/>
        <v>.</v>
      </c>
      <c r="CN111" s="423" t="str">
        <f t="shared" si="255"/>
        <v>.</v>
      </c>
      <c r="CO111" s="423" t="str">
        <f t="shared" si="256"/>
        <v>.</v>
      </c>
      <c r="CP111" s="423" t="str">
        <f t="shared" si="257"/>
        <v>.</v>
      </c>
      <c r="CQ111" s="423" t="str">
        <f t="shared" si="258"/>
        <v>.</v>
      </c>
      <c r="CR111" s="553" t="str">
        <f t="shared" si="259"/>
        <v>.</v>
      </c>
      <c r="CV111" s="564">
        <f t="shared" si="277"/>
        <v>111</v>
      </c>
      <c r="CW111" s="538" t="str">
        <f t="shared" si="260"/>
        <v>.</v>
      </c>
      <c r="CX111" s="566" t="str">
        <f t="shared" si="261"/>
        <v>.</v>
      </c>
      <c r="CY111" s="538" t="str">
        <f t="shared" si="262"/>
        <v>.</v>
      </c>
      <c r="CZ111" s="538" t="str">
        <f t="shared" si="263"/>
        <v>.</v>
      </c>
      <c r="DA111" s="538" t="str">
        <f t="shared" si="264"/>
        <v>.</v>
      </c>
      <c r="DB111" s="567" t="e">
        <f t="shared" si="278"/>
        <v>#N/A</v>
      </c>
      <c r="DC111" s="567" t="e">
        <f t="shared" si="279"/>
        <v>#N/A</v>
      </c>
      <c r="DD111" s="567" t="e">
        <f t="shared" si="280"/>
        <v>#N/A</v>
      </c>
      <c r="DE111" s="567" t="e">
        <f t="shared" si="280"/>
        <v>#N/A</v>
      </c>
      <c r="DF111" s="568" t="e">
        <f t="shared" si="281"/>
        <v>#N/A</v>
      </c>
      <c r="EL111" s="553" t="str">
        <f t="shared" si="265"/>
        <v>.</v>
      </c>
      <c r="EM111" s="553" t="str">
        <f t="shared" si="266"/>
        <v>.</v>
      </c>
      <c r="EN111" s="423" t="str">
        <f t="shared" si="267"/>
        <v>.</v>
      </c>
      <c r="EO111" s="555" t="str">
        <f xml:space="preserve"> 'i2'!AO111</f>
        <v>.</v>
      </c>
      <c r="EV111" s="533" t="e">
        <f xml:space="preserve"> ROUND(    IF( $A$15=BE_MF_,   LEER,   INDEX( Kx!111:111, EV$16 ) ),    EV$17    )</f>
        <v>#VALUE!</v>
      </c>
      <c r="EW111" s="533" t="e">
        <f xml:space="preserve"> ROUND(    IF( $A$15=BE_MF_,   LEER,   INDEX( Kx!111:111, EW$16 ) ),    EW$17    )</f>
        <v>#VALUE!</v>
      </c>
      <c r="EX111" s="533" t="e">
        <f xml:space="preserve"> ROUND(    IF( $A$15=BE_MF_,   LEER,   INDEX( Kx!111:111, EX$16 ) ),    EX$17    )</f>
        <v>#VALUE!</v>
      </c>
      <c r="EY111" s="556" t="e">
        <f t="shared" si="282"/>
        <v>#VALUE!</v>
      </c>
      <c r="FB111" s="533" t="e">
        <f xml:space="preserve"> ROUND(    IF( $A$15=BE_MF_,   LEER,   INDEX( Kx!111:111, FB$16 ) ),    FB$17    )</f>
        <v>#VALUE!</v>
      </c>
      <c r="FC111" s="533" t="e">
        <f xml:space="preserve"> ROUND(    IF( $A$15=BE_MF_,   LEER,   INDEX( Kx!111:111, FC$16 ) ),    FC$17    )</f>
        <v>#VALUE!</v>
      </c>
      <c r="FD111" s="556" t="e">
        <f t="shared" si="283"/>
        <v>#VALUE!</v>
      </c>
      <c r="FG111" s="556" t="e">
        <f t="shared" si="284"/>
        <v>#VALUE!</v>
      </c>
      <c r="FH111" s="556" t="e">
        <f t="shared" si="284"/>
        <v>#VALUE!</v>
      </c>
      <c r="FI111" s="556" t="e">
        <f t="shared" si="284"/>
        <v>#VALUE!</v>
      </c>
      <c r="FN111" s="557">
        <f t="shared" si="268"/>
        <v>111</v>
      </c>
      <c r="FO111" s="493" t="str">
        <f t="shared" si="269"/>
        <v>.</v>
      </c>
      <c r="FP111" s="493" t="str">
        <f t="shared" si="270"/>
        <v>.</v>
      </c>
      <c r="FR111" s="427">
        <f t="shared" si="285"/>
        <v>0</v>
      </c>
      <c r="FS111" s="558" t="str">
        <f t="shared" si="295"/>
        <v>.</v>
      </c>
      <c r="FT111" s="558" t="str">
        <f t="shared" si="295"/>
        <v>.</v>
      </c>
      <c r="FU111" s="558" t="str">
        <f t="shared" si="295"/>
        <v>.</v>
      </c>
      <c r="FV111" s="558" t="str">
        <f t="shared" si="295"/>
        <v>.</v>
      </c>
      <c r="FW111" s="558" t="str">
        <f t="shared" si="295"/>
        <v>.</v>
      </c>
      <c r="FX111" s="558" t="str">
        <f t="shared" si="295"/>
        <v>.</v>
      </c>
      <c r="FY111" s="558" t="str">
        <f t="shared" si="295"/>
        <v>.</v>
      </c>
      <c r="FZ111" s="558" t="str">
        <f t="shared" si="295"/>
        <v>.</v>
      </c>
      <c r="GA111" s="558" t="str">
        <f t="shared" si="295"/>
        <v>.</v>
      </c>
      <c r="GB111" s="558" t="str">
        <f t="shared" si="295"/>
        <v>.</v>
      </c>
      <c r="GC111" s="558" t="str">
        <f t="shared" si="295"/>
        <v>.</v>
      </c>
      <c r="GD111" s="558" t="str">
        <f t="shared" si="295"/>
        <v>.</v>
      </c>
      <c r="GE111" s="558" t="str">
        <f t="shared" si="295"/>
        <v>.</v>
      </c>
      <c r="GF111" s="558" t="str">
        <f t="shared" si="295"/>
        <v>.</v>
      </c>
      <c r="GG111" s="558" t="str">
        <f t="shared" si="295"/>
        <v>.</v>
      </c>
      <c r="GH111" s="558" t="str">
        <f t="shared" si="295"/>
        <v>.</v>
      </c>
      <c r="GI111" s="558" t="str">
        <f t="shared" si="292"/>
        <v>.</v>
      </c>
      <c r="GJ111" s="558" t="str">
        <f t="shared" si="292"/>
        <v>.</v>
      </c>
      <c r="GK111" s="558" t="str">
        <f t="shared" si="292"/>
        <v>.</v>
      </c>
      <c r="GL111" s="558" t="str">
        <f t="shared" si="292"/>
        <v>.</v>
      </c>
      <c r="GM111" s="558" t="str">
        <f t="shared" si="292"/>
        <v>.</v>
      </c>
      <c r="GN111" s="558" t="str">
        <f t="shared" si="292"/>
        <v>.</v>
      </c>
      <c r="GO111" s="558" t="str">
        <f t="shared" si="292"/>
        <v>.</v>
      </c>
      <c r="GP111" s="558" t="str">
        <f t="shared" si="292"/>
        <v>.</v>
      </c>
      <c r="GQ111" s="558" t="str">
        <f t="shared" si="292"/>
        <v>.</v>
      </c>
      <c r="GR111" s="558" t="str">
        <f t="shared" si="292"/>
        <v>.</v>
      </c>
      <c r="GS111" s="558" t="str">
        <f t="shared" si="292"/>
        <v>.</v>
      </c>
      <c r="GT111" s="558" t="str">
        <f t="shared" si="292"/>
        <v>.</v>
      </c>
      <c r="GU111" s="558" t="str">
        <f t="shared" si="292"/>
        <v>.</v>
      </c>
      <c r="GV111" s="558" t="str">
        <f t="shared" si="292"/>
        <v>.</v>
      </c>
      <c r="GW111" s="558" t="str">
        <f t="shared" si="292"/>
        <v>.</v>
      </c>
      <c r="GX111" s="558" t="str">
        <f t="shared" si="296"/>
        <v>.</v>
      </c>
      <c r="GY111" s="558" t="str">
        <f t="shared" si="296"/>
        <v>.</v>
      </c>
      <c r="GZ111" s="558" t="str">
        <f t="shared" si="296"/>
        <v>.</v>
      </c>
      <c r="HA111" s="558" t="str">
        <f t="shared" si="296"/>
        <v>.</v>
      </c>
      <c r="HB111" s="558" t="str">
        <f t="shared" si="296"/>
        <v>.</v>
      </c>
      <c r="HC111" s="558" t="str">
        <f t="shared" si="296"/>
        <v>.</v>
      </c>
      <c r="HD111" s="558" t="str">
        <f t="shared" si="296"/>
        <v>.</v>
      </c>
      <c r="HE111" s="558" t="str">
        <f t="shared" si="296"/>
        <v>.</v>
      </c>
      <c r="HF111" s="558" t="str">
        <f t="shared" si="296"/>
        <v>.</v>
      </c>
      <c r="HG111" s="558" t="str">
        <f t="shared" si="296"/>
        <v>.</v>
      </c>
      <c r="HH111" s="558" t="str">
        <f t="shared" si="296"/>
        <v>.</v>
      </c>
      <c r="HI111" s="558" t="str">
        <f t="shared" si="296"/>
        <v>.</v>
      </c>
      <c r="HJ111" s="558" t="str">
        <f t="shared" si="296"/>
        <v>.</v>
      </c>
      <c r="HK111" s="558" t="str">
        <f t="shared" si="296"/>
        <v>.</v>
      </c>
      <c r="HL111" s="558" t="str">
        <f t="shared" si="296"/>
        <v>.</v>
      </c>
      <c r="HM111" s="558" t="str">
        <f t="shared" si="296"/>
        <v>.</v>
      </c>
      <c r="HN111" s="558" t="str">
        <f t="shared" si="293"/>
        <v>.</v>
      </c>
      <c r="HO111" s="558" t="str">
        <f t="shared" si="293"/>
        <v>.</v>
      </c>
      <c r="HP111" s="558" t="str">
        <f t="shared" si="293"/>
        <v>.</v>
      </c>
      <c r="HQ111" s="558" t="str">
        <f t="shared" si="293"/>
        <v>.</v>
      </c>
      <c r="HR111" s="558" t="str">
        <f t="shared" si="293"/>
        <v>.</v>
      </c>
      <c r="HS111" s="558" t="str">
        <f t="shared" si="293"/>
        <v>.</v>
      </c>
      <c r="HT111" s="558" t="str">
        <f t="shared" si="293"/>
        <v>.</v>
      </c>
      <c r="HU111" s="558" t="str">
        <f t="shared" si="293"/>
        <v>.</v>
      </c>
      <c r="HV111" s="558" t="str">
        <f t="shared" si="293"/>
        <v>.</v>
      </c>
      <c r="HW111" s="558" t="str">
        <f t="shared" si="293"/>
        <v>.</v>
      </c>
      <c r="HX111" s="558" t="str">
        <f t="shared" si="293"/>
        <v>.</v>
      </c>
      <c r="HY111" s="558" t="str">
        <f t="shared" si="293"/>
        <v>.</v>
      </c>
      <c r="HZ111" s="558" t="str">
        <f t="shared" si="293"/>
        <v>.</v>
      </c>
      <c r="IA111" s="558" t="str">
        <f t="shared" si="293"/>
        <v>.</v>
      </c>
      <c r="IB111" s="558" t="str">
        <f t="shared" si="293"/>
        <v>.</v>
      </c>
      <c r="IC111" s="558" t="str">
        <f t="shared" si="302"/>
        <v>.</v>
      </c>
      <c r="ID111" s="558" t="str">
        <f t="shared" si="302"/>
        <v>.</v>
      </c>
      <c r="IE111" s="558" t="str">
        <f t="shared" si="302"/>
        <v>.</v>
      </c>
      <c r="IF111" s="558" t="str">
        <f t="shared" si="302"/>
        <v>.</v>
      </c>
      <c r="IG111" s="558" t="str">
        <f t="shared" si="302"/>
        <v>.</v>
      </c>
      <c r="IH111" s="558" t="str">
        <f t="shared" si="302"/>
        <v>.</v>
      </c>
      <c r="II111" s="558" t="str">
        <f t="shared" si="302"/>
        <v>.</v>
      </c>
      <c r="IJ111" s="558" t="str">
        <f t="shared" si="302"/>
        <v>.</v>
      </c>
      <c r="IK111" s="558" t="str">
        <f t="shared" si="302"/>
        <v>.</v>
      </c>
      <c r="IL111" s="558" t="str">
        <f t="shared" si="302"/>
        <v>.</v>
      </c>
      <c r="IM111" s="558" t="str">
        <f t="shared" si="302"/>
        <v>.</v>
      </c>
      <c r="IN111" s="558" t="str">
        <f t="shared" si="302"/>
        <v>.</v>
      </c>
      <c r="IO111" s="558" t="str">
        <f t="shared" si="302"/>
        <v>.</v>
      </c>
      <c r="IP111" s="558" t="str">
        <f t="shared" si="302"/>
        <v>.</v>
      </c>
      <c r="IQ111" s="558" t="str">
        <f t="shared" si="302"/>
        <v>.</v>
      </c>
      <c r="IR111" s="558" t="str">
        <f t="shared" si="302"/>
        <v>.</v>
      </c>
      <c r="IS111" s="558" t="str">
        <f t="shared" si="302"/>
        <v>.</v>
      </c>
      <c r="IT111" s="558" t="str">
        <f t="shared" si="302"/>
        <v>.</v>
      </c>
      <c r="IU111" s="558" t="str">
        <f t="shared" si="304"/>
        <v>.</v>
      </c>
      <c r="IV111" s="558" t="str">
        <f t="shared" si="304"/>
        <v>.</v>
      </c>
      <c r="IW111" s="558" t="str">
        <f t="shared" si="304"/>
        <v>.</v>
      </c>
      <c r="IX111" s="558" t="str">
        <f t="shared" si="304"/>
        <v>.</v>
      </c>
      <c r="IY111" s="558" t="str">
        <f t="shared" si="304"/>
        <v>.</v>
      </c>
      <c r="IZ111" s="558" t="str">
        <f t="shared" si="289"/>
        <v>.</v>
      </c>
      <c r="JA111" s="558" t="str">
        <f t="shared" si="289"/>
        <v>.</v>
      </c>
      <c r="JB111" s="558" t="str">
        <f t="shared" si="289"/>
        <v>.</v>
      </c>
      <c r="JC111" s="558" t="str">
        <f t="shared" si="289"/>
        <v>.</v>
      </c>
      <c r="JD111" s="558" t="str">
        <f t="shared" si="289"/>
        <v>.</v>
      </c>
      <c r="JE111" s="558" t="str">
        <f t="shared" si="289"/>
        <v>.</v>
      </c>
      <c r="JF111" s="558" t="str">
        <f t="shared" si="289"/>
        <v>.</v>
      </c>
      <c r="JG111" s="558" t="str">
        <f t="shared" si="289"/>
        <v>.</v>
      </c>
      <c r="JH111" s="558" t="str">
        <f t="shared" si="289"/>
        <v>.</v>
      </c>
      <c r="JI111" s="558" t="str">
        <f t="shared" si="289"/>
        <v>.</v>
      </c>
      <c r="JJ111" s="558" t="str">
        <f t="shared" si="289"/>
        <v>.</v>
      </c>
      <c r="JK111" s="558" t="str">
        <f t="shared" si="289"/>
        <v>.</v>
      </c>
      <c r="JL111" s="558" t="str">
        <f t="shared" si="289"/>
        <v>.</v>
      </c>
      <c r="JM111" s="558" t="str">
        <f t="shared" si="289"/>
        <v>.</v>
      </c>
      <c r="JN111" s="558" t="str">
        <f t="shared" si="289"/>
        <v>.</v>
      </c>
      <c r="JO111" s="558" t="str">
        <f t="shared" si="289"/>
        <v>.</v>
      </c>
    </row>
    <row r="112" spans="1:275" x14ac:dyDescent="0.2">
      <c r="A112" s="534">
        <f xml:space="preserve"> Basis!A112</f>
        <v>112</v>
      </c>
      <c r="F112" s="536">
        <f xml:space="preserve"> ROUND(    IF( $A$15=BE_MF_,   AW112,   INDEX( qx!112:112, F$16 ) ),    F$17    )</f>
        <v>0.33439999999999998</v>
      </c>
      <c r="G112" s="536">
        <f xml:space="preserve"> ROUND(    IF( $A$15=BE_MF_,   BB112,   INDEX( wx!112:112, G$16 ) ),    G$17    )</f>
        <v>1.4E-3</v>
      </c>
      <c r="H112" s="537">
        <f xml:space="preserve"> ROUND(    IF( $A$15=BE_MF_,   BG112,   INDEX( Kx!112:112, H$16 ) ),    H$17    )</f>
        <v>11662.21</v>
      </c>
      <c r="I112" s="538">
        <f t="shared" si="273"/>
        <v>11662.21</v>
      </c>
      <c r="J112" s="539">
        <f t="shared" si="208"/>
        <v>5.6130000000000004</v>
      </c>
      <c r="K112" s="540">
        <f t="shared" si="274"/>
        <v>0</v>
      </c>
      <c r="L112" s="541">
        <f t="shared" si="299"/>
        <v>0</v>
      </c>
      <c r="M112" s="541">
        <f t="shared" si="299"/>
        <v>8.5999999999999993E-2</v>
      </c>
      <c r="O112" s="542" t="b">
        <f t="shared" si="275"/>
        <v>0</v>
      </c>
      <c r="P112" s="493" t="str">
        <f t="shared" si="209"/>
        <v>.</v>
      </c>
      <c r="Q112" s="493" t="str">
        <f t="shared" si="210"/>
        <v>.</v>
      </c>
      <c r="R112" s="543" t="str">
        <f t="shared" si="211"/>
        <v>.</v>
      </c>
      <c r="S112" s="544" t="str">
        <f t="shared" si="212"/>
        <v>.</v>
      </c>
      <c r="T112" s="423" t="str">
        <f t="shared" si="213"/>
        <v>.</v>
      </c>
      <c r="U112" s="423" t="str">
        <f xml:space="preserve"> IF( $O112,    ROUND(  SUM( T112:T$120), U$17 ),  LEER  )</f>
        <v>.</v>
      </c>
      <c r="V112" s="493" t="str">
        <f t="shared" si="214"/>
        <v>.</v>
      </c>
      <c r="W112" s="493" t="str">
        <f t="shared" si="215"/>
        <v>.</v>
      </c>
      <c r="X112" s="493" t="str">
        <f xml:space="preserve"> IF( $O112,    ROUND(  SUM( W112:W$120), X$17 ),  LEER  )</f>
        <v>.</v>
      </c>
      <c r="Y112" s="493" t="str">
        <f t="shared" si="216"/>
        <v>.</v>
      </c>
      <c r="Z112" s="493" t="str">
        <f t="shared" si="217"/>
        <v>.</v>
      </c>
      <c r="AA112" s="493" t="str">
        <f t="shared" si="218"/>
        <v>.</v>
      </c>
      <c r="AB112" s="493" t="str">
        <f t="shared" si="219"/>
        <v>.</v>
      </c>
      <c r="AC112" s="545" t="str">
        <f t="shared" si="220"/>
        <v>.</v>
      </c>
      <c r="AD112" s="493" t="str">
        <f t="shared" si="221"/>
        <v>.</v>
      </c>
      <c r="AE112" s="493" t="str">
        <f t="shared" si="222"/>
        <v>.</v>
      </c>
      <c r="AF112" s="493" t="str">
        <f t="shared" si="223"/>
        <v>.</v>
      </c>
      <c r="AG112" s="493" t="str">
        <f t="shared" si="224"/>
        <v>.</v>
      </c>
      <c r="AH112" s="493" t="str">
        <f t="shared" si="225"/>
        <v>.</v>
      </c>
      <c r="AI112" s="423" t="str">
        <f t="shared" si="226"/>
        <v>.</v>
      </c>
      <c r="AJ112" s="423" t="str">
        <f t="shared" si="227"/>
        <v>.</v>
      </c>
      <c r="AK112" s="423" t="str">
        <f t="shared" si="228"/>
        <v>.</v>
      </c>
      <c r="AN112" s="423" t="str">
        <f t="shared" si="294"/>
        <v>.</v>
      </c>
      <c r="AO112" s="423" t="str">
        <f t="shared" si="294"/>
        <v>.</v>
      </c>
      <c r="AR112" s="546">
        <f xml:space="preserve"> ROUND(  INDEX( Kx!112:112, AR$16 ),  AR$17 )</f>
        <v>0.24679999999999999</v>
      </c>
      <c r="AS112" s="547">
        <f xml:space="preserve"> ROUND(  INDEX( qx!112:112, AS$16 ),  AS$17 )</f>
        <v>0.35110000000000002</v>
      </c>
      <c r="AT112" s="547">
        <f xml:space="preserve"> ROUND(  INDEX( qx!112:112, AT$16 ),  AT$17 )</f>
        <v>0.33069999999999999</v>
      </c>
      <c r="AU112" s="548" t="str">
        <f t="shared" si="229"/>
        <v>F</v>
      </c>
      <c r="AV112" s="542">
        <f t="shared" si="230"/>
        <v>0.17929999999999999</v>
      </c>
      <c r="AW112" s="542">
        <f t="shared" si="231"/>
        <v>0.33439999999999998</v>
      </c>
      <c r="AX112" s="546">
        <f xml:space="preserve"> ROUND(  INDEX( wx!112:112, AX$16 ),  AX$17 )</f>
        <v>0</v>
      </c>
      <c r="AY112" s="546">
        <f xml:space="preserve"> ROUND(  INDEX( wx!112:112, AY$16 ),  AY$17 )</f>
        <v>2.0999999999999999E-3</v>
      </c>
      <c r="AZ112" s="548" t="str">
        <f t="shared" si="232"/>
        <v>M</v>
      </c>
      <c r="BA112" s="542">
        <f t="shared" si="233"/>
        <v>0.32950000000000002</v>
      </c>
      <c r="BB112" s="542">
        <f t="shared" si="234"/>
        <v>1.4E-3</v>
      </c>
      <c r="BC112" s="533">
        <f xml:space="preserve"> ROUND(  INDEX( Kx!112:112, BC$16 ),  BC$17 )</f>
        <v>14207.9</v>
      </c>
      <c r="BD112" s="533">
        <f xml:space="preserve"> ROUND(  INDEX( Kx!112:112, BD$16 ),  BD$17 )</f>
        <v>10411.19</v>
      </c>
      <c r="BE112" s="548" t="str">
        <f t="shared" si="235"/>
        <v>M</v>
      </c>
      <c r="BF112" s="542">
        <f t="shared" si="236"/>
        <v>0.32950000000000002</v>
      </c>
      <c r="BG112" s="420">
        <f t="shared" si="237"/>
        <v>11662.21</v>
      </c>
      <c r="BQ112" s="549">
        <f t="shared" si="276"/>
        <v>112</v>
      </c>
      <c r="BR112" s="423" t="str">
        <f t="shared" si="238"/>
        <v>.</v>
      </c>
      <c r="BS112" s="550" t="str">
        <f t="shared" si="239"/>
        <v>.</v>
      </c>
      <c r="BT112" s="423" t="str">
        <f t="shared" si="240"/>
        <v>.</v>
      </c>
      <c r="BU112" s="551" t="str">
        <f t="shared" si="241"/>
        <v>.</v>
      </c>
      <c r="BV112" s="551" t="str">
        <f t="shared" si="242"/>
        <v>.</v>
      </c>
      <c r="BW112" s="529" t="str">
        <f t="shared" si="243"/>
        <v>.</v>
      </c>
      <c r="BX112" s="552" t="str">
        <f t="shared" si="244"/>
        <v>.</v>
      </c>
      <c r="BY112" s="560"/>
      <c r="BZ112" s="559"/>
      <c r="CB112" s="423" t="str">
        <f t="shared" si="245"/>
        <v>.</v>
      </c>
      <c r="CC112" s="423" t="str">
        <f t="shared" si="246"/>
        <v>.</v>
      </c>
      <c r="CD112" s="423" t="str">
        <f t="shared" si="247"/>
        <v>.</v>
      </c>
      <c r="CE112" s="423" t="str">
        <f t="shared" si="248"/>
        <v>.</v>
      </c>
      <c r="CF112" s="553" t="str">
        <f t="shared" si="249"/>
        <v>.</v>
      </c>
      <c r="CH112" s="423" t="str">
        <f t="shared" si="250"/>
        <v>.</v>
      </c>
      <c r="CI112" s="423" t="str">
        <f t="shared" si="251"/>
        <v>.</v>
      </c>
      <c r="CJ112" s="423" t="str">
        <f t="shared" si="252"/>
        <v>.</v>
      </c>
      <c r="CK112" s="423" t="str">
        <f t="shared" si="253"/>
        <v>.</v>
      </c>
      <c r="CL112" s="553" t="str">
        <f t="shared" si="254"/>
        <v>.</v>
      </c>
      <c r="CN112" s="423" t="str">
        <f t="shared" si="255"/>
        <v>.</v>
      </c>
      <c r="CO112" s="423" t="str">
        <f t="shared" si="256"/>
        <v>.</v>
      </c>
      <c r="CP112" s="423" t="str">
        <f t="shared" si="257"/>
        <v>.</v>
      </c>
      <c r="CQ112" s="423" t="str">
        <f t="shared" si="258"/>
        <v>.</v>
      </c>
      <c r="CR112" s="553" t="str">
        <f t="shared" si="259"/>
        <v>.</v>
      </c>
      <c r="CV112" s="564">
        <f t="shared" si="277"/>
        <v>112</v>
      </c>
      <c r="CW112" s="538" t="str">
        <f t="shared" si="260"/>
        <v>.</v>
      </c>
      <c r="CX112" s="566" t="str">
        <f t="shared" si="261"/>
        <v>.</v>
      </c>
      <c r="CY112" s="538" t="str">
        <f t="shared" si="262"/>
        <v>.</v>
      </c>
      <c r="CZ112" s="538" t="str">
        <f t="shared" si="263"/>
        <v>.</v>
      </c>
      <c r="DA112" s="538" t="str">
        <f t="shared" si="264"/>
        <v>.</v>
      </c>
      <c r="DB112" s="567" t="e">
        <f t="shared" si="278"/>
        <v>#N/A</v>
      </c>
      <c r="DC112" s="567" t="e">
        <f t="shared" si="279"/>
        <v>#N/A</v>
      </c>
      <c r="DD112" s="567" t="e">
        <f t="shared" si="280"/>
        <v>#N/A</v>
      </c>
      <c r="DE112" s="567" t="e">
        <f t="shared" si="280"/>
        <v>#N/A</v>
      </c>
      <c r="DF112" s="568" t="e">
        <f t="shared" si="281"/>
        <v>#N/A</v>
      </c>
      <c r="EL112" s="553" t="str">
        <f t="shared" si="265"/>
        <v>.</v>
      </c>
      <c r="EM112" s="553" t="str">
        <f t="shared" si="266"/>
        <v>.</v>
      </c>
      <c r="EN112" s="423" t="str">
        <f t="shared" si="267"/>
        <v>.</v>
      </c>
      <c r="EO112" s="555" t="str">
        <f xml:space="preserve"> 'i2'!AO112</f>
        <v>.</v>
      </c>
      <c r="EV112" s="533" t="e">
        <f xml:space="preserve"> ROUND(    IF( $A$15=BE_MF_,   LEER,   INDEX( Kx!112:112, EV$16 ) ),    EV$17    )</f>
        <v>#VALUE!</v>
      </c>
      <c r="EW112" s="533" t="e">
        <f xml:space="preserve"> ROUND(    IF( $A$15=BE_MF_,   LEER,   INDEX( Kx!112:112, EW$16 ) ),    EW$17    )</f>
        <v>#VALUE!</v>
      </c>
      <c r="EX112" s="533" t="e">
        <f xml:space="preserve"> ROUND(    IF( $A$15=BE_MF_,   LEER,   INDEX( Kx!112:112, EX$16 ) ),    EX$17    )</f>
        <v>#VALUE!</v>
      </c>
      <c r="EY112" s="556" t="e">
        <f t="shared" si="282"/>
        <v>#VALUE!</v>
      </c>
      <c r="FB112" s="533" t="e">
        <f xml:space="preserve"> ROUND(    IF( $A$15=BE_MF_,   LEER,   INDEX( Kx!112:112, FB$16 ) ),    FB$17    )</f>
        <v>#VALUE!</v>
      </c>
      <c r="FC112" s="533" t="e">
        <f xml:space="preserve"> ROUND(    IF( $A$15=BE_MF_,   LEER,   INDEX( Kx!112:112, FC$16 ) ),    FC$17    )</f>
        <v>#VALUE!</v>
      </c>
      <c r="FD112" s="556" t="e">
        <f t="shared" si="283"/>
        <v>#VALUE!</v>
      </c>
      <c r="FG112" s="556" t="e">
        <f t="shared" si="284"/>
        <v>#VALUE!</v>
      </c>
      <c r="FH112" s="556" t="e">
        <f t="shared" si="284"/>
        <v>#VALUE!</v>
      </c>
      <c r="FI112" s="556" t="e">
        <f t="shared" si="284"/>
        <v>#VALUE!</v>
      </c>
      <c r="FN112" s="557">
        <f t="shared" si="268"/>
        <v>112</v>
      </c>
      <c r="FO112" s="493" t="str">
        <f t="shared" si="269"/>
        <v>.</v>
      </c>
      <c r="FP112" s="493" t="str">
        <f t="shared" si="270"/>
        <v>.</v>
      </c>
      <c r="FR112" s="427">
        <f t="shared" si="285"/>
        <v>0</v>
      </c>
      <c r="FS112" s="558" t="str">
        <f t="shared" si="295"/>
        <v>.</v>
      </c>
      <c r="FT112" s="558" t="str">
        <f t="shared" si="295"/>
        <v>.</v>
      </c>
      <c r="FU112" s="558" t="str">
        <f t="shared" si="295"/>
        <v>.</v>
      </c>
      <c r="FV112" s="558" t="str">
        <f t="shared" si="295"/>
        <v>.</v>
      </c>
      <c r="FW112" s="558" t="str">
        <f t="shared" si="295"/>
        <v>.</v>
      </c>
      <c r="FX112" s="558" t="str">
        <f t="shared" si="295"/>
        <v>.</v>
      </c>
      <c r="FY112" s="558" t="str">
        <f t="shared" si="295"/>
        <v>.</v>
      </c>
      <c r="FZ112" s="558" t="str">
        <f t="shared" si="295"/>
        <v>.</v>
      </c>
      <c r="GA112" s="558" t="str">
        <f t="shared" si="295"/>
        <v>.</v>
      </c>
      <c r="GB112" s="558" t="str">
        <f t="shared" si="295"/>
        <v>.</v>
      </c>
      <c r="GC112" s="558" t="str">
        <f t="shared" si="295"/>
        <v>.</v>
      </c>
      <c r="GD112" s="558" t="str">
        <f t="shared" si="295"/>
        <v>.</v>
      </c>
      <c r="GE112" s="558" t="str">
        <f t="shared" si="295"/>
        <v>.</v>
      </c>
      <c r="GF112" s="558" t="str">
        <f t="shared" si="295"/>
        <v>.</v>
      </c>
      <c r="GG112" s="558" t="str">
        <f t="shared" si="295"/>
        <v>.</v>
      </c>
      <c r="GH112" s="558" t="str">
        <f t="shared" si="295"/>
        <v>.</v>
      </c>
      <c r="GI112" s="558" t="str">
        <f t="shared" si="292"/>
        <v>.</v>
      </c>
      <c r="GJ112" s="558" t="str">
        <f t="shared" si="292"/>
        <v>.</v>
      </c>
      <c r="GK112" s="558" t="str">
        <f t="shared" si="292"/>
        <v>.</v>
      </c>
      <c r="GL112" s="558" t="str">
        <f t="shared" si="292"/>
        <v>.</v>
      </c>
      <c r="GM112" s="558" t="str">
        <f t="shared" si="292"/>
        <v>.</v>
      </c>
      <c r="GN112" s="558" t="str">
        <f t="shared" si="292"/>
        <v>.</v>
      </c>
      <c r="GO112" s="558" t="str">
        <f t="shared" si="292"/>
        <v>.</v>
      </c>
      <c r="GP112" s="558" t="str">
        <f t="shared" si="292"/>
        <v>.</v>
      </c>
      <c r="GQ112" s="558" t="str">
        <f t="shared" si="292"/>
        <v>.</v>
      </c>
      <c r="GR112" s="558" t="str">
        <f t="shared" si="292"/>
        <v>.</v>
      </c>
      <c r="GS112" s="558" t="str">
        <f t="shared" si="292"/>
        <v>.</v>
      </c>
      <c r="GT112" s="558" t="str">
        <f t="shared" si="292"/>
        <v>.</v>
      </c>
      <c r="GU112" s="558" t="str">
        <f t="shared" si="292"/>
        <v>.</v>
      </c>
      <c r="GV112" s="558" t="str">
        <f t="shared" si="292"/>
        <v>.</v>
      </c>
      <c r="GW112" s="558" t="str">
        <f t="shared" si="292"/>
        <v>.</v>
      </c>
      <c r="GX112" s="558" t="str">
        <f t="shared" si="296"/>
        <v>.</v>
      </c>
      <c r="GY112" s="558" t="str">
        <f t="shared" si="296"/>
        <v>.</v>
      </c>
      <c r="GZ112" s="558" t="str">
        <f t="shared" si="296"/>
        <v>.</v>
      </c>
      <c r="HA112" s="558" t="str">
        <f t="shared" si="296"/>
        <v>.</v>
      </c>
      <c r="HB112" s="558" t="str">
        <f t="shared" si="296"/>
        <v>.</v>
      </c>
      <c r="HC112" s="558" t="str">
        <f t="shared" si="296"/>
        <v>.</v>
      </c>
      <c r="HD112" s="558" t="str">
        <f t="shared" si="296"/>
        <v>.</v>
      </c>
      <c r="HE112" s="558" t="str">
        <f t="shared" si="296"/>
        <v>.</v>
      </c>
      <c r="HF112" s="558" t="str">
        <f t="shared" si="296"/>
        <v>.</v>
      </c>
      <c r="HG112" s="558" t="str">
        <f t="shared" si="296"/>
        <v>.</v>
      </c>
      <c r="HH112" s="558" t="str">
        <f t="shared" si="296"/>
        <v>.</v>
      </c>
      <c r="HI112" s="558" t="str">
        <f t="shared" si="296"/>
        <v>.</v>
      </c>
      <c r="HJ112" s="558" t="str">
        <f t="shared" si="296"/>
        <v>.</v>
      </c>
      <c r="HK112" s="558" t="str">
        <f t="shared" si="296"/>
        <v>.</v>
      </c>
      <c r="HL112" s="558" t="str">
        <f t="shared" si="296"/>
        <v>.</v>
      </c>
      <c r="HM112" s="558" t="str">
        <f t="shared" si="296"/>
        <v>.</v>
      </c>
      <c r="HN112" s="558" t="str">
        <f t="shared" si="293"/>
        <v>.</v>
      </c>
      <c r="HO112" s="558" t="str">
        <f t="shared" si="293"/>
        <v>.</v>
      </c>
      <c r="HP112" s="558" t="str">
        <f t="shared" si="293"/>
        <v>.</v>
      </c>
      <c r="HQ112" s="558" t="str">
        <f t="shared" si="293"/>
        <v>.</v>
      </c>
      <c r="HR112" s="558" t="str">
        <f t="shared" si="293"/>
        <v>.</v>
      </c>
      <c r="HS112" s="558" t="str">
        <f t="shared" si="293"/>
        <v>.</v>
      </c>
      <c r="HT112" s="558" t="str">
        <f t="shared" si="293"/>
        <v>.</v>
      </c>
      <c r="HU112" s="558" t="str">
        <f t="shared" si="293"/>
        <v>.</v>
      </c>
      <c r="HV112" s="558" t="str">
        <f t="shared" si="293"/>
        <v>.</v>
      </c>
      <c r="HW112" s="558" t="str">
        <f t="shared" si="293"/>
        <v>.</v>
      </c>
      <c r="HX112" s="558" t="str">
        <f t="shared" si="293"/>
        <v>.</v>
      </c>
      <c r="HY112" s="558" t="str">
        <f t="shared" si="293"/>
        <v>.</v>
      </c>
      <c r="HZ112" s="558" t="str">
        <f t="shared" si="293"/>
        <v>.</v>
      </c>
      <c r="IA112" s="558" t="str">
        <f t="shared" si="293"/>
        <v>.</v>
      </c>
      <c r="IB112" s="558" t="str">
        <f t="shared" si="293"/>
        <v>.</v>
      </c>
      <c r="IC112" s="558" t="str">
        <f t="shared" si="302"/>
        <v>.</v>
      </c>
      <c r="ID112" s="558" t="str">
        <f t="shared" si="302"/>
        <v>.</v>
      </c>
      <c r="IE112" s="558" t="str">
        <f t="shared" si="302"/>
        <v>.</v>
      </c>
      <c r="IF112" s="558" t="str">
        <f t="shared" si="302"/>
        <v>.</v>
      </c>
      <c r="IG112" s="558" t="str">
        <f t="shared" si="302"/>
        <v>.</v>
      </c>
      <c r="IH112" s="558" t="str">
        <f t="shared" si="302"/>
        <v>.</v>
      </c>
      <c r="II112" s="558" t="str">
        <f t="shared" si="302"/>
        <v>.</v>
      </c>
      <c r="IJ112" s="558" t="str">
        <f t="shared" si="302"/>
        <v>.</v>
      </c>
      <c r="IK112" s="558" t="str">
        <f t="shared" si="302"/>
        <v>.</v>
      </c>
      <c r="IL112" s="558" t="str">
        <f t="shared" si="302"/>
        <v>.</v>
      </c>
      <c r="IM112" s="558" t="str">
        <f t="shared" si="302"/>
        <v>.</v>
      </c>
      <c r="IN112" s="558" t="str">
        <f t="shared" si="302"/>
        <v>.</v>
      </c>
      <c r="IO112" s="558" t="str">
        <f t="shared" si="302"/>
        <v>.</v>
      </c>
      <c r="IP112" s="558" t="str">
        <f t="shared" si="302"/>
        <v>.</v>
      </c>
      <c r="IQ112" s="558" t="str">
        <f t="shared" si="302"/>
        <v>.</v>
      </c>
      <c r="IR112" s="558" t="str">
        <f t="shared" si="302"/>
        <v>.</v>
      </c>
      <c r="IS112" s="558" t="str">
        <f t="shared" si="302"/>
        <v>.</v>
      </c>
      <c r="IT112" s="558" t="str">
        <f t="shared" si="302"/>
        <v>.</v>
      </c>
      <c r="IU112" s="558" t="str">
        <f t="shared" si="304"/>
        <v>.</v>
      </c>
      <c r="IV112" s="558" t="str">
        <f t="shared" si="304"/>
        <v>.</v>
      </c>
      <c r="IW112" s="558" t="str">
        <f t="shared" si="304"/>
        <v>.</v>
      </c>
      <c r="IX112" s="558" t="str">
        <f t="shared" si="304"/>
        <v>.</v>
      </c>
      <c r="IY112" s="558" t="str">
        <f t="shared" si="304"/>
        <v>.</v>
      </c>
      <c r="IZ112" s="558" t="str">
        <f t="shared" si="289"/>
        <v>.</v>
      </c>
      <c r="JA112" s="558" t="str">
        <f t="shared" si="289"/>
        <v>.</v>
      </c>
      <c r="JB112" s="558" t="str">
        <f t="shared" si="289"/>
        <v>.</v>
      </c>
      <c r="JC112" s="558" t="str">
        <f t="shared" si="289"/>
        <v>.</v>
      </c>
      <c r="JD112" s="558" t="str">
        <f t="shared" si="289"/>
        <v>.</v>
      </c>
      <c r="JE112" s="558" t="str">
        <f t="shared" si="289"/>
        <v>.</v>
      </c>
      <c r="JF112" s="558" t="str">
        <f t="shared" si="289"/>
        <v>.</v>
      </c>
      <c r="JG112" s="558" t="str">
        <f t="shared" si="289"/>
        <v>.</v>
      </c>
      <c r="JH112" s="558" t="str">
        <f t="shared" si="289"/>
        <v>.</v>
      </c>
      <c r="JI112" s="558" t="str">
        <f t="shared" si="289"/>
        <v>.</v>
      </c>
      <c r="JJ112" s="558" t="str">
        <f t="shared" si="289"/>
        <v>.</v>
      </c>
      <c r="JK112" s="558" t="str">
        <f t="shared" si="289"/>
        <v>.</v>
      </c>
      <c r="JL112" s="558" t="str">
        <f t="shared" si="289"/>
        <v>.</v>
      </c>
      <c r="JM112" s="558" t="str">
        <f t="shared" si="289"/>
        <v>.</v>
      </c>
      <c r="JN112" s="558" t="str">
        <f t="shared" si="289"/>
        <v>.</v>
      </c>
      <c r="JO112" s="558" t="str">
        <f t="shared" si="289"/>
        <v>.</v>
      </c>
    </row>
    <row r="113" spans="1:275" x14ac:dyDescent="0.2">
      <c r="A113" s="534">
        <f xml:space="preserve"> Basis!A113</f>
        <v>113</v>
      </c>
      <c r="F113" s="536">
        <f xml:space="preserve"> ROUND(    IF( $A$15=BE_MF_,   AW113,   INDEX( qx!113:113, F$16 ) ),    F$17    )</f>
        <v>0.3402</v>
      </c>
      <c r="G113" s="536">
        <f xml:space="preserve"> ROUND(    IF( $A$15=BE_MF_,   BB113,   INDEX( wx!113:113, G$16 ) ),    G$17    )</f>
        <v>1.4E-3</v>
      </c>
      <c r="H113" s="537">
        <f xml:space="preserve"> ROUND(    IF( $A$15=BE_MF_,   BG113,   INDEX( Kx!113:113, H$16 ) ),    H$17    )</f>
        <v>11696.66</v>
      </c>
      <c r="I113" s="538">
        <f t="shared" si="273"/>
        <v>11696.66</v>
      </c>
      <c r="J113" s="539">
        <f t="shared" si="208"/>
        <v>5.6289999999999996</v>
      </c>
      <c r="K113" s="540">
        <f t="shared" si="274"/>
        <v>0</v>
      </c>
      <c r="L113" s="541">
        <f t="shared" si="299"/>
        <v>0</v>
      </c>
      <c r="M113" s="541">
        <f t="shared" si="299"/>
        <v>8.5999999999999993E-2</v>
      </c>
      <c r="O113" s="542" t="b">
        <f t="shared" si="275"/>
        <v>0</v>
      </c>
      <c r="P113" s="493" t="str">
        <f t="shared" si="209"/>
        <v>.</v>
      </c>
      <c r="Q113" s="493" t="str">
        <f t="shared" si="210"/>
        <v>.</v>
      </c>
      <c r="R113" s="543" t="str">
        <f t="shared" si="211"/>
        <v>.</v>
      </c>
      <c r="S113" s="544" t="str">
        <f t="shared" si="212"/>
        <v>.</v>
      </c>
      <c r="T113" s="423" t="str">
        <f t="shared" si="213"/>
        <v>.</v>
      </c>
      <c r="U113" s="423" t="str">
        <f xml:space="preserve"> IF( $O113,    ROUND(  SUM( T113:T$120), U$17 ),  LEER  )</f>
        <v>.</v>
      </c>
      <c r="V113" s="493" t="str">
        <f t="shared" si="214"/>
        <v>.</v>
      </c>
      <c r="W113" s="493" t="str">
        <f t="shared" si="215"/>
        <v>.</v>
      </c>
      <c r="X113" s="493" t="str">
        <f xml:space="preserve"> IF( $O113,    ROUND(  SUM( W113:W$120), X$17 ),  LEER  )</f>
        <v>.</v>
      </c>
      <c r="Y113" s="493" t="str">
        <f t="shared" si="216"/>
        <v>.</v>
      </c>
      <c r="Z113" s="493" t="str">
        <f t="shared" si="217"/>
        <v>.</v>
      </c>
      <c r="AA113" s="493" t="str">
        <f t="shared" si="218"/>
        <v>.</v>
      </c>
      <c r="AB113" s="493" t="str">
        <f t="shared" si="219"/>
        <v>.</v>
      </c>
      <c r="AC113" s="545" t="str">
        <f t="shared" si="220"/>
        <v>.</v>
      </c>
      <c r="AD113" s="493" t="str">
        <f t="shared" si="221"/>
        <v>.</v>
      </c>
      <c r="AE113" s="493" t="str">
        <f t="shared" si="222"/>
        <v>.</v>
      </c>
      <c r="AF113" s="493" t="str">
        <f t="shared" si="223"/>
        <v>.</v>
      </c>
      <c r="AG113" s="493" t="str">
        <f t="shared" si="224"/>
        <v>.</v>
      </c>
      <c r="AH113" s="493" t="str">
        <f t="shared" si="225"/>
        <v>.</v>
      </c>
      <c r="AI113" s="423" t="str">
        <f t="shared" si="226"/>
        <v>.</v>
      </c>
      <c r="AJ113" s="423" t="str">
        <f t="shared" si="227"/>
        <v>.</v>
      </c>
      <c r="AK113" s="423" t="str">
        <f t="shared" si="228"/>
        <v>.</v>
      </c>
      <c r="AN113" s="423" t="str">
        <f t="shared" si="294"/>
        <v>.</v>
      </c>
      <c r="AO113" s="423" t="str">
        <f t="shared" si="294"/>
        <v>.</v>
      </c>
      <c r="AR113" s="546">
        <f xml:space="preserve"> ROUND(  INDEX( Kx!113:113, AR$16 ),  AR$17 )</f>
        <v>0.24679999999999999</v>
      </c>
      <c r="AS113" s="547">
        <f xml:space="preserve"> ROUND(  INDEX( qx!113:113, AS$16 ),  AS$17 )</f>
        <v>0.35770000000000002</v>
      </c>
      <c r="AT113" s="547">
        <f xml:space="preserve"> ROUND(  INDEX( qx!113:113, AT$16 ),  AT$17 )</f>
        <v>0.33639999999999998</v>
      </c>
      <c r="AU113" s="548" t="str">
        <f t="shared" si="229"/>
        <v>F</v>
      </c>
      <c r="AV113" s="542">
        <f t="shared" si="230"/>
        <v>0.17929999999999999</v>
      </c>
      <c r="AW113" s="542">
        <f t="shared" si="231"/>
        <v>0.3402</v>
      </c>
      <c r="AX113" s="546">
        <f xml:space="preserve"> ROUND(  INDEX( wx!113:113, AX$16 ),  AX$17 )</f>
        <v>0</v>
      </c>
      <c r="AY113" s="546">
        <f xml:space="preserve"> ROUND(  INDEX( wx!113:113, AY$16 ),  AY$17 )</f>
        <v>2.0999999999999999E-3</v>
      </c>
      <c r="AZ113" s="548" t="str">
        <f t="shared" si="232"/>
        <v>M</v>
      </c>
      <c r="BA113" s="542">
        <f t="shared" si="233"/>
        <v>0.32950000000000002</v>
      </c>
      <c r="BB113" s="542">
        <f t="shared" si="234"/>
        <v>1.4E-3</v>
      </c>
      <c r="BC113" s="533">
        <f xml:space="preserve"> ROUND(  INDEX( Kx!113:113, BC$16 ),  BC$17 )</f>
        <v>14286.59</v>
      </c>
      <c r="BD113" s="533">
        <f xml:space="preserve"> ROUND(  INDEX( Kx!113:113, BD$16 ),  BD$17 )</f>
        <v>10423.91</v>
      </c>
      <c r="BE113" s="548" t="str">
        <f t="shared" si="235"/>
        <v>M</v>
      </c>
      <c r="BF113" s="542">
        <f t="shared" si="236"/>
        <v>0.32950000000000002</v>
      </c>
      <c r="BG113" s="420">
        <f t="shared" si="237"/>
        <v>11696.66</v>
      </c>
      <c r="BQ113" s="549">
        <f t="shared" si="276"/>
        <v>113</v>
      </c>
      <c r="BR113" s="423" t="str">
        <f t="shared" si="238"/>
        <v>.</v>
      </c>
      <c r="BS113" s="550" t="str">
        <f t="shared" si="239"/>
        <v>.</v>
      </c>
      <c r="BT113" s="423" t="str">
        <f t="shared" si="240"/>
        <v>.</v>
      </c>
      <c r="BU113" s="551" t="str">
        <f t="shared" si="241"/>
        <v>.</v>
      </c>
      <c r="BV113" s="551" t="str">
        <f t="shared" si="242"/>
        <v>.</v>
      </c>
      <c r="BW113" s="529" t="str">
        <f t="shared" si="243"/>
        <v>.</v>
      </c>
      <c r="BX113" s="552" t="str">
        <f t="shared" si="244"/>
        <v>.</v>
      </c>
      <c r="BY113" s="560"/>
      <c r="BZ113" s="559"/>
      <c r="CB113" s="423" t="str">
        <f t="shared" si="245"/>
        <v>.</v>
      </c>
      <c r="CC113" s="423" t="str">
        <f t="shared" si="246"/>
        <v>.</v>
      </c>
      <c r="CD113" s="423" t="str">
        <f t="shared" si="247"/>
        <v>.</v>
      </c>
      <c r="CE113" s="423" t="str">
        <f t="shared" si="248"/>
        <v>.</v>
      </c>
      <c r="CF113" s="553" t="str">
        <f t="shared" si="249"/>
        <v>.</v>
      </c>
      <c r="CH113" s="423" t="str">
        <f t="shared" si="250"/>
        <v>.</v>
      </c>
      <c r="CI113" s="423" t="str">
        <f t="shared" si="251"/>
        <v>.</v>
      </c>
      <c r="CJ113" s="423" t="str">
        <f t="shared" si="252"/>
        <v>.</v>
      </c>
      <c r="CK113" s="423" t="str">
        <f t="shared" si="253"/>
        <v>.</v>
      </c>
      <c r="CL113" s="553" t="str">
        <f t="shared" si="254"/>
        <v>.</v>
      </c>
      <c r="CN113" s="423" t="str">
        <f t="shared" si="255"/>
        <v>.</v>
      </c>
      <c r="CO113" s="423" t="str">
        <f t="shared" si="256"/>
        <v>.</v>
      </c>
      <c r="CP113" s="423" t="str">
        <f t="shared" si="257"/>
        <v>.</v>
      </c>
      <c r="CQ113" s="423" t="str">
        <f t="shared" si="258"/>
        <v>.</v>
      </c>
      <c r="CR113" s="553" t="str">
        <f t="shared" si="259"/>
        <v>.</v>
      </c>
      <c r="CV113" s="564">
        <f t="shared" si="277"/>
        <v>113</v>
      </c>
      <c r="CW113" s="538" t="str">
        <f t="shared" si="260"/>
        <v>.</v>
      </c>
      <c r="CX113" s="566" t="str">
        <f t="shared" si="261"/>
        <v>.</v>
      </c>
      <c r="CY113" s="538" t="str">
        <f t="shared" si="262"/>
        <v>.</v>
      </c>
      <c r="CZ113" s="538" t="str">
        <f t="shared" si="263"/>
        <v>.</v>
      </c>
      <c r="DA113" s="538" t="str">
        <f t="shared" si="264"/>
        <v>.</v>
      </c>
      <c r="DB113" s="567" t="e">
        <f t="shared" si="278"/>
        <v>#N/A</v>
      </c>
      <c r="DC113" s="567" t="e">
        <f t="shared" si="279"/>
        <v>#N/A</v>
      </c>
      <c r="DD113" s="567" t="e">
        <f t="shared" si="280"/>
        <v>#N/A</v>
      </c>
      <c r="DE113" s="567" t="e">
        <f t="shared" si="280"/>
        <v>#N/A</v>
      </c>
      <c r="DF113" s="568" t="e">
        <f t="shared" si="281"/>
        <v>#N/A</v>
      </c>
      <c r="EL113" s="553" t="str">
        <f t="shared" si="265"/>
        <v>.</v>
      </c>
      <c r="EM113" s="553" t="str">
        <f t="shared" si="266"/>
        <v>.</v>
      </c>
      <c r="EN113" s="423" t="str">
        <f t="shared" si="267"/>
        <v>.</v>
      </c>
      <c r="EO113" s="555" t="str">
        <f xml:space="preserve"> 'i2'!AO113</f>
        <v>.</v>
      </c>
      <c r="EV113" s="533" t="e">
        <f xml:space="preserve"> ROUND(    IF( $A$15=BE_MF_,   LEER,   INDEX( Kx!113:113, EV$16 ) ),    EV$17    )</f>
        <v>#VALUE!</v>
      </c>
      <c r="EW113" s="533" t="e">
        <f xml:space="preserve"> ROUND(    IF( $A$15=BE_MF_,   LEER,   INDEX( Kx!113:113, EW$16 ) ),    EW$17    )</f>
        <v>#VALUE!</v>
      </c>
      <c r="EX113" s="533" t="e">
        <f xml:space="preserve"> ROUND(    IF( $A$15=BE_MF_,   LEER,   INDEX( Kx!113:113, EX$16 ) ),    EX$17    )</f>
        <v>#VALUE!</v>
      </c>
      <c r="EY113" s="556" t="e">
        <f t="shared" si="282"/>
        <v>#VALUE!</v>
      </c>
      <c r="FB113" s="533" t="e">
        <f xml:space="preserve"> ROUND(    IF( $A$15=BE_MF_,   LEER,   INDEX( Kx!113:113, FB$16 ) ),    FB$17    )</f>
        <v>#VALUE!</v>
      </c>
      <c r="FC113" s="533" t="e">
        <f xml:space="preserve"> ROUND(    IF( $A$15=BE_MF_,   LEER,   INDEX( Kx!113:113, FC$16 ) ),    FC$17    )</f>
        <v>#VALUE!</v>
      </c>
      <c r="FD113" s="556" t="e">
        <f t="shared" si="283"/>
        <v>#VALUE!</v>
      </c>
      <c r="FG113" s="556" t="e">
        <f t="shared" si="284"/>
        <v>#VALUE!</v>
      </c>
      <c r="FH113" s="556" t="e">
        <f t="shared" si="284"/>
        <v>#VALUE!</v>
      </c>
      <c r="FI113" s="556" t="e">
        <f t="shared" si="284"/>
        <v>#VALUE!</v>
      </c>
      <c r="FN113" s="557">
        <f t="shared" si="268"/>
        <v>113</v>
      </c>
      <c r="FO113" s="493" t="str">
        <f t="shared" si="269"/>
        <v>.</v>
      </c>
      <c r="FP113" s="493" t="str">
        <f t="shared" si="270"/>
        <v>.</v>
      </c>
      <c r="FR113" s="427">
        <f t="shared" si="285"/>
        <v>0</v>
      </c>
      <c r="FS113" s="558" t="str">
        <f t="shared" si="295"/>
        <v>.</v>
      </c>
      <c r="FT113" s="558" t="str">
        <f t="shared" si="295"/>
        <v>.</v>
      </c>
      <c r="FU113" s="558" t="str">
        <f t="shared" si="295"/>
        <v>.</v>
      </c>
      <c r="FV113" s="558" t="str">
        <f t="shared" si="295"/>
        <v>.</v>
      </c>
      <c r="FW113" s="558" t="str">
        <f t="shared" si="295"/>
        <v>.</v>
      </c>
      <c r="FX113" s="558" t="str">
        <f t="shared" si="295"/>
        <v>.</v>
      </c>
      <c r="FY113" s="558" t="str">
        <f t="shared" si="295"/>
        <v>.</v>
      </c>
      <c r="FZ113" s="558" t="str">
        <f t="shared" si="295"/>
        <v>.</v>
      </c>
      <c r="GA113" s="558" t="str">
        <f t="shared" si="295"/>
        <v>.</v>
      </c>
      <c r="GB113" s="558" t="str">
        <f t="shared" si="295"/>
        <v>.</v>
      </c>
      <c r="GC113" s="558" t="str">
        <f t="shared" si="295"/>
        <v>.</v>
      </c>
      <c r="GD113" s="558" t="str">
        <f t="shared" si="295"/>
        <v>.</v>
      </c>
      <c r="GE113" s="558" t="str">
        <f t="shared" si="295"/>
        <v>.</v>
      </c>
      <c r="GF113" s="558" t="str">
        <f t="shared" si="295"/>
        <v>.</v>
      </c>
      <c r="GG113" s="558" t="str">
        <f t="shared" si="295"/>
        <v>.</v>
      </c>
      <c r="GH113" s="558" t="str">
        <f t="shared" si="295"/>
        <v>.</v>
      </c>
      <c r="GI113" s="558" t="str">
        <f t="shared" si="292"/>
        <v>.</v>
      </c>
      <c r="GJ113" s="558" t="str">
        <f t="shared" si="292"/>
        <v>.</v>
      </c>
      <c r="GK113" s="558" t="str">
        <f t="shared" si="292"/>
        <v>.</v>
      </c>
      <c r="GL113" s="558" t="str">
        <f t="shared" si="292"/>
        <v>.</v>
      </c>
      <c r="GM113" s="558" t="str">
        <f t="shared" si="292"/>
        <v>.</v>
      </c>
      <c r="GN113" s="558" t="str">
        <f t="shared" si="292"/>
        <v>.</v>
      </c>
      <c r="GO113" s="558" t="str">
        <f t="shared" si="292"/>
        <v>.</v>
      </c>
      <c r="GP113" s="558" t="str">
        <f t="shared" si="292"/>
        <v>.</v>
      </c>
      <c r="GQ113" s="558" t="str">
        <f t="shared" si="292"/>
        <v>.</v>
      </c>
      <c r="GR113" s="558" t="str">
        <f t="shared" si="292"/>
        <v>.</v>
      </c>
      <c r="GS113" s="558" t="str">
        <f t="shared" si="292"/>
        <v>.</v>
      </c>
      <c r="GT113" s="558" t="str">
        <f t="shared" si="292"/>
        <v>.</v>
      </c>
      <c r="GU113" s="558" t="str">
        <f t="shared" si="292"/>
        <v>.</v>
      </c>
      <c r="GV113" s="558" t="str">
        <f t="shared" si="292"/>
        <v>.</v>
      </c>
      <c r="GW113" s="558" t="str">
        <f t="shared" si="292"/>
        <v>.</v>
      </c>
      <c r="GX113" s="558" t="str">
        <f t="shared" si="296"/>
        <v>.</v>
      </c>
      <c r="GY113" s="558" t="str">
        <f t="shared" si="296"/>
        <v>.</v>
      </c>
      <c r="GZ113" s="558" t="str">
        <f t="shared" si="296"/>
        <v>.</v>
      </c>
      <c r="HA113" s="558" t="str">
        <f t="shared" si="296"/>
        <v>.</v>
      </c>
      <c r="HB113" s="558" t="str">
        <f t="shared" si="296"/>
        <v>.</v>
      </c>
      <c r="HC113" s="558" t="str">
        <f t="shared" si="296"/>
        <v>.</v>
      </c>
      <c r="HD113" s="558" t="str">
        <f t="shared" si="296"/>
        <v>.</v>
      </c>
      <c r="HE113" s="558" t="str">
        <f t="shared" si="296"/>
        <v>.</v>
      </c>
      <c r="HF113" s="558" t="str">
        <f t="shared" si="296"/>
        <v>.</v>
      </c>
      <c r="HG113" s="558" t="str">
        <f t="shared" si="296"/>
        <v>.</v>
      </c>
      <c r="HH113" s="558" t="str">
        <f t="shared" si="296"/>
        <v>.</v>
      </c>
      <c r="HI113" s="558" t="str">
        <f t="shared" si="296"/>
        <v>.</v>
      </c>
      <c r="HJ113" s="558" t="str">
        <f t="shared" si="296"/>
        <v>.</v>
      </c>
      <c r="HK113" s="558" t="str">
        <f t="shared" si="296"/>
        <v>.</v>
      </c>
      <c r="HL113" s="558" t="str">
        <f t="shared" si="296"/>
        <v>.</v>
      </c>
      <c r="HM113" s="558" t="str">
        <f t="shared" si="296"/>
        <v>.</v>
      </c>
      <c r="HN113" s="558" t="str">
        <f t="shared" si="293"/>
        <v>.</v>
      </c>
      <c r="HO113" s="558" t="str">
        <f t="shared" si="293"/>
        <v>.</v>
      </c>
      <c r="HP113" s="558" t="str">
        <f t="shared" si="293"/>
        <v>.</v>
      </c>
      <c r="HQ113" s="558" t="str">
        <f t="shared" si="293"/>
        <v>.</v>
      </c>
      <c r="HR113" s="558" t="str">
        <f t="shared" si="293"/>
        <v>.</v>
      </c>
      <c r="HS113" s="558" t="str">
        <f t="shared" si="293"/>
        <v>.</v>
      </c>
      <c r="HT113" s="558" t="str">
        <f t="shared" si="293"/>
        <v>.</v>
      </c>
      <c r="HU113" s="558" t="str">
        <f t="shared" si="293"/>
        <v>.</v>
      </c>
      <c r="HV113" s="558" t="str">
        <f t="shared" si="293"/>
        <v>.</v>
      </c>
      <c r="HW113" s="558" t="str">
        <f t="shared" si="293"/>
        <v>.</v>
      </c>
      <c r="HX113" s="558" t="str">
        <f t="shared" si="293"/>
        <v>.</v>
      </c>
      <c r="HY113" s="558" t="str">
        <f t="shared" si="293"/>
        <v>.</v>
      </c>
      <c r="HZ113" s="558" t="str">
        <f t="shared" si="293"/>
        <v>.</v>
      </c>
      <c r="IA113" s="558" t="str">
        <f t="shared" si="293"/>
        <v>.</v>
      </c>
      <c r="IB113" s="558" t="str">
        <f t="shared" si="293"/>
        <v>.</v>
      </c>
      <c r="IC113" s="558" t="str">
        <f t="shared" si="302"/>
        <v>.</v>
      </c>
      <c r="ID113" s="558" t="str">
        <f t="shared" si="302"/>
        <v>.</v>
      </c>
      <c r="IE113" s="558" t="str">
        <f t="shared" si="302"/>
        <v>.</v>
      </c>
      <c r="IF113" s="558" t="str">
        <f t="shared" si="302"/>
        <v>.</v>
      </c>
      <c r="IG113" s="558" t="str">
        <f t="shared" si="302"/>
        <v>.</v>
      </c>
      <c r="IH113" s="558" t="str">
        <f t="shared" si="302"/>
        <v>.</v>
      </c>
      <c r="II113" s="558" t="str">
        <f t="shared" si="302"/>
        <v>.</v>
      </c>
      <c r="IJ113" s="558" t="str">
        <f t="shared" si="302"/>
        <v>.</v>
      </c>
      <c r="IK113" s="558" t="str">
        <f t="shared" si="302"/>
        <v>.</v>
      </c>
      <c r="IL113" s="558" t="str">
        <f t="shared" si="302"/>
        <v>.</v>
      </c>
      <c r="IM113" s="558" t="str">
        <f t="shared" si="302"/>
        <v>.</v>
      </c>
      <c r="IN113" s="558" t="str">
        <f t="shared" si="302"/>
        <v>.</v>
      </c>
      <c r="IO113" s="558" t="str">
        <f t="shared" si="302"/>
        <v>.</v>
      </c>
      <c r="IP113" s="558" t="str">
        <f t="shared" si="302"/>
        <v>.</v>
      </c>
      <c r="IQ113" s="558" t="str">
        <f t="shared" si="302"/>
        <v>.</v>
      </c>
      <c r="IR113" s="558" t="str">
        <f t="shared" si="302"/>
        <v>.</v>
      </c>
      <c r="IS113" s="558" t="str">
        <f t="shared" si="302"/>
        <v>.</v>
      </c>
      <c r="IT113" s="558" t="str">
        <f t="shared" si="302"/>
        <v>.</v>
      </c>
      <c r="IU113" s="558" t="str">
        <f t="shared" si="304"/>
        <v>.</v>
      </c>
      <c r="IV113" s="558" t="str">
        <f t="shared" si="304"/>
        <v>.</v>
      </c>
      <c r="IW113" s="558" t="str">
        <f t="shared" si="304"/>
        <v>.</v>
      </c>
      <c r="IX113" s="558" t="str">
        <f t="shared" si="304"/>
        <v>.</v>
      </c>
      <c r="IY113" s="558" t="str">
        <f t="shared" si="304"/>
        <v>.</v>
      </c>
      <c r="IZ113" s="558" t="str">
        <f t="shared" ref="IZ113:JO120" si="305" xml:space="preserve"> IF(  OR( IZ$18&gt;$FN113, $FN113&gt;$FS$12 ),  LEER,  ROUND( $FR$19 * ( $FO113 - IZ$15 * $FP113 ), IZ$17 )  )</f>
        <v>.</v>
      </c>
      <c r="JA113" s="558" t="str">
        <f t="shared" si="305"/>
        <v>.</v>
      </c>
      <c r="JB113" s="558" t="str">
        <f t="shared" si="305"/>
        <v>.</v>
      </c>
      <c r="JC113" s="558" t="str">
        <f t="shared" si="305"/>
        <v>.</v>
      </c>
      <c r="JD113" s="558" t="str">
        <f t="shared" si="305"/>
        <v>.</v>
      </c>
      <c r="JE113" s="558" t="str">
        <f t="shared" si="305"/>
        <v>.</v>
      </c>
      <c r="JF113" s="558" t="str">
        <f t="shared" si="305"/>
        <v>.</v>
      </c>
      <c r="JG113" s="558" t="str">
        <f t="shared" si="305"/>
        <v>.</v>
      </c>
      <c r="JH113" s="558" t="str">
        <f t="shared" si="305"/>
        <v>.</v>
      </c>
      <c r="JI113" s="558" t="str">
        <f t="shared" si="305"/>
        <v>.</v>
      </c>
      <c r="JJ113" s="558" t="str">
        <f t="shared" si="305"/>
        <v>.</v>
      </c>
      <c r="JK113" s="558" t="str">
        <f t="shared" si="305"/>
        <v>.</v>
      </c>
      <c r="JL113" s="558" t="str">
        <f t="shared" si="305"/>
        <v>.</v>
      </c>
      <c r="JM113" s="558" t="str">
        <f t="shared" si="305"/>
        <v>.</v>
      </c>
      <c r="JN113" s="558" t="str">
        <f t="shared" si="305"/>
        <v>.</v>
      </c>
      <c r="JO113" s="558" t="str">
        <f t="shared" si="305"/>
        <v>.</v>
      </c>
    </row>
    <row r="114" spans="1:275" x14ac:dyDescent="0.2">
      <c r="A114" s="534">
        <f xml:space="preserve"> Basis!A114</f>
        <v>114</v>
      </c>
      <c r="F114" s="536">
        <f xml:space="preserve"> ROUND(    IF( $A$15=BE_MF_,   AW114,   INDEX( qx!114:114, F$16 ) ),    F$17    )</f>
        <v>0.34610000000000002</v>
      </c>
      <c r="G114" s="536">
        <f xml:space="preserve"> ROUND(    IF( $A$15=BE_MF_,   BB114,   INDEX( wx!114:114, G$16 ) ),    G$17    )</f>
        <v>1.4E-3</v>
      </c>
      <c r="H114" s="537">
        <f xml:space="preserve"> ROUND(    IF( $A$15=BE_MF_,   BG114,   INDEX( Kx!114:114, H$16 ) ),    H$17    )</f>
        <v>11731.11</v>
      </c>
      <c r="I114" s="538">
        <f t="shared" si="273"/>
        <v>11731.11</v>
      </c>
      <c r="J114" s="539">
        <f t="shared" si="208"/>
        <v>5.6459999999999999</v>
      </c>
      <c r="K114" s="540">
        <f t="shared" si="274"/>
        <v>0</v>
      </c>
      <c r="L114" s="541">
        <f t="shared" si="299"/>
        <v>0</v>
      </c>
      <c r="M114" s="541">
        <f t="shared" si="299"/>
        <v>8.5999999999999993E-2</v>
      </c>
      <c r="O114" s="542" t="b">
        <f t="shared" si="275"/>
        <v>0</v>
      </c>
      <c r="P114" s="493" t="str">
        <f t="shared" si="209"/>
        <v>.</v>
      </c>
      <c r="Q114" s="493" t="str">
        <f t="shared" si="210"/>
        <v>.</v>
      </c>
      <c r="R114" s="543" t="str">
        <f t="shared" si="211"/>
        <v>.</v>
      </c>
      <c r="S114" s="544" t="str">
        <f t="shared" si="212"/>
        <v>.</v>
      </c>
      <c r="T114" s="423" t="str">
        <f t="shared" si="213"/>
        <v>.</v>
      </c>
      <c r="U114" s="423" t="str">
        <f xml:space="preserve"> IF( $O114,    ROUND(  SUM( T114:T$120), U$17 ),  LEER  )</f>
        <v>.</v>
      </c>
      <c r="V114" s="493" t="str">
        <f t="shared" si="214"/>
        <v>.</v>
      </c>
      <c r="W114" s="493" t="str">
        <f t="shared" si="215"/>
        <v>.</v>
      </c>
      <c r="X114" s="493" t="str">
        <f xml:space="preserve"> IF( $O114,    ROUND(  SUM( W114:W$120), X$17 ),  LEER  )</f>
        <v>.</v>
      </c>
      <c r="Y114" s="493" t="str">
        <f t="shared" si="216"/>
        <v>.</v>
      </c>
      <c r="Z114" s="493" t="str">
        <f t="shared" si="217"/>
        <v>.</v>
      </c>
      <c r="AA114" s="493" t="str">
        <f t="shared" si="218"/>
        <v>.</v>
      </c>
      <c r="AB114" s="493" t="str">
        <f t="shared" si="219"/>
        <v>.</v>
      </c>
      <c r="AC114" s="545" t="str">
        <f t="shared" si="220"/>
        <v>.</v>
      </c>
      <c r="AD114" s="493" t="str">
        <f t="shared" si="221"/>
        <v>.</v>
      </c>
      <c r="AE114" s="493" t="str">
        <f t="shared" si="222"/>
        <v>.</v>
      </c>
      <c r="AF114" s="493" t="str">
        <f t="shared" si="223"/>
        <v>.</v>
      </c>
      <c r="AG114" s="493" t="str">
        <f t="shared" si="224"/>
        <v>.</v>
      </c>
      <c r="AH114" s="493" t="str">
        <f t="shared" si="225"/>
        <v>.</v>
      </c>
      <c r="AI114" s="423" t="str">
        <f t="shared" si="226"/>
        <v>.</v>
      </c>
      <c r="AJ114" s="423" t="str">
        <f t="shared" si="227"/>
        <v>.</v>
      </c>
      <c r="AK114" s="423" t="str">
        <f t="shared" si="228"/>
        <v>.</v>
      </c>
      <c r="AN114" s="423" t="str">
        <f t="shared" si="294"/>
        <v>.</v>
      </c>
      <c r="AO114" s="423" t="str">
        <f t="shared" si="294"/>
        <v>.</v>
      </c>
      <c r="AR114" s="546">
        <f xml:space="preserve"> ROUND(  INDEX( Kx!114:114, AR$16 ),  AR$17 )</f>
        <v>0.24679999999999999</v>
      </c>
      <c r="AS114" s="547">
        <f xml:space="preserve"> ROUND(  INDEX( qx!114:114, AS$16 ),  AS$17 )</f>
        <v>0.36420000000000002</v>
      </c>
      <c r="AT114" s="547">
        <f xml:space="preserve"> ROUND(  INDEX( qx!114:114, AT$16 ),  AT$17 )</f>
        <v>0.34210000000000002</v>
      </c>
      <c r="AU114" s="548" t="str">
        <f t="shared" si="229"/>
        <v>F</v>
      </c>
      <c r="AV114" s="542">
        <f t="shared" si="230"/>
        <v>0.17929999999999999</v>
      </c>
      <c r="AW114" s="542">
        <f t="shared" si="231"/>
        <v>0.34610000000000002</v>
      </c>
      <c r="AX114" s="546">
        <f xml:space="preserve"> ROUND(  INDEX( wx!114:114, AX$16 ),  AX$17 )</f>
        <v>0</v>
      </c>
      <c r="AY114" s="546">
        <f xml:space="preserve"> ROUND(  INDEX( wx!114:114, AY$16 ),  AY$17 )</f>
        <v>2.0999999999999999E-3</v>
      </c>
      <c r="AZ114" s="548" t="str">
        <f t="shared" si="232"/>
        <v>M</v>
      </c>
      <c r="BA114" s="542">
        <f t="shared" si="233"/>
        <v>0.32950000000000002</v>
      </c>
      <c r="BB114" s="542">
        <f t="shared" si="234"/>
        <v>1.4E-3</v>
      </c>
      <c r="BC114" s="533">
        <f xml:space="preserve"> ROUND(  INDEX( Kx!114:114, BC$16 ),  BC$17 )</f>
        <v>14365.28</v>
      </c>
      <c r="BD114" s="533">
        <f xml:space="preserve"> ROUND(  INDEX( Kx!114:114, BD$16 ),  BD$17 )</f>
        <v>10436.620000000001</v>
      </c>
      <c r="BE114" s="548" t="str">
        <f t="shared" si="235"/>
        <v>M</v>
      </c>
      <c r="BF114" s="542">
        <f t="shared" si="236"/>
        <v>0.32950000000000002</v>
      </c>
      <c r="BG114" s="420">
        <f t="shared" si="237"/>
        <v>11731.11</v>
      </c>
      <c r="BQ114" s="549">
        <f t="shared" si="276"/>
        <v>114</v>
      </c>
      <c r="BR114" s="423" t="str">
        <f t="shared" si="238"/>
        <v>.</v>
      </c>
      <c r="BS114" s="550" t="str">
        <f t="shared" si="239"/>
        <v>.</v>
      </c>
      <c r="BT114" s="423" t="str">
        <f t="shared" si="240"/>
        <v>.</v>
      </c>
      <c r="BU114" s="551" t="str">
        <f t="shared" si="241"/>
        <v>.</v>
      </c>
      <c r="BV114" s="551" t="str">
        <f t="shared" si="242"/>
        <v>.</v>
      </c>
      <c r="BW114" s="529" t="str">
        <f t="shared" si="243"/>
        <v>.</v>
      </c>
      <c r="BX114" s="552" t="str">
        <f t="shared" si="244"/>
        <v>.</v>
      </c>
      <c r="BY114" s="560"/>
      <c r="BZ114" s="559"/>
      <c r="CB114" s="423" t="str">
        <f t="shared" si="245"/>
        <v>.</v>
      </c>
      <c r="CC114" s="423" t="str">
        <f t="shared" si="246"/>
        <v>.</v>
      </c>
      <c r="CD114" s="423" t="str">
        <f t="shared" si="247"/>
        <v>.</v>
      </c>
      <c r="CE114" s="423" t="str">
        <f t="shared" si="248"/>
        <v>.</v>
      </c>
      <c r="CF114" s="553" t="str">
        <f t="shared" si="249"/>
        <v>.</v>
      </c>
      <c r="CH114" s="423" t="str">
        <f t="shared" si="250"/>
        <v>.</v>
      </c>
      <c r="CI114" s="423" t="str">
        <f t="shared" si="251"/>
        <v>.</v>
      </c>
      <c r="CJ114" s="423" t="str">
        <f t="shared" si="252"/>
        <v>.</v>
      </c>
      <c r="CK114" s="423" t="str">
        <f t="shared" si="253"/>
        <v>.</v>
      </c>
      <c r="CL114" s="553" t="str">
        <f t="shared" si="254"/>
        <v>.</v>
      </c>
      <c r="CN114" s="423" t="str">
        <f t="shared" si="255"/>
        <v>.</v>
      </c>
      <c r="CO114" s="423" t="str">
        <f t="shared" si="256"/>
        <v>.</v>
      </c>
      <c r="CP114" s="423" t="str">
        <f t="shared" si="257"/>
        <v>.</v>
      </c>
      <c r="CQ114" s="423" t="str">
        <f t="shared" si="258"/>
        <v>.</v>
      </c>
      <c r="CR114" s="553" t="str">
        <f t="shared" si="259"/>
        <v>.</v>
      </c>
      <c r="CV114" s="564">
        <f t="shared" si="277"/>
        <v>114</v>
      </c>
      <c r="CW114" s="538" t="str">
        <f t="shared" si="260"/>
        <v>.</v>
      </c>
      <c r="CX114" s="566" t="str">
        <f t="shared" si="261"/>
        <v>.</v>
      </c>
      <c r="CY114" s="538" t="str">
        <f t="shared" si="262"/>
        <v>.</v>
      </c>
      <c r="CZ114" s="538" t="str">
        <f t="shared" si="263"/>
        <v>.</v>
      </c>
      <c r="DA114" s="538" t="str">
        <f t="shared" si="264"/>
        <v>.</v>
      </c>
      <c r="DB114" s="567" t="e">
        <f t="shared" si="278"/>
        <v>#N/A</v>
      </c>
      <c r="DC114" s="567" t="e">
        <f t="shared" si="279"/>
        <v>#N/A</v>
      </c>
      <c r="DD114" s="567" t="e">
        <f t="shared" si="280"/>
        <v>#N/A</v>
      </c>
      <c r="DE114" s="567" t="e">
        <f t="shared" si="280"/>
        <v>#N/A</v>
      </c>
      <c r="DF114" s="568" t="e">
        <f t="shared" si="281"/>
        <v>#N/A</v>
      </c>
      <c r="EL114" s="553" t="str">
        <f t="shared" si="265"/>
        <v>.</v>
      </c>
      <c r="EM114" s="553" t="str">
        <f t="shared" si="266"/>
        <v>.</v>
      </c>
      <c r="EN114" s="423" t="str">
        <f t="shared" si="267"/>
        <v>.</v>
      </c>
      <c r="EO114" s="555" t="str">
        <f xml:space="preserve"> 'i2'!AO114</f>
        <v>.</v>
      </c>
      <c r="EV114" s="533" t="e">
        <f xml:space="preserve"> ROUND(    IF( $A$15=BE_MF_,   LEER,   INDEX( Kx!114:114, EV$16 ) ),    EV$17    )</f>
        <v>#VALUE!</v>
      </c>
      <c r="EW114" s="533" t="e">
        <f xml:space="preserve"> ROUND(    IF( $A$15=BE_MF_,   LEER,   INDEX( Kx!114:114, EW$16 ) ),    EW$17    )</f>
        <v>#VALUE!</v>
      </c>
      <c r="EX114" s="533" t="e">
        <f xml:space="preserve"> ROUND(    IF( $A$15=BE_MF_,   LEER,   INDEX( Kx!114:114, EX$16 ) ),    EX$17    )</f>
        <v>#VALUE!</v>
      </c>
      <c r="EY114" s="556" t="e">
        <f t="shared" si="282"/>
        <v>#VALUE!</v>
      </c>
      <c r="FB114" s="533" t="e">
        <f xml:space="preserve"> ROUND(    IF( $A$15=BE_MF_,   LEER,   INDEX( Kx!114:114, FB$16 ) ),    FB$17    )</f>
        <v>#VALUE!</v>
      </c>
      <c r="FC114" s="533" t="e">
        <f xml:space="preserve"> ROUND(    IF( $A$15=BE_MF_,   LEER,   INDEX( Kx!114:114, FC$16 ) ),    FC$17    )</f>
        <v>#VALUE!</v>
      </c>
      <c r="FD114" s="556" t="e">
        <f t="shared" si="283"/>
        <v>#VALUE!</v>
      </c>
      <c r="FG114" s="556" t="e">
        <f t="shared" si="284"/>
        <v>#VALUE!</v>
      </c>
      <c r="FH114" s="556" t="e">
        <f t="shared" si="284"/>
        <v>#VALUE!</v>
      </c>
      <c r="FI114" s="556" t="e">
        <f t="shared" si="284"/>
        <v>#VALUE!</v>
      </c>
      <c r="FN114" s="557">
        <f t="shared" si="268"/>
        <v>114</v>
      </c>
      <c r="FO114" s="493" t="str">
        <f t="shared" si="269"/>
        <v>.</v>
      </c>
      <c r="FP114" s="493" t="str">
        <f t="shared" si="270"/>
        <v>.</v>
      </c>
      <c r="FR114" s="427">
        <f t="shared" si="285"/>
        <v>0</v>
      </c>
      <c r="FS114" s="558" t="str">
        <f t="shared" si="295"/>
        <v>.</v>
      </c>
      <c r="FT114" s="558" t="str">
        <f t="shared" si="295"/>
        <v>.</v>
      </c>
      <c r="FU114" s="558" t="str">
        <f t="shared" si="295"/>
        <v>.</v>
      </c>
      <c r="FV114" s="558" t="str">
        <f t="shared" si="295"/>
        <v>.</v>
      </c>
      <c r="FW114" s="558" t="str">
        <f t="shared" si="295"/>
        <v>.</v>
      </c>
      <c r="FX114" s="558" t="str">
        <f t="shared" si="295"/>
        <v>.</v>
      </c>
      <c r="FY114" s="558" t="str">
        <f t="shared" si="295"/>
        <v>.</v>
      </c>
      <c r="FZ114" s="558" t="str">
        <f t="shared" si="295"/>
        <v>.</v>
      </c>
      <c r="GA114" s="558" t="str">
        <f t="shared" si="295"/>
        <v>.</v>
      </c>
      <c r="GB114" s="558" t="str">
        <f t="shared" si="295"/>
        <v>.</v>
      </c>
      <c r="GC114" s="558" t="str">
        <f t="shared" si="295"/>
        <v>.</v>
      </c>
      <c r="GD114" s="558" t="str">
        <f t="shared" si="295"/>
        <v>.</v>
      </c>
      <c r="GE114" s="558" t="str">
        <f t="shared" si="295"/>
        <v>.</v>
      </c>
      <c r="GF114" s="558" t="str">
        <f t="shared" si="295"/>
        <v>.</v>
      </c>
      <c r="GG114" s="558" t="str">
        <f t="shared" si="295"/>
        <v>.</v>
      </c>
      <c r="GH114" s="558" t="str">
        <f t="shared" si="295"/>
        <v>.</v>
      </c>
      <c r="GI114" s="558" t="str">
        <f t="shared" si="292"/>
        <v>.</v>
      </c>
      <c r="GJ114" s="558" t="str">
        <f t="shared" si="292"/>
        <v>.</v>
      </c>
      <c r="GK114" s="558" t="str">
        <f t="shared" si="292"/>
        <v>.</v>
      </c>
      <c r="GL114" s="558" t="str">
        <f t="shared" si="292"/>
        <v>.</v>
      </c>
      <c r="GM114" s="558" t="str">
        <f t="shared" si="292"/>
        <v>.</v>
      </c>
      <c r="GN114" s="558" t="str">
        <f t="shared" si="292"/>
        <v>.</v>
      </c>
      <c r="GO114" s="558" t="str">
        <f t="shared" si="292"/>
        <v>.</v>
      </c>
      <c r="GP114" s="558" t="str">
        <f t="shared" si="292"/>
        <v>.</v>
      </c>
      <c r="GQ114" s="558" t="str">
        <f t="shared" si="292"/>
        <v>.</v>
      </c>
      <c r="GR114" s="558" t="str">
        <f t="shared" si="292"/>
        <v>.</v>
      </c>
      <c r="GS114" s="558" t="str">
        <f t="shared" si="292"/>
        <v>.</v>
      </c>
      <c r="GT114" s="558" t="str">
        <f t="shared" si="292"/>
        <v>.</v>
      </c>
      <c r="GU114" s="558" t="str">
        <f t="shared" si="292"/>
        <v>.</v>
      </c>
      <c r="GV114" s="558" t="str">
        <f t="shared" si="292"/>
        <v>.</v>
      </c>
      <c r="GW114" s="558" t="str">
        <f t="shared" si="292"/>
        <v>.</v>
      </c>
      <c r="GX114" s="558" t="str">
        <f t="shared" si="296"/>
        <v>.</v>
      </c>
      <c r="GY114" s="558" t="str">
        <f t="shared" si="296"/>
        <v>.</v>
      </c>
      <c r="GZ114" s="558" t="str">
        <f t="shared" si="296"/>
        <v>.</v>
      </c>
      <c r="HA114" s="558" t="str">
        <f t="shared" si="296"/>
        <v>.</v>
      </c>
      <c r="HB114" s="558" t="str">
        <f t="shared" si="296"/>
        <v>.</v>
      </c>
      <c r="HC114" s="558" t="str">
        <f t="shared" si="296"/>
        <v>.</v>
      </c>
      <c r="HD114" s="558" t="str">
        <f t="shared" si="296"/>
        <v>.</v>
      </c>
      <c r="HE114" s="558" t="str">
        <f t="shared" si="296"/>
        <v>.</v>
      </c>
      <c r="HF114" s="558" t="str">
        <f t="shared" si="296"/>
        <v>.</v>
      </c>
      <c r="HG114" s="558" t="str">
        <f t="shared" si="296"/>
        <v>.</v>
      </c>
      <c r="HH114" s="558" t="str">
        <f t="shared" si="296"/>
        <v>.</v>
      </c>
      <c r="HI114" s="558" t="str">
        <f t="shared" si="296"/>
        <v>.</v>
      </c>
      <c r="HJ114" s="558" t="str">
        <f t="shared" si="296"/>
        <v>.</v>
      </c>
      <c r="HK114" s="558" t="str">
        <f t="shared" si="296"/>
        <v>.</v>
      </c>
      <c r="HL114" s="558" t="str">
        <f t="shared" si="296"/>
        <v>.</v>
      </c>
      <c r="HM114" s="558" t="str">
        <f t="shared" si="296"/>
        <v>.</v>
      </c>
      <c r="HN114" s="558" t="str">
        <f t="shared" si="293"/>
        <v>.</v>
      </c>
      <c r="HO114" s="558" t="str">
        <f t="shared" si="293"/>
        <v>.</v>
      </c>
      <c r="HP114" s="558" t="str">
        <f t="shared" si="293"/>
        <v>.</v>
      </c>
      <c r="HQ114" s="558" t="str">
        <f t="shared" si="293"/>
        <v>.</v>
      </c>
      <c r="HR114" s="558" t="str">
        <f t="shared" si="293"/>
        <v>.</v>
      </c>
      <c r="HS114" s="558" t="str">
        <f t="shared" si="293"/>
        <v>.</v>
      </c>
      <c r="HT114" s="558" t="str">
        <f t="shared" si="293"/>
        <v>.</v>
      </c>
      <c r="HU114" s="558" t="str">
        <f t="shared" si="293"/>
        <v>.</v>
      </c>
      <c r="HV114" s="558" t="str">
        <f t="shared" si="293"/>
        <v>.</v>
      </c>
      <c r="HW114" s="558" t="str">
        <f t="shared" si="293"/>
        <v>.</v>
      </c>
      <c r="HX114" s="558" t="str">
        <f t="shared" si="293"/>
        <v>.</v>
      </c>
      <c r="HY114" s="558" t="str">
        <f t="shared" si="293"/>
        <v>.</v>
      </c>
      <c r="HZ114" s="558" t="str">
        <f t="shared" si="293"/>
        <v>.</v>
      </c>
      <c r="IA114" s="558" t="str">
        <f t="shared" si="293"/>
        <v>.</v>
      </c>
      <c r="IB114" s="558" t="str">
        <f t="shared" si="293"/>
        <v>.</v>
      </c>
      <c r="IC114" s="558" t="str">
        <f t="shared" si="302"/>
        <v>.</v>
      </c>
      <c r="ID114" s="558" t="str">
        <f t="shared" si="302"/>
        <v>.</v>
      </c>
      <c r="IE114" s="558" t="str">
        <f t="shared" si="302"/>
        <v>.</v>
      </c>
      <c r="IF114" s="558" t="str">
        <f t="shared" si="302"/>
        <v>.</v>
      </c>
      <c r="IG114" s="558" t="str">
        <f t="shared" si="302"/>
        <v>.</v>
      </c>
      <c r="IH114" s="558" t="str">
        <f t="shared" si="302"/>
        <v>.</v>
      </c>
      <c r="II114" s="558" t="str">
        <f t="shared" si="302"/>
        <v>.</v>
      </c>
      <c r="IJ114" s="558" t="str">
        <f t="shared" si="302"/>
        <v>.</v>
      </c>
      <c r="IK114" s="558" t="str">
        <f t="shared" si="302"/>
        <v>.</v>
      </c>
      <c r="IL114" s="558" t="str">
        <f t="shared" si="302"/>
        <v>.</v>
      </c>
      <c r="IM114" s="558" t="str">
        <f t="shared" si="302"/>
        <v>.</v>
      </c>
      <c r="IN114" s="558" t="str">
        <f t="shared" si="302"/>
        <v>.</v>
      </c>
      <c r="IO114" s="558" t="str">
        <f t="shared" si="302"/>
        <v>.</v>
      </c>
      <c r="IP114" s="558" t="str">
        <f t="shared" si="302"/>
        <v>.</v>
      </c>
      <c r="IQ114" s="558" t="str">
        <f t="shared" si="302"/>
        <v>.</v>
      </c>
      <c r="IR114" s="558" t="str">
        <f t="shared" si="302"/>
        <v>.</v>
      </c>
      <c r="IS114" s="558" t="str">
        <f t="shared" si="302"/>
        <v>.</v>
      </c>
      <c r="IT114" s="558" t="str">
        <f t="shared" si="302"/>
        <v>.</v>
      </c>
      <c r="IU114" s="558" t="str">
        <f t="shared" si="304"/>
        <v>.</v>
      </c>
      <c r="IV114" s="558" t="str">
        <f t="shared" si="304"/>
        <v>.</v>
      </c>
      <c r="IW114" s="558" t="str">
        <f t="shared" si="304"/>
        <v>.</v>
      </c>
      <c r="IX114" s="558" t="str">
        <f t="shared" si="304"/>
        <v>.</v>
      </c>
      <c r="IY114" s="558" t="str">
        <f t="shared" si="304"/>
        <v>.</v>
      </c>
      <c r="IZ114" s="558" t="str">
        <f t="shared" si="305"/>
        <v>.</v>
      </c>
      <c r="JA114" s="558" t="str">
        <f t="shared" si="305"/>
        <v>.</v>
      </c>
      <c r="JB114" s="558" t="str">
        <f t="shared" si="305"/>
        <v>.</v>
      </c>
      <c r="JC114" s="558" t="str">
        <f t="shared" si="305"/>
        <v>.</v>
      </c>
      <c r="JD114" s="558" t="str">
        <f t="shared" si="305"/>
        <v>.</v>
      </c>
      <c r="JE114" s="558" t="str">
        <f t="shared" si="305"/>
        <v>.</v>
      </c>
      <c r="JF114" s="558" t="str">
        <f t="shared" si="305"/>
        <v>.</v>
      </c>
      <c r="JG114" s="558" t="str">
        <f t="shared" si="305"/>
        <v>.</v>
      </c>
      <c r="JH114" s="558" t="str">
        <f t="shared" si="305"/>
        <v>.</v>
      </c>
      <c r="JI114" s="558" t="str">
        <f t="shared" si="305"/>
        <v>.</v>
      </c>
      <c r="JJ114" s="558" t="str">
        <f t="shared" si="305"/>
        <v>.</v>
      </c>
      <c r="JK114" s="558" t="str">
        <f t="shared" si="305"/>
        <v>.</v>
      </c>
      <c r="JL114" s="558" t="str">
        <f t="shared" si="305"/>
        <v>.</v>
      </c>
      <c r="JM114" s="558" t="str">
        <f t="shared" si="305"/>
        <v>.</v>
      </c>
      <c r="JN114" s="558" t="str">
        <f t="shared" si="305"/>
        <v>.</v>
      </c>
      <c r="JO114" s="558" t="str">
        <f t="shared" si="305"/>
        <v>.</v>
      </c>
    </row>
    <row r="115" spans="1:275" x14ac:dyDescent="0.2">
      <c r="A115" s="534">
        <f xml:space="preserve"> Basis!A115</f>
        <v>115</v>
      </c>
      <c r="F115" s="536">
        <f xml:space="preserve"> ROUND(    IF( $A$15=BE_MF_,   AW115,   INDEX( qx!115:115, F$16 ) ),    F$17    )</f>
        <v>0.35189999999999999</v>
      </c>
      <c r="G115" s="536">
        <f xml:space="preserve"> ROUND(    IF( $A$15=BE_MF_,   BB115,   INDEX( wx!115:115, G$16 ) ),    G$17    )</f>
        <v>1.4E-3</v>
      </c>
      <c r="H115" s="537">
        <f xml:space="preserve"> ROUND(    IF( $A$15=BE_MF_,   BG115,   INDEX( Kx!115:115, H$16 ) ),    H$17    )</f>
        <v>11765.57</v>
      </c>
      <c r="I115" s="538">
        <f t="shared" si="273"/>
        <v>11765.57</v>
      </c>
      <c r="J115" s="539">
        <f t="shared" si="208"/>
        <v>5.6630000000000003</v>
      </c>
      <c r="K115" s="540">
        <f t="shared" si="274"/>
        <v>0</v>
      </c>
      <c r="L115" s="541">
        <f t="shared" si="299"/>
        <v>0</v>
      </c>
      <c r="M115" s="541">
        <f t="shared" si="299"/>
        <v>8.5999999999999993E-2</v>
      </c>
      <c r="O115" s="542" t="b">
        <f t="shared" si="275"/>
        <v>0</v>
      </c>
      <c r="P115" s="493" t="str">
        <f t="shared" si="209"/>
        <v>.</v>
      </c>
      <c r="Q115" s="493" t="str">
        <f t="shared" si="210"/>
        <v>.</v>
      </c>
      <c r="R115" s="543" t="str">
        <f t="shared" si="211"/>
        <v>.</v>
      </c>
      <c r="S115" s="544" t="str">
        <f t="shared" si="212"/>
        <v>.</v>
      </c>
      <c r="T115" s="423" t="str">
        <f t="shared" si="213"/>
        <v>.</v>
      </c>
      <c r="U115" s="423" t="str">
        <f xml:space="preserve"> IF( $O115,    ROUND(  SUM( T115:T$120), U$17 ),  LEER  )</f>
        <v>.</v>
      </c>
      <c r="V115" s="493" t="str">
        <f t="shared" si="214"/>
        <v>.</v>
      </c>
      <c r="W115" s="493" t="str">
        <f t="shared" si="215"/>
        <v>.</v>
      </c>
      <c r="X115" s="493" t="str">
        <f xml:space="preserve"> IF( $O115,    ROUND(  SUM( W115:W$120), X$17 ),  LEER  )</f>
        <v>.</v>
      </c>
      <c r="Y115" s="493" t="str">
        <f t="shared" si="216"/>
        <v>.</v>
      </c>
      <c r="Z115" s="493" t="str">
        <f t="shared" si="217"/>
        <v>.</v>
      </c>
      <c r="AA115" s="493" t="str">
        <f t="shared" si="218"/>
        <v>.</v>
      </c>
      <c r="AB115" s="493" t="str">
        <f t="shared" si="219"/>
        <v>.</v>
      </c>
      <c r="AC115" s="545" t="str">
        <f t="shared" si="220"/>
        <v>.</v>
      </c>
      <c r="AD115" s="493" t="str">
        <f t="shared" si="221"/>
        <v>.</v>
      </c>
      <c r="AE115" s="493" t="str">
        <f t="shared" si="222"/>
        <v>.</v>
      </c>
      <c r="AF115" s="493" t="str">
        <f t="shared" si="223"/>
        <v>.</v>
      </c>
      <c r="AG115" s="493" t="str">
        <f t="shared" si="224"/>
        <v>.</v>
      </c>
      <c r="AH115" s="493" t="str">
        <f t="shared" si="225"/>
        <v>.</v>
      </c>
      <c r="AI115" s="423" t="str">
        <f t="shared" si="226"/>
        <v>.</v>
      </c>
      <c r="AJ115" s="423" t="str">
        <f t="shared" si="227"/>
        <v>.</v>
      </c>
      <c r="AK115" s="423" t="str">
        <f t="shared" si="228"/>
        <v>.</v>
      </c>
      <c r="AN115" s="423" t="str">
        <f t="shared" si="294"/>
        <v>.</v>
      </c>
      <c r="AO115" s="423" t="str">
        <f t="shared" si="294"/>
        <v>.</v>
      </c>
      <c r="AR115" s="546">
        <f xml:space="preserve"> ROUND(  INDEX( Kx!115:115, AR$16 ),  AR$17 )</f>
        <v>0.24679999999999999</v>
      </c>
      <c r="AS115" s="547">
        <f xml:space="preserve"> ROUND(  INDEX( qx!115:115, AS$16 ),  AS$17 )</f>
        <v>0.37080000000000002</v>
      </c>
      <c r="AT115" s="547">
        <f xml:space="preserve"> ROUND(  INDEX( qx!115:115, AT$16 ),  AT$17 )</f>
        <v>0.3478</v>
      </c>
      <c r="AU115" s="548" t="str">
        <f t="shared" si="229"/>
        <v>F</v>
      </c>
      <c r="AV115" s="542">
        <f t="shared" si="230"/>
        <v>0.17929999999999999</v>
      </c>
      <c r="AW115" s="542">
        <f t="shared" si="231"/>
        <v>0.35189999999999999</v>
      </c>
      <c r="AX115" s="546">
        <f xml:space="preserve"> ROUND(  INDEX( wx!115:115, AX$16 ),  AX$17 )</f>
        <v>0</v>
      </c>
      <c r="AY115" s="546">
        <f xml:space="preserve"> ROUND(  INDEX( wx!115:115, AY$16 ),  AY$17 )</f>
        <v>2.0999999999999999E-3</v>
      </c>
      <c r="AZ115" s="548" t="str">
        <f t="shared" si="232"/>
        <v>M</v>
      </c>
      <c r="BA115" s="542">
        <f t="shared" si="233"/>
        <v>0.32950000000000002</v>
      </c>
      <c r="BB115" s="542">
        <f t="shared" si="234"/>
        <v>1.4E-3</v>
      </c>
      <c r="BC115" s="533">
        <f xml:space="preserve"> ROUND(  INDEX( Kx!115:115, BC$16 ),  BC$17 )</f>
        <v>14443.97</v>
      </c>
      <c r="BD115" s="533">
        <f xml:space="preserve"> ROUND(  INDEX( Kx!115:115, BD$16 ),  BD$17 )</f>
        <v>10449.34</v>
      </c>
      <c r="BE115" s="548" t="str">
        <f t="shared" si="235"/>
        <v>M</v>
      </c>
      <c r="BF115" s="542">
        <f t="shared" si="236"/>
        <v>0.32950000000000002</v>
      </c>
      <c r="BG115" s="420">
        <f t="shared" si="237"/>
        <v>11765.57</v>
      </c>
      <c r="BQ115" s="549">
        <f t="shared" si="276"/>
        <v>115</v>
      </c>
      <c r="BR115" s="423" t="str">
        <f t="shared" si="238"/>
        <v>.</v>
      </c>
      <c r="BS115" s="550" t="str">
        <f t="shared" si="239"/>
        <v>.</v>
      </c>
      <c r="BT115" s="423" t="str">
        <f t="shared" si="240"/>
        <v>.</v>
      </c>
      <c r="BU115" s="551" t="str">
        <f t="shared" si="241"/>
        <v>.</v>
      </c>
      <c r="BV115" s="551" t="str">
        <f t="shared" si="242"/>
        <v>.</v>
      </c>
      <c r="BW115" s="529" t="str">
        <f t="shared" si="243"/>
        <v>.</v>
      </c>
      <c r="BX115" s="552" t="str">
        <f t="shared" si="244"/>
        <v>.</v>
      </c>
      <c r="BY115" s="560"/>
      <c r="BZ115" s="559"/>
      <c r="CB115" s="423" t="str">
        <f t="shared" si="245"/>
        <v>.</v>
      </c>
      <c r="CC115" s="423" t="str">
        <f t="shared" si="246"/>
        <v>.</v>
      </c>
      <c r="CD115" s="423" t="str">
        <f t="shared" si="247"/>
        <v>.</v>
      </c>
      <c r="CE115" s="423" t="str">
        <f t="shared" si="248"/>
        <v>.</v>
      </c>
      <c r="CF115" s="553" t="str">
        <f t="shared" si="249"/>
        <v>.</v>
      </c>
      <c r="CH115" s="423" t="str">
        <f t="shared" si="250"/>
        <v>.</v>
      </c>
      <c r="CI115" s="423" t="str">
        <f t="shared" si="251"/>
        <v>.</v>
      </c>
      <c r="CJ115" s="423" t="str">
        <f t="shared" si="252"/>
        <v>.</v>
      </c>
      <c r="CK115" s="423" t="str">
        <f t="shared" si="253"/>
        <v>.</v>
      </c>
      <c r="CL115" s="553" t="str">
        <f t="shared" si="254"/>
        <v>.</v>
      </c>
      <c r="CN115" s="423" t="str">
        <f t="shared" si="255"/>
        <v>.</v>
      </c>
      <c r="CO115" s="423" t="str">
        <f t="shared" si="256"/>
        <v>.</v>
      </c>
      <c r="CP115" s="423" t="str">
        <f t="shared" si="257"/>
        <v>.</v>
      </c>
      <c r="CQ115" s="423" t="str">
        <f t="shared" si="258"/>
        <v>.</v>
      </c>
      <c r="CR115" s="553" t="str">
        <f t="shared" si="259"/>
        <v>.</v>
      </c>
      <c r="CV115" s="564">
        <f t="shared" si="277"/>
        <v>115</v>
      </c>
      <c r="CW115" s="538" t="str">
        <f t="shared" si="260"/>
        <v>.</v>
      </c>
      <c r="CX115" s="566" t="str">
        <f t="shared" si="261"/>
        <v>.</v>
      </c>
      <c r="CY115" s="538" t="str">
        <f t="shared" si="262"/>
        <v>.</v>
      </c>
      <c r="CZ115" s="538" t="str">
        <f t="shared" si="263"/>
        <v>.</v>
      </c>
      <c r="DA115" s="538" t="str">
        <f t="shared" si="264"/>
        <v>.</v>
      </c>
      <c r="DB115" s="567" t="e">
        <f t="shared" si="278"/>
        <v>#N/A</v>
      </c>
      <c r="DC115" s="567" t="e">
        <f t="shared" si="279"/>
        <v>#N/A</v>
      </c>
      <c r="DD115" s="567" t="e">
        <f t="shared" si="280"/>
        <v>#N/A</v>
      </c>
      <c r="DE115" s="567" t="e">
        <f t="shared" si="280"/>
        <v>#N/A</v>
      </c>
      <c r="DF115" s="568" t="e">
        <f t="shared" si="281"/>
        <v>#N/A</v>
      </c>
      <c r="EL115" s="553" t="str">
        <f t="shared" si="265"/>
        <v>.</v>
      </c>
      <c r="EM115" s="553" t="str">
        <f t="shared" si="266"/>
        <v>.</v>
      </c>
      <c r="EN115" s="423" t="str">
        <f t="shared" si="267"/>
        <v>.</v>
      </c>
      <c r="EO115" s="555" t="str">
        <f xml:space="preserve"> 'i2'!AO115</f>
        <v>.</v>
      </c>
      <c r="EV115" s="533" t="e">
        <f xml:space="preserve"> ROUND(    IF( $A$15=BE_MF_,   LEER,   INDEX( Kx!115:115, EV$16 ) ),    EV$17    )</f>
        <v>#VALUE!</v>
      </c>
      <c r="EW115" s="533" t="e">
        <f xml:space="preserve"> ROUND(    IF( $A$15=BE_MF_,   LEER,   INDEX( Kx!115:115, EW$16 ) ),    EW$17    )</f>
        <v>#VALUE!</v>
      </c>
      <c r="EX115" s="533" t="e">
        <f xml:space="preserve"> ROUND(    IF( $A$15=BE_MF_,   LEER,   INDEX( Kx!115:115, EX$16 ) ),    EX$17    )</f>
        <v>#VALUE!</v>
      </c>
      <c r="EY115" s="556" t="e">
        <f t="shared" si="282"/>
        <v>#VALUE!</v>
      </c>
      <c r="FB115" s="533" t="e">
        <f xml:space="preserve"> ROUND(    IF( $A$15=BE_MF_,   LEER,   INDEX( Kx!115:115, FB$16 ) ),    FB$17    )</f>
        <v>#VALUE!</v>
      </c>
      <c r="FC115" s="533" t="e">
        <f xml:space="preserve"> ROUND(    IF( $A$15=BE_MF_,   LEER,   INDEX( Kx!115:115, FC$16 ) ),    FC$17    )</f>
        <v>#VALUE!</v>
      </c>
      <c r="FD115" s="556" t="e">
        <f t="shared" si="283"/>
        <v>#VALUE!</v>
      </c>
      <c r="FG115" s="556" t="e">
        <f t="shared" si="284"/>
        <v>#VALUE!</v>
      </c>
      <c r="FH115" s="556" t="e">
        <f t="shared" si="284"/>
        <v>#VALUE!</v>
      </c>
      <c r="FI115" s="556" t="e">
        <f t="shared" si="284"/>
        <v>#VALUE!</v>
      </c>
      <c r="FN115" s="557">
        <f t="shared" si="268"/>
        <v>115</v>
      </c>
      <c r="FO115" s="493" t="str">
        <f t="shared" si="269"/>
        <v>.</v>
      </c>
      <c r="FP115" s="493" t="str">
        <f t="shared" si="270"/>
        <v>.</v>
      </c>
      <c r="FR115" s="427">
        <f t="shared" si="285"/>
        <v>0</v>
      </c>
      <c r="FS115" s="558" t="str">
        <f t="shared" si="295"/>
        <v>.</v>
      </c>
      <c r="FT115" s="558" t="str">
        <f t="shared" si="295"/>
        <v>.</v>
      </c>
      <c r="FU115" s="558" t="str">
        <f t="shared" si="295"/>
        <v>.</v>
      </c>
      <c r="FV115" s="558" t="str">
        <f t="shared" si="295"/>
        <v>.</v>
      </c>
      <c r="FW115" s="558" t="str">
        <f t="shared" si="295"/>
        <v>.</v>
      </c>
      <c r="FX115" s="558" t="str">
        <f t="shared" si="295"/>
        <v>.</v>
      </c>
      <c r="FY115" s="558" t="str">
        <f t="shared" si="295"/>
        <v>.</v>
      </c>
      <c r="FZ115" s="558" t="str">
        <f t="shared" si="295"/>
        <v>.</v>
      </c>
      <c r="GA115" s="558" t="str">
        <f t="shared" si="295"/>
        <v>.</v>
      </c>
      <c r="GB115" s="558" t="str">
        <f t="shared" si="295"/>
        <v>.</v>
      </c>
      <c r="GC115" s="558" t="str">
        <f t="shared" si="295"/>
        <v>.</v>
      </c>
      <c r="GD115" s="558" t="str">
        <f t="shared" si="295"/>
        <v>.</v>
      </c>
      <c r="GE115" s="558" t="str">
        <f t="shared" si="295"/>
        <v>.</v>
      </c>
      <c r="GF115" s="558" t="str">
        <f t="shared" si="295"/>
        <v>.</v>
      </c>
      <c r="GG115" s="558" t="str">
        <f t="shared" si="295"/>
        <v>.</v>
      </c>
      <c r="GH115" s="558" t="str">
        <f t="shared" ref="GH115:GW120" si="306" xml:space="preserve"> IF(  OR( GH$18&gt;$FN115, $FN115&gt;$FS$12 ),  LEER,  ROUND( $FR$19 * ( $FO115 - GH$15 * $FP115 ), GH$17 )  )</f>
        <v>.</v>
      </c>
      <c r="GI115" s="558" t="str">
        <f t="shared" si="306"/>
        <v>.</v>
      </c>
      <c r="GJ115" s="558" t="str">
        <f t="shared" si="306"/>
        <v>.</v>
      </c>
      <c r="GK115" s="558" t="str">
        <f t="shared" si="306"/>
        <v>.</v>
      </c>
      <c r="GL115" s="558" t="str">
        <f t="shared" si="306"/>
        <v>.</v>
      </c>
      <c r="GM115" s="558" t="str">
        <f t="shared" si="306"/>
        <v>.</v>
      </c>
      <c r="GN115" s="558" t="str">
        <f t="shared" si="306"/>
        <v>.</v>
      </c>
      <c r="GO115" s="558" t="str">
        <f t="shared" si="306"/>
        <v>.</v>
      </c>
      <c r="GP115" s="558" t="str">
        <f t="shared" si="306"/>
        <v>.</v>
      </c>
      <c r="GQ115" s="558" t="str">
        <f t="shared" si="306"/>
        <v>.</v>
      </c>
      <c r="GR115" s="558" t="str">
        <f t="shared" si="306"/>
        <v>.</v>
      </c>
      <c r="GS115" s="558" t="str">
        <f t="shared" si="306"/>
        <v>.</v>
      </c>
      <c r="GT115" s="558" t="str">
        <f t="shared" si="306"/>
        <v>.</v>
      </c>
      <c r="GU115" s="558" t="str">
        <f t="shared" si="306"/>
        <v>.</v>
      </c>
      <c r="GV115" s="558" t="str">
        <f t="shared" si="306"/>
        <v>.</v>
      </c>
      <c r="GW115" s="558" t="str">
        <f t="shared" si="306"/>
        <v>.</v>
      </c>
      <c r="GX115" s="558" t="str">
        <f t="shared" si="296"/>
        <v>.</v>
      </c>
      <c r="GY115" s="558" t="str">
        <f t="shared" si="296"/>
        <v>.</v>
      </c>
      <c r="GZ115" s="558" t="str">
        <f t="shared" si="296"/>
        <v>.</v>
      </c>
      <c r="HA115" s="558" t="str">
        <f t="shared" si="296"/>
        <v>.</v>
      </c>
      <c r="HB115" s="558" t="str">
        <f t="shared" si="296"/>
        <v>.</v>
      </c>
      <c r="HC115" s="558" t="str">
        <f t="shared" si="296"/>
        <v>.</v>
      </c>
      <c r="HD115" s="558" t="str">
        <f t="shared" si="296"/>
        <v>.</v>
      </c>
      <c r="HE115" s="558" t="str">
        <f t="shared" si="296"/>
        <v>.</v>
      </c>
      <c r="HF115" s="558" t="str">
        <f t="shared" si="296"/>
        <v>.</v>
      </c>
      <c r="HG115" s="558" t="str">
        <f t="shared" si="296"/>
        <v>.</v>
      </c>
      <c r="HH115" s="558" t="str">
        <f t="shared" si="296"/>
        <v>.</v>
      </c>
      <c r="HI115" s="558" t="str">
        <f t="shared" si="296"/>
        <v>.</v>
      </c>
      <c r="HJ115" s="558" t="str">
        <f t="shared" si="296"/>
        <v>.</v>
      </c>
      <c r="HK115" s="558" t="str">
        <f t="shared" si="296"/>
        <v>.</v>
      </c>
      <c r="HL115" s="558" t="str">
        <f t="shared" si="296"/>
        <v>.</v>
      </c>
      <c r="HM115" s="558" t="str">
        <f t="shared" ref="HM115:IB120" si="307" xml:space="preserve"> IF(  OR( HM$18&gt;$FN115, $FN115&gt;$FS$12 ),  LEER,  ROUND( $FR$19 * ( $FO115 - HM$15 * $FP115 ), HM$17 )  )</f>
        <v>.</v>
      </c>
      <c r="HN115" s="558" t="str">
        <f t="shared" si="307"/>
        <v>.</v>
      </c>
      <c r="HO115" s="558" t="str">
        <f t="shared" si="307"/>
        <v>.</v>
      </c>
      <c r="HP115" s="558" t="str">
        <f t="shared" si="307"/>
        <v>.</v>
      </c>
      <c r="HQ115" s="558" t="str">
        <f t="shared" si="307"/>
        <v>.</v>
      </c>
      <c r="HR115" s="558" t="str">
        <f t="shared" si="307"/>
        <v>.</v>
      </c>
      <c r="HS115" s="558" t="str">
        <f t="shared" si="307"/>
        <v>.</v>
      </c>
      <c r="HT115" s="558" t="str">
        <f t="shared" si="307"/>
        <v>.</v>
      </c>
      <c r="HU115" s="558" t="str">
        <f t="shared" si="307"/>
        <v>.</v>
      </c>
      <c r="HV115" s="558" t="str">
        <f t="shared" si="307"/>
        <v>.</v>
      </c>
      <c r="HW115" s="558" t="str">
        <f t="shared" si="307"/>
        <v>.</v>
      </c>
      <c r="HX115" s="558" t="str">
        <f t="shared" si="307"/>
        <v>.</v>
      </c>
      <c r="HY115" s="558" t="str">
        <f t="shared" si="307"/>
        <v>.</v>
      </c>
      <c r="HZ115" s="558" t="str">
        <f t="shared" si="307"/>
        <v>.</v>
      </c>
      <c r="IA115" s="558" t="str">
        <f t="shared" si="307"/>
        <v>.</v>
      </c>
      <c r="IB115" s="558" t="str">
        <f t="shared" si="307"/>
        <v>.</v>
      </c>
      <c r="IC115" s="558" t="str">
        <f t="shared" si="302"/>
        <v>.</v>
      </c>
      <c r="ID115" s="558" t="str">
        <f t="shared" si="302"/>
        <v>.</v>
      </c>
      <c r="IE115" s="558" t="str">
        <f t="shared" si="302"/>
        <v>.</v>
      </c>
      <c r="IF115" s="558" t="str">
        <f t="shared" si="302"/>
        <v>.</v>
      </c>
      <c r="IG115" s="558" t="str">
        <f t="shared" si="302"/>
        <v>.</v>
      </c>
      <c r="IH115" s="558" t="str">
        <f t="shared" si="302"/>
        <v>.</v>
      </c>
      <c r="II115" s="558" t="str">
        <f t="shared" si="302"/>
        <v>.</v>
      </c>
      <c r="IJ115" s="558" t="str">
        <f t="shared" si="302"/>
        <v>.</v>
      </c>
      <c r="IK115" s="558" t="str">
        <f t="shared" si="302"/>
        <v>.</v>
      </c>
      <c r="IL115" s="558" t="str">
        <f t="shared" si="302"/>
        <v>.</v>
      </c>
      <c r="IM115" s="558" t="str">
        <f t="shared" si="302"/>
        <v>.</v>
      </c>
      <c r="IN115" s="558" t="str">
        <f t="shared" si="302"/>
        <v>.</v>
      </c>
      <c r="IO115" s="558" t="str">
        <f t="shared" si="302"/>
        <v>.</v>
      </c>
      <c r="IP115" s="558" t="str">
        <f t="shared" si="302"/>
        <v>.</v>
      </c>
      <c r="IQ115" s="558" t="str">
        <f t="shared" si="302"/>
        <v>.</v>
      </c>
      <c r="IR115" s="558" t="str">
        <f t="shared" si="302"/>
        <v>.</v>
      </c>
      <c r="IS115" s="558" t="str">
        <f t="shared" si="302"/>
        <v>.</v>
      </c>
      <c r="IT115" s="558" t="str">
        <f t="shared" si="302"/>
        <v>.</v>
      </c>
      <c r="IU115" s="558" t="str">
        <f t="shared" si="304"/>
        <v>.</v>
      </c>
      <c r="IV115" s="558" t="str">
        <f t="shared" si="304"/>
        <v>.</v>
      </c>
      <c r="IW115" s="558" t="str">
        <f t="shared" si="304"/>
        <v>.</v>
      </c>
      <c r="IX115" s="558" t="str">
        <f t="shared" si="304"/>
        <v>.</v>
      </c>
      <c r="IY115" s="558" t="str">
        <f t="shared" si="304"/>
        <v>.</v>
      </c>
      <c r="IZ115" s="558" t="str">
        <f t="shared" si="305"/>
        <v>.</v>
      </c>
      <c r="JA115" s="558" t="str">
        <f t="shared" si="305"/>
        <v>.</v>
      </c>
      <c r="JB115" s="558" t="str">
        <f t="shared" si="305"/>
        <v>.</v>
      </c>
      <c r="JC115" s="558" t="str">
        <f t="shared" si="305"/>
        <v>.</v>
      </c>
      <c r="JD115" s="558" t="str">
        <f t="shared" si="305"/>
        <v>.</v>
      </c>
      <c r="JE115" s="558" t="str">
        <f t="shared" si="305"/>
        <v>.</v>
      </c>
      <c r="JF115" s="558" t="str">
        <f t="shared" si="305"/>
        <v>.</v>
      </c>
      <c r="JG115" s="558" t="str">
        <f t="shared" si="305"/>
        <v>.</v>
      </c>
      <c r="JH115" s="558" t="str">
        <f t="shared" si="305"/>
        <v>.</v>
      </c>
      <c r="JI115" s="558" t="str">
        <f t="shared" si="305"/>
        <v>.</v>
      </c>
      <c r="JJ115" s="558" t="str">
        <f t="shared" si="305"/>
        <v>.</v>
      </c>
      <c r="JK115" s="558" t="str">
        <f t="shared" si="305"/>
        <v>.</v>
      </c>
      <c r="JL115" s="558" t="str">
        <f t="shared" si="305"/>
        <v>.</v>
      </c>
      <c r="JM115" s="558" t="str">
        <f t="shared" si="305"/>
        <v>.</v>
      </c>
      <c r="JN115" s="558" t="str">
        <f t="shared" si="305"/>
        <v>.</v>
      </c>
      <c r="JO115" s="558" t="str">
        <f t="shared" si="305"/>
        <v>.</v>
      </c>
    </row>
    <row r="116" spans="1:275" x14ac:dyDescent="0.2">
      <c r="A116" s="534">
        <f xml:space="preserve"> Basis!A116</f>
        <v>116</v>
      </c>
      <c r="F116" s="536">
        <f xml:space="preserve"> ROUND(    IF( $A$15=BE_MF_,   AW116,   INDEX( qx!116:116, F$16 ) ),    F$17    )</f>
        <v>0.35780000000000001</v>
      </c>
      <c r="G116" s="536">
        <f xml:space="preserve"> ROUND(    IF( $A$15=BE_MF_,   BB116,   INDEX( wx!116:116, G$16 ) ),    G$17    )</f>
        <v>1.4E-3</v>
      </c>
      <c r="H116" s="537">
        <f xml:space="preserve"> ROUND(    IF( $A$15=BE_MF_,   BG116,   INDEX( Kx!116:116, H$16 ) ),    H$17    )</f>
        <v>11800.03</v>
      </c>
      <c r="I116" s="538">
        <f t="shared" si="273"/>
        <v>11800.03</v>
      </c>
      <c r="J116" s="539">
        <f xml:space="preserve"> ROUND(  I116 / I$19,  J$17 )</f>
        <v>5.6790000000000003</v>
      </c>
      <c r="K116" s="540">
        <f t="shared" si="274"/>
        <v>0</v>
      </c>
      <c r="L116" s="541">
        <f t="shared" si="299"/>
        <v>0</v>
      </c>
      <c r="M116" s="541">
        <f t="shared" si="299"/>
        <v>8.5999999999999993E-2</v>
      </c>
      <c r="O116" s="542" t="b">
        <f t="shared" si="275"/>
        <v>0</v>
      </c>
      <c r="P116" s="493" t="str">
        <f t="shared" si="209"/>
        <v>.</v>
      </c>
      <c r="Q116" s="493" t="str">
        <f xml:space="preserve"> IF( $O116,    ROUND( 1 - P116,  Q$17  ),  LEER  )</f>
        <v>.</v>
      </c>
      <c r="R116" s="543" t="str">
        <f t="shared" si="211"/>
        <v>.</v>
      </c>
      <c r="S116" s="544" t="str">
        <f t="shared" si="212"/>
        <v>.</v>
      </c>
      <c r="T116" s="423" t="str">
        <f xml:space="preserve"> IF( $O116,    ROUND( R116 * S116 ^ A116, T$17 ),  LEER  )</f>
        <v>.</v>
      </c>
      <c r="U116" s="423" t="str">
        <f xml:space="preserve"> IF( $O116,    ROUND(  SUM( T116:T$120), U$17 ),  LEER  )</f>
        <v>.</v>
      </c>
      <c r="V116" s="493" t="str">
        <f xml:space="preserve"> IF( $O116,    IF( T116= 0, 1,  ROUND(  U116 / T116, V$17 )   ),  LEER  )</f>
        <v>.</v>
      </c>
      <c r="W116" s="493" t="str">
        <f t="shared" si="215"/>
        <v>.</v>
      </c>
      <c r="X116" s="493" t="str">
        <f xml:space="preserve"> IF( $O116,    ROUND(  SUM( W116:W$120), X$17 ),  LEER  )</f>
        <v>.</v>
      </c>
      <c r="Y116" s="493" t="str">
        <f xml:space="preserve"> IF( $O116,    IF( T116= 0, J116,  ROUND(  X116 / T116, Y$17 )   ),   LEER  )</f>
        <v>.</v>
      </c>
      <c r="Z116" s="493" t="str">
        <f xml:space="preserve"> IF( $O116,    IF( V116= 0, Y116,  ROUND( Y116 / V116, Z$17 )  ),   LEER  )</f>
        <v>.</v>
      </c>
      <c r="AA116" s="493" t="str">
        <f t="shared" si="218"/>
        <v>.</v>
      </c>
      <c r="AB116" s="493" t="str">
        <f t="shared" si="219"/>
        <v>.</v>
      </c>
      <c r="AC116" s="545" t="str">
        <f t="shared" ref="AC116:AC120" si="308" xml:space="preserve">  IF( NOT($O116),   LEER,   ROUND(  L116 * AB116  +  IF( $A116&lt;AC$12, AC$5, AC$6 ),  AC$17  )    )</f>
        <v>.</v>
      </c>
      <c r="AD116" s="493" t="str">
        <f xml:space="preserve">  IF( $O116,   ROUND( AA116 * Z116 + ( AA116 - 1 ) * AC116, AD$17 ),       LEER  )</f>
        <v>.</v>
      </c>
      <c r="AE116" s="493" t="str">
        <f xml:space="preserve">  IF( $O116,   ROUND( ( AD116 + AC116 ) / ( 1 - M116), AE$17 ),       LEER  )</f>
        <v>.</v>
      </c>
      <c r="AF116" s="493" t="str">
        <f xml:space="preserve">  IF(  $O116,   IF(  OR( NOT( $AF$12), $A116=$M$12, AE116&gt;=AF115 ), AE116, MAX( AE116,AF115) ),  LEER  )</f>
        <v>.</v>
      </c>
      <c r="AG116" s="493" t="str">
        <f xml:space="preserve">  IF(  $O116,   IF(  AE116=AF116,  LEER, Setzung ),    LEER  )</f>
        <v>.</v>
      </c>
      <c r="AH116" s="493" t="str">
        <f xml:space="preserve">  IF(  $O116,   IF( AND( K115&lt;&gt;0, AG116=Setzung), SetzungZillmerung, LEER ),    LEER  )</f>
        <v>.</v>
      </c>
      <c r="AI116" s="423" t="str">
        <f t="shared" si="226"/>
        <v>.</v>
      </c>
      <c r="AJ116" s="423" t="str">
        <f xml:space="preserve">  IF( $O116,    ROUND( AF116 * AI116, AJ$17 ),  LEER  )</f>
        <v>.</v>
      </c>
      <c r="AK116" s="423" t="str">
        <f xml:space="preserve">  IF( $O116,    ROUND( AJ116 / 12, AK$17 ),  LEER  )</f>
        <v>.</v>
      </c>
      <c r="AN116" s="423" t="str">
        <f t="shared" si="294"/>
        <v>.</v>
      </c>
      <c r="AO116" s="423" t="str">
        <f t="shared" si="294"/>
        <v>.</v>
      </c>
      <c r="AR116" s="546">
        <f xml:space="preserve"> ROUND(  INDEX( Kx!116:116, AR$16 ),  AR$17 )</f>
        <v>0.24679999999999999</v>
      </c>
      <c r="AS116" s="547">
        <f xml:space="preserve"> ROUND(  INDEX( qx!116:116, AS$16 ),  AS$17 )</f>
        <v>0.37730000000000002</v>
      </c>
      <c r="AT116" s="547">
        <f xml:space="preserve"> ROUND(  INDEX( qx!116:116, AT$16 ),  AT$17 )</f>
        <v>0.35349999999999998</v>
      </c>
      <c r="AU116" s="548" t="str">
        <f t="shared" ref="AU116:AU120" si="309" xml:space="preserve"> IF( AS116&lt;AT116, AS$13, AT$13 )</f>
        <v>F</v>
      </c>
      <c r="AV116" s="542">
        <f t="shared" ref="AV116:AV120" si="310" xml:space="preserve"> ROUND(     IF( AU116=BE_M_, ( $AR116 + $AR116 * AV$18 ) / ( 1 + $AR116 * AV$18 ),  ( $AR116 ) / ( 1 + ( 1 - $AR116 ) * AV$18 ) ),   AV$17 )</f>
        <v>0.17929999999999999</v>
      </c>
      <c r="AW116" s="542">
        <f t="shared" ref="AW116:AW120" si="311" xml:space="preserve"> ROUND( AV116 * AS116 + ( 1 - AV116) * AT116, AW$17 )</f>
        <v>0.35780000000000001</v>
      </c>
      <c r="AX116" s="546">
        <f xml:space="preserve"> ROUND(  INDEX( wx!116:116, AX$16 ),  AX$17 )</f>
        <v>0</v>
      </c>
      <c r="AY116" s="546">
        <f xml:space="preserve"> ROUND(  INDEX( wx!116:116, AY$16 ),  AY$17 )</f>
        <v>2.0999999999999999E-3</v>
      </c>
      <c r="AZ116" s="548" t="str">
        <f t="shared" ref="AZ116:AZ120" si="312" xml:space="preserve"> IF( AX116&lt;AY116, AX$13, AY$13 )</f>
        <v>M</v>
      </c>
      <c r="BA116" s="542">
        <f t="shared" ref="BA116:BA120" si="313" xml:space="preserve"> ROUND(     IF( AZ116=BE_M_, ( $AR116 + $AR116 * BA$18 ) / ( 1 + $AR116 * BA$18 ),  ( $AR116 ) / ( 1 + ( 1 - $AR116 ) * BA$18 ) ),   BA$17 )</f>
        <v>0.32950000000000002</v>
      </c>
      <c r="BB116" s="542">
        <f t="shared" ref="BB116:BB120" si="314" xml:space="preserve"> ROUND( BA116 * AX116 + ( 1 - BA116) * AY116, BB$17 )</f>
        <v>1.4E-3</v>
      </c>
      <c r="BC116" s="533">
        <f xml:space="preserve"> ROUND(  INDEX( Kx!116:116, BC$16 ),  BC$17 )</f>
        <v>14522.66</v>
      </c>
      <c r="BD116" s="533">
        <f xml:space="preserve"> ROUND(  INDEX( Kx!116:116, BD$16 ),  BD$17 )</f>
        <v>10462.06</v>
      </c>
      <c r="BE116" s="548" t="str">
        <f t="shared" si="235"/>
        <v>M</v>
      </c>
      <c r="BF116" s="542">
        <f t="shared" ref="BF116:BF120" si="315" xml:space="preserve"> ROUND(     IF( BE116=BE_M_, ( $AR116 + $AR116 * BF$18 ) / ( 1 + $AR116 * BF$18 ),  ( $AR116 ) / ( 1 + ( 1 - $AR116 ) * BF$18 ) ),   BF$17 )</f>
        <v>0.32950000000000002</v>
      </c>
      <c r="BG116" s="420">
        <f t="shared" ref="BG116:BG120" si="316" xml:space="preserve"> ROUND( BF116 * BC116 + ( 1 - BF116) * BD116, BG$17 )</f>
        <v>11800.03</v>
      </c>
      <c r="BQ116" s="549">
        <f t="shared" si="276"/>
        <v>116</v>
      </c>
      <c r="BR116" s="423" t="str">
        <f t="shared" si="238"/>
        <v>.</v>
      </c>
      <c r="BS116" s="550" t="str">
        <f t="shared" si="239"/>
        <v>.</v>
      </c>
      <c r="BT116" s="423" t="str">
        <f t="shared" si="240"/>
        <v>.</v>
      </c>
      <c r="BU116" s="551" t="str">
        <f t="shared" si="241"/>
        <v>.</v>
      </c>
      <c r="BV116" s="551" t="str">
        <f xml:space="preserve"> IF( OR( $A116 &lt; $BV$12, $A116 &gt; $O$12 ),   LEER,   ROUND( SUM(BU115) / SUM(BU116), BV$17 )   )</f>
        <v>.</v>
      </c>
      <c r="BW116" s="529" t="str">
        <f t="shared" si="243"/>
        <v>.</v>
      </c>
      <c r="BX116" s="552" t="str">
        <f xml:space="preserve"> IF( OR( $A116 &lt;= $BX$12, $A116 &gt; $O$12 ),   LEER,   BW116 - ( BR116 + BT116 )   )</f>
        <v>.</v>
      </c>
      <c r="BY116" s="560"/>
      <c r="BZ116" s="559"/>
      <c r="CB116" s="423" t="str">
        <f t="shared" si="245"/>
        <v>.</v>
      </c>
      <c r="CC116" s="423" t="str">
        <f t="shared" si="246"/>
        <v>.</v>
      </c>
      <c r="CD116" s="423" t="str">
        <f t="shared" si="247"/>
        <v>.</v>
      </c>
      <c r="CE116" s="423" t="str">
        <f xml:space="preserve">  IF( AND( $O116, $A116&gt;=CE$12),    SUM(CB116:CD116),  LEER  )</f>
        <v>.</v>
      </c>
      <c r="CF116" s="553" t="str">
        <f t="shared" si="249"/>
        <v>.</v>
      </c>
      <c r="CH116" s="423" t="str">
        <f t="shared" si="250"/>
        <v>.</v>
      </c>
      <c r="CI116" s="423" t="str">
        <f t="shared" si="251"/>
        <v>.</v>
      </c>
      <c r="CJ116" s="423" t="str">
        <f t="shared" si="252"/>
        <v>.</v>
      </c>
      <c r="CK116" s="423" t="str">
        <f t="shared" si="253"/>
        <v>.</v>
      </c>
      <c r="CL116" s="553" t="str">
        <f xml:space="preserve">  IF( AND( $O116, $A116&gt;=CL$12), SUM( CI116:CK116 ), LEER  )</f>
        <v>.</v>
      </c>
      <c r="CN116" s="423" t="str">
        <f t="shared" si="255"/>
        <v>.</v>
      </c>
      <c r="CO116" s="423" t="str">
        <f t="shared" si="256"/>
        <v>.</v>
      </c>
      <c r="CP116" s="423" t="str">
        <f t="shared" si="257"/>
        <v>.</v>
      </c>
      <c r="CQ116" s="423" t="str">
        <f t="shared" si="258"/>
        <v>.</v>
      </c>
      <c r="CR116" s="553" t="str">
        <f t="shared" si="259"/>
        <v>.</v>
      </c>
      <c r="CV116" s="564">
        <f t="shared" si="277"/>
        <v>116</v>
      </c>
      <c r="CW116" s="538" t="str">
        <f t="shared" si="260"/>
        <v>.</v>
      </c>
      <c r="CX116" s="566" t="str">
        <f t="shared" ref="CX116:CX147" si="317" xml:space="preserve"> IF(  OR( $CV116&lt;CY$3, $CV116&gt;DA$3),   LEER,   $AO116   )</f>
        <v>.</v>
      </c>
      <c r="CY116" s="538" t="str">
        <f t="shared" ref="CY116:CY147" si="318" xml:space="preserve"> IF(  OR( $CV116&lt;CY$3, $CV116&gt;CZ$3),   LEER,
   IF(  $CV116=CY$3,   CW116,
                                             ROUND( SUM(CY115) * T115 / T116, CY$17 )   )       )</f>
        <v>.</v>
      </c>
      <c r="CZ116" s="538" t="str">
        <f t="shared" ref="CZ116:CZ147" si="319" xml:space="preserve"> IF(  OR( $CV116&lt;CZ$3, $CV116&gt;DA$3),   LEER,
   IF(  $CV116=CZ$3,   CY116,
                                             ROUND( SUM(CZ115) * V116 / V115, CZ$17 )   )       )</f>
        <v>.</v>
      </c>
      <c r="DA116" s="538" t="str">
        <f t="shared" ref="DA116:DA147" si="320" xml:space="preserve"> IF(  OR( $CV116&lt;CZ$3, $CV116&gt;DA$3),   LEER,
                                                                                ROUND( DA$7 * ( Y116 - DA$5 * V116 ), DA$17  )      )</f>
        <v>.</v>
      </c>
      <c r="DB116" s="567" t="e">
        <f t="shared" si="278"/>
        <v>#N/A</v>
      </c>
      <c r="DC116" s="567" t="e">
        <f t="shared" si="279"/>
        <v>#N/A</v>
      </c>
      <c r="DD116" s="567" t="e">
        <f t="shared" si="280"/>
        <v>#N/A</v>
      </c>
      <c r="DE116" s="567" t="e">
        <f t="shared" si="280"/>
        <v>#N/A</v>
      </c>
      <c r="DF116" s="568" t="e">
        <f t="shared" si="281"/>
        <v>#N/A</v>
      </c>
      <c r="EL116" s="553" t="str">
        <f t="shared" si="265"/>
        <v>.</v>
      </c>
      <c r="EM116" s="553" t="str">
        <f xml:space="preserve">  IF( AND( $A116&lt;=$O$12, $A116&gt;=EL$12),    ROUND( ( 1 - $M116 ) * $V116 * EM$8, EL$17 ),  LEER  )</f>
        <v>.</v>
      </c>
      <c r="EN116" s="423" t="str">
        <f xml:space="preserve">  IF( AND( $A116&lt;=$O$12, $A116&gt;=EL$12),    ROUND( SUM(EL116:EM116), EN$17 ),  LEER  )</f>
        <v>.</v>
      </c>
      <c r="EO116" s="555" t="str">
        <f xml:space="preserve"> 'i2'!AO116</f>
        <v>.</v>
      </c>
      <c r="EV116" s="533" t="e">
        <f xml:space="preserve"> ROUND(    IF( $A$15=BE_MF_,   LEER,   INDEX( Kx!116:116, EV$16 ) ),    EV$17    )</f>
        <v>#VALUE!</v>
      </c>
      <c r="EW116" s="533" t="e">
        <f xml:space="preserve"> ROUND(    IF( $A$15=BE_MF_,   LEER,   INDEX( Kx!116:116, EW$16 ) ),    EW$17    )</f>
        <v>#VALUE!</v>
      </c>
      <c r="EX116" s="533" t="e">
        <f xml:space="preserve"> ROUND(    IF( $A$15=BE_MF_,   LEER,   INDEX( Kx!116:116, EX$16 ) ),    EX$17    )</f>
        <v>#VALUE!</v>
      </c>
      <c r="EY116" s="556" t="e">
        <f t="shared" si="282"/>
        <v>#VALUE!</v>
      </c>
      <c r="FB116" s="533" t="e">
        <f xml:space="preserve"> ROUND(    IF( $A$15=BE_MF_,   LEER,   INDEX( Kx!116:116, FB$16 ) ),    FB$17    )</f>
        <v>#VALUE!</v>
      </c>
      <c r="FC116" s="533" t="e">
        <f xml:space="preserve"> ROUND(    IF( $A$15=BE_MF_,   LEER,   INDEX( Kx!116:116, FC$16 ) ),    FC$17    )</f>
        <v>#VALUE!</v>
      </c>
      <c r="FD116" s="556" t="e">
        <f t="shared" si="283"/>
        <v>#VALUE!</v>
      </c>
      <c r="FG116" s="556" t="e">
        <f t="shared" si="284"/>
        <v>#VALUE!</v>
      </c>
      <c r="FH116" s="556" t="e">
        <f t="shared" si="284"/>
        <v>#VALUE!</v>
      </c>
      <c r="FI116" s="556" t="e">
        <f t="shared" si="284"/>
        <v>#VALUE!</v>
      </c>
      <c r="FN116" s="557">
        <f t="shared" si="268"/>
        <v>116</v>
      </c>
      <c r="FO116" s="493" t="str">
        <f t="shared" si="269"/>
        <v>.</v>
      </c>
      <c r="FP116" s="493" t="str">
        <f t="shared" si="270"/>
        <v>.</v>
      </c>
      <c r="FR116" s="427">
        <f t="shared" si="285"/>
        <v>0</v>
      </c>
      <c r="FS116" s="558" t="str">
        <f t="shared" ref="FS116:GH120" si="321" xml:space="preserve"> IF(  OR( FS$18&gt;$FN116, $FN116&gt;$FS$12 ),  LEER,  ROUND( $FR$19 * ( $FO116 - FS$15 * $FP116 ), FS$17 )  )</f>
        <v>.</v>
      </c>
      <c r="FT116" s="558" t="str">
        <f t="shared" si="321"/>
        <v>.</v>
      </c>
      <c r="FU116" s="558" t="str">
        <f t="shared" si="321"/>
        <v>.</v>
      </c>
      <c r="FV116" s="558" t="str">
        <f t="shared" si="321"/>
        <v>.</v>
      </c>
      <c r="FW116" s="558" t="str">
        <f t="shared" si="321"/>
        <v>.</v>
      </c>
      <c r="FX116" s="558" t="str">
        <f t="shared" si="321"/>
        <v>.</v>
      </c>
      <c r="FY116" s="558" t="str">
        <f t="shared" si="321"/>
        <v>.</v>
      </c>
      <c r="FZ116" s="558" t="str">
        <f t="shared" si="321"/>
        <v>.</v>
      </c>
      <c r="GA116" s="558" t="str">
        <f t="shared" si="321"/>
        <v>.</v>
      </c>
      <c r="GB116" s="558" t="str">
        <f t="shared" si="321"/>
        <v>.</v>
      </c>
      <c r="GC116" s="558" t="str">
        <f t="shared" si="321"/>
        <v>.</v>
      </c>
      <c r="GD116" s="558" t="str">
        <f t="shared" si="321"/>
        <v>.</v>
      </c>
      <c r="GE116" s="558" t="str">
        <f t="shared" si="321"/>
        <v>.</v>
      </c>
      <c r="GF116" s="558" t="str">
        <f t="shared" si="321"/>
        <v>.</v>
      </c>
      <c r="GG116" s="558" t="str">
        <f t="shared" si="321"/>
        <v>.</v>
      </c>
      <c r="GH116" s="558" t="str">
        <f t="shared" si="321"/>
        <v>.</v>
      </c>
      <c r="GI116" s="558" t="str">
        <f t="shared" si="306"/>
        <v>.</v>
      </c>
      <c r="GJ116" s="558" t="str">
        <f t="shared" si="306"/>
        <v>.</v>
      </c>
      <c r="GK116" s="558" t="str">
        <f t="shared" si="306"/>
        <v>.</v>
      </c>
      <c r="GL116" s="558" t="str">
        <f t="shared" si="306"/>
        <v>.</v>
      </c>
      <c r="GM116" s="558" t="str">
        <f t="shared" si="306"/>
        <v>.</v>
      </c>
      <c r="GN116" s="558" t="str">
        <f t="shared" si="306"/>
        <v>.</v>
      </c>
      <c r="GO116" s="558" t="str">
        <f t="shared" si="306"/>
        <v>.</v>
      </c>
      <c r="GP116" s="558" t="str">
        <f t="shared" si="306"/>
        <v>.</v>
      </c>
      <c r="GQ116" s="558" t="str">
        <f t="shared" si="306"/>
        <v>.</v>
      </c>
      <c r="GR116" s="558" t="str">
        <f t="shared" si="306"/>
        <v>.</v>
      </c>
      <c r="GS116" s="558" t="str">
        <f t="shared" si="306"/>
        <v>.</v>
      </c>
      <c r="GT116" s="558" t="str">
        <f t="shared" si="306"/>
        <v>.</v>
      </c>
      <c r="GU116" s="558" t="str">
        <f t="shared" si="306"/>
        <v>.</v>
      </c>
      <c r="GV116" s="558" t="str">
        <f t="shared" si="306"/>
        <v>.</v>
      </c>
      <c r="GW116" s="558" t="str">
        <f t="shared" si="306"/>
        <v>.</v>
      </c>
      <c r="GX116" s="558" t="str">
        <f t="shared" ref="GX116:HM120" si="322" xml:space="preserve"> IF(  OR( GX$18&gt;$FN116, $FN116&gt;$FS$12 ),  LEER,  ROUND( $FR$19 * ( $FO116 - GX$15 * $FP116 ), GX$17 )  )</f>
        <v>.</v>
      </c>
      <c r="GY116" s="558" t="str">
        <f t="shared" si="322"/>
        <v>.</v>
      </c>
      <c r="GZ116" s="558" t="str">
        <f t="shared" si="322"/>
        <v>.</v>
      </c>
      <c r="HA116" s="558" t="str">
        <f t="shared" si="322"/>
        <v>.</v>
      </c>
      <c r="HB116" s="558" t="str">
        <f t="shared" si="322"/>
        <v>.</v>
      </c>
      <c r="HC116" s="558" t="str">
        <f t="shared" si="322"/>
        <v>.</v>
      </c>
      <c r="HD116" s="558" t="str">
        <f t="shared" si="322"/>
        <v>.</v>
      </c>
      <c r="HE116" s="558" t="str">
        <f t="shared" si="322"/>
        <v>.</v>
      </c>
      <c r="HF116" s="558" t="str">
        <f t="shared" si="322"/>
        <v>.</v>
      </c>
      <c r="HG116" s="558" t="str">
        <f t="shared" si="322"/>
        <v>.</v>
      </c>
      <c r="HH116" s="558" t="str">
        <f t="shared" si="322"/>
        <v>.</v>
      </c>
      <c r="HI116" s="558" t="str">
        <f t="shared" si="322"/>
        <v>.</v>
      </c>
      <c r="HJ116" s="558" t="str">
        <f t="shared" si="322"/>
        <v>.</v>
      </c>
      <c r="HK116" s="558" t="str">
        <f t="shared" si="322"/>
        <v>.</v>
      </c>
      <c r="HL116" s="558" t="str">
        <f t="shared" si="322"/>
        <v>.</v>
      </c>
      <c r="HM116" s="558" t="str">
        <f t="shared" si="322"/>
        <v>.</v>
      </c>
      <c r="HN116" s="558" t="str">
        <f t="shared" si="307"/>
        <v>.</v>
      </c>
      <c r="HO116" s="558" t="str">
        <f t="shared" si="307"/>
        <v>.</v>
      </c>
      <c r="HP116" s="558" t="str">
        <f t="shared" si="307"/>
        <v>.</v>
      </c>
      <c r="HQ116" s="558" t="str">
        <f t="shared" si="307"/>
        <v>.</v>
      </c>
      <c r="HR116" s="558" t="str">
        <f t="shared" si="307"/>
        <v>.</v>
      </c>
      <c r="HS116" s="558" t="str">
        <f t="shared" si="307"/>
        <v>.</v>
      </c>
      <c r="HT116" s="558" t="str">
        <f t="shared" si="307"/>
        <v>.</v>
      </c>
      <c r="HU116" s="558" t="str">
        <f t="shared" si="307"/>
        <v>.</v>
      </c>
      <c r="HV116" s="558" t="str">
        <f t="shared" si="307"/>
        <v>.</v>
      </c>
      <c r="HW116" s="558" t="str">
        <f t="shared" si="307"/>
        <v>.</v>
      </c>
      <c r="HX116" s="558" t="str">
        <f t="shared" si="307"/>
        <v>.</v>
      </c>
      <c r="HY116" s="558" t="str">
        <f t="shared" si="307"/>
        <v>.</v>
      </c>
      <c r="HZ116" s="558" t="str">
        <f t="shared" si="307"/>
        <v>.</v>
      </c>
      <c r="IA116" s="558" t="str">
        <f t="shared" si="307"/>
        <v>.</v>
      </c>
      <c r="IB116" s="558" t="str">
        <f t="shared" si="307"/>
        <v>.</v>
      </c>
      <c r="IC116" s="558" t="str">
        <f t="shared" si="302"/>
        <v>.</v>
      </c>
      <c r="ID116" s="558" t="str">
        <f t="shared" si="302"/>
        <v>.</v>
      </c>
      <c r="IE116" s="558" t="str">
        <f t="shared" si="302"/>
        <v>.</v>
      </c>
      <c r="IF116" s="558" t="str">
        <f t="shared" si="302"/>
        <v>.</v>
      </c>
      <c r="IG116" s="558" t="str">
        <f t="shared" si="302"/>
        <v>.</v>
      </c>
      <c r="IH116" s="558" t="str">
        <f t="shared" si="302"/>
        <v>.</v>
      </c>
      <c r="II116" s="558" t="str">
        <f t="shared" si="302"/>
        <v>.</v>
      </c>
      <c r="IJ116" s="558" t="str">
        <f t="shared" si="302"/>
        <v>.</v>
      </c>
      <c r="IK116" s="558" t="str">
        <f t="shared" si="302"/>
        <v>.</v>
      </c>
      <c r="IL116" s="558" t="str">
        <f t="shared" si="302"/>
        <v>.</v>
      </c>
      <c r="IM116" s="558" t="str">
        <f t="shared" si="302"/>
        <v>.</v>
      </c>
      <c r="IN116" s="558" t="str">
        <f t="shared" si="302"/>
        <v>.</v>
      </c>
      <c r="IO116" s="558" t="str">
        <f t="shared" si="302"/>
        <v>.</v>
      </c>
      <c r="IP116" s="558" t="str">
        <f t="shared" si="302"/>
        <v>.</v>
      </c>
      <c r="IQ116" s="558" t="str">
        <f t="shared" si="302"/>
        <v>.</v>
      </c>
      <c r="IR116" s="558" t="str">
        <f t="shared" si="302"/>
        <v>.</v>
      </c>
      <c r="IS116" s="558" t="str">
        <f t="shared" si="302"/>
        <v>.</v>
      </c>
      <c r="IT116" s="558" t="str">
        <f t="shared" si="302"/>
        <v>.</v>
      </c>
      <c r="IU116" s="558" t="str">
        <f t="shared" si="304"/>
        <v>.</v>
      </c>
      <c r="IV116" s="558" t="str">
        <f t="shared" si="304"/>
        <v>.</v>
      </c>
      <c r="IW116" s="558" t="str">
        <f t="shared" si="304"/>
        <v>.</v>
      </c>
      <c r="IX116" s="558" t="str">
        <f t="shared" si="304"/>
        <v>.</v>
      </c>
      <c r="IY116" s="558" t="str">
        <f t="shared" si="304"/>
        <v>.</v>
      </c>
      <c r="IZ116" s="558" t="str">
        <f t="shared" si="305"/>
        <v>.</v>
      </c>
      <c r="JA116" s="558" t="str">
        <f t="shared" si="305"/>
        <v>.</v>
      </c>
      <c r="JB116" s="558" t="str">
        <f t="shared" si="305"/>
        <v>.</v>
      </c>
      <c r="JC116" s="558" t="str">
        <f t="shared" si="305"/>
        <v>.</v>
      </c>
      <c r="JD116" s="558" t="str">
        <f t="shared" si="305"/>
        <v>.</v>
      </c>
      <c r="JE116" s="558" t="str">
        <f t="shared" si="305"/>
        <v>.</v>
      </c>
      <c r="JF116" s="558" t="str">
        <f t="shared" si="305"/>
        <v>.</v>
      </c>
      <c r="JG116" s="558" t="str">
        <f t="shared" si="305"/>
        <v>.</v>
      </c>
      <c r="JH116" s="558" t="str">
        <f t="shared" si="305"/>
        <v>.</v>
      </c>
      <c r="JI116" s="558" t="str">
        <f t="shared" si="305"/>
        <v>.</v>
      </c>
      <c r="JJ116" s="558" t="str">
        <f t="shared" si="305"/>
        <v>.</v>
      </c>
      <c r="JK116" s="558" t="str">
        <f t="shared" si="305"/>
        <v>.</v>
      </c>
      <c r="JL116" s="558" t="str">
        <f t="shared" si="305"/>
        <v>.</v>
      </c>
      <c r="JM116" s="558" t="str">
        <f t="shared" si="305"/>
        <v>.</v>
      </c>
      <c r="JN116" s="558" t="str">
        <f t="shared" si="305"/>
        <v>.</v>
      </c>
      <c r="JO116" s="558" t="str">
        <f t="shared" si="305"/>
        <v>.</v>
      </c>
    </row>
    <row r="117" spans="1:275" x14ac:dyDescent="0.2">
      <c r="A117" s="534">
        <f xml:space="preserve"> Basis!A117</f>
        <v>117</v>
      </c>
      <c r="F117" s="536">
        <f xml:space="preserve"> ROUND(    IF( $A$15=BE_MF_,   AW117,   INDEX( qx!117:117, F$16 ) ),    F$17    )</f>
        <v>0.36359999999999998</v>
      </c>
      <c r="G117" s="536">
        <f xml:space="preserve"> ROUND(    IF( $A$15=BE_MF_,   BB117,   INDEX( wx!117:117, G$16 ) ),    G$17    )</f>
        <v>1.4E-3</v>
      </c>
      <c r="H117" s="537">
        <f xml:space="preserve"> ROUND(    IF( $A$15=BE_MF_,   BG117,   INDEX( Kx!117:117, H$16 ) ),    H$17    )</f>
        <v>11834.48</v>
      </c>
      <c r="I117" s="538">
        <f t="shared" si="273"/>
        <v>11834.48</v>
      </c>
      <c r="J117" s="539">
        <f xml:space="preserve"> ROUND(  I117 / I$19,  J$17 )</f>
        <v>5.6959999999999997</v>
      </c>
      <c r="K117" s="540">
        <f t="shared" si="274"/>
        <v>0</v>
      </c>
      <c r="L117" s="541">
        <f t="shared" si="299"/>
        <v>0</v>
      </c>
      <c r="M117" s="541">
        <f t="shared" si="299"/>
        <v>8.5999999999999993E-2</v>
      </c>
      <c r="O117" s="542" t="b">
        <f t="shared" si="275"/>
        <v>0</v>
      </c>
      <c r="P117" s="493" t="str">
        <f t="shared" si="209"/>
        <v>.</v>
      </c>
      <c r="Q117" s="493" t="str">
        <f xml:space="preserve"> IF( $O117,    ROUND( 1 - P117,  Q$17  ),  LEER  )</f>
        <v>.</v>
      </c>
      <c r="R117" s="543" t="str">
        <f t="shared" si="211"/>
        <v>.</v>
      </c>
      <c r="S117" s="544" t="str">
        <f t="shared" si="212"/>
        <v>.</v>
      </c>
      <c r="T117" s="423" t="str">
        <f xml:space="preserve"> IF( $O117,    ROUND( R117 * S117 ^ A117, T$17 ),  LEER  )</f>
        <v>.</v>
      </c>
      <c r="U117" s="423" t="str">
        <f xml:space="preserve"> IF( $O117,    ROUND(  SUM( T117:T$120), U$17 ),  LEER  )</f>
        <v>.</v>
      </c>
      <c r="V117" s="493" t="str">
        <f xml:space="preserve"> IF( $O117,    IF( T117= 0, 1,  ROUND(  U117 / T117, V$17 )   ),  LEER  )</f>
        <v>.</v>
      </c>
      <c r="W117" s="493" t="str">
        <f t="shared" si="215"/>
        <v>.</v>
      </c>
      <c r="X117" s="493" t="str">
        <f xml:space="preserve"> IF( $O117,    ROUND(  SUM( W117:W$120), X$17 ),  LEER  )</f>
        <v>.</v>
      </c>
      <c r="Y117" s="493" t="str">
        <f xml:space="preserve"> IF( $O117,    IF( T117= 0, J117,  ROUND(  X117 / T117, Y$17 )   ),   LEER  )</f>
        <v>.</v>
      </c>
      <c r="Z117" s="493" t="str">
        <f xml:space="preserve"> IF( $O117,    IF( V117= 0, Y117,  ROUND( Y117 / V117, Z$17 )  ),   LEER  )</f>
        <v>.</v>
      </c>
      <c r="AA117" s="493" t="str">
        <f t="shared" si="218"/>
        <v>.</v>
      </c>
      <c r="AB117" s="493" t="str">
        <f t="shared" si="219"/>
        <v>.</v>
      </c>
      <c r="AC117" s="545" t="str">
        <f t="shared" si="308"/>
        <v>.</v>
      </c>
      <c r="AD117" s="493" t="str">
        <f xml:space="preserve">  IF( $O117,   ROUND( AA117 * Z117 + ( AA117 - 1 ) * AC117, AD$17 ),       LEER  )</f>
        <v>.</v>
      </c>
      <c r="AE117" s="493" t="str">
        <f xml:space="preserve">  IF( $O117,   ROUND( ( AD117 + AC117 ) / ( 1 - M117), AE$17 ),       LEER  )</f>
        <v>.</v>
      </c>
      <c r="AF117" s="493" t="str">
        <f xml:space="preserve">  IF(  $O117,   IF(  OR( NOT( $AF$12), $A117=$M$12, AE117&gt;=AF116 ), AE117, MAX( AE117,AF116) ),  LEER  )</f>
        <v>.</v>
      </c>
      <c r="AG117" s="493" t="str">
        <f xml:space="preserve">  IF(  $O117,   IF(  AE117=AF117,  LEER, Setzung ),    LEER  )</f>
        <v>.</v>
      </c>
      <c r="AH117" s="493" t="str">
        <f xml:space="preserve">  IF(  $O117,   IF( AND( K116&lt;&gt;0, AG117=Setzung), SetzungZillmerung, LEER ),    LEER  )</f>
        <v>.</v>
      </c>
      <c r="AI117" s="423" t="str">
        <f t="shared" si="226"/>
        <v>.</v>
      </c>
      <c r="AJ117" s="423" t="str">
        <f xml:space="preserve">  IF( $O117,    ROUND( AF117 * AI117, AJ$17 ),  LEER  )</f>
        <v>.</v>
      </c>
      <c r="AK117" s="423" t="str">
        <f xml:space="preserve">  IF( $O117,    ROUND( AJ117 / 12, AK$17 ),  LEER  )</f>
        <v>.</v>
      </c>
      <c r="AN117" s="423" t="str">
        <f t="shared" si="294"/>
        <v>.</v>
      </c>
      <c r="AO117" s="423" t="str">
        <f t="shared" si="294"/>
        <v>.</v>
      </c>
      <c r="AR117" s="546">
        <f xml:space="preserve"> ROUND(  INDEX( Kx!117:117, AR$16 ),  AR$17 )</f>
        <v>0.24679999999999999</v>
      </c>
      <c r="AS117" s="547">
        <f xml:space="preserve"> ROUND(  INDEX( qx!117:117, AS$16 ),  AS$17 )</f>
        <v>0.38390000000000002</v>
      </c>
      <c r="AT117" s="547">
        <f xml:space="preserve"> ROUND(  INDEX( qx!117:117, AT$16 ),  AT$17 )</f>
        <v>0.35920000000000002</v>
      </c>
      <c r="AU117" s="548" t="str">
        <f t="shared" si="309"/>
        <v>F</v>
      </c>
      <c r="AV117" s="542">
        <f t="shared" si="310"/>
        <v>0.17929999999999999</v>
      </c>
      <c r="AW117" s="542">
        <f t="shared" si="311"/>
        <v>0.36359999999999998</v>
      </c>
      <c r="AX117" s="546">
        <f xml:space="preserve"> ROUND(  INDEX( wx!117:117, AX$16 ),  AX$17 )</f>
        <v>0</v>
      </c>
      <c r="AY117" s="546">
        <f xml:space="preserve"> ROUND(  INDEX( wx!117:117, AY$16 ),  AY$17 )</f>
        <v>2.0999999999999999E-3</v>
      </c>
      <c r="AZ117" s="548" t="str">
        <f t="shared" si="312"/>
        <v>M</v>
      </c>
      <c r="BA117" s="542">
        <f t="shared" si="313"/>
        <v>0.32950000000000002</v>
      </c>
      <c r="BB117" s="542">
        <f t="shared" si="314"/>
        <v>1.4E-3</v>
      </c>
      <c r="BC117" s="533">
        <f xml:space="preserve"> ROUND(  INDEX( Kx!117:117, BC$16 ),  BC$17 )</f>
        <v>14601.35</v>
      </c>
      <c r="BD117" s="533">
        <f xml:space="preserve"> ROUND(  INDEX( Kx!117:117, BD$16 ),  BD$17 )</f>
        <v>10474.77</v>
      </c>
      <c r="BE117" s="548" t="str">
        <f t="shared" si="235"/>
        <v>M</v>
      </c>
      <c r="BF117" s="542">
        <f t="shared" si="315"/>
        <v>0.32950000000000002</v>
      </c>
      <c r="BG117" s="420">
        <f t="shared" si="316"/>
        <v>11834.48</v>
      </c>
      <c r="BQ117" s="549">
        <f t="shared" si="276"/>
        <v>117</v>
      </c>
      <c r="BR117" s="423" t="str">
        <f t="shared" si="238"/>
        <v>.</v>
      </c>
      <c r="BS117" s="550" t="str">
        <f t="shared" si="239"/>
        <v>.</v>
      </c>
      <c r="BT117" s="423" t="str">
        <f t="shared" si="240"/>
        <v>.</v>
      </c>
      <c r="BU117" s="551" t="str">
        <f t="shared" si="241"/>
        <v>.</v>
      </c>
      <c r="BV117" s="551" t="str">
        <f xml:space="preserve"> IF( OR( $A117 &lt; $BV$12, $A117 &gt; $O$12 ),   LEER,   ROUND( SUM(BU116) / SUM(BU117), BV$17 )   )</f>
        <v>.</v>
      </c>
      <c r="BW117" s="529" t="str">
        <f t="shared" si="243"/>
        <v>.</v>
      </c>
      <c r="BX117" s="552" t="str">
        <f xml:space="preserve"> IF( OR( $A117 &lt;= $BX$12, $A117 &gt; $O$12 ),   LEER,   BW117 - ( BR117 + BT117 )   )</f>
        <v>.</v>
      </c>
      <c r="BY117" s="560"/>
      <c r="BZ117" s="559"/>
      <c r="CB117" s="423" t="str">
        <f t="shared" si="245"/>
        <v>.</v>
      </c>
      <c r="CC117" s="423" t="str">
        <f t="shared" si="246"/>
        <v>.</v>
      </c>
      <c r="CD117" s="423" t="str">
        <f t="shared" si="247"/>
        <v>.</v>
      </c>
      <c r="CE117" s="423" t="str">
        <f xml:space="preserve">  IF( AND( $O117, $A117&gt;=CE$12),    SUM(CB117:CD117),  LEER  )</f>
        <v>.</v>
      </c>
      <c r="CF117" s="553" t="str">
        <f t="shared" si="249"/>
        <v>.</v>
      </c>
      <c r="CH117" s="423" t="str">
        <f t="shared" si="250"/>
        <v>.</v>
      </c>
      <c r="CI117" s="423" t="str">
        <f t="shared" si="251"/>
        <v>.</v>
      </c>
      <c r="CJ117" s="423" t="str">
        <f t="shared" si="252"/>
        <v>.</v>
      </c>
      <c r="CK117" s="423" t="str">
        <f t="shared" si="253"/>
        <v>.</v>
      </c>
      <c r="CL117" s="553" t="str">
        <f xml:space="preserve">  IF( AND( $O117, $A117&gt;=CL$12), SUM( CI117:CK117 ), LEER  )</f>
        <v>.</v>
      </c>
      <c r="CN117" s="423" t="str">
        <f t="shared" si="255"/>
        <v>.</v>
      </c>
      <c r="CO117" s="423" t="str">
        <f t="shared" si="256"/>
        <v>.</v>
      </c>
      <c r="CP117" s="423" t="str">
        <f t="shared" si="257"/>
        <v>.</v>
      </c>
      <c r="CQ117" s="423" t="str">
        <f t="shared" si="258"/>
        <v>.</v>
      </c>
      <c r="CR117" s="553" t="str">
        <f t="shared" si="259"/>
        <v>.</v>
      </c>
      <c r="CV117" s="564">
        <f t="shared" si="277"/>
        <v>117</v>
      </c>
      <c r="CW117" s="538" t="str">
        <f t="shared" si="260"/>
        <v>.</v>
      </c>
      <c r="CX117" s="566" t="str">
        <f t="shared" si="317"/>
        <v>.</v>
      </c>
      <c r="CY117" s="538" t="str">
        <f t="shared" si="318"/>
        <v>.</v>
      </c>
      <c r="CZ117" s="538" t="str">
        <f t="shared" si="319"/>
        <v>.</v>
      </c>
      <c r="DA117" s="538" t="str">
        <f t="shared" si="320"/>
        <v>.</v>
      </c>
      <c r="DB117" s="567" t="e">
        <f t="shared" si="278"/>
        <v>#N/A</v>
      </c>
      <c r="DC117" s="567" t="e">
        <f t="shared" si="279"/>
        <v>#N/A</v>
      </c>
      <c r="DD117" s="567" t="e">
        <f t="shared" si="280"/>
        <v>#N/A</v>
      </c>
      <c r="DE117" s="567" t="e">
        <f t="shared" si="280"/>
        <v>#N/A</v>
      </c>
      <c r="DF117" s="568" t="e">
        <f t="shared" si="281"/>
        <v>#N/A</v>
      </c>
      <c r="EL117" s="553" t="str">
        <f t="shared" si="265"/>
        <v>.</v>
      </c>
      <c r="EM117" s="553" t="str">
        <f xml:space="preserve">  IF( AND( $A117&lt;=$O$12, $A117&gt;=EL$12),    ROUND( ( 1 - $M117 ) * $V117 * EM$8, EL$17 ),  LEER  )</f>
        <v>.</v>
      </c>
      <c r="EN117" s="423" t="str">
        <f xml:space="preserve">  IF( AND( $A117&lt;=$O$12, $A117&gt;=EL$12),    ROUND( SUM(EL117:EM117), EN$17 ),  LEER  )</f>
        <v>.</v>
      </c>
      <c r="EO117" s="555" t="str">
        <f xml:space="preserve"> 'i2'!AO117</f>
        <v>.</v>
      </c>
      <c r="EV117" s="533" t="e">
        <f xml:space="preserve"> ROUND(    IF( $A$15=BE_MF_,   LEER,   INDEX( Kx!117:117, EV$16 ) ),    EV$17    )</f>
        <v>#VALUE!</v>
      </c>
      <c r="EW117" s="533" t="e">
        <f xml:space="preserve"> ROUND(    IF( $A$15=BE_MF_,   LEER,   INDEX( Kx!117:117, EW$16 ) ),    EW$17    )</f>
        <v>#VALUE!</v>
      </c>
      <c r="EX117" s="533" t="e">
        <f xml:space="preserve"> ROUND(    IF( $A$15=BE_MF_,   LEER,   INDEX( Kx!117:117, EX$16 ) ),    EX$17    )</f>
        <v>#VALUE!</v>
      </c>
      <c r="EY117" s="556" t="e">
        <f t="shared" si="282"/>
        <v>#VALUE!</v>
      </c>
      <c r="FB117" s="533" t="e">
        <f xml:space="preserve"> ROUND(    IF( $A$15=BE_MF_,   LEER,   INDEX( Kx!117:117, FB$16 ) ),    FB$17    )</f>
        <v>#VALUE!</v>
      </c>
      <c r="FC117" s="533" t="e">
        <f xml:space="preserve"> ROUND(    IF( $A$15=BE_MF_,   LEER,   INDEX( Kx!117:117, FC$16 ) ),    FC$17    )</f>
        <v>#VALUE!</v>
      </c>
      <c r="FD117" s="556" t="e">
        <f t="shared" si="283"/>
        <v>#VALUE!</v>
      </c>
      <c r="FG117" s="556" t="e">
        <f t="shared" si="284"/>
        <v>#VALUE!</v>
      </c>
      <c r="FH117" s="556" t="e">
        <f t="shared" si="284"/>
        <v>#VALUE!</v>
      </c>
      <c r="FI117" s="556" t="e">
        <f t="shared" si="284"/>
        <v>#VALUE!</v>
      </c>
      <c r="FN117" s="557">
        <f t="shared" si="268"/>
        <v>117</v>
      </c>
      <c r="FO117" s="493" t="str">
        <f t="shared" si="269"/>
        <v>.</v>
      </c>
      <c r="FP117" s="493" t="str">
        <f t="shared" si="270"/>
        <v>.</v>
      </c>
      <c r="FR117" s="427">
        <f t="shared" si="285"/>
        <v>0</v>
      </c>
      <c r="FS117" s="558" t="str">
        <f t="shared" si="321"/>
        <v>.</v>
      </c>
      <c r="FT117" s="558" t="str">
        <f t="shared" si="321"/>
        <v>.</v>
      </c>
      <c r="FU117" s="558" t="str">
        <f t="shared" si="321"/>
        <v>.</v>
      </c>
      <c r="FV117" s="558" t="str">
        <f t="shared" si="321"/>
        <v>.</v>
      </c>
      <c r="FW117" s="558" t="str">
        <f t="shared" si="321"/>
        <v>.</v>
      </c>
      <c r="FX117" s="558" t="str">
        <f t="shared" si="321"/>
        <v>.</v>
      </c>
      <c r="FY117" s="558" t="str">
        <f t="shared" si="321"/>
        <v>.</v>
      </c>
      <c r="FZ117" s="558" t="str">
        <f t="shared" si="321"/>
        <v>.</v>
      </c>
      <c r="GA117" s="558" t="str">
        <f t="shared" si="321"/>
        <v>.</v>
      </c>
      <c r="GB117" s="558" t="str">
        <f t="shared" si="321"/>
        <v>.</v>
      </c>
      <c r="GC117" s="558" t="str">
        <f t="shared" si="321"/>
        <v>.</v>
      </c>
      <c r="GD117" s="558" t="str">
        <f t="shared" si="321"/>
        <v>.</v>
      </c>
      <c r="GE117" s="558" t="str">
        <f t="shared" si="321"/>
        <v>.</v>
      </c>
      <c r="GF117" s="558" t="str">
        <f t="shared" si="321"/>
        <v>.</v>
      </c>
      <c r="GG117" s="558" t="str">
        <f t="shared" si="321"/>
        <v>.</v>
      </c>
      <c r="GH117" s="558" t="str">
        <f t="shared" si="321"/>
        <v>.</v>
      </c>
      <c r="GI117" s="558" t="str">
        <f t="shared" si="306"/>
        <v>.</v>
      </c>
      <c r="GJ117" s="558" t="str">
        <f t="shared" si="306"/>
        <v>.</v>
      </c>
      <c r="GK117" s="558" t="str">
        <f t="shared" si="306"/>
        <v>.</v>
      </c>
      <c r="GL117" s="558" t="str">
        <f t="shared" si="306"/>
        <v>.</v>
      </c>
      <c r="GM117" s="558" t="str">
        <f t="shared" si="306"/>
        <v>.</v>
      </c>
      <c r="GN117" s="558" t="str">
        <f t="shared" si="306"/>
        <v>.</v>
      </c>
      <c r="GO117" s="558" t="str">
        <f t="shared" si="306"/>
        <v>.</v>
      </c>
      <c r="GP117" s="558" t="str">
        <f t="shared" si="306"/>
        <v>.</v>
      </c>
      <c r="GQ117" s="558" t="str">
        <f t="shared" si="306"/>
        <v>.</v>
      </c>
      <c r="GR117" s="558" t="str">
        <f t="shared" si="306"/>
        <v>.</v>
      </c>
      <c r="GS117" s="558" t="str">
        <f t="shared" si="306"/>
        <v>.</v>
      </c>
      <c r="GT117" s="558" t="str">
        <f t="shared" si="306"/>
        <v>.</v>
      </c>
      <c r="GU117" s="558" t="str">
        <f t="shared" si="306"/>
        <v>.</v>
      </c>
      <c r="GV117" s="558" t="str">
        <f t="shared" si="306"/>
        <v>.</v>
      </c>
      <c r="GW117" s="558" t="str">
        <f t="shared" si="306"/>
        <v>.</v>
      </c>
      <c r="GX117" s="558" t="str">
        <f t="shared" si="322"/>
        <v>.</v>
      </c>
      <c r="GY117" s="558" t="str">
        <f t="shared" si="322"/>
        <v>.</v>
      </c>
      <c r="GZ117" s="558" t="str">
        <f t="shared" si="322"/>
        <v>.</v>
      </c>
      <c r="HA117" s="558" t="str">
        <f t="shared" si="322"/>
        <v>.</v>
      </c>
      <c r="HB117" s="558" t="str">
        <f t="shared" si="322"/>
        <v>.</v>
      </c>
      <c r="HC117" s="558" t="str">
        <f t="shared" si="322"/>
        <v>.</v>
      </c>
      <c r="HD117" s="558" t="str">
        <f t="shared" si="322"/>
        <v>.</v>
      </c>
      <c r="HE117" s="558" t="str">
        <f t="shared" si="322"/>
        <v>.</v>
      </c>
      <c r="HF117" s="558" t="str">
        <f t="shared" si="322"/>
        <v>.</v>
      </c>
      <c r="HG117" s="558" t="str">
        <f t="shared" si="322"/>
        <v>.</v>
      </c>
      <c r="HH117" s="558" t="str">
        <f t="shared" si="322"/>
        <v>.</v>
      </c>
      <c r="HI117" s="558" t="str">
        <f t="shared" si="322"/>
        <v>.</v>
      </c>
      <c r="HJ117" s="558" t="str">
        <f t="shared" si="322"/>
        <v>.</v>
      </c>
      <c r="HK117" s="558" t="str">
        <f t="shared" si="322"/>
        <v>.</v>
      </c>
      <c r="HL117" s="558" t="str">
        <f t="shared" si="322"/>
        <v>.</v>
      </c>
      <c r="HM117" s="558" t="str">
        <f t="shared" si="322"/>
        <v>.</v>
      </c>
      <c r="HN117" s="558" t="str">
        <f t="shared" si="307"/>
        <v>.</v>
      </c>
      <c r="HO117" s="558" t="str">
        <f t="shared" si="307"/>
        <v>.</v>
      </c>
      <c r="HP117" s="558" t="str">
        <f t="shared" si="307"/>
        <v>.</v>
      </c>
      <c r="HQ117" s="558" t="str">
        <f t="shared" si="307"/>
        <v>.</v>
      </c>
      <c r="HR117" s="558" t="str">
        <f t="shared" si="307"/>
        <v>.</v>
      </c>
      <c r="HS117" s="558" t="str">
        <f t="shared" si="307"/>
        <v>.</v>
      </c>
      <c r="HT117" s="558" t="str">
        <f t="shared" si="307"/>
        <v>.</v>
      </c>
      <c r="HU117" s="558" t="str">
        <f t="shared" si="307"/>
        <v>.</v>
      </c>
      <c r="HV117" s="558" t="str">
        <f t="shared" si="307"/>
        <v>.</v>
      </c>
      <c r="HW117" s="558" t="str">
        <f t="shared" si="307"/>
        <v>.</v>
      </c>
      <c r="HX117" s="558" t="str">
        <f t="shared" si="307"/>
        <v>.</v>
      </c>
      <c r="HY117" s="558" t="str">
        <f t="shared" si="307"/>
        <v>.</v>
      </c>
      <c r="HZ117" s="558" t="str">
        <f t="shared" si="307"/>
        <v>.</v>
      </c>
      <c r="IA117" s="558" t="str">
        <f t="shared" si="307"/>
        <v>.</v>
      </c>
      <c r="IB117" s="558" t="str">
        <f t="shared" si="307"/>
        <v>.</v>
      </c>
      <c r="IC117" s="558" t="str">
        <f t="shared" si="302"/>
        <v>.</v>
      </c>
      <c r="ID117" s="558" t="str">
        <f t="shared" si="302"/>
        <v>.</v>
      </c>
      <c r="IE117" s="558" t="str">
        <f t="shared" si="302"/>
        <v>.</v>
      </c>
      <c r="IF117" s="558" t="str">
        <f t="shared" si="302"/>
        <v>.</v>
      </c>
      <c r="IG117" s="558" t="str">
        <f t="shared" si="302"/>
        <v>.</v>
      </c>
      <c r="IH117" s="558" t="str">
        <f t="shared" si="302"/>
        <v>.</v>
      </c>
      <c r="II117" s="558" t="str">
        <f t="shared" si="302"/>
        <v>.</v>
      </c>
      <c r="IJ117" s="558" t="str">
        <f t="shared" si="302"/>
        <v>.</v>
      </c>
      <c r="IK117" s="558" t="str">
        <f t="shared" si="302"/>
        <v>.</v>
      </c>
      <c r="IL117" s="558" t="str">
        <f t="shared" si="302"/>
        <v>.</v>
      </c>
      <c r="IM117" s="558" t="str">
        <f t="shared" si="302"/>
        <v>.</v>
      </c>
      <c r="IN117" s="558" t="str">
        <f t="shared" si="302"/>
        <v>.</v>
      </c>
      <c r="IO117" s="558" t="str">
        <f t="shared" si="302"/>
        <v>.</v>
      </c>
      <c r="IP117" s="558" t="str">
        <f t="shared" si="302"/>
        <v>.</v>
      </c>
      <c r="IQ117" s="558" t="str">
        <f t="shared" si="302"/>
        <v>.</v>
      </c>
      <c r="IR117" s="558" t="str">
        <f t="shared" si="302"/>
        <v>.</v>
      </c>
      <c r="IS117" s="558" t="str">
        <f t="shared" si="302"/>
        <v>.</v>
      </c>
      <c r="IT117" s="558" t="str">
        <f t="shared" si="302"/>
        <v>.</v>
      </c>
      <c r="IU117" s="558" t="str">
        <f t="shared" si="304"/>
        <v>.</v>
      </c>
      <c r="IV117" s="558" t="str">
        <f t="shared" si="304"/>
        <v>.</v>
      </c>
      <c r="IW117" s="558" t="str">
        <f t="shared" si="304"/>
        <v>.</v>
      </c>
      <c r="IX117" s="558" t="str">
        <f t="shared" si="304"/>
        <v>.</v>
      </c>
      <c r="IY117" s="558" t="str">
        <f t="shared" si="304"/>
        <v>.</v>
      </c>
      <c r="IZ117" s="558" t="str">
        <f t="shared" si="305"/>
        <v>.</v>
      </c>
      <c r="JA117" s="558" t="str">
        <f t="shared" si="305"/>
        <v>.</v>
      </c>
      <c r="JB117" s="558" t="str">
        <f t="shared" si="305"/>
        <v>.</v>
      </c>
      <c r="JC117" s="558" t="str">
        <f t="shared" si="305"/>
        <v>.</v>
      </c>
      <c r="JD117" s="558" t="str">
        <f t="shared" si="305"/>
        <v>.</v>
      </c>
      <c r="JE117" s="558" t="str">
        <f t="shared" si="305"/>
        <v>.</v>
      </c>
      <c r="JF117" s="558" t="str">
        <f t="shared" si="305"/>
        <v>.</v>
      </c>
      <c r="JG117" s="558" t="str">
        <f t="shared" si="305"/>
        <v>.</v>
      </c>
      <c r="JH117" s="558" t="str">
        <f t="shared" si="305"/>
        <v>.</v>
      </c>
      <c r="JI117" s="558" t="str">
        <f t="shared" si="305"/>
        <v>.</v>
      </c>
      <c r="JJ117" s="558" t="str">
        <f t="shared" si="305"/>
        <v>.</v>
      </c>
      <c r="JK117" s="558" t="str">
        <f t="shared" si="305"/>
        <v>.</v>
      </c>
      <c r="JL117" s="558" t="str">
        <f t="shared" si="305"/>
        <v>.</v>
      </c>
      <c r="JM117" s="558" t="str">
        <f t="shared" si="305"/>
        <v>.</v>
      </c>
      <c r="JN117" s="558" t="str">
        <f t="shared" si="305"/>
        <v>.</v>
      </c>
      <c r="JO117" s="558" t="str">
        <f t="shared" si="305"/>
        <v>.</v>
      </c>
    </row>
    <row r="118" spans="1:275" x14ac:dyDescent="0.2">
      <c r="A118" s="534">
        <f xml:space="preserve"> Basis!A118</f>
        <v>118</v>
      </c>
      <c r="F118" s="536">
        <f xml:space="preserve"> ROUND(    IF( $A$15=BE_MF_,   AW118,   INDEX( qx!118:118, F$16 ) ),    F$17    )</f>
        <v>0.3695</v>
      </c>
      <c r="G118" s="536">
        <f xml:space="preserve"> ROUND(    IF( $A$15=BE_MF_,   BB118,   INDEX( wx!118:118, G$16 ) ),    G$17    )</f>
        <v>1.4E-3</v>
      </c>
      <c r="H118" s="537">
        <f xml:space="preserve"> ROUND(    IF( $A$15=BE_MF_,   BG118,   INDEX( Kx!118:118, H$16 ) ),    H$17    )</f>
        <v>11868.94</v>
      </c>
      <c r="I118" s="538">
        <f t="shared" si="273"/>
        <v>11868.94</v>
      </c>
      <c r="J118" s="539">
        <f xml:space="preserve"> ROUND(  I118 / I$19,  J$17 )</f>
        <v>5.7119999999999997</v>
      </c>
      <c r="K118" s="540">
        <f t="shared" si="274"/>
        <v>0</v>
      </c>
      <c r="L118" s="541">
        <f t="shared" si="299"/>
        <v>0</v>
      </c>
      <c r="M118" s="541">
        <f t="shared" si="299"/>
        <v>8.5999999999999993E-2</v>
      </c>
      <c r="O118" s="542" t="b">
        <f t="shared" si="275"/>
        <v>0</v>
      </c>
      <c r="P118" s="493" t="str">
        <f t="shared" si="209"/>
        <v>.</v>
      </c>
      <c r="Q118" s="493" t="str">
        <f xml:space="preserve"> IF( $O118,    ROUND( 1 - P118,  Q$17  ),  LEER  )</f>
        <v>.</v>
      </c>
      <c r="R118" s="543" t="str">
        <f t="shared" si="211"/>
        <v>.</v>
      </c>
      <c r="S118" s="544" t="str">
        <f t="shared" si="212"/>
        <v>.</v>
      </c>
      <c r="T118" s="423" t="str">
        <f xml:space="preserve"> IF( $O118,    ROUND( R118 * S118 ^ A118, T$17 ),  LEER  )</f>
        <v>.</v>
      </c>
      <c r="U118" s="423" t="str">
        <f xml:space="preserve"> IF( $O118,    ROUND(  SUM( T118:T$120), U$17 ),  LEER  )</f>
        <v>.</v>
      </c>
      <c r="V118" s="493" t="str">
        <f xml:space="preserve"> IF( $O118,    IF( T118= 0, 1,  ROUND(  U118 / T118, V$17 )   ),  LEER  )</f>
        <v>.</v>
      </c>
      <c r="W118" s="493" t="str">
        <f t="shared" si="215"/>
        <v>.</v>
      </c>
      <c r="X118" s="493" t="str">
        <f xml:space="preserve"> IF( $O118,    ROUND(  SUM( W118:W$120), X$17 ),  LEER  )</f>
        <v>.</v>
      </c>
      <c r="Y118" s="493" t="str">
        <f xml:space="preserve"> IF( $O118,    IF( T118= 0, J118,  ROUND(  X118 / T118, Y$17 )   ),   LEER  )</f>
        <v>.</v>
      </c>
      <c r="Z118" s="493" t="str">
        <f xml:space="preserve"> IF( $O118,    IF( V118= 0, Y118,  ROUND( Y118 / V118, Z$17 )  ),   LEER  )</f>
        <v>.</v>
      </c>
      <c r="AA118" s="493" t="str">
        <f t="shared" si="218"/>
        <v>.</v>
      </c>
      <c r="AB118" s="493" t="str">
        <f t="shared" si="219"/>
        <v>.</v>
      </c>
      <c r="AC118" s="545" t="str">
        <f t="shared" si="308"/>
        <v>.</v>
      </c>
      <c r="AD118" s="493" t="str">
        <f xml:space="preserve">  IF( $O118,   ROUND( AA118 * Z118 + ( AA118 - 1 ) * AC118, AD$17 ),       LEER  )</f>
        <v>.</v>
      </c>
      <c r="AE118" s="493" t="str">
        <f xml:space="preserve">  IF( $O118,   ROUND( ( AD118 + AC118 ) / ( 1 - M118), AE$17 ),       LEER  )</f>
        <v>.</v>
      </c>
      <c r="AF118" s="493" t="str">
        <f xml:space="preserve">  IF(  $O118,   IF(  OR( NOT( $AF$12), $A118=$M$12, AE118&gt;=AF117 ), AE118, MAX( AE118,AF117) ),  LEER  )</f>
        <v>.</v>
      </c>
      <c r="AG118" s="493" t="str">
        <f xml:space="preserve">  IF(  $O118,   IF(  AE118=AF118,  LEER, Setzung ),    LEER  )</f>
        <v>.</v>
      </c>
      <c r="AH118" s="493" t="str">
        <f xml:space="preserve">  IF(  $O118,   IF( AND( K117&lt;&gt;0, AG118=Setzung), SetzungZillmerung, LEER ),    LEER  )</f>
        <v>.</v>
      </c>
      <c r="AI118" s="423" t="str">
        <f t="shared" si="226"/>
        <v>.</v>
      </c>
      <c r="AJ118" s="423" t="str">
        <f xml:space="preserve">  IF( $O118,    ROUND( AF118 * AI118, AJ$17 ),  LEER  )</f>
        <v>.</v>
      </c>
      <c r="AK118" s="423" t="str">
        <f xml:space="preserve">  IF( $O118,    ROUND( AJ118 / 12, AK$17 ),  LEER  )</f>
        <v>.</v>
      </c>
      <c r="AN118" s="423" t="str">
        <f t="shared" si="294"/>
        <v>.</v>
      </c>
      <c r="AO118" s="423" t="str">
        <f t="shared" si="294"/>
        <v>.</v>
      </c>
      <c r="AR118" s="546">
        <f xml:space="preserve"> ROUND(  INDEX( Kx!118:118, AR$16 ),  AR$17 )</f>
        <v>0.24679999999999999</v>
      </c>
      <c r="AS118" s="547">
        <f xml:space="preserve"> ROUND(  INDEX( qx!118:118, AS$16 ),  AS$17 )</f>
        <v>0.39040000000000002</v>
      </c>
      <c r="AT118" s="547">
        <f xml:space="preserve"> ROUND(  INDEX( qx!118:118, AT$16 ),  AT$17 )</f>
        <v>0.3649</v>
      </c>
      <c r="AU118" s="548" t="str">
        <f t="shared" si="309"/>
        <v>F</v>
      </c>
      <c r="AV118" s="542">
        <f t="shared" si="310"/>
        <v>0.17929999999999999</v>
      </c>
      <c r="AW118" s="542">
        <f t="shared" si="311"/>
        <v>0.3695</v>
      </c>
      <c r="AX118" s="546">
        <f xml:space="preserve"> ROUND(  INDEX( wx!118:118, AX$16 ),  AX$17 )</f>
        <v>0</v>
      </c>
      <c r="AY118" s="546">
        <f xml:space="preserve"> ROUND(  INDEX( wx!118:118, AY$16 ),  AY$17 )</f>
        <v>2.0999999999999999E-3</v>
      </c>
      <c r="AZ118" s="548" t="str">
        <f t="shared" si="312"/>
        <v>M</v>
      </c>
      <c r="BA118" s="542">
        <f t="shared" si="313"/>
        <v>0.32950000000000002</v>
      </c>
      <c r="BB118" s="542">
        <f t="shared" si="314"/>
        <v>1.4E-3</v>
      </c>
      <c r="BC118" s="533">
        <f xml:space="preserve"> ROUND(  INDEX( Kx!118:118, BC$16 ),  BC$17 )</f>
        <v>14680.04</v>
      </c>
      <c r="BD118" s="533">
        <f xml:space="preserve"> ROUND(  INDEX( Kx!118:118, BD$16 ),  BD$17 )</f>
        <v>10487.49</v>
      </c>
      <c r="BE118" s="548" t="str">
        <f t="shared" si="235"/>
        <v>M</v>
      </c>
      <c r="BF118" s="542">
        <f t="shared" si="315"/>
        <v>0.32950000000000002</v>
      </c>
      <c r="BG118" s="420">
        <f t="shared" si="316"/>
        <v>11868.94</v>
      </c>
      <c r="BQ118" s="549">
        <f t="shared" si="276"/>
        <v>118</v>
      </c>
      <c r="BR118" s="423" t="str">
        <f t="shared" si="238"/>
        <v>.</v>
      </c>
      <c r="BS118" s="550" t="str">
        <f t="shared" si="239"/>
        <v>.</v>
      </c>
      <c r="BT118" s="423" t="str">
        <f t="shared" si="240"/>
        <v>.</v>
      </c>
      <c r="BU118" s="551" t="str">
        <f t="shared" si="241"/>
        <v>.</v>
      </c>
      <c r="BV118" s="551" t="str">
        <f xml:space="preserve"> IF( OR( $A118 &lt; $BV$12, $A118 &gt; $O$12 ),   LEER,   ROUND( SUM(BU117) / SUM(BU118), BV$17 )   )</f>
        <v>.</v>
      </c>
      <c r="BW118" s="529" t="str">
        <f t="shared" si="243"/>
        <v>.</v>
      </c>
      <c r="BX118" s="552" t="str">
        <f xml:space="preserve"> IF( OR( $A118 &lt;= $BX$12, $A118 &gt; $O$12 ),   LEER,   BW118 - ( BR118 + BT118 )   )</f>
        <v>.</v>
      </c>
      <c r="BY118" s="560"/>
      <c r="BZ118" s="559"/>
      <c r="CB118" s="423" t="str">
        <f t="shared" si="245"/>
        <v>.</v>
      </c>
      <c r="CC118" s="423" t="str">
        <f t="shared" si="246"/>
        <v>.</v>
      </c>
      <c r="CD118" s="423" t="str">
        <f t="shared" si="247"/>
        <v>.</v>
      </c>
      <c r="CE118" s="423" t="str">
        <f xml:space="preserve">  IF( AND( $O118, $A118&gt;=CE$12),    SUM(CB118:CD118),  LEER  )</f>
        <v>.</v>
      </c>
      <c r="CF118" s="553" t="str">
        <f t="shared" si="249"/>
        <v>.</v>
      </c>
      <c r="CH118" s="423" t="str">
        <f t="shared" si="250"/>
        <v>.</v>
      </c>
      <c r="CI118" s="423" t="str">
        <f t="shared" si="251"/>
        <v>.</v>
      </c>
      <c r="CJ118" s="423" t="str">
        <f t="shared" si="252"/>
        <v>.</v>
      </c>
      <c r="CK118" s="423" t="str">
        <f t="shared" si="253"/>
        <v>.</v>
      </c>
      <c r="CL118" s="553" t="str">
        <f xml:space="preserve">  IF( AND( $O118, $A118&gt;=CL$12), SUM( CI118:CK118 ), LEER  )</f>
        <v>.</v>
      </c>
      <c r="CN118" s="423" t="str">
        <f t="shared" si="255"/>
        <v>.</v>
      </c>
      <c r="CO118" s="423" t="str">
        <f t="shared" si="256"/>
        <v>.</v>
      </c>
      <c r="CP118" s="423" t="str">
        <f t="shared" si="257"/>
        <v>.</v>
      </c>
      <c r="CQ118" s="423" t="str">
        <f t="shared" si="258"/>
        <v>.</v>
      </c>
      <c r="CR118" s="553" t="str">
        <f t="shared" si="259"/>
        <v>.</v>
      </c>
      <c r="CV118" s="564">
        <f t="shared" si="277"/>
        <v>118</v>
      </c>
      <c r="CW118" s="538" t="str">
        <f t="shared" si="260"/>
        <v>.</v>
      </c>
      <c r="CX118" s="566" t="str">
        <f t="shared" si="317"/>
        <v>.</v>
      </c>
      <c r="CY118" s="538" t="str">
        <f t="shared" si="318"/>
        <v>.</v>
      </c>
      <c r="CZ118" s="538" t="str">
        <f t="shared" si="319"/>
        <v>.</v>
      </c>
      <c r="DA118" s="538" t="str">
        <f t="shared" si="320"/>
        <v>.</v>
      </c>
      <c r="DB118" s="567" t="e">
        <f t="shared" si="278"/>
        <v>#N/A</v>
      </c>
      <c r="DC118" s="567" t="e">
        <f t="shared" si="279"/>
        <v>#N/A</v>
      </c>
      <c r="DD118" s="567" t="e">
        <f t="shared" si="280"/>
        <v>#N/A</v>
      </c>
      <c r="DE118" s="567" t="e">
        <f t="shared" si="280"/>
        <v>#N/A</v>
      </c>
      <c r="DF118" s="568" t="e">
        <f t="shared" si="281"/>
        <v>#N/A</v>
      </c>
      <c r="EL118" s="553" t="str">
        <f t="shared" si="265"/>
        <v>.</v>
      </c>
      <c r="EM118" s="553" t="str">
        <f xml:space="preserve">  IF( AND( $A118&lt;=$O$12, $A118&gt;=EL$12),    ROUND( ( 1 - $M118 ) * $V118 * EM$8, EL$17 ),  LEER  )</f>
        <v>.</v>
      </c>
      <c r="EN118" s="423" t="str">
        <f xml:space="preserve">  IF( AND( $A118&lt;=$O$12, $A118&gt;=EL$12),    ROUND( SUM(EL118:EM118), EN$17 ),  LEER  )</f>
        <v>.</v>
      </c>
      <c r="EO118" s="555" t="str">
        <f xml:space="preserve"> 'i2'!AO118</f>
        <v>.</v>
      </c>
      <c r="EV118" s="533" t="e">
        <f xml:space="preserve"> ROUND(    IF( $A$15=BE_MF_,   LEER,   INDEX( Kx!118:118, EV$16 ) ),    EV$17    )</f>
        <v>#VALUE!</v>
      </c>
      <c r="EW118" s="533" t="e">
        <f xml:space="preserve"> ROUND(    IF( $A$15=BE_MF_,   LEER,   INDEX( Kx!118:118, EW$16 ) ),    EW$17    )</f>
        <v>#VALUE!</v>
      </c>
      <c r="EX118" s="533" t="e">
        <f xml:space="preserve"> ROUND(    IF( $A$15=BE_MF_,   LEER,   INDEX( Kx!118:118, EX$16 ) ),    EX$17    )</f>
        <v>#VALUE!</v>
      </c>
      <c r="EY118" s="556" t="e">
        <f t="shared" si="282"/>
        <v>#VALUE!</v>
      </c>
      <c r="FB118" s="533" t="e">
        <f xml:space="preserve"> ROUND(    IF( $A$15=BE_MF_,   LEER,   INDEX( Kx!118:118, FB$16 ) ),    FB$17    )</f>
        <v>#VALUE!</v>
      </c>
      <c r="FC118" s="533" t="e">
        <f xml:space="preserve"> ROUND(    IF( $A$15=BE_MF_,   LEER,   INDEX( Kx!118:118, FC$16 ) ),    FC$17    )</f>
        <v>#VALUE!</v>
      </c>
      <c r="FD118" s="556" t="e">
        <f t="shared" si="283"/>
        <v>#VALUE!</v>
      </c>
      <c r="FG118" s="556" t="e">
        <f t="shared" si="284"/>
        <v>#VALUE!</v>
      </c>
      <c r="FH118" s="556" t="e">
        <f t="shared" si="284"/>
        <v>#VALUE!</v>
      </c>
      <c r="FI118" s="556" t="e">
        <f t="shared" si="284"/>
        <v>#VALUE!</v>
      </c>
      <c r="FN118" s="557">
        <f t="shared" si="268"/>
        <v>118</v>
      </c>
      <c r="FO118" s="493" t="str">
        <f t="shared" si="269"/>
        <v>.</v>
      </c>
      <c r="FP118" s="493" t="str">
        <f t="shared" si="270"/>
        <v>.</v>
      </c>
      <c r="FR118" s="427">
        <f t="shared" si="285"/>
        <v>0</v>
      </c>
      <c r="FS118" s="558" t="str">
        <f t="shared" si="321"/>
        <v>.</v>
      </c>
      <c r="FT118" s="558" t="str">
        <f t="shared" si="321"/>
        <v>.</v>
      </c>
      <c r="FU118" s="558" t="str">
        <f t="shared" si="321"/>
        <v>.</v>
      </c>
      <c r="FV118" s="558" t="str">
        <f t="shared" si="321"/>
        <v>.</v>
      </c>
      <c r="FW118" s="558" t="str">
        <f t="shared" si="321"/>
        <v>.</v>
      </c>
      <c r="FX118" s="558" t="str">
        <f t="shared" si="321"/>
        <v>.</v>
      </c>
      <c r="FY118" s="558" t="str">
        <f t="shared" si="321"/>
        <v>.</v>
      </c>
      <c r="FZ118" s="558" t="str">
        <f t="shared" si="321"/>
        <v>.</v>
      </c>
      <c r="GA118" s="558" t="str">
        <f t="shared" si="321"/>
        <v>.</v>
      </c>
      <c r="GB118" s="558" t="str">
        <f t="shared" si="321"/>
        <v>.</v>
      </c>
      <c r="GC118" s="558" t="str">
        <f t="shared" si="321"/>
        <v>.</v>
      </c>
      <c r="GD118" s="558" t="str">
        <f t="shared" si="321"/>
        <v>.</v>
      </c>
      <c r="GE118" s="558" t="str">
        <f t="shared" si="321"/>
        <v>.</v>
      </c>
      <c r="GF118" s="558" t="str">
        <f t="shared" si="321"/>
        <v>.</v>
      </c>
      <c r="GG118" s="558" t="str">
        <f t="shared" si="321"/>
        <v>.</v>
      </c>
      <c r="GH118" s="558" t="str">
        <f t="shared" si="321"/>
        <v>.</v>
      </c>
      <c r="GI118" s="558" t="str">
        <f t="shared" si="306"/>
        <v>.</v>
      </c>
      <c r="GJ118" s="558" t="str">
        <f t="shared" si="306"/>
        <v>.</v>
      </c>
      <c r="GK118" s="558" t="str">
        <f t="shared" si="306"/>
        <v>.</v>
      </c>
      <c r="GL118" s="558" t="str">
        <f t="shared" si="306"/>
        <v>.</v>
      </c>
      <c r="GM118" s="558" t="str">
        <f t="shared" si="306"/>
        <v>.</v>
      </c>
      <c r="GN118" s="558" t="str">
        <f t="shared" si="306"/>
        <v>.</v>
      </c>
      <c r="GO118" s="558" t="str">
        <f t="shared" si="306"/>
        <v>.</v>
      </c>
      <c r="GP118" s="558" t="str">
        <f t="shared" si="306"/>
        <v>.</v>
      </c>
      <c r="GQ118" s="558" t="str">
        <f t="shared" si="306"/>
        <v>.</v>
      </c>
      <c r="GR118" s="558" t="str">
        <f t="shared" si="306"/>
        <v>.</v>
      </c>
      <c r="GS118" s="558" t="str">
        <f t="shared" si="306"/>
        <v>.</v>
      </c>
      <c r="GT118" s="558" t="str">
        <f t="shared" si="306"/>
        <v>.</v>
      </c>
      <c r="GU118" s="558" t="str">
        <f t="shared" si="306"/>
        <v>.</v>
      </c>
      <c r="GV118" s="558" t="str">
        <f t="shared" si="306"/>
        <v>.</v>
      </c>
      <c r="GW118" s="558" t="str">
        <f t="shared" si="306"/>
        <v>.</v>
      </c>
      <c r="GX118" s="558" t="str">
        <f t="shared" si="322"/>
        <v>.</v>
      </c>
      <c r="GY118" s="558" t="str">
        <f t="shared" si="322"/>
        <v>.</v>
      </c>
      <c r="GZ118" s="558" t="str">
        <f t="shared" si="322"/>
        <v>.</v>
      </c>
      <c r="HA118" s="558" t="str">
        <f t="shared" si="322"/>
        <v>.</v>
      </c>
      <c r="HB118" s="558" t="str">
        <f t="shared" si="322"/>
        <v>.</v>
      </c>
      <c r="HC118" s="558" t="str">
        <f t="shared" si="322"/>
        <v>.</v>
      </c>
      <c r="HD118" s="558" t="str">
        <f t="shared" si="322"/>
        <v>.</v>
      </c>
      <c r="HE118" s="558" t="str">
        <f t="shared" si="322"/>
        <v>.</v>
      </c>
      <c r="HF118" s="558" t="str">
        <f t="shared" si="322"/>
        <v>.</v>
      </c>
      <c r="HG118" s="558" t="str">
        <f t="shared" si="322"/>
        <v>.</v>
      </c>
      <c r="HH118" s="558" t="str">
        <f t="shared" si="322"/>
        <v>.</v>
      </c>
      <c r="HI118" s="558" t="str">
        <f t="shared" si="322"/>
        <v>.</v>
      </c>
      <c r="HJ118" s="558" t="str">
        <f t="shared" si="322"/>
        <v>.</v>
      </c>
      <c r="HK118" s="558" t="str">
        <f t="shared" si="322"/>
        <v>.</v>
      </c>
      <c r="HL118" s="558" t="str">
        <f t="shared" si="322"/>
        <v>.</v>
      </c>
      <c r="HM118" s="558" t="str">
        <f t="shared" si="322"/>
        <v>.</v>
      </c>
      <c r="HN118" s="558" t="str">
        <f t="shared" si="307"/>
        <v>.</v>
      </c>
      <c r="HO118" s="558" t="str">
        <f t="shared" si="307"/>
        <v>.</v>
      </c>
      <c r="HP118" s="558" t="str">
        <f t="shared" si="307"/>
        <v>.</v>
      </c>
      <c r="HQ118" s="558" t="str">
        <f t="shared" si="307"/>
        <v>.</v>
      </c>
      <c r="HR118" s="558" t="str">
        <f t="shared" si="307"/>
        <v>.</v>
      </c>
      <c r="HS118" s="558" t="str">
        <f t="shared" si="307"/>
        <v>.</v>
      </c>
      <c r="HT118" s="558" t="str">
        <f t="shared" si="307"/>
        <v>.</v>
      </c>
      <c r="HU118" s="558" t="str">
        <f t="shared" si="307"/>
        <v>.</v>
      </c>
      <c r="HV118" s="558" t="str">
        <f t="shared" si="307"/>
        <v>.</v>
      </c>
      <c r="HW118" s="558" t="str">
        <f t="shared" si="307"/>
        <v>.</v>
      </c>
      <c r="HX118" s="558" t="str">
        <f t="shared" si="307"/>
        <v>.</v>
      </c>
      <c r="HY118" s="558" t="str">
        <f t="shared" si="307"/>
        <v>.</v>
      </c>
      <c r="HZ118" s="558" t="str">
        <f t="shared" si="307"/>
        <v>.</v>
      </c>
      <c r="IA118" s="558" t="str">
        <f t="shared" si="307"/>
        <v>.</v>
      </c>
      <c r="IB118" s="558" t="str">
        <f t="shared" si="307"/>
        <v>.</v>
      </c>
      <c r="IC118" s="558" t="str">
        <f t="shared" si="302"/>
        <v>.</v>
      </c>
      <c r="ID118" s="558" t="str">
        <f t="shared" si="302"/>
        <v>.</v>
      </c>
      <c r="IE118" s="558" t="str">
        <f t="shared" si="302"/>
        <v>.</v>
      </c>
      <c r="IF118" s="558" t="str">
        <f t="shared" si="302"/>
        <v>.</v>
      </c>
      <c r="IG118" s="558" t="str">
        <f t="shared" si="302"/>
        <v>.</v>
      </c>
      <c r="IH118" s="558" t="str">
        <f t="shared" si="302"/>
        <v>.</v>
      </c>
      <c r="II118" s="558" t="str">
        <f t="shared" si="302"/>
        <v>.</v>
      </c>
      <c r="IJ118" s="558" t="str">
        <f t="shared" si="302"/>
        <v>.</v>
      </c>
      <c r="IK118" s="558" t="str">
        <f t="shared" si="302"/>
        <v>.</v>
      </c>
      <c r="IL118" s="558" t="str">
        <f t="shared" si="302"/>
        <v>.</v>
      </c>
      <c r="IM118" s="558" t="str">
        <f t="shared" si="302"/>
        <v>.</v>
      </c>
      <c r="IN118" s="558" t="str">
        <f t="shared" si="302"/>
        <v>.</v>
      </c>
      <c r="IO118" s="558" t="str">
        <f t="shared" si="302"/>
        <v>.</v>
      </c>
      <c r="IP118" s="558" t="str">
        <f t="shared" si="302"/>
        <v>.</v>
      </c>
      <c r="IQ118" s="558" t="str">
        <f t="shared" si="302"/>
        <v>.</v>
      </c>
      <c r="IR118" s="558" t="str">
        <f t="shared" si="302"/>
        <v>.</v>
      </c>
      <c r="IS118" s="558" t="str">
        <f t="shared" si="302"/>
        <v>.</v>
      </c>
      <c r="IT118" s="558" t="str">
        <f t="shared" si="302"/>
        <v>.</v>
      </c>
      <c r="IU118" s="558" t="str">
        <f t="shared" si="304"/>
        <v>.</v>
      </c>
      <c r="IV118" s="558" t="str">
        <f t="shared" si="304"/>
        <v>.</v>
      </c>
      <c r="IW118" s="558" t="str">
        <f t="shared" si="304"/>
        <v>.</v>
      </c>
      <c r="IX118" s="558" t="str">
        <f t="shared" si="304"/>
        <v>.</v>
      </c>
      <c r="IY118" s="558" t="str">
        <f t="shared" si="304"/>
        <v>.</v>
      </c>
      <c r="IZ118" s="558" t="str">
        <f t="shared" si="305"/>
        <v>.</v>
      </c>
      <c r="JA118" s="558" t="str">
        <f t="shared" si="305"/>
        <v>.</v>
      </c>
      <c r="JB118" s="558" t="str">
        <f t="shared" si="305"/>
        <v>.</v>
      </c>
      <c r="JC118" s="558" t="str">
        <f t="shared" si="305"/>
        <v>.</v>
      </c>
      <c r="JD118" s="558" t="str">
        <f t="shared" si="305"/>
        <v>.</v>
      </c>
      <c r="JE118" s="558" t="str">
        <f t="shared" si="305"/>
        <v>.</v>
      </c>
      <c r="JF118" s="558" t="str">
        <f t="shared" si="305"/>
        <v>.</v>
      </c>
      <c r="JG118" s="558" t="str">
        <f t="shared" si="305"/>
        <v>.</v>
      </c>
      <c r="JH118" s="558" t="str">
        <f t="shared" si="305"/>
        <v>.</v>
      </c>
      <c r="JI118" s="558" t="str">
        <f t="shared" si="305"/>
        <v>.</v>
      </c>
      <c r="JJ118" s="558" t="str">
        <f t="shared" si="305"/>
        <v>.</v>
      </c>
      <c r="JK118" s="558" t="str">
        <f t="shared" si="305"/>
        <v>.</v>
      </c>
      <c r="JL118" s="558" t="str">
        <f t="shared" si="305"/>
        <v>.</v>
      </c>
      <c r="JM118" s="558" t="str">
        <f t="shared" si="305"/>
        <v>.</v>
      </c>
      <c r="JN118" s="558" t="str">
        <f t="shared" si="305"/>
        <v>.</v>
      </c>
      <c r="JO118" s="558" t="str">
        <f t="shared" si="305"/>
        <v>.</v>
      </c>
    </row>
    <row r="119" spans="1:275" x14ac:dyDescent="0.2">
      <c r="A119" s="534">
        <f xml:space="preserve"> Basis!A119</f>
        <v>119</v>
      </c>
      <c r="F119" s="536">
        <f xml:space="preserve"> ROUND(    IF( $A$15=BE_MF_,   AW119,   INDEX( qx!119:119, F$16 ) ),    F$17    )</f>
        <v>0.37530000000000002</v>
      </c>
      <c r="G119" s="536">
        <f xml:space="preserve"> ROUND(    IF( $A$15=BE_MF_,   BB119,   INDEX( wx!119:119, G$16 ) ),    G$17    )</f>
        <v>1.4E-3</v>
      </c>
      <c r="H119" s="537">
        <f xml:space="preserve"> ROUND(    IF( $A$15=BE_MF_,   BG119,   INDEX( Kx!119:119, H$16 ) ),    H$17    )</f>
        <v>11903.39</v>
      </c>
      <c r="I119" s="538">
        <f t="shared" si="273"/>
        <v>11903.39</v>
      </c>
      <c r="J119" s="539">
        <f xml:space="preserve"> ROUND(  I119 / I$19,  J$17 )</f>
        <v>5.7290000000000001</v>
      </c>
      <c r="K119" s="540">
        <f t="shared" si="274"/>
        <v>0</v>
      </c>
      <c r="L119" s="541">
        <f t="shared" si="299"/>
        <v>0</v>
      </c>
      <c r="M119" s="541">
        <f t="shared" si="299"/>
        <v>8.5999999999999993E-2</v>
      </c>
      <c r="O119" s="542" t="b">
        <f t="shared" si="275"/>
        <v>0</v>
      </c>
      <c r="P119" s="493" t="str">
        <f t="shared" si="209"/>
        <v>.</v>
      </c>
      <c r="Q119" s="493" t="str">
        <f xml:space="preserve"> IF( $O119,    ROUND( 1 - P119,  Q$17  ),  LEER  )</f>
        <v>.</v>
      </c>
      <c r="R119" s="543" t="str">
        <f t="shared" si="211"/>
        <v>.</v>
      </c>
      <c r="S119" s="544" t="str">
        <f t="shared" si="212"/>
        <v>.</v>
      </c>
      <c r="T119" s="423" t="str">
        <f xml:space="preserve"> IF( $O119,    ROUND( R119 * S119 ^ A119, T$17 ),  LEER  )</f>
        <v>.</v>
      </c>
      <c r="U119" s="423" t="str">
        <f xml:space="preserve"> IF( $O119,    ROUND(  SUM( T119:T$120), U$17 ),  LEER  )</f>
        <v>.</v>
      </c>
      <c r="V119" s="493" t="str">
        <f xml:space="preserve"> IF( $O119,    IF( T119= 0, 1,  ROUND(  U119 / T119, V$17 )   ),  LEER  )</f>
        <v>.</v>
      </c>
      <c r="W119" s="493" t="str">
        <f t="shared" si="215"/>
        <v>.</v>
      </c>
      <c r="X119" s="493" t="str">
        <f xml:space="preserve"> IF( $O119,    ROUND(  SUM( W119:W$120), X$17 ),  LEER  )</f>
        <v>.</v>
      </c>
      <c r="Y119" s="493" t="str">
        <f xml:space="preserve"> IF( $O119,    IF( T119= 0, J119,  ROUND(  X119 / T119, Y$17 )   ),   LEER  )</f>
        <v>.</v>
      </c>
      <c r="Z119" s="493" t="str">
        <f xml:space="preserve"> IF( $O119,    IF( V119= 0, Y119,  ROUND( Y119 / V119, Z$17 )  ),   LEER  )</f>
        <v>.</v>
      </c>
      <c r="AA119" s="493" t="str">
        <f t="shared" si="218"/>
        <v>.</v>
      </c>
      <c r="AB119" s="493" t="str">
        <f t="shared" si="219"/>
        <v>.</v>
      </c>
      <c r="AC119" s="545" t="str">
        <f t="shared" si="308"/>
        <v>.</v>
      </c>
      <c r="AD119" s="493" t="str">
        <f xml:space="preserve">  IF( $O119,   ROUND( AA119 * Z119 + ( AA119 - 1 ) * AC119, AD$17 ),       LEER  )</f>
        <v>.</v>
      </c>
      <c r="AE119" s="493" t="str">
        <f xml:space="preserve">  IF( $O119,   ROUND( ( AD119 + AC119 ) / ( 1 - M119), AE$17 ),       LEER  )</f>
        <v>.</v>
      </c>
      <c r="AF119" s="493" t="str">
        <f xml:space="preserve">  IF(  $O119,   IF(  OR( NOT( $AF$12), $A119=$M$12, AE119&gt;=AF118 ), AE119, MAX( AE119,AF118) ),  LEER  )</f>
        <v>.</v>
      </c>
      <c r="AG119" s="493" t="str">
        <f xml:space="preserve">  IF(  $O119,   IF(  AE119=AF119,  LEER, Setzung ),    LEER  )</f>
        <v>.</v>
      </c>
      <c r="AH119" s="493" t="str">
        <f xml:space="preserve">  IF(  $O119,   IF( AND( K118&lt;&gt;0, AG119=Setzung), SetzungZillmerung, LEER ),    LEER  )</f>
        <v>.</v>
      </c>
      <c r="AI119" s="423" t="str">
        <f t="shared" si="226"/>
        <v>.</v>
      </c>
      <c r="AJ119" s="423" t="str">
        <f xml:space="preserve">  IF( $O119,    ROUND( AF119 * AI119, AJ$17 ),  LEER  )</f>
        <v>.</v>
      </c>
      <c r="AK119" s="423" t="str">
        <f xml:space="preserve">  IF( $O119,    ROUND( AJ119 / 12, AK$17 ),  LEER  )</f>
        <v>.</v>
      </c>
      <c r="AN119" s="423" t="str">
        <f t="shared" si="294"/>
        <v>.</v>
      </c>
      <c r="AO119" s="423" t="str">
        <f t="shared" si="294"/>
        <v>.</v>
      </c>
      <c r="AR119" s="546">
        <f xml:space="preserve"> ROUND(  INDEX( Kx!119:119, AR$16 ),  AR$17 )</f>
        <v>0.24679999999999999</v>
      </c>
      <c r="AS119" s="547">
        <f xml:space="preserve"> ROUND(  INDEX( qx!119:119, AS$16 ),  AS$17 )</f>
        <v>0.39700000000000002</v>
      </c>
      <c r="AT119" s="547">
        <f xml:space="preserve"> ROUND(  INDEX( qx!119:119, AT$16 ),  AT$17 )</f>
        <v>0.37059999999999998</v>
      </c>
      <c r="AU119" s="548" t="str">
        <f t="shared" si="309"/>
        <v>F</v>
      </c>
      <c r="AV119" s="542">
        <f t="shared" si="310"/>
        <v>0.17929999999999999</v>
      </c>
      <c r="AW119" s="542">
        <f t="shared" si="311"/>
        <v>0.37530000000000002</v>
      </c>
      <c r="AX119" s="546">
        <f xml:space="preserve"> ROUND(  INDEX( wx!119:119, AX$16 ),  AX$17 )</f>
        <v>0</v>
      </c>
      <c r="AY119" s="546">
        <f xml:space="preserve"> ROUND(  INDEX( wx!119:119, AY$16 ),  AY$17 )</f>
        <v>2.0999999999999999E-3</v>
      </c>
      <c r="AZ119" s="548" t="str">
        <f t="shared" si="312"/>
        <v>M</v>
      </c>
      <c r="BA119" s="542">
        <f t="shared" si="313"/>
        <v>0.32950000000000002</v>
      </c>
      <c r="BB119" s="542">
        <f t="shared" si="314"/>
        <v>1.4E-3</v>
      </c>
      <c r="BC119" s="533">
        <f xml:space="preserve"> ROUND(  INDEX( Kx!119:119, BC$16 ),  BC$17 )</f>
        <v>14758.73</v>
      </c>
      <c r="BD119" s="533">
        <f xml:space="preserve"> ROUND(  INDEX( Kx!119:119, BD$16 ),  BD$17 )</f>
        <v>10500.2</v>
      </c>
      <c r="BE119" s="548" t="str">
        <f t="shared" si="235"/>
        <v>M</v>
      </c>
      <c r="BF119" s="542">
        <f t="shared" si="315"/>
        <v>0.32950000000000002</v>
      </c>
      <c r="BG119" s="420">
        <f t="shared" si="316"/>
        <v>11903.39</v>
      </c>
      <c r="BQ119" s="549">
        <f t="shared" si="276"/>
        <v>119</v>
      </c>
      <c r="BR119" s="423" t="str">
        <f t="shared" si="238"/>
        <v>.</v>
      </c>
      <c r="BS119" s="550" t="str">
        <f t="shared" si="239"/>
        <v>.</v>
      </c>
      <c r="BT119" s="423" t="str">
        <f t="shared" si="240"/>
        <v>.</v>
      </c>
      <c r="BU119" s="551" t="str">
        <f t="shared" si="241"/>
        <v>.</v>
      </c>
      <c r="BV119" s="551" t="str">
        <f xml:space="preserve"> IF( OR( $A119 &lt; $BV$12, $A119 &gt; $O$12 ),   LEER,   ROUND( SUM(BU118) / SUM(BU119), BV$17 )   )</f>
        <v>.</v>
      </c>
      <c r="BW119" s="529" t="str">
        <f t="shared" si="243"/>
        <v>.</v>
      </c>
      <c r="BX119" s="552" t="str">
        <f xml:space="preserve"> IF( OR( $A119 &lt;= $BX$12, $A119 &gt; $O$12 ),   LEER,   BW119 - ( BR119 + BT119 )   )</f>
        <v>.</v>
      </c>
      <c r="BY119" s="560"/>
      <c r="BZ119" s="559"/>
      <c r="CB119" s="423" t="str">
        <f t="shared" si="245"/>
        <v>.</v>
      </c>
      <c r="CC119" s="423" t="str">
        <f t="shared" si="246"/>
        <v>.</v>
      </c>
      <c r="CD119" s="423" t="str">
        <f t="shared" si="247"/>
        <v>.</v>
      </c>
      <c r="CE119" s="423" t="str">
        <f xml:space="preserve">  IF( AND( $O119, $A119&gt;=CE$12),    SUM(CB119:CD119),  LEER  )</f>
        <v>.</v>
      </c>
      <c r="CF119" s="553" t="str">
        <f t="shared" si="249"/>
        <v>.</v>
      </c>
      <c r="CH119" s="423" t="str">
        <f t="shared" si="250"/>
        <v>.</v>
      </c>
      <c r="CI119" s="423" t="str">
        <f t="shared" si="251"/>
        <v>.</v>
      </c>
      <c r="CJ119" s="423" t="str">
        <f t="shared" si="252"/>
        <v>.</v>
      </c>
      <c r="CK119" s="423" t="str">
        <f t="shared" si="253"/>
        <v>.</v>
      </c>
      <c r="CL119" s="553" t="str">
        <f xml:space="preserve">  IF( AND( $O119, $A119&gt;=CL$12), SUM( CI119:CK119 ), LEER  )</f>
        <v>.</v>
      </c>
      <c r="CN119" s="423" t="str">
        <f t="shared" si="255"/>
        <v>.</v>
      </c>
      <c r="CO119" s="423" t="str">
        <f t="shared" si="256"/>
        <v>.</v>
      </c>
      <c r="CP119" s="423" t="str">
        <f t="shared" si="257"/>
        <v>.</v>
      </c>
      <c r="CQ119" s="423" t="str">
        <f t="shared" si="258"/>
        <v>.</v>
      </c>
      <c r="CR119" s="553" t="str">
        <f t="shared" si="259"/>
        <v>.</v>
      </c>
      <c r="CV119" s="564">
        <f t="shared" si="277"/>
        <v>119</v>
      </c>
      <c r="CW119" s="538" t="str">
        <f t="shared" si="260"/>
        <v>.</v>
      </c>
      <c r="CX119" s="566" t="str">
        <f t="shared" si="317"/>
        <v>.</v>
      </c>
      <c r="CY119" s="538" t="str">
        <f t="shared" si="318"/>
        <v>.</v>
      </c>
      <c r="CZ119" s="538" t="str">
        <f t="shared" si="319"/>
        <v>.</v>
      </c>
      <c r="DA119" s="538" t="str">
        <f t="shared" si="320"/>
        <v>.</v>
      </c>
      <c r="DB119" s="567" t="e">
        <f t="shared" si="278"/>
        <v>#N/A</v>
      </c>
      <c r="DC119" s="567" t="e">
        <f t="shared" si="279"/>
        <v>#N/A</v>
      </c>
      <c r="DD119" s="567" t="e">
        <f t="shared" si="280"/>
        <v>#N/A</v>
      </c>
      <c r="DE119" s="567" t="e">
        <f t="shared" si="280"/>
        <v>#N/A</v>
      </c>
      <c r="DF119" s="568" t="e">
        <f t="shared" si="281"/>
        <v>#N/A</v>
      </c>
      <c r="EL119" s="553" t="str">
        <f t="shared" si="265"/>
        <v>.</v>
      </c>
      <c r="EM119" s="553" t="str">
        <f xml:space="preserve">  IF( AND( $A119&lt;=$O$12, $A119&gt;=EL$12),    ROUND( ( 1 - $M119 ) * $V119 * EM$8, EL$17 ),  LEER  )</f>
        <v>.</v>
      </c>
      <c r="EN119" s="423" t="str">
        <f xml:space="preserve">  IF( AND( $A119&lt;=$O$12, $A119&gt;=EL$12),    ROUND( SUM(EL119:EM119), EN$17 ),  LEER  )</f>
        <v>.</v>
      </c>
      <c r="EO119" s="555" t="str">
        <f xml:space="preserve"> 'i2'!AO119</f>
        <v>.</v>
      </c>
      <c r="EV119" s="533" t="e">
        <f xml:space="preserve"> ROUND(    IF( $A$15=BE_MF_,   LEER,   INDEX( Kx!119:119, EV$16 ) ),    EV$17    )</f>
        <v>#VALUE!</v>
      </c>
      <c r="EW119" s="533" t="e">
        <f xml:space="preserve"> ROUND(    IF( $A$15=BE_MF_,   LEER,   INDEX( Kx!119:119, EW$16 ) ),    EW$17    )</f>
        <v>#VALUE!</v>
      </c>
      <c r="EX119" s="533" t="e">
        <f xml:space="preserve"> ROUND(    IF( $A$15=BE_MF_,   LEER,   INDEX( Kx!119:119, EX$16 ) ),    EX$17    )</f>
        <v>#VALUE!</v>
      </c>
      <c r="EY119" s="556" t="e">
        <f t="shared" si="282"/>
        <v>#VALUE!</v>
      </c>
      <c r="FB119" s="533" t="e">
        <f xml:space="preserve"> ROUND(    IF( $A$15=BE_MF_,   LEER,   INDEX( Kx!119:119, FB$16 ) ),    FB$17    )</f>
        <v>#VALUE!</v>
      </c>
      <c r="FC119" s="533" t="e">
        <f xml:space="preserve"> ROUND(    IF( $A$15=BE_MF_,   LEER,   INDEX( Kx!119:119, FC$16 ) ),    FC$17    )</f>
        <v>#VALUE!</v>
      </c>
      <c r="FD119" s="556" t="e">
        <f t="shared" si="283"/>
        <v>#VALUE!</v>
      </c>
      <c r="FG119" s="556" t="e">
        <f t="shared" si="284"/>
        <v>#VALUE!</v>
      </c>
      <c r="FH119" s="556" t="e">
        <f t="shared" si="284"/>
        <v>#VALUE!</v>
      </c>
      <c r="FI119" s="556" t="e">
        <f t="shared" si="284"/>
        <v>#VALUE!</v>
      </c>
      <c r="FN119" s="557">
        <f t="shared" si="268"/>
        <v>119</v>
      </c>
      <c r="FO119" s="493" t="str">
        <f t="shared" si="269"/>
        <v>.</v>
      </c>
      <c r="FP119" s="493" t="str">
        <f t="shared" si="270"/>
        <v>.</v>
      </c>
      <c r="FR119" s="427">
        <f t="shared" si="285"/>
        <v>0</v>
      </c>
      <c r="FS119" s="558" t="str">
        <f t="shared" si="321"/>
        <v>.</v>
      </c>
      <c r="FT119" s="558" t="str">
        <f t="shared" si="321"/>
        <v>.</v>
      </c>
      <c r="FU119" s="558" t="str">
        <f t="shared" si="321"/>
        <v>.</v>
      </c>
      <c r="FV119" s="558" t="str">
        <f t="shared" si="321"/>
        <v>.</v>
      </c>
      <c r="FW119" s="558" t="str">
        <f t="shared" si="321"/>
        <v>.</v>
      </c>
      <c r="FX119" s="558" t="str">
        <f t="shared" si="321"/>
        <v>.</v>
      </c>
      <c r="FY119" s="558" t="str">
        <f t="shared" si="321"/>
        <v>.</v>
      </c>
      <c r="FZ119" s="558" t="str">
        <f t="shared" si="321"/>
        <v>.</v>
      </c>
      <c r="GA119" s="558" t="str">
        <f t="shared" si="321"/>
        <v>.</v>
      </c>
      <c r="GB119" s="558" t="str">
        <f t="shared" si="321"/>
        <v>.</v>
      </c>
      <c r="GC119" s="558" t="str">
        <f t="shared" si="321"/>
        <v>.</v>
      </c>
      <c r="GD119" s="558" t="str">
        <f t="shared" si="321"/>
        <v>.</v>
      </c>
      <c r="GE119" s="558" t="str">
        <f t="shared" si="321"/>
        <v>.</v>
      </c>
      <c r="GF119" s="558" t="str">
        <f t="shared" si="321"/>
        <v>.</v>
      </c>
      <c r="GG119" s="558" t="str">
        <f t="shared" si="321"/>
        <v>.</v>
      </c>
      <c r="GH119" s="558" t="str">
        <f t="shared" si="321"/>
        <v>.</v>
      </c>
      <c r="GI119" s="558" t="str">
        <f t="shared" si="306"/>
        <v>.</v>
      </c>
      <c r="GJ119" s="558" t="str">
        <f t="shared" si="306"/>
        <v>.</v>
      </c>
      <c r="GK119" s="558" t="str">
        <f t="shared" si="306"/>
        <v>.</v>
      </c>
      <c r="GL119" s="558" t="str">
        <f t="shared" si="306"/>
        <v>.</v>
      </c>
      <c r="GM119" s="558" t="str">
        <f t="shared" si="306"/>
        <v>.</v>
      </c>
      <c r="GN119" s="558" t="str">
        <f t="shared" si="306"/>
        <v>.</v>
      </c>
      <c r="GO119" s="558" t="str">
        <f t="shared" si="306"/>
        <v>.</v>
      </c>
      <c r="GP119" s="558" t="str">
        <f t="shared" si="306"/>
        <v>.</v>
      </c>
      <c r="GQ119" s="558" t="str">
        <f t="shared" si="306"/>
        <v>.</v>
      </c>
      <c r="GR119" s="558" t="str">
        <f t="shared" si="306"/>
        <v>.</v>
      </c>
      <c r="GS119" s="558" t="str">
        <f t="shared" si="306"/>
        <v>.</v>
      </c>
      <c r="GT119" s="558" t="str">
        <f t="shared" si="306"/>
        <v>.</v>
      </c>
      <c r="GU119" s="558" t="str">
        <f t="shared" si="306"/>
        <v>.</v>
      </c>
      <c r="GV119" s="558" t="str">
        <f t="shared" si="306"/>
        <v>.</v>
      </c>
      <c r="GW119" s="558" t="str">
        <f t="shared" si="306"/>
        <v>.</v>
      </c>
      <c r="GX119" s="558" t="str">
        <f t="shared" si="322"/>
        <v>.</v>
      </c>
      <c r="GY119" s="558" t="str">
        <f t="shared" si="322"/>
        <v>.</v>
      </c>
      <c r="GZ119" s="558" t="str">
        <f t="shared" si="322"/>
        <v>.</v>
      </c>
      <c r="HA119" s="558" t="str">
        <f t="shared" si="322"/>
        <v>.</v>
      </c>
      <c r="HB119" s="558" t="str">
        <f t="shared" si="322"/>
        <v>.</v>
      </c>
      <c r="HC119" s="558" t="str">
        <f t="shared" si="322"/>
        <v>.</v>
      </c>
      <c r="HD119" s="558" t="str">
        <f t="shared" si="322"/>
        <v>.</v>
      </c>
      <c r="HE119" s="558" t="str">
        <f t="shared" si="322"/>
        <v>.</v>
      </c>
      <c r="HF119" s="558" t="str">
        <f t="shared" si="322"/>
        <v>.</v>
      </c>
      <c r="HG119" s="558" t="str">
        <f t="shared" si="322"/>
        <v>.</v>
      </c>
      <c r="HH119" s="558" t="str">
        <f t="shared" si="322"/>
        <v>.</v>
      </c>
      <c r="HI119" s="558" t="str">
        <f t="shared" si="322"/>
        <v>.</v>
      </c>
      <c r="HJ119" s="558" t="str">
        <f t="shared" si="322"/>
        <v>.</v>
      </c>
      <c r="HK119" s="558" t="str">
        <f t="shared" si="322"/>
        <v>.</v>
      </c>
      <c r="HL119" s="558" t="str">
        <f t="shared" si="322"/>
        <v>.</v>
      </c>
      <c r="HM119" s="558" t="str">
        <f t="shared" si="322"/>
        <v>.</v>
      </c>
      <c r="HN119" s="558" t="str">
        <f t="shared" si="307"/>
        <v>.</v>
      </c>
      <c r="HO119" s="558" t="str">
        <f t="shared" si="307"/>
        <v>.</v>
      </c>
      <c r="HP119" s="558" t="str">
        <f t="shared" si="307"/>
        <v>.</v>
      </c>
      <c r="HQ119" s="558" t="str">
        <f t="shared" si="307"/>
        <v>.</v>
      </c>
      <c r="HR119" s="558" t="str">
        <f t="shared" si="307"/>
        <v>.</v>
      </c>
      <c r="HS119" s="558" t="str">
        <f t="shared" si="307"/>
        <v>.</v>
      </c>
      <c r="HT119" s="558" t="str">
        <f t="shared" si="307"/>
        <v>.</v>
      </c>
      <c r="HU119" s="558" t="str">
        <f t="shared" si="307"/>
        <v>.</v>
      </c>
      <c r="HV119" s="558" t="str">
        <f t="shared" si="307"/>
        <v>.</v>
      </c>
      <c r="HW119" s="558" t="str">
        <f t="shared" si="307"/>
        <v>.</v>
      </c>
      <c r="HX119" s="558" t="str">
        <f t="shared" si="307"/>
        <v>.</v>
      </c>
      <c r="HY119" s="558" t="str">
        <f t="shared" si="307"/>
        <v>.</v>
      </c>
      <c r="HZ119" s="558" t="str">
        <f t="shared" si="307"/>
        <v>.</v>
      </c>
      <c r="IA119" s="558" t="str">
        <f t="shared" si="307"/>
        <v>.</v>
      </c>
      <c r="IB119" s="558" t="str">
        <f t="shared" si="307"/>
        <v>.</v>
      </c>
      <c r="IC119" s="558" t="str">
        <f t="shared" si="302"/>
        <v>.</v>
      </c>
      <c r="ID119" s="558" t="str">
        <f t="shared" si="302"/>
        <v>.</v>
      </c>
      <c r="IE119" s="558" t="str">
        <f t="shared" si="302"/>
        <v>.</v>
      </c>
      <c r="IF119" s="558" t="str">
        <f t="shared" si="302"/>
        <v>.</v>
      </c>
      <c r="IG119" s="558" t="str">
        <f t="shared" si="302"/>
        <v>.</v>
      </c>
      <c r="IH119" s="558" t="str">
        <f t="shared" si="302"/>
        <v>.</v>
      </c>
      <c r="II119" s="558" t="str">
        <f t="shared" si="302"/>
        <v>.</v>
      </c>
      <c r="IJ119" s="558" t="str">
        <f t="shared" si="302"/>
        <v>.</v>
      </c>
      <c r="IK119" s="558" t="str">
        <f t="shared" si="302"/>
        <v>.</v>
      </c>
      <c r="IL119" s="558" t="str">
        <f t="shared" si="302"/>
        <v>.</v>
      </c>
      <c r="IM119" s="558" t="str">
        <f t="shared" si="302"/>
        <v>.</v>
      </c>
      <c r="IN119" s="558" t="str">
        <f t="shared" si="302"/>
        <v>.</v>
      </c>
      <c r="IO119" s="558" t="str">
        <f t="shared" si="302"/>
        <v>.</v>
      </c>
      <c r="IP119" s="558" t="str">
        <f t="shared" si="302"/>
        <v>.</v>
      </c>
      <c r="IQ119" s="558" t="str">
        <f t="shared" si="302"/>
        <v>.</v>
      </c>
      <c r="IR119" s="558" t="str">
        <f t="shared" si="302"/>
        <v>.</v>
      </c>
      <c r="IS119" s="558" t="str">
        <f t="shared" si="302"/>
        <v>.</v>
      </c>
      <c r="IT119" s="558" t="str">
        <f t="shared" si="302"/>
        <v>.</v>
      </c>
      <c r="IU119" s="558" t="str">
        <f t="shared" si="304"/>
        <v>.</v>
      </c>
      <c r="IV119" s="558" t="str">
        <f t="shared" si="304"/>
        <v>.</v>
      </c>
      <c r="IW119" s="558" t="str">
        <f t="shared" si="304"/>
        <v>.</v>
      </c>
      <c r="IX119" s="558" t="str">
        <f t="shared" si="304"/>
        <v>.</v>
      </c>
      <c r="IY119" s="558" t="str">
        <f t="shared" si="304"/>
        <v>.</v>
      </c>
      <c r="IZ119" s="558" t="str">
        <f t="shared" si="305"/>
        <v>.</v>
      </c>
      <c r="JA119" s="558" t="str">
        <f t="shared" si="305"/>
        <v>.</v>
      </c>
      <c r="JB119" s="558" t="str">
        <f t="shared" si="305"/>
        <v>.</v>
      </c>
      <c r="JC119" s="558" t="str">
        <f t="shared" si="305"/>
        <v>.</v>
      </c>
      <c r="JD119" s="558" t="str">
        <f t="shared" si="305"/>
        <v>.</v>
      </c>
      <c r="JE119" s="558" t="str">
        <f t="shared" si="305"/>
        <v>.</v>
      </c>
      <c r="JF119" s="558" t="str">
        <f t="shared" si="305"/>
        <v>.</v>
      </c>
      <c r="JG119" s="558" t="str">
        <f t="shared" si="305"/>
        <v>.</v>
      </c>
      <c r="JH119" s="558" t="str">
        <f t="shared" si="305"/>
        <v>.</v>
      </c>
      <c r="JI119" s="558" t="str">
        <f t="shared" si="305"/>
        <v>.</v>
      </c>
      <c r="JJ119" s="558" t="str">
        <f t="shared" si="305"/>
        <v>.</v>
      </c>
      <c r="JK119" s="558" t="str">
        <f t="shared" si="305"/>
        <v>.</v>
      </c>
      <c r="JL119" s="558" t="str">
        <f t="shared" si="305"/>
        <v>.</v>
      </c>
      <c r="JM119" s="558" t="str">
        <f t="shared" si="305"/>
        <v>.</v>
      </c>
      <c r="JN119" s="558" t="str">
        <f t="shared" si="305"/>
        <v>.</v>
      </c>
      <c r="JO119" s="558" t="str">
        <f t="shared" si="305"/>
        <v>.</v>
      </c>
    </row>
    <row r="120" spans="1:275" x14ac:dyDescent="0.2">
      <c r="A120" s="534">
        <f xml:space="preserve"> Basis!A120</f>
        <v>120</v>
      </c>
      <c r="F120" s="536">
        <f xml:space="preserve"> ROUND(    IF( $A$15=BE_MF_,   AW120,   INDEX( qx!120:120, F$16 ) ),    F$17    )</f>
        <v>0.38119999999999998</v>
      </c>
      <c r="G120" s="536">
        <f xml:space="preserve"> ROUND(    IF( $A$15=BE_MF_,   BB120,   INDEX( wx!120:120, G$16 ) ),    G$17    )</f>
        <v>1.4E-3</v>
      </c>
      <c r="H120" s="537">
        <f xml:space="preserve"> ROUND(    IF( $A$15=BE_MF_,   BG120,   INDEX( Kx!120:120, H$16 ) ),    H$17    )</f>
        <v>11937.84</v>
      </c>
      <c r="I120" s="538">
        <f t="shared" si="273"/>
        <v>11937.84</v>
      </c>
      <c r="J120" s="539">
        <f xml:space="preserve"> ROUND(  I120 / I$19,  J$17 )</f>
        <v>5.7450000000000001</v>
      </c>
      <c r="K120" s="540">
        <f t="shared" si="274"/>
        <v>0</v>
      </c>
      <c r="L120" s="541">
        <f t="shared" si="299"/>
        <v>0</v>
      </c>
      <c r="M120" s="541">
        <f t="shared" si="299"/>
        <v>8.5999999999999993E-2</v>
      </c>
      <c r="O120" s="542" t="b">
        <f t="shared" si="275"/>
        <v>0</v>
      </c>
      <c r="P120" s="493" t="str">
        <f t="shared" si="209"/>
        <v>.</v>
      </c>
      <c r="Q120" s="493" t="str">
        <f xml:space="preserve"> IF( $O120,    ROUND( 1 - P120,  Q$17  ),  LEER  )</f>
        <v>.</v>
      </c>
      <c r="R120" s="543" t="str">
        <f t="shared" si="211"/>
        <v>.</v>
      </c>
      <c r="S120" s="544" t="str">
        <f t="shared" si="212"/>
        <v>.</v>
      </c>
      <c r="T120" s="423" t="str">
        <f xml:space="preserve"> IF( $O120,    ROUND( R120 * S120 ^ A120, T$17 ),  LEER  )</f>
        <v>.</v>
      </c>
      <c r="U120" s="423" t="str">
        <f xml:space="preserve"> IF( $O120,    ROUND(  SUM( T120:T$120), U$17 ),  LEER  )</f>
        <v>.</v>
      </c>
      <c r="V120" s="493" t="str">
        <f xml:space="preserve"> IF( $O120,    IF( T120= 0, 1,  ROUND(  U120 / T120, V$17 )   ),  LEER  )</f>
        <v>.</v>
      </c>
      <c r="W120" s="493" t="str">
        <f t="shared" si="215"/>
        <v>.</v>
      </c>
      <c r="X120" s="493" t="str">
        <f xml:space="preserve"> IF( $O120,    ROUND(  SUM( W120:W$120), X$17 ),  LEER  )</f>
        <v>.</v>
      </c>
      <c r="Y120" s="493" t="str">
        <f xml:space="preserve"> IF( $O120,    IF( T120= 0, J120,  ROUND(  X120 / T120, Y$17 )   ),   LEER  )</f>
        <v>.</v>
      </c>
      <c r="Z120" s="493" t="str">
        <f xml:space="preserve"> IF( $O120,    IF( V120= 0, Y120,  ROUND( Y120 / V120, Z$17 )  ),   LEER  )</f>
        <v>.</v>
      </c>
      <c r="AA120" s="493" t="str">
        <f t="shared" si="218"/>
        <v>.</v>
      </c>
      <c r="AB120" s="493" t="str">
        <f t="shared" si="219"/>
        <v>.</v>
      </c>
      <c r="AC120" s="545" t="str">
        <f t="shared" si="308"/>
        <v>.</v>
      </c>
      <c r="AD120" s="493" t="str">
        <f xml:space="preserve">  IF( $O120,   ROUND( AA120 * Z120 + ( AA120 - 1 ) * AC120, AD$17 ),       LEER  )</f>
        <v>.</v>
      </c>
      <c r="AE120" s="493" t="str">
        <f xml:space="preserve">  IF( $O120,   ROUND( ( AD120 + AC120 ) / ( 1 - M120), AE$17 ),       LEER  )</f>
        <v>.</v>
      </c>
      <c r="AF120" s="493" t="str">
        <f xml:space="preserve">  IF(  $O120,   IF(  OR( NOT( $AF$12), $A120=$M$12, AE120&gt;=AF119 ), AE120, MAX( AE120,AF119) ),  LEER  )</f>
        <v>.</v>
      </c>
      <c r="AG120" s="493" t="str">
        <f xml:space="preserve">  IF(  $O120,   IF(  AE120=AF120,  LEER, Setzung ),    LEER  )</f>
        <v>.</v>
      </c>
      <c r="AH120" s="493" t="str">
        <f xml:space="preserve">  IF(  $O120,   IF( AND( K119&lt;&gt;0, AG120=Setzung), SetzungZillmerung, LEER ),    LEER  )</f>
        <v>.</v>
      </c>
      <c r="AI120" s="423" t="str">
        <f t="shared" si="226"/>
        <v>.</v>
      </c>
      <c r="AJ120" s="423" t="str">
        <f xml:space="preserve">  IF( $O120,    ROUND( AF120 * AI120, AJ$17 ),  LEER  )</f>
        <v>.</v>
      </c>
      <c r="AK120" s="423" t="str">
        <f xml:space="preserve">  IF( $O120,    ROUND( AJ120 / 12, AK$17 ),  LEER  )</f>
        <v>.</v>
      </c>
      <c r="AN120" s="423" t="str">
        <f t="shared" si="294"/>
        <v>.</v>
      </c>
      <c r="AO120" s="423" t="str">
        <f t="shared" si="294"/>
        <v>.</v>
      </c>
      <c r="AR120" s="546">
        <f xml:space="preserve"> ROUND(  INDEX( Kx!120:120, AR$16 ),  AR$17 )</f>
        <v>0.24679999999999999</v>
      </c>
      <c r="AS120" s="547">
        <f xml:space="preserve"> ROUND(  INDEX( qx!120:120, AS$16 ),  AS$17 )</f>
        <v>0.40350000000000003</v>
      </c>
      <c r="AT120" s="547">
        <f xml:space="preserve"> ROUND(  INDEX( qx!120:120, AT$16 ),  AT$17 )</f>
        <v>0.37630000000000002</v>
      </c>
      <c r="AU120" s="548" t="str">
        <f t="shared" si="309"/>
        <v>F</v>
      </c>
      <c r="AV120" s="542">
        <f t="shared" si="310"/>
        <v>0.17929999999999999</v>
      </c>
      <c r="AW120" s="542">
        <f t="shared" si="311"/>
        <v>0.38119999999999998</v>
      </c>
      <c r="AX120" s="546">
        <f xml:space="preserve"> ROUND(  INDEX( wx!120:120, AX$16 ),  AX$17 )</f>
        <v>0</v>
      </c>
      <c r="AY120" s="546">
        <f xml:space="preserve"> ROUND(  INDEX( wx!120:120, AY$16 ),  AY$17 )</f>
        <v>2.0999999999999999E-3</v>
      </c>
      <c r="AZ120" s="548" t="str">
        <f t="shared" si="312"/>
        <v>M</v>
      </c>
      <c r="BA120" s="542">
        <f t="shared" si="313"/>
        <v>0.32950000000000002</v>
      </c>
      <c r="BB120" s="542">
        <f t="shared" si="314"/>
        <v>1.4E-3</v>
      </c>
      <c r="BC120" s="533">
        <f xml:space="preserve"> ROUND(  INDEX( Kx!120:120, BC$16 ),  BC$17 )</f>
        <v>14837.42</v>
      </c>
      <c r="BD120" s="533">
        <f xml:space="preserve"> ROUND(  INDEX( Kx!120:120, BD$16 ),  BD$17 )</f>
        <v>10512.92</v>
      </c>
      <c r="BE120" s="548" t="str">
        <f t="shared" si="235"/>
        <v>M</v>
      </c>
      <c r="BF120" s="542">
        <f t="shared" si="315"/>
        <v>0.32950000000000002</v>
      </c>
      <c r="BG120" s="420">
        <f t="shared" si="316"/>
        <v>11937.84</v>
      </c>
      <c r="BQ120" s="549">
        <f t="shared" si="276"/>
        <v>120</v>
      </c>
      <c r="BR120" s="423" t="str">
        <f t="shared" si="238"/>
        <v>.</v>
      </c>
      <c r="BS120" s="550" t="str">
        <f t="shared" si="239"/>
        <v>.</v>
      </c>
      <c r="BT120" s="423" t="str">
        <f t="shared" si="240"/>
        <v>.</v>
      </c>
      <c r="BU120" s="551" t="str">
        <f t="shared" si="241"/>
        <v>.</v>
      </c>
      <c r="BV120" s="551" t="str">
        <f xml:space="preserve"> IF( OR( $A120 &lt; $BV$12, $A120 &gt; $O$12 ),   LEER,   ROUND( SUM(BU119) / SUM(BU120), BV$17 )   )</f>
        <v>.</v>
      </c>
      <c r="BW120" s="529" t="str">
        <f t="shared" si="243"/>
        <v>.</v>
      </c>
      <c r="BX120" s="552" t="str">
        <f xml:space="preserve"> IF( OR( $A120 &lt;= $BX$12, $A120 &gt; $O$12 ),   LEER,   BW120 - ( BR120 + BT120 )   )</f>
        <v>.</v>
      </c>
      <c r="BY120" s="560"/>
      <c r="BZ120" s="559"/>
      <c r="CB120" s="423" t="str">
        <f t="shared" si="245"/>
        <v>.</v>
      </c>
      <c r="CC120" s="423" t="str">
        <f t="shared" si="246"/>
        <v>.</v>
      </c>
      <c r="CD120" s="423" t="str">
        <f t="shared" si="247"/>
        <v>.</v>
      </c>
      <c r="CE120" s="423" t="str">
        <f xml:space="preserve">  IF( AND( $O120, $A120&gt;=CE$12),    SUM(CB120:CD120),  LEER  )</f>
        <v>.</v>
      </c>
      <c r="CF120" s="553" t="str">
        <f t="shared" si="249"/>
        <v>.</v>
      </c>
      <c r="CH120" s="423" t="str">
        <f t="shared" si="250"/>
        <v>.</v>
      </c>
      <c r="CI120" s="423" t="str">
        <f t="shared" si="251"/>
        <v>.</v>
      </c>
      <c r="CJ120" s="423" t="str">
        <f t="shared" si="252"/>
        <v>.</v>
      </c>
      <c r="CK120" s="423" t="str">
        <f t="shared" si="253"/>
        <v>.</v>
      </c>
      <c r="CL120" s="553" t="str">
        <f xml:space="preserve">  IF( AND( $O120, $A120&gt;=CL$12), SUM( CI120:CK120 ), LEER  )</f>
        <v>.</v>
      </c>
      <c r="CN120" s="423" t="str">
        <f t="shared" si="255"/>
        <v>.</v>
      </c>
      <c r="CO120" s="423" t="str">
        <f t="shared" si="256"/>
        <v>.</v>
      </c>
      <c r="CP120" s="423" t="str">
        <f t="shared" si="257"/>
        <v>.</v>
      </c>
      <c r="CQ120" s="423" t="str">
        <f t="shared" si="258"/>
        <v>.</v>
      </c>
      <c r="CR120" s="553" t="str">
        <f t="shared" si="259"/>
        <v>.</v>
      </c>
      <c r="CV120" s="564">
        <f t="shared" si="277"/>
        <v>120</v>
      </c>
      <c r="CW120" s="538" t="str">
        <f t="shared" si="260"/>
        <v>.</v>
      </c>
      <c r="CX120" s="566" t="str">
        <f t="shared" si="317"/>
        <v>.</v>
      </c>
      <c r="CY120" s="538" t="str">
        <f t="shared" si="318"/>
        <v>.</v>
      </c>
      <c r="CZ120" s="538" t="str">
        <f t="shared" si="319"/>
        <v>.</v>
      </c>
      <c r="DA120" s="538" t="str">
        <f t="shared" si="320"/>
        <v>.</v>
      </c>
      <c r="DB120" s="567" t="e">
        <f t="shared" si="278"/>
        <v>#N/A</v>
      </c>
      <c r="DC120" s="567" t="e">
        <f t="shared" si="279"/>
        <v>#N/A</v>
      </c>
      <c r="DD120" s="567" t="e">
        <f t="shared" si="280"/>
        <v>#N/A</v>
      </c>
      <c r="DE120" s="567" t="e">
        <f t="shared" si="280"/>
        <v>#N/A</v>
      </c>
      <c r="DF120" s="568" t="e">
        <f t="shared" si="281"/>
        <v>#N/A</v>
      </c>
      <c r="EL120" s="553" t="str">
        <f t="shared" si="265"/>
        <v>.</v>
      </c>
      <c r="EM120" s="553" t="str">
        <f xml:space="preserve">  IF( AND( $A120&lt;=$O$12, $A120&gt;=EL$12),    ROUND( ( 1 - $M120 ) * $V120 * EM$8, EL$17 ),  LEER  )</f>
        <v>.</v>
      </c>
      <c r="EN120" s="423" t="str">
        <f xml:space="preserve">  IF( AND( $A120&lt;=$O$12, $A120&gt;=EL$12),    ROUND( SUM(EL120:EM120), EN$17 ),  LEER  )</f>
        <v>.</v>
      </c>
      <c r="EO120" s="555" t="str">
        <f xml:space="preserve"> 'i2'!AO120</f>
        <v>.</v>
      </c>
      <c r="EV120" s="533" t="e">
        <f xml:space="preserve"> ROUND(    IF( $A$15=BE_MF_,   LEER,   INDEX( Kx!120:120, EV$16 ) ),    EV$17    )</f>
        <v>#VALUE!</v>
      </c>
      <c r="EW120" s="533" t="e">
        <f xml:space="preserve"> ROUND(    IF( $A$15=BE_MF_,   LEER,   INDEX( Kx!120:120, EW$16 ) ),    EW$17    )</f>
        <v>#VALUE!</v>
      </c>
      <c r="EX120" s="533" t="e">
        <f xml:space="preserve"> ROUND(    IF( $A$15=BE_MF_,   LEER,   INDEX( Kx!120:120, EX$16 ) ),    EX$17    )</f>
        <v>#VALUE!</v>
      </c>
      <c r="EY120" s="556" t="e">
        <f t="shared" si="282"/>
        <v>#VALUE!</v>
      </c>
      <c r="FB120" s="533" t="e">
        <f xml:space="preserve"> ROUND(    IF( $A$15=BE_MF_,   LEER,   INDEX( Kx!120:120, FB$16 ) ),    FB$17    )</f>
        <v>#VALUE!</v>
      </c>
      <c r="FC120" s="533" t="e">
        <f xml:space="preserve"> ROUND(    IF( $A$15=BE_MF_,   LEER,   INDEX( Kx!120:120, FC$16 ) ),    FC$17    )</f>
        <v>#VALUE!</v>
      </c>
      <c r="FD120" s="556" t="e">
        <f t="shared" si="283"/>
        <v>#VALUE!</v>
      </c>
      <c r="FG120" s="556" t="e">
        <f t="shared" si="284"/>
        <v>#VALUE!</v>
      </c>
      <c r="FH120" s="556" t="e">
        <f t="shared" si="284"/>
        <v>#VALUE!</v>
      </c>
      <c r="FI120" s="556" t="e">
        <f t="shared" si="284"/>
        <v>#VALUE!</v>
      </c>
      <c r="FN120" s="557">
        <f t="shared" si="268"/>
        <v>120</v>
      </c>
      <c r="FO120" s="493" t="str">
        <f t="shared" si="269"/>
        <v>.</v>
      </c>
      <c r="FP120" s="493" t="str">
        <f t="shared" si="270"/>
        <v>.</v>
      </c>
      <c r="FR120" s="427">
        <f t="shared" si="285"/>
        <v>0</v>
      </c>
      <c r="FS120" s="558" t="str">
        <f t="shared" si="321"/>
        <v>.</v>
      </c>
      <c r="FT120" s="558" t="str">
        <f t="shared" si="321"/>
        <v>.</v>
      </c>
      <c r="FU120" s="558" t="str">
        <f t="shared" si="321"/>
        <v>.</v>
      </c>
      <c r="FV120" s="558" t="str">
        <f t="shared" si="321"/>
        <v>.</v>
      </c>
      <c r="FW120" s="558" t="str">
        <f t="shared" si="321"/>
        <v>.</v>
      </c>
      <c r="FX120" s="558" t="str">
        <f t="shared" si="321"/>
        <v>.</v>
      </c>
      <c r="FY120" s="558" t="str">
        <f t="shared" si="321"/>
        <v>.</v>
      </c>
      <c r="FZ120" s="558" t="str">
        <f t="shared" si="321"/>
        <v>.</v>
      </c>
      <c r="GA120" s="558" t="str">
        <f t="shared" si="321"/>
        <v>.</v>
      </c>
      <c r="GB120" s="558" t="str">
        <f t="shared" si="321"/>
        <v>.</v>
      </c>
      <c r="GC120" s="558" t="str">
        <f t="shared" si="321"/>
        <v>.</v>
      </c>
      <c r="GD120" s="558" t="str">
        <f t="shared" si="321"/>
        <v>.</v>
      </c>
      <c r="GE120" s="558" t="str">
        <f t="shared" si="321"/>
        <v>.</v>
      </c>
      <c r="GF120" s="558" t="str">
        <f t="shared" si="321"/>
        <v>.</v>
      </c>
      <c r="GG120" s="558" t="str">
        <f t="shared" si="321"/>
        <v>.</v>
      </c>
      <c r="GH120" s="558" t="str">
        <f t="shared" si="321"/>
        <v>.</v>
      </c>
      <c r="GI120" s="558" t="str">
        <f t="shared" si="306"/>
        <v>.</v>
      </c>
      <c r="GJ120" s="558" t="str">
        <f t="shared" si="306"/>
        <v>.</v>
      </c>
      <c r="GK120" s="558" t="str">
        <f t="shared" si="306"/>
        <v>.</v>
      </c>
      <c r="GL120" s="558" t="str">
        <f t="shared" si="306"/>
        <v>.</v>
      </c>
      <c r="GM120" s="558" t="str">
        <f t="shared" si="306"/>
        <v>.</v>
      </c>
      <c r="GN120" s="558" t="str">
        <f t="shared" si="306"/>
        <v>.</v>
      </c>
      <c r="GO120" s="558" t="str">
        <f t="shared" si="306"/>
        <v>.</v>
      </c>
      <c r="GP120" s="558" t="str">
        <f t="shared" si="306"/>
        <v>.</v>
      </c>
      <c r="GQ120" s="558" t="str">
        <f t="shared" si="306"/>
        <v>.</v>
      </c>
      <c r="GR120" s="558" t="str">
        <f t="shared" si="306"/>
        <v>.</v>
      </c>
      <c r="GS120" s="558" t="str">
        <f t="shared" si="306"/>
        <v>.</v>
      </c>
      <c r="GT120" s="558" t="str">
        <f t="shared" si="306"/>
        <v>.</v>
      </c>
      <c r="GU120" s="558" t="str">
        <f t="shared" si="306"/>
        <v>.</v>
      </c>
      <c r="GV120" s="558" t="str">
        <f t="shared" si="306"/>
        <v>.</v>
      </c>
      <c r="GW120" s="558" t="str">
        <f t="shared" si="306"/>
        <v>.</v>
      </c>
      <c r="GX120" s="558" t="str">
        <f t="shared" si="322"/>
        <v>.</v>
      </c>
      <c r="GY120" s="558" t="str">
        <f t="shared" si="322"/>
        <v>.</v>
      </c>
      <c r="GZ120" s="558" t="str">
        <f t="shared" si="322"/>
        <v>.</v>
      </c>
      <c r="HA120" s="558" t="str">
        <f t="shared" si="322"/>
        <v>.</v>
      </c>
      <c r="HB120" s="558" t="str">
        <f t="shared" si="322"/>
        <v>.</v>
      </c>
      <c r="HC120" s="558" t="str">
        <f t="shared" si="322"/>
        <v>.</v>
      </c>
      <c r="HD120" s="558" t="str">
        <f t="shared" si="322"/>
        <v>.</v>
      </c>
      <c r="HE120" s="558" t="str">
        <f t="shared" si="322"/>
        <v>.</v>
      </c>
      <c r="HF120" s="558" t="str">
        <f t="shared" si="322"/>
        <v>.</v>
      </c>
      <c r="HG120" s="558" t="str">
        <f t="shared" si="322"/>
        <v>.</v>
      </c>
      <c r="HH120" s="558" t="str">
        <f t="shared" si="322"/>
        <v>.</v>
      </c>
      <c r="HI120" s="558" t="str">
        <f t="shared" si="322"/>
        <v>.</v>
      </c>
      <c r="HJ120" s="558" t="str">
        <f t="shared" si="322"/>
        <v>.</v>
      </c>
      <c r="HK120" s="558" t="str">
        <f t="shared" si="322"/>
        <v>.</v>
      </c>
      <c r="HL120" s="558" t="str">
        <f t="shared" si="322"/>
        <v>.</v>
      </c>
      <c r="HM120" s="558" t="str">
        <f t="shared" si="322"/>
        <v>.</v>
      </c>
      <c r="HN120" s="558" t="str">
        <f t="shared" si="307"/>
        <v>.</v>
      </c>
      <c r="HO120" s="558" t="str">
        <f t="shared" si="307"/>
        <v>.</v>
      </c>
      <c r="HP120" s="558" t="str">
        <f t="shared" si="307"/>
        <v>.</v>
      </c>
      <c r="HQ120" s="558" t="str">
        <f t="shared" si="307"/>
        <v>.</v>
      </c>
      <c r="HR120" s="558" t="str">
        <f t="shared" si="307"/>
        <v>.</v>
      </c>
      <c r="HS120" s="558" t="str">
        <f t="shared" si="307"/>
        <v>.</v>
      </c>
      <c r="HT120" s="558" t="str">
        <f t="shared" si="307"/>
        <v>.</v>
      </c>
      <c r="HU120" s="558" t="str">
        <f t="shared" si="307"/>
        <v>.</v>
      </c>
      <c r="HV120" s="558" t="str">
        <f t="shared" si="307"/>
        <v>.</v>
      </c>
      <c r="HW120" s="558" t="str">
        <f t="shared" si="307"/>
        <v>.</v>
      </c>
      <c r="HX120" s="558" t="str">
        <f t="shared" si="307"/>
        <v>.</v>
      </c>
      <c r="HY120" s="558" t="str">
        <f t="shared" si="307"/>
        <v>.</v>
      </c>
      <c r="HZ120" s="558" t="str">
        <f t="shared" si="307"/>
        <v>.</v>
      </c>
      <c r="IA120" s="558" t="str">
        <f t="shared" si="307"/>
        <v>.</v>
      </c>
      <c r="IB120" s="558" t="str">
        <f t="shared" si="307"/>
        <v>.</v>
      </c>
      <c r="IC120" s="558" t="str">
        <f t="shared" si="302"/>
        <v>.</v>
      </c>
      <c r="ID120" s="558" t="str">
        <f t="shared" si="302"/>
        <v>.</v>
      </c>
      <c r="IE120" s="558" t="str">
        <f t="shared" si="302"/>
        <v>.</v>
      </c>
      <c r="IF120" s="558" t="str">
        <f t="shared" si="302"/>
        <v>.</v>
      </c>
      <c r="IG120" s="558" t="str">
        <f t="shared" si="302"/>
        <v>.</v>
      </c>
      <c r="IH120" s="558" t="str">
        <f t="shared" si="302"/>
        <v>.</v>
      </c>
      <c r="II120" s="558" t="str">
        <f t="shared" si="302"/>
        <v>.</v>
      </c>
      <c r="IJ120" s="558" t="str">
        <f t="shared" si="302"/>
        <v>.</v>
      </c>
      <c r="IK120" s="558" t="str">
        <f t="shared" si="302"/>
        <v>.</v>
      </c>
      <c r="IL120" s="558" t="str">
        <f t="shared" si="302"/>
        <v>.</v>
      </c>
      <c r="IM120" s="558" t="str">
        <f t="shared" si="302"/>
        <v>.</v>
      </c>
      <c r="IN120" s="558" t="str">
        <f t="shared" si="302"/>
        <v>.</v>
      </c>
      <c r="IO120" s="558" t="str">
        <f t="shared" si="302"/>
        <v>.</v>
      </c>
      <c r="IP120" s="558" t="str">
        <f t="shared" si="302"/>
        <v>.</v>
      </c>
      <c r="IQ120" s="558" t="str">
        <f t="shared" si="302"/>
        <v>.</v>
      </c>
      <c r="IR120" s="558" t="str">
        <f t="shared" si="302"/>
        <v>.</v>
      </c>
      <c r="IS120" s="558" t="str">
        <f t="shared" si="302"/>
        <v>.</v>
      </c>
      <c r="IT120" s="558" t="str">
        <f t="shared" si="302"/>
        <v>.</v>
      </c>
      <c r="IU120" s="558" t="str">
        <f t="shared" si="304"/>
        <v>.</v>
      </c>
      <c r="IV120" s="558" t="str">
        <f t="shared" si="304"/>
        <v>.</v>
      </c>
      <c r="IW120" s="558" t="str">
        <f t="shared" si="304"/>
        <v>.</v>
      </c>
      <c r="IX120" s="558" t="str">
        <f t="shared" si="304"/>
        <v>.</v>
      </c>
      <c r="IY120" s="558" t="str">
        <f t="shared" si="304"/>
        <v>.</v>
      </c>
      <c r="IZ120" s="558" t="str">
        <f t="shared" si="305"/>
        <v>.</v>
      </c>
      <c r="JA120" s="558" t="str">
        <f t="shared" si="305"/>
        <v>.</v>
      </c>
      <c r="JB120" s="558" t="str">
        <f t="shared" si="305"/>
        <v>.</v>
      </c>
      <c r="JC120" s="558" t="str">
        <f t="shared" si="305"/>
        <v>.</v>
      </c>
      <c r="JD120" s="558" t="str">
        <f t="shared" si="305"/>
        <v>.</v>
      </c>
      <c r="JE120" s="558" t="str">
        <f t="shared" si="305"/>
        <v>.</v>
      </c>
      <c r="JF120" s="558" t="str">
        <f t="shared" si="305"/>
        <v>.</v>
      </c>
      <c r="JG120" s="558" t="str">
        <f t="shared" si="305"/>
        <v>.</v>
      </c>
      <c r="JH120" s="558" t="str">
        <f t="shared" si="305"/>
        <v>.</v>
      </c>
      <c r="JI120" s="558" t="str">
        <f t="shared" si="305"/>
        <v>.</v>
      </c>
      <c r="JJ120" s="558" t="str">
        <f t="shared" si="305"/>
        <v>.</v>
      </c>
      <c r="JK120" s="558" t="str">
        <f t="shared" si="305"/>
        <v>.</v>
      </c>
      <c r="JL120" s="558" t="str">
        <f t="shared" si="305"/>
        <v>.</v>
      </c>
      <c r="JM120" s="558" t="str">
        <f t="shared" si="305"/>
        <v>.</v>
      </c>
      <c r="JN120" s="558" t="str">
        <f t="shared" si="305"/>
        <v>.</v>
      </c>
      <c r="JO120" s="558" t="str">
        <f t="shared" si="305"/>
        <v>.</v>
      </c>
    </row>
    <row r="121" spans="1:275" x14ac:dyDescent="0.2">
      <c r="BS121" s="487"/>
      <c r="BT121" s="487"/>
      <c r="BY121" s="560"/>
      <c r="EV121" s="385"/>
      <c r="EW121" s="385"/>
      <c r="EX121" s="385"/>
      <c r="FB121" s="385"/>
      <c r="FC121" s="385"/>
    </row>
    <row r="122" spans="1:275" x14ac:dyDescent="0.2">
      <c r="BS122" s="487"/>
      <c r="BT122" s="487"/>
      <c r="BY122" s="560"/>
      <c r="EV122" s="385"/>
      <c r="EW122" s="385"/>
      <c r="EX122" s="385"/>
      <c r="FB122" s="385"/>
      <c r="FC122" s="385"/>
    </row>
    <row r="123" spans="1:275" x14ac:dyDescent="0.2">
      <c r="BS123" s="487"/>
      <c r="BT123" s="487"/>
      <c r="EV123" s="385"/>
      <c r="EW123" s="385"/>
      <c r="EX123" s="385"/>
      <c r="FB123" s="385"/>
      <c r="FC123" s="385"/>
    </row>
    <row r="124" spans="1:275" x14ac:dyDescent="0.2">
      <c r="BS124" s="487"/>
      <c r="BT124" s="487"/>
      <c r="EV124" s="385"/>
      <c r="EW124" s="385"/>
      <c r="EX124" s="385"/>
      <c r="FB124" s="385"/>
      <c r="FC124" s="385"/>
    </row>
    <row r="129" spans="1:59" x14ac:dyDescent="0.2">
      <c r="I129" s="387">
        <f xml:space="preserve"> MATCH( F12, $A$130:$A$149, 0 )</f>
        <v>16</v>
      </c>
      <c r="J129" s="561">
        <f xml:space="preserve"> GrKx_Rd</f>
        <v>2</v>
      </c>
    </row>
    <row r="130" spans="1:59" x14ac:dyDescent="0.2">
      <c r="A130" s="562">
        <f xml:space="preserve"> Basis!A130</f>
        <v>0</v>
      </c>
      <c r="G130" s="391"/>
      <c r="H130" s="533">
        <f xml:space="preserve"> ROUND(    IF( $A$15=BE_MF_,   BG130,   INDEX( Kx!130:130, H$16 ) ),    H$17    )</f>
        <v>3748.77</v>
      </c>
      <c r="I130" s="420">
        <f t="shared" ref="I130:I149" si="323" xml:space="preserve"> IF( $A130&gt;=$H$12, MAX( H130, I129 ), H130 )</f>
        <v>3748.77</v>
      </c>
      <c r="J130" s="420">
        <f xml:space="preserve"> ROUND(   IF( $A130&lt;$F$12, AVERAGE(  $I$130                        : INDEX( $I$130:$I$149, $I$129-1 )  ),  AVERAGE(  $I$149                        : INDEX( $I$130:$I$149, $I$129 )  )     ),        J$129   )</f>
        <v>1506.43</v>
      </c>
      <c r="L130" s="473">
        <f t="shared" ref="L130:L149" si="324" xml:space="preserve"> INDEX( Auswahl_DeltaTildeKJ, $D$1 )</f>
        <v>0</v>
      </c>
      <c r="M130" s="563">
        <f t="shared" ref="M130:M149" si="325" xml:space="preserve"> ROUND(  IF( $A130&lt;M$12, M$15, M$16 ),  M$17  )</f>
        <v>8.5999999999999993E-2</v>
      </c>
      <c r="O130" s="542" t="b">
        <f xml:space="preserve"> A130&lt;=$O$10</f>
        <v>1</v>
      </c>
      <c r="AJ130" s="423">
        <f t="shared" ref="AJ130:AJ149" si="326" xml:space="preserve">  IF( $O130,    ROUND( J130 / ( 1 - L130 - M130 ), AJ$17 ),  LEER )</f>
        <v>1648.17</v>
      </c>
      <c r="AK130" s="423">
        <f t="shared" ref="AK130:AK149" si="327" xml:space="preserve">  IF( $O130,    ROUND( AJ130 / 12, AK$17 ),  LEER  )</f>
        <v>137.35</v>
      </c>
      <c r="AR130" s="546">
        <f xml:space="preserve"> ROUND(  INDEX( Kx!130:130, AR$16 ),  AR$17 )</f>
        <v>0.51249999999999996</v>
      </c>
      <c r="BC130" s="533">
        <f xml:space="preserve"> ROUND(  INDEX( Kx!130:130, BC$16 ),  BC$17 )</f>
        <v>4067.31</v>
      </c>
      <c r="BD130" s="533">
        <f xml:space="preserve"> ROUND(  INDEX( Kx!130:130, BD$16 ),  BD$17 )</f>
        <v>3246.55</v>
      </c>
      <c r="BE130" s="548" t="str">
        <f t="shared" ref="BE130:BE149" si="328" xml:space="preserve"> IF( BC130&gt;BD130, BC$18, BD$18 )</f>
        <v>M</v>
      </c>
      <c r="BF130" s="542">
        <f t="shared" ref="BF130:BF149" si="329" xml:space="preserve"> ROUND(     IF( BE130=BE_M_, ( $AR130 + $AR130 * BF$18 ) / ( 1 + $AR130 * BF$18 ),  ( $AR130 ) / ( 1 + ( 1 - $AR130 ) * BF$18 ) ),   BF$17 )</f>
        <v>0.6119</v>
      </c>
      <c r="BG130" s="542">
        <f t="shared" ref="BG130:BG149" si="330" xml:space="preserve"> ROUND( BF130 * BC130 + ( 1 - BF130) * BD130, BG$17 )</f>
        <v>3748.77</v>
      </c>
    </row>
    <row r="131" spans="1:59" x14ac:dyDescent="0.2">
      <c r="A131" s="562">
        <f xml:space="preserve"> Basis!A131</f>
        <v>1</v>
      </c>
      <c r="H131" s="533">
        <f xml:space="preserve"> ROUND(    IF( $A$15=BE_MF_,   BG131,   INDEX( Kx!131:131, H$16 ) ),    H$17    )</f>
        <v>2036.95</v>
      </c>
      <c r="I131" s="420">
        <f t="shared" si="323"/>
        <v>2036.95</v>
      </c>
      <c r="J131" s="420">
        <f xml:space="preserve"> ROUND(   IF( $A131&lt;$F$12, AVERAGE(  $I$130                        : INDEX( $I$130:$I$149, $I$129-1 )  ),  AVERAGE(  $I$149                        : INDEX( $I$130:$I$149, $I$129 )  )     ),        J$129   )</f>
        <v>1506.43</v>
      </c>
      <c r="L131" s="473">
        <f t="shared" si="324"/>
        <v>0</v>
      </c>
      <c r="M131" s="563">
        <f t="shared" si="325"/>
        <v>8.5999999999999993E-2</v>
      </c>
      <c r="O131" s="542" t="b">
        <f t="shared" ref="O131:O149" si="331" xml:space="preserve"> A131&lt;=$O$10</f>
        <v>1</v>
      </c>
      <c r="AJ131" s="423">
        <f t="shared" si="326"/>
        <v>1648.17</v>
      </c>
      <c r="AK131" s="423">
        <f t="shared" si="327"/>
        <v>137.35</v>
      </c>
      <c r="AR131" s="546">
        <f xml:space="preserve"> ROUND(  INDEX( Kx!131:131, AR$16 ),  AR$17 )</f>
        <v>0.51190000000000002</v>
      </c>
      <c r="BC131" s="533">
        <f xml:space="preserve"> ROUND(  INDEX( Kx!131:131, BC$16 ),  BC$17 )</f>
        <v>2094.37</v>
      </c>
      <c r="BD131" s="533">
        <f xml:space="preserve"> ROUND(  INDEX( Kx!131:131, BD$16 ),  BD$17 )</f>
        <v>1946.62</v>
      </c>
      <c r="BE131" s="548" t="str">
        <f t="shared" si="328"/>
        <v>M</v>
      </c>
      <c r="BF131" s="542">
        <f t="shared" si="329"/>
        <v>0.61140000000000005</v>
      </c>
      <c r="BG131" s="542">
        <f t="shared" si="330"/>
        <v>2036.95</v>
      </c>
    </row>
    <row r="132" spans="1:59" x14ac:dyDescent="0.2">
      <c r="A132" s="562">
        <f xml:space="preserve"> Basis!A132</f>
        <v>2</v>
      </c>
      <c r="H132" s="533">
        <f xml:space="preserve"> ROUND(    IF( $A$15=BE_MF_,   BG132,   INDEX( Kx!132:132, H$16 ) ),    H$17    )</f>
        <v>1351.16</v>
      </c>
      <c r="I132" s="420">
        <f t="shared" si="323"/>
        <v>1351.16</v>
      </c>
      <c r="J132" s="420">
        <f xml:space="preserve"> ROUND(   IF( $A132&lt;$F$12, AVERAGE(  $I$130                        : INDEX( $I$130:$I$149, $I$129-1 )  ),  AVERAGE(  $I$149                        : INDEX( $I$130:$I$149, $I$129 )  )     ),        J$129   )</f>
        <v>1506.43</v>
      </c>
      <c r="L132" s="473">
        <f t="shared" si="324"/>
        <v>0</v>
      </c>
      <c r="M132" s="563">
        <f t="shared" si="325"/>
        <v>8.5999999999999993E-2</v>
      </c>
      <c r="O132" s="542" t="b">
        <f t="shared" si="331"/>
        <v>1</v>
      </c>
      <c r="AJ132" s="423">
        <f t="shared" si="326"/>
        <v>1648.17</v>
      </c>
      <c r="AK132" s="423">
        <f t="shared" si="327"/>
        <v>137.35</v>
      </c>
      <c r="AR132" s="546">
        <f xml:space="preserve"> ROUND(  INDEX( Kx!132:132, AR$16 ),  AR$17 )</f>
        <v>0.50880000000000003</v>
      </c>
      <c r="BC132" s="533">
        <f xml:space="preserve"> ROUND(  INDEX( Kx!132:132, BC$16 ),  BC$17 )</f>
        <v>1450.62</v>
      </c>
      <c r="BD132" s="533">
        <f xml:space="preserve"> ROUND(  INDEX( Kx!132:132, BD$16 ),  BD$17 )</f>
        <v>1196.6400000000001</v>
      </c>
      <c r="BE132" s="548" t="str">
        <f t="shared" si="328"/>
        <v>M</v>
      </c>
      <c r="BF132" s="542">
        <f t="shared" si="329"/>
        <v>0.60840000000000005</v>
      </c>
      <c r="BG132" s="542">
        <f t="shared" si="330"/>
        <v>1351.16</v>
      </c>
    </row>
    <row r="133" spans="1:59" x14ac:dyDescent="0.2">
      <c r="A133" s="562">
        <f xml:space="preserve"> Basis!A133</f>
        <v>3</v>
      </c>
      <c r="H133" s="533">
        <f xml:space="preserve"> ROUND(    IF( $A$15=BE_MF_,   BG133,   INDEX( Kx!133:133, H$16 ) ),    H$17    )</f>
        <v>1207.25</v>
      </c>
      <c r="I133" s="420">
        <f t="shared" si="323"/>
        <v>1207.25</v>
      </c>
      <c r="J133" s="420">
        <f xml:space="preserve"> ROUND(   IF( $A133&lt;$F$12, AVERAGE(  $I$130                        : INDEX( $I$130:$I$149, $I$129-1 )  ),  AVERAGE(  $I$149                        : INDEX( $I$130:$I$149, $I$129 )  )     ),        J$129   )</f>
        <v>1506.43</v>
      </c>
      <c r="L133" s="473">
        <f t="shared" si="324"/>
        <v>0</v>
      </c>
      <c r="M133" s="563">
        <f t="shared" si="325"/>
        <v>8.5999999999999993E-2</v>
      </c>
      <c r="O133" s="542" t="b">
        <f t="shared" si="331"/>
        <v>1</v>
      </c>
      <c r="AJ133" s="423">
        <f t="shared" si="326"/>
        <v>1648.17</v>
      </c>
      <c r="AK133" s="423">
        <f t="shared" si="327"/>
        <v>137.35</v>
      </c>
      <c r="AR133" s="546">
        <f xml:space="preserve"> ROUND(  INDEX( Kx!133:133, AR$16 ),  AR$17 )</f>
        <v>0.51219999999999999</v>
      </c>
      <c r="BC133" s="533">
        <f xml:space="preserve"> ROUND(  INDEX( Kx!133:133, BC$16 ),  BC$17 )</f>
        <v>1307.23</v>
      </c>
      <c r="BD133" s="533">
        <f xml:space="preserve"> ROUND(  INDEX( Kx!133:133, BD$16 ),  BD$17 )</f>
        <v>1049.76</v>
      </c>
      <c r="BE133" s="548" t="str">
        <f t="shared" si="328"/>
        <v>M</v>
      </c>
      <c r="BF133" s="542">
        <f t="shared" si="329"/>
        <v>0.61170000000000002</v>
      </c>
      <c r="BG133" s="542">
        <f t="shared" si="330"/>
        <v>1207.25</v>
      </c>
    </row>
    <row r="134" spans="1:59" x14ac:dyDescent="0.2">
      <c r="A134" s="562">
        <f xml:space="preserve"> Basis!A134</f>
        <v>4</v>
      </c>
      <c r="H134" s="533">
        <f xml:space="preserve"> ROUND(    IF( $A$15=BE_MF_,   BG134,   INDEX( Kx!134:134, H$16 ) ),    H$17    )</f>
        <v>1102.58</v>
      </c>
      <c r="I134" s="420">
        <f t="shared" si="323"/>
        <v>1102.58</v>
      </c>
      <c r="J134" s="420">
        <f xml:space="preserve"> ROUND(   IF( $A134&lt;$F$12, AVERAGE(  $I$130                        : INDEX( $I$130:$I$149, $I$129-1 )  ),  AVERAGE(  $I$149                        : INDEX( $I$130:$I$149, $I$129 )  )     ),        J$129   )</f>
        <v>1506.43</v>
      </c>
      <c r="L134" s="473">
        <f t="shared" si="324"/>
        <v>0</v>
      </c>
      <c r="M134" s="563">
        <f t="shared" si="325"/>
        <v>8.5999999999999993E-2</v>
      </c>
      <c r="O134" s="542" t="b">
        <f t="shared" si="331"/>
        <v>1</v>
      </c>
      <c r="AJ134" s="423">
        <f t="shared" si="326"/>
        <v>1648.17</v>
      </c>
      <c r="AK134" s="423">
        <f t="shared" si="327"/>
        <v>137.35</v>
      </c>
      <c r="AR134" s="546">
        <f xml:space="preserve"> ROUND(  INDEX( Kx!134:134, AR$16 ),  AR$17 )</f>
        <v>0.51270000000000004</v>
      </c>
      <c r="BC134" s="533">
        <f xml:space="preserve"> ROUND(  INDEX( Kx!134:134, BC$16 ),  BC$17 )</f>
        <v>1200.4000000000001</v>
      </c>
      <c r="BD134" s="533">
        <f xml:space="preserve"> ROUND(  INDEX( Kx!134:134, BD$16 ),  BD$17 )</f>
        <v>948.22</v>
      </c>
      <c r="BE134" s="548" t="str">
        <f t="shared" si="328"/>
        <v>M</v>
      </c>
      <c r="BF134" s="542">
        <f t="shared" si="329"/>
        <v>0.61209999999999998</v>
      </c>
      <c r="BG134" s="542">
        <f t="shared" si="330"/>
        <v>1102.58</v>
      </c>
    </row>
    <row r="135" spans="1:59" x14ac:dyDescent="0.2">
      <c r="A135" s="562">
        <f xml:space="preserve"> Basis!A135</f>
        <v>5</v>
      </c>
      <c r="H135" s="533">
        <f xml:space="preserve"> ROUND(    IF( $A$15=BE_MF_,   BG135,   INDEX( Kx!135:135, H$16 ) ),    H$17    )</f>
        <v>1056.8399999999999</v>
      </c>
      <c r="I135" s="420">
        <f t="shared" si="323"/>
        <v>1056.8399999999999</v>
      </c>
      <c r="J135" s="420">
        <f xml:space="preserve"> ROUND(   IF( $A135&lt;$F$12, AVERAGE(  $I$130                        : INDEX( $I$130:$I$149, $I$129-1 )  ),  AVERAGE(  $I$149                        : INDEX( $I$130:$I$149, $I$129 )  )     ),        J$129   )</f>
        <v>1506.43</v>
      </c>
      <c r="L135" s="473">
        <f t="shared" si="324"/>
        <v>0</v>
      </c>
      <c r="M135" s="563">
        <f t="shared" si="325"/>
        <v>8.5999999999999993E-2</v>
      </c>
      <c r="O135" s="542" t="b">
        <f t="shared" si="331"/>
        <v>1</v>
      </c>
      <c r="AJ135" s="423">
        <f t="shared" si="326"/>
        <v>1648.17</v>
      </c>
      <c r="AK135" s="423">
        <f t="shared" si="327"/>
        <v>137.35</v>
      </c>
      <c r="AR135" s="546">
        <f xml:space="preserve"> ROUND(  INDEX( Kx!135:135, AR$16 ),  AR$17 )</f>
        <v>0.5101</v>
      </c>
      <c r="BC135" s="533">
        <f xml:space="preserve"> ROUND(  INDEX( Kx!135:135, BC$16 ),  BC$17 )</f>
        <v>1176.3800000000001</v>
      </c>
      <c r="BD135" s="533">
        <f xml:space="preserve"> ROUND(  INDEX( Kx!135:135, BD$16 ),  BD$17 )</f>
        <v>870.1</v>
      </c>
      <c r="BE135" s="548" t="str">
        <f t="shared" si="328"/>
        <v>M</v>
      </c>
      <c r="BF135" s="542">
        <f t="shared" si="329"/>
        <v>0.60970000000000002</v>
      </c>
      <c r="BG135" s="542">
        <f t="shared" si="330"/>
        <v>1056.8399999999999</v>
      </c>
    </row>
    <row r="136" spans="1:59" x14ac:dyDescent="0.2">
      <c r="A136" s="562">
        <f xml:space="preserve"> Basis!A136</f>
        <v>6</v>
      </c>
      <c r="H136" s="533">
        <f xml:space="preserve"> ROUND(    IF( $A$15=BE_MF_,   BG136,   INDEX( Kx!136:136, H$16 ) ),    H$17    )</f>
        <v>1028.01</v>
      </c>
      <c r="I136" s="420">
        <f t="shared" si="323"/>
        <v>1028.01</v>
      </c>
      <c r="J136" s="420">
        <f xml:space="preserve"> ROUND(   IF( $A136&lt;$F$12, AVERAGE(  $I$130                        : INDEX( $I$130:$I$149, $I$129-1 )  ),  AVERAGE(  $I$149                        : INDEX( $I$130:$I$149, $I$129 )  )     ),        J$129   )</f>
        <v>1506.43</v>
      </c>
      <c r="L136" s="473">
        <f t="shared" si="324"/>
        <v>0</v>
      </c>
      <c r="M136" s="563">
        <f t="shared" si="325"/>
        <v>8.5999999999999993E-2</v>
      </c>
      <c r="O136" s="542" t="b">
        <f t="shared" si="331"/>
        <v>1</v>
      </c>
      <c r="AJ136" s="423">
        <f t="shared" si="326"/>
        <v>1648.17</v>
      </c>
      <c r="AK136" s="423">
        <f t="shared" si="327"/>
        <v>137.35</v>
      </c>
      <c r="AR136" s="546">
        <f xml:space="preserve"> ROUND(  INDEX( Kx!136:136, AR$16 ),  AR$17 )</f>
        <v>0.51100000000000001</v>
      </c>
      <c r="BC136" s="533">
        <f xml:space="preserve"> ROUND(  INDEX( Kx!136:136, BC$16 ),  BC$17 )</f>
        <v>1151.29</v>
      </c>
      <c r="BD136" s="533">
        <f xml:space="preserve"> ROUND(  INDEX( Kx!136:136, BD$16 ),  BD$17 )</f>
        <v>834.79</v>
      </c>
      <c r="BE136" s="548" t="str">
        <f t="shared" si="328"/>
        <v>M</v>
      </c>
      <c r="BF136" s="542">
        <f t="shared" si="329"/>
        <v>0.61050000000000004</v>
      </c>
      <c r="BG136" s="542">
        <f t="shared" si="330"/>
        <v>1028.01</v>
      </c>
    </row>
    <row r="137" spans="1:59" x14ac:dyDescent="0.2">
      <c r="A137" s="562">
        <f xml:space="preserve"> Basis!A137</f>
        <v>7</v>
      </c>
      <c r="H137" s="533">
        <f xml:space="preserve"> ROUND(    IF( $A$15=BE_MF_,   BG137,   INDEX( Kx!137:137, H$16 ) ),    H$17    )</f>
        <v>1035.05</v>
      </c>
      <c r="I137" s="420">
        <f t="shared" si="323"/>
        <v>1035.05</v>
      </c>
      <c r="J137" s="420">
        <f xml:space="preserve"> ROUND(   IF( $A137&lt;$F$12, AVERAGE(  $I$130                        : INDEX( $I$130:$I$149, $I$129-1 )  ),  AVERAGE(  $I$149                        : INDEX( $I$130:$I$149, $I$129 )  )     ),        J$129   )</f>
        <v>1506.43</v>
      </c>
      <c r="L137" s="473">
        <f t="shared" si="324"/>
        <v>0</v>
      </c>
      <c r="M137" s="563">
        <f t="shared" si="325"/>
        <v>8.5999999999999993E-2</v>
      </c>
      <c r="O137" s="542" t="b">
        <f t="shared" si="331"/>
        <v>1</v>
      </c>
      <c r="AJ137" s="423">
        <f t="shared" si="326"/>
        <v>1648.17</v>
      </c>
      <c r="AK137" s="423">
        <f t="shared" si="327"/>
        <v>137.35</v>
      </c>
      <c r="AR137" s="546">
        <f xml:space="preserve"> ROUND(  INDEX( Kx!137:137, AR$16 ),  AR$17 )</f>
        <v>0.51259999999999994</v>
      </c>
      <c r="BC137" s="533">
        <f xml:space="preserve"> ROUND(  INDEX( Kx!137:137, BC$16 ),  BC$17 )</f>
        <v>1158.55</v>
      </c>
      <c r="BD137" s="533">
        <f xml:space="preserve"> ROUND(  INDEX( Kx!137:137, BD$16 ),  BD$17 )</f>
        <v>840.25</v>
      </c>
      <c r="BE137" s="548" t="str">
        <f t="shared" si="328"/>
        <v>M</v>
      </c>
      <c r="BF137" s="542">
        <f t="shared" si="329"/>
        <v>0.61199999999999999</v>
      </c>
      <c r="BG137" s="542">
        <f t="shared" si="330"/>
        <v>1035.05</v>
      </c>
    </row>
    <row r="138" spans="1:59" x14ac:dyDescent="0.2">
      <c r="A138" s="562">
        <f xml:space="preserve"> Basis!A138</f>
        <v>8</v>
      </c>
      <c r="H138" s="533">
        <f xml:space="preserve"> ROUND(    IF( $A$15=BE_MF_,   BG138,   INDEX( Kx!138:138, H$16 ) ),    H$17    )</f>
        <v>1081.22</v>
      </c>
      <c r="I138" s="420">
        <f t="shared" si="323"/>
        <v>1081.22</v>
      </c>
      <c r="J138" s="420">
        <f xml:space="preserve"> ROUND(   IF( $A138&lt;$F$12, AVERAGE(  $I$130                        : INDEX( $I$130:$I$149, $I$129-1 )  ),  AVERAGE(  $I$149                        : INDEX( $I$130:$I$149, $I$129 )  )     ),        J$129   )</f>
        <v>1506.43</v>
      </c>
      <c r="L138" s="473">
        <f t="shared" si="324"/>
        <v>0</v>
      </c>
      <c r="M138" s="563">
        <f t="shared" si="325"/>
        <v>8.5999999999999993E-2</v>
      </c>
      <c r="O138" s="542" t="b">
        <f t="shared" si="331"/>
        <v>1</v>
      </c>
      <c r="AJ138" s="423">
        <f t="shared" si="326"/>
        <v>1648.17</v>
      </c>
      <c r="AK138" s="423">
        <f t="shared" si="327"/>
        <v>137.35</v>
      </c>
      <c r="AR138" s="546">
        <f xml:space="preserve"> ROUND(  INDEX( Kx!138:138, AR$16 ),  AR$17 )</f>
        <v>0.51219999999999999</v>
      </c>
      <c r="BC138" s="533">
        <f xml:space="preserve"> ROUND(  INDEX( Kx!138:138, BC$16 ),  BC$17 )</f>
        <v>1191.48</v>
      </c>
      <c r="BD138" s="533">
        <f xml:space="preserve"> ROUND(  INDEX( Kx!138:138, BD$16 ),  BD$17 )</f>
        <v>907.52</v>
      </c>
      <c r="BE138" s="548" t="str">
        <f t="shared" si="328"/>
        <v>M</v>
      </c>
      <c r="BF138" s="542">
        <f t="shared" si="329"/>
        <v>0.61170000000000002</v>
      </c>
      <c r="BG138" s="542">
        <f t="shared" si="330"/>
        <v>1081.22</v>
      </c>
    </row>
    <row r="139" spans="1:59" x14ac:dyDescent="0.2">
      <c r="A139" s="562">
        <f xml:space="preserve"> Basis!A139</f>
        <v>9</v>
      </c>
      <c r="H139" s="533">
        <f xml:space="preserve"> ROUND(    IF( $A$15=BE_MF_,   BG139,   INDEX( Kx!139:139, H$16 ) ),    H$17    )</f>
        <v>1140.3499999999999</v>
      </c>
      <c r="I139" s="420">
        <f t="shared" si="323"/>
        <v>1140.3499999999999</v>
      </c>
      <c r="J139" s="420">
        <f xml:space="preserve"> ROUND(   IF( $A139&lt;$F$12, AVERAGE(  $I$130                        : INDEX( $I$130:$I$149, $I$129-1 )  ),  AVERAGE(  $I$149                        : INDEX( $I$130:$I$149, $I$129 )  )     ),        J$129   )</f>
        <v>1506.43</v>
      </c>
      <c r="L139" s="473">
        <f t="shared" si="324"/>
        <v>0</v>
      </c>
      <c r="M139" s="563">
        <f t="shared" si="325"/>
        <v>8.5999999999999993E-2</v>
      </c>
      <c r="O139" s="542" t="b">
        <f t="shared" si="331"/>
        <v>1</v>
      </c>
      <c r="AJ139" s="423">
        <f t="shared" si="326"/>
        <v>1648.17</v>
      </c>
      <c r="AK139" s="423">
        <f t="shared" si="327"/>
        <v>137.35</v>
      </c>
      <c r="AR139" s="546">
        <f xml:space="preserve"> ROUND(  INDEX( Kx!139:139, AR$16 ),  AR$17 )</f>
        <v>0.50970000000000004</v>
      </c>
      <c r="BC139" s="533">
        <f xml:space="preserve"> ROUND(  INDEX( Kx!139:139, BC$16 ),  BC$17 )</f>
        <v>1223.27</v>
      </c>
      <c r="BD139" s="533">
        <f xml:space="preserve"> ROUND(  INDEX( Kx!139:139, BD$16 ),  BD$17 )</f>
        <v>1011.04</v>
      </c>
      <c r="BE139" s="548" t="str">
        <f t="shared" si="328"/>
        <v>M</v>
      </c>
      <c r="BF139" s="542">
        <f t="shared" si="329"/>
        <v>0.60929999999999995</v>
      </c>
      <c r="BG139" s="542">
        <f t="shared" si="330"/>
        <v>1140.3499999999999</v>
      </c>
    </row>
    <row r="140" spans="1:59" x14ac:dyDescent="0.2">
      <c r="A140" s="562">
        <f xml:space="preserve"> Basis!A140</f>
        <v>10</v>
      </c>
      <c r="H140" s="533">
        <f xml:space="preserve"> ROUND(    IF( $A$15=BE_MF_,   BG140,   INDEX( Kx!140:140, H$16 ) ),    H$17    )</f>
        <v>1238.3499999999999</v>
      </c>
      <c r="I140" s="420">
        <f t="shared" si="323"/>
        <v>1238.3499999999999</v>
      </c>
      <c r="J140" s="420">
        <f xml:space="preserve"> ROUND(   IF( $A140&lt;$F$12, AVERAGE(  $I$130                        : INDEX( $I$130:$I$149, $I$129-1 )  ),  AVERAGE(  $I$149                        : INDEX( $I$130:$I$149, $I$129 )  )     ),        J$129   )</f>
        <v>1506.43</v>
      </c>
      <c r="L140" s="473">
        <f t="shared" si="324"/>
        <v>0</v>
      </c>
      <c r="M140" s="563">
        <f t="shared" si="325"/>
        <v>8.5999999999999993E-2</v>
      </c>
      <c r="O140" s="542" t="b">
        <f t="shared" si="331"/>
        <v>1</v>
      </c>
      <c r="AJ140" s="423">
        <f t="shared" si="326"/>
        <v>1648.17</v>
      </c>
      <c r="AK140" s="423">
        <f t="shared" si="327"/>
        <v>137.35</v>
      </c>
      <c r="AR140" s="546">
        <f xml:space="preserve"> ROUND(  INDEX( Kx!140:140, AR$16 ),  AR$17 )</f>
        <v>0.51359999999999995</v>
      </c>
      <c r="BC140" s="533">
        <f xml:space="preserve"> ROUND(  INDEX( Kx!140:140, BC$16 ),  BC$17 )</f>
        <v>1287.95</v>
      </c>
      <c r="BD140" s="533">
        <f xml:space="preserve"> ROUND(  INDEX( Kx!140:140, BD$16 ),  BD$17 )</f>
        <v>1159.79</v>
      </c>
      <c r="BE140" s="548" t="str">
        <f t="shared" si="328"/>
        <v>M</v>
      </c>
      <c r="BF140" s="542">
        <f t="shared" si="329"/>
        <v>0.61299999999999999</v>
      </c>
      <c r="BG140" s="542">
        <f t="shared" si="330"/>
        <v>1238.3499999999999</v>
      </c>
    </row>
    <row r="141" spans="1:59" x14ac:dyDescent="0.2">
      <c r="A141" s="562">
        <f xml:space="preserve"> Basis!A141</f>
        <v>11</v>
      </c>
      <c r="H141" s="533">
        <f xml:space="preserve"> ROUND(    IF( $A$15=BE_MF_,   BG141,   INDEX( Kx!141:141, H$16 ) ),    H$17    )</f>
        <v>1382.81</v>
      </c>
      <c r="I141" s="420">
        <f t="shared" si="323"/>
        <v>1382.81</v>
      </c>
      <c r="J141" s="420">
        <f xml:space="preserve"> ROUND(   IF( $A141&lt;$F$12, AVERAGE(  $I$130                        : INDEX( $I$130:$I$149, $I$129-1 )  ),  AVERAGE(  $I$149                        : INDEX( $I$130:$I$149, $I$129 )  )     ),        J$129   )</f>
        <v>1506.43</v>
      </c>
      <c r="L141" s="473">
        <f t="shared" si="324"/>
        <v>0</v>
      </c>
      <c r="M141" s="563">
        <f t="shared" si="325"/>
        <v>8.5999999999999993E-2</v>
      </c>
      <c r="O141" s="542" t="b">
        <f t="shared" si="331"/>
        <v>1</v>
      </c>
      <c r="AJ141" s="423">
        <f t="shared" si="326"/>
        <v>1648.17</v>
      </c>
      <c r="AK141" s="423">
        <f t="shared" si="327"/>
        <v>137.35</v>
      </c>
      <c r="AR141" s="546">
        <f xml:space="preserve"> ROUND(  INDEX( Kx!141:141, AR$16 ),  AR$17 )</f>
        <v>0.50990000000000002</v>
      </c>
      <c r="BC141" s="533">
        <f xml:space="preserve"> ROUND(  INDEX( Kx!141:141, BC$16 ),  BC$17 )</f>
        <v>1397.41</v>
      </c>
      <c r="BD141" s="533">
        <f xml:space="preserve"> ROUND(  INDEX( Kx!141:141, BD$16 ),  BD$17 )</f>
        <v>1360.03</v>
      </c>
      <c r="BE141" s="548" t="str">
        <f t="shared" si="328"/>
        <v>M</v>
      </c>
      <c r="BF141" s="542">
        <f t="shared" si="329"/>
        <v>0.60950000000000004</v>
      </c>
      <c r="BG141" s="542">
        <f t="shared" si="330"/>
        <v>1382.81</v>
      </c>
    </row>
    <row r="142" spans="1:59" x14ac:dyDescent="0.2">
      <c r="A142" s="562">
        <f xml:space="preserve"> Basis!A142</f>
        <v>12</v>
      </c>
      <c r="H142" s="533">
        <f xml:space="preserve"> ROUND(    IF( $A$15=BE_MF_,   BG142,   INDEX( Kx!142:142, H$16 ) ),    H$17    )</f>
        <v>1577.89</v>
      </c>
      <c r="I142" s="420">
        <f t="shared" si="323"/>
        <v>1577.89</v>
      </c>
      <c r="J142" s="420">
        <f xml:space="preserve"> ROUND(   IF( $A142&lt;$F$12, AVERAGE(  $I$130                        : INDEX( $I$130:$I$149, $I$129-1 )  ),  AVERAGE(  $I$149                        : INDEX( $I$130:$I$149, $I$129 )  )     ),        J$129   )</f>
        <v>1506.43</v>
      </c>
      <c r="L142" s="473">
        <f t="shared" si="324"/>
        <v>0</v>
      </c>
      <c r="M142" s="563">
        <f t="shared" si="325"/>
        <v>8.5999999999999993E-2</v>
      </c>
      <c r="O142" s="542" t="b">
        <f t="shared" si="331"/>
        <v>1</v>
      </c>
      <c r="AJ142" s="423">
        <f t="shared" si="326"/>
        <v>1648.17</v>
      </c>
      <c r="AK142" s="423">
        <f t="shared" si="327"/>
        <v>137.35</v>
      </c>
      <c r="AR142" s="546">
        <f xml:space="preserve"> ROUND(  INDEX( Kx!142:142, AR$16 ),  AR$17 )</f>
        <v>0.51619999999999999</v>
      </c>
      <c r="BC142" s="533">
        <f xml:space="preserve"> ROUND(  INDEX( Kx!142:142, BC$16 ),  BC$17 )</f>
        <v>1555.05</v>
      </c>
      <c r="BD142" s="533">
        <f xml:space="preserve"> ROUND(  INDEX( Kx!142:142, BD$16 ),  BD$17 )</f>
        <v>1594.14</v>
      </c>
      <c r="BE142" s="548" t="str">
        <f t="shared" si="328"/>
        <v>F</v>
      </c>
      <c r="BF142" s="542">
        <f t="shared" si="329"/>
        <v>0.41570000000000001</v>
      </c>
      <c r="BG142" s="542">
        <f t="shared" si="330"/>
        <v>1577.89</v>
      </c>
    </row>
    <row r="143" spans="1:59" x14ac:dyDescent="0.2">
      <c r="A143" s="562">
        <f xml:space="preserve"> Basis!A143</f>
        <v>13</v>
      </c>
      <c r="H143" s="533">
        <f xml:space="preserve"> ROUND(    IF( $A$15=BE_MF_,   BG143,   INDEX( Kx!143:143, H$16 ) ),    H$17    )</f>
        <v>1754.62</v>
      </c>
      <c r="I143" s="420">
        <f t="shared" si="323"/>
        <v>1754.62</v>
      </c>
      <c r="J143" s="420">
        <f xml:space="preserve"> ROUND(   IF( $A143&lt;$F$12, AVERAGE(  $I$130                        : INDEX( $I$130:$I$149, $I$129-1 )  ),  AVERAGE(  $I$149                        : INDEX( $I$130:$I$149, $I$129 )  )     ),        J$129   )</f>
        <v>1506.43</v>
      </c>
      <c r="L143" s="473">
        <f t="shared" si="324"/>
        <v>0</v>
      </c>
      <c r="M143" s="563">
        <f t="shared" si="325"/>
        <v>8.5999999999999993E-2</v>
      </c>
      <c r="O143" s="542" t="b">
        <f t="shared" si="331"/>
        <v>1</v>
      </c>
      <c r="AJ143" s="423">
        <f t="shared" si="326"/>
        <v>1648.17</v>
      </c>
      <c r="AK143" s="423">
        <f t="shared" si="327"/>
        <v>137.35</v>
      </c>
      <c r="AR143" s="546">
        <f xml:space="preserve"> ROUND(  INDEX( Kx!143:143, AR$16 ),  AR$17 )</f>
        <v>0.51139999999999997</v>
      </c>
      <c r="BC143" s="533">
        <f xml:space="preserve"> ROUND(  INDEX( Kx!143:143, BC$16 ),  BC$17 )</f>
        <v>1699.85</v>
      </c>
      <c r="BD143" s="533">
        <f xml:space="preserve"> ROUND(  INDEX( Kx!143:143, BD$16 ),  BD$17 )</f>
        <v>1792.83</v>
      </c>
      <c r="BE143" s="548" t="str">
        <f t="shared" si="328"/>
        <v>F</v>
      </c>
      <c r="BF143" s="542">
        <f t="shared" si="329"/>
        <v>0.41099999999999998</v>
      </c>
      <c r="BG143" s="542">
        <f t="shared" si="330"/>
        <v>1754.62</v>
      </c>
    </row>
    <row r="144" spans="1:59" x14ac:dyDescent="0.2">
      <c r="A144" s="562">
        <f xml:space="preserve"> Basis!A144</f>
        <v>14</v>
      </c>
      <c r="H144" s="533">
        <f xml:space="preserve"> ROUND(    IF( $A$15=BE_MF_,   BG144,   INDEX( Kx!144:144, H$16 ) ),    H$17    )</f>
        <v>1854.56</v>
      </c>
      <c r="I144" s="420">
        <f t="shared" si="323"/>
        <v>1854.56</v>
      </c>
      <c r="J144" s="420">
        <f xml:space="preserve"> ROUND(   IF( $A144&lt;$F$12, AVERAGE(  $I$130                        : INDEX( $I$130:$I$149, $I$129-1 )  ),  AVERAGE(  $I$149                        : INDEX( $I$130:$I$149, $I$129 )  )     ),        J$129   )</f>
        <v>1506.43</v>
      </c>
      <c r="L144" s="473">
        <f t="shared" si="324"/>
        <v>0</v>
      </c>
      <c r="M144" s="563">
        <f t="shared" si="325"/>
        <v>8.5999999999999993E-2</v>
      </c>
      <c r="O144" s="542" t="b">
        <f t="shared" si="331"/>
        <v>1</v>
      </c>
      <c r="AJ144" s="423">
        <f t="shared" si="326"/>
        <v>1648.17</v>
      </c>
      <c r="AK144" s="423">
        <f t="shared" si="327"/>
        <v>137.35</v>
      </c>
      <c r="AR144" s="546">
        <f xml:space="preserve"> ROUND(  INDEX( Kx!144:144, AR$16 ),  AR$17 )</f>
        <v>0.50580000000000003</v>
      </c>
      <c r="BC144" s="533">
        <f xml:space="preserve"> ROUND(  INDEX( Kx!144:144, BC$16 ),  BC$17 )</f>
        <v>1771.93</v>
      </c>
      <c r="BD144" s="533">
        <f xml:space="preserve"> ROUND(  INDEX( Kx!144:144, BD$16 ),  BD$17 )</f>
        <v>1910.94</v>
      </c>
      <c r="BE144" s="548" t="str">
        <f t="shared" si="328"/>
        <v>F</v>
      </c>
      <c r="BF144" s="542">
        <f t="shared" si="329"/>
        <v>0.40560000000000002</v>
      </c>
      <c r="BG144" s="542">
        <f t="shared" si="330"/>
        <v>1854.56</v>
      </c>
    </row>
    <row r="145" spans="1:59" x14ac:dyDescent="0.2">
      <c r="A145" s="562">
        <f xml:space="preserve"> Basis!A145</f>
        <v>15</v>
      </c>
      <c r="G145" s="391"/>
      <c r="H145" s="533">
        <f xml:space="preserve"> ROUND(    IF( $A$15=BE_MF_,   BG145,   INDEX( Kx!145:145, H$16 ) ),    H$17    )</f>
        <v>1862.52</v>
      </c>
      <c r="I145" s="420">
        <f t="shared" si="323"/>
        <v>1862.52</v>
      </c>
      <c r="J145" s="420">
        <f xml:space="preserve"> ROUND(   IF( $A145&lt;$F$12, AVERAGE(  $I$130                        : INDEX( $I$130:$I$149, $I$129-1 )  ),  AVERAGE(  $I$149                        : INDEX( $I$130:$I$149, $I$129 )  )     ),        J$129   )</f>
        <v>1766.76</v>
      </c>
      <c r="L145" s="473">
        <f t="shared" si="324"/>
        <v>0</v>
      </c>
      <c r="M145" s="563">
        <f t="shared" si="325"/>
        <v>8.5999999999999993E-2</v>
      </c>
      <c r="O145" s="542" t="b">
        <f t="shared" si="331"/>
        <v>1</v>
      </c>
      <c r="AJ145" s="423">
        <f t="shared" si="326"/>
        <v>1933</v>
      </c>
      <c r="AK145" s="423">
        <f t="shared" si="327"/>
        <v>161.08000000000001</v>
      </c>
      <c r="AR145" s="546">
        <f xml:space="preserve"> ROUND(  INDEX( Kx!145:145, AR$16 ),  AR$17 )</f>
        <v>0.50800000000000001</v>
      </c>
      <c r="BC145" s="533">
        <f xml:space="preserve"> ROUND(  INDEX( Kx!145:145, BC$16 ),  BC$17 )</f>
        <v>1746.56</v>
      </c>
      <c r="BD145" s="533">
        <f xml:space="preserve"> ROUND(  INDEX( Kx!145:145, BD$16 ),  BD$17 )</f>
        <v>1942.34</v>
      </c>
      <c r="BE145" s="548" t="str">
        <f t="shared" si="328"/>
        <v>F</v>
      </c>
      <c r="BF145" s="542">
        <f t="shared" si="329"/>
        <v>0.40770000000000001</v>
      </c>
      <c r="BG145" s="542">
        <f t="shared" si="330"/>
        <v>1862.52</v>
      </c>
    </row>
    <row r="146" spans="1:59" x14ac:dyDescent="0.2">
      <c r="A146" s="562">
        <f xml:space="preserve"> Basis!A146</f>
        <v>16</v>
      </c>
      <c r="H146" s="533">
        <f xml:space="preserve"> ROUND(    IF( $A$15=BE_MF_,   BG146,   INDEX( Kx!146:146, H$16 ) ),    H$17    )</f>
        <v>1810.28</v>
      </c>
      <c r="I146" s="420">
        <f t="shared" si="323"/>
        <v>1810.28</v>
      </c>
      <c r="J146" s="420">
        <f xml:space="preserve"> ROUND(   IF( $A146&lt;$F$12, AVERAGE(  $I$130                        : INDEX( $I$130:$I$149, $I$129-1 )  ),  AVERAGE(  $I$149                        : INDEX( $I$130:$I$149, $I$129 )  )     ),        J$129   )</f>
        <v>1766.76</v>
      </c>
      <c r="L146" s="473">
        <f t="shared" si="324"/>
        <v>0</v>
      </c>
      <c r="M146" s="563">
        <f t="shared" si="325"/>
        <v>8.5999999999999993E-2</v>
      </c>
      <c r="O146" s="542" t="b">
        <f t="shared" si="331"/>
        <v>1</v>
      </c>
      <c r="AJ146" s="423">
        <f t="shared" si="326"/>
        <v>1933</v>
      </c>
      <c r="AK146" s="423">
        <f t="shared" si="327"/>
        <v>161.08000000000001</v>
      </c>
      <c r="AR146" s="546">
        <f xml:space="preserve"> ROUND(  INDEX( Kx!146:146, AR$16 ),  AR$17 )</f>
        <v>0.51200000000000001</v>
      </c>
      <c r="BC146" s="533">
        <f xml:space="preserve"> ROUND(  INDEX( Kx!146:146, BC$16 ),  BC$17 )</f>
        <v>1654.37</v>
      </c>
      <c r="BD146" s="533">
        <f xml:space="preserve"> ROUND(  INDEX( Kx!146:146, BD$16 ),  BD$17 )</f>
        <v>1919.35</v>
      </c>
      <c r="BE146" s="548" t="str">
        <f t="shared" si="328"/>
        <v>F</v>
      </c>
      <c r="BF146" s="542">
        <f t="shared" si="329"/>
        <v>0.41160000000000002</v>
      </c>
      <c r="BG146" s="542">
        <f t="shared" si="330"/>
        <v>1810.28</v>
      </c>
    </row>
    <row r="147" spans="1:59" x14ac:dyDescent="0.2">
      <c r="A147" s="562">
        <f xml:space="preserve"> Basis!A147</f>
        <v>17</v>
      </c>
      <c r="H147" s="533">
        <f xml:space="preserve"> ROUND(    IF( $A$15=BE_MF_,   BG147,   INDEX( Kx!147:147, H$16 ) ),    H$17    )</f>
        <v>1748.48</v>
      </c>
      <c r="I147" s="420">
        <f t="shared" si="323"/>
        <v>1748.48</v>
      </c>
      <c r="J147" s="420">
        <f xml:space="preserve"> ROUND(   IF( $A147&lt;$F$12, AVERAGE(  $I$130                        : INDEX( $I$130:$I$149, $I$129-1 )  ),  AVERAGE(  $I$149                        : INDEX( $I$130:$I$149, $I$129 )  )     ),        J$129   )</f>
        <v>1766.76</v>
      </c>
      <c r="L147" s="473">
        <f t="shared" si="324"/>
        <v>0</v>
      </c>
      <c r="M147" s="563">
        <f t="shared" si="325"/>
        <v>8.5999999999999993E-2</v>
      </c>
      <c r="O147" s="542" t="b">
        <f t="shared" si="331"/>
        <v>1</v>
      </c>
      <c r="AJ147" s="423">
        <f t="shared" si="326"/>
        <v>1933</v>
      </c>
      <c r="AK147" s="423">
        <f t="shared" si="327"/>
        <v>161.08000000000001</v>
      </c>
      <c r="AR147" s="546">
        <f xml:space="preserve"> ROUND(  INDEX( Kx!147:147, AR$16 ),  AR$17 )</f>
        <v>0.51029999999999998</v>
      </c>
      <c r="BC147" s="533">
        <f xml:space="preserve"> ROUND(  INDEX( Kx!147:147, BC$16 ),  BC$17 )</f>
        <v>1551.48</v>
      </c>
      <c r="BD147" s="533">
        <f xml:space="preserve"> ROUND(  INDEX( Kx!147:147, BD$16 ),  BD$17 )</f>
        <v>1885.32</v>
      </c>
      <c r="BE147" s="548" t="str">
        <f t="shared" si="328"/>
        <v>F</v>
      </c>
      <c r="BF147" s="542">
        <f t="shared" si="329"/>
        <v>0.40989999999999999</v>
      </c>
      <c r="BG147" s="542">
        <f t="shared" si="330"/>
        <v>1748.48</v>
      </c>
    </row>
    <row r="148" spans="1:59" x14ac:dyDescent="0.2">
      <c r="A148" s="562">
        <f xml:space="preserve"> Basis!A148</f>
        <v>18</v>
      </c>
      <c r="H148" s="533">
        <f xml:space="preserve"> ROUND(    IF( $A$15=BE_MF_,   BG148,   INDEX( Kx!148:148, H$16 ) ),    H$17    )</f>
        <v>1711.43</v>
      </c>
      <c r="I148" s="420">
        <f t="shared" si="323"/>
        <v>1711.43</v>
      </c>
      <c r="J148" s="420">
        <f xml:space="preserve"> ROUND(   IF( $A148&lt;$F$12, AVERAGE(  $I$130                        : INDEX( $I$130:$I$149, $I$129-1 )  ),  AVERAGE(  $I$149                        : INDEX( $I$130:$I$149, $I$129 )  )     ),        J$129   )</f>
        <v>1766.76</v>
      </c>
      <c r="L148" s="473">
        <f t="shared" si="324"/>
        <v>0</v>
      </c>
      <c r="M148" s="563">
        <f t="shared" si="325"/>
        <v>8.5999999999999993E-2</v>
      </c>
      <c r="O148" s="542" t="b">
        <f t="shared" si="331"/>
        <v>1</v>
      </c>
      <c r="AJ148" s="423">
        <f t="shared" si="326"/>
        <v>1933</v>
      </c>
      <c r="AK148" s="423">
        <f t="shared" si="327"/>
        <v>161.08000000000001</v>
      </c>
      <c r="AR148" s="546">
        <f xml:space="preserve"> ROUND(  INDEX( Kx!148:148, AR$16 ),  AR$17 )</f>
        <v>0.50019999999999998</v>
      </c>
      <c r="BC148" s="533">
        <f xml:space="preserve"> ROUND(  INDEX( Kx!148:148, BC$16 ),  BC$17 )</f>
        <v>1474.17</v>
      </c>
      <c r="BD148" s="533">
        <f xml:space="preserve"> ROUND(  INDEX( Kx!148:148, BD$16 ),  BD$17 )</f>
        <v>1869.74</v>
      </c>
      <c r="BE148" s="548" t="str">
        <f t="shared" si="328"/>
        <v>F</v>
      </c>
      <c r="BF148" s="542">
        <f t="shared" si="329"/>
        <v>0.4002</v>
      </c>
      <c r="BG148" s="542">
        <f t="shared" si="330"/>
        <v>1711.43</v>
      </c>
    </row>
    <row r="149" spans="1:59" x14ac:dyDescent="0.2">
      <c r="A149" s="562">
        <f xml:space="preserve"> Basis!A149</f>
        <v>19</v>
      </c>
      <c r="H149" s="533">
        <f xml:space="preserve"> ROUND(    IF( $A$15=BE_MF_,   BG149,   INDEX( Kx!149:149, H$16 ) ),    H$17    )</f>
        <v>1701.11</v>
      </c>
      <c r="I149" s="420">
        <f t="shared" si="323"/>
        <v>1701.11</v>
      </c>
      <c r="J149" s="420">
        <f xml:space="preserve"> ROUND(   IF( $A149&lt;$F$12, AVERAGE(  $I$130                        : INDEX( $I$130:$I$149, $I$129-1 )  ),  AVERAGE(  $I$149                        : INDEX( $I$130:$I$149, $I$129 )  )     ),        J$129   )</f>
        <v>1766.76</v>
      </c>
      <c r="L149" s="473">
        <f t="shared" si="324"/>
        <v>0</v>
      </c>
      <c r="M149" s="563">
        <f t="shared" si="325"/>
        <v>8.5999999999999993E-2</v>
      </c>
      <c r="O149" s="542" t="b">
        <f t="shared" si="331"/>
        <v>1</v>
      </c>
      <c r="AJ149" s="423">
        <f t="shared" si="326"/>
        <v>1933</v>
      </c>
      <c r="AK149" s="423">
        <f t="shared" si="327"/>
        <v>161.08000000000001</v>
      </c>
      <c r="AR149" s="546">
        <f xml:space="preserve"> ROUND(  INDEX( Kx!149:149, AR$16 ),  AR$17 )</f>
        <v>0.50080000000000002</v>
      </c>
      <c r="BC149" s="533">
        <f xml:space="preserve"> ROUND(  INDEX( Kx!149:149, BC$16 ),  BC$17 )</f>
        <v>1429.31</v>
      </c>
      <c r="BD149" s="533">
        <f xml:space="preserve"> ROUND(  INDEX( Kx!149:149, BD$16 ),  BD$17 )</f>
        <v>1882.91</v>
      </c>
      <c r="BE149" s="548" t="str">
        <f t="shared" si="328"/>
        <v>F</v>
      </c>
      <c r="BF149" s="542">
        <f t="shared" si="329"/>
        <v>0.40079999999999999</v>
      </c>
      <c r="BG149" s="542">
        <f t="shared" si="330"/>
        <v>1701.11</v>
      </c>
    </row>
  </sheetData>
  <mergeCells count="2">
    <mergeCell ref="AF14:AG14"/>
    <mergeCell ref="BW14:BW15"/>
  </mergeCells>
  <phoneticPr fontId="2" type="noConversion"/>
  <conditionalFormatting sqref="K20:M120">
    <cfRule type="cellIs" dxfId="56" priority="25" stopIfTrue="1" operator="notEqual">
      <formula>K$15</formula>
    </cfRule>
  </conditionalFormatting>
  <conditionalFormatting sqref="AH17">
    <cfRule type="cellIs" dxfId="55" priority="26" stopIfTrue="1" operator="equal">
      <formula>TRUE</formula>
    </cfRule>
  </conditionalFormatting>
  <conditionalFormatting sqref="AH15">
    <cfRule type="cellIs" dxfId="54" priority="27" stopIfTrue="1" operator="equal">
      <formula>iO</formula>
    </cfRule>
  </conditionalFormatting>
  <conditionalFormatting sqref="FR8">
    <cfRule type="cellIs" dxfId="53" priority="20" operator="equal">
      <formula>FALSE</formula>
    </cfRule>
    <cfRule type="cellIs" dxfId="52" priority="21" stopIfTrue="1" operator="equal">
      <formula>TRUE</formula>
    </cfRule>
  </conditionalFormatting>
  <conditionalFormatting sqref="FS8:JO8">
    <cfRule type="cellIs" dxfId="51" priority="16" operator="equal">
      <formula>FALSE</formula>
    </cfRule>
    <cfRule type="cellIs" dxfId="50" priority="17" stopIfTrue="1" operator="equal">
      <formula>TRUE</formula>
    </cfRule>
  </conditionalFormatting>
  <conditionalFormatting sqref="F13">
    <cfRule type="cellIs" dxfId="49" priority="14" operator="equal">
      <formula>FALSE</formula>
    </cfRule>
    <cfRule type="cellIs" dxfId="48" priority="15" stopIfTrue="1" operator="equal">
      <formula>TRUE</formula>
    </cfRule>
  </conditionalFormatting>
  <conditionalFormatting sqref="A15">
    <cfRule type="expression" dxfId="47" priority="9">
      <formula>OR(ISNUMBER(SEARCH(BE_M,A15)),ISNUMBER(SEARCH(BE_M_,A15)))</formula>
    </cfRule>
  </conditionalFormatting>
  <conditionalFormatting sqref="A15">
    <cfRule type="expression" dxfId="46" priority="7">
      <formula>OR(ISNUMBER(SEARCH(BE_MF,A15)),ISNUMBER(SEARCH(BE_MF_,A15)))</formula>
    </cfRule>
    <cfRule type="expression" dxfId="45" priority="8">
      <formula>OR(ISNUMBER(SEARCH(BE_F,A15)),ISNUMBER(SEARCH(BE_F_,A15)))</formula>
    </cfRule>
  </conditionalFormatting>
  <conditionalFormatting sqref="D2:E2">
    <cfRule type="expression" dxfId="44" priority="6">
      <formula>OR(ISNUMBER(SEARCH(BE_M,D2)),ISNUMBER(SEARCH(BE_M_,D2)))</formula>
    </cfRule>
  </conditionalFormatting>
  <conditionalFormatting sqref="D2:E2">
    <cfRule type="expression" dxfId="43" priority="4">
      <formula>OR(ISNUMBER(SEARCH(BE_MF,D2)),ISNUMBER(SEARCH(BE_MF_,D2)))</formula>
    </cfRule>
    <cfRule type="expression" dxfId="42" priority="5">
      <formula>OR(ISNUMBER(SEARCH(BE_F,D2)),ISNUMBER(SEARCH(BE_F_,D2)))</formula>
    </cfRule>
  </conditionalFormatting>
  <conditionalFormatting sqref="A2">
    <cfRule type="expression" dxfId="41" priority="3">
      <formula>OR(ISNUMBER(SEARCH(BE_M,A2)),ISNUMBER(SEARCH(BE_M_,A2)))</formula>
    </cfRule>
  </conditionalFormatting>
  <conditionalFormatting sqref="A2">
    <cfRule type="expression" dxfId="40" priority="1">
      <formula>OR(ISNUMBER(SEARCH(BE_MF,A2)),ISNUMBER(SEARCH(BE_MF_,A2)))</formula>
    </cfRule>
    <cfRule type="expression" dxfId="39" priority="2">
      <formula>OR(ISNUMBER(SEARCH(BE_F,A2)),ISNUMBER(SEARCH(BE_F_,A2)))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Equation.3" shapeId="2070" r:id="rId4">
          <objectPr defaultSize="0" autoPict="0" r:id="rId5">
            <anchor moveWithCells="1" sizeWithCells="1">
              <from>
                <xdr:col>125</xdr:col>
                <xdr:colOff>0</xdr:colOff>
                <xdr:row>0</xdr:row>
                <xdr:rowOff>0</xdr:rowOff>
              </from>
              <to>
                <xdr:col>132</xdr:col>
                <xdr:colOff>144780</xdr:colOff>
                <xdr:row>1</xdr:row>
                <xdr:rowOff>220980</xdr:rowOff>
              </to>
            </anchor>
          </objectPr>
        </oleObject>
      </mc:Choice>
      <mc:Fallback>
        <oleObject progId="Equation.3" shapeId="2070" r:id="rId4"/>
      </mc:Fallback>
    </mc:AlternateContent>
    <mc:AlternateContent xmlns:mc="http://schemas.openxmlformats.org/markup-compatibility/2006">
      <mc:Choice Requires="x14">
        <oleObject progId="Equation.3" shapeId="2467" r:id="rId6">
          <objectPr defaultSize="0" autoPict="0" r:id="rId7">
            <anchor moveWithCells="1" sizeWithCells="1">
              <from>
                <xdr:col>125</xdr:col>
                <xdr:colOff>0</xdr:colOff>
                <xdr:row>2</xdr:row>
                <xdr:rowOff>114300</xdr:rowOff>
              </from>
              <to>
                <xdr:col>128</xdr:col>
                <xdr:colOff>525780</xdr:colOff>
                <xdr:row>3</xdr:row>
                <xdr:rowOff>68580</xdr:rowOff>
              </to>
            </anchor>
          </objectPr>
        </oleObject>
      </mc:Choice>
      <mc:Fallback>
        <oleObject progId="Equation.3" shapeId="2467" r:id="rId6"/>
      </mc:Fallback>
    </mc:AlternateContent>
    <mc:AlternateContent xmlns:mc="http://schemas.openxmlformats.org/markup-compatibility/2006">
      <mc:Choice Requires="x14">
        <oleObject progId="Equation.3" shapeId="2468" r:id="rId8">
          <objectPr defaultSize="0" autoPict="0" r:id="rId9">
            <anchor moveWithCells="1" sizeWithCells="1">
              <from>
                <xdr:col>136</xdr:col>
                <xdr:colOff>358140</xdr:colOff>
                <xdr:row>0</xdr:row>
                <xdr:rowOff>7620</xdr:rowOff>
              </from>
              <to>
                <xdr:col>145</xdr:col>
                <xdr:colOff>22860</xdr:colOff>
                <xdr:row>1</xdr:row>
                <xdr:rowOff>320040</xdr:rowOff>
              </to>
            </anchor>
          </objectPr>
        </oleObject>
      </mc:Choice>
      <mc:Fallback>
        <oleObject progId="Equation.3" shapeId="2468" r:id="rId8"/>
      </mc:Fallback>
    </mc:AlternateContent>
    <mc:AlternateContent xmlns:mc="http://schemas.openxmlformats.org/markup-compatibility/2006">
      <mc:Choice Requires="x14">
        <oleObject progId="Equation.3" shapeId="2648" r:id="rId10">
          <objectPr defaultSize="0" autoPict="0" r:id="rId11">
            <anchor moveWithCells="1" sizeWithCells="1">
              <from>
                <xdr:col>122</xdr:col>
                <xdr:colOff>0</xdr:colOff>
                <xdr:row>14</xdr:row>
                <xdr:rowOff>0</xdr:rowOff>
              </from>
              <to>
                <xdr:col>130</xdr:col>
                <xdr:colOff>38100</xdr:colOff>
                <xdr:row>18</xdr:row>
                <xdr:rowOff>91440</xdr:rowOff>
              </to>
            </anchor>
          </objectPr>
        </oleObject>
      </mc:Choice>
      <mc:Fallback>
        <oleObject progId="Equation.3" shapeId="2648" r:id="rId10"/>
      </mc:Fallback>
    </mc:AlternateContent>
    <mc:AlternateContent xmlns:mc="http://schemas.openxmlformats.org/markup-compatibility/2006">
      <mc:Choice Requires="x14">
        <oleObject progId="Equation.3" shapeId="2649" r:id="rId12">
          <objectPr defaultSize="0" autoPict="0" r:id="rId13">
            <anchor moveWithCells="1" sizeWithCells="1">
              <from>
                <xdr:col>122</xdr:col>
                <xdr:colOff>0</xdr:colOff>
                <xdr:row>21</xdr:row>
                <xdr:rowOff>0</xdr:rowOff>
              </from>
              <to>
                <xdr:col>126</xdr:col>
                <xdr:colOff>342900</xdr:colOff>
                <xdr:row>22</xdr:row>
                <xdr:rowOff>68580</xdr:rowOff>
              </to>
            </anchor>
          </objectPr>
        </oleObject>
      </mc:Choice>
      <mc:Fallback>
        <oleObject progId="Equation.3" shapeId="2649" r:id="rId12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>
    <tabColor indexed="16"/>
  </sheetPr>
  <dimension ref="A1:JL149"/>
  <sheetViews>
    <sheetView showGridLines="0" workbookViewId="0">
      <pane xSplit="2" ySplit="19" topLeftCell="C20" activePane="bottomRight" state="frozen"/>
      <selection activeCell="H27" sqref="H27"/>
      <selection pane="topRight" activeCell="H27" sqref="H27"/>
      <selection pane="bottomLeft" activeCell="H27" sqref="H27"/>
      <selection pane="bottomRight" activeCell="C20" sqref="C20"/>
    </sheetView>
  </sheetViews>
  <sheetFormatPr baseColWidth="10" defaultColWidth="8.77734375" defaultRowHeight="11.25" customHeight="1" x14ac:dyDescent="0.2"/>
  <cols>
    <col min="1" max="2" width="8.77734375" style="385"/>
    <col min="3" max="5" width="8.77734375" style="388"/>
    <col min="6" max="13" width="8.77734375" style="385"/>
    <col min="14" max="14" width="8.77734375" style="323"/>
    <col min="15" max="15" width="8.77734375" style="385"/>
    <col min="16" max="32" width="8.77734375" style="487"/>
    <col min="33" max="35" width="8.77734375" style="323"/>
    <col min="36" max="37" width="8.77734375" style="487"/>
    <col min="38" max="43" width="8.77734375" style="323"/>
    <col min="44" max="45" width="8.77734375" style="487"/>
    <col min="46" max="49" width="8.77734375" style="323"/>
    <col min="50" max="50" width="8.77734375" style="487"/>
    <col min="51" max="54" width="8.77734375" style="323"/>
    <col min="55" max="56" width="8.77734375" style="487"/>
    <col min="57" max="57" width="8.77734375" style="323"/>
    <col min="58" max="59" width="8.77734375" style="487"/>
    <col min="60" max="67" width="8.77734375" style="323"/>
    <col min="68" max="70" width="8.77734375" style="487"/>
    <col min="71" max="71" width="8.77734375" style="323"/>
    <col min="72" max="72" width="8.77734375" style="511"/>
    <col min="73" max="75" width="8.77734375" style="487"/>
    <col min="76" max="84" width="8.77734375" style="323"/>
    <col min="85" max="98" width="8.77734375" style="487"/>
    <col min="99" max="114" width="8.77734375" style="323"/>
    <col min="115" max="117" width="8.77734375" style="487"/>
    <col min="118" max="125" width="8.77734375" style="323"/>
    <col min="126" max="137" width="8.77734375" style="487"/>
    <col min="138" max="138" width="8.77734375" style="323"/>
    <col min="139" max="16384" width="8.77734375" style="487"/>
  </cols>
  <sheetData>
    <row r="1" spans="1:272" s="385" customFormat="1" ht="10.199999999999999" x14ac:dyDescent="0.25">
      <c r="A1" s="384" t="str">
        <f xml:space="preserve"> C1</f>
        <v>i2</v>
      </c>
      <c r="C1" s="386" t="str">
        <f xml:space="preserve"> i2_</f>
        <v>i2</v>
      </c>
      <c r="D1" s="387">
        <f xml:space="preserve"> MATCH( C1, Auswahl_Tarife, 0 )</f>
        <v>2</v>
      </c>
      <c r="E1" s="388"/>
      <c r="K1" s="389"/>
      <c r="L1" s="390">
        <f xml:space="preserve"> IF( $B$17, GrGamma_Rd, nix_Rd )</f>
        <v>2</v>
      </c>
      <c r="BT1" s="391"/>
      <c r="DP1" s="392"/>
      <c r="DQ1" s="393"/>
    </row>
    <row r="2" spans="1:272" s="385" customFormat="1" ht="20.399999999999999" x14ac:dyDescent="0.25">
      <c r="A2" s="394" t="str">
        <f xml:space="preserve"> D2</f>
        <v>Frauen+Männer</v>
      </c>
      <c r="C2" s="395" t="str">
        <f xml:space="preserve"> Geschl</f>
        <v>Geschlecht</v>
      </c>
      <c r="D2" s="394" t="str">
        <f xml:space="preserve"> INDEX( Auswahl_Geschl, $D$1 )</f>
        <v>Frauen+Männer</v>
      </c>
      <c r="E2" s="396"/>
      <c r="K2" s="397" t="str">
        <f xml:space="preserve"> GrGamma &amp; " " &amp; jun</f>
        <v>Γ_js jun</v>
      </c>
      <c r="L2" s="398">
        <f xml:space="preserve"> ROUND( INDEX( Auswahl_Gammaj, $D$1 ), L$1 )</f>
        <v>802</v>
      </c>
      <c r="R2" s="399"/>
      <c r="BT2" s="391"/>
      <c r="DP2" s="402"/>
      <c r="DQ2" s="402"/>
      <c r="ES2" s="403"/>
      <c r="ET2" s="403"/>
      <c r="EU2" s="403"/>
      <c r="EV2" s="403"/>
      <c r="EY2" s="404"/>
      <c r="EZ2" s="404"/>
      <c r="FA2" s="404"/>
      <c r="FD2" s="403"/>
      <c r="FE2" s="403"/>
      <c r="FF2" s="403"/>
    </row>
    <row r="3" spans="1:272" s="385" customFormat="1" ht="20.399999999999999" x14ac:dyDescent="0.25">
      <c r="C3" s="395" t="str">
        <f xml:space="preserve"> lambdaxVorsicht</f>
        <v>lambdax-Vorsicht</v>
      </c>
      <c r="D3" s="405" t="str">
        <f xml:space="preserve"> TEXT( INDEX( Auswahl_lambdaxVorsicht, $D$1 ), "+ 0,0 %;- 0,0 %;+ 0,0 %")</f>
        <v>+ 50,0 %</v>
      </c>
      <c r="E3" s="406"/>
      <c r="K3" s="397" t="str">
        <f xml:space="preserve"> GrGamma &amp; " " &amp; sen</f>
        <v>Γ_js sen</v>
      </c>
      <c r="L3" s="398">
        <f xml:space="preserve"> ROUND( INDEX( Auswahl_Gammas, $D$1 ), L$1 )</f>
        <v>679</v>
      </c>
      <c r="BT3" s="391"/>
    </row>
    <row r="4" spans="1:272" s="385" customFormat="1" ht="10.199999999999999" x14ac:dyDescent="0.25">
      <c r="C4" s="395" t="str">
        <f xml:space="preserve"> xomega</f>
        <v>x_ω</v>
      </c>
      <c r="D4" s="409" t="str">
        <f xml:space="preserve"> TEXT( O12, "0" )</f>
        <v>110</v>
      </c>
      <c r="E4" s="410"/>
      <c r="K4" s="411"/>
      <c r="L4" s="390">
        <f xml:space="preserve"> IF( $B$17, klgamma_Rd, nix_Rd )</f>
        <v>4</v>
      </c>
      <c r="AG4" s="412"/>
      <c r="AH4" s="413"/>
      <c r="AI4" s="390">
        <f xml:space="preserve"> GrGamma_Rd</f>
        <v>2</v>
      </c>
      <c r="AJ4" s="414" t="str">
        <f xml:space="preserve"> GrGamma</f>
        <v>Γ_js</v>
      </c>
      <c r="AK4" s="414" t="str">
        <f xml:space="preserve"> AJ4 &amp; "~"</f>
        <v>Γ_js~</v>
      </c>
      <c r="BT4" s="391"/>
      <c r="DP4" s="415"/>
      <c r="DQ4" s="415"/>
      <c r="ES4" s="416"/>
    </row>
    <row r="5" spans="1:272" s="385" customFormat="1" ht="10.199999999999999" x14ac:dyDescent="0.2">
      <c r="C5" s="395" t="str">
        <f xml:space="preserve"> r_</f>
        <v>r</v>
      </c>
      <c r="D5" s="417" t="str">
        <f xml:space="preserve"> TEXT( S12, "0,0 %")</f>
        <v>2,5 %</v>
      </c>
      <c r="E5" s="418"/>
      <c r="K5" s="397" t="str">
        <f xml:space="preserve"> klgamma &amp; " " &amp; jun</f>
        <v>γ_js jun</v>
      </c>
      <c r="L5" s="419">
        <f xml:space="preserve"> ROUND( L2 / $J$19, L$4 )</f>
        <v>0.38600000000000001</v>
      </c>
      <c r="AB5" s="420" t="str">
        <f t="shared" ref="AB5:AC6" si="0" xml:space="preserve"> K5</f>
        <v>γ_js jun</v>
      </c>
      <c r="AC5" s="420">
        <f xml:space="preserve"> L5</f>
        <v>0.38600000000000001</v>
      </c>
      <c r="AG5" s="421" t="str">
        <f xml:space="preserve"> xalpha</f>
        <v>x_α</v>
      </c>
      <c r="AH5" s="422">
        <f xml:space="preserve"> INDEX( Auswahl_xalpha, $D$1 )</f>
        <v>20</v>
      </c>
      <c r="AI5" s="414" t="str">
        <f xml:space="preserve"> jun</f>
        <v>jun</v>
      </c>
      <c r="AJ5" s="423">
        <f xml:space="preserve"> ROUND( INDEX( $AI$20:$AI$120, $AH5-19 ) * INDEX( $AC$20:$AC$120, $AH5-19 ), $AI$4 )</f>
        <v>802.03</v>
      </c>
      <c r="AK5" s="423">
        <f xml:space="preserve"> ROUND( AJ5 / 12, $AI$4 )</f>
        <v>66.84</v>
      </c>
      <c r="BT5" s="391"/>
      <c r="DP5" s="425"/>
      <c r="DQ5" s="425"/>
      <c r="ES5" s="426"/>
      <c r="FO5" s="427">
        <f xml:space="preserve"> MAX( FP5:JL5)</f>
        <v>1</v>
      </c>
      <c r="FP5" s="428">
        <f t="shared" ref="FP5:GU5" si="1" xml:space="preserve"> IF(  FP18&gt;$FP$12,  LEER,  COUNTIF( FP20:FP120, "&lt;0" )  )</f>
        <v>1</v>
      </c>
      <c r="FQ5" s="428">
        <f t="shared" si="1"/>
        <v>1</v>
      </c>
      <c r="FR5" s="428">
        <f t="shared" si="1"/>
        <v>1</v>
      </c>
      <c r="FS5" s="428">
        <f t="shared" si="1"/>
        <v>1</v>
      </c>
      <c r="FT5" s="428">
        <f t="shared" si="1"/>
        <v>1</v>
      </c>
      <c r="FU5" s="428">
        <f t="shared" si="1"/>
        <v>1</v>
      </c>
      <c r="FV5" s="428">
        <f t="shared" si="1"/>
        <v>1</v>
      </c>
      <c r="FW5" s="428">
        <f t="shared" si="1"/>
        <v>1</v>
      </c>
      <c r="FX5" s="428">
        <f t="shared" si="1"/>
        <v>1</v>
      </c>
      <c r="FY5" s="428">
        <f t="shared" si="1"/>
        <v>1</v>
      </c>
      <c r="FZ5" s="428">
        <f t="shared" si="1"/>
        <v>1</v>
      </c>
      <c r="GA5" s="428">
        <f t="shared" si="1"/>
        <v>1</v>
      </c>
      <c r="GB5" s="428">
        <f t="shared" si="1"/>
        <v>1</v>
      </c>
      <c r="GC5" s="428">
        <f t="shared" si="1"/>
        <v>1</v>
      </c>
      <c r="GD5" s="428">
        <f t="shared" si="1"/>
        <v>1</v>
      </c>
      <c r="GE5" s="428">
        <f t="shared" si="1"/>
        <v>1</v>
      </c>
      <c r="GF5" s="428">
        <f t="shared" si="1"/>
        <v>1</v>
      </c>
      <c r="GG5" s="428">
        <f t="shared" si="1"/>
        <v>1</v>
      </c>
      <c r="GH5" s="428">
        <f t="shared" si="1"/>
        <v>1</v>
      </c>
      <c r="GI5" s="428">
        <f t="shared" si="1"/>
        <v>1</v>
      </c>
      <c r="GJ5" s="428">
        <f t="shared" si="1"/>
        <v>1</v>
      </c>
      <c r="GK5" s="428">
        <f t="shared" si="1"/>
        <v>1</v>
      </c>
      <c r="GL5" s="428">
        <f t="shared" si="1"/>
        <v>1</v>
      </c>
      <c r="GM5" s="428">
        <f t="shared" si="1"/>
        <v>1</v>
      </c>
      <c r="GN5" s="428">
        <f t="shared" si="1"/>
        <v>1</v>
      </c>
      <c r="GO5" s="428">
        <f t="shared" si="1"/>
        <v>1</v>
      </c>
      <c r="GP5" s="428">
        <f t="shared" si="1"/>
        <v>1</v>
      </c>
      <c r="GQ5" s="428">
        <f t="shared" si="1"/>
        <v>1</v>
      </c>
      <c r="GR5" s="428">
        <f t="shared" si="1"/>
        <v>1</v>
      </c>
      <c r="GS5" s="428">
        <f t="shared" si="1"/>
        <v>1</v>
      </c>
      <c r="GT5" s="428">
        <f t="shared" si="1"/>
        <v>1</v>
      </c>
      <c r="GU5" s="428">
        <f t="shared" si="1"/>
        <v>1</v>
      </c>
      <c r="GV5" s="428">
        <f t="shared" ref="GV5:IA5" si="2" xml:space="preserve"> IF(  GV18&gt;$FP$12,  LEER,  COUNTIF( GV20:GV120, "&lt;0" )  )</f>
        <v>1</v>
      </c>
      <c r="GW5" s="428">
        <f t="shared" si="2"/>
        <v>1</v>
      </c>
      <c r="GX5" s="428">
        <f t="shared" si="2"/>
        <v>1</v>
      </c>
      <c r="GY5" s="428">
        <f t="shared" si="2"/>
        <v>1</v>
      </c>
      <c r="GZ5" s="428">
        <f t="shared" si="2"/>
        <v>1</v>
      </c>
      <c r="HA5" s="428">
        <f t="shared" si="2"/>
        <v>1</v>
      </c>
      <c r="HB5" s="428">
        <f t="shared" si="2"/>
        <v>1</v>
      </c>
      <c r="HC5" s="428">
        <f t="shared" si="2"/>
        <v>1</v>
      </c>
      <c r="HD5" s="428">
        <f t="shared" si="2"/>
        <v>1</v>
      </c>
      <c r="HE5" s="428">
        <f t="shared" si="2"/>
        <v>1</v>
      </c>
      <c r="HF5" s="428">
        <f t="shared" si="2"/>
        <v>1</v>
      </c>
      <c r="HG5" s="428">
        <f t="shared" si="2"/>
        <v>1</v>
      </c>
      <c r="HH5" s="428">
        <f t="shared" si="2"/>
        <v>1</v>
      </c>
      <c r="HI5" s="428">
        <f t="shared" si="2"/>
        <v>1</v>
      </c>
      <c r="HJ5" s="428">
        <f t="shared" si="2"/>
        <v>1</v>
      </c>
      <c r="HK5" s="428">
        <f t="shared" si="2"/>
        <v>1</v>
      </c>
      <c r="HL5" s="428">
        <f t="shared" si="2"/>
        <v>1</v>
      </c>
      <c r="HM5" s="428">
        <f t="shared" si="2"/>
        <v>1</v>
      </c>
      <c r="HN5" s="428">
        <f t="shared" si="2"/>
        <v>1</v>
      </c>
      <c r="HO5" s="428">
        <f t="shared" si="2"/>
        <v>1</v>
      </c>
      <c r="HP5" s="428">
        <f t="shared" si="2"/>
        <v>1</v>
      </c>
      <c r="HQ5" s="428">
        <f t="shared" si="2"/>
        <v>1</v>
      </c>
      <c r="HR5" s="428">
        <f t="shared" si="2"/>
        <v>0</v>
      </c>
      <c r="HS5" s="428">
        <f t="shared" si="2"/>
        <v>0</v>
      </c>
      <c r="HT5" s="428">
        <f t="shared" si="2"/>
        <v>0</v>
      </c>
      <c r="HU5" s="428">
        <f t="shared" si="2"/>
        <v>1</v>
      </c>
      <c r="HV5" s="428">
        <f t="shared" si="2"/>
        <v>0</v>
      </c>
      <c r="HW5" s="428">
        <f t="shared" si="2"/>
        <v>0</v>
      </c>
      <c r="HX5" s="428">
        <f t="shared" si="2"/>
        <v>1</v>
      </c>
      <c r="HY5" s="428">
        <f t="shared" si="2"/>
        <v>0</v>
      </c>
      <c r="HZ5" s="428">
        <f t="shared" si="2"/>
        <v>0</v>
      </c>
      <c r="IA5" s="428">
        <f t="shared" si="2"/>
        <v>1</v>
      </c>
      <c r="IB5" s="428">
        <f t="shared" ref="IB5:JL5" si="3" xml:space="preserve"> IF(  IB18&gt;$FP$12,  LEER,  COUNTIF( IB20:IB120, "&lt;0" )  )</f>
        <v>1</v>
      </c>
      <c r="IC5" s="428">
        <f t="shared" si="3"/>
        <v>1</v>
      </c>
      <c r="ID5" s="428">
        <f t="shared" si="3"/>
        <v>1</v>
      </c>
      <c r="IE5" s="428">
        <f t="shared" si="3"/>
        <v>1</v>
      </c>
      <c r="IF5" s="428">
        <f t="shared" si="3"/>
        <v>1</v>
      </c>
      <c r="IG5" s="428">
        <f t="shared" si="3"/>
        <v>0</v>
      </c>
      <c r="IH5" s="428">
        <f t="shared" si="3"/>
        <v>1</v>
      </c>
      <c r="II5" s="428">
        <f t="shared" si="3"/>
        <v>0</v>
      </c>
      <c r="IJ5" s="428">
        <f t="shared" si="3"/>
        <v>0</v>
      </c>
      <c r="IK5" s="428">
        <f t="shared" si="3"/>
        <v>0</v>
      </c>
      <c r="IL5" s="428">
        <f t="shared" si="3"/>
        <v>1</v>
      </c>
      <c r="IM5" s="428">
        <f t="shared" si="3"/>
        <v>1</v>
      </c>
      <c r="IN5" s="428">
        <f t="shared" si="3"/>
        <v>0</v>
      </c>
      <c r="IO5" s="428">
        <f t="shared" si="3"/>
        <v>0</v>
      </c>
      <c r="IP5" s="428">
        <f t="shared" si="3"/>
        <v>0</v>
      </c>
      <c r="IQ5" s="428">
        <f t="shared" si="3"/>
        <v>0</v>
      </c>
      <c r="IR5" s="428">
        <f t="shared" si="3"/>
        <v>1</v>
      </c>
      <c r="IS5" s="428">
        <f t="shared" si="3"/>
        <v>0</v>
      </c>
      <c r="IT5" s="428">
        <f t="shared" si="3"/>
        <v>1</v>
      </c>
      <c r="IU5" s="428">
        <f t="shared" si="3"/>
        <v>1</v>
      </c>
      <c r="IV5" s="428">
        <f t="shared" si="3"/>
        <v>1</v>
      </c>
      <c r="IW5" s="428">
        <f t="shared" si="3"/>
        <v>1</v>
      </c>
      <c r="IX5" s="428">
        <f t="shared" si="3"/>
        <v>1</v>
      </c>
      <c r="IY5" s="428">
        <f t="shared" si="3"/>
        <v>0</v>
      </c>
      <c r="IZ5" s="428">
        <f t="shared" si="3"/>
        <v>1</v>
      </c>
      <c r="JA5" s="428">
        <f t="shared" si="3"/>
        <v>0</v>
      </c>
      <c r="JB5" s="428">
        <f t="shared" si="3"/>
        <v>0</v>
      </c>
      <c r="JC5" s="428" t="str">
        <f t="shared" si="3"/>
        <v>.</v>
      </c>
      <c r="JD5" s="428" t="str">
        <f t="shared" si="3"/>
        <v>.</v>
      </c>
      <c r="JE5" s="428" t="str">
        <f t="shared" si="3"/>
        <v>.</v>
      </c>
      <c r="JF5" s="428" t="str">
        <f t="shared" si="3"/>
        <v>.</v>
      </c>
      <c r="JG5" s="428" t="str">
        <f t="shared" si="3"/>
        <v>.</v>
      </c>
      <c r="JH5" s="428" t="str">
        <f t="shared" si="3"/>
        <v>.</v>
      </c>
      <c r="JI5" s="428" t="str">
        <f t="shared" si="3"/>
        <v>.</v>
      </c>
      <c r="JJ5" s="428" t="str">
        <f t="shared" si="3"/>
        <v>.</v>
      </c>
      <c r="JK5" s="428" t="str">
        <f t="shared" si="3"/>
        <v>.</v>
      </c>
      <c r="JL5" s="428" t="str">
        <f t="shared" si="3"/>
        <v>.</v>
      </c>
    </row>
    <row r="6" spans="1:272" s="385" customFormat="1" ht="10.199999999999999" x14ac:dyDescent="0.25">
      <c r="C6" s="395" t="str">
        <f xml:space="preserve"> qx</f>
        <v>q_x</v>
      </c>
      <c r="D6" s="429" t="str">
        <f xml:space="preserve"> F15</f>
        <v>PKV 2017</v>
      </c>
      <c r="E6" s="430"/>
      <c r="K6" s="397" t="str">
        <f xml:space="preserve"> klgamma &amp; " " &amp; sen</f>
        <v>γ_js sen</v>
      </c>
      <c r="L6" s="419">
        <f xml:space="preserve"> ROUND( L3 / $J$19, L$4 )</f>
        <v>0.32679999999999998</v>
      </c>
      <c r="AB6" s="420" t="str">
        <f t="shared" si="0"/>
        <v>γ_js sen</v>
      </c>
      <c r="AC6" s="420">
        <f t="shared" si="0"/>
        <v>0.32679999999999998</v>
      </c>
      <c r="AG6" s="421" t="str">
        <f xml:space="preserve"> xomega</f>
        <v>x_ω</v>
      </c>
      <c r="AH6" s="422">
        <f xml:space="preserve"> INDEX( Auswahl_xsen, $D$1 )</f>
        <v>65</v>
      </c>
      <c r="AI6" s="414" t="str">
        <f xml:space="preserve"> sen</f>
        <v>sen</v>
      </c>
      <c r="AJ6" s="423">
        <f xml:space="preserve"> ROUND( INDEX( $AI$20:$AI$120, $AH6-19 ) * INDEX( $AC$20:$AC$120, $AH6-19 ), $AI$4 )</f>
        <v>679.02</v>
      </c>
      <c r="AK6" s="423">
        <f xml:space="preserve"> ROUND( AJ6 / 12, $AI$4 )</f>
        <v>56.59</v>
      </c>
      <c r="BT6" s="391"/>
      <c r="DT6" s="432"/>
      <c r="DX6" s="432"/>
      <c r="EE6" s="432"/>
      <c r="ES6" s="433"/>
      <c r="FO6" s="421" t="s">
        <v>174</v>
      </c>
      <c r="FP6" s="434">
        <f t="shared" ref="FP6:GU6" si="4" xml:space="preserve"> IF(  FP18&gt;$FP$12,  LEER,  MIN( 15, ROUNDDOWN( ( $FP$12 - FP18 ) / 2, 0 ) )  )</f>
        <v>15</v>
      </c>
      <c r="FQ6" s="434">
        <f t="shared" si="4"/>
        <v>15</v>
      </c>
      <c r="FR6" s="434">
        <f t="shared" si="4"/>
        <v>15</v>
      </c>
      <c r="FS6" s="434">
        <f t="shared" si="4"/>
        <v>15</v>
      </c>
      <c r="FT6" s="434">
        <f t="shared" si="4"/>
        <v>15</v>
      </c>
      <c r="FU6" s="434">
        <f t="shared" si="4"/>
        <v>15</v>
      </c>
      <c r="FV6" s="434">
        <f t="shared" si="4"/>
        <v>15</v>
      </c>
      <c r="FW6" s="434">
        <f t="shared" si="4"/>
        <v>15</v>
      </c>
      <c r="FX6" s="434">
        <f t="shared" si="4"/>
        <v>15</v>
      </c>
      <c r="FY6" s="434">
        <f t="shared" si="4"/>
        <v>15</v>
      </c>
      <c r="FZ6" s="434">
        <f t="shared" si="4"/>
        <v>15</v>
      </c>
      <c r="GA6" s="434">
        <f t="shared" si="4"/>
        <v>15</v>
      </c>
      <c r="GB6" s="434">
        <f t="shared" si="4"/>
        <v>15</v>
      </c>
      <c r="GC6" s="434">
        <f t="shared" si="4"/>
        <v>15</v>
      </c>
      <c r="GD6" s="434">
        <f t="shared" si="4"/>
        <v>15</v>
      </c>
      <c r="GE6" s="434">
        <f t="shared" si="4"/>
        <v>15</v>
      </c>
      <c r="GF6" s="434">
        <f t="shared" si="4"/>
        <v>15</v>
      </c>
      <c r="GG6" s="434">
        <f t="shared" si="4"/>
        <v>15</v>
      </c>
      <c r="GH6" s="434">
        <f t="shared" si="4"/>
        <v>15</v>
      </c>
      <c r="GI6" s="434">
        <f t="shared" si="4"/>
        <v>15</v>
      </c>
      <c r="GJ6" s="434">
        <f t="shared" si="4"/>
        <v>15</v>
      </c>
      <c r="GK6" s="434">
        <f t="shared" si="4"/>
        <v>15</v>
      </c>
      <c r="GL6" s="434">
        <f t="shared" si="4"/>
        <v>15</v>
      </c>
      <c r="GM6" s="434">
        <f t="shared" si="4"/>
        <v>15</v>
      </c>
      <c r="GN6" s="434">
        <f t="shared" si="4"/>
        <v>15</v>
      </c>
      <c r="GO6" s="434">
        <f t="shared" si="4"/>
        <v>15</v>
      </c>
      <c r="GP6" s="434">
        <f t="shared" si="4"/>
        <v>15</v>
      </c>
      <c r="GQ6" s="434">
        <f t="shared" si="4"/>
        <v>15</v>
      </c>
      <c r="GR6" s="434">
        <f t="shared" si="4"/>
        <v>15</v>
      </c>
      <c r="GS6" s="434">
        <f t="shared" si="4"/>
        <v>15</v>
      </c>
      <c r="GT6" s="434">
        <f t="shared" si="4"/>
        <v>15</v>
      </c>
      <c r="GU6" s="434">
        <f t="shared" si="4"/>
        <v>15</v>
      </c>
      <c r="GV6" s="434">
        <f t="shared" ref="GV6:IA6" si="5" xml:space="preserve"> IF(  GV18&gt;$FP$12,  LEER,  MIN( 15, ROUNDDOWN( ( $FP$12 - GV18 ) / 2, 0 ) )  )</f>
        <v>15</v>
      </c>
      <c r="GW6" s="434">
        <f t="shared" si="5"/>
        <v>15</v>
      </c>
      <c r="GX6" s="434">
        <f t="shared" si="5"/>
        <v>15</v>
      </c>
      <c r="GY6" s="434">
        <f t="shared" si="5"/>
        <v>15</v>
      </c>
      <c r="GZ6" s="434">
        <f t="shared" si="5"/>
        <v>15</v>
      </c>
      <c r="HA6" s="434">
        <f t="shared" si="5"/>
        <v>15</v>
      </c>
      <c r="HB6" s="434">
        <f t="shared" si="5"/>
        <v>15</v>
      </c>
      <c r="HC6" s="434">
        <f t="shared" si="5"/>
        <v>15</v>
      </c>
      <c r="HD6" s="434">
        <f t="shared" si="5"/>
        <v>15</v>
      </c>
      <c r="HE6" s="434">
        <f t="shared" si="5"/>
        <v>15</v>
      </c>
      <c r="HF6" s="434">
        <f t="shared" si="5"/>
        <v>15</v>
      </c>
      <c r="HG6" s="434">
        <f t="shared" si="5"/>
        <v>15</v>
      </c>
      <c r="HH6" s="434">
        <f t="shared" si="5"/>
        <v>15</v>
      </c>
      <c r="HI6" s="434">
        <f t="shared" si="5"/>
        <v>15</v>
      </c>
      <c r="HJ6" s="434">
        <f t="shared" si="5"/>
        <v>15</v>
      </c>
      <c r="HK6" s="434">
        <f t="shared" si="5"/>
        <v>15</v>
      </c>
      <c r="HL6" s="434">
        <f t="shared" si="5"/>
        <v>15</v>
      </c>
      <c r="HM6" s="434">
        <f t="shared" si="5"/>
        <v>15</v>
      </c>
      <c r="HN6" s="434">
        <f t="shared" si="5"/>
        <v>15</v>
      </c>
      <c r="HO6" s="434">
        <f t="shared" si="5"/>
        <v>15</v>
      </c>
      <c r="HP6" s="434">
        <f t="shared" si="5"/>
        <v>15</v>
      </c>
      <c r="HQ6" s="434">
        <f t="shared" si="5"/>
        <v>15</v>
      </c>
      <c r="HR6" s="434">
        <f t="shared" si="5"/>
        <v>15</v>
      </c>
      <c r="HS6" s="434">
        <f t="shared" si="5"/>
        <v>15</v>
      </c>
      <c r="HT6" s="434">
        <f t="shared" si="5"/>
        <v>15</v>
      </c>
      <c r="HU6" s="434">
        <f t="shared" si="5"/>
        <v>15</v>
      </c>
      <c r="HV6" s="434">
        <f t="shared" si="5"/>
        <v>15</v>
      </c>
      <c r="HW6" s="434">
        <f t="shared" si="5"/>
        <v>15</v>
      </c>
      <c r="HX6" s="434">
        <f t="shared" si="5"/>
        <v>15</v>
      </c>
      <c r="HY6" s="434">
        <f t="shared" si="5"/>
        <v>14</v>
      </c>
      <c r="HZ6" s="434">
        <f t="shared" si="5"/>
        <v>14</v>
      </c>
      <c r="IA6" s="434">
        <f t="shared" si="5"/>
        <v>13</v>
      </c>
      <c r="IB6" s="434">
        <f t="shared" ref="IB6:JL6" si="6" xml:space="preserve"> IF(  IB18&gt;$FP$12,  LEER,  MIN( 15, ROUNDDOWN( ( $FP$12 - IB18 ) / 2, 0 ) )  )</f>
        <v>13</v>
      </c>
      <c r="IC6" s="434">
        <f t="shared" si="6"/>
        <v>12</v>
      </c>
      <c r="ID6" s="434">
        <f t="shared" si="6"/>
        <v>12</v>
      </c>
      <c r="IE6" s="434">
        <f t="shared" si="6"/>
        <v>11</v>
      </c>
      <c r="IF6" s="434">
        <f t="shared" si="6"/>
        <v>11</v>
      </c>
      <c r="IG6" s="434">
        <f t="shared" si="6"/>
        <v>10</v>
      </c>
      <c r="IH6" s="434">
        <f t="shared" si="6"/>
        <v>10</v>
      </c>
      <c r="II6" s="434">
        <f t="shared" si="6"/>
        <v>9</v>
      </c>
      <c r="IJ6" s="434">
        <f t="shared" si="6"/>
        <v>9</v>
      </c>
      <c r="IK6" s="434">
        <f t="shared" si="6"/>
        <v>8</v>
      </c>
      <c r="IL6" s="434">
        <f t="shared" si="6"/>
        <v>8</v>
      </c>
      <c r="IM6" s="434">
        <f t="shared" si="6"/>
        <v>7</v>
      </c>
      <c r="IN6" s="434">
        <f t="shared" si="6"/>
        <v>7</v>
      </c>
      <c r="IO6" s="434">
        <f t="shared" si="6"/>
        <v>6</v>
      </c>
      <c r="IP6" s="434">
        <f t="shared" si="6"/>
        <v>6</v>
      </c>
      <c r="IQ6" s="434">
        <f t="shared" si="6"/>
        <v>5</v>
      </c>
      <c r="IR6" s="434">
        <f t="shared" si="6"/>
        <v>5</v>
      </c>
      <c r="IS6" s="434">
        <f t="shared" si="6"/>
        <v>4</v>
      </c>
      <c r="IT6" s="434">
        <f t="shared" si="6"/>
        <v>4</v>
      </c>
      <c r="IU6" s="434">
        <f t="shared" si="6"/>
        <v>3</v>
      </c>
      <c r="IV6" s="434">
        <f t="shared" si="6"/>
        <v>3</v>
      </c>
      <c r="IW6" s="434">
        <f t="shared" si="6"/>
        <v>2</v>
      </c>
      <c r="IX6" s="434">
        <f t="shared" si="6"/>
        <v>2</v>
      </c>
      <c r="IY6" s="434">
        <f t="shared" si="6"/>
        <v>1</v>
      </c>
      <c r="IZ6" s="434">
        <f t="shared" si="6"/>
        <v>1</v>
      </c>
      <c r="JA6" s="434">
        <f t="shared" si="6"/>
        <v>0</v>
      </c>
      <c r="JB6" s="434">
        <f t="shared" si="6"/>
        <v>0</v>
      </c>
      <c r="JC6" s="434" t="str">
        <f t="shared" si="6"/>
        <v>.</v>
      </c>
      <c r="JD6" s="434" t="str">
        <f t="shared" si="6"/>
        <v>.</v>
      </c>
      <c r="JE6" s="434" t="str">
        <f t="shared" si="6"/>
        <v>.</v>
      </c>
      <c r="JF6" s="434" t="str">
        <f t="shared" si="6"/>
        <v>.</v>
      </c>
      <c r="JG6" s="434" t="str">
        <f t="shared" si="6"/>
        <v>.</v>
      </c>
      <c r="JH6" s="434" t="str">
        <f t="shared" si="6"/>
        <v>.</v>
      </c>
      <c r="JI6" s="434" t="str">
        <f t="shared" si="6"/>
        <v>.</v>
      </c>
      <c r="JJ6" s="434" t="str">
        <f t="shared" si="6"/>
        <v>.</v>
      </c>
      <c r="JK6" s="434" t="str">
        <f t="shared" si="6"/>
        <v>.</v>
      </c>
      <c r="JL6" s="434" t="str">
        <f t="shared" si="6"/>
        <v>.</v>
      </c>
    </row>
    <row r="7" spans="1:272" s="385" customFormat="1" ht="10.199999999999999" x14ac:dyDescent="0.25">
      <c r="C7" s="395" t="str">
        <f xml:space="preserve"> wx</f>
        <v>w_x</v>
      </c>
      <c r="D7" s="429" t="str">
        <f xml:space="preserve"> G15</f>
        <v>Sto BaFin N 2015</v>
      </c>
      <c r="E7" s="430"/>
      <c r="U7" s="435"/>
      <c r="AN7" s="431" t="str">
        <f xml:space="preserve"> SUBSTITUTE( Z14, "x", AN12 )</f>
        <v>p_35</v>
      </c>
      <c r="AO7" s="431" t="str">
        <f xml:space="preserve"> SUBSTITUTE( AD14, "x", AO12 )</f>
        <v>z°p_35</v>
      </c>
      <c r="BT7" s="359"/>
      <c r="CH7" s="359"/>
      <c r="CN7" s="359"/>
      <c r="DP7" s="415"/>
      <c r="DQ7" s="415"/>
      <c r="DR7" s="415"/>
      <c r="DS7" s="415"/>
      <c r="DT7" s="415"/>
      <c r="DV7" s="415"/>
      <c r="DX7" s="415"/>
      <c r="DZ7" s="437"/>
      <c r="EA7" s="437"/>
      <c r="EB7" s="437"/>
      <c r="EC7" s="437"/>
      <c r="EE7" s="437"/>
      <c r="EI7" s="415"/>
      <c r="EJ7" s="437"/>
      <c r="FO7" s="438" t="str">
        <f xml:space="preserve"> K14</f>
        <v>α^Z_x</v>
      </c>
      <c r="FP7" s="428">
        <f t="array" ref="FP7:JL7" xml:space="preserve"> TRANSPOSE( K20:K120 )</f>
        <v>2</v>
      </c>
      <c r="FQ7" s="428">
        <v>2</v>
      </c>
      <c r="FR7" s="428">
        <v>2</v>
      </c>
      <c r="FS7" s="428">
        <v>2</v>
      </c>
      <c r="FT7" s="428">
        <v>2</v>
      </c>
      <c r="FU7" s="428">
        <v>2</v>
      </c>
      <c r="FV7" s="428">
        <v>2</v>
      </c>
      <c r="FW7" s="428">
        <v>2</v>
      </c>
      <c r="FX7" s="428">
        <v>2</v>
      </c>
      <c r="FY7" s="428">
        <v>2</v>
      </c>
      <c r="FZ7" s="428">
        <v>2</v>
      </c>
      <c r="GA7" s="428">
        <v>2</v>
      </c>
      <c r="GB7" s="428">
        <v>2</v>
      </c>
      <c r="GC7" s="428">
        <v>2</v>
      </c>
      <c r="GD7" s="428">
        <v>2</v>
      </c>
      <c r="GE7" s="428">
        <v>2</v>
      </c>
      <c r="GF7" s="428">
        <v>2</v>
      </c>
      <c r="GG7" s="428">
        <v>2</v>
      </c>
      <c r="GH7" s="428">
        <v>2</v>
      </c>
      <c r="GI7" s="428">
        <v>2</v>
      </c>
      <c r="GJ7" s="428">
        <v>2</v>
      </c>
      <c r="GK7" s="428">
        <v>2</v>
      </c>
      <c r="GL7" s="428">
        <v>2</v>
      </c>
      <c r="GM7" s="428">
        <v>2</v>
      </c>
      <c r="GN7" s="428">
        <v>2</v>
      </c>
      <c r="GO7" s="428">
        <v>2</v>
      </c>
      <c r="GP7" s="428">
        <v>2</v>
      </c>
      <c r="GQ7" s="428">
        <v>2</v>
      </c>
      <c r="GR7" s="428">
        <v>2</v>
      </c>
      <c r="GS7" s="428">
        <v>2</v>
      </c>
      <c r="GT7" s="428">
        <v>2</v>
      </c>
      <c r="GU7" s="428">
        <v>2</v>
      </c>
      <c r="GV7" s="428">
        <v>2</v>
      </c>
      <c r="GW7" s="428">
        <v>2</v>
      </c>
      <c r="GX7" s="428">
        <v>2</v>
      </c>
      <c r="GY7" s="428">
        <v>2</v>
      </c>
      <c r="GZ7" s="428">
        <v>2</v>
      </c>
      <c r="HA7" s="428">
        <v>2</v>
      </c>
      <c r="HB7" s="428">
        <v>2</v>
      </c>
      <c r="HC7" s="428">
        <v>2</v>
      </c>
      <c r="HD7" s="428">
        <v>2</v>
      </c>
      <c r="HE7" s="428">
        <v>2</v>
      </c>
      <c r="HF7" s="428">
        <v>2</v>
      </c>
      <c r="HG7" s="428">
        <v>2</v>
      </c>
      <c r="HH7" s="428">
        <v>2</v>
      </c>
      <c r="HI7" s="428">
        <v>2</v>
      </c>
      <c r="HJ7" s="428">
        <v>2</v>
      </c>
      <c r="HK7" s="428">
        <v>2</v>
      </c>
      <c r="HL7" s="428">
        <v>2</v>
      </c>
      <c r="HM7" s="428">
        <v>2</v>
      </c>
      <c r="HN7" s="428">
        <v>1.5</v>
      </c>
      <c r="HO7" s="428">
        <v>1</v>
      </c>
      <c r="HP7" s="428">
        <v>0.5</v>
      </c>
      <c r="HQ7" s="428">
        <v>0</v>
      </c>
      <c r="HR7" s="428">
        <v>0</v>
      </c>
      <c r="HS7" s="428">
        <v>0</v>
      </c>
      <c r="HT7" s="428">
        <v>0</v>
      </c>
      <c r="HU7" s="428">
        <v>0</v>
      </c>
      <c r="HV7" s="428">
        <v>0</v>
      </c>
      <c r="HW7" s="428">
        <v>0</v>
      </c>
      <c r="HX7" s="428">
        <v>0</v>
      </c>
      <c r="HY7" s="428">
        <v>0</v>
      </c>
      <c r="HZ7" s="428">
        <v>0</v>
      </c>
      <c r="IA7" s="428">
        <v>0</v>
      </c>
      <c r="IB7" s="428">
        <v>0</v>
      </c>
      <c r="IC7" s="428">
        <v>0</v>
      </c>
      <c r="ID7" s="428">
        <v>0</v>
      </c>
      <c r="IE7" s="428">
        <v>0</v>
      </c>
      <c r="IF7" s="428">
        <v>0</v>
      </c>
      <c r="IG7" s="428">
        <v>0</v>
      </c>
      <c r="IH7" s="428">
        <v>0</v>
      </c>
      <c r="II7" s="428">
        <v>0</v>
      </c>
      <c r="IJ7" s="428">
        <v>0</v>
      </c>
      <c r="IK7" s="428">
        <v>0</v>
      </c>
      <c r="IL7" s="428">
        <v>0</v>
      </c>
      <c r="IM7" s="428">
        <v>0</v>
      </c>
      <c r="IN7" s="428">
        <v>0</v>
      </c>
      <c r="IO7" s="428">
        <v>0</v>
      </c>
      <c r="IP7" s="428">
        <v>0</v>
      </c>
      <c r="IQ7" s="428">
        <v>0</v>
      </c>
      <c r="IR7" s="428">
        <v>0</v>
      </c>
      <c r="IS7" s="428">
        <v>0</v>
      </c>
      <c r="IT7" s="428">
        <v>0</v>
      </c>
      <c r="IU7" s="428">
        <v>0</v>
      </c>
      <c r="IV7" s="428">
        <v>0</v>
      </c>
      <c r="IW7" s="428">
        <v>0</v>
      </c>
      <c r="IX7" s="428">
        <v>0</v>
      </c>
      <c r="IY7" s="428">
        <v>0</v>
      </c>
      <c r="IZ7" s="428">
        <v>0</v>
      </c>
      <c r="JA7" s="428">
        <v>0</v>
      </c>
      <c r="JB7" s="428">
        <v>0</v>
      </c>
      <c r="JC7" s="428">
        <v>0</v>
      </c>
      <c r="JD7" s="428">
        <v>0</v>
      </c>
      <c r="JE7" s="428">
        <v>0</v>
      </c>
      <c r="JF7" s="428">
        <v>0</v>
      </c>
      <c r="JG7" s="428">
        <v>0</v>
      </c>
      <c r="JH7" s="428">
        <v>0</v>
      </c>
      <c r="JI7" s="428">
        <v>0</v>
      </c>
      <c r="JJ7" s="428">
        <v>0</v>
      </c>
      <c r="JK7" s="428">
        <v>0</v>
      </c>
      <c r="JL7" s="428">
        <v>0</v>
      </c>
    </row>
    <row r="8" spans="1:272" s="385" customFormat="1" ht="10.199999999999999" x14ac:dyDescent="0.25">
      <c r="C8" s="395" t="str">
        <f xml:space="preserve"> GrKx</f>
        <v>K_x</v>
      </c>
      <c r="D8" s="429" t="str">
        <f xml:space="preserve"> I15 &amp; IF( J12=0, "", " (" &amp; TEXT( J12, "+ 0,0 %;- 0,0 %; 0,0 %" ) &amp; ")" )</f>
        <v>Primo kompakt 2015</v>
      </c>
      <c r="E8" s="430"/>
      <c r="AN8" s="440">
        <f xml:space="preserve"> INDEX( $Z$20:$Z$120, MATCH( AN12, $A$20:$A$120, 0 ) )</f>
        <v>1.8541000000000001</v>
      </c>
      <c r="AO8" s="440">
        <f xml:space="preserve"> INDEX( $AD$20:$AD$120, MATCH( AO12, $A$20:$A$120, 0 ) )</f>
        <v>1.8763000000000001</v>
      </c>
      <c r="BT8" s="441"/>
      <c r="CH8" s="441"/>
      <c r="CN8" s="441"/>
      <c r="DP8" s="442"/>
      <c r="DQ8" s="442"/>
      <c r="DR8" s="442"/>
      <c r="DS8" s="443"/>
      <c r="DT8" s="420"/>
      <c r="DV8" s="444"/>
      <c r="DX8" s="445"/>
      <c r="DZ8" s="446"/>
      <c r="EA8" s="447"/>
      <c r="EB8" s="404"/>
      <c r="EC8" s="448"/>
      <c r="EE8" s="420"/>
      <c r="EI8" s="449"/>
      <c r="EJ8" s="420"/>
      <c r="ES8" s="450"/>
      <c r="ET8" s="450"/>
      <c r="EU8" s="450"/>
      <c r="EV8" s="450"/>
      <c r="EY8" s="450"/>
      <c r="EZ8" s="450"/>
      <c r="FA8" s="450"/>
      <c r="FO8" s="451" t="b">
        <f xml:space="preserve"> AND( FP8:JL8 )</f>
        <v>1</v>
      </c>
      <c r="FP8" s="428" t="b">
        <f t="shared" ref="FP8:GU8" si="7" xml:space="preserve"> IF(  FP18&gt;$FP$12,  LEER,  IF(  SUM(FP7)&lt;&gt;0,  FP5&lt;=FP6,  TRUE  )  )</f>
        <v>1</v>
      </c>
      <c r="FQ8" s="428" t="b">
        <f t="shared" si="7"/>
        <v>1</v>
      </c>
      <c r="FR8" s="428" t="b">
        <f t="shared" si="7"/>
        <v>1</v>
      </c>
      <c r="FS8" s="428" t="b">
        <f t="shared" si="7"/>
        <v>1</v>
      </c>
      <c r="FT8" s="428" t="b">
        <f t="shared" si="7"/>
        <v>1</v>
      </c>
      <c r="FU8" s="428" t="b">
        <f t="shared" si="7"/>
        <v>1</v>
      </c>
      <c r="FV8" s="428" t="b">
        <f t="shared" si="7"/>
        <v>1</v>
      </c>
      <c r="FW8" s="428" t="b">
        <f t="shared" si="7"/>
        <v>1</v>
      </c>
      <c r="FX8" s="428" t="b">
        <f t="shared" si="7"/>
        <v>1</v>
      </c>
      <c r="FY8" s="428" t="b">
        <f t="shared" si="7"/>
        <v>1</v>
      </c>
      <c r="FZ8" s="428" t="b">
        <f t="shared" si="7"/>
        <v>1</v>
      </c>
      <c r="GA8" s="428" t="b">
        <f t="shared" si="7"/>
        <v>1</v>
      </c>
      <c r="GB8" s="428" t="b">
        <f t="shared" si="7"/>
        <v>1</v>
      </c>
      <c r="GC8" s="428" t="b">
        <f t="shared" si="7"/>
        <v>1</v>
      </c>
      <c r="GD8" s="428" t="b">
        <f t="shared" si="7"/>
        <v>1</v>
      </c>
      <c r="GE8" s="428" t="b">
        <f t="shared" si="7"/>
        <v>1</v>
      </c>
      <c r="GF8" s="428" t="b">
        <f t="shared" si="7"/>
        <v>1</v>
      </c>
      <c r="GG8" s="428" t="b">
        <f t="shared" si="7"/>
        <v>1</v>
      </c>
      <c r="GH8" s="428" t="b">
        <f t="shared" si="7"/>
        <v>1</v>
      </c>
      <c r="GI8" s="428" t="b">
        <f t="shared" si="7"/>
        <v>1</v>
      </c>
      <c r="GJ8" s="428" t="b">
        <f t="shared" si="7"/>
        <v>1</v>
      </c>
      <c r="GK8" s="428" t="b">
        <f t="shared" si="7"/>
        <v>1</v>
      </c>
      <c r="GL8" s="428" t="b">
        <f t="shared" si="7"/>
        <v>1</v>
      </c>
      <c r="GM8" s="428" t="b">
        <f t="shared" si="7"/>
        <v>1</v>
      </c>
      <c r="GN8" s="428" t="b">
        <f t="shared" si="7"/>
        <v>1</v>
      </c>
      <c r="GO8" s="428" t="b">
        <f t="shared" si="7"/>
        <v>1</v>
      </c>
      <c r="GP8" s="428" t="b">
        <f t="shared" si="7"/>
        <v>1</v>
      </c>
      <c r="GQ8" s="428" t="b">
        <f t="shared" si="7"/>
        <v>1</v>
      </c>
      <c r="GR8" s="428" t="b">
        <f t="shared" si="7"/>
        <v>1</v>
      </c>
      <c r="GS8" s="428" t="b">
        <f t="shared" si="7"/>
        <v>1</v>
      </c>
      <c r="GT8" s="428" t="b">
        <f t="shared" si="7"/>
        <v>1</v>
      </c>
      <c r="GU8" s="428" t="b">
        <f t="shared" si="7"/>
        <v>1</v>
      </c>
      <c r="GV8" s="428" t="b">
        <f t="shared" ref="GV8:IA8" si="8" xml:space="preserve"> IF(  GV18&gt;$FP$12,  LEER,  IF(  SUM(GV7)&lt;&gt;0,  GV5&lt;=GV6,  TRUE  )  )</f>
        <v>1</v>
      </c>
      <c r="GW8" s="428" t="b">
        <f t="shared" si="8"/>
        <v>1</v>
      </c>
      <c r="GX8" s="428" t="b">
        <f t="shared" si="8"/>
        <v>1</v>
      </c>
      <c r="GY8" s="428" t="b">
        <f t="shared" si="8"/>
        <v>1</v>
      </c>
      <c r="GZ8" s="428" t="b">
        <f t="shared" si="8"/>
        <v>1</v>
      </c>
      <c r="HA8" s="428" t="b">
        <f t="shared" si="8"/>
        <v>1</v>
      </c>
      <c r="HB8" s="428" t="b">
        <f t="shared" si="8"/>
        <v>1</v>
      </c>
      <c r="HC8" s="428" t="b">
        <f t="shared" si="8"/>
        <v>1</v>
      </c>
      <c r="HD8" s="428" t="b">
        <f t="shared" si="8"/>
        <v>1</v>
      </c>
      <c r="HE8" s="428" t="b">
        <f t="shared" si="8"/>
        <v>1</v>
      </c>
      <c r="HF8" s="428" t="b">
        <f t="shared" si="8"/>
        <v>1</v>
      </c>
      <c r="HG8" s="428" t="b">
        <f t="shared" si="8"/>
        <v>1</v>
      </c>
      <c r="HH8" s="428" t="b">
        <f t="shared" si="8"/>
        <v>1</v>
      </c>
      <c r="HI8" s="428" t="b">
        <f t="shared" si="8"/>
        <v>1</v>
      </c>
      <c r="HJ8" s="428" t="b">
        <f t="shared" si="8"/>
        <v>1</v>
      </c>
      <c r="HK8" s="428" t="b">
        <f t="shared" si="8"/>
        <v>1</v>
      </c>
      <c r="HL8" s="428" t="b">
        <f t="shared" si="8"/>
        <v>1</v>
      </c>
      <c r="HM8" s="428" t="b">
        <f t="shared" si="8"/>
        <v>1</v>
      </c>
      <c r="HN8" s="428" t="b">
        <f t="shared" si="8"/>
        <v>1</v>
      </c>
      <c r="HO8" s="428" t="b">
        <f t="shared" si="8"/>
        <v>1</v>
      </c>
      <c r="HP8" s="428" t="b">
        <f t="shared" si="8"/>
        <v>1</v>
      </c>
      <c r="HQ8" s="428" t="b">
        <f t="shared" si="8"/>
        <v>1</v>
      </c>
      <c r="HR8" s="428" t="b">
        <f t="shared" si="8"/>
        <v>1</v>
      </c>
      <c r="HS8" s="428" t="b">
        <f t="shared" si="8"/>
        <v>1</v>
      </c>
      <c r="HT8" s="428" t="b">
        <f t="shared" si="8"/>
        <v>1</v>
      </c>
      <c r="HU8" s="428" t="b">
        <f t="shared" si="8"/>
        <v>1</v>
      </c>
      <c r="HV8" s="428" t="b">
        <f t="shared" si="8"/>
        <v>1</v>
      </c>
      <c r="HW8" s="428" t="b">
        <f t="shared" si="8"/>
        <v>1</v>
      </c>
      <c r="HX8" s="428" t="b">
        <f t="shared" si="8"/>
        <v>1</v>
      </c>
      <c r="HY8" s="428" t="b">
        <f t="shared" si="8"/>
        <v>1</v>
      </c>
      <c r="HZ8" s="428" t="b">
        <f t="shared" si="8"/>
        <v>1</v>
      </c>
      <c r="IA8" s="428" t="b">
        <f t="shared" si="8"/>
        <v>1</v>
      </c>
      <c r="IB8" s="428" t="b">
        <f t="shared" ref="IB8:JG8" si="9" xml:space="preserve"> IF(  IB18&gt;$FP$12,  LEER,  IF(  SUM(IB7)&lt;&gt;0,  IB5&lt;=IB6,  TRUE  )  )</f>
        <v>1</v>
      </c>
      <c r="IC8" s="428" t="b">
        <f t="shared" si="9"/>
        <v>1</v>
      </c>
      <c r="ID8" s="428" t="b">
        <f t="shared" si="9"/>
        <v>1</v>
      </c>
      <c r="IE8" s="428" t="b">
        <f t="shared" si="9"/>
        <v>1</v>
      </c>
      <c r="IF8" s="428" t="b">
        <f t="shared" si="9"/>
        <v>1</v>
      </c>
      <c r="IG8" s="428" t="b">
        <f t="shared" si="9"/>
        <v>1</v>
      </c>
      <c r="IH8" s="428" t="b">
        <f t="shared" si="9"/>
        <v>1</v>
      </c>
      <c r="II8" s="428" t="b">
        <f t="shared" si="9"/>
        <v>1</v>
      </c>
      <c r="IJ8" s="428" t="b">
        <f t="shared" si="9"/>
        <v>1</v>
      </c>
      <c r="IK8" s="428" t="b">
        <f t="shared" si="9"/>
        <v>1</v>
      </c>
      <c r="IL8" s="428" t="b">
        <f t="shared" si="9"/>
        <v>1</v>
      </c>
      <c r="IM8" s="428" t="b">
        <f t="shared" si="9"/>
        <v>1</v>
      </c>
      <c r="IN8" s="428" t="b">
        <f t="shared" si="9"/>
        <v>1</v>
      </c>
      <c r="IO8" s="428" t="b">
        <f t="shared" si="9"/>
        <v>1</v>
      </c>
      <c r="IP8" s="428" t="b">
        <f t="shared" si="9"/>
        <v>1</v>
      </c>
      <c r="IQ8" s="428" t="b">
        <f t="shared" si="9"/>
        <v>1</v>
      </c>
      <c r="IR8" s="428" t="b">
        <f t="shared" si="9"/>
        <v>1</v>
      </c>
      <c r="IS8" s="428" t="b">
        <f t="shared" si="9"/>
        <v>1</v>
      </c>
      <c r="IT8" s="428" t="b">
        <f t="shared" si="9"/>
        <v>1</v>
      </c>
      <c r="IU8" s="428" t="b">
        <f t="shared" si="9"/>
        <v>1</v>
      </c>
      <c r="IV8" s="428" t="b">
        <f t="shared" si="9"/>
        <v>1</v>
      </c>
      <c r="IW8" s="428" t="b">
        <f t="shared" si="9"/>
        <v>1</v>
      </c>
      <c r="IX8" s="428" t="b">
        <f t="shared" si="9"/>
        <v>1</v>
      </c>
      <c r="IY8" s="428" t="b">
        <f t="shared" si="9"/>
        <v>1</v>
      </c>
      <c r="IZ8" s="428" t="b">
        <f t="shared" si="9"/>
        <v>1</v>
      </c>
      <c r="JA8" s="428" t="b">
        <f t="shared" si="9"/>
        <v>1</v>
      </c>
      <c r="JB8" s="428" t="b">
        <f t="shared" si="9"/>
        <v>1</v>
      </c>
      <c r="JC8" s="428" t="str">
        <f t="shared" si="9"/>
        <v>.</v>
      </c>
      <c r="JD8" s="428" t="str">
        <f t="shared" si="9"/>
        <v>.</v>
      </c>
      <c r="JE8" s="428" t="str">
        <f t="shared" si="9"/>
        <v>.</v>
      </c>
      <c r="JF8" s="428" t="str">
        <f t="shared" si="9"/>
        <v>.</v>
      </c>
      <c r="JG8" s="428" t="str">
        <f t="shared" si="9"/>
        <v>.</v>
      </c>
      <c r="JH8" s="428" t="str">
        <f xml:space="preserve"> IF(  JH18&gt;$FP$12,  LEER,  IF(  SUM(JH7)&lt;&gt;0,  JH5&lt;=JH6,  TRUE  )  )</f>
        <v>.</v>
      </c>
      <c r="JI8" s="428" t="str">
        <f xml:space="preserve"> IF(  JI18&gt;$FP$12,  LEER,  IF(  SUM(JI7)&lt;&gt;0,  JI5&lt;=JI6,  TRUE  )  )</f>
        <v>.</v>
      </c>
      <c r="JJ8" s="428" t="str">
        <f xml:space="preserve"> IF(  JJ18&gt;$FP$12,  LEER,  IF(  SUM(JJ7)&lt;&gt;0,  JJ5&lt;=JJ6,  TRUE  )  )</f>
        <v>.</v>
      </c>
      <c r="JK8" s="428" t="str">
        <f xml:space="preserve"> IF(  JK18&gt;$FP$12,  LEER,  IF(  SUM(JK7)&lt;&gt;0,  JK5&lt;=JK6,  TRUE  )  )</f>
        <v>.</v>
      </c>
      <c r="JL8" s="428" t="str">
        <f xml:space="preserve"> IF(  JL18&gt;$FP$12,  LEER,  IF(  SUM(JL7)&lt;&gt;0,  JL5&lt;=JL6,  TRUE  )  )</f>
        <v>.</v>
      </c>
    </row>
    <row r="9" spans="1:272" s="385" customFormat="1" ht="10.199999999999999" x14ac:dyDescent="0.25">
      <c r="C9" s="395" t="str">
        <f xml:space="preserve"> SML</f>
        <v>SML</v>
      </c>
      <c r="D9" s="452" t="str">
        <f xml:space="preserve"> INDEX( Auswahl_vSK, $D$1 )</f>
        <v/>
      </c>
      <c r="E9" s="453"/>
      <c r="O9" s="401" t="str">
        <f xml:space="preserve"> xalpha</f>
        <v>x_α</v>
      </c>
      <c r="R9" s="401" t="str">
        <f xml:space="preserve"> xalpha</f>
        <v>x_α</v>
      </c>
      <c r="BT9" s="391"/>
      <c r="DX9" s="454"/>
      <c r="DZ9" s="455"/>
      <c r="EA9" s="455"/>
      <c r="EB9" s="455"/>
      <c r="EC9" s="455"/>
      <c r="EI9" s="455"/>
      <c r="ES9" s="456"/>
      <c r="ET9" s="456"/>
      <c r="EU9" s="456"/>
      <c r="EY9" s="457"/>
      <c r="EZ9" s="457"/>
    </row>
    <row r="10" spans="1:272" s="385" customFormat="1" ht="10.199999999999999" x14ac:dyDescent="0.2">
      <c r="C10" s="395" t="str">
        <f xml:space="preserve"> xKM</f>
        <v>x_KM</v>
      </c>
      <c r="D10" s="458">
        <f xml:space="preserve"> IF( H12&gt;O12, LEER, H12 )</f>
        <v>70</v>
      </c>
      <c r="E10" s="459"/>
      <c r="F10" s="460"/>
      <c r="G10" s="460"/>
      <c r="H10" s="461" t="b">
        <f xml:space="preserve"> INDEX( Auswahl_KSMaximierung, $D$1 )</f>
        <v>1</v>
      </c>
      <c r="I10" s="461" t="b">
        <f xml:space="preserve"> INDEX( Auswahl_KSNormierung, $D$1 )</f>
        <v>1</v>
      </c>
      <c r="J10" s="460"/>
      <c r="K10" s="460"/>
      <c r="L10" s="460"/>
      <c r="M10" s="460"/>
      <c r="O10" s="408">
        <f xml:space="preserve">  INDEX( Auswahl_xalpha, $D$1 )</f>
        <v>20</v>
      </c>
      <c r="R10" s="408">
        <f xml:space="preserve">  INDEX( Auswahl_xalpha, $D$1 )</f>
        <v>20</v>
      </c>
      <c r="BR10" s="462"/>
      <c r="BS10" s="462"/>
      <c r="BT10" s="462"/>
      <c r="BU10" s="462"/>
      <c r="BV10" s="462"/>
      <c r="BW10" s="462"/>
      <c r="BX10" s="462"/>
      <c r="CB10" s="462"/>
      <c r="CC10" s="463"/>
      <c r="CD10" s="463"/>
      <c r="CE10" s="463"/>
      <c r="CF10" s="463"/>
      <c r="CH10" s="462"/>
      <c r="CI10" s="462"/>
      <c r="CJ10" s="462"/>
      <c r="CK10" s="462"/>
      <c r="CL10" s="462"/>
      <c r="CN10" s="462"/>
      <c r="CO10" s="462"/>
      <c r="CP10" s="462"/>
      <c r="CQ10" s="462"/>
      <c r="CR10" s="462"/>
      <c r="DZ10" s="455"/>
      <c r="EA10" s="455"/>
      <c r="EB10" s="455"/>
      <c r="EC10" s="455"/>
      <c r="EI10" s="455"/>
    </row>
    <row r="11" spans="1:272" s="385" customFormat="1" ht="10.199999999999999" x14ac:dyDescent="0.25">
      <c r="C11" s="395" t="str">
        <f xml:space="preserve"> Delta</f>
        <v>Δ_js</v>
      </c>
      <c r="D11" s="464" t="str">
        <f xml:space="preserve"> TEXT( M15, "0,0 %") &amp; IF( M15=M16, "", " / " &amp; TEXT( M16, "0,0 %" ) )</f>
        <v>8,6 %</v>
      </c>
      <c r="E11" s="465"/>
      <c r="F11" s="466" t="str">
        <f xml:space="preserve"> xJ</f>
        <v>x_J</v>
      </c>
      <c r="G11" s="460"/>
      <c r="H11" s="401" t="str">
        <f xml:space="preserve"> xKM</f>
        <v>x_KM</v>
      </c>
      <c r="I11" s="401" t="str">
        <f xml:space="preserve"> xN</f>
        <v>x_N</v>
      </c>
      <c r="J11" s="401" t="str">
        <f xml:space="preserve"> Erhöhung</f>
        <v>Erhöhung</v>
      </c>
      <c r="K11" s="460"/>
      <c r="L11" s="401" t="str">
        <f xml:space="preserve"> xs</f>
        <v>x_s</v>
      </c>
      <c r="M11" s="401" t="str">
        <f xml:space="preserve"> xs</f>
        <v>x_s</v>
      </c>
      <c r="O11" s="401" t="str">
        <f xml:space="preserve"> xomega</f>
        <v>x_ω</v>
      </c>
      <c r="R11" s="401" t="str">
        <f xml:space="preserve"> l_xalpha</f>
        <v>l_x_α</v>
      </c>
      <c r="S11" s="431" t="str">
        <f xml:space="preserve"> r_</f>
        <v>r</v>
      </c>
      <c r="AB11" s="431" t="str">
        <f xml:space="preserve"> xr</f>
        <v>x_r</v>
      </c>
      <c r="AC11" s="431" t="str">
        <f xml:space="preserve"> xs</f>
        <v>x_s</v>
      </c>
      <c r="AF11" s="467" t="str">
        <f xml:space="preserve"> INDEX( Auswahl_Beitragsmonotonisierung, $D$1 )</f>
        <v>ja</v>
      </c>
      <c r="AN11" s="431" t="str">
        <f xml:space="preserve"> ARx</f>
        <v>x_0</v>
      </c>
      <c r="AO11" s="431" t="str">
        <f xml:space="preserve"> ARx</f>
        <v>x_0</v>
      </c>
      <c r="BR11" s="359"/>
      <c r="BS11" s="359"/>
      <c r="BT11" s="359"/>
      <c r="BU11" s="359"/>
      <c r="BV11" s="359"/>
      <c r="BW11" s="359"/>
      <c r="BX11" s="359"/>
      <c r="CB11" s="431"/>
      <c r="CC11" s="431"/>
      <c r="CD11" s="431"/>
      <c r="CE11" s="431"/>
      <c r="CF11" s="431"/>
      <c r="CH11" s="359"/>
      <c r="CI11" s="359"/>
      <c r="CJ11" s="359"/>
      <c r="CK11" s="359"/>
      <c r="CL11" s="359"/>
      <c r="CN11" s="359"/>
      <c r="CO11" s="359"/>
      <c r="CP11" s="359"/>
      <c r="CQ11" s="359"/>
      <c r="CR11" s="359"/>
      <c r="DP11" s="437"/>
      <c r="DQ11" s="437"/>
      <c r="DR11" s="437"/>
      <c r="DV11" s="437"/>
      <c r="DZ11" s="437"/>
      <c r="EA11" s="437"/>
      <c r="EB11" s="437"/>
      <c r="EC11" s="437"/>
      <c r="EI11" s="437"/>
      <c r="EJ11" s="455"/>
      <c r="EL11" s="437"/>
      <c r="ES11" s="468"/>
      <c r="ET11" s="450"/>
      <c r="EU11" s="450"/>
      <c r="EV11" s="468"/>
      <c r="EY11" s="457"/>
      <c r="EZ11" s="457"/>
      <c r="FA11" s="457"/>
      <c r="FO11" s="389"/>
      <c r="FP11" s="397" t="str">
        <f xml:space="preserve"> xomega</f>
        <v>x_ω</v>
      </c>
      <c r="FQ11" s="389"/>
      <c r="FR11" s="389"/>
      <c r="FS11" s="389"/>
      <c r="FT11" s="389"/>
      <c r="FU11" s="389"/>
      <c r="FV11" s="389"/>
      <c r="FW11" s="389"/>
      <c r="FX11" s="389"/>
      <c r="FY11" s="389"/>
      <c r="FZ11" s="389"/>
      <c r="GA11" s="389"/>
      <c r="GB11" s="389"/>
      <c r="GC11" s="389"/>
      <c r="GD11" s="389"/>
      <c r="GE11" s="389"/>
      <c r="GF11" s="389"/>
      <c r="GG11" s="389"/>
      <c r="GH11" s="389"/>
      <c r="GI11" s="389"/>
      <c r="GJ11" s="389"/>
      <c r="GK11" s="389"/>
      <c r="GL11" s="389"/>
      <c r="GM11" s="389"/>
      <c r="GN11" s="389"/>
      <c r="GO11" s="389"/>
      <c r="GP11" s="389"/>
      <c r="GQ11" s="389"/>
      <c r="GR11" s="389"/>
      <c r="GS11" s="389"/>
      <c r="GT11" s="389"/>
      <c r="GU11" s="389"/>
      <c r="GV11" s="389"/>
      <c r="GW11" s="389"/>
      <c r="GX11" s="389"/>
      <c r="GY11" s="389"/>
      <c r="GZ11" s="389"/>
      <c r="HA11" s="389"/>
      <c r="HB11" s="389"/>
      <c r="HC11" s="389"/>
      <c r="HD11" s="389"/>
      <c r="HE11" s="389"/>
      <c r="HF11" s="389"/>
      <c r="HG11" s="389"/>
      <c r="HH11" s="389"/>
      <c r="HI11" s="389"/>
      <c r="HJ11" s="389"/>
      <c r="HK11" s="389"/>
      <c r="HL11" s="389"/>
      <c r="HM11" s="389"/>
      <c r="HN11" s="389"/>
      <c r="HO11" s="389"/>
      <c r="HP11" s="389"/>
      <c r="HQ11" s="389"/>
      <c r="HR11" s="389"/>
      <c r="HS11" s="389"/>
      <c r="HT11" s="389"/>
      <c r="HU11" s="389"/>
      <c r="HV11" s="389"/>
      <c r="HW11" s="389"/>
      <c r="HX11" s="389"/>
      <c r="HY11" s="389"/>
      <c r="HZ11" s="389"/>
      <c r="IA11" s="389"/>
      <c r="IB11" s="389"/>
      <c r="IC11" s="389"/>
      <c r="ID11" s="389"/>
      <c r="IE11" s="389"/>
      <c r="IF11" s="389"/>
      <c r="IG11" s="389"/>
      <c r="IH11" s="389"/>
      <c r="II11" s="389"/>
      <c r="IJ11" s="389"/>
      <c r="IK11" s="389"/>
      <c r="IL11" s="389"/>
      <c r="IM11" s="389"/>
      <c r="IN11" s="389"/>
      <c r="IO11" s="389"/>
      <c r="IP11" s="389"/>
      <c r="IQ11" s="389"/>
      <c r="IR11" s="389"/>
      <c r="IS11" s="389"/>
      <c r="IT11" s="389"/>
      <c r="IU11" s="389"/>
      <c r="IV11" s="389"/>
      <c r="IW11" s="389"/>
      <c r="IX11" s="389"/>
      <c r="IY11" s="389"/>
      <c r="IZ11" s="389"/>
      <c r="JA11" s="389"/>
      <c r="JB11" s="389"/>
      <c r="JC11" s="389"/>
      <c r="JD11" s="389"/>
      <c r="JE11" s="389"/>
      <c r="JF11" s="389"/>
      <c r="JG11" s="389"/>
      <c r="JH11" s="389"/>
      <c r="JI11" s="389"/>
      <c r="JJ11" s="389"/>
      <c r="JK11" s="389"/>
      <c r="JL11" s="389"/>
    </row>
    <row r="12" spans="1:272" s="469" customFormat="1" ht="10.199999999999999" x14ac:dyDescent="0.25">
      <c r="C12" s="395" t="str">
        <f xml:space="preserve"> IF(  INDEX( Auswahl_Kostensatz, $D$1 ) = Kostensatzdynam,  DeltaTilde,  GrGamma )</f>
        <v>Γ_js</v>
      </c>
      <c r="D12" s="464" t="str">
        <f xml:space="preserve"> C12 &amp; ": " &amp; IF(  INDEX( Auswahl_Kostensatz, $D$1 ) = Kostensatzohne,     "ohne",
                          IF( INDEX( Auswahl_Kostensatz, $D$1 )  = Kostensatzdynam,  TEXT( L15, "0,0 %" ) &amp; IF( L15=L16, "", " / " &amp; TEXT( L16, "0,0 %" )           ),
                                                                                                                                                  TEXT( L2,  "0" )          &amp; IF( L2=L3,     "", " / " &amp; TEXT( L3,   "0" )  &amp; " Euro" )        ) )</f>
        <v>Γ_js: 802 / 679 Euro</v>
      </c>
      <c r="E12" s="465"/>
      <c r="F12" s="408">
        <f xml:space="preserve"> INDEX( Auswahl_xJ, $D$1 )</f>
        <v>15</v>
      </c>
      <c r="G12" s="470"/>
      <c r="H12" s="408">
        <f xml:space="preserve"> IF(  H10,  MIN( $D$4, INDEX( Auswahl_xKM, $D$1 ) ),  LEER  )</f>
        <v>70</v>
      </c>
      <c r="I12" s="408">
        <f xml:space="preserve"> IF(  I10,  MIN( $D$4, INDEX( Auswahl_xN, $D$1 ) ),  LEER  )</f>
        <v>40</v>
      </c>
      <c r="J12" s="471">
        <f xml:space="preserve"> INDEX( Auswahl_KSErhoehung, $D$1 )</f>
        <v>0</v>
      </c>
      <c r="K12" s="470"/>
      <c r="L12" s="408">
        <f xml:space="preserve"> INDEX( Auswahl_xsen, $D$1 )</f>
        <v>65</v>
      </c>
      <c r="M12" s="408">
        <f xml:space="preserve"> INDEX( Auswahl_xsen, $D$1 )</f>
        <v>65</v>
      </c>
      <c r="O12" s="408">
        <f xml:space="preserve">  INDEX( Auswahl_xomega, $D$1 )</f>
        <v>110</v>
      </c>
      <c r="P12" s="385"/>
      <c r="Q12" s="385"/>
      <c r="R12" s="472">
        <f xml:space="preserve"> INDEX( Auswahl_lxalpha, $D$1 )</f>
        <v>5000000</v>
      </c>
      <c r="S12" s="473">
        <f xml:space="preserve"> INDEX( Auswahl_r, $D$1 )</f>
        <v>2.5000000000000001E-2</v>
      </c>
      <c r="U12" s="385"/>
      <c r="V12" s="385"/>
      <c r="W12" s="385"/>
      <c r="X12" s="385"/>
      <c r="Y12" s="385"/>
      <c r="Z12" s="385"/>
      <c r="AA12" s="385"/>
      <c r="AB12" s="474">
        <f xml:space="preserve"> INDEX( Auswahl_xr, $D$1 )</f>
        <v>40</v>
      </c>
      <c r="AC12" s="474">
        <f xml:space="preserve"> INDEX( Auswahl_xsen, $D$1 )</f>
        <v>65</v>
      </c>
      <c r="AD12" s="385"/>
      <c r="AE12" s="385"/>
      <c r="AF12" s="475" t="b">
        <f xml:space="preserve"> UPPER(AF11)="JA"</f>
        <v>1</v>
      </c>
      <c r="AN12" s="474">
        <f xml:space="preserve"> INDEX( Auswahl_ARx, $D$1 )</f>
        <v>35</v>
      </c>
      <c r="AO12" s="474">
        <f xml:space="preserve"> INDEX( Auswahl_ARx, $D$1 )</f>
        <v>35</v>
      </c>
      <c r="BC12" s="385"/>
      <c r="BD12" s="385"/>
      <c r="BR12" s="476"/>
      <c r="BS12" s="476"/>
      <c r="BT12" s="476"/>
      <c r="BU12" s="476"/>
      <c r="BV12" s="476"/>
      <c r="BW12" s="476"/>
      <c r="BX12" s="476"/>
      <c r="CB12" s="474"/>
      <c r="CC12" s="474"/>
      <c r="CD12" s="474"/>
      <c r="CE12" s="474"/>
      <c r="CF12" s="474"/>
      <c r="CH12" s="476"/>
      <c r="CI12" s="476"/>
      <c r="CJ12" s="476"/>
      <c r="CK12" s="476"/>
      <c r="CL12" s="476"/>
      <c r="CN12" s="476"/>
      <c r="CO12" s="476"/>
      <c r="CP12" s="476"/>
      <c r="CQ12" s="476"/>
      <c r="CR12" s="476"/>
      <c r="DP12" s="477"/>
      <c r="DQ12" s="477"/>
      <c r="DR12" s="477"/>
      <c r="DV12" s="477"/>
      <c r="DZ12" s="477"/>
      <c r="EA12" s="477"/>
      <c r="EB12" s="477"/>
      <c r="EC12" s="477"/>
      <c r="ED12" s="385"/>
      <c r="EE12" s="385"/>
      <c r="EI12" s="477"/>
      <c r="EJ12" s="478"/>
      <c r="EL12" s="477"/>
      <c r="FO12" s="479"/>
      <c r="FP12" s="480">
        <f xml:space="preserve"> INDEX( Auswahl_xomega, $D$1 )</f>
        <v>110</v>
      </c>
      <c r="FQ12" s="479"/>
      <c r="FR12" s="479"/>
      <c r="FS12" s="479"/>
      <c r="FT12" s="479"/>
      <c r="FU12" s="479"/>
      <c r="FV12" s="479"/>
      <c r="FW12" s="479"/>
      <c r="FX12" s="479"/>
      <c r="FY12" s="479"/>
      <c r="FZ12" s="479"/>
      <c r="GA12" s="479"/>
      <c r="GB12" s="479"/>
      <c r="GC12" s="479"/>
      <c r="GD12" s="479"/>
      <c r="GE12" s="479"/>
      <c r="GF12" s="479"/>
      <c r="GG12" s="479"/>
      <c r="GH12" s="479"/>
      <c r="GI12" s="479"/>
      <c r="GJ12" s="479"/>
      <c r="GK12" s="479"/>
      <c r="GL12" s="479"/>
      <c r="GM12" s="479"/>
      <c r="GN12" s="479"/>
      <c r="GO12" s="479"/>
      <c r="GP12" s="479"/>
      <c r="GQ12" s="479"/>
      <c r="GR12" s="479"/>
      <c r="GS12" s="479"/>
      <c r="GT12" s="479"/>
      <c r="GU12" s="479"/>
      <c r="GV12" s="479"/>
      <c r="GW12" s="479"/>
      <c r="GX12" s="479"/>
      <c r="GY12" s="479"/>
      <c r="GZ12" s="479"/>
      <c r="HA12" s="479"/>
      <c r="HB12" s="479"/>
      <c r="HC12" s="479"/>
      <c r="HD12" s="479"/>
      <c r="HE12" s="479"/>
      <c r="HF12" s="479"/>
      <c r="HG12" s="479"/>
      <c r="HH12" s="479"/>
      <c r="HI12" s="479"/>
      <c r="HJ12" s="479"/>
      <c r="HK12" s="479"/>
      <c r="HL12" s="479"/>
      <c r="HM12" s="479"/>
      <c r="HN12" s="479"/>
      <c r="HO12" s="479"/>
      <c r="HP12" s="479"/>
      <c r="HQ12" s="479"/>
      <c r="HR12" s="479"/>
      <c r="HS12" s="479"/>
      <c r="HT12" s="479"/>
      <c r="HU12" s="479"/>
      <c r="HV12" s="479"/>
      <c r="HW12" s="479"/>
      <c r="HX12" s="479"/>
      <c r="HY12" s="479"/>
      <c r="HZ12" s="479"/>
      <c r="IA12" s="479"/>
      <c r="IB12" s="479"/>
      <c r="IC12" s="479"/>
      <c r="ID12" s="479"/>
      <c r="IE12" s="479"/>
      <c r="IF12" s="479"/>
      <c r="IG12" s="479"/>
      <c r="IH12" s="479"/>
      <c r="II12" s="479"/>
      <c r="IJ12" s="479"/>
      <c r="IK12" s="479"/>
      <c r="IL12" s="479"/>
      <c r="IM12" s="479"/>
      <c r="IN12" s="479"/>
      <c r="IO12" s="479"/>
      <c r="IP12" s="479"/>
      <c r="IQ12" s="479"/>
      <c r="IR12" s="479"/>
      <c r="IS12" s="479"/>
      <c r="IT12" s="479"/>
      <c r="IU12" s="479"/>
      <c r="IV12" s="479"/>
      <c r="IW12" s="479"/>
      <c r="IX12" s="479"/>
      <c r="IY12" s="479"/>
      <c r="IZ12" s="479"/>
      <c r="JA12" s="479"/>
      <c r="JB12" s="479"/>
      <c r="JC12" s="479"/>
      <c r="JD12" s="479"/>
      <c r="JE12" s="479"/>
      <c r="JF12" s="479"/>
      <c r="JG12" s="479"/>
      <c r="JH12" s="479"/>
      <c r="JI12" s="479"/>
      <c r="JJ12" s="479"/>
      <c r="JK12" s="479"/>
      <c r="JL12" s="479"/>
    </row>
    <row r="13" spans="1:272" s="385" customFormat="1" ht="10.199999999999999" x14ac:dyDescent="0.25">
      <c r="C13" s="395" t="s">
        <v>28</v>
      </c>
      <c r="D13" s="481" t="str">
        <f xml:space="preserve"> K15 &amp; " MB" &amp; IF( K15&lt;&gt;0, " (ab " &amp; K18 &amp; " abzgl. " &amp; K16 &amp; " MB)", "" )</f>
        <v>2 MB (ab 70 abzgl. 0,5 MB)</v>
      </c>
      <c r="E13" s="482"/>
      <c r="F13" s="451" t="b">
        <f xml:space="preserve"> FO8</f>
        <v>1</v>
      </c>
      <c r="G13" s="483"/>
      <c r="H13" s="483"/>
      <c r="I13" s="483"/>
      <c r="J13" s="390">
        <f xml:space="preserve"> IF( $B$17, G_Rd, nix_Rd )</f>
        <v>2</v>
      </c>
      <c r="K13" s="483"/>
      <c r="L13" s="483"/>
      <c r="M13" s="483"/>
      <c r="O13" s="484"/>
      <c r="P13" s="484"/>
      <c r="Q13" s="484"/>
      <c r="R13" s="484"/>
      <c r="S13" s="484"/>
      <c r="T13" s="484"/>
      <c r="U13" s="484"/>
      <c r="V13" s="484"/>
      <c r="W13" s="484"/>
      <c r="X13" s="484"/>
      <c r="Y13" s="484"/>
      <c r="Z13" s="484"/>
      <c r="AA13" s="484"/>
      <c r="AC13" s="484"/>
      <c r="AD13" s="484"/>
      <c r="AE13" s="484"/>
      <c r="AF13" s="484"/>
      <c r="AJ13" s="484"/>
      <c r="AK13" s="484"/>
      <c r="AR13" s="431" t="str">
        <f xml:space="preserve"> lambdax</f>
        <v>λ_x</v>
      </c>
      <c r="AS13" s="431" t="str">
        <f xml:space="preserve"> BE_M_</f>
        <v>M</v>
      </c>
      <c r="AT13" s="431" t="s">
        <v>1</v>
      </c>
      <c r="AU13" s="431"/>
      <c r="AV13" s="485" t="str">
        <f xml:space="preserve"> $AR13 &amp; "^" &amp; AV14</f>
        <v>λ_x^q_x</v>
      </c>
      <c r="AW13" s="486" t="str">
        <f xml:space="preserve"> BE_MF_</f>
        <v>MF</v>
      </c>
      <c r="AX13" s="431" t="str">
        <f xml:space="preserve"> BE_M_</f>
        <v>M</v>
      </c>
      <c r="AY13" s="431" t="s">
        <v>1</v>
      </c>
      <c r="AZ13" s="431"/>
      <c r="BA13" s="485" t="str">
        <f xml:space="preserve"> $AR13 &amp; "^" &amp; BA14</f>
        <v>λ_x^w_x</v>
      </c>
      <c r="BB13" s="486" t="str">
        <f xml:space="preserve"> BE_MF_</f>
        <v>MF</v>
      </c>
      <c r="BC13" s="431" t="str">
        <f xml:space="preserve"> BE_M_ &amp; " " &amp; SML_mSML</f>
        <v>M mSML</v>
      </c>
      <c r="BD13" s="431" t="str">
        <f xml:space="preserve"> BE_F_ &amp; " " &amp; SML_mSML</f>
        <v>F mSML</v>
      </c>
      <c r="BE13" s="431"/>
      <c r="BF13" s="485" t="str">
        <f xml:space="preserve"> $AR13 &amp; "^" &amp; BF14</f>
        <v>λ_x^K_x</v>
      </c>
      <c r="BG13" s="486" t="str">
        <f xml:space="preserve"> BE_MF_</f>
        <v>MF</v>
      </c>
      <c r="BR13" s="487"/>
      <c r="BT13" s="391"/>
      <c r="BU13" s="488"/>
      <c r="BW13" s="431"/>
      <c r="DZ13" s="489"/>
      <c r="EI13" s="455"/>
      <c r="EJ13" s="455"/>
    </row>
    <row r="14" spans="1:272" s="385" customFormat="1" ht="14.25" customHeight="1" x14ac:dyDescent="0.2">
      <c r="A14" s="490" t="str">
        <f xml:space="preserve"> x</f>
        <v>x</v>
      </c>
      <c r="C14" s="388"/>
      <c r="D14" s="388"/>
      <c r="E14" s="388"/>
      <c r="F14" s="401" t="str">
        <f xml:space="preserve"> qx</f>
        <v>q_x</v>
      </c>
      <c r="G14" s="401" t="str">
        <f xml:space="preserve"> wx</f>
        <v>w_x</v>
      </c>
      <c r="H14" s="401" t="str">
        <f xml:space="preserve"> GrKx &amp; quer</f>
        <v>K_x^quer</v>
      </c>
      <c r="I14" s="401" t="str">
        <f xml:space="preserve"> GrKx</f>
        <v>K_x</v>
      </c>
      <c r="J14" s="401" t="str">
        <f xml:space="preserve"> klkx</f>
        <v>k_x</v>
      </c>
      <c r="K14" s="401" t="str">
        <f xml:space="preserve"> alphaZx</f>
        <v>α^Z_x</v>
      </c>
      <c r="L14" s="401" t="str">
        <f xml:space="preserve"> DeltaTilde</f>
        <v>Δ~^r_js</v>
      </c>
      <c r="M14" s="401" t="str">
        <f xml:space="preserve"> Delta</f>
        <v>Δ_js</v>
      </c>
      <c r="O14" s="431" t="str">
        <f xml:space="preserve"> xrel</f>
        <v>Berechnungsalter</v>
      </c>
      <c r="P14" s="431" t="str">
        <f xml:space="preserve"> sx</f>
        <v>s_x</v>
      </c>
      <c r="Q14" s="431" t="str">
        <f xml:space="preserve"> sx_1</f>
        <v>1 - s_x</v>
      </c>
      <c r="R14" s="431" t="str">
        <f xml:space="preserve"> lx</f>
        <v>l_x</v>
      </c>
      <c r="S14" s="431" t="str">
        <f xml:space="preserve"> v</f>
        <v>v</v>
      </c>
      <c r="T14" s="431" t="str">
        <f xml:space="preserve"> Dx</f>
        <v>D_x</v>
      </c>
      <c r="U14" s="431" t="str">
        <f xml:space="preserve"> Nx</f>
        <v>N_x</v>
      </c>
      <c r="V14" s="431" t="str">
        <f xml:space="preserve"> klax</f>
        <v>a_x</v>
      </c>
      <c r="W14" s="431" t="str">
        <f xml:space="preserve"> Ox</f>
        <v>O_x</v>
      </c>
      <c r="X14" s="431" t="str">
        <f xml:space="preserve"> Ux</f>
        <v>U_x</v>
      </c>
      <c r="Y14" s="431" t="str">
        <f xml:space="preserve"> GrAx</f>
        <v>GrA_x</v>
      </c>
      <c r="Z14" s="431" t="str">
        <f xml:space="preserve"> px</f>
        <v>p_x</v>
      </c>
      <c r="AA14" s="431" t="str">
        <f xml:space="preserve"> zx</f>
        <v>z_x</v>
      </c>
      <c r="AB14" s="431" t="str">
        <f xml:space="preserve"> br</f>
        <v>b^r_js</v>
      </c>
      <c r="AC14" s="431" t="str">
        <f xml:space="preserve"> klgamma</f>
        <v>γ_js</v>
      </c>
      <c r="AD14" s="431" t="str">
        <f xml:space="preserve"> pZx</f>
        <v>z°p_x</v>
      </c>
      <c r="AE14" s="431" t="str">
        <f xml:space="preserve"> klbZx</f>
        <v>b°Z_x</v>
      </c>
      <c r="AF14" s="574" t="str">
        <f xml:space="preserve"> Beitragsmonotonisierung</f>
        <v>Beitrags-Monotonisierung</v>
      </c>
      <c r="AG14" s="574"/>
      <c r="AH14" s="431" t="str">
        <f xml:space="preserve"> Meldung</f>
        <v>Meldung</v>
      </c>
      <c r="AI14" s="431" t="str">
        <f xml:space="preserve"> G</f>
        <v>G</v>
      </c>
      <c r="AJ14" s="431" t="str">
        <f xml:space="preserve"> GrBZx</f>
        <v>B°Z_x</v>
      </c>
      <c r="AK14" s="431" t="str">
        <f xml:space="preserve"> GrBTildeZx</f>
        <v>B~°Z_x</v>
      </c>
      <c r="AN14" s="431" t="str">
        <f xml:space="preserve"> SUBSTITUTE( GrV_x_xplusm, "x", AN12 )</f>
        <v>V_35;35+m</v>
      </c>
      <c r="AO14" s="431" t="str">
        <f xml:space="preserve"> SUBSTITUTE( GrVZ_x_xplusm, "x", AO12 )</f>
        <v>V^Z_35;35+m</v>
      </c>
      <c r="AR14" s="431" t="str">
        <f xml:space="preserve"> GrKx</f>
        <v>K_x</v>
      </c>
      <c r="AS14" s="431" t="str">
        <f xml:space="preserve"> qx</f>
        <v>q_x</v>
      </c>
      <c r="AT14" s="431" t="str">
        <f xml:space="preserve"> qx</f>
        <v>q_x</v>
      </c>
      <c r="AU14" s="431" t="str">
        <f xml:space="preserve"> qx</f>
        <v>q_x</v>
      </c>
      <c r="AV14" s="431" t="str">
        <f xml:space="preserve"> qx</f>
        <v>q_x</v>
      </c>
      <c r="AW14" s="486" t="str">
        <f xml:space="preserve"> qx</f>
        <v>q_x</v>
      </c>
      <c r="AX14" s="431" t="str">
        <f xml:space="preserve"> wx</f>
        <v>w_x</v>
      </c>
      <c r="AY14" s="431" t="str">
        <f xml:space="preserve"> wx</f>
        <v>w_x</v>
      </c>
      <c r="AZ14" s="431" t="str">
        <f xml:space="preserve"> wx</f>
        <v>w_x</v>
      </c>
      <c r="BA14" s="431" t="str">
        <f xml:space="preserve"> wx</f>
        <v>w_x</v>
      </c>
      <c r="BB14" s="486" t="str">
        <f xml:space="preserve"> wx</f>
        <v>w_x</v>
      </c>
      <c r="BC14" s="431" t="str">
        <f xml:space="preserve"> GrKx</f>
        <v>K_x</v>
      </c>
      <c r="BD14" s="431" t="str">
        <f xml:space="preserve"> GrKx</f>
        <v>K_x</v>
      </c>
      <c r="BE14" s="431" t="str">
        <f xml:space="preserve"> GrKx</f>
        <v>K_x</v>
      </c>
      <c r="BF14" s="431" t="str">
        <f xml:space="preserve"> GrKx</f>
        <v>K_x</v>
      </c>
      <c r="BG14" s="486" t="str">
        <f xml:space="preserve"> GrKx</f>
        <v>K_x</v>
      </c>
      <c r="BR14" s="491"/>
      <c r="BS14" s="491"/>
      <c r="BT14" s="491"/>
      <c r="BU14" s="491"/>
      <c r="BV14" s="491"/>
      <c r="BW14" s="575"/>
      <c r="BX14" s="492"/>
      <c r="CB14" s="359"/>
      <c r="CC14" s="359"/>
      <c r="CD14" s="359"/>
      <c r="CE14" s="359"/>
      <c r="CF14" s="359"/>
      <c r="CH14" s="359"/>
      <c r="CI14" s="359"/>
      <c r="CJ14" s="359"/>
      <c r="CK14" s="359"/>
      <c r="CL14" s="359"/>
      <c r="CN14" s="359"/>
      <c r="CO14" s="359"/>
      <c r="CP14" s="359"/>
      <c r="CQ14" s="359"/>
      <c r="CR14" s="359"/>
      <c r="DX14" s="323"/>
      <c r="EI14" s="415"/>
      <c r="EJ14" s="415"/>
      <c r="EK14" s="359"/>
      <c r="EL14" s="415"/>
      <c r="ES14" s="431"/>
      <c r="ET14" s="431"/>
      <c r="EU14" s="431"/>
      <c r="EY14" s="431"/>
      <c r="EZ14" s="431"/>
      <c r="FL14" s="493" t="str">
        <f xml:space="preserve"> Y14</f>
        <v>GrA_x</v>
      </c>
      <c r="FM14" s="493" t="str">
        <f xml:space="preserve"> V14</f>
        <v>a_x</v>
      </c>
    </row>
    <row r="15" spans="1:272" s="494" customFormat="1" ht="30.6" x14ac:dyDescent="0.2">
      <c r="A15" s="394" t="str">
        <f xml:space="preserve"> INDEX( Auswahl_Geschl_, $D$1 )</f>
        <v>MF</v>
      </c>
      <c r="C15" s="495"/>
      <c r="D15" s="495"/>
      <c r="E15" s="495"/>
      <c r="F15" s="461" t="str">
        <f xml:space="preserve"> INDEX( Auswahl_qx, $D$1 )</f>
        <v>PKV 2017</v>
      </c>
      <c r="G15" s="461" t="str">
        <f xml:space="preserve"> INDEX( Auswahl_wx, $D$1 )</f>
        <v>Sto BaFin N 2015</v>
      </c>
      <c r="H15" s="461" t="str">
        <f xml:space="preserve"> INDEX( Auswahl_KS, $D$1 )</f>
        <v>Primo kompakt 2015</v>
      </c>
      <c r="I15" s="496" t="str">
        <f xml:space="preserve"> H15</f>
        <v>Primo kompakt 2015</v>
      </c>
      <c r="J15" s="461" t="str">
        <f xml:space="preserve"> I15</f>
        <v>Primo kompakt 2015</v>
      </c>
      <c r="K15" s="497">
        <f xml:space="preserve"> INDEX( Auswahl_alphaZMB, $D$1 )</f>
        <v>2</v>
      </c>
      <c r="L15" s="498">
        <f xml:space="preserve"> INDEX( Auswahl_DeltaTildejun, $D$1 )</f>
        <v>0</v>
      </c>
      <c r="M15" s="498">
        <f xml:space="preserve"> INDEX( Auswahl_Deltajun, $D$1 )</f>
        <v>8.6000000000000007E-2</v>
      </c>
      <c r="AH15" s="499" t="str">
        <f xml:space="preserve"> IF( AH17, iO, Achtung )</f>
        <v>i.O.</v>
      </c>
      <c r="AR15" s="500" t="str">
        <f xml:space="preserve"> INDEX( Auswahl_KS, $D$1 )</f>
        <v>Primo kompakt 2015</v>
      </c>
      <c r="AS15" s="500" t="str">
        <f xml:space="preserve"> INDEX( Auswahl_qx, $D$1 )</f>
        <v>PKV 2017</v>
      </c>
      <c r="AT15" s="500" t="str">
        <f xml:space="preserve"> INDEX( Auswahl_qx, $D$1 )</f>
        <v>PKV 2017</v>
      </c>
      <c r="AU15" s="500" t="str">
        <f xml:space="preserve"> Geschl</f>
        <v>Geschlecht</v>
      </c>
      <c r="AV15" s="501" t="str">
        <f xml:space="preserve"> AV13</f>
        <v>λ_x^q_x</v>
      </c>
      <c r="AW15" s="502" t="str">
        <f xml:space="preserve"> AS15</f>
        <v>PKV 2017</v>
      </c>
      <c r="AX15" s="500" t="str">
        <f xml:space="preserve"> INDEX( Auswahl_wx, $D$1 )</f>
        <v>Sto BaFin N 2015</v>
      </c>
      <c r="AY15" s="500" t="str">
        <f xml:space="preserve"> INDEX( Auswahl_wx, $D$1 )</f>
        <v>Sto BaFin N 2015</v>
      </c>
      <c r="AZ15" s="500" t="str">
        <f xml:space="preserve"> Geschl</f>
        <v>Geschlecht</v>
      </c>
      <c r="BA15" s="501" t="str">
        <f xml:space="preserve"> BA13</f>
        <v>λ_x^w_x</v>
      </c>
      <c r="BB15" s="502" t="str">
        <f xml:space="preserve"> AX15</f>
        <v>Sto BaFin N 2015</v>
      </c>
      <c r="BC15" s="500" t="str">
        <f xml:space="preserve"> INDEX( Auswahl_KS, $D$1 )</f>
        <v>Primo kompakt 2015</v>
      </c>
      <c r="BD15" s="500" t="str">
        <f xml:space="preserve"> INDEX( Auswahl_KS, $D$1 )</f>
        <v>Primo kompakt 2015</v>
      </c>
      <c r="BE15" s="500" t="str">
        <f xml:space="preserve"> Geschl</f>
        <v>Geschlecht</v>
      </c>
      <c r="BF15" s="501" t="str">
        <f xml:space="preserve"> BF13</f>
        <v>λ_x^K_x</v>
      </c>
      <c r="BG15" s="502" t="str">
        <f xml:space="preserve"> BC15</f>
        <v>Primo kompakt 2015</v>
      </c>
      <c r="BR15" s="503"/>
      <c r="BS15" s="503"/>
      <c r="BT15" s="503"/>
      <c r="BU15" s="503"/>
      <c r="BV15" s="503"/>
      <c r="BW15" s="575"/>
      <c r="BX15" s="503"/>
      <c r="CB15" s="431"/>
      <c r="CC15" s="431"/>
      <c r="CD15" s="431"/>
      <c r="CE15" s="431"/>
      <c r="CF15" s="431"/>
      <c r="CH15" s="431"/>
      <c r="CI15" s="431"/>
      <c r="CJ15" s="431"/>
      <c r="CK15" s="431"/>
      <c r="CL15" s="431"/>
      <c r="CN15" s="431"/>
      <c r="CO15" s="431"/>
      <c r="CP15" s="431"/>
      <c r="CQ15" s="431"/>
      <c r="CR15" s="431"/>
      <c r="DO15" s="385"/>
      <c r="DP15" s="323"/>
      <c r="DQ15" s="385"/>
      <c r="DY15" s="385"/>
      <c r="DZ15" s="489"/>
      <c r="ES15" s="500"/>
      <c r="ET15" s="500"/>
      <c r="EU15" s="500"/>
      <c r="EY15" s="500"/>
      <c r="EZ15" s="500"/>
      <c r="FO15" s="504" t="str">
        <f xml:space="preserve"> AD14</f>
        <v>z°p_x</v>
      </c>
      <c r="FP15" s="505">
        <f t="shared" ref="FP15:GU15" si="10" xml:space="preserve"> INDEX( $AD$20:$AD$120, MATCH( FP18, $A$20:$A$120, 0 ) )</f>
        <v>1.2003999999999999</v>
      </c>
      <c r="FQ15" s="505">
        <f t="shared" si="10"/>
        <v>1.2408999999999999</v>
      </c>
      <c r="FR15" s="505">
        <f t="shared" si="10"/>
        <v>1.2815000000000001</v>
      </c>
      <c r="FS15" s="505">
        <f t="shared" si="10"/>
        <v>1.3221000000000001</v>
      </c>
      <c r="FT15" s="505">
        <f t="shared" si="10"/>
        <v>1.3641000000000001</v>
      </c>
      <c r="FU15" s="505">
        <f t="shared" si="10"/>
        <v>1.4073</v>
      </c>
      <c r="FV15" s="505">
        <f t="shared" si="10"/>
        <v>1.4500999999999999</v>
      </c>
      <c r="FW15" s="505">
        <f t="shared" si="10"/>
        <v>1.4932000000000001</v>
      </c>
      <c r="FX15" s="505">
        <f t="shared" si="10"/>
        <v>1.5378000000000001</v>
      </c>
      <c r="FY15" s="505">
        <f t="shared" si="10"/>
        <v>1.5842000000000001</v>
      </c>
      <c r="FZ15" s="505">
        <f t="shared" si="10"/>
        <v>1.6309</v>
      </c>
      <c r="GA15" s="505">
        <f t="shared" si="10"/>
        <v>1.6782999999999999</v>
      </c>
      <c r="GB15" s="505">
        <f t="shared" si="10"/>
        <v>1.7267999999999999</v>
      </c>
      <c r="GC15" s="505">
        <f t="shared" si="10"/>
        <v>1.7755000000000001</v>
      </c>
      <c r="GD15" s="505">
        <f t="shared" si="10"/>
        <v>1.8257000000000001</v>
      </c>
      <c r="GE15" s="505">
        <f t="shared" si="10"/>
        <v>1.8763000000000001</v>
      </c>
      <c r="GF15" s="505">
        <f t="shared" si="10"/>
        <v>1.9283999999999999</v>
      </c>
      <c r="GG15" s="505">
        <f t="shared" si="10"/>
        <v>1.9817</v>
      </c>
      <c r="GH15" s="505">
        <f t="shared" si="10"/>
        <v>2.0365000000000002</v>
      </c>
      <c r="GI15" s="505">
        <f t="shared" si="10"/>
        <v>2.0929000000000002</v>
      </c>
      <c r="GJ15" s="505">
        <f t="shared" si="10"/>
        <v>2.1509999999999998</v>
      </c>
      <c r="GK15" s="505">
        <f t="shared" si="10"/>
        <v>2.2113</v>
      </c>
      <c r="GL15" s="505">
        <f t="shared" si="10"/>
        <v>2.2738</v>
      </c>
      <c r="GM15" s="505">
        <f t="shared" si="10"/>
        <v>2.3386</v>
      </c>
      <c r="GN15" s="505">
        <f t="shared" si="10"/>
        <v>2.4060000000000001</v>
      </c>
      <c r="GO15" s="505">
        <f t="shared" si="10"/>
        <v>2.4754999999999998</v>
      </c>
      <c r="GP15" s="505">
        <f t="shared" si="10"/>
        <v>2.5474000000000001</v>
      </c>
      <c r="GQ15" s="505">
        <f t="shared" si="10"/>
        <v>2.6215000000000002</v>
      </c>
      <c r="GR15" s="505">
        <f t="shared" si="10"/>
        <v>2.6976</v>
      </c>
      <c r="GS15" s="505">
        <f t="shared" si="10"/>
        <v>2.7755999999999998</v>
      </c>
      <c r="GT15" s="505">
        <f t="shared" si="10"/>
        <v>2.8552</v>
      </c>
      <c r="GU15" s="505">
        <f t="shared" si="10"/>
        <v>2.9367000000000001</v>
      </c>
      <c r="GV15" s="505">
        <f t="shared" ref="GV15:IA15" si="11" xml:space="preserve"> INDEX( $AD$20:$AD$120, MATCH( GV18, $A$20:$A$120, 0 ) )</f>
        <v>3.0192999999999999</v>
      </c>
      <c r="GW15" s="505">
        <f t="shared" si="11"/>
        <v>3.1034000000000002</v>
      </c>
      <c r="GX15" s="505">
        <f t="shared" si="11"/>
        <v>3.1884000000000001</v>
      </c>
      <c r="GY15" s="505">
        <f t="shared" si="11"/>
        <v>3.2743000000000002</v>
      </c>
      <c r="GZ15" s="505">
        <f t="shared" si="11"/>
        <v>3.3612000000000002</v>
      </c>
      <c r="HA15" s="505">
        <f t="shared" si="11"/>
        <v>3.4487999999999999</v>
      </c>
      <c r="HB15" s="505">
        <f t="shared" si="11"/>
        <v>3.5377000000000001</v>
      </c>
      <c r="HC15" s="505">
        <f t="shared" si="11"/>
        <v>3.6284999999999998</v>
      </c>
      <c r="HD15" s="505">
        <f t="shared" si="11"/>
        <v>3.7206000000000001</v>
      </c>
      <c r="HE15" s="505">
        <f t="shared" si="11"/>
        <v>3.8136000000000001</v>
      </c>
      <c r="HF15" s="505">
        <f t="shared" si="11"/>
        <v>3.9077999999999999</v>
      </c>
      <c r="HG15" s="505">
        <f t="shared" si="11"/>
        <v>4.0026999999999999</v>
      </c>
      <c r="HH15" s="505">
        <f t="shared" si="11"/>
        <v>4.0986000000000002</v>
      </c>
      <c r="HI15" s="505">
        <f t="shared" si="11"/>
        <v>4.1936</v>
      </c>
      <c r="HJ15" s="505">
        <f t="shared" si="11"/>
        <v>4.2893999999999997</v>
      </c>
      <c r="HK15" s="505">
        <f t="shared" si="11"/>
        <v>4.3845999999999998</v>
      </c>
      <c r="HL15" s="505">
        <f t="shared" si="11"/>
        <v>4.4790999999999999</v>
      </c>
      <c r="HM15" s="505">
        <f t="shared" si="11"/>
        <v>4.5731999999999999</v>
      </c>
      <c r="HN15" s="505">
        <f t="shared" si="11"/>
        <v>4.6506999999999996</v>
      </c>
      <c r="HO15" s="505">
        <f t="shared" si="11"/>
        <v>4.7257999999999996</v>
      </c>
      <c r="HP15" s="505">
        <f t="shared" si="11"/>
        <v>4.7976999999999999</v>
      </c>
      <c r="HQ15" s="505">
        <f t="shared" si="11"/>
        <v>4.8658000000000001</v>
      </c>
      <c r="HR15" s="505">
        <f t="shared" si="11"/>
        <v>4.9480000000000004</v>
      </c>
      <c r="HS15" s="505">
        <f t="shared" si="11"/>
        <v>5.0270000000000001</v>
      </c>
      <c r="HT15" s="505">
        <f t="shared" si="11"/>
        <v>5.1022999999999996</v>
      </c>
      <c r="HU15" s="505">
        <f t="shared" si="11"/>
        <v>5.1715</v>
      </c>
      <c r="HV15" s="505">
        <f t="shared" si="11"/>
        <v>5.2351999999999999</v>
      </c>
      <c r="HW15" s="505">
        <f t="shared" si="11"/>
        <v>5.2930999999999999</v>
      </c>
      <c r="HX15" s="505">
        <f t="shared" si="11"/>
        <v>5.3437999999999999</v>
      </c>
      <c r="HY15" s="505">
        <f t="shared" si="11"/>
        <v>5.3883999999999999</v>
      </c>
      <c r="HZ15" s="505">
        <f t="shared" si="11"/>
        <v>5.4246999999999996</v>
      </c>
      <c r="IA15" s="505">
        <f t="shared" si="11"/>
        <v>5.4539</v>
      </c>
      <c r="IB15" s="505">
        <f t="shared" ref="IB15:JL15" si="12" xml:space="preserve"> INDEX( $AD$20:$AD$120, MATCH( IB18, $A$20:$A$120, 0 ) )</f>
        <v>5.4756999999999998</v>
      </c>
      <c r="IC15" s="505">
        <f t="shared" si="12"/>
        <v>5.4901999999999997</v>
      </c>
      <c r="ID15" s="505">
        <f t="shared" si="12"/>
        <v>5.4997999999999996</v>
      </c>
      <c r="IE15" s="505">
        <f t="shared" si="12"/>
        <v>5.5065</v>
      </c>
      <c r="IF15" s="505">
        <f t="shared" si="12"/>
        <v>5.5067000000000004</v>
      </c>
      <c r="IG15" s="505">
        <f t="shared" si="12"/>
        <v>5.5071000000000003</v>
      </c>
      <c r="IH15" s="505">
        <f t="shared" si="12"/>
        <v>5.5075000000000003</v>
      </c>
      <c r="II15" s="505">
        <f t="shared" si="12"/>
        <v>5.5080999999999998</v>
      </c>
      <c r="IJ15" s="505">
        <f t="shared" si="12"/>
        <v>5.5088999999999997</v>
      </c>
      <c r="IK15" s="505">
        <f t="shared" si="12"/>
        <v>5.51</v>
      </c>
      <c r="IL15" s="505">
        <f t="shared" si="12"/>
        <v>5.5114999999999998</v>
      </c>
      <c r="IM15" s="505">
        <f t="shared" si="12"/>
        <v>5.5136000000000003</v>
      </c>
      <c r="IN15" s="505">
        <f t="shared" si="12"/>
        <v>5.5164</v>
      </c>
      <c r="IO15" s="505">
        <f t="shared" si="12"/>
        <v>5.5205000000000002</v>
      </c>
      <c r="IP15" s="505">
        <f t="shared" si="12"/>
        <v>5.5208000000000004</v>
      </c>
      <c r="IQ15" s="505">
        <f t="shared" si="12"/>
        <v>5.5210999999999997</v>
      </c>
      <c r="IR15" s="505">
        <f t="shared" si="12"/>
        <v>5.5217000000000001</v>
      </c>
      <c r="IS15" s="505">
        <f t="shared" si="12"/>
        <v>5.5223000000000004</v>
      </c>
      <c r="IT15" s="505">
        <f t="shared" si="12"/>
        <v>5.5232999999999999</v>
      </c>
      <c r="IU15" s="505">
        <f t="shared" si="12"/>
        <v>5.5248999999999997</v>
      </c>
      <c r="IV15" s="505">
        <f t="shared" si="12"/>
        <v>5.5271999999999997</v>
      </c>
      <c r="IW15" s="505">
        <f t="shared" si="12"/>
        <v>5.5308999999999999</v>
      </c>
      <c r="IX15" s="505">
        <f t="shared" si="12"/>
        <v>5.5366999999999997</v>
      </c>
      <c r="IY15" s="505">
        <f t="shared" si="12"/>
        <v>5.5467000000000004</v>
      </c>
      <c r="IZ15" s="505">
        <f t="shared" si="12"/>
        <v>5.5586000000000002</v>
      </c>
      <c r="JA15" s="505">
        <f t="shared" si="12"/>
        <v>5.5696000000000003</v>
      </c>
      <c r="JB15" s="505">
        <f t="shared" si="12"/>
        <v>5.5799000000000003</v>
      </c>
      <c r="JC15" s="505" t="str">
        <f t="shared" si="12"/>
        <v>.</v>
      </c>
      <c r="JD15" s="505" t="str">
        <f t="shared" si="12"/>
        <v>.</v>
      </c>
      <c r="JE15" s="505" t="str">
        <f t="shared" si="12"/>
        <v>.</v>
      </c>
      <c r="JF15" s="505" t="str">
        <f t="shared" si="12"/>
        <v>.</v>
      </c>
      <c r="JG15" s="505" t="str">
        <f t="shared" si="12"/>
        <v>.</v>
      </c>
      <c r="JH15" s="505" t="str">
        <f t="shared" si="12"/>
        <v>.</v>
      </c>
      <c r="JI15" s="505" t="str">
        <f t="shared" si="12"/>
        <v>.</v>
      </c>
      <c r="JJ15" s="505" t="str">
        <f t="shared" si="12"/>
        <v>.</v>
      </c>
      <c r="JK15" s="505" t="str">
        <f t="shared" si="12"/>
        <v>.</v>
      </c>
      <c r="JL15" s="505" t="str">
        <f t="shared" si="12"/>
        <v>.</v>
      </c>
    </row>
    <row r="16" spans="1:272" s="385" customFormat="1" ht="10.199999999999999" x14ac:dyDescent="0.25">
      <c r="A16" s="506"/>
      <c r="B16" s="506"/>
      <c r="C16" s="507"/>
      <c r="D16" s="507"/>
      <c r="E16" s="507"/>
      <c r="F16" s="508" t="e">
        <f xml:space="preserve"> MATCH( F15 &amp; " # " &amp; $A15, qx!15:15, 0 )</f>
        <v>#N/A</v>
      </c>
      <c r="G16" s="508" t="e">
        <f xml:space="preserve"> MATCH( G15 &amp; " # " &amp; $A15, wx!15:15, 0 )</f>
        <v>#N/A</v>
      </c>
      <c r="H16" s="509" t="e">
        <f xml:space="preserve"> MATCH( TRIM( H15 &amp; " # " &amp; $A15 &amp; " " &amp; D9 ), Kx!15:15, 0 )</f>
        <v>#N/A</v>
      </c>
      <c r="I16" s="510"/>
      <c r="J16" s="510"/>
      <c r="K16" s="497">
        <f xml:space="preserve"> INDEX( Auswahl_alphaZAbstufung, $D$1 )</f>
        <v>0.5</v>
      </c>
      <c r="L16" s="498">
        <f xml:space="preserve"> INDEX( Auswahl_DeltaTildesen, $D$1 )</f>
        <v>0</v>
      </c>
      <c r="M16" s="498">
        <f xml:space="preserve"> INDEX( Auswahl_Deltasen, $D$1 )</f>
        <v>8.6000000000000007E-2</v>
      </c>
      <c r="AB16" s="428">
        <f xml:space="preserve"> MATCH( AB12, $A$20:$A$120, 0 )</f>
        <v>21</v>
      </c>
      <c r="AR16" s="387">
        <f xml:space="preserve"> MATCH( AR15 &amp; " # " &amp; AR13, Kx!15:15, 0 )</f>
        <v>140</v>
      </c>
      <c r="AS16" s="387">
        <f xml:space="preserve"> MATCH( AS15 &amp; " # " &amp; AS13, qx!15:15, 0 )</f>
        <v>20</v>
      </c>
      <c r="AT16" s="387">
        <f xml:space="preserve"> MATCH( AT15 &amp; " # " &amp; AT13, qx!15:15, 0 )</f>
        <v>21</v>
      </c>
      <c r="AU16" s="387"/>
      <c r="AV16" s="387"/>
      <c r="AW16" s="387"/>
      <c r="AX16" s="387">
        <f xml:space="preserve"> MATCH( AX15 &amp; " # " &amp; AX13, wx!15:15, 0 )</f>
        <v>16</v>
      </c>
      <c r="AY16" s="387">
        <f xml:space="preserve"> MATCH( AY15 &amp; " # " &amp; AY13, wx!15:15, 0 )</f>
        <v>17</v>
      </c>
      <c r="AZ16" s="387"/>
      <c r="BA16" s="387"/>
      <c r="BB16" s="387"/>
      <c r="BC16" s="387">
        <f xml:space="preserve"> MATCH( BC15 &amp; " # " &amp; BC13, Kx!15:15, 0 )</f>
        <v>134</v>
      </c>
      <c r="BD16" s="387">
        <f xml:space="preserve"> MATCH( BD15 &amp; " # " &amp; BD13, Kx!15:15, 0 )</f>
        <v>135</v>
      </c>
      <c r="BE16" s="387"/>
      <c r="BF16" s="387"/>
      <c r="BG16" s="387"/>
      <c r="BR16" s="487"/>
      <c r="BT16" s="511"/>
      <c r="BU16" s="488"/>
      <c r="ES16" s="512"/>
      <c r="ET16" s="512"/>
      <c r="EU16" s="512"/>
      <c r="EY16" s="512"/>
      <c r="EZ16" s="512"/>
      <c r="FK16" s="494"/>
      <c r="FL16" s="494"/>
      <c r="FM16" s="494"/>
    </row>
    <row r="17" spans="1:272" s="385" customFormat="1" ht="10.199999999999999" x14ac:dyDescent="0.25">
      <c r="A17" s="513" t="str">
        <f xml:space="preserve"> Basis!A17</f>
        <v>Rd'Stellen</v>
      </c>
      <c r="B17" s="514" t="b">
        <f xml:space="preserve"> INDEX( Auswahl_Runden, $D$1 )</f>
        <v>1</v>
      </c>
      <c r="C17" s="515"/>
      <c r="D17" s="515"/>
      <c r="E17" s="515"/>
      <c r="F17" s="390">
        <f xml:space="preserve"> IF( $B$17, qx_Rd, nix_Rd )</f>
        <v>4</v>
      </c>
      <c r="G17" s="390">
        <f xml:space="preserve"> IF( $B$17, wx_Rd, nix_Rd )</f>
        <v>4</v>
      </c>
      <c r="H17" s="390">
        <f xml:space="preserve"> IF( $B$17, GrKx_Rd, nix_Rd )</f>
        <v>2</v>
      </c>
      <c r="I17" s="516"/>
      <c r="J17" s="390">
        <f xml:space="preserve"> IF( $B$17, klkx_rd, nix_Rd )</f>
        <v>3</v>
      </c>
      <c r="K17" s="390">
        <f xml:space="preserve"> IF( $B$17, alphaZx_Rd, nix_Rd )</f>
        <v>1</v>
      </c>
      <c r="L17" s="390">
        <f xml:space="preserve"> IF( $B$17, DeltaTilde_Rd, nix_Rd )</f>
        <v>4</v>
      </c>
      <c r="M17" s="390">
        <f xml:space="preserve"> IF( $B$17, Delta_Rd, nix_Rd )</f>
        <v>4</v>
      </c>
      <c r="O17" s="516"/>
      <c r="P17" s="390">
        <f xml:space="preserve"> IF( $B$17, sx_Rd, nix_Rd )</f>
        <v>4</v>
      </c>
      <c r="Q17" s="390">
        <f xml:space="preserve"> IF( $B$17, sx_1_Rd, nix_Rd )</f>
        <v>4</v>
      </c>
      <c r="R17" s="390">
        <f xml:space="preserve"> IF( $B$17, lx_Rd, nix_Rd )</f>
        <v>0</v>
      </c>
      <c r="S17" s="390">
        <f xml:space="preserve"> IF( $B$17, v_Rd, nix_Rd )</f>
        <v>9</v>
      </c>
      <c r="T17" s="390">
        <f xml:space="preserve"> IF( $B$17, Dx_Rd, nix_Rd )</f>
        <v>2</v>
      </c>
      <c r="U17" s="390">
        <f xml:space="preserve"> IF( $B$17, Nx_Rd, nix_Rd )</f>
        <v>2</v>
      </c>
      <c r="V17" s="390">
        <f xml:space="preserve"> IF( $B$17, klax_Rd, nix_Rd )</f>
        <v>4</v>
      </c>
      <c r="W17" s="390">
        <f xml:space="preserve"> IF( $B$17, Ox_Rd, nix_Rd )</f>
        <v>2</v>
      </c>
      <c r="X17" s="390">
        <f xml:space="preserve"> IF( $B$17, Ux_Rd, nix_Rd )</f>
        <v>2</v>
      </c>
      <c r="Y17" s="390">
        <f xml:space="preserve"> IF( $B$17, GrAx_Rd, nix_Rd )</f>
        <v>4</v>
      </c>
      <c r="Z17" s="390">
        <f xml:space="preserve"> IF( $B$17, px_Rd, nix_Rd )</f>
        <v>4</v>
      </c>
      <c r="AA17" s="390">
        <f xml:space="preserve"> IF( $B$17, zx_Rd, nix_Rd )</f>
        <v>4</v>
      </c>
      <c r="AB17" s="390">
        <f xml:space="preserve"> IF( $B$17, br_Rd, nix_Rd )</f>
        <v>4</v>
      </c>
      <c r="AC17" s="390">
        <f xml:space="preserve"> IF( $B$17, klgamma_Rd, nix_Rd )</f>
        <v>4</v>
      </c>
      <c r="AD17" s="390">
        <f xml:space="preserve"> IF( $B$17, pZx_Rd, nix_Rd )</f>
        <v>4</v>
      </c>
      <c r="AE17" s="390">
        <f xml:space="preserve"> IF( $B$17, klbZx_Rd, nix_Rd )</f>
        <v>4</v>
      </c>
      <c r="AF17" s="516"/>
      <c r="AG17" s="517">
        <f xml:space="preserve"> COUNTIF( AG20:AG120, Setzung )</f>
        <v>0</v>
      </c>
      <c r="AH17" s="499" t="b">
        <f xml:space="preserve">   COUNTIF( AH20:AH120, SetzungZillmerung ) = 0</f>
        <v>1</v>
      </c>
      <c r="AI17" s="516"/>
      <c r="AJ17" s="390">
        <f xml:space="preserve"> IF( $B$17, GrBZx_Rd, nix_Rd )</f>
        <v>2</v>
      </c>
      <c r="AK17" s="390">
        <f xml:space="preserve"> IF( $B$17, GrBTildeZx_Rd, nix_Rd )</f>
        <v>2</v>
      </c>
      <c r="AN17" s="390">
        <f xml:space="preserve"> IF( $B$17, GrV_x_xplusm_Rd, nix_Rd )</f>
        <v>2</v>
      </c>
      <c r="AO17" s="390">
        <f xml:space="preserve"> IF( $B$17, GrVZ_x_xplusm_Rd, nix_Rd )</f>
        <v>2</v>
      </c>
      <c r="AR17" s="518">
        <f xml:space="preserve"> IF( $B$17, lambdax_Rd, nix_Rd )</f>
        <v>4</v>
      </c>
      <c r="AS17" s="518">
        <f xml:space="preserve"> IF( $B$17, qx_Rd, nix_Rd )</f>
        <v>4</v>
      </c>
      <c r="AT17" s="518">
        <f xml:space="preserve"> IF( $B$17, qx_Rd, nix_Rd )</f>
        <v>4</v>
      </c>
      <c r="AU17" s="519"/>
      <c r="AV17" s="518">
        <f xml:space="preserve"> IF( $B$17, lambdax_Rd, nix_Rd )</f>
        <v>4</v>
      </c>
      <c r="AW17" s="518">
        <f xml:space="preserve"> IF( $B$17, qx_Rd, nix_Rd )</f>
        <v>4</v>
      </c>
      <c r="AX17" s="518">
        <f xml:space="preserve"> IF( $B$17, wx_Rd, nix_Rd )</f>
        <v>4</v>
      </c>
      <c r="AY17" s="518">
        <f xml:space="preserve"> IF( $B$17, wx_Rd, nix_Rd )</f>
        <v>4</v>
      </c>
      <c r="AZ17" s="519"/>
      <c r="BA17" s="518">
        <f xml:space="preserve"> IF( $B$17, lambdax_Rd, nix_Rd )</f>
        <v>4</v>
      </c>
      <c r="BB17" s="518">
        <f xml:space="preserve"> IF( $B$17, wx_Rd, nix_Rd )</f>
        <v>4</v>
      </c>
      <c r="BC17" s="518">
        <f xml:space="preserve"> IF( $B$17, GrKx_Rd, nix_Rd )</f>
        <v>2</v>
      </c>
      <c r="BD17" s="518">
        <f xml:space="preserve"> IF( $B$17, GrKx_Rd, nix_Rd )</f>
        <v>2</v>
      </c>
      <c r="BE17" s="519"/>
      <c r="BF17" s="518">
        <f xml:space="preserve"> IF( $B$17, lambdax_Rd, nix_Rd )</f>
        <v>4</v>
      </c>
      <c r="BG17" s="518">
        <f xml:space="preserve"> IF( $B$17, GrKx_Rd, nix_Rd )</f>
        <v>2</v>
      </c>
      <c r="BR17" s="519"/>
      <c r="BS17" s="519"/>
      <c r="BT17" s="518"/>
      <c r="BU17" s="519"/>
      <c r="BV17" s="518"/>
      <c r="BW17" s="519"/>
      <c r="BX17" s="519"/>
      <c r="CB17" s="518"/>
      <c r="CC17" s="518"/>
      <c r="CD17" s="518"/>
      <c r="CE17" s="519"/>
      <c r="CF17" s="519"/>
      <c r="CH17" s="519"/>
      <c r="CI17" s="518"/>
      <c r="CJ17" s="518"/>
      <c r="CK17" s="518"/>
      <c r="CL17" s="519"/>
      <c r="CN17" s="519"/>
      <c r="CO17" s="518"/>
      <c r="CP17" s="518"/>
      <c r="CQ17" s="518"/>
      <c r="CR17" s="519"/>
      <c r="EI17" s="432"/>
      <c r="EJ17" s="432"/>
      <c r="EK17" s="432"/>
      <c r="EL17" s="521"/>
      <c r="ES17" s="432"/>
      <c r="ET17" s="432"/>
      <c r="EU17" s="432"/>
      <c r="EV17" s="521"/>
      <c r="EY17" s="432"/>
      <c r="EZ17" s="432"/>
      <c r="FA17" s="521"/>
      <c r="FD17" s="521"/>
      <c r="FE17" s="521"/>
      <c r="FF17" s="521"/>
      <c r="FK17" s="521"/>
      <c r="FL17" s="521"/>
      <c r="FM17" s="521"/>
      <c r="FO17" s="521"/>
      <c r="FP17" s="432">
        <f t="shared" ref="FP17:IA17" si="13" xml:space="preserve"> GrVZ_x_xplusm_Rd</f>
        <v>2</v>
      </c>
      <c r="FQ17" s="432">
        <f t="shared" si="13"/>
        <v>2</v>
      </c>
      <c r="FR17" s="432">
        <f t="shared" si="13"/>
        <v>2</v>
      </c>
      <c r="FS17" s="432">
        <f t="shared" si="13"/>
        <v>2</v>
      </c>
      <c r="FT17" s="432">
        <f t="shared" si="13"/>
        <v>2</v>
      </c>
      <c r="FU17" s="432">
        <f t="shared" si="13"/>
        <v>2</v>
      </c>
      <c r="FV17" s="432">
        <f t="shared" si="13"/>
        <v>2</v>
      </c>
      <c r="FW17" s="432">
        <f t="shared" si="13"/>
        <v>2</v>
      </c>
      <c r="FX17" s="432">
        <f t="shared" si="13"/>
        <v>2</v>
      </c>
      <c r="FY17" s="432">
        <f t="shared" si="13"/>
        <v>2</v>
      </c>
      <c r="FZ17" s="432">
        <f t="shared" si="13"/>
        <v>2</v>
      </c>
      <c r="GA17" s="432">
        <f t="shared" si="13"/>
        <v>2</v>
      </c>
      <c r="GB17" s="432">
        <f t="shared" si="13"/>
        <v>2</v>
      </c>
      <c r="GC17" s="432">
        <f t="shared" si="13"/>
        <v>2</v>
      </c>
      <c r="GD17" s="432">
        <f t="shared" si="13"/>
        <v>2</v>
      </c>
      <c r="GE17" s="432">
        <f t="shared" si="13"/>
        <v>2</v>
      </c>
      <c r="GF17" s="432">
        <f t="shared" si="13"/>
        <v>2</v>
      </c>
      <c r="GG17" s="432">
        <f t="shared" si="13"/>
        <v>2</v>
      </c>
      <c r="GH17" s="432">
        <f t="shared" si="13"/>
        <v>2</v>
      </c>
      <c r="GI17" s="432">
        <f t="shared" si="13"/>
        <v>2</v>
      </c>
      <c r="GJ17" s="432">
        <f t="shared" si="13"/>
        <v>2</v>
      </c>
      <c r="GK17" s="432">
        <f t="shared" si="13"/>
        <v>2</v>
      </c>
      <c r="GL17" s="432">
        <f t="shared" si="13"/>
        <v>2</v>
      </c>
      <c r="GM17" s="432">
        <f t="shared" si="13"/>
        <v>2</v>
      </c>
      <c r="GN17" s="432">
        <f t="shared" si="13"/>
        <v>2</v>
      </c>
      <c r="GO17" s="432">
        <f t="shared" si="13"/>
        <v>2</v>
      </c>
      <c r="GP17" s="432">
        <f t="shared" si="13"/>
        <v>2</v>
      </c>
      <c r="GQ17" s="432">
        <f t="shared" si="13"/>
        <v>2</v>
      </c>
      <c r="GR17" s="432">
        <f t="shared" si="13"/>
        <v>2</v>
      </c>
      <c r="GS17" s="432">
        <f t="shared" si="13"/>
        <v>2</v>
      </c>
      <c r="GT17" s="432">
        <f t="shared" si="13"/>
        <v>2</v>
      </c>
      <c r="GU17" s="432">
        <f t="shared" si="13"/>
        <v>2</v>
      </c>
      <c r="GV17" s="432">
        <f t="shared" si="13"/>
        <v>2</v>
      </c>
      <c r="GW17" s="432">
        <f t="shared" si="13"/>
        <v>2</v>
      </c>
      <c r="GX17" s="432">
        <f t="shared" si="13"/>
        <v>2</v>
      </c>
      <c r="GY17" s="432">
        <f t="shared" si="13"/>
        <v>2</v>
      </c>
      <c r="GZ17" s="432">
        <f t="shared" si="13"/>
        <v>2</v>
      </c>
      <c r="HA17" s="432">
        <f t="shared" si="13"/>
        <v>2</v>
      </c>
      <c r="HB17" s="432">
        <f t="shared" si="13"/>
        <v>2</v>
      </c>
      <c r="HC17" s="432">
        <f t="shared" si="13"/>
        <v>2</v>
      </c>
      <c r="HD17" s="432">
        <f t="shared" si="13"/>
        <v>2</v>
      </c>
      <c r="HE17" s="432">
        <f t="shared" si="13"/>
        <v>2</v>
      </c>
      <c r="HF17" s="432">
        <f t="shared" si="13"/>
        <v>2</v>
      </c>
      <c r="HG17" s="432">
        <f t="shared" si="13"/>
        <v>2</v>
      </c>
      <c r="HH17" s="432">
        <f t="shared" si="13"/>
        <v>2</v>
      </c>
      <c r="HI17" s="432">
        <f t="shared" si="13"/>
        <v>2</v>
      </c>
      <c r="HJ17" s="432">
        <f t="shared" si="13"/>
        <v>2</v>
      </c>
      <c r="HK17" s="432">
        <f t="shared" si="13"/>
        <v>2</v>
      </c>
      <c r="HL17" s="432">
        <f t="shared" si="13"/>
        <v>2</v>
      </c>
      <c r="HM17" s="432">
        <f t="shared" si="13"/>
        <v>2</v>
      </c>
      <c r="HN17" s="432">
        <f t="shared" si="13"/>
        <v>2</v>
      </c>
      <c r="HO17" s="432">
        <f t="shared" si="13"/>
        <v>2</v>
      </c>
      <c r="HP17" s="432">
        <f t="shared" si="13"/>
        <v>2</v>
      </c>
      <c r="HQ17" s="432">
        <f t="shared" si="13"/>
        <v>2</v>
      </c>
      <c r="HR17" s="432">
        <f t="shared" si="13"/>
        <v>2</v>
      </c>
      <c r="HS17" s="432">
        <f t="shared" si="13"/>
        <v>2</v>
      </c>
      <c r="HT17" s="432">
        <f t="shared" si="13"/>
        <v>2</v>
      </c>
      <c r="HU17" s="432">
        <f t="shared" si="13"/>
        <v>2</v>
      </c>
      <c r="HV17" s="432">
        <f t="shared" si="13"/>
        <v>2</v>
      </c>
      <c r="HW17" s="432">
        <f t="shared" si="13"/>
        <v>2</v>
      </c>
      <c r="HX17" s="432">
        <f t="shared" si="13"/>
        <v>2</v>
      </c>
      <c r="HY17" s="432">
        <f t="shared" si="13"/>
        <v>2</v>
      </c>
      <c r="HZ17" s="432">
        <f t="shared" si="13"/>
        <v>2</v>
      </c>
      <c r="IA17" s="432">
        <f t="shared" si="13"/>
        <v>2</v>
      </c>
      <c r="IB17" s="432">
        <f t="shared" ref="IB17:JL17" si="14" xml:space="preserve"> GrVZ_x_xplusm_Rd</f>
        <v>2</v>
      </c>
      <c r="IC17" s="432">
        <f t="shared" si="14"/>
        <v>2</v>
      </c>
      <c r="ID17" s="432">
        <f t="shared" si="14"/>
        <v>2</v>
      </c>
      <c r="IE17" s="432">
        <f t="shared" si="14"/>
        <v>2</v>
      </c>
      <c r="IF17" s="432">
        <f t="shared" si="14"/>
        <v>2</v>
      </c>
      <c r="IG17" s="432">
        <f t="shared" si="14"/>
        <v>2</v>
      </c>
      <c r="IH17" s="432">
        <f t="shared" si="14"/>
        <v>2</v>
      </c>
      <c r="II17" s="432">
        <f t="shared" si="14"/>
        <v>2</v>
      </c>
      <c r="IJ17" s="432">
        <f t="shared" si="14"/>
        <v>2</v>
      </c>
      <c r="IK17" s="432">
        <f t="shared" si="14"/>
        <v>2</v>
      </c>
      <c r="IL17" s="432">
        <f t="shared" si="14"/>
        <v>2</v>
      </c>
      <c r="IM17" s="432">
        <f t="shared" si="14"/>
        <v>2</v>
      </c>
      <c r="IN17" s="432">
        <f t="shared" si="14"/>
        <v>2</v>
      </c>
      <c r="IO17" s="432">
        <f t="shared" si="14"/>
        <v>2</v>
      </c>
      <c r="IP17" s="432">
        <f t="shared" si="14"/>
        <v>2</v>
      </c>
      <c r="IQ17" s="432">
        <f t="shared" si="14"/>
        <v>2</v>
      </c>
      <c r="IR17" s="432">
        <f t="shared" si="14"/>
        <v>2</v>
      </c>
      <c r="IS17" s="432">
        <f t="shared" si="14"/>
        <v>2</v>
      </c>
      <c r="IT17" s="432">
        <f t="shared" si="14"/>
        <v>2</v>
      </c>
      <c r="IU17" s="432">
        <f t="shared" si="14"/>
        <v>2</v>
      </c>
      <c r="IV17" s="432">
        <f t="shared" si="14"/>
        <v>2</v>
      </c>
      <c r="IW17" s="432">
        <f t="shared" si="14"/>
        <v>2</v>
      </c>
      <c r="IX17" s="432">
        <f t="shared" si="14"/>
        <v>2</v>
      </c>
      <c r="IY17" s="432">
        <f t="shared" si="14"/>
        <v>2</v>
      </c>
      <c r="IZ17" s="432">
        <f t="shared" si="14"/>
        <v>2</v>
      </c>
      <c r="JA17" s="432">
        <f t="shared" si="14"/>
        <v>2</v>
      </c>
      <c r="JB17" s="432">
        <f t="shared" si="14"/>
        <v>2</v>
      </c>
      <c r="JC17" s="432">
        <f t="shared" si="14"/>
        <v>2</v>
      </c>
      <c r="JD17" s="432">
        <f t="shared" si="14"/>
        <v>2</v>
      </c>
      <c r="JE17" s="432">
        <f t="shared" si="14"/>
        <v>2</v>
      </c>
      <c r="JF17" s="432">
        <f t="shared" si="14"/>
        <v>2</v>
      </c>
      <c r="JG17" s="432">
        <f t="shared" si="14"/>
        <v>2</v>
      </c>
      <c r="JH17" s="432">
        <f t="shared" si="14"/>
        <v>2</v>
      </c>
      <c r="JI17" s="432">
        <f t="shared" si="14"/>
        <v>2</v>
      </c>
      <c r="JJ17" s="432">
        <f t="shared" si="14"/>
        <v>2</v>
      </c>
      <c r="JK17" s="432">
        <f t="shared" si="14"/>
        <v>2</v>
      </c>
      <c r="JL17" s="432">
        <f t="shared" si="14"/>
        <v>2</v>
      </c>
    </row>
    <row r="18" spans="1:272" s="385" customFormat="1" ht="10.199999999999999" x14ac:dyDescent="0.2">
      <c r="C18" s="388"/>
      <c r="D18" s="388"/>
      <c r="E18" s="388"/>
      <c r="F18" s="460"/>
      <c r="G18" s="460"/>
      <c r="H18" s="460"/>
      <c r="I18" s="466" t="str">
        <f xml:space="preserve"> G</f>
        <v>G</v>
      </c>
      <c r="J18" s="466" t="str">
        <f xml:space="preserve"> G</f>
        <v>G</v>
      </c>
      <c r="K18" s="497">
        <f xml:space="preserve"> INDEX( Auswahl_alphaZGrenzalter, $D$1 )</f>
        <v>70</v>
      </c>
      <c r="L18" s="460"/>
      <c r="M18" s="460"/>
      <c r="AN18" s="431" t="str">
        <f xml:space="preserve"> G</f>
        <v>G</v>
      </c>
      <c r="AO18" s="431" t="str">
        <f xml:space="preserve"> G</f>
        <v>G</v>
      </c>
      <c r="AR18" s="522"/>
      <c r="AS18" s="522"/>
      <c r="AT18" s="522"/>
      <c r="AU18" s="522"/>
      <c r="AV18" s="523">
        <f xml:space="preserve"> SUM( INDEX( Auswahl_lambdaxVorsicht, $D$1 ) )</f>
        <v>0.5</v>
      </c>
      <c r="AW18" s="522"/>
      <c r="AX18" s="522"/>
      <c r="AY18" s="522"/>
      <c r="AZ18" s="522"/>
      <c r="BA18" s="523">
        <f xml:space="preserve"> SUM( INDEX( Auswahl_lambdaxVorsicht, $D$1 ) )</f>
        <v>0.5</v>
      </c>
      <c r="BB18" s="522"/>
      <c r="BC18" s="431" t="str">
        <f xml:space="preserve"> BE_M_</f>
        <v>M</v>
      </c>
      <c r="BD18" s="431" t="str">
        <f xml:space="preserve"> BE_F_</f>
        <v>F</v>
      </c>
      <c r="BE18" s="522"/>
      <c r="BF18" s="523">
        <f xml:space="preserve"> SUM( INDEX( Auswahl_lambdaxVorsicht, $D$1 ) )</f>
        <v>0.5</v>
      </c>
      <c r="BG18" s="522"/>
      <c r="BR18" s="487"/>
      <c r="BT18" s="431"/>
      <c r="BU18" s="488"/>
      <c r="CB18" s="524"/>
      <c r="CC18" s="524"/>
      <c r="CD18" s="522"/>
      <c r="CE18" s="522"/>
      <c r="CF18" s="522"/>
      <c r="CH18" s="397"/>
      <c r="CI18" s="397"/>
      <c r="CJ18" s="524"/>
      <c r="CK18" s="524"/>
      <c r="CL18" s="522"/>
      <c r="CN18" s="397"/>
      <c r="CO18" s="397"/>
      <c r="CP18" s="524"/>
      <c r="CQ18" s="524"/>
      <c r="CR18" s="522"/>
      <c r="EI18" s="397"/>
      <c r="EJ18" s="522"/>
      <c r="EK18" s="522"/>
      <c r="EL18" s="522"/>
      <c r="ES18" s="522"/>
      <c r="ET18" s="522"/>
      <c r="EU18" s="522"/>
      <c r="EV18" s="522"/>
      <c r="EY18" s="522"/>
      <c r="EZ18" s="522"/>
      <c r="FA18" s="522"/>
      <c r="FD18" s="522"/>
      <c r="FE18" s="522"/>
      <c r="FF18" s="522"/>
      <c r="FK18" s="522"/>
      <c r="FL18" s="522"/>
      <c r="FM18" s="522"/>
      <c r="FO18" s="401" t="str">
        <f xml:space="preserve"> G</f>
        <v>G</v>
      </c>
      <c r="FP18" s="525">
        <f xml:space="preserve"> FK20</f>
        <v>20</v>
      </c>
      <c r="FQ18" s="526">
        <f xml:space="preserve"> FP18 + 1</f>
        <v>21</v>
      </c>
      <c r="FR18" s="526">
        <f t="shared" ref="FR18:IC18" si="15" xml:space="preserve"> FQ18 + 1</f>
        <v>22</v>
      </c>
      <c r="FS18" s="526">
        <f t="shared" si="15"/>
        <v>23</v>
      </c>
      <c r="FT18" s="526">
        <f t="shared" si="15"/>
        <v>24</v>
      </c>
      <c r="FU18" s="526">
        <f t="shared" si="15"/>
        <v>25</v>
      </c>
      <c r="FV18" s="526">
        <f t="shared" si="15"/>
        <v>26</v>
      </c>
      <c r="FW18" s="526">
        <f t="shared" si="15"/>
        <v>27</v>
      </c>
      <c r="FX18" s="526">
        <f t="shared" si="15"/>
        <v>28</v>
      </c>
      <c r="FY18" s="526">
        <f t="shared" si="15"/>
        <v>29</v>
      </c>
      <c r="FZ18" s="526">
        <f t="shared" si="15"/>
        <v>30</v>
      </c>
      <c r="GA18" s="526">
        <f t="shared" si="15"/>
        <v>31</v>
      </c>
      <c r="GB18" s="526">
        <f t="shared" si="15"/>
        <v>32</v>
      </c>
      <c r="GC18" s="526">
        <f t="shared" si="15"/>
        <v>33</v>
      </c>
      <c r="GD18" s="526">
        <f t="shared" si="15"/>
        <v>34</v>
      </c>
      <c r="GE18" s="526">
        <f t="shared" si="15"/>
        <v>35</v>
      </c>
      <c r="GF18" s="526">
        <f t="shared" si="15"/>
        <v>36</v>
      </c>
      <c r="GG18" s="526">
        <f t="shared" si="15"/>
        <v>37</v>
      </c>
      <c r="GH18" s="526">
        <f t="shared" si="15"/>
        <v>38</v>
      </c>
      <c r="GI18" s="526">
        <f t="shared" si="15"/>
        <v>39</v>
      </c>
      <c r="GJ18" s="526">
        <f t="shared" si="15"/>
        <v>40</v>
      </c>
      <c r="GK18" s="526">
        <f t="shared" si="15"/>
        <v>41</v>
      </c>
      <c r="GL18" s="526">
        <f t="shared" si="15"/>
        <v>42</v>
      </c>
      <c r="GM18" s="526">
        <f t="shared" si="15"/>
        <v>43</v>
      </c>
      <c r="GN18" s="526">
        <f t="shared" si="15"/>
        <v>44</v>
      </c>
      <c r="GO18" s="526">
        <f t="shared" si="15"/>
        <v>45</v>
      </c>
      <c r="GP18" s="526">
        <f t="shared" si="15"/>
        <v>46</v>
      </c>
      <c r="GQ18" s="526">
        <f t="shared" si="15"/>
        <v>47</v>
      </c>
      <c r="GR18" s="526">
        <f t="shared" si="15"/>
        <v>48</v>
      </c>
      <c r="GS18" s="526">
        <f t="shared" si="15"/>
        <v>49</v>
      </c>
      <c r="GT18" s="526">
        <f t="shared" si="15"/>
        <v>50</v>
      </c>
      <c r="GU18" s="526">
        <f t="shared" si="15"/>
        <v>51</v>
      </c>
      <c r="GV18" s="526">
        <f t="shared" si="15"/>
        <v>52</v>
      </c>
      <c r="GW18" s="526">
        <f t="shared" si="15"/>
        <v>53</v>
      </c>
      <c r="GX18" s="526">
        <f t="shared" si="15"/>
        <v>54</v>
      </c>
      <c r="GY18" s="526">
        <f t="shared" si="15"/>
        <v>55</v>
      </c>
      <c r="GZ18" s="526">
        <f t="shared" si="15"/>
        <v>56</v>
      </c>
      <c r="HA18" s="526">
        <f t="shared" si="15"/>
        <v>57</v>
      </c>
      <c r="HB18" s="526">
        <f t="shared" si="15"/>
        <v>58</v>
      </c>
      <c r="HC18" s="526">
        <f t="shared" si="15"/>
        <v>59</v>
      </c>
      <c r="HD18" s="526">
        <f t="shared" si="15"/>
        <v>60</v>
      </c>
      <c r="HE18" s="526">
        <f t="shared" si="15"/>
        <v>61</v>
      </c>
      <c r="HF18" s="526">
        <f t="shared" si="15"/>
        <v>62</v>
      </c>
      <c r="HG18" s="526">
        <f t="shared" si="15"/>
        <v>63</v>
      </c>
      <c r="HH18" s="526">
        <f t="shared" si="15"/>
        <v>64</v>
      </c>
      <c r="HI18" s="526">
        <f t="shared" si="15"/>
        <v>65</v>
      </c>
      <c r="HJ18" s="526">
        <f t="shared" si="15"/>
        <v>66</v>
      </c>
      <c r="HK18" s="526">
        <f t="shared" si="15"/>
        <v>67</v>
      </c>
      <c r="HL18" s="526">
        <f t="shared" si="15"/>
        <v>68</v>
      </c>
      <c r="HM18" s="526">
        <f t="shared" si="15"/>
        <v>69</v>
      </c>
      <c r="HN18" s="526">
        <f t="shared" si="15"/>
        <v>70</v>
      </c>
      <c r="HO18" s="526">
        <f t="shared" si="15"/>
        <v>71</v>
      </c>
      <c r="HP18" s="526">
        <f t="shared" si="15"/>
        <v>72</v>
      </c>
      <c r="HQ18" s="526">
        <f t="shared" si="15"/>
        <v>73</v>
      </c>
      <c r="HR18" s="526">
        <f t="shared" si="15"/>
        <v>74</v>
      </c>
      <c r="HS18" s="526">
        <f t="shared" si="15"/>
        <v>75</v>
      </c>
      <c r="HT18" s="526">
        <f t="shared" si="15"/>
        <v>76</v>
      </c>
      <c r="HU18" s="526">
        <f t="shared" si="15"/>
        <v>77</v>
      </c>
      <c r="HV18" s="526">
        <f t="shared" si="15"/>
        <v>78</v>
      </c>
      <c r="HW18" s="526">
        <f t="shared" si="15"/>
        <v>79</v>
      </c>
      <c r="HX18" s="526">
        <f t="shared" si="15"/>
        <v>80</v>
      </c>
      <c r="HY18" s="526">
        <f t="shared" si="15"/>
        <v>81</v>
      </c>
      <c r="HZ18" s="526">
        <f t="shared" si="15"/>
        <v>82</v>
      </c>
      <c r="IA18" s="526">
        <f t="shared" si="15"/>
        <v>83</v>
      </c>
      <c r="IB18" s="526">
        <f t="shared" si="15"/>
        <v>84</v>
      </c>
      <c r="IC18" s="526">
        <f t="shared" si="15"/>
        <v>85</v>
      </c>
      <c r="ID18" s="526">
        <f t="shared" ref="ID18:JL18" si="16" xml:space="preserve"> IC18 + 1</f>
        <v>86</v>
      </c>
      <c r="IE18" s="526">
        <f t="shared" si="16"/>
        <v>87</v>
      </c>
      <c r="IF18" s="526">
        <f t="shared" si="16"/>
        <v>88</v>
      </c>
      <c r="IG18" s="526">
        <f t="shared" si="16"/>
        <v>89</v>
      </c>
      <c r="IH18" s="526">
        <f t="shared" si="16"/>
        <v>90</v>
      </c>
      <c r="II18" s="526">
        <f t="shared" si="16"/>
        <v>91</v>
      </c>
      <c r="IJ18" s="526">
        <f t="shared" si="16"/>
        <v>92</v>
      </c>
      <c r="IK18" s="526">
        <f t="shared" si="16"/>
        <v>93</v>
      </c>
      <c r="IL18" s="526">
        <f t="shared" si="16"/>
        <v>94</v>
      </c>
      <c r="IM18" s="526">
        <f t="shared" si="16"/>
        <v>95</v>
      </c>
      <c r="IN18" s="526">
        <f t="shared" si="16"/>
        <v>96</v>
      </c>
      <c r="IO18" s="526">
        <f t="shared" si="16"/>
        <v>97</v>
      </c>
      <c r="IP18" s="526">
        <f t="shared" si="16"/>
        <v>98</v>
      </c>
      <c r="IQ18" s="526">
        <f t="shared" si="16"/>
        <v>99</v>
      </c>
      <c r="IR18" s="526">
        <f t="shared" si="16"/>
        <v>100</v>
      </c>
      <c r="IS18" s="526">
        <f t="shared" si="16"/>
        <v>101</v>
      </c>
      <c r="IT18" s="526">
        <f t="shared" si="16"/>
        <v>102</v>
      </c>
      <c r="IU18" s="526">
        <f t="shared" si="16"/>
        <v>103</v>
      </c>
      <c r="IV18" s="526">
        <f t="shared" si="16"/>
        <v>104</v>
      </c>
      <c r="IW18" s="526">
        <f t="shared" si="16"/>
        <v>105</v>
      </c>
      <c r="IX18" s="526">
        <f t="shared" si="16"/>
        <v>106</v>
      </c>
      <c r="IY18" s="526">
        <f t="shared" si="16"/>
        <v>107</v>
      </c>
      <c r="IZ18" s="526">
        <f t="shared" si="16"/>
        <v>108</v>
      </c>
      <c r="JA18" s="526">
        <f t="shared" si="16"/>
        <v>109</v>
      </c>
      <c r="JB18" s="526">
        <f t="shared" si="16"/>
        <v>110</v>
      </c>
      <c r="JC18" s="526">
        <f t="shared" si="16"/>
        <v>111</v>
      </c>
      <c r="JD18" s="526">
        <f t="shared" si="16"/>
        <v>112</v>
      </c>
      <c r="JE18" s="526">
        <f t="shared" si="16"/>
        <v>113</v>
      </c>
      <c r="JF18" s="526">
        <f t="shared" si="16"/>
        <v>114</v>
      </c>
      <c r="JG18" s="526">
        <f t="shared" si="16"/>
        <v>115</v>
      </c>
      <c r="JH18" s="526">
        <f t="shared" si="16"/>
        <v>116</v>
      </c>
      <c r="JI18" s="526">
        <f t="shared" si="16"/>
        <v>117</v>
      </c>
      <c r="JJ18" s="526">
        <f t="shared" si="16"/>
        <v>118</v>
      </c>
      <c r="JK18" s="526">
        <f t="shared" si="16"/>
        <v>119</v>
      </c>
      <c r="JL18" s="526">
        <f t="shared" si="16"/>
        <v>120</v>
      </c>
    </row>
    <row r="19" spans="1:272" s="385" customFormat="1" ht="10.199999999999999" x14ac:dyDescent="0.2">
      <c r="A19" s="527" t="str">
        <f xml:space="preserve"> Basis!A19</f>
        <v>G</v>
      </c>
      <c r="C19" s="388"/>
      <c r="D19" s="388"/>
      <c r="E19" s="388"/>
      <c r="I19" s="436">
        <f xml:space="preserve"> IF(  I10,  INDEX( $I$20:$I$120, MATCH( I12, $A$20:$A$120, 0 ) ),  1  )</f>
        <v>2077.79</v>
      </c>
      <c r="J19" s="436">
        <f xml:space="preserve"> ROUND( I19 * ( 1 + J12 ), J$13 )</f>
        <v>2077.79</v>
      </c>
      <c r="K19" s="528"/>
      <c r="AN19" s="436">
        <f xml:space="preserve"> $J$19</f>
        <v>2077.79</v>
      </c>
      <c r="AO19" s="436">
        <f xml:space="preserve"> $J$19</f>
        <v>2077.79</v>
      </c>
      <c r="AR19" s="433" t="s">
        <v>97</v>
      </c>
      <c r="BR19" s="487"/>
      <c r="BT19" s="436"/>
      <c r="BU19" s="488"/>
      <c r="BW19" s="529"/>
      <c r="CB19" s="530"/>
      <c r="CC19" s="530"/>
      <c r="CH19" s="436"/>
      <c r="CI19" s="436"/>
      <c r="CJ19" s="530"/>
      <c r="CK19" s="530"/>
      <c r="CN19" s="436"/>
      <c r="CO19" s="436"/>
      <c r="CP19" s="530"/>
      <c r="CQ19" s="530"/>
      <c r="EI19" s="436"/>
      <c r="EU19" s="533"/>
      <c r="EZ19" s="533"/>
      <c r="FK19" s="385" t="s">
        <v>141</v>
      </c>
      <c r="FL19" s="493"/>
      <c r="FM19" s="493"/>
      <c r="FO19" s="436">
        <f xml:space="preserve"> $J$19</f>
        <v>2077.79</v>
      </c>
    </row>
    <row r="20" spans="1:272" ht="10.199999999999999" x14ac:dyDescent="0.2">
      <c r="A20" s="534">
        <f xml:space="preserve"> Basis!A20</f>
        <v>20</v>
      </c>
      <c r="B20" s="489"/>
      <c r="C20" s="535"/>
      <c r="D20" s="535"/>
      <c r="E20" s="535"/>
      <c r="F20" s="536">
        <f xml:space="preserve"> ROUND(    IF( $A$15=BE_MF_,   AW20,   INDEX( qx!20:20, F$16 ) ),    F$17    )</f>
        <v>2.9999999999999997E-4</v>
      </c>
      <c r="G20" s="536">
        <f xml:space="preserve"> ROUND(    IF( $A$15=BE_MF_,   BB20,   INDEX( wx!20:20, G$16 ) ),    G$17    )</f>
        <v>0.1709</v>
      </c>
      <c r="H20" s="537">
        <f xml:space="preserve"> ROUND(    IF( $A$15=BE_MF_,   BG20,   INDEX( Kx!20:20, H$16 ) ),    H$17    )</f>
        <v>1707.32</v>
      </c>
      <c r="I20" s="538">
        <f xml:space="preserve"> IF( $A20&gt;$H$12, MAX( H20, I19 ), H20 )</f>
        <v>1707.32</v>
      </c>
      <c r="J20" s="539">
        <f t="shared" ref="J20:J51" si="17" xml:space="preserve"> ROUND(  I20 / I$19,  J$17 )</f>
        <v>0.82199999999999995</v>
      </c>
      <c r="K20" s="540">
        <f xml:space="preserve"> ROUND(  IF( $A20&lt;K$18,  K$15,  MAX( 0, K19-K$16 )   ),  K$17   )</f>
        <v>2</v>
      </c>
      <c r="L20" s="541">
        <f t="shared" ref="L20:M39" si="18" xml:space="preserve"> ROUND(  IF( $A20&lt;L$12, L$15, L$16 ),  L$17  )</f>
        <v>0</v>
      </c>
      <c r="M20" s="541">
        <f t="shared" si="18"/>
        <v>8.5999999999999993E-2</v>
      </c>
      <c r="O20" s="542" t="b">
        <f xml:space="preserve"> AND( O$10&lt;=$A20, $A20&lt;=$O$12 )</f>
        <v>1</v>
      </c>
      <c r="P20" s="493">
        <f t="shared" ref="P20:P51" si="19" xml:space="preserve"> IF( $O20,   IF(  A20&gt;= $O$12, 1,  ROUND(  MIN( 1,  F20 + G20 ),  P$17  )  ), LEER )</f>
        <v>0.17119999999999999</v>
      </c>
      <c r="Q20" s="493">
        <f t="shared" ref="Q20:Q51" si="20" xml:space="preserve"> IF( $O20,    ROUND( 1 - P20,  Q$17  ),  LEER  )</f>
        <v>0.82879999999999998</v>
      </c>
      <c r="R20" s="543">
        <f t="shared" ref="R20:R51" si="21" xml:space="preserve"> IF(  NOT($O20),  LEER,  IF( $A20=R$10,  R$12,  ROUNDDOWN(  R19 * Q19,  R$17 )  )  )</f>
        <v>5000000</v>
      </c>
      <c r="S20" s="544">
        <f t="shared" ref="S20:S51" si="22" xml:space="preserve"> IF( $O20,    ROUND(  ( 1 / ( 1 + S$12 ) ), S$17 ),  LEER  )</f>
        <v>0.97560975599999999</v>
      </c>
      <c r="T20" s="423">
        <f t="shared" ref="T20:T51" si="23" xml:space="preserve"> IF( $O20,    ROUND( R20 * S20 ^ A20, T$17 ),  LEER  )</f>
        <v>3051354.71</v>
      </c>
      <c r="U20" s="423">
        <f xml:space="preserve"> IF( $O20,    ROUND(  SUM( T20:T$120), U$17 ),  LEER  )</f>
        <v>27756818.949999999</v>
      </c>
      <c r="V20" s="493">
        <f t="shared" ref="V20:V51" si="24" xml:space="preserve"> IF( $O20,    IF( T20= 0, 1,  ROUND(  U20 / T20, V$17 )   ),  LEER  )</f>
        <v>9.0966000000000005</v>
      </c>
      <c r="W20" s="493">
        <f t="shared" ref="W20:W51" si="25" xml:space="preserve"> IF( $O20,    ROUND( J20 * T20, W$17 ),  LEER  )</f>
        <v>2508213.5699999998</v>
      </c>
      <c r="X20" s="493">
        <f xml:space="preserve"> IF( $O20,    ROUND(  SUM( W20:W$120), X$17 ),  LEER  )</f>
        <v>32433322.710000001</v>
      </c>
      <c r="Y20" s="493">
        <f t="shared" ref="Y20:Y51" si="26" xml:space="preserve"> IF( $O20,    IF( T20= 0, J20,  ROUND(  X20 / T20, Y$17 )   ),   LEER  )</f>
        <v>10.629200000000001</v>
      </c>
      <c r="Z20" s="493">
        <f t="shared" ref="Z20:Z51" si="27" xml:space="preserve"> IF( $O20,    IF( V20= 0, Y20,  ROUND( Y20 / V20, Z$17 )  ),   LEER  )</f>
        <v>1.1685000000000001</v>
      </c>
      <c r="AA20" s="493">
        <f t="shared" ref="AA20:AA51" si="28" xml:space="preserve"> IF( $O20,    ROUND( ( 12 * V20 * ( 1 - M20 ) ) / ( 12 * V20 * ( 1 - M20 ) - K20 ), AA$17 ),    LEER  )</f>
        <v>1.0205</v>
      </c>
      <c r="AB20" s="493">
        <f t="shared" ref="AB20:AB51" si="29" xml:space="preserve">  IF( $O20,    ROUND( INDEX( $Z$20:$Z$120, AB$16 ) / ( 1 - M20 - L20 - INDEX( $K$20:$K$120, AB$16 ) / ( 12 * INDEX( $V$20:$V$120, AB$16 ) ) ), AB$17 ),       LEER  )</f>
        <v>2.3494000000000002</v>
      </c>
      <c r="AC20" s="545">
        <f t="shared" ref="AC20:AC51" si="30" xml:space="preserve">  IF( NOT($O20),   LEER,   ROUND(  L20 * AB20  +  IF( $A20&lt;AC$12, AC$5, AC$6 ),  AC$17  )    )</f>
        <v>0.38600000000000001</v>
      </c>
      <c r="AD20" s="493">
        <f t="shared" ref="AD20:AD51" si="31" xml:space="preserve">  IF( $O20,   ROUND( AA20 * Z20 + ( AA20 - 1 ) * AC20, AD$17 ),       LEER  )</f>
        <v>1.2003999999999999</v>
      </c>
      <c r="AE20" s="493">
        <f t="shared" ref="AE20:AE51" si="32" xml:space="preserve">  IF( $O20,   ROUND( ( AD20 + AC20 ) / ( 1 - M20), AE$17 ),       LEER  )</f>
        <v>1.7357</v>
      </c>
      <c r="AF20" s="493">
        <f t="shared" ref="AF20:AF51" si="33" xml:space="preserve">  IF(  $O20,   IF(  OR( NOT( $AF$12), $A20=$M$12, AE20&gt;=AF19 ), AE20, MAX( AE20,AF19) ),  LEER  )</f>
        <v>1.7357</v>
      </c>
      <c r="AG20" s="493" t="str">
        <f t="shared" ref="AG20:AG51" si="34" xml:space="preserve">  IF(  $O20,   IF(  AE20=AF20,  LEER, Setzung ),    LEER  )</f>
        <v>.</v>
      </c>
      <c r="AH20" s="493" t="str">
        <f t="shared" ref="AH20:AH51" si="35" xml:space="preserve">  IF(  $O20,   IF( AND( K19&lt;&gt;0, AG20=Setzung), SetzungZillmerung, LEER ),    LEER  )</f>
        <v>.</v>
      </c>
      <c r="AI20" s="423">
        <f t="shared" ref="AI20:AI51" si="36" xml:space="preserve">  IF( $O20,    $J$19,  LEER  )</f>
        <v>2077.79</v>
      </c>
      <c r="AJ20" s="423">
        <f t="shared" ref="AJ20:AJ51" si="37" xml:space="preserve">  IF( $O20,    ROUND( AF20 * AI20, AJ$17 ),  LEER  )</f>
        <v>3606.42</v>
      </c>
      <c r="AK20" s="423">
        <f t="shared" ref="AK20:AK51" si="38" xml:space="preserve">  IF( $O20,    ROUND( AJ20 / 12, AK$17 ),  LEER  )</f>
        <v>300.54000000000002</v>
      </c>
      <c r="AN20" s="423" t="str">
        <f t="shared" ref="AN20:AO39" si="39" xml:space="preserve">  IF( AND( $A20&lt;=$O$12, $A20&gt;=AN$12),    ROUND( AN$19 * ( SUM($Y20) - SUM(AN$8) * SUM($V20) ), AN$17 ),  LEER  )</f>
        <v>.</v>
      </c>
      <c r="AO20" s="423" t="str">
        <f t="shared" si="39"/>
        <v>.</v>
      </c>
      <c r="AR20" s="546">
        <f xml:space="preserve"> ROUND(  INDEX( Kx!20:20, AR$16 ),  AR$17 )</f>
        <v>0.51770000000000005</v>
      </c>
      <c r="AS20" s="547">
        <f xml:space="preserve"> ROUND(  INDEX( qx!20:20, AS$16 ),  AS$17 )</f>
        <v>4.0000000000000002E-4</v>
      </c>
      <c r="AT20" s="547">
        <f xml:space="preserve"> ROUND(  INDEX( qx!20:20, AT$16 ),  AT$17 )</f>
        <v>2.0000000000000001E-4</v>
      </c>
      <c r="AU20" s="548" t="str">
        <f t="shared" ref="AU20:AU51" si="40" xml:space="preserve"> IF( AS20&lt;AT20, AS$13, AT$13 )</f>
        <v>F</v>
      </c>
      <c r="AV20" s="542">
        <f t="shared" ref="AV20:AV51" si="41" xml:space="preserve"> ROUND(     IF( AU20=BE_M_, ( $AR20 + $AR20 * AV$18 ) / ( 1 + $AR20 * AV$18 ),  ( $AR20 ) / ( 1 + ( 1 - $AR20 ) * AV$18 ) ),   AV$17 )</f>
        <v>0.41710000000000003</v>
      </c>
      <c r="AW20" s="542">
        <f t="shared" ref="AW20:AW51" si="42" xml:space="preserve"> ROUND( AV20 * AS20 + ( 1 - AV20) * AT20, AW$17 )</f>
        <v>2.9999999999999997E-4</v>
      </c>
      <c r="AX20" s="546">
        <f xml:space="preserve"> ROUND(  INDEX( wx!20:20, AX$16 ),  AX$17 )</f>
        <v>0.16550000000000001</v>
      </c>
      <c r="AY20" s="546">
        <f xml:space="preserve"> ROUND(  INDEX( wx!20:20, AY$16 ),  AY$17 )</f>
        <v>0.1797</v>
      </c>
      <c r="AZ20" s="548" t="str">
        <f t="shared" ref="AZ20:AZ51" si="43" xml:space="preserve"> IF( AX20&lt;AY20, AX$13, AY$13 )</f>
        <v>M</v>
      </c>
      <c r="BA20" s="542">
        <f t="shared" ref="BA20:BA51" si="44" xml:space="preserve"> ROUND(     IF( AZ20=BE_M_, ( $AR20 + $AR20 * BA$18 ) / ( 1 + $AR20 * BA$18 ),  ( $AR20 ) / ( 1 + ( 1 - $AR20 ) * BA$18 ) ),   BA$17 )</f>
        <v>0.6169</v>
      </c>
      <c r="BB20" s="542">
        <f t="shared" ref="BB20:BB51" si="45" xml:space="preserve"> ROUND( BA20 * AX20 + ( 1 - BA20) * AY20, BB$17 )</f>
        <v>0.1709</v>
      </c>
      <c r="BC20" s="533">
        <f xml:space="preserve"> ROUND(  INDEX( Kx!20:20, BC$16 ),  BC$17 )</f>
        <v>1405.8</v>
      </c>
      <c r="BD20" s="533">
        <f xml:space="preserve"> ROUND(  INDEX( Kx!20:20, BD$16 ),  BD$17 )</f>
        <v>1923.07</v>
      </c>
      <c r="BE20" s="548" t="str">
        <f xml:space="preserve"> IF( BC20&gt;BD20, BC$18, BD$18 )</f>
        <v>F</v>
      </c>
      <c r="BF20" s="542">
        <f t="shared" ref="BF20:BF51" si="46" xml:space="preserve"> ROUND(     IF( BE20=BE_M_, ( $AR20 + $AR20 * BF$18 ) / ( 1 + $AR20 * BF$18 ),  ( $AR20 ) / ( 1 + ( 1 - $AR20 ) * BF$18 ) ),   BF$17 )</f>
        <v>0.41710000000000003</v>
      </c>
      <c r="BG20" s="420">
        <f t="shared" ref="BG20:BG51" si="47" xml:space="preserve"> ROUND( BF20 * BC20 + ( 1 - BF20) * BD20, BG$17 )</f>
        <v>1707.32</v>
      </c>
      <c r="BQ20" s="549"/>
      <c r="BR20" s="423"/>
      <c r="BS20" s="550"/>
      <c r="BT20" s="423"/>
      <c r="BU20" s="551"/>
      <c r="BV20" s="551"/>
      <c r="BW20" s="529"/>
      <c r="BX20" s="552"/>
      <c r="CB20" s="423"/>
      <c r="CC20" s="423"/>
      <c r="CD20" s="423"/>
      <c r="CE20" s="423"/>
      <c r="CF20" s="553"/>
      <c r="CH20" s="423"/>
      <c r="CI20" s="423"/>
      <c r="CJ20" s="423"/>
      <c r="CK20" s="423"/>
      <c r="CL20" s="553"/>
      <c r="CN20" s="423"/>
      <c r="CO20" s="423"/>
      <c r="CP20" s="423"/>
      <c r="CQ20" s="423"/>
      <c r="CR20" s="553"/>
      <c r="DM20" s="554"/>
      <c r="DO20" s="385"/>
      <c r="DP20" s="385"/>
      <c r="DQ20" s="385"/>
      <c r="EI20" s="553"/>
      <c r="EJ20" s="553"/>
      <c r="EK20" s="423"/>
      <c r="EL20" s="555"/>
      <c r="ES20" s="533"/>
      <c r="ET20" s="533"/>
      <c r="EU20" s="533"/>
      <c r="EV20" s="556"/>
      <c r="EY20" s="533"/>
      <c r="EZ20" s="533"/>
      <c r="FA20" s="556"/>
      <c r="FD20" s="556"/>
      <c r="FE20" s="556"/>
      <c r="FF20" s="556"/>
      <c r="FK20" s="557">
        <f t="shared" ref="FK20:FK83" si="48" xml:space="preserve"> A20</f>
        <v>20</v>
      </c>
      <c r="FL20" s="493">
        <f xml:space="preserve"> Y20</f>
        <v>10.629200000000001</v>
      </c>
      <c r="FM20" s="493">
        <f xml:space="preserve"> V20</f>
        <v>9.0966000000000005</v>
      </c>
      <c r="FO20" s="427">
        <f xml:space="preserve"> SUM( FP20:JL20 )</f>
        <v>-603.29999999999995</v>
      </c>
      <c r="FP20" s="558">
        <f t="shared" ref="FP20:GE35" si="49" xml:space="preserve"> IF(  OR( FP$18&gt;$FK20, $FK20&gt;$FP$12 ),  LEER,  ROUND( $FO$19 * ( $FL20 - FP$15 * $FM20 ), FP$17 )  )</f>
        <v>-603.29999999999995</v>
      </c>
      <c r="FQ20" s="558" t="str">
        <f t="shared" si="49"/>
        <v>.</v>
      </c>
      <c r="FR20" s="558" t="str">
        <f t="shared" si="49"/>
        <v>.</v>
      </c>
      <c r="FS20" s="558" t="str">
        <f t="shared" si="49"/>
        <v>.</v>
      </c>
      <c r="FT20" s="558" t="str">
        <f t="shared" si="49"/>
        <v>.</v>
      </c>
      <c r="FU20" s="558" t="str">
        <f t="shared" si="49"/>
        <v>.</v>
      </c>
      <c r="FV20" s="558" t="str">
        <f t="shared" si="49"/>
        <v>.</v>
      </c>
      <c r="FW20" s="558" t="str">
        <f t="shared" si="49"/>
        <v>.</v>
      </c>
      <c r="FX20" s="558" t="str">
        <f t="shared" si="49"/>
        <v>.</v>
      </c>
      <c r="FY20" s="558" t="str">
        <f t="shared" si="49"/>
        <v>.</v>
      </c>
      <c r="FZ20" s="558" t="str">
        <f t="shared" si="49"/>
        <v>.</v>
      </c>
      <c r="GA20" s="558" t="str">
        <f t="shared" si="49"/>
        <v>.</v>
      </c>
      <c r="GB20" s="558" t="str">
        <f t="shared" si="49"/>
        <v>.</v>
      </c>
      <c r="GC20" s="558" t="str">
        <f t="shared" si="49"/>
        <v>.</v>
      </c>
      <c r="GD20" s="558" t="str">
        <f t="shared" si="49"/>
        <v>.</v>
      </c>
      <c r="GE20" s="558" t="str">
        <f t="shared" si="49"/>
        <v>.</v>
      </c>
      <c r="GF20" s="558" t="str">
        <f t="shared" ref="GF20:GU35" si="50" xml:space="preserve"> IF(  OR( GF$18&gt;$FK20, $FK20&gt;$FP$12 ),  LEER,  ROUND( $FO$19 * ( $FL20 - GF$15 * $FM20 ), GF$17 )  )</f>
        <v>.</v>
      </c>
      <c r="GG20" s="558" t="str">
        <f t="shared" si="50"/>
        <v>.</v>
      </c>
      <c r="GH20" s="558" t="str">
        <f t="shared" si="50"/>
        <v>.</v>
      </c>
      <c r="GI20" s="558" t="str">
        <f t="shared" si="50"/>
        <v>.</v>
      </c>
      <c r="GJ20" s="558" t="str">
        <f t="shared" si="50"/>
        <v>.</v>
      </c>
      <c r="GK20" s="558" t="str">
        <f t="shared" si="50"/>
        <v>.</v>
      </c>
      <c r="GL20" s="558" t="str">
        <f t="shared" si="50"/>
        <v>.</v>
      </c>
      <c r="GM20" s="558" t="str">
        <f t="shared" si="50"/>
        <v>.</v>
      </c>
      <c r="GN20" s="558" t="str">
        <f t="shared" si="50"/>
        <v>.</v>
      </c>
      <c r="GO20" s="558" t="str">
        <f t="shared" si="50"/>
        <v>.</v>
      </c>
      <c r="GP20" s="558" t="str">
        <f t="shared" si="50"/>
        <v>.</v>
      </c>
      <c r="GQ20" s="558" t="str">
        <f t="shared" si="50"/>
        <v>.</v>
      </c>
      <c r="GR20" s="558" t="str">
        <f t="shared" si="50"/>
        <v>.</v>
      </c>
      <c r="GS20" s="558" t="str">
        <f t="shared" si="50"/>
        <v>.</v>
      </c>
      <c r="GT20" s="558" t="str">
        <f t="shared" si="50"/>
        <v>.</v>
      </c>
      <c r="GU20" s="558" t="str">
        <f t="shared" si="50"/>
        <v>.</v>
      </c>
      <c r="GV20" s="558" t="str">
        <f t="shared" ref="GV20:HK35" si="51" xml:space="preserve"> IF(  OR( GV$18&gt;$FK20, $FK20&gt;$FP$12 ),  LEER,  ROUND( $FO$19 * ( $FL20 - GV$15 * $FM20 ), GV$17 )  )</f>
        <v>.</v>
      </c>
      <c r="GW20" s="558" t="str">
        <f t="shared" si="51"/>
        <v>.</v>
      </c>
      <c r="GX20" s="558" t="str">
        <f t="shared" si="51"/>
        <v>.</v>
      </c>
      <c r="GY20" s="558" t="str">
        <f t="shared" si="51"/>
        <v>.</v>
      </c>
      <c r="GZ20" s="558" t="str">
        <f t="shared" si="51"/>
        <v>.</v>
      </c>
      <c r="HA20" s="558" t="str">
        <f t="shared" si="51"/>
        <v>.</v>
      </c>
      <c r="HB20" s="558" t="str">
        <f t="shared" si="51"/>
        <v>.</v>
      </c>
      <c r="HC20" s="558" t="str">
        <f t="shared" si="51"/>
        <v>.</v>
      </c>
      <c r="HD20" s="558" t="str">
        <f t="shared" si="51"/>
        <v>.</v>
      </c>
      <c r="HE20" s="558" t="str">
        <f t="shared" si="51"/>
        <v>.</v>
      </c>
      <c r="HF20" s="558" t="str">
        <f t="shared" si="51"/>
        <v>.</v>
      </c>
      <c r="HG20" s="558" t="str">
        <f t="shared" si="51"/>
        <v>.</v>
      </c>
      <c r="HH20" s="558" t="str">
        <f t="shared" si="51"/>
        <v>.</v>
      </c>
      <c r="HI20" s="558" t="str">
        <f t="shared" si="51"/>
        <v>.</v>
      </c>
      <c r="HJ20" s="558" t="str">
        <f t="shared" si="51"/>
        <v>.</v>
      </c>
      <c r="HK20" s="558" t="str">
        <f t="shared" si="51"/>
        <v>.</v>
      </c>
      <c r="HL20" s="558" t="str">
        <f t="shared" ref="HL20:IC34" si="52" xml:space="preserve"> IF(  OR( HL$18&gt;$FK20, $FK20&gt;$FP$12 ),  LEER,  ROUND( $FO$19 * ( $FL20 - HL$15 * $FM20 ), HL$17 )  )</f>
        <v>.</v>
      </c>
      <c r="HM20" s="558" t="str">
        <f t="shared" si="52"/>
        <v>.</v>
      </c>
      <c r="HN20" s="558" t="str">
        <f t="shared" si="52"/>
        <v>.</v>
      </c>
      <c r="HO20" s="558" t="str">
        <f t="shared" si="52"/>
        <v>.</v>
      </c>
      <c r="HP20" s="558" t="str">
        <f t="shared" si="52"/>
        <v>.</v>
      </c>
      <c r="HQ20" s="558" t="str">
        <f t="shared" si="52"/>
        <v>.</v>
      </c>
      <c r="HR20" s="558" t="str">
        <f t="shared" si="52"/>
        <v>.</v>
      </c>
      <c r="HS20" s="558" t="str">
        <f t="shared" si="52"/>
        <v>.</v>
      </c>
      <c r="HT20" s="558" t="str">
        <f t="shared" si="52"/>
        <v>.</v>
      </c>
      <c r="HU20" s="558" t="str">
        <f t="shared" si="52"/>
        <v>.</v>
      </c>
      <c r="HV20" s="558" t="str">
        <f t="shared" si="52"/>
        <v>.</v>
      </c>
      <c r="HW20" s="558" t="str">
        <f t="shared" si="52"/>
        <v>.</v>
      </c>
      <c r="HX20" s="558" t="str">
        <f t="shared" si="52"/>
        <v>.</v>
      </c>
      <c r="HY20" s="558" t="str">
        <f t="shared" si="52"/>
        <v>.</v>
      </c>
      <c r="HZ20" s="558" t="str">
        <f t="shared" si="52"/>
        <v>.</v>
      </c>
      <c r="IA20" s="558" t="str">
        <f t="shared" si="52"/>
        <v>.</v>
      </c>
      <c r="IB20" s="558" t="str">
        <f t="shared" si="52"/>
        <v>.</v>
      </c>
      <c r="IC20" s="558" t="str">
        <f t="shared" si="52"/>
        <v>.</v>
      </c>
      <c r="ID20" s="558" t="str">
        <f t="shared" ref="ID20:JB30" si="53" xml:space="preserve"> IF(  OR( ID$18&gt;$FK20, $FK20&gt;$FP$12 ),  LEER,  ROUND( $FO$19 * ( $FL20 - ID$15 * $FM20 ), ID$17 )  )</f>
        <v>.</v>
      </c>
      <c r="IE20" s="558" t="str">
        <f t="shared" si="53"/>
        <v>.</v>
      </c>
      <c r="IF20" s="558" t="str">
        <f t="shared" si="53"/>
        <v>.</v>
      </c>
      <c r="IG20" s="558" t="str">
        <f t="shared" si="53"/>
        <v>.</v>
      </c>
      <c r="IH20" s="558" t="str">
        <f t="shared" si="53"/>
        <v>.</v>
      </c>
      <c r="II20" s="558" t="str">
        <f t="shared" si="53"/>
        <v>.</v>
      </c>
      <c r="IJ20" s="558" t="str">
        <f t="shared" si="53"/>
        <v>.</v>
      </c>
      <c r="IK20" s="558" t="str">
        <f t="shared" si="53"/>
        <v>.</v>
      </c>
      <c r="IL20" s="558" t="str">
        <f t="shared" si="53"/>
        <v>.</v>
      </c>
      <c r="IM20" s="558" t="str">
        <f t="shared" si="53"/>
        <v>.</v>
      </c>
      <c r="IN20" s="558" t="str">
        <f t="shared" si="53"/>
        <v>.</v>
      </c>
      <c r="IO20" s="558" t="str">
        <f t="shared" si="53"/>
        <v>.</v>
      </c>
      <c r="IP20" s="558" t="str">
        <f t="shared" si="53"/>
        <v>.</v>
      </c>
      <c r="IQ20" s="558" t="str">
        <f t="shared" si="53"/>
        <v>.</v>
      </c>
      <c r="IR20" s="558" t="str">
        <f t="shared" si="53"/>
        <v>.</v>
      </c>
      <c r="IS20" s="558" t="str">
        <f t="shared" si="53"/>
        <v>.</v>
      </c>
      <c r="IT20" s="558" t="str">
        <f t="shared" si="53"/>
        <v>.</v>
      </c>
      <c r="IU20" s="558" t="str">
        <f t="shared" si="53"/>
        <v>.</v>
      </c>
      <c r="IV20" s="558" t="str">
        <f t="shared" si="53"/>
        <v>.</v>
      </c>
      <c r="IW20" s="558" t="str">
        <f t="shared" si="53"/>
        <v>.</v>
      </c>
      <c r="IX20" s="558" t="str">
        <f t="shared" si="53"/>
        <v>.</v>
      </c>
      <c r="IY20" s="558" t="str">
        <f t="shared" si="53"/>
        <v>.</v>
      </c>
      <c r="IZ20" s="558" t="str">
        <f t="shared" si="53"/>
        <v>.</v>
      </c>
      <c r="JA20" s="558" t="str">
        <f t="shared" si="53"/>
        <v>.</v>
      </c>
      <c r="JB20" s="558" t="str">
        <f t="shared" si="53"/>
        <v>.</v>
      </c>
      <c r="JC20" s="558" t="str">
        <f t="shared" ref="JC20:JL35" si="54" xml:space="preserve"> IF(  OR( JC$18&gt;$FK20, $FK20&gt;$FP$12 ),  LEER,  ROUND( $FO$19 * ( $FL20 - JC$15 * $FM20 ), JC$17 )  )</f>
        <v>.</v>
      </c>
      <c r="JD20" s="558" t="str">
        <f t="shared" si="54"/>
        <v>.</v>
      </c>
      <c r="JE20" s="558" t="str">
        <f t="shared" si="54"/>
        <v>.</v>
      </c>
      <c r="JF20" s="558" t="str">
        <f t="shared" si="54"/>
        <v>.</v>
      </c>
      <c r="JG20" s="558" t="str">
        <f t="shared" si="54"/>
        <v>.</v>
      </c>
      <c r="JH20" s="558" t="str">
        <f t="shared" si="54"/>
        <v>.</v>
      </c>
      <c r="JI20" s="558" t="str">
        <f t="shared" si="54"/>
        <v>.</v>
      </c>
      <c r="JJ20" s="558" t="str">
        <f t="shared" si="54"/>
        <v>.</v>
      </c>
      <c r="JK20" s="558" t="str">
        <f t="shared" si="54"/>
        <v>.</v>
      </c>
      <c r="JL20" s="558" t="str">
        <f t="shared" si="54"/>
        <v>.</v>
      </c>
    </row>
    <row r="21" spans="1:272" ht="10.199999999999999" x14ac:dyDescent="0.2">
      <c r="A21" s="534">
        <f xml:space="preserve"> Basis!A21</f>
        <v>21</v>
      </c>
      <c r="F21" s="536">
        <f xml:space="preserve"> ROUND(    IF( $A$15=BE_MF_,   AW21,   INDEX( qx!21:21, F$16 ) ),    F$17    )</f>
        <v>2.9999999999999997E-4</v>
      </c>
      <c r="G21" s="536">
        <f xml:space="preserve"> ROUND(    IF( $A$15=BE_MF_,   BB21,   INDEX( wx!21:21, G$16 ) ),    G$17    )</f>
        <v>0.14710000000000001</v>
      </c>
      <c r="H21" s="537">
        <f xml:space="preserve"> ROUND(    IF( $A$15=BE_MF_,   BG21,   INDEX( Kx!21:21, H$16 ) ),    H$17    )</f>
        <v>1726.77</v>
      </c>
      <c r="I21" s="538">
        <f t="shared" ref="I21:I84" si="55" xml:space="preserve"> IF( $A21&gt;$H$12, MAX( H21, I20 ), H21 )</f>
        <v>1726.77</v>
      </c>
      <c r="J21" s="539">
        <f t="shared" si="17"/>
        <v>0.83099999999999996</v>
      </c>
      <c r="K21" s="540">
        <f t="shared" ref="K21:K52" si="56" xml:space="preserve"> IF( $A21&lt;K$18,  K$15,  MAX( 0, K20-K$16 )   )</f>
        <v>2</v>
      </c>
      <c r="L21" s="541">
        <f t="shared" si="18"/>
        <v>0</v>
      </c>
      <c r="M21" s="541">
        <f t="shared" si="18"/>
        <v>8.5999999999999993E-2</v>
      </c>
      <c r="O21" s="542" t="b">
        <f t="shared" ref="O21:O84" si="57" xml:space="preserve"> AND( O$10&lt;=$A21, $A21&lt;=$O$12 )</f>
        <v>1</v>
      </c>
      <c r="P21" s="493">
        <f t="shared" si="19"/>
        <v>0.1474</v>
      </c>
      <c r="Q21" s="493">
        <f t="shared" si="20"/>
        <v>0.85260000000000002</v>
      </c>
      <c r="R21" s="543">
        <f t="shared" si="21"/>
        <v>4144000</v>
      </c>
      <c r="S21" s="544">
        <f t="shared" si="22"/>
        <v>0.97560975599999999</v>
      </c>
      <c r="T21" s="423">
        <f t="shared" si="23"/>
        <v>2467280.7599999998</v>
      </c>
      <c r="U21" s="423">
        <f xml:space="preserve"> IF( $O21,    ROUND(  SUM( T21:T$120), U$17 ),  LEER  )</f>
        <v>24705464.239999998</v>
      </c>
      <c r="V21" s="493">
        <f t="shared" si="24"/>
        <v>10.013199999999999</v>
      </c>
      <c r="W21" s="493">
        <f t="shared" si="25"/>
        <v>2050310.31</v>
      </c>
      <c r="X21" s="493">
        <f xml:space="preserve"> IF( $O21,    ROUND(  SUM( W21:W$120), X$17 ),  LEER  )</f>
        <v>29925109.140000001</v>
      </c>
      <c r="Y21" s="493">
        <f t="shared" si="26"/>
        <v>12.1288</v>
      </c>
      <c r="Z21" s="493">
        <f t="shared" si="27"/>
        <v>1.2113</v>
      </c>
      <c r="AA21" s="493">
        <f t="shared" si="28"/>
        <v>1.0185</v>
      </c>
      <c r="AB21" s="493">
        <f t="shared" si="29"/>
        <v>2.3494000000000002</v>
      </c>
      <c r="AC21" s="545">
        <f t="shared" si="30"/>
        <v>0.38600000000000001</v>
      </c>
      <c r="AD21" s="493">
        <f t="shared" si="31"/>
        <v>1.2408999999999999</v>
      </c>
      <c r="AE21" s="493">
        <f t="shared" si="32"/>
        <v>1.78</v>
      </c>
      <c r="AF21" s="493">
        <f t="shared" si="33"/>
        <v>1.78</v>
      </c>
      <c r="AG21" s="493" t="str">
        <f t="shared" si="34"/>
        <v>.</v>
      </c>
      <c r="AH21" s="493" t="str">
        <f t="shared" si="35"/>
        <v>.</v>
      </c>
      <c r="AI21" s="423">
        <f t="shared" si="36"/>
        <v>2077.79</v>
      </c>
      <c r="AJ21" s="423">
        <f t="shared" si="37"/>
        <v>3698.47</v>
      </c>
      <c r="AK21" s="423">
        <f t="shared" si="38"/>
        <v>308.20999999999998</v>
      </c>
      <c r="AN21" s="423" t="str">
        <f t="shared" si="39"/>
        <v>.</v>
      </c>
      <c r="AO21" s="423" t="str">
        <f t="shared" si="39"/>
        <v>.</v>
      </c>
      <c r="AR21" s="546">
        <f xml:space="preserve"> ROUND(  INDEX( Kx!21:21, AR$16 ),  AR$17 )</f>
        <v>0.53779999999999994</v>
      </c>
      <c r="AS21" s="547">
        <f xml:space="preserve"> ROUND(  INDEX( qx!21:21, AS$16 ),  AS$17 )</f>
        <v>4.0000000000000002E-4</v>
      </c>
      <c r="AT21" s="547">
        <f xml:space="preserve"> ROUND(  INDEX( qx!21:21, AT$16 ),  AT$17 )</f>
        <v>2.0000000000000001E-4</v>
      </c>
      <c r="AU21" s="548" t="str">
        <f t="shared" si="40"/>
        <v>F</v>
      </c>
      <c r="AV21" s="542">
        <f t="shared" si="41"/>
        <v>0.43680000000000002</v>
      </c>
      <c r="AW21" s="542">
        <f t="shared" si="42"/>
        <v>2.9999999999999997E-4</v>
      </c>
      <c r="AX21" s="546">
        <f xml:space="preserve"> ROUND(  INDEX( wx!21:21, AX$16 ),  AX$17 )</f>
        <v>0.1409</v>
      </c>
      <c r="AY21" s="546">
        <f xml:space="preserve"> ROUND(  INDEX( wx!21:21, AY$16 ),  AY$17 )</f>
        <v>0.1578</v>
      </c>
      <c r="AZ21" s="548" t="str">
        <f t="shared" si="43"/>
        <v>M</v>
      </c>
      <c r="BA21" s="542">
        <f t="shared" si="44"/>
        <v>0.63570000000000004</v>
      </c>
      <c r="BB21" s="542">
        <f t="shared" si="45"/>
        <v>0.14710000000000001</v>
      </c>
      <c r="BC21" s="533">
        <f xml:space="preserve"> ROUND(  INDEX( Kx!21:21, BC$16 ),  BC$17 )</f>
        <v>1395.61</v>
      </c>
      <c r="BD21" s="533">
        <f xml:space="preserve"> ROUND(  INDEX( Kx!21:21, BD$16 ),  BD$17 )</f>
        <v>1983.6</v>
      </c>
      <c r="BE21" s="548" t="str">
        <f t="shared" ref="BE21:BE84" si="58" xml:space="preserve"> IF( BC21&gt;BD21, BC$18, BD$18 )</f>
        <v>F</v>
      </c>
      <c r="BF21" s="542">
        <f t="shared" si="46"/>
        <v>0.43680000000000002</v>
      </c>
      <c r="BG21" s="420">
        <f t="shared" si="47"/>
        <v>1726.77</v>
      </c>
      <c r="BQ21" s="549"/>
      <c r="BR21" s="423"/>
      <c r="BS21" s="550"/>
      <c r="BT21" s="423"/>
      <c r="BU21" s="551"/>
      <c r="BV21" s="551"/>
      <c r="BW21" s="529"/>
      <c r="BX21" s="552"/>
      <c r="BY21" s="559"/>
      <c r="BZ21" s="559"/>
      <c r="CB21" s="423"/>
      <c r="CC21" s="423"/>
      <c r="CD21" s="423"/>
      <c r="CE21" s="423"/>
      <c r="CF21" s="553"/>
      <c r="CH21" s="423"/>
      <c r="CI21" s="423"/>
      <c r="CJ21" s="423"/>
      <c r="CK21" s="423"/>
      <c r="CL21" s="553"/>
      <c r="CN21" s="423"/>
      <c r="CO21" s="423"/>
      <c r="CP21" s="423"/>
      <c r="CQ21" s="423"/>
      <c r="CR21" s="553"/>
      <c r="DM21" s="554"/>
      <c r="DO21" s="385"/>
      <c r="DP21" s="385"/>
      <c r="DQ21" s="385"/>
      <c r="EI21" s="553"/>
      <c r="EJ21" s="553"/>
      <c r="EK21" s="423"/>
      <c r="EL21" s="555"/>
      <c r="ES21" s="533"/>
      <c r="ET21" s="533"/>
      <c r="EU21" s="533"/>
      <c r="EV21" s="556"/>
      <c r="EY21" s="533"/>
      <c r="EZ21" s="533"/>
      <c r="FA21" s="556"/>
      <c r="FD21" s="556"/>
      <c r="FE21" s="556"/>
      <c r="FF21" s="556"/>
      <c r="FK21" s="557">
        <f t="shared" si="48"/>
        <v>21</v>
      </c>
      <c r="FL21" s="493">
        <f t="shared" ref="FL21:FL84" si="59" xml:space="preserve"> Y21</f>
        <v>12.1288</v>
      </c>
      <c r="FM21" s="493">
        <f t="shared" ref="FM21:FM84" si="60" xml:space="preserve"> V21</f>
        <v>10.013199999999999</v>
      </c>
      <c r="FO21" s="427">
        <f t="shared" ref="FO21:FO84" si="61" xml:space="preserve"> SUM( FP21:JL21 )</f>
        <v>-389.84000000000003</v>
      </c>
      <c r="FP21" s="558">
        <f t="shared" si="49"/>
        <v>226.39</v>
      </c>
      <c r="FQ21" s="558">
        <f t="shared" si="49"/>
        <v>-616.23</v>
      </c>
      <c r="FR21" s="558" t="str">
        <f t="shared" si="49"/>
        <v>.</v>
      </c>
      <c r="FS21" s="558" t="str">
        <f t="shared" si="49"/>
        <v>.</v>
      </c>
      <c r="FT21" s="558" t="str">
        <f t="shared" si="49"/>
        <v>.</v>
      </c>
      <c r="FU21" s="558" t="str">
        <f t="shared" si="49"/>
        <v>.</v>
      </c>
      <c r="FV21" s="558" t="str">
        <f t="shared" si="49"/>
        <v>.</v>
      </c>
      <c r="FW21" s="558" t="str">
        <f t="shared" si="49"/>
        <v>.</v>
      </c>
      <c r="FX21" s="558" t="str">
        <f t="shared" si="49"/>
        <v>.</v>
      </c>
      <c r="FY21" s="558" t="str">
        <f t="shared" si="49"/>
        <v>.</v>
      </c>
      <c r="FZ21" s="558" t="str">
        <f t="shared" si="49"/>
        <v>.</v>
      </c>
      <c r="GA21" s="558" t="str">
        <f t="shared" si="49"/>
        <v>.</v>
      </c>
      <c r="GB21" s="558" t="str">
        <f t="shared" si="49"/>
        <v>.</v>
      </c>
      <c r="GC21" s="558" t="str">
        <f t="shared" si="49"/>
        <v>.</v>
      </c>
      <c r="GD21" s="558" t="str">
        <f t="shared" si="49"/>
        <v>.</v>
      </c>
      <c r="GE21" s="558" t="str">
        <f t="shared" si="49"/>
        <v>.</v>
      </c>
      <c r="GF21" s="558" t="str">
        <f t="shared" si="50"/>
        <v>.</v>
      </c>
      <c r="GG21" s="558" t="str">
        <f t="shared" si="50"/>
        <v>.</v>
      </c>
      <c r="GH21" s="558" t="str">
        <f t="shared" si="50"/>
        <v>.</v>
      </c>
      <c r="GI21" s="558" t="str">
        <f t="shared" si="50"/>
        <v>.</v>
      </c>
      <c r="GJ21" s="558" t="str">
        <f t="shared" si="50"/>
        <v>.</v>
      </c>
      <c r="GK21" s="558" t="str">
        <f t="shared" si="50"/>
        <v>.</v>
      </c>
      <c r="GL21" s="558" t="str">
        <f t="shared" si="50"/>
        <v>.</v>
      </c>
      <c r="GM21" s="558" t="str">
        <f t="shared" si="50"/>
        <v>.</v>
      </c>
      <c r="GN21" s="558" t="str">
        <f t="shared" si="50"/>
        <v>.</v>
      </c>
      <c r="GO21" s="558" t="str">
        <f t="shared" si="50"/>
        <v>.</v>
      </c>
      <c r="GP21" s="558" t="str">
        <f t="shared" si="50"/>
        <v>.</v>
      </c>
      <c r="GQ21" s="558" t="str">
        <f t="shared" si="50"/>
        <v>.</v>
      </c>
      <c r="GR21" s="558" t="str">
        <f t="shared" si="50"/>
        <v>.</v>
      </c>
      <c r="GS21" s="558" t="str">
        <f t="shared" si="50"/>
        <v>.</v>
      </c>
      <c r="GT21" s="558" t="str">
        <f t="shared" si="50"/>
        <v>.</v>
      </c>
      <c r="GU21" s="558" t="str">
        <f t="shared" si="50"/>
        <v>.</v>
      </c>
      <c r="GV21" s="558" t="str">
        <f t="shared" si="51"/>
        <v>.</v>
      </c>
      <c r="GW21" s="558" t="str">
        <f t="shared" si="51"/>
        <v>.</v>
      </c>
      <c r="GX21" s="558" t="str">
        <f t="shared" si="51"/>
        <v>.</v>
      </c>
      <c r="GY21" s="558" t="str">
        <f t="shared" si="51"/>
        <v>.</v>
      </c>
      <c r="GZ21" s="558" t="str">
        <f t="shared" si="51"/>
        <v>.</v>
      </c>
      <c r="HA21" s="558" t="str">
        <f t="shared" si="51"/>
        <v>.</v>
      </c>
      <c r="HB21" s="558" t="str">
        <f t="shared" si="51"/>
        <v>.</v>
      </c>
      <c r="HC21" s="558" t="str">
        <f t="shared" si="51"/>
        <v>.</v>
      </c>
      <c r="HD21" s="558" t="str">
        <f t="shared" si="51"/>
        <v>.</v>
      </c>
      <c r="HE21" s="558" t="str">
        <f t="shared" si="51"/>
        <v>.</v>
      </c>
      <c r="HF21" s="558" t="str">
        <f t="shared" si="51"/>
        <v>.</v>
      </c>
      <c r="HG21" s="558" t="str">
        <f t="shared" si="51"/>
        <v>.</v>
      </c>
      <c r="HH21" s="558" t="str">
        <f t="shared" si="51"/>
        <v>.</v>
      </c>
      <c r="HI21" s="558" t="str">
        <f t="shared" si="51"/>
        <v>.</v>
      </c>
      <c r="HJ21" s="558" t="str">
        <f t="shared" si="51"/>
        <v>.</v>
      </c>
      <c r="HK21" s="558" t="str">
        <f t="shared" si="51"/>
        <v>.</v>
      </c>
      <c r="HL21" s="558" t="str">
        <f t="shared" si="52"/>
        <v>.</v>
      </c>
      <c r="HM21" s="558" t="str">
        <f t="shared" si="52"/>
        <v>.</v>
      </c>
      <c r="HN21" s="558" t="str">
        <f t="shared" si="52"/>
        <v>.</v>
      </c>
      <c r="HO21" s="558" t="str">
        <f t="shared" si="52"/>
        <v>.</v>
      </c>
      <c r="HP21" s="558" t="str">
        <f t="shared" si="52"/>
        <v>.</v>
      </c>
      <c r="HQ21" s="558" t="str">
        <f t="shared" si="52"/>
        <v>.</v>
      </c>
      <c r="HR21" s="558" t="str">
        <f t="shared" si="52"/>
        <v>.</v>
      </c>
      <c r="HS21" s="558" t="str">
        <f t="shared" si="52"/>
        <v>.</v>
      </c>
      <c r="HT21" s="558" t="str">
        <f t="shared" si="52"/>
        <v>.</v>
      </c>
      <c r="HU21" s="558" t="str">
        <f t="shared" si="52"/>
        <v>.</v>
      </c>
      <c r="HV21" s="558" t="str">
        <f t="shared" si="52"/>
        <v>.</v>
      </c>
      <c r="HW21" s="558" t="str">
        <f t="shared" si="52"/>
        <v>.</v>
      </c>
      <c r="HX21" s="558" t="str">
        <f t="shared" si="52"/>
        <v>.</v>
      </c>
      <c r="HY21" s="558" t="str">
        <f t="shared" si="52"/>
        <v>.</v>
      </c>
      <c r="HZ21" s="558" t="str">
        <f t="shared" si="52"/>
        <v>.</v>
      </c>
      <c r="IA21" s="558" t="str">
        <f t="shared" si="52"/>
        <v>.</v>
      </c>
      <c r="IB21" s="558" t="str">
        <f t="shared" si="52"/>
        <v>.</v>
      </c>
      <c r="IC21" s="558" t="str">
        <f t="shared" si="52"/>
        <v>.</v>
      </c>
      <c r="ID21" s="558" t="str">
        <f t="shared" si="53"/>
        <v>.</v>
      </c>
      <c r="IE21" s="558" t="str">
        <f t="shared" si="53"/>
        <v>.</v>
      </c>
      <c r="IF21" s="558" t="str">
        <f t="shared" si="53"/>
        <v>.</v>
      </c>
      <c r="IG21" s="558" t="str">
        <f t="shared" si="53"/>
        <v>.</v>
      </c>
      <c r="IH21" s="558" t="str">
        <f t="shared" si="53"/>
        <v>.</v>
      </c>
      <c r="II21" s="558" t="str">
        <f t="shared" si="53"/>
        <v>.</v>
      </c>
      <c r="IJ21" s="558" t="str">
        <f t="shared" si="53"/>
        <v>.</v>
      </c>
      <c r="IK21" s="558" t="str">
        <f t="shared" si="53"/>
        <v>.</v>
      </c>
      <c r="IL21" s="558" t="str">
        <f t="shared" si="53"/>
        <v>.</v>
      </c>
      <c r="IM21" s="558" t="str">
        <f t="shared" si="53"/>
        <v>.</v>
      </c>
      <c r="IN21" s="558" t="str">
        <f t="shared" si="53"/>
        <v>.</v>
      </c>
      <c r="IO21" s="558" t="str">
        <f t="shared" si="53"/>
        <v>.</v>
      </c>
      <c r="IP21" s="558" t="str">
        <f t="shared" si="53"/>
        <v>.</v>
      </c>
      <c r="IQ21" s="558" t="str">
        <f t="shared" si="53"/>
        <v>.</v>
      </c>
      <c r="IR21" s="558" t="str">
        <f t="shared" si="53"/>
        <v>.</v>
      </c>
      <c r="IS21" s="558" t="str">
        <f t="shared" si="53"/>
        <v>.</v>
      </c>
      <c r="IT21" s="558" t="str">
        <f t="shared" si="53"/>
        <v>.</v>
      </c>
      <c r="IU21" s="558" t="str">
        <f t="shared" si="53"/>
        <v>.</v>
      </c>
      <c r="IV21" s="558" t="str">
        <f t="shared" si="53"/>
        <v>.</v>
      </c>
      <c r="IW21" s="558" t="str">
        <f t="shared" si="53"/>
        <v>.</v>
      </c>
      <c r="IX21" s="558" t="str">
        <f t="shared" si="53"/>
        <v>.</v>
      </c>
      <c r="IY21" s="558" t="str">
        <f t="shared" si="53"/>
        <v>.</v>
      </c>
      <c r="IZ21" s="558" t="str">
        <f t="shared" si="53"/>
        <v>.</v>
      </c>
      <c r="JA21" s="558" t="str">
        <f t="shared" si="53"/>
        <v>.</v>
      </c>
      <c r="JB21" s="558" t="str">
        <f t="shared" si="53"/>
        <v>.</v>
      </c>
      <c r="JC21" s="558" t="str">
        <f t="shared" si="54"/>
        <v>.</v>
      </c>
      <c r="JD21" s="558" t="str">
        <f t="shared" si="54"/>
        <v>.</v>
      </c>
      <c r="JE21" s="558" t="str">
        <f t="shared" si="54"/>
        <v>.</v>
      </c>
      <c r="JF21" s="558" t="str">
        <f t="shared" si="54"/>
        <v>.</v>
      </c>
      <c r="JG21" s="558" t="str">
        <f t="shared" si="54"/>
        <v>.</v>
      </c>
      <c r="JH21" s="558" t="str">
        <f t="shared" si="54"/>
        <v>.</v>
      </c>
      <c r="JI21" s="558" t="str">
        <f t="shared" si="54"/>
        <v>.</v>
      </c>
      <c r="JJ21" s="558" t="str">
        <f t="shared" si="54"/>
        <v>.</v>
      </c>
      <c r="JK21" s="558" t="str">
        <f t="shared" si="54"/>
        <v>.</v>
      </c>
      <c r="JL21" s="558" t="str">
        <f t="shared" si="54"/>
        <v>.</v>
      </c>
    </row>
    <row r="22" spans="1:272" ht="10.199999999999999" x14ac:dyDescent="0.2">
      <c r="A22" s="534">
        <f xml:space="preserve"> Basis!A22</f>
        <v>22</v>
      </c>
      <c r="F22" s="536">
        <f xml:space="preserve"> ROUND(    IF( $A$15=BE_MF_,   AW22,   INDEX( qx!22:22, F$16 ) ),    F$17    )</f>
        <v>2.9999999999999997E-4</v>
      </c>
      <c r="G22" s="536">
        <f xml:space="preserve"> ROUND(    IF( $A$15=BE_MF_,   BB22,   INDEX( wx!22:22, G$16 ) ),    G$17    )</f>
        <v>0.1113</v>
      </c>
      <c r="H22" s="537">
        <f xml:space="preserve"> ROUND(    IF( $A$15=BE_MF_,   BG22,   INDEX( Kx!22:22, H$16 ) ),    H$17    )</f>
        <v>1762.47</v>
      </c>
      <c r="I22" s="538">
        <f t="shared" si="55"/>
        <v>1762.47</v>
      </c>
      <c r="J22" s="539">
        <f t="shared" si="17"/>
        <v>0.84799999999999998</v>
      </c>
      <c r="K22" s="540">
        <f t="shared" si="56"/>
        <v>2</v>
      </c>
      <c r="L22" s="541">
        <f t="shared" si="18"/>
        <v>0</v>
      </c>
      <c r="M22" s="541">
        <f t="shared" si="18"/>
        <v>8.5999999999999993E-2</v>
      </c>
      <c r="O22" s="542" t="b">
        <f t="shared" si="57"/>
        <v>1</v>
      </c>
      <c r="P22" s="493">
        <f t="shared" si="19"/>
        <v>0.1116</v>
      </c>
      <c r="Q22" s="493">
        <f t="shared" si="20"/>
        <v>0.88839999999999997</v>
      </c>
      <c r="R22" s="543">
        <f t="shared" si="21"/>
        <v>3533174</v>
      </c>
      <c r="S22" s="544">
        <f t="shared" si="22"/>
        <v>0.97560975599999999</v>
      </c>
      <c r="T22" s="423">
        <f t="shared" si="23"/>
        <v>2052295.94</v>
      </c>
      <c r="U22" s="423">
        <f xml:space="preserve"> IF( $O22,    ROUND(  SUM( T22:T$120), U$17 ),  LEER  )</f>
        <v>22238183.48</v>
      </c>
      <c r="V22" s="493">
        <f t="shared" si="24"/>
        <v>10.835800000000001</v>
      </c>
      <c r="W22" s="493">
        <f t="shared" si="25"/>
        <v>1740346.96</v>
      </c>
      <c r="X22" s="493">
        <f xml:space="preserve"> IF( $O22,    ROUND(  SUM( W22:W$120), X$17 ),  LEER  )</f>
        <v>27874798.829999998</v>
      </c>
      <c r="Y22" s="493">
        <f t="shared" si="26"/>
        <v>13.5823</v>
      </c>
      <c r="Z22" s="493">
        <f t="shared" si="27"/>
        <v>1.2535000000000001</v>
      </c>
      <c r="AA22" s="493">
        <f t="shared" si="28"/>
        <v>1.0170999999999999</v>
      </c>
      <c r="AB22" s="493">
        <f t="shared" si="29"/>
        <v>2.3494000000000002</v>
      </c>
      <c r="AC22" s="545">
        <f t="shared" si="30"/>
        <v>0.38600000000000001</v>
      </c>
      <c r="AD22" s="493">
        <f t="shared" si="31"/>
        <v>1.2815000000000001</v>
      </c>
      <c r="AE22" s="493">
        <f t="shared" si="32"/>
        <v>1.8244</v>
      </c>
      <c r="AF22" s="493">
        <f t="shared" si="33"/>
        <v>1.8244</v>
      </c>
      <c r="AG22" s="493" t="str">
        <f t="shared" si="34"/>
        <v>.</v>
      </c>
      <c r="AH22" s="493" t="str">
        <f t="shared" si="35"/>
        <v>.</v>
      </c>
      <c r="AI22" s="423">
        <f t="shared" si="36"/>
        <v>2077.79</v>
      </c>
      <c r="AJ22" s="423">
        <f t="shared" si="37"/>
        <v>3790.72</v>
      </c>
      <c r="AK22" s="423">
        <f t="shared" si="38"/>
        <v>315.89</v>
      </c>
      <c r="AN22" s="423" t="str">
        <f t="shared" si="39"/>
        <v>.</v>
      </c>
      <c r="AO22" s="423" t="str">
        <f t="shared" si="39"/>
        <v>.</v>
      </c>
      <c r="AR22" s="546">
        <f xml:space="preserve"> ROUND(  INDEX( Kx!22:22, AR$16 ),  AR$17 )</f>
        <v>0.54530000000000001</v>
      </c>
      <c r="AS22" s="547">
        <f xml:space="preserve"> ROUND(  INDEX( qx!22:22, AS$16 ),  AS$17 )</f>
        <v>4.0000000000000002E-4</v>
      </c>
      <c r="AT22" s="547">
        <f xml:space="preserve"> ROUND(  INDEX( qx!22:22, AT$16 ),  AT$17 )</f>
        <v>2.0000000000000001E-4</v>
      </c>
      <c r="AU22" s="548" t="str">
        <f t="shared" si="40"/>
        <v>F</v>
      </c>
      <c r="AV22" s="542">
        <f t="shared" si="41"/>
        <v>0.44429999999999997</v>
      </c>
      <c r="AW22" s="542">
        <f t="shared" si="42"/>
        <v>2.9999999999999997E-4</v>
      </c>
      <c r="AX22" s="546">
        <f xml:space="preserve"> ROUND(  INDEX( wx!22:22, AX$16 ),  AX$17 )</f>
        <v>0.1038</v>
      </c>
      <c r="AY22" s="546">
        <f xml:space="preserve"> ROUND(  INDEX( wx!22:22, AY$16 ),  AY$17 )</f>
        <v>0.12479999999999999</v>
      </c>
      <c r="AZ22" s="548" t="str">
        <f t="shared" si="43"/>
        <v>M</v>
      </c>
      <c r="BA22" s="542">
        <f t="shared" si="44"/>
        <v>0.64270000000000005</v>
      </c>
      <c r="BB22" s="542">
        <f t="shared" si="45"/>
        <v>0.1113</v>
      </c>
      <c r="BC22" s="533">
        <f xml:space="preserve"> ROUND(  INDEX( Kx!22:22, BC$16 ),  BC$17 )</f>
        <v>1392.61</v>
      </c>
      <c r="BD22" s="533">
        <f xml:space="preserve"> ROUND(  INDEX( Kx!22:22, BD$16 ),  BD$17 )</f>
        <v>2058.1799999999998</v>
      </c>
      <c r="BE22" s="548" t="str">
        <f t="shared" si="58"/>
        <v>F</v>
      </c>
      <c r="BF22" s="542">
        <f t="shared" si="46"/>
        <v>0.44429999999999997</v>
      </c>
      <c r="BG22" s="420">
        <f t="shared" si="47"/>
        <v>1762.47</v>
      </c>
      <c r="BQ22" s="549"/>
      <c r="BR22" s="423"/>
      <c r="BS22" s="550"/>
      <c r="BT22" s="423"/>
      <c r="BU22" s="551"/>
      <c r="BV22" s="551"/>
      <c r="BW22" s="529"/>
      <c r="BX22" s="552"/>
      <c r="BY22" s="559"/>
      <c r="BZ22" s="559"/>
      <c r="CB22" s="423"/>
      <c r="CC22" s="423"/>
      <c r="CD22" s="423"/>
      <c r="CE22" s="423"/>
      <c r="CF22" s="553"/>
      <c r="CH22" s="423"/>
      <c r="CI22" s="423"/>
      <c r="CJ22" s="423"/>
      <c r="CK22" s="423"/>
      <c r="CL22" s="553"/>
      <c r="CN22" s="423"/>
      <c r="CO22" s="423"/>
      <c r="CP22" s="423"/>
      <c r="CQ22" s="423"/>
      <c r="CR22" s="553"/>
      <c r="DM22" s="554"/>
      <c r="DO22" s="385"/>
      <c r="DQ22" s="385"/>
      <c r="EI22" s="553"/>
      <c r="EJ22" s="553"/>
      <c r="EK22" s="423"/>
      <c r="EL22" s="555"/>
      <c r="ES22" s="533"/>
      <c r="ET22" s="533"/>
      <c r="EU22" s="533"/>
      <c r="EV22" s="556"/>
      <c r="EY22" s="533"/>
      <c r="EZ22" s="533"/>
      <c r="FA22" s="556"/>
      <c r="FD22" s="556"/>
      <c r="FE22" s="556"/>
      <c r="FF22" s="556"/>
      <c r="FK22" s="557">
        <f t="shared" si="48"/>
        <v>22</v>
      </c>
      <c r="FL22" s="493">
        <f t="shared" si="59"/>
        <v>13.5823</v>
      </c>
      <c r="FM22" s="493">
        <f t="shared" si="60"/>
        <v>10.835800000000001</v>
      </c>
      <c r="FO22" s="427">
        <f t="shared" si="61"/>
        <v>846.44999999999982</v>
      </c>
      <c r="FP22" s="558">
        <f t="shared" si="49"/>
        <v>1194.74</v>
      </c>
      <c r="FQ22" s="558">
        <f t="shared" si="49"/>
        <v>282.89999999999998</v>
      </c>
      <c r="FR22" s="558">
        <f t="shared" si="49"/>
        <v>-631.19000000000005</v>
      </c>
      <c r="FS22" s="558" t="str">
        <f t="shared" si="49"/>
        <v>.</v>
      </c>
      <c r="FT22" s="558" t="str">
        <f t="shared" si="49"/>
        <v>.</v>
      </c>
      <c r="FU22" s="558" t="str">
        <f t="shared" si="49"/>
        <v>.</v>
      </c>
      <c r="FV22" s="558" t="str">
        <f t="shared" si="49"/>
        <v>.</v>
      </c>
      <c r="FW22" s="558" t="str">
        <f t="shared" si="49"/>
        <v>.</v>
      </c>
      <c r="FX22" s="558" t="str">
        <f t="shared" si="49"/>
        <v>.</v>
      </c>
      <c r="FY22" s="558" t="str">
        <f t="shared" si="49"/>
        <v>.</v>
      </c>
      <c r="FZ22" s="558" t="str">
        <f t="shared" si="49"/>
        <v>.</v>
      </c>
      <c r="GA22" s="558" t="str">
        <f t="shared" si="49"/>
        <v>.</v>
      </c>
      <c r="GB22" s="558" t="str">
        <f t="shared" si="49"/>
        <v>.</v>
      </c>
      <c r="GC22" s="558" t="str">
        <f t="shared" si="49"/>
        <v>.</v>
      </c>
      <c r="GD22" s="558" t="str">
        <f t="shared" si="49"/>
        <v>.</v>
      </c>
      <c r="GE22" s="558" t="str">
        <f t="shared" si="49"/>
        <v>.</v>
      </c>
      <c r="GF22" s="558" t="str">
        <f t="shared" si="50"/>
        <v>.</v>
      </c>
      <c r="GG22" s="558" t="str">
        <f t="shared" si="50"/>
        <v>.</v>
      </c>
      <c r="GH22" s="558" t="str">
        <f t="shared" si="50"/>
        <v>.</v>
      </c>
      <c r="GI22" s="558" t="str">
        <f t="shared" si="50"/>
        <v>.</v>
      </c>
      <c r="GJ22" s="558" t="str">
        <f t="shared" si="50"/>
        <v>.</v>
      </c>
      <c r="GK22" s="558" t="str">
        <f t="shared" si="50"/>
        <v>.</v>
      </c>
      <c r="GL22" s="558" t="str">
        <f t="shared" si="50"/>
        <v>.</v>
      </c>
      <c r="GM22" s="558" t="str">
        <f t="shared" si="50"/>
        <v>.</v>
      </c>
      <c r="GN22" s="558" t="str">
        <f t="shared" si="50"/>
        <v>.</v>
      </c>
      <c r="GO22" s="558" t="str">
        <f t="shared" si="50"/>
        <v>.</v>
      </c>
      <c r="GP22" s="558" t="str">
        <f t="shared" si="50"/>
        <v>.</v>
      </c>
      <c r="GQ22" s="558" t="str">
        <f t="shared" si="50"/>
        <v>.</v>
      </c>
      <c r="GR22" s="558" t="str">
        <f t="shared" si="50"/>
        <v>.</v>
      </c>
      <c r="GS22" s="558" t="str">
        <f t="shared" si="50"/>
        <v>.</v>
      </c>
      <c r="GT22" s="558" t="str">
        <f t="shared" si="50"/>
        <v>.</v>
      </c>
      <c r="GU22" s="558" t="str">
        <f t="shared" si="50"/>
        <v>.</v>
      </c>
      <c r="GV22" s="558" t="str">
        <f t="shared" si="51"/>
        <v>.</v>
      </c>
      <c r="GW22" s="558" t="str">
        <f t="shared" si="51"/>
        <v>.</v>
      </c>
      <c r="GX22" s="558" t="str">
        <f t="shared" si="51"/>
        <v>.</v>
      </c>
      <c r="GY22" s="558" t="str">
        <f t="shared" si="51"/>
        <v>.</v>
      </c>
      <c r="GZ22" s="558" t="str">
        <f t="shared" si="51"/>
        <v>.</v>
      </c>
      <c r="HA22" s="558" t="str">
        <f t="shared" si="51"/>
        <v>.</v>
      </c>
      <c r="HB22" s="558" t="str">
        <f t="shared" si="51"/>
        <v>.</v>
      </c>
      <c r="HC22" s="558" t="str">
        <f t="shared" si="51"/>
        <v>.</v>
      </c>
      <c r="HD22" s="558" t="str">
        <f t="shared" si="51"/>
        <v>.</v>
      </c>
      <c r="HE22" s="558" t="str">
        <f t="shared" si="51"/>
        <v>.</v>
      </c>
      <c r="HF22" s="558" t="str">
        <f t="shared" si="51"/>
        <v>.</v>
      </c>
      <c r="HG22" s="558" t="str">
        <f t="shared" si="51"/>
        <v>.</v>
      </c>
      <c r="HH22" s="558" t="str">
        <f t="shared" si="51"/>
        <v>.</v>
      </c>
      <c r="HI22" s="558" t="str">
        <f t="shared" si="51"/>
        <v>.</v>
      </c>
      <c r="HJ22" s="558" t="str">
        <f t="shared" si="51"/>
        <v>.</v>
      </c>
      <c r="HK22" s="558" t="str">
        <f t="shared" si="51"/>
        <v>.</v>
      </c>
      <c r="HL22" s="558" t="str">
        <f t="shared" si="52"/>
        <v>.</v>
      </c>
      <c r="HM22" s="558" t="str">
        <f t="shared" si="52"/>
        <v>.</v>
      </c>
      <c r="HN22" s="558" t="str">
        <f t="shared" si="52"/>
        <v>.</v>
      </c>
      <c r="HO22" s="558" t="str">
        <f t="shared" si="52"/>
        <v>.</v>
      </c>
      <c r="HP22" s="558" t="str">
        <f t="shared" si="52"/>
        <v>.</v>
      </c>
      <c r="HQ22" s="558" t="str">
        <f t="shared" si="52"/>
        <v>.</v>
      </c>
      <c r="HR22" s="558" t="str">
        <f t="shared" si="52"/>
        <v>.</v>
      </c>
      <c r="HS22" s="558" t="str">
        <f t="shared" si="52"/>
        <v>.</v>
      </c>
      <c r="HT22" s="558" t="str">
        <f t="shared" si="52"/>
        <v>.</v>
      </c>
      <c r="HU22" s="558" t="str">
        <f t="shared" si="52"/>
        <v>.</v>
      </c>
      <c r="HV22" s="558" t="str">
        <f t="shared" si="52"/>
        <v>.</v>
      </c>
      <c r="HW22" s="558" t="str">
        <f t="shared" si="52"/>
        <v>.</v>
      </c>
      <c r="HX22" s="558" t="str">
        <f t="shared" si="52"/>
        <v>.</v>
      </c>
      <c r="HY22" s="558" t="str">
        <f t="shared" si="52"/>
        <v>.</v>
      </c>
      <c r="HZ22" s="558" t="str">
        <f t="shared" si="52"/>
        <v>.</v>
      </c>
      <c r="IA22" s="558" t="str">
        <f t="shared" si="52"/>
        <v>.</v>
      </c>
      <c r="IB22" s="558" t="str">
        <f t="shared" si="52"/>
        <v>.</v>
      </c>
      <c r="IC22" s="558" t="str">
        <f t="shared" si="52"/>
        <v>.</v>
      </c>
      <c r="ID22" s="558" t="str">
        <f t="shared" si="53"/>
        <v>.</v>
      </c>
      <c r="IE22" s="558" t="str">
        <f t="shared" si="53"/>
        <v>.</v>
      </c>
      <c r="IF22" s="558" t="str">
        <f t="shared" si="53"/>
        <v>.</v>
      </c>
      <c r="IG22" s="558" t="str">
        <f t="shared" si="53"/>
        <v>.</v>
      </c>
      <c r="IH22" s="558" t="str">
        <f t="shared" si="53"/>
        <v>.</v>
      </c>
      <c r="II22" s="558" t="str">
        <f t="shared" si="53"/>
        <v>.</v>
      </c>
      <c r="IJ22" s="558" t="str">
        <f t="shared" si="53"/>
        <v>.</v>
      </c>
      <c r="IK22" s="558" t="str">
        <f t="shared" si="53"/>
        <v>.</v>
      </c>
      <c r="IL22" s="558" t="str">
        <f t="shared" si="53"/>
        <v>.</v>
      </c>
      <c r="IM22" s="558" t="str">
        <f t="shared" si="53"/>
        <v>.</v>
      </c>
      <c r="IN22" s="558" t="str">
        <f t="shared" si="53"/>
        <v>.</v>
      </c>
      <c r="IO22" s="558" t="str">
        <f t="shared" si="53"/>
        <v>.</v>
      </c>
      <c r="IP22" s="558" t="str">
        <f t="shared" si="53"/>
        <v>.</v>
      </c>
      <c r="IQ22" s="558" t="str">
        <f t="shared" si="53"/>
        <v>.</v>
      </c>
      <c r="IR22" s="558" t="str">
        <f t="shared" si="53"/>
        <v>.</v>
      </c>
      <c r="IS22" s="558" t="str">
        <f t="shared" si="53"/>
        <v>.</v>
      </c>
      <c r="IT22" s="558" t="str">
        <f t="shared" si="53"/>
        <v>.</v>
      </c>
      <c r="IU22" s="558" t="str">
        <f t="shared" si="53"/>
        <v>.</v>
      </c>
      <c r="IV22" s="558" t="str">
        <f t="shared" si="53"/>
        <v>.</v>
      </c>
      <c r="IW22" s="558" t="str">
        <f t="shared" si="53"/>
        <v>.</v>
      </c>
      <c r="IX22" s="558" t="str">
        <f t="shared" si="53"/>
        <v>.</v>
      </c>
      <c r="IY22" s="558" t="str">
        <f t="shared" si="53"/>
        <v>.</v>
      </c>
      <c r="IZ22" s="558" t="str">
        <f t="shared" si="53"/>
        <v>.</v>
      </c>
      <c r="JA22" s="558" t="str">
        <f t="shared" si="53"/>
        <v>.</v>
      </c>
      <c r="JB22" s="558" t="str">
        <f t="shared" si="53"/>
        <v>.</v>
      </c>
      <c r="JC22" s="558" t="str">
        <f t="shared" si="54"/>
        <v>.</v>
      </c>
      <c r="JD22" s="558" t="str">
        <f t="shared" si="54"/>
        <v>.</v>
      </c>
      <c r="JE22" s="558" t="str">
        <f t="shared" si="54"/>
        <v>.</v>
      </c>
      <c r="JF22" s="558" t="str">
        <f t="shared" si="54"/>
        <v>.</v>
      </c>
      <c r="JG22" s="558" t="str">
        <f t="shared" si="54"/>
        <v>.</v>
      </c>
      <c r="JH22" s="558" t="str">
        <f t="shared" si="54"/>
        <v>.</v>
      </c>
      <c r="JI22" s="558" t="str">
        <f t="shared" si="54"/>
        <v>.</v>
      </c>
      <c r="JJ22" s="558" t="str">
        <f t="shared" si="54"/>
        <v>.</v>
      </c>
      <c r="JK22" s="558" t="str">
        <f t="shared" si="54"/>
        <v>.</v>
      </c>
      <c r="JL22" s="558" t="str">
        <f t="shared" si="54"/>
        <v>.</v>
      </c>
    </row>
    <row r="23" spans="1:272" ht="10.199999999999999" x14ac:dyDescent="0.2">
      <c r="A23" s="534">
        <f xml:space="preserve"> Basis!A23</f>
        <v>23</v>
      </c>
      <c r="F23" s="536">
        <f xml:space="preserve"> ROUND(    IF( $A$15=BE_MF_,   AW23,   INDEX( qx!23:23, F$16 ) ),    F$17    )</f>
        <v>2.9999999999999997E-4</v>
      </c>
      <c r="G23" s="536">
        <f xml:space="preserve"> ROUND(    IF( $A$15=BE_MF_,   BB23,   INDEX( wx!23:23, G$16 ) ),    G$17    )</f>
        <v>9.2999999999999999E-2</v>
      </c>
      <c r="H23" s="537">
        <f xml:space="preserve"> ROUND(    IF( $A$15=BE_MF_,   BG23,   INDEX( Kx!23:23, H$16 ) ),    H$17    )</f>
        <v>1783.36</v>
      </c>
      <c r="I23" s="538">
        <f t="shared" si="55"/>
        <v>1783.36</v>
      </c>
      <c r="J23" s="539">
        <f t="shared" si="17"/>
        <v>0.85799999999999998</v>
      </c>
      <c r="K23" s="540">
        <f t="shared" si="56"/>
        <v>2</v>
      </c>
      <c r="L23" s="541">
        <f t="shared" si="18"/>
        <v>0</v>
      </c>
      <c r="M23" s="541">
        <f t="shared" si="18"/>
        <v>8.5999999999999993E-2</v>
      </c>
      <c r="O23" s="542" t="b">
        <f t="shared" si="57"/>
        <v>1</v>
      </c>
      <c r="P23" s="493">
        <f t="shared" si="19"/>
        <v>9.3299999999999994E-2</v>
      </c>
      <c r="Q23" s="493">
        <f t="shared" si="20"/>
        <v>0.90669999999999995</v>
      </c>
      <c r="R23" s="543">
        <f t="shared" si="21"/>
        <v>3138871</v>
      </c>
      <c r="S23" s="544">
        <f t="shared" si="22"/>
        <v>0.97560975599999999</v>
      </c>
      <c r="T23" s="423">
        <f t="shared" si="23"/>
        <v>1778789.52</v>
      </c>
      <c r="U23" s="423">
        <f xml:space="preserve"> IF( $O23,    ROUND(  SUM( T23:T$120), U$17 ),  LEER  )</f>
        <v>20185887.539999999</v>
      </c>
      <c r="V23" s="493">
        <f t="shared" si="24"/>
        <v>11.348100000000001</v>
      </c>
      <c r="W23" s="493">
        <f t="shared" si="25"/>
        <v>1526201.41</v>
      </c>
      <c r="X23" s="493">
        <f xml:space="preserve"> IF( $O23,    ROUND(  SUM( W23:W$120), X$17 ),  LEER  )</f>
        <v>26134451.870000001</v>
      </c>
      <c r="Y23" s="493">
        <f t="shared" si="26"/>
        <v>14.692299999999999</v>
      </c>
      <c r="Z23" s="493">
        <f t="shared" si="27"/>
        <v>1.2947</v>
      </c>
      <c r="AA23" s="493">
        <f t="shared" si="28"/>
        <v>1.0163</v>
      </c>
      <c r="AB23" s="493">
        <f t="shared" si="29"/>
        <v>2.3494000000000002</v>
      </c>
      <c r="AC23" s="545">
        <f t="shared" si="30"/>
        <v>0.38600000000000001</v>
      </c>
      <c r="AD23" s="493">
        <f t="shared" si="31"/>
        <v>1.3221000000000001</v>
      </c>
      <c r="AE23" s="493">
        <f t="shared" si="32"/>
        <v>1.8688</v>
      </c>
      <c r="AF23" s="493">
        <f t="shared" si="33"/>
        <v>1.8688</v>
      </c>
      <c r="AG23" s="493" t="str">
        <f t="shared" si="34"/>
        <v>.</v>
      </c>
      <c r="AH23" s="493" t="str">
        <f t="shared" si="35"/>
        <v>.</v>
      </c>
      <c r="AI23" s="423">
        <f t="shared" si="36"/>
        <v>2077.79</v>
      </c>
      <c r="AJ23" s="423">
        <f t="shared" si="37"/>
        <v>3882.97</v>
      </c>
      <c r="AK23" s="423">
        <f t="shared" si="38"/>
        <v>323.58</v>
      </c>
      <c r="AN23" s="423" t="str">
        <f t="shared" si="39"/>
        <v>.</v>
      </c>
      <c r="AO23" s="423" t="str">
        <f t="shared" si="39"/>
        <v>.</v>
      </c>
      <c r="AR23" s="546">
        <f xml:space="preserve"> ROUND(  INDEX( Kx!23:23, AR$16 ),  AR$17 )</f>
        <v>0.57999999999999996</v>
      </c>
      <c r="AS23" s="547">
        <f xml:space="preserve"> ROUND(  INDEX( qx!23:23, AS$16 ),  AS$17 )</f>
        <v>4.0000000000000002E-4</v>
      </c>
      <c r="AT23" s="547">
        <f xml:space="preserve"> ROUND(  INDEX( qx!23:23, AT$16 ),  AT$17 )</f>
        <v>2.0000000000000001E-4</v>
      </c>
      <c r="AU23" s="548" t="str">
        <f t="shared" si="40"/>
        <v>F</v>
      </c>
      <c r="AV23" s="542">
        <f t="shared" si="41"/>
        <v>0.4793</v>
      </c>
      <c r="AW23" s="542">
        <f t="shared" si="42"/>
        <v>2.9999999999999997E-4</v>
      </c>
      <c r="AX23" s="546">
        <f xml:space="preserve"> ROUND(  INDEX( wx!23:23, AX$16 ),  AX$17 )</f>
        <v>8.5500000000000007E-2</v>
      </c>
      <c r="AY23" s="546">
        <f xml:space="preserve"> ROUND(  INDEX( wx!23:23, AY$16 ),  AY$17 )</f>
        <v>0.1085</v>
      </c>
      <c r="AZ23" s="548" t="str">
        <f t="shared" si="43"/>
        <v>M</v>
      </c>
      <c r="BA23" s="542">
        <f t="shared" si="44"/>
        <v>0.6744</v>
      </c>
      <c r="BB23" s="542">
        <f t="shared" si="45"/>
        <v>9.2999999999999999E-2</v>
      </c>
      <c r="BC23" s="533">
        <f xml:space="preserve"> ROUND(  INDEX( Kx!23:23, BC$16 ),  BC$17 )</f>
        <v>1392.74</v>
      </c>
      <c r="BD23" s="533">
        <f xml:space="preserve"> ROUND(  INDEX( Kx!23:23, BD$16 ),  BD$17 )</f>
        <v>2142.9299999999998</v>
      </c>
      <c r="BE23" s="548" t="str">
        <f t="shared" si="58"/>
        <v>F</v>
      </c>
      <c r="BF23" s="542">
        <f t="shared" si="46"/>
        <v>0.4793</v>
      </c>
      <c r="BG23" s="420">
        <f t="shared" si="47"/>
        <v>1783.36</v>
      </c>
      <c r="BQ23" s="549"/>
      <c r="BR23" s="423"/>
      <c r="BS23" s="550"/>
      <c r="BT23" s="423"/>
      <c r="BU23" s="551"/>
      <c r="BV23" s="551"/>
      <c r="BW23" s="529"/>
      <c r="BX23" s="552"/>
      <c r="BY23" s="559"/>
      <c r="BZ23" s="559"/>
      <c r="CB23" s="423"/>
      <c r="CC23" s="423"/>
      <c r="CD23" s="423"/>
      <c r="CE23" s="423"/>
      <c r="CF23" s="553"/>
      <c r="CH23" s="423"/>
      <c r="CI23" s="423"/>
      <c r="CJ23" s="423"/>
      <c r="CK23" s="423"/>
      <c r="CL23" s="553"/>
      <c r="CN23" s="423"/>
      <c r="CO23" s="423"/>
      <c r="CP23" s="423"/>
      <c r="CQ23" s="423"/>
      <c r="CR23" s="553"/>
      <c r="DM23" s="554"/>
      <c r="DO23" s="385"/>
      <c r="DP23" s="385"/>
      <c r="DQ23" s="385"/>
      <c r="EI23" s="553"/>
      <c r="EJ23" s="553"/>
      <c r="EK23" s="423"/>
      <c r="EL23" s="555"/>
      <c r="ES23" s="533"/>
      <c r="ET23" s="533"/>
      <c r="EU23" s="533"/>
      <c r="EV23" s="556"/>
      <c r="EY23" s="533"/>
      <c r="EZ23" s="533"/>
      <c r="FA23" s="556"/>
      <c r="FD23" s="556"/>
      <c r="FE23" s="556"/>
      <c r="FF23" s="556"/>
      <c r="FK23" s="557">
        <f t="shared" si="48"/>
        <v>23</v>
      </c>
      <c r="FL23" s="493">
        <f t="shared" si="59"/>
        <v>14.692299999999999</v>
      </c>
      <c r="FM23" s="493">
        <f t="shared" si="60"/>
        <v>11.348100000000001</v>
      </c>
      <c r="FO23" s="427">
        <f t="shared" si="61"/>
        <v>3156.5200000000004</v>
      </c>
      <c r="FP23" s="558">
        <f t="shared" si="49"/>
        <v>2223.3200000000002</v>
      </c>
      <c r="FQ23" s="558">
        <f t="shared" si="49"/>
        <v>1268.3699999999999</v>
      </c>
      <c r="FR23" s="558">
        <f t="shared" si="49"/>
        <v>311.07</v>
      </c>
      <c r="FS23" s="558">
        <f t="shared" si="49"/>
        <v>-646.24</v>
      </c>
      <c r="FT23" s="558" t="str">
        <f t="shared" si="49"/>
        <v>.</v>
      </c>
      <c r="FU23" s="558" t="str">
        <f t="shared" si="49"/>
        <v>.</v>
      </c>
      <c r="FV23" s="558" t="str">
        <f t="shared" si="49"/>
        <v>.</v>
      </c>
      <c r="FW23" s="558" t="str">
        <f t="shared" si="49"/>
        <v>.</v>
      </c>
      <c r="FX23" s="558" t="str">
        <f t="shared" si="49"/>
        <v>.</v>
      </c>
      <c r="FY23" s="558" t="str">
        <f t="shared" si="49"/>
        <v>.</v>
      </c>
      <c r="FZ23" s="558" t="str">
        <f t="shared" si="49"/>
        <v>.</v>
      </c>
      <c r="GA23" s="558" t="str">
        <f t="shared" si="49"/>
        <v>.</v>
      </c>
      <c r="GB23" s="558" t="str">
        <f t="shared" si="49"/>
        <v>.</v>
      </c>
      <c r="GC23" s="558" t="str">
        <f t="shared" si="49"/>
        <v>.</v>
      </c>
      <c r="GD23" s="558" t="str">
        <f t="shared" si="49"/>
        <v>.</v>
      </c>
      <c r="GE23" s="558" t="str">
        <f t="shared" si="49"/>
        <v>.</v>
      </c>
      <c r="GF23" s="558" t="str">
        <f t="shared" si="50"/>
        <v>.</v>
      </c>
      <c r="GG23" s="558" t="str">
        <f t="shared" si="50"/>
        <v>.</v>
      </c>
      <c r="GH23" s="558" t="str">
        <f t="shared" si="50"/>
        <v>.</v>
      </c>
      <c r="GI23" s="558" t="str">
        <f t="shared" si="50"/>
        <v>.</v>
      </c>
      <c r="GJ23" s="558" t="str">
        <f t="shared" si="50"/>
        <v>.</v>
      </c>
      <c r="GK23" s="558" t="str">
        <f t="shared" si="50"/>
        <v>.</v>
      </c>
      <c r="GL23" s="558" t="str">
        <f t="shared" si="50"/>
        <v>.</v>
      </c>
      <c r="GM23" s="558" t="str">
        <f t="shared" si="50"/>
        <v>.</v>
      </c>
      <c r="GN23" s="558" t="str">
        <f t="shared" si="50"/>
        <v>.</v>
      </c>
      <c r="GO23" s="558" t="str">
        <f t="shared" si="50"/>
        <v>.</v>
      </c>
      <c r="GP23" s="558" t="str">
        <f t="shared" si="50"/>
        <v>.</v>
      </c>
      <c r="GQ23" s="558" t="str">
        <f t="shared" si="50"/>
        <v>.</v>
      </c>
      <c r="GR23" s="558" t="str">
        <f t="shared" si="50"/>
        <v>.</v>
      </c>
      <c r="GS23" s="558" t="str">
        <f t="shared" si="50"/>
        <v>.</v>
      </c>
      <c r="GT23" s="558" t="str">
        <f t="shared" si="50"/>
        <v>.</v>
      </c>
      <c r="GU23" s="558" t="str">
        <f t="shared" si="50"/>
        <v>.</v>
      </c>
      <c r="GV23" s="558" t="str">
        <f t="shared" si="51"/>
        <v>.</v>
      </c>
      <c r="GW23" s="558" t="str">
        <f t="shared" si="51"/>
        <v>.</v>
      </c>
      <c r="GX23" s="558" t="str">
        <f t="shared" si="51"/>
        <v>.</v>
      </c>
      <c r="GY23" s="558" t="str">
        <f t="shared" si="51"/>
        <v>.</v>
      </c>
      <c r="GZ23" s="558" t="str">
        <f t="shared" si="51"/>
        <v>.</v>
      </c>
      <c r="HA23" s="558" t="str">
        <f t="shared" si="51"/>
        <v>.</v>
      </c>
      <c r="HB23" s="558" t="str">
        <f t="shared" si="51"/>
        <v>.</v>
      </c>
      <c r="HC23" s="558" t="str">
        <f t="shared" si="51"/>
        <v>.</v>
      </c>
      <c r="HD23" s="558" t="str">
        <f t="shared" si="51"/>
        <v>.</v>
      </c>
      <c r="HE23" s="558" t="str">
        <f t="shared" si="51"/>
        <v>.</v>
      </c>
      <c r="HF23" s="558" t="str">
        <f t="shared" si="51"/>
        <v>.</v>
      </c>
      <c r="HG23" s="558" t="str">
        <f t="shared" si="51"/>
        <v>.</v>
      </c>
      <c r="HH23" s="558" t="str">
        <f t="shared" si="51"/>
        <v>.</v>
      </c>
      <c r="HI23" s="558" t="str">
        <f t="shared" si="51"/>
        <v>.</v>
      </c>
      <c r="HJ23" s="558" t="str">
        <f t="shared" si="51"/>
        <v>.</v>
      </c>
      <c r="HK23" s="558" t="str">
        <f t="shared" si="51"/>
        <v>.</v>
      </c>
      <c r="HL23" s="558" t="str">
        <f t="shared" si="52"/>
        <v>.</v>
      </c>
      <c r="HM23" s="558" t="str">
        <f t="shared" si="52"/>
        <v>.</v>
      </c>
      <c r="HN23" s="558" t="str">
        <f t="shared" si="52"/>
        <v>.</v>
      </c>
      <c r="HO23" s="558" t="str">
        <f t="shared" si="52"/>
        <v>.</v>
      </c>
      <c r="HP23" s="558" t="str">
        <f t="shared" si="52"/>
        <v>.</v>
      </c>
      <c r="HQ23" s="558" t="str">
        <f t="shared" si="52"/>
        <v>.</v>
      </c>
      <c r="HR23" s="558" t="str">
        <f t="shared" si="52"/>
        <v>.</v>
      </c>
      <c r="HS23" s="558" t="str">
        <f t="shared" si="52"/>
        <v>.</v>
      </c>
      <c r="HT23" s="558" t="str">
        <f t="shared" si="52"/>
        <v>.</v>
      </c>
      <c r="HU23" s="558" t="str">
        <f t="shared" si="52"/>
        <v>.</v>
      </c>
      <c r="HV23" s="558" t="str">
        <f t="shared" si="52"/>
        <v>.</v>
      </c>
      <c r="HW23" s="558" t="str">
        <f t="shared" si="52"/>
        <v>.</v>
      </c>
      <c r="HX23" s="558" t="str">
        <f t="shared" si="52"/>
        <v>.</v>
      </c>
      <c r="HY23" s="558" t="str">
        <f t="shared" si="52"/>
        <v>.</v>
      </c>
      <c r="HZ23" s="558" t="str">
        <f t="shared" si="52"/>
        <v>.</v>
      </c>
      <c r="IA23" s="558" t="str">
        <f t="shared" si="52"/>
        <v>.</v>
      </c>
      <c r="IB23" s="558" t="str">
        <f t="shared" si="52"/>
        <v>.</v>
      </c>
      <c r="IC23" s="558" t="str">
        <f t="shared" si="52"/>
        <v>.</v>
      </c>
      <c r="ID23" s="558" t="str">
        <f t="shared" si="53"/>
        <v>.</v>
      </c>
      <c r="IE23" s="558" t="str">
        <f t="shared" si="53"/>
        <v>.</v>
      </c>
      <c r="IF23" s="558" t="str">
        <f t="shared" si="53"/>
        <v>.</v>
      </c>
      <c r="IG23" s="558" t="str">
        <f t="shared" si="53"/>
        <v>.</v>
      </c>
      <c r="IH23" s="558" t="str">
        <f t="shared" si="53"/>
        <v>.</v>
      </c>
      <c r="II23" s="558" t="str">
        <f t="shared" si="53"/>
        <v>.</v>
      </c>
      <c r="IJ23" s="558" t="str">
        <f t="shared" si="53"/>
        <v>.</v>
      </c>
      <c r="IK23" s="558" t="str">
        <f t="shared" si="53"/>
        <v>.</v>
      </c>
      <c r="IL23" s="558" t="str">
        <f t="shared" si="53"/>
        <v>.</v>
      </c>
      <c r="IM23" s="558" t="str">
        <f t="shared" si="53"/>
        <v>.</v>
      </c>
      <c r="IN23" s="558" t="str">
        <f t="shared" si="53"/>
        <v>.</v>
      </c>
      <c r="IO23" s="558" t="str">
        <f t="shared" si="53"/>
        <v>.</v>
      </c>
      <c r="IP23" s="558" t="str">
        <f t="shared" si="53"/>
        <v>.</v>
      </c>
      <c r="IQ23" s="558" t="str">
        <f t="shared" si="53"/>
        <v>.</v>
      </c>
      <c r="IR23" s="558" t="str">
        <f t="shared" si="53"/>
        <v>.</v>
      </c>
      <c r="IS23" s="558" t="str">
        <f t="shared" si="53"/>
        <v>.</v>
      </c>
      <c r="IT23" s="558" t="str">
        <f t="shared" si="53"/>
        <v>.</v>
      </c>
      <c r="IU23" s="558" t="str">
        <f t="shared" si="53"/>
        <v>.</v>
      </c>
      <c r="IV23" s="558" t="str">
        <f t="shared" si="53"/>
        <v>.</v>
      </c>
      <c r="IW23" s="558" t="str">
        <f t="shared" si="53"/>
        <v>.</v>
      </c>
      <c r="IX23" s="558" t="str">
        <f t="shared" si="53"/>
        <v>.</v>
      </c>
      <c r="IY23" s="558" t="str">
        <f t="shared" si="53"/>
        <v>.</v>
      </c>
      <c r="IZ23" s="558" t="str">
        <f t="shared" si="53"/>
        <v>.</v>
      </c>
      <c r="JA23" s="558" t="str">
        <f t="shared" si="53"/>
        <v>.</v>
      </c>
      <c r="JB23" s="558" t="str">
        <f t="shared" si="53"/>
        <v>.</v>
      </c>
      <c r="JC23" s="558" t="str">
        <f t="shared" si="54"/>
        <v>.</v>
      </c>
      <c r="JD23" s="558" t="str">
        <f t="shared" si="54"/>
        <v>.</v>
      </c>
      <c r="JE23" s="558" t="str">
        <f t="shared" si="54"/>
        <v>.</v>
      </c>
      <c r="JF23" s="558" t="str">
        <f t="shared" si="54"/>
        <v>.</v>
      </c>
      <c r="JG23" s="558" t="str">
        <f t="shared" si="54"/>
        <v>.</v>
      </c>
      <c r="JH23" s="558" t="str">
        <f t="shared" si="54"/>
        <v>.</v>
      </c>
      <c r="JI23" s="558" t="str">
        <f t="shared" si="54"/>
        <v>.</v>
      </c>
      <c r="JJ23" s="558" t="str">
        <f t="shared" si="54"/>
        <v>.</v>
      </c>
      <c r="JK23" s="558" t="str">
        <f t="shared" si="54"/>
        <v>.</v>
      </c>
      <c r="JL23" s="558" t="str">
        <f t="shared" si="54"/>
        <v>.</v>
      </c>
    </row>
    <row r="24" spans="1:272" ht="10.199999999999999" x14ac:dyDescent="0.2">
      <c r="A24" s="534">
        <f xml:space="preserve"> Basis!A24</f>
        <v>24</v>
      </c>
      <c r="F24" s="536">
        <f xml:space="preserve"> ROUND(    IF( $A$15=BE_MF_,   AW24,   INDEX( qx!24:24, F$16 ) ),    F$17    )</f>
        <v>2.9999999999999997E-4</v>
      </c>
      <c r="G24" s="536">
        <f xml:space="preserve"> ROUND(    IF( $A$15=BE_MF_,   BB24,   INDEX( wx!24:24, G$16 ) ),    G$17    )</f>
        <v>9.2700000000000005E-2</v>
      </c>
      <c r="H24" s="537">
        <f xml:space="preserve"> ROUND(    IF( $A$15=BE_MF_,   BG24,   INDEX( Kx!24:24, H$16 ) ),    H$17    )</f>
        <v>1810.8</v>
      </c>
      <c r="I24" s="538">
        <f t="shared" si="55"/>
        <v>1810.8</v>
      </c>
      <c r="J24" s="539">
        <f t="shared" si="17"/>
        <v>0.872</v>
      </c>
      <c r="K24" s="540">
        <f t="shared" si="56"/>
        <v>2</v>
      </c>
      <c r="L24" s="541">
        <f t="shared" si="18"/>
        <v>0</v>
      </c>
      <c r="M24" s="541">
        <f t="shared" si="18"/>
        <v>8.5999999999999993E-2</v>
      </c>
      <c r="O24" s="542" t="b">
        <f t="shared" si="57"/>
        <v>1</v>
      </c>
      <c r="P24" s="493">
        <f t="shared" si="19"/>
        <v>9.2999999999999999E-2</v>
      </c>
      <c r="Q24" s="493">
        <f t="shared" si="20"/>
        <v>0.90700000000000003</v>
      </c>
      <c r="R24" s="543">
        <f t="shared" si="21"/>
        <v>2846014</v>
      </c>
      <c r="S24" s="544">
        <f t="shared" si="22"/>
        <v>0.97560975599999999</v>
      </c>
      <c r="T24" s="423">
        <f t="shared" si="23"/>
        <v>1573490.99</v>
      </c>
      <c r="U24" s="423">
        <f xml:space="preserve"> IF( $O24,    ROUND(  SUM( T24:T$120), U$17 ),  LEER  )</f>
        <v>18407098.02</v>
      </c>
      <c r="V24" s="493">
        <f t="shared" si="24"/>
        <v>11.6983</v>
      </c>
      <c r="W24" s="493">
        <f t="shared" si="25"/>
        <v>1372084.14</v>
      </c>
      <c r="X24" s="493">
        <f xml:space="preserve"> IF( $O24,    ROUND(  SUM( W24:W$120), X$17 ),  LEER  )</f>
        <v>24608250.460000001</v>
      </c>
      <c r="Y24" s="493">
        <f t="shared" si="26"/>
        <v>15.6393</v>
      </c>
      <c r="Z24" s="493">
        <f t="shared" si="27"/>
        <v>1.3369</v>
      </c>
      <c r="AA24" s="493">
        <f t="shared" si="28"/>
        <v>1.0158</v>
      </c>
      <c r="AB24" s="493">
        <f t="shared" si="29"/>
        <v>2.3494000000000002</v>
      </c>
      <c r="AC24" s="545">
        <f t="shared" si="30"/>
        <v>0.38600000000000001</v>
      </c>
      <c r="AD24" s="493">
        <f t="shared" si="31"/>
        <v>1.3641000000000001</v>
      </c>
      <c r="AE24" s="493">
        <f t="shared" si="32"/>
        <v>1.9148000000000001</v>
      </c>
      <c r="AF24" s="493">
        <f t="shared" si="33"/>
        <v>1.9148000000000001</v>
      </c>
      <c r="AG24" s="493" t="str">
        <f t="shared" si="34"/>
        <v>.</v>
      </c>
      <c r="AH24" s="493" t="str">
        <f t="shared" si="35"/>
        <v>.</v>
      </c>
      <c r="AI24" s="423">
        <f t="shared" si="36"/>
        <v>2077.79</v>
      </c>
      <c r="AJ24" s="423">
        <f t="shared" si="37"/>
        <v>3978.55</v>
      </c>
      <c r="AK24" s="423">
        <f t="shared" si="38"/>
        <v>331.55</v>
      </c>
      <c r="AN24" s="423" t="str">
        <f t="shared" si="39"/>
        <v>.</v>
      </c>
      <c r="AO24" s="423" t="str">
        <f t="shared" si="39"/>
        <v>.</v>
      </c>
      <c r="AR24" s="546">
        <f xml:space="preserve"> ROUND(  INDEX( Kx!24:24, AR$16 ),  AR$17 )</f>
        <v>0.60409999999999997</v>
      </c>
      <c r="AS24" s="547">
        <f xml:space="preserve"> ROUND(  INDEX( qx!24:24, AS$16 ),  AS$17 )</f>
        <v>4.0000000000000002E-4</v>
      </c>
      <c r="AT24" s="547">
        <f xml:space="preserve"> ROUND(  INDEX( qx!24:24, AT$16 ),  AT$17 )</f>
        <v>2.0000000000000001E-4</v>
      </c>
      <c r="AU24" s="548" t="str">
        <f t="shared" si="40"/>
        <v>F</v>
      </c>
      <c r="AV24" s="542">
        <f t="shared" si="41"/>
        <v>0.50429999999999997</v>
      </c>
      <c r="AW24" s="542">
        <f t="shared" si="42"/>
        <v>2.9999999999999997E-4</v>
      </c>
      <c r="AX24" s="546">
        <f xml:space="preserve"> ROUND(  INDEX( wx!24:24, AX$16 ),  AX$17 )</f>
        <v>8.4599999999999995E-2</v>
      </c>
      <c r="AY24" s="546">
        <f xml:space="preserve"> ROUND(  INDEX( wx!24:24, AY$16 ),  AY$17 )</f>
        <v>0.1111</v>
      </c>
      <c r="AZ24" s="548" t="str">
        <f t="shared" si="43"/>
        <v>M</v>
      </c>
      <c r="BA24" s="542">
        <f t="shared" si="44"/>
        <v>0.69589999999999996</v>
      </c>
      <c r="BB24" s="542">
        <f t="shared" si="45"/>
        <v>9.2700000000000005E-2</v>
      </c>
      <c r="BC24" s="533">
        <f xml:space="preserve"> ROUND(  INDEX( Kx!24:24, BC$16 ),  BC$17 )</f>
        <v>1393.76</v>
      </c>
      <c r="BD24" s="533">
        <f xml:space="preserve"> ROUND(  INDEX( Kx!24:24, BD$16 ),  BD$17 )</f>
        <v>2235.0700000000002</v>
      </c>
      <c r="BE24" s="548" t="str">
        <f t="shared" si="58"/>
        <v>F</v>
      </c>
      <c r="BF24" s="542">
        <f t="shared" si="46"/>
        <v>0.50429999999999997</v>
      </c>
      <c r="BG24" s="420">
        <f t="shared" si="47"/>
        <v>1810.8</v>
      </c>
      <c r="BQ24" s="549"/>
      <c r="BR24" s="423"/>
      <c r="BS24" s="550"/>
      <c r="BT24" s="423"/>
      <c r="BU24" s="551"/>
      <c r="BV24" s="551"/>
      <c r="BW24" s="529"/>
      <c r="BX24" s="552"/>
      <c r="BY24" s="559"/>
      <c r="BZ24" s="559"/>
      <c r="CB24" s="423"/>
      <c r="CC24" s="423"/>
      <c r="CD24" s="423"/>
      <c r="CE24" s="423"/>
      <c r="CF24" s="553"/>
      <c r="CH24" s="423"/>
      <c r="CI24" s="423"/>
      <c r="CJ24" s="423"/>
      <c r="CK24" s="423"/>
      <c r="CL24" s="553"/>
      <c r="CN24" s="423"/>
      <c r="CO24" s="423"/>
      <c r="CP24" s="423"/>
      <c r="CQ24" s="423"/>
      <c r="CR24" s="553"/>
      <c r="DM24" s="554"/>
      <c r="DO24" s="385"/>
      <c r="DP24" s="385"/>
      <c r="DQ24" s="385"/>
      <c r="EI24" s="553"/>
      <c r="EJ24" s="553"/>
      <c r="EK24" s="423"/>
      <c r="EL24" s="555"/>
      <c r="ES24" s="533"/>
      <c r="ET24" s="533"/>
      <c r="EU24" s="533"/>
      <c r="EV24" s="556"/>
      <c r="EY24" s="533"/>
      <c r="EZ24" s="533"/>
      <c r="FA24" s="556"/>
      <c r="FD24" s="556"/>
      <c r="FE24" s="556"/>
      <c r="FF24" s="556"/>
      <c r="FK24" s="557">
        <f t="shared" si="48"/>
        <v>24</v>
      </c>
      <c r="FL24" s="493">
        <f t="shared" si="59"/>
        <v>15.6393</v>
      </c>
      <c r="FM24" s="493">
        <f t="shared" si="60"/>
        <v>11.6983</v>
      </c>
      <c r="FO24" s="427">
        <f t="shared" si="61"/>
        <v>6694.84</v>
      </c>
      <c r="FP24" s="558">
        <f t="shared" si="49"/>
        <v>3317.53</v>
      </c>
      <c r="FQ24" s="558">
        <f t="shared" si="49"/>
        <v>2333.11</v>
      </c>
      <c r="FR24" s="558">
        <f t="shared" si="49"/>
        <v>1346.26</v>
      </c>
      <c r="FS24" s="558">
        <f t="shared" si="49"/>
        <v>359.41</v>
      </c>
      <c r="FT24" s="558">
        <f t="shared" si="49"/>
        <v>-661.47</v>
      </c>
      <c r="FU24" s="558" t="str">
        <f t="shared" si="49"/>
        <v>.</v>
      </c>
      <c r="FV24" s="558" t="str">
        <f t="shared" si="49"/>
        <v>.</v>
      </c>
      <c r="FW24" s="558" t="str">
        <f t="shared" si="49"/>
        <v>.</v>
      </c>
      <c r="FX24" s="558" t="str">
        <f t="shared" si="49"/>
        <v>.</v>
      </c>
      <c r="FY24" s="558" t="str">
        <f t="shared" si="49"/>
        <v>.</v>
      </c>
      <c r="FZ24" s="558" t="str">
        <f t="shared" si="49"/>
        <v>.</v>
      </c>
      <c r="GA24" s="558" t="str">
        <f t="shared" si="49"/>
        <v>.</v>
      </c>
      <c r="GB24" s="558" t="str">
        <f t="shared" si="49"/>
        <v>.</v>
      </c>
      <c r="GC24" s="558" t="str">
        <f t="shared" si="49"/>
        <v>.</v>
      </c>
      <c r="GD24" s="558" t="str">
        <f t="shared" si="49"/>
        <v>.</v>
      </c>
      <c r="GE24" s="558" t="str">
        <f t="shared" si="49"/>
        <v>.</v>
      </c>
      <c r="GF24" s="558" t="str">
        <f t="shared" si="50"/>
        <v>.</v>
      </c>
      <c r="GG24" s="558" t="str">
        <f t="shared" si="50"/>
        <v>.</v>
      </c>
      <c r="GH24" s="558" t="str">
        <f t="shared" si="50"/>
        <v>.</v>
      </c>
      <c r="GI24" s="558" t="str">
        <f t="shared" si="50"/>
        <v>.</v>
      </c>
      <c r="GJ24" s="558" t="str">
        <f t="shared" si="50"/>
        <v>.</v>
      </c>
      <c r="GK24" s="558" t="str">
        <f t="shared" si="50"/>
        <v>.</v>
      </c>
      <c r="GL24" s="558" t="str">
        <f t="shared" si="50"/>
        <v>.</v>
      </c>
      <c r="GM24" s="558" t="str">
        <f t="shared" si="50"/>
        <v>.</v>
      </c>
      <c r="GN24" s="558" t="str">
        <f t="shared" si="50"/>
        <v>.</v>
      </c>
      <c r="GO24" s="558" t="str">
        <f t="shared" si="50"/>
        <v>.</v>
      </c>
      <c r="GP24" s="558" t="str">
        <f t="shared" si="50"/>
        <v>.</v>
      </c>
      <c r="GQ24" s="558" t="str">
        <f t="shared" si="50"/>
        <v>.</v>
      </c>
      <c r="GR24" s="558" t="str">
        <f t="shared" si="50"/>
        <v>.</v>
      </c>
      <c r="GS24" s="558" t="str">
        <f t="shared" si="50"/>
        <v>.</v>
      </c>
      <c r="GT24" s="558" t="str">
        <f t="shared" si="50"/>
        <v>.</v>
      </c>
      <c r="GU24" s="558" t="str">
        <f t="shared" si="50"/>
        <v>.</v>
      </c>
      <c r="GV24" s="558" t="str">
        <f t="shared" si="51"/>
        <v>.</v>
      </c>
      <c r="GW24" s="558" t="str">
        <f t="shared" si="51"/>
        <v>.</v>
      </c>
      <c r="GX24" s="558" t="str">
        <f t="shared" si="51"/>
        <v>.</v>
      </c>
      <c r="GY24" s="558" t="str">
        <f t="shared" si="51"/>
        <v>.</v>
      </c>
      <c r="GZ24" s="558" t="str">
        <f t="shared" si="51"/>
        <v>.</v>
      </c>
      <c r="HA24" s="558" t="str">
        <f t="shared" si="51"/>
        <v>.</v>
      </c>
      <c r="HB24" s="558" t="str">
        <f t="shared" si="51"/>
        <v>.</v>
      </c>
      <c r="HC24" s="558" t="str">
        <f t="shared" si="51"/>
        <v>.</v>
      </c>
      <c r="HD24" s="558" t="str">
        <f t="shared" si="51"/>
        <v>.</v>
      </c>
      <c r="HE24" s="558" t="str">
        <f t="shared" si="51"/>
        <v>.</v>
      </c>
      <c r="HF24" s="558" t="str">
        <f t="shared" si="51"/>
        <v>.</v>
      </c>
      <c r="HG24" s="558" t="str">
        <f t="shared" si="51"/>
        <v>.</v>
      </c>
      <c r="HH24" s="558" t="str">
        <f t="shared" si="51"/>
        <v>.</v>
      </c>
      <c r="HI24" s="558" t="str">
        <f t="shared" si="51"/>
        <v>.</v>
      </c>
      <c r="HJ24" s="558" t="str">
        <f t="shared" si="51"/>
        <v>.</v>
      </c>
      <c r="HK24" s="558" t="str">
        <f t="shared" si="51"/>
        <v>.</v>
      </c>
      <c r="HL24" s="558" t="str">
        <f t="shared" si="52"/>
        <v>.</v>
      </c>
      <c r="HM24" s="558" t="str">
        <f t="shared" si="52"/>
        <v>.</v>
      </c>
      <c r="HN24" s="558" t="str">
        <f t="shared" si="52"/>
        <v>.</v>
      </c>
      <c r="HO24" s="558" t="str">
        <f t="shared" si="52"/>
        <v>.</v>
      </c>
      <c r="HP24" s="558" t="str">
        <f t="shared" si="52"/>
        <v>.</v>
      </c>
      <c r="HQ24" s="558" t="str">
        <f t="shared" si="52"/>
        <v>.</v>
      </c>
      <c r="HR24" s="558" t="str">
        <f t="shared" si="52"/>
        <v>.</v>
      </c>
      <c r="HS24" s="558" t="str">
        <f t="shared" si="52"/>
        <v>.</v>
      </c>
      <c r="HT24" s="558" t="str">
        <f t="shared" si="52"/>
        <v>.</v>
      </c>
      <c r="HU24" s="558" t="str">
        <f t="shared" si="52"/>
        <v>.</v>
      </c>
      <c r="HV24" s="558" t="str">
        <f t="shared" si="52"/>
        <v>.</v>
      </c>
      <c r="HW24" s="558" t="str">
        <f t="shared" si="52"/>
        <v>.</v>
      </c>
      <c r="HX24" s="558" t="str">
        <f t="shared" si="52"/>
        <v>.</v>
      </c>
      <c r="HY24" s="558" t="str">
        <f t="shared" si="52"/>
        <v>.</v>
      </c>
      <c r="HZ24" s="558" t="str">
        <f t="shared" si="52"/>
        <v>.</v>
      </c>
      <c r="IA24" s="558" t="str">
        <f t="shared" si="52"/>
        <v>.</v>
      </c>
      <c r="IB24" s="558" t="str">
        <f t="shared" si="52"/>
        <v>.</v>
      </c>
      <c r="IC24" s="558" t="str">
        <f t="shared" si="52"/>
        <v>.</v>
      </c>
      <c r="ID24" s="558" t="str">
        <f t="shared" si="53"/>
        <v>.</v>
      </c>
      <c r="IE24" s="558" t="str">
        <f t="shared" si="53"/>
        <v>.</v>
      </c>
      <c r="IF24" s="558" t="str">
        <f t="shared" si="53"/>
        <v>.</v>
      </c>
      <c r="IG24" s="558" t="str">
        <f t="shared" si="53"/>
        <v>.</v>
      </c>
      <c r="IH24" s="558" t="str">
        <f t="shared" si="53"/>
        <v>.</v>
      </c>
      <c r="II24" s="558" t="str">
        <f t="shared" si="53"/>
        <v>.</v>
      </c>
      <c r="IJ24" s="558" t="str">
        <f t="shared" si="53"/>
        <v>.</v>
      </c>
      <c r="IK24" s="558" t="str">
        <f t="shared" si="53"/>
        <v>.</v>
      </c>
      <c r="IL24" s="558" t="str">
        <f t="shared" si="53"/>
        <v>.</v>
      </c>
      <c r="IM24" s="558" t="str">
        <f t="shared" si="53"/>
        <v>.</v>
      </c>
      <c r="IN24" s="558" t="str">
        <f t="shared" si="53"/>
        <v>.</v>
      </c>
      <c r="IO24" s="558" t="str">
        <f t="shared" si="53"/>
        <v>.</v>
      </c>
      <c r="IP24" s="558" t="str">
        <f t="shared" si="53"/>
        <v>.</v>
      </c>
      <c r="IQ24" s="558" t="str">
        <f t="shared" si="53"/>
        <v>.</v>
      </c>
      <c r="IR24" s="558" t="str">
        <f t="shared" si="53"/>
        <v>.</v>
      </c>
      <c r="IS24" s="558" t="str">
        <f t="shared" si="53"/>
        <v>.</v>
      </c>
      <c r="IT24" s="558" t="str">
        <f t="shared" si="53"/>
        <v>.</v>
      </c>
      <c r="IU24" s="558" t="str">
        <f t="shared" si="53"/>
        <v>.</v>
      </c>
      <c r="IV24" s="558" t="str">
        <f t="shared" si="53"/>
        <v>.</v>
      </c>
      <c r="IW24" s="558" t="str">
        <f t="shared" si="53"/>
        <v>.</v>
      </c>
      <c r="IX24" s="558" t="str">
        <f t="shared" si="53"/>
        <v>.</v>
      </c>
      <c r="IY24" s="558" t="str">
        <f t="shared" si="53"/>
        <v>.</v>
      </c>
      <c r="IZ24" s="558" t="str">
        <f t="shared" si="53"/>
        <v>.</v>
      </c>
      <c r="JA24" s="558" t="str">
        <f t="shared" si="53"/>
        <v>.</v>
      </c>
      <c r="JB24" s="558" t="str">
        <f t="shared" si="53"/>
        <v>.</v>
      </c>
      <c r="JC24" s="558" t="str">
        <f t="shared" si="54"/>
        <v>.</v>
      </c>
      <c r="JD24" s="558" t="str">
        <f t="shared" si="54"/>
        <v>.</v>
      </c>
      <c r="JE24" s="558" t="str">
        <f t="shared" si="54"/>
        <v>.</v>
      </c>
      <c r="JF24" s="558" t="str">
        <f t="shared" si="54"/>
        <v>.</v>
      </c>
      <c r="JG24" s="558" t="str">
        <f t="shared" si="54"/>
        <v>.</v>
      </c>
      <c r="JH24" s="558" t="str">
        <f t="shared" si="54"/>
        <v>.</v>
      </c>
      <c r="JI24" s="558" t="str">
        <f t="shared" si="54"/>
        <v>.</v>
      </c>
      <c r="JJ24" s="558" t="str">
        <f t="shared" si="54"/>
        <v>.</v>
      </c>
      <c r="JK24" s="558" t="str">
        <f t="shared" si="54"/>
        <v>.</v>
      </c>
      <c r="JL24" s="558" t="str">
        <f t="shared" si="54"/>
        <v>.</v>
      </c>
    </row>
    <row r="25" spans="1:272" ht="10.199999999999999" x14ac:dyDescent="0.2">
      <c r="A25" s="534">
        <f xml:space="preserve"> Basis!A25</f>
        <v>25</v>
      </c>
      <c r="F25" s="536">
        <f xml:space="preserve"> ROUND(    IF( $A$15=BE_MF_,   AW25,   INDEX( qx!25:25, F$16 ) ),    F$17    )</f>
        <v>2.9999999999999997E-4</v>
      </c>
      <c r="G25" s="536">
        <f xml:space="preserve"> ROUND(    IF( $A$15=BE_MF_,   BB25,   INDEX( wx!25:25, G$16 ) ),    G$17    )</f>
        <v>0.10290000000000001</v>
      </c>
      <c r="H25" s="537">
        <f xml:space="preserve"> ROUND(    IF( $A$15=BE_MF_,   BG25,   INDEX( Kx!25:25, H$16 ) ),    H$17    )</f>
        <v>1867.41</v>
      </c>
      <c r="I25" s="538">
        <f t="shared" si="55"/>
        <v>1867.41</v>
      </c>
      <c r="J25" s="539">
        <f t="shared" si="17"/>
        <v>0.89900000000000002</v>
      </c>
      <c r="K25" s="540">
        <f t="shared" si="56"/>
        <v>2</v>
      </c>
      <c r="L25" s="541">
        <f t="shared" si="18"/>
        <v>0</v>
      </c>
      <c r="M25" s="541">
        <f t="shared" si="18"/>
        <v>8.5999999999999993E-2</v>
      </c>
      <c r="O25" s="542" t="b">
        <f t="shared" si="57"/>
        <v>1</v>
      </c>
      <c r="P25" s="493">
        <f t="shared" si="19"/>
        <v>0.1032</v>
      </c>
      <c r="Q25" s="493">
        <f t="shared" si="20"/>
        <v>0.89680000000000004</v>
      </c>
      <c r="R25" s="543">
        <f t="shared" si="21"/>
        <v>2581334</v>
      </c>
      <c r="S25" s="544">
        <f t="shared" si="22"/>
        <v>0.97560975599999999</v>
      </c>
      <c r="T25" s="423">
        <f t="shared" si="23"/>
        <v>1392347.26</v>
      </c>
      <c r="U25" s="423">
        <f xml:space="preserve"> IF( $O25,    ROUND(  SUM( T25:T$120), U$17 ),  LEER  )</f>
        <v>16833607.030000001</v>
      </c>
      <c r="V25" s="493">
        <f t="shared" si="24"/>
        <v>12.0901</v>
      </c>
      <c r="W25" s="493">
        <f t="shared" si="25"/>
        <v>1251720.19</v>
      </c>
      <c r="X25" s="493">
        <f xml:space="preserve"> IF( $O25,    ROUND(  SUM( W25:W$120), X$17 ),  LEER  )</f>
        <v>23236166.32</v>
      </c>
      <c r="Y25" s="493">
        <f t="shared" si="26"/>
        <v>16.688500000000001</v>
      </c>
      <c r="Z25" s="493">
        <f t="shared" si="27"/>
        <v>1.3803000000000001</v>
      </c>
      <c r="AA25" s="493">
        <f t="shared" si="28"/>
        <v>1.0153000000000001</v>
      </c>
      <c r="AB25" s="493">
        <f t="shared" si="29"/>
        <v>2.3494000000000002</v>
      </c>
      <c r="AC25" s="545">
        <f t="shared" si="30"/>
        <v>0.38600000000000001</v>
      </c>
      <c r="AD25" s="493">
        <f t="shared" si="31"/>
        <v>1.4073</v>
      </c>
      <c r="AE25" s="493">
        <f t="shared" si="32"/>
        <v>1.962</v>
      </c>
      <c r="AF25" s="493">
        <f t="shared" si="33"/>
        <v>1.962</v>
      </c>
      <c r="AG25" s="493" t="str">
        <f t="shared" si="34"/>
        <v>.</v>
      </c>
      <c r="AH25" s="493" t="str">
        <f t="shared" si="35"/>
        <v>.</v>
      </c>
      <c r="AI25" s="423">
        <f t="shared" si="36"/>
        <v>2077.79</v>
      </c>
      <c r="AJ25" s="423">
        <f t="shared" si="37"/>
        <v>4076.62</v>
      </c>
      <c r="AK25" s="423">
        <f t="shared" si="38"/>
        <v>339.72</v>
      </c>
      <c r="AN25" s="423" t="str">
        <f t="shared" si="39"/>
        <v>.</v>
      </c>
      <c r="AO25" s="423" t="str">
        <f t="shared" si="39"/>
        <v>.</v>
      </c>
      <c r="AR25" s="546">
        <f xml:space="preserve"> ROUND(  INDEX( Kx!25:25, AR$16 ),  AR$17 )</f>
        <v>0.5948</v>
      </c>
      <c r="AS25" s="547">
        <f xml:space="preserve"> ROUND(  INDEX( qx!25:25, AS$16 ),  AS$17 )</f>
        <v>4.0000000000000002E-4</v>
      </c>
      <c r="AT25" s="547">
        <f xml:space="preserve"> ROUND(  INDEX( qx!25:25, AT$16 ),  AT$17 )</f>
        <v>2.0000000000000001E-4</v>
      </c>
      <c r="AU25" s="548" t="str">
        <f t="shared" si="40"/>
        <v>F</v>
      </c>
      <c r="AV25" s="542">
        <f t="shared" si="41"/>
        <v>0.49459999999999998</v>
      </c>
      <c r="AW25" s="542">
        <f t="shared" si="42"/>
        <v>2.9999999999999997E-4</v>
      </c>
      <c r="AX25" s="546">
        <f xml:space="preserve"> ROUND(  INDEX( wx!25:25, AX$16 ),  AX$17 )</f>
        <v>9.2999999999999999E-2</v>
      </c>
      <c r="AY25" s="546">
        <f xml:space="preserve"> ROUND(  INDEX( wx!25:25, AY$16 ),  AY$17 )</f>
        <v>0.12470000000000001</v>
      </c>
      <c r="AZ25" s="548" t="str">
        <f t="shared" si="43"/>
        <v>M</v>
      </c>
      <c r="BA25" s="542">
        <f t="shared" si="44"/>
        <v>0.68769999999999998</v>
      </c>
      <c r="BB25" s="542">
        <f t="shared" si="45"/>
        <v>0.10290000000000001</v>
      </c>
      <c r="BC25" s="533">
        <f xml:space="preserve"> ROUND(  INDEX( Kx!25:25, BC$16 ),  BC$17 )</f>
        <v>1393.14</v>
      </c>
      <c r="BD25" s="533">
        <f xml:space="preserve"> ROUND(  INDEX( Kx!25:25, BD$16 ),  BD$17 )</f>
        <v>2331.54</v>
      </c>
      <c r="BE25" s="548" t="str">
        <f t="shared" si="58"/>
        <v>F</v>
      </c>
      <c r="BF25" s="542">
        <f t="shared" si="46"/>
        <v>0.49459999999999998</v>
      </c>
      <c r="BG25" s="420">
        <f t="shared" si="47"/>
        <v>1867.41</v>
      </c>
      <c r="BQ25" s="549"/>
      <c r="BR25" s="423"/>
      <c r="BS25" s="550"/>
      <c r="BT25" s="423"/>
      <c r="BU25" s="551"/>
      <c r="BV25" s="551"/>
      <c r="BW25" s="529"/>
      <c r="BX25" s="552"/>
      <c r="BY25" s="559"/>
      <c r="BZ25" s="559"/>
      <c r="CB25" s="423"/>
      <c r="CC25" s="423"/>
      <c r="CD25" s="423"/>
      <c r="CE25" s="423"/>
      <c r="CF25" s="553"/>
      <c r="CH25" s="423"/>
      <c r="CI25" s="423"/>
      <c r="CJ25" s="423"/>
      <c r="CK25" s="423"/>
      <c r="CL25" s="553"/>
      <c r="CN25" s="423"/>
      <c r="CO25" s="423"/>
      <c r="CP25" s="423"/>
      <c r="CQ25" s="423"/>
      <c r="CR25" s="553"/>
      <c r="DM25" s="554"/>
      <c r="DO25" s="385"/>
      <c r="DP25" s="385"/>
      <c r="DQ25" s="385"/>
      <c r="EI25" s="553"/>
      <c r="EJ25" s="553"/>
      <c r="EK25" s="423"/>
      <c r="EL25" s="555"/>
      <c r="ES25" s="533"/>
      <c r="ET25" s="533"/>
      <c r="EU25" s="533"/>
      <c r="EV25" s="556"/>
      <c r="EY25" s="533"/>
      <c r="EZ25" s="533"/>
      <c r="FA25" s="556"/>
      <c r="FD25" s="556"/>
      <c r="FE25" s="556"/>
      <c r="FF25" s="556"/>
      <c r="FK25" s="557">
        <f t="shared" si="48"/>
        <v>25</v>
      </c>
      <c r="FL25" s="493">
        <f t="shared" si="59"/>
        <v>16.688500000000001</v>
      </c>
      <c r="FM25" s="493">
        <f t="shared" si="60"/>
        <v>12.0901</v>
      </c>
      <c r="FO25" s="427">
        <f t="shared" si="61"/>
        <v>11700.359999999999</v>
      </c>
      <c r="FP25" s="558">
        <f t="shared" si="49"/>
        <v>4520.32</v>
      </c>
      <c r="FQ25" s="558">
        <f t="shared" si="49"/>
        <v>3502.94</v>
      </c>
      <c r="FR25" s="558">
        <f t="shared" si="49"/>
        <v>2483.04</v>
      </c>
      <c r="FS25" s="558">
        <f t="shared" si="49"/>
        <v>1463.14</v>
      </c>
      <c r="FT25" s="558">
        <f t="shared" si="49"/>
        <v>408.07</v>
      </c>
      <c r="FU25" s="558">
        <f t="shared" si="49"/>
        <v>-677.15</v>
      </c>
      <c r="FV25" s="558" t="str">
        <f t="shared" si="49"/>
        <v>.</v>
      </c>
      <c r="FW25" s="558" t="str">
        <f t="shared" si="49"/>
        <v>.</v>
      </c>
      <c r="FX25" s="558" t="str">
        <f t="shared" si="49"/>
        <v>.</v>
      </c>
      <c r="FY25" s="558" t="str">
        <f t="shared" si="49"/>
        <v>.</v>
      </c>
      <c r="FZ25" s="558" t="str">
        <f t="shared" si="49"/>
        <v>.</v>
      </c>
      <c r="GA25" s="558" t="str">
        <f t="shared" si="49"/>
        <v>.</v>
      </c>
      <c r="GB25" s="558" t="str">
        <f t="shared" si="49"/>
        <v>.</v>
      </c>
      <c r="GC25" s="558" t="str">
        <f t="shared" si="49"/>
        <v>.</v>
      </c>
      <c r="GD25" s="558" t="str">
        <f t="shared" si="49"/>
        <v>.</v>
      </c>
      <c r="GE25" s="558" t="str">
        <f t="shared" si="49"/>
        <v>.</v>
      </c>
      <c r="GF25" s="558" t="str">
        <f t="shared" si="50"/>
        <v>.</v>
      </c>
      <c r="GG25" s="558" t="str">
        <f t="shared" si="50"/>
        <v>.</v>
      </c>
      <c r="GH25" s="558" t="str">
        <f t="shared" si="50"/>
        <v>.</v>
      </c>
      <c r="GI25" s="558" t="str">
        <f t="shared" si="50"/>
        <v>.</v>
      </c>
      <c r="GJ25" s="558" t="str">
        <f t="shared" si="50"/>
        <v>.</v>
      </c>
      <c r="GK25" s="558" t="str">
        <f t="shared" si="50"/>
        <v>.</v>
      </c>
      <c r="GL25" s="558" t="str">
        <f t="shared" si="50"/>
        <v>.</v>
      </c>
      <c r="GM25" s="558" t="str">
        <f t="shared" si="50"/>
        <v>.</v>
      </c>
      <c r="GN25" s="558" t="str">
        <f t="shared" si="50"/>
        <v>.</v>
      </c>
      <c r="GO25" s="558" t="str">
        <f t="shared" si="50"/>
        <v>.</v>
      </c>
      <c r="GP25" s="558" t="str">
        <f t="shared" si="50"/>
        <v>.</v>
      </c>
      <c r="GQ25" s="558" t="str">
        <f t="shared" si="50"/>
        <v>.</v>
      </c>
      <c r="GR25" s="558" t="str">
        <f t="shared" si="50"/>
        <v>.</v>
      </c>
      <c r="GS25" s="558" t="str">
        <f t="shared" si="50"/>
        <v>.</v>
      </c>
      <c r="GT25" s="558" t="str">
        <f t="shared" si="50"/>
        <v>.</v>
      </c>
      <c r="GU25" s="558" t="str">
        <f t="shared" si="50"/>
        <v>.</v>
      </c>
      <c r="GV25" s="558" t="str">
        <f t="shared" si="51"/>
        <v>.</v>
      </c>
      <c r="GW25" s="558" t="str">
        <f t="shared" si="51"/>
        <v>.</v>
      </c>
      <c r="GX25" s="558" t="str">
        <f t="shared" si="51"/>
        <v>.</v>
      </c>
      <c r="GY25" s="558" t="str">
        <f t="shared" si="51"/>
        <v>.</v>
      </c>
      <c r="GZ25" s="558" t="str">
        <f t="shared" si="51"/>
        <v>.</v>
      </c>
      <c r="HA25" s="558" t="str">
        <f t="shared" si="51"/>
        <v>.</v>
      </c>
      <c r="HB25" s="558" t="str">
        <f t="shared" si="51"/>
        <v>.</v>
      </c>
      <c r="HC25" s="558" t="str">
        <f t="shared" si="51"/>
        <v>.</v>
      </c>
      <c r="HD25" s="558" t="str">
        <f t="shared" si="51"/>
        <v>.</v>
      </c>
      <c r="HE25" s="558" t="str">
        <f t="shared" si="51"/>
        <v>.</v>
      </c>
      <c r="HF25" s="558" t="str">
        <f t="shared" si="51"/>
        <v>.</v>
      </c>
      <c r="HG25" s="558" t="str">
        <f t="shared" si="51"/>
        <v>.</v>
      </c>
      <c r="HH25" s="558" t="str">
        <f t="shared" si="51"/>
        <v>.</v>
      </c>
      <c r="HI25" s="558" t="str">
        <f t="shared" si="51"/>
        <v>.</v>
      </c>
      <c r="HJ25" s="558" t="str">
        <f t="shared" si="51"/>
        <v>.</v>
      </c>
      <c r="HK25" s="558" t="str">
        <f t="shared" si="51"/>
        <v>.</v>
      </c>
      <c r="HL25" s="558" t="str">
        <f t="shared" si="52"/>
        <v>.</v>
      </c>
      <c r="HM25" s="558" t="str">
        <f t="shared" si="52"/>
        <v>.</v>
      </c>
      <c r="HN25" s="558" t="str">
        <f t="shared" si="52"/>
        <v>.</v>
      </c>
      <c r="HO25" s="558" t="str">
        <f t="shared" si="52"/>
        <v>.</v>
      </c>
      <c r="HP25" s="558" t="str">
        <f t="shared" si="52"/>
        <v>.</v>
      </c>
      <c r="HQ25" s="558" t="str">
        <f t="shared" si="52"/>
        <v>.</v>
      </c>
      <c r="HR25" s="558" t="str">
        <f t="shared" si="52"/>
        <v>.</v>
      </c>
      <c r="HS25" s="558" t="str">
        <f t="shared" si="52"/>
        <v>.</v>
      </c>
      <c r="HT25" s="558" t="str">
        <f t="shared" si="52"/>
        <v>.</v>
      </c>
      <c r="HU25" s="558" t="str">
        <f t="shared" si="52"/>
        <v>.</v>
      </c>
      <c r="HV25" s="558" t="str">
        <f t="shared" si="52"/>
        <v>.</v>
      </c>
      <c r="HW25" s="558" t="str">
        <f t="shared" si="52"/>
        <v>.</v>
      </c>
      <c r="HX25" s="558" t="str">
        <f t="shared" si="52"/>
        <v>.</v>
      </c>
      <c r="HY25" s="558" t="str">
        <f t="shared" si="52"/>
        <v>.</v>
      </c>
      <c r="HZ25" s="558" t="str">
        <f t="shared" si="52"/>
        <v>.</v>
      </c>
      <c r="IA25" s="558" t="str">
        <f t="shared" si="52"/>
        <v>.</v>
      </c>
      <c r="IB25" s="558" t="str">
        <f t="shared" si="52"/>
        <v>.</v>
      </c>
      <c r="IC25" s="558" t="str">
        <f t="shared" si="52"/>
        <v>.</v>
      </c>
      <c r="ID25" s="558" t="str">
        <f t="shared" si="53"/>
        <v>.</v>
      </c>
      <c r="IE25" s="558" t="str">
        <f t="shared" si="53"/>
        <v>.</v>
      </c>
      <c r="IF25" s="558" t="str">
        <f t="shared" si="53"/>
        <v>.</v>
      </c>
      <c r="IG25" s="558" t="str">
        <f t="shared" si="53"/>
        <v>.</v>
      </c>
      <c r="IH25" s="558" t="str">
        <f t="shared" si="53"/>
        <v>.</v>
      </c>
      <c r="II25" s="558" t="str">
        <f t="shared" si="53"/>
        <v>.</v>
      </c>
      <c r="IJ25" s="558" t="str">
        <f t="shared" si="53"/>
        <v>.</v>
      </c>
      <c r="IK25" s="558" t="str">
        <f t="shared" si="53"/>
        <v>.</v>
      </c>
      <c r="IL25" s="558" t="str">
        <f t="shared" si="53"/>
        <v>.</v>
      </c>
      <c r="IM25" s="558" t="str">
        <f t="shared" si="53"/>
        <v>.</v>
      </c>
      <c r="IN25" s="558" t="str">
        <f t="shared" si="53"/>
        <v>.</v>
      </c>
      <c r="IO25" s="558" t="str">
        <f t="shared" si="53"/>
        <v>.</v>
      </c>
      <c r="IP25" s="558" t="str">
        <f t="shared" si="53"/>
        <v>.</v>
      </c>
      <c r="IQ25" s="558" t="str">
        <f t="shared" si="53"/>
        <v>.</v>
      </c>
      <c r="IR25" s="558" t="str">
        <f t="shared" si="53"/>
        <v>.</v>
      </c>
      <c r="IS25" s="558" t="str">
        <f t="shared" si="53"/>
        <v>.</v>
      </c>
      <c r="IT25" s="558" t="str">
        <f t="shared" si="53"/>
        <v>.</v>
      </c>
      <c r="IU25" s="558" t="str">
        <f t="shared" si="53"/>
        <v>.</v>
      </c>
      <c r="IV25" s="558" t="str">
        <f t="shared" si="53"/>
        <v>.</v>
      </c>
      <c r="IW25" s="558" t="str">
        <f t="shared" si="53"/>
        <v>.</v>
      </c>
      <c r="IX25" s="558" t="str">
        <f t="shared" si="53"/>
        <v>.</v>
      </c>
      <c r="IY25" s="558" t="str">
        <f t="shared" si="53"/>
        <v>.</v>
      </c>
      <c r="IZ25" s="558" t="str">
        <f t="shared" si="53"/>
        <v>.</v>
      </c>
      <c r="JA25" s="558" t="str">
        <f t="shared" si="53"/>
        <v>.</v>
      </c>
      <c r="JB25" s="558" t="str">
        <f t="shared" si="53"/>
        <v>.</v>
      </c>
      <c r="JC25" s="558" t="str">
        <f t="shared" si="54"/>
        <v>.</v>
      </c>
      <c r="JD25" s="558" t="str">
        <f t="shared" si="54"/>
        <v>.</v>
      </c>
      <c r="JE25" s="558" t="str">
        <f t="shared" si="54"/>
        <v>.</v>
      </c>
      <c r="JF25" s="558" t="str">
        <f t="shared" si="54"/>
        <v>.</v>
      </c>
      <c r="JG25" s="558" t="str">
        <f t="shared" si="54"/>
        <v>.</v>
      </c>
      <c r="JH25" s="558" t="str">
        <f t="shared" si="54"/>
        <v>.</v>
      </c>
      <c r="JI25" s="558" t="str">
        <f t="shared" si="54"/>
        <v>.</v>
      </c>
      <c r="JJ25" s="558" t="str">
        <f t="shared" si="54"/>
        <v>.</v>
      </c>
      <c r="JK25" s="558" t="str">
        <f t="shared" si="54"/>
        <v>.</v>
      </c>
      <c r="JL25" s="558" t="str">
        <f t="shared" si="54"/>
        <v>.</v>
      </c>
    </row>
    <row r="26" spans="1:272" ht="10.199999999999999" x14ac:dyDescent="0.2">
      <c r="A26" s="534">
        <f xml:space="preserve"> Basis!A26</f>
        <v>26</v>
      </c>
      <c r="F26" s="536">
        <f xml:space="preserve"> ROUND(    IF( $A$15=BE_MF_,   AW26,   INDEX( qx!26:26, F$16 ) ),    F$17    )</f>
        <v>2.9999999999999997E-4</v>
      </c>
      <c r="G26" s="536">
        <f xml:space="preserve"> ROUND(    IF( $A$15=BE_MF_,   BB26,   INDEX( wx!26:26, G$16 ) ),    G$17    )</f>
        <v>0.11260000000000001</v>
      </c>
      <c r="H26" s="537">
        <f xml:space="preserve"> ROUND(    IF( $A$15=BE_MF_,   BG26,   INDEX( Kx!26:26, H$16 ) ),    H$17    )</f>
        <v>1888.73</v>
      </c>
      <c r="I26" s="538">
        <f t="shared" si="55"/>
        <v>1888.73</v>
      </c>
      <c r="J26" s="539">
        <f t="shared" si="17"/>
        <v>0.90900000000000003</v>
      </c>
      <c r="K26" s="540">
        <f t="shared" si="56"/>
        <v>2</v>
      </c>
      <c r="L26" s="541">
        <f t="shared" si="18"/>
        <v>0</v>
      </c>
      <c r="M26" s="541">
        <f t="shared" si="18"/>
        <v>8.5999999999999993E-2</v>
      </c>
      <c r="O26" s="542" t="b">
        <f t="shared" si="57"/>
        <v>1</v>
      </c>
      <c r="P26" s="493">
        <f t="shared" si="19"/>
        <v>0.1129</v>
      </c>
      <c r="Q26" s="493">
        <f t="shared" si="20"/>
        <v>0.8871</v>
      </c>
      <c r="R26" s="543">
        <f t="shared" si="21"/>
        <v>2314940</v>
      </c>
      <c r="S26" s="544">
        <f t="shared" si="22"/>
        <v>0.97560975599999999</v>
      </c>
      <c r="T26" s="423">
        <f t="shared" si="23"/>
        <v>1218201.8</v>
      </c>
      <c r="U26" s="423">
        <f xml:space="preserve"> IF( $O26,    ROUND(  SUM( T26:T$120), U$17 ),  LEER  )</f>
        <v>15441259.77</v>
      </c>
      <c r="V26" s="493">
        <f t="shared" si="24"/>
        <v>12.6755</v>
      </c>
      <c r="W26" s="493">
        <f t="shared" si="25"/>
        <v>1107345.44</v>
      </c>
      <c r="X26" s="493">
        <f xml:space="preserve"> IF( $O26,    ROUND(  SUM( W26:W$120), X$17 ),  LEER  )</f>
        <v>21984446.129999999</v>
      </c>
      <c r="Y26" s="493">
        <f t="shared" si="26"/>
        <v>18.046600000000002</v>
      </c>
      <c r="Z26" s="493">
        <f t="shared" si="27"/>
        <v>1.4237</v>
      </c>
      <c r="AA26" s="493">
        <f t="shared" si="28"/>
        <v>1.0145999999999999</v>
      </c>
      <c r="AB26" s="493">
        <f t="shared" si="29"/>
        <v>2.3494000000000002</v>
      </c>
      <c r="AC26" s="545">
        <f t="shared" si="30"/>
        <v>0.38600000000000001</v>
      </c>
      <c r="AD26" s="493">
        <f t="shared" si="31"/>
        <v>1.4500999999999999</v>
      </c>
      <c r="AE26" s="493">
        <f t="shared" si="32"/>
        <v>2.0089000000000001</v>
      </c>
      <c r="AF26" s="493">
        <f t="shared" si="33"/>
        <v>2.0089000000000001</v>
      </c>
      <c r="AG26" s="493" t="str">
        <f t="shared" si="34"/>
        <v>.</v>
      </c>
      <c r="AH26" s="493" t="str">
        <f t="shared" si="35"/>
        <v>.</v>
      </c>
      <c r="AI26" s="423">
        <f t="shared" si="36"/>
        <v>2077.79</v>
      </c>
      <c r="AJ26" s="423">
        <f t="shared" si="37"/>
        <v>4174.07</v>
      </c>
      <c r="AK26" s="423">
        <f t="shared" si="38"/>
        <v>347.84</v>
      </c>
      <c r="AN26" s="423" t="str">
        <f t="shared" si="39"/>
        <v>.</v>
      </c>
      <c r="AO26" s="423" t="str">
        <f t="shared" si="39"/>
        <v>.</v>
      </c>
      <c r="AR26" s="546">
        <f xml:space="preserve"> ROUND(  INDEX( Kx!26:26, AR$16 ),  AR$17 )</f>
        <v>0.61960000000000004</v>
      </c>
      <c r="AS26" s="547">
        <f xml:space="preserve"> ROUND(  INDEX( qx!26:26, AS$16 ),  AS$17 )</f>
        <v>4.0000000000000002E-4</v>
      </c>
      <c r="AT26" s="547">
        <f xml:space="preserve"> ROUND(  INDEX( qx!26:26, AT$16 ),  AT$17 )</f>
        <v>2.0000000000000001E-4</v>
      </c>
      <c r="AU26" s="548" t="str">
        <f t="shared" si="40"/>
        <v>F</v>
      </c>
      <c r="AV26" s="542">
        <f t="shared" si="41"/>
        <v>0.52059999999999995</v>
      </c>
      <c r="AW26" s="542">
        <f t="shared" si="42"/>
        <v>2.9999999999999997E-4</v>
      </c>
      <c r="AX26" s="546">
        <f xml:space="preserve"> ROUND(  INDEX( wx!26:26, AX$16 ),  AX$17 )</f>
        <v>0.10299999999999999</v>
      </c>
      <c r="AY26" s="546">
        <f xml:space="preserve"> ROUND(  INDEX( wx!26:26, AY$16 ),  AY$17 )</f>
        <v>0.13619999999999999</v>
      </c>
      <c r="AZ26" s="548" t="str">
        <f t="shared" si="43"/>
        <v>M</v>
      </c>
      <c r="BA26" s="542">
        <f t="shared" si="44"/>
        <v>0.70960000000000001</v>
      </c>
      <c r="BB26" s="542">
        <f t="shared" si="45"/>
        <v>0.11260000000000001</v>
      </c>
      <c r="BC26" s="533">
        <f xml:space="preserve"> ROUND(  INDEX( Kx!26:26, BC$16 ),  BC$17 )</f>
        <v>1390.14</v>
      </c>
      <c r="BD26" s="533">
        <f xml:space="preserve"> ROUND(  INDEX( Kx!26:26, BD$16 ),  BD$17 )</f>
        <v>2430.17</v>
      </c>
      <c r="BE26" s="548" t="str">
        <f t="shared" si="58"/>
        <v>F</v>
      </c>
      <c r="BF26" s="542">
        <f t="shared" si="46"/>
        <v>0.52059999999999995</v>
      </c>
      <c r="BG26" s="420">
        <f t="shared" si="47"/>
        <v>1888.73</v>
      </c>
      <c r="BQ26" s="549"/>
      <c r="BR26" s="423"/>
      <c r="BS26" s="550"/>
      <c r="BT26" s="423"/>
      <c r="BU26" s="551"/>
      <c r="BV26" s="551"/>
      <c r="BW26" s="529"/>
      <c r="BX26" s="552"/>
      <c r="BY26" s="559"/>
      <c r="BZ26" s="559"/>
      <c r="CB26" s="423"/>
      <c r="CC26" s="423"/>
      <c r="CD26" s="423"/>
      <c r="CE26" s="423"/>
      <c r="CF26" s="553"/>
      <c r="CH26" s="423"/>
      <c r="CI26" s="423"/>
      <c r="CJ26" s="423"/>
      <c r="CK26" s="423"/>
      <c r="CL26" s="553"/>
      <c r="CN26" s="423"/>
      <c r="CO26" s="423"/>
      <c r="CP26" s="423"/>
      <c r="CQ26" s="423"/>
      <c r="CR26" s="553"/>
      <c r="DM26" s="554"/>
      <c r="DO26" s="385"/>
      <c r="DP26" s="385"/>
      <c r="DQ26" s="385"/>
      <c r="EI26" s="553"/>
      <c r="EJ26" s="553"/>
      <c r="EK26" s="423"/>
      <c r="EL26" s="555"/>
      <c r="ES26" s="533"/>
      <c r="ET26" s="533"/>
      <c r="EU26" s="533"/>
      <c r="EV26" s="556"/>
      <c r="EY26" s="533"/>
      <c r="EZ26" s="533"/>
      <c r="FA26" s="556"/>
      <c r="FD26" s="556"/>
      <c r="FE26" s="556"/>
      <c r="FF26" s="556"/>
      <c r="FK26" s="557">
        <f t="shared" si="48"/>
        <v>26</v>
      </c>
      <c r="FL26" s="493">
        <f t="shared" si="59"/>
        <v>18.046600000000002</v>
      </c>
      <c r="FM26" s="493">
        <f t="shared" si="60"/>
        <v>12.6755</v>
      </c>
      <c r="FO26" s="427">
        <f t="shared" si="61"/>
        <v>18429.89</v>
      </c>
      <c r="FP26" s="558">
        <f t="shared" si="49"/>
        <v>5882.08</v>
      </c>
      <c r="FQ26" s="558">
        <f t="shared" si="49"/>
        <v>4815.43</v>
      </c>
      <c r="FR26" s="558">
        <f t="shared" si="49"/>
        <v>3746.14</v>
      </c>
      <c r="FS26" s="558">
        <f t="shared" si="49"/>
        <v>2676.86</v>
      </c>
      <c r="FT26" s="558">
        <f t="shared" si="49"/>
        <v>1570.71</v>
      </c>
      <c r="FU26" s="558">
        <f t="shared" si="49"/>
        <v>432.95</v>
      </c>
      <c r="FV26" s="558">
        <f t="shared" si="49"/>
        <v>-694.28</v>
      </c>
      <c r="FW26" s="558" t="str">
        <f t="shared" si="49"/>
        <v>.</v>
      </c>
      <c r="FX26" s="558" t="str">
        <f t="shared" si="49"/>
        <v>.</v>
      </c>
      <c r="FY26" s="558" t="str">
        <f t="shared" si="49"/>
        <v>.</v>
      </c>
      <c r="FZ26" s="558" t="str">
        <f t="shared" si="49"/>
        <v>.</v>
      </c>
      <c r="GA26" s="558" t="str">
        <f t="shared" si="49"/>
        <v>.</v>
      </c>
      <c r="GB26" s="558" t="str">
        <f t="shared" si="49"/>
        <v>.</v>
      </c>
      <c r="GC26" s="558" t="str">
        <f t="shared" si="49"/>
        <v>.</v>
      </c>
      <c r="GD26" s="558" t="str">
        <f t="shared" si="49"/>
        <v>.</v>
      </c>
      <c r="GE26" s="558" t="str">
        <f t="shared" si="49"/>
        <v>.</v>
      </c>
      <c r="GF26" s="558" t="str">
        <f t="shared" si="50"/>
        <v>.</v>
      </c>
      <c r="GG26" s="558" t="str">
        <f t="shared" si="50"/>
        <v>.</v>
      </c>
      <c r="GH26" s="558" t="str">
        <f t="shared" si="50"/>
        <v>.</v>
      </c>
      <c r="GI26" s="558" t="str">
        <f t="shared" si="50"/>
        <v>.</v>
      </c>
      <c r="GJ26" s="558" t="str">
        <f t="shared" si="50"/>
        <v>.</v>
      </c>
      <c r="GK26" s="558" t="str">
        <f t="shared" si="50"/>
        <v>.</v>
      </c>
      <c r="GL26" s="558" t="str">
        <f t="shared" si="50"/>
        <v>.</v>
      </c>
      <c r="GM26" s="558" t="str">
        <f t="shared" si="50"/>
        <v>.</v>
      </c>
      <c r="GN26" s="558" t="str">
        <f t="shared" si="50"/>
        <v>.</v>
      </c>
      <c r="GO26" s="558" t="str">
        <f t="shared" si="50"/>
        <v>.</v>
      </c>
      <c r="GP26" s="558" t="str">
        <f t="shared" si="50"/>
        <v>.</v>
      </c>
      <c r="GQ26" s="558" t="str">
        <f t="shared" si="50"/>
        <v>.</v>
      </c>
      <c r="GR26" s="558" t="str">
        <f t="shared" si="50"/>
        <v>.</v>
      </c>
      <c r="GS26" s="558" t="str">
        <f t="shared" si="50"/>
        <v>.</v>
      </c>
      <c r="GT26" s="558" t="str">
        <f t="shared" si="50"/>
        <v>.</v>
      </c>
      <c r="GU26" s="558" t="str">
        <f t="shared" si="50"/>
        <v>.</v>
      </c>
      <c r="GV26" s="558" t="str">
        <f t="shared" si="51"/>
        <v>.</v>
      </c>
      <c r="GW26" s="558" t="str">
        <f t="shared" si="51"/>
        <v>.</v>
      </c>
      <c r="GX26" s="558" t="str">
        <f t="shared" si="51"/>
        <v>.</v>
      </c>
      <c r="GY26" s="558" t="str">
        <f t="shared" si="51"/>
        <v>.</v>
      </c>
      <c r="GZ26" s="558" t="str">
        <f t="shared" si="51"/>
        <v>.</v>
      </c>
      <c r="HA26" s="558" t="str">
        <f t="shared" si="51"/>
        <v>.</v>
      </c>
      <c r="HB26" s="558" t="str">
        <f t="shared" si="51"/>
        <v>.</v>
      </c>
      <c r="HC26" s="558" t="str">
        <f t="shared" si="51"/>
        <v>.</v>
      </c>
      <c r="HD26" s="558" t="str">
        <f t="shared" si="51"/>
        <v>.</v>
      </c>
      <c r="HE26" s="558" t="str">
        <f t="shared" si="51"/>
        <v>.</v>
      </c>
      <c r="HF26" s="558" t="str">
        <f t="shared" si="51"/>
        <v>.</v>
      </c>
      <c r="HG26" s="558" t="str">
        <f t="shared" si="51"/>
        <v>.</v>
      </c>
      <c r="HH26" s="558" t="str">
        <f t="shared" si="51"/>
        <v>.</v>
      </c>
      <c r="HI26" s="558" t="str">
        <f t="shared" si="51"/>
        <v>.</v>
      </c>
      <c r="HJ26" s="558" t="str">
        <f t="shared" si="51"/>
        <v>.</v>
      </c>
      <c r="HK26" s="558" t="str">
        <f t="shared" si="51"/>
        <v>.</v>
      </c>
      <c r="HL26" s="558" t="str">
        <f t="shared" si="52"/>
        <v>.</v>
      </c>
      <c r="HM26" s="558" t="str">
        <f t="shared" si="52"/>
        <v>.</v>
      </c>
      <c r="HN26" s="558" t="str">
        <f t="shared" si="52"/>
        <v>.</v>
      </c>
      <c r="HO26" s="558" t="str">
        <f t="shared" si="52"/>
        <v>.</v>
      </c>
      <c r="HP26" s="558" t="str">
        <f t="shared" si="52"/>
        <v>.</v>
      </c>
      <c r="HQ26" s="558" t="str">
        <f t="shared" si="52"/>
        <v>.</v>
      </c>
      <c r="HR26" s="558" t="str">
        <f t="shared" si="52"/>
        <v>.</v>
      </c>
      <c r="HS26" s="558" t="str">
        <f t="shared" si="52"/>
        <v>.</v>
      </c>
      <c r="HT26" s="558" t="str">
        <f t="shared" si="52"/>
        <v>.</v>
      </c>
      <c r="HU26" s="558" t="str">
        <f t="shared" si="52"/>
        <v>.</v>
      </c>
      <c r="HV26" s="558" t="str">
        <f t="shared" si="52"/>
        <v>.</v>
      </c>
      <c r="HW26" s="558" t="str">
        <f t="shared" si="52"/>
        <v>.</v>
      </c>
      <c r="HX26" s="558" t="str">
        <f t="shared" si="52"/>
        <v>.</v>
      </c>
      <c r="HY26" s="558" t="str">
        <f t="shared" si="52"/>
        <v>.</v>
      </c>
      <c r="HZ26" s="558" t="str">
        <f t="shared" si="52"/>
        <v>.</v>
      </c>
      <c r="IA26" s="558" t="str">
        <f t="shared" si="52"/>
        <v>.</v>
      </c>
      <c r="IB26" s="558" t="str">
        <f t="shared" si="52"/>
        <v>.</v>
      </c>
      <c r="IC26" s="558" t="str">
        <f t="shared" si="52"/>
        <v>.</v>
      </c>
      <c r="ID26" s="558" t="str">
        <f t="shared" si="53"/>
        <v>.</v>
      </c>
      <c r="IE26" s="558" t="str">
        <f t="shared" si="53"/>
        <v>.</v>
      </c>
      <c r="IF26" s="558" t="str">
        <f t="shared" si="53"/>
        <v>.</v>
      </c>
      <c r="IG26" s="558" t="str">
        <f t="shared" si="53"/>
        <v>.</v>
      </c>
      <c r="IH26" s="558" t="str">
        <f t="shared" si="53"/>
        <v>.</v>
      </c>
      <c r="II26" s="558" t="str">
        <f t="shared" si="53"/>
        <v>.</v>
      </c>
      <c r="IJ26" s="558" t="str">
        <f t="shared" si="53"/>
        <v>.</v>
      </c>
      <c r="IK26" s="558" t="str">
        <f t="shared" si="53"/>
        <v>.</v>
      </c>
      <c r="IL26" s="558" t="str">
        <f t="shared" si="53"/>
        <v>.</v>
      </c>
      <c r="IM26" s="558" t="str">
        <f t="shared" si="53"/>
        <v>.</v>
      </c>
      <c r="IN26" s="558" t="str">
        <f t="shared" si="53"/>
        <v>.</v>
      </c>
      <c r="IO26" s="558" t="str">
        <f t="shared" si="53"/>
        <v>.</v>
      </c>
      <c r="IP26" s="558" t="str">
        <f t="shared" si="53"/>
        <v>.</v>
      </c>
      <c r="IQ26" s="558" t="str">
        <f t="shared" si="53"/>
        <v>.</v>
      </c>
      <c r="IR26" s="558" t="str">
        <f t="shared" si="53"/>
        <v>.</v>
      </c>
      <c r="IS26" s="558" t="str">
        <f t="shared" si="53"/>
        <v>.</v>
      </c>
      <c r="IT26" s="558" t="str">
        <f t="shared" si="53"/>
        <v>.</v>
      </c>
      <c r="IU26" s="558" t="str">
        <f t="shared" si="53"/>
        <v>.</v>
      </c>
      <c r="IV26" s="558" t="str">
        <f t="shared" si="53"/>
        <v>.</v>
      </c>
      <c r="IW26" s="558" t="str">
        <f t="shared" si="53"/>
        <v>.</v>
      </c>
      <c r="IX26" s="558" t="str">
        <f t="shared" si="53"/>
        <v>.</v>
      </c>
      <c r="IY26" s="558" t="str">
        <f t="shared" si="53"/>
        <v>.</v>
      </c>
      <c r="IZ26" s="558" t="str">
        <f t="shared" si="53"/>
        <v>.</v>
      </c>
      <c r="JA26" s="558" t="str">
        <f t="shared" si="53"/>
        <v>.</v>
      </c>
      <c r="JB26" s="558" t="str">
        <f t="shared" si="53"/>
        <v>.</v>
      </c>
      <c r="JC26" s="558" t="str">
        <f t="shared" si="54"/>
        <v>.</v>
      </c>
      <c r="JD26" s="558" t="str">
        <f t="shared" si="54"/>
        <v>.</v>
      </c>
      <c r="JE26" s="558" t="str">
        <f t="shared" si="54"/>
        <v>.</v>
      </c>
      <c r="JF26" s="558" t="str">
        <f t="shared" si="54"/>
        <v>.</v>
      </c>
      <c r="JG26" s="558" t="str">
        <f t="shared" si="54"/>
        <v>.</v>
      </c>
      <c r="JH26" s="558" t="str">
        <f t="shared" si="54"/>
        <v>.</v>
      </c>
      <c r="JI26" s="558" t="str">
        <f t="shared" si="54"/>
        <v>.</v>
      </c>
      <c r="JJ26" s="558" t="str">
        <f t="shared" si="54"/>
        <v>.</v>
      </c>
      <c r="JK26" s="558" t="str">
        <f t="shared" si="54"/>
        <v>.</v>
      </c>
      <c r="JL26" s="558" t="str">
        <f t="shared" si="54"/>
        <v>.</v>
      </c>
    </row>
    <row r="27" spans="1:272" ht="10.199999999999999" x14ac:dyDescent="0.2">
      <c r="A27" s="534">
        <f xml:space="preserve"> Basis!A27</f>
        <v>27</v>
      </c>
      <c r="F27" s="536">
        <f xml:space="preserve"> ROUND(    IF( $A$15=BE_MF_,   AW27,   INDEX( qx!27:27, F$16 ) ),    F$17    )</f>
        <v>2.9999999999999997E-4</v>
      </c>
      <c r="G27" s="536">
        <f xml:space="preserve"> ROUND(    IF( $A$15=BE_MF_,   BB27,   INDEX( wx!27:27, G$16 ) ),    G$17    )</f>
        <v>0.111</v>
      </c>
      <c r="H27" s="537">
        <f xml:space="preserve"> ROUND(    IF( $A$15=BE_MF_,   BG27,   INDEX( Kx!27:27, H$16 ) ),    H$17    )</f>
        <v>1866.02</v>
      </c>
      <c r="I27" s="538">
        <f t="shared" si="55"/>
        <v>1866.02</v>
      </c>
      <c r="J27" s="539">
        <f t="shared" si="17"/>
        <v>0.89800000000000002</v>
      </c>
      <c r="K27" s="540">
        <f t="shared" si="56"/>
        <v>2</v>
      </c>
      <c r="L27" s="541">
        <f t="shared" si="18"/>
        <v>0</v>
      </c>
      <c r="M27" s="541">
        <f t="shared" si="18"/>
        <v>8.5999999999999993E-2</v>
      </c>
      <c r="O27" s="542" t="b">
        <f t="shared" si="57"/>
        <v>1</v>
      </c>
      <c r="P27" s="493">
        <f t="shared" si="19"/>
        <v>0.1113</v>
      </c>
      <c r="Q27" s="493">
        <f t="shared" si="20"/>
        <v>0.88870000000000005</v>
      </c>
      <c r="R27" s="543">
        <f t="shared" si="21"/>
        <v>2053583</v>
      </c>
      <c r="S27" s="544">
        <f t="shared" si="22"/>
        <v>0.97560975599999999</v>
      </c>
      <c r="T27" s="423">
        <f t="shared" si="23"/>
        <v>1054308.95</v>
      </c>
      <c r="U27" s="423">
        <f xml:space="preserve"> IF( $O27,    ROUND(  SUM( T27:T$120), U$17 ),  LEER  )</f>
        <v>14223057.970000001</v>
      </c>
      <c r="V27" s="493">
        <f t="shared" si="24"/>
        <v>13.490399999999999</v>
      </c>
      <c r="W27" s="493">
        <f t="shared" si="25"/>
        <v>946769.44</v>
      </c>
      <c r="X27" s="493">
        <f xml:space="preserve"> IF( $O27,    ROUND(  SUM( W27:W$120), X$17 ),  LEER  )</f>
        <v>20877100.690000001</v>
      </c>
      <c r="Y27" s="493">
        <f t="shared" si="26"/>
        <v>19.8017</v>
      </c>
      <c r="Z27" s="493">
        <f t="shared" si="27"/>
        <v>1.4678</v>
      </c>
      <c r="AA27" s="493">
        <f t="shared" si="28"/>
        <v>1.0137</v>
      </c>
      <c r="AB27" s="493">
        <f t="shared" si="29"/>
        <v>2.3494000000000002</v>
      </c>
      <c r="AC27" s="545">
        <f t="shared" si="30"/>
        <v>0.38600000000000001</v>
      </c>
      <c r="AD27" s="493">
        <f t="shared" si="31"/>
        <v>1.4932000000000001</v>
      </c>
      <c r="AE27" s="493">
        <f t="shared" si="32"/>
        <v>2.056</v>
      </c>
      <c r="AF27" s="493">
        <f t="shared" si="33"/>
        <v>2.056</v>
      </c>
      <c r="AG27" s="493" t="str">
        <f t="shared" si="34"/>
        <v>.</v>
      </c>
      <c r="AH27" s="493" t="str">
        <f t="shared" si="35"/>
        <v>.</v>
      </c>
      <c r="AI27" s="423">
        <f t="shared" si="36"/>
        <v>2077.79</v>
      </c>
      <c r="AJ27" s="423">
        <f t="shared" si="37"/>
        <v>4271.9399999999996</v>
      </c>
      <c r="AK27" s="423">
        <f t="shared" si="38"/>
        <v>356</v>
      </c>
      <c r="AN27" s="423" t="str">
        <f t="shared" si="39"/>
        <v>.</v>
      </c>
      <c r="AO27" s="423" t="str">
        <f t="shared" si="39"/>
        <v>.</v>
      </c>
      <c r="AR27" s="546">
        <f xml:space="preserve"> ROUND(  INDEX( Kx!27:27, AR$16 ),  AR$17 )</f>
        <v>0.67349999999999999</v>
      </c>
      <c r="AS27" s="547">
        <f xml:space="preserve"> ROUND(  INDEX( qx!27:27, AS$16 ),  AS$17 )</f>
        <v>2.9999999999999997E-4</v>
      </c>
      <c r="AT27" s="547">
        <f xml:space="preserve"> ROUND(  INDEX( qx!27:27, AT$16 ),  AT$17 )</f>
        <v>2.0000000000000001E-4</v>
      </c>
      <c r="AU27" s="548" t="str">
        <f t="shared" si="40"/>
        <v>F</v>
      </c>
      <c r="AV27" s="542">
        <f t="shared" si="41"/>
        <v>0.57899999999999996</v>
      </c>
      <c r="AW27" s="542">
        <f t="shared" si="42"/>
        <v>2.9999999999999997E-4</v>
      </c>
      <c r="AX27" s="546">
        <f xml:space="preserve"> ROUND(  INDEX( wx!27:27, AX$16 ),  AX$17 )</f>
        <v>0.1038</v>
      </c>
      <c r="AY27" s="546">
        <f xml:space="preserve"> ROUND(  INDEX( wx!27:27, AY$16 ),  AY$17 )</f>
        <v>0.13320000000000001</v>
      </c>
      <c r="AZ27" s="548" t="str">
        <f t="shared" si="43"/>
        <v>M</v>
      </c>
      <c r="BA27" s="542">
        <f t="shared" si="44"/>
        <v>0.75580000000000003</v>
      </c>
      <c r="BB27" s="542">
        <f t="shared" si="45"/>
        <v>0.111</v>
      </c>
      <c r="BC27" s="533">
        <f xml:space="preserve"> ROUND(  INDEX( Kx!27:27, BC$16 ),  BC$17 )</f>
        <v>1383.58</v>
      </c>
      <c r="BD27" s="533">
        <f xml:space="preserve"> ROUND(  INDEX( Kx!27:27, BD$16 ),  BD$17 )</f>
        <v>2529.52</v>
      </c>
      <c r="BE27" s="548" t="str">
        <f t="shared" si="58"/>
        <v>F</v>
      </c>
      <c r="BF27" s="542">
        <f t="shared" si="46"/>
        <v>0.57899999999999996</v>
      </c>
      <c r="BG27" s="420">
        <f t="shared" si="47"/>
        <v>1866.02</v>
      </c>
      <c r="BQ27" s="549"/>
      <c r="BR27" s="423"/>
      <c r="BS27" s="550"/>
      <c r="BT27" s="423"/>
      <c r="BU27" s="551"/>
      <c r="BV27" s="551"/>
      <c r="BW27" s="529"/>
      <c r="BX27" s="552"/>
      <c r="BY27" s="559"/>
      <c r="BZ27" s="559"/>
      <c r="CB27" s="423"/>
      <c r="CC27" s="423"/>
      <c r="CD27" s="423"/>
      <c r="CE27" s="423"/>
      <c r="CF27" s="553"/>
      <c r="CH27" s="423"/>
      <c r="CI27" s="423"/>
      <c r="CJ27" s="423"/>
      <c r="CK27" s="423"/>
      <c r="CL27" s="553"/>
      <c r="CN27" s="423"/>
      <c r="CO27" s="423"/>
      <c r="CP27" s="423"/>
      <c r="CQ27" s="423"/>
      <c r="CR27" s="553"/>
      <c r="DM27" s="554"/>
      <c r="DO27" s="385"/>
      <c r="DP27" s="385"/>
      <c r="DQ27" s="385"/>
      <c r="EI27" s="553"/>
      <c r="EJ27" s="553"/>
      <c r="EK27" s="423"/>
      <c r="EL27" s="555"/>
      <c r="ES27" s="533"/>
      <c r="ET27" s="533"/>
      <c r="EU27" s="533"/>
      <c r="EV27" s="556"/>
      <c r="EY27" s="533"/>
      <c r="EZ27" s="533"/>
      <c r="FA27" s="556"/>
      <c r="FD27" s="556"/>
      <c r="FE27" s="556"/>
      <c r="FF27" s="556"/>
      <c r="FK27" s="557">
        <f t="shared" si="48"/>
        <v>27</v>
      </c>
      <c r="FL27" s="493">
        <f t="shared" si="59"/>
        <v>19.8017</v>
      </c>
      <c r="FM27" s="493">
        <f t="shared" si="60"/>
        <v>13.490399999999999</v>
      </c>
      <c r="FO27" s="427">
        <f t="shared" si="61"/>
        <v>27556.25</v>
      </c>
      <c r="FP27" s="558">
        <f t="shared" si="49"/>
        <v>7496.3</v>
      </c>
      <c r="FQ27" s="558">
        <f t="shared" si="49"/>
        <v>6361.08</v>
      </c>
      <c r="FR27" s="558">
        <f t="shared" si="49"/>
        <v>5223.05</v>
      </c>
      <c r="FS27" s="558">
        <f t="shared" si="49"/>
        <v>4085.02</v>
      </c>
      <c r="FT27" s="558">
        <f t="shared" si="49"/>
        <v>2907.75</v>
      </c>
      <c r="FU27" s="558">
        <f t="shared" si="49"/>
        <v>1696.85</v>
      </c>
      <c r="FV27" s="558">
        <f t="shared" si="49"/>
        <v>497.15</v>
      </c>
      <c r="FW27" s="558">
        <f t="shared" si="49"/>
        <v>-710.95</v>
      </c>
      <c r="FX27" s="558" t="str">
        <f t="shared" si="49"/>
        <v>.</v>
      </c>
      <c r="FY27" s="558" t="str">
        <f t="shared" si="49"/>
        <v>.</v>
      </c>
      <c r="FZ27" s="558" t="str">
        <f t="shared" si="49"/>
        <v>.</v>
      </c>
      <c r="GA27" s="558" t="str">
        <f t="shared" si="49"/>
        <v>.</v>
      </c>
      <c r="GB27" s="558" t="str">
        <f t="shared" si="49"/>
        <v>.</v>
      </c>
      <c r="GC27" s="558" t="str">
        <f t="shared" si="49"/>
        <v>.</v>
      </c>
      <c r="GD27" s="558" t="str">
        <f t="shared" si="49"/>
        <v>.</v>
      </c>
      <c r="GE27" s="558" t="str">
        <f t="shared" si="49"/>
        <v>.</v>
      </c>
      <c r="GF27" s="558" t="str">
        <f t="shared" si="50"/>
        <v>.</v>
      </c>
      <c r="GG27" s="558" t="str">
        <f t="shared" si="50"/>
        <v>.</v>
      </c>
      <c r="GH27" s="558" t="str">
        <f t="shared" si="50"/>
        <v>.</v>
      </c>
      <c r="GI27" s="558" t="str">
        <f t="shared" si="50"/>
        <v>.</v>
      </c>
      <c r="GJ27" s="558" t="str">
        <f t="shared" si="50"/>
        <v>.</v>
      </c>
      <c r="GK27" s="558" t="str">
        <f t="shared" si="50"/>
        <v>.</v>
      </c>
      <c r="GL27" s="558" t="str">
        <f t="shared" si="50"/>
        <v>.</v>
      </c>
      <c r="GM27" s="558" t="str">
        <f t="shared" si="50"/>
        <v>.</v>
      </c>
      <c r="GN27" s="558" t="str">
        <f t="shared" si="50"/>
        <v>.</v>
      </c>
      <c r="GO27" s="558" t="str">
        <f t="shared" si="50"/>
        <v>.</v>
      </c>
      <c r="GP27" s="558" t="str">
        <f t="shared" si="50"/>
        <v>.</v>
      </c>
      <c r="GQ27" s="558" t="str">
        <f t="shared" si="50"/>
        <v>.</v>
      </c>
      <c r="GR27" s="558" t="str">
        <f t="shared" si="50"/>
        <v>.</v>
      </c>
      <c r="GS27" s="558" t="str">
        <f t="shared" si="50"/>
        <v>.</v>
      </c>
      <c r="GT27" s="558" t="str">
        <f t="shared" si="50"/>
        <v>.</v>
      </c>
      <c r="GU27" s="558" t="str">
        <f t="shared" si="50"/>
        <v>.</v>
      </c>
      <c r="GV27" s="558" t="str">
        <f t="shared" si="51"/>
        <v>.</v>
      </c>
      <c r="GW27" s="558" t="str">
        <f t="shared" si="51"/>
        <v>.</v>
      </c>
      <c r="GX27" s="558" t="str">
        <f t="shared" si="51"/>
        <v>.</v>
      </c>
      <c r="GY27" s="558" t="str">
        <f t="shared" si="51"/>
        <v>.</v>
      </c>
      <c r="GZ27" s="558" t="str">
        <f t="shared" si="51"/>
        <v>.</v>
      </c>
      <c r="HA27" s="558" t="str">
        <f t="shared" si="51"/>
        <v>.</v>
      </c>
      <c r="HB27" s="558" t="str">
        <f t="shared" si="51"/>
        <v>.</v>
      </c>
      <c r="HC27" s="558" t="str">
        <f t="shared" si="51"/>
        <v>.</v>
      </c>
      <c r="HD27" s="558" t="str">
        <f t="shared" si="51"/>
        <v>.</v>
      </c>
      <c r="HE27" s="558" t="str">
        <f t="shared" si="51"/>
        <v>.</v>
      </c>
      <c r="HF27" s="558" t="str">
        <f t="shared" si="51"/>
        <v>.</v>
      </c>
      <c r="HG27" s="558" t="str">
        <f t="shared" si="51"/>
        <v>.</v>
      </c>
      <c r="HH27" s="558" t="str">
        <f t="shared" si="51"/>
        <v>.</v>
      </c>
      <c r="HI27" s="558" t="str">
        <f t="shared" si="51"/>
        <v>.</v>
      </c>
      <c r="HJ27" s="558" t="str">
        <f t="shared" si="51"/>
        <v>.</v>
      </c>
      <c r="HK27" s="558" t="str">
        <f t="shared" si="51"/>
        <v>.</v>
      </c>
      <c r="HL27" s="558" t="str">
        <f t="shared" si="52"/>
        <v>.</v>
      </c>
      <c r="HM27" s="558" t="str">
        <f t="shared" si="52"/>
        <v>.</v>
      </c>
      <c r="HN27" s="558" t="str">
        <f t="shared" si="52"/>
        <v>.</v>
      </c>
      <c r="HO27" s="558" t="str">
        <f t="shared" si="52"/>
        <v>.</v>
      </c>
      <c r="HP27" s="558" t="str">
        <f t="shared" si="52"/>
        <v>.</v>
      </c>
      <c r="HQ27" s="558" t="str">
        <f t="shared" si="52"/>
        <v>.</v>
      </c>
      <c r="HR27" s="558" t="str">
        <f t="shared" si="52"/>
        <v>.</v>
      </c>
      <c r="HS27" s="558" t="str">
        <f t="shared" si="52"/>
        <v>.</v>
      </c>
      <c r="HT27" s="558" t="str">
        <f t="shared" si="52"/>
        <v>.</v>
      </c>
      <c r="HU27" s="558" t="str">
        <f t="shared" si="52"/>
        <v>.</v>
      </c>
      <c r="HV27" s="558" t="str">
        <f t="shared" si="52"/>
        <v>.</v>
      </c>
      <c r="HW27" s="558" t="str">
        <f t="shared" si="52"/>
        <v>.</v>
      </c>
      <c r="HX27" s="558" t="str">
        <f t="shared" si="52"/>
        <v>.</v>
      </c>
      <c r="HY27" s="558" t="str">
        <f t="shared" si="52"/>
        <v>.</v>
      </c>
      <c r="HZ27" s="558" t="str">
        <f t="shared" si="52"/>
        <v>.</v>
      </c>
      <c r="IA27" s="558" t="str">
        <f t="shared" si="52"/>
        <v>.</v>
      </c>
      <c r="IB27" s="558" t="str">
        <f t="shared" si="52"/>
        <v>.</v>
      </c>
      <c r="IC27" s="558" t="str">
        <f t="shared" si="52"/>
        <v>.</v>
      </c>
      <c r="ID27" s="558" t="str">
        <f t="shared" si="53"/>
        <v>.</v>
      </c>
      <c r="IE27" s="558" t="str">
        <f t="shared" si="53"/>
        <v>.</v>
      </c>
      <c r="IF27" s="558" t="str">
        <f t="shared" si="53"/>
        <v>.</v>
      </c>
      <c r="IG27" s="558" t="str">
        <f t="shared" si="53"/>
        <v>.</v>
      </c>
      <c r="IH27" s="558" t="str">
        <f t="shared" si="53"/>
        <v>.</v>
      </c>
      <c r="II27" s="558" t="str">
        <f t="shared" si="53"/>
        <v>.</v>
      </c>
      <c r="IJ27" s="558" t="str">
        <f t="shared" si="53"/>
        <v>.</v>
      </c>
      <c r="IK27" s="558" t="str">
        <f t="shared" si="53"/>
        <v>.</v>
      </c>
      <c r="IL27" s="558" t="str">
        <f t="shared" si="53"/>
        <v>.</v>
      </c>
      <c r="IM27" s="558" t="str">
        <f t="shared" si="53"/>
        <v>.</v>
      </c>
      <c r="IN27" s="558" t="str">
        <f t="shared" si="53"/>
        <v>.</v>
      </c>
      <c r="IO27" s="558" t="str">
        <f t="shared" si="53"/>
        <v>.</v>
      </c>
      <c r="IP27" s="558" t="str">
        <f t="shared" si="53"/>
        <v>.</v>
      </c>
      <c r="IQ27" s="558" t="str">
        <f t="shared" si="53"/>
        <v>.</v>
      </c>
      <c r="IR27" s="558" t="str">
        <f t="shared" si="53"/>
        <v>.</v>
      </c>
      <c r="IS27" s="558" t="str">
        <f t="shared" si="53"/>
        <v>.</v>
      </c>
      <c r="IT27" s="558" t="str">
        <f t="shared" si="53"/>
        <v>.</v>
      </c>
      <c r="IU27" s="558" t="str">
        <f t="shared" si="53"/>
        <v>.</v>
      </c>
      <c r="IV27" s="558" t="str">
        <f t="shared" si="53"/>
        <v>.</v>
      </c>
      <c r="IW27" s="558" t="str">
        <f t="shared" si="53"/>
        <v>.</v>
      </c>
      <c r="IX27" s="558" t="str">
        <f t="shared" si="53"/>
        <v>.</v>
      </c>
      <c r="IY27" s="558" t="str">
        <f t="shared" si="53"/>
        <v>.</v>
      </c>
      <c r="IZ27" s="558" t="str">
        <f t="shared" si="53"/>
        <v>.</v>
      </c>
      <c r="JA27" s="558" t="str">
        <f t="shared" si="53"/>
        <v>.</v>
      </c>
      <c r="JB27" s="558" t="str">
        <f t="shared" si="53"/>
        <v>.</v>
      </c>
      <c r="JC27" s="558" t="str">
        <f t="shared" si="54"/>
        <v>.</v>
      </c>
      <c r="JD27" s="558" t="str">
        <f t="shared" si="54"/>
        <v>.</v>
      </c>
      <c r="JE27" s="558" t="str">
        <f t="shared" si="54"/>
        <v>.</v>
      </c>
      <c r="JF27" s="558" t="str">
        <f t="shared" si="54"/>
        <v>.</v>
      </c>
      <c r="JG27" s="558" t="str">
        <f t="shared" si="54"/>
        <v>.</v>
      </c>
      <c r="JH27" s="558" t="str">
        <f t="shared" si="54"/>
        <v>.</v>
      </c>
      <c r="JI27" s="558" t="str">
        <f t="shared" si="54"/>
        <v>.</v>
      </c>
      <c r="JJ27" s="558" t="str">
        <f t="shared" si="54"/>
        <v>.</v>
      </c>
      <c r="JK27" s="558" t="str">
        <f t="shared" si="54"/>
        <v>.</v>
      </c>
      <c r="JL27" s="558" t="str">
        <f t="shared" si="54"/>
        <v>.</v>
      </c>
    </row>
    <row r="28" spans="1:272" ht="10.199999999999999" x14ac:dyDescent="0.2">
      <c r="A28" s="534">
        <f xml:space="preserve"> Basis!A28</f>
        <v>28</v>
      </c>
      <c r="F28" s="536">
        <f xml:space="preserve"> ROUND(    IF( $A$15=BE_MF_,   AW28,   INDEX( qx!28:28, F$16 ) ),    F$17    )</f>
        <v>2.9999999999999997E-4</v>
      </c>
      <c r="G28" s="536">
        <f xml:space="preserve"> ROUND(    IF( $A$15=BE_MF_,   BB28,   INDEX( wx!28:28, G$16 ) ),    G$17    )</f>
        <v>9.9699999999999997E-2</v>
      </c>
      <c r="H28" s="537">
        <f xml:space="preserve"> ROUND(    IF( $A$15=BE_MF_,   BG28,   INDEX( Kx!28:28, H$16 ) ),    H$17    )</f>
        <v>1830.8</v>
      </c>
      <c r="I28" s="538">
        <f t="shared" si="55"/>
        <v>1830.8</v>
      </c>
      <c r="J28" s="539">
        <f t="shared" si="17"/>
        <v>0.88100000000000001</v>
      </c>
      <c r="K28" s="540">
        <f t="shared" si="56"/>
        <v>2</v>
      </c>
      <c r="L28" s="541">
        <f t="shared" si="18"/>
        <v>0</v>
      </c>
      <c r="M28" s="541">
        <f t="shared" si="18"/>
        <v>8.5999999999999993E-2</v>
      </c>
      <c r="O28" s="542" t="b">
        <f t="shared" si="57"/>
        <v>1</v>
      </c>
      <c r="P28" s="493">
        <f t="shared" si="19"/>
        <v>0.1</v>
      </c>
      <c r="Q28" s="493">
        <f t="shared" si="20"/>
        <v>0.9</v>
      </c>
      <c r="R28" s="543">
        <f t="shared" si="21"/>
        <v>1825019</v>
      </c>
      <c r="S28" s="544">
        <f t="shared" si="22"/>
        <v>0.97560975599999999</v>
      </c>
      <c r="T28" s="423">
        <f t="shared" si="23"/>
        <v>914111.47</v>
      </c>
      <c r="U28" s="423">
        <f xml:space="preserve"> IF( $O28,    ROUND(  SUM( T28:T$120), U$17 ),  LEER  )</f>
        <v>13168749.02</v>
      </c>
      <c r="V28" s="493">
        <f t="shared" si="24"/>
        <v>14.4061</v>
      </c>
      <c r="W28" s="493">
        <f t="shared" si="25"/>
        <v>805332.21</v>
      </c>
      <c r="X28" s="493">
        <f xml:space="preserve"> IF( $O28,    ROUND(  SUM( W28:W$120), X$17 ),  LEER  )</f>
        <v>19930331.25</v>
      </c>
      <c r="Y28" s="493">
        <f t="shared" si="26"/>
        <v>21.803000000000001</v>
      </c>
      <c r="Z28" s="493">
        <f t="shared" si="27"/>
        <v>1.5135000000000001</v>
      </c>
      <c r="AA28" s="493">
        <f t="shared" si="28"/>
        <v>1.0127999999999999</v>
      </c>
      <c r="AB28" s="493">
        <f t="shared" si="29"/>
        <v>2.3494000000000002</v>
      </c>
      <c r="AC28" s="545">
        <f t="shared" si="30"/>
        <v>0.38600000000000001</v>
      </c>
      <c r="AD28" s="493">
        <f t="shared" si="31"/>
        <v>1.5378000000000001</v>
      </c>
      <c r="AE28" s="493">
        <f t="shared" si="32"/>
        <v>2.1048</v>
      </c>
      <c r="AF28" s="493">
        <f t="shared" si="33"/>
        <v>2.1048</v>
      </c>
      <c r="AG28" s="493" t="str">
        <f t="shared" si="34"/>
        <v>.</v>
      </c>
      <c r="AH28" s="493" t="str">
        <f t="shared" si="35"/>
        <v>.</v>
      </c>
      <c r="AI28" s="423">
        <f t="shared" si="36"/>
        <v>2077.79</v>
      </c>
      <c r="AJ28" s="423">
        <f t="shared" si="37"/>
        <v>4373.33</v>
      </c>
      <c r="AK28" s="423">
        <f t="shared" si="38"/>
        <v>364.44</v>
      </c>
      <c r="AN28" s="423" t="str">
        <f t="shared" si="39"/>
        <v>.</v>
      </c>
      <c r="AO28" s="423" t="str">
        <f t="shared" si="39"/>
        <v>.</v>
      </c>
      <c r="AR28" s="546">
        <f xml:space="preserve"> ROUND(  INDEX( Kx!28:28, AR$16 ),  AR$17 )</f>
        <v>0.72460000000000002</v>
      </c>
      <c r="AS28" s="547">
        <f xml:space="preserve"> ROUND(  INDEX( qx!28:28, AS$16 ),  AS$17 )</f>
        <v>2.9999999999999997E-4</v>
      </c>
      <c r="AT28" s="547">
        <f xml:space="preserve"> ROUND(  INDEX( qx!28:28, AT$16 ),  AT$17 )</f>
        <v>2.0000000000000001E-4</v>
      </c>
      <c r="AU28" s="548" t="str">
        <f t="shared" si="40"/>
        <v>F</v>
      </c>
      <c r="AV28" s="542">
        <f t="shared" si="41"/>
        <v>0.63690000000000002</v>
      </c>
      <c r="AW28" s="542">
        <f t="shared" si="42"/>
        <v>2.9999999999999997E-4</v>
      </c>
      <c r="AX28" s="546">
        <f xml:space="preserve"> ROUND(  INDEX( wx!28:28, AX$16 ),  AX$17 )</f>
        <v>9.4299999999999995E-2</v>
      </c>
      <c r="AY28" s="546">
        <f xml:space="preserve"> ROUND(  INDEX( wx!28:28, AY$16 ),  AY$17 )</f>
        <v>0.1211</v>
      </c>
      <c r="AZ28" s="548" t="str">
        <f t="shared" si="43"/>
        <v>M</v>
      </c>
      <c r="BA28" s="542">
        <f t="shared" si="44"/>
        <v>0.79779999999999995</v>
      </c>
      <c r="BB28" s="542">
        <f t="shared" si="45"/>
        <v>9.9699999999999997E-2</v>
      </c>
      <c r="BC28" s="533">
        <f xml:space="preserve"> ROUND(  INDEX( Kx!28:28, BC$16 ),  BC$17 )</f>
        <v>1375.81</v>
      </c>
      <c r="BD28" s="533">
        <f xml:space="preserve"> ROUND(  INDEX( Kx!28:28, BD$16 ),  BD$17 )</f>
        <v>2628.89</v>
      </c>
      <c r="BE28" s="548" t="str">
        <f t="shared" si="58"/>
        <v>F</v>
      </c>
      <c r="BF28" s="542">
        <f t="shared" si="46"/>
        <v>0.63690000000000002</v>
      </c>
      <c r="BG28" s="420">
        <f t="shared" si="47"/>
        <v>1830.8</v>
      </c>
      <c r="BQ28" s="549"/>
      <c r="BR28" s="423"/>
      <c r="BS28" s="550"/>
      <c r="BT28" s="423"/>
      <c r="BU28" s="551"/>
      <c r="BV28" s="551"/>
      <c r="BW28" s="529"/>
      <c r="BX28" s="552"/>
      <c r="BY28" s="559"/>
      <c r="BZ28" s="559"/>
      <c r="CB28" s="423"/>
      <c r="CC28" s="423"/>
      <c r="CD28" s="423"/>
      <c r="CE28" s="423"/>
      <c r="CF28" s="553"/>
      <c r="CH28" s="423"/>
      <c r="CI28" s="423"/>
      <c r="CJ28" s="423"/>
      <c r="CK28" s="423"/>
      <c r="CL28" s="553"/>
      <c r="CN28" s="423"/>
      <c r="CO28" s="423"/>
      <c r="CP28" s="423"/>
      <c r="CQ28" s="423"/>
      <c r="CR28" s="553"/>
      <c r="DM28" s="554"/>
      <c r="DO28" s="385"/>
      <c r="DP28" s="385"/>
      <c r="DQ28" s="385"/>
      <c r="EI28" s="553"/>
      <c r="EJ28" s="553"/>
      <c r="EK28" s="423"/>
      <c r="EL28" s="555"/>
      <c r="ES28" s="533"/>
      <c r="ET28" s="533"/>
      <c r="EU28" s="533"/>
      <c r="EV28" s="556"/>
      <c r="EY28" s="533"/>
      <c r="EZ28" s="533"/>
      <c r="FA28" s="556"/>
      <c r="FD28" s="556"/>
      <c r="FE28" s="556"/>
      <c r="FF28" s="556"/>
      <c r="FK28" s="557">
        <f t="shared" si="48"/>
        <v>28</v>
      </c>
      <c r="FL28" s="493">
        <f t="shared" si="59"/>
        <v>21.803000000000001</v>
      </c>
      <c r="FM28" s="493">
        <f t="shared" si="60"/>
        <v>14.4061</v>
      </c>
      <c r="FO28" s="427">
        <f t="shared" si="61"/>
        <v>39622.250000000007</v>
      </c>
      <c r="FP28" s="558">
        <f t="shared" si="49"/>
        <v>9370.66</v>
      </c>
      <c r="FQ28" s="558">
        <f t="shared" si="49"/>
        <v>8158.38</v>
      </c>
      <c r="FR28" s="558">
        <f t="shared" si="49"/>
        <v>6943.11</v>
      </c>
      <c r="FS28" s="558">
        <f t="shared" si="49"/>
        <v>5727.83</v>
      </c>
      <c r="FT28" s="558">
        <f t="shared" si="49"/>
        <v>4470.6499999999996</v>
      </c>
      <c r="FU28" s="558">
        <f t="shared" si="49"/>
        <v>3177.55</v>
      </c>
      <c r="FV28" s="558">
        <f t="shared" si="49"/>
        <v>1896.43</v>
      </c>
      <c r="FW28" s="558">
        <f t="shared" si="49"/>
        <v>606.32000000000005</v>
      </c>
      <c r="FX28" s="558">
        <f t="shared" si="49"/>
        <v>-728.68</v>
      </c>
      <c r="FY28" s="558" t="str">
        <f t="shared" si="49"/>
        <v>.</v>
      </c>
      <c r="FZ28" s="558" t="str">
        <f t="shared" si="49"/>
        <v>.</v>
      </c>
      <c r="GA28" s="558" t="str">
        <f t="shared" si="49"/>
        <v>.</v>
      </c>
      <c r="GB28" s="558" t="str">
        <f t="shared" si="49"/>
        <v>.</v>
      </c>
      <c r="GC28" s="558" t="str">
        <f t="shared" si="49"/>
        <v>.</v>
      </c>
      <c r="GD28" s="558" t="str">
        <f t="shared" si="49"/>
        <v>.</v>
      </c>
      <c r="GE28" s="558" t="str">
        <f t="shared" si="49"/>
        <v>.</v>
      </c>
      <c r="GF28" s="558" t="str">
        <f t="shared" si="50"/>
        <v>.</v>
      </c>
      <c r="GG28" s="558" t="str">
        <f t="shared" si="50"/>
        <v>.</v>
      </c>
      <c r="GH28" s="558" t="str">
        <f t="shared" si="50"/>
        <v>.</v>
      </c>
      <c r="GI28" s="558" t="str">
        <f t="shared" si="50"/>
        <v>.</v>
      </c>
      <c r="GJ28" s="558" t="str">
        <f t="shared" si="50"/>
        <v>.</v>
      </c>
      <c r="GK28" s="558" t="str">
        <f t="shared" si="50"/>
        <v>.</v>
      </c>
      <c r="GL28" s="558" t="str">
        <f t="shared" si="50"/>
        <v>.</v>
      </c>
      <c r="GM28" s="558" t="str">
        <f t="shared" si="50"/>
        <v>.</v>
      </c>
      <c r="GN28" s="558" t="str">
        <f t="shared" si="50"/>
        <v>.</v>
      </c>
      <c r="GO28" s="558" t="str">
        <f t="shared" si="50"/>
        <v>.</v>
      </c>
      <c r="GP28" s="558" t="str">
        <f t="shared" si="50"/>
        <v>.</v>
      </c>
      <c r="GQ28" s="558" t="str">
        <f t="shared" si="50"/>
        <v>.</v>
      </c>
      <c r="GR28" s="558" t="str">
        <f t="shared" si="50"/>
        <v>.</v>
      </c>
      <c r="GS28" s="558" t="str">
        <f t="shared" si="50"/>
        <v>.</v>
      </c>
      <c r="GT28" s="558" t="str">
        <f t="shared" si="50"/>
        <v>.</v>
      </c>
      <c r="GU28" s="558" t="str">
        <f t="shared" si="50"/>
        <v>.</v>
      </c>
      <c r="GV28" s="558" t="str">
        <f t="shared" si="51"/>
        <v>.</v>
      </c>
      <c r="GW28" s="558" t="str">
        <f t="shared" si="51"/>
        <v>.</v>
      </c>
      <c r="GX28" s="558" t="str">
        <f t="shared" si="51"/>
        <v>.</v>
      </c>
      <c r="GY28" s="558" t="str">
        <f t="shared" si="51"/>
        <v>.</v>
      </c>
      <c r="GZ28" s="558" t="str">
        <f t="shared" si="51"/>
        <v>.</v>
      </c>
      <c r="HA28" s="558" t="str">
        <f t="shared" si="51"/>
        <v>.</v>
      </c>
      <c r="HB28" s="558" t="str">
        <f t="shared" si="51"/>
        <v>.</v>
      </c>
      <c r="HC28" s="558" t="str">
        <f t="shared" si="51"/>
        <v>.</v>
      </c>
      <c r="HD28" s="558" t="str">
        <f t="shared" si="51"/>
        <v>.</v>
      </c>
      <c r="HE28" s="558" t="str">
        <f t="shared" si="51"/>
        <v>.</v>
      </c>
      <c r="HF28" s="558" t="str">
        <f t="shared" si="51"/>
        <v>.</v>
      </c>
      <c r="HG28" s="558" t="str">
        <f t="shared" si="51"/>
        <v>.</v>
      </c>
      <c r="HH28" s="558" t="str">
        <f t="shared" si="51"/>
        <v>.</v>
      </c>
      <c r="HI28" s="558" t="str">
        <f t="shared" si="51"/>
        <v>.</v>
      </c>
      <c r="HJ28" s="558" t="str">
        <f t="shared" si="51"/>
        <v>.</v>
      </c>
      <c r="HK28" s="558" t="str">
        <f t="shared" si="51"/>
        <v>.</v>
      </c>
      <c r="HL28" s="558" t="str">
        <f t="shared" si="52"/>
        <v>.</v>
      </c>
      <c r="HM28" s="558" t="str">
        <f t="shared" si="52"/>
        <v>.</v>
      </c>
      <c r="HN28" s="558" t="str">
        <f t="shared" si="52"/>
        <v>.</v>
      </c>
      <c r="HO28" s="558" t="str">
        <f t="shared" si="52"/>
        <v>.</v>
      </c>
      <c r="HP28" s="558" t="str">
        <f t="shared" si="52"/>
        <v>.</v>
      </c>
      <c r="HQ28" s="558" t="str">
        <f t="shared" si="52"/>
        <v>.</v>
      </c>
      <c r="HR28" s="558" t="str">
        <f t="shared" si="52"/>
        <v>.</v>
      </c>
      <c r="HS28" s="558" t="str">
        <f t="shared" si="52"/>
        <v>.</v>
      </c>
      <c r="HT28" s="558" t="str">
        <f t="shared" si="52"/>
        <v>.</v>
      </c>
      <c r="HU28" s="558" t="str">
        <f t="shared" si="52"/>
        <v>.</v>
      </c>
      <c r="HV28" s="558" t="str">
        <f t="shared" si="52"/>
        <v>.</v>
      </c>
      <c r="HW28" s="558" t="str">
        <f t="shared" si="52"/>
        <v>.</v>
      </c>
      <c r="HX28" s="558" t="str">
        <f t="shared" si="52"/>
        <v>.</v>
      </c>
      <c r="HY28" s="558" t="str">
        <f t="shared" si="52"/>
        <v>.</v>
      </c>
      <c r="HZ28" s="558" t="str">
        <f t="shared" si="52"/>
        <v>.</v>
      </c>
      <c r="IA28" s="558" t="str">
        <f t="shared" si="52"/>
        <v>.</v>
      </c>
      <c r="IB28" s="558" t="str">
        <f t="shared" si="52"/>
        <v>.</v>
      </c>
      <c r="IC28" s="558" t="str">
        <f t="shared" si="52"/>
        <v>.</v>
      </c>
      <c r="ID28" s="558" t="str">
        <f t="shared" si="53"/>
        <v>.</v>
      </c>
      <c r="IE28" s="558" t="str">
        <f t="shared" si="53"/>
        <v>.</v>
      </c>
      <c r="IF28" s="558" t="str">
        <f t="shared" si="53"/>
        <v>.</v>
      </c>
      <c r="IG28" s="558" t="str">
        <f t="shared" si="53"/>
        <v>.</v>
      </c>
      <c r="IH28" s="558" t="str">
        <f t="shared" si="53"/>
        <v>.</v>
      </c>
      <c r="II28" s="558" t="str">
        <f t="shared" si="53"/>
        <v>.</v>
      </c>
      <c r="IJ28" s="558" t="str">
        <f t="shared" si="53"/>
        <v>.</v>
      </c>
      <c r="IK28" s="558" t="str">
        <f t="shared" si="53"/>
        <v>.</v>
      </c>
      <c r="IL28" s="558" t="str">
        <f t="shared" si="53"/>
        <v>.</v>
      </c>
      <c r="IM28" s="558" t="str">
        <f t="shared" si="53"/>
        <v>.</v>
      </c>
      <c r="IN28" s="558" t="str">
        <f t="shared" si="53"/>
        <v>.</v>
      </c>
      <c r="IO28" s="558" t="str">
        <f t="shared" si="53"/>
        <v>.</v>
      </c>
      <c r="IP28" s="558" t="str">
        <f t="shared" si="53"/>
        <v>.</v>
      </c>
      <c r="IQ28" s="558" t="str">
        <f t="shared" si="53"/>
        <v>.</v>
      </c>
      <c r="IR28" s="558" t="str">
        <f t="shared" si="53"/>
        <v>.</v>
      </c>
      <c r="IS28" s="558" t="str">
        <f t="shared" si="53"/>
        <v>.</v>
      </c>
      <c r="IT28" s="558" t="str">
        <f t="shared" si="53"/>
        <v>.</v>
      </c>
      <c r="IU28" s="558" t="str">
        <f t="shared" si="53"/>
        <v>.</v>
      </c>
      <c r="IV28" s="558" t="str">
        <f t="shared" si="53"/>
        <v>.</v>
      </c>
      <c r="IW28" s="558" t="str">
        <f t="shared" si="53"/>
        <v>.</v>
      </c>
      <c r="IX28" s="558" t="str">
        <f t="shared" si="53"/>
        <v>.</v>
      </c>
      <c r="IY28" s="558" t="str">
        <f t="shared" si="53"/>
        <v>.</v>
      </c>
      <c r="IZ28" s="558" t="str">
        <f t="shared" si="53"/>
        <v>.</v>
      </c>
      <c r="JA28" s="558" t="str">
        <f t="shared" si="53"/>
        <v>.</v>
      </c>
      <c r="JB28" s="558" t="str">
        <f t="shared" si="53"/>
        <v>.</v>
      </c>
      <c r="JC28" s="558" t="str">
        <f t="shared" si="54"/>
        <v>.</v>
      </c>
      <c r="JD28" s="558" t="str">
        <f t="shared" si="54"/>
        <v>.</v>
      </c>
      <c r="JE28" s="558" t="str">
        <f t="shared" si="54"/>
        <v>.</v>
      </c>
      <c r="JF28" s="558" t="str">
        <f t="shared" si="54"/>
        <v>.</v>
      </c>
      <c r="JG28" s="558" t="str">
        <f t="shared" si="54"/>
        <v>.</v>
      </c>
      <c r="JH28" s="558" t="str">
        <f t="shared" si="54"/>
        <v>.</v>
      </c>
      <c r="JI28" s="558" t="str">
        <f t="shared" si="54"/>
        <v>.</v>
      </c>
      <c r="JJ28" s="558" t="str">
        <f t="shared" si="54"/>
        <v>.</v>
      </c>
      <c r="JK28" s="558" t="str">
        <f t="shared" si="54"/>
        <v>.</v>
      </c>
      <c r="JL28" s="558" t="str">
        <f t="shared" si="54"/>
        <v>.</v>
      </c>
    </row>
    <row r="29" spans="1:272" ht="10.199999999999999" x14ac:dyDescent="0.2">
      <c r="A29" s="534">
        <f xml:space="preserve"> Basis!A29</f>
        <v>29</v>
      </c>
      <c r="F29" s="536">
        <f xml:space="preserve"> ROUND(    IF( $A$15=BE_MF_,   AW29,   INDEX( qx!29:29, F$16 ) ),    F$17    )</f>
        <v>2.9999999999999997E-4</v>
      </c>
      <c r="G29" s="536">
        <f xml:space="preserve"> ROUND(    IF( $A$15=BE_MF_,   BB29,   INDEX( wx!29:29, G$16 ) ),    G$17    )</f>
        <v>8.5099999999999995E-2</v>
      </c>
      <c r="H29" s="537">
        <f xml:space="preserve"> ROUND(    IF( $A$15=BE_MF_,   BG29,   INDEX( Kx!29:29, H$16 ) ),    H$17    )</f>
        <v>1839.06</v>
      </c>
      <c r="I29" s="538">
        <f t="shared" si="55"/>
        <v>1839.06</v>
      </c>
      <c r="J29" s="539">
        <f t="shared" si="17"/>
        <v>0.88500000000000001</v>
      </c>
      <c r="K29" s="540">
        <f t="shared" si="56"/>
        <v>2</v>
      </c>
      <c r="L29" s="541">
        <f t="shared" si="18"/>
        <v>0</v>
      </c>
      <c r="M29" s="541">
        <f t="shared" si="18"/>
        <v>8.5999999999999993E-2</v>
      </c>
      <c r="O29" s="542" t="b">
        <f t="shared" si="57"/>
        <v>1</v>
      </c>
      <c r="P29" s="493">
        <f t="shared" si="19"/>
        <v>8.5400000000000004E-2</v>
      </c>
      <c r="Q29" s="493">
        <f t="shared" si="20"/>
        <v>0.91459999999999997</v>
      </c>
      <c r="R29" s="543">
        <f t="shared" si="21"/>
        <v>1642517</v>
      </c>
      <c r="S29" s="544">
        <f t="shared" si="22"/>
        <v>0.97560975599999999</v>
      </c>
      <c r="T29" s="423">
        <f t="shared" si="23"/>
        <v>802634.41</v>
      </c>
      <c r="U29" s="423">
        <f xml:space="preserve"> IF( $O29,    ROUND(  SUM( T29:T$120), U$17 ),  LEER  )</f>
        <v>12254637.550000001</v>
      </c>
      <c r="V29" s="493">
        <f t="shared" si="24"/>
        <v>15.268000000000001</v>
      </c>
      <c r="W29" s="493">
        <f t="shared" si="25"/>
        <v>710331.45</v>
      </c>
      <c r="X29" s="493">
        <f xml:space="preserve"> IF( $O29,    ROUND(  SUM( W29:W$120), X$17 ),  LEER  )</f>
        <v>19124999.039999999</v>
      </c>
      <c r="Y29" s="493">
        <f t="shared" si="26"/>
        <v>23.8278</v>
      </c>
      <c r="Z29" s="493">
        <f t="shared" si="27"/>
        <v>1.5606</v>
      </c>
      <c r="AA29" s="493">
        <f t="shared" si="28"/>
        <v>1.0121</v>
      </c>
      <c r="AB29" s="493">
        <f t="shared" si="29"/>
        <v>2.3494000000000002</v>
      </c>
      <c r="AC29" s="545">
        <f t="shared" si="30"/>
        <v>0.38600000000000001</v>
      </c>
      <c r="AD29" s="493">
        <f t="shared" si="31"/>
        <v>1.5842000000000001</v>
      </c>
      <c r="AE29" s="493">
        <f t="shared" si="32"/>
        <v>2.1556000000000002</v>
      </c>
      <c r="AF29" s="493">
        <f t="shared" si="33"/>
        <v>2.1556000000000002</v>
      </c>
      <c r="AG29" s="493" t="str">
        <f t="shared" si="34"/>
        <v>.</v>
      </c>
      <c r="AH29" s="493" t="str">
        <f t="shared" si="35"/>
        <v>.</v>
      </c>
      <c r="AI29" s="423">
        <f t="shared" si="36"/>
        <v>2077.79</v>
      </c>
      <c r="AJ29" s="423">
        <f t="shared" si="37"/>
        <v>4478.88</v>
      </c>
      <c r="AK29" s="423">
        <f t="shared" si="38"/>
        <v>373.24</v>
      </c>
      <c r="AN29" s="423" t="str">
        <f t="shared" si="39"/>
        <v>.</v>
      </c>
      <c r="AO29" s="423" t="str">
        <f t="shared" si="39"/>
        <v>.</v>
      </c>
      <c r="AR29" s="546">
        <f xml:space="preserve"> ROUND(  INDEX( Kx!29:29, AR$16 ),  AR$17 )</f>
        <v>0.73870000000000002</v>
      </c>
      <c r="AS29" s="547">
        <f xml:space="preserve"> ROUND(  INDEX( qx!29:29, AS$16 ),  AS$17 )</f>
        <v>2.9999999999999997E-4</v>
      </c>
      <c r="AT29" s="547">
        <f xml:space="preserve"> ROUND(  INDEX( qx!29:29, AT$16 ),  AT$17 )</f>
        <v>2.0000000000000001E-4</v>
      </c>
      <c r="AU29" s="548" t="str">
        <f t="shared" si="40"/>
        <v>F</v>
      </c>
      <c r="AV29" s="542">
        <f t="shared" si="41"/>
        <v>0.65329999999999999</v>
      </c>
      <c r="AW29" s="542">
        <f t="shared" si="42"/>
        <v>2.9999999999999997E-4</v>
      </c>
      <c r="AX29" s="546">
        <f xml:space="preserve"> ROUND(  INDEX( wx!29:29, AX$16 ),  AX$17 )</f>
        <v>8.0199999999999994E-2</v>
      </c>
      <c r="AY29" s="546">
        <f xml:space="preserve"> ROUND(  INDEX( wx!29:29, AY$16 ),  AY$17 )</f>
        <v>0.1057</v>
      </c>
      <c r="AZ29" s="548" t="str">
        <f t="shared" si="43"/>
        <v>M</v>
      </c>
      <c r="BA29" s="542">
        <f t="shared" si="44"/>
        <v>0.80920000000000003</v>
      </c>
      <c r="BB29" s="542">
        <f t="shared" si="45"/>
        <v>8.5099999999999995E-2</v>
      </c>
      <c r="BC29" s="533">
        <f xml:space="preserve"> ROUND(  INDEX( Kx!29:29, BC$16 ),  BC$17 )</f>
        <v>1367.99</v>
      </c>
      <c r="BD29" s="533">
        <f xml:space="preserve"> ROUND(  INDEX( Kx!29:29, BD$16 ),  BD$17 )</f>
        <v>2726.71</v>
      </c>
      <c r="BE29" s="548" t="str">
        <f t="shared" si="58"/>
        <v>F</v>
      </c>
      <c r="BF29" s="542">
        <f t="shared" si="46"/>
        <v>0.65329999999999999</v>
      </c>
      <c r="BG29" s="420">
        <f t="shared" si="47"/>
        <v>1839.06</v>
      </c>
      <c r="BQ29" s="549"/>
      <c r="BR29" s="423"/>
      <c r="BS29" s="550"/>
      <c r="BT29" s="423"/>
      <c r="BU29" s="551"/>
      <c r="BV29" s="551"/>
      <c r="BW29" s="529"/>
      <c r="BX29" s="552"/>
      <c r="BY29" s="559"/>
      <c r="BZ29" s="559"/>
      <c r="CB29" s="423"/>
      <c r="CC29" s="423"/>
      <c r="CD29" s="423"/>
      <c r="CE29" s="423"/>
      <c r="CF29" s="553"/>
      <c r="CH29" s="423"/>
      <c r="CI29" s="423"/>
      <c r="CJ29" s="423"/>
      <c r="CK29" s="423"/>
      <c r="CL29" s="553"/>
      <c r="CN29" s="423"/>
      <c r="CO29" s="423"/>
      <c r="CP29" s="423"/>
      <c r="CQ29" s="423"/>
      <c r="CR29" s="553"/>
      <c r="DM29" s="554"/>
      <c r="DO29" s="385"/>
      <c r="DP29" s="385"/>
      <c r="DQ29" s="385"/>
      <c r="EI29" s="553"/>
      <c r="EJ29" s="553"/>
      <c r="EK29" s="423"/>
      <c r="EL29" s="555"/>
      <c r="ES29" s="533"/>
      <c r="ET29" s="533"/>
      <c r="EU29" s="533"/>
      <c r="EV29" s="556"/>
      <c r="EY29" s="533"/>
      <c r="EZ29" s="533"/>
      <c r="FA29" s="556"/>
      <c r="FD29" s="556"/>
      <c r="FE29" s="556"/>
      <c r="FF29" s="556"/>
      <c r="FK29" s="557">
        <f t="shared" si="48"/>
        <v>29</v>
      </c>
      <c r="FL29" s="493">
        <f t="shared" si="59"/>
        <v>23.8278</v>
      </c>
      <c r="FM29" s="493">
        <f t="shared" si="60"/>
        <v>15.268000000000001</v>
      </c>
      <c r="FO29" s="427">
        <f t="shared" si="61"/>
        <v>54715.960000000006</v>
      </c>
      <c r="FP29" s="558">
        <f t="shared" si="49"/>
        <v>11428.04</v>
      </c>
      <c r="FQ29" s="558">
        <f t="shared" si="49"/>
        <v>10143.23</v>
      </c>
      <c r="FR29" s="558">
        <f t="shared" si="49"/>
        <v>8855.25</v>
      </c>
      <c r="FS29" s="558">
        <f t="shared" si="49"/>
        <v>7567.26</v>
      </c>
      <c r="FT29" s="558">
        <f t="shared" si="49"/>
        <v>6234.87</v>
      </c>
      <c r="FU29" s="558">
        <f t="shared" si="49"/>
        <v>4864.3999999999996</v>
      </c>
      <c r="FV29" s="558">
        <f t="shared" si="49"/>
        <v>3506.63</v>
      </c>
      <c r="FW29" s="558">
        <f t="shared" si="49"/>
        <v>2139.34</v>
      </c>
      <c r="FX29" s="558">
        <f t="shared" si="49"/>
        <v>724.46</v>
      </c>
      <c r="FY29" s="558">
        <f t="shared" si="49"/>
        <v>-747.52</v>
      </c>
      <c r="FZ29" s="558" t="str">
        <f t="shared" si="49"/>
        <v>.</v>
      </c>
      <c r="GA29" s="558" t="str">
        <f t="shared" si="49"/>
        <v>.</v>
      </c>
      <c r="GB29" s="558" t="str">
        <f t="shared" si="49"/>
        <v>.</v>
      </c>
      <c r="GC29" s="558" t="str">
        <f t="shared" si="49"/>
        <v>.</v>
      </c>
      <c r="GD29" s="558" t="str">
        <f t="shared" si="49"/>
        <v>.</v>
      </c>
      <c r="GE29" s="558" t="str">
        <f t="shared" si="49"/>
        <v>.</v>
      </c>
      <c r="GF29" s="558" t="str">
        <f t="shared" si="50"/>
        <v>.</v>
      </c>
      <c r="GG29" s="558" t="str">
        <f t="shared" si="50"/>
        <v>.</v>
      </c>
      <c r="GH29" s="558" t="str">
        <f t="shared" si="50"/>
        <v>.</v>
      </c>
      <c r="GI29" s="558" t="str">
        <f t="shared" si="50"/>
        <v>.</v>
      </c>
      <c r="GJ29" s="558" t="str">
        <f t="shared" si="50"/>
        <v>.</v>
      </c>
      <c r="GK29" s="558" t="str">
        <f t="shared" si="50"/>
        <v>.</v>
      </c>
      <c r="GL29" s="558" t="str">
        <f t="shared" si="50"/>
        <v>.</v>
      </c>
      <c r="GM29" s="558" t="str">
        <f t="shared" si="50"/>
        <v>.</v>
      </c>
      <c r="GN29" s="558" t="str">
        <f t="shared" si="50"/>
        <v>.</v>
      </c>
      <c r="GO29" s="558" t="str">
        <f t="shared" si="50"/>
        <v>.</v>
      </c>
      <c r="GP29" s="558" t="str">
        <f t="shared" si="50"/>
        <v>.</v>
      </c>
      <c r="GQ29" s="558" t="str">
        <f t="shared" si="50"/>
        <v>.</v>
      </c>
      <c r="GR29" s="558" t="str">
        <f t="shared" si="50"/>
        <v>.</v>
      </c>
      <c r="GS29" s="558" t="str">
        <f t="shared" si="50"/>
        <v>.</v>
      </c>
      <c r="GT29" s="558" t="str">
        <f t="shared" si="50"/>
        <v>.</v>
      </c>
      <c r="GU29" s="558" t="str">
        <f t="shared" si="50"/>
        <v>.</v>
      </c>
      <c r="GV29" s="558" t="str">
        <f t="shared" si="51"/>
        <v>.</v>
      </c>
      <c r="GW29" s="558" t="str">
        <f t="shared" si="51"/>
        <v>.</v>
      </c>
      <c r="GX29" s="558" t="str">
        <f t="shared" si="51"/>
        <v>.</v>
      </c>
      <c r="GY29" s="558" t="str">
        <f t="shared" si="51"/>
        <v>.</v>
      </c>
      <c r="GZ29" s="558" t="str">
        <f t="shared" si="51"/>
        <v>.</v>
      </c>
      <c r="HA29" s="558" t="str">
        <f t="shared" si="51"/>
        <v>.</v>
      </c>
      <c r="HB29" s="558" t="str">
        <f t="shared" si="51"/>
        <v>.</v>
      </c>
      <c r="HC29" s="558" t="str">
        <f t="shared" si="51"/>
        <v>.</v>
      </c>
      <c r="HD29" s="558" t="str">
        <f t="shared" si="51"/>
        <v>.</v>
      </c>
      <c r="HE29" s="558" t="str">
        <f t="shared" si="51"/>
        <v>.</v>
      </c>
      <c r="HF29" s="558" t="str">
        <f t="shared" si="51"/>
        <v>.</v>
      </c>
      <c r="HG29" s="558" t="str">
        <f t="shared" si="51"/>
        <v>.</v>
      </c>
      <c r="HH29" s="558" t="str">
        <f t="shared" si="51"/>
        <v>.</v>
      </c>
      <c r="HI29" s="558" t="str">
        <f t="shared" si="51"/>
        <v>.</v>
      </c>
      <c r="HJ29" s="558" t="str">
        <f t="shared" si="51"/>
        <v>.</v>
      </c>
      <c r="HK29" s="558" t="str">
        <f t="shared" si="51"/>
        <v>.</v>
      </c>
      <c r="HL29" s="558" t="str">
        <f t="shared" si="52"/>
        <v>.</v>
      </c>
      <c r="HM29" s="558" t="str">
        <f t="shared" si="52"/>
        <v>.</v>
      </c>
      <c r="HN29" s="558" t="str">
        <f t="shared" si="52"/>
        <v>.</v>
      </c>
      <c r="HO29" s="558" t="str">
        <f t="shared" si="52"/>
        <v>.</v>
      </c>
      <c r="HP29" s="558" t="str">
        <f t="shared" si="52"/>
        <v>.</v>
      </c>
      <c r="HQ29" s="558" t="str">
        <f t="shared" si="52"/>
        <v>.</v>
      </c>
      <c r="HR29" s="558" t="str">
        <f t="shared" si="52"/>
        <v>.</v>
      </c>
      <c r="HS29" s="558" t="str">
        <f t="shared" si="52"/>
        <v>.</v>
      </c>
      <c r="HT29" s="558" t="str">
        <f t="shared" si="52"/>
        <v>.</v>
      </c>
      <c r="HU29" s="558" t="str">
        <f t="shared" si="52"/>
        <v>.</v>
      </c>
      <c r="HV29" s="558" t="str">
        <f t="shared" si="52"/>
        <v>.</v>
      </c>
      <c r="HW29" s="558" t="str">
        <f t="shared" si="52"/>
        <v>.</v>
      </c>
      <c r="HX29" s="558" t="str">
        <f t="shared" si="52"/>
        <v>.</v>
      </c>
      <c r="HY29" s="558" t="str">
        <f t="shared" si="52"/>
        <v>.</v>
      </c>
      <c r="HZ29" s="558" t="str">
        <f t="shared" si="52"/>
        <v>.</v>
      </c>
      <c r="IA29" s="558" t="str">
        <f t="shared" si="52"/>
        <v>.</v>
      </c>
      <c r="IB29" s="558" t="str">
        <f t="shared" si="52"/>
        <v>.</v>
      </c>
      <c r="IC29" s="558" t="str">
        <f t="shared" si="52"/>
        <v>.</v>
      </c>
      <c r="ID29" s="558" t="str">
        <f t="shared" si="53"/>
        <v>.</v>
      </c>
      <c r="IE29" s="558" t="str">
        <f t="shared" si="53"/>
        <v>.</v>
      </c>
      <c r="IF29" s="558" t="str">
        <f t="shared" si="53"/>
        <v>.</v>
      </c>
      <c r="IG29" s="558" t="str">
        <f t="shared" si="53"/>
        <v>.</v>
      </c>
      <c r="IH29" s="558" t="str">
        <f t="shared" si="53"/>
        <v>.</v>
      </c>
      <c r="II29" s="558" t="str">
        <f t="shared" si="53"/>
        <v>.</v>
      </c>
      <c r="IJ29" s="558" t="str">
        <f t="shared" si="53"/>
        <v>.</v>
      </c>
      <c r="IK29" s="558" t="str">
        <f t="shared" si="53"/>
        <v>.</v>
      </c>
      <c r="IL29" s="558" t="str">
        <f t="shared" si="53"/>
        <v>.</v>
      </c>
      <c r="IM29" s="558" t="str">
        <f t="shared" si="53"/>
        <v>.</v>
      </c>
      <c r="IN29" s="558" t="str">
        <f t="shared" si="53"/>
        <v>.</v>
      </c>
      <c r="IO29" s="558" t="str">
        <f t="shared" si="53"/>
        <v>.</v>
      </c>
      <c r="IP29" s="558" t="str">
        <f t="shared" si="53"/>
        <v>.</v>
      </c>
      <c r="IQ29" s="558" t="str">
        <f t="shared" si="53"/>
        <v>.</v>
      </c>
      <c r="IR29" s="558" t="str">
        <f t="shared" si="53"/>
        <v>.</v>
      </c>
      <c r="IS29" s="558" t="str">
        <f t="shared" si="53"/>
        <v>.</v>
      </c>
      <c r="IT29" s="558" t="str">
        <f t="shared" si="53"/>
        <v>.</v>
      </c>
      <c r="IU29" s="558" t="str">
        <f t="shared" si="53"/>
        <v>.</v>
      </c>
      <c r="IV29" s="558" t="str">
        <f t="shared" si="53"/>
        <v>.</v>
      </c>
      <c r="IW29" s="558" t="str">
        <f t="shared" si="53"/>
        <v>.</v>
      </c>
      <c r="IX29" s="558" t="str">
        <f t="shared" si="53"/>
        <v>.</v>
      </c>
      <c r="IY29" s="558" t="str">
        <f t="shared" si="53"/>
        <v>.</v>
      </c>
      <c r="IZ29" s="558" t="str">
        <f t="shared" si="53"/>
        <v>.</v>
      </c>
      <c r="JA29" s="558" t="str">
        <f t="shared" si="53"/>
        <v>.</v>
      </c>
      <c r="JB29" s="558" t="str">
        <f t="shared" si="53"/>
        <v>.</v>
      </c>
      <c r="JC29" s="558" t="str">
        <f t="shared" si="54"/>
        <v>.</v>
      </c>
      <c r="JD29" s="558" t="str">
        <f t="shared" si="54"/>
        <v>.</v>
      </c>
      <c r="JE29" s="558" t="str">
        <f t="shared" si="54"/>
        <v>.</v>
      </c>
      <c r="JF29" s="558" t="str">
        <f t="shared" si="54"/>
        <v>.</v>
      </c>
      <c r="JG29" s="558" t="str">
        <f t="shared" si="54"/>
        <v>.</v>
      </c>
      <c r="JH29" s="558" t="str">
        <f t="shared" si="54"/>
        <v>.</v>
      </c>
      <c r="JI29" s="558" t="str">
        <f t="shared" si="54"/>
        <v>.</v>
      </c>
      <c r="JJ29" s="558" t="str">
        <f t="shared" si="54"/>
        <v>.</v>
      </c>
      <c r="JK29" s="558" t="str">
        <f t="shared" si="54"/>
        <v>.</v>
      </c>
      <c r="JL29" s="558" t="str">
        <f t="shared" si="54"/>
        <v>.</v>
      </c>
    </row>
    <row r="30" spans="1:272" ht="10.199999999999999" x14ac:dyDescent="0.2">
      <c r="A30" s="534">
        <f xml:space="preserve"> Basis!A30</f>
        <v>30</v>
      </c>
      <c r="F30" s="536">
        <f xml:space="preserve"> ROUND(    IF( $A$15=BE_MF_,   AW30,   INDEX( qx!30:30, F$16 ) ),    F$17    )</f>
        <v>2.9999999999999997E-4</v>
      </c>
      <c r="G30" s="536">
        <f xml:space="preserve"> ROUND(    IF( $A$15=BE_MF_,   BB30,   INDEX( wx!30:30, G$16 ) ),    G$17    )</f>
        <v>7.4399999999999994E-2</v>
      </c>
      <c r="H30" s="537">
        <f xml:space="preserve"> ROUND(    IF( $A$15=BE_MF_,   BG30,   INDEX( Kx!30:30, H$16 ) ),    H$17    )</f>
        <v>1857.15</v>
      </c>
      <c r="I30" s="538">
        <f t="shared" si="55"/>
        <v>1857.15</v>
      </c>
      <c r="J30" s="539">
        <f t="shared" si="17"/>
        <v>0.89400000000000002</v>
      </c>
      <c r="K30" s="540">
        <f t="shared" si="56"/>
        <v>2</v>
      </c>
      <c r="L30" s="541">
        <f t="shared" si="18"/>
        <v>0</v>
      </c>
      <c r="M30" s="541">
        <f t="shared" si="18"/>
        <v>8.5999999999999993E-2</v>
      </c>
      <c r="O30" s="542" t="b">
        <f t="shared" si="57"/>
        <v>1</v>
      </c>
      <c r="P30" s="493">
        <f t="shared" si="19"/>
        <v>7.4700000000000003E-2</v>
      </c>
      <c r="Q30" s="493">
        <f t="shared" si="20"/>
        <v>0.92530000000000001</v>
      </c>
      <c r="R30" s="543">
        <f t="shared" si="21"/>
        <v>1502246</v>
      </c>
      <c r="S30" s="544">
        <f t="shared" si="22"/>
        <v>0.97560975599999999</v>
      </c>
      <c r="T30" s="423">
        <f t="shared" si="23"/>
        <v>716184.79</v>
      </c>
      <c r="U30" s="423">
        <f xml:space="preserve"> IF( $O30,    ROUND(  SUM( T30:T$120), U$17 ),  LEER  )</f>
        <v>11452003.140000001</v>
      </c>
      <c r="V30" s="493">
        <f t="shared" si="24"/>
        <v>15.9903</v>
      </c>
      <c r="W30" s="493">
        <f t="shared" si="25"/>
        <v>640269.19999999995</v>
      </c>
      <c r="X30" s="493">
        <f xml:space="preserve"> IF( $O30,    ROUND(  SUM( W30:W$120), X$17 ),  LEER  )</f>
        <v>18414667.59</v>
      </c>
      <c r="Y30" s="493">
        <f t="shared" si="26"/>
        <v>25.712199999999999</v>
      </c>
      <c r="Z30" s="493">
        <f t="shared" si="27"/>
        <v>1.6080000000000001</v>
      </c>
      <c r="AA30" s="493">
        <f t="shared" si="28"/>
        <v>1.0115000000000001</v>
      </c>
      <c r="AB30" s="493">
        <f t="shared" si="29"/>
        <v>2.3494000000000002</v>
      </c>
      <c r="AC30" s="545">
        <f t="shared" si="30"/>
        <v>0.38600000000000001</v>
      </c>
      <c r="AD30" s="493">
        <f t="shared" si="31"/>
        <v>1.6309</v>
      </c>
      <c r="AE30" s="493">
        <f t="shared" si="32"/>
        <v>2.2067000000000001</v>
      </c>
      <c r="AF30" s="493">
        <f t="shared" si="33"/>
        <v>2.2067000000000001</v>
      </c>
      <c r="AG30" s="493" t="str">
        <f t="shared" si="34"/>
        <v>.</v>
      </c>
      <c r="AH30" s="493" t="str">
        <f t="shared" si="35"/>
        <v>.</v>
      </c>
      <c r="AI30" s="423">
        <f t="shared" si="36"/>
        <v>2077.79</v>
      </c>
      <c r="AJ30" s="423">
        <f t="shared" si="37"/>
        <v>4585.0600000000004</v>
      </c>
      <c r="AK30" s="423">
        <f t="shared" si="38"/>
        <v>382.09</v>
      </c>
      <c r="AN30" s="423" t="str">
        <f t="shared" si="39"/>
        <v>.</v>
      </c>
      <c r="AO30" s="423" t="str">
        <f t="shared" si="39"/>
        <v>.</v>
      </c>
      <c r="AR30" s="546">
        <f xml:space="preserve"> ROUND(  INDEX( Kx!30:30, AR$16 ),  AR$17 )</f>
        <v>0.74470000000000003</v>
      </c>
      <c r="AS30" s="547">
        <f xml:space="preserve"> ROUND(  INDEX( qx!30:30, AS$16 ),  AS$17 )</f>
        <v>2.9999999999999997E-4</v>
      </c>
      <c r="AT30" s="547">
        <f xml:space="preserve"> ROUND(  INDEX( qx!30:30, AT$16 ),  AT$17 )</f>
        <v>2.0000000000000001E-4</v>
      </c>
      <c r="AU30" s="548" t="str">
        <f t="shared" si="40"/>
        <v>F</v>
      </c>
      <c r="AV30" s="542">
        <f t="shared" si="41"/>
        <v>0.66039999999999999</v>
      </c>
      <c r="AW30" s="542">
        <f t="shared" si="42"/>
        <v>2.9999999999999997E-4</v>
      </c>
      <c r="AX30" s="546">
        <f xml:space="preserve"> ROUND(  INDEX( wx!30:30, AX$16 ),  AX$17 )</f>
        <v>7.0000000000000007E-2</v>
      </c>
      <c r="AY30" s="546">
        <f xml:space="preserve"> ROUND(  INDEX( wx!30:30, AY$16 ),  AY$17 )</f>
        <v>9.3399999999999997E-2</v>
      </c>
      <c r="AZ30" s="548" t="str">
        <f t="shared" si="43"/>
        <v>M</v>
      </c>
      <c r="BA30" s="542">
        <f t="shared" si="44"/>
        <v>0.81399999999999995</v>
      </c>
      <c r="BB30" s="542">
        <f t="shared" si="45"/>
        <v>7.4399999999999994E-2</v>
      </c>
      <c r="BC30" s="533">
        <f xml:space="preserve"> ROUND(  INDEX( Kx!30:30, BC$16 ),  BC$17 )</f>
        <v>1362.05</v>
      </c>
      <c r="BD30" s="533">
        <f xml:space="preserve"> ROUND(  INDEX( Kx!30:30, BD$16 ),  BD$17 )</f>
        <v>2819.93</v>
      </c>
      <c r="BE30" s="548" t="str">
        <f t="shared" si="58"/>
        <v>F</v>
      </c>
      <c r="BF30" s="542">
        <f t="shared" si="46"/>
        <v>0.66039999999999999</v>
      </c>
      <c r="BG30" s="420">
        <f t="shared" si="47"/>
        <v>1857.15</v>
      </c>
      <c r="BQ30" s="549"/>
      <c r="BR30" s="423"/>
      <c r="BS30" s="550"/>
      <c r="BT30" s="423"/>
      <c r="BU30" s="551"/>
      <c r="BV30" s="551"/>
      <c r="BW30" s="529"/>
      <c r="BX30" s="552"/>
      <c r="BY30" s="559"/>
      <c r="BZ30" s="559"/>
      <c r="CB30" s="423"/>
      <c r="CC30" s="423"/>
      <c r="CD30" s="423"/>
      <c r="CE30" s="423"/>
      <c r="CF30" s="553"/>
      <c r="CH30" s="423"/>
      <c r="CI30" s="423"/>
      <c r="CJ30" s="423"/>
      <c r="CK30" s="423"/>
      <c r="CL30" s="553"/>
      <c r="CN30" s="423"/>
      <c r="CO30" s="423"/>
      <c r="CP30" s="423"/>
      <c r="CQ30" s="423"/>
      <c r="CR30" s="553"/>
      <c r="DM30" s="554"/>
      <c r="DO30" s="385"/>
      <c r="DP30" s="385"/>
      <c r="DQ30" s="385"/>
      <c r="EI30" s="553"/>
      <c r="EJ30" s="553"/>
      <c r="EK30" s="423"/>
      <c r="EL30" s="555"/>
      <c r="ES30" s="533"/>
      <c r="ET30" s="533"/>
      <c r="EU30" s="533"/>
      <c r="EV30" s="556"/>
      <c r="EY30" s="533"/>
      <c r="EZ30" s="533"/>
      <c r="FA30" s="556"/>
      <c r="FD30" s="556"/>
      <c r="FE30" s="556"/>
      <c r="FF30" s="556"/>
      <c r="FK30" s="557">
        <f t="shared" si="48"/>
        <v>30</v>
      </c>
      <c r="FL30" s="493">
        <f t="shared" si="59"/>
        <v>25.712199999999999</v>
      </c>
      <c r="FM30" s="493">
        <f t="shared" si="60"/>
        <v>15.9903</v>
      </c>
      <c r="FO30" s="427">
        <f t="shared" si="61"/>
        <v>72275.240000000005</v>
      </c>
      <c r="FP30" s="558">
        <f t="shared" si="49"/>
        <v>13541.88</v>
      </c>
      <c r="FQ30" s="558">
        <f t="shared" si="49"/>
        <v>12196.29</v>
      </c>
      <c r="FR30" s="558">
        <f t="shared" si="49"/>
        <v>10847.37</v>
      </c>
      <c r="FS30" s="558">
        <f t="shared" si="49"/>
        <v>9498.4599999999991</v>
      </c>
      <c r="FT30" s="558">
        <f t="shared" si="49"/>
        <v>8103.03</v>
      </c>
      <c r="FU30" s="558">
        <f t="shared" si="49"/>
        <v>6667.73</v>
      </c>
      <c r="FV30" s="558">
        <f t="shared" si="49"/>
        <v>5245.73</v>
      </c>
      <c r="FW30" s="558">
        <f t="shared" si="49"/>
        <v>3813.75</v>
      </c>
      <c r="FX30" s="558">
        <f t="shared" si="49"/>
        <v>2331.94</v>
      </c>
      <c r="FY30" s="558">
        <f t="shared" si="49"/>
        <v>790.32</v>
      </c>
      <c r="FZ30" s="558">
        <f t="shared" si="49"/>
        <v>-761.26</v>
      </c>
      <c r="GA30" s="558" t="str">
        <f t="shared" si="49"/>
        <v>.</v>
      </c>
      <c r="GB30" s="558" t="str">
        <f t="shared" si="49"/>
        <v>.</v>
      </c>
      <c r="GC30" s="558" t="str">
        <f t="shared" si="49"/>
        <v>.</v>
      </c>
      <c r="GD30" s="558" t="str">
        <f t="shared" si="49"/>
        <v>.</v>
      </c>
      <c r="GE30" s="558" t="str">
        <f t="shared" si="49"/>
        <v>.</v>
      </c>
      <c r="GF30" s="558" t="str">
        <f t="shared" si="50"/>
        <v>.</v>
      </c>
      <c r="GG30" s="558" t="str">
        <f t="shared" si="50"/>
        <v>.</v>
      </c>
      <c r="GH30" s="558" t="str">
        <f t="shared" si="50"/>
        <v>.</v>
      </c>
      <c r="GI30" s="558" t="str">
        <f t="shared" si="50"/>
        <v>.</v>
      </c>
      <c r="GJ30" s="558" t="str">
        <f t="shared" si="50"/>
        <v>.</v>
      </c>
      <c r="GK30" s="558" t="str">
        <f t="shared" si="50"/>
        <v>.</v>
      </c>
      <c r="GL30" s="558" t="str">
        <f t="shared" si="50"/>
        <v>.</v>
      </c>
      <c r="GM30" s="558" t="str">
        <f t="shared" si="50"/>
        <v>.</v>
      </c>
      <c r="GN30" s="558" t="str">
        <f t="shared" si="50"/>
        <v>.</v>
      </c>
      <c r="GO30" s="558" t="str">
        <f t="shared" si="50"/>
        <v>.</v>
      </c>
      <c r="GP30" s="558" t="str">
        <f t="shared" si="50"/>
        <v>.</v>
      </c>
      <c r="GQ30" s="558" t="str">
        <f t="shared" si="50"/>
        <v>.</v>
      </c>
      <c r="GR30" s="558" t="str">
        <f t="shared" si="50"/>
        <v>.</v>
      </c>
      <c r="GS30" s="558" t="str">
        <f t="shared" si="50"/>
        <v>.</v>
      </c>
      <c r="GT30" s="558" t="str">
        <f t="shared" si="50"/>
        <v>.</v>
      </c>
      <c r="GU30" s="558" t="str">
        <f t="shared" si="50"/>
        <v>.</v>
      </c>
      <c r="GV30" s="558" t="str">
        <f t="shared" si="51"/>
        <v>.</v>
      </c>
      <c r="GW30" s="558" t="str">
        <f t="shared" si="51"/>
        <v>.</v>
      </c>
      <c r="GX30" s="558" t="str">
        <f t="shared" si="51"/>
        <v>.</v>
      </c>
      <c r="GY30" s="558" t="str">
        <f t="shared" si="51"/>
        <v>.</v>
      </c>
      <c r="GZ30" s="558" t="str">
        <f t="shared" si="51"/>
        <v>.</v>
      </c>
      <c r="HA30" s="558" t="str">
        <f t="shared" si="51"/>
        <v>.</v>
      </c>
      <c r="HB30" s="558" t="str">
        <f t="shared" si="51"/>
        <v>.</v>
      </c>
      <c r="HC30" s="558" t="str">
        <f t="shared" si="51"/>
        <v>.</v>
      </c>
      <c r="HD30" s="558" t="str">
        <f t="shared" si="51"/>
        <v>.</v>
      </c>
      <c r="HE30" s="558" t="str">
        <f t="shared" si="51"/>
        <v>.</v>
      </c>
      <c r="HF30" s="558" t="str">
        <f t="shared" si="51"/>
        <v>.</v>
      </c>
      <c r="HG30" s="558" t="str">
        <f t="shared" si="51"/>
        <v>.</v>
      </c>
      <c r="HH30" s="558" t="str">
        <f t="shared" si="51"/>
        <v>.</v>
      </c>
      <c r="HI30" s="558" t="str">
        <f t="shared" si="51"/>
        <v>.</v>
      </c>
      <c r="HJ30" s="558" t="str">
        <f t="shared" si="51"/>
        <v>.</v>
      </c>
      <c r="HK30" s="558" t="str">
        <f t="shared" si="51"/>
        <v>.</v>
      </c>
      <c r="HL30" s="558" t="str">
        <f t="shared" si="52"/>
        <v>.</v>
      </c>
      <c r="HM30" s="558" t="str">
        <f t="shared" si="52"/>
        <v>.</v>
      </c>
      <c r="HN30" s="558" t="str">
        <f t="shared" si="52"/>
        <v>.</v>
      </c>
      <c r="HO30" s="558" t="str">
        <f t="shared" si="52"/>
        <v>.</v>
      </c>
      <c r="HP30" s="558" t="str">
        <f t="shared" si="52"/>
        <v>.</v>
      </c>
      <c r="HQ30" s="558" t="str">
        <f t="shared" si="52"/>
        <v>.</v>
      </c>
      <c r="HR30" s="558" t="str">
        <f t="shared" si="52"/>
        <v>.</v>
      </c>
      <c r="HS30" s="558" t="str">
        <f t="shared" si="52"/>
        <v>.</v>
      </c>
      <c r="HT30" s="558" t="str">
        <f t="shared" si="52"/>
        <v>.</v>
      </c>
      <c r="HU30" s="558" t="str">
        <f t="shared" si="52"/>
        <v>.</v>
      </c>
      <c r="HV30" s="558" t="str">
        <f t="shared" si="52"/>
        <v>.</v>
      </c>
      <c r="HW30" s="558" t="str">
        <f t="shared" si="52"/>
        <v>.</v>
      </c>
      <c r="HX30" s="558" t="str">
        <f t="shared" si="52"/>
        <v>.</v>
      </c>
      <c r="HY30" s="558" t="str">
        <f t="shared" si="52"/>
        <v>.</v>
      </c>
      <c r="HZ30" s="558" t="str">
        <f t="shared" si="52"/>
        <v>.</v>
      </c>
      <c r="IA30" s="558" t="str">
        <f t="shared" si="52"/>
        <v>.</v>
      </c>
      <c r="IB30" s="558" t="str">
        <f t="shared" si="52"/>
        <v>.</v>
      </c>
      <c r="IC30" s="558" t="str">
        <f t="shared" si="52"/>
        <v>.</v>
      </c>
      <c r="ID30" s="558" t="str">
        <f t="shared" si="53"/>
        <v>.</v>
      </c>
      <c r="IE30" s="558" t="str">
        <f t="shared" si="53"/>
        <v>.</v>
      </c>
      <c r="IF30" s="558" t="str">
        <f t="shared" si="53"/>
        <v>.</v>
      </c>
      <c r="IG30" s="558" t="str">
        <f t="shared" si="53"/>
        <v>.</v>
      </c>
      <c r="IH30" s="558" t="str">
        <f t="shared" si="53"/>
        <v>.</v>
      </c>
      <c r="II30" s="558" t="str">
        <f t="shared" ref="II30:JG43" si="62" xml:space="preserve"> IF(  OR( II$18&gt;$FK30, $FK30&gt;$FP$12 ),  LEER,  ROUND( $FO$19 * ( $FL30 - II$15 * $FM30 ), II$17 )  )</f>
        <v>.</v>
      </c>
      <c r="IJ30" s="558" t="str">
        <f t="shared" si="62"/>
        <v>.</v>
      </c>
      <c r="IK30" s="558" t="str">
        <f t="shared" si="62"/>
        <v>.</v>
      </c>
      <c r="IL30" s="558" t="str">
        <f t="shared" si="62"/>
        <v>.</v>
      </c>
      <c r="IM30" s="558" t="str">
        <f t="shared" si="62"/>
        <v>.</v>
      </c>
      <c r="IN30" s="558" t="str">
        <f t="shared" si="62"/>
        <v>.</v>
      </c>
      <c r="IO30" s="558" t="str">
        <f t="shared" si="62"/>
        <v>.</v>
      </c>
      <c r="IP30" s="558" t="str">
        <f t="shared" si="62"/>
        <v>.</v>
      </c>
      <c r="IQ30" s="558" t="str">
        <f t="shared" si="62"/>
        <v>.</v>
      </c>
      <c r="IR30" s="558" t="str">
        <f t="shared" si="62"/>
        <v>.</v>
      </c>
      <c r="IS30" s="558" t="str">
        <f t="shared" si="62"/>
        <v>.</v>
      </c>
      <c r="IT30" s="558" t="str">
        <f t="shared" si="62"/>
        <v>.</v>
      </c>
      <c r="IU30" s="558" t="str">
        <f t="shared" si="62"/>
        <v>.</v>
      </c>
      <c r="IV30" s="558" t="str">
        <f t="shared" si="62"/>
        <v>.</v>
      </c>
      <c r="IW30" s="558" t="str">
        <f t="shared" si="62"/>
        <v>.</v>
      </c>
      <c r="IX30" s="558" t="str">
        <f t="shared" si="62"/>
        <v>.</v>
      </c>
      <c r="IY30" s="558" t="str">
        <f t="shared" si="62"/>
        <v>.</v>
      </c>
      <c r="IZ30" s="558" t="str">
        <f t="shared" si="62"/>
        <v>.</v>
      </c>
      <c r="JA30" s="558" t="str">
        <f t="shared" si="62"/>
        <v>.</v>
      </c>
      <c r="JB30" s="558" t="str">
        <f t="shared" si="62"/>
        <v>.</v>
      </c>
      <c r="JC30" s="558" t="str">
        <f t="shared" si="62"/>
        <v>.</v>
      </c>
      <c r="JD30" s="558" t="str">
        <f t="shared" si="62"/>
        <v>.</v>
      </c>
      <c r="JE30" s="558" t="str">
        <f t="shared" si="62"/>
        <v>.</v>
      </c>
      <c r="JF30" s="558" t="str">
        <f t="shared" si="62"/>
        <v>.</v>
      </c>
      <c r="JG30" s="558" t="str">
        <f t="shared" si="62"/>
        <v>.</v>
      </c>
      <c r="JH30" s="558" t="str">
        <f t="shared" si="54"/>
        <v>.</v>
      </c>
      <c r="JI30" s="558" t="str">
        <f t="shared" si="54"/>
        <v>.</v>
      </c>
      <c r="JJ30" s="558" t="str">
        <f t="shared" si="54"/>
        <v>.</v>
      </c>
      <c r="JK30" s="558" t="str">
        <f t="shared" si="54"/>
        <v>.</v>
      </c>
      <c r="JL30" s="558" t="str">
        <f t="shared" si="54"/>
        <v>.</v>
      </c>
    </row>
    <row r="31" spans="1:272" ht="10.199999999999999" x14ac:dyDescent="0.2">
      <c r="A31" s="534">
        <f xml:space="preserve"> Basis!A31</f>
        <v>31</v>
      </c>
      <c r="F31" s="536">
        <f xml:space="preserve"> ROUND(    IF( $A$15=BE_MF_,   AW31,   INDEX( qx!31:31, F$16 ) ),    F$17    )</f>
        <v>2.9999999999999997E-4</v>
      </c>
      <c r="G31" s="536">
        <f xml:space="preserve"> ROUND(    IF( $A$15=BE_MF_,   BB31,   INDEX( wx!31:31, G$16 ) ),    G$17    )</f>
        <v>6.7900000000000002E-2</v>
      </c>
      <c r="H31" s="537">
        <f xml:space="preserve"> ROUND(    IF( $A$15=BE_MF_,   BG31,   INDEX( Kx!31:31, H$16 ) ),    H$17    )</f>
        <v>1857.29</v>
      </c>
      <c r="I31" s="538">
        <f t="shared" si="55"/>
        <v>1857.29</v>
      </c>
      <c r="J31" s="539">
        <f t="shared" si="17"/>
        <v>0.89400000000000002</v>
      </c>
      <c r="K31" s="540">
        <f t="shared" si="56"/>
        <v>2</v>
      </c>
      <c r="L31" s="541">
        <f t="shared" si="18"/>
        <v>0</v>
      </c>
      <c r="M31" s="541">
        <f t="shared" si="18"/>
        <v>8.5999999999999993E-2</v>
      </c>
      <c r="O31" s="542" t="b">
        <f t="shared" si="57"/>
        <v>1</v>
      </c>
      <c r="P31" s="493">
        <f t="shared" si="19"/>
        <v>6.8199999999999997E-2</v>
      </c>
      <c r="Q31" s="493">
        <f t="shared" si="20"/>
        <v>0.93179999999999996</v>
      </c>
      <c r="R31" s="543">
        <f t="shared" si="21"/>
        <v>1390028</v>
      </c>
      <c r="S31" s="544">
        <f t="shared" si="22"/>
        <v>0.97560975599999999</v>
      </c>
      <c r="T31" s="423">
        <f t="shared" si="23"/>
        <v>646522.61</v>
      </c>
      <c r="U31" s="423">
        <f xml:space="preserve"> IF( $O31,    ROUND(  SUM( T31:T$120), U$17 ),  LEER  )</f>
        <v>10735818.35</v>
      </c>
      <c r="V31" s="493">
        <f t="shared" si="24"/>
        <v>16.605499999999999</v>
      </c>
      <c r="W31" s="493">
        <f t="shared" si="25"/>
        <v>577991.21</v>
      </c>
      <c r="X31" s="493">
        <f xml:space="preserve"> IF( $O31,    ROUND(  SUM( W31:W$120), X$17 ),  LEER  )</f>
        <v>17774398.390000001</v>
      </c>
      <c r="Y31" s="493">
        <f t="shared" si="26"/>
        <v>27.4923</v>
      </c>
      <c r="Z31" s="493">
        <f t="shared" si="27"/>
        <v>1.6556</v>
      </c>
      <c r="AA31" s="493">
        <f t="shared" si="28"/>
        <v>1.0111000000000001</v>
      </c>
      <c r="AB31" s="493">
        <f t="shared" si="29"/>
        <v>2.3494000000000002</v>
      </c>
      <c r="AC31" s="545">
        <f t="shared" si="30"/>
        <v>0.38600000000000001</v>
      </c>
      <c r="AD31" s="493">
        <f t="shared" si="31"/>
        <v>1.6782999999999999</v>
      </c>
      <c r="AE31" s="493">
        <f t="shared" si="32"/>
        <v>2.2585000000000002</v>
      </c>
      <c r="AF31" s="493">
        <f t="shared" si="33"/>
        <v>2.2585000000000002</v>
      </c>
      <c r="AG31" s="493" t="str">
        <f t="shared" si="34"/>
        <v>.</v>
      </c>
      <c r="AH31" s="493" t="str">
        <f t="shared" si="35"/>
        <v>.</v>
      </c>
      <c r="AI31" s="423">
        <f t="shared" si="36"/>
        <v>2077.79</v>
      </c>
      <c r="AJ31" s="423">
        <f t="shared" si="37"/>
        <v>4692.6899999999996</v>
      </c>
      <c r="AK31" s="423">
        <f t="shared" si="38"/>
        <v>391.06</v>
      </c>
      <c r="AN31" s="423" t="str">
        <f t="shared" si="39"/>
        <v>.</v>
      </c>
      <c r="AO31" s="423" t="str">
        <f t="shared" si="39"/>
        <v>.</v>
      </c>
      <c r="AR31" s="546">
        <f xml:space="preserve"> ROUND(  INDEX( Kx!31:31, AR$16 ),  AR$17 )</f>
        <v>0.76060000000000005</v>
      </c>
      <c r="AS31" s="547">
        <f xml:space="preserve"> ROUND(  INDEX( qx!31:31, AS$16 ),  AS$17 )</f>
        <v>2.9999999999999997E-4</v>
      </c>
      <c r="AT31" s="547">
        <f xml:space="preserve"> ROUND(  INDEX( qx!31:31, AT$16 ),  AT$17 )</f>
        <v>2.0000000000000001E-4</v>
      </c>
      <c r="AU31" s="548" t="str">
        <f t="shared" si="40"/>
        <v>F</v>
      </c>
      <c r="AV31" s="542">
        <f t="shared" si="41"/>
        <v>0.67930000000000001</v>
      </c>
      <c r="AW31" s="542">
        <f t="shared" si="42"/>
        <v>2.9999999999999997E-4</v>
      </c>
      <c r="AX31" s="546">
        <f xml:space="preserve"> ROUND(  INDEX( wx!31:31, AX$16 ),  AX$17 )</f>
        <v>6.4399999999999999E-2</v>
      </c>
      <c r="AY31" s="546">
        <f xml:space="preserve"> ROUND(  INDEX( wx!31:31, AY$16 ),  AY$17 )</f>
        <v>8.4599999999999995E-2</v>
      </c>
      <c r="AZ31" s="548" t="str">
        <f t="shared" si="43"/>
        <v>M</v>
      </c>
      <c r="BA31" s="542">
        <f t="shared" si="44"/>
        <v>0.8266</v>
      </c>
      <c r="BB31" s="542">
        <f t="shared" si="45"/>
        <v>6.7900000000000002E-2</v>
      </c>
      <c r="BC31" s="533">
        <f xml:space="preserve"> ROUND(  INDEX( Kx!31:31, BC$16 ),  BC$17 )</f>
        <v>1361.74</v>
      </c>
      <c r="BD31" s="533">
        <f xml:space="preserve"> ROUND(  INDEX( Kx!31:31, BD$16 ),  BD$17 )</f>
        <v>2906.96</v>
      </c>
      <c r="BE31" s="548" t="str">
        <f t="shared" si="58"/>
        <v>F</v>
      </c>
      <c r="BF31" s="542">
        <f t="shared" si="46"/>
        <v>0.67930000000000001</v>
      </c>
      <c r="BG31" s="420">
        <f t="shared" si="47"/>
        <v>1857.29</v>
      </c>
      <c r="BQ31" s="549"/>
      <c r="BR31" s="423"/>
      <c r="BS31" s="550"/>
      <c r="BT31" s="423"/>
      <c r="BU31" s="551"/>
      <c r="BV31" s="551"/>
      <c r="BW31" s="529"/>
      <c r="BX31" s="552"/>
      <c r="BY31" s="559"/>
      <c r="BZ31" s="559"/>
      <c r="CB31" s="423"/>
      <c r="CC31" s="423"/>
      <c r="CD31" s="423"/>
      <c r="CE31" s="423"/>
      <c r="CF31" s="553"/>
      <c r="CH31" s="423"/>
      <c r="CI31" s="423"/>
      <c r="CJ31" s="423"/>
      <c r="CK31" s="423"/>
      <c r="CL31" s="553"/>
      <c r="CN31" s="423"/>
      <c r="CO31" s="423"/>
      <c r="CP31" s="423"/>
      <c r="CQ31" s="423"/>
      <c r="CR31" s="553"/>
      <c r="DM31" s="554"/>
      <c r="DO31" s="385"/>
      <c r="DP31" s="385"/>
      <c r="DQ31" s="385"/>
      <c r="EI31" s="553"/>
      <c r="EJ31" s="553"/>
      <c r="EK31" s="423"/>
      <c r="EL31" s="555"/>
      <c r="ES31" s="533"/>
      <c r="ET31" s="533"/>
      <c r="EU31" s="533"/>
      <c r="EV31" s="556"/>
      <c r="EY31" s="533"/>
      <c r="EZ31" s="533"/>
      <c r="FA31" s="556"/>
      <c r="FD31" s="556"/>
      <c r="FE31" s="556"/>
      <c r="FF31" s="556"/>
      <c r="FK31" s="557">
        <f t="shared" si="48"/>
        <v>31</v>
      </c>
      <c r="FL31" s="493">
        <f t="shared" si="59"/>
        <v>27.4923</v>
      </c>
      <c r="FM31" s="493">
        <f t="shared" si="60"/>
        <v>16.605499999999999</v>
      </c>
      <c r="FO31" s="427">
        <f t="shared" si="61"/>
        <v>92348.96</v>
      </c>
      <c r="FP31" s="558">
        <f t="shared" si="49"/>
        <v>15706.13</v>
      </c>
      <c r="FQ31" s="558">
        <f t="shared" si="49"/>
        <v>14308.77</v>
      </c>
      <c r="FR31" s="558">
        <f t="shared" si="49"/>
        <v>12907.96</v>
      </c>
      <c r="FS31" s="558">
        <f t="shared" si="49"/>
        <v>11507.15</v>
      </c>
      <c r="FT31" s="558">
        <f t="shared" si="49"/>
        <v>10058.040000000001</v>
      </c>
      <c r="FU31" s="558">
        <f t="shared" si="49"/>
        <v>8567.52</v>
      </c>
      <c r="FV31" s="558">
        <f t="shared" si="49"/>
        <v>7090.8</v>
      </c>
      <c r="FW31" s="558">
        <f t="shared" si="49"/>
        <v>5603.73</v>
      </c>
      <c r="FX31" s="558">
        <f t="shared" si="49"/>
        <v>4064.91</v>
      </c>
      <c r="FY31" s="558">
        <f t="shared" si="49"/>
        <v>2463.98</v>
      </c>
      <c r="FZ31" s="558">
        <f t="shared" si="49"/>
        <v>852.7</v>
      </c>
      <c r="GA31" s="558">
        <f t="shared" si="49"/>
        <v>-782.73</v>
      </c>
      <c r="GB31" s="558" t="str">
        <f t="shared" si="49"/>
        <v>.</v>
      </c>
      <c r="GC31" s="558" t="str">
        <f t="shared" si="49"/>
        <v>.</v>
      </c>
      <c r="GD31" s="558" t="str">
        <f t="shared" si="49"/>
        <v>.</v>
      </c>
      <c r="GE31" s="558" t="str">
        <f t="shared" si="49"/>
        <v>.</v>
      </c>
      <c r="GF31" s="558" t="str">
        <f t="shared" si="50"/>
        <v>.</v>
      </c>
      <c r="GG31" s="558" t="str">
        <f t="shared" si="50"/>
        <v>.</v>
      </c>
      <c r="GH31" s="558" t="str">
        <f t="shared" si="50"/>
        <v>.</v>
      </c>
      <c r="GI31" s="558" t="str">
        <f t="shared" si="50"/>
        <v>.</v>
      </c>
      <c r="GJ31" s="558" t="str">
        <f t="shared" si="50"/>
        <v>.</v>
      </c>
      <c r="GK31" s="558" t="str">
        <f t="shared" si="50"/>
        <v>.</v>
      </c>
      <c r="GL31" s="558" t="str">
        <f t="shared" si="50"/>
        <v>.</v>
      </c>
      <c r="GM31" s="558" t="str">
        <f t="shared" si="50"/>
        <v>.</v>
      </c>
      <c r="GN31" s="558" t="str">
        <f t="shared" si="50"/>
        <v>.</v>
      </c>
      <c r="GO31" s="558" t="str">
        <f t="shared" si="50"/>
        <v>.</v>
      </c>
      <c r="GP31" s="558" t="str">
        <f t="shared" si="50"/>
        <v>.</v>
      </c>
      <c r="GQ31" s="558" t="str">
        <f t="shared" si="50"/>
        <v>.</v>
      </c>
      <c r="GR31" s="558" t="str">
        <f t="shared" si="50"/>
        <v>.</v>
      </c>
      <c r="GS31" s="558" t="str">
        <f t="shared" si="50"/>
        <v>.</v>
      </c>
      <c r="GT31" s="558" t="str">
        <f t="shared" si="50"/>
        <v>.</v>
      </c>
      <c r="GU31" s="558" t="str">
        <f t="shared" si="50"/>
        <v>.</v>
      </c>
      <c r="GV31" s="558" t="str">
        <f t="shared" si="51"/>
        <v>.</v>
      </c>
      <c r="GW31" s="558" t="str">
        <f t="shared" si="51"/>
        <v>.</v>
      </c>
      <c r="GX31" s="558" t="str">
        <f t="shared" si="51"/>
        <v>.</v>
      </c>
      <c r="GY31" s="558" t="str">
        <f t="shared" si="51"/>
        <v>.</v>
      </c>
      <c r="GZ31" s="558" t="str">
        <f t="shared" si="51"/>
        <v>.</v>
      </c>
      <c r="HA31" s="558" t="str">
        <f t="shared" si="51"/>
        <v>.</v>
      </c>
      <c r="HB31" s="558" t="str">
        <f t="shared" si="51"/>
        <v>.</v>
      </c>
      <c r="HC31" s="558" t="str">
        <f t="shared" si="51"/>
        <v>.</v>
      </c>
      <c r="HD31" s="558" t="str">
        <f t="shared" si="51"/>
        <v>.</v>
      </c>
      <c r="HE31" s="558" t="str">
        <f t="shared" si="51"/>
        <v>.</v>
      </c>
      <c r="HF31" s="558" t="str">
        <f t="shared" si="51"/>
        <v>.</v>
      </c>
      <c r="HG31" s="558" t="str">
        <f t="shared" si="51"/>
        <v>.</v>
      </c>
      <c r="HH31" s="558" t="str">
        <f t="shared" si="51"/>
        <v>.</v>
      </c>
      <c r="HI31" s="558" t="str">
        <f t="shared" si="51"/>
        <v>.</v>
      </c>
      <c r="HJ31" s="558" t="str">
        <f t="shared" si="51"/>
        <v>.</v>
      </c>
      <c r="HK31" s="558" t="str">
        <f t="shared" si="51"/>
        <v>.</v>
      </c>
      <c r="HL31" s="558" t="str">
        <f t="shared" si="52"/>
        <v>.</v>
      </c>
      <c r="HM31" s="558" t="str">
        <f t="shared" si="52"/>
        <v>.</v>
      </c>
      <c r="HN31" s="558" t="str">
        <f t="shared" si="52"/>
        <v>.</v>
      </c>
      <c r="HO31" s="558" t="str">
        <f t="shared" si="52"/>
        <v>.</v>
      </c>
      <c r="HP31" s="558" t="str">
        <f t="shared" si="52"/>
        <v>.</v>
      </c>
      <c r="HQ31" s="558" t="str">
        <f t="shared" si="52"/>
        <v>.</v>
      </c>
      <c r="HR31" s="558" t="str">
        <f t="shared" si="52"/>
        <v>.</v>
      </c>
      <c r="HS31" s="558" t="str">
        <f t="shared" si="52"/>
        <v>.</v>
      </c>
      <c r="HT31" s="558" t="str">
        <f t="shared" si="52"/>
        <v>.</v>
      </c>
      <c r="HU31" s="558" t="str">
        <f t="shared" si="52"/>
        <v>.</v>
      </c>
      <c r="HV31" s="558" t="str">
        <f t="shared" si="52"/>
        <v>.</v>
      </c>
      <c r="HW31" s="558" t="str">
        <f t="shared" si="52"/>
        <v>.</v>
      </c>
      <c r="HX31" s="558" t="str">
        <f t="shared" si="52"/>
        <v>.</v>
      </c>
      <c r="HY31" s="558" t="str">
        <f t="shared" si="52"/>
        <v>.</v>
      </c>
      <c r="HZ31" s="558" t="str">
        <f t="shared" si="52"/>
        <v>.</v>
      </c>
      <c r="IA31" s="558" t="str">
        <f t="shared" si="52"/>
        <v>.</v>
      </c>
      <c r="IB31" s="558" t="str">
        <f t="shared" si="52"/>
        <v>.</v>
      </c>
      <c r="IC31" s="558" t="str">
        <f t="shared" si="52"/>
        <v>.</v>
      </c>
      <c r="ID31" s="558" t="str">
        <f t="shared" ref="ID31:IN33" si="63" xml:space="preserve"> IF(  OR( ID$18&gt;$FK31, $FK31&gt;$FP$12 ),  LEER,  ROUND( $FO$19 * ( $FL31 - ID$15 * $FM31 ), ID$17 )  )</f>
        <v>.</v>
      </c>
      <c r="IE31" s="558" t="str">
        <f t="shared" si="63"/>
        <v>.</v>
      </c>
      <c r="IF31" s="558" t="str">
        <f t="shared" si="63"/>
        <v>.</v>
      </c>
      <c r="IG31" s="558" t="str">
        <f t="shared" si="63"/>
        <v>.</v>
      </c>
      <c r="IH31" s="558" t="str">
        <f t="shared" si="63"/>
        <v>.</v>
      </c>
      <c r="II31" s="558" t="str">
        <f t="shared" si="63"/>
        <v>.</v>
      </c>
      <c r="IJ31" s="558" t="str">
        <f t="shared" si="63"/>
        <v>.</v>
      </c>
      <c r="IK31" s="558" t="str">
        <f t="shared" si="63"/>
        <v>.</v>
      </c>
      <c r="IL31" s="558" t="str">
        <f t="shared" si="63"/>
        <v>.</v>
      </c>
      <c r="IM31" s="558" t="str">
        <f t="shared" si="63"/>
        <v>.</v>
      </c>
      <c r="IN31" s="558" t="str">
        <f t="shared" si="63"/>
        <v>.</v>
      </c>
      <c r="IO31" s="558" t="str">
        <f t="shared" si="62"/>
        <v>.</v>
      </c>
      <c r="IP31" s="558" t="str">
        <f t="shared" si="62"/>
        <v>.</v>
      </c>
      <c r="IQ31" s="558" t="str">
        <f t="shared" si="62"/>
        <v>.</v>
      </c>
      <c r="IR31" s="558" t="str">
        <f t="shared" si="62"/>
        <v>.</v>
      </c>
      <c r="IS31" s="558" t="str">
        <f t="shared" si="62"/>
        <v>.</v>
      </c>
      <c r="IT31" s="558" t="str">
        <f t="shared" si="62"/>
        <v>.</v>
      </c>
      <c r="IU31" s="558" t="str">
        <f t="shared" si="62"/>
        <v>.</v>
      </c>
      <c r="IV31" s="558" t="str">
        <f t="shared" si="62"/>
        <v>.</v>
      </c>
      <c r="IW31" s="558" t="str">
        <f t="shared" si="62"/>
        <v>.</v>
      </c>
      <c r="IX31" s="558" t="str">
        <f t="shared" si="62"/>
        <v>.</v>
      </c>
      <c r="IY31" s="558" t="str">
        <f t="shared" si="62"/>
        <v>.</v>
      </c>
      <c r="IZ31" s="558" t="str">
        <f t="shared" si="62"/>
        <v>.</v>
      </c>
      <c r="JA31" s="558" t="str">
        <f t="shared" si="62"/>
        <v>.</v>
      </c>
      <c r="JB31" s="558" t="str">
        <f t="shared" si="62"/>
        <v>.</v>
      </c>
      <c r="JC31" s="558" t="str">
        <f t="shared" si="62"/>
        <v>.</v>
      </c>
      <c r="JD31" s="558" t="str">
        <f t="shared" si="62"/>
        <v>.</v>
      </c>
      <c r="JE31" s="558" t="str">
        <f t="shared" si="62"/>
        <v>.</v>
      </c>
      <c r="JF31" s="558" t="str">
        <f t="shared" si="62"/>
        <v>.</v>
      </c>
      <c r="JG31" s="558" t="str">
        <f t="shared" si="62"/>
        <v>.</v>
      </c>
      <c r="JH31" s="558" t="str">
        <f t="shared" si="54"/>
        <v>.</v>
      </c>
      <c r="JI31" s="558" t="str">
        <f t="shared" si="54"/>
        <v>.</v>
      </c>
      <c r="JJ31" s="558" t="str">
        <f t="shared" si="54"/>
        <v>.</v>
      </c>
      <c r="JK31" s="558" t="str">
        <f t="shared" si="54"/>
        <v>.</v>
      </c>
      <c r="JL31" s="558" t="str">
        <f t="shared" si="54"/>
        <v>.</v>
      </c>
    </row>
    <row r="32" spans="1:272" ht="10.199999999999999" x14ac:dyDescent="0.2">
      <c r="A32" s="534">
        <f xml:space="preserve"> Basis!A32</f>
        <v>32</v>
      </c>
      <c r="F32" s="536">
        <f xml:space="preserve"> ROUND(    IF( $A$15=BE_MF_,   AW32,   INDEX( qx!32:32, F$16 ) ),    F$17    )</f>
        <v>2.9999999999999997E-4</v>
      </c>
      <c r="G32" s="536">
        <f xml:space="preserve"> ROUND(    IF( $A$15=BE_MF_,   BB32,   INDEX( wx!32:32, G$16 ) ),    G$17    )</f>
        <v>6.2600000000000003E-2</v>
      </c>
      <c r="H32" s="537">
        <f xml:space="preserve"> ROUND(    IF( $A$15=BE_MF_,   BG32,   INDEX( Kx!32:32, H$16 ) ),    H$17    )</f>
        <v>1898.53</v>
      </c>
      <c r="I32" s="538">
        <f t="shared" si="55"/>
        <v>1898.53</v>
      </c>
      <c r="J32" s="539">
        <f t="shared" si="17"/>
        <v>0.91400000000000003</v>
      </c>
      <c r="K32" s="540">
        <f t="shared" si="56"/>
        <v>2</v>
      </c>
      <c r="L32" s="541">
        <f t="shared" si="18"/>
        <v>0</v>
      </c>
      <c r="M32" s="541">
        <f t="shared" si="18"/>
        <v>8.5999999999999993E-2</v>
      </c>
      <c r="O32" s="542" t="b">
        <f t="shared" si="57"/>
        <v>1</v>
      </c>
      <c r="P32" s="493">
        <f t="shared" si="19"/>
        <v>6.2899999999999998E-2</v>
      </c>
      <c r="Q32" s="493">
        <f t="shared" si="20"/>
        <v>0.93710000000000004</v>
      </c>
      <c r="R32" s="543">
        <f t="shared" si="21"/>
        <v>1295228</v>
      </c>
      <c r="S32" s="544">
        <f t="shared" si="22"/>
        <v>0.97560975599999999</v>
      </c>
      <c r="T32" s="423">
        <f t="shared" si="23"/>
        <v>587736.31999999995</v>
      </c>
      <c r="U32" s="423">
        <f xml:space="preserve"> IF( $O32,    ROUND(  SUM( T32:T$120), U$17 ),  LEER  )</f>
        <v>10089295.74</v>
      </c>
      <c r="V32" s="493">
        <f t="shared" si="24"/>
        <v>17.166399999999999</v>
      </c>
      <c r="W32" s="493">
        <f t="shared" si="25"/>
        <v>537191</v>
      </c>
      <c r="X32" s="493">
        <f xml:space="preserve"> IF( $O32,    ROUND(  SUM( W32:W$120), X$17 ),  LEER  )</f>
        <v>17196407.18</v>
      </c>
      <c r="Y32" s="493">
        <f t="shared" si="26"/>
        <v>29.258700000000001</v>
      </c>
      <c r="Z32" s="493">
        <f t="shared" si="27"/>
        <v>1.7043999999999999</v>
      </c>
      <c r="AA32" s="493">
        <f t="shared" si="28"/>
        <v>1.0106999999999999</v>
      </c>
      <c r="AB32" s="493">
        <f t="shared" si="29"/>
        <v>2.3494000000000002</v>
      </c>
      <c r="AC32" s="545">
        <f t="shared" si="30"/>
        <v>0.38600000000000001</v>
      </c>
      <c r="AD32" s="493">
        <f t="shared" si="31"/>
        <v>1.7267999999999999</v>
      </c>
      <c r="AE32" s="493">
        <f t="shared" si="32"/>
        <v>2.3115999999999999</v>
      </c>
      <c r="AF32" s="493">
        <f t="shared" si="33"/>
        <v>2.3115999999999999</v>
      </c>
      <c r="AG32" s="493" t="str">
        <f t="shared" si="34"/>
        <v>.</v>
      </c>
      <c r="AH32" s="493" t="str">
        <f t="shared" si="35"/>
        <v>.</v>
      </c>
      <c r="AI32" s="423">
        <f t="shared" si="36"/>
        <v>2077.79</v>
      </c>
      <c r="AJ32" s="423">
        <f t="shared" si="37"/>
        <v>4803.0200000000004</v>
      </c>
      <c r="AK32" s="423">
        <f t="shared" si="38"/>
        <v>400.25</v>
      </c>
      <c r="AN32" s="423" t="str">
        <f t="shared" si="39"/>
        <v>.</v>
      </c>
      <c r="AO32" s="423" t="str">
        <f t="shared" si="39"/>
        <v>.</v>
      </c>
      <c r="AR32" s="546">
        <f xml:space="preserve"> ROUND(  INDEX( Kx!32:32, AR$16 ),  AR$17 )</f>
        <v>0.75480000000000003</v>
      </c>
      <c r="AS32" s="547">
        <f xml:space="preserve"> ROUND(  INDEX( qx!32:32, AS$16 ),  AS$17 )</f>
        <v>2.9999999999999997E-4</v>
      </c>
      <c r="AT32" s="547">
        <f xml:space="preserve"> ROUND(  INDEX( qx!32:32, AT$16 ),  AT$17 )</f>
        <v>2.0000000000000001E-4</v>
      </c>
      <c r="AU32" s="548" t="str">
        <f t="shared" si="40"/>
        <v>F</v>
      </c>
      <c r="AV32" s="542">
        <f t="shared" si="41"/>
        <v>0.6724</v>
      </c>
      <c r="AW32" s="542">
        <f t="shared" si="42"/>
        <v>2.9999999999999997E-4</v>
      </c>
      <c r="AX32" s="546">
        <f xml:space="preserve"> ROUND(  INDEX( wx!32:32, AX$16 ),  AX$17 )</f>
        <v>5.8999999999999997E-2</v>
      </c>
      <c r="AY32" s="546">
        <f xml:space="preserve"> ROUND(  INDEX( wx!32:32, AY$16 ),  AY$17 )</f>
        <v>7.9399999999999998E-2</v>
      </c>
      <c r="AZ32" s="548" t="str">
        <f t="shared" si="43"/>
        <v>M</v>
      </c>
      <c r="BA32" s="542">
        <f t="shared" si="44"/>
        <v>0.82199999999999995</v>
      </c>
      <c r="BB32" s="542">
        <f t="shared" si="45"/>
        <v>6.2600000000000003E-2</v>
      </c>
      <c r="BC32" s="533">
        <f xml:space="preserve"> ROUND(  INDEX( Kx!32:32, BC$16 ),  BC$17 )</f>
        <v>1369.93</v>
      </c>
      <c r="BD32" s="533">
        <f xml:space="preserve"> ROUND(  INDEX( Kx!32:32, BD$16 ),  BD$17 )</f>
        <v>2983.48</v>
      </c>
      <c r="BE32" s="548" t="str">
        <f t="shared" si="58"/>
        <v>F</v>
      </c>
      <c r="BF32" s="542">
        <f t="shared" si="46"/>
        <v>0.6724</v>
      </c>
      <c r="BG32" s="420">
        <f t="shared" si="47"/>
        <v>1898.53</v>
      </c>
      <c r="BQ32" s="549"/>
      <c r="BR32" s="423"/>
      <c r="BS32" s="550"/>
      <c r="BT32" s="423"/>
      <c r="BU32" s="551"/>
      <c r="BV32" s="551"/>
      <c r="BW32" s="529"/>
      <c r="BX32" s="552"/>
      <c r="BY32" s="559"/>
      <c r="BZ32" s="559"/>
      <c r="CB32" s="423"/>
      <c r="CC32" s="423"/>
      <c r="CD32" s="423"/>
      <c r="CE32" s="423"/>
      <c r="CF32" s="553"/>
      <c r="CH32" s="423"/>
      <c r="CI32" s="423"/>
      <c r="CJ32" s="423"/>
      <c r="CK32" s="423"/>
      <c r="CL32" s="553"/>
      <c r="CN32" s="423"/>
      <c r="CO32" s="423"/>
      <c r="CP32" s="423"/>
      <c r="CQ32" s="423"/>
      <c r="CR32" s="553"/>
      <c r="DO32" s="385"/>
      <c r="DP32" s="385"/>
      <c r="DQ32" s="385"/>
      <c r="EI32" s="553"/>
      <c r="EJ32" s="553"/>
      <c r="EK32" s="423"/>
      <c r="EL32" s="555"/>
      <c r="ES32" s="533"/>
      <c r="ET32" s="533"/>
      <c r="EU32" s="533"/>
      <c r="EV32" s="556"/>
      <c r="EY32" s="533"/>
      <c r="EZ32" s="533"/>
      <c r="FA32" s="556"/>
      <c r="FD32" s="556"/>
      <c r="FE32" s="556"/>
      <c r="FF32" s="556"/>
      <c r="FK32" s="557">
        <f t="shared" si="48"/>
        <v>32</v>
      </c>
      <c r="FL32" s="493">
        <f t="shared" si="59"/>
        <v>29.258700000000001</v>
      </c>
      <c r="FM32" s="493">
        <f t="shared" si="60"/>
        <v>17.166399999999999</v>
      </c>
      <c r="FO32" s="427">
        <f t="shared" si="61"/>
        <v>115558.40000000001</v>
      </c>
      <c r="FP32" s="558">
        <f t="shared" si="49"/>
        <v>17977.36</v>
      </c>
      <c r="FQ32" s="558">
        <f t="shared" si="49"/>
        <v>16532.8</v>
      </c>
      <c r="FR32" s="558">
        <f t="shared" si="49"/>
        <v>15084.67</v>
      </c>
      <c r="FS32" s="558">
        <f t="shared" si="49"/>
        <v>13636.54</v>
      </c>
      <c r="FT32" s="558">
        <f t="shared" si="49"/>
        <v>12138.48</v>
      </c>
      <c r="FU32" s="558">
        <f t="shared" si="49"/>
        <v>10597.61</v>
      </c>
      <c r="FV32" s="558">
        <f t="shared" si="49"/>
        <v>9071.01</v>
      </c>
      <c r="FW32" s="558">
        <f t="shared" si="49"/>
        <v>7533.72</v>
      </c>
      <c r="FX32" s="558">
        <f t="shared" si="49"/>
        <v>5942.92</v>
      </c>
      <c r="FY32" s="558">
        <f t="shared" si="49"/>
        <v>4287.91</v>
      </c>
      <c r="FZ32" s="558">
        <f t="shared" si="49"/>
        <v>2622.21</v>
      </c>
      <c r="GA32" s="558">
        <f t="shared" si="49"/>
        <v>931.54</v>
      </c>
      <c r="GB32" s="558">
        <f t="shared" si="49"/>
        <v>-798.37</v>
      </c>
      <c r="GC32" s="558" t="str">
        <f t="shared" si="49"/>
        <v>.</v>
      </c>
      <c r="GD32" s="558" t="str">
        <f t="shared" si="49"/>
        <v>.</v>
      </c>
      <c r="GE32" s="558" t="str">
        <f t="shared" si="49"/>
        <v>.</v>
      </c>
      <c r="GF32" s="558" t="str">
        <f t="shared" si="50"/>
        <v>.</v>
      </c>
      <c r="GG32" s="558" t="str">
        <f t="shared" si="50"/>
        <v>.</v>
      </c>
      <c r="GH32" s="558" t="str">
        <f t="shared" si="50"/>
        <v>.</v>
      </c>
      <c r="GI32" s="558" t="str">
        <f t="shared" si="50"/>
        <v>.</v>
      </c>
      <c r="GJ32" s="558" t="str">
        <f t="shared" si="50"/>
        <v>.</v>
      </c>
      <c r="GK32" s="558" t="str">
        <f t="shared" si="50"/>
        <v>.</v>
      </c>
      <c r="GL32" s="558" t="str">
        <f t="shared" si="50"/>
        <v>.</v>
      </c>
      <c r="GM32" s="558" t="str">
        <f t="shared" si="50"/>
        <v>.</v>
      </c>
      <c r="GN32" s="558" t="str">
        <f t="shared" si="50"/>
        <v>.</v>
      </c>
      <c r="GO32" s="558" t="str">
        <f t="shared" si="50"/>
        <v>.</v>
      </c>
      <c r="GP32" s="558" t="str">
        <f t="shared" si="50"/>
        <v>.</v>
      </c>
      <c r="GQ32" s="558" t="str">
        <f t="shared" si="50"/>
        <v>.</v>
      </c>
      <c r="GR32" s="558" t="str">
        <f t="shared" si="50"/>
        <v>.</v>
      </c>
      <c r="GS32" s="558" t="str">
        <f t="shared" si="50"/>
        <v>.</v>
      </c>
      <c r="GT32" s="558" t="str">
        <f t="shared" si="50"/>
        <v>.</v>
      </c>
      <c r="GU32" s="558" t="str">
        <f t="shared" si="50"/>
        <v>.</v>
      </c>
      <c r="GV32" s="558" t="str">
        <f t="shared" si="51"/>
        <v>.</v>
      </c>
      <c r="GW32" s="558" t="str">
        <f t="shared" si="51"/>
        <v>.</v>
      </c>
      <c r="GX32" s="558" t="str">
        <f t="shared" si="51"/>
        <v>.</v>
      </c>
      <c r="GY32" s="558" t="str">
        <f t="shared" si="51"/>
        <v>.</v>
      </c>
      <c r="GZ32" s="558" t="str">
        <f t="shared" si="51"/>
        <v>.</v>
      </c>
      <c r="HA32" s="558" t="str">
        <f t="shared" si="51"/>
        <v>.</v>
      </c>
      <c r="HB32" s="558" t="str">
        <f t="shared" si="51"/>
        <v>.</v>
      </c>
      <c r="HC32" s="558" t="str">
        <f t="shared" si="51"/>
        <v>.</v>
      </c>
      <c r="HD32" s="558" t="str">
        <f t="shared" si="51"/>
        <v>.</v>
      </c>
      <c r="HE32" s="558" t="str">
        <f t="shared" si="51"/>
        <v>.</v>
      </c>
      <c r="HF32" s="558" t="str">
        <f t="shared" si="51"/>
        <v>.</v>
      </c>
      <c r="HG32" s="558" t="str">
        <f t="shared" si="51"/>
        <v>.</v>
      </c>
      <c r="HH32" s="558" t="str">
        <f t="shared" si="51"/>
        <v>.</v>
      </c>
      <c r="HI32" s="558" t="str">
        <f t="shared" si="51"/>
        <v>.</v>
      </c>
      <c r="HJ32" s="558" t="str">
        <f t="shared" si="51"/>
        <v>.</v>
      </c>
      <c r="HK32" s="558" t="str">
        <f t="shared" si="51"/>
        <v>.</v>
      </c>
      <c r="HL32" s="558" t="str">
        <f t="shared" si="52"/>
        <v>.</v>
      </c>
      <c r="HM32" s="558" t="str">
        <f t="shared" si="52"/>
        <v>.</v>
      </c>
      <c r="HN32" s="558" t="str">
        <f t="shared" si="52"/>
        <v>.</v>
      </c>
      <c r="HO32" s="558" t="str">
        <f t="shared" si="52"/>
        <v>.</v>
      </c>
      <c r="HP32" s="558" t="str">
        <f t="shared" si="52"/>
        <v>.</v>
      </c>
      <c r="HQ32" s="558" t="str">
        <f t="shared" si="52"/>
        <v>.</v>
      </c>
      <c r="HR32" s="558" t="str">
        <f t="shared" si="52"/>
        <v>.</v>
      </c>
      <c r="HS32" s="558" t="str">
        <f t="shared" si="52"/>
        <v>.</v>
      </c>
      <c r="HT32" s="558" t="str">
        <f t="shared" si="52"/>
        <v>.</v>
      </c>
      <c r="HU32" s="558" t="str">
        <f t="shared" si="52"/>
        <v>.</v>
      </c>
      <c r="HV32" s="558" t="str">
        <f t="shared" si="52"/>
        <v>.</v>
      </c>
      <c r="HW32" s="558" t="str">
        <f t="shared" si="52"/>
        <v>.</v>
      </c>
      <c r="HX32" s="558" t="str">
        <f t="shared" si="52"/>
        <v>.</v>
      </c>
      <c r="HY32" s="558" t="str">
        <f t="shared" si="52"/>
        <v>.</v>
      </c>
      <c r="HZ32" s="558" t="str">
        <f t="shared" si="52"/>
        <v>.</v>
      </c>
      <c r="IA32" s="558" t="str">
        <f t="shared" si="52"/>
        <v>.</v>
      </c>
      <c r="IB32" s="558" t="str">
        <f t="shared" si="52"/>
        <v>.</v>
      </c>
      <c r="IC32" s="558" t="str">
        <f t="shared" si="52"/>
        <v>.</v>
      </c>
      <c r="ID32" s="558" t="str">
        <f t="shared" si="63"/>
        <v>.</v>
      </c>
      <c r="IE32" s="558" t="str">
        <f t="shared" si="63"/>
        <v>.</v>
      </c>
      <c r="IF32" s="558" t="str">
        <f t="shared" si="63"/>
        <v>.</v>
      </c>
      <c r="IG32" s="558" t="str">
        <f t="shared" si="63"/>
        <v>.</v>
      </c>
      <c r="IH32" s="558" t="str">
        <f t="shared" si="63"/>
        <v>.</v>
      </c>
      <c r="II32" s="558" t="str">
        <f t="shared" si="63"/>
        <v>.</v>
      </c>
      <c r="IJ32" s="558" t="str">
        <f t="shared" si="63"/>
        <v>.</v>
      </c>
      <c r="IK32" s="558" t="str">
        <f t="shared" si="63"/>
        <v>.</v>
      </c>
      <c r="IL32" s="558" t="str">
        <f t="shared" si="63"/>
        <v>.</v>
      </c>
      <c r="IM32" s="558" t="str">
        <f t="shared" si="63"/>
        <v>.</v>
      </c>
      <c r="IN32" s="558" t="str">
        <f t="shared" si="63"/>
        <v>.</v>
      </c>
      <c r="IO32" s="558" t="str">
        <f t="shared" si="62"/>
        <v>.</v>
      </c>
      <c r="IP32" s="558" t="str">
        <f t="shared" si="62"/>
        <v>.</v>
      </c>
      <c r="IQ32" s="558" t="str">
        <f t="shared" si="62"/>
        <v>.</v>
      </c>
      <c r="IR32" s="558" t="str">
        <f t="shared" si="62"/>
        <v>.</v>
      </c>
      <c r="IS32" s="558" t="str">
        <f t="shared" si="62"/>
        <v>.</v>
      </c>
      <c r="IT32" s="558" t="str">
        <f t="shared" si="62"/>
        <v>.</v>
      </c>
      <c r="IU32" s="558" t="str">
        <f t="shared" si="62"/>
        <v>.</v>
      </c>
      <c r="IV32" s="558" t="str">
        <f t="shared" si="62"/>
        <v>.</v>
      </c>
      <c r="IW32" s="558" t="str">
        <f t="shared" si="62"/>
        <v>.</v>
      </c>
      <c r="IX32" s="558" t="str">
        <f t="shared" si="62"/>
        <v>.</v>
      </c>
      <c r="IY32" s="558" t="str">
        <f t="shared" si="62"/>
        <v>.</v>
      </c>
      <c r="IZ32" s="558" t="str">
        <f t="shared" si="62"/>
        <v>.</v>
      </c>
      <c r="JA32" s="558" t="str">
        <f t="shared" si="62"/>
        <v>.</v>
      </c>
      <c r="JB32" s="558" t="str">
        <f t="shared" si="62"/>
        <v>.</v>
      </c>
      <c r="JC32" s="558" t="str">
        <f t="shared" si="62"/>
        <v>.</v>
      </c>
      <c r="JD32" s="558" t="str">
        <f t="shared" si="62"/>
        <v>.</v>
      </c>
      <c r="JE32" s="558" t="str">
        <f t="shared" si="62"/>
        <v>.</v>
      </c>
      <c r="JF32" s="558" t="str">
        <f t="shared" si="62"/>
        <v>.</v>
      </c>
      <c r="JG32" s="558" t="str">
        <f t="shared" si="62"/>
        <v>.</v>
      </c>
      <c r="JH32" s="558" t="str">
        <f t="shared" si="54"/>
        <v>.</v>
      </c>
      <c r="JI32" s="558" t="str">
        <f t="shared" si="54"/>
        <v>.</v>
      </c>
      <c r="JJ32" s="558" t="str">
        <f t="shared" si="54"/>
        <v>.</v>
      </c>
      <c r="JK32" s="558" t="str">
        <f t="shared" si="54"/>
        <v>.</v>
      </c>
      <c r="JL32" s="558" t="str">
        <f t="shared" si="54"/>
        <v>.</v>
      </c>
    </row>
    <row r="33" spans="1:272" ht="10.199999999999999" x14ac:dyDescent="0.2">
      <c r="A33" s="534">
        <f xml:space="preserve"> Basis!A33</f>
        <v>33</v>
      </c>
      <c r="F33" s="536">
        <f xml:space="preserve"> ROUND(    IF( $A$15=BE_MF_,   AW33,   INDEX( qx!33:33, F$16 ) ),    F$17    )</f>
        <v>2.9999999999999997E-4</v>
      </c>
      <c r="G33" s="536">
        <f xml:space="preserve"> ROUND(    IF( $A$15=BE_MF_,   BB33,   INDEX( wx!33:33, G$16 ) ),    G$17    )</f>
        <v>5.7299999999999997E-2</v>
      </c>
      <c r="H33" s="537">
        <f xml:space="preserve"> ROUND(    IF( $A$15=BE_MF_,   BG33,   INDEX( Kx!33:33, H$16 ) ),    H$17    )</f>
        <v>1907.67</v>
      </c>
      <c r="I33" s="538">
        <f t="shared" si="55"/>
        <v>1907.67</v>
      </c>
      <c r="J33" s="539">
        <f t="shared" si="17"/>
        <v>0.91800000000000004</v>
      </c>
      <c r="K33" s="540">
        <f t="shared" si="56"/>
        <v>2</v>
      </c>
      <c r="L33" s="541">
        <f t="shared" si="18"/>
        <v>0</v>
      </c>
      <c r="M33" s="541">
        <f t="shared" si="18"/>
        <v>8.5999999999999993E-2</v>
      </c>
      <c r="O33" s="542" t="b">
        <f t="shared" si="57"/>
        <v>1</v>
      </c>
      <c r="P33" s="493">
        <f t="shared" si="19"/>
        <v>5.7599999999999998E-2</v>
      </c>
      <c r="Q33" s="493">
        <f t="shared" si="20"/>
        <v>0.94240000000000002</v>
      </c>
      <c r="R33" s="543">
        <f t="shared" si="21"/>
        <v>1213758</v>
      </c>
      <c r="S33" s="544">
        <f t="shared" si="22"/>
        <v>0.97560975599999999</v>
      </c>
      <c r="T33" s="423">
        <f t="shared" si="23"/>
        <v>537334.28</v>
      </c>
      <c r="U33" s="423">
        <f xml:space="preserve"> IF( $O33,    ROUND(  SUM( T33:T$120), U$17 ),  LEER  )</f>
        <v>9501559.4199999999</v>
      </c>
      <c r="V33" s="493">
        <f t="shared" si="24"/>
        <v>17.6828</v>
      </c>
      <c r="W33" s="493">
        <f t="shared" si="25"/>
        <v>493272.87</v>
      </c>
      <c r="X33" s="493">
        <f xml:space="preserve"> IF( $O33,    ROUND(  SUM( W33:W$120), X$17 ),  LEER  )</f>
        <v>16659216.18</v>
      </c>
      <c r="Y33" s="493">
        <f t="shared" si="26"/>
        <v>31.003399999999999</v>
      </c>
      <c r="Z33" s="493">
        <f t="shared" si="27"/>
        <v>1.7533000000000001</v>
      </c>
      <c r="AA33" s="493">
        <f t="shared" si="28"/>
        <v>1.0104</v>
      </c>
      <c r="AB33" s="493">
        <f t="shared" si="29"/>
        <v>2.3494000000000002</v>
      </c>
      <c r="AC33" s="545">
        <f t="shared" si="30"/>
        <v>0.38600000000000001</v>
      </c>
      <c r="AD33" s="493">
        <f t="shared" si="31"/>
        <v>1.7755000000000001</v>
      </c>
      <c r="AE33" s="493">
        <f t="shared" si="32"/>
        <v>2.3649</v>
      </c>
      <c r="AF33" s="493">
        <f t="shared" si="33"/>
        <v>2.3649</v>
      </c>
      <c r="AG33" s="493" t="str">
        <f t="shared" si="34"/>
        <v>.</v>
      </c>
      <c r="AH33" s="493" t="str">
        <f t="shared" si="35"/>
        <v>.</v>
      </c>
      <c r="AI33" s="423">
        <f t="shared" si="36"/>
        <v>2077.79</v>
      </c>
      <c r="AJ33" s="423">
        <f t="shared" si="37"/>
        <v>4913.7700000000004</v>
      </c>
      <c r="AK33" s="423">
        <f t="shared" si="38"/>
        <v>409.48</v>
      </c>
      <c r="AN33" s="423" t="str">
        <f t="shared" si="39"/>
        <v>.</v>
      </c>
      <c r="AO33" s="423" t="str">
        <f t="shared" si="39"/>
        <v>.</v>
      </c>
      <c r="AR33" s="546">
        <f xml:space="preserve"> ROUND(  INDEX( Kx!33:33, AR$16 ),  AR$17 )</f>
        <v>0.76600000000000001</v>
      </c>
      <c r="AS33" s="547">
        <f xml:space="preserve"> ROUND(  INDEX( qx!33:33, AS$16 ),  AS$17 )</f>
        <v>2.9999999999999997E-4</v>
      </c>
      <c r="AT33" s="547">
        <f xml:space="preserve"> ROUND(  INDEX( qx!33:33, AT$16 ),  AT$17 )</f>
        <v>2.0000000000000001E-4</v>
      </c>
      <c r="AU33" s="548" t="str">
        <f t="shared" si="40"/>
        <v>F</v>
      </c>
      <c r="AV33" s="542">
        <f t="shared" si="41"/>
        <v>0.68579999999999997</v>
      </c>
      <c r="AW33" s="542">
        <f t="shared" si="42"/>
        <v>2.9999999999999997E-4</v>
      </c>
      <c r="AX33" s="546">
        <f xml:space="preserve"> ROUND(  INDEX( wx!33:33, AX$16 ),  AX$17 )</f>
        <v>5.3900000000000003E-2</v>
      </c>
      <c r="AY33" s="546">
        <f xml:space="preserve"> ROUND(  INDEX( wx!33:33, AY$16 ),  AY$17 )</f>
        <v>7.3899999999999993E-2</v>
      </c>
      <c r="AZ33" s="548" t="str">
        <f t="shared" si="43"/>
        <v>M</v>
      </c>
      <c r="BA33" s="542">
        <f t="shared" si="44"/>
        <v>0.83079999999999998</v>
      </c>
      <c r="BB33" s="542">
        <f t="shared" si="45"/>
        <v>5.7299999999999997E-2</v>
      </c>
      <c r="BC33" s="533">
        <f xml:space="preserve"> ROUND(  INDEX( Kx!33:33, BC$16 ),  BC$17 )</f>
        <v>1386.47</v>
      </c>
      <c r="BD33" s="533">
        <f xml:space="preserve"> ROUND(  INDEX( Kx!33:33, BD$16 ),  BD$17 )</f>
        <v>3045.28</v>
      </c>
      <c r="BE33" s="548" t="str">
        <f t="shared" si="58"/>
        <v>F</v>
      </c>
      <c r="BF33" s="542">
        <f t="shared" si="46"/>
        <v>0.68579999999999997</v>
      </c>
      <c r="BG33" s="420">
        <f t="shared" si="47"/>
        <v>1907.67</v>
      </c>
      <c r="BQ33" s="549"/>
      <c r="BR33" s="423"/>
      <c r="BS33" s="550"/>
      <c r="BT33" s="423"/>
      <c r="BU33" s="551"/>
      <c r="BV33" s="551"/>
      <c r="BW33" s="529"/>
      <c r="BX33" s="552"/>
      <c r="BY33" s="559"/>
      <c r="BZ33" s="559"/>
      <c r="CB33" s="423"/>
      <c r="CC33" s="423"/>
      <c r="CD33" s="423"/>
      <c r="CE33" s="423"/>
      <c r="CF33" s="553"/>
      <c r="CH33" s="423"/>
      <c r="CI33" s="423"/>
      <c r="CJ33" s="423"/>
      <c r="CK33" s="423"/>
      <c r="CL33" s="553"/>
      <c r="CN33" s="423"/>
      <c r="CO33" s="423"/>
      <c r="CP33" s="423"/>
      <c r="CQ33" s="423"/>
      <c r="CR33" s="553"/>
      <c r="DO33" s="385"/>
      <c r="DP33" s="385"/>
      <c r="DQ33" s="385"/>
      <c r="EI33" s="553"/>
      <c r="EJ33" s="553"/>
      <c r="EK33" s="423"/>
      <c r="EL33" s="555"/>
      <c r="ES33" s="533"/>
      <c r="ET33" s="533"/>
      <c r="EU33" s="533"/>
      <c r="EV33" s="556"/>
      <c r="EY33" s="533"/>
      <c r="EZ33" s="533"/>
      <c r="FA33" s="556"/>
      <c r="FD33" s="556"/>
      <c r="FE33" s="556"/>
      <c r="FF33" s="556"/>
      <c r="FK33" s="557">
        <f t="shared" si="48"/>
        <v>33</v>
      </c>
      <c r="FL33" s="493">
        <f t="shared" si="59"/>
        <v>31.003399999999999</v>
      </c>
      <c r="FM33" s="493">
        <f t="shared" si="60"/>
        <v>17.6828</v>
      </c>
      <c r="FO33" s="427">
        <f t="shared" si="61"/>
        <v>141571.58000000005</v>
      </c>
      <c r="FP33" s="558">
        <f t="shared" si="49"/>
        <v>20314.48</v>
      </c>
      <c r="FQ33" s="558">
        <f t="shared" si="49"/>
        <v>18826.47</v>
      </c>
      <c r="FR33" s="558">
        <f t="shared" si="49"/>
        <v>17334.78</v>
      </c>
      <c r="FS33" s="558">
        <f t="shared" si="49"/>
        <v>15843.09</v>
      </c>
      <c r="FT33" s="558">
        <f t="shared" si="49"/>
        <v>14299.96</v>
      </c>
      <c r="FU33" s="558">
        <f t="shared" si="49"/>
        <v>12712.74</v>
      </c>
      <c r="FV33" s="558">
        <f t="shared" si="49"/>
        <v>11140.22</v>
      </c>
      <c r="FW33" s="558">
        <f t="shared" si="49"/>
        <v>9556.68</v>
      </c>
      <c r="FX33" s="558">
        <f t="shared" si="49"/>
        <v>7918.02</v>
      </c>
      <c r="FY33" s="558">
        <f t="shared" si="49"/>
        <v>6213.23</v>
      </c>
      <c r="FZ33" s="558">
        <f t="shared" si="49"/>
        <v>4497.42</v>
      </c>
      <c r="GA33" s="558">
        <f t="shared" si="49"/>
        <v>2755.89</v>
      </c>
      <c r="GB33" s="558">
        <f t="shared" si="49"/>
        <v>973.95</v>
      </c>
      <c r="GC33" s="558">
        <f t="shared" si="49"/>
        <v>-815.35</v>
      </c>
      <c r="GD33" s="558" t="str">
        <f t="shared" si="49"/>
        <v>.</v>
      </c>
      <c r="GE33" s="558" t="str">
        <f t="shared" si="49"/>
        <v>.</v>
      </c>
      <c r="GF33" s="558" t="str">
        <f t="shared" si="50"/>
        <v>.</v>
      </c>
      <c r="GG33" s="558" t="str">
        <f t="shared" si="50"/>
        <v>.</v>
      </c>
      <c r="GH33" s="558" t="str">
        <f t="shared" si="50"/>
        <v>.</v>
      </c>
      <c r="GI33" s="558" t="str">
        <f t="shared" si="50"/>
        <v>.</v>
      </c>
      <c r="GJ33" s="558" t="str">
        <f t="shared" si="50"/>
        <v>.</v>
      </c>
      <c r="GK33" s="558" t="str">
        <f t="shared" si="50"/>
        <v>.</v>
      </c>
      <c r="GL33" s="558" t="str">
        <f t="shared" si="50"/>
        <v>.</v>
      </c>
      <c r="GM33" s="558" t="str">
        <f t="shared" si="50"/>
        <v>.</v>
      </c>
      <c r="GN33" s="558" t="str">
        <f t="shared" si="50"/>
        <v>.</v>
      </c>
      <c r="GO33" s="558" t="str">
        <f t="shared" si="50"/>
        <v>.</v>
      </c>
      <c r="GP33" s="558" t="str">
        <f t="shared" si="50"/>
        <v>.</v>
      </c>
      <c r="GQ33" s="558" t="str">
        <f t="shared" si="50"/>
        <v>.</v>
      </c>
      <c r="GR33" s="558" t="str">
        <f t="shared" si="50"/>
        <v>.</v>
      </c>
      <c r="GS33" s="558" t="str">
        <f t="shared" si="50"/>
        <v>.</v>
      </c>
      <c r="GT33" s="558" t="str">
        <f t="shared" si="50"/>
        <v>.</v>
      </c>
      <c r="GU33" s="558" t="str">
        <f t="shared" si="50"/>
        <v>.</v>
      </c>
      <c r="GV33" s="558" t="str">
        <f t="shared" si="51"/>
        <v>.</v>
      </c>
      <c r="GW33" s="558" t="str">
        <f t="shared" si="51"/>
        <v>.</v>
      </c>
      <c r="GX33" s="558" t="str">
        <f t="shared" si="51"/>
        <v>.</v>
      </c>
      <c r="GY33" s="558" t="str">
        <f t="shared" si="51"/>
        <v>.</v>
      </c>
      <c r="GZ33" s="558" t="str">
        <f t="shared" si="51"/>
        <v>.</v>
      </c>
      <c r="HA33" s="558" t="str">
        <f t="shared" si="51"/>
        <v>.</v>
      </c>
      <c r="HB33" s="558" t="str">
        <f t="shared" si="51"/>
        <v>.</v>
      </c>
      <c r="HC33" s="558" t="str">
        <f t="shared" si="51"/>
        <v>.</v>
      </c>
      <c r="HD33" s="558" t="str">
        <f t="shared" si="51"/>
        <v>.</v>
      </c>
      <c r="HE33" s="558" t="str">
        <f t="shared" si="51"/>
        <v>.</v>
      </c>
      <c r="HF33" s="558" t="str">
        <f t="shared" si="51"/>
        <v>.</v>
      </c>
      <c r="HG33" s="558" t="str">
        <f t="shared" si="51"/>
        <v>.</v>
      </c>
      <c r="HH33" s="558" t="str">
        <f t="shared" si="51"/>
        <v>.</v>
      </c>
      <c r="HI33" s="558" t="str">
        <f t="shared" si="51"/>
        <v>.</v>
      </c>
      <c r="HJ33" s="558" t="str">
        <f t="shared" si="51"/>
        <v>.</v>
      </c>
      <c r="HK33" s="558" t="str">
        <f t="shared" si="51"/>
        <v>.</v>
      </c>
      <c r="HL33" s="558" t="str">
        <f t="shared" si="52"/>
        <v>.</v>
      </c>
      <c r="HM33" s="558" t="str">
        <f t="shared" si="52"/>
        <v>.</v>
      </c>
      <c r="HN33" s="558" t="str">
        <f t="shared" si="52"/>
        <v>.</v>
      </c>
      <c r="HO33" s="558" t="str">
        <f t="shared" si="52"/>
        <v>.</v>
      </c>
      <c r="HP33" s="558" t="str">
        <f t="shared" si="52"/>
        <v>.</v>
      </c>
      <c r="HQ33" s="558" t="str">
        <f t="shared" si="52"/>
        <v>.</v>
      </c>
      <c r="HR33" s="558" t="str">
        <f t="shared" si="52"/>
        <v>.</v>
      </c>
      <c r="HS33" s="558" t="str">
        <f t="shared" si="52"/>
        <v>.</v>
      </c>
      <c r="HT33" s="558" t="str">
        <f t="shared" si="52"/>
        <v>.</v>
      </c>
      <c r="HU33" s="558" t="str">
        <f t="shared" si="52"/>
        <v>.</v>
      </c>
      <c r="HV33" s="558" t="str">
        <f t="shared" si="52"/>
        <v>.</v>
      </c>
      <c r="HW33" s="558" t="str">
        <f t="shared" si="52"/>
        <v>.</v>
      </c>
      <c r="HX33" s="558" t="str">
        <f t="shared" si="52"/>
        <v>.</v>
      </c>
      <c r="HY33" s="558" t="str">
        <f t="shared" si="52"/>
        <v>.</v>
      </c>
      <c r="HZ33" s="558" t="str">
        <f t="shared" si="52"/>
        <v>.</v>
      </c>
      <c r="IA33" s="558" t="str">
        <f t="shared" si="52"/>
        <v>.</v>
      </c>
      <c r="IB33" s="558" t="str">
        <f t="shared" si="52"/>
        <v>.</v>
      </c>
      <c r="IC33" s="558" t="str">
        <f t="shared" si="52"/>
        <v>.</v>
      </c>
      <c r="ID33" s="558" t="str">
        <f t="shared" si="63"/>
        <v>.</v>
      </c>
      <c r="IE33" s="558" t="str">
        <f t="shared" si="63"/>
        <v>.</v>
      </c>
      <c r="IF33" s="558" t="str">
        <f t="shared" si="63"/>
        <v>.</v>
      </c>
      <c r="IG33" s="558" t="str">
        <f t="shared" si="63"/>
        <v>.</v>
      </c>
      <c r="IH33" s="558" t="str">
        <f t="shared" si="63"/>
        <v>.</v>
      </c>
      <c r="II33" s="558" t="str">
        <f t="shared" si="63"/>
        <v>.</v>
      </c>
      <c r="IJ33" s="558" t="str">
        <f t="shared" si="63"/>
        <v>.</v>
      </c>
      <c r="IK33" s="558" t="str">
        <f t="shared" si="63"/>
        <v>.</v>
      </c>
      <c r="IL33" s="558" t="str">
        <f t="shared" si="63"/>
        <v>.</v>
      </c>
      <c r="IM33" s="558" t="str">
        <f t="shared" si="63"/>
        <v>.</v>
      </c>
      <c r="IN33" s="558" t="str">
        <f t="shared" si="63"/>
        <v>.</v>
      </c>
      <c r="IO33" s="558" t="str">
        <f t="shared" si="62"/>
        <v>.</v>
      </c>
      <c r="IP33" s="558" t="str">
        <f t="shared" si="62"/>
        <v>.</v>
      </c>
      <c r="IQ33" s="558" t="str">
        <f t="shared" si="62"/>
        <v>.</v>
      </c>
      <c r="IR33" s="558" t="str">
        <f t="shared" si="62"/>
        <v>.</v>
      </c>
      <c r="IS33" s="558" t="str">
        <f t="shared" si="62"/>
        <v>.</v>
      </c>
      <c r="IT33" s="558" t="str">
        <f t="shared" si="62"/>
        <v>.</v>
      </c>
      <c r="IU33" s="558" t="str">
        <f t="shared" si="62"/>
        <v>.</v>
      </c>
      <c r="IV33" s="558" t="str">
        <f t="shared" si="62"/>
        <v>.</v>
      </c>
      <c r="IW33" s="558" t="str">
        <f t="shared" si="62"/>
        <v>.</v>
      </c>
      <c r="IX33" s="558" t="str">
        <f t="shared" si="62"/>
        <v>.</v>
      </c>
      <c r="IY33" s="558" t="str">
        <f t="shared" si="62"/>
        <v>.</v>
      </c>
      <c r="IZ33" s="558" t="str">
        <f t="shared" si="62"/>
        <v>.</v>
      </c>
      <c r="JA33" s="558" t="str">
        <f t="shared" si="62"/>
        <v>.</v>
      </c>
      <c r="JB33" s="558" t="str">
        <f t="shared" si="62"/>
        <v>.</v>
      </c>
      <c r="JC33" s="558" t="str">
        <f t="shared" si="62"/>
        <v>.</v>
      </c>
      <c r="JD33" s="558" t="str">
        <f t="shared" si="62"/>
        <v>.</v>
      </c>
      <c r="JE33" s="558" t="str">
        <f t="shared" si="62"/>
        <v>.</v>
      </c>
      <c r="JF33" s="558" t="str">
        <f t="shared" si="62"/>
        <v>.</v>
      </c>
      <c r="JG33" s="558" t="str">
        <f t="shared" si="62"/>
        <v>.</v>
      </c>
      <c r="JH33" s="558" t="str">
        <f t="shared" si="54"/>
        <v>.</v>
      </c>
      <c r="JI33" s="558" t="str">
        <f t="shared" si="54"/>
        <v>.</v>
      </c>
      <c r="JJ33" s="558" t="str">
        <f t="shared" si="54"/>
        <v>.</v>
      </c>
      <c r="JK33" s="558" t="str">
        <f t="shared" si="54"/>
        <v>.</v>
      </c>
      <c r="JL33" s="558" t="str">
        <f t="shared" si="54"/>
        <v>.</v>
      </c>
    </row>
    <row r="34" spans="1:272" ht="10.199999999999999" x14ac:dyDescent="0.2">
      <c r="A34" s="534">
        <f xml:space="preserve"> Basis!A34</f>
        <v>34</v>
      </c>
      <c r="F34" s="536">
        <f xml:space="preserve"> ROUND(    IF( $A$15=BE_MF_,   AW34,   INDEX( qx!34:34, F$16 ) ),    F$17    )</f>
        <v>2.9999999999999997E-4</v>
      </c>
      <c r="G34" s="536">
        <f xml:space="preserve"> ROUND(    IF( $A$15=BE_MF_,   BB34,   INDEX( wx!34:34, G$16 ) ),    G$17    )</f>
        <v>5.2600000000000001E-2</v>
      </c>
      <c r="H34" s="537">
        <f xml:space="preserve"> ROUND(    IF( $A$15=BE_MF_,   BG34,   INDEX( Kx!34:34, H$16 ) ),    H$17    )</f>
        <v>1938.08</v>
      </c>
      <c r="I34" s="538">
        <f t="shared" si="55"/>
        <v>1938.08</v>
      </c>
      <c r="J34" s="539">
        <f t="shared" si="17"/>
        <v>0.93300000000000005</v>
      </c>
      <c r="K34" s="540">
        <f t="shared" si="56"/>
        <v>2</v>
      </c>
      <c r="L34" s="541">
        <f t="shared" si="18"/>
        <v>0</v>
      </c>
      <c r="M34" s="541">
        <f t="shared" si="18"/>
        <v>8.5999999999999993E-2</v>
      </c>
      <c r="O34" s="542" t="b">
        <f t="shared" si="57"/>
        <v>1</v>
      </c>
      <c r="P34" s="493">
        <f t="shared" si="19"/>
        <v>5.2900000000000003E-2</v>
      </c>
      <c r="Q34" s="493">
        <f t="shared" si="20"/>
        <v>0.94710000000000005</v>
      </c>
      <c r="R34" s="543">
        <f t="shared" si="21"/>
        <v>1143845</v>
      </c>
      <c r="S34" s="544">
        <f t="shared" si="22"/>
        <v>0.97560975599999999</v>
      </c>
      <c r="T34" s="423">
        <f t="shared" si="23"/>
        <v>494032.77</v>
      </c>
      <c r="U34" s="423">
        <f xml:space="preserve"> IF( $O34,    ROUND(  SUM( T34:T$120), U$17 ),  LEER  )</f>
        <v>8964225.1400000006</v>
      </c>
      <c r="V34" s="493">
        <f t="shared" si="24"/>
        <v>18.145</v>
      </c>
      <c r="W34" s="493">
        <f t="shared" si="25"/>
        <v>460932.57</v>
      </c>
      <c r="X34" s="493">
        <f xml:space="preserve"> IF( $O34,    ROUND(  SUM( W34:W$120), X$17 ),  LEER  )</f>
        <v>16165943.310000001</v>
      </c>
      <c r="Y34" s="493">
        <f t="shared" si="26"/>
        <v>32.7224</v>
      </c>
      <c r="Z34" s="493">
        <f t="shared" si="27"/>
        <v>1.8033999999999999</v>
      </c>
      <c r="AA34" s="493">
        <f t="shared" si="28"/>
        <v>1.0102</v>
      </c>
      <c r="AB34" s="493">
        <f t="shared" si="29"/>
        <v>2.3494000000000002</v>
      </c>
      <c r="AC34" s="545">
        <f t="shared" si="30"/>
        <v>0.38600000000000001</v>
      </c>
      <c r="AD34" s="493">
        <f t="shared" si="31"/>
        <v>1.8257000000000001</v>
      </c>
      <c r="AE34" s="493">
        <f t="shared" si="32"/>
        <v>2.4198</v>
      </c>
      <c r="AF34" s="493">
        <f t="shared" si="33"/>
        <v>2.4198</v>
      </c>
      <c r="AG34" s="493" t="str">
        <f t="shared" si="34"/>
        <v>.</v>
      </c>
      <c r="AH34" s="493" t="str">
        <f t="shared" si="35"/>
        <v>.</v>
      </c>
      <c r="AI34" s="423">
        <f t="shared" si="36"/>
        <v>2077.79</v>
      </c>
      <c r="AJ34" s="423">
        <f t="shared" si="37"/>
        <v>5027.84</v>
      </c>
      <c r="AK34" s="423">
        <f t="shared" si="38"/>
        <v>418.99</v>
      </c>
      <c r="AN34" s="423" t="str">
        <f t="shared" si="39"/>
        <v>.</v>
      </c>
      <c r="AO34" s="423" t="str">
        <f t="shared" si="39"/>
        <v>.</v>
      </c>
      <c r="AR34" s="546">
        <f xml:space="preserve"> ROUND(  INDEX( Kx!34:34, AR$16 ),  AR$17 )</f>
        <v>0.76690000000000003</v>
      </c>
      <c r="AS34" s="547">
        <f xml:space="preserve"> ROUND(  INDEX( qx!34:34, AS$16 ),  AS$17 )</f>
        <v>2.9999999999999997E-4</v>
      </c>
      <c r="AT34" s="547">
        <f xml:space="preserve"> ROUND(  INDEX( qx!34:34, AT$16 ),  AT$17 )</f>
        <v>2.0000000000000001E-4</v>
      </c>
      <c r="AU34" s="548" t="str">
        <f t="shared" si="40"/>
        <v>F</v>
      </c>
      <c r="AV34" s="542">
        <f t="shared" si="41"/>
        <v>0.68679999999999997</v>
      </c>
      <c r="AW34" s="542">
        <f t="shared" si="42"/>
        <v>2.9999999999999997E-4</v>
      </c>
      <c r="AX34" s="546">
        <f xml:space="preserve"> ROUND(  INDEX( wx!34:34, AX$16 ),  AX$17 )</f>
        <v>4.9200000000000001E-2</v>
      </c>
      <c r="AY34" s="546">
        <f xml:space="preserve"> ROUND(  INDEX( wx!34:34, AY$16 ),  AY$17 )</f>
        <v>6.9599999999999995E-2</v>
      </c>
      <c r="AZ34" s="548" t="str">
        <f t="shared" si="43"/>
        <v>M</v>
      </c>
      <c r="BA34" s="542">
        <f t="shared" si="44"/>
        <v>0.83150000000000002</v>
      </c>
      <c r="BB34" s="542">
        <f t="shared" si="45"/>
        <v>5.2600000000000001E-2</v>
      </c>
      <c r="BC34" s="533">
        <f xml:space="preserve"> ROUND(  INDEX( Kx!34:34, BC$16 ),  BC$17 )</f>
        <v>1412.71</v>
      </c>
      <c r="BD34" s="533">
        <f xml:space="preserve"> ROUND(  INDEX( Kx!34:34, BD$16 ),  BD$17 )</f>
        <v>3090.14</v>
      </c>
      <c r="BE34" s="548" t="str">
        <f t="shared" si="58"/>
        <v>F</v>
      </c>
      <c r="BF34" s="542">
        <f t="shared" si="46"/>
        <v>0.68679999999999997</v>
      </c>
      <c r="BG34" s="420">
        <f t="shared" si="47"/>
        <v>1938.08</v>
      </c>
      <c r="BQ34" s="549"/>
      <c r="BR34" s="423"/>
      <c r="BS34" s="550"/>
      <c r="BT34" s="423"/>
      <c r="BU34" s="551"/>
      <c r="BV34" s="551"/>
      <c r="BW34" s="529"/>
      <c r="BX34" s="552"/>
      <c r="BY34" s="559"/>
      <c r="BZ34" s="559"/>
      <c r="CB34" s="423"/>
      <c r="CC34" s="423"/>
      <c r="CD34" s="423"/>
      <c r="CE34" s="423"/>
      <c r="CF34" s="553"/>
      <c r="CH34" s="423"/>
      <c r="CI34" s="423"/>
      <c r="CJ34" s="423"/>
      <c r="CK34" s="423"/>
      <c r="CL34" s="553"/>
      <c r="CN34" s="423"/>
      <c r="CO34" s="423"/>
      <c r="CP34" s="423"/>
      <c r="CQ34" s="423"/>
      <c r="CR34" s="553"/>
      <c r="DO34" s="385"/>
      <c r="DP34" s="385"/>
      <c r="DQ34" s="385"/>
      <c r="EI34" s="553"/>
      <c r="EJ34" s="553"/>
      <c r="EK34" s="423"/>
      <c r="EL34" s="555"/>
      <c r="ES34" s="533"/>
      <c r="ET34" s="533"/>
      <c r="EU34" s="533"/>
      <c r="EV34" s="556"/>
      <c r="EY34" s="533"/>
      <c r="EZ34" s="533"/>
      <c r="FA34" s="556"/>
      <c r="FD34" s="556"/>
      <c r="FE34" s="556"/>
      <c r="FF34" s="556"/>
      <c r="FK34" s="557">
        <f t="shared" si="48"/>
        <v>34</v>
      </c>
      <c r="FL34" s="493">
        <f t="shared" si="59"/>
        <v>32.7224</v>
      </c>
      <c r="FM34" s="493">
        <f t="shared" si="60"/>
        <v>18.145</v>
      </c>
      <c r="FO34" s="427">
        <f t="shared" si="61"/>
        <v>170861.61000000002</v>
      </c>
      <c r="FP34" s="558">
        <f t="shared" si="49"/>
        <v>22733.4</v>
      </c>
      <c r="FQ34" s="558">
        <f t="shared" si="49"/>
        <v>21206.48</v>
      </c>
      <c r="FR34" s="558">
        <f t="shared" si="49"/>
        <v>19675.8</v>
      </c>
      <c r="FS34" s="558">
        <f t="shared" si="49"/>
        <v>18145.12</v>
      </c>
      <c r="FT34" s="558">
        <f t="shared" si="49"/>
        <v>16561.66</v>
      </c>
      <c r="FU34" s="558">
        <f t="shared" si="49"/>
        <v>14932.96</v>
      </c>
      <c r="FV34" s="558">
        <f t="shared" si="49"/>
        <v>13319.33</v>
      </c>
      <c r="FW34" s="558">
        <f t="shared" si="49"/>
        <v>11694.4</v>
      </c>
      <c r="FX34" s="558">
        <f t="shared" si="49"/>
        <v>10012.91</v>
      </c>
      <c r="FY34" s="558">
        <f t="shared" si="49"/>
        <v>8263.56</v>
      </c>
      <c r="FZ34" s="558">
        <f t="shared" si="49"/>
        <v>6502.9</v>
      </c>
      <c r="GA34" s="558">
        <f t="shared" si="49"/>
        <v>4715.8500000000004</v>
      </c>
      <c r="GB34" s="558">
        <f t="shared" si="49"/>
        <v>2887.33</v>
      </c>
      <c r="GC34" s="558">
        <f t="shared" si="49"/>
        <v>1051.26</v>
      </c>
      <c r="GD34" s="558">
        <f t="shared" si="49"/>
        <v>-841.35</v>
      </c>
      <c r="GE34" s="558" t="str">
        <f t="shared" si="49"/>
        <v>.</v>
      </c>
      <c r="GF34" s="558" t="str">
        <f t="shared" si="50"/>
        <v>.</v>
      </c>
      <c r="GG34" s="558" t="str">
        <f t="shared" si="50"/>
        <v>.</v>
      </c>
      <c r="GH34" s="558" t="str">
        <f t="shared" si="50"/>
        <v>.</v>
      </c>
      <c r="GI34" s="558" t="str">
        <f t="shared" si="50"/>
        <v>.</v>
      </c>
      <c r="GJ34" s="558" t="str">
        <f t="shared" si="50"/>
        <v>.</v>
      </c>
      <c r="GK34" s="558" t="str">
        <f t="shared" si="50"/>
        <v>.</v>
      </c>
      <c r="GL34" s="558" t="str">
        <f t="shared" si="50"/>
        <v>.</v>
      </c>
      <c r="GM34" s="558" t="str">
        <f t="shared" si="50"/>
        <v>.</v>
      </c>
      <c r="GN34" s="558" t="str">
        <f t="shared" si="50"/>
        <v>.</v>
      </c>
      <c r="GO34" s="558" t="str">
        <f t="shared" si="50"/>
        <v>.</v>
      </c>
      <c r="GP34" s="558" t="str">
        <f t="shared" si="50"/>
        <v>.</v>
      </c>
      <c r="GQ34" s="558" t="str">
        <f t="shared" si="50"/>
        <v>.</v>
      </c>
      <c r="GR34" s="558" t="str">
        <f t="shared" si="50"/>
        <v>.</v>
      </c>
      <c r="GS34" s="558" t="str">
        <f t="shared" si="50"/>
        <v>.</v>
      </c>
      <c r="GT34" s="558" t="str">
        <f t="shared" si="50"/>
        <v>.</v>
      </c>
      <c r="GU34" s="558" t="str">
        <f t="shared" si="50"/>
        <v>.</v>
      </c>
      <c r="GV34" s="558" t="str">
        <f t="shared" si="51"/>
        <v>.</v>
      </c>
      <c r="GW34" s="558" t="str">
        <f t="shared" si="51"/>
        <v>.</v>
      </c>
      <c r="GX34" s="558" t="str">
        <f t="shared" si="51"/>
        <v>.</v>
      </c>
      <c r="GY34" s="558" t="str">
        <f t="shared" si="51"/>
        <v>.</v>
      </c>
      <c r="GZ34" s="558" t="str">
        <f t="shared" si="51"/>
        <v>.</v>
      </c>
      <c r="HA34" s="558" t="str">
        <f t="shared" si="51"/>
        <v>.</v>
      </c>
      <c r="HB34" s="558" t="str">
        <f t="shared" si="51"/>
        <v>.</v>
      </c>
      <c r="HC34" s="558" t="str">
        <f t="shared" si="51"/>
        <v>.</v>
      </c>
      <c r="HD34" s="558" t="str">
        <f t="shared" si="51"/>
        <v>.</v>
      </c>
      <c r="HE34" s="558" t="str">
        <f t="shared" si="51"/>
        <v>.</v>
      </c>
      <c r="HF34" s="558" t="str">
        <f t="shared" si="51"/>
        <v>.</v>
      </c>
      <c r="HG34" s="558" t="str">
        <f t="shared" si="51"/>
        <v>.</v>
      </c>
      <c r="HH34" s="558" t="str">
        <f t="shared" si="51"/>
        <v>.</v>
      </c>
      <c r="HI34" s="558" t="str">
        <f t="shared" si="51"/>
        <v>.</v>
      </c>
      <c r="HJ34" s="558" t="str">
        <f t="shared" si="51"/>
        <v>.</v>
      </c>
      <c r="HK34" s="558" t="str">
        <f t="shared" si="51"/>
        <v>.</v>
      </c>
      <c r="HL34" s="558" t="str">
        <f t="shared" si="52"/>
        <v>.</v>
      </c>
      <c r="HM34" s="558" t="str">
        <f t="shared" si="52"/>
        <v>.</v>
      </c>
      <c r="HN34" s="558" t="str">
        <f t="shared" si="52"/>
        <v>.</v>
      </c>
      <c r="HO34" s="558" t="str">
        <f t="shared" ref="HO34:IF48" si="64" xml:space="preserve"> IF(  OR( HO$18&gt;$FK34, $FK34&gt;$FP$12 ),  LEER,  ROUND( $FO$19 * ( $FL34 - HO$15 * $FM34 ), HO$17 )  )</f>
        <v>.</v>
      </c>
      <c r="HP34" s="558" t="str">
        <f t="shared" si="64"/>
        <v>.</v>
      </c>
      <c r="HQ34" s="558" t="str">
        <f t="shared" si="64"/>
        <v>.</v>
      </c>
      <c r="HR34" s="558" t="str">
        <f t="shared" si="64"/>
        <v>.</v>
      </c>
      <c r="HS34" s="558" t="str">
        <f t="shared" si="64"/>
        <v>.</v>
      </c>
      <c r="HT34" s="558" t="str">
        <f t="shared" si="64"/>
        <v>.</v>
      </c>
      <c r="HU34" s="558" t="str">
        <f t="shared" si="64"/>
        <v>.</v>
      </c>
      <c r="HV34" s="558" t="str">
        <f t="shared" si="64"/>
        <v>.</v>
      </c>
      <c r="HW34" s="558" t="str">
        <f t="shared" si="64"/>
        <v>.</v>
      </c>
      <c r="HX34" s="558" t="str">
        <f t="shared" si="64"/>
        <v>.</v>
      </c>
      <c r="HY34" s="558" t="str">
        <f t="shared" si="64"/>
        <v>.</v>
      </c>
      <c r="HZ34" s="558" t="str">
        <f t="shared" si="64"/>
        <v>.</v>
      </c>
      <c r="IA34" s="558" t="str">
        <f t="shared" si="64"/>
        <v>.</v>
      </c>
      <c r="IB34" s="558" t="str">
        <f t="shared" si="64"/>
        <v>.</v>
      </c>
      <c r="IC34" s="558" t="str">
        <f t="shared" si="64"/>
        <v>.</v>
      </c>
      <c r="ID34" s="558" t="str">
        <f t="shared" si="64"/>
        <v>.</v>
      </c>
      <c r="IE34" s="558" t="str">
        <f t="shared" si="64"/>
        <v>.</v>
      </c>
      <c r="IF34" s="558" t="str">
        <f t="shared" si="64"/>
        <v>.</v>
      </c>
      <c r="IG34" s="558" t="str">
        <f t="shared" ref="IG34:IN46" si="65" xml:space="preserve"> IF(  OR( IG$18&gt;$FK34, $FK34&gt;$FP$12 ),  LEER,  ROUND( $FO$19 * ( $FL34 - IG$15 * $FM34 ), IG$17 )  )</f>
        <v>.</v>
      </c>
      <c r="IH34" s="558" t="str">
        <f t="shared" si="65"/>
        <v>.</v>
      </c>
      <c r="II34" s="558" t="str">
        <f t="shared" si="65"/>
        <v>.</v>
      </c>
      <c r="IJ34" s="558" t="str">
        <f t="shared" si="65"/>
        <v>.</v>
      </c>
      <c r="IK34" s="558" t="str">
        <f t="shared" si="65"/>
        <v>.</v>
      </c>
      <c r="IL34" s="558" t="str">
        <f t="shared" si="65"/>
        <v>.</v>
      </c>
      <c r="IM34" s="558" t="str">
        <f t="shared" si="65"/>
        <v>.</v>
      </c>
      <c r="IN34" s="558" t="str">
        <f t="shared" si="65"/>
        <v>.</v>
      </c>
      <c r="IO34" s="558" t="str">
        <f t="shared" si="62"/>
        <v>.</v>
      </c>
      <c r="IP34" s="558" t="str">
        <f t="shared" si="62"/>
        <v>.</v>
      </c>
      <c r="IQ34" s="558" t="str">
        <f t="shared" si="62"/>
        <v>.</v>
      </c>
      <c r="IR34" s="558" t="str">
        <f t="shared" si="62"/>
        <v>.</v>
      </c>
      <c r="IS34" s="558" t="str">
        <f t="shared" si="62"/>
        <v>.</v>
      </c>
      <c r="IT34" s="558" t="str">
        <f t="shared" si="62"/>
        <v>.</v>
      </c>
      <c r="IU34" s="558" t="str">
        <f t="shared" si="62"/>
        <v>.</v>
      </c>
      <c r="IV34" s="558" t="str">
        <f t="shared" si="62"/>
        <v>.</v>
      </c>
      <c r="IW34" s="558" t="str">
        <f t="shared" si="62"/>
        <v>.</v>
      </c>
      <c r="IX34" s="558" t="str">
        <f t="shared" si="62"/>
        <v>.</v>
      </c>
      <c r="IY34" s="558" t="str">
        <f t="shared" si="62"/>
        <v>.</v>
      </c>
      <c r="IZ34" s="558" t="str">
        <f t="shared" si="62"/>
        <v>.</v>
      </c>
      <c r="JA34" s="558" t="str">
        <f t="shared" si="62"/>
        <v>.</v>
      </c>
      <c r="JB34" s="558" t="str">
        <f t="shared" si="62"/>
        <v>.</v>
      </c>
      <c r="JC34" s="558" t="str">
        <f t="shared" si="62"/>
        <v>.</v>
      </c>
      <c r="JD34" s="558" t="str">
        <f t="shared" si="62"/>
        <v>.</v>
      </c>
      <c r="JE34" s="558" t="str">
        <f t="shared" si="62"/>
        <v>.</v>
      </c>
      <c r="JF34" s="558" t="str">
        <f t="shared" si="62"/>
        <v>.</v>
      </c>
      <c r="JG34" s="558" t="str">
        <f t="shared" si="62"/>
        <v>.</v>
      </c>
      <c r="JH34" s="558" t="str">
        <f t="shared" si="54"/>
        <v>.</v>
      </c>
      <c r="JI34" s="558" t="str">
        <f t="shared" si="54"/>
        <v>.</v>
      </c>
      <c r="JJ34" s="558" t="str">
        <f t="shared" si="54"/>
        <v>.</v>
      </c>
      <c r="JK34" s="558" t="str">
        <f t="shared" si="54"/>
        <v>.</v>
      </c>
      <c r="JL34" s="558" t="str">
        <f t="shared" si="54"/>
        <v>.</v>
      </c>
    </row>
    <row r="35" spans="1:272" ht="10.199999999999999" x14ac:dyDescent="0.2">
      <c r="A35" s="534">
        <f xml:space="preserve"> Basis!A35</f>
        <v>35</v>
      </c>
      <c r="F35" s="536">
        <f xml:space="preserve"> ROUND(    IF( $A$15=BE_MF_,   AW35,   INDEX( qx!35:35, F$16 ) ),    F$17    )</f>
        <v>2.9999999999999997E-4</v>
      </c>
      <c r="G35" s="536">
        <f xml:space="preserve"> ROUND(    IF( $A$15=BE_MF_,   BB35,   INDEX( wx!35:35, G$16 ) ),    G$17    )</f>
        <v>4.8000000000000001E-2</v>
      </c>
      <c r="H35" s="537">
        <f xml:space="preserve"> ROUND(    IF( $A$15=BE_MF_,   BG35,   INDEX( Kx!35:35, H$16 ) ),    H$17    )</f>
        <v>1955.93</v>
      </c>
      <c r="I35" s="538">
        <f t="shared" si="55"/>
        <v>1955.93</v>
      </c>
      <c r="J35" s="539">
        <f t="shared" si="17"/>
        <v>0.94099999999999995</v>
      </c>
      <c r="K35" s="540">
        <f t="shared" si="56"/>
        <v>2</v>
      </c>
      <c r="L35" s="541">
        <f t="shared" si="18"/>
        <v>0</v>
      </c>
      <c r="M35" s="541">
        <f t="shared" si="18"/>
        <v>8.5999999999999993E-2</v>
      </c>
      <c r="O35" s="542" t="b">
        <f t="shared" si="57"/>
        <v>1</v>
      </c>
      <c r="P35" s="493">
        <f t="shared" si="19"/>
        <v>4.8300000000000003E-2</v>
      </c>
      <c r="Q35" s="493">
        <f t="shared" si="20"/>
        <v>0.95169999999999999</v>
      </c>
      <c r="R35" s="543">
        <f t="shared" si="21"/>
        <v>1083335</v>
      </c>
      <c r="S35" s="544">
        <f t="shared" si="22"/>
        <v>0.97560975599999999</v>
      </c>
      <c r="T35" s="423">
        <f t="shared" si="23"/>
        <v>456486.02</v>
      </c>
      <c r="U35" s="423">
        <f xml:space="preserve"> IF( $O35,    ROUND(  SUM( T35:T$120), U$17 ),  LEER  )</f>
        <v>8470192.3699999992</v>
      </c>
      <c r="V35" s="493">
        <f t="shared" si="24"/>
        <v>18.555199999999999</v>
      </c>
      <c r="W35" s="493">
        <f t="shared" si="25"/>
        <v>429553.34</v>
      </c>
      <c r="X35" s="493">
        <f xml:space="preserve"> IF( $O35,    ROUND(  SUM( W35:W$120), X$17 ),  LEER  )</f>
        <v>15705010.74</v>
      </c>
      <c r="Y35" s="493">
        <f t="shared" si="26"/>
        <v>34.4041</v>
      </c>
      <c r="Z35" s="493">
        <f t="shared" si="27"/>
        <v>1.8541000000000001</v>
      </c>
      <c r="AA35" s="493">
        <f t="shared" si="28"/>
        <v>1.0099</v>
      </c>
      <c r="AB35" s="493">
        <f t="shared" si="29"/>
        <v>2.3494000000000002</v>
      </c>
      <c r="AC35" s="545">
        <f t="shared" si="30"/>
        <v>0.38600000000000001</v>
      </c>
      <c r="AD35" s="493">
        <f t="shared" si="31"/>
        <v>1.8763000000000001</v>
      </c>
      <c r="AE35" s="493">
        <f t="shared" si="32"/>
        <v>2.4752000000000001</v>
      </c>
      <c r="AF35" s="493">
        <f t="shared" si="33"/>
        <v>2.4752000000000001</v>
      </c>
      <c r="AG35" s="493" t="str">
        <f t="shared" si="34"/>
        <v>.</v>
      </c>
      <c r="AH35" s="493" t="str">
        <f t="shared" si="35"/>
        <v>.</v>
      </c>
      <c r="AI35" s="423">
        <f t="shared" si="36"/>
        <v>2077.79</v>
      </c>
      <c r="AJ35" s="423">
        <f t="shared" si="37"/>
        <v>5142.95</v>
      </c>
      <c r="AK35" s="423">
        <f t="shared" si="38"/>
        <v>428.58</v>
      </c>
      <c r="AN35" s="423">
        <f t="shared" si="39"/>
        <v>1.88</v>
      </c>
      <c r="AO35" s="423">
        <f t="shared" si="39"/>
        <v>-854.02</v>
      </c>
      <c r="AR35" s="546">
        <f xml:space="preserve"> ROUND(  INDEX( Kx!35:35, AR$16 ),  AR$17 )</f>
        <v>0.77390000000000003</v>
      </c>
      <c r="AS35" s="547">
        <f xml:space="preserve"> ROUND(  INDEX( qx!35:35, AS$16 ),  AS$17 )</f>
        <v>2.9999999999999997E-4</v>
      </c>
      <c r="AT35" s="547">
        <f xml:space="preserve"> ROUND(  INDEX( qx!35:35, AT$16 ),  AT$17 )</f>
        <v>2.0000000000000001E-4</v>
      </c>
      <c r="AU35" s="548" t="str">
        <f t="shared" si="40"/>
        <v>F</v>
      </c>
      <c r="AV35" s="542">
        <f t="shared" si="41"/>
        <v>0.69530000000000003</v>
      </c>
      <c r="AW35" s="542">
        <f t="shared" si="42"/>
        <v>2.9999999999999997E-4</v>
      </c>
      <c r="AX35" s="546">
        <f xml:space="preserve"> ROUND(  INDEX( wx!35:35, AX$16 ),  AX$17 )</f>
        <v>4.4900000000000002E-2</v>
      </c>
      <c r="AY35" s="546">
        <f xml:space="preserve"> ROUND(  INDEX( wx!35:35, AY$16 ),  AY$17 )</f>
        <v>6.3700000000000007E-2</v>
      </c>
      <c r="AZ35" s="548" t="str">
        <f t="shared" si="43"/>
        <v>M</v>
      </c>
      <c r="BA35" s="542">
        <f t="shared" si="44"/>
        <v>0.83699999999999997</v>
      </c>
      <c r="BB35" s="542">
        <f t="shared" si="45"/>
        <v>4.8000000000000001E-2</v>
      </c>
      <c r="BC35" s="533">
        <f xml:space="preserve"> ROUND(  INDEX( Kx!35:35, BC$16 ),  BC$17 )</f>
        <v>1447.6</v>
      </c>
      <c r="BD35" s="533">
        <f xml:space="preserve"> ROUND(  INDEX( Kx!35:35, BD$16 ),  BD$17 )</f>
        <v>3115.9</v>
      </c>
      <c r="BE35" s="548" t="str">
        <f t="shared" si="58"/>
        <v>F</v>
      </c>
      <c r="BF35" s="542">
        <f t="shared" si="46"/>
        <v>0.69530000000000003</v>
      </c>
      <c r="BG35" s="420">
        <f t="shared" si="47"/>
        <v>1955.93</v>
      </c>
      <c r="BQ35" s="549"/>
      <c r="BR35" s="423"/>
      <c r="BS35" s="550"/>
      <c r="BT35" s="423"/>
      <c r="BU35" s="551"/>
      <c r="BV35" s="551"/>
      <c r="BW35" s="529"/>
      <c r="BX35" s="552"/>
      <c r="BY35" s="559"/>
      <c r="BZ35" s="559"/>
      <c r="CB35" s="423"/>
      <c r="CC35" s="423"/>
      <c r="CD35" s="423"/>
      <c r="CE35" s="423"/>
      <c r="CF35" s="553"/>
      <c r="CH35" s="423"/>
      <c r="CI35" s="423"/>
      <c r="CJ35" s="423"/>
      <c r="CK35" s="423"/>
      <c r="CL35" s="553"/>
      <c r="CN35" s="423"/>
      <c r="CO35" s="423"/>
      <c r="CP35" s="423"/>
      <c r="CQ35" s="423"/>
      <c r="CR35" s="553"/>
      <c r="DO35" s="385"/>
      <c r="DP35" s="385"/>
      <c r="DQ35" s="385"/>
      <c r="EI35" s="553"/>
      <c r="EJ35" s="553"/>
      <c r="EK35" s="423"/>
      <c r="EL35" s="555"/>
      <c r="ES35" s="533"/>
      <c r="ET35" s="533"/>
      <c r="EU35" s="533"/>
      <c r="EV35" s="556"/>
      <c r="EY35" s="533"/>
      <c r="EZ35" s="533"/>
      <c r="FA35" s="556"/>
      <c r="FD35" s="556"/>
      <c r="FE35" s="556"/>
      <c r="FF35" s="556"/>
      <c r="FK35" s="557">
        <f t="shared" si="48"/>
        <v>35</v>
      </c>
      <c r="FL35" s="493">
        <f t="shared" si="59"/>
        <v>34.4041</v>
      </c>
      <c r="FM35" s="493">
        <f t="shared" si="60"/>
        <v>18.555199999999999</v>
      </c>
      <c r="FO35" s="427">
        <f t="shared" si="61"/>
        <v>203227.90000000002</v>
      </c>
      <c r="FP35" s="558">
        <f t="shared" si="49"/>
        <v>25204.5</v>
      </c>
      <c r="FQ35" s="558">
        <f t="shared" si="49"/>
        <v>23643.07</v>
      </c>
      <c r="FR35" s="558">
        <f t="shared" si="49"/>
        <v>22077.79</v>
      </c>
      <c r="FS35" s="558">
        <f t="shared" si="49"/>
        <v>20512.5</v>
      </c>
      <c r="FT35" s="558">
        <f t="shared" si="49"/>
        <v>18893.240000000002</v>
      </c>
      <c r="FU35" s="558">
        <f t="shared" si="49"/>
        <v>17227.72</v>
      </c>
      <c r="FV35" s="558">
        <f t="shared" si="49"/>
        <v>15577.62</v>
      </c>
      <c r="FW35" s="558">
        <f t="shared" si="49"/>
        <v>13915.95</v>
      </c>
      <c r="FX35" s="558">
        <f t="shared" si="49"/>
        <v>12196.45</v>
      </c>
      <c r="FY35" s="558">
        <f t="shared" si="49"/>
        <v>10407.549999999999</v>
      </c>
      <c r="FZ35" s="558">
        <f t="shared" si="49"/>
        <v>8607.09</v>
      </c>
      <c r="GA35" s="558">
        <f t="shared" si="49"/>
        <v>6779.64</v>
      </c>
      <c r="GB35" s="558">
        <f t="shared" si="49"/>
        <v>4909.78</v>
      </c>
      <c r="GC35" s="558">
        <f t="shared" si="49"/>
        <v>3032.21</v>
      </c>
      <c r="GD35" s="558">
        <f t="shared" si="49"/>
        <v>1096.81</v>
      </c>
      <c r="GE35" s="558">
        <f t="shared" ref="FZ35:GO50" si="66" xml:space="preserve"> IF(  OR( GE$18&gt;$FK35, $FK35&gt;$FP$12 ),  LEER,  ROUND( $FO$19 * ( $FL35 - GE$15 * $FM35 ), GE$17 )  )</f>
        <v>-854.02</v>
      </c>
      <c r="GF35" s="558" t="str">
        <f t="shared" si="66"/>
        <v>.</v>
      </c>
      <c r="GG35" s="558" t="str">
        <f t="shared" si="66"/>
        <v>.</v>
      </c>
      <c r="GH35" s="558" t="str">
        <f t="shared" si="66"/>
        <v>.</v>
      </c>
      <c r="GI35" s="558" t="str">
        <f t="shared" si="66"/>
        <v>.</v>
      </c>
      <c r="GJ35" s="558" t="str">
        <f t="shared" si="50"/>
        <v>.</v>
      </c>
      <c r="GK35" s="558" t="str">
        <f t="shared" si="50"/>
        <v>.</v>
      </c>
      <c r="GL35" s="558" t="str">
        <f t="shared" si="50"/>
        <v>.</v>
      </c>
      <c r="GM35" s="558" t="str">
        <f t="shared" si="50"/>
        <v>.</v>
      </c>
      <c r="GN35" s="558" t="str">
        <f t="shared" si="50"/>
        <v>.</v>
      </c>
      <c r="GO35" s="558" t="str">
        <f t="shared" si="50"/>
        <v>.</v>
      </c>
      <c r="GP35" s="558" t="str">
        <f t="shared" si="50"/>
        <v>.</v>
      </c>
      <c r="GQ35" s="558" t="str">
        <f t="shared" si="50"/>
        <v>.</v>
      </c>
      <c r="GR35" s="558" t="str">
        <f t="shared" si="50"/>
        <v>.</v>
      </c>
      <c r="GS35" s="558" t="str">
        <f t="shared" si="50"/>
        <v>.</v>
      </c>
      <c r="GT35" s="558" t="str">
        <f t="shared" si="50"/>
        <v>.</v>
      </c>
      <c r="GU35" s="558" t="str">
        <f t="shared" si="50"/>
        <v>.</v>
      </c>
      <c r="GV35" s="558" t="str">
        <f t="shared" si="51"/>
        <v>.</v>
      </c>
      <c r="GW35" s="558" t="str">
        <f t="shared" si="51"/>
        <v>.</v>
      </c>
      <c r="GX35" s="558" t="str">
        <f t="shared" si="51"/>
        <v>.</v>
      </c>
      <c r="GY35" s="558" t="str">
        <f t="shared" si="51"/>
        <v>.</v>
      </c>
      <c r="GZ35" s="558" t="str">
        <f t="shared" si="51"/>
        <v>.</v>
      </c>
      <c r="HA35" s="558" t="str">
        <f t="shared" si="51"/>
        <v>.</v>
      </c>
      <c r="HB35" s="558" t="str">
        <f t="shared" si="51"/>
        <v>.</v>
      </c>
      <c r="HC35" s="558" t="str">
        <f t="shared" si="51"/>
        <v>.</v>
      </c>
      <c r="HD35" s="558" t="str">
        <f t="shared" si="51"/>
        <v>.</v>
      </c>
      <c r="HE35" s="558" t="str">
        <f t="shared" si="51"/>
        <v>.</v>
      </c>
      <c r="HF35" s="558" t="str">
        <f t="shared" si="51"/>
        <v>.</v>
      </c>
      <c r="HG35" s="558" t="str">
        <f t="shared" si="51"/>
        <v>.</v>
      </c>
      <c r="HH35" s="558" t="str">
        <f t="shared" si="51"/>
        <v>.</v>
      </c>
      <c r="HI35" s="558" t="str">
        <f t="shared" si="51"/>
        <v>.</v>
      </c>
      <c r="HJ35" s="558" t="str">
        <f t="shared" si="51"/>
        <v>.</v>
      </c>
      <c r="HK35" s="558" t="str">
        <f xml:space="preserve"> IF(  OR( HK$18&gt;$FK35, $FK35&gt;$FP$12 ),  LEER,  ROUND( $FO$19 * ( $FL35 - HK$15 * $FM35 ), HK$17 )  )</f>
        <v>.</v>
      </c>
      <c r="HL35" s="558" t="str">
        <f xml:space="preserve"> IF(  OR( HL$18&gt;$FK35, $FK35&gt;$FP$12 ),  LEER,  ROUND( $FO$19 * ( $FL35 - HL$15 * $FM35 ), HL$17 )  )</f>
        <v>.</v>
      </c>
      <c r="HM35" s="558" t="str">
        <f xml:space="preserve"> IF(  OR( HM$18&gt;$FK35, $FK35&gt;$FP$12 ),  LEER,  ROUND( $FO$19 * ( $FL35 - HM$15 * $FM35 ), HM$17 )  )</f>
        <v>.</v>
      </c>
      <c r="HN35" s="558" t="str">
        <f xml:space="preserve"> IF(  OR( HN$18&gt;$FK35, $FK35&gt;$FP$12 ),  LEER,  ROUND( $FO$19 * ( $FL35 - HN$15 * $FM35 ), HN$17 )  )</f>
        <v>.</v>
      </c>
      <c r="HO35" s="558" t="str">
        <f xml:space="preserve"> IF(  OR( HO$18&gt;$FK35, $FK35&gt;$FP$12 ),  LEER,  ROUND( $FO$19 * ( $FL35 - HO$15 * $FM35 ), HO$17 )  )</f>
        <v>.</v>
      </c>
      <c r="HP35" s="558" t="str">
        <f t="shared" si="64"/>
        <v>.</v>
      </c>
      <c r="HQ35" s="558" t="str">
        <f t="shared" si="64"/>
        <v>.</v>
      </c>
      <c r="HR35" s="558" t="str">
        <f t="shared" si="64"/>
        <v>.</v>
      </c>
      <c r="HS35" s="558" t="str">
        <f t="shared" si="64"/>
        <v>.</v>
      </c>
      <c r="HT35" s="558" t="str">
        <f t="shared" si="64"/>
        <v>.</v>
      </c>
      <c r="HU35" s="558" t="str">
        <f t="shared" si="64"/>
        <v>.</v>
      </c>
      <c r="HV35" s="558" t="str">
        <f t="shared" si="64"/>
        <v>.</v>
      </c>
      <c r="HW35" s="558" t="str">
        <f t="shared" si="64"/>
        <v>.</v>
      </c>
      <c r="HX35" s="558" t="str">
        <f t="shared" si="64"/>
        <v>.</v>
      </c>
      <c r="HY35" s="558" t="str">
        <f t="shared" si="64"/>
        <v>.</v>
      </c>
      <c r="HZ35" s="558" t="str">
        <f t="shared" si="64"/>
        <v>.</v>
      </c>
      <c r="IA35" s="558" t="str">
        <f t="shared" si="64"/>
        <v>.</v>
      </c>
      <c r="IB35" s="558" t="str">
        <f t="shared" si="64"/>
        <v>.</v>
      </c>
      <c r="IC35" s="558" t="str">
        <f t="shared" si="64"/>
        <v>.</v>
      </c>
      <c r="ID35" s="558" t="str">
        <f t="shared" si="64"/>
        <v>.</v>
      </c>
      <c r="IE35" s="558" t="str">
        <f t="shared" si="64"/>
        <v>.</v>
      </c>
      <c r="IF35" s="558" t="str">
        <f t="shared" si="64"/>
        <v>.</v>
      </c>
      <c r="IG35" s="558" t="str">
        <f t="shared" si="65"/>
        <v>.</v>
      </c>
      <c r="IH35" s="558" t="str">
        <f t="shared" si="65"/>
        <v>.</v>
      </c>
      <c r="II35" s="558" t="str">
        <f t="shared" si="65"/>
        <v>.</v>
      </c>
      <c r="IJ35" s="558" t="str">
        <f t="shared" si="65"/>
        <v>.</v>
      </c>
      <c r="IK35" s="558" t="str">
        <f t="shared" si="65"/>
        <v>.</v>
      </c>
      <c r="IL35" s="558" t="str">
        <f t="shared" si="65"/>
        <v>.</v>
      </c>
      <c r="IM35" s="558" t="str">
        <f t="shared" si="65"/>
        <v>.</v>
      </c>
      <c r="IN35" s="558" t="str">
        <f t="shared" si="65"/>
        <v>.</v>
      </c>
      <c r="IO35" s="558" t="str">
        <f t="shared" si="62"/>
        <v>.</v>
      </c>
      <c r="IP35" s="558" t="str">
        <f t="shared" si="62"/>
        <v>.</v>
      </c>
      <c r="IQ35" s="558" t="str">
        <f t="shared" si="62"/>
        <v>.</v>
      </c>
      <c r="IR35" s="558" t="str">
        <f t="shared" si="62"/>
        <v>.</v>
      </c>
      <c r="IS35" s="558" t="str">
        <f t="shared" si="62"/>
        <v>.</v>
      </c>
      <c r="IT35" s="558" t="str">
        <f t="shared" si="62"/>
        <v>.</v>
      </c>
      <c r="IU35" s="558" t="str">
        <f t="shared" si="62"/>
        <v>.</v>
      </c>
      <c r="IV35" s="558" t="str">
        <f t="shared" si="62"/>
        <v>.</v>
      </c>
      <c r="IW35" s="558" t="str">
        <f t="shared" si="62"/>
        <v>.</v>
      </c>
      <c r="IX35" s="558" t="str">
        <f t="shared" si="62"/>
        <v>.</v>
      </c>
      <c r="IY35" s="558" t="str">
        <f t="shared" si="62"/>
        <v>.</v>
      </c>
      <c r="IZ35" s="558" t="str">
        <f t="shared" si="62"/>
        <v>.</v>
      </c>
      <c r="JA35" s="558" t="str">
        <f t="shared" si="62"/>
        <v>.</v>
      </c>
      <c r="JB35" s="558" t="str">
        <f t="shared" si="62"/>
        <v>.</v>
      </c>
      <c r="JC35" s="558" t="str">
        <f t="shared" si="62"/>
        <v>.</v>
      </c>
      <c r="JD35" s="558" t="str">
        <f t="shared" si="62"/>
        <v>.</v>
      </c>
      <c r="JE35" s="558" t="str">
        <f t="shared" si="62"/>
        <v>.</v>
      </c>
      <c r="JF35" s="558" t="str">
        <f t="shared" si="62"/>
        <v>.</v>
      </c>
      <c r="JG35" s="558" t="str">
        <f t="shared" si="62"/>
        <v>.</v>
      </c>
      <c r="JH35" s="558" t="str">
        <f t="shared" si="54"/>
        <v>.</v>
      </c>
      <c r="JI35" s="558" t="str">
        <f t="shared" si="54"/>
        <v>.</v>
      </c>
      <c r="JJ35" s="558" t="str">
        <f t="shared" si="54"/>
        <v>.</v>
      </c>
      <c r="JK35" s="558" t="str">
        <f t="shared" si="54"/>
        <v>.</v>
      </c>
      <c r="JL35" s="558" t="str">
        <f t="shared" si="54"/>
        <v>.</v>
      </c>
    </row>
    <row r="36" spans="1:272" ht="10.199999999999999" x14ac:dyDescent="0.2">
      <c r="A36" s="534">
        <f xml:space="preserve"> Basis!A36</f>
        <v>36</v>
      </c>
      <c r="F36" s="536">
        <f xml:space="preserve"> ROUND(    IF( $A$15=BE_MF_,   AW36,   INDEX( qx!36:36, F$16 ) ),    F$17    )</f>
        <v>2.9999999999999997E-4</v>
      </c>
      <c r="G36" s="536">
        <f xml:space="preserve"> ROUND(    IF( $A$15=BE_MF_,   BB36,   INDEX( wx!36:36, G$16 ) ),    G$17    )</f>
        <v>4.41E-2</v>
      </c>
      <c r="H36" s="537">
        <f xml:space="preserve"> ROUND(    IF( $A$15=BE_MF_,   BG36,   INDEX( Kx!36:36, H$16 ) ),    H$17    )</f>
        <v>1987.3</v>
      </c>
      <c r="I36" s="538">
        <f t="shared" si="55"/>
        <v>1987.3</v>
      </c>
      <c r="J36" s="539">
        <f t="shared" si="17"/>
        <v>0.95599999999999996</v>
      </c>
      <c r="K36" s="540">
        <f t="shared" si="56"/>
        <v>2</v>
      </c>
      <c r="L36" s="541">
        <f t="shared" si="18"/>
        <v>0</v>
      </c>
      <c r="M36" s="541">
        <f t="shared" si="18"/>
        <v>8.5999999999999993E-2</v>
      </c>
      <c r="O36" s="542" t="b">
        <f t="shared" si="57"/>
        <v>1</v>
      </c>
      <c r="P36" s="493">
        <f t="shared" si="19"/>
        <v>4.4400000000000002E-2</v>
      </c>
      <c r="Q36" s="493">
        <f t="shared" si="20"/>
        <v>0.9556</v>
      </c>
      <c r="R36" s="543">
        <f t="shared" si="21"/>
        <v>1031009</v>
      </c>
      <c r="S36" s="544">
        <f t="shared" si="22"/>
        <v>0.97560975599999999</v>
      </c>
      <c r="T36" s="423">
        <f t="shared" si="23"/>
        <v>423841.33</v>
      </c>
      <c r="U36" s="423">
        <f xml:space="preserve"> IF( $O36,    ROUND(  SUM( T36:T$120), U$17 ),  LEER  )</f>
        <v>8013706.3499999996</v>
      </c>
      <c r="V36" s="493">
        <f t="shared" si="24"/>
        <v>18.907299999999999</v>
      </c>
      <c r="W36" s="493">
        <f t="shared" si="25"/>
        <v>405192.31</v>
      </c>
      <c r="X36" s="493">
        <f xml:space="preserve"> IF( $O36,    ROUND(  SUM( W36:W$120), X$17 ),  LEER  )</f>
        <v>15275457.4</v>
      </c>
      <c r="Y36" s="493">
        <f t="shared" si="26"/>
        <v>36.040500000000002</v>
      </c>
      <c r="Z36" s="493">
        <f t="shared" si="27"/>
        <v>1.9061999999999999</v>
      </c>
      <c r="AA36" s="493">
        <f t="shared" si="28"/>
        <v>1.0097</v>
      </c>
      <c r="AB36" s="493">
        <f t="shared" si="29"/>
        <v>2.3494000000000002</v>
      </c>
      <c r="AC36" s="545">
        <f t="shared" si="30"/>
        <v>0.38600000000000001</v>
      </c>
      <c r="AD36" s="493">
        <f t="shared" si="31"/>
        <v>1.9283999999999999</v>
      </c>
      <c r="AE36" s="493">
        <f t="shared" si="32"/>
        <v>2.5322</v>
      </c>
      <c r="AF36" s="493">
        <f t="shared" si="33"/>
        <v>2.5322</v>
      </c>
      <c r="AG36" s="493" t="str">
        <f t="shared" si="34"/>
        <v>.</v>
      </c>
      <c r="AH36" s="493" t="str">
        <f t="shared" si="35"/>
        <v>.</v>
      </c>
      <c r="AI36" s="423">
        <f t="shared" si="36"/>
        <v>2077.79</v>
      </c>
      <c r="AJ36" s="423">
        <f t="shared" si="37"/>
        <v>5261.38</v>
      </c>
      <c r="AK36" s="423">
        <f t="shared" si="38"/>
        <v>438.45</v>
      </c>
      <c r="AN36" s="423">
        <f t="shared" si="39"/>
        <v>2045.53</v>
      </c>
      <c r="AO36" s="423">
        <f t="shared" si="39"/>
        <v>1173.4000000000001</v>
      </c>
      <c r="AR36" s="546">
        <f xml:space="preserve"> ROUND(  INDEX( Kx!36:36, AR$16 ),  AR$17 )</f>
        <v>0.7742</v>
      </c>
      <c r="AS36" s="547">
        <f xml:space="preserve"> ROUND(  INDEX( qx!36:36, AS$16 ),  AS$17 )</f>
        <v>2.9999999999999997E-4</v>
      </c>
      <c r="AT36" s="547">
        <f xml:space="preserve"> ROUND(  INDEX( qx!36:36, AT$16 ),  AT$17 )</f>
        <v>2.0000000000000001E-4</v>
      </c>
      <c r="AU36" s="548" t="str">
        <f t="shared" si="40"/>
        <v>F</v>
      </c>
      <c r="AV36" s="542">
        <f t="shared" si="41"/>
        <v>0.69569999999999999</v>
      </c>
      <c r="AW36" s="542">
        <f t="shared" si="42"/>
        <v>2.9999999999999997E-4</v>
      </c>
      <c r="AX36" s="546">
        <f xml:space="preserve"> ROUND(  INDEX( wx!36:36, AX$16 ),  AX$17 )</f>
        <v>4.1000000000000002E-2</v>
      </c>
      <c r="AY36" s="546">
        <f xml:space="preserve"> ROUND(  INDEX( wx!36:36, AY$16 ),  AY$17 )</f>
        <v>6.0299999999999999E-2</v>
      </c>
      <c r="AZ36" s="548" t="str">
        <f t="shared" si="43"/>
        <v>M</v>
      </c>
      <c r="BA36" s="542">
        <f t="shared" si="44"/>
        <v>0.83720000000000006</v>
      </c>
      <c r="BB36" s="542">
        <f t="shared" si="45"/>
        <v>4.41E-2</v>
      </c>
      <c r="BC36" s="533">
        <f xml:space="preserve"> ROUND(  INDEX( Kx!36:36, BC$16 ),  BC$17 )</f>
        <v>1490.69</v>
      </c>
      <c r="BD36" s="533">
        <f xml:space="preserve"> ROUND(  INDEX( Kx!36:36, BD$16 ),  BD$17 )</f>
        <v>3122.66</v>
      </c>
      <c r="BE36" s="548" t="str">
        <f t="shared" si="58"/>
        <v>F</v>
      </c>
      <c r="BF36" s="542">
        <f t="shared" si="46"/>
        <v>0.69569999999999999</v>
      </c>
      <c r="BG36" s="420">
        <f t="shared" si="47"/>
        <v>1987.3</v>
      </c>
      <c r="BQ36" s="549"/>
      <c r="BR36" s="423"/>
      <c r="BS36" s="550"/>
      <c r="BT36" s="423"/>
      <c r="BU36" s="551"/>
      <c r="BV36" s="551"/>
      <c r="BW36" s="529"/>
      <c r="BX36" s="552"/>
      <c r="BY36" s="560"/>
      <c r="BZ36" s="559"/>
      <c r="CB36" s="423"/>
      <c r="CC36" s="423"/>
      <c r="CD36" s="423"/>
      <c r="CE36" s="423"/>
      <c r="CF36" s="553"/>
      <c r="CH36" s="423"/>
      <c r="CI36" s="423"/>
      <c r="CJ36" s="423"/>
      <c r="CK36" s="423"/>
      <c r="CL36" s="553"/>
      <c r="CN36" s="423"/>
      <c r="CO36" s="423"/>
      <c r="CP36" s="423"/>
      <c r="CQ36" s="423"/>
      <c r="CR36" s="553"/>
      <c r="DO36" s="385"/>
      <c r="DP36" s="385"/>
      <c r="DQ36" s="385"/>
      <c r="EI36" s="553"/>
      <c r="EJ36" s="553"/>
      <c r="EK36" s="423"/>
      <c r="EL36" s="555"/>
      <c r="ES36" s="533"/>
      <c r="ET36" s="533"/>
      <c r="EU36" s="533"/>
      <c r="EV36" s="556"/>
      <c r="EY36" s="533"/>
      <c r="EZ36" s="533"/>
      <c r="FA36" s="556"/>
      <c r="FD36" s="556"/>
      <c r="FE36" s="556"/>
      <c r="FF36" s="556"/>
      <c r="FK36" s="557">
        <f t="shared" si="48"/>
        <v>36</v>
      </c>
      <c r="FL36" s="493">
        <f t="shared" si="59"/>
        <v>36.040500000000002</v>
      </c>
      <c r="FM36" s="493">
        <f t="shared" si="60"/>
        <v>18.907299999999999</v>
      </c>
      <c r="FO36" s="427">
        <f t="shared" si="61"/>
        <v>238908.83000000002</v>
      </c>
      <c r="FP36" s="558">
        <f t="shared" ref="FP36:GE51" si="67" xml:space="preserve"> IF(  OR( FP$18&gt;$FK36, $FK36&gt;$FP$12 ),  LEER,  ROUND( $FO$19 * ( $FL36 - FP$15 * $FM36 ), FP$17 )  )</f>
        <v>27726.400000000001</v>
      </c>
      <c r="FQ36" s="558">
        <f t="shared" si="67"/>
        <v>26135.34</v>
      </c>
      <c r="FR36" s="558">
        <f t="shared" si="67"/>
        <v>24540.35</v>
      </c>
      <c r="FS36" s="558">
        <f t="shared" si="67"/>
        <v>22945.360000000001</v>
      </c>
      <c r="FT36" s="558">
        <f t="shared" si="67"/>
        <v>21295.38</v>
      </c>
      <c r="FU36" s="558">
        <f t="shared" si="67"/>
        <v>19598.25</v>
      </c>
      <c r="FV36" s="558">
        <f t="shared" si="67"/>
        <v>17916.830000000002</v>
      </c>
      <c r="FW36" s="558">
        <f t="shared" si="67"/>
        <v>16223.63</v>
      </c>
      <c r="FX36" s="558">
        <f t="shared" si="67"/>
        <v>14471.5</v>
      </c>
      <c r="FY36" s="558">
        <f t="shared" si="67"/>
        <v>12648.66</v>
      </c>
      <c r="FZ36" s="558">
        <f t="shared" si="66"/>
        <v>10814.03</v>
      </c>
      <c r="GA36" s="558">
        <f t="shared" si="66"/>
        <v>8951.91</v>
      </c>
      <c r="GB36" s="558">
        <f t="shared" si="66"/>
        <v>7046.56</v>
      </c>
      <c r="GC36" s="558">
        <f t="shared" si="66"/>
        <v>5133.3599999999997</v>
      </c>
      <c r="GD36" s="558">
        <f t="shared" si="66"/>
        <v>3161.24</v>
      </c>
      <c r="GE36" s="558">
        <f t="shared" si="66"/>
        <v>1173.4000000000001</v>
      </c>
      <c r="GF36" s="558">
        <f t="shared" si="66"/>
        <v>-873.37</v>
      </c>
      <c r="GG36" s="558" t="str">
        <f t="shared" si="66"/>
        <v>.</v>
      </c>
      <c r="GH36" s="558" t="str">
        <f t="shared" si="66"/>
        <v>.</v>
      </c>
      <c r="GI36" s="558" t="str">
        <f t="shared" si="66"/>
        <v>.</v>
      </c>
      <c r="GJ36" s="558" t="str">
        <f t="shared" si="66"/>
        <v>.</v>
      </c>
      <c r="GK36" s="558" t="str">
        <f t="shared" si="66"/>
        <v>.</v>
      </c>
      <c r="GL36" s="558" t="str">
        <f t="shared" si="66"/>
        <v>.</v>
      </c>
      <c r="GM36" s="558" t="str">
        <f t="shared" si="66"/>
        <v>.</v>
      </c>
      <c r="GN36" s="558" t="str">
        <f t="shared" si="66"/>
        <v>.</v>
      </c>
      <c r="GO36" s="558" t="str">
        <f t="shared" si="66"/>
        <v>.</v>
      </c>
      <c r="GP36" s="558" t="str">
        <f t="shared" ref="GP36:HE51" si="68" xml:space="preserve"> IF(  OR( GP$18&gt;$FK36, $FK36&gt;$FP$12 ),  LEER,  ROUND( $FO$19 * ( $FL36 - GP$15 * $FM36 ), GP$17 )  )</f>
        <v>.</v>
      </c>
      <c r="GQ36" s="558" t="str">
        <f t="shared" si="68"/>
        <v>.</v>
      </c>
      <c r="GR36" s="558" t="str">
        <f t="shared" si="68"/>
        <v>.</v>
      </c>
      <c r="GS36" s="558" t="str">
        <f t="shared" si="68"/>
        <v>.</v>
      </c>
      <c r="GT36" s="558" t="str">
        <f t="shared" si="68"/>
        <v>.</v>
      </c>
      <c r="GU36" s="558" t="str">
        <f t="shared" si="68"/>
        <v>.</v>
      </c>
      <c r="GV36" s="558" t="str">
        <f t="shared" si="68"/>
        <v>.</v>
      </c>
      <c r="GW36" s="558" t="str">
        <f t="shared" si="68"/>
        <v>.</v>
      </c>
      <c r="GX36" s="558" t="str">
        <f t="shared" si="68"/>
        <v>.</v>
      </c>
      <c r="GY36" s="558" t="str">
        <f t="shared" si="68"/>
        <v>.</v>
      </c>
      <c r="GZ36" s="558" t="str">
        <f t="shared" si="68"/>
        <v>.</v>
      </c>
      <c r="HA36" s="558" t="str">
        <f t="shared" si="68"/>
        <v>.</v>
      </c>
      <c r="HB36" s="558" t="str">
        <f t="shared" si="68"/>
        <v>.</v>
      </c>
      <c r="HC36" s="558" t="str">
        <f t="shared" si="68"/>
        <v>.</v>
      </c>
      <c r="HD36" s="558" t="str">
        <f t="shared" si="68"/>
        <v>.</v>
      </c>
      <c r="HE36" s="558" t="str">
        <f t="shared" si="68"/>
        <v>.</v>
      </c>
      <c r="HF36" s="558" t="str">
        <f t="shared" ref="HF36:HW51" si="69" xml:space="preserve"> IF(  OR( HF$18&gt;$FK36, $FK36&gt;$FP$12 ),  LEER,  ROUND( $FO$19 * ( $FL36 - HF$15 * $FM36 ), HF$17 )  )</f>
        <v>.</v>
      </c>
      <c r="HG36" s="558" t="str">
        <f t="shared" si="69"/>
        <v>.</v>
      </c>
      <c r="HH36" s="558" t="str">
        <f t="shared" si="69"/>
        <v>.</v>
      </c>
      <c r="HI36" s="558" t="str">
        <f t="shared" si="69"/>
        <v>.</v>
      </c>
      <c r="HJ36" s="558" t="str">
        <f t="shared" si="69"/>
        <v>.</v>
      </c>
      <c r="HK36" s="558" t="str">
        <f t="shared" si="69"/>
        <v>.</v>
      </c>
      <c r="HL36" s="558" t="str">
        <f t="shared" si="69"/>
        <v>.</v>
      </c>
      <c r="HM36" s="558" t="str">
        <f t="shared" si="69"/>
        <v>.</v>
      </c>
      <c r="HN36" s="558" t="str">
        <f t="shared" si="69"/>
        <v>.</v>
      </c>
      <c r="HO36" s="558" t="str">
        <f t="shared" si="69"/>
        <v>.</v>
      </c>
      <c r="HP36" s="558" t="str">
        <f t="shared" si="64"/>
        <v>.</v>
      </c>
      <c r="HQ36" s="558" t="str">
        <f t="shared" si="64"/>
        <v>.</v>
      </c>
      <c r="HR36" s="558" t="str">
        <f t="shared" si="64"/>
        <v>.</v>
      </c>
      <c r="HS36" s="558" t="str">
        <f t="shared" si="64"/>
        <v>.</v>
      </c>
      <c r="HT36" s="558" t="str">
        <f t="shared" si="64"/>
        <v>.</v>
      </c>
      <c r="HU36" s="558" t="str">
        <f t="shared" si="64"/>
        <v>.</v>
      </c>
      <c r="HV36" s="558" t="str">
        <f t="shared" si="64"/>
        <v>.</v>
      </c>
      <c r="HW36" s="558" t="str">
        <f t="shared" si="64"/>
        <v>.</v>
      </c>
      <c r="HX36" s="558" t="str">
        <f t="shared" si="64"/>
        <v>.</v>
      </c>
      <c r="HY36" s="558" t="str">
        <f t="shared" si="64"/>
        <v>.</v>
      </c>
      <c r="HZ36" s="558" t="str">
        <f t="shared" si="64"/>
        <v>.</v>
      </c>
      <c r="IA36" s="558" t="str">
        <f t="shared" si="64"/>
        <v>.</v>
      </c>
      <c r="IB36" s="558" t="str">
        <f t="shared" si="64"/>
        <v>.</v>
      </c>
      <c r="IC36" s="558" t="str">
        <f t="shared" si="64"/>
        <v>.</v>
      </c>
      <c r="ID36" s="558" t="str">
        <f t="shared" si="64"/>
        <v>.</v>
      </c>
      <c r="IE36" s="558" t="str">
        <f t="shared" si="64"/>
        <v>.</v>
      </c>
      <c r="IF36" s="558" t="str">
        <f t="shared" si="64"/>
        <v>.</v>
      </c>
      <c r="IG36" s="558" t="str">
        <f t="shared" si="65"/>
        <v>.</v>
      </c>
      <c r="IH36" s="558" t="str">
        <f t="shared" si="65"/>
        <v>.</v>
      </c>
      <c r="II36" s="558" t="str">
        <f t="shared" si="65"/>
        <v>.</v>
      </c>
      <c r="IJ36" s="558" t="str">
        <f t="shared" si="65"/>
        <v>.</v>
      </c>
      <c r="IK36" s="558" t="str">
        <f t="shared" si="65"/>
        <v>.</v>
      </c>
      <c r="IL36" s="558" t="str">
        <f t="shared" si="65"/>
        <v>.</v>
      </c>
      <c r="IM36" s="558" t="str">
        <f t="shared" si="65"/>
        <v>.</v>
      </c>
      <c r="IN36" s="558" t="str">
        <f t="shared" si="65"/>
        <v>.</v>
      </c>
      <c r="IO36" s="558" t="str">
        <f t="shared" si="62"/>
        <v>.</v>
      </c>
      <c r="IP36" s="558" t="str">
        <f t="shared" si="62"/>
        <v>.</v>
      </c>
      <c r="IQ36" s="558" t="str">
        <f t="shared" si="62"/>
        <v>.</v>
      </c>
      <c r="IR36" s="558" t="str">
        <f t="shared" si="62"/>
        <v>.</v>
      </c>
      <c r="IS36" s="558" t="str">
        <f t="shared" si="62"/>
        <v>.</v>
      </c>
      <c r="IT36" s="558" t="str">
        <f t="shared" si="62"/>
        <v>.</v>
      </c>
      <c r="IU36" s="558" t="str">
        <f t="shared" si="62"/>
        <v>.</v>
      </c>
      <c r="IV36" s="558" t="str">
        <f t="shared" si="62"/>
        <v>.</v>
      </c>
      <c r="IW36" s="558" t="str">
        <f t="shared" si="62"/>
        <v>.</v>
      </c>
      <c r="IX36" s="558" t="str">
        <f t="shared" si="62"/>
        <v>.</v>
      </c>
      <c r="IY36" s="558" t="str">
        <f t="shared" si="62"/>
        <v>.</v>
      </c>
      <c r="IZ36" s="558" t="str">
        <f t="shared" si="62"/>
        <v>.</v>
      </c>
      <c r="JA36" s="558" t="str">
        <f t="shared" si="62"/>
        <v>.</v>
      </c>
      <c r="JB36" s="558" t="str">
        <f t="shared" si="62"/>
        <v>.</v>
      </c>
      <c r="JC36" s="558" t="str">
        <f t="shared" si="62"/>
        <v>.</v>
      </c>
      <c r="JD36" s="558" t="str">
        <f t="shared" si="62"/>
        <v>.</v>
      </c>
      <c r="JE36" s="558" t="str">
        <f t="shared" si="62"/>
        <v>.</v>
      </c>
      <c r="JF36" s="558" t="str">
        <f t="shared" si="62"/>
        <v>.</v>
      </c>
      <c r="JG36" s="558" t="str">
        <f t="shared" si="62"/>
        <v>.</v>
      </c>
      <c r="JH36" s="558" t="str">
        <f t="shared" ref="JH36:JL51" si="70" xml:space="preserve"> IF(  OR( JH$18&gt;$FK36, $FK36&gt;$FP$12 ),  LEER,  ROUND( $FO$19 * ( $FL36 - JH$15 * $FM36 ), JH$17 )  )</f>
        <v>.</v>
      </c>
      <c r="JI36" s="558" t="str">
        <f t="shared" si="70"/>
        <v>.</v>
      </c>
      <c r="JJ36" s="558" t="str">
        <f t="shared" si="70"/>
        <v>.</v>
      </c>
      <c r="JK36" s="558" t="str">
        <f t="shared" si="70"/>
        <v>.</v>
      </c>
      <c r="JL36" s="558" t="str">
        <f t="shared" si="70"/>
        <v>.</v>
      </c>
    </row>
    <row r="37" spans="1:272" ht="10.199999999999999" x14ac:dyDescent="0.2">
      <c r="A37" s="534">
        <f xml:space="preserve"> Basis!A37</f>
        <v>37</v>
      </c>
      <c r="F37" s="536">
        <f xml:space="preserve"> ROUND(    IF( $A$15=BE_MF_,   AW37,   INDEX( qx!37:37, F$16 ) ),    F$17    )</f>
        <v>2.9999999999999997E-4</v>
      </c>
      <c r="G37" s="536">
        <f xml:space="preserve"> ROUND(    IF( $A$15=BE_MF_,   BB37,   INDEX( wx!37:37, G$16 ) ),    G$17    )</f>
        <v>4.0399999999999998E-2</v>
      </c>
      <c r="H37" s="537">
        <f xml:space="preserve"> ROUND(    IF( $A$15=BE_MF_,   BG37,   INDEX( Kx!37:37, H$16 ) ),    H$17    )</f>
        <v>2009.02</v>
      </c>
      <c r="I37" s="538">
        <f t="shared" si="55"/>
        <v>2009.02</v>
      </c>
      <c r="J37" s="539">
        <f t="shared" si="17"/>
        <v>0.96699999999999997</v>
      </c>
      <c r="K37" s="540">
        <f t="shared" si="56"/>
        <v>2</v>
      </c>
      <c r="L37" s="541">
        <f t="shared" si="18"/>
        <v>0</v>
      </c>
      <c r="M37" s="541">
        <f t="shared" si="18"/>
        <v>8.5999999999999993E-2</v>
      </c>
      <c r="O37" s="542" t="b">
        <f t="shared" si="57"/>
        <v>1</v>
      </c>
      <c r="P37" s="493">
        <f t="shared" si="19"/>
        <v>4.07E-2</v>
      </c>
      <c r="Q37" s="493">
        <f t="shared" si="20"/>
        <v>0.95930000000000004</v>
      </c>
      <c r="R37" s="543">
        <f t="shared" si="21"/>
        <v>985232</v>
      </c>
      <c r="S37" s="544">
        <f t="shared" si="22"/>
        <v>0.97560975599999999</v>
      </c>
      <c r="T37" s="423">
        <f t="shared" si="23"/>
        <v>395144.09</v>
      </c>
      <c r="U37" s="423">
        <f xml:space="preserve"> IF( $O37,    ROUND(  SUM( T37:T$120), U$17 ),  LEER  )</f>
        <v>7589865.0199999996</v>
      </c>
      <c r="V37" s="493">
        <f t="shared" si="24"/>
        <v>19.207799999999999</v>
      </c>
      <c r="W37" s="493">
        <f t="shared" si="25"/>
        <v>382104.34</v>
      </c>
      <c r="X37" s="493">
        <f xml:space="preserve"> IF( $O37,    ROUND(  SUM( W37:W$120), X$17 ),  LEER  )</f>
        <v>14870265.09</v>
      </c>
      <c r="Y37" s="493">
        <f t="shared" si="26"/>
        <v>37.6325</v>
      </c>
      <c r="Z37" s="493">
        <f t="shared" si="27"/>
        <v>1.9592000000000001</v>
      </c>
      <c r="AA37" s="493">
        <f t="shared" si="28"/>
        <v>1.0096000000000001</v>
      </c>
      <c r="AB37" s="493">
        <f t="shared" si="29"/>
        <v>2.3494000000000002</v>
      </c>
      <c r="AC37" s="545">
        <f t="shared" si="30"/>
        <v>0.38600000000000001</v>
      </c>
      <c r="AD37" s="493">
        <f t="shared" si="31"/>
        <v>1.9817</v>
      </c>
      <c r="AE37" s="493">
        <f t="shared" si="32"/>
        <v>2.5905</v>
      </c>
      <c r="AF37" s="493">
        <f t="shared" si="33"/>
        <v>2.5905</v>
      </c>
      <c r="AG37" s="493" t="str">
        <f t="shared" si="34"/>
        <v>.</v>
      </c>
      <c r="AH37" s="493" t="str">
        <f t="shared" si="35"/>
        <v>.</v>
      </c>
      <c r="AI37" s="423">
        <f t="shared" si="36"/>
        <v>2077.79</v>
      </c>
      <c r="AJ37" s="423">
        <f t="shared" si="37"/>
        <v>5382.51</v>
      </c>
      <c r="AK37" s="423">
        <f t="shared" si="38"/>
        <v>448.54</v>
      </c>
      <c r="AN37" s="423">
        <f t="shared" si="39"/>
        <v>4195.72</v>
      </c>
      <c r="AO37" s="423">
        <f t="shared" si="39"/>
        <v>3309.72</v>
      </c>
      <c r="AR37" s="546">
        <f xml:space="preserve"> ROUND(  INDEX( Kx!37:37, AR$16 ),  AR$17 )</f>
        <v>0.7792</v>
      </c>
      <c r="AS37" s="547">
        <f xml:space="preserve"> ROUND(  INDEX( qx!37:37, AS$16 ),  AS$17 )</f>
        <v>2.9999999999999997E-4</v>
      </c>
      <c r="AT37" s="547">
        <f xml:space="preserve"> ROUND(  INDEX( qx!37:37, AT$16 ),  AT$17 )</f>
        <v>2.0000000000000001E-4</v>
      </c>
      <c r="AU37" s="548" t="str">
        <f t="shared" si="40"/>
        <v>F</v>
      </c>
      <c r="AV37" s="542">
        <f t="shared" si="41"/>
        <v>0.70169999999999999</v>
      </c>
      <c r="AW37" s="542">
        <f t="shared" si="42"/>
        <v>2.9999999999999997E-4</v>
      </c>
      <c r="AX37" s="546">
        <f xml:space="preserve"> ROUND(  INDEX( wx!37:37, AX$16 ),  AX$17 )</f>
        <v>3.7499999999999999E-2</v>
      </c>
      <c r="AY37" s="546">
        <f xml:space="preserve"> ROUND(  INDEX( wx!37:37, AY$16 ),  AY$17 )</f>
        <v>5.5800000000000002E-2</v>
      </c>
      <c r="AZ37" s="548" t="str">
        <f t="shared" si="43"/>
        <v>M</v>
      </c>
      <c r="BA37" s="542">
        <f t="shared" si="44"/>
        <v>0.84109999999999996</v>
      </c>
      <c r="BB37" s="542">
        <f t="shared" si="45"/>
        <v>4.0399999999999998E-2</v>
      </c>
      <c r="BC37" s="533">
        <f xml:space="preserve"> ROUND(  INDEX( Kx!37:37, BC$16 ),  BC$17 )</f>
        <v>1540.58</v>
      </c>
      <c r="BD37" s="533">
        <f xml:space="preserve"> ROUND(  INDEX( Kx!37:37, BD$16 ),  BD$17 )</f>
        <v>3110.94</v>
      </c>
      <c r="BE37" s="548" t="str">
        <f t="shared" si="58"/>
        <v>F</v>
      </c>
      <c r="BF37" s="542">
        <f t="shared" si="46"/>
        <v>0.70169999999999999</v>
      </c>
      <c r="BG37" s="420">
        <f t="shared" si="47"/>
        <v>2009.02</v>
      </c>
      <c r="BQ37" s="549"/>
      <c r="BR37" s="423"/>
      <c r="BS37" s="550"/>
      <c r="BT37" s="423"/>
      <c r="BU37" s="551"/>
      <c r="BV37" s="551"/>
      <c r="BW37" s="529"/>
      <c r="BX37" s="552"/>
      <c r="BY37" s="560"/>
      <c r="BZ37" s="559"/>
      <c r="CB37" s="423"/>
      <c r="CC37" s="423"/>
      <c r="CD37" s="423"/>
      <c r="CE37" s="423"/>
      <c r="CF37" s="553"/>
      <c r="CH37" s="423"/>
      <c r="CI37" s="423"/>
      <c r="CJ37" s="423"/>
      <c r="CK37" s="423"/>
      <c r="CL37" s="553"/>
      <c r="CN37" s="423"/>
      <c r="CO37" s="423"/>
      <c r="CP37" s="423"/>
      <c r="CQ37" s="423"/>
      <c r="CR37" s="553"/>
      <c r="EI37" s="553"/>
      <c r="EJ37" s="553"/>
      <c r="EK37" s="423"/>
      <c r="EL37" s="555"/>
      <c r="ES37" s="533"/>
      <c r="ET37" s="533"/>
      <c r="EU37" s="533"/>
      <c r="EV37" s="556"/>
      <c r="EY37" s="533"/>
      <c r="EZ37" s="533"/>
      <c r="FA37" s="556"/>
      <c r="FD37" s="556"/>
      <c r="FE37" s="556"/>
      <c r="FF37" s="556"/>
      <c r="FK37" s="557">
        <f t="shared" si="48"/>
        <v>37</v>
      </c>
      <c r="FL37" s="493">
        <f t="shared" si="59"/>
        <v>37.6325</v>
      </c>
      <c r="FM37" s="493">
        <f t="shared" si="60"/>
        <v>19.207799999999999</v>
      </c>
      <c r="FO37" s="427">
        <f t="shared" si="61"/>
        <v>277809.6399999999</v>
      </c>
      <c r="FP37" s="558">
        <f t="shared" si="67"/>
        <v>30284.74</v>
      </c>
      <c r="FQ37" s="558">
        <f t="shared" si="67"/>
        <v>28668.39</v>
      </c>
      <c r="FR37" s="558">
        <f t="shared" si="67"/>
        <v>27048.06</v>
      </c>
      <c r="FS37" s="558">
        <f t="shared" si="67"/>
        <v>25427.72</v>
      </c>
      <c r="FT37" s="558">
        <f t="shared" si="67"/>
        <v>23751.51</v>
      </c>
      <c r="FU37" s="558">
        <f t="shared" si="67"/>
        <v>22027.41</v>
      </c>
      <c r="FV37" s="558">
        <f t="shared" si="67"/>
        <v>20319.27</v>
      </c>
      <c r="FW37" s="558">
        <f t="shared" si="67"/>
        <v>18599.16</v>
      </c>
      <c r="FX37" s="558">
        <f t="shared" si="67"/>
        <v>16819.18</v>
      </c>
      <c r="FY37" s="558">
        <f t="shared" si="67"/>
        <v>14967.37</v>
      </c>
      <c r="FZ37" s="558">
        <f t="shared" si="66"/>
        <v>13103.58</v>
      </c>
      <c r="GA37" s="558">
        <f t="shared" si="66"/>
        <v>11211.86</v>
      </c>
      <c r="GB37" s="558">
        <f t="shared" si="66"/>
        <v>9276.23</v>
      </c>
      <c r="GC37" s="558">
        <f t="shared" si="66"/>
        <v>7332.63</v>
      </c>
      <c r="GD37" s="558">
        <f t="shared" si="66"/>
        <v>5329.16</v>
      </c>
      <c r="GE37" s="558">
        <f t="shared" si="66"/>
        <v>3309.72</v>
      </c>
      <c r="GF37" s="558">
        <f t="shared" si="66"/>
        <v>1230.42</v>
      </c>
      <c r="GG37" s="558">
        <f t="shared" si="66"/>
        <v>-896.77</v>
      </c>
      <c r="GH37" s="558" t="str">
        <f t="shared" si="66"/>
        <v>.</v>
      </c>
      <c r="GI37" s="558" t="str">
        <f t="shared" si="66"/>
        <v>.</v>
      </c>
      <c r="GJ37" s="558" t="str">
        <f t="shared" si="66"/>
        <v>.</v>
      </c>
      <c r="GK37" s="558" t="str">
        <f t="shared" si="66"/>
        <v>.</v>
      </c>
      <c r="GL37" s="558" t="str">
        <f t="shared" si="66"/>
        <v>.</v>
      </c>
      <c r="GM37" s="558" t="str">
        <f t="shared" si="66"/>
        <v>.</v>
      </c>
      <c r="GN37" s="558" t="str">
        <f t="shared" si="66"/>
        <v>.</v>
      </c>
      <c r="GO37" s="558" t="str">
        <f t="shared" si="66"/>
        <v>.</v>
      </c>
      <c r="GP37" s="558" t="str">
        <f t="shared" si="68"/>
        <v>.</v>
      </c>
      <c r="GQ37" s="558" t="str">
        <f t="shared" si="68"/>
        <v>.</v>
      </c>
      <c r="GR37" s="558" t="str">
        <f t="shared" si="68"/>
        <v>.</v>
      </c>
      <c r="GS37" s="558" t="str">
        <f t="shared" si="68"/>
        <v>.</v>
      </c>
      <c r="GT37" s="558" t="str">
        <f t="shared" si="68"/>
        <v>.</v>
      </c>
      <c r="GU37" s="558" t="str">
        <f t="shared" si="68"/>
        <v>.</v>
      </c>
      <c r="GV37" s="558" t="str">
        <f t="shared" si="68"/>
        <v>.</v>
      </c>
      <c r="GW37" s="558" t="str">
        <f t="shared" si="68"/>
        <v>.</v>
      </c>
      <c r="GX37" s="558" t="str">
        <f t="shared" si="68"/>
        <v>.</v>
      </c>
      <c r="GY37" s="558" t="str">
        <f t="shared" si="68"/>
        <v>.</v>
      </c>
      <c r="GZ37" s="558" t="str">
        <f t="shared" si="68"/>
        <v>.</v>
      </c>
      <c r="HA37" s="558" t="str">
        <f t="shared" si="68"/>
        <v>.</v>
      </c>
      <c r="HB37" s="558" t="str">
        <f t="shared" si="68"/>
        <v>.</v>
      </c>
      <c r="HC37" s="558" t="str">
        <f t="shared" si="68"/>
        <v>.</v>
      </c>
      <c r="HD37" s="558" t="str">
        <f t="shared" si="68"/>
        <v>.</v>
      </c>
      <c r="HE37" s="558" t="str">
        <f t="shared" si="68"/>
        <v>.</v>
      </c>
      <c r="HF37" s="558" t="str">
        <f t="shared" si="69"/>
        <v>.</v>
      </c>
      <c r="HG37" s="558" t="str">
        <f t="shared" si="69"/>
        <v>.</v>
      </c>
      <c r="HH37" s="558" t="str">
        <f t="shared" si="69"/>
        <v>.</v>
      </c>
      <c r="HI37" s="558" t="str">
        <f t="shared" si="69"/>
        <v>.</v>
      </c>
      <c r="HJ37" s="558" t="str">
        <f t="shared" si="69"/>
        <v>.</v>
      </c>
      <c r="HK37" s="558" t="str">
        <f t="shared" si="69"/>
        <v>.</v>
      </c>
      <c r="HL37" s="558" t="str">
        <f t="shared" si="69"/>
        <v>.</v>
      </c>
      <c r="HM37" s="558" t="str">
        <f t="shared" si="69"/>
        <v>.</v>
      </c>
      <c r="HN37" s="558" t="str">
        <f t="shared" si="69"/>
        <v>.</v>
      </c>
      <c r="HO37" s="558" t="str">
        <f t="shared" si="69"/>
        <v>.</v>
      </c>
      <c r="HP37" s="558" t="str">
        <f t="shared" si="64"/>
        <v>.</v>
      </c>
      <c r="HQ37" s="558" t="str">
        <f t="shared" si="64"/>
        <v>.</v>
      </c>
      <c r="HR37" s="558" t="str">
        <f t="shared" si="64"/>
        <v>.</v>
      </c>
      <c r="HS37" s="558" t="str">
        <f t="shared" si="64"/>
        <v>.</v>
      </c>
      <c r="HT37" s="558" t="str">
        <f t="shared" si="64"/>
        <v>.</v>
      </c>
      <c r="HU37" s="558" t="str">
        <f t="shared" si="64"/>
        <v>.</v>
      </c>
      <c r="HV37" s="558" t="str">
        <f t="shared" si="64"/>
        <v>.</v>
      </c>
      <c r="HW37" s="558" t="str">
        <f t="shared" si="64"/>
        <v>.</v>
      </c>
      <c r="HX37" s="558" t="str">
        <f t="shared" si="64"/>
        <v>.</v>
      </c>
      <c r="HY37" s="558" t="str">
        <f t="shared" si="64"/>
        <v>.</v>
      </c>
      <c r="HZ37" s="558" t="str">
        <f t="shared" si="64"/>
        <v>.</v>
      </c>
      <c r="IA37" s="558" t="str">
        <f t="shared" si="64"/>
        <v>.</v>
      </c>
      <c r="IB37" s="558" t="str">
        <f t="shared" si="64"/>
        <v>.</v>
      </c>
      <c r="IC37" s="558" t="str">
        <f t="shared" si="64"/>
        <v>.</v>
      </c>
      <c r="ID37" s="558" t="str">
        <f t="shared" si="64"/>
        <v>.</v>
      </c>
      <c r="IE37" s="558" t="str">
        <f t="shared" si="64"/>
        <v>.</v>
      </c>
      <c r="IF37" s="558" t="str">
        <f t="shared" si="64"/>
        <v>.</v>
      </c>
      <c r="IG37" s="558" t="str">
        <f t="shared" si="65"/>
        <v>.</v>
      </c>
      <c r="IH37" s="558" t="str">
        <f t="shared" si="65"/>
        <v>.</v>
      </c>
      <c r="II37" s="558" t="str">
        <f t="shared" si="65"/>
        <v>.</v>
      </c>
      <c r="IJ37" s="558" t="str">
        <f t="shared" si="65"/>
        <v>.</v>
      </c>
      <c r="IK37" s="558" t="str">
        <f t="shared" si="65"/>
        <v>.</v>
      </c>
      <c r="IL37" s="558" t="str">
        <f t="shared" si="65"/>
        <v>.</v>
      </c>
      <c r="IM37" s="558" t="str">
        <f t="shared" si="65"/>
        <v>.</v>
      </c>
      <c r="IN37" s="558" t="str">
        <f t="shared" si="65"/>
        <v>.</v>
      </c>
      <c r="IO37" s="558" t="str">
        <f t="shared" si="62"/>
        <v>.</v>
      </c>
      <c r="IP37" s="558" t="str">
        <f t="shared" si="62"/>
        <v>.</v>
      </c>
      <c r="IQ37" s="558" t="str">
        <f t="shared" si="62"/>
        <v>.</v>
      </c>
      <c r="IR37" s="558" t="str">
        <f t="shared" si="62"/>
        <v>.</v>
      </c>
      <c r="IS37" s="558" t="str">
        <f t="shared" si="62"/>
        <v>.</v>
      </c>
      <c r="IT37" s="558" t="str">
        <f t="shared" si="62"/>
        <v>.</v>
      </c>
      <c r="IU37" s="558" t="str">
        <f t="shared" si="62"/>
        <v>.</v>
      </c>
      <c r="IV37" s="558" t="str">
        <f t="shared" si="62"/>
        <v>.</v>
      </c>
      <c r="IW37" s="558" t="str">
        <f t="shared" si="62"/>
        <v>.</v>
      </c>
      <c r="IX37" s="558" t="str">
        <f t="shared" si="62"/>
        <v>.</v>
      </c>
      <c r="IY37" s="558" t="str">
        <f t="shared" si="62"/>
        <v>.</v>
      </c>
      <c r="IZ37" s="558" t="str">
        <f t="shared" si="62"/>
        <v>.</v>
      </c>
      <c r="JA37" s="558" t="str">
        <f t="shared" si="62"/>
        <v>.</v>
      </c>
      <c r="JB37" s="558" t="str">
        <f t="shared" si="62"/>
        <v>.</v>
      </c>
      <c r="JC37" s="558" t="str">
        <f t="shared" si="62"/>
        <v>.</v>
      </c>
      <c r="JD37" s="558" t="str">
        <f t="shared" si="62"/>
        <v>.</v>
      </c>
      <c r="JE37" s="558" t="str">
        <f t="shared" si="62"/>
        <v>.</v>
      </c>
      <c r="JF37" s="558" t="str">
        <f t="shared" si="62"/>
        <v>.</v>
      </c>
      <c r="JG37" s="558" t="str">
        <f t="shared" si="62"/>
        <v>.</v>
      </c>
      <c r="JH37" s="558" t="str">
        <f t="shared" si="70"/>
        <v>.</v>
      </c>
      <c r="JI37" s="558" t="str">
        <f t="shared" si="70"/>
        <v>.</v>
      </c>
      <c r="JJ37" s="558" t="str">
        <f t="shared" si="70"/>
        <v>.</v>
      </c>
      <c r="JK37" s="558" t="str">
        <f t="shared" si="70"/>
        <v>.</v>
      </c>
      <c r="JL37" s="558" t="str">
        <f t="shared" si="70"/>
        <v>.</v>
      </c>
    </row>
    <row r="38" spans="1:272" ht="10.199999999999999" x14ac:dyDescent="0.2">
      <c r="A38" s="534">
        <f xml:space="preserve"> Basis!A38</f>
        <v>38</v>
      </c>
      <c r="F38" s="536">
        <f xml:space="preserve"> ROUND(    IF( $A$15=BE_MF_,   AW38,   INDEX( qx!38:38, F$16 ) ),    F$17    )</f>
        <v>4.0000000000000002E-4</v>
      </c>
      <c r="G38" s="536">
        <f xml:space="preserve"> ROUND(    IF( $A$15=BE_MF_,   BB38,   INDEX( wx!38:38, G$16 ) ),    G$17    )</f>
        <v>3.7100000000000001E-2</v>
      </c>
      <c r="H38" s="537">
        <f xml:space="preserve"> ROUND(    IF( $A$15=BE_MF_,   BG38,   INDEX( Kx!38:38, H$16 ) ),    H$17    )</f>
        <v>2034.22</v>
      </c>
      <c r="I38" s="538">
        <f t="shared" si="55"/>
        <v>2034.22</v>
      </c>
      <c r="J38" s="539">
        <f t="shared" si="17"/>
        <v>0.97899999999999998</v>
      </c>
      <c r="K38" s="540">
        <f t="shared" si="56"/>
        <v>2</v>
      </c>
      <c r="L38" s="541">
        <f t="shared" si="18"/>
        <v>0</v>
      </c>
      <c r="M38" s="541">
        <f t="shared" si="18"/>
        <v>8.5999999999999993E-2</v>
      </c>
      <c r="O38" s="542" t="b">
        <f t="shared" si="57"/>
        <v>1</v>
      </c>
      <c r="P38" s="493">
        <f t="shared" si="19"/>
        <v>3.7499999999999999E-2</v>
      </c>
      <c r="Q38" s="493">
        <f t="shared" si="20"/>
        <v>0.96250000000000002</v>
      </c>
      <c r="R38" s="543">
        <f t="shared" si="21"/>
        <v>945133</v>
      </c>
      <c r="S38" s="544">
        <f t="shared" si="22"/>
        <v>0.97560975599999999</v>
      </c>
      <c r="T38" s="423">
        <f t="shared" si="23"/>
        <v>369816.29</v>
      </c>
      <c r="U38" s="423">
        <f xml:space="preserve"> IF( $O38,    ROUND(  SUM( T38:T$120), U$17 ),  LEER  )</f>
        <v>7194720.9299999997</v>
      </c>
      <c r="V38" s="493">
        <f t="shared" si="24"/>
        <v>19.454899999999999</v>
      </c>
      <c r="W38" s="493">
        <f t="shared" si="25"/>
        <v>362050.15</v>
      </c>
      <c r="X38" s="493">
        <f xml:space="preserve"> IF( $O38,    ROUND(  SUM( W38:W$120), X$17 ),  LEER  )</f>
        <v>14488160.75</v>
      </c>
      <c r="Y38" s="493">
        <f t="shared" si="26"/>
        <v>39.176600000000001</v>
      </c>
      <c r="Z38" s="493">
        <f t="shared" si="27"/>
        <v>2.0137</v>
      </c>
      <c r="AA38" s="493">
        <f t="shared" si="28"/>
        <v>1.0095000000000001</v>
      </c>
      <c r="AB38" s="493">
        <f t="shared" si="29"/>
        <v>2.3494000000000002</v>
      </c>
      <c r="AC38" s="545">
        <f t="shared" si="30"/>
        <v>0.38600000000000001</v>
      </c>
      <c r="AD38" s="493">
        <f t="shared" si="31"/>
        <v>2.0365000000000002</v>
      </c>
      <c r="AE38" s="493">
        <f t="shared" si="32"/>
        <v>2.6503999999999999</v>
      </c>
      <c r="AF38" s="493">
        <f t="shared" si="33"/>
        <v>2.6503999999999999</v>
      </c>
      <c r="AG38" s="493" t="str">
        <f t="shared" si="34"/>
        <v>.</v>
      </c>
      <c r="AH38" s="493" t="str">
        <f t="shared" si="35"/>
        <v>.</v>
      </c>
      <c r="AI38" s="423">
        <f t="shared" si="36"/>
        <v>2077.79</v>
      </c>
      <c r="AJ38" s="423">
        <f t="shared" si="37"/>
        <v>5506.97</v>
      </c>
      <c r="AK38" s="423">
        <f t="shared" si="38"/>
        <v>458.91</v>
      </c>
      <c r="AN38" s="423">
        <f t="shared" si="39"/>
        <v>6452.1</v>
      </c>
      <c r="AO38" s="423">
        <f t="shared" si="39"/>
        <v>5554.7</v>
      </c>
      <c r="AR38" s="546">
        <f xml:space="preserve"> ROUND(  INDEX( Kx!38:38, AR$16 ),  AR$17 )</f>
        <v>0.78149999999999997</v>
      </c>
      <c r="AS38" s="547">
        <f xml:space="preserve"> ROUND(  INDEX( qx!38:38, AS$16 ),  AS$17 )</f>
        <v>4.0000000000000002E-4</v>
      </c>
      <c r="AT38" s="547">
        <f xml:space="preserve"> ROUND(  INDEX( qx!38:38, AT$16 ),  AT$17 )</f>
        <v>2.9999999999999997E-4</v>
      </c>
      <c r="AU38" s="548" t="str">
        <f t="shared" si="40"/>
        <v>F</v>
      </c>
      <c r="AV38" s="542">
        <f t="shared" si="41"/>
        <v>0.70450000000000002</v>
      </c>
      <c r="AW38" s="542">
        <f t="shared" si="42"/>
        <v>4.0000000000000002E-4</v>
      </c>
      <c r="AX38" s="546">
        <f xml:space="preserve"> ROUND(  INDEX( wx!38:38, AX$16 ),  AX$17 )</f>
        <v>3.44E-2</v>
      </c>
      <c r="AY38" s="546">
        <f xml:space="preserve"> ROUND(  INDEX( wx!38:38, AY$16 ),  AY$17 )</f>
        <v>5.1700000000000003E-2</v>
      </c>
      <c r="AZ38" s="548" t="str">
        <f t="shared" si="43"/>
        <v>M</v>
      </c>
      <c r="BA38" s="542">
        <f t="shared" si="44"/>
        <v>0.84289999999999998</v>
      </c>
      <c r="BB38" s="542">
        <f t="shared" si="45"/>
        <v>3.7100000000000001E-2</v>
      </c>
      <c r="BC38" s="533">
        <f xml:space="preserve"> ROUND(  INDEX( Kx!38:38, BC$16 ),  BC$17 )</f>
        <v>1594.24</v>
      </c>
      <c r="BD38" s="533">
        <f xml:space="preserve"> ROUND(  INDEX( Kx!38:38, BD$16 ),  BD$17 )</f>
        <v>3083.16</v>
      </c>
      <c r="BE38" s="548" t="str">
        <f t="shared" si="58"/>
        <v>F</v>
      </c>
      <c r="BF38" s="542">
        <f t="shared" si="46"/>
        <v>0.70450000000000002</v>
      </c>
      <c r="BG38" s="420">
        <f t="shared" si="47"/>
        <v>2034.22</v>
      </c>
      <c r="BQ38" s="549"/>
      <c r="BR38" s="423"/>
      <c r="BS38" s="550"/>
      <c r="BT38" s="423"/>
      <c r="BU38" s="551"/>
      <c r="BV38" s="551"/>
      <c r="BW38" s="529"/>
      <c r="BX38" s="552"/>
      <c r="BY38" s="560"/>
      <c r="BZ38" s="559"/>
      <c r="CB38" s="423"/>
      <c r="CC38" s="423"/>
      <c r="CD38" s="423"/>
      <c r="CE38" s="423"/>
      <c r="CF38" s="553"/>
      <c r="CH38" s="423"/>
      <c r="CI38" s="423"/>
      <c r="CJ38" s="423"/>
      <c r="CK38" s="423"/>
      <c r="CL38" s="553"/>
      <c r="CN38" s="423"/>
      <c r="CO38" s="423"/>
      <c r="CP38" s="423"/>
      <c r="CQ38" s="423"/>
      <c r="CR38" s="553"/>
      <c r="EI38" s="553"/>
      <c r="EJ38" s="553"/>
      <c r="EK38" s="423"/>
      <c r="EL38" s="555"/>
      <c r="ES38" s="533"/>
      <c r="ET38" s="533"/>
      <c r="EU38" s="533"/>
      <c r="EV38" s="556"/>
      <c r="EY38" s="533"/>
      <c r="EZ38" s="533"/>
      <c r="FA38" s="556"/>
      <c r="FD38" s="556"/>
      <c r="FE38" s="556"/>
      <c r="FF38" s="556"/>
      <c r="FK38" s="557">
        <f t="shared" si="48"/>
        <v>38</v>
      </c>
      <c r="FL38" s="493">
        <f t="shared" si="59"/>
        <v>39.176600000000001</v>
      </c>
      <c r="FM38" s="493">
        <f t="shared" si="60"/>
        <v>19.454899999999999</v>
      </c>
      <c r="FO38" s="427">
        <f t="shared" si="61"/>
        <v>320105.7099999999</v>
      </c>
      <c r="FP38" s="558">
        <f t="shared" si="67"/>
        <v>32876.74</v>
      </c>
      <c r="FQ38" s="558">
        <f t="shared" si="67"/>
        <v>31239.599999999999</v>
      </c>
      <c r="FR38" s="558">
        <f t="shared" si="67"/>
        <v>29598.42</v>
      </c>
      <c r="FS38" s="558">
        <f t="shared" si="67"/>
        <v>27957.24</v>
      </c>
      <c r="FT38" s="558">
        <f t="shared" si="67"/>
        <v>26259.47</v>
      </c>
      <c r="FU38" s="558">
        <f t="shared" si="67"/>
        <v>24513.18</v>
      </c>
      <c r="FV38" s="558">
        <f t="shared" si="67"/>
        <v>22783.07</v>
      </c>
      <c r="FW38" s="558">
        <f t="shared" si="67"/>
        <v>21040.83</v>
      </c>
      <c r="FX38" s="558">
        <f t="shared" si="67"/>
        <v>19237.96</v>
      </c>
      <c r="FY38" s="558">
        <f t="shared" si="67"/>
        <v>17362.32</v>
      </c>
      <c r="FZ38" s="558">
        <f t="shared" si="66"/>
        <v>15474.56</v>
      </c>
      <c r="GA38" s="558">
        <f t="shared" si="66"/>
        <v>13558.5</v>
      </c>
      <c r="GB38" s="558">
        <f t="shared" si="66"/>
        <v>11597.97</v>
      </c>
      <c r="GC38" s="558">
        <f t="shared" si="66"/>
        <v>9629.36</v>
      </c>
      <c r="GD38" s="558">
        <f t="shared" si="66"/>
        <v>7600.12</v>
      </c>
      <c r="GE38" s="558">
        <f t="shared" si="66"/>
        <v>5554.7</v>
      </c>
      <c r="GF38" s="558">
        <f t="shared" si="66"/>
        <v>3448.66</v>
      </c>
      <c r="GG38" s="558">
        <f t="shared" si="66"/>
        <v>1294.0999999999999</v>
      </c>
      <c r="GH38" s="558">
        <f t="shared" si="66"/>
        <v>-921.09</v>
      </c>
      <c r="GI38" s="558" t="str">
        <f t="shared" si="66"/>
        <v>.</v>
      </c>
      <c r="GJ38" s="558" t="str">
        <f t="shared" si="66"/>
        <v>.</v>
      </c>
      <c r="GK38" s="558" t="str">
        <f t="shared" si="66"/>
        <v>.</v>
      </c>
      <c r="GL38" s="558" t="str">
        <f t="shared" si="66"/>
        <v>.</v>
      </c>
      <c r="GM38" s="558" t="str">
        <f t="shared" si="66"/>
        <v>.</v>
      </c>
      <c r="GN38" s="558" t="str">
        <f t="shared" si="66"/>
        <v>.</v>
      </c>
      <c r="GO38" s="558" t="str">
        <f t="shared" si="66"/>
        <v>.</v>
      </c>
      <c r="GP38" s="558" t="str">
        <f t="shared" si="68"/>
        <v>.</v>
      </c>
      <c r="GQ38" s="558" t="str">
        <f t="shared" si="68"/>
        <v>.</v>
      </c>
      <c r="GR38" s="558" t="str">
        <f t="shared" si="68"/>
        <v>.</v>
      </c>
      <c r="GS38" s="558" t="str">
        <f t="shared" si="68"/>
        <v>.</v>
      </c>
      <c r="GT38" s="558" t="str">
        <f t="shared" si="68"/>
        <v>.</v>
      </c>
      <c r="GU38" s="558" t="str">
        <f t="shared" si="68"/>
        <v>.</v>
      </c>
      <c r="GV38" s="558" t="str">
        <f t="shared" si="68"/>
        <v>.</v>
      </c>
      <c r="GW38" s="558" t="str">
        <f t="shared" si="68"/>
        <v>.</v>
      </c>
      <c r="GX38" s="558" t="str">
        <f t="shared" si="68"/>
        <v>.</v>
      </c>
      <c r="GY38" s="558" t="str">
        <f t="shared" si="68"/>
        <v>.</v>
      </c>
      <c r="GZ38" s="558" t="str">
        <f t="shared" si="68"/>
        <v>.</v>
      </c>
      <c r="HA38" s="558" t="str">
        <f t="shared" si="68"/>
        <v>.</v>
      </c>
      <c r="HB38" s="558" t="str">
        <f t="shared" si="68"/>
        <v>.</v>
      </c>
      <c r="HC38" s="558" t="str">
        <f t="shared" si="68"/>
        <v>.</v>
      </c>
      <c r="HD38" s="558" t="str">
        <f t="shared" si="68"/>
        <v>.</v>
      </c>
      <c r="HE38" s="558" t="str">
        <f t="shared" si="68"/>
        <v>.</v>
      </c>
      <c r="HF38" s="558" t="str">
        <f t="shared" si="69"/>
        <v>.</v>
      </c>
      <c r="HG38" s="558" t="str">
        <f t="shared" si="69"/>
        <v>.</v>
      </c>
      <c r="HH38" s="558" t="str">
        <f t="shared" si="69"/>
        <v>.</v>
      </c>
      <c r="HI38" s="558" t="str">
        <f t="shared" si="69"/>
        <v>.</v>
      </c>
      <c r="HJ38" s="558" t="str">
        <f t="shared" si="69"/>
        <v>.</v>
      </c>
      <c r="HK38" s="558" t="str">
        <f t="shared" si="69"/>
        <v>.</v>
      </c>
      <c r="HL38" s="558" t="str">
        <f t="shared" si="69"/>
        <v>.</v>
      </c>
      <c r="HM38" s="558" t="str">
        <f t="shared" si="69"/>
        <v>.</v>
      </c>
      <c r="HN38" s="558" t="str">
        <f t="shared" si="69"/>
        <v>.</v>
      </c>
      <c r="HO38" s="558" t="str">
        <f t="shared" si="69"/>
        <v>.</v>
      </c>
      <c r="HP38" s="558" t="str">
        <f t="shared" si="64"/>
        <v>.</v>
      </c>
      <c r="HQ38" s="558" t="str">
        <f t="shared" si="64"/>
        <v>.</v>
      </c>
      <c r="HR38" s="558" t="str">
        <f t="shared" si="64"/>
        <v>.</v>
      </c>
      <c r="HS38" s="558" t="str">
        <f t="shared" si="64"/>
        <v>.</v>
      </c>
      <c r="HT38" s="558" t="str">
        <f t="shared" si="64"/>
        <v>.</v>
      </c>
      <c r="HU38" s="558" t="str">
        <f t="shared" si="64"/>
        <v>.</v>
      </c>
      <c r="HV38" s="558" t="str">
        <f t="shared" si="64"/>
        <v>.</v>
      </c>
      <c r="HW38" s="558" t="str">
        <f t="shared" si="64"/>
        <v>.</v>
      </c>
      <c r="HX38" s="558" t="str">
        <f t="shared" si="64"/>
        <v>.</v>
      </c>
      <c r="HY38" s="558" t="str">
        <f t="shared" si="64"/>
        <v>.</v>
      </c>
      <c r="HZ38" s="558" t="str">
        <f t="shared" si="64"/>
        <v>.</v>
      </c>
      <c r="IA38" s="558" t="str">
        <f t="shared" si="64"/>
        <v>.</v>
      </c>
      <c r="IB38" s="558" t="str">
        <f t="shared" si="64"/>
        <v>.</v>
      </c>
      <c r="IC38" s="558" t="str">
        <f t="shared" si="64"/>
        <v>.</v>
      </c>
      <c r="ID38" s="558" t="str">
        <f t="shared" si="64"/>
        <v>.</v>
      </c>
      <c r="IE38" s="558" t="str">
        <f t="shared" si="64"/>
        <v>.</v>
      </c>
      <c r="IF38" s="558" t="str">
        <f t="shared" si="64"/>
        <v>.</v>
      </c>
      <c r="IG38" s="558" t="str">
        <f t="shared" si="65"/>
        <v>.</v>
      </c>
      <c r="IH38" s="558" t="str">
        <f t="shared" si="65"/>
        <v>.</v>
      </c>
      <c r="II38" s="558" t="str">
        <f t="shared" si="65"/>
        <v>.</v>
      </c>
      <c r="IJ38" s="558" t="str">
        <f t="shared" si="65"/>
        <v>.</v>
      </c>
      <c r="IK38" s="558" t="str">
        <f t="shared" si="65"/>
        <v>.</v>
      </c>
      <c r="IL38" s="558" t="str">
        <f t="shared" si="65"/>
        <v>.</v>
      </c>
      <c r="IM38" s="558" t="str">
        <f t="shared" si="65"/>
        <v>.</v>
      </c>
      <c r="IN38" s="558" t="str">
        <f t="shared" si="65"/>
        <v>.</v>
      </c>
      <c r="IO38" s="558" t="str">
        <f t="shared" si="62"/>
        <v>.</v>
      </c>
      <c r="IP38" s="558" t="str">
        <f t="shared" si="62"/>
        <v>.</v>
      </c>
      <c r="IQ38" s="558" t="str">
        <f t="shared" si="62"/>
        <v>.</v>
      </c>
      <c r="IR38" s="558" t="str">
        <f t="shared" si="62"/>
        <v>.</v>
      </c>
      <c r="IS38" s="558" t="str">
        <f t="shared" si="62"/>
        <v>.</v>
      </c>
      <c r="IT38" s="558" t="str">
        <f t="shared" si="62"/>
        <v>.</v>
      </c>
      <c r="IU38" s="558" t="str">
        <f t="shared" si="62"/>
        <v>.</v>
      </c>
      <c r="IV38" s="558" t="str">
        <f t="shared" si="62"/>
        <v>.</v>
      </c>
      <c r="IW38" s="558" t="str">
        <f t="shared" si="62"/>
        <v>.</v>
      </c>
      <c r="IX38" s="558" t="str">
        <f t="shared" si="62"/>
        <v>.</v>
      </c>
      <c r="IY38" s="558" t="str">
        <f t="shared" si="62"/>
        <v>.</v>
      </c>
      <c r="IZ38" s="558" t="str">
        <f t="shared" si="62"/>
        <v>.</v>
      </c>
      <c r="JA38" s="558" t="str">
        <f t="shared" si="62"/>
        <v>.</v>
      </c>
      <c r="JB38" s="558" t="str">
        <f t="shared" si="62"/>
        <v>.</v>
      </c>
      <c r="JC38" s="558" t="str">
        <f t="shared" si="62"/>
        <v>.</v>
      </c>
      <c r="JD38" s="558" t="str">
        <f t="shared" si="62"/>
        <v>.</v>
      </c>
      <c r="JE38" s="558" t="str">
        <f t="shared" si="62"/>
        <v>.</v>
      </c>
      <c r="JF38" s="558" t="str">
        <f t="shared" si="62"/>
        <v>.</v>
      </c>
      <c r="JG38" s="558" t="str">
        <f t="shared" si="62"/>
        <v>.</v>
      </c>
      <c r="JH38" s="558" t="str">
        <f t="shared" si="70"/>
        <v>.</v>
      </c>
      <c r="JI38" s="558" t="str">
        <f t="shared" si="70"/>
        <v>.</v>
      </c>
      <c r="JJ38" s="558" t="str">
        <f t="shared" si="70"/>
        <v>.</v>
      </c>
      <c r="JK38" s="558" t="str">
        <f t="shared" si="70"/>
        <v>.</v>
      </c>
      <c r="JL38" s="558" t="str">
        <f t="shared" si="70"/>
        <v>.</v>
      </c>
    </row>
    <row r="39" spans="1:272" ht="10.199999999999999" x14ac:dyDescent="0.2">
      <c r="A39" s="534">
        <f xml:space="preserve"> Basis!A39</f>
        <v>39</v>
      </c>
      <c r="F39" s="536">
        <f xml:space="preserve"> ROUND(    IF( $A$15=BE_MF_,   AW39,   INDEX( qx!39:39, F$16 ) ),    F$17    )</f>
        <v>4.0000000000000002E-4</v>
      </c>
      <c r="G39" s="536">
        <f xml:space="preserve"> ROUND(    IF( $A$15=BE_MF_,   BB39,   INDEX( wx!39:39, G$16 ) ),    G$17    )</f>
        <v>3.4200000000000001E-2</v>
      </c>
      <c r="H39" s="537">
        <f xml:space="preserve"> ROUND(    IF( $A$15=BE_MF_,   BG39,   INDEX( Kx!39:39, H$16 ) ),    H$17    )</f>
        <v>2059.65</v>
      </c>
      <c r="I39" s="538">
        <f t="shared" si="55"/>
        <v>2059.65</v>
      </c>
      <c r="J39" s="539">
        <f t="shared" si="17"/>
        <v>0.99099999999999999</v>
      </c>
      <c r="K39" s="540">
        <f t="shared" si="56"/>
        <v>2</v>
      </c>
      <c r="L39" s="541">
        <f t="shared" si="18"/>
        <v>0</v>
      </c>
      <c r="M39" s="541">
        <f t="shared" si="18"/>
        <v>8.5999999999999993E-2</v>
      </c>
      <c r="O39" s="542" t="b">
        <f t="shared" si="57"/>
        <v>1</v>
      </c>
      <c r="P39" s="493">
        <f t="shared" si="19"/>
        <v>3.4599999999999999E-2</v>
      </c>
      <c r="Q39" s="493">
        <f t="shared" si="20"/>
        <v>0.96540000000000004</v>
      </c>
      <c r="R39" s="543">
        <f t="shared" si="21"/>
        <v>909690</v>
      </c>
      <c r="S39" s="544">
        <f t="shared" si="22"/>
        <v>0.97560975599999999</v>
      </c>
      <c r="T39" s="423">
        <f t="shared" si="23"/>
        <v>347266.32</v>
      </c>
      <c r="U39" s="423">
        <f xml:space="preserve"> IF( $O39,    ROUND(  SUM( T39:T$120), U$17 ),  LEER  )</f>
        <v>6824904.6399999997</v>
      </c>
      <c r="V39" s="493">
        <f t="shared" si="24"/>
        <v>19.653199999999998</v>
      </c>
      <c r="W39" s="493">
        <f t="shared" si="25"/>
        <v>344140.92</v>
      </c>
      <c r="X39" s="493">
        <f xml:space="preserve"> IF( $O39,    ROUND(  SUM( W39:W$120), X$17 ),  LEER  )</f>
        <v>14126110.6</v>
      </c>
      <c r="Y39" s="493">
        <f t="shared" si="26"/>
        <v>40.677999999999997</v>
      </c>
      <c r="Z39" s="493">
        <f t="shared" si="27"/>
        <v>2.0697999999999999</v>
      </c>
      <c r="AA39" s="493">
        <f t="shared" si="28"/>
        <v>1.0094000000000001</v>
      </c>
      <c r="AB39" s="493">
        <f t="shared" si="29"/>
        <v>2.3494000000000002</v>
      </c>
      <c r="AC39" s="545">
        <f t="shared" si="30"/>
        <v>0.38600000000000001</v>
      </c>
      <c r="AD39" s="493">
        <f t="shared" si="31"/>
        <v>2.0929000000000002</v>
      </c>
      <c r="AE39" s="493">
        <f t="shared" si="32"/>
        <v>2.7121</v>
      </c>
      <c r="AF39" s="493">
        <f t="shared" si="33"/>
        <v>2.7121</v>
      </c>
      <c r="AG39" s="493" t="str">
        <f t="shared" si="34"/>
        <v>.</v>
      </c>
      <c r="AH39" s="493" t="str">
        <f t="shared" si="35"/>
        <v>.</v>
      </c>
      <c r="AI39" s="423">
        <f t="shared" si="36"/>
        <v>2077.79</v>
      </c>
      <c r="AJ39" s="423">
        <f t="shared" si="37"/>
        <v>5635.17</v>
      </c>
      <c r="AK39" s="423">
        <f t="shared" si="38"/>
        <v>469.6</v>
      </c>
      <c r="AN39" s="423">
        <f t="shared" si="39"/>
        <v>8807.76</v>
      </c>
      <c r="AO39" s="423">
        <f t="shared" si="39"/>
        <v>7901.21</v>
      </c>
      <c r="AR39" s="546">
        <f xml:space="preserve"> ROUND(  INDEX( Kx!39:39, AR$16 ),  AR$17 )</f>
        <v>0.78280000000000005</v>
      </c>
      <c r="AS39" s="547">
        <f xml:space="preserve"> ROUND(  INDEX( qx!39:39, AS$16 ),  AS$17 )</f>
        <v>4.0000000000000002E-4</v>
      </c>
      <c r="AT39" s="547">
        <f xml:space="preserve"> ROUND(  INDEX( qx!39:39, AT$16 ),  AT$17 )</f>
        <v>2.9999999999999997E-4</v>
      </c>
      <c r="AU39" s="548" t="str">
        <f t="shared" si="40"/>
        <v>F</v>
      </c>
      <c r="AV39" s="542">
        <f t="shared" si="41"/>
        <v>0.70609999999999995</v>
      </c>
      <c r="AW39" s="542">
        <f t="shared" si="42"/>
        <v>4.0000000000000002E-4</v>
      </c>
      <c r="AX39" s="546">
        <f xml:space="preserve"> ROUND(  INDEX( wx!39:39, AX$16 ),  AX$17 )</f>
        <v>3.1699999999999999E-2</v>
      </c>
      <c r="AY39" s="546">
        <f xml:space="preserve"> ROUND(  INDEX( wx!39:39, AY$16 ),  AY$17 )</f>
        <v>4.8000000000000001E-2</v>
      </c>
      <c r="AZ39" s="548" t="str">
        <f t="shared" si="43"/>
        <v>M</v>
      </c>
      <c r="BA39" s="542">
        <f t="shared" si="44"/>
        <v>0.84389999999999998</v>
      </c>
      <c r="BB39" s="542">
        <f t="shared" si="45"/>
        <v>3.4200000000000001E-2</v>
      </c>
      <c r="BC39" s="533">
        <f xml:space="preserve"> ROUND(  INDEX( Kx!39:39, BC$16 ),  BC$17 )</f>
        <v>1650.38</v>
      </c>
      <c r="BD39" s="533">
        <f xml:space="preserve"> ROUND(  INDEX( Kx!39:39, BD$16 ),  BD$17 )</f>
        <v>3042.93</v>
      </c>
      <c r="BE39" s="548" t="str">
        <f t="shared" si="58"/>
        <v>F</v>
      </c>
      <c r="BF39" s="542">
        <f t="shared" si="46"/>
        <v>0.70609999999999995</v>
      </c>
      <c r="BG39" s="420">
        <f t="shared" si="47"/>
        <v>2059.65</v>
      </c>
      <c r="BQ39" s="549"/>
      <c r="BR39" s="423"/>
      <c r="BS39" s="550"/>
      <c r="BT39" s="423"/>
      <c r="BU39" s="551"/>
      <c r="BV39" s="551"/>
      <c r="BW39" s="529"/>
      <c r="BX39" s="552"/>
      <c r="BY39" s="560"/>
      <c r="BZ39" s="559"/>
      <c r="CB39" s="423"/>
      <c r="CC39" s="423"/>
      <c r="CD39" s="423"/>
      <c r="CE39" s="423"/>
      <c r="CF39" s="553"/>
      <c r="CH39" s="423"/>
      <c r="CI39" s="423"/>
      <c r="CJ39" s="423"/>
      <c r="CK39" s="423"/>
      <c r="CL39" s="553"/>
      <c r="CN39" s="423"/>
      <c r="CO39" s="423"/>
      <c r="CP39" s="423"/>
      <c r="CQ39" s="423"/>
      <c r="CR39" s="553"/>
      <c r="EI39" s="553"/>
      <c r="EJ39" s="553"/>
      <c r="EK39" s="423"/>
      <c r="EL39" s="555"/>
      <c r="ES39" s="533"/>
      <c r="ET39" s="533"/>
      <c r="EU39" s="533"/>
      <c r="EV39" s="556"/>
      <c r="EY39" s="533"/>
      <c r="EZ39" s="533"/>
      <c r="FA39" s="556"/>
      <c r="FD39" s="556"/>
      <c r="FE39" s="556"/>
      <c r="FF39" s="556"/>
      <c r="FK39" s="557">
        <f t="shared" si="48"/>
        <v>39</v>
      </c>
      <c r="FL39" s="493">
        <f t="shared" si="59"/>
        <v>40.677999999999997</v>
      </c>
      <c r="FM39" s="493">
        <f t="shared" si="60"/>
        <v>19.653199999999998</v>
      </c>
      <c r="FO39" s="427">
        <f t="shared" si="61"/>
        <v>365932.71</v>
      </c>
      <c r="FP39" s="558">
        <f t="shared" si="67"/>
        <v>35501.74</v>
      </c>
      <c r="FQ39" s="558">
        <f t="shared" si="67"/>
        <v>33847.910000000003</v>
      </c>
      <c r="FR39" s="558">
        <f t="shared" si="67"/>
        <v>32190</v>
      </c>
      <c r="FS39" s="558">
        <f t="shared" si="67"/>
        <v>30532.09</v>
      </c>
      <c r="FT39" s="558">
        <f t="shared" si="67"/>
        <v>28817.01</v>
      </c>
      <c r="FU39" s="558">
        <f t="shared" si="67"/>
        <v>27052.93</v>
      </c>
      <c r="FV39" s="558">
        <f t="shared" si="67"/>
        <v>25305.19</v>
      </c>
      <c r="FW39" s="558">
        <f t="shared" si="67"/>
        <v>23545.19</v>
      </c>
      <c r="FX39" s="558">
        <f t="shared" si="67"/>
        <v>21723.94</v>
      </c>
      <c r="FY39" s="558">
        <f t="shared" si="67"/>
        <v>19829.18</v>
      </c>
      <c r="FZ39" s="558">
        <f t="shared" si="66"/>
        <v>17922.18</v>
      </c>
      <c r="GA39" s="558">
        <f t="shared" si="66"/>
        <v>15986.59</v>
      </c>
      <c r="GB39" s="558">
        <f t="shared" si="66"/>
        <v>14006.08</v>
      </c>
      <c r="GC39" s="558">
        <f t="shared" si="66"/>
        <v>12017.4</v>
      </c>
      <c r="GD39" s="558">
        <f t="shared" si="66"/>
        <v>9967.48</v>
      </c>
      <c r="GE39" s="558">
        <f t="shared" si="66"/>
        <v>7901.21</v>
      </c>
      <c r="GF39" s="558">
        <f t="shared" si="66"/>
        <v>5773.7</v>
      </c>
      <c r="GG39" s="558">
        <f t="shared" si="66"/>
        <v>3597.18</v>
      </c>
      <c r="GH39" s="558">
        <f t="shared" si="66"/>
        <v>1359.41</v>
      </c>
      <c r="GI39" s="558">
        <f t="shared" si="66"/>
        <v>-943.7</v>
      </c>
      <c r="GJ39" s="558" t="str">
        <f t="shared" si="66"/>
        <v>.</v>
      </c>
      <c r="GK39" s="558" t="str">
        <f t="shared" si="66"/>
        <v>.</v>
      </c>
      <c r="GL39" s="558" t="str">
        <f t="shared" si="66"/>
        <v>.</v>
      </c>
      <c r="GM39" s="558" t="str">
        <f t="shared" si="66"/>
        <v>.</v>
      </c>
      <c r="GN39" s="558" t="str">
        <f t="shared" si="66"/>
        <v>.</v>
      </c>
      <c r="GO39" s="558" t="str">
        <f t="shared" si="66"/>
        <v>.</v>
      </c>
      <c r="GP39" s="558" t="str">
        <f t="shared" si="68"/>
        <v>.</v>
      </c>
      <c r="GQ39" s="558" t="str">
        <f t="shared" si="68"/>
        <v>.</v>
      </c>
      <c r="GR39" s="558" t="str">
        <f t="shared" si="68"/>
        <v>.</v>
      </c>
      <c r="GS39" s="558" t="str">
        <f t="shared" si="68"/>
        <v>.</v>
      </c>
      <c r="GT39" s="558" t="str">
        <f t="shared" si="68"/>
        <v>.</v>
      </c>
      <c r="GU39" s="558" t="str">
        <f t="shared" si="68"/>
        <v>.</v>
      </c>
      <c r="GV39" s="558" t="str">
        <f t="shared" si="68"/>
        <v>.</v>
      </c>
      <c r="GW39" s="558" t="str">
        <f t="shared" si="68"/>
        <v>.</v>
      </c>
      <c r="GX39" s="558" t="str">
        <f t="shared" si="68"/>
        <v>.</v>
      </c>
      <c r="GY39" s="558" t="str">
        <f t="shared" si="68"/>
        <v>.</v>
      </c>
      <c r="GZ39" s="558" t="str">
        <f t="shared" si="68"/>
        <v>.</v>
      </c>
      <c r="HA39" s="558" t="str">
        <f t="shared" si="68"/>
        <v>.</v>
      </c>
      <c r="HB39" s="558" t="str">
        <f t="shared" si="68"/>
        <v>.</v>
      </c>
      <c r="HC39" s="558" t="str">
        <f t="shared" si="68"/>
        <v>.</v>
      </c>
      <c r="HD39" s="558" t="str">
        <f t="shared" si="68"/>
        <v>.</v>
      </c>
      <c r="HE39" s="558" t="str">
        <f t="shared" si="68"/>
        <v>.</v>
      </c>
      <c r="HF39" s="558" t="str">
        <f t="shared" si="69"/>
        <v>.</v>
      </c>
      <c r="HG39" s="558" t="str">
        <f t="shared" si="69"/>
        <v>.</v>
      </c>
      <c r="HH39" s="558" t="str">
        <f t="shared" si="69"/>
        <v>.</v>
      </c>
      <c r="HI39" s="558" t="str">
        <f t="shared" si="69"/>
        <v>.</v>
      </c>
      <c r="HJ39" s="558" t="str">
        <f t="shared" si="69"/>
        <v>.</v>
      </c>
      <c r="HK39" s="558" t="str">
        <f t="shared" si="69"/>
        <v>.</v>
      </c>
      <c r="HL39" s="558" t="str">
        <f t="shared" si="69"/>
        <v>.</v>
      </c>
      <c r="HM39" s="558" t="str">
        <f t="shared" si="69"/>
        <v>.</v>
      </c>
      <c r="HN39" s="558" t="str">
        <f t="shared" si="69"/>
        <v>.</v>
      </c>
      <c r="HO39" s="558" t="str">
        <f t="shared" si="69"/>
        <v>.</v>
      </c>
      <c r="HP39" s="558" t="str">
        <f t="shared" si="64"/>
        <v>.</v>
      </c>
      <c r="HQ39" s="558" t="str">
        <f t="shared" si="64"/>
        <v>.</v>
      </c>
      <c r="HR39" s="558" t="str">
        <f t="shared" si="64"/>
        <v>.</v>
      </c>
      <c r="HS39" s="558" t="str">
        <f t="shared" si="64"/>
        <v>.</v>
      </c>
      <c r="HT39" s="558" t="str">
        <f t="shared" si="64"/>
        <v>.</v>
      </c>
      <c r="HU39" s="558" t="str">
        <f t="shared" si="64"/>
        <v>.</v>
      </c>
      <c r="HV39" s="558" t="str">
        <f t="shared" si="64"/>
        <v>.</v>
      </c>
      <c r="HW39" s="558" t="str">
        <f t="shared" si="64"/>
        <v>.</v>
      </c>
      <c r="HX39" s="558" t="str">
        <f t="shared" si="64"/>
        <v>.</v>
      </c>
      <c r="HY39" s="558" t="str">
        <f t="shared" si="64"/>
        <v>.</v>
      </c>
      <c r="HZ39" s="558" t="str">
        <f t="shared" si="64"/>
        <v>.</v>
      </c>
      <c r="IA39" s="558" t="str">
        <f t="shared" si="64"/>
        <v>.</v>
      </c>
      <c r="IB39" s="558" t="str">
        <f t="shared" si="64"/>
        <v>.</v>
      </c>
      <c r="IC39" s="558" t="str">
        <f t="shared" si="64"/>
        <v>.</v>
      </c>
      <c r="ID39" s="558" t="str">
        <f t="shared" si="64"/>
        <v>.</v>
      </c>
      <c r="IE39" s="558" t="str">
        <f t="shared" si="64"/>
        <v>.</v>
      </c>
      <c r="IF39" s="558" t="str">
        <f t="shared" si="64"/>
        <v>.</v>
      </c>
      <c r="IG39" s="558" t="str">
        <f t="shared" si="65"/>
        <v>.</v>
      </c>
      <c r="IH39" s="558" t="str">
        <f t="shared" si="65"/>
        <v>.</v>
      </c>
      <c r="II39" s="558" t="str">
        <f t="shared" si="65"/>
        <v>.</v>
      </c>
      <c r="IJ39" s="558" t="str">
        <f t="shared" si="65"/>
        <v>.</v>
      </c>
      <c r="IK39" s="558" t="str">
        <f t="shared" si="65"/>
        <v>.</v>
      </c>
      <c r="IL39" s="558" t="str">
        <f t="shared" si="65"/>
        <v>.</v>
      </c>
      <c r="IM39" s="558" t="str">
        <f t="shared" si="65"/>
        <v>.</v>
      </c>
      <c r="IN39" s="558" t="str">
        <f t="shared" si="65"/>
        <v>.</v>
      </c>
      <c r="IO39" s="558" t="str">
        <f t="shared" si="62"/>
        <v>.</v>
      </c>
      <c r="IP39" s="558" t="str">
        <f t="shared" si="62"/>
        <v>.</v>
      </c>
      <c r="IQ39" s="558" t="str">
        <f t="shared" si="62"/>
        <v>.</v>
      </c>
      <c r="IR39" s="558" t="str">
        <f t="shared" si="62"/>
        <v>.</v>
      </c>
      <c r="IS39" s="558" t="str">
        <f t="shared" si="62"/>
        <v>.</v>
      </c>
      <c r="IT39" s="558" t="str">
        <f t="shared" si="62"/>
        <v>.</v>
      </c>
      <c r="IU39" s="558" t="str">
        <f t="shared" si="62"/>
        <v>.</v>
      </c>
      <c r="IV39" s="558" t="str">
        <f t="shared" si="62"/>
        <v>.</v>
      </c>
      <c r="IW39" s="558" t="str">
        <f t="shared" si="62"/>
        <v>.</v>
      </c>
      <c r="IX39" s="558" t="str">
        <f t="shared" si="62"/>
        <v>.</v>
      </c>
      <c r="IY39" s="558" t="str">
        <f t="shared" si="62"/>
        <v>.</v>
      </c>
      <c r="IZ39" s="558" t="str">
        <f t="shared" si="62"/>
        <v>.</v>
      </c>
      <c r="JA39" s="558" t="str">
        <f t="shared" si="62"/>
        <v>.</v>
      </c>
      <c r="JB39" s="558" t="str">
        <f t="shared" si="62"/>
        <v>.</v>
      </c>
      <c r="JC39" s="558" t="str">
        <f t="shared" si="62"/>
        <v>.</v>
      </c>
      <c r="JD39" s="558" t="str">
        <f t="shared" si="62"/>
        <v>.</v>
      </c>
      <c r="JE39" s="558" t="str">
        <f t="shared" si="62"/>
        <v>.</v>
      </c>
      <c r="JF39" s="558" t="str">
        <f t="shared" si="62"/>
        <v>.</v>
      </c>
      <c r="JG39" s="558" t="str">
        <f t="shared" si="62"/>
        <v>.</v>
      </c>
      <c r="JH39" s="558" t="str">
        <f t="shared" si="70"/>
        <v>.</v>
      </c>
      <c r="JI39" s="558" t="str">
        <f t="shared" si="70"/>
        <v>.</v>
      </c>
      <c r="JJ39" s="558" t="str">
        <f t="shared" si="70"/>
        <v>.</v>
      </c>
      <c r="JK39" s="558" t="str">
        <f t="shared" si="70"/>
        <v>.</v>
      </c>
      <c r="JL39" s="558" t="str">
        <f t="shared" si="70"/>
        <v>.</v>
      </c>
    </row>
    <row r="40" spans="1:272" ht="10.199999999999999" x14ac:dyDescent="0.2">
      <c r="A40" s="534">
        <f xml:space="preserve"> Basis!A40</f>
        <v>40</v>
      </c>
      <c r="F40" s="536">
        <f xml:space="preserve"> ROUND(    IF( $A$15=BE_MF_,   AW40,   INDEX( qx!40:40, F$16 ) ),    F$17    )</f>
        <v>4.0000000000000002E-4</v>
      </c>
      <c r="G40" s="536">
        <f xml:space="preserve"> ROUND(    IF( $A$15=BE_MF_,   BB40,   INDEX( wx!40:40, G$16 ) ),    G$17    )</f>
        <v>3.1699999999999999E-2</v>
      </c>
      <c r="H40" s="537">
        <f xml:space="preserve"> ROUND(    IF( $A$15=BE_MF_,   BG40,   INDEX( Kx!40:40, H$16 ) ),    H$17    )</f>
        <v>2077.79</v>
      </c>
      <c r="I40" s="538">
        <f t="shared" si="55"/>
        <v>2077.79</v>
      </c>
      <c r="J40" s="539">
        <f t="shared" si="17"/>
        <v>1</v>
      </c>
      <c r="K40" s="540">
        <f t="shared" si="56"/>
        <v>2</v>
      </c>
      <c r="L40" s="541">
        <f t="shared" ref="L40:M103" si="71" xml:space="preserve"> ROUND(  IF( $A40&lt;L$12, L$15, L$16 ),  L$17  )</f>
        <v>0</v>
      </c>
      <c r="M40" s="541">
        <f t="shared" si="71"/>
        <v>8.5999999999999993E-2</v>
      </c>
      <c r="O40" s="542" t="b">
        <f t="shared" si="57"/>
        <v>1</v>
      </c>
      <c r="P40" s="493">
        <f t="shared" si="19"/>
        <v>3.2099999999999997E-2</v>
      </c>
      <c r="Q40" s="493">
        <f t="shared" si="20"/>
        <v>0.96789999999999998</v>
      </c>
      <c r="R40" s="543">
        <f t="shared" si="21"/>
        <v>878214</v>
      </c>
      <c r="S40" s="544">
        <f t="shared" si="22"/>
        <v>0.97560975599999999</v>
      </c>
      <c r="T40" s="423">
        <f t="shared" si="23"/>
        <v>327073.78999999998</v>
      </c>
      <c r="U40" s="423">
        <f xml:space="preserve"> IF( $O40,    ROUND(  SUM( T40:T$120), U$17 ),  LEER  )</f>
        <v>6477638.3200000003</v>
      </c>
      <c r="V40" s="493">
        <f t="shared" si="24"/>
        <v>19.8048</v>
      </c>
      <c r="W40" s="493">
        <f t="shared" si="25"/>
        <v>327073.78999999998</v>
      </c>
      <c r="X40" s="493">
        <f xml:space="preserve"> IF( $O40,    ROUND(  SUM( W40:W$120), X$17 ),  LEER  )</f>
        <v>13781969.68</v>
      </c>
      <c r="Y40" s="493">
        <f t="shared" si="26"/>
        <v>42.1372</v>
      </c>
      <c r="Z40" s="493">
        <f t="shared" si="27"/>
        <v>2.1276000000000002</v>
      </c>
      <c r="AA40" s="493">
        <f t="shared" si="28"/>
        <v>1.0093000000000001</v>
      </c>
      <c r="AB40" s="493">
        <f t="shared" si="29"/>
        <v>2.3494000000000002</v>
      </c>
      <c r="AC40" s="545">
        <f t="shared" si="30"/>
        <v>0.38600000000000001</v>
      </c>
      <c r="AD40" s="493">
        <f t="shared" si="31"/>
        <v>2.1509999999999998</v>
      </c>
      <c r="AE40" s="493">
        <f t="shared" si="32"/>
        <v>2.7757000000000001</v>
      </c>
      <c r="AF40" s="493">
        <f t="shared" si="33"/>
        <v>2.7757000000000001</v>
      </c>
      <c r="AG40" s="493" t="str">
        <f t="shared" si="34"/>
        <v>.</v>
      </c>
      <c r="AH40" s="493" t="str">
        <f t="shared" si="35"/>
        <v>.</v>
      </c>
      <c r="AI40" s="423">
        <f t="shared" si="36"/>
        <v>2077.79</v>
      </c>
      <c r="AJ40" s="423">
        <f t="shared" si="37"/>
        <v>5767.32</v>
      </c>
      <c r="AK40" s="423">
        <f t="shared" si="38"/>
        <v>480.61</v>
      </c>
      <c r="AN40" s="423">
        <f t="shared" ref="AN40:AO59" si="72" xml:space="preserve">  IF( AND( $A40&lt;=$O$12, $A40&gt;=AN$12),    ROUND( AN$19 * ( SUM($Y40) - SUM(AN$8) * SUM($V40) ), AN$17 ),  LEER  )</f>
        <v>11255.64</v>
      </c>
      <c r="AO40" s="423">
        <f t="shared" si="72"/>
        <v>10342.1</v>
      </c>
      <c r="AR40" s="546">
        <f xml:space="preserve"> ROUND(  INDEX( Kx!40:40, AR$16 ),  AR$17 )</f>
        <v>0.78900000000000003</v>
      </c>
      <c r="AS40" s="547">
        <f xml:space="preserve"> ROUND(  INDEX( qx!40:40, AS$16 ),  AS$17 )</f>
        <v>4.0000000000000002E-4</v>
      </c>
      <c r="AT40" s="547">
        <f xml:space="preserve"> ROUND(  INDEX( qx!40:40, AT$16 ),  AT$17 )</f>
        <v>2.9999999999999997E-4</v>
      </c>
      <c r="AU40" s="548" t="str">
        <f t="shared" si="40"/>
        <v>F</v>
      </c>
      <c r="AV40" s="542">
        <f t="shared" si="41"/>
        <v>0.7137</v>
      </c>
      <c r="AW40" s="542">
        <f t="shared" si="42"/>
        <v>4.0000000000000002E-4</v>
      </c>
      <c r="AX40" s="546">
        <f xml:space="preserve"> ROUND(  INDEX( wx!40:40, AX$16 ),  AX$17 )</f>
        <v>2.9399999999999999E-2</v>
      </c>
      <c r="AY40" s="546">
        <f xml:space="preserve"> ROUND(  INDEX( wx!40:40, AY$16 ),  AY$17 )</f>
        <v>4.48E-2</v>
      </c>
      <c r="AZ40" s="548" t="str">
        <f t="shared" si="43"/>
        <v>M</v>
      </c>
      <c r="BA40" s="542">
        <f t="shared" si="44"/>
        <v>0.84870000000000001</v>
      </c>
      <c r="BB40" s="542">
        <f t="shared" si="45"/>
        <v>3.1699999999999999E-2</v>
      </c>
      <c r="BC40" s="533">
        <f xml:space="preserve"> ROUND(  INDEX( Kx!40:40, BC$16 ),  BC$17 )</f>
        <v>1709.97</v>
      </c>
      <c r="BD40" s="533">
        <f xml:space="preserve"> ROUND(  INDEX( Kx!40:40, BD$16 ),  BD$17 )</f>
        <v>2994.72</v>
      </c>
      <c r="BE40" s="548" t="str">
        <f t="shared" si="58"/>
        <v>F</v>
      </c>
      <c r="BF40" s="542">
        <f t="shared" si="46"/>
        <v>0.7137</v>
      </c>
      <c r="BG40" s="420">
        <f t="shared" si="47"/>
        <v>2077.79</v>
      </c>
      <c r="BQ40" s="549"/>
      <c r="BR40" s="423"/>
      <c r="BS40" s="550"/>
      <c r="BT40" s="423"/>
      <c r="BU40" s="551"/>
      <c r="BV40" s="551"/>
      <c r="BW40" s="529"/>
      <c r="BX40" s="552"/>
      <c r="BY40" s="560"/>
      <c r="BZ40" s="559"/>
      <c r="CB40" s="423"/>
      <c r="CC40" s="423"/>
      <c r="CD40" s="423"/>
      <c r="CE40" s="423"/>
      <c r="CF40" s="553"/>
      <c r="CH40" s="423"/>
      <c r="CI40" s="423"/>
      <c r="CJ40" s="423"/>
      <c r="CK40" s="423"/>
      <c r="CL40" s="553"/>
      <c r="CN40" s="423"/>
      <c r="CO40" s="423"/>
      <c r="CP40" s="423"/>
      <c r="CQ40" s="423"/>
      <c r="CR40" s="553"/>
      <c r="EI40" s="553"/>
      <c r="EJ40" s="553"/>
      <c r="EK40" s="423"/>
      <c r="EL40" s="555"/>
      <c r="ES40" s="533"/>
      <c r="ET40" s="533"/>
      <c r="EU40" s="533"/>
      <c r="EV40" s="556"/>
      <c r="EY40" s="533"/>
      <c r="EZ40" s="533"/>
      <c r="FA40" s="556"/>
      <c r="FD40" s="556"/>
      <c r="FE40" s="556"/>
      <c r="FF40" s="556"/>
      <c r="FK40" s="557">
        <f t="shared" si="48"/>
        <v>40</v>
      </c>
      <c r="FL40" s="493">
        <f t="shared" si="59"/>
        <v>42.1372</v>
      </c>
      <c r="FM40" s="493">
        <f t="shared" si="60"/>
        <v>19.8048</v>
      </c>
      <c r="FO40" s="427">
        <f t="shared" si="61"/>
        <v>415392.40999999992</v>
      </c>
      <c r="FP40" s="558">
        <f t="shared" si="67"/>
        <v>38155.53</v>
      </c>
      <c r="FQ40" s="558">
        <f t="shared" si="67"/>
        <v>36488.949999999997</v>
      </c>
      <c r="FR40" s="558">
        <f t="shared" si="67"/>
        <v>34818.25</v>
      </c>
      <c r="FS40" s="558">
        <f t="shared" si="67"/>
        <v>33147.550000000003</v>
      </c>
      <c r="FT40" s="558">
        <f t="shared" si="67"/>
        <v>31419.24</v>
      </c>
      <c r="FU40" s="558">
        <f t="shared" si="67"/>
        <v>29641.55</v>
      </c>
      <c r="FV40" s="558">
        <f t="shared" si="67"/>
        <v>27880.33</v>
      </c>
      <c r="FW40" s="558">
        <f t="shared" si="67"/>
        <v>26106.75</v>
      </c>
      <c r="FX40" s="558">
        <f t="shared" si="67"/>
        <v>24271.45</v>
      </c>
      <c r="FY40" s="558">
        <f t="shared" si="67"/>
        <v>22362.080000000002</v>
      </c>
      <c r="FZ40" s="558">
        <f t="shared" si="66"/>
        <v>20440.37</v>
      </c>
      <c r="GA40" s="558">
        <f t="shared" si="66"/>
        <v>18489.849999999999</v>
      </c>
      <c r="GB40" s="558">
        <f t="shared" si="66"/>
        <v>16494.060000000001</v>
      </c>
      <c r="GC40" s="558">
        <f t="shared" si="66"/>
        <v>14490.05</v>
      </c>
      <c r="GD40" s="558">
        <f t="shared" si="66"/>
        <v>12424.3</v>
      </c>
      <c r="GE40" s="558">
        <f t="shared" si="66"/>
        <v>10342.1</v>
      </c>
      <c r="GF40" s="558">
        <f t="shared" si="66"/>
        <v>8198.18</v>
      </c>
      <c r="GG40" s="558">
        <f t="shared" si="66"/>
        <v>6004.87</v>
      </c>
      <c r="GH40" s="558">
        <f t="shared" si="66"/>
        <v>3749.84</v>
      </c>
      <c r="GI40" s="558">
        <f t="shared" si="66"/>
        <v>1428.97</v>
      </c>
      <c r="GJ40" s="558">
        <f t="shared" si="66"/>
        <v>-961.86</v>
      </c>
      <c r="GK40" s="558" t="str">
        <f t="shared" si="66"/>
        <v>.</v>
      </c>
      <c r="GL40" s="558" t="str">
        <f t="shared" si="66"/>
        <v>.</v>
      </c>
      <c r="GM40" s="558" t="str">
        <f t="shared" si="66"/>
        <v>.</v>
      </c>
      <c r="GN40" s="558" t="str">
        <f t="shared" si="66"/>
        <v>.</v>
      </c>
      <c r="GO40" s="558" t="str">
        <f t="shared" si="66"/>
        <v>.</v>
      </c>
      <c r="GP40" s="558" t="str">
        <f t="shared" si="68"/>
        <v>.</v>
      </c>
      <c r="GQ40" s="558" t="str">
        <f t="shared" si="68"/>
        <v>.</v>
      </c>
      <c r="GR40" s="558" t="str">
        <f t="shared" si="68"/>
        <v>.</v>
      </c>
      <c r="GS40" s="558" t="str">
        <f t="shared" si="68"/>
        <v>.</v>
      </c>
      <c r="GT40" s="558" t="str">
        <f t="shared" si="68"/>
        <v>.</v>
      </c>
      <c r="GU40" s="558" t="str">
        <f t="shared" si="68"/>
        <v>.</v>
      </c>
      <c r="GV40" s="558" t="str">
        <f t="shared" si="68"/>
        <v>.</v>
      </c>
      <c r="GW40" s="558" t="str">
        <f t="shared" si="68"/>
        <v>.</v>
      </c>
      <c r="GX40" s="558" t="str">
        <f t="shared" si="68"/>
        <v>.</v>
      </c>
      <c r="GY40" s="558" t="str">
        <f t="shared" si="68"/>
        <v>.</v>
      </c>
      <c r="GZ40" s="558" t="str">
        <f t="shared" si="68"/>
        <v>.</v>
      </c>
      <c r="HA40" s="558" t="str">
        <f t="shared" si="68"/>
        <v>.</v>
      </c>
      <c r="HB40" s="558" t="str">
        <f t="shared" si="68"/>
        <v>.</v>
      </c>
      <c r="HC40" s="558" t="str">
        <f t="shared" si="68"/>
        <v>.</v>
      </c>
      <c r="HD40" s="558" t="str">
        <f t="shared" si="68"/>
        <v>.</v>
      </c>
      <c r="HE40" s="558" t="str">
        <f t="shared" si="68"/>
        <v>.</v>
      </c>
      <c r="HF40" s="558" t="str">
        <f t="shared" si="69"/>
        <v>.</v>
      </c>
      <c r="HG40" s="558" t="str">
        <f t="shared" si="69"/>
        <v>.</v>
      </c>
      <c r="HH40" s="558" t="str">
        <f t="shared" si="69"/>
        <v>.</v>
      </c>
      <c r="HI40" s="558" t="str">
        <f t="shared" si="69"/>
        <v>.</v>
      </c>
      <c r="HJ40" s="558" t="str">
        <f t="shared" si="69"/>
        <v>.</v>
      </c>
      <c r="HK40" s="558" t="str">
        <f t="shared" si="69"/>
        <v>.</v>
      </c>
      <c r="HL40" s="558" t="str">
        <f t="shared" si="69"/>
        <v>.</v>
      </c>
      <c r="HM40" s="558" t="str">
        <f t="shared" si="69"/>
        <v>.</v>
      </c>
      <c r="HN40" s="558" t="str">
        <f t="shared" si="69"/>
        <v>.</v>
      </c>
      <c r="HO40" s="558" t="str">
        <f t="shared" si="69"/>
        <v>.</v>
      </c>
      <c r="HP40" s="558" t="str">
        <f t="shared" si="64"/>
        <v>.</v>
      </c>
      <c r="HQ40" s="558" t="str">
        <f t="shared" si="64"/>
        <v>.</v>
      </c>
      <c r="HR40" s="558" t="str">
        <f t="shared" si="64"/>
        <v>.</v>
      </c>
      <c r="HS40" s="558" t="str">
        <f t="shared" si="64"/>
        <v>.</v>
      </c>
      <c r="HT40" s="558" t="str">
        <f t="shared" si="64"/>
        <v>.</v>
      </c>
      <c r="HU40" s="558" t="str">
        <f t="shared" si="64"/>
        <v>.</v>
      </c>
      <c r="HV40" s="558" t="str">
        <f t="shared" si="64"/>
        <v>.</v>
      </c>
      <c r="HW40" s="558" t="str">
        <f t="shared" si="64"/>
        <v>.</v>
      </c>
      <c r="HX40" s="558" t="str">
        <f t="shared" si="64"/>
        <v>.</v>
      </c>
      <c r="HY40" s="558" t="str">
        <f t="shared" si="64"/>
        <v>.</v>
      </c>
      <c r="HZ40" s="558" t="str">
        <f t="shared" si="64"/>
        <v>.</v>
      </c>
      <c r="IA40" s="558" t="str">
        <f t="shared" si="64"/>
        <v>.</v>
      </c>
      <c r="IB40" s="558" t="str">
        <f t="shared" si="64"/>
        <v>.</v>
      </c>
      <c r="IC40" s="558" t="str">
        <f t="shared" si="64"/>
        <v>.</v>
      </c>
      <c r="ID40" s="558" t="str">
        <f t="shared" si="64"/>
        <v>.</v>
      </c>
      <c r="IE40" s="558" t="str">
        <f t="shared" si="64"/>
        <v>.</v>
      </c>
      <c r="IF40" s="558" t="str">
        <f t="shared" si="64"/>
        <v>.</v>
      </c>
      <c r="IG40" s="558" t="str">
        <f t="shared" si="65"/>
        <v>.</v>
      </c>
      <c r="IH40" s="558" t="str">
        <f t="shared" si="65"/>
        <v>.</v>
      </c>
      <c r="II40" s="558" t="str">
        <f t="shared" si="65"/>
        <v>.</v>
      </c>
      <c r="IJ40" s="558" t="str">
        <f t="shared" si="65"/>
        <v>.</v>
      </c>
      <c r="IK40" s="558" t="str">
        <f t="shared" si="65"/>
        <v>.</v>
      </c>
      <c r="IL40" s="558" t="str">
        <f t="shared" si="65"/>
        <v>.</v>
      </c>
      <c r="IM40" s="558" t="str">
        <f t="shared" si="65"/>
        <v>.</v>
      </c>
      <c r="IN40" s="558" t="str">
        <f t="shared" si="65"/>
        <v>.</v>
      </c>
      <c r="IO40" s="558" t="str">
        <f t="shared" si="62"/>
        <v>.</v>
      </c>
      <c r="IP40" s="558" t="str">
        <f t="shared" si="62"/>
        <v>.</v>
      </c>
      <c r="IQ40" s="558" t="str">
        <f t="shared" si="62"/>
        <v>.</v>
      </c>
      <c r="IR40" s="558" t="str">
        <f t="shared" si="62"/>
        <v>.</v>
      </c>
      <c r="IS40" s="558" t="str">
        <f t="shared" si="62"/>
        <v>.</v>
      </c>
      <c r="IT40" s="558" t="str">
        <f t="shared" si="62"/>
        <v>.</v>
      </c>
      <c r="IU40" s="558" t="str">
        <f t="shared" si="62"/>
        <v>.</v>
      </c>
      <c r="IV40" s="558" t="str">
        <f t="shared" si="62"/>
        <v>.</v>
      </c>
      <c r="IW40" s="558" t="str">
        <f t="shared" si="62"/>
        <v>.</v>
      </c>
      <c r="IX40" s="558" t="str">
        <f t="shared" si="62"/>
        <v>.</v>
      </c>
      <c r="IY40" s="558" t="str">
        <f t="shared" si="62"/>
        <v>.</v>
      </c>
      <c r="IZ40" s="558" t="str">
        <f t="shared" si="62"/>
        <v>.</v>
      </c>
      <c r="JA40" s="558" t="str">
        <f t="shared" si="62"/>
        <v>.</v>
      </c>
      <c r="JB40" s="558" t="str">
        <f t="shared" si="62"/>
        <v>.</v>
      </c>
      <c r="JC40" s="558" t="str">
        <f t="shared" si="62"/>
        <v>.</v>
      </c>
      <c r="JD40" s="558" t="str">
        <f t="shared" si="62"/>
        <v>.</v>
      </c>
      <c r="JE40" s="558" t="str">
        <f t="shared" si="62"/>
        <v>.</v>
      </c>
      <c r="JF40" s="558" t="str">
        <f t="shared" si="62"/>
        <v>.</v>
      </c>
      <c r="JG40" s="558" t="str">
        <f t="shared" si="62"/>
        <v>.</v>
      </c>
      <c r="JH40" s="558" t="str">
        <f t="shared" si="70"/>
        <v>.</v>
      </c>
      <c r="JI40" s="558" t="str">
        <f t="shared" si="70"/>
        <v>.</v>
      </c>
      <c r="JJ40" s="558" t="str">
        <f t="shared" si="70"/>
        <v>.</v>
      </c>
      <c r="JK40" s="558" t="str">
        <f t="shared" si="70"/>
        <v>.</v>
      </c>
      <c r="JL40" s="558" t="str">
        <f t="shared" si="70"/>
        <v>.</v>
      </c>
    </row>
    <row r="41" spans="1:272" ht="10.199999999999999" x14ac:dyDescent="0.2">
      <c r="A41" s="534">
        <f xml:space="preserve"> Basis!A41</f>
        <v>41</v>
      </c>
      <c r="F41" s="536">
        <f xml:space="preserve"> ROUND(    IF( $A$15=BE_MF_,   AW41,   INDEX( qx!41:41, F$16 ) ),    F$17    )</f>
        <v>5.0000000000000001E-4</v>
      </c>
      <c r="G41" s="536">
        <f xml:space="preserve"> ROUND(    IF( $A$15=BE_MF_,   BB41,   INDEX( wx!41:41, G$16 ) ),    G$17    )</f>
        <v>2.9700000000000001E-2</v>
      </c>
      <c r="H41" s="537">
        <f xml:space="preserve"> ROUND(    IF( $A$15=BE_MF_,   BG41,   INDEX( Kx!41:41, H$16 ) ),    H$17    )</f>
        <v>2106.62</v>
      </c>
      <c r="I41" s="538">
        <f t="shared" si="55"/>
        <v>2106.62</v>
      </c>
      <c r="J41" s="539">
        <f t="shared" si="17"/>
        <v>1.014</v>
      </c>
      <c r="K41" s="540">
        <f t="shared" si="56"/>
        <v>2</v>
      </c>
      <c r="L41" s="541">
        <f t="shared" si="71"/>
        <v>0</v>
      </c>
      <c r="M41" s="541">
        <f t="shared" si="71"/>
        <v>8.5999999999999993E-2</v>
      </c>
      <c r="O41" s="542" t="b">
        <f t="shared" si="57"/>
        <v>1</v>
      </c>
      <c r="P41" s="493">
        <f t="shared" si="19"/>
        <v>3.0200000000000001E-2</v>
      </c>
      <c r="Q41" s="493">
        <f t="shared" si="20"/>
        <v>0.9698</v>
      </c>
      <c r="R41" s="543">
        <f t="shared" si="21"/>
        <v>850023</v>
      </c>
      <c r="S41" s="544">
        <f t="shared" si="22"/>
        <v>0.97560975599999999</v>
      </c>
      <c r="T41" s="423">
        <f t="shared" si="23"/>
        <v>308853.26</v>
      </c>
      <c r="U41" s="423">
        <f xml:space="preserve"> IF( $O41,    ROUND(  SUM( T41:T$120), U$17 ),  LEER  )</f>
        <v>6150564.5300000003</v>
      </c>
      <c r="V41" s="493">
        <f t="shared" si="24"/>
        <v>19.914200000000001</v>
      </c>
      <c r="W41" s="493">
        <f t="shared" si="25"/>
        <v>313177.21000000002</v>
      </c>
      <c r="X41" s="493">
        <f xml:space="preserve"> IF( $O41,    ROUND(  SUM( W41:W$120), X$17 ),  LEER  )</f>
        <v>13454895.890000001</v>
      </c>
      <c r="Y41" s="493">
        <f t="shared" si="26"/>
        <v>43.564</v>
      </c>
      <c r="Z41" s="493">
        <f t="shared" si="27"/>
        <v>2.1876000000000002</v>
      </c>
      <c r="AA41" s="493">
        <f t="shared" si="28"/>
        <v>1.0092000000000001</v>
      </c>
      <c r="AB41" s="493">
        <f t="shared" si="29"/>
        <v>2.3494000000000002</v>
      </c>
      <c r="AC41" s="545">
        <f t="shared" si="30"/>
        <v>0.38600000000000001</v>
      </c>
      <c r="AD41" s="493">
        <f t="shared" si="31"/>
        <v>2.2113</v>
      </c>
      <c r="AE41" s="493">
        <f t="shared" si="32"/>
        <v>2.8416999999999999</v>
      </c>
      <c r="AF41" s="493">
        <f t="shared" si="33"/>
        <v>2.8416999999999999</v>
      </c>
      <c r="AG41" s="493" t="str">
        <f t="shared" si="34"/>
        <v>.</v>
      </c>
      <c r="AH41" s="493" t="str">
        <f t="shared" si="35"/>
        <v>.</v>
      </c>
      <c r="AI41" s="423">
        <f t="shared" si="36"/>
        <v>2077.79</v>
      </c>
      <c r="AJ41" s="423">
        <f t="shared" si="37"/>
        <v>5904.46</v>
      </c>
      <c r="AK41" s="423">
        <f t="shared" si="38"/>
        <v>492.04</v>
      </c>
      <c r="AN41" s="423">
        <f t="shared" si="72"/>
        <v>13798.77</v>
      </c>
      <c r="AO41" s="423">
        <f t="shared" si="72"/>
        <v>12880.19</v>
      </c>
      <c r="AR41" s="546">
        <f xml:space="preserve"> ROUND(  INDEX( Kx!41:41, AR$16 ),  AR$17 )</f>
        <v>0.78769999999999996</v>
      </c>
      <c r="AS41" s="547">
        <f xml:space="preserve"> ROUND(  INDEX( qx!41:41, AS$16 ),  AS$17 )</f>
        <v>5.0000000000000001E-4</v>
      </c>
      <c r="AT41" s="547">
        <f xml:space="preserve"> ROUND(  INDEX( qx!41:41, AT$16 ),  AT$17 )</f>
        <v>4.0000000000000002E-4</v>
      </c>
      <c r="AU41" s="548" t="str">
        <f t="shared" si="40"/>
        <v>F</v>
      </c>
      <c r="AV41" s="542">
        <f t="shared" si="41"/>
        <v>0.71209999999999996</v>
      </c>
      <c r="AW41" s="542">
        <f t="shared" si="42"/>
        <v>5.0000000000000001E-4</v>
      </c>
      <c r="AX41" s="546">
        <f xml:space="preserve"> ROUND(  INDEX( wx!41:41, AX$16 ),  AX$17 )</f>
        <v>2.75E-2</v>
      </c>
      <c r="AY41" s="546">
        <f xml:space="preserve"> ROUND(  INDEX( wx!41:41, AY$16 ),  AY$17 )</f>
        <v>4.2000000000000003E-2</v>
      </c>
      <c r="AZ41" s="548" t="str">
        <f t="shared" si="43"/>
        <v>M</v>
      </c>
      <c r="BA41" s="542">
        <f t="shared" si="44"/>
        <v>0.84770000000000001</v>
      </c>
      <c r="BB41" s="542">
        <f t="shared" si="45"/>
        <v>2.9700000000000001E-2</v>
      </c>
      <c r="BC41" s="533">
        <f xml:space="preserve"> ROUND(  INDEX( Kx!41:41, BC$16 ),  BC$17 )</f>
        <v>1768.36</v>
      </c>
      <c r="BD41" s="533">
        <f xml:space="preserve"> ROUND(  INDEX( Kx!41:41, BD$16 ),  BD$17 )</f>
        <v>2943.29</v>
      </c>
      <c r="BE41" s="548" t="str">
        <f t="shared" si="58"/>
        <v>F</v>
      </c>
      <c r="BF41" s="542">
        <f t="shared" si="46"/>
        <v>0.71209999999999996</v>
      </c>
      <c r="BG41" s="420">
        <f t="shared" si="47"/>
        <v>2106.62</v>
      </c>
      <c r="BQ41" s="549"/>
      <c r="BR41" s="423"/>
      <c r="BS41" s="550"/>
      <c r="BT41" s="423"/>
      <c r="BU41" s="551"/>
      <c r="BV41" s="551"/>
      <c r="BW41" s="529"/>
      <c r="BX41" s="552"/>
      <c r="BY41" s="560"/>
      <c r="BZ41" s="559"/>
      <c r="CB41" s="423"/>
      <c r="CC41" s="423"/>
      <c r="CD41" s="423"/>
      <c r="CE41" s="423"/>
      <c r="CF41" s="553"/>
      <c r="CH41" s="423"/>
      <c r="CI41" s="423"/>
      <c r="CJ41" s="423"/>
      <c r="CK41" s="423"/>
      <c r="CL41" s="553"/>
      <c r="CN41" s="423"/>
      <c r="CO41" s="423"/>
      <c r="CP41" s="423"/>
      <c r="CQ41" s="423"/>
      <c r="CR41" s="553"/>
      <c r="EI41" s="553"/>
      <c r="EJ41" s="553"/>
      <c r="EK41" s="423"/>
      <c r="EL41" s="555"/>
      <c r="ES41" s="533"/>
      <c r="ET41" s="533"/>
      <c r="EU41" s="533"/>
      <c r="EV41" s="556"/>
      <c r="EY41" s="533"/>
      <c r="EZ41" s="533"/>
      <c r="FA41" s="556"/>
      <c r="FD41" s="556"/>
      <c r="FE41" s="556"/>
      <c r="FF41" s="556"/>
      <c r="FK41" s="557">
        <f t="shared" si="48"/>
        <v>41</v>
      </c>
      <c r="FL41" s="493">
        <f t="shared" si="59"/>
        <v>43.564</v>
      </c>
      <c r="FM41" s="493">
        <f t="shared" si="60"/>
        <v>19.914200000000001</v>
      </c>
      <c r="FO41" s="427">
        <f t="shared" si="61"/>
        <v>468805.87</v>
      </c>
      <c r="FP41" s="558">
        <f t="shared" si="67"/>
        <v>40847.26</v>
      </c>
      <c r="FQ41" s="558">
        <f t="shared" si="67"/>
        <v>39171.47</v>
      </c>
      <c r="FR41" s="558">
        <f t="shared" si="67"/>
        <v>37491.54</v>
      </c>
      <c r="FS41" s="558">
        <f t="shared" si="67"/>
        <v>35811.620000000003</v>
      </c>
      <c r="FT41" s="558">
        <f t="shared" si="67"/>
        <v>34073.760000000002</v>
      </c>
      <c r="FU41" s="558">
        <f t="shared" si="67"/>
        <v>32286.25</v>
      </c>
      <c r="FV41" s="558">
        <f t="shared" si="67"/>
        <v>30515.29</v>
      </c>
      <c r="FW41" s="558">
        <f t="shared" si="67"/>
        <v>28731.919999999998</v>
      </c>
      <c r="FX41" s="558">
        <f t="shared" si="67"/>
        <v>26886.48</v>
      </c>
      <c r="FY41" s="558">
        <f t="shared" si="67"/>
        <v>24966.57</v>
      </c>
      <c r="FZ41" s="558">
        <f t="shared" si="66"/>
        <v>23034.240000000002</v>
      </c>
      <c r="GA41" s="558">
        <f t="shared" si="66"/>
        <v>21072.94</v>
      </c>
      <c r="GB41" s="558">
        <f t="shared" si="66"/>
        <v>19066.13</v>
      </c>
      <c r="GC41" s="558">
        <f t="shared" si="66"/>
        <v>17051.05</v>
      </c>
      <c r="GD41" s="558">
        <f t="shared" si="66"/>
        <v>14973.9</v>
      </c>
      <c r="GE41" s="558">
        <f t="shared" si="66"/>
        <v>12880.19</v>
      </c>
      <c r="GF41" s="558">
        <f t="shared" si="66"/>
        <v>10724.42</v>
      </c>
      <c r="GG41" s="558">
        <f t="shared" si="66"/>
        <v>8519</v>
      </c>
      <c r="GH41" s="558">
        <f t="shared" si="66"/>
        <v>6251.51</v>
      </c>
      <c r="GI41" s="558">
        <f t="shared" si="66"/>
        <v>3917.82</v>
      </c>
      <c r="GJ41" s="558">
        <f t="shared" si="66"/>
        <v>1513.79</v>
      </c>
      <c r="GK41" s="558">
        <f t="shared" si="66"/>
        <v>-981.28</v>
      </c>
      <c r="GL41" s="558" t="str">
        <f t="shared" si="66"/>
        <v>.</v>
      </c>
      <c r="GM41" s="558" t="str">
        <f t="shared" si="66"/>
        <v>.</v>
      </c>
      <c r="GN41" s="558" t="str">
        <f t="shared" si="66"/>
        <v>.</v>
      </c>
      <c r="GO41" s="558" t="str">
        <f t="shared" si="66"/>
        <v>.</v>
      </c>
      <c r="GP41" s="558" t="str">
        <f t="shared" si="68"/>
        <v>.</v>
      </c>
      <c r="GQ41" s="558" t="str">
        <f t="shared" si="68"/>
        <v>.</v>
      </c>
      <c r="GR41" s="558" t="str">
        <f t="shared" si="68"/>
        <v>.</v>
      </c>
      <c r="GS41" s="558" t="str">
        <f t="shared" si="68"/>
        <v>.</v>
      </c>
      <c r="GT41" s="558" t="str">
        <f t="shared" si="68"/>
        <v>.</v>
      </c>
      <c r="GU41" s="558" t="str">
        <f t="shared" si="68"/>
        <v>.</v>
      </c>
      <c r="GV41" s="558" t="str">
        <f t="shared" si="68"/>
        <v>.</v>
      </c>
      <c r="GW41" s="558" t="str">
        <f t="shared" si="68"/>
        <v>.</v>
      </c>
      <c r="GX41" s="558" t="str">
        <f t="shared" si="68"/>
        <v>.</v>
      </c>
      <c r="GY41" s="558" t="str">
        <f t="shared" si="68"/>
        <v>.</v>
      </c>
      <c r="GZ41" s="558" t="str">
        <f t="shared" si="68"/>
        <v>.</v>
      </c>
      <c r="HA41" s="558" t="str">
        <f t="shared" si="68"/>
        <v>.</v>
      </c>
      <c r="HB41" s="558" t="str">
        <f t="shared" si="68"/>
        <v>.</v>
      </c>
      <c r="HC41" s="558" t="str">
        <f t="shared" si="68"/>
        <v>.</v>
      </c>
      <c r="HD41" s="558" t="str">
        <f t="shared" si="68"/>
        <v>.</v>
      </c>
      <c r="HE41" s="558" t="str">
        <f t="shared" si="68"/>
        <v>.</v>
      </c>
      <c r="HF41" s="558" t="str">
        <f t="shared" si="69"/>
        <v>.</v>
      </c>
      <c r="HG41" s="558" t="str">
        <f t="shared" si="69"/>
        <v>.</v>
      </c>
      <c r="HH41" s="558" t="str">
        <f t="shared" si="69"/>
        <v>.</v>
      </c>
      <c r="HI41" s="558" t="str">
        <f t="shared" si="69"/>
        <v>.</v>
      </c>
      <c r="HJ41" s="558" t="str">
        <f t="shared" si="69"/>
        <v>.</v>
      </c>
      <c r="HK41" s="558" t="str">
        <f t="shared" si="69"/>
        <v>.</v>
      </c>
      <c r="HL41" s="558" t="str">
        <f t="shared" si="69"/>
        <v>.</v>
      </c>
      <c r="HM41" s="558" t="str">
        <f t="shared" si="69"/>
        <v>.</v>
      </c>
      <c r="HN41" s="558" t="str">
        <f t="shared" si="69"/>
        <v>.</v>
      </c>
      <c r="HO41" s="558" t="str">
        <f t="shared" si="69"/>
        <v>.</v>
      </c>
      <c r="HP41" s="558" t="str">
        <f t="shared" si="64"/>
        <v>.</v>
      </c>
      <c r="HQ41" s="558" t="str">
        <f t="shared" si="64"/>
        <v>.</v>
      </c>
      <c r="HR41" s="558" t="str">
        <f t="shared" si="64"/>
        <v>.</v>
      </c>
      <c r="HS41" s="558" t="str">
        <f t="shared" si="64"/>
        <v>.</v>
      </c>
      <c r="HT41" s="558" t="str">
        <f t="shared" si="64"/>
        <v>.</v>
      </c>
      <c r="HU41" s="558" t="str">
        <f t="shared" si="64"/>
        <v>.</v>
      </c>
      <c r="HV41" s="558" t="str">
        <f t="shared" si="64"/>
        <v>.</v>
      </c>
      <c r="HW41" s="558" t="str">
        <f t="shared" si="64"/>
        <v>.</v>
      </c>
      <c r="HX41" s="558" t="str">
        <f t="shared" si="64"/>
        <v>.</v>
      </c>
      <c r="HY41" s="558" t="str">
        <f t="shared" si="64"/>
        <v>.</v>
      </c>
      <c r="HZ41" s="558" t="str">
        <f t="shared" si="64"/>
        <v>.</v>
      </c>
      <c r="IA41" s="558" t="str">
        <f t="shared" si="64"/>
        <v>.</v>
      </c>
      <c r="IB41" s="558" t="str">
        <f t="shared" si="64"/>
        <v>.</v>
      </c>
      <c r="IC41" s="558" t="str">
        <f t="shared" si="64"/>
        <v>.</v>
      </c>
      <c r="ID41" s="558" t="str">
        <f t="shared" si="64"/>
        <v>.</v>
      </c>
      <c r="IE41" s="558" t="str">
        <f t="shared" si="64"/>
        <v>.</v>
      </c>
      <c r="IF41" s="558" t="str">
        <f t="shared" si="64"/>
        <v>.</v>
      </c>
      <c r="IG41" s="558" t="str">
        <f t="shared" si="65"/>
        <v>.</v>
      </c>
      <c r="IH41" s="558" t="str">
        <f t="shared" si="65"/>
        <v>.</v>
      </c>
      <c r="II41" s="558" t="str">
        <f t="shared" si="65"/>
        <v>.</v>
      </c>
      <c r="IJ41" s="558" t="str">
        <f t="shared" si="65"/>
        <v>.</v>
      </c>
      <c r="IK41" s="558" t="str">
        <f t="shared" si="65"/>
        <v>.</v>
      </c>
      <c r="IL41" s="558" t="str">
        <f t="shared" si="65"/>
        <v>.</v>
      </c>
      <c r="IM41" s="558" t="str">
        <f t="shared" si="65"/>
        <v>.</v>
      </c>
      <c r="IN41" s="558" t="str">
        <f t="shared" si="65"/>
        <v>.</v>
      </c>
      <c r="IO41" s="558" t="str">
        <f t="shared" si="62"/>
        <v>.</v>
      </c>
      <c r="IP41" s="558" t="str">
        <f t="shared" si="62"/>
        <v>.</v>
      </c>
      <c r="IQ41" s="558" t="str">
        <f t="shared" si="62"/>
        <v>.</v>
      </c>
      <c r="IR41" s="558" t="str">
        <f t="shared" si="62"/>
        <v>.</v>
      </c>
      <c r="IS41" s="558" t="str">
        <f t="shared" si="62"/>
        <v>.</v>
      </c>
      <c r="IT41" s="558" t="str">
        <f t="shared" si="62"/>
        <v>.</v>
      </c>
      <c r="IU41" s="558" t="str">
        <f t="shared" si="62"/>
        <v>.</v>
      </c>
      <c r="IV41" s="558" t="str">
        <f t="shared" si="62"/>
        <v>.</v>
      </c>
      <c r="IW41" s="558" t="str">
        <f t="shared" si="62"/>
        <v>.</v>
      </c>
      <c r="IX41" s="558" t="str">
        <f t="shared" si="62"/>
        <v>.</v>
      </c>
      <c r="IY41" s="558" t="str">
        <f t="shared" si="62"/>
        <v>.</v>
      </c>
      <c r="IZ41" s="558" t="str">
        <f t="shared" si="62"/>
        <v>.</v>
      </c>
      <c r="JA41" s="558" t="str">
        <f t="shared" si="62"/>
        <v>.</v>
      </c>
      <c r="JB41" s="558" t="str">
        <f t="shared" si="62"/>
        <v>.</v>
      </c>
      <c r="JC41" s="558" t="str">
        <f t="shared" si="62"/>
        <v>.</v>
      </c>
      <c r="JD41" s="558" t="str">
        <f t="shared" si="62"/>
        <v>.</v>
      </c>
      <c r="JE41" s="558" t="str">
        <f t="shared" si="62"/>
        <v>.</v>
      </c>
      <c r="JF41" s="558" t="str">
        <f t="shared" si="62"/>
        <v>.</v>
      </c>
      <c r="JG41" s="558" t="str">
        <f t="shared" si="62"/>
        <v>.</v>
      </c>
      <c r="JH41" s="558" t="str">
        <f t="shared" si="70"/>
        <v>.</v>
      </c>
      <c r="JI41" s="558" t="str">
        <f t="shared" si="70"/>
        <v>.</v>
      </c>
      <c r="JJ41" s="558" t="str">
        <f t="shared" si="70"/>
        <v>.</v>
      </c>
      <c r="JK41" s="558" t="str">
        <f t="shared" si="70"/>
        <v>.</v>
      </c>
      <c r="JL41" s="558" t="str">
        <f t="shared" si="70"/>
        <v>.</v>
      </c>
    </row>
    <row r="42" spans="1:272" ht="10.199999999999999" x14ac:dyDescent="0.2">
      <c r="A42" s="534">
        <f xml:space="preserve"> Basis!A42</f>
        <v>42</v>
      </c>
      <c r="F42" s="536">
        <f xml:space="preserve"> ROUND(    IF( $A$15=BE_MF_,   AW42,   INDEX( qx!42:42, F$16 ) ),    F$17    )</f>
        <v>5.0000000000000001E-4</v>
      </c>
      <c r="G42" s="536">
        <f xml:space="preserve"> ROUND(    IF( $A$15=BE_MF_,   BB42,   INDEX( wx!42:42, G$16 ) ),    G$17    )</f>
        <v>2.8000000000000001E-2</v>
      </c>
      <c r="H42" s="537">
        <f xml:space="preserve"> ROUND(    IF( $A$15=BE_MF_,   BG42,   INDEX( Kx!42:42, H$16 ) ),    H$17    )</f>
        <v>2141.37</v>
      </c>
      <c r="I42" s="538">
        <f t="shared" si="55"/>
        <v>2141.37</v>
      </c>
      <c r="J42" s="539">
        <f t="shared" si="17"/>
        <v>1.0309999999999999</v>
      </c>
      <c r="K42" s="540">
        <f t="shared" si="56"/>
        <v>2</v>
      </c>
      <c r="L42" s="541">
        <f t="shared" si="71"/>
        <v>0</v>
      </c>
      <c r="M42" s="541">
        <f t="shared" si="71"/>
        <v>8.5999999999999993E-2</v>
      </c>
      <c r="O42" s="542" t="b">
        <f t="shared" si="57"/>
        <v>1</v>
      </c>
      <c r="P42" s="493">
        <f t="shared" si="19"/>
        <v>2.8500000000000001E-2</v>
      </c>
      <c r="Q42" s="493">
        <f t="shared" si="20"/>
        <v>0.97150000000000003</v>
      </c>
      <c r="R42" s="543">
        <f t="shared" si="21"/>
        <v>824352</v>
      </c>
      <c r="S42" s="544">
        <f t="shared" si="22"/>
        <v>0.97560975599999999</v>
      </c>
      <c r="T42" s="423">
        <f t="shared" si="23"/>
        <v>292220.28000000003</v>
      </c>
      <c r="U42" s="423">
        <f xml:space="preserve"> IF( $O42,    ROUND(  SUM( T42:T$120), U$17 ),  LEER  )</f>
        <v>5841711.2699999996</v>
      </c>
      <c r="V42" s="493">
        <f t="shared" si="24"/>
        <v>19.9908</v>
      </c>
      <c r="W42" s="493">
        <f t="shared" si="25"/>
        <v>301279.11</v>
      </c>
      <c r="X42" s="493">
        <f xml:space="preserve"> IF( $O42,    ROUND(  SUM( W42:W$120), X$17 ),  LEER  )</f>
        <v>13141718.68</v>
      </c>
      <c r="Y42" s="493">
        <f t="shared" si="26"/>
        <v>44.972000000000001</v>
      </c>
      <c r="Z42" s="493">
        <f t="shared" si="27"/>
        <v>2.2496</v>
      </c>
      <c r="AA42" s="493">
        <f t="shared" si="28"/>
        <v>1.0092000000000001</v>
      </c>
      <c r="AB42" s="493">
        <f t="shared" si="29"/>
        <v>2.3494000000000002</v>
      </c>
      <c r="AC42" s="545">
        <f t="shared" si="30"/>
        <v>0.38600000000000001</v>
      </c>
      <c r="AD42" s="493">
        <f t="shared" si="31"/>
        <v>2.2738</v>
      </c>
      <c r="AE42" s="493">
        <f t="shared" si="32"/>
        <v>2.9100999999999999</v>
      </c>
      <c r="AF42" s="493">
        <f t="shared" si="33"/>
        <v>2.9100999999999999</v>
      </c>
      <c r="AG42" s="493" t="str">
        <f t="shared" si="34"/>
        <v>.</v>
      </c>
      <c r="AH42" s="493" t="str">
        <f t="shared" si="35"/>
        <v>.</v>
      </c>
      <c r="AI42" s="423">
        <f t="shared" si="36"/>
        <v>2077.79</v>
      </c>
      <c r="AJ42" s="423">
        <f t="shared" si="37"/>
        <v>6046.58</v>
      </c>
      <c r="AK42" s="423">
        <f t="shared" si="38"/>
        <v>503.88</v>
      </c>
      <c r="AN42" s="423">
        <f t="shared" si="72"/>
        <v>16429.21</v>
      </c>
      <c r="AO42" s="423">
        <f t="shared" si="72"/>
        <v>15507.09</v>
      </c>
      <c r="AR42" s="546">
        <f xml:space="preserve"> ROUND(  INDEX( Kx!42:42, AR$16 ),  AR$17 )</f>
        <v>0.78420000000000001</v>
      </c>
      <c r="AS42" s="547">
        <f xml:space="preserve"> ROUND(  INDEX( qx!42:42, AS$16 ),  AS$17 )</f>
        <v>5.0000000000000001E-4</v>
      </c>
      <c r="AT42" s="547">
        <f xml:space="preserve"> ROUND(  INDEX( qx!42:42, AT$16 ),  AT$17 )</f>
        <v>4.0000000000000002E-4</v>
      </c>
      <c r="AU42" s="548" t="str">
        <f t="shared" si="40"/>
        <v>F</v>
      </c>
      <c r="AV42" s="542">
        <f t="shared" si="41"/>
        <v>0.70779999999999998</v>
      </c>
      <c r="AW42" s="542">
        <f t="shared" si="42"/>
        <v>5.0000000000000001E-4</v>
      </c>
      <c r="AX42" s="546">
        <f xml:space="preserve"> ROUND(  INDEX( wx!42:42, AX$16 ),  AX$17 )</f>
        <v>2.5899999999999999E-2</v>
      </c>
      <c r="AY42" s="546">
        <f xml:space="preserve"> ROUND(  INDEX( wx!42:42, AY$16 ),  AY$17 )</f>
        <v>3.9600000000000003E-2</v>
      </c>
      <c r="AZ42" s="548" t="str">
        <f t="shared" si="43"/>
        <v>M</v>
      </c>
      <c r="BA42" s="542">
        <f t="shared" si="44"/>
        <v>0.84499999999999997</v>
      </c>
      <c r="BB42" s="542">
        <f t="shared" si="45"/>
        <v>2.8000000000000001E-2</v>
      </c>
      <c r="BC42" s="533">
        <f xml:space="preserve"> ROUND(  INDEX( Kx!42:42, BC$16 ),  BC$17 )</f>
        <v>1828.36</v>
      </c>
      <c r="BD42" s="533">
        <f xml:space="preserve"> ROUND(  INDEX( Kx!42:42, BD$16 ),  BD$17 )</f>
        <v>2899.59</v>
      </c>
      <c r="BE42" s="548" t="str">
        <f t="shared" si="58"/>
        <v>F</v>
      </c>
      <c r="BF42" s="542">
        <f t="shared" si="46"/>
        <v>0.70779999999999998</v>
      </c>
      <c r="BG42" s="420">
        <f t="shared" si="47"/>
        <v>2141.37</v>
      </c>
      <c r="BQ42" s="549"/>
      <c r="BR42" s="423"/>
      <c r="BS42" s="550"/>
      <c r="BT42" s="423"/>
      <c r="BU42" s="551"/>
      <c r="BV42" s="551"/>
      <c r="BW42" s="529"/>
      <c r="BX42" s="552"/>
      <c r="BY42" s="560"/>
      <c r="BZ42" s="559"/>
      <c r="CB42" s="423"/>
      <c r="CC42" s="423"/>
      <c r="CD42" s="423"/>
      <c r="CE42" s="423"/>
      <c r="CF42" s="553"/>
      <c r="CH42" s="423"/>
      <c r="CI42" s="423"/>
      <c r="CJ42" s="423"/>
      <c r="CK42" s="423"/>
      <c r="CL42" s="553"/>
      <c r="CN42" s="423"/>
      <c r="CO42" s="423"/>
      <c r="CP42" s="423"/>
      <c r="CQ42" s="423"/>
      <c r="CR42" s="553"/>
      <c r="EI42" s="553"/>
      <c r="EJ42" s="553"/>
      <c r="EK42" s="423"/>
      <c r="EL42" s="555"/>
      <c r="ES42" s="533"/>
      <c r="ET42" s="533"/>
      <c r="EU42" s="533"/>
      <c r="EV42" s="556"/>
      <c r="EY42" s="533"/>
      <c r="EZ42" s="533"/>
      <c r="FA42" s="556"/>
      <c r="FD42" s="556"/>
      <c r="FE42" s="556"/>
      <c r="FF42" s="556"/>
      <c r="FK42" s="557">
        <f t="shared" si="48"/>
        <v>42</v>
      </c>
      <c r="FL42" s="493">
        <f t="shared" si="59"/>
        <v>44.972000000000001</v>
      </c>
      <c r="FM42" s="493">
        <f t="shared" si="60"/>
        <v>19.9908</v>
      </c>
      <c r="FO42" s="427">
        <f t="shared" si="61"/>
        <v>526307.22</v>
      </c>
      <c r="FP42" s="558">
        <f t="shared" si="67"/>
        <v>43581.74</v>
      </c>
      <c r="FQ42" s="558">
        <f t="shared" si="67"/>
        <v>41899.5</v>
      </c>
      <c r="FR42" s="558">
        <f t="shared" si="67"/>
        <v>40213.11</v>
      </c>
      <c r="FS42" s="558">
        <f t="shared" si="67"/>
        <v>38526.720000000001</v>
      </c>
      <c r="FT42" s="558">
        <f t="shared" si="67"/>
        <v>36782.18</v>
      </c>
      <c r="FU42" s="558">
        <f t="shared" si="67"/>
        <v>34987.800000000003</v>
      </c>
      <c r="FV42" s="558">
        <f t="shared" si="67"/>
        <v>33210.03</v>
      </c>
      <c r="FW42" s="558">
        <f t="shared" si="67"/>
        <v>31419.79</v>
      </c>
      <c r="FX42" s="558">
        <f t="shared" si="67"/>
        <v>29567.26</v>
      </c>
      <c r="FY42" s="558">
        <f t="shared" si="67"/>
        <v>27639.96</v>
      </c>
      <c r="FZ42" s="558">
        <f t="shared" si="66"/>
        <v>25700.19</v>
      </c>
      <c r="GA42" s="558">
        <f t="shared" si="66"/>
        <v>23731.35</v>
      </c>
      <c r="GB42" s="558">
        <f t="shared" si="66"/>
        <v>21716.83</v>
      </c>
      <c r="GC42" s="558">
        <f t="shared" si="66"/>
        <v>19693.990000000002</v>
      </c>
      <c r="GD42" s="558">
        <f t="shared" si="66"/>
        <v>17608.849999999999</v>
      </c>
      <c r="GE42" s="558">
        <f t="shared" si="66"/>
        <v>15507.09</v>
      </c>
      <c r="GF42" s="558">
        <f t="shared" si="66"/>
        <v>13343.03</v>
      </c>
      <c r="GG42" s="558">
        <f t="shared" si="66"/>
        <v>11129.12</v>
      </c>
      <c r="GH42" s="558">
        <f t="shared" si="66"/>
        <v>8852.91</v>
      </c>
      <c r="GI42" s="558">
        <f t="shared" si="66"/>
        <v>6510.25</v>
      </c>
      <c r="GJ42" s="558">
        <f t="shared" si="66"/>
        <v>4096.96</v>
      </c>
      <c r="GK42" s="558">
        <f t="shared" si="66"/>
        <v>1592.3</v>
      </c>
      <c r="GL42" s="558">
        <f t="shared" si="66"/>
        <v>-1003.74</v>
      </c>
      <c r="GM42" s="558" t="str">
        <f t="shared" si="66"/>
        <v>.</v>
      </c>
      <c r="GN42" s="558" t="str">
        <f t="shared" si="66"/>
        <v>.</v>
      </c>
      <c r="GO42" s="558" t="str">
        <f t="shared" si="66"/>
        <v>.</v>
      </c>
      <c r="GP42" s="558" t="str">
        <f t="shared" si="68"/>
        <v>.</v>
      </c>
      <c r="GQ42" s="558" t="str">
        <f t="shared" si="68"/>
        <v>.</v>
      </c>
      <c r="GR42" s="558" t="str">
        <f t="shared" si="68"/>
        <v>.</v>
      </c>
      <c r="GS42" s="558" t="str">
        <f t="shared" si="68"/>
        <v>.</v>
      </c>
      <c r="GT42" s="558" t="str">
        <f t="shared" si="68"/>
        <v>.</v>
      </c>
      <c r="GU42" s="558" t="str">
        <f t="shared" si="68"/>
        <v>.</v>
      </c>
      <c r="GV42" s="558" t="str">
        <f t="shared" si="68"/>
        <v>.</v>
      </c>
      <c r="GW42" s="558" t="str">
        <f t="shared" si="68"/>
        <v>.</v>
      </c>
      <c r="GX42" s="558" t="str">
        <f t="shared" si="68"/>
        <v>.</v>
      </c>
      <c r="GY42" s="558" t="str">
        <f t="shared" si="68"/>
        <v>.</v>
      </c>
      <c r="GZ42" s="558" t="str">
        <f t="shared" si="68"/>
        <v>.</v>
      </c>
      <c r="HA42" s="558" t="str">
        <f t="shared" si="68"/>
        <v>.</v>
      </c>
      <c r="HB42" s="558" t="str">
        <f t="shared" si="68"/>
        <v>.</v>
      </c>
      <c r="HC42" s="558" t="str">
        <f t="shared" si="68"/>
        <v>.</v>
      </c>
      <c r="HD42" s="558" t="str">
        <f t="shared" si="68"/>
        <v>.</v>
      </c>
      <c r="HE42" s="558" t="str">
        <f t="shared" si="68"/>
        <v>.</v>
      </c>
      <c r="HF42" s="558" t="str">
        <f t="shared" si="69"/>
        <v>.</v>
      </c>
      <c r="HG42" s="558" t="str">
        <f t="shared" si="69"/>
        <v>.</v>
      </c>
      <c r="HH42" s="558" t="str">
        <f t="shared" si="69"/>
        <v>.</v>
      </c>
      <c r="HI42" s="558" t="str">
        <f t="shared" si="69"/>
        <v>.</v>
      </c>
      <c r="HJ42" s="558" t="str">
        <f t="shared" si="69"/>
        <v>.</v>
      </c>
      <c r="HK42" s="558" t="str">
        <f t="shared" si="69"/>
        <v>.</v>
      </c>
      <c r="HL42" s="558" t="str">
        <f t="shared" si="69"/>
        <v>.</v>
      </c>
      <c r="HM42" s="558" t="str">
        <f t="shared" si="69"/>
        <v>.</v>
      </c>
      <c r="HN42" s="558" t="str">
        <f t="shared" si="69"/>
        <v>.</v>
      </c>
      <c r="HO42" s="558" t="str">
        <f t="shared" si="69"/>
        <v>.</v>
      </c>
      <c r="HP42" s="558" t="str">
        <f t="shared" si="64"/>
        <v>.</v>
      </c>
      <c r="HQ42" s="558" t="str">
        <f t="shared" si="64"/>
        <v>.</v>
      </c>
      <c r="HR42" s="558" t="str">
        <f t="shared" si="64"/>
        <v>.</v>
      </c>
      <c r="HS42" s="558" t="str">
        <f t="shared" si="64"/>
        <v>.</v>
      </c>
      <c r="HT42" s="558" t="str">
        <f t="shared" si="64"/>
        <v>.</v>
      </c>
      <c r="HU42" s="558" t="str">
        <f t="shared" si="64"/>
        <v>.</v>
      </c>
      <c r="HV42" s="558" t="str">
        <f t="shared" si="64"/>
        <v>.</v>
      </c>
      <c r="HW42" s="558" t="str">
        <f t="shared" si="64"/>
        <v>.</v>
      </c>
      <c r="HX42" s="558" t="str">
        <f t="shared" si="64"/>
        <v>.</v>
      </c>
      <c r="HY42" s="558" t="str">
        <f t="shared" si="64"/>
        <v>.</v>
      </c>
      <c r="HZ42" s="558" t="str">
        <f t="shared" si="64"/>
        <v>.</v>
      </c>
      <c r="IA42" s="558" t="str">
        <f t="shared" si="64"/>
        <v>.</v>
      </c>
      <c r="IB42" s="558" t="str">
        <f t="shared" si="64"/>
        <v>.</v>
      </c>
      <c r="IC42" s="558" t="str">
        <f t="shared" si="64"/>
        <v>.</v>
      </c>
      <c r="ID42" s="558" t="str">
        <f t="shared" si="64"/>
        <v>.</v>
      </c>
      <c r="IE42" s="558" t="str">
        <f t="shared" si="64"/>
        <v>.</v>
      </c>
      <c r="IF42" s="558" t="str">
        <f t="shared" si="64"/>
        <v>.</v>
      </c>
      <c r="IG42" s="558" t="str">
        <f t="shared" si="65"/>
        <v>.</v>
      </c>
      <c r="IH42" s="558" t="str">
        <f t="shared" si="65"/>
        <v>.</v>
      </c>
      <c r="II42" s="558" t="str">
        <f t="shared" si="65"/>
        <v>.</v>
      </c>
      <c r="IJ42" s="558" t="str">
        <f t="shared" si="65"/>
        <v>.</v>
      </c>
      <c r="IK42" s="558" t="str">
        <f t="shared" si="65"/>
        <v>.</v>
      </c>
      <c r="IL42" s="558" t="str">
        <f t="shared" si="65"/>
        <v>.</v>
      </c>
      <c r="IM42" s="558" t="str">
        <f t="shared" si="65"/>
        <v>.</v>
      </c>
      <c r="IN42" s="558" t="str">
        <f t="shared" si="65"/>
        <v>.</v>
      </c>
      <c r="IO42" s="558" t="str">
        <f t="shared" si="62"/>
        <v>.</v>
      </c>
      <c r="IP42" s="558" t="str">
        <f t="shared" si="62"/>
        <v>.</v>
      </c>
      <c r="IQ42" s="558" t="str">
        <f t="shared" si="62"/>
        <v>.</v>
      </c>
      <c r="IR42" s="558" t="str">
        <f t="shared" si="62"/>
        <v>.</v>
      </c>
      <c r="IS42" s="558" t="str">
        <f t="shared" si="62"/>
        <v>.</v>
      </c>
      <c r="IT42" s="558" t="str">
        <f t="shared" si="62"/>
        <v>.</v>
      </c>
      <c r="IU42" s="558" t="str">
        <f t="shared" si="62"/>
        <v>.</v>
      </c>
      <c r="IV42" s="558" t="str">
        <f t="shared" si="62"/>
        <v>.</v>
      </c>
      <c r="IW42" s="558" t="str">
        <f t="shared" si="62"/>
        <v>.</v>
      </c>
      <c r="IX42" s="558" t="str">
        <f t="shared" si="62"/>
        <v>.</v>
      </c>
      <c r="IY42" s="558" t="str">
        <f t="shared" si="62"/>
        <v>.</v>
      </c>
      <c r="IZ42" s="558" t="str">
        <f t="shared" si="62"/>
        <v>.</v>
      </c>
      <c r="JA42" s="558" t="str">
        <f t="shared" si="62"/>
        <v>.</v>
      </c>
      <c r="JB42" s="558" t="str">
        <f t="shared" si="62"/>
        <v>.</v>
      </c>
      <c r="JC42" s="558" t="str">
        <f t="shared" si="62"/>
        <v>.</v>
      </c>
      <c r="JD42" s="558" t="str">
        <f t="shared" si="62"/>
        <v>.</v>
      </c>
      <c r="JE42" s="558" t="str">
        <f t="shared" si="62"/>
        <v>.</v>
      </c>
      <c r="JF42" s="558" t="str">
        <f t="shared" si="62"/>
        <v>.</v>
      </c>
      <c r="JG42" s="558" t="str">
        <f t="shared" si="62"/>
        <v>.</v>
      </c>
      <c r="JH42" s="558" t="str">
        <f t="shared" si="70"/>
        <v>.</v>
      </c>
      <c r="JI42" s="558" t="str">
        <f t="shared" si="70"/>
        <v>.</v>
      </c>
      <c r="JJ42" s="558" t="str">
        <f t="shared" si="70"/>
        <v>.</v>
      </c>
      <c r="JK42" s="558" t="str">
        <f t="shared" si="70"/>
        <v>.</v>
      </c>
      <c r="JL42" s="558" t="str">
        <f t="shared" si="70"/>
        <v>.</v>
      </c>
    </row>
    <row r="43" spans="1:272" ht="10.199999999999999" x14ac:dyDescent="0.2">
      <c r="A43" s="534">
        <f xml:space="preserve"> Basis!A43</f>
        <v>43</v>
      </c>
      <c r="F43" s="536">
        <f xml:space="preserve"> ROUND(    IF( $A$15=BE_MF_,   AW43,   INDEX( qx!43:43, F$16 ) ),    F$17    )</f>
        <v>5.9999999999999995E-4</v>
      </c>
      <c r="G43" s="536">
        <f xml:space="preserve"> ROUND(    IF( $A$15=BE_MF_,   BB43,   INDEX( wx!43:43, G$16 ) ),    G$17    )</f>
        <v>2.6700000000000002E-2</v>
      </c>
      <c r="H43" s="537">
        <f xml:space="preserve"> ROUND(    IF( $A$15=BE_MF_,   BG43,   INDEX( Kx!43:43, H$16 ) ),    H$17    )</f>
        <v>2171.7399999999998</v>
      </c>
      <c r="I43" s="538">
        <f t="shared" si="55"/>
        <v>2171.7399999999998</v>
      </c>
      <c r="J43" s="539">
        <f t="shared" si="17"/>
        <v>1.0449999999999999</v>
      </c>
      <c r="K43" s="540">
        <f t="shared" si="56"/>
        <v>2</v>
      </c>
      <c r="L43" s="541">
        <f t="shared" si="71"/>
        <v>0</v>
      </c>
      <c r="M43" s="541">
        <f t="shared" si="71"/>
        <v>8.5999999999999993E-2</v>
      </c>
      <c r="O43" s="542" t="b">
        <f t="shared" si="57"/>
        <v>1</v>
      </c>
      <c r="P43" s="493">
        <f t="shared" si="19"/>
        <v>2.7300000000000001E-2</v>
      </c>
      <c r="Q43" s="493">
        <f t="shared" si="20"/>
        <v>0.97270000000000001</v>
      </c>
      <c r="R43" s="543">
        <f t="shared" si="21"/>
        <v>800857</v>
      </c>
      <c r="S43" s="544">
        <f t="shared" si="22"/>
        <v>0.97560975599999999</v>
      </c>
      <c r="T43" s="423">
        <f t="shared" si="23"/>
        <v>276967.46999999997</v>
      </c>
      <c r="U43" s="423">
        <f xml:space="preserve"> IF( $O43,    ROUND(  SUM( T43:T$120), U$17 ),  LEER  )</f>
        <v>5549490.9900000002</v>
      </c>
      <c r="V43" s="493">
        <f t="shared" si="24"/>
        <v>20.0366</v>
      </c>
      <c r="W43" s="493">
        <f t="shared" si="25"/>
        <v>289431.01</v>
      </c>
      <c r="X43" s="493">
        <f xml:space="preserve"> IF( $O43,    ROUND(  SUM( W43:W$120), X$17 ),  LEER  )</f>
        <v>12840439.57</v>
      </c>
      <c r="Y43" s="493">
        <f t="shared" si="26"/>
        <v>46.360799999999998</v>
      </c>
      <c r="Z43" s="493">
        <f t="shared" si="27"/>
        <v>2.3138000000000001</v>
      </c>
      <c r="AA43" s="493">
        <f t="shared" si="28"/>
        <v>1.0092000000000001</v>
      </c>
      <c r="AB43" s="493">
        <f t="shared" si="29"/>
        <v>2.3494000000000002</v>
      </c>
      <c r="AC43" s="545">
        <f t="shared" si="30"/>
        <v>0.38600000000000001</v>
      </c>
      <c r="AD43" s="493">
        <f t="shared" si="31"/>
        <v>2.3386</v>
      </c>
      <c r="AE43" s="493">
        <f t="shared" si="32"/>
        <v>2.9809999999999999</v>
      </c>
      <c r="AF43" s="493">
        <f t="shared" si="33"/>
        <v>2.9809999999999999</v>
      </c>
      <c r="AG43" s="493" t="str">
        <f t="shared" si="34"/>
        <v>.</v>
      </c>
      <c r="AH43" s="493" t="str">
        <f t="shared" si="35"/>
        <v>.</v>
      </c>
      <c r="AI43" s="423">
        <f t="shared" si="36"/>
        <v>2077.79</v>
      </c>
      <c r="AJ43" s="423">
        <f t="shared" si="37"/>
        <v>6193.89</v>
      </c>
      <c r="AK43" s="423">
        <f t="shared" si="38"/>
        <v>516.16</v>
      </c>
      <c r="AN43" s="423">
        <f t="shared" si="72"/>
        <v>19138.400000000001</v>
      </c>
      <c r="AO43" s="423">
        <f t="shared" si="72"/>
        <v>18214.169999999998</v>
      </c>
      <c r="AR43" s="546">
        <f xml:space="preserve"> ROUND(  INDEX( Kx!43:43, AR$16 ),  AR$17 )</f>
        <v>0.78759999999999997</v>
      </c>
      <c r="AS43" s="547">
        <f xml:space="preserve"> ROUND(  INDEX( qx!43:43, AS$16 ),  AS$17 )</f>
        <v>5.9999999999999995E-4</v>
      </c>
      <c r="AT43" s="547">
        <f xml:space="preserve"> ROUND(  INDEX( qx!43:43, AT$16 ),  AT$17 )</f>
        <v>5.0000000000000001E-4</v>
      </c>
      <c r="AU43" s="548" t="str">
        <f t="shared" si="40"/>
        <v>F</v>
      </c>
      <c r="AV43" s="542">
        <f t="shared" si="41"/>
        <v>0.71199999999999997</v>
      </c>
      <c r="AW43" s="542">
        <f t="shared" si="42"/>
        <v>5.9999999999999995E-4</v>
      </c>
      <c r="AX43" s="546">
        <f xml:space="preserve"> ROUND(  INDEX( wx!43:43, AX$16 ),  AX$17 )</f>
        <v>2.47E-2</v>
      </c>
      <c r="AY43" s="546">
        <f xml:space="preserve"> ROUND(  INDEX( wx!43:43, AY$16 ),  AY$17 )</f>
        <v>3.7600000000000001E-2</v>
      </c>
      <c r="AZ43" s="548" t="str">
        <f t="shared" si="43"/>
        <v>M</v>
      </c>
      <c r="BA43" s="542">
        <f t="shared" si="44"/>
        <v>0.84760000000000002</v>
      </c>
      <c r="BB43" s="542">
        <f t="shared" si="45"/>
        <v>2.6700000000000002E-2</v>
      </c>
      <c r="BC43" s="533">
        <f xml:space="preserve"> ROUND(  INDEX( Kx!43:43, BC$16 ),  BC$17 )</f>
        <v>1890.12</v>
      </c>
      <c r="BD43" s="533">
        <f xml:space="preserve"> ROUND(  INDEX( Kx!43:43, BD$16 ),  BD$17 )</f>
        <v>2867.95</v>
      </c>
      <c r="BE43" s="548" t="str">
        <f t="shared" si="58"/>
        <v>F</v>
      </c>
      <c r="BF43" s="542">
        <f t="shared" si="46"/>
        <v>0.71199999999999997</v>
      </c>
      <c r="BG43" s="420">
        <f t="shared" si="47"/>
        <v>2171.7399999999998</v>
      </c>
      <c r="BQ43" s="549"/>
      <c r="BR43" s="423"/>
      <c r="BS43" s="550"/>
      <c r="BT43" s="423"/>
      <c r="BU43" s="551"/>
      <c r="BV43" s="551"/>
      <c r="BW43" s="529"/>
      <c r="BX43" s="552"/>
      <c r="BY43" s="560"/>
      <c r="BZ43" s="559"/>
      <c r="CB43" s="423"/>
      <c r="CC43" s="423"/>
      <c r="CD43" s="423"/>
      <c r="CE43" s="423"/>
      <c r="CF43" s="553"/>
      <c r="CH43" s="423"/>
      <c r="CI43" s="423"/>
      <c r="CJ43" s="423"/>
      <c r="CK43" s="423"/>
      <c r="CL43" s="553"/>
      <c r="CN43" s="423"/>
      <c r="CO43" s="423"/>
      <c r="CP43" s="423"/>
      <c r="CQ43" s="423"/>
      <c r="CR43" s="553"/>
      <c r="EI43" s="553"/>
      <c r="EJ43" s="553"/>
      <c r="EK43" s="423"/>
      <c r="EL43" s="555"/>
      <c r="ES43" s="533"/>
      <c r="ET43" s="533"/>
      <c r="EU43" s="533"/>
      <c r="EV43" s="556"/>
      <c r="EY43" s="533"/>
      <c r="EZ43" s="533"/>
      <c r="FA43" s="556"/>
      <c r="FD43" s="556"/>
      <c r="FE43" s="556"/>
      <c r="FF43" s="556"/>
      <c r="FK43" s="557">
        <f t="shared" si="48"/>
        <v>43</v>
      </c>
      <c r="FL43" s="493">
        <f t="shared" si="59"/>
        <v>46.360799999999998</v>
      </c>
      <c r="FM43" s="493">
        <f t="shared" si="60"/>
        <v>20.0366</v>
      </c>
      <c r="FO43" s="427">
        <f t="shared" si="61"/>
        <v>587926.49000000011</v>
      </c>
      <c r="FP43" s="558">
        <f t="shared" si="67"/>
        <v>46353.14</v>
      </c>
      <c r="FQ43" s="558">
        <f t="shared" si="67"/>
        <v>44667.05</v>
      </c>
      <c r="FR43" s="558">
        <f t="shared" si="67"/>
        <v>42976.79</v>
      </c>
      <c r="FS43" s="558">
        <f t="shared" si="67"/>
        <v>41286.54</v>
      </c>
      <c r="FT43" s="558">
        <f t="shared" si="67"/>
        <v>39538</v>
      </c>
      <c r="FU43" s="558">
        <f t="shared" si="67"/>
        <v>37739.51</v>
      </c>
      <c r="FV43" s="558">
        <f t="shared" si="67"/>
        <v>35957.67</v>
      </c>
      <c r="FW43" s="558">
        <f t="shared" si="67"/>
        <v>34163.33</v>
      </c>
      <c r="FX43" s="558">
        <f t="shared" si="67"/>
        <v>32306.55</v>
      </c>
      <c r="FY43" s="558">
        <f t="shared" si="67"/>
        <v>30374.83</v>
      </c>
      <c r="FZ43" s="558">
        <f t="shared" si="66"/>
        <v>28430.63</v>
      </c>
      <c r="GA43" s="558">
        <f t="shared" si="66"/>
        <v>26457.279999999999</v>
      </c>
      <c r="GB43" s="558">
        <f t="shared" si="66"/>
        <v>24438.13</v>
      </c>
      <c r="GC43" s="558">
        <f t="shared" si="66"/>
        <v>22410.66</v>
      </c>
      <c r="GD43" s="558">
        <f t="shared" si="66"/>
        <v>20320.740000000002</v>
      </c>
      <c r="GE43" s="558">
        <f t="shared" si="66"/>
        <v>18214.169999999998</v>
      </c>
      <c r="GF43" s="558">
        <f t="shared" si="66"/>
        <v>16045.15</v>
      </c>
      <c r="GG43" s="558">
        <f t="shared" si="66"/>
        <v>13826.18</v>
      </c>
      <c r="GH43" s="558">
        <f t="shared" si="66"/>
        <v>11544.75</v>
      </c>
      <c r="GI43" s="558">
        <f t="shared" si="66"/>
        <v>9196.7099999999991</v>
      </c>
      <c r="GJ43" s="558">
        <f t="shared" si="66"/>
        <v>6777.9</v>
      </c>
      <c r="GK43" s="558">
        <f t="shared" si="66"/>
        <v>4267.5</v>
      </c>
      <c r="GL43" s="558">
        <f t="shared" si="66"/>
        <v>1665.51</v>
      </c>
      <c r="GM43" s="558">
        <f t="shared" si="66"/>
        <v>-1032.23</v>
      </c>
      <c r="GN43" s="558" t="str">
        <f t="shared" si="66"/>
        <v>.</v>
      </c>
      <c r="GO43" s="558" t="str">
        <f t="shared" si="66"/>
        <v>.</v>
      </c>
      <c r="GP43" s="558" t="str">
        <f t="shared" si="68"/>
        <v>.</v>
      </c>
      <c r="GQ43" s="558" t="str">
        <f t="shared" si="68"/>
        <v>.</v>
      </c>
      <c r="GR43" s="558" t="str">
        <f t="shared" si="68"/>
        <v>.</v>
      </c>
      <c r="GS43" s="558" t="str">
        <f t="shared" si="68"/>
        <v>.</v>
      </c>
      <c r="GT43" s="558" t="str">
        <f t="shared" si="68"/>
        <v>.</v>
      </c>
      <c r="GU43" s="558" t="str">
        <f t="shared" si="68"/>
        <v>.</v>
      </c>
      <c r="GV43" s="558" t="str">
        <f t="shared" si="68"/>
        <v>.</v>
      </c>
      <c r="GW43" s="558" t="str">
        <f t="shared" si="68"/>
        <v>.</v>
      </c>
      <c r="GX43" s="558" t="str">
        <f t="shared" si="68"/>
        <v>.</v>
      </c>
      <c r="GY43" s="558" t="str">
        <f t="shared" si="68"/>
        <v>.</v>
      </c>
      <c r="GZ43" s="558" t="str">
        <f t="shared" si="68"/>
        <v>.</v>
      </c>
      <c r="HA43" s="558" t="str">
        <f t="shared" si="68"/>
        <v>.</v>
      </c>
      <c r="HB43" s="558" t="str">
        <f t="shared" si="68"/>
        <v>.</v>
      </c>
      <c r="HC43" s="558" t="str">
        <f t="shared" si="68"/>
        <v>.</v>
      </c>
      <c r="HD43" s="558" t="str">
        <f t="shared" si="68"/>
        <v>.</v>
      </c>
      <c r="HE43" s="558" t="str">
        <f t="shared" si="68"/>
        <v>.</v>
      </c>
      <c r="HF43" s="558" t="str">
        <f t="shared" si="69"/>
        <v>.</v>
      </c>
      <c r="HG43" s="558" t="str">
        <f t="shared" si="69"/>
        <v>.</v>
      </c>
      <c r="HH43" s="558" t="str">
        <f t="shared" si="69"/>
        <v>.</v>
      </c>
      <c r="HI43" s="558" t="str">
        <f t="shared" si="69"/>
        <v>.</v>
      </c>
      <c r="HJ43" s="558" t="str">
        <f t="shared" si="69"/>
        <v>.</v>
      </c>
      <c r="HK43" s="558" t="str">
        <f t="shared" si="69"/>
        <v>.</v>
      </c>
      <c r="HL43" s="558" t="str">
        <f t="shared" si="69"/>
        <v>.</v>
      </c>
      <c r="HM43" s="558" t="str">
        <f t="shared" si="69"/>
        <v>.</v>
      </c>
      <c r="HN43" s="558" t="str">
        <f t="shared" si="69"/>
        <v>.</v>
      </c>
      <c r="HO43" s="558" t="str">
        <f t="shared" si="69"/>
        <v>.</v>
      </c>
      <c r="HP43" s="558" t="str">
        <f t="shared" si="64"/>
        <v>.</v>
      </c>
      <c r="HQ43" s="558" t="str">
        <f t="shared" si="64"/>
        <v>.</v>
      </c>
      <c r="HR43" s="558" t="str">
        <f t="shared" si="64"/>
        <v>.</v>
      </c>
      <c r="HS43" s="558" t="str">
        <f t="shared" si="64"/>
        <v>.</v>
      </c>
      <c r="HT43" s="558" t="str">
        <f t="shared" si="64"/>
        <v>.</v>
      </c>
      <c r="HU43" s="558" t="str">
        <f t="shared" si="64"/>
        <v>.</v>
      </c>
      <c r="HV43" s="558" t="str">
        <f t="shared" si="64"/>
        <v>.</v>
      </c>
      <c r="HW43" s="558" t="str">
        <f t="shared" si="64"/>
        <v>.</v>
      </c>
      <c r="HX43" s="558" t="str">
        <f t="shared" si="64"/>
        <v>.</v>
      </c>
      <c r="HY43" s="558" t="str">
        <f t="shared" si="64"/>
        <v>.</v>
      </c>
      <c r="HZ43" s="558" t="str">
        <f t="shared" si="64"/>
        <v>.</v>
      </c>
      <c r="IA43" s="558" t="str">
        <f t="shared" si="64"/>
        <v>.</v>
      </c>
      <c r="IB43" s="558" t="str">
        <f t="shared" si="64"/>
        <v>.</v>
      </c>
      <c r="IC43" s="558" t="str">
        <f t="shared" si="64"/>
        <v>.</v>
      </c>
      <c r="ID43" s="558" t="str">
        <f t="shared" si="64"/>
        <v>.</v>
      </c>
      <c r="IE43" s="558" t="str">
        <f t="shared" si="64"/>
        <v>.</v>
      </c>
      <c r="IF43" s="558" t="str">
        <f t="shared" si="64"/>
        <v>.</v>
      </c>
      <c r="IG43" s="558" t="str">
        <f t="shared" si="65"/>
        <v>.</v>
      </c>
      <c r="IH43" s="558" t="str">
        <f t="shared" si="65"/>
        <v>.</v>
      </c>
      <c r="II43" s="558" t="str">
        <f t="shared" si="65"/>
        <v>.</v>
      </c>
      <c r="IJ43" s="558" t="str">
        <f t="shared" si="65"/>
        <v>.</v>
      </c>
      <c r="IK43" s="558" t="str">
        <f t="shared" si="65"/>
        <v>.</v>
      </c>
      <c r="IL43" s="558" t="str">
        <f t="shared" si="65"/>
        <v>.</v>
      </c>
      <c r="IM43" s="558" t="str">
        <f t="shared" si="65"/>
        <v>.</v>
      </c>
      <c r="IN43" s="558" t="str">
        <f t="shared" si="65"/>
        <v>.</v>
      </c>
      <c r="IO43" s="558" t="str">
        <f t="shared" si="62"/>
        <v>.</v>
      </c>
      <c r="IP43" s="558" t="str">
        <f t="shared" si="62"/>
        <v>.</v>
      </c>
      <c r="IQ43" s="558" t="str">
        <f t="shared" ref="IQ43:IZ46" si="73" xml:space="preserve"> IF(  OR( IQ$18&gt;$FK43, $FK43&gt;$FP$12 ),  LEER,  ROUND( $FO$19 * ( $FL43 - IQ$15 * $FM43 ), IQ$17 )  )</f>
        <v>.</v>
      </c>
      <c r="IR43" s="558" t="str">
        <f t="shared" si="73"/>
        <v>.</v>
      </c>
      <c r="IS43" s="558" t="str">
        <f t="shared" si="73"/>
        <v>.</v>
      </c>
      <c r="IT43" s="558" t="str">
        <f t="shared" si="73"/>
        <v>.</v>
      </c>
      <c r="IU43" s="558" t="str">
        <f t="shared" si="73"/>
        <v>.</v>
      </c>
      <c r="IV43" s="558" t="str">
        <f t="shared" si="73"/>
        <v>.</v>
      </c>
      <c r="IW43" s="558" t="str">
        <f t="shared" si="73"/>
        <v>.</v>
      </c>
      <c r="IX43" s="558" t="str">
        <f t="shared" si="73"/>
        <v>.</v>
      </c>
      <c r="IY43" s="558" t="str">
        <f t="shared" si="73"/>
        <v>.</v>
      </c>
      <c r="IZ43" s="558" t="str">
        <f t="shared" si="73"/>
        <v>.</v>
      </c>
      <c r="JA43" s="558" t="str">
        <f t="shared" ref="JA43:JG46" si="74" xml:space="preserve"> IF(  OR( JA$18&gt;$FK43, $FK43&gt;$FP$12 ),  LEER,  ROUND( $FO$19 * ( $FL43 - JA$15 * $FM43 ), JA$17 )  )</f>
        <v>.</v>
      </c>
      <c r="JB43" s="558" t="str">
        <f t="shared" si="74"/>
        <v>.</v>
      </c>
      <c r="JC43" s="558" t="str">
        <f t="shared" si="74"/>
        <v>.</v>
      </c>
      <c r="JD43" s="558" t="str">
        <f t="shared" si="74"/>
        <v>.</v>
      </c>
      <c r="JE43" s="558" t="str">
        <f t="shared" si="74"/>
        <v>.</v>
      </c>
      <c r="JF43" s="558" t="str">
        <f t="shared" si="74"/>
        <v>.</v>
      </c>
      <c r="JG43" s="558" t="str">
        <f t="shared" si="74"/>
        <v>.</v>
      </c>
      <c r="JH43" s="558" t="str">
        <f t="shared" si="70"/>
        <v>.</v>
      </c>
      <c r="JI43" s="558" t="str">
        <f t="shared" si="70"/>
        <v>.</v>
      </c>
      <c r="JJ43" s="558" t="str">
        <f t="shared" si="70"/>
        <v>.</v>
      </c>
      <c r="JK43" s="558" t="str">
        <f t="shared" si="70"/>
        <v>.</v>
      </c>
      <c r="JL43" s="558" t="str">
        <f t="shared" si="70"/>
        <v>.</v>
      </c>
    </row>
    <row r="44" spans="1:272" ht="10.199999999999999" x14ac:dyDescent="0.2">
      <c r="A44" s="534">
        <f xml:space="preserve"> Basis!A44</f>
        <v>44</v>
      </c>
      <c r="F44" s="536">
        <f xml:space="preserve"> ROUND(    IF( $A$15=BE_MF_,   AW44,   INDEX( qx!44:44, F$16 ) ),    F$17    )</f>
        <v>5.9999999999999995E-4</v>
      </c>
      <c r="G44" s="536">
        <f xml:space="preserve"> ROUND(    IF( $A$15=BE_MF_,   BB44,   INDEX( wx!44:44, G$16 ) ),    G$17    )</f>
        <v>2.5600000000000001E-2</v>
      </c>
      <c r="H44" s="537">
        <f xml:space="preserve"> ROUND(    IF( $A$15=BE_MF_,   BG44,   INDEX( Kx!44:44, H$16 ) ),    H$17    )</f>
        <v>2215.85</v>
      </c>
      <c r="I44" s="538">
        <f t="shared" si="55"/>
        <v>2215.85</v>
      </c>
      <c r="J44" s="539">
        <f t="shared" si="17"/>
        <v>1.0660000000000001</v>
      </c>
      <c r="K44" s="540">
        <f t="shared" si="56"/>
        <v>2</v>
      </c>
      <c r="L44" s="541">
        <f t="shared" si="71"/>
        <v>0</v>
      </c>
      <c r="M44" s="541">
        <f t="shared" si="71"/>
        <v>8.5999999999999993E-2</v>
      </c>
      <c r="O44" s="542" t="b">
        <f t="shared" si="57"/>
        <v>1</v>
      </c>
      <c r="P44" s="493">
        <f t="shared" si="19"/>
        <v>2.6200000000000001E-2</v>
      </c>
      <c r="Q44" s="493">
        <f t="shared" si="20"/>
        <v>0.9738</v>
      </c>
      <c r="R44" s="543">
        <f t="shared" si="21"/>
        <v>778993</v>
      </c>
      <c r="S44" s="544">
        <f t="shared" si="22"/>
        <v>0.97560975599999999</v>
      </c>
      <c r="T44" s="423">
        <f t="shared" si="23"/>
        <v>262835.17</v>
      </c>
      <c r="U44" s="423">
        <f xml:space="preserve"> IF( $O44,    ROUND(  SUM( T44:T$120), U$17 ),  LEER  )</f>
        <v>5272523.5199999996</v>
      </c>
      <c r="V44" s="493">
        <f t="shared" si="24"/>
        <v>20.060199999999998</v>
      </c>
      <c r="W44" s="493">
        <f t="shared" si="25"/>
        <v>280182.28999999998</v>
      </c>
      <c r="X44" s="493">
        <f xml:space="preserve"> IF( $O44,    ROUND(  SUM( W44:W$120), X$17 ),  LEER  )</f>
        <v>12551008.560000001</v>
      </c>
      <c r="Y44" s="493">
        <f t="shared" si="26"/>
        <v>47.752400000000002</v>
      </c>
      <c r="Z44" s="493">
        <f t="shared" si="27"/>
        <v>2.3805000000000001</v>
      </c>
      <c r="AA44" s="493">
        <f t="shared" si="28"/>
        <v>1.0092000000000001</v>
      </c>
      <c r="AB44" s="493">
        <f t="shared" si="29"/>
        <v>2.3494000000000002</v>
      </c>
      <c r="AC44" s="545">
        <f t="shared" si="30"/>
        <v>0.38600000000000001</v>
      </c>
      <c r="AD44" s="493">
        <f t="shared" si="31"/>
        <v>2.4060000000000001</v>
      </c>
      <c r="AE44" s="493">
        <f t="shared" si="32"/>
        <v>3.0547</v>
      </c>
      <c r="AF44" s="493">
        <f t="shared" si="33"/>
        <v>3.0547</v>
      </c>
      <c r="AG44" s="493" t="str">
        <f t="shared" si="34"/>
        <v>.</v>
      </c>
      <c r="AH44" s="493" t="str">
        <f t="shared" si="35"/>
        <v>.</v>
      </c>
      <c r="AI44" s="423">
        <f t="shared" si="36"/>
        <v>2077.79</v>
      </c>
      <c r="AJ44" s="423">
        <f t="shared" si="37"/>
        <v>6347.03</v>
      </c>
      <c r="AK44" s="423">
        <f t="shared" si="38"/>
        <v>528.91999999999996</v>
      </c>
      <c r="AN44" s="423">
        <f t="shared" si="72"/>
        <v>21938.93</v>
      </c>
      <c r="AO44" s="423">
        <f t="shared" si="72"/>
        <v>21013.62</v>
      </c>
      <c r="AR44" s="546">
        <f xml:space="preserve"> ROUND(  INDEX( Kx!44:44, AR$16 ),  AR$17 )</f>
        <v>0.7873</v>
      </c>
      <c r="AS44" s="547">
        <f xml:space="preserve"> ROUND(  INDEX( qx!44:44, AS$16 ),  AS$17 )</f>
        <v>6.9999999999999999E-4</v>
      </c>
      <c r="AT44" s="547">
        <f xml:space="preserve"> ROUND(  INDEX( qx!44:44, AT$16 ),  AT$17 )</f>
        <v>5.0000000000000001E-4</v>
      </c>
      <c r="AU44" s="548" t="str">
        <f t="shared" si="40"/>
        <v>F</v>
      </c>
      <c r="AV44" s="542">
        <f t="shared" si="41"/>
        <v>0.71160000000000001</v>
      </c>
      <c r="AW44" s="542">
        <f t="shared" si="42"/>
        <v>5.9999999999999995E-4</v>
      </c>
      <c r="AX44" s="546">
        <f xml:space="preserve"> ROUND(  INDEX( wx!44:44, AX$16 ),  AX$17 )</f>
        <v>2.3800000000000002E-2</v>
      </c>
      <c r="AY44" s="546">
        <f xml:space="preserve"> ROUND(  INDEX( wx!44:44, AY$16 ),  AY$17 )</f>
        <v>3.5900000000000001E-2</v>
      </c>
      <c r="AZ44" s="548" t="str">
        <f t="shared" si="43"/>
        <v>M</v>
      </c>
      <c r="BA44" s="542">
        <f t="shared" si="44"/>
        <v>0.84740000000000004</v>
      </c>
      <c r="BB44" s="542">
        <f t="shared" si="45"/>
        <v>2.5600000000000001E-2</v>
      </c>
      <c r="BC44" s="533">
        <f xml:space="preserve"> ROUND(  INDEX( Kx!44:44, BC$16 ),  BC$17 )</f>
        <v>1956.93</v>
      </c>
      <c r="BD44" s="533">
        <f xml:space="preserve"> ROUND(  INDEX( Kx!44:44, BD$16 ),  BD$17 )</f>
        <v>2854.7</v>
      </c>
      <c r="BE44" s="548" t="str">
        <f t="shared" si="58"/>
        <v>F</v>
      </c>
      <c r="BF44" s="542">
        <f t="shared" si="46"/>
        <v>0.71160000000000001</v>
      </c>
      <c r="BG44" s="420">
        <f t="shared" si="47"/>
        <v>2215.85</v>
      </c>
      <c r="BQ44" s="549"/>
      <c r="BR44" s="423"/>
      <c r="BS44" s="550"/>
      <c r="BT44" s="423"/>
      <c r="BU44" s="551"/>
      <c r="BV44" s="551"/>
      <c r="BW44" s="529"/>
      <c r="BX44" s="552"/>
      <c r="BY44" s="560"/>
      <c r="BZ44" s="559"/>
      <c r="CB44" s="423"/>
      <c r="CC44" s="423"/>
      <c r="CD44" s="423"/>
      <c r="CE44" s="423"/>
      <c r="CF44" s="553"/>
      <c r="CH44" s="423"/>
      <c r="CI44" s="423"/>
      <c r="CJ44" s="423"/>
      <c r="CK44" s="423"/>
      <c r="CL44" s="553"/>
      <c r="CN44" s="423"/>
      <c r="CO44" s="423"/>
      <c r="CP44" s="423"/>
      <c r="CQ44" s="423"/>
      <c r="CR44" s="553"/>
      <c r="EI44" s="553"/>
      <c r="EJ44" s="553"/>
      <c r="EK44" s="423"/>
      <c r="EL44" s="555"/>
      <c r="ES44" s="533"/>
      <c r="ET44" s="533"/>
      <c r="EU44" s="533"/>
      <c r="EV44" s="556"/>
      <c r="EY44" s="533"/>
      <c r="EZ44" s="533"/>
      <c r="FA44" s="556"/>
      <c r="FD44" s="556"/>
      <c r="FE44" s="556"/>
      <c r="FF44" s="556"/>
      <c r="FK44" s="557">
        <f t="shared" si="48"/>
        <v>44</v>
      </c>
      <c r="FL44" s="493">
        <f t="shared" si="59"/>
        <v>47.752400000000002</v>
      </c>
      <c r="FM44" s="493">
        <f t="shared" si="60"/>
        <v>20.060199999999998</v>
      </c>
      <c r="FO44" s="427">
        <f t="shared" si="61"/>
        <v>654226.07000000007</v>
      </c>
      <c r="FP44" s="558">
        <f t="shared" si="67"/>
        <v>49185.73</v>
      </c>
      <c r="FQ44" s="558">
        <f t="shared" si="67"/>
        <v>47497.65</v>
      </c>
      <c r="FR44" s="558">
        <f t="shared" si="67"/>
        <v>45805.41</v>
      </c>
      <c r="FS44" s="558">
        <f t="shared" si="67"/>
        <v>44113.16</v>
      </c>
      <c r="FT44" s="558">
        <f t="shared" si="67"/>
        <v>42362.57</v>
      </c>
      <c r="FU44" s="558">
        <f t="shared" si="67"/>
        <v>40561.949999999997</v>
      </c>
      <c r="FV44" s="558">
        <f t="shared" si="67"/>
        <v>38778.01</v>
      </c>
      <c r="FW44" s="558">
        <f t="shared" si="67"/>
        <v>36981.56</v>
      </c>
      <c r="FX44" s="558">
        <f t="shared" si="67"/>
        <v>35122.6</v>
      </c>
      <c r="FY44" s="558">
        <f t="shared" si="67"/>
        <v>33188.6</v>
      </c>
      <c r="FZ44" s="558">
        <f t="shared" si="66"/>
        <v>31242.11</v>
      </c>
      <c r="GA44" s="558">
        <f t="shared" si="66"/>
        <v>29266.43</v>
      </c>
      <c r="GB44" s="558">
        <f t="shared" si="66"/>
        <v>27244.91</v>
      </c>
      <c r="GC44" s="558">
        <f t="shared" si="66"/>
        <v>25215.05</v>
      </c>
      <c r="GD44" s="558">
        <f t="shared" si="66"/>
        <v>23122.67</v>
      </c>
      <c r="GE44" s="558">
        <f t="shared" si="66"/>
        <v>21013.62</v>
      </c>
      <c r="GF44" s="558">
        <f t="shared" si="66"/>
        <v>18842.04</v>
      </c>
      <c r="GG44" s="558">
        <f t="shared" si="66"/>
        <v>16620.45</v>
      </c>
      <c r="GH44" s="558">
        <f t="shared" si="66"/>
        <v>14336.34</v>
      </c>
      <c r="GI44" s="558">
        <f t="shared" si="66"/>
        <v>11985.54</v>
      </c>
      <c r="GJ44" s="558">
        <f t="shared" si="66"/>
        <v>9563.8799999999992</v>
      </c>
      <c r="GK44" s="558">
        <f t="shared" si="66"/>
        <v>7050.52</v>
      </c>
      <c r="GL44" s="558">
        <f t="shared" si="66"/>
        <v>4445.47</v>
      </c>
      <c r="GM44" s="558">
        <f t="shared" si="66"/>
        <v>1744.55</v>
      </c>
      <c r="GN44" s="558">
        <f t="shared" si="66"/>
        <v>-1064.75</v>
      </c>
      <c r="GO44" s="558" t="str">
        <f t="shared" si="66"/>
        <v>.</v>
      </c>
      <c r="GP44" s="558" t="str">
        <f t="shared" si="68"/>
        <v>.</v>
      </c>
      <c r="GQ44" s="558" t="str">
        <f t="shared" si="68"/>
        <v>.</v>
      </c>
      <c r="GR44" s="558" t="str">
        <f t="shared" si="68"/>
        <v>.</v>
      </c>
      <c r="GS44" s="558" t="str">
        <f t="shared" si="68"/>
        <v>.</v>
      </c>
      <c r="GT44" s="558" t="str">
        <f t="shared" si="68"/>
        <v>.</v>
      </c>
      <c r="GU44" s="558" t="str">
        <f t="shared" si="68"/>
        <v>.</v>
      </c>
      <c r="GV44" s="558" t="str">
        <f t="shared" si="68"/>
        <v>.</v>
      </c>
      <c r="GW44" s="558" t="str">
        <f t="shared" si="68"/>
        <v>.</v>
      </c>
      <c r="GX44" s="558" t="str">
        <f t="shared" si="68"/>
        <v>.</v>
      </c>
      <c r="GY44" s="558" t="str">
        <f t="shared" si="68"/>
        <v>.</v>
      </c>
      <c r="GZ44" s="558" t="str">
        <f t="shared" si="68"/>
        <v>.</v>
      </c>
      <c r="HA44" s="558" t="str">
        <f t="shared" si="68"/>
        <v>.</v>
      </c>
      <c r="HB44" s="558" t="str">
        <f t="shared" si="68"/>
        <v>.</v>
      </c>
      <c r="HC44" s="558" t="str">
        <f t="shared" si="68"/>
        <v>.</v>
      </c>
      <c r="HD44" s="558" t="str">
        <f t="shared" si="68"/>
        <v>.</v>
      </c>
      <c r="HE44" s="558" t="str">
        <f t="shared" si="68"/>
        <v>.</v>
      </c>
      <c r="HF44" s="558" t="str">
        <f t="shared" si="69"/>
        <v>.</v>
      </c>
      <c r="HG44" s="558" t="str">
        <f t="shared" si="69"/>
        <v>.</v>
      </c>
      <c r="HH44" s="558" t="str">
        <f t="shared" si="69"/>
        <v>.</v>
      </c>
      <c r="HI44" s="558" t="str">
        <f t="shared" si="69"/>
        <v>.</v>
      </c>
      <c r="HJ44" s="558" t="str">
        <f t="shared" si="69"/>
        <v>.</v>
      </c>
      <c r="HK44" s="558" t="str">
        <f t="shared" si="69"/>
        <v>.</v>
      </c>
      <c r="HL44" s="558" t="str">
        <f t="shared" si="69"/>
        <v>.</v>
      </c>
      <c r="HM44" s="558" t="str">
        <f t="shared" si="69"/>
        <v>.</v>
      </c>
      <c r="HN44" s="558" t="str">
        <f t="shared" si="69"/>
        <v>.</v>
      </c>
      <c r="HO44" s="558" t="str">
        <f t="shared" si="69"/>
        <v>.</v>
      </c>
      <c r="HP44" s="558" t="str">
        <f t="shared" si="64"/>
        <v>.</v>
      </c>
      <c r="HQ44" s="558" t="str">
        <f t="shared" si="64"/>
        <v>.</v>
      </c>
      <c r="HR44" s="558" t="str">
        <f t="shared" si="64"/>
        <v>.</v>
      </c>
      <c r="HS44" s="558" t="str">
        <f t="shared" si="64"/>
        <v>.</v>
      </c>
      <c r="HT44" s="558" t="str">
        <f t="shared" si="64"/>
        <v>.</v>
      </c>
      <c r="HU44" s="558" t="str">
        <f t="shared" si="64"/>
        <v>.</v>
      </c>
      <c r="HV44" s="558" t="str">
        <f t="shared" si="64"/>
        <v>.</v>
      </c>
      <c r="HW44" s="558" t="str">
        <f t="shared" si="64"/>
        <v>.</v>
      </c>
      <c r="HX44" s="558" t="str">
        <f t="shared" si="64"/>
        <v>.</v>
      </c>
      <c r="HY44" s="558" t="str">
        <f t="shared" si="64"/>
        <v>.</v>
      </c>
      <c r="HZ44" s="558" t="str">
        <f t="shared" si="64"/>
        <v>.</v>
      </c>
      <c r="IA44" s="558" t="str">
        <f t="shared" si="64"/>
        <v>.</v>
      </c>
      <c r="IB44" s="558" t="str">
        <f t="shared" si="64"/>
        <v>.</v>
      </c>
      <c r="IC44" s="558" t="str">
        <f t="shared" si="64"/>
        <v>.</v>
      </c>
      <c r="ID44" s="558" t="str">
        <f t="shared" si="64"/>
        <v>.</v>
      </c>
      <c r="IE44" s="558" t="str">
        <f t="shared" si="64"/>
        <v>.</v>
      </c>
      <c r="IF44" s="558" t="str">
        <f t="shared" si="64"/>
        <v>.</v>
      </c>
      <c r="IG44" s="558" t="str">
        <f t="shared" si="65"/>
        <v>.</v>
      </c>
      <c r="IH44" s="558" t="str">
        <f t="shared" si="65"/>
        <v>.</v>
      </c>
      <c r="II44" s="558" t="str">
        <f t="shared" si="65"/>
        <v>.</v>
      </c>
      <c r="IJ44" s="558" t="str">
        <f t="shared" si="65"/>
        <v>.</v>
      </c>
      <c r="IK44" s="558" t="str">
        <f t="shared" si="65"/>
        <v>.</v>
      </c>
      <c r="IL44" s="558" t="str">
        <f t="shared" si="65"/>
        <v>.</v>
      </c>
      <c r="IM44" s="558" t="str">
        <f t="shared" si="65"/>
        <v>.</v>
      </c>
      <c r="IN44" s="558" t="str">
        <f t="shared" si="65"/>
        <v>.</v>
      </c>
      <c r="IO44" s="558" t="str">
        <f t="shared" ref="IO44:IP46" si="75" xml:space="preserve"> IF(  OR( IO$18&gt;$FK44, $FK44&gt;$FP$12 ),  LEER,  ROUND( $FO$19 * ( $FL44 - IO$15 * $FM44 ), IO$17 )  )</f>
        <v>.</v>
      </c>
      <c r="IP44" s="558" t="str">
        <f t="shared" si="75"/>
        <v>.</v>
      </c>
      <c r="IQ44" s="558" t="str">
        <f t="shared" si="73"/>
        <v>.</v>
      </c>
      <c r="IR44" s="558" t="str">
        <f t="shared" si="73"/>
        <v>.</v>
      </c>
      <c r="IS44" s="558" t="str">
        <f t="shared" si="73"/>
        <v>.</v>
      </c>
      <c r="IT44" s="558" t="str">
        <f t="shared" si="73"/>
        <v>.</v>
      </c>
      <c r="IU44" s="558" t="str">
        <f t="shared" si="73"/>
        <v>.</v>
      </c>
      <c r="IV44" s="558" t="str">
        <f t="shared" si="73"/>
        <v>.</v>
      </c>
      <c r="IW44" s="558" t="str">
        <f t="shared" si="73"/>
        <v>.</v>
      </c>
      <c r="IX44" s="558" t="str">
        <f t="shared" si="73"/>
        <v>.</v>
      </c>
      <c r="IY44" s="558" t="str">
        <f t="shared" si="73"/>
        <v>.</v>
      </c>
      <c r="IZ44" s="558" t="str">
        <f t="shared" si="73"/>
        <v>.</v>
      </c>
      <c r="JA44" s="558" t="str">
        <f t="shared" si="74"/>
        <v>.</v>
      </c>
      <c r="JB44" s="558" t="str">
        <f t="shared" si="74"/>
        <v>.</v>
      </c>
      <c r="JC44" s="558" t="str">
        <f t="shared" si="74"/>
        <v>.</v>
      </c>
      <c r="JD44" s="558" t="str">
        <f t="shared" si="74"/>
        <v>.</v>
      </c>
      <c r="JE44" s="558" t="str">
        <f t="shared" si="74"/>
        <v>.</v>
      </c>
      <c r="JF44" s="558" t="str">
        <f t="shared" si="74"/>
        <v>.</v>
      </c>
      <c r="JG44" s="558" t="str">
        <f t="shared" si="74"/>
        <v>.</v>
      </c>
      <c r="JH44" s="558" t="str">
        <f t="shared" si="70"/>
        <v>.</v>
      </c>
      <c r="JI44" s="558" t="str">
        <f t="shared" si="70"/>
        <v>.</v>
      </c>
      <c r="JJ44" s="558" t="str">
        <f t="shared" si="70"/>
        <v>.</v>
      </c>
      <c r="JK44" s="558" t="str">
        <f t="shared" si="70"/>
        <v>.</v>
      </c>
      <c r="JL44" s="558" t="str">
        <f t="shared" si="70"/>
        <v>.</v>
      </c>
    </row>
    <row r="45" spans="1:272" ht="10.199999999999999" x14ac:dyDescent="0.2">
      <c r="A45" s="534">
        <f xml:space="preserve"> Basis!A45</f>
        <v>45</v>
      </c>
      <c r="F45" s="536">
        <f xml:space="preserve"> ROUND(    IF( $A$15=BE_MF_,   AW45,   INDEX( qx!45:45, F$16 ) ),    F$17    )</f>
        <v>6.9999999999999999E-4</v>
      </c>
      <c r="G45" s="536">
        <f xml:space="preserve"> ROUND(    IF( $A$15=BE_MF_,   BB45,   INDEX( wx!45:45, G$16 ) ),    G$17    )</f>
        <v>2.5000000000000001E-2</v>
      </c>
      <c r="H45" s="537">
        <f xml:space="preserve"> ROUND(    IF( $A$15=BE_MF_,   BG45,   INDEX( Kx!45:45, H$16 ) ),    H$17    )</f>
        <v>2265.0100000000002</v>
      </c>
      <c r="I45" s="538">
        <f t="shared" si="55"/>
        <v>2265.0100000000002</v>
      </c>
      <c r="J45" s="539">
        <f t="shared" si="17"/>
        <v>1.0900000000000001</v>
      </c>
      <c r="K45" s="540">
        <f t="shared" si="56"/>
        <v>2</v>
      </c>
      <c r="L45" s="541">
        <f t="shared" si="71"/>
        <v>0</v>
      </c>
      <c r="M45" s="541">
        <f t="shared" si="71"/>
        <v>8.5999999999999993E-2</v>
      </c>
      <c r="O45" s="542" t="b">
        <f t="shared" si="57"/>
        <v>1</v>
      </c>
      <c r="P45" s="493">
        <f t="shared" si="19"/>
        <v>2.5700000000000001E-2</v>
      </c>
      <c r="Q45" s="493">
        <f t="shared" si="20"/>
        <v>0.97430000000000005</v>
      </c>
      <c r="R45" s="543">
        <f t="shared" si="21"/>
        <v>758583</v>
      </c>
      <c r="S45" s="544">
        <f t="shared" si="22"/>
        <v>0.97560975599999999</v>
      </c>
      <c r="T45" s="423">
        <f t="shared" si="23"/>
        <v>249706.11</v>
      </c>
      <c r="U45" s="423">
        <f xml:space="preserve"> IF( $O45,    ROUND(  SUM( T45:T$120), U$17 ),  LEER  )</f>
        <v>5009688.3499999996</v>
      </c>
      <c r="V45" s="493">
        <f t="shared" si="24"/>
        <v>20.0623</v>
      </c>
      <c r="W45" s="493">
        <f t="shared" si="25"/>
        <v>272179.65999999997</v>
      </c>
      <c r="X45" s="493">
        <f xml:space="preserve"> IF( $O45,    ROUND(  SUM( W45:W$120), X$17 ),  LEER  )</f>
        <v>12270826.27</v>
      </c>
      <c r="Y45" s="493">
        <f t="shared" si="26"/>
        <v>49.141100000000002</v>
      </c>
      <c r="Z45" s="493">
        <f t="shared" si="27"/>
        <v>2.4493999999999998</v>
      </c>
      <c r="AA45" s="493">
        <f t="shared" si="28"/>
        <v>1.0092000000000001</v>
      </c>
      <c r="AB45" s="493">
        <f t="shared" si="29"/>
        <v>2.3494000000000002</v>
      </c>
      <c r="AC45" s="545">
        <f t="shared" si="30"/>
        <v>0.38600000000000001</v>
      </c>
      <c r="AD45" s="493">
        <f t="shared" si="31"/>
        <v>2.4754999999999998</v>
      </c>
      <c r="AE45" s="493">
        <f t="shared" si="32"/>
        <v>3.1307</v>
      </c>
      <c r="AF45" s="493">
        <f t="shared" si="33"/>
        <v>3.1307</v>
      </c>
      <c r="AG45" s="493" t="str">
        <f t="shared" si="34"/>
        <v>.</v>
      </c>
      <c r="AH45" s="493" t="str">
        <f t="shared" si="35"/>
        <v>.</v>
      </c>
      <c r="AI45" s="423">
        <f t="shared" si="36"/>
        <v>2077.79</v>
      </c>
      <c r="AJ45" s="423">
        <f t="shared" si="37"/>
        <v>6504.94</v>
      </c>
      <c r="AK45" s="423">
        <f t="shared" si="38"/>
        <v>542.08000000000004</v>
      </c>
      <c r="AN45" s="423">
        <f t="shared" si="72"/>
        <v>24816.27</v>
      </c>
      <c r="AO45" s="423">
        <f t="shared" si="72"/>
        <v>23890.86</v>
      </c>
      <c r="AR45" s="546">
        <f xml:space="preserve"> ROUND(  INDEX( Kx!45:45, AR$16 ),  AR$17 )</f>
        <v>0.79200000000000004</v>
      </c>
      <c r="AS45" s="547">
        <f xml:space="preserve"> ROUND(  INDEX( qx!45:45, AS$16 ),  AS$17 )</f>
        <v>8.0000000000000004E-4</v>
      </c>
      <c r="AT45" s="547">
        <f xml:space="preserve"> ROUND(  INDEX( qx!45:45, AT$16 ),  AT$17 )</f>
        <v>5.9999999999999995E-4</v>
      </c>
      <c r="AU45" s="548" t="str">
        <f t="shared" si="40"/>
        <v>F</v>
      </c>
      <c r="AV45" s="542">
        <f t="shared" si="41"/>
        <v>0.71740000000000004</v>
      </c>
      <c r="AW45" s="542">
        <f t="shared" si="42"/>
        <v>6.9999999999999999E-4</v>
      </c>
      <c r="AX45" s="546">
        <f xml:space="preserve"> ROUND(  INDEX( wx!45:45, AX$16 ),  AX$17 )</f>
        <v>2.3300000000000001E-2</v>
      </c>
      <c r="AY45" s="546">
        <f xml:space="preserve"> ROUND(  INDEX( wx!45:45, AY$16 ),  AY$17 )</f>
        <v>3.4700000000000002E-2</v>
      </c>
      <c r="AZ45" s="548" t="str">
        <f t="shared" si="43"/>
        <v>M</v>
      </c>
      <c r="BA45" s="542">
        <f t="shared" si="44"/>
        <v>0.85099999999999998</v>
      </c>
      <c r="BB45" s="542">
        <f t="shared" si="45"/>
        <v>2.5000000000000001E-2</v>
      </c>
      <c r="BC45" s="533">
        <f xml:space="preserve"> ROUND(  INDEX( Kx!45:45, BC$16 ),  BC$17 )</f>
        <v>2029.37</v>
      </c>
      <c r="BD45" s="533">
        <f xml:space="preserve"> ROUND(  INDEX( Kx!45:45, BD$16 ),  BD$17 )</f>
        <v>2863.2</v>
      </c>
      <c r="BE45" s="548" t="str">
        <f t="shared" si="58"/>
        <v>F</v>
      </c>
      <c r="BF45" s="542">
        <f t="shared" si="46"/>
        <v>0.71740000000000004</v>
      </c>
      <c r="BG45" s="420">
        <f t="shared" si="47"/>
        <v>2265.0100000000002</v>
      </c>
      <c r="BQ45" s="549"/>
      <c r="BR45" s="423"/>
      <c r="BS45" s="550"/>
      <c r="BT45" s="423"/>
      <c r="BU45" s="551"/>
      <c r="BV45" s="551"/>
      <c r="BW45" s="529"/>
      <c r="BX45" s="552"/>
      <c r="BY45" s="560"/>
      <c r="BZ45" s="559"/>
      <c r="CB45" s="423"/>
      <c r="CC45" s="423"/>
      <c r="CD45" s="423"/>
      <c r="CE45" s="423"/>
      <c r="CF45" s="553"/>
      <c r="CH45" s="423"/>
      <c r="CI45" s="423"/>
      <c r="CJ45" s="423"/>
      <c r="CK45" s="423"/>
      <c r="CL45" s="553"/>
      <c r="CN45" s="423"/>
      <c r="CO45" s="423"/>
      <c r="CP45" s="423"/>
      <c r="CQ45" s="423"/>
      <c r="CR45" s="553"/>
      <c r="EI45" s="553"/>
      <c r="EJ45" s="553"/>
      <c r="EK45" s="423"/>
      <c r="EL45" s="555"/>
      <c r="ES45" s="533"/>
      <c r="ET45" s="533"/>
      <c r="EU45" s="533"/>
      <c r="EV45" s="556"/>
      <c r="EY45" s="533"/>
      <c r="EZ45" s="533"/>
      <c r="FA45" s="556"/>
      <c r="FD45" s="556"/>
      <c r="FE45" s="556"/>
      <c r="FF45" s="556"/>
      <c r="FK45" s="557">
        <f t="shared" si="48"/>
        <v>45</v>
      </c>
      <c r="FL45" s="493">
        <f t="shared" si="59"/>
        <v>49.141100000000002</v>
      </c>
      <c r="FM45" s="493">
        <f t="shared" si="60"/>
        <v>20.0623</v>
      </c>
      <c r="FO45" s="427">
        <f t="shared" si="61"/>
        <v>725083.62000000011</v>
      </c>
      <c r="FP45" s="558">
        <f t="shared" si="67"/>
        <v>52065.919999999998</v>
      </c>
      <c r="FQ45" s="558">
        <f t="shared" si="67"/>
        <v>50377.66</v>
      </c>
      <c r="FR45" s="558">
        <f t="shared" si="67"/>
        <v>48685.24</v>
      </c>
      <c r="FS45" s="558">
        <f t="shared" si="67"/>
        <v>46992.82</v>
      </c>
      <c r="FT45" s="558">
        <f t="shared" si="67"/>
        <v>45242.04</v>
      </c>
      <c r="FU45" s="558">
        <f t="shared" si="67"/>
        <v>43441.24</v>
      </c>
      <c r="FV45" s="558">
        <f t="shared" si="67"/>
        <v>41657.11</v>
      </c>
      <c r="FW45" s="558">
        <f t="shared" si="67"/>
        <v>39860.480000000003</v>
      </c>
      <c r="FX45" s="558">
        <f t="shared" si="67"/>
        <v>38001.31</v>
      </c>
      <c r="FY45" s="558">
        <f t="shared" si="67"/>
        <v>36067.120000000003</v>
      </c>
      <c r="FZ45" s="558">
        <f t="shared" si="66"/>
        <v>34120.42</v>
      </c>
      <c r="GA45" s="558">
        <f t="shared" si="66"/>
        <v>32144.54</v>
      </c>
      <c r="GB45" s="558">
        <f t="shared" si="66"/>
        <v>30122.799999999999</v>
      </c>
      <c r="GC45" s="558">
        <f t="shared" si="66"/>
        <v>28092.73</v>
      </c>
      <c r="GD45" s="558">
        <f t="shared" si="66"/>
        <v>26000.13</v>
      </c>
      <c r="GE45" s="558">
        <f t="shared" si="66"/>
        <v>23890.86</v>
      </c>
      <c r="GF45" s="558">
        <f t="shared" si="66"/>
        <v>21719.06</v>
      </c>
      <c r="GG45" s="558">
        <f t="shared" si="66"/>
        <v>19497.23</v>
      </c>
      <c r="GH45" s="558">
        <f t="shared" si="66"/>
        <v>17212.88</v>
      </c>
      <c r="GI45" s="558">
        <f t="shared" si="66"/>
        <v>14861.83</v>
      </c>
      <c r="GJ45" s="558">
        <f t="shared" si="66"/>
        <v>12439.92</v>
      </c>
      <c r="GK45" s="558">
        <f t="shared" si="66"/>
        <v>9926.2999999999993</v>
      </c>
      <c r="GL45" s="558">
        <f t="shared" si="66"/>
        <v>7320.97</v>
      </c>
      <c r="GM45" s="558">
        <f t="shared" si="66"/>
        <v>4619.7700000000004</v>
      </c>
      <c r="GN45" s="558">
        <f t="shared" si="66"/>
        <v>1810.18</v>
      </c>
      <c r="GO45" s="558">
        <f t="shared" si="66"/>
        <v>-1086.94</v>
      </c>
      <c r="GP45" s="558" t="str">
        <f t="shared" si="68"/>
        <v>.</v>
      </c>
      <c r="GQ45" s="558" t="str">
        <f t="shared" si="68"/>
        <v>.</v>
      </c>
      <c r="GR45" s="558" t="str">
        <f t="shared" si="68"/>
        <v>.</v>
      </c>
      <c r="GS45" s="558" t="str">
        <f t="shared" si="68"/>
        <v>.</v>
      </c>
      <c r="GT45" s="558" t="str">
        <f t="shared" si="68"/>
        <v>.</v>
      </c>
      <c r="GU45" s="558" t="str">
        <f t="shared" si="68"/>
        <v>.</v>
      </c>
      <c r="GV45" s="558" t="str">
        <f t="shared" si="68"/>
        <v>.</v>
      </c>
      <c r="GW45" s="558" t="str">
        <f t="shared" si="68"/>
        <v>.</v>
      </c>
      <c r="GX45" s="558" t="str">
        <f t="shared" si="68"/>
        <v>.</v>
      </c>
      <c r="GY45" s="558" t="str">
        <f t="shared" si="68"/>
        <v>.</v>
      </c>
      <c r="GZ45" s="558" t="str">
        <f t="shared" si="68"/>
        <v>.</v>
      </c>
      <c r="HA45" s="558" t="str">
        <f t="shared" si="68"/>
        <v>.</v>
      </c>
      <c r="HB45" s="558" t="str">
        <f t="shared" si="68"/>
        <v>.</v>
      </c>
      <c r="HC45" s="558" t="str">
        <f t="shared" si="68"/>
        <v>.</v>
      </c>
      <c r="HD45" s="558" t="str">
        <f t="shared" si="68"/>
        <v>.</v>
      </c>
      <c r="HE45" s="558" t="str">
        <f t="shared" si="68"/>
        <v>.</v>
      </c>
      <c r="HF45" s="558" t="str">
        <f t="shared" si="69"/>
        <v>.</v>
      </c>
      <c r="HG45" s="558" t="str">
        <f t="shared" si="69"/>
        <v>.</v>
      </c>
      <c r="HH45" s="558" t="str">
        <f t="shared" si="69"/>
        <v>.</v>
      </c>
      <c r="HI45" s="558" t="str">
        <f t="shared" si="69"/>
        <v>.</v>
      </c>
      <c r="HJ45" s="558" t="str">
        <f t="shared" si="69"/>
        <v>.</v>
      </c>
      <c r="HK45" s="558" t="str">
        <f t="shared" si="69"/>
        <v>.</v>
      </c>
      <c r="HL45" s="558" t="str">
        <f t="shared" si="69"/>
        <v>.</v>
      </c>
      <c r="HM45" s="558" t="str">
        <f t="shared" si="69"/>
        <v>.</v>
      </c>
      <c r="HN45" s="558" t="str">
        <f t="shared" si="69"/>
        <v>.</v>
      </c>
      <c r="HO45" s="558" t="str">
        <f t="shared" si="69"/>
        <v>.</v>
      </c>
      <c r="HP45" s="558" t="str">
        <f t="shared" si="64"/>
        <v>.</v>
      </c>
      <c r="HQ45" s="558" t="str">
        <f t="shared" si="64"/>
        <v>.</v>
      </c>
      <c r="HR45" s="558" t="str">
        <f t="shared" si="64"/>
        <v>.</v>
      </c>
      <c r="HS45" s="558" t="str">
        <f t="shared" si="64"/>
        <v>.</v>
      </c>
      <c r="HT45" s="558" t="str">
        <f t="shared" si="64"/>
        <v>.</v>
      </c>
      <c r="HU45" s="558" t="str">
        <f t="shared" si="64"/>
        <v>.</v>
      </c>
      <c r="HV45" s="558" t="str">
        <f t="shared" si="64"/>
        <v>.</v>
      </c>
      <c r="HW45" s="558" t="str">
        <f t="shared" si="64"/>
        <v>.</v>
      </c>
      <c r="HX45" s="558" t="str">
        <f t="shared" si="64"/>
        <v>.</v>
      </c>
      <c r="HY45" s="558" t="str">
        <f t="shared" si="64"/>
        <v>.</v>
      </c>
      <c r="HZ45" s="558" t="str">
        <f t="shared" si="64"/>
        <v>.</v>
      </c>
      <c r="IA45" s="558" t="str">
        <f t="shared" si="64"/>
        <v>.</v>
      </c>
      <c r="IB45" s="558" t="str">
        <f t="shared" si="64"/>
        <v>.</v>
      </c>
      <c r="IC45" s="558" t="str">
        <f t="shared" si="64"/>
        <v>.</v>
      </c>
      <c r="ID45" s="558" t="str">
        <f t="shared" si="64"/>
        <v>.</v>
      </c>
      <c r="IE45" s="558" t="str">
        <f t="shared" si="64"/>
        <v>.</v>
      </c>
      <c r="IF45" s="558" t="str">
        <f t="shared" si="64"/>
        <v>.</v>
      </c>
      <c r="IG45" s="558" t="str">
        <f t="shared" si="65"/>
        <v>.</v>
      </c>
      <c r="IH45" s="558" t="str">
        <f t="shared" si="65"/>
        <v>.</v>
      </c>
      <c r="II45" s="558" t="str">
        <f t="shared" si="65"/>
        <v>.</v>
      </c>
      <c r="IJ45" s="558" t="str">
        <f t="shared" si="65"/>
        <v>.</v>
      </c>
      <c r="IK45" s="558" t="str">
        <f t="shared" si="65"/>
        <v>.</v>
      </c>
      <c r="IL45" s="558" t="str">
        <f t="shared" si="65"/>
        <v>.</v>
      </c>
      <c r="IM45" s="558" t="str">
        <f t="shared" si="65"/>
        <v>.</v>
      </c>
      <c r="IN45" s="558" t="str">
        <f t="shared" si="65"/>
        <v>.</v>
      </c>
      <c r="IO45" s="558" t="str">
        <f t="shared" si="75"/>
        <v>.</v>
      </c>
      <c r="IP45" s="558" t="str">
        <f t="shared" si="75"/>
        <v>.</v>
      </c>
      <c r="IQ45" s="558" t="str">
        <f t="shared" si="73"/>
        <v>.</v>
      </c>
      <c r="IR45" s="558" t="str">
        <f t="shared" si="73"/>
        <v>.</v>
      </c>
      <c r="IS45" s="558" t="str">
        <f t="shared" si="73"/>
        <v>.</v>
      </c>
      <c r="IT45" s="558" t="str">
        <f t="shared" si="73"/>
        <v>.</v>
      </c>
      <c r="IU45" s="558" t="str">
        <f t="shared" si="73"/>
        <v>.</v>
      </c>
      <c r="IV45" s="558" t="str">
        <f t="shared" si="73"/>
        <v>.</v>
      </c>
      <c r="IW45" s="558" t="str">
        <f t="shared" si="73"/>
        <v>.</v>
      </c>
      <c r="IX45" s="558" t="str">
        <f t="shared" si="73"/>
        <v>.</v>
      </c>
      <c r="IY45" s="558" t="str">
        <f t="shared" si="73"/>
        <v>.</v>
      </c>
      <c r="IZ45" s="558" t="str">
        <f t="shared" si="73"/>
        <v>.</v>
      </c>
      <c r="JA45" s="558" t="str">
        <f t="shared" si="74"/>
        <v>.</v>
      </c>
      <c r="JB45" s="558" t="str">
        <f t="shared" si="74"/>
        <v>.</v>
      </c>
      <c r="JC45" s="558" t="str">
        <f t="shared" si="74"/>
        <v>.</v>
      </c>
      <c r="JD45" s="558" t="str">
        <f t="shared" si="74"/>
        <v>.</v>
      </c>
      <c r="JE45" s="558" t="str">
        <f t="shared" si="74"/>
        <v>.</v>
      </c>
      <c r="JF45" s="558" t="str">
        <f t="shared" si="74"/>
        <v>.</v>
      </c>
      <c r="JG45" s="558" t="str">
        <f t="shared" si="74"/>
        <v>.</v>
      </c>
      <c r="JH45" s="558" t="str">
        <f t="shared" si="70"/>
        <v>.</v>
      </c>
      <c r="JI45" s="558" t="str">
        <f t="shared" si="70"/>
        <v>.</v>
      </c>
      <c r="JJ45" s="558" t="str">
        <f t="shared" si="70"/>
        <v>.</v>
      </c>
      <c r="JK45" s="558" t="str">
        <f t="shared" si="70"/>
        <v>.</v>
      </c>
      <c r="JL45" s="558" t="str">
        <f t="shared" si="70"/>
        <v>.</v>
      </c>
    </row>
    <row r="46" spans="1:272" ht="10.199999999999999" x14ac:dyDescent="0.2">
      <c r="A46" s="534">
        <f xml:space="preserve"> Basis!A46</f>
        <v>46</v>
      </c>
      <c r="F46" s="536">
        <f xml:space="preserve"> ROUND(    IF( $A$15=BE_MF_,   AW46,   INDEX( qx!46:46, F$16 ) ),    F$17    )</f>
        <v>8.0000000000000004E-4</v>
      </c>
      <c r="G46" s="536">
        <f xml:space="preserve"> ROUND(    IF( $A$15=BE_MF_,   BB46,   INDEX( wx!46:46, G$16 ) ),    G$17    )</f>
        <v>2.4199999999999999E-2</v>
      </c>
      <c r="H46" s="537">
        <f xml:space="preserve"> ROUND(    IF( $A$15=BE_MF_,   BG46,   INDEX( Kx!46:46, H$16 ) ),    H$17    )</f>
        <v>2333.6999999999998</v>
      </c>
      <c r="I46" s="538">
        <f t="shared" si="55"/>
        <v>2333.6999999999998</v>
      </c>
      <c r="J46" s="539">
        <f t="shared" si="17"/>
        <v>1.123</v>
      </c>
      <c r="K46" s="540">
        <f t="shared" si="56"/>
        <v>2</v>
      </c>
      <c r="L46" s="541">
        <f t="shared" si="71"/>
        <v>0</v>
      </c>
      <c r="M46" s="541">
        <f t="shared" si="71"/>
        <v>8.5999999999999993E-2</v>
      </c>
      <c r="O46" s="542" t="b">
        <f t="shared" si="57"/>
        <v>1</v>
      </c>
      <c r="P46" s="493">
        <f t="shared" si="19"/>
        <v>2.5000000000000001E-2</v>
      </c>
      <c r="Q46" s="493">
        <f t="shared" si="20"/>
        <v>0.97499999999999998</v>
      </c>
      <c r="R46" s="543">
        <f t="shared" si="21"/>
        <v>739087</v>
      </c>
      <c r="S46" s="544">
        <f t="shared" si="22"/>
        <v>0.97560975599999999</v>
      </c>
      <c r="T46" s="423">
        <f t="shared" si="23"/>
        <v>237354.65</v>
      </c>
      <c r="U46" s="423">
        <f xml:space="preserve"> IF( $O46,    ROUND(  SUM( T46:T$120), U$17 ),  LEER  )</f>
        <v>4759982.24</v>
      </c>
      <c r="V46" s="493">
        <f t="shared" si="24"/>
        <v>20.054300000000001</v>
      </c>
      <c r="W46" s="493">
        <f t="shared" si="25"/>
        <v>266549.27</v>
      </c>
      <c r="X46" s="493">
        <f xml:space="preserve"> IF( $O46,    ROUND(  SUM( W46:W$120), X$17 ),  LEER  )</f>
        <v>11998646.609999999</v>
      </c>
      <c r="Y46" s="493">
        <f t="shared" si="26"/>
        <v>50.551600000000001</v>
      </c>
      <c r="Z46" s="493">
        <f t="shared" si="27"/>
        <v>2.5207000000000002</v>
      </c>
      <c r="AA46" s="493">
        <f t="shared" si="28"/>
        <v>1.0092000000000001</v>
      </c>
      <c r="AB46" s="493">
        <f t="shared" si="29"/>
        <v>2.3494000000000002</v>
      </c>
      <c r="AC46" s="545">
        <f t="shared" si="30"/>
        <v>0.38600000000000001</v>
      </c>
      <c r="AD46" s="493">
        <f t="shared" si="31"/>
        <v>2.5474000000000001</v>
      </c>
      <c r="AE46" s="493">
        <f t="shared" si="32"/>
        <v>3.2094</v>
      </c>
      <c r="AF46" s="493">
        <f t="shared" si="33"/>
        <v>3.2094</v>
      </c>
      <c r="AG46" s="493" t="str">
        <f t="shared" si="34"/>
        <v>.</v>
      </c>
      <c r="AH46" s="493" t="str">
        <f t="shared" si="35"/>
        <v>.</v>
      </c>
      <c r="AI46" s="423">
        <f t="shared" si="36"/>
        <v>2077.79</v>
      </c>
      <c r="AJ46" s="423">
        <f t="shared" si="37"/>
        <v>6668.46</v>
      </c>
      <c r="AK46" s="423">
        <f t="shared" si="38"/>
        <v>555.71</v>
      </c>
      <c r="AN46" s="423">
        <f t="shared" si="72"/>
        <v>27777.81</v>
      </c>
      <c r="AO46" s="423">
        <f t="shared" si="72"/>
        <v>26852.77</v>
      </c>
      <c r="AR46" s="546">
        <f xml:space="preserve"> ROUND(  INDEX( Kx!46:46, AR$16 ),  AR$17 )</f>
        <v>0.78810000000000002</v>
      </c>
      <c r="AS46" s="547">
        <f xml:space="preserve"> ROUND(  INDEX( qx!46:46, AS$16 ),  AS$17 )</f>
        <v>8.9999999999999998E-4</v>
      </c>
      <c r="AT46" s="547">
        <f xml:space="preserve"> ROUND(  INDEX( qx!46:46, AT$16 ),  AT$17 )</f>
        <v>6.9999999999999999E-4</v>
      </c>
      <c r="AU46" s="548" t="str">
        <f t="shared" si="40"/>
        <v>F</v>
      </c>
      <c r="AV46" s="542">
        <f t="shared" si="41"/>
        <v>0.71260000000000001</v>
      </c>
      <c r="AW46" s="542">
        <f t="shared" si="42"/>
        <v>8.0000000000000004E-4</v>
      </c>
      <c r="AX46" s="546">
        <f xml:space="preserve"> ROUND(  INDEX( wx!46:46, AX$16 ),  AX$17 )</f>
        <v>2.2599999999999999E-2</v>
      </c>
      <c r="AY46" s="546">
        <f xml:space="preserve"> ROUND(  INDEX( wx!46:46, AY$16 ),  AY$17 )</f>
        <v>3.32E-2</v>
      </c>
      <c r="AZ46" s="548" t="str">
        <f t="shared" si="43"/>
        <v>M</v>
      </c>
      <c r="BA46" s="542">
        <f t="shared" si="44"/>
        <v>0.84799999999999998</v>
      </c>
      <c r="BB46" s="542">
        <f t="shared" si="45"/>
        <v>2.4199999999999999E-2</v>
      </c>
      <c r="BC46" s="533">
        <f xml:space="preserve"> ROUND(  INDEX( Kx!46:46, BC$16 ),  BC$17 )</f>
        <v>2107.65</v>
      </c>
      <c r="BD46" s="533">
        <f xml:space="preserve"> ROUND(  INDEX( Kx!46:46, BD$16 ),  BD$17 )</f>
        <v>2894.18</v>
      </c>
      <c r="BE46" s="548" t="str">
        <f t="shared" si="58"/>
        <v>F</v>
      </c>
      <c r="BF46" s="542">
        <f t="shared" si="46"/>
        <v>0.71260000000000001</v>
      </c>
      <c r="BG46" s="420">
        <f t="shared" si="47"/>
        <v>2333.6999999999998</v>
      </c>
      <c r="BQ46" s="549"/>
      <c r="BR46" s="423"/>
      <c r="BS46" s="550"/>
      <c r="BT46" s="423"/>
      <c r="BU46" s="551"/>
      <c r="BV46" s="551"/>
      <c r="BW46" s="529"/>
      <c r="BX46" s="552"/>
      <c r="BY46" s="560"/>
      <c r="BZ46" s="559"/>
      <c r="CB46" s="423"/>
      <c r="CC46" s="423"/>
      <c r="CD46" s="423"/>
      <c r="CE46" s="423"/>
      <c r="CF46" s="553"/>
      <c r="CH46" s="423"/>
      <c r="CI46" s="423"/>
      <c r="CJ46" s="423"/>
      <c r="CK46" s="423"/>
      <c r="CL46" s="553"/>
      <c r="CN46" s="423"/>
      <c r="CO46" s="423"/>
      <c r="CP46" s="423"/>
      <c r="CQ46" s="423"/>
      <c r="CR46" s="553"/>
      <c r="EI46" s="553"/>
      <c r="EJ46" s="553"/>
      <c r="EK46" s="423"/>
      <c r="EL46" s="555"/>
      <c r="ES46" s="533"/>
      <c r="ET46" s="533"/>
      <c r="EU46" s="533"/>
      <c r="EV46" s="556"/>
      <c r="EY46" s="533"/>
      <c r="EZ46" s="533"/>
      <c r="FA46" s="556"/>
      <c r="FD46" s="556"/>
      <c r="FE46" s="556"/>
      <c r="FF46" s="556"/>
      <c r="FK46" s="557">
        <f t="shared" si="48"/>
        <v>46</v>
      </c>
      <c r="FL46" s="493">
        <f t="shared" si="59"/>
        <v>50.551600000000001</v>
      </c>
      <c r="FM46" s="493">
        <f t="shared" si="60"/>
        <v>20.054300000000001</v>
      </c>
      <c r="FO46" s="427">
        <f t="shared" si="61"/>
        <v>800940.84999999986</v>
      </c>
      <c r="FP46" s="558">
        <f t="shared" si="67"/>
        <v>55016.59</v>
      </c>
      <c r="FQ46" s="558">
        <f t="shared" si="67"/>
        <v>53329.01</v>
      </c>
      <c r="FR46" s="558">
        <f t="shared" si="67"/>
        <v>51637.27</v>
      </c>
      <c r="FS46" s="558">
        <f t="shared" si="67"/>
        <v>49945.52</v>
      </c>
      <c r="FT46" s="558">
        <f t="shared" si="67"/>
        <v>48195.44</v>
      </c>
      <c r="FU46" s="558">
        <f t="shared" si="67"/>
        <v>46395.35</v>
      </c>
      <c r="FV46" s="558">
        <f t="shared" si="67"/>
        <v>44611.94</v>
      </c>
      <c r="FW46" s="558">
        <f t="shared" si="67"/>
        <v>42816.02</v>
      </c>
      <c r="FX46" s="558">
        <f t="shared" si="67"/>
        <v>40957.599999999999</v>
      </c>
      <c r="FY46" s="558">
        <f t="shared" si="67"/>
        <v>39024.17</v>
      </c>
      <c r="FZ46" s="558">
        <f t="shared" si="66"/>
        <v>37078.25</v>
      </c>
      <c r="GA46" s="558">
        <f t="shared" si="66"/>
        <v>35103.160000000003</v>
      </c>
      <c r="GB46" s="558">
        <f t="shared" si="66"/>
        <v>33082.230000000003</v>
      </c>
      <c r="GC46" s="558">
        <f t="shared" si="66"/>
        <v>31052.97</v>
      </c>
      <c r="GD46" s="558">
        <f t="shared" si="66"/>
        <v>28961.200000000001</v>
      </c>
      <c r="GE46" s="558">
        <f t="shared" si="66"/>
        <v>26852.77</v>
      </c>
      <c r="GF46" s="558">
        <f t="shared" si="66"/>
        <v>24681.83</v>
      </c>
      <c r="GG46" s="558">
        <f t="shared" si="66"/>
        <v>22460.9</v>
      </c>
      <c r="GH46" s="558">
        <f t="shared" si="66"/>
        <v>20177.46</v>
      </c>
      <c r="GI46" s="558">
        <f t="shared" si="66"/>
        <v>17827.349999999999</v>
      </c>
      <c r="GJ46" s="558">
        <f t="shared" si="66"/>
        <v>15406.4</v>
      </c>
      <c r="GK46" s="558">
        <f t="shared" si="66"/>
        <v>12893.78</v>
      </c>
      <c r="GL46" s="558">
        <f t="shared" si="66"/>
        <v>10289.49</v>
      </c>
      <c r="GM46" s="558">
        <f t="shared" si="66"/>
        <v>7589.36</v>
      </c>
      <c r="GN46" s="558">
        <f t="shared" si="66"/>
        <v>4780.8999999999996</v>
      </c>
      <c r="GO46" s="558">
        <f t="shared" si="66"/>
        <v>1884.93</v>
      </c>
      <c r="GP46" s="558">
        <f t="shared" si="68"/>
        <v>-1111.04</v>
      </c>
      <c r="GQ46" s="558" t="str">
        <f t="shared" si="68"/>
        <v>.</v>
      </c>
      <c r="GR46" s="558" t="str">
        <f t="shared" si="68"/>
        <v>.</v>
      </c>
      <c r="GS46" s="558" t="str">
        <f t="shared" si="68"/>
        <v>.</v>
      </c>
      <c r="GT46" s="558" t="str">
        <f t="shared" si="68"/>
        <v>.</v>
      </c>
      <c r="GU46" s="558" t="str">
        <f t="shared" si="68"/>
        <v>.</v>
      </c>
      <c r="GV46" s="558" t="str">
        <f t="shared" si="68"/>
        <v>.</v>
      </c>
      <c r="GW46" s="558" t="str">
        <f t="shared" si="68"/>
        <v>.</v>
      </c>
      <c r="GX46" s="558" t="str">
        <f t="shared" si="68"/>
        <v>.</v>
      </c>
      <c r="GY46" s="558" t="str">
        <f t="shared" si="68"/>
        <v>.</v>
      </c>
      <c r="GZ46" s="558" t="str">
        <f t="shared" si="68"/>
        <v>.</v>
      </c>
      <c r="HA46" s="558" t="str">
        <f t="shared" si="68"/>
        <v>.</v>
      </c>
      <c r="HB46" s="558" t="str">
        <f t="shared" si="68"/>
        <v>.</v>
      </c>
      <c r="HC46" s="558" t="str">
        <f t="shared" si="68"/>
        <v>.</v>
      </c>
      <c r="HD46" s="558" t="str">
        <f t="shared" si="68"/>
        <v>.</v>
      </c>
      <c r="HE46" s="558" t="str">
        <f t="shared" si="68"/>
        <v>.</v>
      </c>
      <c r="HF46" s="558" t="str">
        <f t="shared" si="69"/>
        <v>.</v>
      </c>
      <c r="HG46" s="558" t="str">
        <f t="shared" si="69"/>
        <v>.</v>
      </c>
      <c r="HH46" s="558" t="str">
        <f t="shared" si="69"/>
        <v>.</v>
      </c>
      <c r="HI46" s="558" t="str">
        <f t="shared" si="69"/>
        <v>.</v>
      </c>
      <c r="HJ46" s="558" t="str">
        <f t="shared" si="69"/>
        <v>.</v>
      </c>
      <c r="HK46" s="558" t="str">
        <f t="shared" si="69"/>
        <v>.</v>
      </c>
      <c r="HL46" s="558" t="str">
        <f t="shared" si="69"/>
        <v>.</v>
      </c>
      <c r="HM46" s="558" t="str">
        <f t="shared" si="69"/>
        <v>.</v>
      </c>
      <c r="HN46" s="558" t="str">
        <f t="shared" si="69"/>
        <v>.</v>
      </c>
      <c r="HO46" s="558" t="str">
        <f t="shared" si="69"/>
        <v>.</v>
      </c>
      <c r="HP46" s="558" t="str">
        <f t="shared" si="64"/>
        <v>.</v>
      </c>
      <c r="HQ46" s="558" t="str">
        <f t="shared" si="64"/>
        <v>.</v>
      </c>
      <c r="HR46" s="558" t="str">
        <f t="shared" si="64"/>
        <v>.</v>
      </c>
      <c r="HS46" s="558" t="str">
        <f t="shared" si="64"/>
        <v>.</v>
      </c>
      <c r="HT46" s="558" t="str">
        <f t="shared" si="64"/>
        <v>.</v>
      </c>
      <c r="HU46" s="558" t="str">
        <f t="shared" si="64"/>
        <v>.</v>
      </c>
      <c r="HV46" s="558" t="str">
        <f t="shared" si="64"/>
        <v>.</v>
      </c>
      <c r="HW46" s="558" t="str">
        <f t="shared" si="64"/>
        <v>.</v>
      </c>
      <c r="HX46" s="558" t="str">
        <f t="shared" si="64"/>
        <v>.</v>
      </c>
      <c r="HY46" s="558" t="str">
        <f t="shared" si="64"/>
        <v>.</v>
      </c>
      <c r="HZ46" s="558" t="str">
        <f t="shared" si="64"/>
        <v>.</v>
      </c>
      <c r="IA46" s="558" t="str">
        <f t="shared" si="64"/>
        <v>.</v>
      </c>
      <c r="IB46" s="558" t="str">
        <f t="shared" si="64"/>
        <v>.</v>
      </c>
      <c r="IC46" s="558" t="str">
        <f t="shared" si="64"/>
        <v>.</v>
      </c>
      <c r="ID46" s="558" t="str">
        <f t="shared" si="64"/>
        <v>.</v>
      </c>
      <c r="IE46" s="558" t="str">
        <f t="shared" si="64"/>
        <v>.</v>
      </c>
      <c r="IF46" s="558" t="str">
        <f t="shared" si="64"/>
        <v>.</v>
      </c>
      <c r="IG46" s="558" t="str">
        <f t="shared" si="65"/>
        <v>.</v>
      </c>
      <c r="IH46" s="558" t="str">
        <f t="shared" si="65"/>
        <v>.</v>
      </c>
      <c r="II46" s="558" t="str">
        <f t="shared" si="65"/>
        <v>.</v>
      </c>
      <c r="IJ46" s="558" t="str">
        <f t="shared" si="65"/>
        <v>.</v>
      </c>
      <c r="IK46" s="558" t="str">
        <f t="shared" si="65"/>
        <v>.</v>
      </c>
      <c r="IL46" s="558" t="str">
        <f t="shared" si="65"/>
        <v>.</v>
      </c>
      <c r="IM46" s="558" t="str">
        <f t="shared" si="65"/>
        <v>.</v>
      </c>
      <c r="IN46" s="558" t="str">
        <f t="shared" si="65"/>
        <v>.</v>
      </c>
      <c r="IO46" s="558" t="str">
        <f t="shared" si="75"/>
        <v>.</v>
      </c>
      <c r="IP46" s="558" t="str">
        <f t="shared" si="75"/>
        <v>.</v>
      </c>
      <c r="IQ46" s="558" t="str">
        <f t="shared" si="73"/>
        <v>.</v>
      </c>
      <c r="IR46" s="558" t="str">
        <f t="shared" si="73"/>
        <v>.</v>
      </c>
      <c r="IS46" s="558" t="str">
        <f t="shared" si="73"/>
        <v>.</v>
      </c>
      <c r="IT46" s="558" t="str">
        <f t="shared" si="73"/>
        <v>.</v>
      </c>
      <c r="IU46" s="558" t="str">
        <f t="shared" si="73"/>
        <v>.</v>
      </c>
      <c r="IV46" s="558" t="str">
        <f t="shared" si="73"/>
        <v>.</v>
      </c>
      <c r="IW46" s="558" t="str">
        <f t="shared" si="73"/>
        <v>.</v>
      </c>
      <c r="IX46" s="558" t="str">
        <f t="shared" si="73"/>
        <v>.</v>
      </c>
      <c r="IY46" s="558" t="str">
        <f t="shared" si="73"/>
        <v>.</v>
      </c>
      <c r="IZ46" s="558" t="str">
        <f t="shared" si="73"/>
        <v>.</v>
      </c>
      <c r="JA46" s="558" t="str">
        <f t="shared" si="74"/>
        <v>.</v>
      </c>
      <c r="JB46" s="558" t="str">
        <f t="shared" si="74"/>
        <v>.</v>
      </c>
      <c r="JC46" s="558" t="str">
        <f t="shared" si="74"/>
        <v>.</v>
      </c>
      <c r="JD46" s="558" t="str">
        <f t="shared" si="74"/>
        <v>.</v>
      </c>
      <c r="JE46" s="558" t="str">
        <f t="shared" si="74"/>
        <v>.</v>
      </c>
      <c r="JF46" s="558" t="str">
        <f t="shared" si="74"/>
        <v>.</v>
      </c>
      <c r="JG46" s="558" t="str">
        <f t="shared" si="74"/>
        <v>.</v>
      </c>
      <c r="JH46" s="558" t="str">
        <f t="shared" si="70"/>
        <v>.</v>
      </c>
      <c r="JI46" s="558" t="str">
        <f t="shared" si="70"/>
        <v>.</v>
      </c>
      <c r="JJ46" s="558" t="str">
        <f t="shared" si="70"/>
        <v>.</v>
      </c>
      <c r="JK46" s="558" t="str">
        <f t="shared" si="70"/>
        <v>.</v>
      </c>
      <c r="JL46" s="558" t="str">
        <f t="shared" si="70"/>
        <v>.</v>
      </c>
    </row>
    <row r="47" spans="1:272" ht="10.199999999999999" x14ac:dyDescent="0.2">
      <c r="A47" s="534">
        <f xml:space="preserve"> Basis!A47</f>
        <v>47</v>
      </c>
      <c r="F47" s="536">
        <f xml:space="preserve"> ROUND(    IF( $A$15=BE_MF_,   AW47,   INDEX( qx!47:47, F$16 ) ),    F$17    )</f>
        <v>8.9999999999999998E-4</v>
      </c>
      <c r="G47" s="536">
        <f xml:space="preserve"> ROUND(    IF( $A$15=BE_MF_,   BB47,   INDEX( wx!47:47, G$16 ) ),    G$17    )</f>
        <v>2.4E-2</v>
      </c>
      <c r="H47" s="537">
        <f xml:space="preserve"> ROUND(    IF( $A$15=BE_MF_,   BG47,   INDEX( Kx!47:47, H$16 ) ),    H$17    )</f>
        <v>2408.6999999999998</v>
      </c>
      <c r="I47" s="538">
        <f t="shared" si="55"/>
        <v>2408.6999999999998</v>
      </c>
      <c r="J47" s="539">
        <f t="shared" si="17"/>
        <v>1.159</v>
      </c>
      <c r="K47" s="540">
        <f t="shared" si="56"/>
        <v>2</v>
      </c>
      <c r="L47" s="541">
        <f t="shared" si="71"/>
        <v>0</v>
      </c>
      <c r="M47" s="541">
        <f t="shared" si="71"/>
        <v>8.5999999999999993E-2</v>
      </c>
      <c r="O47" s="542" t="b">
        <f t="shared" si="57"/>
        <v>1</v>
      </c>
      <c r="P47" s="493">
        <f t="shared" si="19"/>
        <v>2.4899999999999999E-2</v>
      </c>
      <c r="Q47" s="493">
        <f t="shared" si="20"/>
        <v>0.97509999999999997</v>
      </c>
      <c r="R47" s="543">
        <f t="shared" si="21"/>
        <v>720609</v>
      </c>
      <c r="S47" s="544">
        <f t="shared" si="22"/>
        <v>0.97560975599999999</v>
      </c>
      <c r="T47" s="423">
        <f t="shared" si="23"/>
        <v>225776.12</v>
      </c>
      <c r="U47" s="423">
        <f xml:space="preserve"> IF( $O47,    ROUND(  SUM( T47:T$120), U$17 ),  LEER  )</f>
        <v>4522627.59</v>
      </c>
      <c r="V47" s="493">
        <f t="shared" si="24"/>
        <v>20.031500000000001</v>
      </c>
      <c r="W47" s="493">
        <f t="shared" si="25"/>
        <v>261674.52</v>
      </c>
      <c r="X47" s="493">
        <f xml:space="preserve"> IF( $O47,    ROUND(  SUM( W47:W$120), X$17 ),  LEER  )</f>
        <v>11732097.34</v>
      </c>
      <c r="Y47" s="493">
        <f t="shared" si="26"/>
        <v>51.9634</v>
      </c>
      <c r="Z47" s="493">
        <f t="shared" si="27"/>
        <v>2.5941000000000001</v>
      </c>
      <c r="AA47" s="493">
        <f t="shared" si="28"/>
        <v>1.0092000000000001</v>
      </c>
      <c r="AB47" s="493">
        <f t="shared" si="29"/>
        <v>2.3494000000000002</v>
      </c>
      <c r="AC47" s="545">
        <f t="shared" si="30"/>
        <v>0.38600000000000001</v>
      </c>
      <c r="AD47" s="493">
        <f t="shared" si="31"/>
        <v>2.6215000000000002</v>
      </c>
      <c r="AE47" s="493">
        <f t="shared" si="32"/>
        <v>3.2905000000000002</v>
      </c>
      <c r="AF47" s="493">
        <f t="shared" si="33"/>
        <v>3.2905000000000002</v>
      </c>
      <c r="AG47" s="493" t="str">
        <f t="shared" si="34"/>
        <v>.</v>
      </c>
      <c r="AH47" s="493" t="str">
        <f t="shared" si="35"/>
        <v>.</v>
      </c>
      <c r="AI47" s="423">
        <f t="shared" si="36"/>
        <v>2077.79</v>
      </c>
      <c r="AJ47" s="423">
        <f t="shared" si="37"/>
        <v>6836.97</v>
      </c>
      <c r="AK47" s="423">
        <f t="shared" si="38"/>
        <v>569.75</v>
      </c>
      <c r="AN47" s="423">
        <f t="shared" si="72"/>
        <v>30799.07</v>
      </c>
      <c r="AO47" s="423">
        <f t="shared" si="72"/>
        <v>29875.08</v>
      </c>
      <c r="AR47" s="546">
        <f xml:space="preserve"> ROUND(  INDEX( Kx!47:47, AR$16 ),  AR$17 )</f>
        <v>0.78739999999999999</v>
      </c>
      <c r="AS47" s="547">
        <f xml:space="preserve"> ROUND(  INDEX( qx!47:47, AS$16 ),  AS$17 )</f>
        <v>1E-3</v>
      </c>
      <c r="AT47" s="547">
        <f xml:space="preserve"> ROUND(  INDEX( qx!47:47, AT$16 ),  AT$17 )</f>
        <v>6.9999999999999999E-4</v>
      </c>
      <c r="AU47" s="548" t="str">
        <f t="shared" si="40"/>
        <v>F</v>
      </c>
      <c r="AV47" s="542">
        <f t="shared" si="41"/>
        <v>0.7117</v>
      </c>
      <c r="AW47" s="542">
        <f t="shared" si="42"/>
        <v>8.9999999999999998E-4</v>
      </c>
      <c r="AX47" s="546">
        <f xml:space="preserve"> ROUND(  INDEX( wx!47:47, AX$16 ),  AX$17 )</f>
        <v>2.2499999999999999E-2</v>
      </c>
      <c r="AY47" s="546">
        <f xml:space="preserve"> ROUND(  INDEX( wx!47:47, AY$16 ),  AY$17 )</f>
        <v>3.2199999999999999E-2</v>
      </c>
      <c r="AZ47" s="548" t="str">
        <f t="shared" si="43"/>
        <v>M</v>
      </c>
      <c r="BA47" s="542">
        <f t="shared" si="44"/>
        <v>0.84750000000000003</v>
      </c>
      <c r="BB47" s="542">
        <f t="shared" si="45"/>
        <v>2.4E-2</v>
      </c>
      <c r="BC47" s="533">
        <f xml:space="preserve"> ROUND(  INDEX( Kx!47:47, BC$16 ),  BC$17 )</f>
        <v>2191.11</v>
      </c>
      <c r="BD47" s="533">
        <f xml:space="preserve"> ROUND(  INDEX( Kx!47:47, BD$16 ),  BD$17 )</f>
        <v>2945.83</v>
      </c>
      <c r="BE47" s="548" t="str">
        <f t="shared" si="58"/>
        <v>F</v>
      </c>
      <c r="BF47" s="542">
        <f t="shared" si="46"/>
        <v>0.7117</v>
      </c>
      <c r="BG47" s="420">
        <f t="shared" si="47"/>
        <v>2408.6999999999998</v>
      </c>
      <c r="BQ47" s="549"/>
      <c r="BR47" s="423"/>
      <c r="BS47" s="550"/>
      <c r="BT47" s="423"/>
      <c r="BU47" s="551"/>
      <c r="BV47" s="551"/>
      <c r="BW47" s="529"/>
      <c r="BX47" s="552"/>
      <c r="BY47" s="560"/>
      <c r="BZ47" s="559"/>
      <c r="CB47" s="423"/>
      <c r="CC47" s="423"/>
      <c r="CD47" s="423"/>
      <c r="CE47" s="423"/>
      <c r="CF47" s="553"/>
      <c r="CH47" s="423"/>
      <c r="CI47" s="423"/>
      <c r="CJ47" s="423"/>
      <c r="CK47" s="423"/>
      <c r="CL47" s="553"/>
      <c r="CN47" s="423"/>
      <c r="CO47" s="423"/>
      <c r="CP47" s="423"/>
      <c r="CQ47" s="423"/>
      <c r="CR47" s="553"/>
      <c r="EI47" s="553"/>
      <c r="EJ47" s="553"/>
      <c r="EK47" s="423"/>
      <c r="EL47" s="555"/>
      <c r="ES47" s="533"/>
      <c r="ET47" s="533"/>
      <c r="EU47" s="533"/>
      <c r="EV47" s="556"/>
      <c r="EY47" s="533"/>
      <c r="EZ47" s="533"/>
      <c r="FA47" s="556"/>
      <c r="FD47" s="556"/>
      <c r="FE47" s="556"/>
      <c r="FF47" s="556"/>
      <c r="FK47" s="557">
        <f t="shared" si="48"/>
        <v>47</v>
      </c>
      <c r="FL47" s="493">
        <f t="shared" si="59"/>
        <v>51.9634</v>
      </c>
      <c r="FM47" s="493">
        <f t="shared" si="60"/>
        <v>20.031500000000001</v>
      </c>
      <c r="FO47" s="427">
        <f t="shared" si="61"/>
        <v>881315.86999999988</v>
      </c>
      <c r="FP47" s="558">
        <f t="shared" si="67"/>
        <v>58006.879999999997</v>
      </c>
      <c r="FQ47" s="558">
        <f t="shared" si="67"/>
        <v>56321.22</v>
      </c>
      <c r="FR47" s="558">
        <f t="shared" si="67"/>
        <v>54631.4</v>
      </c>
      <c r="FS47" s="558">
        <f t="shared" si="67"/>
        <v>52941.58</v>
      </c>
      <c r="FT47" s="558">
        <f t="shared" si="67"/>
        <v>51193.49</v>
      </c>
      <c r="FU47" s="558">
        <f t="shared" si="67"/>
        <v>49395.45</v>
      </c>
      <c r="FV47" s="558">
        <f t="shared" si="67"/>
        <v>47614.06</v>
      </c>
      <c r="FW47" s="558">
        <f t="shared" si="67"/>
        <v>45820.18</v>
      </c>
      <c r="FX47" s="558">
        <f t="shared" si="67"/>
        <v>43963.87</v>
      </c>
      <c r="FY47" s="558">
        <f t="shared" si="67"/>
        <v>42032.65</v>
      </c>
      <c r="FZ47" s="558">
        <f t="shared" si="66"/>
        <v>40088.94</v>
      </c>
      <c r="GA47" s="558">
        <f t="shared" si="66"/>
        <v>38116.089999999997</v>
      </c>
      <c r="GB47" s="558">
        <f t="shared" si="66"/>
        <v>36097.46</v>
      </c>
      <c r="GC47" s="558">
        <f t="shared" si="66"/>
        <v>34070.5</v>
      </c>
      <c r="GD47" s="558">
        <f t="shared" si="66"/>
        <v>31981.119999999999</v>
      </c>
      <c r="GE47" s="558">
        <f t="shared" si="66"/>
        <v>29875.08</v>
      </c>
      <c r="GF47" s="558">
        <f t="shared" si="66"/>
        <v>27706.61</v>
      </c>
      <c r="GG47" s="558">
        <f t="shared" si="66"/>
        <v>25488.2</v>
      </c>
      <c r="GH47" s="558">
        <f t="shared" si="66"/>
        <v>23207.360000000001</v>
      </c>
      <c r="GI47" s="558">
        <f t="shared" si="66"/>
        <v>20859.919999999998</v>
      </c>
      <c r="GJ47" s="558">
        <f t="shared" si="66"/>
        <v>18441.72</v>
      </c>
      <c r="GK47" s="558">
        <f t="shared" si="66"/>
        <v>15931.96</v>
      </c>
      <c r="GL47" s="558">
        <f t="shared" si="66"/>
        <v>13330.63</v>
      </c>
      <c r="GM47" s="558">
        <f t="shared" si="66"/>
        <v>10633.58</v>
      </c>
      <c r="GN47" s="558">
        <f t="shared" si="66"/>
        <v>7828.3</v>
      </c>
      <c r="GO47" s="558">
        <f t="shared" si="66"/>
        <v>4935.63</v>
      </c>
      <c r="GP47" s="558">
        <f t="shared" si="68"/>
        <v>1943.06</v>
      </c>
      <c r="GQ47" s="558">
        <f t="shared" si="68"/>
        <v>-1141.07</v>
      </c>
      <c r="GR47" s="558" t="str">
        <f t="shared" si="68"/>
        <v>.</v>
      </c>
      <c r="GS47" s="558" t="str">
        <f t="shared" si="68"/>
        <v>.</v>
      </c>
      <c r="GT47" s="558" t="str">
        <f t="shared" si="68"/>
        <v>.</v>
      </c>
      <c r="GU47" s="558" t="str">
        <f t="shared" si="68"/>
        <v>.</v>
      </c>
      <c r="GV47" s="558" t="str">
        <f t="shared" si="68"/>
        <v>.</v>
      </c>
      <c r="GW47" s="558" t="str">
        <f t="shared" si="68"/>
        <v>.</v>
      </c>
      <c r="GX47" s="558" t="str">
        <f t="shared" si="68"/>
        <v>.</v>
      </c>
      <c r="GY47" s="558" t="str">
        <f t="shared" si="68"/>
        <v>.</v>
      </c>
      <c r="GZ47" s="558" t="str">
        <f t="shared" si="68"/>
        <v>.</v>
      </c>
      <c r="HA47" s="558" t="str">
        <f t="shared" si="68"/>
        <v>.</v>
      </c>
      <c r="HB47" s="558" t="str">
        <f t="shared" si="68"/>
        <v>.</v>
      </c>
      <c r="HC47" s="558" t="str">
        <f t="shared" si="68"/>
        <v>.</v>
      </c>
      <c r="HD47" s="558" t="str">
        <f t="shared" si="68"/>
        <v>.</v>
      </c>
      <c r="HE47" s="558" t="str">
        <f t="shared" si="68"/>
        <v>.</v>
      </c>
      <c r="HF47" s="558" t="str">
        <f t="shared" si="69"/>
        <v>.</v>
      </c>
      <c r="HG47" s="558" t="str">
        <f t="shared" si="69"/>
        <v>.</v>
      </c>
      <c r="HH47" s="558" t="str">
        <f t="shared" si="69"/>
        <v>.</v>
      </c>
      <c r="HI47" s="558" t="str">
        <f t="shared" si="69"/>
        <v>.</v>
      </c>
      <c r="HJ47" s="558" t="str">
        <f t="shared" si="69"/>
        <v>.</v>
      </c>
      <c r="HK47" s="558" t="str">
        <f t="shared" si="69"/>
        <v>.</v>
      </c>
      <c r="HL47" s="558" t="str">
        <f t="shared" si="69"/>
        <v>.</v>
      </c>
      <c r="HM47" s="558" t="str">
        <f t="shared" si="69"/>
        <v>.</v>
      </c>
      <c r="HN47" s="558" t="str">
        <f t="shared" si="69"/>
        <v>.</v>
      </c>
      <c r="HO47" s="558" t="str">
        <f t="shared" si="69"/>
        <v>.</v>
      </c>
      <c r="HP47" s="558" t="str">
        <f t="shared" si="64"/>
        <v>.</v>
      </c>
      <c r="HQ47" s="558" t="str">
        <f t="shared" si="64"/>
        <v>.</v>
      </c>
      <c r="HR47" s="558" t="str">
        <f t="shared" si="64"/>
        <v>.</v>
      </c>
      <c r="HS47" s="558" t="str">
        <f t="shared" si="64"/>
        <v>.</v>
      </c>
      <c r="HT47" s="558" t="str">
        <f t="shared" si="64"/>
        <v>.</v>
      </c>
      <c r="HU47" s="558" t="str">
        <f t="shared" si="64"/>
        <v>.</v>
      </c>
      <c r="HV47" s="558" t="str">
        <f t="shared" si="64"/>
        <v>.</v>
      </c>
      <c r="HW47" s="558" t="str">
        <f t="shared" si="64"/>
        <v>.</v>
      </c>
      <c r="HX47" s="558" t="str">
        <f t="shared" si="64"/>
        <v>.</v>
      </c>
      <c r="HY47" s="558" t="str">
        <f t="shared" si="64"/>
        <v>.</v>
      </c>
      <c r="HZ47" s="558" t="str">
        <f t="shared" si="64"/>
        <v>.</v>
      </c>
      <c r="IA47" s="558" t="str">
        <f t="shared" si="64"/>
        <v>.</v>
      </c>
      <c r="IB47" s="558" t="str">
        <f t="shared" si="64"/>
        <v>.</v>
      </c>
      <c r="IC47" s="558" t="str">
        <f t="shared" si="64"/>
        <v>.</v>
      </c>
      <c r="ID47" s="558" t="str">
        <f t="shared" si="64"/>
        <v>.</v>
      </c>
      <c r="IE47" s="558" t="str">
        <f t="shared" si="64"/>
        <v>.</v>
      </c>
      <c r="IF47" s="558" t="str">
        <f t="shared" si="64"/>
        <v>.</v>
      </c>
      <c r="IG47" s="558" t="str">
        <f t="shared" ref="IG47:JE61" si="76" xml:space="preserve"> IF(  OR( IG$18&gt;$FK47, $FK47&gt;$FP$12 ),  LEER,  ROUND( $FO$19 * ( $FL47 - IG$15 * $FM47 ), IG$17 )  )</f>
        <v>.</v>
      </c>
      <c r="IH47" s="558" t="str">
        <f t="shared" si="76"/>
        <v>.</v>
      </c>
      <c r="II47" s="558" t="str">
        <f t="shared" si="76"/>
        <v>.</v>
      </c>
      <c r="IJ47" s="558" t="str">
        <f t="shared" si="76"/>
        <v>.</v>
      </c>
      <c r="IK47" s="558" t="str">
        <f t="shared" si="76"/>
        <v>.</v>
      </c>
      <c r="IL47" s="558" t="str">
        <f t="shared" si="76"/>
        <v>.</v>
      </c>
      <c r="IM47" s="558" t="str">
        <f t="shared" si="76"/>
        <v>.</v>
      </c>
      <c r="IN47" s="558" t="str">
        <f t="shared" si="76"/>
        <v>.</v>
      </c>
      <c r="IO47" s="558" t="str">
        <f t="shared" si="76"/>
        <v>.</v>
      </c>
      <c r="IP47" s="558" t="str">
        <f t="shared" si="76"/>
        <v>.</v>
      </c>
      <c r="IQ47" s="558" t="str">
        <f t="shared" si="76"/>
        <v>.</v>
      </c>
      <c r="IR47" s="558" t="str">
        <f t="shared" si="76"/>
        <v>.</v>
      </c>
      <c r="IS47" s="558" t="str">
        <f t="shared" si="76"/>
        <v>.</v>
      </c>
      <c r="IT47" s="558" t="str">
        <f t="shared" si="76"/>
        <v>.</v>
      </c>
      <c r="IU47" s="558" t="str">
        <f t="shared" si="76"/>
        <v>.</v>
      </c>
      <c r="IV47" s="558" t="str">
        <f t="shared" si="76"/>
        <v>.</v>
      </c>
      <c r="IW47" s="558" t="str">
        <f t="shared" si="76"/>
        <v>.</v>
      </c>
      <c r="IX47" s="558" t="str">
        <f t="shared" si="76"/>
        <v>.</v>
      </c>
      <c r="IY47" s="558" t="str">
        <f t="shared" si="76"/>
        <v>.</v>
      </c>
      <c r="IZ47" s="558" t="str">
        <f t="shared" si="76"/>
        <v>.</v>
      </c>
      <c r="JA47" s="558" t="str">
        <f t="shared" si="76"/>
        <v>.</v>
      </c>
      <c r="JB47" s="558" t="str">
        <f t="shared" si="76"/>
        <v>.</v>
      </c>
      <c r="JC47" s="558" t="str">
        <f t="shared" si="76"/>
        <v>.</v>
      </c>
      <c r="JD47" s="558" t="str">
        <f t="shared" si="76"/>
        <v>.</v>
      </c>
      <c r="JE47" s="558" t="str">
        <f t="shared" si="76"/>
        <v>.</v>
      </c>
      <c r="JF47" s="558" t="str">
        <f t="shared" ref="JF47:JG61" si="77" xml:space="preserve"> IF(  OR( JF$18&gt;$FK47, $FK47&gt;$FP$12 ),  LEER,  ROUND( $FO$19 * ( $FL47 - JF$15 * $FM47 ), JF$17 )  )</f>
        <v>.</v>
      </c>
      <c r="JG47" s="558" t="str">
        <f t="shared" si="77"/>
        <v>.</v>
      </c>
      <c r="JH47" s="558" t="str">
        <f t="shared" si="70"/>
        <v>.</v>
      </c>
      <c r="JI47" s="558" t="str">
        <f t="shared" si="70"/>
        <v>.</v>
      </c>
      <c r="JJ47" s="558" t="str">
        <f t="shared" si="70"/>
        <v>.</v>
      </c>
      <c r="JK47" s="558" t="str">
        <f t="shared" si="70"/>
        <v>.</v>
      </c>
      <c r="JL47" s="558" t="str">
        <f t="shared" si="70"/>
        <v>.</v>
      </c>
    </row>
    <row r="48" spans="1:272" ht="10.199999999999999" x14ac:dyDescent="0.2">
      <c r="A48" s="534">
        <f xml:space="preserve"> Basis!A48</f>
        <v>48</v>
      </c>
      <c r="F48" s="536">
        <f xml:space="preserve"> ROUND(    IF( $A$15=BE_MF_,   AW48,   INDEX( qx!48:48, F$16 ) ),    F$17    )</f>
        <v>1E-3</v>
      </c>
      <c r="G48" s="536">
        <f xml:space="preserve"> ROUND(    IF( $A$15=BE_MF_,   BB48,   INDEX( wx!48:48, G$16 ) ),    G$17    )</f>
        <v>2.3800000000000002E-2</v>
      </c>
      <c r="H48" s="537">
        <f xml:space="preserve"> ROUND(    IF( $A$15=BE_MF_,   BG48,   INDEX( Kx!48:48, H$16 ) ),    H$17    )</f>
        <v>2494.83</v>
      </c>
      <c r="I48" s="538">
        <f t="shared" si="55"/>
        <v>2494.83</v>
      </c>
      <c r="J48" s="539">
        <f t="shared" si="17"/>
        <v>1.2010000000000001</v>
      </c>
      <c r="K48" s="540">
        <f t="shared" si="56"/>
        <v>2</v>
      </c>
      <c r="L48" s="541">
        <f t="shared" si="71"/>
        <v>0</v>
      </c>
      <c r="M48" s="541">
        <f t="shared" si="71"/>
        <v>8.5999999999999993E-2</v>
      </c>
      <c r="O48" s="542" t="b">
        <f t="shared" si="57"/>
        <v>1</v>
      </c>
      <c r="P48" s="493">
        <f t="shared" si="19"/>
        <v>2.4799999999999999E-2</v>
      </c>
      <c r="Q48" s="493">
        <f t="shared" si="20"/>
        <v>0.97519999999999996</v>
      </c>
      <c r="R48" s="543">
        <f t="shared" si="21"/>
        <v>702665</v>
      </c>
      <c r="S48" s="544">
        <f t="shared" si="22"/>
        <v>0.97560975599999999</v>
      </c>
      <c r="T48" s="423">
        <f t="shared" si="23"/>
        <v>214784.42</v>
      </c>
      <c r="U48" s="423">
        <f xml:space="preserve"> IF( $O48,    ROUND(  SUM( T48:T$120), U$17 ),  LEER  )</f>
        <v>4296851.47</v>
      </c>
      <c r="V48" s="493">
        <f t="shared" si="24"/>
        <v>20.005400000000002</v>
      </c>
      <c r="W48" s="493">
        <f t="shared" si="25"/>
        <v>257956.09</v>
      </c>
      <c r="X48" s="493">
        <f xml:space="preserve"> IF( $O48,    ROUND(  SUM( W48:W$120), X$17 ),  LEER  )</f>
        <v>11470422.82</v>
      </c>
      <c r="Y48" s="493">
        <f t="shared" si="26"/>
        <v>53.404400000000003</v>
      </c>
      <c r="Z48" s="493">
        <f t="shared" si="27"/>
        <v>2.6695000000000002</v>
      </c>
      <c r="AA48" s="493">
        <f t="shared" si="28"/>
        <v>1.0092000000000001</v>
      </c>
      <c r="AB48" s="493">
        <f t="shared" si="29"/>
        <v>2.3494000000000002</v>
      </c>
      <c r="AC48" s="545">
        <f t="shared" si="30"/>
        <v>0.38600000000000001</v>
      </c>
      <c r="AD48" s="493">
        <f t="shared" si="31"/>
        <v>2.6976</v>
      </c>
      <c r="AE48" s="493">
        <f t="shared" si="32"/>
        <v>3.3736999999999999</v>
      </c>
      <c r="AF48" s="493">
        <f t="shared" si="33"/>
        <v>3.3736999999999999</v>
      </c>
      <c r="AG48" s="493" t="str">
        <f t="shared" si="34"/>
        <v>.</v>
      </c>
      <c r="AH48" s="493" t="str">
        <f t="shared" si="35"/>
        <v>.</v>
      </c>
      <c r="AI48" s="423">
        <f t="shared" si="36"/>
        <v>2077.79</v>
      </c>
      <c r="AJ48" s="423">
        <f t="shared" si="37"/>
        <v>7009.84</v>
      </c>
      <c r="AK48" s="423">
        <f t="shared" si="38"/>
        <v>584.15</v>
      </c>
      <c r="AN48" s="423">
        <f t="shared" si="72"/>
        <v>33893.72</v>
      </c>
      <c r="AO48" s="423">
        <f t="shared" si="72"/>
        <v>32970.93</v>
      </c>
      <c r="AR48" s="546">
        <f xml:space="preserve"> ROUND(  INDEX( Kx!48:48, AR$16 ),  AR$17 )</f>
        <v>0.78659999999999997</v>
      </c>
      <c r="AS48" s="547">
        <f xml:space="preserve"> ROUND(  INDEX( qx!48:48, AS$16 ),  AS$17 )</f>
        <v>1.1000000000000001E-3</v>
      </c>
      <c r="AT48" s="547">
        <f xml:space="preserve"> ROUND(  INDEX( qx!48:48, AT$16 ),  AT$17 )</f>
        <v>8.0000000000000004E-4</v>
      </c>
      <c r="AU48" s="548" t="str">
        <f t="shared" si="40"/>
        <v>F</v>
      </c>
      <c r="AV48" s="542">
        <f t="shared" si="41"/>
        <v>0.71079999999999999</v>
      </c>
      <c r="AW48" s="542">
        <f t="shared" si="42"/>
        <v>1E-3</v>
      </c>
      <c r="AX48" s="546">
        <f xml:space="preserve"> ROUND(  INDEX( wx!48:48, AX$16 ),  AX$17 )</f>
        <v>2.2499999999999999E-2</v>
      </c>
      <c r="AY48" s="546">
        <f xml:space="preserve"> ROUND(  INDEX( wx!48:48, AY$16 ),  AY$17 )</f>
        <v>3.1300000000000001E-2</v>
      </c>
      <c r="AZ48" s="548" t="str">
        <f t="shared" si="43"/>
        <v>M</v>
      </c>
      <c r="BA48" s="542">
        <f t="shared" si="44"/>
        <v>0.8468</v>
      </c>
      <c r="BB48" s="542">
        <f t="shared" si="45"/>
        <v>2.3800000000000002E-2</v>
      </c>
      <c r="BC48" s="533">
        <f xml:space="preserve"> ROUND(  INDEX( Kx!48:48, BC$16 ),  BC$17 )</f>
        <v>2283.75</v>
      </c>
      <c r="BD48" s="533">
        <f xml:space="preserve"> ROUND(  INDEX( Kx!48:48, BD$16 ),  BD$17 )</f>
        <v>3013.64</v>
      </c>
      <c r="BE48" s="548" t="str">
        <f t="shared" si="58"/>
        <v>F</v>
      </c>
      <c r="BF48" s="542">
        <f t="shared" si="46"/>
        <v>0.71079999999999999</v>
      </c>
      <c r="BG48" s="420">
        <f t="shared" si="47"/>
        <v>2494.83</v>
      </c>
      <c r="BQ48" s="549"/>
      <c r="BR48" s="423"/>
      <c r="BS48" s="550"/>
      <c r="BT48" s="423"/>
      <c r="BU48" s="551"/>
      <c r="BV48" s="551"/>
      <c r="BW48" s="529"/>
      <c r="BX48" s="552"/>
      <c r="BY48" s="560"/>
      <c r="BZ48" s="559"/>
      <c r="CB48" s="423"/>
      <c r="CC48" s="423"/>
      <c r="CD48" s="423"/>
      <c r="CE48" s="423"/>
      <c r="CF48" s="553"/>
      <c r="CH48" s="423"/>
      <c r="CI48" s="423"/>
      <c r="CJ48" s="423"/>
      <c r="CK48" s="423"/>
      <c r="CL48" s="553"/>
      <c r="CN48" s="423"/>
      <c r="CO48" s="423"/>
      <c r="CP48" s="423"/>
      <c r="CQ48" s="423"/>
      <c r="CR48" s="553"/>
      <c r="EI48" s="553"/>
      <c r="EJ48" s="553"/>
      <c r="EK48" s="423"/>
      <c r="EL48" s="555"/>
      <c r="ES48" s="533"/>
      <c r="ET48" s="533"/>
      <c r="EU48" s="533"/>
      <c r="EV48" s="556"/>
      <c r="EY48" s="533"/>
      <c r="EZ48" s="533"/>
      <c r="FA48" s="556"/>
      <c r="FD48" s="556"/>
      <c r="FE48" s="556"/>
      <c r="FF48" s="556"/>
      <c r="FK48" s="557">
        <f t="shared" si="48"/>
        <v>48</v>
      </c>
      <c r="FL48" s="493">
        <f t="shared" si="59"/>
        <v>53.404400000000003</v>
      </c>
      <c r="FM48" s="493">
        <f t="shared" si="60"/>
        <v>20.005400000000002</v>
      </c>
      <c r="FO48" s="427">
        <f t="shared" si="61"/>
        <v>966773.14999999991</v>
      </c>
      <c r="FP48" s="558">
        <f t="shared" si="67"/>
        <v>61066.080000000002</v>
      </c>
      <c r="FQ48" s="558">
        <f t="shared" si="67"/>
        <v>59382.61</v>
      </c>
      <c r="FR48" s="558">
        <f t="shared" si="67"/>
        <v>57694.99</v>
      </c>
      <c r="FS48" s="558">
        <f t="shared" si="67"/>
        <v>56007.37</v>
      </c>
      <c r="FT48" s="558">
        <f t="shared" si="67"/>
        <v>54261.56</v>
      </c>
      <c r="FU48" s="558">
        <f t="shared" si="67"/>
        <v>52465.86</v>
      </c>
      <c r="FV48" s="558">
        <f t="shared" si="67"/>
        <v>50686.79</v>
      </c>
      <c r="FW48" s="558">
        <f t="shared" si="67"/>
        <v>48895.25</v>
      </c>
      <c r="FX48" s="558">
        <f t="shared" si="67"/>
        <v>47041.36</v>
      </c>
      <c r="FY48" s="558">
        <f t="shared" si="67"/>
        <v>45112.66</v>
      </c>
      <c r="FZ48" s="558">
        <f t="shared" si="66"/>
        <v>43171.48</v>
      </c>
      <c r="GA48" s="558">
        <f t="shared" si="66"/>
        <v>41201.199999999997</v>
      </c>
      <c r="GB48" s="558">
        <f t="shared" si="66"/>
        <v>39185.199999999997</v>
      </c>
      <c r="GC48" s="558">
        <f t="shared" si="66"/>
        <v>37160.879999999997</v>
      </c>
      <c r="GD48" s="558">
        <f t="shared" si="66"/>
        <v>35074.22</v>
      </c>
      <c r="GE48" s="558">
        <f t="shared" si="66"/>
        <v>32970.93</v>
      </c>
      <c r="GF48" s="558">
        <f t="shared" si="66"/>
        <v>30805.29</v>
      </c>
      <c r="GG48" s="558">
        <f t="shared" si="66"/>
        <v>28589.759999999998</v>
      </c>
      <c r="GH48" s="558">
        <f t="shared" si="66"/>
        <v>26311.89</v>
      </c>
      <c r="GI48" s="558">
        <f t="shared" si="66"/>
        <v>23967.51</v>
      </c>
      <c r="GJ48" s="558">
        <f t="shared" si="66"/>
        <v>21552.47</v>
      </c>
      <c r="GK48" s="558">
        <f t="shared" si="66"/>
        <v>19045.98</v>
      </c>
      <c r="GL48" s="558">
        <f t="shared" si="66"/>
        <v>16448.04</v>
      </c>
      <c r="GM48" s="558">
        <f t="shared" si="66"/>
        <v>13754.5</v>
      </c>
      <c r="GN48" s="558">
        <f t="shared" si="66"/>
        <v>10952.88</v>
      </c>
      <c r="GO48" s="558">
        <f t="shared" si="66"/>
        <v>8063.97</v>
      </c>
      <c r="GP48" s="558">
        <f t="shared" si="68"/>
        <v>5075.3</v>
      </c>
      <c r="GQ48" s="558">
        <f t="shared" si="68"/>
        <v>1995.19</v>
      </c>
      <c r="GR48" s="558">
        <f t="shared" si="68"/>
        <v>-1168.07</v>
      </c>
      <c r="GS48" s="558" t="str">
        <f t="shared" si="68"/>
        <v>.</v>
      </c>
      <c r="GT48" s="558" t="str">
        <f t="shared" si="68"/>
        <v>.</v>
      </c>
      <c r="GU48" s="558" t="str">
        <f t="shared" si="68"/>
        <v>.</v>
      </c>
      <c r="GV48" s="558" t="str">
        <f t="shared" si="68"/>
        <v>.</v>
      </c>
      <c r="GW48" s="558" t="str">
        <f t="shared" si="68"/>
        <v>.</v>
      </c>
      <c r="GX48" s="558" t="str">
        <f t="shared" si="68"/>
        <v>.</v>
      </c>
      <c r="GY48" s="558" t="str">
        <f t="shared" si="68"/>
        <v>.</v>
      </c>
      <c r="GZ48" s="558" t="str">
        <f t="shared" si="68"/>
        <v>.</v>
      </c>
      <c r="HA48" s="558" t="str">
        <f t="shared" si="68"/>
        <v>.</v>
      </c>
      <c r="HB48" s="558" t="str">
        <f t="shared" si="68"/>
        <v>.</v>
      </c>
      <c r="HC48" s="558" t="str">
        <f t="shared" si="68"/>
        <v>.</v>
      </c>
      <c r="HD48" s="558" t="str">
        <f t="shared" si="68"/>
        <v>.</v>
      </c>
      <c r="HE48" s="558" t="str">
        <f t="shared" si="68"/>
        <v>.</v>
      </c>
      <c r="HF48" s="558" t="str">
        <f t="shared" si="69"/>
        <v>.</v>
      </c>
      <c r="HG48" s="558" t="str">
        <f t="shared" si="69"/>
        <v>.</v>
      </c>
      <c r="HH48" s="558" t="str">
        <f t="shared" si="69"/>
        <v>.</v>
      </c>
      <c r="HI48" s="558" t="str">
        <f t="shared" si="69"/>
        <v>.</v>
      </c>
      <c r="HJ48" s="558" t="str">
        <f t="shared" si="69"/>
        <v>.</v>
      </c>
      <c r="HK48" s="558" t="str">
        <f t="shared" si="69"/>
        <v>.</v>
      </c>
      <c r="HL48" s="558" t="str">
        <f t="shared" si="69"/>
        <v>.</v>
      </c>
      <c r="HM48" s="558" t="str">
        <f t="shared" si="69"/>
        <v>.</v>
      </c>
      <c r="HN48" s="558" t="str">
        <f t="shared" si="69"/>
        <v>.</v>
      </c>
      <c r="HO48" s="558" t="str">
        <f t="shared" si="69"/>
        <v>.</v>
      </c>
      <c r="HP48" s="558" t="str">
        <f t="shared" si="64"/>
        <v>.</v>
      </c>
      <c r="HQ48" s="558" t="str">
        <f t="shared" si="64"/>
        <v>.</v>
      </c>
      <c r="HR48" s="558" t="str">
        <f t="shared" si="64"/>
        <v>.</v>
      </c>
      <c r="HS48" s="558" t="str">
        <f t="shared" si="64"/>
        <v>.</v>
      </c>
      <c r="HT48" s="558" t="str">
        <f t="shared" si="64"/>
        <v>.</v>
      </c>
      <c r="HU48" s="558" t="str">
        <f t="shared" si="64"/>
        <v>.</v>
      </c>
      <c r="HV48" s="558" t="str">
        <f t="shared" si="64"/>
        <v>.</v>
      </c>
      <c r="HW48" s="558" t="str">
        <f t="shared" si="64"/>
        <v>.</v>
      </c>
      <c r="HX48" s="558" t="str">
        <f t="shared" si="64"/>
        <v>.</v>
      </c>
      <c r="HY48" s="558" t="str">
        <f t="shared" si="64"/>
        <v>.</v>
      </c>
      <c r="HZ48" s="558" t="str">
        <f t="shared" si="64"/>
        <v>.</v>
      </c>
      <c r="IA48" s="558" t="str">
        <f t="shared" si="64"/>
        <v>.</v>
      </c>
      <c r="IB48" s="558" t="str">
        <f t="shared" si="64"/>
        <v>.</v>
      </c>
      <c r="IC48" s="558" t="str">
        <f t="shared" si="64"/>
        <v>.</v>
      </c>
      <c r="ID48" s="558" t="str">
        <f t="shared" si="64"/>
        <v>.</v>
      </c>
      <c r="IE48" s="558" t="str">
        <f t="shared" si="64"/>
        <v>.</v>
      </c>
      <c r="IF48" s="558" t="str">
        <f t="shared" ref="IF48:IN48" si="78" xml:space="preserve"> IF(  OR( IF$18&gt;$FK48, $FK48&gt;$FP$12 ),  LEER,  ROUND( $FO$19 * ( $FL48 - IF$15 * $FM48 ), IF$17 )  )</f>
        <v>.</v>
      </c>
      <c r="IG48" s="558" t="str">
        <f t="shared" si="78"/>
        <v>.</v>
      </c>
      <c r="IH48" s="558" t="str">
        <f t="shared" si="78"/>
        <v>.</v>
      </c>
      <c r="II48" s="558" t="str">
        <f t="shared" si="78"/>
        <v>.</v>
      </c>
      <c r="IJ48" s="558" t="str">
        <f t="shared" si="78"/>
        <v>.</v>
      </c>
      <c r="IK48" s="558" t="str">
        <f t="shared" si="78"/>
        <v>.</v>
      </c>
      <c r="IL48" s="558" t="str">
        <f t="shared" si="78"/>
        <v>.</v>
      </c>
      <c r="IM48" s="558" t="str">
        <f t="shared" si="78"/>
        <v>.</v>
      </c>
      <c r="IN48" s="558" t="str">
        <f t="shared" si="78"/>
        <v>.</v>
      </c>
      <c r="IO48" s="558" t="str">
        <f t="shared" si="76"/>
        <v>.</v>
      </c>
      <c r="IP48" s="558" t="str">
        <f t="shared" si="76"/>
        <v>.</v>
      </c>
      <c r="IQ48" s="558" t="str">
        <f t="shared" si="76"/>
        <v>.</v>
      </c>
      <c r="IR48" s="558" t="str">
        <f t="shared" si="76"/>
        <v>.</v>
      </c>
      <c r="IS48" s="558" t="str">
        <f t="shared" si="76"/>
        <v>.</v>
      </c>
      <c r="IT48" s="558" t="str">
        <f t="shared" si="76"/>
        <v>.</v>
      </c>
      <c r="IU48" s="558" t="str">
        <f t="shared" si="76"/>
        <v>.</v>
      </c>
      <c r="IV48" s="558" t="str">
        <f t="shared" si="76"/>
        <v>.</v>
      </c>
      <c r="IW48" s="558" t="str">
        <f t="shared" si="76"/>
        <v>.</v>
      </c>
      <c r="IX48" s="558" t="str">
        <f t="shared" si="76"/>
        <v>.</v>
      </c>
      <c r="IY48" s="558" t="str">
        <f t="shared" si="76"/>
        <v>.</v>
      </c>
      <c r="IZ48" s="558" t="str">
        <f t="shared" si="76"/>
        <v>.</v>
      </c>
      <c r="JA48" s="558" t="str">
        <f t="shared" si="76"/>
        <v>.</v>
      </c>
      <c r="JB48" s="558" t="str">
        <f t="shared" si="76"/>
        <v>.</v>
      </c>
      <c r="JC48" s="558" t="str">
        <f t="shared" si="76"/>
        <v>.</v>
      </c>
      <c r="JD48" s="558" t="str">
        <f t="shared" si="76"/>
        <v>.</v>
      </c>
      <c r="JE48" s="558" t="str">
        <f t="shared" si="76"/>
        <v>.</v>
      </c>
      <c r="JF48" s="558" t="str">
        <f t="shared" si="77"/>
        <v>.</v>
      </c>
      <c r="JG48" s="558" t="str">
        <f t="shared" si="77"/>
        <v>.</v>
      </c>
      <c r="JH48" s="558" t="str">
        <f t="shared" si="70"/>
        <v>.</v>
      </c>
      <c r="JI48" s="558" t="str">
        <f t="shared" si="70"/>
        <v>.</v>
      </c>
      <c r="JJ48" s="558" t="str">
        <f t="shared" si="70"/>
        <v>.</v>
      </c>
      <c r="JK48" s="558" t="str">
        <f t="shared" si="70"/>
        <v>.</v>
      </c>
      <c r="JL48" s="558" t="str">
        <f t="shared" si="70"/>
        <v>.</v>
      </c>
    </row>
    <row r="49" spans="1:272" ht="10.199999999999999" x14ac:dyDescent="0.2">
      <c r="A49" s="534">
        <f xml:space="preserve"> Basis!A49</f>
        <v>49</v>
      </c>
      <c r="F49" s="536">
        <f xml:space="preserve"> ROUND(    IF( $A$15=BE_MF_,   AW49,   INDEX( qx!49:49, F$16 ) ),    F$17    )</f>
        <v>1.1999999999999999E-3</v>
      </c>
      <c r="G49" s="536">
        <f xml:space="preserve"> ROUND(    IF( $A$15=BE_MF_,   BB49,   INDEX( wx!49:49, G$16 ) ),    G$17    )</f>
        <v>2.3800000000000002E-2</v>
      </c>
      <c r="H49" s="537">
        <f xml:space="preserve"> ROUND(    IF( $A$15=BE_MF_,   BG49,   INDEX( Kx!49:49, H$16 ) ),    H$17    )</f>
        <v>2593.89</v>
      </c>
      <c r="I49" s="538">
        <f t="shared" si="55"/>
        <v>2593.89</v>
      </c>
      <c r="J49" s="539">
        <f t="shared" si="17"/>
        <v>1.248</v>
      </c>
      <c r="K49" s="540">
        <f t="shared" si="56"/>
        <v>2</v>
      </c>
      <c r="L49" s="541">
        <f t="shared" si="71"/>
        <v>0</v>
      </c>
      <c r="M49" s="541">
        <f t="shared" si="71"/>
        <v>8.5999999999999993E-2</v>
      </c>
      <c r="O49" s="542" t="b">
        <f t="shared" si="57"/>
        <v>1</v>
      </c>
      <c r="P49" s="493">
        <f t="shared" si="19"/>
        <v>2.5000000000000001E-2</v>
      </c>
      <c r="Q49" s="493">
        <f t="shared" si="20"/>
        <v>0.97499999999999998</v>
      </c>
      <c r="R49" s="543">
        <f t="shared" si="21"/>
        <v>685238</v>
      </c>
      <c r="S49" s="544">
        <f t="shared" si="22"/>
        <v>0.97560975599999999</v>
      </c>
      <c r="T49" s="423">
        <f t="shared" si="23"/>
        <v>204348.77</v>
      </c>
      <c r="U49" s="423">
        <f xml:space="preserve"> IF( $O49,    ROUND(  SUM( T49:T$120), U$17 ),  LEER  )</f>
        <v>4082067.05</v>
      </c>
      <c r="V49" s="493">
        <f t="shared" si="24"/>
        <v>19.975999999999999</v>
      </c>
      <c r="W49" s="493">
        <f t="shared" si="25"/>
        <v>255027.26</v>
      </c>
      <c r="X49" s="493">
        <f xml:space="preserve"> IF( $O49,    ROUND(  SUM( W49:W$120), X$17 ),  LEER  )</f>
        <v>11212466.73</v>
      </c>
      <c r="Y49" s="493">
        <f t="shared" si="26"/>
        <v>54.869300000000003</v>
      </c>
      <c r="Z49" s="493">
        <f t="shared" si="27"/>
        <v>2.7467999999999999</v>
      </c>
      <c r="AA49" s="493">
        <f t="shared" si="28"/>
        <v>1.0092000000000001</v>
      </c>
      <c r="AB49" s="493">
        <f t="shared" si="29"/>
        <v>2.3494000000000002</v>
      </c>
      <c r="AC49" s="545">
        <f t="shared" si="30"/>
        <v>0.38600000000000001</v>
      </c>
      <c r="AD49" s="493">
        <f t="shared" si="31"/>
        <v>2.7755999999999998</v>
      </c>
      <c r="AE49" s="493">
        <f t="shared" si="32"/>
        <v>3.4590999999999998</v>
      </c>
      <c r="AF49" s="493">
        <f t="shared" si="33"/>
        <v>3.4590999999999998</v>
      </c>
      <c r="AG49" s="493" t="str">
        <f t="shared" si="34"/>
        <v>.</v>
      </c>
      <c r="AH49" s="493" t="str">
        <f t="shared" si="35"/>
        <v>.</v>
      </c>
      <c r="AI49" s="423">
        <f t="shared" si="36"/>
        <v>2077.79</v>
      </c>
      <c r="AJ49" s="423">
        <f t="shared" si="37"/>
        <v>7187.28</v>
      </c>
      <c r="AK49" s="423">
        <f t="shared" si="38"/>
        <v>598.94000000000005</v>
      </c>
      <c r="AN49" s="423">
        <f t="shared" si="72"/>
        <v>37050.730000000003</v>
      </c>
      <c r="AO49" s="423">
        <f t="shared" si="72"/>
        <v>36129.300000000003</v>
      </c>
      <c r="AR49" s="546">
        <f xml:space="preserve"> ROUND(  INDEX( Kx!49:49, AR$16 ),  AR$17 )</f>
        <v>0.78220000000000001</v>
      </c>
      <c r="AS49" s="547">
        <f xml:space="preserve"> ROUND(  INDEX( qx!49:49, AS$16 ),  AS$17 )</f>
        <v>1.2999999999999999E-3</v>
      </c>
      <c r="AT49" s="547">
        <f xml:space="preserve"> ROUND(  INDEX( qx!49:49, AT$16 ),  AT$17 )</f>
        <v>8.9999999999999998E-4</v>
      </c>
      <c r="AU49" s="548" t="str">
        <f t="shared" si="40"/>
        <v>F</v>
      </c>
      <c r="AV49" s="542">
        <f t="shared" si="41"/>
        <v>0.70540000000000003</v>
      </c>
      <c r="AW49" s="542">
        <f t="shared" si="42"/>
        <v>1.1999999999999999E-3</v>
      </c>
      <c r="AX49" s="546">
        <f xml:space="preserve"> ROUND(  INDEX( wx!49:49, AX$16 ),  AX$17 )</f>
        <v>2.2499999999999999E-2</v>
      </c>
      <c r="AY49" s="546">
        <f xml:space="preserve"> ROUND(  INDEX( wx!49:49, AY$16 ),  AY$17 )</f>
        <v>3.09E-2</v>
      </c>
      <c r="AZ49" s="548" t="str">
        <f t="shared" si="43"/>
        <v>M</v>
      </c>
      <c r="BA49" s="542">
        <f t="shared" si="44"/>
        <v>0.84340000000000004</v>
      </c>
      <c r="BB49" s="542">
        <f t="shared" si="45"/>
        <v>2.3800000000000002E-2</v>
      </c>
      <c r="BC49" s="533">
        <f xml:space="preserve"> ROUND(  INDEX( Kx!49:49, BC$16 ),  BC$17 )</f>
        <v>2385.41</v>
      </c>
      <c r="BD49" s="533">
        <f xml:space="preserve"> ROUND(  INDEX( Kx!49:49, BD$16 ),  BD$17 )</f>
        <v>3093.08</v>
      </c>
      <c r="BE49" s="548" t="str">
        <f t="shared" si="58"/>
        <v>F</v>
      </c>
      <c r="BF49" s="542">
        <f t="shared" si="46"/>
        <v>0.70540000000000003</v>
      </c>
      <c r="BG49" s="420">
        <f t="shared" si="47"/>
        <v>2593.89</v>
      </c>
      <c r="BQ49" s="549"/>
      <c r="BR49" s="423"/>
      <c r="BS49" s="550"/>
      <c r="BT49" s="423"/>
      <c r="BU49" s="551"/>
      <c r="BV49" s="551"/>
      <c r="BW49" s="529"/>
      <c r="BX49" s="552"/>
      <c r="BY49" s="560"/>
      <c r="BZ49" s="559"/>
      <c r="CB49" s="423"/>
      <c r="CC49" s="423"/>
      <c r="CD49" s="423"/>
      <c r="CE49" s="423"/>
      <c r="CF49" s="553"/>
      <c r="CH49" s="423"/>
      <c r="CI49" s="423"/>
      <c r="CJ49" s="423"/>
      <c r="CK49" s="423"/>
      <c r="CL49" s="553"/>
      <c r="CN49" s="423"/>
      <c r="CO49" s="423"/>
      <c r="CP49" s="423"/>
      <c r="CQ49" s="423"/>
      <c r="CR49" s="553"/>
      <c r="EI49" s="553"/>
      <c r="EJ49" s="553"/>
      <c r="EK49" s="423"/>
      <c r="EL49" s="555"/>
      <c r="ES49" s="533"/>
      <c r="ET49" s="533"/>
      <c r="EU49" s="533"/>
      <c r="EV49" s="556"/>
      <c r="EY49" s="533"/>
      <c r="EZ49" s="533"/>
      <c r="FA49" s="556"/>
      <c r="FD49" s="556"/>
      <c r="FE49" s="556"/>
      <c r="FF49" s="556"/>
      <c r="FK49" s="557">
        <f t="shared" si="48"/>
        <v>49</v>
      </c>
      <c r="FL49" s="493">
        <f t="shared" si="59"/>
        <v>54.869300000000003</v>
      </c>
      <c r="FM49" s="493">
        <f t="shared" si="60"/>
        <v>19.975999999999999</v>
      </c>
      <c r="FO49" s="427">
        <f t="shared" si="61"/>
        <v>1057153.3700000001</v>
      </c>
      <c r="FP49" s="558">
        <f t="shared" si="67"/>
        <v>64183.16</v>
      </c>
      <c r="FQ49" s="558">
        <f t="shared" si="67"/>
        <v>62502.17</v>
      </c>
      <c r="FR49" s="558">
        <f t="shared" si="67"/>
        <v>60817.03</v>
      </c>
      <c r="FS49" s="558">
        <f t="shared" si="67"/>
        <v>59131.89</v>
      </c>
      <c r="FT49" s="558">
        <f t="shared" si="67"/>
        <v>57388.639999999999</v>
      </c>
      <c r="FU49" s="558">
        <f t="shared" si="67"/>
        <v>55595.58</v>
      </c>
      <c r="FV49" s="558">
        <f t="shared" si="67"/>
        <v>53819.13</v>
      </c>
      <c r="FW49" s="558">
        <f t="shared" si="67"/>
        <v>52030.22</v>
      </c>
      <c r="FX49" s="558">
        <f t="shared" si="67"/>
        <v>50179.06</v>
      </c>
      <c r="FY49" s="558">
        <f t="shared" si="67"/>
        <v>48253.18</v>
      </c>
      <c r="FZ49" s="558">
        <f t="shared" si="66"/>
        <v>46314.86</v>
      </c>
      <c r="GA49" s="558">
        <f t="shared" si="66"/>
        <v>44347.48</v>
      </c>
      <c r="GB49" s="558">
        <f t="shared" si="66"/>
        <v>42334.44</v>
      </c>
      <c r="GC49" s="558">
        <f t="shared" si="66"/>
        <v>40313.1</v>
      </c>
      <c r="GD49" s="558">
        <f t="shared" si="66"/>
        <v>38229.5</v>
      </c>
      <c r="GE49" s="558">
        <f t="shared" si="66"/>
        <v>36129.300000000003</v>
      </c>
      <c r="GF49" s="558">
        <f t="shared" si="66"/>
        <v>33966.839999999997</v>
      </c>
      <c r="GG49" s="558">
        <f t="shared" si="66"/>
        <v>31754.58</v>
      </c>
      <c r="GH49" s="558">
        <f t="shared" si="66"/>
        <v>29480.05</v>
      </c>
      <c r="GI49" s="558">
        <f t="shared" si="66"/>
        <v>27139.119999999999</v>
      </c>
      <c r="GJ49" s="558">
        <f t="shared" si="66"/>
        <v>24727.62</v>
      </c>
      <c r="GK49" s="558">
        <f t="shared" si="66"/>
        <v>22224.81</v>
      </c>
      <c r="GL49" s="558">
        <f t="shared" si="66"/>
        <v>19630.689999999999</v>
      </c>
      <c r="GM49" s="558">
        <f t="shared" si="66"/>
        <v>16941.11</v>
      </c>
      <c r="GN49" s="558">
        <f t="shared" si="66"/>
        <v>14143.61</v>
      </c>
      <c r="GO49" s="558">
        <f t="shared" si="66"/>
        <v>11258.95</v>
      </c>
      <c r="GP49" s="558">
        <f t="shared" si="68"/>
        <v>8274.67</v>
      </c>
      <c r="GQ49" s="558">
        <f t="shared" si="68"/>
        <v>5199.08</v>
      </c>
      <c r="GR49" s="558">
        <f t="shared" si="68"/>
        <v>2040.48</v>
      </c>
      <c r="GS49" s="558">
        <f t="shared" si="68"/>
        <v>-1196.98</v>
      </c>
      <c r="GT49" s="558" t="str">
        <f t="shared" si="68"/>
        <v>.</v>
      </c>
      <c r="GU49" s="558" t="str">
        <f t="shared" si="68"/>
        <v>.</v>
      </c>
      <c r="GV49" s="558" t="str">
        <f t="shared" si="68"/>
        <v>.</v>
      </c>
      <c r="GW49" s="558" t="str">
        <f t="shared" si="68"/>
        <v>.</v>
      </c>
      <c r="GX49" s="558" t="str">
        <f t="shared" si="68"/>
        <v>.</v>
      </c>
      <c r="GY49" s="558" t="str">
        <f t="shared" si="68"/>
        <v>.</v>
      </c>
      <c r="GZ49" s="558" t="str">
        <f t="shared" si="68"/>
        <v>.</v>
      </c>
      <c r="HA49" s="558" t="str">
        <f t="shared" si="68"/>
        <v>.</v>
      </c>
      <c r="HB49" s="558" t="str">
        <f t="shared" si="68"/>
        <v>.</v>
      </c>
      <c r="HC49" s="558" t="str">
        <f t="shared" si="68"/>
        <v>.</v>
      </c>
      <c r="HD49" s="558" t="str">
        <f t="shared" si="68"/>
        <v>.</v>
      </c>
      <c r="HE49" s="558" t="str">
        <f t="shared" si="68"/>
        <v>.</v>
      </c>
      <c r="HF49" s="558" t="str">
        <f t="shared" si="69"/>
        <v>.</v>
      </c>
      <c r="HG49" s="558" t="str">
        <f t="shared" si="69"/>
        <v>.</v>
      </c>
      <c r="HH49" s="558" t="str">
        <f t="shared" si="69"/>
        <v>.</v>
      </c>
      <c r="HI49" s="558" t="str">
        <f t="shared" si="69"/>
        <v>.</v>
      </c>
      <c r="HJ49" s="558" t="str">
        <f t="shared" si="69"/>
        <v>.</v>
      </c>
      <c r="HK49" s="558" t="str">
        <f t="shared" si="69"/>
        <v>.</v>
      </c>
      <c r="HL49" s="558" t="str">
        <f t="shared" si="69"/>
        <v>.</v>
      </c>
      <c r="HM49" s="558" t="str">
        <f t="shared" si="69"/>
        <v>.</v>
      </c>
      <c r="HN49" s="558" t="str">
        <f t="shared" si="69"/>
        <v>.</v>
      </c>
      <c r="HO49" s="558" t="str">
        <f t="shared" si="69"/>
        <v>.</v>
      </c>
      <c r="HP49" s="558" t="str">
        <f t="shared" si="69"/>
        <v>.</v>
      </c>
      <c r="HQ49" s="558" t="str">
        <f t="shared" si="69"/>
        <v>.</v>
      </c>
      <c r="HR49" s="558" t="str">
        <f t="shared" si="69"/>
        <v>.</v>
      </c>
      <c r="HS49" s="558" t="str">
        <f t="shared" si="69"/>
        <v>.</v>
      </c>
      <c r="HT49" s="558" t="str">
        <f t="shared" si="69"/>
        <v>.</v>
      </c>
      <c r="HU49" s="558" t="str">
        <f t="shared" si="69"/>
        <v>.</v>
      </c>
      <c r="HV49" s="558" t="str">
        <f t="shared" si="69"/>
        <v>.</v>
      </c>
      <c r="HW49" s="558" t="str">
        <f t="shared" si="69"/>
        <v>.</v>
      </c>
      <c r="HX49" s="558" t="str">
        <f t="shared" ref="HX49:IV64" si="79" xml:space="preserve"> IF(  OR( HX$18&gt;$FK49, $FK49&gt;$FP$12 ),  LEER,  ROUND( $FO$19 * ( $FL49 - HX$15 * $FM49 ), HX$17 )  )</f>
        <v>.</v>
      </c>
      <c r="HY49" s="558" t="str">
        <f t="shared" si="79"/>
        <v>.</v>
      </c>
      <c r="HZ49" s="558" t="str">
        <f t="shared" si="79"/>
        <v>.</v>
      </c>
      <c r="IA49" s="558" t="str">
        <f t="shared" si="79"/>
        <v>.</v>
      </c>
      <c r="IB49" s="558" t="str">
        <f t="shared" si="79"/>
        <v>.</v>
      </c>
      <c r="IC49" s="558" t="str">
        <f t="shared" si="79"/>
        <v>.</v>
      </c>
      <c r="ID49" s="558" t="str">
        <f t="shared" si="79"/>
        <v>.</v>
      </c>
      <c r="IE49" s="558" t="str">
        <f t="shared" si="79"/>
        <v>.</v>
      </c>
      <c r="IF49" s="558" t="str">
        <f t="shared" si="79"/>
        <v>.</v>
      </c>
      <c r="IG49" s="558" t="str">
        <f t="shared" si="79"/>
        <v>.</v>
      </c>
      <c r="IH49" s="558" t="str">
        <f t="shared" si="79"/>
        <v>.</v>
      </c>
      <c r="II49" s="558" t="str">
        <f t="shared" si="79"/>
        <v>.</v>
      </c>
      <c r="IJ49" s="558" t="str">
        <f t="shared" si="79"/>
        <v>.</v>
      </c>
      <c r="IK49" s="558" t="str">
        <f t="shared" si="79"/>
        <v>.</v>
      </c>
      <c r="IL49" s="558" t="str">
        <f t="shared" si="79"/>
        <v>.</v>
      </c>
      <c r="IM49" s="558" t="str">
        <f t="shared" si="79"/>
        <v>.</v>
      </c>
      <c r="IN49" s="558" t="str">
        <f t="shared" si="79"/>
        <v>.</v>
      </c>
      <c r="IO49" s="558" t="str">
        <f t="shared" si="76"/>
        <v>.</v>
      </c>
      <c r="IP49" s="558" t="str">
        <f t="shared" si="76"/>
        <v>.</v>
      </c>
      <c r="IQ49" s="558" t="str">
        <f t="shared" si="76"/>
        <v>.</v>
      </c>
      <c r="IR49" s="558" t="str">
        <f t="shared" si="76"/>
        <v>.</v>
      </c>
      <c r="IS49" s="558" t="str">
        <f t="shared" si="76"/>
        <v>.</v>
      </c>
      <c r="IT49" s="558" t="str">
        <f t="shared" si="76"/>
        <v>.</v>
      </c>
      <c r="IU49" s="558" t="str">
        <f t="shared" si="76"/>
        <v>.</v>
      </c>
      <c r="IV49" s="558" t="str">
        <f t="shared" si="76"/>
        <v>.</v>
      </c>
      <c r="IW49" s="558" t="str">
        <f t="shared" si="76"/>
        <v>.</v>
      </c>
      <c r="IX49" s="558" t="str">
        <f t="shared" si="76"/>
        <v>.</v>
      </c>
      <c r="IY49" s="558" t="str">
        <f t="shared" si="76"/>
        <v>.</v>
      </c>
      <c r="IZ49" s="558" t="str">
        <f t="shared" si="76"/>
        <v>.</v>
      </c>
      <c r="JA49" s="558" t="str">
        <f t="shared" si="76"/>
        <v>.</v>
      </c>
      <c r="JB49" s="558" t="str">
        <f t="shared" si="76"/>
        <v>.</v>
      </c>
      <c r="JC49" s="558" t="str">
        <f t="shared" si="76"/>
        <v>.</v>
      </c>
      <c r="JD49" s="558" t="str">
        <f t="shared" si="76"/>
        <v>.</v>
      </c>
      <c r="JE49" s="558" t="str">
        <f t="shared" si="76"/>
        <v>.</v>
      </c>
      <c r="JF49" s="558" t="str">
        <f t="shared" si="77"/>
        <v>.</v>
      </c>
      <c r="JG49" s="558" t="str">
        <f t="shared" si="77"/>
        <v>.</v>
      </c>
      <c r="JH49" s="558" t="str">
        <f t="shared" si="70"/>
        <v>.</v>
      </c>
      <c r="JI49" s="558" t="str">
        <f t="shared" si="70"/>
        <v>.</v>
      </c>
      <c r="JJ49" s="558" t="str">
        <f t="shared" si="70"/>
        <v>.</v>
      </c>
      <c r="JK49" s="558" t="str">
        <f t="shared" si="70"/>
        <v>.</v>
      </c>
      <c r="JL49" s="558" t="str">
        <f t="shared" si="70"/>
        <v>.</v>
      </c>
    </row>
    <row r="50" spans="1:272" ht="10.199999999999999" x14ac:dyDescent="0.2">
      <c r="A50" s="534">
        <f xml:space="preserve"> Basis!A50</f>
        <v>50</v>
      </c>
      <c r="F50" s="536">
        <f xml:space="preserve"> ROUND(    IF( $A$15=BE_MF_,   AW50,   INDEX( qx!50:50, F$16 ) ),    F$17    )</f>
        <v>1.2999999999999999E-3</v>
      </c>
      <c r="G50" s="536">
        <f xml:space="preserve"> ROUND(    IF( $A$15=BE_MF_,   BB50,   INDEX( wx!50:50, G$16 ) ),    G$17    )</f>
        <v>2.3900000000000001E-2</v>
      </c>
      <c r="H50" s="537">
        <f xml:space="preserve"> ROUND(    IF( $A$15=BE_MF_,   BG50,   INDEX( Kx!50:50, H$16 ) ),    H$17    )</f>
        <v>2697.99</v>
      </c>
      <c r="I50" s="538">
        <f t="shared" si="55"/>
        <v>2697.99</v>
      </c>
      <c r="J50" s="539">
        <f t="shared" si="17"/>
        <v>1.298</v>
      </c>
      <c r="K50" s="540">
        <f t="shared" si="56"/>
        <v>2</v>
      </c>
      <c r="L50" s="541">
        <f t="shared" si="71"/>
        <v>0</v>
      </c>
      <c r="M50" s="541">
        <f t="shared" si="71"/>
        <v>8.5999999999999993E-2</v>
      </c>
      <c r="O50" s="542" t="b">
        <f t="shared" si="57"/>
        <v>1</v>
      </c>
      <c r="P50" s="493">
        <f t="shared" si="19"/>
        <v>2.52E-2</v>
      </c>
      <c r="Q50" s="493">
        <f t="shared" si="20"/>
        <v>0.9748</v>
      </c>
      <c r="R50" s="543">
        <f t="shared" si="21"/>
        <v>668107</v>
      </c>
      <c r="S50" s="544">
        <f t="shared" si="22"/>
        <v>0.97560975599999999</v>
      </c>
      <c r="T50" s="423">
        <f t="shared" si="23"/>
        <v>194380.52</v>
      </c>
      <c r="U50" s="423">
        <f xml:space="preserve"> IF( $O50,    ROUND(  SUM( T50:T$120), U$17 ),  LEER  )</f>
        <v>3877718.28</v>
      </c>
      <c r="V50" s="493">
        <f t="shared" si="24"/>
        <v>19.949100000000001</v>
      </c>
      <c r="W50" s="493">
        <f t="shared" si="25"/>
        <v>252305.91</v>
      </c>
      <c r="X50" s="493">
        <f xml:space="preserve"> IF( $O50,    ROUND(  SUM( W50:W$120), X$17 ),  LEER  )</f>
        <v>10957439.470000001</v>
      </c>
      <c r="Y50" s="493">
        <f t="shared" si="26"/>
        <v>56.371099999999998</v>
      </c>
      <c r="Z50" s="493">
        <f t="shared" si="27"/>
        <v>2.8256999999999999</v>
      </c>
      <c r="AA50" s="493">
        <f t="shared" si="28"/>
        <v>1.0092000000000001</v>
      </c>
      <c r="AB50" s="493">
        <f t="shared" si="29"/>
        <v>2.3494000000000002</v>
      </c>
      <c r="AC50" s="545">
        <f t="shared" si="30"/>
        <v>0.38600000000000001</v>
      </c>
      <c r="AD50" s="493">
        <f t="shared" si="31"/>
        <v>2.8552</v>
      </c>
      <c r="AE50" s="493">
        <f t="shared" si="32"/>
        <v>3.5461999999999998</v>
      </c>
      <c r="AF50" s="493">
        <f t="shared" si="33"/>
        <v>3.5461999999999998</v>
      </c>
      <c r="AG50" s="493" t="str">
        <f t="shared" si="34"/>
        <v>.</v>
      </c>
      <c r="AH50" s="493" t="str">
        <f t="shared" si="35"/>
        <v>.</v>
      </c>
      <c r="AI50" s="423">
        <f t="shared" si="36"/>
        <v>2077.79</v>
      </c>
      <c r="AJ50" s="423">
        <f t="shared" si="37"/>
        <v>7368.26</v>
      </c>
      <c r="AK50" s="423">
        <f t="shared" si="38"/>
        <v>614.02</v>
      </c>
      <c r="AN50" s="423">
        <f t="shared" si="72"/>
        <v>40274.79</v>
      </c>
      <c r="AO50" s="423">
        <f t="shared" si="72"/>
        <v>39354.6</v>
      </c>
      <c r="AR50" s="546">
        <f xml:space="preserve"> ROUND(  INDEX( Kx!50:50, AR$16 ),  AR$17 )</f>
        <v>0.78129999999999999</v>
      </c>
      <c r="AS50" s="547">
        <f xml:space="preserve"> ROUND(  INDEX( qx!50:50, AS$16 ),  AS$17 )</f>
        <v>1.4E-3</v>
      </c>
      <c r="AT50" s="547">
        <f xml:space="preserve"> ROUND(  INDEX( qx!50:50, AT$16 ),  AT$17 )</f>
        <v>1E-3</v>
      </c>
      <c r="AU50" s="548" t="str">
        <f t="shared" si="40"/>
        <v>F</v>
      </c>
      <c r="AV50" s="542">
        <f t="shared" si="41"/>
        <v>0.70430000000000004</v>
      </c>
      <c r="AW50" s="542">
        <f t="shared" si="42"/>
        <v>1.2999999999999999E-3</v>
      </c>
      <c r="AX50" s="546">
        <f xml:space="preserve"> ROUND(  INDEX( wx!50:50, AX$16 ),  AX$17 )</f>
        <v>2.2499999999999999E-2</v>
      </c>
      <c r="AY50" s="546">
        <f xml:space="preserve"> ROUND(  INDEX( wx!50:50, AY$16 ),  AY$17 )</f>
        <v>3.1099999999999999E-2</v>
      </c>
      <c r="AZ50" s="548" t="str">
        <f t="shared" si="43"/>
        <v>M</v>
      </c>
      <c r="BA50" s="542">
        <f t="shared" si="44"/>
        <v>0.8427</v>
      </c>
      <c r="BB50" s="542">
        <f t="shared" si="45"/>
        <v>2.3900000000000001E-2</v>
      </c>
      <c r="BC50" s="533">
        <f xml:space="preserve"> ROUND(  INDEX( Kx!50:50, BC$16 ),  BC$17 )</f>
        <v>2495.48</v>
      </c>
      <c r="BD50" s="533">
        <f xml:space="preserve"> ROUND(  INDEX( Kx!50:50, BD$16 ),  BD$17 )</f>
        <v>3180.32</v>
      </c>
      <c r="BE50" s="548" t="str">
        <f t="shared" si="58"/>
        <v>F</v>
      </c>
      <c r="BF50" s="542">
        <f t="shared" si="46"/>
        <v>0.70430000000000004</v>
      </c>
      <c r="BG50" s="420">
        <f t="shared" si="47"/>
        <v>2697.99</v>
      </c>
      <c r="BQ50" s="549"/>
      <c r="BR50" s="423"/>
      <c r="BS50" s="550"/>
      <c r="BT50" s="423"/>
      <c r="BU50" s="551"/>
      <c r="BV50" s="551"/>
      <c r="BW50" s="529"/>
      <c r="BX50" s="552"/>
      <c r="BY50" s="560"/>
      <c r="BZ50" s="559"/>
      <c r="CB50" s="423"/>
      <c r="CC50" s="423"/>
      <c r="CD50" s="423"/>
      <c r="CE50" s="423"/>
      <c r="CF50" s="553"/>
      <c r="CH50" s="423"/>
      <c r="CI50" s="423"/>
      <c r="CJ50" s="423"/>
      <c r="CK50" s="423"/>
      <c r="CL50" s="553"/>
      <c r="CN50" s="423"/>
      <c r="CO50" s="423"/>
      <c r="CP50" s="423"/>
      <c r="CQ50" s="423"/>
      <c r="CR50" s="553"/>
      <c r="EI50" s="553"/>
      <c r="EJ50" s="553"/>
      <c r="EK50" s="423"/>
      <c r="EL50" s="555"/>
      <c r="ES50" s="533"/>
      <c r="ET50" s="533"/>
      <c r="EU50" s="533"/>
      <c r="EV50" s="556"/>
      <c r="EY50" s="533"/>
      <c r="EZ50" s="533"/>
      <c r="FA50" s="556"/>
      <c r="FD50" s="556"/>
      <c r="FE50" s="556"/>
      <c r="FF50" s="556"/>
      <c r="FK50" s="557">
        <f t="shared" si="48"/>
        <v>50</v>
      </c>
      <c r="FL50" s="493">
        <f t="shared" si="59"/>
        <v>56.371099999999998</v>
      </c>
      <c r="FM50" s="493">
        <f t="shared" si="60"/>
        <v>19.949100000000001</v>
      </c>
      <c r="FO50" s="427">
        <f t="shared" si="61"/>
        <v>1152727.3799999999</v>
      </c>
      <c r="FP50" s="558">
        <f t="shared" si="67"/>
        <v>67370.679999999993</v>
      </c>
      <c r="FQ50" s="558">
        <f t="shared" si="67"/>
        <v>65691.95</v>
      </c>
      <c r="FR50" s="558">
        <f t="shared" si="67"/>
        <v>64009.08</v>
      </c>
      <c r="FS50" s="558">
        <f t="shared" si="67"/>
        <v>62326.21</v>
      </c>
      <c r="FT50" s="558">
        <f t="shared" si="67"/>
        <v>60585.31</v>
      </c>
      <c r="FU50" s="558">
        <f t="shared" si="67"/>
        <v>58794.67</v>
      </c>
      <c r="FV50" s="558">
        <f t="shared" si="67"/>
        <v>57020.6</v>
      </c>
      <c r="FW50" s="558">
        <f t="shared" si="67"/>
        <v>55234.11</v>
      </c>
      <c r="FX50" s="558">
        <f t="shared" si="67"/>
        <v>53385.440000000002</v>
      </c>
      <c r="FY50" s="558">
        <f t="shared" si="67"/>
        <v>51462.15</v>
      </c>
      <c r="FZ50" s="558">
        <f t="shared" si="66"/>
        <v>49526.44</v>
      </c>
      <c r="GA50" s="558">
        <f t="shared" si="66"/>
        <v>47561.7</v>
      </c>
      <c r="GB50" s="558">
        <f t="shared" si="66"/>
        <v>45551.38</v>
      </c>
      <c r="GC50" s="558">
        <f t="shared" si="66"/>
        <v>43532.76</v>
      </c>
      <c r="GD50" s="558">
        <f t="shared" si="66"/>
        <v>41451.97</v>
      </c>
      <c r="GE50" s="558">
        <f t="shared" si="66"/>
        <v>39354.6</v>
      </c>
      <c r="GF50" s="558">
        <f t="shared" si="66"/>
        <v>37195.050000000003</v>
      </c>
      <c r="GG50" s="558">
        <f t="shared" si="66"/>
        <v>34985.760000000002</v>
      </c>
      <c r="GH50" s="558">
        <f t="shared" si="66"/>
        <v>32714.3</v>
      </c>
      <c r="GI50" s="558">
        <f t="shared" si="66"/>
        <v>30376.52</v>
      </c>
      <c r="GJ50" s="558">
        <f t="shared" si="66"/>
        <v>27968.27</v>
      </c>
      <c r="GK50" s="558">
        <f t="shared" si="66"/>
        <v>25468.83</v>
      </c>
      <c r="GL50" s="558">
        <f t="shared" si="66"/>
        <v>22878.21</v>
      </c>
      <c r="GM50" s="558">
        <f t="shared" si="66"/>
        <v>20192.240000000002</v>
      </c>
      <c r="GN50" s="558">
        <f t="shared" si="66"/>
        <v>17398.509999999998</v>
      </c>
      <c r="GO50" s="558">
        <f t="shared" si="66"/>
        <v>14517.73</v>
      </c>
      <c r="GP50" s="558">
        <f t="shared" si="68"/>
        <v>11537.47</v>
      </c>
      <c r="GQ50" s="558">
        <f t="shared" si="68"/>
        <v>8466.0300000000007</v>
      </c>
      <c r="GR50" s="558">
        <f t="shared" si="68"/>
        <v>5311.68</v>
      </c>
      <c r="GS50" s="558">
        <f t="shared" si="68"/>
        <v>2078.58</v>
      </c>
      <c r="GT50" s="558">
        <f t="shared" si="68"/>
        <v>-1220.8499999999999</v>
      </c>
      <c r="GU50" s="558" t="str">
        <f t="shared" si="68"/>
        <v>.</v>
      </c>
      <c r="GV50" s="558" t="str">
        <f t="shared" si="68"/>
        <v>.</v>
      </c>
      <c r="GW50" s="558" t="str">
        <f t="shared" si="68"/>
        <v>.</v>
      </c>
      <c r="GX50" s="558" t="str">
        <f t="shared" si="68"/>
        <v>.</v>
      </c>
      <c r="GY50" s="558" t="str">
        <f t="shared" si="68"/>
        <v>.</v>
      </c>
      <c r="GZ50" s="558" t="str">
        <f t="shared" si="68"/>
        <v>.</v>
      </c>
      <c r="HA50" s="558" t="str">
        <f t="shared" si="68"/>
        <v>.</v>
      </c>
      <c r="HB50" s="558" t="str">
        <f t="shared" si="68"/>
        <v>.</v>
      </c>
      <c r="HC50" s="558" t="str">
        <f t="shared" si="68"/>
        <v>.</v>
      </c>
      <c r="HD50" s="558" t="str">
        <f t="shared" si="68"/>
        <v>.</v>
      </c>
      <c r="HE50" s="558" t="str">
        <f t="shared" si="68"/>
        <v>.</v>
      </c>
      <c r="HF50" s="558" t="str">
        <f t="shared" si="69"/>
        <v>.</v>
      </c>
      <c r="HG50" s="558" t="str">
        <f t="shared" si="69"/>
        <v>.</v>
      </c>
      <c r="HH50" s="558" t="str">
        <f t="shared" si="69"/>
        <v>.</v>
      </c>
      <c r="HI50" s="558" t="str">
        <f t="shared" si="69"/>
        <v>.</v>
      </c>
      <c r="HJ50" s="558" t="str">
        <f t="shared" si="69"/>
        <v>.</v>
      </c>
      <c r="HK50" s="558" t="str">
        <f t="shared" si="69"/>
        <v>.</v>
      </c>
      <c r="HL50" s="558" t="str">
        <f t="shared" si="69"/>
        <v>.</v>
      </c>
      <c r="HM50" s="558" t="str">
        <f t="shared" si="69"/>
        <v>.</v>
      </c>
      <c r="HN50" s="558" t="str">
        <f t="shared" si="69"/>
        <v>.</v>
      </c>
      <c r="HO50" s="558" t="str">
        <f t="shared" si="69"/>
        <v>.</v>
      </c>
      <c r="HP50" s="558" t="str">
        <f t="shared" si="69"/>
        <v>.</v>
      </c>
      <c r="HQ50" s="558" t="str">
        <f t="shared" si="69"/>
        <v>.</v>
      </c>
      <c r="HR50" s="558" t="str">
        <f t="shared" si="69"/>
        <v>.</v>
      </c>
      <c r="HS50" s="558" t="str">
        <f t="shared" si="69"/>
        <v>.</v>
      </c>
      <c r="HT50" s="558" t="str">
        <f t="shared" si="69"/>
        <v>.</v>
      </c>
      <c r="HU50" s="558" t="str">
        <f t="shared" si="69"/>
        <v>.</v>
      </c>
      <c r="HV50" s="558" t="str">
        <f t="shared" si="69"/>
        <v>.</v>
      </c>
      <c r="HW50" s="558" t="str">
        <f t="shared" si="69"/>
        <v>.</v>
      </c>
      <c r="HX50" s="558" t="str">
        <f t="shared" si="79"/>
        <v>.</v>
      </c>
      <c r="HY50" s="558" t="str">
        <f t="shared" si="79"/>
        <v>.</v>
      </c>
      <c r="HZ50" s="558" t="str">
        <f t="shared" si="79"/>
        <v>.</v>
      </c>
      <c r="IA50" s="558" t="str">
        <f t="shared" si="79"/>
        <v>.</v>
      </c>
      <c r="IB50" s="558" t="str">
        <f t="shared" si="79"/>
        <v>.</v>
      </c>
      <c r="IC50" s="558" t="str">
        <f t="shared" si="79"/>
        <v>.</v>
      </c>
      <c r="ID50" s="558" t="str">
        <f t="shared" si="79"/>
        <v>.</v>
      </c>
      <c r="IE50" s="558" t="str">
        <f t="shared" si="79"/>
        <v>.</v>
      </c>
      <c r="IF50" s="558" t="str">
        <f t="shared" si="79"/>
        <v>.</v>
      </c>
      <c r="IG50" s="558" t="str">
        <f t="shared" si="79"/>
        <v>.</v>
      </c>
      <c r="IH50" s="558" t="str">
        <f t="shared" si="79"/>
        <v>.</v>
      </c>
      <c r="II50" s="558" t="str">
        <f t="shared" si="79"/>
        <v>.</v>
      </c>
      <c r="IJ50" s="558" t="str">
        <f t="shared" si="79"/>
        <v>.</v>
      </c>
      <c r="IK50" s="558" t="str">
        <f t="shared" si="79"/>
        <v>.</v>
      </c>
      <c r="IL50" s="558" t="str">
        <f t="shared" si="79"/>
        <v>.</v>
      </c>
      <c r="IM50" s="558" t="str">
        <f t="shared" si="79"/>
        <v>.</v>
      </c>
      <c r="IN50" s="558" t="str">
        <f t="shared" si="79"/>
        <v>.</v>
      </c>
      <c r="IO50" s="558" t="str">
        <f t="shared" si="76"/>
        <v>.</v>
      </c>
      <c r="IP50" s="558" t="str">
        <f t="shared" si="76"/>
        <v>.</v>
      </c>
      <c r="IQ50" s="558" t="str">
        <f t="shared" si="76"/>
        <v>.</v>
      </c>
      <c r="IR50" s="558" t="str">
        <f t="shared" si="76"/>
        <v>.</v>
      </c>
      <c r="IS50" s="558" t="str">
        <f t="shared" si="76"/>
        <v>.</v>
      </c>
      <c r="IT50" s="558" t="str">
        <f t="shared" si="76"/>
        <v>.</v>
      </c>
      <c r="IU50" s="558" t="str">
        <f t="shared" si="76"/>
        <v>.</v>
      </c>
      <c r="IV50" s="558" t="str">
        <f t="shared" si="76"/>
        <v>.</v>
      </c>
      <c r="IW50" s="558" t="str">
        <f t="shared" si="76"/>
        <v>.</v>
      </c>
      <c r="IX50" s="558" t="str">
        <f t="shared" si="76"/>
        <v>.</v>
      </c>
      <c r="IY50" s="558" t="str">
        <f t="shared" si="76"/>
        <v>.</v>
      </c>
      <c r="IZ50" s="558" t="str">
        <f t="shared" si="76"/>
        <v>.</v>
      </c>
      <c r="JA50" s="558" t="str">
        <f t="shared" si="76"/>
        <v>.</v>
      </c>
      <c r="JB50" s="558" t="str">
        <f t="shared" si="76"/>
        <v>.</v>
      </c>
      <c r="JC50" s="558" t="str">
        <f t="shared" si="76"/>
        <v>.</v>
      </c>
      <c r="JD50" s="558" t="str">
        <f t="shared" si="76"/>
        <v>.</v>
      </c>
      <c r="JE50" s="558" t="str">
        <f t="shared" si="76"/>
        <v>.</v>
      </c>
      <c r="JF50" s="558" t="str">
        <f t="shared" si="77"/>
        <v>.</v>
      </c>
      <c r="JG50" s="558" t="str">
        <f t="shared" si="77"/>
        <v>.</v>
      </c>
      <c r="JH50" s="558" t="str">
        <f t="shared" si="70"/>
        <v>.</v>
      </c>
      <c r="JI50" s="558" t="str">
        <f t="shared" si="70"/>
        <v>.</v>
      </c>
      <c r="JJ50" s="558" t="str">
        <f t="shared" si="70"/>
        <v>.</v>
      </c>
      <c r="JK50" s="558" t="str">
        <f t="shared" si="70"/>
        <v>.</v>
      </c>
      <c r="JL50" s="558" t="str">
        <f t="shared" si="70"/>
        <v>.</v>
      </c>
    </row>
    <row r="51" spans="1:272" ht="10.199999999999999" x14ac:dyDescent="0.2">
      <c r="A51" s="534">
        <f xml:space="preserve"> Basis!A51</f>
        <v>51</v>
      </c>
      <c r="F51" s="536">
        <f xml:space="preserve"> ROUND(    IF( $A$15=BE_MF_,   AW51,   INDEX( qx!51:51, F$16 ) ),    F$17    )</f>
        <v>1.4E-3</v>
      </c>
      <c r="G51" s="536">
        <f xml:space="preserve"> ROUND(    IF( $A$15=BE_MF_,   BB51,   INDEX( wx!51:51, G$16 ) ),    G$17    )</f>
        <v>2.41E-2</v>
      </c>
      <c r="H51" s="537">
        <f xml:space="preserve"> ROUND(    IF( $A$15=BE_MF_,   BG51,   INDEX( Kx!51:51, H$16 ) ),    H$17    )</f>
        <v>2814.93</v>
      </c>
      <c r="I51" s="538">
        <f t="shared" si="55"/>
        <v>2814.93</v>
      </c>
      <c r="J51" s="539">
        <f t="shared" si="17"/>
        <v>1.355</v>
      </c>
      <c r="K51" s="540">
        <f t="shared" si="56"/>
        <v>2</v>
      </c>
      <c r="L51" s="541">
        <f t="shared" si="71"/>
        <v>0</v>
      </c>
      <c r="M51" s="541">
        <f t="shared" si="71"/>
        <v>8.5999999999999993E-2</v>
      </c>
      <c r="O51" s="542" t="b">
        <f t="shared" si="57"/>
        <v>1</v>
      </c>
      <c r="P51" s="493">
        <f t="shared" si="19"/>
        <v>2.5499999999999998E-2</v>
      </c>
      <c r="Q51" s="493">
        <f t="shared" si="20"/>
        <v>0.97450000000000003</v>
      </c>
      <c r="R51" s="543">
        <f t="shared" si="21"/>
        <v>651270</v>
      </c>
      <c r="S51" s="544">
        <f t="shared" si="22"/>
        <v>0.97560975599999999</v>
      </c>
      <c r="T51" s="423">
        <f t="shared" si="23"/>
        <v>184860.42</v>
      </c>
      <c r="U51" s="423">
        <f xml:space="preserve"> IF( $O51,    ROUND(  SUM( T51:T$120), U$17 ),  LEER  )</f>
        <v>3683337.76</v>
      </c>
      <c r="V51" s="493">
        <f t="shared" si="24"/>
        <v>19.925000000000001</v>
      </c>
      <c r="W51" s="493">
        <f t="shared" si="25"/>
        <v>250485.87</v>
      </c>
      <c r="X51" s="493">
        <f xml:space="preserve"> IF( $O51,    ROUND(  SUM( W51:W$120), X$17 ),  LEER  )</f>
        <v>10705133.560000001</v>
      </c>
      <c r="Y51" s="493">
        <f t="shared" si="26"/>
        <v>57.909300000000002</v>
      </c>
      <c r="Z51" s="493">
        <f t="shared" si="27"/>
        <v>2.9064000000000001</v>
      </c>
      <c r="AA51" s="493">
        <f t="shared" si="28"/>
        <v>1.0092000000000001</v>
      </c>
      <c r="AB51" s="493">
        <f t="shared" si="29"/>
        <v>2.3494000000000002</v>
      </c>
      <c r="AC51" s="545">
        <f t="shared" si="30"/>
        <v>0.38600000000000001</v>
      </c>
      <c r="AD51" s="493">
        <f t="shared" si="31"/>
        <v>2.9367000000000001</v>
      </c>
      <c r="AE51" s="493">
        <f t="shared" si="32"/>
        <v>3.6353</v>
      </c>
      <c r="AF51" s="493">
        <f t="shared" si="33"/>
        <v>3.6353</v>
      </c>
      <c r="AG51" s="493" t="str">
        <f t="shared" si="34"/>
        <v>.</v>
      </c>
      <c r="AH51" s="493" t="str">
        <f t="shared" si="35"/>
        <v>.</v>
      </c>
      <c r="AI51" s="423">
        <f t="shared" si="36"/>
        <v>2077.79</v>
      </c>
      <c r="AJ51" s="423">
        <f t="shared" si="37"/>
        <v>7553.39</v>
      </c>
      <c r="AK51" s="423">
        <f t="shared" si="38"/>
        <v>629.45000000000005</v>
      </c>
      <c r="AN51" s="423">
        <f t="shared" si="72"/>
        <v>43563.69</v>
      </c>
      <c r="AO51" s="423">
        <f t="shared" si="72"/>
        <v>42644.61</v>
      </c>
      <c r="AR51" s="546">
        <f xml:space="preserve"> ROUND(  INDEX( Kx!51:51, AR$16 ),  AR$17 )</f>
        <v>0.77590000000000003</v>
      </c>
      <c r="AS51" s="547">
        <f xml:space="preserve"> ROUND(  INDEX( qx!51:51, AS$16 ),  AS$17 )</f>
        <v>1.6000000000000001E-3</v>
      </c>
      <c r="AT51" s="547">
        <f xml:space="preserve"> ROUND(  INDEX( qx!51:51, AT$16 ),  AT$17 )</f>
        <v>1.1000000000000001E-3</v>
      </c>
      <c r="AU51" s="548" t="str">
        <f t="shared" si="40"/>
        <v>F</v>
      </c>
      <c r="AV51" s="542">
        <f t="shared" si="41"/>
        <v>0.69769999999999999</v>
      </c>
      <c r="AW51" s="542">
        <f t="shared" si="42"/>
        <v>1.4E-3</v>
      </c>
      <c r="AX51" s="546">
        <f xml:space="preserve"> ROUND(  INDEX( wx!51:51, AX$16 ),  AX$17 )</f>
        <v>2.2499999999999999E-2</v>
      </c>
      <c r="AY51" s="546">
        <f xml:space="preserve"> ROUND(  INDEX( wx!51:51, AY$16 ),  AY$17 )</f>
        <v>3.2399999999999998E-2</v>
      </c>
      <c r="AZ51" s="548" t="str">
        <f t="shared" si="43"/>
        <v>M</v>
      </c>
      <c r="BA51" s="542">
        <f t="shared" si="44"/>
        <v>0.83850000000000002</v>
      </c>
      <c r="BB51" s="542">
        <f t="shared" si="45"/>
        <v>2.41E-2</v>
      </c>
      <c r="BC51" s="533">
        <f xml:space="preserve"> ROUND(  INDEX( Kx!51:51, BC$16 ),  BC$17 )</f>
        <v>2616.38</v>
      </c>
      <c r="BD51" s="533">
        <f xml:space="preserve"> ROUND(  INDEX( Kx!51:51, BD$16 ),  BD$17 )</f>
        <v>3273.17</v>
      </c>
      <c r="BE51" s="548" t="str">
        <f t="shared" si="58"/>
        <v>F</v>
      </c>
      <c r="BF51" s="542">
        <f t="shared" si="46"/>
        <v>0.69769999999999999</v>
      </c>
      <c r="BG51" s="420">
        <f t="shared" si="47"/>
        <v>2814.93</v>
      </c>
      <c r="BQ51" s="549"/>
      <c r="BR51" s="423"/>
      <c r="BS51" s="550"/>
      <c r="BT51" s="423"/>
      <c r="BU51" s="551"/>
      <c r="BV51" s="551"/>
      <c r="BW51" s="529"/>
      <c r="BX51" s="552"/>
      <c r="BY51" s="560"/>
      <c r="BZ51" s="559"/>
      <c r="CB51" s="423"/>
      <c r="CC51" s="423"/>
      <c r="CD51" s="423"/>
      <c r="CE51" s="423"/>
      <c r="CF51" s="553"/>
      <c r="CH51" s="423"/>
      <c r="CI51" s="423"/>
      <c r="CJ51" s="423"/>
      <c r="CK51" s="423"/>
      <c r="CL51" s="553"/>
      <c r="CN51" s="423"/>
      <c r="CO51" s="423"/>
      <c r="CP51" s="423"/>
      <c r="CQ51" s="423"/>
      <c r="CR51" s="553"/>
      <c r="EI51" s="553"/>
      <c r="EJ51" s="553"/>
      <c r="EK51" s="423"/>
      <c r="EL51" s="555"/>
      <c r="ES51" s="533"/>
      <c r="ET51" s="533"/>
      <c r="EU51" s="533"/>
      <c r="EV51" s="556"/>
      <c r="EY51" s="533"/>
      <c r="EZ51" s="533"/>
      <c r="FA51" s="556"/>
      <c r="FD51" s="556"/>
      <c r="FE51" s="556"/>
      <c r="FF51" s="556"/>
      <c r="FK51" s="557">
        <f t="shared" si="48"/>
        <v>51</v>
      </c>
      <c r="FL51" s="493">
        <f t="shared" si="59"/>
        <v>57.909300000000002</v>
      </c>
      <c r="FM51" s="493">
        <f t="shared" si="60"/>
        <v>19.925000000000001</v>
      </c>
      <c r="FO51" s="427">
        <f t="shared" si="61"/>
        <v>1253543.1000000008</v>
      </c>
      <c r="FP51" s="558">
        <f t="shared" si="67"/>
        <v>70626.850000000006</v>
      </c>
      <c r="FQ51" s="558">
        <f t="shared" si="67"/>
        <v>68950.149999999994</v>
      </c>
      <c r="FR51" s="558">
        <f t="shared" si="67"/>
        <v>67269.31</v>
      </c>
      <c r="FS51" s="558">
        <f t="shared" si="67"/>
        <v>65588.47</v>
      </c>
      <c r="FT51" s="558">
        <f t="shared" si="67"/>
        <v>63849.67</v>
      </c>
      <c r="FU51" s="558">
        <f t="shared" si="67"/>
        <v>62061.19</v>
      </c>
      <c r="FV51" s="558">
        <f t="shared" si="67"/>
        <v>60289.27</v>
      </c>
      <c r="FW51" s="558">
        <f t="shared" si="67"/>
        <v>58504.94</v>
      </c>
      <c r="FX51" s="558">
        <f t="shared" si="67"/>
        <v>56658.5</v>
      </c>
      <c r="FY51" s="558">
        <f t="shared" si="67"/>
        <v>54737.54</v>
      </c>
      <c r="FZ51" s="558">
        <f t="shared" si="67"/>
        <v>52804.160000000003</v>
      </c>
      <c r="GA51" s="558">
        <f t="shared" si="67"/>
        <v>50841.8</v>
      </c>
      <c r="GB51" s="558">
        <f t="shared" si="67"/>
        <v>48833.9</v>
      </c>
      <c r="GC51" s="558">
        <f t="shared" si="67"/>
        <v>46817.73</v>
      </c>
      <c r="GD51" s="558">
        <f t="shared" si="67"/>
        <v>44739.45</v>
      </c>
      <c r="GE51" s="558">
        <f t="shared" si="67"/>
        <v>42644.61</v>
      </c>
      <c r="GF51" s="558">
        <f t="shared" ref="GF51:GU66" si="80" xml:space="preserve"> IF(  OR( GF$18&gt;$FK51, $FK51&gt;$FP$12 ),  LEER,  ROUND( $FO$19 * ( $FL51 - GF$15 * $FM51 ), GF$17 )  )</f>
        <v>40487.67</v>
      </c>
      <c r="GG51" s="558">
        <f t="shared" si="80"/>
        <v>38281.050000000003</v>
      </c>
      <c r="GH51" s="558">
        <f t="shared" si="80"/>
        <v>36012.33</v>
      </c>
      <c r="GI51" s="558">
        <f t="shared" si="80"/>
        <v>33677.379999999997</v>
      </c>
      <c r="GJ51" s="558">
        <f t="shared" si="80"/>
        <v>31272.04</v>
      </c>
      <c r="GK51" s="558">
        <f t="shared" si="80"/>
        <v>28775.62</v>
      </c>
      <c r="GL51" s="558">
        <f t="shared" si="80"/>
        <v>26188.12</v>
      </c>
      <c r="GM51" s="558">
        <f t="shared" si="80"/>
        <v>23505.4</v>
      </c>
      <c r="GN51" s="558">
        <f t="shared" si="80"/>
        <v>20715.05</v>
      </c>
      <c r="GO51" s="558">
        <f t="shared" si="80"/>
        <v>17837.75</v>
      </c>
      <c r="GP51" s="558">
        <f t="shared" si="80"/>
        <v>14861.09</v>
      </c>
      <c r="GQ51" s="558">
        <f t="shared" si="80"/>
        <v>11793.35</v>
      </c>
      <c r="GR51" s="558">
        <f t="shared" si="80"/>
        <v>8642.82</v>
      </c>
      <c r="GS51" s="558">
        <f t="shared" si="80"/>
        <v>5413.62</v>
      </c>
      <c r="GT51" s="558">
        <f t="shared" si="80"/>
        <v>2118.1799999999998</v>
      </c>
      <c r="GU51" s="558">
        <f t="shared" si="80"/>
        <v>-1255.9100000000001</v>
      </c>
      <c r="GV51" s="558" t="str">
        <f t="shared" si="68"/>
        <v>.</v>
      </c>
      <c r="GW51" s="558" t="str">
        <f t="shared" si="68"/>
        <v>.</v>
      </c>
      <c r="GX51" s="558" t="str">
        <f t="shared" si="68"/>
        <v>.</v>
      </c>
      <c r="GY51" s="558" t="str">
        <f t="shared" si="68"/>
        <v>.</v>
      </c>
      <c r="GZ51" s="558" t="str">
        <f t="shared" si="68"/>
        <v>.</v>
      </c>
      <c r="HA51" s="558" t="str">
        <f t="shared" si="68"/>
        <v>.</v>
      </c>
      <c r="HB51" s="558" t="str">
        <f t="shared" si="68"/>
        <v>.</v>
      </c>
      <c r="HC51" s="558" t="str">
        <f t="shared" si="68"/>
        <v>.</v>
      </c>
      <c r="HD51" s="558" t="str">
        <f t="shared" si="68"/>
        <v>.</v>
      </c>
      <c r="HE51" s="558" t="str">
        <f t="shared" si="68"/>
        <v>.</v>
      </c>
      <c r="HF51" s="558" t="str">
        <f t="shared" si="69"/>
        <v>.</v>
      </c>
      <c r="HG51" s="558" t="str">
        <f t="shared" si="69"/>
        <v>.</v>
      </c>
      <c r="HH51" s="558" t="str">
        <f t="shared" si="69"/>
        <v>.</v>
      </c>
      <c r="HI51" s="558" t="str">
        <f t="shared" si="69"/>
        <v>.</v>
      </c>
      <c r="HJ51" s="558" t="str">
        <f t="shared" si="69"/>
        <v>.</v>
      </c>
      <c r="HK51" s="558" t="str">
        <f t="shared" si="69"/>
        <v>.</v>
      </c>
      <c r="HL51" s="558" t="str">
        <f t="shared" si="69"/>
        <v>.</v>
      </c>
      <c r="HM51" s="558" t="str">
        <f t="shared" si="69"/>
        <v>.</v>
      </c>
      <c r="HN51" s="558" t="str">
        <f t="shared" si="69"/>
        <v>.</v>
      </c>
      <c r="HO51" s="558" t="str">
        <f t="shared" si="69"/>
        <v>.</v>
      </c>
      <c r="HP51" s="558" t="str">
        <f t="shared" si="69"/>
        <v>.</v>
      </c>
      <c r="HQ51" s="558" t="str">
        <f t="shared" si="69"/>
        <v>.</v>
      </c>
      <c r="HR51" s="558" t="str">
        <f t="shared" si="69"/>
        <v>.</v>
      </c>
      <c r="HS51" s="558" t="str">
        <f t="shared" si="69"/>
        <v>.</v>
      </c>
      <c r="HT51" s="558" t="str">
        <f t="shared" si="69"/>
        <v>.</v>
      </c>
      <c r="HU51" s="558" t="str">
        <f t="shared" si="69"/>
        <v>.</v>
      </c>
      <c r="HV51" s="558" t="str">
        <f t="shared" si="69"/>
        <v>.</v>
      </c>
      <c r="HW51" s="558" t="str">
        <f t="shared" si="69"/>
        <v>.</v>
      </c>
      <c r="HX51" s="558" t="str">
        <f t="shared" si="79"/>
        <v>.</v>
      </c>
      <c r="HY51" s="558" t="str">
        <f t="shared" si="79"/>
        <v>.</v>
      </c>
      <c r="HZ51" s="558" t="str">
        <f t="shared" si="79"/>
        <v>.</v>
      </c>
      <c r="IA51" s="558" t="str">
        <f t="shared" si="79"/>
        <v>.</v>
      </c>
      <c r="IB51" s="558" t="str">
        <f t="shared" si="79"/>
        <v>.</v>
      </c>
      <c r="IC51" s="558" t="str">
        <f t="shared" si="79"/>
        <v>.</v>
      </c>
      <c r="ID51" s="558" t="str">
        <f t="shared" si="79"/>
        <v>.</v>
      </c>
      <c r="IE51" s="558" t="str">
        <f t="shared" si="79"/>
        <v>.</v>
      </c>
      <c r="IF51" s="558" t="str">
        <f t="shared" si="79"/>
        <v>.</v>
      </c>
      <c r="IG51" s="558" t="str">
        <f t="shared" si="79"/>
        <v>.</v>
      </c>
      <c r="IH51" s="558" t="str">
        <f t="shared" si="79"/>
        <v>.</v>
      </c>
      <c r="II51" s="558" t="str">
        <f t="shared" si="79"/>
        <v>.</v>
      </c>
      <c r="IJ51" s="558" t="str">
        <f t="shared" si="79"/>
        <v>.</v>
      </c>
      <c r="IK51" s="558" t="str">
        <f t="shared" si="79"/>
        <v>.</v>
      </c>
      <c r="IL51" s="558" t="str">
        <f t="shared" si="79"/>
        <v>.</v>
      </c>
      <c r="IM51" s="558" t="str">
        <f t="shared" si="79"/>
        <v>.</v>
      </c>
      <c r="IN51" s="558" t="str">
        <f t="shared" si="79"/>
        <v>.</v>
      </c>
      <c r="IO51" s="558" t="str">
        <f t="shared" si="76"/>
        <v>.</v>
      </c>
      <c r="IP51" s="558" t="str">
        <f t="shared" si="76"/>
        <v>.</v>
      </c>
      <c r="IQ51" s="558" t="str">
        <f t="shared" si="76"/>
        <v>.</v>
      </c>
      <c r="IR51" s="558" t="str">
        <f t="shared" si="76"/>
        <v>.</v>
      </c>
      <c r="IS51" s="558" t="str">
        <f t="shared" si="76"/>
        <v>.</v>
      </c>
      <c r="IT51" s="558" t="str">
        <f t="shared" si="76"/>
        <v>.</v>
      </c>
      <c r="IU51" s="558" t="str">
        <f t="shared" si="76"/>
        <v>.</v>
      </c>
      <c r="IV51" s="558" t="str">
        <f t="shared" si="76"/>
        <v>.</v>
      </c>
      <c r="IW51" s="558" t="str">
        <f t="shared" si="76"/>
        <v>.</v>
      </c>
      <c r="IX51" s="558" t="str">
        <f t="shared" si="76"/>
        <v>.</v>
      </c>
      <c r="IY51" s="558" t="str">
        <f t="shared" si="76"/>
        <v>.</v>
      </c>
      <c r="IZ51" s="558" t="str">
        <f t="shared" si="76"/>
        <v>.</v>
      </c>
      <c r="JA51" s="558" t="str">
        <f t="shared" si="76"/>
        <v>.</v>
      </c>
      <c r="JB51" s="558" t="str">
        <f t="shared" si="76"/>
        <v>.</v>
      </c>
      <c r="JC51" s="558" t="str">
        <f t="shared" si="76"/>
        <v>.</v>
      </c>
      <c r="JD51" s="558" t="str">
        <f t="shared" si="76"/>
        <v>.</v>
      </c>
      <c r="JE51" s="558" t="str">
        <f t="shared" si="76"/>
        <v>.</v>
      </c>
      <c r="JF51" s="558" t="str">
        <f t="shared" si="77"/>
        <v>.</v>
      </c>
      <c r="JG51" s="558" t="str">
        <f t="shared" si="77"/>
        <v>.</v>
      </c>
      <c r="JH51" s="558" t="str">
        <f t="shared" si="70"/>
        <v>.</v>
      </c>
      <c r="JI51" s="558" t="str">
        <f t="shared" si="70"/>
        <v>.</v>
      </c>
      <c r="JJ51" s="558" t="str">
        <f t="shared" si="70"/>
        <v>.</v>
      </c>
      <c r="JK51" s="558" t="str">
        <f t="shared" si="70"/>
        <v>.</v>
      </c>
      <c r="JL51" s="558" t="str">
        <f t="shared" si="70"/>
        <v>.</v>
      </c>
    </row>
    <row r="52" spans="1:272" ht="10.199999999999999" x14ac:dyDescent="0.2">
      <c r="A52" s="534">
        <f xml:space="preserve"> Basis!A52</f>
        <v>52</v>
      </c>
      <c r="F52" s="536">
        <f xml:space="preserve"> ROUND(    IF( $A$15=BE_MF_,   AW52,   INDEX( qx!52:52, F$16 ) ),    F$17    )</f>
        <v>1.6000000000000001E-3</v>
      </c>
      <c r="G52" s="536">
        <f xml:space="preserve"> ROUND(    IF( $A$15=BE_MF_,   BB52,   INDEX( wx!52:52, G$16 ) ),    G$17    )</f>
        <v>2.4500000000000001E-2</v>
      </c>
      <c r="H52" s="537">
        <f xml:space="preserve"> ROUND(    IF( $A$15=BE_MF_,   BG52,   INDEX( Kx!52:52, H$16 ) ),    H$17    )</f>
        <v>2940.89</v>
      </c>
      <c r="I52" s="538">
        <f t="shared" si="55"/>
        <v>2940.89</v>
      </c>
      <c r="J52" s="539">
        <f t="shared" ref="J52:J83" si="81" xml:space="preserve"> ROUND(  I52 / I$19,  J$17 )</f>
        <v>1.415</v>
      </c>
      <c r="K52" s="540">
        <f t="shared" si="56"/>
        <v>2</v>
      </c>
      <c r="L52" s="541">
        <f t="shared" si="71"/>
        <v>0</v>
      </c>
      <c r="M52" s="541">
        <f t="shared" si="71"/>
        <v>8.5999999999999993E-2</v>
      </c>
      <c r="O52" s="542" t="b">
        <f t="shared" si="57"/>
        <v>1</v>
      </c>
      <c r="P52" s="493">
        <f t="shared" ref="P52:P83" si="82" xml:space="preserve"> IF( $O52,   IF(  A52&gt;= $O$12, 1,  ROUND(  MIN( 1,  F52 + G52 ),  P$17  )  ), LEER )</f>
        <v>2.6100000000000002E-2</v>
      </c>
      <c r="Q52" s="493">
        <f t="shared" ref="Q52:Q83" si="83" xml:space="preserve"> IF( $O52,    ROUND( 1 - P52,  Q$17  ),  LEER  )</f>
        <v>0.97389999999999999</v>
      </c>
      <c r="R52" s="543">
        <f t="shared" ref="R52:R83" si="84" xml:space="preserve"> IF(  NOT($O52),  LEER,  IF( $A52=R$10,  R$12,  ROUNDDOWN(  R51 * Q51,  R$17 )  )  )</f>
        <v>634662</v>
      </c>
      <c r="S52" s="544">
        <f t="shared" ref="S52:S83" si="85" xml:space="preserve"> IF( $O52,    ROUND(  ( 1 / ( 1 + S$12 ) ), S$17 ),  LEER  )</f>
        <v>0.97560975599999999</v>
      </c>
      <c r="T52" s="423">
        <f t="shared" ref="T52:T83" si="86" xml:space="preserve"> IF( $O52,    ROUND( R52 * S52 ^ A52, T$17 ),  LEER  )</f>
        <v>175752.49</v>
      </c>
      <c r="U52" s="423">
        <f xml:space="preserve"> IF( $O52,    ROUND(  SUM( T52:T$120), U$17 ),  LEER  )</f>
        <v>3498477.34</v>
      </c>
      <c r="V52" s="493">
        <f t="shared" ref="V52:V83" si="87" xml:space="preserve"> IF( $O52,    IF( T52= 0, 1,  ROUND(  U52 / T52, V$17 )   ),  LEER  )</f>
        <v>19.9057</v>
      </c>
      <c r="W52" s="493">
        <f t="shared" ref="W52:W83" si="88" xml:space="preserve"> IF( $O52,    ROUND( J52 * T52, W$17 ),  LEER  )</f>
        <v>248689.77</v>
      </c>
      <c r="X52" s="493">
        <f xml:space="preserve"> IF( $O52,    ROUND(  SUM( W52:W$120), X$17 ),  LEER  )</f>
        <v>10454647.689999999</v>
      </c>
      <c r="Y52" s="493">
        <f t="shared" ref="Y52:Y83" si="89" xml:space="preserve"> IF( $O52,    IF( T52= 0, J52,  ROUND(  X52 / T52, Y$17 )   ),   LEER  )</f>
        <v>59.485100000000003</v>
      </c>
      <c r="Z52" s="493">
        <f t="shared" ref="Z52:Z83" si="90" xml:space="preserve"> IF( $O52,    IF( V52= 0, Y52,  ROUND( Y52 / V52, Z$17 )  ),   LEER  )</f>
        <v>2.9883000000000002</v>
      </c>
      <c r="AA52" s="493">
        <f t="shared" ref="AA52:AA83" si="91" xml:space="preserve"> IF( $O52,    ROUND( ( 12 * V52 * ( 1 - M52 ) ) / ( 12 * V52 * ( 1 - M52 ) - K52 ), AA$17 ),    LEER  )</f>
        <v>1.0092000000000001</v>
      </c>
      <c r="AB52" s="493">
        <f t="shared" ref="AB52:AB83" si="92" xml:space="preserve">  IF( $O52,    ROUND( INDEX( $Z$20:$Z$120, AB$16 ) / ( 1 - M52 - L52 - INDEX( $K$20:$K$120, AB$16 ) / ( 12 * INDEX( $V$20:$V$120, AB$16 ) ) ), AB$17 ),       LEER  )</f>
        <v>2.3494000000000002</v>
      </c>
      <c r="AC52" s="545">
        <f t="shared" ref="AC52:AC83" si="93" xml:space="preserve">  IF( NOT($O52),   LEER,   ROUND(  L52 * AB52  +  IF( $A52&lt;AC$12, AC$5, AC$6 ),  AC$17  )    )</f>
        <v>0.38600000000000001</v>
      </c>
      <c r="AD52" s="493">
        <f t="shared" ref="AD52:AD83" si="94" xml:space="preserve">  IF( $O52,   ROUND( AA52 * Z52 + ( AA52 - 1 ) * AC52, AD$17 ),       LEER  )</f>
        <v>3.0192999999999999</v>
      </c>
      <c r="AE52" s="493">
        <f t="shared" ref="AE52:AE83" si="95" xml:space="preserve">  IF( $O52,   ROUND( ( AD52 + AC52 ) / ( 1 - M52), AE$17 ),       LEER  )</f>
        <v>3.7256999999999998</v>
      </c>
      <c r="AF52" s="493">
        <f t="shared" ref="AF52:AF83" si="96" xml:space="preserve">  IF(  $O52,   IF(  OR( NOT( $AF$12), $A52=$M$12, AE52&gt;=AF51 ), AE52, MAX( AE52,AF51) ),  LEER  )</f>
        <v>3.7256999999999998</v>
      </c>
      <c r="AG52" s="493" t="str">
        <f t="shared" ref="AG52:AG83" si="97" xml:space="preserve">  IF(  $O52,   IF(  AE52=AF52,  LEER, Setzung ),    LEER  )</f>
        <v>.</v>
      </c>
      <c r="AH52" s="493" t="str">
        <f t="shared" ref="AH52:AH83" si="98" xml:space="preserve">  IF(  $O52,   IF( AND( K51&lt;&gt;0, AG52=Setzung), SetzungZillmerung, LEER ),    LEER  )</f>
        <v>.</v>
      </c>
      <c r="AI52" s="423">
        <f t="shared" ref="AI52:AI83" si="99" xml:space="preserve">  IF( $O52,    $J$19,  LEER  )</f>
        <v>2077.79</v>
      </c>
      <c r="AJ52" s="423">
        <f t="shared" ref="AJ52:AJ83" si="100" xml:space="preserve">  IF( $O52,    ROUND( AF52 * AI52, AJ$17 ),  LEER  )</f>
        <v>7741.22</v>
      </c>
      <c r="AK52" s="423">
        <f t="shared" ref="AK52:AK83" si="101" xml:space="preserve">  IF( $O52,    ROUND( AJ52 / 12, AK$17 ),  LEER  )</f>
        <v>645.1</v>
      </c>
      <c r="AN52" s="423">
        <f t="shared" si="72"/>
        <v>46912.22</v>
      </c>
      <c r="AO52" s="423">
        <f t="shared" si="72"/>
        <v>45994.03</v>
      </c>
      <c r="AR52" s="546">
        <f xml:space="preserve"> ROUND(  INDEX( Kx!52:52, AR$16 ),  AR$17 )</f>
        <v>0.77159999999999995</v>
      </c>
      <c r="AS52" s="547">
        <f xml:space="preserve"> ROUND(  INDEX( qx!52:52, AS$16 ),  AS$17 )</f>
        <v>1.8E-3</v>
      </c>
      <c r="AT52" s="547">
        <f xml:space="preserve"> ROUND(  INDEX( qx!52:52, AT$16 ),  AT$17 )</f>
        <v>1.2999999999999999E-3</v>
      </c>
      <c r="AU52" s="548" t="str">
        <f t="shared" ref="AU52:AU83" si="102" xml:space="preserve"> IF( AS52&lt;AT52, AS$13, AT$13 )</f>
        <v>F</v>
      </c>
      <c r="AV52" s="542">
        <f t="shared" ref="AV52:AV83" si="103" xml:space="preserve"> ROUND(     IF( AU52=BE_M_, ( $AR52 + $AR52 * AV$18 ) / ( 1 + $AR52 * AV$18 ),  ( $AR52 ) / ( 1 + ( 1 - $AR52 ) * AV$18 ) ),   AV$17 )</f>
        <v>0.6925</v>
      </c>
      <c r="AW52" s="542">
        <f t="shared" ref="AW52:AW83" si="104" xml:space="preserve"> ROUND( AV52 * AS52 + ( 1 - AV52) * AT52, AW$17 )</f>
        <v>1.6000000000000001E-3</v>
      </c>
      <c r="AX52" s="546">
        <f xml:space="preserve"> ROUND(  INDEX( wx!52:52, AX$16 ),  AX$17 )</f>
        <v>2.2499999999999999E-2</v>
      </c>
      <c r="AY52" s="546">
        <f xml:space="preserve"> ROUND(  INDEX( wx!52:52, AY$16 ),  AY$17 )</f>
        <v>3.4700000000000002E-2</v>
      </c>
      <c r="AZ52" s="548" t="str">
        <f t="shared" ref="AZ52:AZ83" si="105" xml:space="preserve"> IF( AX52&lt;AY52, AX$13, AY$13 )</f>
        <v>M</v>
      </c>
      <c r="BA52" s="542">
        <f t="shared" ref="BA52:BA83" si="106" xml:space="preserve"> ROUND(     IF( AZ52=BE_M_, ( $AR52 + $AR52 * BA$18 ) / ( 1 + $AR52 * BA$18 ),  ( $AR52 ) / ( 1 + ( 1 - $AR52 ) * BA$18 ) ),   BA$17 )</f>
        <v>0.83520000000000005</v>
      </c>
      <c r="BB52" s="542">
        <f t="shared" ref="BB52:BB83" si="107" xml:space="preserve"> ROUND( BA52 * AX52 + ( 1 - BA52) * AY52, BB$17 )</f>
        <v>2.4500000000000001E-2</v>
      </c>
      <c r="BC52" s="533">
        <f xml:space="preserve"> ROUND(  INDEX( Kx!52:52, BC$16 ),  BC$17 )</f>
        <v>2750.19</v>
      </c>
      <c r="BD52" s="533">
        <f xml:space="preserve"> ROUND(  INDEX( Kx!52:52, BD$16 ),  BD$17 )</f>
        <v>3370.36</v>
      </c>
      <c r="BE52" s="548" t="str">
        <f t="shared" si="58"/>
        <v>F</v>
      </c>
      <c r="BF52" s="542">
        <f t="shared" ref="BF52:BF83" si="108" xml:space="preserve"> ROUND(     IF( BE52=BE_M_, ( $AR52 + $AR52 * BF$18 ) / ( 1 + $AR52 * BF$18 ),  ( $AR52 ) / ( 1 + ( 1 - $AR52 ) * BF$18 ) ),   BF$17 )</f>
        <v>0.6925</v>
      </c>
      <c r="BG52" s="420">
        <f t="shared" ref="BG52:BG83" si="109" xml:space="preserve"> ROUND( BF52 * BC52 + ( 1 - BF52) * BD52, BG$17 )</f>
        <v>2940.89</v>
      </c>
      <c r="BQ52" s="549"/>
      <c r="BR52" s="423"/>
      <c r="BS52" s="550"/>
      <c r="BT52" s="423"/>
      <c r="BU52" s="551"/>
      <c r="BV52" s="551"/>
      <c r="BW52" s="529"/>
      <c r="BX52" s="552"/>
      <c r="BY52" s="560"/>
      <c r="BZ52" s="559"/>
      <c r="CB52" s="423"/>
      <c r="CC52" s="423"/>
      <c r="CD52" s="423"/>
      <c r="CE52" s="423"/>
      <c r="CF52" s="553"/>
      <c r="CH52" s="423"/>
      <c r="CI52" s="423"/>
      <c r="CJ52" s="423"/>
      <c r="CK52" s="423"/>
      <c r="CL52" s="553"/>
      <c r="CN52" s="423"/>
      <c r="CO52" s="423"/>
      <c r="CP52" s="423"/>
      <c r="CQ52" s="423"/>
      <c r="CR52" s="553"/>
      <c r="EI52" s="553"/>
      <c r="EJ52" s="553"/>
      <c r="EK52" s="423"/>
      <c r="EL52" s="555"/>
      <c r="ES52" s="533"/>
      <c r="ET52" s="533"/>
      <c r="EU52" s="533"/>
      <c r="EV52" s="556"/>
      <c r="EY52" s="533"/>
      <c r="EZ52" s="533"/>
      <c r="FA52" s="556"/>
      <c r="FD52" s="556"/>
      <c r="FE52" s="556"/>
      <c r="FF52" s="556"/>
      <c r="FK52" s="557">
        <f t="shared" si="48"/>
        <v>52</v>
      </c>
      <c r="FL52" s="493">
        <f t="shared" si="59"/>
        <v>59.485100000000003</v>
      </c>
      <c r="FM52" s="493">
        <f t="shared" si="60"/>
        <v>19.9057</v>
      </c>
      <c r="FO52" s="427">
        <f t="shared" si="61"/>
        <v>1359551.97</v>
      </c>
      <c r="FP52" s="558">
        <f t="shared" ref="FP52:GE67" si="110" xml:space="preserve"> IF(  OR( FP$18&gt;$FK52, $FK52&gt;$FP$12 ),  LEER,  ROUND( $FO$19 * ( $FL52 - FP$15 * $FM52 ), FP$17 )  )</f>
        <v>73949.16</v>
      </c>
      <c r="FQ52" s="558">
        <f t="shared" si="110"/>
        <v>72274.09</v>
      </c>
      <c r="FR52" s="558">
        <f t="shared" si="110"/>
        <v>70594.880000000005</v>
      </c>
      <c r="FS52" s="558">
        <f t="shared" si="110"/>
        <v>68915.67</v>
      </c>
      <c r="FT52" s="558">
        <f t="shared" si="110"/>
        <v>67178.55</v>
      </c>
      <c r="FU52" s="558">
        <f t="shared" si="110"/>
        <v>65391.81</v>
      </c>
      <c r="FV52" s="558">
        <f t="shared" si="110"/>
        <v>63621.61</v>
      </c>
      <c r="FW52" s="558">
        <f t="shared" si="110"/>
        <v>61839</v>
      </c>
      <c r="FX52" s="558">
        <f t="shared" si="110"/>
        <v>59994.35</v>
      </c>
      <c r="FY52" s="558">
        <f t="shared" si="110"/>
        <v>58075.25</v>
      </c>
      <c r="FZ52" s="558">
        <f t="shared" si="110"/>
        <v>56143.74</v>
      </c>
      <c r="GA52" s="558">
        <f t="shared" si="110"/>
        <v>54183.29</v>
      </c>
      <c r="GB52" s="558">
        <f t="shared" si="110"/>
        <v>52177.33</v>
      </c>
      <c r="GC52" s="558">
        <f t="shared" si="110"/>
        <v>50163.11</v>
      </c>
      <c r="GD52" s="558">
        <f t="shared" si="110"/>
        <v>48086.84</v>
      </c>
      <c r="GE52" s="558">
        <f t="shared" si="110"/>
        <v>45994.03</v>
      </c>
      <c r="GF52" s="558">
        <f t="shared" si="80"/>
        <v>43839.18</v>
      </c>
      <c r="GG52" s="558">
        <f t="shared" si="80"/>
        <v>41634.699999999997</v>
      </c>
      <c r="GH52" s="558">
        <f t="shared" si="80"/>
        <v>39368.18</v>
      </c>
      <c r="GI52" s="558">
        <f t="shared" si="80"/>
        <v>37035.49</v>
      </c>
      <c r="GJ52" s="558">
        <f t="shared" si="80"/>
        <v>34632.480000000003</v>
      </c>
      <c r="GK52" s="558">
        <f t="shared" si="80"/>
        <v>32138.48</v>
      </c>
      <c r="GL52" s="558">
        <f t="shared" si="80"/>
        <v>29553.49</v>
      </c>
      <c r="GM52" s="558">
        <f t="shared" si="80"/>
        <v>26873.37</v>
      </c>
      <c r="GN52" s="558">
        <f t="shared" si="80"/>
        <v>24085.71</v>
      </c>
      <c r="GO52" s="558">
        <f t="shared" si="80"/>
        <v>21211.200000000001</v>
      </c>
      <c r="GP52" s="558">
        <f t="shared" si="80"/>
        <v>18237.43</v>
      </c>
      <c r="GQ52" s="558">
        <f t="shared" si="80"/>
        <v>15172.66</v>
      </c>
      <c r="GR52" s="558">
        <f t="shared" si="80"/>
        <v>12025.18</v>
      </c>
      <c r="GS52" s="558">
        <f t="shared" si="80"/>
        <v>8799.11</v>
      </c>
      <c r="GT52" s="558">
        <f t="shared" si="80"/>
        <v>5506.86</v>
      </c>
      <c r="GU52" s="558">
        <f t="shared" si="80"/>
        <v>2136.0300000000002</v>
      </c>
      <c r="GV52" s="558">
        <f t="shared" ref="GV52:HK67" si="111" xml:space="preserve"> IF(  OR( GV$18&gt;$FK52, $FK52&gt;$FP$12 ),  LEER,  ROUND( $FO$19 * ( $FL52 - GV$15 * $FM52 ), GV$17 )  )</f>
        <v>-1280.29</v>
      </c>
      <c r="GW52" s="558" t="str">
        <f t="shared" si="111"/>
        <v>.</v>
      </c>
      <c r="GX52" s="558" t="str">
        <f t="shared" si="111"/>
        <v>.</v>
      </c>
      <c r="GY52" s="558" t="str">
        <f t="shared" si="111"/>
        <v>.</v>
      </c>
      <c r="GZ52" s="558" t="str">
        <f t="shared" si="111"/>
        <v>.</v>
      </c>
      <c r="HA52" s="558" t="str">
        <f t="shared" si="111"/>
        <v>.</v>
      </c>
      <c r="HB52" s="558" t="str">
        <f t="shared" si="111"/>
        <v>.</v>
      </c>
      <c r="HC52" s="558" t="str">
        <f t="shared" si="111"/>
        <v>.</v>
      </c>
      <c r="HD52" s="558" t="str">
        <f t="shared" si="111"/>
        <v>.</v>
      </c>
      <c r="HE52" s="558" t="str">
        <f t="shared" si="111"/>
        <v>.</v>
      </c>
      <c r="HF52" s="558" t="str">
        <f t="shared" si="111"/>
        <v>.</v>
      </c>
      <c r="HG52" s="558" t="str">
        <f t="shared" si="111"/>
        <v>.</v>
      </c>
      <c r="HH52" s="558" t="str">
        <f t="shared" si="111"/>
        <v>.</v>
      </c>
      <c r="HI52" s="558" t="str">
        <f t="shared" si="111"/>
        <v>.</v>
      </c>
      <c r="HJ52" s="558" t="str">
        <f t="shared" si="111"/>
        <v>.</v>
      </c>
      <c r="HK52" s="558" t="str">
        <f t="shared" si="111"/>
        <v>.</v>
      </c>
      <c r="HL52" s="558" t="str">
        <f t="shared" ref="HL52:IC66" si="112" xml:space="preserve"> IF(  OR( HL$18&gt;$FK52, $FK52&gt;$FP$12 ),  LEER,  ROUND( $FO$19 * ( $FL52 - HL$15 * $FM52 ), HL$17 )  )</f>
        <v>.</v>
      </c>
      <c r="HM52" s="558" t="str">
        <f t="shared" si="112"/>
        <v>.</v>
      </c>
      <c r="HN52" s="558" t="str">
        <f t="shared" si="112"/>
        <v>.</v>
      </c>
      <c r="HO52" s="558" t="str">
        <f t="shared" si="112"/>
        <v>.</v>
      </c>
      <c r="HP52" s="558" t="str">
        <f t="shared" si="112"/>
        <v>.</v>
      </c>
      <c r="HQ52" s="558" t="str">
        <f t="shared" si="112"/>
        <v>.</v>
      </c>
      <c r="HR52" s="558" t="str">
        <f t="shared" si="112"/>
        <v>.</v>
      </c>
      <c r="HS52" s="558" t="str">
        <f t="shared" si="112"/>
        <v>.</v>
      </c>
      <c r="HT52" s="558" t="str">
        <f t="shared" si="112"/>
        <v>.</v>
      </c>
      <c r="HU52" s="558" t="str">
        <f t="shared" si="112"/>
        <v>.</v>
      </c>
      <c r="HV52" s="558" t="str">
        <f t="shared" si="112"/>
        <v>.</v>
      </c>
      <c r="HW52" s="558" t="str">
        <f t="shared" si="112"/>
        <v>.</v>
      </c>
      <c r="HX52" s="558" t="str">
        <f t="shared" si="112"/>
        <v>.</v>
      </c>
      <c r="HY52" s="558" t="str">
        <f t="shared" si="112"/>
        <v>.</v>
      </c>
      <c r="HZ52" s="558" t="str">
        <f t="shared" si="112"/>
        <v>.</v>
      </c>
      <c r="IA52" s="558" t="str">
        <f t="shared" si="112"/>
        <v>.</v>
      </c>
      <c r="IB52" s="558" t="str">
        <f t="shared" si="112"/>
        <v>.</v>
      </c>
      <c r="IC52" s="558" t="str">
        <f t="shared" si="112"/>
        <v>.</v>
      </c>
      <c r="ID52" s="558" t="str">
        <f t="shared" si="79"/>
        <v>.</v>
      </c>
      <c r="IE52" s="558" t="str">
        <f t="shared" si="79"/>
        <v>.</v>
      </c>
      <c r="IF52" s="558" t="str">
        <f t="shared" si="79"/>
        <v>.</v>
      </c>
      <c r="IG52" s="558" t="str">
        <f t="shared" si="79"/>
        <v>.</v>
      </c>
      <c r="IH52" s="558" t="str">
        <f t="shared" si="79"/>
        <v>.</v>
      </c>
      <c r="II52" s="558" t="str">
        <f t="shared" si="79"/>
        <v>.</v>
      </c>
      <c r="IJ52" s="558" t="str">
        <f t="shared" si="79"/>
        <v>.</v>
      </c>
      <c r="IK52" s="558" t="str">
        <f t="shared" si="79"/>
        <v>.</v>
      </c>
      <c r="IL52" s="558" t="str">
        <f t="shared" si="79"/>
        <v>.</v>
      </c>
      <c r="IM52" s="558" t="str">
        <f t="shared" si="79"/>
        <v>.</v>
      </c>
      <c r="IN52" s="558" t="str">
        <f t="shared" si="79"/>
        <v>.</v>
      </c>
      <c r="IO52" s="558" t="str">
        <f t="shared" si="76"/>
        <v>.</v>
      </c>
      <c r="IP52" s="558" t="str">
        <f t="shared" si="76"/>
        <v>.</v>
      </c>
      <c r="IQ52" s="558" t="str">
        <f t="shared" si="76"/>
        <v>.</v>
      </c>
      <c r="IR52" s="558" t="str">
        <f t="shared" si="76"/>
        <v>.</v>
      </c>
      <c r="IS52" s="558" t="str">
        <f t="shared" si="76"/>
        <v>.</v>
      </c>
      <c r="IT52" s="558" t="str">
        <f t="shared" si="76"/>
        <v>.</v>
      </c>
      <c r="IU52" s="558" t="str">
        <f t="shared" si="76"/>
        <v>.</v>
      </c>
      <c r="IV52" s="558" t="str">
        <f t="shared" si="76"/>
        <v>.</v>
      </c>
      <c r="IW52" s="558" t="str">
        <f t="shared" si="76"/>
        <v>.</v>
      </c>
      <c r="IX52" s="558" t="str">
        <f t="shared" si="76"/>
        <v>.</v>
      </c>
      <c r="IY52" s="558" t="str">
        <f t="shared" si="76"/>
        <v>.</v>
      </c>
      <c r="IZ52" s="558" t="str">
        <f t="shared" si="76"/>
        <v>.</v>
      </c>
      <c r="JA52" s="558" t="str">
        <f t="shared" si="76"/>
        <v>.</v>
      </c>
      <c r="JB52" s="558" t="str">
        <f t="shared" si="76"/>
        <v>.</v>
      </c>
      <c r="JC52" s="558" t="str">
        <f t="shared" si="76"/>
        <v>.</v>
      </c>
      <c r="JD52" s="558" t="str">
        <f t="shared" si="76"/>
        <v>.</v>
      </c>
      <c r="JE52" s="558" t="str">
        <f t="shared" si="76"/>
        <v>.</v>
      </c>
      <c r="JF52" s="558" t="str">
        <f t="shared" si="77"/>
        <v>.</v>
      </c>
      <c r="JG52" s="558" t="str">
        <f t="shared" si="77"/>
        <v>.</v>
      </c>
      <c r="JH52" s="558" t="str">
        <f xml:space="preserve"> IF(  OR( JH$18&gt;$FK52, $FK52&gt;$FP$12 ),  LEER,  ROUND( $FO$19 * ( $FL52 - JH$15 * $FM52 ), JH$17 )  )</f>
        <v>.</v>
      </c>
      <c r="JI52" s="558" t="str">
        <f xml:space="preserve"> IF(  OR( JI$18&gt;$FK52, $FK52&gt;$FP$12 ),  LEER,  ROUND( $FO$19 * ( $FL52 - JI$15 * $FM52 ), JI$17 )  )</f>
        <v>.</v>
      </c>
      <c r="JJ52" s="558" t="str">
        <f t="shared" ref="JH52:JL67" si="113" xml:space="preserve"> IF(  OR( JJ$18&gt;$FK52, $FK52&gt;$FP$12 ),  LEER,  ROUND( $FO$19 * ( $FL52 - JJ$15 * $FM52 ), JJ$17 )  )</f>
        <v>.</v>
      </c>
      <c r="JK52" s="558" t="str">
        <f t="shared" si="113"/>
        <v>.</v>
      </c>
      <c r="JL52" s="558" t="str">
        <f t="shared" si="113"/>
        <v>.</v>
      </c>
    </row>
    <row r="53" spans="1:272" ht="10.199999999999999" x14ac:dyDescent="0.2">
      <c r="A53" s="534">
        <f xml:space="preserve"> Basis!A53</f>
        <v>53</v>
      </c>
      <c r="F53" s="536">
        <f xml:space="preserve"> ROUND(    IF( $A$15=BE_MF_,   AW53,   INDEX( qx!53:53, F$16 ) ),    F$17    )</f>
        <v>1.9E-3</v>
      </c>
      <c r="G53" s="536">
        <f xml:space="preserve"> ROUND(    IF( $A$15=BE_MF_,   BB53,   INDEX( wx!53:53, G$16 ) ),    G$17    )</f>
        <v>2.4899999999999999E-2</v>
      </c>
      <c r="H53" s="537">
        <f xml:space="preserve"> ROUND(    IF( $A$15=BE_MF_,   BG53,   INDEX( Kx!53:53, H$16 ) ),    H$17    )</f>
        <v>3073.25</v>
      </c>
      <c r="I53" s="538">
        <f t="shared" si="55"/>
        <v>3073.25</v>
      </c>
      <c r="J53" s="539">
        <f t="shared" si="81"/>
        <v>1.4790000000000001</v>
      </c>
      <c r="K53" s="540">
        <f t="shared" ref="K53:K84" si="114" xml:space="preserve"> IF( $A53&lt;K$18,  K$15,  MAX( 0, K52-K$16 )   )</f>
        <v>2</v>
      </c>
      <c r="L53" s="541">
        <f t="shared" si="71"/>
        <v>0</v>
      </c>
      <c r="M53" s="541">
        <f t="shared" si="71"/>
        <v>8.5999999999999993E-2</v>
      </c>
      <c r="O53" s="542" t="b">
        <f t="shared" si="57"/>
        <v>1</v>
      </c>
      <c r="P53" s="493">
        <f t="shared" si="82"/>
        <v>2.6800000000000001E-2</v>
      </c>
      <c r="Q53" s="493">
        <f t="shared" si="83"/>
        <v>0.97319999999999995</v>
      </c>
      <c r="R53" s="543">
        <f t="shared" si="84"/>
        <v>618097</v>
      </c>
      <c r="S53" s="544">
        <f t="shared" si="85"/>
        <v>0.97560975599999999</v>
      </c>
      <c r="T53" s="423">
        <f t="shared" si="86"/>
        <v>166990.5</v>
      </c>
      <c r="U53" s="423">
        <f xml:space="preserve"> IF( $O53,    ROUND(  SUM( T53:T$120), U$17 ),  LEER  )</f>
        <v>3322724.85</v>
      </c>
      <c r="V53" s="493">
        <f t="shared" si="87"/>
        <v>19.8977</v>
      </c>
      <c r="W53" s="493">
        <f t="shared" si="88"/>
        <v>246978.95</v>
      </c>
      <c r="X53" s="493">
        <f xml:space="preserve"> IF( $O53,    ROUND(  SUM( W53:W$120), X$17 ),  LEER  )</f>
        <v>10205957.92</v>
      </c>
      <c r="Y53" s="493">
        <f t="shared" si="89"/>
        <v>61.116999999999997</v>
      </c>
      <c r="Z53" s="493">
        <f t="shared" si="90"/>
        <v>3.0716000000000001</v>
      </c>
      <c r="AA53" s="493">
        <f t="shared" si="91"/>
        <v>1.0092000000000001</v>
      </c>
      <c r="AB53" s="493">
        <f t="shared" si="92"/>
        <v>2.3494000000000002</v>
      </c>
      <c r="AC53" s="545">
        <f t="shared" si="93"/>
        <v>0.38600000000000001</v>
      </c>
      <c r="AD53" s="493">
        <f t="shared" si="94"/>
        <v>3.1034000000000002</v>
      </c>
      <c r="AE53" s="493">
        <f t="shared" si="95"/>
        <v>3.8176999999999999</v>
      </c>
      <c r="AF53" s="493">
        <f t="shared" si="96"/>
        <v>3.8176999999999999</v>
      </c>
      <c r="AG53" s="493" t="str">
        <f t="shared" si="97"/>
        <v>.</v>
      </c>
      <c r="AH53" s="493" t="str">
        <f t="shared" si="98"/>
        <v>.</v>
      </c>
      <c r="AI53" s="423">
        <f t="shared" si="99"/>
        <v>2077.79</v>
      </c>
      <c r="AJ53" s="423">
        <f t="shared" si="100"/>
        <v>7932.38</v>
      </c>
      <c r="AK53" s="423">
        <f t="shared" si="101"/>
        <v>661.03</v>
      </c>
      <c r="AN53" s="423">
        <f t="shared" si="72"/>
        <v>50333.79</v>
      </c>
      <c r="AO53" s="423">
        <f t="shared" si="72"/>
        <v>49415.97</v>
      </c>
      <c r="AR53" s="546">
        <f xml:space="preserve"> ROUND(  INDEX( Kx!53:53, AR$16 ),  AR$17 )</f>
        <v>0.76959999999999995</v>
      </c>
      <c r="AS53" s="547">
        <f xml:space="preserve"> ROUND(  INDEX( qx!53:53, AS$16 ),  AS$17 )</f>
        <v>2.0999999999999999E-3</v>
      </c>
      <c r="AT53" s="547">
        <f xml:space="preserve"> ROUND(  INDEX( qx!53:53, AT$16 ),  AT$17 )</f>
        <v>1.4E-3</v>
      </c>
      <c r="AU53" s="548" t="str">
        <f t="shared" si="102"/>
        <v>F</v>
      </c>
      <c r="AV53" s="542">
        <f t="shared" si="103"/>
        <v>0.69010000000000005</v>
      </c>
      <c r="AW53" s="542">
        <f t="shared" si="104"/>
        <v>1.9E-3</v>
      </c>
      <c r="AX53" s="546">
        <f xml:space="preserve"> ROUND(  INDEX( wx!53:53, AX$16 ),  AX$17 )</f>
        <v>2.2499999999999999E-2</v>
      </c>
      <c r="AY53" s="546">
        <f xml:space="preserve"> ROUND(  INDEX( wx!53:53, AY$16 ),  AY$17 )</f>
        <v>3.6700000000000003E-2</v>
      </c>
      <c r="AZ53" s="548" t="str">
        <f t="shared" si="105"/>
        <v>M</v>
      </c>
      <c r="BA53" s="542">
        <f t="shared" si="106"/>
        <v>0.83360000000000001</v>
      </c>
      <c r="BB53" s="542">
        <f t="shared" si="107"/>
        <v>2.4899999999999999E-2</v>
      </c>
      <c r="BC53" s="533">
        <f xml:space="preserve"> ROUND(  INDEX( Kx!53:53, BC$16 ),  BC$17 )</f>
        <v>2895.45</v>
      </c>
      <c r="BD53" s="533">
        <f xml:space="preserve"> ROUND(  INDEX( Kx!53:53, BD$16 ),  BD$17 )</f>
        <v>3469.18</v>
      </c>
      <c r="BE53" s="548" t="str">
        <f t="shared" si="58"/>
        <v>F</v>
      </c>
      <c r="BF53" s="542">
        <f t="shared" si="108"/>
        <v>0.69010000000000005</v>
      </c>
      <c r="BG53" s="420">
        <f t="shared" si="109"/>
        <v>3073.25</v>
      </c>
      <c r="BQ53" s="549"/>
      <c r="BR53" s="423"/>
      <c r="BS53" s="550"/>
      <c r="BT53" s="423"/>
      <c r="BU53" s="551"/>
      <c r="BV53" s="551"/>
      <c r="BW53" s="529"/>
      <c r="BX53" s="552"/>
      <c r="BY53" s="560"/>
      <c r="BZ53" s="559"/>
      <c r="CB53" s="423"/>
      <c r="CC53" s="423"/>
      <c r="CD53" s="423"/>
      <c r="CE53" s="423"/>
      <c r="CF53" s="553"/>
      <c r="CH53" s="423"/>
      <c r="CI53" s="423"/>
      <c r="CJ53" s="423"/>
      <c r="CK53" s="423"/>
      <c r="CL53" s="553"/>
      <c r="CN53" s="423"/>
      <c r="CO53" s="423"/>
      <c r="CP53" s="423"/>
      <c r="CQ53" s="423"/>
      <c r="CR53" s="553"/>
      <c r="EI53" s="553"/>
      <c r="EJ53" s="553"/>
      <c r="EK53" s="423"/>
      <c r="EL53" s="555"/>
      <c r="ES53" s="533"/>
      <c r="ET53" s="533"/>
      <c r="EU53" s="533"/>
      <c r="EV53" s="556"/>
      <c r="EY53" s="533"/>
      <c r="EZ53" s="533"/>
      <c r="FA53" s="556"/>
      <c r="FD53" s="556"/>
      <c r="FE53" s="556"/>
      <c r="FF53" s="556"/>
      <c r="FK53" s="557">
        <f t="shared" si="48"/>
        <v>53</v>
      </c>
      <c r="FL53" s="493">
        <f t="shared" si="59"/>
        <v>61.116999999999997</v>
      </c>
      <c r="FM53" s="493">
        <f t="shared" si="60"/>
        <v>19.8977</v>
      </c>
      <c r="FO53" s="427">
        <f t="shared" si="61"/>
        <v>1471223.06</v>
      </c>
      <c r="FP53" s="558">
        <f t="shared" si="110"/>
        <v>77359.86</v>
      </c>
      <c r="FQ53" s="558">
        <f t="shared" si="110"/>
        <v>75685.460000000006</v>
      </c>
      <c r="FR53" s="558">
        <f t="shared" si="110"/>
        <v>74006.929999999993</v>
      </c>
      <c r="FS53" s="558">
        <f t="shared" si="110"/>
        <v>72328.39</v>
      </c>
      <c r="FT53" s="558">
        <f t="shared" si="110"/>
        <v>70591.97</v>
      </c>
      <c r="FU53" s="558">
        <f t="shared" si="110"/>
        <v>68805.95</v>
      </c>
      <c r="FV53" s="558">
        <f t="shared" si="110"/>
        <v>67036.460000000006</v>
      </c>
      <c r="FW53" s="558">
        <f t="shared" si="110"/>
        <v>65254.559999999998</v>
      </c>
      <c r="FX53" s="558">
        <f t="shared" si="110"/>
        <v>63410.65</v>
      </c>
      <c r="FY53" s="558">
        <f t="shared" si="110"/>
        <v>61492.33</v>
      </c>
      <c r="FZ53" s="558">
        <f t="shared" si="110"/>
        <v>59561.599999999999</v>
      </c>
      <c r="GA53" s="558">
        <f t="shared" si="110"/>
        <v>57601.93</v>
      </c>
      <c r="GB53" s="558">
        <f t="shared" si="110"/>
        <v>55596.78</v>
      </c>
      <c r="GC53" s="558">
        <f t="shared" si="110"/>
        <v>53583.37</v>
      </c>
      <c r="GD53" s="558">
        <f t="shared" si="110"/>
        <v>51507.93</v>
      </c>
      <c r="GE53" s="558">
        <f t="shared" si="110"/>
        <v>49415.97</v>
      </c>
      <c r="GF53" s="558">
        <f t="shared" si="80"/>
        <v>47261.98</v>
      </c>
      <c r="GG53" s="558">
        <f t="shared" si="80"/>
        <v>45058.39</v>
      </c>
      <c r="GH53" s="558">
        <f t="shared" si="80"/>
        <v>42792.78</v>
      </c>
      <c r="GI53" s="558">
        <f t="shared" si="80"/>
        <v>40461.019999999997</v>
      </c>
      <c r="GJ53" s="558">
        <f t="shared" si="80"/>
        <v>38058.980000000003</v>
      </c>
      <c r="GK53" s="558">
        <f t="shared" si="80"/>
        <v>35565.980000000003</v>
      </c>
      <c r="GL53" s="558">
        <f t="shared" si="80"/>
        <v>32982.03</v>
      </c>
      <c r="GM53" s="558">
        <f t="shared" si="80"/>
        <v>30302.99</v>
      </c>
      <c r="GN53" s="558">
        <f t="shared" si="80"/>
        <v>27516.45</v>
      </c>
      <c r="GO53" s="558">
        <f t="shared" si="80"/>
        <v>24643.1</v>
      </c>
      <c r="GP53" s="558">
        <f t="shared" si="80"/>
        <v>21670.52</v>
      </c>
      <c r="GQ53" s="558">
        <f t="shared" si="80"/>
        <v>18606.98</v>
      </c>
      <c r="GR53" s="558">
        <f t="shared" si="80"/>
        <v>15460.76</v>
      </c>
      <c r="GS53" s="558">
        <f t="shared" si="80"/>
        <v>12235.99</v>
      </c>
      <c r="GT53" s="558">
        <f t="shared" si="80"/>
        <v>8945.07</v>
      </c>
      <c r="GU53" s="558">
        <f t="shared" si="80"/>
        <v>5575.59</v>
      </c>
      <c r="GV53" s="558">
        <f t="shared" si="111"/>
        <v>2160.64</v>
      </c>
      <c r="GW53" s="558">
        <f t="shared" si="111"/>
        <v>-1316.33</v>
      </c>
      <c r="GX53" s="558" t="str">
        <f t="shared" si="111"/>
        <v>.</v>
      </c>
      <c r="GY53" s="558" t="str">
        <f t="shared" si="111"/>
        <v>.</v>
      </c>
      <c r="GZ53" s="558" t="str">
        <f t="shared" si="111"/>
        <v>.</v>
      </c>
      <c r="HA53" s="558" t="str">
        <f t="shared" si="111"/>
        <v>.</v>
      </c>
      <c r="HB53" s="558" t="str">
        <f t="shared" si="111"/>
        <v>.</v>
      </c>
      <c r="HC53" s="558" t="str">
        <f t="shared" si="111"/>
        <v>.</v>
      </c>
      <c r="HD53" s="558" t="str">
        <f t="shared" si="111"/>
        <v>.</v>
      </c>
      <c r="HE53" s="558" t="str">
        <f t="shared" si="111"/>
        <v>.</v>
      </c>
      <c r="HF53" s="558" t="str">
        <f t="shared" si="111"/>
        <v>.</v>
      </c>
      <c r="HG53" s="558" t="str">
        <f t="shared" si="111"/>
        <v>.</v>
      </c>
      <c r="HH53" s="558" t="str">
        <f t="shared" si="111"/>
        <v>.</v>
      </c>
      <c r="HI53" s="558" t="str">
        <f t="shared" si="111"/>
        <v>.</v>
      </c>
      <c r="HJ53" s="558" t="str">
        <f t="shared" si="111"/>
        <v>.</v>
      </c>
      <c r="HK53" s="558" t="str">
        <f t="shared" si="111"/>
        <v>.</v>
      </c>
      <c r="HL53" s="558" t="str">
        <f t="shared" si="112"/>
        <v>.</v>
      </c>
      <c r="HM53" s="558" t="str">
        <f t="shared" si="112"/>
        <v>.</v>
      </c>
      <c r="HN53" s="558" t="str">
        <f t="shared" si="112"/>
        <v>.</v>
      </c>
      <c r="HO53" s="558" t="str">
        <f t="shared" si="112"/>
        <v>.</v>
      </c>
      <c r="HP53" s="558" t="str">
        <f t="shared" si="112"/>
        <v>.</v>
      </c>
      <c r="HQ53" s="558" t="str">
        <f t="shared" si="112"/>
        <v>.</v>
      </c>
      <c r="HR53" s="558" t="str">
        <f t="shared" si="112"/>
        <v>.</v>
      </c>
      <c r="HS53" s="558" t="str">
        <f t="shared" si="112"/>
        <v>.</v>
      </c>
      <c r="HT53" s="558" t="str">
        <f t="shared" si="112"/>
        <v>.</v>
      </c>
      <c r="HU53" s="558" t="str">
        <f t="shared" si="112"/>
        <v>.</v>
      </c>
      <c r="HV53" s="558" t="str">
        <f t="shared" si="112"/>
        <v>.</v>
      </c>
      <c r="HW53" s="558" t="str">
        <f t="shared" si="112"/>
        <v>.</v>
      </c>
      <c r="HX53" s="558" t="str">
        <f t="shared" si="112"/>
        <v>.</v>
      </c>
      <c r="HY53" s="558" t="str">
        <f t="shared" si="112"/>
        <v>.</v>
      </c>
      <c r="HZ53" s="558" t="str">
        <f t="shared" si="112"/>
        <v>.</v>
      </c>
      <c r="IA53" s="558" t="str">
        <f t="shared" si="112"/>
        <v>.</v>
      </c>
      <c r="IB53" s="558" t="str">
        <f t="shared" si="112"/>
        <v>.</v>
      </c>
      <c r="IC53" s="558" t="str">
        <f t="shared" si="112"/>
        <v>.</v>
      </c>
      <c r="ID53" s="558" t="str">
        <f t="shared" si="79"/>
        <v>.</v>
      </c>
      <c r="IE53" s="558" t="str">
        <f t="shared" si="79"/>
        <v>.</v>
      </c>
      <c r="IF53" s="558" t="str">
        <f t="shared" si="79"/>
        <v>.</v>
      </c>
      <c r="IG53" s="558" t="str">
        <f t="shared" si="79"/>
        <v>.</v>
      </c>
      <c r="IH53" s="558" t="str">
        <f t="shared" si="79"/>
        <v>.</v>
      </c>
      <c r="II53" s="558" t="str">
        <f t="shared" si="79"/>
        <v>.</v>
      </c>
      <c r="IJ53" s="558" t="str">
        <f t="shared" si="79"/>
        <v>.</v>
      </c>
      <c r="IK53" s="558" t="str">
        <f t="shared" si="79"/>
        <v>.</v>
      </c>
      <c r="IL53" s="558" t="str">
        <f t="shared" si="79"/>
        <v>.</v>
      </c>
      <c r="IM53" s="558" t="str">
        <f t="shared" si="79"/>
        <v>.</v>
      </c>
      <c r="IN53" s="558" t="str">
        <f t="shared" si="79"/>
        <v>.</v>
      </c>
      <c r="IO53" s="558" t="str">
        <f t="shared" si="76"/>
        <v>.</v>
      </c>
      <c r="IP53" s="558" t="str">
        <f t="shared" si="76"/>
        <v>.</v>
      </c>
      <c r="IQ53" s="558" t="str">
        <f t="shared" si="76"/>
        <v>.</v>
      </c>
      <c r="IR53" s="558" t="str">
        <f t="shared" si="76"/>
        <v>.</v>
      </c>
      <c r="IS53" s="558" t="str">
        <f t="shared" si="76"/>
        <v>.</v>
      </c>
      <c r="IT53" s="558" t="str">
        <f t="shared" si="76"/>
        <v>.</v>
      </c>
      <c r="IU53" s="558" t="str">
        <f t="shared" si="76"/>
        <v>.</v>
      </c>
      <c r="IV53" s="558" t="str">
        <f t="shared" si="76"/>
        <v>.</v>
      </c>
      <c r="IW53" s="558" t="str">
        <f t="shared" si="76"/>
        <v>.</v>
      </c>
      <c r="IX53" s="558" t="str">
        <f t="shared" si="76"/>
        <v>.</v>
      </c>
      <c r="IY53" s="558" t="str">
        <f t="shared" si="76"/>
        <v>.</v>
      </c>
      <c r="IZ53" s="558" t="str">
        <f t="shared" si="76"/>
        <v>.</v>
      </c>
      <c r="JA53" s="558" t="str">
        <f t="shared" si="76"/>
        <v>.</v>
      </c>
      <c r="JB53" s="558" t="str">
        <f t="shared" si="76"/>
        <v>.</v>
      </c>
      <c r="JC53" s="558" t="str">
        <f t="shared" si="76"/>
        <v>.</v>
      </c>
      <c r="JD53" s="558" t="str">
        <f t="shared" si="76"/>
        <v>.</v>
      </c>
      <c r="JE53" s="558" t="str">
        <f t="shared" si="76"/>
        <v>.</v>
      </c>
      <c r="JF53" s="558" t="str">
        <f t="shared" si="77"/>
        <v>.</v>
      </c>
      <c r="JG53" s="558" t="str">
        <f t="shared" si="77"/>
        <v>.</v>
      </c>
      <c r="JH53" s="558" t="str">
        <f t="shared" si="113"/>
        <v>.</v>
      </c>
      <c r="JI53" s="558" t="str">
        <f t="shared" si="113"/>
        <v>.</v>
      </c>
      <c r="JJ53" s="558" t="str">
        <f t="shared" si="113"/>
        <v>.</v>
      </c>
      <c r="JK53" s="558" t="str">
        <f t="shared" si="113"/>
        <v>.</v>
      </c>
      <c r="JL53" s="558" t="str">
        <f t="shared" si="113"/>
        <v>.</v>
      </c>
    </row>
    <row r="54" spans="1:272" ht="10.199999999999999" x14ac:dyDescent="0.2">
      <c r="A54" s="534">
        <f xml:space="preserve"> Basis!A54</f>
        <v>54</v>
      </c>
      <c r="F54" s="536">
        <f xml:space="preserve"> ROUND(    IF( $A$15=BE_MF_,   AW54,   INDEX( qx!54:54, F$16 ) ),    F$17    )</f>
        <v>2E-3</v>
      </c>
      <c r="G54" s="536">
        <f xml:space="preserve"> ROUND(    IF( $A$15=BE_MF_,   BB54,   INDEX( wx!54:54, G$16 ) ),    G$17    )</f>
        <v>2.47E-2</v>
      </c>
      <c r="H54" s="537">
        <f xml:space="preserve"> ROUND(    IF( $A$15=BE_MF_,   BG54,   INDEX( Kx!54:54, H$16 ) ),    H$17    )</f>
        <v>3215.49</v>
      </c>
      <c r="I54" s="538">
        <f t="shared" si="55"/>
        <v>3215.49</v>
      </c>
      <c r="J54" s="539">
        <f t="shared" si="81"/>
        <v>1.548</v>
      </c>
      <c r="K54" s="540">
        <f t="shared" si="114"/>
        <v>2</v>
      </c>
      <c r="L54" s="541">
        <f t="shared" si="71"/>
        <v>0</v>
      </c>
      <c r="M54" s="541">
        <f t="shared" si="71"/>
        <v>8.5999999999999993E-2</v>
      </c>
      <c r="O54" s="542" t="b">
        <f t="shared" si="57"/>
        <v>1</v>
      </c>
      <c r="P54" s="493">
        <f t="shared" si="82"/>
        <v>2.6700000000000002E-2</v>
      </c>
      <c r="Q54" s="493">
        <f t="shared" si="83"/>
        <v>0.97330000000000005</v>
      </c>
      <c r="R54" s="543">
        <f t="shared" si="84"/>
        <v>601532</v>
      </c>
      <c r="S54" s="544">
        <f t="shared" si="85"/>
        <v>0.97560975599999999</v>
      </c>
      <c r="T54" s="423">
        <f t="shared" si="86"/>
        <v>158551.37</v>
      </c>
      <c r="U54" s="423">
        <f xml:space="preserve"> IF( $O54,    ROUND(  SUM( T54:T$120), U$17 ),  LEER  )</f>
        <v>3155734.35</v>
      </c>
      <c r="V54" s="493">
        <f t="shared" si="87"/>
        <v>19.903500000000001</v>
      </c>
      <c r="W54" s="493">
        <f t="shared" si="88"/>
        <v>245437.52</v>
      </c>
      <c r="X54" s="493">
        <f xml:space="preserve"> IF( $O54,    ROUND(  SUM( W54:W$120), X$17 ),  LEER  )</f>
        <v>9958978.9700000007</v>
      </c>
      <c r="Y54" s="493">
        <f t="shared" si="89"/>
        <v>62.8123</v>
      </c>
      <c r="Z54" s="493">
        <f t="shared" si="90"/>
        <v>3.1558000000000002</v>
      </c>
      <c r="AA54" s="493">
        <f t="shared" si="91"/>
        <v>1.0092000000000001</v>
      </c>
      <c r="AB54" s="493">
        <f t="shared" si="92"/>
        <v>2.3494000000000002</v>
      </c>
      <c r="AC54" s="545">
        <f t="shared" si="93"/>
        <v>0.38600000000000001</v>
      </c>
      <c r="AD54" s="493">
        <f t="shared" si="94"/>
        <v>3.1884000000000001</v>
      </c>
      <c r="AE54" s="493">
        <f t="shared" si="95"/>
        <v>3.9106999999999998</v>
      </c>
      <c r="AF54" s="493">
        <f t="shared" si="96"/>
        <v>3.9106999999999998</v>
      </c>
      <c r="AG54" s="493" t="str">
        <f t="shared" si="97"/>
        <v>.</v>
      </c>
      <c r="AH54" s="493" t="str">
        <f t="shared" si="98"/>
        <v>.</v>
      </c>
      <c r="AI54" s="423">
        <f t="shared" si="99"/>
        <v>2077.79</v>
      </c>
      <c r="AJ54" s="423">
        <f t="shared" si="100"/>
        <v>8125.61</v>
      </c>
      <c r="AK54" s="423">
        <f t="shared" si="101"/>
        <v>677.13</v>
      </c>
      <c r="AN54" s="423">
        <f t="shared" si="72"/>
        <v>53833.919999999998</v>
      </c>
      <c r="AO54" s="423">
        <f t="shared" si="72"/>
        <v>52915.83</v>
      </c>
      <c r="AR54" s="546">
        <f xml:space="preserve"> ROUND(  INDEX( Kx!54:54, AR$16 ),  AR$17 )</f>
        <v>0.76570000000000005</v>
      </c>
      <c r="AS54" s="547">
        <f xml:space="preserve"> ROUND(  INDEX( qx!54:54, AS$16 ),  AS$17 )</f>
        <v>2.3E-3</v>
      </c>
      <c r="AT54" s="547">
        <f xml:space="preserve"> ROUND(  INDEX( qx!54:54, AT$16 ),  AT$17 )</f>
        <v>1.5E-3</v>
      </c>
      <c r="AU54" s="548" t="str">
        <f t="shared" si="102"/>
        <v>F</v>
      </c>
      <c r="AV54" s="542">
        <f t="shared" si="103"/>
        <v>0.68540000000000001</v>
      </c>
      <c r="AW54" s="542">
        <f t="shared" si="104"/>
        <v>2E-3</v>
      </c>
      <c r="AX54" s="546">
        <f xml:space="preserve"> ROUND(  INDEX( wx!54:54, AX$16 ),  AX$17 )</f>
        <v>2.2499999999999999E-2</v>
      </c>
      <c r="AY54" s="546">
        <f xml:space="preserve"> ROUND(  INDEX( wx!54:54, AY$16 ),  AY$17 )</f>
        <v>3.5200000000000002E-2</v>
      </c>
      <c r="AZ54" s="548" t="str">
        <f t="shared" si="105"/>
        <v>M</v>
      </c>
      <c r="BA54" s="542">
        <f t="shared" si="106"/>
        <v>0.8306</v>
      </c>
      <c r="BB54" s="542">
        <f t="shared" si="107"/>
        <v>2.47E-2</v>
      </c>
      <c r="BC54" s="533">
        <f xml:space="preserve"> ROUND(  INDEX( Kx!54:54, BC$16 ),  BC$17 )</f>
        <v>3053.57</v>
      </c>
      <c r="BD54" s="533">
        <f xml:space="preserve"> ROUND(  INDEX( Kx!54:54, BD$16 ),  BD$17 )</f>
        <v>3568.25</v>
      </c>
      <c r="BE54" s="548" t="str">
        <f t="shared" si="58"/>
        <v>F</v>
      </c>
      <c r="BF54" s="542">
        <f t="shared" si="108"/>
        <v>0.68540000000000001</v>
      </c>
      <c r="BG54" s="420">
        <f t="shared" si="109"/>
        <v>3215.49</v>
      </c>
      <c r="BQ54" s="549"/>
      <c r="BR54" s="423"/>
      <c r="BS54" s="550"/>
      <c r="BT54" s="423"/>
      <c r="BU54" s="551"/>
      <c r="BV54" s="551"/>
      <c r="BW54" s="529"/>
      <c r="BX54" s="552"/>
      <c r="BY54" s="560"/>
      <c r="BZ54" s="559"/>
      <c r="CB54" s="423"/>
      <c r="CC54" s="423"/>
      <c r="CD54" s="423"/>
      <c r="CE54" s="423"/>
      <c r="CF54" s="553"/>
      <c r="CH54" s="423"/>
      <c r="CI54" s="423"/>
      <c r="CJ54" s="423"/>
      <c r="CK54" s="423"/>
      <c r="CL54" s="553"/>
      <c r="CN54" s="423"/>
      <c r="CO54" s="423"/>
      <c r="CP54" s="423"/>
      <c r="CQ54" s="423"/>
      <c r="CR54" s="553"/>
      <c r="EI54" s="553"/>
      <c r="EJ54" s="553"/>
      <c r="EK54" s="423"/>
      <c r="EL54" s="555"/>
      <c r="ES54" s="533"/>
      <c r="ET54" s="533"/>
      <c r="EU54" s="533"/>
      <c r="EV54" s="556"/>
      <c r="EY54" s="533"/>
      <c r="EZ54" s="533"/>
      <c r="FA54" s="556"/>
      <c r="FD54" s="556"/>
      <c r="FE54" s="556"/>
      <c r="FF54" s="556"/>
      <c r="FK54" s="557">
        <f t="shared" si="48"/>
        <v>54</v>
      </c>
      <c r="FL54" s="493">
        <f t="shared" si="59"/>
        <v>62.8123</v>
      </c>
      <c r="FM54" s="493">
        <f t="shared" si="60"/>
        <v>19.903500000000001</v>
      </c>
      <c r="FO54" s="427">
        <f t="shared" si="61"/>
        <v>1588811.12</v>
      </c>
      <c r="FP54" s="558">
        <f t="shared" si="110"/>
        <v>80867.87</v>
      </c>
      <c r="FQ54" s="558">
        <f t="shared" si="110"/>
        <v>79192.990000000005</v>
      </c>
      <c r="FR54" s="558">
        <f t="shared" si="110"/>
        <v>77513.960000000006</v>
      </c>
      <c r="FS54" s="558">
        <f t="shared" si="110"/>
        <v>75834.94</v>
      </c>
      <c r="FT54" s="558">
        <f t="shared" si="110"/>
        <v>74098.009999999995</v>
      </c>
      <c r="FU54" s="558">
        <f t="shared" si="110"/>
        <v>72311.460000000006</v>
      </c>
      <c r="FV54" s="558">
        <f t="shared" si="110"/>
        <v>70541.460000000006</v>
      </c>
      <c r="FW54" s="558">
        <f t="shared" si="110"/>
        <v>68759.039999999994</v>
      </c>
      <c r="FX54" s="558">
        <f t="shared" si="110"/>
        <v>66914.600000000006</v>
      </c>
      <c r="FY54" s="558">
        <f t="shared" si="110"/>
        <v>64995.71</v>
      </c>
      <c r="FZ54" s="558">
        <f t="shared" si="110"/>
        <v>63064.42</v>
      </c>
      <c r="GA54" s="558">
        <f t="shared" si="110"/>
        <v>61104.18</v>
      </c>
      <c r="GB54" s="558">
        <f t="shared" si="110"/>
        <v>59098.45</v>
      </c>
      <c r="GC54" s="558">
        <f t="shared" si="110"/>
        <v>57084.45</v>
      </c>
      <c r="GD54" s="558">
        <f t="shared" si="110"/>
        <v>55008.41</v>
      </c>
      <c r="GE54" s="558">
        <f t="shared" si="110"/>
        <v>52915.83</v>
      </c>
      <c r="GF54" s="558">
        <f t="shared" si="80"/>
        <v>50761.22</v>
      </c>
      <c r="GG54" s="558">
        <f t="shared" si="80"/>
        <v>48556.98</v>
      </c>
      <c r="GH54" s="558">
        <f t="shared" si="80"/>
        <v>46290.71</v>
      </c>
      <c r="GI54" s="558">
        <f t="shared" si="80"/>
        <v>43958.28</v>
      </c>
      <c r="GJ54" s="558">
        <f t="shared" si="80"/>
        <v>41555.53</v>
      </c>
      <c r="GK54" s="558">
        <f t="shared" si="80"/>
        <v>39061.81</v>
      </c>
      <c r="GL54" s="558">
        <f t="shared" si="80"/>
        <v>36477.1</v>
      </c>
      <c r="GM54" s="558">
        <f t="shared" si="80"/>
        <v>33797.279999999999</v>
      </c>
      <c r="GN54" s="558">
        <f t="shared" si="80"/>
        <v>31009.93</v>
      </c>
      <c r="GO54" s="558">
        <f t="shared" si="80"/>
        <v>28135.74</v>
      </c>
      <c r="GP54" s="558">
        <f t="shared" si="80"/>
        <v>25162.29</v>
      </c>
      <c r="GQ54" s="558">
        <f t="shared" si="80"/>
        <v>22097.87</v>
      </c>
      <c r="GR54" s="558">
        <f t="shared" si="80"/>
        <v>18950.73</v>
      </c>
      <c r="GS54" s="558">
        <f t="shared" si="80"/>
        <v>15725.02</v>
      </c>
      <c r="GT54" s="558">
        <f t="shared" si="80"/>
        <v>12433.14</v>
      </c>
      <c r="GU54" s="558">
        <f t="shared" si="80"/>
        <v>9062.68</v>
      </c>
      <c r="GV54" s="558">
        <f t="shared" si="111"/>
        <v>5646.73</v>
      </c>
      <c r="GW54" s="558">
        <f t="shared" si="111"/>
        <v>2168.75</v>
      </c>
      <c r="GX54" s="558">
        <f t="shared" si="111"/>
        <v>-1346.45</v>
      </c>
      <c r="GY54" s="558" t="str">
        <f t="shared" si="111"/>
        <v>.</v>
      </c>
      <c r="GZ54" s="558" t="str">
        <f t="shared" si="111"/>
        <v>.</v>
      </c>
      <c r="HA54" s="558" t="str">
        <f t="shared" si="111"/>
        <v>.</v>
      </c>
      <c r="HB54" s="558" t="str">
        <f t="shared" si="111"/>
        <v>.</v>
      </c>
      <c r="HC54" s="558" t="str">
        <f t="shared" si="111"/>
        <v>.</v>
      </c>
      <c r="HD54" s="558" t="str">
        <f t="shared" si="111"/>
        <v>.</v>
      </c>
      <c r="HE54" s="558" t="str">
        <f t="shared" si="111"/>
        <v>.</v>
      </c>
      <c r="HF54" s="558" t="str">
        <f t="shared" si="111"/>
        <v>.</v>
      </c>
      <c r="HG54" s="558" t="str">
        <f t="shared" si="111"/>
        <v>.</v>
      </c>
      <c r="HH54" s="558" t="str">
        <f t="shared" si="111"/>
        <v>.</v>
      </c>
      <c r="HI54" s="558" t="str">
        <f t="shared" si="111"/>
        <v>.</v>
      </c>
      <c r="HJ54" s="558" t="str">
        <f t="shared" si="111"/>
        <v>.</v>
      </c>
      <c r="HK54" s="558" t="str">
        <f t="shared" si="111"/>
        <v>.</v>
      </c>
      <c r="HL54" s="558" t="str">
        <f t="shared" si="112"/>
        <v>.</v>
      </c>
      <c r="HM54" s="558" t="str">
        <f t="shared" si="112"/>
        <v>.</v>
      </c>
      <c r="HN54" s="558" t="str">
        <f t="shared" si="112"/>
        <v>.</v>
      </c>
      <c r="HO54" s="558" t="str">
        <f t="shared" si="112"/>
        <v>.</v>
      </c>
      <c r="HP54" s="558" t="str">
        <f t="shared" si="112"/>
        <v>.</v>
      </c>
      <c r="HQ54" s="558" t="str">
        <f t="shared" si="112"/>
        <v>.</v>
      </c>
      <c r="HR54" s="558" t="str">
        <f t="shared" si="112"/>
        <v>.</v>
      </c>
      <c r="HS54" s="558" t="str">
        <f t="shared" si="112"/>
        <v>.</v>
      </c>
      <c r="HT54" s="558" t="str">
        <f t="shared" si="112"/>
        <v>.</v>
      </c>
      <c r="HU54" s="558" t="str">
        <f t="shared" si="112"/>
        <v>.</v>
      </c>
      <c r="HV54" s="558" t="str">
        <f t="shared" si="112"/>
        <v>.</v>
      </c>
      <c r="HW54" s="558" t="str">
        <f t="shared" si="112"/>
        <v>.</v>
      </c>
      <c r="HX54" s="558" t="str">
        <f t="shared" si="112"/>
        <v>.</v>
      </c>
      <c r="HY54" s="558" t="str">
        <f t="shared" si="112"/>
        <v>.</v>
      </c>
      <c r="HZ54" s="558" t="str">
        <f t="shared" si="112"/>
        <v>.</v>
      </c>
      <c r="IA54" s="558" t="str">
        <f t="shared" si="112"/>
        <v>.</v>
      </c>
      <c r="IB54" s="558" t="str">
        <f t="shared" si="112"/>
        <v>.</v>
      </c>
      <c r="IC54" s="558" t="str">
        <f t="shared" si="112"/>
        <v>.</v>
      </c>
      <c r="ID54" s="558" t="str">
        <f t="shared" si="79"/>
        <v>.</v>
      </c>
      <c r="IE54" s="558" t="str">
        <f t="shared" si="79"/>
        <v>.</v>
      </c>
      <c r="IF54" s="558" t="str">
        <f t="shared" si="79"/>
        <v>.</v>
      </c>
      <c r="IG54" s="558" t="str">
        <f t="shared" si="79"/>
        <v>.</v>
      </c>
      <c r="IH54" s="558" t="str">
        <f t="shared" si="79"/>
        <v>.</v>
      </c>
      <c r="II54" s="558" t="str">
        <f t="shared" si="79"/>
        <v>.</v>
      </c>
      <c r="IJ54" s="558" t="str">
        <f t="shared" si="79"/>
        <v>.</v>
      </c>
      <c r="IK54" s="558" t="str">
        <f t="shared" si="79"/>
        <v>.</v>
      </c>
      <c r="IL54" s="558" t="str">
        <f t="shared" si="79"/>
        <v>.</v>
      </c>
      <c r="IM54" s="558" t="str">
        <f t="shared" si="79"/>
        <v>.</v>
      </c>
      <c r="IN54" s="558" t="str">
        <f t="shared" si="79"/>
        <v>.</v>
      </c>
      <c r="IO54" s="558" t="str">
        <f t="shared" si="76"/>
        <v>.</v>
      </c>
      <c r="IP54" s="558" t="str">
        <f t="shared" si="76"/>
        <v>.</v>
      </c>
      <c r="IQ54" s="558" t="str">
        <f t="shared" si="76"/>
        <v>.</v>
      </c>
      <c r="IR54" s="558" t="str">
        <f t="shared" si="76"/>
        <v>.</v>
      </c>
      <c r="IS54" s="558" t="str">
        <f t="shared" si="76"/>
        <v>.</v>
      </c>
      <c r="IT54" s="558" t="str">
        <f t="shared" si="76"/>
        <v>.</v>
      </c>
      <c r="IU54" s="558" t="str">
        <f t="shared" si="76"/>
        <v>.</v>
      </c>
      <c r="IV54" s="558" t="str">
        <f t="shared" si="76"/>
        <v>.</v>
      </c>
      <c r="IW54" s="558" t="str">
        <f t="shared" si="76"/>
        <v>.</v>
      </c>
      <c r="IX54" s="558" t="str">
        <f t="shared" si="76"/>
        <v>.</v>
      </c>
      <c r="IY54" s="558" t="str">
        <f t="shared" si="76"/>
        <v>.</v>
      </c>
      <c r="IZ54" s="558" t="str">
        <f t="shared" si="76"/>
        <v>.</v>
      </c>
      <c r="JA54" s="558" t="str">
        <f t="shared" si="76"/>
        <v>.</v>
      </c>
      <c r="JB54" s="558" t="str">
        <f t="shared" si="76"/>
        <v>.</v>
      </c>
      <c r="JC54" s="558" t="str">
        <f t="shared" si="76"/>
        <v>.</v>
      </c>
      <c r="JD54" s="558" t="str">
        <f t="shared" si="76"/>
        <v>.</v>
      </c>
      <c r="JE54" s="558" t="str">
        <f t="shared" si="76"/>
        <v>.</v>
      </c>
      <c r="JF54" s="558" t="str">
        <f t="shared" si="77"/>
        <v>.</v>
      </c>
      <c r="JG54" s="558" t="str">
        <f t="shared" si="77"/>
        <v>.</v>
      </c>
      <c r="JH54" s="558" t="str">
        <f t="shared" si="113"/>
        <v>.</v>
      </c>
      <c r="JI54" s="558" t="str">
        <f t="shared" si="113"/>
        <v>.</v>
      </c>
      <c r="JJ54" s="558" t="str">
        <f t="shared" si="113"/>
        <v>.</v>
      </c>
      <c r="JK54" s="558" t="str">
        <f t="shared" si="113"/>
        <v>.</v>
      </c>
      <c r="JL54" s="558" t="str">
        <f t="shared" si="113"/>
        <v>.</v>
      </c>
    </row>
    <row r="55" spans="1:272" ht="10.199999999999999" x14ac:dyDescent="0.2">
      <c r="A55" s="534">
        <f xml:space="preserve"> Basis!A55</f>
        <v>55</v>
      </c>
      <c r="F55" s="536">
        <f xml:space="preserve"> ROUND(    IF( $A$15=BE_MF_,   AW55,   INDEX( qx!55:55, F$16 ) ),    F$17    )</f>
        <v>2.3E-3</v>
      </c>
      <c r="G55" s="536">
        <f xml:space="preserve"> ROUND(    IF( $A$15=BE_MF_,   BB55,   INDEX( wx!55:55, G$16 ) ),    G$17    )</f>
        <v>2.18E-2</v>
      </c>
      <c r="H55" s="537">
        <f xml:space="preserve"> ROUND(    IF( $A$15=BE_MF_,   BG55,   INDEX( Kx!55:55, H$16 ) ),    H$17    )</f>
        <v>3361.74</v>
      </c>
      <c r="I55" s="538">
        <f t="shared" si="55"/>
        <v>3361.74</v>
      </c>
      <c r="J55" s="539">
        <f t="shared" si="81"/>
        <v>1.6180000000000001</v>
      </c>
      <c r="K55" s="540">
        <f t="shared" si="114"/>
        <v>2</v>
      </c>
      <c r="L55" s="541">
        <f t="shared" si="71"/>
        <v>0</v>
      </c>
      <c r="M55" s="541">
        <f t="shared" si="71"/>
        <v>8.5999999999999993E-2</v>
      </c>
      <c r="O55" s="542" t="b">
        <f t="shared" si="57"/>
        <v>1</v>
      </c>
      <c r="P55" s="493">
        <f t="shared" si="82"/>
        <v>2.41E-2</v>
      </c>
      <c r="Q55" s="493">
        <f t="shared" si="83"/>
        <v>0.97589999999999999</v>
      </c>
      <c r="R55" s="543">
        <f t="shared" si="84"/>
        <v>585471</v>
      </c>
      <c r="S55" s="544">
        <f t="shared" si="85"/>
        <v>0.97560975599999999</v>
      </c>
      <c r="T55" s="423">
        <f t="shared" si="86"/>
        <v>150554.17000000001</v>
      </c>
      <c r="U55" s="423">
        <f xml:space="preserve"> IF( $O55,    ROUND(  SUM( T55:T$120), U$17 ),  LEER  )</f>
        <v>2997182.98</v>
      </c>
      <c r="V55" s="493">
        <f t="shared" si="87"/>
        <v>19.907699999999998</v>
      </c>
      <c r="W55" s="493">
        <f t="shared" si="88"/>
        <v>243596.65</v>
      </c>
      <c r="X55" s="493">
        <f xml:space="preserve"> IF( $O55,    ROUND(  SUM( W55:W$120), X$17 ),  LEER  )</f>
        <v>9713541.4499999993</v>
      </c>
      <c r="Y55" s="493">
        <f t="shared" si="89"/>
        <v>64.518600000000006</v>
      </c>
      <c r="Z55" s="493">
        <f t="shared" si="90"/>
        <v>3.2408999999999999</v>
      </c>
      <c r="AA55" s="493">
        <f t="shared" si="91"/>
        <v>1.0092000000000001</v>
      </c>
      <c r="AB55" s="493">
        <f t="shared" si="92"/>
        <v>2.3494000000000002</v>
      </c>
      <c r="AC55" s="545">
        <f t="shared" si="93"/>
        <v>0.38600000000000001</v>
      </c>
      <c r="AD55" s="493">
        <f t="shared" si="94"/>
        <v>3.2743000000000002</v>
      </c>
      <c r="AE55" s="493">
        <f t="shared" si="95"/>
        <v>4.0046999999999997</v>
      </c>
      <c r="AF55" s="493">
        <f t="shared" si="96"/>
        <v>4.0046999999999997</v>
      </c>
      <c r="AG55" s="493" t="str">
        <f t="shared" si="97"/>
        <v>.</v>
      </c>
      <c r="AH55" s="493" t="str">
        <f t="shared" si="98"/>
        <v>.</v>
      </c>
      <c r="AI55" s="423">
        <f t="shared" si="99"/>
        <v>2077.79</v>
      </c>
      <c r="AJ55" s="423">
        <f t="shared" si="100"/>
        <v>8320.93</v>
      </c>
      <c r="AK55" s="423">
        <f t="shared" si="101"/>
        <v>693.41</v>
      </c>
      <c r="AN55" s="423">
        <f t="shared" si="72"/>
        <v>57363.07</v>
      </c>
      <c r="AO55" s="423">
        <f t="shared" si="72"/>
        <v>56444.79</v>
      </c>
      <c r="AR55" s="546">
        <f xml:space="preserve"> ROUND(  INDEX( Kx!55:55, AR$16 ),  AR$17 )</f>
        <v>0.76249999999999996</v>
      </c>
      <c r="AS55" s="547">
        <f xml:space="preserve"> ROUND(  INDEX( qx!55:55, AS$16 ),  AS$17 )</f>
        <v>2.5999999999999999E-3</v>
      </c>
      <c r="AT55" s="547">
        <f xml:space="preserve"> ROUND(  INDEX( qx!55:55, AT$16 ),  AT$17 )</f>
        <v>1.6999999999999999E-3</v>
      </c>
      <c r="AU55" s="548" t="str">
        <f t="shared" si="102"/>
        <v>F</v>
      </c>
      <c r="AV55" s="542">
        <f t="shared" si="103"/>
        <v>0.68159999999999998</v>
      </c>
      <c r="AW55" s="542">
        <f t="shared" si="104"/>
        <v>2.3E-3</v>
      </c>
      <c r="AX55" s="546">
        <f xml:space="preserve"> ROUND(  INDEX( wx!55:55, AX$16 ),  AX$17 )</f>
        <v>2.0500000000000001E-2</v>
      </c>
      <c r="AY55" s="546">
        <f xml:space="preserve"> ROUND(  INDEX( wx!55:55, AY$16 ),  AY$17 )</f>
        <v>2.8000000000000001E-2</v>
      </c>
      <c r="AZ55" s="548" t="str">
        <f t="shared" si="105"/>
        <v>M</v>
      </c>
      <c r="BA55" s="542">
        <f t="shared" si="106"/>
        <v>0.82809999999999995</v>
      </c>
      <c r="BB55" s="542">
        <f t="shared" si="107"/>
        <v>2.18E-2</v>
      </c>
      <c r="BC55" s="533">
        <f xml:space="preserve"> ROUND(  INDEX( Kx!55:55, BC$16 ),  BC$17 )</f>
        <v>3218.87</v>
      </c>
      <c r="BD55" s="533">
        <f xml:space="preserve"> ROUND(  INDEX( Kx!55:55, BD$16 ),  BD$17 )</f>
        <v>3667.58</v>
      </c>
      <c r="BE55" s="548" t="str">
        <f t="shared" si="58"/>
        <v>F</v>
      </c>
      <c r="BF55" s="542">
        <f t="shared" si="108"/>
        <v>0.68159999999999998</v>
      </c>
      <c r="BG55" s="420">
        <f t="shared" si="109"/>
        <v>3361.74</v>
      </c>
      <c r="BQ55" s="549"/>
      <c r="BR55" s="423"/>
      <c r="BS55" s="550"/>
      <c r="BT55" s="423"/>
      <c r="BU55" s="551"/>
      <c r="BV55" s="551"/>
      <c r="BW55" s="529"/>
      <c r="BX55" s="552"/>
      <c r="BY55" s="560"/>
      <c r="BZ55" s="559"/>
      <c r="CB55" s="423"/>
      <c r="CC55" s="423"/>
      <c r="CD55" s="423"/>
      <c r="CE55" s="423"/>
      <c r="CF55" s="553"/>
      <c r="CH55" s="423"/>
      <c r="CI55" s="423"/>
      <c r="CJ55" s="423"/>
      <c r="CK55" s="423"/>
      <c r="CL55" s="553"/>
      <c r="CN55" s="423"/>
      <c r="CO55" s="423"/>
      <c r="CP55" s="423"/>
      <c r="CQ55" s="423"/>
      <c r="CR55" s="553"/>
      <c r="EI55" s="553"/>
      <c r="EJ55" s="553"/>
      <c r="EK55" s="423"/>
      <c r="EL55" s="555"/>
      <c r="ES55" s="533"/>
      <c r="ET55" s="533"/>
      <c r="EU55" s="533"/>
      <c r="EV55" s="556"/>
      <c r="EY55" s="533"/>
      <c r="EZ55" s="533"/>
      <c r="FA55" s="556"/>
      <c r="FD55" s="556"/>
      <c r="FE55" s="556"/>
      <c r="FF55" s="556"/>
      <c r="FK55" s="557">
        <f t="shared" si="48"/>
        <v>55</v>
      </c>
      <c r="FL55" s="493">
        <f t="shared" si="59"/>
        <v>64.518600000000006</v>
      </c>
      <c r="FM55" s="493">
        <f t="shared" si="60"/>
        <v>19.907699999999998</v>
      </c>
      <c r="FO55" s="427">
        <f t="shared" si="61"/>
        <v>1710887.02</v>
      </c>
      <c r="FP55" s="558">
        <f t="shared" si="110"/>
        <v>84402.73</v>
      </c>
      <c r="FQ55" s="558">
        <f t="shared" si="110"/>
        <v>82727.490000000005</v>
      </c>
      <c r="FR55" s="558">
        <f t="shared" si="110"/>
        <v>81048.11</v>
      </c>
      <c r="FS55" s="558">
        <f t="shared" si="110"/>
        <v>79368.73</v>
      </c>
      <c r="FT55" s="558">
        <f t="shared" si="110"/>
        <v>77631.44</v>
      </c>
      <c r="FU55" s="558">
        <f t="shared" si="110"/>
        <v>75844.52</v>
      </c>
      <c r="FV55" s="558">
        <f t="shared" si="110"/>
        <v>74074.14</v>
      </c>
      <c r="FW55" s="558">
        <f t="shared" si="110"/>
        <v>72291.350000000006</v>
      </c>
      <c r="FX55" s="558">
        <f t="shared" si="110"/>
        <v>70446.509999999995</v>
      </c>
      <c r="FY55" s="558">
        <f t="shared" si="110"/>
        <v>68527.22</v>
      </c>
      <c r="FZ55" s="558">
        <f t="shared" si="110"/>
        <v>66595.520000000004</v>
      </c>
      <c r="GA55" s="558">
        <f t="shared" si="110"/>
        <v>64634.87</v>
      </c>
      <c r="GB55" s="558">
        <f t="shared" si="110"/>
        <v>62628.71</v>
      </c>
      <c r="GC55" s="558">
        <f t="shared" si="110"/>
        <v>60614.28</v>
      </c>
      <c r="GD55" s="558">
        <f t="shared" si="110"/>
        <v>58537.81</v>
      </c>
      <c r="GE55" s="558">
        <f t="shared" si="110"/>
        <v>56444.79</v>
      </c>
      <c r="GF55" s="558">
        <f t="shared" si="80"/>
        <v>54289.73</v>
      </c>
      <c r="GG55" s="558">
        <f t="shared" si="80"/>
        <v>52085.02</v>
      </c>
      <c r="GH55" s="558">
        <f t="shared" si="80"/>
        <v>49818.28</v>
      </c>
      <c r="GI55" s="558">
        <f t="shared" si="80"/>
        <v>47485.34</v>
      </c>
      <c r="GJ55" s="558">
        <f t="shared" si="80"/>
        <v>45082.09</v>
      </c>
      <c r="GK55" s="558">
        <f t="shared" si="80"/>
        <v>42587.839999999997</v>
      </c>
      <c r="GL55" s="558">
        <f t="shared" si="80"/>
        <v>40002.589999999997</v>
      </c>
      <c r="GM55" s="558">
        <f t="shared" si="80"/>
        <v>37322.199999999997</v>
      </c>
      <c r="GN55" s="558">
        <f t="shared" si="80"/>
        <v>34534.269999999997</v>
      </c>
      <c r="GO55" s="558">
        <f t="shared" si="80"/>
        <v>31659.47</v>
      </c>
      <c r="GP55" s="558">
        <f t="shared" si="80"/>
        <v>28685.4</v>
      </c>
      <c r="GQ55" s="558">
        <f t="shared" si="80"/>
        <v>25620.32</v>
      </c>
      <c r="GR55" s="558">
        <f t="shared" si="80"/>
        <v>22472.52</v>
      </c>
      <c r="GS55" s="558">
        <f t="shared" si="80"/>
        <v>19246.13</v>
      </c>
      <c r="GT55" s="558">
        <f t="shared" si="80"/>
        <v>15953.55</v>
      </c>
      <c r="GU55" s="558">
        <f t="shared" si="80"/>
        <v>12582.38</v>
      </c>
      <c r="GV55" s="558">
        <f t="shared" si="111"/>
        <v>9165.7199999999993</v>
      </c>
      <c r="GW55" s="558">
        <f t="shared" si="111"/>
        <v>5687</v>
      </c>
      <c r="GX55" s="558">
        <f t="shared" si="111"/>
        <v>2171.06</v>
      </c>
      <c r="GY55" s="558">
        <f t="shared" si="111"/>
        <v>-1382.11</v>
      </c>
      <c r="GZ55" s="558" t="str">
        <f t="shared" si="111"/>
        <v>.</v>
      </c>
      <c r="HA55" s="558" t="str">
        <f t="shared" si="111"/>
        <v>.</v>
      </c>
      <c r="HB55" s="558" t="str">
        <f t="shared" si="111"/>
        <v>.</v>
      </c>
      <c r="HC55" s="558" t="str">
        <f t="shared" si="111"/>
        <v>.</v>
      </c>
      <c r="HD55" s="558" t="str">
        <f t="shared" si="111"/>
        <v>.</v>
      </c>
      <c r="HE55" s="558" t="str">
        <f t="shared" si="111"/>
        <v>.</v>
      </c>
      <c r="HF55" s="558" t="str">
        <f t="shared" si="111"/>
        <v>.</v>
      </c>
      <c r="HG55" s="558" t="str">
        <f t="shared" si="111"/>
        <v>.</v>
      </c>
      <c r="HH55" s="558" t="str">
        <f t="shared" si="111"/>
        <v>.</v>
      </c>
      <c r="HI55" s="558" t="str">
        <f t="shared" si="111"/>
        <v>.</v>
      </c>
      <c r="HJ55" s="558" t="str">
        <f t="shared" si="111"/>
        <v>.</v>
      </c>
      <c r="HK55" s="558" t="str">
        <f t="shared" si="111"/>
        <v>.</v>
      </c>
      <c r="HL55" s="558" t="str">
        <f t="shared" si="112"/>
        <v>.</v>
      </c>
      <c r="HM55" s="558" t="str">
        <f t="shared" si="112"/>
        <v>.</v>
      </c>
      <c r="HN55" s="558" t="str">
        <f t="shared" si="112"/>
        <v>.</v>
      </c>
      <c r="HO55" s="558" t="str">
        <f t="shared" si="112"/>
        <v>.</v>
      </c>
      <c r="HP55" s="558" t="str">
        <f t="shared" si="112"/>
        <v>.</v>
      </c>
      <c r="HQ55" s="558" t="str">
        <f t="shared" si="112"/>
        <v>.</v>
      </c>
      <c r="HR55" s="558" t="str">
        <f t="shared" si="112"/>
        <v>.</v>
      </c>
      <c r="HS55" s="558" t="str">
        <f t="shared" si="112"/>
        <v>.</v>
      </c>
      <c r="HT55" s="558" t="str">
        <f t="shared" si="112"/>
        <v>.</v>
      </c>
      <c r="HU55" s="558" t="str">
        <f t="shared" si="112"/>
        <v>.</v>
      </c>
      <c r="HV55" s="558" t="str">
        <f t="shared" si="112"/>
        <v>.</v>
      </c>
      <c r="HW55" s="558" t="str">
        <f t="shared" si="112"/>
        <v>.</v>
      </c>
      <c r="HX55" s="558" t="str">
        <f t="shared" si="112"/>
        <v>.</v>
      </c>
      <c r="HY55" s="558" t="str">
        <f t="shared" si="112"/>
        <v>.</v>
      </c>
      <c r="HZ55" s="558" t="str">
        <f t="shared" si="112"/>
        <v>.</v>
      </c>
      <c r="IA55" s="558" t="str">
        <f t="shared" si="112"/>
        <v>.</v>
      </c>
      <c r="IB55" s="558" t="str">
        <f t="shared" si="112"/>
        <v>.</v>
      </c>
      <c r="IC55" s="558" t="str">
        <f t="shared" si="112"/>
        <v>.</v>
      </c>
      <c r="ID55" s="558" t="str">
        <f t="shared" si="79"/>
        <v>.</v>
      </c>
      <c r="IE55" s="558" t="str">
        <f t="shared" si="79"/>
        <v>.</v>
      </c>
      <c r="IF55" s="558" t="str">
        <f t="shared" si="79"/>
        <v>.</v>
      </c>
      <c r="IG55" s="558" t="str">
        <f t="shared" si="79"/>
        <v>.</v>
      </c>
      <c r="IH55" s="558" t="str">
        <f t="shared" si="79"/>
        <v>.</v>
      </c>
      <c r="II55" s="558" t="str">
        <f t="shared" si="79"/>
        <v>.</v>
      </c>
      <c r="IJ55" s="558" t="str">
        <f t="shared" si="79"/>
        <v>.</v>
      </c>
      <c r="IK55" s="558" t="str">
        <f t="shared" si="79"/>
        <v>.</v>
      </c>
      <c r="IL55" s="558" t="str">
        <f t="shared" si="79"/>
        <v>.</v>
      </c>
      <c r="IM55" s="558" t="str">
        <f t="shared" si="79"/>
        <v>.</v>
      </c>
      <c r="IN55" s="558" t="str">
        <f t="shared" si="79"/>
        <v>.</v>
      </c>
      <c r="IO55" s="558" t="str">
        <f t="shared" si="76"/>
        <v>.</v>
      </c>
      <c r="IP55" s="558" t="str">
        <f t="shared" si="76"/>
        <v>.</v>
      </c>
      <c r="IQ55" s="558" t="str">
        <f t="shared" si="76"/>
        <v>.</v>
      </c>
      <c r="IR55" s="558" t="str">
        <f t="shared" si="76"/>
        <v>.</v>
      </c>
      <c r="IS55" s="558" t="str">
        <f t="shared" si="76"/>
        <v>.</v>
      </c>
      <c r="IT55" s="558" t="str">
        <f t="shared" si="76"/>
        <v>.</v>
      </c>
      <c r="IU55" s="558" t="str">
        <f t="shared" si="76"/>
        <v>.</v>
      </c>
      <c r="IV55" s="558" t="str">
        <f t="shared" si="76"/>
        <v>.</v>
      </c>
      <c r="IW55" s="558" t="str">
        <f t="shared" si="76"/>
        <v>.</v>
      </c>
      <c r="IX55" s="558" t="str">
        <f t="shared" si="76"/>
        <v>.</v>
      </c>
      <c r="IY55" s="558" t="str">
        <f t="shared" si="76"/>
        <v>.</v>
      </c>
      <c r="IZ55" s="558" t="str">
        <f t="shared" si="76"/>
        <v>.</v>
      </c>
      <c r="JA55" s="558" t="str">
        <f t="shared" si="76"/>
        <v>.</v>
      </c>
      <c r="JB55" s="558" t="str">
        <f t="shared" si="76"/>
        <v>.</v>
      </c>
      <c r="JC55" s="558" t="str">
        <f t="shared" si="76"/>
        <v>.</v>
      </c>
      <c r="JD55" s="558" t="str">
        <f t="shared" si="76"/>
        <v>.</v>
      </c>
      <c r="JE55" s="558" t="str">
        <f t="shared" si="76"/>
        <v>.</v>
      </c>
      <c r="JF55" s="558" t="str">
        <f t="shared" si="77"/>
        <v>.</v>
      </c>
      <c r="JG55" s="558" t="str">
        <f t="shared" si="77"/>
        <v>.</v>
      </c>
      <c r="JH55" s="558" t="str">
        <f t="shared" si="113"/>
        <v>.</v>
      </c>
      <c r="JI55" s="558" t="str">
        <f t="shared" si="113"/>
        <v>.</v>
      </c>
      <c r="JJ55" s="558" t="str">
        <f t="shared" si="113"/>
        <v>.</v>
      </c>
      <c r="JK55" s="558" t="str">
        <f t="shared" si="113"/>
        <v>.</v>
      </c>
      <c r="JL55" s="558" t="str">
        <f t="shared" si="113"/>
        <v>.</v>
      </c>
    </row>
    <row r="56" spans="1:272" ht="10.199999999999999" x14ac:dyDescent="0.2">
      <c r="A56" s="534">
        <f xml:space="preserve"> Basis!A56</f>
        <v>56</v>
      </c>
      <c r="F56" s="536">
        <f xml:space="preserve"> ROUND(    IF( $A$15=BE_MF_,   AW56,   INDEX( qx!56:56, F$16 ) ),    F$17    )</f>
        <v>2.5999999999999999E-3</v>
      </c>
      <c r="G56" s="536">
        <f xml:space="preserve"> ROUND(    IF( $A$15=BE_MF_,   BB56,   INDEX( wx!56:56, G$16 ) ),    G$17    )</f>
        <v>1.72E-2</v>
      </c>
      <c r="H56" s="537">
        <f xml:space="preserve"> ROUND(    IF( $A$15=BE_MF_,   BG56,   INDEX( Kx!56:56, H$16 ) ),    H$17    )</f>
        <v>3512.84</v>
      </c>
      <c r="I56" s="538">
        <f t="shared" si="55"/>
        <v>3512.84</v>
      </c>
      <c r="J56" s="539">
        <f t="shared" si="81"/>
        <v>1.6910000000000001</v>
      </c>
      <c r="K56" s="540">
        <f t="shared" si="114"/>
        <v>2</v>
      </c>
      <c r="L56" s="541">
        <f t="shared" si="71"/>
        <v>0</v>
      </c>
      <c r="M56" s="541">
        <f t="shared" si="71"/>
        <v>8.5999999999999993E-2</v>
      </c>
      <c r="O56" s="542" t="b">
        <f t="shared" si="57"/>
        <v>1</v>
      </c>
      <c r="P56" s="493">
        <f t="shared" si="82"/>
        <v>1.9800000000000002E-2</v>
      </c>
      <c r="Q56" s="493">
        <f t="shared" si="83"/>
        <v>0.98019999999999996</v>
      </c>
      <c r="R56" s="543">
        <f t="shared" si="84"/>
        <v>571361</v>
      </c>
      <c r="S56" s="544">
        <f t="shared" si="85"/>
        <v>0.97560975599999999</v>
      </c>
      <c r="T56" s="423">
        <f t="shared" si="86"/>
        <v>143342.22</v>
      </c>
      <c r="U56" s="423">
        <f xml:space="preserve"> IF( $O56,    ROUND(  SUM( T56:T$120), U$17 ),  LEER  )</f>
        <v>2846628.81</v>
      </c>
      <c r="V56" s="493">
        <f t="shared" si="87"/>
        <v>19.859000000000002</v>
      </c>
      <c r="W56" s="493">
        <f t="shared" si="88"/>
        <v>242391.69</v>
      </c>
      <c r="X56" s="493">
        <f xml:space="preserve"> IF( $O56,    ROUND(  SUM( W56:W$120), X$17 ),  LEER  )</f>
        <v>9469944.8000000007</v>
      </c>
      <c r="Y56" s="493">
        <f t="shared" si="89"/>
        <v>66.065299999999993</v>
      </c>
      <c r="Z56" s="493">
        <f t="shared" si="90"/>
        <v>3.3267000000000002</v>
      </c>
      <c r="AA56" s="493">
        <f t="shared" si="91"/>
        <v>1.0093000000000001</v>
      </c>
      <c r="AB56" s="493">
        <f t="shared" si="92"/>
        <v>2.3494000000000002</v>
      </c>
      <c r="AC56" s="545">
        <f t="shared" si="93"/>
        <v>0.38600000000000001</v>
      </c>
      <c r="AD56" s="493">
        <f t="shared" si="94"/>
        <v>3.3612000000000002</v>
      </c>
      <c r="AE56" s="493">
        <f t="shared" si="95"/>
        <v>4.0998000000000001</v>
      </c>
      <c r="AF56" s="493">
        <f t="shared" si="96"/>
        <v>4.0998000000000001</v>
      </c>
      <c r="AG56" s="493" t="str">
        <f t="shared" si="97"/>
        <v>.</v>
      </c>
      <c r="AH56" s="493" t="str">
        <f t="shared" si="98"/>
        <v>.</v>
      </c>
      <c r="AI56" s="423">
        <f t="shared" si="99"/>
        <v>2077.79</v>
      </c>
      <c r="AJ56" s="423">
        <f t="shared" si="100"/>
        <v>8518.52</v>
      </c>
      <c r="AK56" s="423">
        <f t="shared" si="101"/>
        <v>709.88</v>
      </c>
      <c r="AN56" s="423">
        <f t="shared" si="72"/>
        <v>60764.4</v>
      </c>
      <c r="AO56" s="423">
        <f t="shared" si="72"/>
        <v>59848.37</v>
      </c>
      <c r="AR56" s="546">
        <f xml:space="preserve"> ROUND(  INDEX( Kx!56:56, AR$16 ),  AR$17 )</f>
        <v>0.76419999999999999</v>
      </c>
      <c r="AS56" s="547">
        <f xml:space="preserve"> ROUND(  INDEX( qx!56:56, AS$16 ),  AS$17 )</f>
        <v>2.8999999999999998E-3</v>
      </c>
      <c r="AT56" s="547">
        <f xml:space="preserve"> ROUND(  INDEX( qx!56:56, AT$16 ),  AT$17 )</f>
        <v>1.8E-3</v>
      </c>
      <c r="AU56" s="548" t="str">
        <f t="shared" si="102"/>
        <v>F</v>
      </c>
      <c r="AV56" s="542">
        <f t="shared" si="103"/>
        <v>0.68359999999999999</v>
      </c>
      <c r="AW56" s="542">
        <f t="shared" si="104"/>
        <v>2.5999999999999999E-3</v>
      </c>
      <c r="AX56" s="546">
        <f xml:space="preserve"> ROUND(  INDEX( wx!56:56, AX$16 ),  AX$17 )</f>
        <v>1.7100000000000001E-2</v>
      </c>
      <c r="AY56" s="546">
        <f xml:space="preserve"> ROUND(  INDEX( wx!56:56, AY$16 ),  AY$17 )</f>
        <v>1.7899999999999999E-2</v>
      </c>
      <c r="AZ56" s="548" t="str">
        <f t="shared" si="105"/>
        <v>M</v>
      </c>
      <c r="BA56" s="542">
        <f t="shared" si="106"/>
        <v>0.82940000000000003</v>
      </c>
      <c r="BB56" s="542">
        <f t="shared" si="107"/>
        <v>1.72E-2</v>
      </c>
      <c r="BC56" s="533">
        <f xml:space="preserve"> ROUND(  INDEX( Kx!56:56, BC$16 ),  BC$17 )</f>
        <v>3394.01</v>
      </c>
      <c r="BD56" s="533">
        <f xml:space="preserve"> ROUND(  INDEX( Kx!56:56, BD$16 ),  BD$17 )</f>
        <v>3769.57</v>
      </c>
      <c r="BE56" s="548" t="str">
        <f t="shared" si="58"/>
        <v>F</v>
      </c>
      <c r="BF56" s="542">
        <f t="shared" si="108"/>
        <v>0.68359999999999999</v>
      </c>
      <c r="BG56" s="420">
        <f t="shared" si="109"/>
        <v>3512.84</v>
      </c>
      <c r="BQ56" s="549"/>
      <c r="BR56" s="423"/>
      <c r="BS56" s="550"/>
      <c r="BT56" s="423"/>
      <c r="BU56" s="551"/>
      <c r="BV56" s="551"/>
      <c r="BW56" s="529"/>
      <c r="BX56" s="552"/>
      <c r="BY56" s="560"/>
      <c r="BZ56" s="559"/>
      <c r="CB56" s="423"/>
      <c r="CC56" s="423"/>
      <c r="CD56" s="423"/>
      <c r="CE56" s="423"/>
      <c r="CF56" s="553"/>
      <c r="CH56" s="423"/>
      <c r="CI56" s="423"/>
      <c r="CJ56" s="423"/>
      <c r="CK56" s="423"/>
      <c r="CL56" s="553"/>
      <c r="CN56" s="423"/>
      <c r="CO56" s="423"/>
      <c r="CP56" s="423"/>
      <c r="CQ56" s="423"/>
      <c r="CR56" s="553"/>
      <c r="EI56" s="553"/>
      <c r="EJ56" s="553"/>
      <c r="EK56" s="423"/>
      <c r="EL56" s="555"/>
      <c r="ES56" s="533"/>
      <c r="ET56" s="533"/>
      <c r="EU56" s="533"/>
      <c r="EV56" s="556"/>
      <c r="EY56" s="533"/>
      <c r="EZ56" s="533"/>
      <c r="FA56" s="556"/>
      <c r="FD56" s="556"/>
      <c r="FE56" s="556"/>
      <c r="FF56" s="556"/>
      <c r="FK56" s="557">
        <f t="shared" si="48"/>
        <v>56</v>
      </c>
      <c r="FL56" s="493">
        <f t="shared" si="59"/>
        <v>66.065299999999993</v>
      </c>
      <c r="FM56" s="493">
        <f t="shared" si="60"/>
        <v>19.859000000000002</v>
      </c>
      <c r="FO56" s="427">
        <f t="shared" si="61"/>
        <v>1832778.6099999999</v>
      </c>
      <c r="FP56" s="558">
        <f t="shared" si="110"/>
        <v>87737.919999999998</v>
      </c>
      <c r="FQ56" s="558">
        <f t="shared" si="110"/>
        <v>86066.77</v>
      </c>
      <c r="FR56" s="558">
        <f t="shared" si="110"/>
        <v>84391.5</v>
      </c>
      <c r="FS56" s="558">
        <f t="shared" si="110"/>
        <v>82716.23</v>
      </c>
      <c r="FT56" s="558">
        <f t="shared" si="110"/>
        <v>80983.19</v>
      </c>
      <c r="FU56" s="558">
        <f t="shared" si="110"/>
        <v>79200.639999999999</v>
      </c>
      <c r="FV56" s="558">
        <f t="shared" si="110"/>
        <v>77434.59</v>
      </c>
      <c r="FW56" s="558">
        <f t="shared" si="110"/>
        <v>75656.160000000003</v>
      </c>
      <c r="FX56" s="558">
        <f t="shared" si="110"/>
        <v>73815.839999999997</v>
      </c>
      <c r="FY56" s="558">
        <f t="shared" si="110"/>
        <v>71901.240000000005</v>
      </c>
      <c r="FZ56" s="558">
        <f t="shared" si="110"/>
        <v>69974.27</v>
      </c>
      <c r="GA56" s="558">
        <f t="shared" si="110"/>
        <v>68018.41</v>
      </c>
      <c r="GB56" s="558">
        <f t="shared" si="110"/>
        <v>66017.16</v>
      </c>
      <c r="GC56" s="558">
        <f t="shared" si="110"/>
        <v>64007.66</v>
      </c>
      <c r="GD56" s="558">
        <f t="shared" si="110"/>
        <v>61936.27</v>
      </c>
      <c r="GE56" s="558">
        <f t="shared" si="110"/>
        <v>59848.37</v>
      </c>
      <c r="GF56" s="558">
        <f t="shared" si="80"/>
        <v>57698.58</v>
      </c>
      <c r="GG56" s="558">
        <f t="shared" si="80"/>
        <v>55499.27</v>
      </c>
      <c r="GH56" s="558">
        <f t="shared" si="80"/>
        <v>53238.06</v>
      </c>
      <c r="GI56" s="558">
        <f t="shared" si="80"/>
        <v>50910.84</v>
      </c>
      <c r="GJ56" s="558">
        <f t="shared" si="80"/>
        <v>48513.47</v>
      </c>
      <c r="GK56" s="558">
        <f t="shared" si="80"/>
        <v>46025.32</v>
      </c>
      <c r="GL56" s="558">
        <f t="shared" si="80"/>
        <v>43446.39</v>
      </c>
      <c r="GM56" s="558">
        <f t="shared" si="80"/>
        <v>40772.559999999998</v>
      </c>
      <c r="GN56" s="558">
        <f t="shared" si="80"/>
        <v>37991.449999999997</v>
      </c>
      <c r="GO56" s="558">
        <f t="shared" si="80"/>
        <v>35123.68</v>
      </c>
      <c r="GP56" s="558">
        <f t="shared" si="80"/>
        <v>32156.880000000001</v>
      </c>
      <c r="GQ56" s="558">
        <f t="shared" si="80"/>
        <v>29099.31</v>
      </c>
      <c r="GR56" s="558">
        <f t="shared" si="80"/>
        <v>25959.21</v>
      </c>
      <c r="GS56" s="558">
        <f t="shared" si="80"/>
        <v>22740.7</v>
      </c>
      <c r="GT56" s="558">
        <f t="shared" si="80"/>
        <v>19456.18</v>
      </c>
      <c r="GU56" s="558">
        <f t="shared" si="80"/>
        <v>16093.26</v>
      </c>
      <c r="GV56" s="558">
        <f t="shared" si="111"/>
        <v>12684.95</v>
      </c>
      <c r="GW56" s="558">
        <f t="shared" si="111"/>
        <v>9214.75</v>
      </c>
      <c r="GX56" s="558">
        <f t="shared" si="111"/>
        <v>5707.41</v>
      </c>
      <c r="GY56" s="558">
        <f t="shared" si="111"/>
        <v>2162.9299999999998</v>
      </c>
      <c r="GZ56" s="558">
        <f t="shared" si="111"/>
        <v>-1422.81</v>
      </c>
      <c r="HA56" s="558" t="str">
        <f t="shared" si="111"/>
        <v>.</v>
      </c>
      <c r="HB56" s="558" t="str">
        <f t="shared" si="111"/>
        <v>.</v>
      </c>
      <c r="HC56" s="558" t="str">
        <f t="shared" si="111"/>
        <v>.</v>
      </c>
      <c r="HD56" s="558" t="str">
        <f t="shared" si="111"/>
        <v>.</v>
      </c>
      <c r="HE56" s="558" t="str">
        <f t="shared" si="111"/>
        <v>.</v>
      </c>
      <c r="HF56" s="558" t="str">
        <f t="shared" si="111"/>
        <v>.</v>
      </c>
      <c r="HG56" s="558" t="str">
        <f t="shared" si="111"/>
        <v>.</v>
      </c>
      <c r="HH56" s="558" t="str">
        <f t="shared" si="111"/>
        <v>.</v>
      </c>
      <c r="HI56" s="558" t="str">
        <f t="shared" si="111"/>
        <v>.</v>
      </c>
      <c r="HJ56" s="558" t="str">
        <f t="shared" si="111"/>
        <v>.</v>
      </c>
      <c r="HK56" s="558" t="str">
        <f t="shared" si="111"/>
        <v>.</v>
      </c>
      <c r="HL56" s="558" t="str">
        <f t="shared" si="112"/>
        <v>.</v>
      </c>
      <c r="HM56" s="558" t="str">
        <f t="shared" si="112"/>
        <v>.</v>
      </c>
      <c r="HN56" s="558" t="str">
        <f t="shared" si="112"/>
        <v>.</v>
      </c>
      <c r="HO56" s="558" t="str">
        <f t="shared" si="112"/>
        <v>.</v>
      </c>
      <c r="HP56" s="558" t="str">
        <f t="shared" si="112"/>
        <v>.</v>
      </c>
      <c r="HQ56" s="558" t="str">
        <f t="shared" si="112"/>
        <v>.</v>
      </c>
      <c r="HR56" s="558" t="str">
        <f t="shared" si="112"/>
        <v>.</v>
      </c>
      <c r="HS56" s="558" t="str">
        <f t="shared" si="112"/>
        <v>.</v>
      </c>
      <c r="HT56" s="558" t="str">
        <f t="shared" si="112"/>
        <v>.</v>
      </c>
      <c r="HU56" s="558" t="str">
        <f t="shared" si="112"/>
        <v>.</v>
      </c>
      <c r="HV56" s="558" t="str">
        <f t="shared" si="112"/>
        <v>.</v>
      </c>
      <c r="HW56" s="558" t="str">
        <f t="shared" si="112"/>
        <v>.</v>
      </c>
      <c r="HX56" s="558" t="str">
        <f t="shared" si="112"/>
        <v>.</v>
      </c>
      <c r="HY56" s="558" t="str">
        <f t="shared" si="112"/>
        <v>.</v>
      </c>
      <c r="HZ56" s="558" t="str">
        <f t="shared" si="112"/>
        <v>.</v>
      </c>
      <c r="IA56" s="558" t="str">
        <f t="shared" si="112"/>
        <v>.</v>
      </c>
      <c r="IB56" s="558" t="str">
        <f t="shared" si="112"/>
        <v>.</v>
      </c>
      <c r="IC56" s="558" t="str">
        <f t="shared" si="112"/>
        <v>.</v>
      </c>
      <c r="ID56" s="558" t="str">
        <f t="shared" si="79"/>
        <v>.</v>
      </c>
      <c r="IE56" s="558" t="str">
        <f t="shared" si="79"/>
        <v>.</v>
      </c>
      <c r="IF56" s="558" t="str">
        <f t="shared" si="79"/>
        <v>.</v>
      </c>
      <c r="IG56" s="558" t="str">
        <f t="shared" si="79"/>
        <v>.</v>
      </c>
      <c r="IH56" s="558" t="str">
        <f t="shared" si="79"/>
        <v>.</v>
      </c>
      <c r="II56" s="558" t="str">
        <f t="shared" si="79"/>
        <v>.</v>
      </c>
      <c r="IJ56" s="558" t="str">
        <f t="shared" si="79"/>
        <v>.</v>
      </c>
      <c r="IK56" s="558" t="str">
        <f t="shared" si="79"/>
        <v>.</v>
      </c>
      <c r="IL56" s="558" t="str">
        <f t="shared" si="79"/>
        <v>.</v>
      </c>
      <c r="IM56" s="558" t="str">
        <f t="shared" si="79"/>
        <v>.</v>
      </c>
      <c r="IN56" s="558" t="str">
        <f t="shared" si="79"/>
        <v>.</v>
      </c>
      <c r="IO56" s="558" t="str">
        <f t="shared" si="76"/>
        <v>.</v>
      </c>
      <c r="IP56" s="558" t="str">
        <f t="shared" si="76"/>
        <v>.</v>
      </c>
      <c r="IQ56" s="558" t="str">
        <f t="shared" si="76"/>
        <v>.</v>
      </c>
      <c r="IR56" s="558" t="str">
        <f t="shared" si="76"/>
        <v>.</v>
      </c>
      <c r="IS56" s="558" t="str">
        <f t="shared" si="76"/>
        <v>.</v>
      </c>
      <c r="IT56" s="558" t="str">
        <f t="shared" si="76"/>
        <v>.</v>
      </c>
      <c r="IU56" s="558" t="str">
        <f t="shared" si="76"/>
        <v>.</v>
      </c>
      <c r="IV56" s="558" t="str">
        <f t="shared" si="76"/>
        <v>.</v>
      </c>
      <c r="IW56" s="558" t="str">
        <f t="shared" si="76"/>
        <v>.</v>
      </c>
      <c r="IX56" s="558" t="str">
        <f t="shared" si="76"/>
        <v>.</v>
      </c>
      <c r="IY56" s="558" t="str">
        <f t="shared" si="76"/>
        <v>.</v>
      </c>
      <c r="IZ56" s="558" t="str">
        <f t="shared" si="76"/>
        <v>.</v>
      </c>
      <c r="JA56" s="558" t="str">
        <f t="shared" si="76"/>
        <v>.</v>
      </c>
      <c r="JB56" s="558" t="str">
        <f t="shared" si="76"/>
        <v>.</v>
      </c>
      <c r="JC56" s="558" t="str">
        <f t="shared" si="76"/>
        <v>.</v>
      </c>
      <c r="JD56" s="558" t="str">
        <f t="shared" si="76"/>
        <v>.</v>
      </c>
      <c r="JE56" s="558" t="str">
        <f t="shared" si="76"/>
        <v>.</v>
      </c>
      <c r="JF56" s="558" t="str">
        <f t="shared" si="77"/>
        <v>.</v>
      </c>
      <c r="JG56" s="558" t="str">
        <f t="shared" si="77"/>
        <v>.</v>
      </c>
      <c r="JH56" s="558" t="str">
        <f t="shared" si="113"/>
        <v>.</v>
      </c>
      <c r="JI56" s="558" t="str">
        <f t="shared" si="113"/>
        <v>.</v>
      </c>
      <c r="JJ56" s="558" t="str">
        <f t="shared" si="113"/>
        <v>.</v>
      </c>
      <c r="JK56" s="558" t="str">
        <f t="shared" si="113"/>
        <v>.</v>
      </c>
      <c r="JL56" s="558" t="str">
        <f t="shared" si="113"/>
        <v>.</v>
      </c>
    </row>
    <row r="57" spans="1:272" ht="10.199999999999999" x14ac:dyDescent="0.2">
      <c r="A57" s="534">
        <f xml:space="preserve"> Basis!A57</f>
        <v>57</v>
      </c>
      <c r="F57" s="536">
        <f xml:space="preserve"> ROUND(    IF( $A$15=BE_MF_,   AW57,   INDEX( qx!57:57, F$16 ) ),    F$17    )</f>
        <v>2.8E-3</v>
      </c>
      <c r="G57" s="536">
        <f xml:space="preserve"> ROUND(    IF( $A$15=BE_MF_,   BB57,   INDEX( wx!57:57, G$16 ) ),    G$17    )</f>
        <v>1.2699999999999999E-2</v>
      </c>
      <c r="H57" s="537">
        <f xml:space="preserve"> ROUND(    IF( $A$15=BE_MF_,   BG57,   INDEX( Kx!57:57, H$16 ) ),    H$17    )</f>
        <v>3677.97</v>
      </c>
      <c r="I57" s="538">
        <f t="shared" si="55"/>
        <v>3677.97</v>
      </c>
      <c r="J57" s="539">
        <f t="shared" si="81"/>
        <v>1.77</v>
      </c>
      <c r="K57" s="540">
        <f t="shared" si="114"/>
        <v>2</v>
      </c>
      <c r="L57" s="541">
        <f t="shared" si="71"/>
        <v>0</v>
      </c>
      <c r="M57" s="541">
        <f t="shared" si="71"/>
        <v>8.5999999999999993E-2</v>
      </c>
      <c r="O57" s="542" t="b">
        <f t="shared" si="57"/>
        <v>1</v>
      </c>
      <c r="P57" s="493">
        <f t="shared" si="82"/>
        <v>1.55E-2</v>
      </c>
      <c r="Q57" s="493">
        <f t="shared" si="83"/>
        <v>0.98450000000000004</v>
      </c>
      <c r="R57" s="543">
        <f t="shared" si="84"/>
        <v>560048</v>
      </c>
      <c r="S57" s="544">
        <f t="shared" si="85"/>
        <v>0.97560975599999999</v>
      </c>
      <c r="T57" s="423">
        <f t="shared" si="86"/>
        <v>137077.1</v>
      </c>
      <c r="U57" s="423">
        <f xml:space="preserve"> IF( $O57,    ROUND(  SUM( T57:T$120), U$17 ),  LEER  )</f>
        <v>2703286.59</v>
      </c>
      <c r="V57" s="493">
        <f t="shared" si="87"/>
        <v>19.7209</v>
      </c>
      <c r="W57" s="493">
        <f t="shared" si="88"/>
        <v>242626.47</v>
      </c>
      <c r="X57" s="493">
        <f xml:space="preserve"> IF( $O57,    ROUND(  SUM( W57:W$120), X$17 ),  LEER  )</f>
        <v>9227553.1099999994</v>
      </c>
      <c r="Y57" s="493">
        <f t="shared" si="89"/>
        <v>67.316500000000005</v>
      </c>
      <c r="Z57" s="493">
        <f t="shared" si="90"/>
        <v>3.4135</v>
      </c>
      <c r="AA57" s="493">
        <f t="shared" si="91"/>
        <v>1.0093000000000001</v>
      </c>
      <c r="AB57" s="493">
        <f t="shared" si="92"/>
        <v>2.3494000000000002</v>
      </c>
      <c r="AC57" s="545">
        <f t="shared" si="93"/>
        <v>0.38600000000000001</v>
      </c>
      <c r="AD57" s="493">
        <f t="shared" si="94"/>
        <v>3.4487999999999999</v>
      </c>
      <c r="AE57" s="493">
        <f t="shared" si="95"/>
        <v>4.1955999999999998</v>
      </c>
      <c r="AF57" s="493">
        <f t="shared" si="96"/>
        <v>4.1955999999999998</v>
      </c>
      <c r="AG57" s="493" t="str">
        <f t="shared" si="97"/>
        <v>.</v>
      </c>
      <c r="AH57" s="493" t="str">
        <f t="shared" si="98"/>
        <v>.</v>
      </c>
      <c r="AI57" s="423">
        <f t="shared" si="99"/>
        <v>2077.79</v>
      </c>
      <c r="AJ57" s="423">
        <f t="shared" si="100"/>
        <v>8717.58</v>
      </c>
      <c r="AK57" s="423">
        <f t="shared" si="101"/>
        <v>726.47</v>
      </c>
      <c r="AN57" s="423">
        <f t="shared" si="72"/>
        <v>63896.160000000003</v>
      </c>
      <c r="AO57" s="423">
        <f t="shared" si="72"/>
        <v>62986.49</v>
      </c>
      <c r="AR57" s="546">
        <f xml:space="preserve"> ROUND(  INDEX( Kx!57:57, AR$16 ),  AR$17 )</f>
        <v>0.75439999999999996</v>
      </c>
      <c r="AS57" s="547">
        <f xml:space="preserve"> ROUND(  INDEX( qx!57:57, AS$16 ),  AS$17 )</f>
        <v>3.2000000000000002E-3</v>
      </c>
      <c r="AT57" s="547">
        <f xml:space="preserve"> ROUND(  INDEX( qx!57:57, AT$16 ),  AT$17 )</f>
        <v>2E-3</v>
      </c>
      <c r="AU57" s="548" t="str">
        <f t="shared" si="102"/>
        <v>F</v>
      </c>
      <c r="AV57" s="542">
        <f t="shared" si="103"/>
        <v>0.67190000000000005</v>
      </c>
      <c r="AW57" s="542">
        <f t="shared" si="104"/>
        <v>2.8E-3</v>
      </c>
      <c r="AX57" s="546">
        <f xml:space="preserve"> ROUND(  INDEX( wx!57:57, AX$16 ),  AX$17 )</f>
        <v>1.38E-2</v>
      </c>
      <c r="AY57" s="546">
        <f xml:space="preserve"> ROUND(  INDEX( wx!57:57, AY$16 ),  AY$17 )</f>
        <v>1.0500000000000001E-2</v>
      </c>
      <c r="AZ57" s="548" t="str">
        <f t="shared" si="105"/>
        <v>F</v>
      </c>
      <c r="BA57" s="542">
        <f t="shared" si="106"/>
        <v>0.67190000000000005</v>
      </c>
      <c r="BB57" s="542">
        <f t="shared" si="107"/>
        <v>1.2699999999999999E-2</v>
      </c>
      <c r="BC57" s="533">
        <f xml:space="preserve"> ROUND(  INDEX( Kx!57:57, BC$16 ),  BC$17 )</f>
        <v>3581.28</v>
      </c>
      <c r="BD57" s="533">
        <f xml:space="preserve"> ROUND(  INDEX( Kx!57:57, BD$16 ),  BD$17 )</f>
        <v>3875.97</v>
      </c>
      <c r="BE57" s="548" t="str">
        <f t="shared" si="58"/>
        <v>F</v>
      </c>
      <c r="BF57" s="542">
        <f t="shared" si="108"/>
        <v>0.67190000000000005</v>
      </c>
      <c r="BG57" s="420">
        <f t="shared" si="109"/>
        <v>3677.97</v>
      </c>
      <c r="BQ57" s="549"/>
      <c r="BR57" s="423"/>
      <c r="BS57" s="550"/>
      <c r="BT57" s="423"/>
      <c r="BU57" s="551"/>
      <c r="BV57" s="551"/>
      <c r="BW57" s="529"/>
      <c r="BX57" s="552"/>
      <c r="BY57" s="560"/>
      <c r="BZ57" s="559"/>
      <c r="CB57" s="423"/>
      <c r="CC57" s="423"/>
      <c r="CD57" s="423"/>
      <c r="CE57" s="423"/>
      <c r="CF57" s="553"/>
      <c r="CH57" s="423"/>
      <c r="CI57" s="423"/>
      <c r="CJ57" s="423"/>
      <c r="CK57" s="423"/>
      <c r="CL57" s="553"/>
      <c r="CN57" s="423"/>
      <c r="CO57" s="423"/>
      <c r="CP57" s="423"/>
      <c r="CQ57" s="423"/>
      <c r="CR57" s="553"/>
      <c r="EI57" s="553"/>
      <c r="EJ57" s="553"/>
      <c r="EK57" s="423"/>
      <c r="EL57" s="555"/>
      <c r="ES57" s="533"/>
      <c r="ET57" s="533"/>
      <c r="EU57" s="533"/>
      <c r="EV57" s="556"/>
      <c r="EY57" s="533"/>
      <c r="EZ57" s="533"/>
      <c r="FA57" s="556"/>
      <c r="FD57" s="556"/>
      <c r="FE57" s="556"/>
      <c r="FF57" s="556"/>
      <c r="FK57" s="557">
        <f t="shared" si="48"/>
        <v>57</v>
      </c>
      <c r="FL57" s="493">
        <f t="shared" si="59"/>
        <v>67.316500000000005</v>
      </c>
      <c r="FM57" s="493">
        <f t="shared" si="60"/>
        <v>19.7209</v>
      </c>
      <c r="FO57" s="427">
        <f t="shared" si="61"/>
        <v>1950094.73</v>
      </c>
      <c r="FP57" s="558">
        <f t="shared" si="110"/>
        <v>90682.09</v>
      </c>
      <c r="FQ57" s="558">
        <f t="shared" si="110"/>
        <v>89022.57</v>
      </c>
      <c r="FR57" s="558">
        <f t="shared" si="110"/>
        <v>87358.95</v>
      </c>
      <c r="FS57" s="558">
        <f t="shared" si="110"/>
        <v>85695.33</v>
      </c>
      <c r="FT57" s="558">
        <f t="shared" si="110"/>
        <v>83974.34</v>
      </c>
      <c r="FU57" s="558">
        <f t="shared" si="110"/>
        <v>82204.179999999993</v>
      </c>
      <c r="FV57" s="558">
        <f t="shared" si="110"/>
        <v>80450.41</v>
      </c>
      <c r="FW57" s="558">
        <f t="shared" si="110"/>
        <v>78684.350000000006</v>
      </c>
      <c r="FX57" s="558">
        <f t="shared" si="110"/>
        <v>76856.83</v>
      </c>
      <c r="FY57" s="558">
        <f t="shared" si="110"/>
        <v>74955.55</v>
      </c>
      <c r="FZ57" s="558">
        <f t="shared" si="110"/>
        <v>73041.97</v>
      </c>
      <c r="GA57" s="558">
        <f t="shared" si="110"/>
        <v>71099.72</v>
      </c>
      <c r="GB57" s="558">
        <f t="shared" si="110"/>
        <v>69112.39</v>
      </c>
      <c r="GC57" s="558">
        <f t="shared" si="110"/>
        <v>67116.86</v>
      </c>
      <c r="GD57" s="558">
        <f t="shared" si="110"/>
        <v>65059.87</v>
      </c>
      <c r="GE57" s="558">
        <f t="shared" si="110"/>
        <v>62986.49</v>
      </c>
      <c r="GF57" s="558">
        <f t="shared" si="80"/>
        <v>60851.65</v>
      </c>
      <c r="GG57" s="558">
        <f t="shared" si="80"/>
        <v>58667.63</v>
      </c>
      <c r="GH57" s="558">
        <f t="shared" si="80"/>
        <v>56422.15</v>
      </c>
      <c r="GI57" s="558">
        <f t="shared" si="80"/>
        <v>54111.11</v>
      </c>
      <c r="GJ57" s="558">
        <f t="shared" si="80"/>
        <v>51730.41</v>
      </c>
      <c r="GK57" s="558">
        <f t="shared" si="80"/>
        <v>49259.57</v>
      </c>
      <c r="GL57" s="558">
        <f t="shared" si="80"/>
        <v>46698.57</v>
      </c>
      <c r="GM57" s="558">
        <f t="shared" si="80"/>
        <v>44043.34</v>
      </c>
      <c r="GN57" s="558">
        <f t="shared" si="80"/>
        <v>41281.56</v>
      </c>
      <c r="GO57" s="558">
        <f t="shared" si="80"/>
        <v>38433.74</v>
      </c>
      <c r="GP57" s="558">
        <f t="shared" si="80"/>
        <v>35487.57</v>
      </c>
      <c r="GQ57" s="558">
        <f t="shared" si="80"/>
        <v>32451.26</v>
      </c>
      <c r="GR57" s="558">
        <f t="shared" si="80"/>
        <v>29332.99</v>
      </c>
      <c r="GS57" s="558">
        <f t="shared" si="80"/>
        <v>26136.87</v>
      </c>
      <c r="GT57" s="558">
        <f t="shared" si="80"/>
        <v>22875.19</v>
      </c>
      <c r="GU57" s="558">
        <f t="shared" si="80"/>
        <v>19535.66</v>
      </c>
      <c r="GV57" s="558">
        <f t="shared" si="111"/>
        <v>16151.05</v>
      </c>
      <c r="GW57" s="558">
        <f t="shared" si="111"/>
        <v>12704.98</v>
      </c>
      <c r="GX57" s="558">
        <f t="shared" si="111"/>
        <v>9222.0300000000007</v>
      </c>
      <c r="GY57" s="558">
        <f t="shared" si="111"/>
        <v>5702.2</v>
      </c>
      <c r="GZ57" s="558">
        <f t="shared" si="111"/>
        <v>2141.39</v>
      </c>
      <c r="HA57" s="558">
        <f t="shared" si="111"/>
        <v>-1448.09</v>
      </c>
      <c r="HB57" s="558" t="str">
        <f t="shared" si="111"/>
        <v>.</v>
      </c>
      <c r="HC57" s="558" t="str">
        <f t="shared" si="111"/>
        <v>.</v>
      </c>
      <c r="HD57" s="558" t="str">
        <f t="shared" si="111"/>
        <v>.</v>
      </c>
      <c r="HE57" s="558" t="str">
        <f t="shared" si="111"/>
        <v>.</v>
      </c>
      <c r="HF57" s="558" t="str">
        <f t="shared" si="111"/>
        <v>.</v>
      </c>
      <c r="HG57" s="558" t="str">
        <f t="shared" si="111"/>
        <v>.</v>
      </c>
      <c r="HH57" s="558" t="str">
        <f t="shared" si="111"/>
        <v>.</v>
      </c>
      <c r="HI57" s="558" t="str">
        <f t="shared" si="111"/>
        <v>.</v>
      </c>
      <c r="HJ57" s="558" t="str">
        <f t="shared" si="111"/>
        <v>.</v>
      </c>
      <c r="HK57" s="558" t="str">
        <f t="shared" si="111"/>
        <v>.</v>
      </c>
      <c r="HL57" s="558" t="str">
        <f t="shared" si="112"/>
        <v>.</v>
      </c>
      <c r="HM57" s="558" t="str">
        <f t="shared" si="112"/>
        <v>.</v>
      </c>
      <c r="HN57" s="558" t="str">
        <f t="shared" si="112"/>
        <v>.</v>
      </c>
      <c r="HO57" s="558" t="str">
        <f t="shared" si="112"/>
        <v>.</v>
      </c>
      <c r="HP57" s="558" t="str">
        <f t="shared" si="112"/>
        <v>.</v>
      </c>
      <c r="HQ57" s="558" t="str">
        <f t="shared" si="112"/>
        <v>.</v>
      </c>
      <c r="HR57" s="558" t="str">
        <f t="shared" si="112"/>
        <v>.</v>
      </c>
      <c r="HS57" s="558" t="str">
        <f t="shared" si="112"/>
        <v>.</v>
      </c>
      <c r="HT57" s="558" t="str">
        <f t="shared" si="112"/>
        <v>.</v>
      </c>
      <c r="HU57" s="558" t="str">
        <f t="shared" si="112"/>
        <v>.</v>
      </c>
      <c r="HV57" s="558" t="str">
        <f t="shared" si="112"/>
        <v>.</v>
      </c>
      <c r="HW57" s="558" t="str">
        <f t="shared" si="112"/>
        <v>.</v>
      </c>
      <c r="HX57" s="558" t="str">
        <f t="shared" si="112"/>
        <v>.</v>
      </c>
      <c r="HY57" s="558" t="str">
        <f t="shared" si="112"/>
        <v>.</v>
      </c>
      <c r="HZ57" s="558" t="str">
        <f t="shared" si="112"/>
        <v>.</v>
      </c>
      <c r="IA57" s="558" t="str">
        <f t="shared" si="112"/>
        <v>.</v>
      </c>
      <c r="IB57" s="558" t="str">
        <f t="shared" si="112"/>
        <v>.</v>
      </c>
      <c r="IC57" s="558" t="str">
        <f t="shared" si="112"/>
        <v>.</v>
      </c>
      <c r="ID57" s="558" t="str">
        <f t="shared" si="79"/>
        <v>.</v>
      </c>
      <c r="IE57" s="558" t="str">
        <f t="shared" si="79"/>
        <v>.</v>
      </c>
      <c r="IF57" s="558" t="str">
        <f t="shared" si="79"/>
        <v>.</v>
      </c>
      <c r="IG57" s="558" t="str">
        <f t="shared" si="79"/>
        <v>.</v>
      </c>
      <c r="IH57" s="558" t="str">
        <f t="shared" si="79"/>
        <v>.</v>
      </c>
      <c r="II57" s="558" t="str">
        <f t="shared" si="79"/>
        <v>.</v>
      </c>
      <c r="IJ57" s="558" t="str">
        <f t="shared" si="79"/>
        <v>.</v>
      </c>
      <c r="IK57" s="558" t="str">
        <f t="shared" si="79"/>
        <v>.</v>
      </c>
      <c r="IL57" s="558" t="str">
        <f t="shared" si="79"/>
        <v>.</v>
      </c>
      <c r="IM57" s="558" t="str">
        <f t="shared" si="79"/>
        <v>.</v>
      </c>
      <c r="IN57" s="558" t="str">
        <f t="shared" si="79"/>
        <v>.</v>
      </c>
      <c r="IO57" s="558" t="str">
        <f t="shared" si="76"/>
        <v>.</v>
      </c>
      <c r="IP57" s="558" t="str">
        <f t="shared" si="76"/>
        <v>.</v>
      </c>
      <c r="IQ57" s="558" t="str">
        <f t="shared" si="76"/>
        <v>.</v>
      </c>
      <c r="IR57" s="558" t="str">
        <f t="shared" si="76"/>
        <v>.</v>
      </c>
      <c r="IS57" s="558" t="str">
        <f t="shared" si="76"/>
        <v>.</v>
      </c>
      <c r="IT57" s="558" t="str">
        <f t="shared" si="76"/>
        <v>.</v>
      </c>
      <c r="IU57" s="558" t="str">
        <f t="shared" si="76"/>
        <v>.</v>
      </c>
      <c r="IV57" s="558" t="str">
        <f t="shared" si="76"/>
        <v>.</v>
      </c>
      <c r="IW57" s="558" t="str">
        <f t="shared" si="76"/>
        <v>.</v>
      </c>
      <c r="IX57" s="558" t="str">
        <f t="shared" si="76"/>
        <v>.</v>
      </c>
      <c r="IY57" s="558" t="str">
        <f t="shared" si="76"/>
        <v>.</v>
      </c>
      <c r="IZ57" s="558" t="str">
        <f t="shared" si="76"/>
        <v>.</v>
      </c>
      <c r="JA57" s="558" t="str">
        <f t="shared" si="76"/>
        <v>.</v>
      </c>
      <c r="JB57" s="558" t="str">
        <f t="shared" si="76"/>
        <v>.</v>
      </c>
      <c r="JC57" s="558" t="str">
        <f t="shared" si="76"/>
        <v>.</v>
      </c>
      <c r="JD57" s="558" t="str">
        <f t="shared" si="76"/>
        <v>.</v>
      </c>
      <c r="JE57" s="558" t="str">
        <f t="shared" si="76"/>
        <v>.</v>
      </c>
      <c r="JF57" s="558" t="str">
        <f t="shared" si="77"/>
        <v>.</v>
      </c>
      <c r="JG57" s="558" t="str">
        <f t="shared" si="77"/>
        <v>.</v>
      </c>
      <c r="JH57" s="558" t="str">
        <f t="shared" si="113"/>
        <v>.</v>
      </c>
      <c r="JI57" s="558" t="str">
        <f t="shared" si="113"/>
        <v>.</v>
      </c>
      <c r="JJ57" s="558" t="str">
        <f t="shared" si="113"/>
        <v>.</v>
      </c>
      <c r="JK57" s="558" t="str">
        <f t="shared" si="113"/>
        <v>.</v>
      </c>
      <c r="JL57" s="558" t="str">
        <f t="shared" si="113"/>
        <v>.</v>
      </c>
    </row>
    <row r="58" spans="1:272" ht="10.199999999999999" x14ac:dyDescent="0.2">
      <c r="A58" s="534">
        <f xml:space="preserve"> Basis!A58</f>
        <v>58</v>
      </c>
      <c r="F58" s="536">
        <f xml:space="preserve"> ROUND(    IF( $A$15=BE_MF_,   AW58,   INDEX( qx!58:58, F$16 ) ),    F$17    )</f>
        <v>3.0999999999999999E-3</v>
      </c>
      <c r="G58" s="536">
        <f xml:space="preserve"> ROUND(    IF( $A$15=BE_MF_,   BB58,   INDEX( wx!58:58, G$16 ) ),    G$17    )</f>
        <v>9.7999999999999997E-3</v>
      </c>
      <c r="H58" s="537">
        <f xml:space="preserve"> ROUND(    IF( $A$15=BE_MF_,   BG58,   INDEX( Kx!58:58, H$16 ) ),    H$17    )</f>
        <v>3853.38</v>
      </c>
      <c r="I58" s="538">
        <f t="shared" si="55"/>
        <v>3853.38</v>
      </c>
      <c r="J58" s="539">
        <f t="shared" si="81"/>
        <v>1.855</v>
      </c>
      <c r="K58" s="540">
        <f t="shared" si="114"/>
        <v>2</v>
      </c>
      <c r="L58" s="541">
        <f t="shared" si="71"/>
        <v>0</v>
      </c>
      <c r="M58" s="541">
        <f t="shared" si="71"/>
        <v>8.5999999999999993E-2</v>
      </c>
      <c r="O58" s="542" t="b">
        <f t="shared" si="57"/>
        <v>1</v>
      </c>
      <c r="P58" s="493">
        <f t="shared" si="82"/>
        <v>1.29E-2</v>
      </c>
      <c r="Q58" s="493">
        <f t="shared" si="83"/>
        <v>0.98709999999999998</v>
      </c>
      <c r="R58" s="543">
        <f t="shared" si="84"/>
        <v>551367</v>
      </c>
      <c r="S58" s="544">
        <f t="shared" si="85"/>
        <v>0.97560975599999999</v>
      </c>
      <c r="T58" s="423">
        <f t="shared" si="86"/>
        <v>131660.82999999999</v>
      </c>
      <c r="U58" s="423">
        <f xml:space="preserve"> IF( $O58,    ROUND(  SUM( T58:T$120), U$17 ),  LEER  )</f>
        <v>2566209.4900000002</v>
      </c>
      <c r="V58" s="493">
        <f t="shared" si="87"/>
        <v>19.491099999999999</v>
      </c>
      <c r="W58" s="493">
        <f t="shared" si="88"/>
        <v>244230.84</v>
      </c>
      <c r="X58" s="493">
        <f xml:space="preserve"> IF( $O58,    ROUND(  SUM( W58:W$120), X$17 ),  LEER  )</f>
        <v>8984926.6400000006</v>
      </c>
      <c r="Y58" s="493">
        <f t="shared" si="89"/>
        <v>68.242999999999995</v>
      </c>
      <c r="Z58" s="493">
        <f t="shared" si="90"/>
        <v>3.5011999999999999</v>
      </c>
      <c r="AA58" s="493">
        <f t="shared" si="91"/>
        <v>1.0094000000000001</v>
      </c>
      <c r="AB58" s="493">
        <f t="shared" si="92"/>
        <v>2.3494000000000002</v>
      </c>
      <c r="AC58" s="545">
        <f t="shared" si="93"/>
        <v>0.38600000000000001</v>
      </c>
      <c r="AD58" s="493">
        <f t="shared" si="94"/>
        <v>3.5377000000000001</v>
      </c>
      <c r="AE58" s="493">
        <f t="shared" si="95"/>
        <v>4.2929000000000004</v>
      </c>
      <c r="AF58" s="493">
        <f t="shared" si="96"/>
        <v>4.2929000000000004</v>
      </c>
      <c r="AG58" s="493" t="str">
        <f t="shared" si="97"/>
        <v>.</v>
      </c>
      <c r="AH58" s="493" t="str">
        <f t="shared" si="98"/>
        <v>.</v>
      </c>
      <c r="AI58" s="423">
        <f t="shared" si="99"/>
        <v>2077.79</v>
      </c>
      <c r="AJ58" s="423">
        <f t="shared" si="100"/>
        <v>8919.74</v>
      </c>
      <c r="AK58" s="423">
        <f t="shared" si="101"/>
        <v>743.31</v>
      </c>
      <c r="AN58" s="423">
        <f t="shared" si="72"/>
        <v>66706.52</v>
      </c>
      <c r="AO58" s="423">
        <f t="shared" si="72"/>
        <v>65807.45</v>
      </c>
      <c r="AR58" s="546">
        <f xml:space="preserve"> ROUND(  INDEX( Kx!58:58, AR$16 ),  AR$17 )</f>
        <v>0.74909999999999999</v>
      </c>
      <c r="AS58" s="547">
        <f xml:space="preserve"> ROUND(  INDEX( qx!58:58, AS$16 ),  AS$17 )</f>
        <v>3.5999999999999999E-3</v>
      </c>
      <c r="AT58" s="547">
        <f xml:space="preserve"> ROUND(  INDEX( qx!58:58, AT$16 ),  AT$17 )</f>
        <v>2.2000000000000001E-3</v>
      </c>
      <c r="AU58" s="548" t="str">
        <f t="shared" si="102"/>
        <v>F</v>
      </c>
      <c r="AV58" s="542">
        <f t="shared" si="103"/>
        <v>0.66559999999999997</v>
      </c>
      <c r="AW58" s="542">
        <f t="shared" si="104"/>
        <v>3.0999999999999999E-3</v>
      </c>
      <c r="AX58" s="546">
        <f xml:space="preserve"> ROUND(  INDEX( wx!58:58, AX$16 ),  AX$17 )</f>
        <v>1.11E-2</v>
      </c>
      <c r="AY58" s="546">
        <f xml:space="preserve"> ROUND(  INDEX( wx!58:58, AY$16 ),  AY$17 )</f>
        <v>7.3000000000000001E-3</v>
      </c>
      <c r="AZ58" s="548" t="str">
        <f t="shared" si="105"/>
        <v>F</v>
      </c>
      <c r="BA58" s="542">
        <f t="shared" si="106"/>
        <v>0.66559999999999997</v>
      </c>
      <c r="BB58" s="542">
        <f t="shared" si="107"/>
        <v>9.7999999999999997E-3</v>
      </c>
      <c r="BC58" s="533">
        <f xml:space="preserve"> ROUND(  INDEX( Kx!58:58, BC$16 ),  BC$17 )</f>
        <v>3785.66</v>
      </c>
      <c r="BD58" s="533">
        <f xml:space="preserve"> ROUND(  INDEX( Kx!58:58, BD$16 ),  BD$17 )</f>
        <v>3988.18</v>
      </c>
      <c r="BE58" s="548" t="str">
        <f t="shared" si="58"/>
        <v>F</v>
      </c>
      <c r="BF58" s="542">
        <f t="shared" si="108"/>
        <v>0.66559999999999997</v>
      </c>
      <c r="BG58" s="420">
        <f t="shared" si="109"/>
        <v>3853.38</v>
      </c>
      <c r="BQ58" s="549"/>
      <c r="BR58" s="423"/>
      <c r="BS58" s="550"/>
      <c r="BT58" s="423"/>
      <c r="BU58" s="551"/>
      <c r="BV58" s="551"/>
      <c r="BW58" s="529"/>
      <c r="BX58" s="552"/>
      <c r="BY58" s="560"/>
      <c r="BZ58" s="559"/>
      <c r="CB58" s="423"/>
      <c r="CC58" s="423"/>
      <c r="CD58" s="423"/>
      <c r="CE58" s="423"/>
      <c r="CF58" s="553"/>
      <c r="CH58" s="423"/>
      <c r="CI58" s="423"/>
      <c r="CJ58" s="423"/>
      <c r="CK58" s="423"/>
      <c r="CL58" s="553"/>
      <c r="CN58" s="423"/>
      <c r="CO58" s="423"/>
      <c r="CP58" s="423"/>
      <c r="CQ58" s="423"/>
      <c r="CR58" s="553"/>
      <c r="EI58" s="553"/>
      <c r="EJ58" s="553"/>
      <c r="EK58" s="423"/>
      <c r="EL58" s="555"/>
      <c r="ES58" s="533"/>
      <c r="ET58" s="533"/>
      <c r="EU58" s="533"/>
      <c r="EV58" s="556"/>
      <c r="EY58" s="533"/>
      <c r="EZ58" s="533"/>
      <c r="FA58" s="556"/>
      <c r="FD58" s="556"/>
      <c r="FE58" s="556"/>
      <c r="FF58" s="556"/>
      <c r="FK58" s="557">
        <f t="shared" si="48"/>
        <v>58</v>
      </c>
      <c r="FL58" s="493">
        <f t="shared" si="59"/>
        <v>68.242999999999995</v>
      </c>
      <c r="FM58" s="493">
        <f t="shared" si="60"/>
        <v>19.491099999999999</v>
      </c>
      <c r="FO58" s="427">
        <f t="shared" si="61"/>
        <v>2060981.31</v>
      </c>
      <c r="FP58" s="558">
        <f t="shared" si="110"/>
        <v>93180.33</v>
      </c>
      <c r="FQ58" s="558">
        <f t="shared" si="110"/>
        <v>91540.14</v>
      </c>
      <c r="FR58" s="558">
        <f t="shared" si="110"/>
        <v>89895.91</v>
      </c>
      <c r="FS58" s="558">
        <f t="shared" si="110"/>
        <v>88251.67</v>
      </c>
      <c r="FT58" s="558">
        <f t="shared" si="110"/>
        <v>86550.74</v>
      </c>
      <c r="FU58" s="558">
        <f t="shared" si="110"/>
        <v>84801.21</v>
      </c>
      <c r="FV58" s="558">
        <f t="shared" si="110"/>
        <v>83067.87</v>
      </c>
      <c r="FW58" s="558">
        <f t="shared" si="110"/>
        <v>81322.39</v>
      </c>
      <c r="FX58" s="558">
        <f t="shared" si="110"/>
        <v>79516.160000000003</v>
      </c>
      <c r="FY58" s="558">
        <f t="shared" si="110"/>
        <v>77637.039999999994</v>
      </c>
      <c r="FZ58" s="558">
        <f t="shared" si="110"/>
        <v>75745.759999999995</v>
      </c>
      <c r="GA58" s="558">
        <f t="shared" si="110"/>
        <v>73826.14</v>
      </c>
      <c r="GB58" s="558">
        <f t="shared" si="110"/>
        <v>71861.960000000006</v>
      </c>
      <c r="GC58" s="558">
        <f t="shared" si="110"/>
        <v>69889.69</v>
      </c>
      <c r="GD58" s="558">
        <f t="shared" si="110"/>
        <v>67856.67</v>
      </c>
      <c r="GE58" s="558">
        <f t="shared" si="110"/>
        <v>65807.45</v>
      </c>
      <c r="GF58" s="558">
        <f t="shared" si="80"/>
        <v>63697.48</v>
      </c>
      <c r="GG58" s="558">
        <f t="shared" si="80"/>
        <v>61538.92</v>
      </c>
      <c r="GH58" s="558">
        <f t="shared" si="80"/>
        <v>59319.61</v>
      </c>
      <c r="GI58" s="558">
        <f t="shared" si="80"/>
        <v>57035.5</v>
      </c>
      <c r="GJ58" s="558">
        <f t="shared" si="80"/>
        <v>54682.54</v>
      </c>
      <c r="GK58" s="558">
        <f t="shared" si="80"/>
        <v>52240.480000000003</v>
      </c>
      <c r="GL58" s="558">
        <f t="shared" si="80"/>
        <v>49709.33</v>
      </c>
      <c r="GM58" s="558">
        <f t="shared" si="80"/>
        <v>47085.04</v>
      </c>
      <c r="GN58" s="558">
        <f t="shared" si="80"/>
        <v>44355.44</v>
      </c>
      <c r="GO58" s="558">
        <f t="shared" si="80"/>
        <v>41540.800000000003</v>
      </c>
      <c r="GP58" s="558">
        <f t="shared" si="80"/>
        <v>38628.97</v>
      </c>
      <c r="GQ58" s="558">
        <f t="shared" si="80"/>
        <v>35628.03</v>
      </c>
      <c r="GR58" s="558">
        <f t="shared" si="80"/>
        <v>32546.1</v>
      </c>
      <c r="GS58" s="558">
        <f t="shared" si="80"/>
        <v>29387.23</v>
      </c>
      <c r="GT58" s="558">
        <f t="shared" si="80"/>
        <v>26163.56</v>
      </c>
      <c r="GU58" s="558">
        <f t="shared" si="80"/>
        <v>22862.93</v>
      </c>
      <c r="GV58" s="558">
        <f t="shared" si="111"/>
        <v>19517.77</v>
      </c>
      <c r="GW58" s="558">
        <f t="shared" si="111"/>
        <v>16111.85</v>
      </c>
      <c r="GX58" s="558">
        <f t="shared" si="111"/>
        <v>12669.48</v>
      </c>
      <c r="GY58" s="558">
        <f t="shared" si="111"/>
        <v>9190.67</v>
      </c>
      <c r="GZ58" s="558">
        <f t="shared" si="111"/>
        <v>5671.36</v>
      </c>
      <c r="HA58" s="558">
        <f t="shared" si="111"/>
        <v>2123.6999999999998</v>
      </c>
      <c r="HB58" s="558">
        <f t="shared" si="111"/>
        <v>-1476.61</v>
      </c>
      <c r="HC58" s="558" t="str">
        <f t="shared" si="111"/>
        <v>.</v>
      </c>
      <c r="HD58" s="558" t="str">
        <f t="shared" si="111"/>
        <v>.</v>
      </c>
      <c r="HE58" s="558" t="str">
        <f t="shared" si="111"/>
        <v>.</v>
      </c>
      <c r="HF58" s="558" t="str">
        <f t="shared" si="111"/>
        <v>.</v>
      </c>
      <c r="HG58" s="558" t="str">
        <f t="shared" si="111"/>
        <v>.</v>
      </c>
      <c r="HH58" s="558" t="str">
        <f t="shared" si="111"/>
        <v>.</v>
      </c>
      <c r="HI58" s="558" t="str">
        <f t="shared" si="111"/>
        <v>.</v>
      </c>
      <c r="HJ58" s="558" t="str">
        <f t="shared" si="111"/>
        <v>.</v>
      </c>
      <c r="HK58" s="558" t="str">
        <f t="shared" si="111"/>
        <v>.</v>
      </c>
      <c r="HL58" s="558" t="str">
        <f t="shared" si="112"/>
        <v>.</v>
      </c>
      <c r="HM58" s="558" t="str">
        <f t="shared" si="112"/>
        <v>.</v>
      </c>
      <c r="HN58" s="558" t="str">
        <f t="shared" si="112"/>
        <v>.</v>
      </c>
      <c r="HO58" s="558" t="str">
        <f t="shared" si="112"/>
        <v>.</v>
      </c>
      <c r="HP58" s="558" t="str">
        <f t="shared" si="112"/>
        <v>.</v>
      </c>
      <c r="HQ58" s="558" t="str">
        <f t="shared" si="112"/>
        <v>.</v>
      </c>
      <c r="HR58" s="558" t="str">
        <f t="shared" si="112"/>
        <v>.</v>
      </c>
      <c r="HS58" s="558" t="str">
        <f t="shared" si="112"/>
        <v>.</v>
      </c>
      <c r="HT58" s="558" t="str">
        <f t="shared" si="112"/>
        <v>.</v>
      </c>
      <c r="HU58" s="558" t="str">
        <f t="shared" si="112"/>
        <v>.</v>
      </c>
      <c r="HV58" s="558" t="str">
        <f t="shared" si="112"/>
        <v>.</v>
      </c>
      <c r="HW58" s="558" t="str">
        <f t="shared" si="112"/>
        <v>.</v>
      </c>
      <c r="HX58" s="558" t="str">
        <f t="shared" si="112"/>
        <v>.</v>
      </c>
      <c r="HY58" s="558" t="str">
        <f t="shared" si="112"/>
        <v>.</v>
      </c>
      <c r="HZ58" s="558" t="str">
        <f t="shared" si="112"/>
        <v>.</v>
      </c>
      <c r="IA58" s="558" t="str">
        <f t="shared" si="112"/>
        <v>.</v>
      </c>
      <c r="IB58" s="558" t="str">
        <f t="shared" si="112"/>
        <v>.</v>
      </c>
      <c r="IC58" s="558" t="str">
        <f t="shared" si="112"/>
        <v>.</v>
      </c>
      <c r="ID58" s="558" t="str">
        <f t="shared" si="79"/>
        <v>.</v>
      </c>
      <c r="IE58" s="558" t="str">
        <f t="shared" si="79"/>
        <v>.</v>
      </c>
      <c r="IF58" s="558" t="str">
        <f t="shared" si="79"/>
        <v>.</v>
      </c>
      <c r="IG58" s="558" t="str">
        <f t="shared" si="79"/>
        <v>.</v>
      </c>
      <c r="IH58" s="558" t="str">
        <f t="shared" si="79"/>
        <v>.</v>
      </c>
      <c r="II58" s="558" t="str">
        <f t="shared" si="79"/>
        <v>.</v>
      </c>
      <c r="IJ58" s="558" t="str">
        <f t="shared" si="79"/>
        <v>.</v>
      </c>
      <c r="IK58" s="558" t="str">
        <f t="shared" si="79"/>
        <v>.</v>
      </c>
      <c r="IL58" s="558" t="str">
        <f t="shared" si="79"/>
        <v>.</v>
      </c>
      <c r="IM58" s="558" t="str">
        <f t="shared" si="79"/>
        <v>.</v>
      </c>
      <c r="IN58" s="558" t="str">
        <f t="shared" si="79"/>
        <v>.</v>
      </c>
      <c r="IO58" s="558" t="str">
        <f t="shared" si="76"/>
        <v>.</v>
      </c>
      <c r="IP58" s="558" t="str">
        <f t="shared" si="76"/>
        <v>.</v>
      </c>
      <c r="IQ58" s="558" t="str">
        <f t="shared" si="76"/>
        <v>.</v>
      </c>
      <c r="IR58" s="558" t="str">
        <f t="shared" si="76"/>
        <v>.</v>
      </c>
      <c r="IS58" s="558" t="str">
        <f t="shared" si="76"/>
        <v>.</v>
      </c>
      <c r="IT58" s="558" t="str">
        <f t="shared" si="76"/>
        <v>.</v>
      </c>
      <c r="IU58" s="558" t="str">
        <f t="shared" si="76"/>
        <v>.</v>
      </c>
      <c r="IV58" s="558" t="str">
        <f t="shared" si="76"/>
        <v>.</v>
      </c>
      <c r="IW58" s="558" t="str">
        <f t="shared" si="76"/>
        <v>.</v>
      </c>
      <c r="IX58" s="558" t="str">
        <f t="shared" si="76"/>
        <v>.</v>
      </c>
      <c r="IY58" s="558" t="str">
        <f t="shared" si="76"/>
        <v>.</v>
      </c>
      <c r="IZ58" s="558" t="str">
        <f t="shared" si="76"/>
        <v>.</v>
      </c>
      <c r="JA58" s="558" t="str">
        <f t="shared" si="76"/>
        <v>.</v>
      </c>
      <c r="JB58" s="558" t="str">
        <f t="shared" si="76"/>
        <v>.</v>
      </c>
      <c r="JC58" s="558" t="str">
        <f t="shared" si="76"/>
        <v>.</v>
      </c>
      <c r="JD58" s="558" t="str">
        <f t="shared" si="76"/>
        <v>.</v>
      </c>
      <c r="JE58" s="558" t="str">
        <f t="shared" si="76"/>
        <v>.</v>
      </c>
      <c r="JF58" s="558" t="str">
        <f t="shared" si="77"/>
        <v>.</v>
      </c>
      <c r="JG58" s="558" t="str">
        <f t="shared" si="77"/>
        <v>.</v>
      </c>
      <c r="JH58" s="558" t="str">
        <f t="shared" si="113"/>
        <v>.</v>
      </c>
      <c r="JI58" s="558" t="str">
        <f t="shared" si="113"/>
        <v>.</v>
      </c>
      <c r="JJ58" s="558" t="str">
        <f t="shared" si="113"/>
        <v>.</v>
      </c>
      <c r="JK58" s="558" t="str">
        <f t="shared" si="113"/>
        <v>.</v>
      </c>
      <c r="JL58" s="558" t="str">
        <f t="shared" si="113"/>
        <v>.</v>
      </c>
    </row>
    <row r="59" spans="1:272" ht="10.199999999999999" x14ac:dyDescent="0.2">
      <c r="A59" s="534">
        <f xml:space="preserve"> Basis!A59</f>
        <v>59</v>
      </c>
      <c r="F59" s="536">
        <f xml:space="preserve"> ROUND(    IF( $A$15=BE_MF_,   AW59,   INDEX( qx!59:59, F$16 ) ),    F$17    )</f>
        <v>3.3999999999999998E-3</v>
      </c>
      <c r="G59" s="536">
        <f xml:space="preserve"> ROUND(    IF( $A$15=BE_MF_,   BB59,   INDEX( wx!59:59, G$16 ) ),    G$17    )</f>
        <v>8.3999999999999995E-3</v>
      </c>
      <c r="H59" s="537">
        <f xml:space="preserve"> ROUND(    IF( $A$15=BE_MF_,   BG59,   INDEX( Kx!59:59, H$16 ) ),    H$17    )</f>
        <v>4042.14</v>
      </c>
      <c r="I59" s="538">
        <f t="shared" si="55"/>
        <v>4042.14</v>
      </c>
      <c r="J59" s="539">
        <f t="shared" si="81"/>
        <v>1.9450000000000001</v>
      </c>
      <c r="K59" s="540">
        <f t="shared" si="114"/>
        <v>2</v>
      </c>
      <c r="L59" s="541">
        <f t="shared" si="71"/>
        <v>0</v>
      </c>
      <c r="M59" s="541">
        <f t="shared" si="71"/>
        <v>8.5999999999999993E-2</v>
      </c>
      <c r="O59" s="542" t="b">
        <f t="shared" si="57"/>
        <v>1</v>
      </c>
      <c r="P59" s="493">
        <f t="shared" si="82"/>
        <v>1.18E-2</v>
      </c>
      <c r="Q59" s="493">
        <f t="shared" si="83"/>
        <v>0.98819999999999997</v>
      </c>
      <c r="R59" s="543">
        <f t="shared" si="84"/>
        <v>544254</v>
      </c>
      <c r="S59" s="544">
        <f t="shared" si="85"/>
        <v>0.97560975599999999</v>
      </c>
      <c r="T59" s="423">
        <f t="shared" si="86"/>
        <v>126792.5</v>
      </c>
      <c r="U59" s="423">
        <f xml:space="preserve"> IF( $O59,    ROUND(  SUM( T59:T$120), U$17 ),  LEER  )</f>
        <v>2434548.66</v>
      </c>
      <c r="V59" s="493">
        <f t="shared" si="87"/>
        <v>19.201000000000001</v>
      </c>
      <c r="W59" s="493">
        <f t="shared" si="88"/>
        <v>246611.41</v>
      </c>
      <c r="X59" s="493">
        <f xml:space="preserve"> IF( $O59,    ROUND(  SUM( W59:W$120), X$17 ),  LEER  )</f>
        <v>8740695.8000000007</v>
      </c>
      <c r="Y59" s="493">
        <f t="shared" si="89"/>
        <v>68.936999999999998</v>
      </c>
      <c r="Z59" s="493">
        <f t="shared" si="90"/>
        <v>3.5903</v>
      </c>
      <c r="AA59" s="493">
        <f t="shared" si="91"/>
        <v>1.0096000000000001</v>
      </c>
      <c r="AB59" s="493">
        <f t="shared" si="92"/>
        <v>2.3494000000000002</v>
      </c>
      <c r="AC59" s="545">
        <f t="shared" si="93"/>
        <v>0.38600000000000001</v>
      </c>
      <c r="AD59" s="493">
        <f t="shared" si="94"/>
        <v>3.6284999999999998</v>
      </c>
      <c r="AE59" s="493">
        <f t="shared" si="95"/>
        <v>4.3921999999999999</v>
      </c>
      <c r="AF59" s="493">
        <f t="shared" si="96"/>
        <v>4.3921999999999999</v>
      </c>
      <c r="AG59" s="493" t="str">
        <f t="shared" si="97"/>
        <v>.</v>
      </c>
      <c r="AH59" s="493" t="str">
        <f t="shared" si="98"/>
        <v>.</v>
      </c>
      <c r="AI59" s="423">
        <f t="shared" si="99"/>
        <v>2077.79</v>
      </c>
      <c r="AJ59" s="423">
        <f t="shared" si="100"/>
        <v>9126.07</v>
      </c>
      <c r="AK59" s="423">
        <f t="shared" si="101"/>
        <v>760.51</v>
      </c>
      <c r="AN59" s="423">
        <f t="shared" si="72"/>
        <v>69266.09</v>
      </c>
      <c r="AO59" s="423">
        <f t="shared" si="72"/>
        <v>68380.41</v>
      </c>
      <c r="AR59" s="546">
        <f xml:space="preserve"> ROUND(  INDEX( Kx!59:59, AR$16 ),  AR$17 )</f>
        <v>0.74019999999999997</v>
      </c>
      <c r="AS59" s="547">
        <f xml:space="preserve"> ROUND(  INDEX( qx!59:59, AS$16 ),  AS$17 )</f>
        <v>3.8999999999999998E-3</v>
      </c>
      <c r="AT59" s="547">
        <f xml:space="preserve"> ROUND(  INDEX( qx!59:59, AT$16 ),  AT$17 )</f>
        <v>2.3999999999999998E-3</v>
      </c>
      <c r="AU59" s="548" t="str">
        <f t="shared" si="102"/>
        <v>F</v>
      </c>
      <c r="AV59" s="542">
        <f t="shared" si="103"/>
        <v>0.65510000000000002</v>
      </c>
      <c r="AW59" s="542">
        <f t="shared" si="104"/>
        <v>3.3999999999999998E-3</v>
      </c>
      <c r="AX59" s="546">
        <f xml:space="preserve"> ROUND(  INDEX( wx!59:59, AX$16 ),  AX$17 )</f>
        <v>9.1000000000000004E-3</v>
      </c>
      <c r="AY59" s="546">
        <f xml:space="preserve"> ROUND(  INDEX( wx!59:59, AY$16 ),  AY$17 )</f>
        <v>7.0000000000000001E-3</v>
      </c>
      <c r="AZ59" s="548" t="str">
        <f t="shared" si="105"/>
        <v>F</v>
      </c>
      <c r="BA59" s="542">
        <f t="shared" si="106"/>
        <v>0.65510000000000002</v>
      </c>
      <c r="BB59" s="542">
        <f t="shared" si="107"/>
        <v>8.3999999999999995E-3</v>
      </c>
      <c r="BC59" s="533">
        <f xml:space="preserve"> ROUND(  INDEX( Kx!59:59, BC$16 ),  BC$17 )</f>
        <v>4007.19</v>
      </c>
      <c r="BD59" s="533">
        <f xml:space="preserve"> ROUND(  INDEX( Kx!59:59, BD$16 ),  BD$17 )</f>
        <v>4108.5200000000004</v>
      </c>
      <c r="BE59" s="548" t="str">
        <f t="shared" si="58"/>
        <v>F</v>
      </c>
      <c r="BF59" s="542">
        <f t="shared" si="108"/>
        <v>0.65510000000000002</v>
      </c>
      <c r="BG59" s="420">
        <f t="shared" si="109"/>
        <v>4042.14</v>
      </c>
      <c r="BQ59" s="549"/>
      <c r="BR59" s="423"/>
      <c r="BS59" s="550"/>
      <c r="BT59" s="423"/>
      <c r="BU59" s="551"/>
      <c r="BV59" s="551"/>
      <c r="BW59" s="529"/>
      <c r="BX59" s="552"/>
      <c r="BY59" s="560"/>
      <c r="BZ59" s="559"/>
      <c r="CB59" s="423"/>
      <c r="CC59" s="423"/>
      <c r="CD59" s="423"/>
      <c r="CE59" s="423"/>
      <c r="CF59" s="553"/>
      <c r="CH59" s="423"/>
      <c r="CI59" s="423"/>
      <c r="CJ59" s="423"/>
      <c r="CK59" s="423"/>
      <c r="CL59" s="553"/>
      <c r="CN59" s="423"/>
      <c r="CO59" s="423"/>
      <c r="CP59" s="423"/>
      <c r="CQ59" s="423"/>
      <c r="CR59" s="553"/>
      <c r="EI59" s="553"/>
      <c r="EJ59" s="553"/>
      <c r="EK59" s="423"/>
      <c r="EL59" s="555"/>
      <c r="ES59" s="533"/>
      <c r="ET59" s="533"/>
      <c r="EU59" s="533"/>
      <c r="EV59" s="556"/>
      <c r="EY59" s="533"/>
      <c r="EZ59" s="533"/>
      <c r="FA59" s="556"/>
      <c r="FD59" s="556"/>
      <c r="FE59" s="556"/>
      <c r="FF59" s="556"/>
      <c r="FK59" s="557">
        <f t="shared" si="48"/>
        <v>59</v>
      </c>
      <c r="FL59" s="493">
        <f t="shared" si="59"/>
        <v>68.936999999999998</v>
      </c>
      <c r="FM59" s="493">
        <f t="shared" si="60"/>
        <v>19.201000000000001</v>
      </c>
      <c r="FO59" s="427">
        <f t="shared" si="61"/>
        <v>2167325.8199999989</v>
      </c>
      <c r="FP59" s="558">
        <f t="shared" si="110"/>
        <v>95345.88</v>
      </c>
      <c r="FQ59" s="558">
        <f t="shared" si="110"/>
        <v>93730.1</v>
      </c>
      <c r="FR59" s="558">
        <f t="shared" si="110"/>
        <v>92110.34</v>
      </c>
      <c r="FS59" s="558">
        <f t="shared" si="110"/>
        <v>90490.58</v>
      </c>
      <c r="FT59" s="558">
        <f t="shared" si="110"/>
        <v>88814.96</v>
      </c>
      <c r="FU59" s="558">
        <f t="shared" si="110"/>
        <v>87091.47</v>
      </c>
      <c r="FV59" s="558">
        <f t="shared" si="110"/>
        <v>85383.93</v>
      </c>
      <c r="FW59" s="558">
        <f t="shared" si="110"/>
        <v>83664.429999999993</v>
      </c>
      <c r="FX59" s="558">
        <f t="shared" si="110"/>
        <v>81885.09</v>
      </c>
      <c r="FY59" s="558">
        <f t="shared" si="110"/>
        <v>80033.929999999993</v>
      </c>
      <c r="FZ59" s="558">
        <f t="shared" si="110"/>
        <v>78170.8</v>
      </c>
      <c r="GA59" s="558">
        <f t="shared" si="110"/>
        <v>76279.75</v>
      </c>
      <c r="GB59" s="558">
        <f t="shared" si="110"/>
        <v>74344.81</v>
      </c>
      <c r="GC59" s="558">
        <f t="shared" si="110"/>
        <v>72401.89</v>
      </c>
      <c r="GD59" s="558">
        <f t="shared" si="110"/>
        <v>70399.13</v>
      </c>
      <c r="GE59" s="558">
        <f t="shared" si="110"/>
        <v>68380.41</v>
      </c>
      <c r="GF59" s="558">
        <f t="shared" si="80"/>
        <v>66301.850000000006</v>
      </c>
      <c r="GG59" s="558">
        <f t="shared" si="80"/>
        <v>64175.41</v>
      </c>
      <c r="GH59" s="558">
        <f t="shared" si="80"/>
        <v>61989.13</v>
      </c>
      <c r="GI59" s="558">
        <f t="shared" si="80"/>
        <v>59739.01</v>
      </c>
      <c r="GJ59" s="558">
        <f t="shared" si="80"/>
        <v>57421.08</v>
      </c>
      <c r="GK59" s="558">
        <f t="shared" si="80"/>
        <v>55015.37</v>
      </c>
      <c r="GL59" s="558">
        <f t="shared" si="80"/>
        <v>52521.89</v>
      </c>
      <c r="GM59" s="558">
        <f t="shared" si="80"/>
        <v>49936.65</v>
      </c>
      <c r="GN59" s="558">
        <f t="shared" si="80"/>
        <v>47247.69</v>
      </c>
      <c r="GO59" s="558">
        <f t="shared" si="80"/>
        <v>44474.94</v>
      </c>
      <c r="GP59" s="558">
        <f t="shared" si="80"/>
        <v>41606.44</v>
      </c>
      <c r="GQ59" s="558">
        <f t="shared" si="80"/>
        <v>38650.17</v>
      </c>
      <c r="GR59" s="558">
        <f t="shared" si="80"/>
        <v>35614.120000000003</v>
      </c>
      <c r="GS59" s="558">
        <f t="shared" si="80"/>
        <v>32502.25</v>
      </c>
      <c r="GT59" s="558">
        <f t="shared" si="80"/>
        <v>29326.560000000001</v>
      </c>
      <c r="GU59" s="558">
        <f t="shared" si="80"/>
        <v>26075.07</v>
      </c>
      <c r="GV59" s="558">
        <f t="shared" si="111"/>
        <v>22779.69</v>
      </c>
      <c r="GW59" s="558">
        <f t="shared" si="111"/>
        <v>19424.46</v>
      </c>
      <c r="GX59" s="558">
        <f t="shared" si="111"/>
        <v>16033.33</v>
      </c>
      <c r="GY59" s="558">
        <f t="shared" si="111"/>
        <v>12606.3</v>
      </c>
      <c r="GZ59" s="558">
        <f t="shared" si="111"/>
        <v>9139.36</v>
      </c>
      <c r="HA59" s="558">
        <f t="shared" si="111"/>
        <v>5644.51</v>
      </c>
      <c r="HB59" s="558">
        <f t="shared" si="111"/>
        <v>2097.7800000000002</v>
      </c>
      <c r="HC59" s="558">
        <f t="shared" si="111"/>
        <v>-1524.74</v>
      </c>
      <c r="HD59" s="558" t="str">
        <f t="shared" si="111"/>
        <v>.</v>
      </c>
      <c r="HE59" s="558" t="str">
        <f t="shared" si="111"/>
        <v>.</v>
      </c>
      <c r="HF59" s="558" t="str">
        <f t="shared" si="111"/>
        <v>.</v>
      </c>
      <c r="HG59" s="558" t="str">
        <f t="shared" si="111"/>
        <v>.</v>
      </c>
      <c r="HH59" s="558" t="str">
        <f t="shared" si="111"/>
        <v>.</v>
      </c>
      <c r="HI59" s="558" t="str">
        <f t="shared" si="111"/>
        <v>.</v>
      </c>
      <c r="HJ59" s="558" t="str">
        <f t="shared" si="111"/>
        <v>.</v>
      </c>
      <c r="HK59" s="558" t="str">
        <f t="shared" si="111"/>
        <v>.</v>
      </c>
      <c r="HL59" s="558" t="str">
        <f t="shared" si="112"/>
        <v>.</v>
      </c>
      <c r="HM59" s="558" t="str">
        <f t="shared" si="112"/>
        <v>.</v>
      </c>
      <c r="HN59" s="558" t="str">
        <f t="shared" si="112"/>
        <v>.</v>
      </c>
      <c r="HO59" s="558" t="str">
        <f t="shared" si="112"/>
        <v>.</v>
      </c>
      <c r="HP59" s="558" t="str">
        <f t="shared" si="112"/>
        <v>.</v>
      </c>
      <c r="HQ59" s="558" t="str">
        <f t="shared" si="112"/>
        <v>.</v>
      </c>
      <c r="HR59" s="558" t="str">
        <f t="shared" si="112"/>
        <v>.</v>
      </c>
      <c r="HS59" s="558" t="str">
        <f t="shared" si="112"/>
        <v>.</v>
      </c>
      <c r="HT59" s="558" t="str">
        <f t="shared" si="112"/>
        <v>.</v>
      </c>
      <c r="HU59" s="558" t="str">
        <f t="shared" si="112"/>
        <v>.</v>
      </c>
      <c r="HV59" s="558" t="str">
        <f t="shared" si="112"/>
        <v>.</v>
      </c>
      <c r="HW59" s="558" t="str">
        <f t="shared" si="112"/>
        <v>.</v>
      </c>
      <c r="HX59" s="558" t="str">
        <f t="shared" si="112"/>
        <v>.</v>
      </c>
      <c r="HY59" s="558" t="str">
        <f t="shared" si="112"/>
        <v>.</v>
      </c>
      <c r="HZ59" s="558" t="str">
        <f t="shared" si="112"/>
        <v>.</v>
      </c>
      <c r="IA59" s="558" t="str">
        <f t="shared" si="112"/>
        <v>.</v>
      </c>
      <c r="IB59" s="558" t="str">
        <f t="shared" si="112"/>
        <v>.</v>
      </c>
      <c r="IC59" s="558" t="str">
        <f t="shared" si="112"/>
        <v>.</v>
      </c>
      <c r="ID59" s="558" t="str">
        <f t="shared" si="79"/>
        <v>.</v>
      </c>
      <c r="IE59" s="558" t="str">
        <f t="shared" si="79"/>
        <v>.</v>
      </c>
      <c r="IF59" s="558" t="str">
        <f t="shared" si="79"/>
        <v>.</v>
      </c>
      <c r="IG59" s="558" t="str">
        <f t="shared" si="79"/>
        <v>.</v>
      </c>
      <c r="IH59" s="558" t="str">
        <f t="shared" si="79"/>
        <v>.</v>
      </c>
      <c r="II59" s="558" t="str">
        <f t="shared" si="79"/>
        <v>.</v>
      </c>
      <c r="IJ59" s="558" t="str">
        <f t="shared" si="79"/>
        <v>.</v>
      </c>
      <c r="IK59" s="558" t="str">
        <f t="shared" si="79"/>
        <v>.</v>
      </c>
      <c r="IL59" s="558" t="str">
        <f t="shared" si="79"/>
        <v>.</v>
      </c>
      <c r="IM59" s="558" t="str">
        <f t="shared" si="79"/>
        <v>.</v>
      </c>
      <c r="IN59" s="558" t="str">
        <f t="shared" si="79"/>
        <v>.</v>
      </c>
      <c r="IO59" s="558" t="str">
        <f t="shared" si="76"/>
        <v>.</v>
      </c>
      <c r="IP59" s="558" t="str">
        <f t="shared" si="76"/>
        <v>.</v>
      </c>
      <c r="IQ59" s="558" t="str">
        <f t="shared" si="76"/>
        <v>.</v>
      </c>
      <c r="IR59" s="558" t="str">
        <f t="shared" si="76"/>
        <v>.</v>
      </c>
      <c r="IS59" s="558" t="str">
        <f t="shared" si="76"/>
        <v>.</v>
      </c>
      <c r="IT59" s="558" t="str">
        <f t="shared" si="76"/>
        <v>.</v>
      </c>
      <c r="IU59" s="558" t="str">
        <f t="shared" si="76"/>
        <v>.</v>
      </c>
      <c r="IV59" s="558" t="str">
        <f t="shared" si="76"/>
        <v>.</v>
      </c>
      <c r="IW59" s="558" t="str">
        <f t="shared" si="76"/>
        <v>.</v>
      </c>
      <c r="IX59" s="558" t="str">
        <f t="shared" si="76"/>
        <v>.</v>
      </c>
      <c r="IY59" s="558" t="str">
        <f t="shared" si="76"/>
        <v>.</v>
      </c>
      <c r="IZ59" s="558" t="str">
        <f t="shared" si="76"/>
        <v>.</v>
      </c>
      <c r="JA59" s="558" t="str">
        <f t="shared" si="76"/>
        <v>.</v>
      </c>
      <c r="JB59" s="558" t="str">
        <f t="shared" si="76"/>
        <v>.</v>
      </c>
      <c r="JC59" s="558" t="str">
        <f t="shared" si="76"/>
        <v>.</v>
      </c>
      <c r="JD59" s="558" t="str">
        <f t="shared" si="76"/>
        <v>.</v>
      </c>
      <c r="JE59" s="558" t="str">
        <f t="shared" si="76"/>
        <v>.</v>
      </c>
      <c r="JF59" s="558" t="str">
        <f t="shared" si="77"/>
        <v>.</v>
      </c>
      <c r="JG59" s="558" t="str">
        <f t="shared" si="77"/>
        <v>.</v>
      </c>
      <c r="JH59" s="558" t="str">
        <f t="shared" si="113"/>
        <v>.</v>
      </c>
      <c r="JI59" s="558" t="str">
        <f t="shared" si="113"/>
        <v>.</v>
      </c>
      <c r="JJ59" s="558" t="str">
        <f t="shared" si="113"/>
        <v>.</v>
      </c>
      <c r="JK59" s="558" t="str">
        <f t="shared" si="113"/>
        <v>.</v>
      </c>
      <c r="JL59" s="558" t="str">
        <f t="shared" si="113"/>
        <v>.</v>
      </c>
    </row>
    <row r="60" spans="1:272" ht="10.199999999999999" x14ac:dyDescent="0.2">
      <c r="A60" s="534">
        <f xml:space="preserve"> Basis!A60</f>
        <v>60</v>
      </c>
      <c r="F60" s="536">
        <f xml:space="preserve"> ROUND(    IF( $A$15=BE_MF_,   AW60,   INDEX( qx!60:60, F$16 ) ),    F$17    )</f>
        <v>3.7000000000000002E-3</v>
      </c>
      <c r="G60" s="536">
        <f xml:space="preserve"> ROUND(    IF( $A$15=BE_MF_,   BB60,   INDEX( wx!60:60, G$16 ) ),    G$17    )</f>
        <v>7.7000000000000002E-3</v>
      </c>
      <c r="H60" s="537">
        <f xml:space="preserve"> ROUND(    IF( $A$15=BE_MF_,   BG60,   INDEX( Kx!60:60, H$16 ) ),    H$17    )</f>
        <v>4241.26</v>
      </c>
      <c r="I60" s="538">
        <f t="shared" si="55"/>
        <v>4241.26</v>
      </c>
      <c r="J60" s="539">
        <f t="shared" si="81"/>
        <v>2.0409999999999999</v>
      </c>
      <c r="K60" s="540">
        <f t="shared" si="114"/>
        <v>2</v>
      </c>
      <c r="L60" s="541">
        <f t="shared" si="71"/>
        <v>0</v>
      </c>
      <c r="M60" s="541">
        <f t="shared" si="71"/>
        <v>8.5999999999999993E-2</v>
      </c>
      <c r="O60" s="542" t="b">
        <f t="shared" si="57"/>
        <v>1</v>
      </c>
      <c r="P60" s="493">
        <f t="shared" si="82"/>
        <v>1.14E-2</v>
      </c>
      <c r="Q60" s="493">
        <f t="shared" si="83"/>
        <v>0.98860000000000003</v>
      </c>
      <c r="R60" s="543">
        <f t="shared" si="84"/>
        <v>537831</v>
      </c>
      <c r="S60" s="544">
        <f t="shared" si="85"/>
        <v>0.97560975599999999</v>
      </c>
      <c r="T60" s="423">
        <f t="shared" si="86"/>
        <v>122240.16</v>
      </c>
      <c r="U60" s="423">
        <f xml:space="preserve"> IF( $O60,    ROUND(  SUM( T60:T$120), U$17 ),  LEER  )</f>
        <v>2307756.16</v>
      </c>
      <c r="V60" s="493">
        <f t="shared" si="87"/>
        <v>18.878900000000002</v>
      </c>
      <c r="W60" s="493">
        <f t="shared" si="88"/>
        <v>249492.17</v>
      </c>
      <c r="X60" s="493">
        <f xml:space="preserve"> IF( $O60,    ROUND(  SUM( W60:W$120), X$17 ),  LEER  )</f>
        <v>8494084.3900000006</v>
      </c>
      <c r="Y60" s="493">
        <f t="shared" si="89"/>
        <v>69.486900000000006</v>
      </c>
      <c r="Z60" s="493">
        <f t="shared" si="90"/>
        <v>3.6806999999999999</v>
      </c>
      <c r="AA60" s="493">
        <f t="shared" si="91"/>
        <v>1.0098</v>
      </c>
      <c r="AB60" s="493">
        <f t="shared" si="92"/>
        <v>2.3494000000000002</v>
      </c>
      <c r="AC60" s="545">
        <f t="shared" si="93"/>
        <v>0.38600000000000001</v>
      </c>
      <c r="AD60" s="493">
        <f t="shared" si="94"/>
        <v>3.7206000000000001</v>
      </c>
      <c r="AE60" s="493">
        <f t="shared" si="95"/>
        <v>4.4930000000000003</v>
      </c>
      <c r="AF60" s="493">
        <f t="shared" si="96"/>
        <v>4.4930000000000003</v>
      </c>
      <c r="AG60" s="493" t="str">
        <f t="shared" si="97"/>
        <v>.</v>
      </c>
      <c r="AH60" s="493" t="str">
        <f t="shared" si="98"/>
        <v>.</v>
      </c>
      <c r="AI60" s="423">
        <f t="shared" si="99"/>
        <v>2077.79</v>
      </c>
      <c r="AJ60" s="423">
        <f t="shared" si="100"/>
        <v>9335.51</v>
      </c>
      <c r="AK60" s="423">
        <f t="shared" si="101"/>
        <v>777.96</v>
      </c>
      <c r="AN60" s="423">
        <f t="shared" ref="AN60:AO79" si="115" xml:space="preserve">  IF( AND( $A60&lt;=$O$12, $A60&gt;=AN$12),    ROUND( AN$19 * ( SUM($Y60) - SUM(AN$8) * SUM($V60) ), AN$17 ),  LEER  )</f>
        <v>71649.539999999994</v>
      </c>
      <c r="AO60" s="423">
        <f t="shared" si="115"/>
        <v>70778.710000000006</v>
      </c>
      <c r="AR60" s="546">
        <f xml:space="preserve"> ROUND(  INDEX( Kx!60:60, AR$16 ),  AR$17 )</f>
        <v>0.74009999999999998</v>
      </c>
      <c r="AS60" s="547">
        <f xml:space="preserve"> ROUND(  INDEX( qx!60:60, AS$16 ),  AS$17 )</f>
        <v>4.1999999999999997E-3</v>
      </c>
      <c r="AT60" s="547">
        <f xml:space="preserve"> ROUND(  INDEX( qx!60:60, AT$16 ),  AT$17 )</f>
        <v>2.7000000000000001E-3</v>
      </c>
      <c r="AU60" s="548" t="str">
        <f t="shared" si="102"/>
        <v>F</v>
      </c>
      <c r="AV60" s="542">
        <f t="shared" si="103"/>
        <v>0.65500000000000003</v>
      </c>
      <c r="AW60" s="542">
        <f t="shared" si="104"/>
        <v>3.7000000000000002E-3</v>
      </c>
      <c r="AX60" s="546">
        <f xml:space="preserve"> ROUND(  INDEX( wx!60:60, AX$16 ),  AX$17 )</f>
        <v>7.7999999999999996E-3</v>
      </c>
      <c r="AY60" s="546">
        <f xml:space="preserve"> ROUND(  INDEX( wx!60:60, AY$16 ),  AY$17 )</f>
        <v>7.4999999999999997E-3</v>
      </c>
      <c r="AZ60" s="548" t="str">
        <f t="shared" si="105"/>
        <v>F</v>
      </c>
      <c r="BA60" s="542">
        <f t="shared" si="106"/>
        <v>0.65500000000000003</v>
      </c>
      <c r="BB60" s="542">
        <f t="shared" si="107"/>
        <v>7.7000000000000002E-3</v>
      </c>
      <c r="BC60" s="533">
        <f xml:space="preserve"> ROUND(  INDEX( Kx!60:60, BC$16 ),  BC$17 )</f>
        <v>4241.84</v>
      </c>
      <c r="BD60" s="533">
        <f xml:space="preserve"> ROUND(  INDEX( Kx!60:60, BD$16 ),  BD$17 )</f>
        <v>4238.78</v>
      </c>
      <c r="BE60" s="548" t="str">
        <f t="shared" si="58"/>
        <v>M</v>
      </c>
      <c r="BF60" s="542">
        <f t="shared" si="108"/>
        <v>0.81030000000000002</v>
      </c>
      <c r="BG60" s="420">
        <f t="shared" si="109"/>
        <v>4241.26</v>
      </c>
      <c r="BQ60" s="549"/>
      <c r="BR60" s="423"/>
      <c r="BS60" s="550"/>
      <c r="BT60" s="423"/>
      <c r="BU60" s="551"/>
      <c r="BV60" s="551"/>
      <c r="BW60" s="529"/>
      <c r="BX60" s="552"/>
      <c r="BY60" s="560"/>
      <c r="BZ60" s="559"/>
      <c r="CB60" s="423"/>
      <c r="CC60" s="423"/>
      <c r="CD60" s="423"/>
      <c r="CE60" s="423"/>
      <c r="CF60" s="553"/>
      <c r="CH60" s="423"/>
      <c r="CI60" s="423"/>
      <c r="CJ60" s="423"/>
      <c r="CK60" s="423"/>
      <c r="CL60" s="553"/>
      <c r="CN60" s="423"/>
      <c r="CO60" s="423"/>
      <c r="CP60" s="423"/>
      <c r="CQ60" s="423"/>
      <c r="CR60" s="553"/>
      <c r="EI60" s="553"/>
      <c r="EJ60" s="553"/>
      <c r="EK60" s="423"/>
      <c r="EL60" s="555"/>
      <c r="ES60" s="533"/>
      <c r="ET60" s="533"/>
      <c r="EU60" s="533"/>
      <c r="EV60" s="556"/>
      <c r="EY60" s="533"/>
      <c r="EZ60" s="533"/>
      <c r="FA60" s="556"/>
      <c r="FD60" s="556"/>
      <c r="FE60" s="556"/>
      <c r="FF60" s="556"/>
      <c r="FK60" s="557">
        <f t="shared" si="48"/>
        <v>60</v>
      </c>
      <c r="FL60" s="493">
        <f t="shared" si="59"/>
        <v>69.486900000000006</v>
      </c>
      <c r="FM60" s="493">
        <f t="shared" si="60"/>
        <v>18.878900000000002</v>
      </c>
      <c r="FO60" s="427">
        <f t="shared" si="61"/>
        <v>2271217.8500000006</v>
      </c>
      <c r="FP60" s="558">
        <f t="shared" si="110"/>
        <v>97291.83</v>
      </c>
      <c r="FQ60" s="558">
        <f t="shared" si="110"/>
        <v>95703.16</v>
      </c>
      <c r="FR60" s="558">
        <f t="shared" si="110"/>
        <v>94110.57</v>
      </c>
      <c r="FS60" s="558">
        <f t="shared" si="110"/>
        <v>92517.98</v>
      </c>
      <c r="FT60" s="558">
        <f t="shared" si="110"/>
        <v>90870.47</v>
      </c>
      <c r="FU60" s="558">
        <f t="shared" si="110"/>
        <v>89175.89</v>
      </c>
      <c r="FV60" s="558">
        <f t="shared" si="110"/>
        <v>87497</v>
      </c>
      <c r="FW60" s="558">
        <f t="shared" si="110"/>
        <v>85806.34</v>
      </c>
      <c r="FX60" s="558">
        <f t="shared" si="110"/>
        <v>84056.84</v>
      </c>
      <c r="FY60" s="558">
        <f t="shared" si="110"/>
        <v>82236.740000000005</v>
      </c>
      <c r="FZ60" s="558">
        <f t="shared" si="110"/>
        <v>80404.87</v>
      </c>
      <c r="GA60" s="558">
        <f t="shared" si="110"/>
        <v>78545.539999999994</v>
      </c>
      <c r="GB60" s="558">
        <f t="shared" si="110"/>
        <v>76643.06</v>
      </c>
      <c r="GC60" s="558">
        <f t="shared" si="110"/>
        <v>74732.73</v>
      </c>
      <c r="GD60" s="558">
        <f t="shared" si="110"/>
        <v>72763.570000000007</v>
      </c>
      <c r="GE60" s="558">
        <f t="shared" si="110"/>
        <v>70778.710000000006</v>
      </c>
      <c r="GF60" s="558">
        <f t="shared" si="80"/>
        <v>68735.02</v>
      </c>
      <c r="GG60" s="558">
        <f t="shared" si="80"/>
        <v>66644.25</v>
      </c>
      <c r="GH60" s="558">
        <f t="shared" si="80"/>
        <v>64494.64</v>
      </c>
      <c r="GI60" s="558">
        <f t="shared" si="80"/>
        <v>62282.28</v>
      </c>
      <c r="GJ60" s="558">
        <f t="shared" si="80"/>
        <v>60003.22</v>
      </c>
      <c r="GK60" s="558">
        <f t="shared" si="80"/>
        <v>57637.87</v>
      </c>
      <c r="GL60" s="558">
        <f t="shared" si="80"/>
        <v>55186.22</v>
      </c>
      <c r="GM60" s="558">
        <f t="shared" si="80"/>
        <v>52644.35</v>
      </c>
      <c r="GN60" s="558">
        <f t="shared" si="80"/>
        <v>50000.49</v>
      </c>
      <c r="GO60" s="558">
        <f t="shared" si="80"/>
        <v>47274.26</v>
      </c>
      <c r="GP60" s="558">
        <f t="shared" si="80"/>
        <v>44453.88</v>
      </c>
      <c r="GQ60" s="558">
        <f t="shared" si="80"/>
        <v>41547.21</v>
      </c>
      <c r="GR60" s="558">
        <f t="shared" si="80"/>
        <v>38562.080000000002</v>
      </c>
      <c r="GS60" s="558">
        <f t="shared" si="80"/>
        <v>35502.42</v>
      </c>
      <c r="GT60" s="558">
        <f t="shared" si="80"/>
        <v>32380</v>
      </c>
      <c r="GU60" s="558">
        <f t="shared" si="80"/>
        <v>29183.05</v>
      </c>
      <c r="GV60" s="558">
        <f t="shared" si="111"/>
        <v>25942.95</v>
      </c>
      <c r="GW60" s="558">
        <f t="shared" si="111"/>
        <v>22644.01</v>
      </c>
      <c r="GX60" s="558">
        <f t="shared" si="111"/>
        <v>19309.77</v>
      </c>
      <c r="GY60" s="558">
        <f t="shared" si="111"/>
        <v>15940.22</v>
      </c>
      <c r="GZ60" s="558">
        <f t="shared" si="111"/>
        <v>12531.45</v>
      </c>
      <c r="HA60" s="558">
        <f t="shared" si="111"/>
        <v>9095.2099999999991</v>
      </c>
      <c r="HB60" s="558">
        <f t="shared" si="111"/>
        <v>5607.99</v>
      </c>
      <c r="HC60" s="558">
        <f t="shared" si="111"/>
        <v>2046.23</v>
      </c>
      <c r="HD60" s="558">
        <f t="shared" si="111"/>
        <v>-1566.52</v>
      </c>
      <c r="HE60" s="558" t="str">
        <f t="shared" si="111"/>
        <v>.</v>
      </c>
      <c r="HF60" s="558" t="str">
        <f t="shared" si="111"/>
        <v>.</v>
      </c>
      <c r="HG60" s="558" t="str">
        <f t="shared" si="111"/>
        <v>.</v>
      </c>
      <c r="HH60" s="558" t="str">
        <f t="shared" si="111"/>
        <v>.</v>
      </c>
      <c r="HI60" s="558" t="str">
        <f t="shared" si="111"/>
        <v>.</v>
      </c>
      <c r="HJ60" s="558" t="str">
        <f t="shared" si="111"/>
        <v>.</v>
      </c>
      <c r="HK60" s="558" t="str">
        <f t="shared" si="111"/>
        <v>.</v>
      </c>
      <c r="HL60" s="558" t="str">
        <f t="shared" si="112"/>
        <v>.</v>
      </c>
      <c r="HM60" s="558" t="str">
        <f t="shared" si="112"/>
        <v>.</v>
      </c>
      <c r="HN60" s="558" t="str">
        <f t="shared" si="112"/>
        <v>.</v>
      </c>
      <c r="HO60" s="558" t="str">
        <f t="shared" si="112"/>
        <v>.</v>
      </c>
      <c r="HP60" s="558" t="str">
        <f t="shared" si="112"/>
        <v>.</v>
      </c>
      <c r="HQ60" s="558" t="str">
        <f t="shared" si="112"/>
        <v>.</v>
      </c>
      <c r="HR60" s="558" t="str">
        <f t="shared" si="112"/>
        <v>.</v>
      </c>
      <c r="HS60" s="558" t="str">
        <f t="shared" si="112"/>
        <v>.</v>
      </c>
      <c r="HT60" s="558" t="str">
        <f t="shared" si="112"/>
        <v>.</v>
      </c>
      <c r="HU60" s="558" t="str">
        <f t="shared" si="112"/>
        <v>.</v>
      </c>
      <c r="HV60" s="558" t="str">
        <f t="shared" si="112"/>
        <v>.</v>
      </c>
      <c r="HW60" s="558" t="str">
        <f t="shared" si="112"/>
        <v>.</v>
      </c>
      <c r="HX60" s="558" t="str">
        <f t="shared" si="112"/>
        <v>.</v>
      </c>
      <c r="HY60" s="558" t="str">
        <f t="shared" si="112"/>
        <v>.</v>
      </c>
      <c r="HZ60" s="558" t="str">
        <f t="shared" si="112"/>
        <v>.</v>
      </c>
      <c r="IA60" s="558" t="str">
        <f t="shared" si="112"/>
        <v>.</v>
      </c>
      <c r="IB60" s="558" t="str">
        <f t="shared" si="112"/>
        <v>.</v>
      </c>
      <c r="IC60" s="558" t="str">
        <f t="shared" si="112"/>
        <v>.</v>
      </c>
      <c r="ID60" s="558" t="str">
        <f t="shared" si="79"/>
        <v>.</v>
      </c>
      <c r="IE60" s="558" t="str">
        <f t="shared" si="79"/>
        <v>.</v>
      </c>
      <c r="IF60" s="558" t="str">
        <f t="shared" si="79"/>
        <v>.</v>
      </c>
      <c r="IG60" s="558" t="str">
        <f t="shared" si="79"/>
        <v>.</v>
      </c>
      <c r="IH60" s="558" t="str">
        <f t="shared" si="79"/>
        <v>.</v>
      </c>
      <c r="II60" s="558" t="str">
        <f t="shared" si="79"/>
        <v>.</v>
      </c>
      <c r="IJ60" s="558" t="str">
        <f t="shared" si="79"/>
        <v>.</v>
      </c>
      <c r="IK60" s="558" t="str">
        <f t="shared" si="79"/>
        <v>.</v>
      </c>
      <c r="IL60" s="558" t="str">
        <f t="shared" si="79"/>
        <v>.</v>
      </c>
      <c r="IM60" s="558" t="str">
        <f t="shared" si="79"/>
        <v>.</v>
      </c>
      <c r="IN60" s="558" t="str">
        <f t="shared" si="79"/>
        <v>.</v>
      </c>
      <c r="IO60" s="558" t="str">
        <f t="shared" si="76"/>
        <v>.</v>
      </c>
      <c r="IP60" s="558" t="str">
        <f t="shared" si="76"/>
        <v>.</v>
      </c>
      <c r="IQ60" s="558" t="str">
        <f t="shared" si="76"/>
        <v>.</v>
      </c>
      <c r="IR60" s="558" t="str">
        <f t="shared" si="76"/>
        <v>.</v>
      </c>
      <c r="IS60" s="558" t="str">
        <f t="shared" si="76"/>
        <v>.</v>
      </c>
      <c r="IT60" s="558" t="str">
        <f t="shared" si="76"/>
        <v>.</v>
      </c>
      <c r="IU60" s="558" t="str">
        <f t="shared" si="76"/>
        <v>.</v>
      </c>
      <c r="IV60" s="558" t="str">
        <f t="shared" si="76"/>
        <v>.</v>
      </c>
      <c r="IW60" s="558" t="str">
        <f t="shared" si="76"/>
        <v>.</v>
      </c>
      <c r="IX60" s="558" t="str">
        <f t="shared" si="76"/>
        <v>.</v>
      </c>
      <c r="IY60" s="558" t="str">
        <f t="shared" si="76"/>
        <v>.</v>
      </c>
      <c r="IZ60" s="558" t="str">
        <f t="shared" si="76"/>
        <v>.</v>
      </c>
      <c r="JA60" s="558" t="str">
        <f t="shared" si="76"/>
        <v>.</v>
      </c>
      <c r="JB60" s="558" t="str">
        <f t="shared" si="76"/>
        <v>.</v>
      </c>
      <c r="JC60" s="558" t="str">
        <f t="shared" si="76"/>
        <v>.</v>
      </c>
      <c r="JD60" s="558" t="str">
        <f t="shared" si="76"/>
        <v>.</v>
      </c>
      <c r="JE60" s="558" t="str">
        <f t="shared" si="76"/>
        <v>.</v>
      </c>
      <c r="JF60" s="558" t="str">
        <f t="shared" si="77"/>
        <v>.</v>
      </c>
      <c r="JG60" s="558" t="str">
        <f t="shared" si="77"/>
        <v>.</v>
      </c>
      <c r="JH60" s="558" t="str">
        <f t="shared" si="113"/>
        <v>.</v>
      </c>
      <c r="JI60" s="558" t="str">
        <f t="shared" si="113"/>
        <v>.</v>
      </c>
      <c r="JJ60" s="558" t="str">
        <f t="shared" si="113"/>
        <v>.</v>
      </c>
      <c r="JK60" s="558" t="str">
        <f t="shared" si="113"/>
        <v>.</v>
      </c>
      <c r="JL60" s="558" t="str">
        <f t="shared" si="113"/>
        <v>.</v>
      </c>
    </row>
    <row r="61" spans="1:272" ht="10.199999999999999" x14ac:dyDescent="0.2">
      <c r="A61" s="534">
        <f xml:space="preserve"> Basis!A61</f>
        <v>61</v>
      </c>
      <c r="F61" s="536">
        <f xml:space="preserve"> ROUND(    IF( $A$15=BE_MF_,   AW61,   INDEX( qx!61:61, F$16 ) ),    F$17    )</f>
        <v>4.0000000000000001E-3</v>
      </c>
      <c r="G61" s="536">
        <f xml:space="preserve"> ROUND(    IF( $A$15=BE_MF_,   BB61,   INDEX( wx!61:61, G$16 ) ),    G$17    )</f>
        <v>7.1999999999999998E-3</v>
      </c>
      <c r="H61" s="537">
        <f xml:space="preserve"> ROUND(    IF( $A$15=BE_MF_,   BG61,   INDEX( Kx!61:61, H$16 ) ),    H$17    )</f>
        <v>4467.4399999999996</v>
      </c>
      <c r="I61" s="538">
        <f t="shared" si="55"/>
        <v>4467.4399999999996</v>
      </c>
      <c r="J61" s="539">
        <f t="shared" si="81"/>
        <v>2.15</v>
      </c>
      <c r="K61" s="540">
        <f t="shared" si="114"/>
        <v>2</v>
      </c>
      <c r="L61" s="541">
        <f t="shared" si="71"/>
        <v>0</v>
      </c>
      <c r="M61" s="541">
        <f t="shared" si="71"/>
        <v>8.5999999999999993E-2</v>
      </c>
      <c r="O61" s="542" t="b">
        <f t="shared" si="57"/>
        <v>1</v>
      </c>
      <c r="P61" s="493">
        <f t="shared" si="82"/>
        <v>1.12E-2</v>
      </c>
      <c r="Q61" s="493">
        <f t="shared" si="83"/>
        <v>0.98880000000000001</v>
      </c>
      <c r="R61" s="543">
        <f t="shared" si="84"/>
        <v>531699</v>
      </c>
      <c r="S61" s="544">
        <f t="shared" si="85"/>
        <v>0.97560975599999999</v>
      </c>
      <c r="T61" s="423">
        <f t="shared" si="86"/>
        <v>117898.98</v>
      </c>
      <c r="U61" s="423">
        <f xml:space="preserve"> IF( $O61,    ROUND(  SUM( T61:T$120), U$17 ),  LEER  )</f>
        <v>2185516</v>
      </c>
      <c r="V61" s="493">
        <f t="shared" si="87"/>
        <v>18.537199999999999</v>
      </c>
      <c r="W61" s="493">
        <f t="shared" si="88"/>
        <v>253482.81</v>
      </c>
      <c r="X61" s="493">
        <f xml:space="preserve"> IF( $O61,    ROUND(  SUM( W61:W$120), X$17 ),  LEER  )</f>
        <v>8244592.2199999997</v>
      </c>
      <c r="Y61" s="493">
        <f t="shared" si="89"/>
        <v>69.929299999999998</v>
      </c>
      <c r="Z61" s="493">
        <f t="shared" si="90"/>
        <v>3.7724000000000002</v>
      </c>
      <c r="AA61" s="493">
        <f t="shared" si="91"/>
        <v>1.0099</v>
      </c>
      <c r="AB61" s="493">
        <f t="shared" si="92"/>
        <v>2.3494000000000002</v>
      </c>
      <c r="AC61" s="545">
        <f t="shared" si="93"/>
        <v>0.38600000000000001</v>
      </c>
      <c r="AD61" s="493">
        <f t="shared" si="94"/>
        <v>3.8136000000000001</v>
      </c>
      <c r="AE61" s="493">
        <f t="shared" si="95"/>
        <v>4.5946999999999996</v>
      </c>
      <c r="AF61" s="493">
        <f t="shared" si="96"/>
        <v>4.5946999999999996</v>
      </c>
      <c r="AG61" s="493" t="str">
        <f t="shared" si="97"/>
        <v>.</v>
      </c>
      <c r="AH61" s="493" t="str">
        <f t="shared" si="98"/>
        <v>.</v>
      </c>
      <c r="AI61" s="423">
        <f t="shared" si="99"/>
        <v>2077.79</v>
      </c>
      <c r="AJ61" s="423">
        <f t="shared" si="100"/>
        <v>9546.82</v>
      </c>
      <c r="AK61" s="423">
        <f t="shared" si="101"/>
        <v>795.57</v>
      </c>
      <c r="AN61" s="423">
        <f t="shared" si="115"/>
        <v>73885.13</v>
      </c>
      <c r="AO61" s="423">
        <f t="shared" si="115"/>
        <v>73030.06</v>
      </c>
      <c r="AR61" s="546">
        <f xml:space="preserve"> ROUND(  INDEX( Kx!61:61, AR$16 ),  AR$17 )</f>
        <v>0.73860000000000003</v>
      </c>
      <c r="AS61" s="547">
        <f xml:space="preserve"> ROUND(  INDEX( qx!61:61, AS$16 ),  AS$17 )</f>
        <v>4.5999999999999999E-3</v>
      </c>
      <c r="AT61" s="547">
        <f xml:space="preserve"> ROUND(  INDEX( qx!61:61, AT$16 ),  AT$17 )</f>
        <v>2.8999999999999998E-3</v>
      </c>
      <c r="AU61" s="548" t="str">
        <f t="shared" si="102"/>
        <v>F</v>
      </c>
      <c r="AV61" s="542">
        <f t="shared" si="103"/>
        <v>0.6532</v>
      </c>
      <c r="AW61" s="542">
        <f t="shared" si="104"/>
        <v>4.0000000000000001E-3</v>
      </c>
      <c r="AX61" s="546">
        <f xml:space="preserve"> ROUND(  INDEX( wx!61:61, AX$16 ),  AX$17 )</f>
        <v>7.0000000000000001E-3</v>
      </c>
      <c r="AY61" s="546">
        <f xml:space="preserve"> ROUND(  INDEX( wx!61:61, AY$16 ),  AY$17 )</f>
        <v>7.9000000000000008E-3</v>
      </c>
      <c r="AZ61" s="548" t="str">
        <f t="shared" si="105"/>
        <v>M</v>
      </c>
      <c r="BA61" s="542">
        <f t="shared" si="106"/>
        <v>0.80910000000000004</v>
      </c>
      <c r="BB61" s="542">
        <f t="shared" si="107"/>
        <v>7.1999999999999998E-3</v>
      </c>
      <c r="BC61" s="533">
        <f xml:space="preserve"> ROUND(  INDEX( Kx!61:61, BC$16 ),  BC$17 )</f>
        <v>4487.8599999999997</v>
      </c>
      <c r="BD61" s="533">
        <f xml:space="preserve"> ROUND(  INDEX( Kx!61:61, BD$16 ),  BD$17 )</f>
        <v>4380.8900000000003</v>
      </c>
      <c r="BE61" s="548" t="str">
        <f t="shared" si="58"/>
        <v>M</v>
      </c>
      <c r="BF61" s="542">
        <f t="shared" si="108"/>
        <v>0.80910000000000004</v>
      </c>
      <c r="BG61" s="420">
        <f t="shared" si="109"/>
        <v>4467.4399999999996</v>
      </c>
      <c r="BQ61" s="549"/>
      <c r="BR61" s="423"/>
      <c r="BS61" s="550"/>
      <c r="BT61" s="423"/>
      <c r="BU61" s="551"/>
      <c r="BV61" s="551"/>
      <c r="BW61" s="529"/>
      <c r="BX61" s="552"/>
      <c r="BY61" s="560"/>
      <c r="BZ61" s="559"/>
      <c r="CB61" s="423"/>
      <c r="CC61" s="423"/>
      <c r="CD61" s="423"/>
      <c r="CE61" s="423"/>
      <c r="CF61" s="553"/>
      <c r="CH61" s="423"/>
      <c r="CI61" s="423"/>
      <c r="CJ61" s="423"/>
      <c r="CK61" s="423"/>
      <c r="CL61" s="553"/>
      <c r="CN61" s="423"/>
      <c r="CO61" s="423"/>
      <c r="CP61" s="423"/>
      <c r="CQ61" s="423"/>
      <c r="CR61" s="553"/>
      <c r="EI61" s="553"/>
      <c r="EJ61" s="553"/>
      <c r="EK61" s="423"/>
      <c r="EL61" s="555"/>
      <c r="ES61" s="533"/>
      <c r="ET61" s="533"/>
      <c r="EU61" s="533"/>
      <c r="EV61" s="556"/>
      <c r="EY61" s="533"/>
      <c r="EZ61" s="533"/>
      <c r="FA61" s="556"/>
      <c r="FD61" s="556"/>
      <c r="FE61" s="556"/>
      <c r="FF61" s="556"/>
      <c r="FK61" s="557">
        <f t="shared" si="48"/>
        <v>61</v>
      </c>
      <c r="FL61" s="493">
        <f t="shared" si="59"/>
        <v>69.929299999999998</v>
      </c>
      <c r="FM61" s="493">
        <f t="shared" si="60"/>
        <v>18.537199999999999</v>
      </c>
      <c r="FO61" s="427">
        <f t="shared" si="61"/>
        <v>2373351.0199999996</v>
      </c>
      <c r="FP61" s="558">
        <f t="shared" si="110"/>
        <v>99063.3</v>
      </c>
      <c r="FQ61" s="558">
        <f t="shared" si="110"/>
        <v>97503.39</v>
      </c>
      <c r="FR61" s="558">
        <f t="shared" si="110"/>
        <v>95939.62</v>
      </c>
      <c r="FS61" s="558">
        <f t="shared" si="110"/>
        <v>94375.86</v>
      </c>
      <c r="FT61" s="558">
        <f t="shared" si="110"/>
        <v>92758.17</v>
      </c>
      <c r="FU61" s="558">
        <f t="shared" si="110"/>
        <v>91094.26</v>
      </c>
      <c r="FV61" s="558">
        <f t="shared" si="110"/>
        <v>89445.759999999995</v>
      </c>
      <c r="FW61" s="558">
        <f t="shared" si="110"/>
        <v>87785.7</v>
      </c>
      <c r="FX61" s="558">
        <f t="shared" si="110"/>
        <v>86067.87</v>
      </c>
      <c r="FY61" s="558">
        <f t="shared" si="110"/>
        <v>84280.71</v>
      </c>
      <c r="FZ61" s="558">
        <f t="shared" si="110"/>
        <v>82481.990000000005</v>
      </c>
      <c r="GA61" s="558">
        <f t="shared" si="110"/>
        <v>80656.31</v>
      </c>
      <c r="GB61" s="558">
        <f t="shared" si="110"/>
        <v>78788.27</v>
      </c>
      <c r="GC61" s="558">
        <f t="shared" si="110"/>
        <v>76912.52</v>
      </c>
      <c r="GD61" s="558">
        <f t="shared" si="110"/>
        <v>74978.990000000005</v>
      </c>
      <c r="GE61" s="558">
        <f t="shared" si="110"/>
        <v>73030.06</v>
      </c>
      <c r="GF61" s="558">
        <f t="shared" si="80"/>
        <v>71023.360000000001</v>
      </c>
      <c r="GG61" s="558">
        <f t="shared" si="80"/>
        <v>68970.429999999993</v>
      </c>
      <c r="GH61" s="558">
        <f t="shared" si="80"/>
        <v>66859.73</v>
      </c>
      <c r="GI61" s="558">
        <f t="shared" si="80"/>
        <v>64687.41</v>
      </c>
      <c r="GJ61" s="558">
        <f t="shared" si="80"/>
        <v>62449.599999999999</v>
      </c>
      <c r="GK61" s="558">
        <f t="shared" si="80"/>
        <v>60127.07</v>
      </c>
      <c r="GL61" s="558">
        <f t="shared" si="80"/>
        <v>57719.79</v>
      </c>
      <c r="GM61" s="558">
        <f t="shared" si="80"/>
        <v>55223.93</v>
      </c>
      <c r="GN61" s="558">
        <f t="shared" si="80"/>
        <v>52627.92</v>
      </c>
      <c r="GO61" s="558">
        <f t="shared" si="80"/>
        <v>49951.03</v>
      </c>
      <c r="GP61" s="558">
        <f t="shared" si="80"/>
        <v>47181.7</v>
      </c>
      <c r="GQ61" s="558">
        <f t="shared" si="80"/>
        <v>44327.63</v>
      </c>
      <c r="GR61" s="558">
        <f t="shared" si="80"/>
        <v>41396.54</v>
      </c>
      <c r="GS61" s="558">
        <f t="shared" si="80"/>
        <v>38392.26</v>
      </c>
      <c r="GT61" s="558">
        <f t="shared" si="80"/>
        <v>35326.35</v>
      </c>
      <c r="GU61" s="558">
        <f t="shared" si="80"/>
        <v>32187.26</v>
      </c>
      <c r="GV61" s="558">
        <f t="shared" si="111"/>
        <v>29005.81</v>
      </c>
      <c r="GW61" s="558">
        <f t="shared" si="111"/>
        <v>25766.58</v>
      </c>
      <c r="GX61" s="558">
        <f t="shared" si="111"/>
        <v>22492.68</v>
      </c>
      <c r="GY61" s="558">
        <f t="shared" si="111"/>
        <v>19184.12</v>
      </c>
      <c r="GZ61" s="558">
        <f t="shared" si="111"/>
        <v>15837.05</v>
      </c>
      <c r="HA61" s="558">
        <f t="shared" si="111"/>
        <v>12463.01</v>
      </c>
      <c r="HB61" s="558">
        <f t="shared" si="111"/>
        <v>9038.9</v>
      </c>
      <c r="HC61" s="558">
        <f t="shared" si="111"/>
        <v>5541.61</v>
      </c>
      <c r="HD61" s="558">
        <f t="shared" si="111"/>
        <v>1994.25</v>
      </c>
      <c r="HE61" s="558">
        <f t="shared" si="111"/>
        <v>-1587.78</v>
      </c>
      <c r="HF61" s="558" t="str">
        <f t="shared" si="111"/>
        <v>.</v>
      </c>
      <c r="HG61" s="558" t="str">
        <f t="shared" si="111"/>
        <v>.</v>
      </c>
      <c r="HH61" s="558" t="str">
        <f t="shared" si="111"/>
        <v>.</v>
      </c>
      <c r="HI61" s="558" t="str">
        <f t="shared" si="111"/>
        <v>.</v>
      </c>
      <c r="HJ61" s="558" t="str">
        <f t="shared" si="111"/>
        <v>.</v>
      </c>
      <c r="HK61" s="558" t="str">
        <f t="shared" si="111"/>
        <v>.</v>
      </c>
      <c r="HL61" s="558" t="str">
        <f t="shared" si="112"/>
        <v>.</v>
      </c>
      <c r="HM61" s="558" t="str">
        <f t="shared" si="112"/>
        <v>.</v>
      </c>
      <c r="HN61" s="558" t="str">
        <f t="shared" si="112"/>
        <v>.</v>
      </c>
      <c r="HO61" s="558" t="str">
        <f t="shared" si="112"/>
        <v>.</v>
      </c>
      <c r="HP61" s="558" t="str">
        <f t="shared" si="112"/>
        <v>.</v>
      </c>
      <c r="HQ61" s="558" t="str">
        <f t="shared" si="112"/>
        <v>.</v>
      </c>
      <c r="HR61" s="558" t="str">
        <f t="shared" si="112"/>
        <v>.</v>
      </c>
      <c r="HS61" s="558" t="str">
        <f t="shared" si="112"/>
        <v>.</v>
      </c>
      <c r="HT61" s="558" t="str">
        <f t="shared" si="112"/>
        <v>.</v>
      </c>
      <c r="HU61" s="558" t="str">
        <f t="shared" si="112"/>
        <v>.</v>
      </c>
      <c r="HV61" s="558" t="str">
        <f t="shared" si="112"/>
        <v>.</v>
      </c>
      <c r="HW61" s="558" t="str">
        <f t="shared" si="112"/>
        <v>.</v>
      </c>
      <c r="HX61" s="558" t="str">
        <f t="shared" si="112"/>
        <v>.</v>
      </c>
      <c r="HY61" s="558" t="str">
        <f t="shared" si="112"/>
        <v>.</v>
      </c>
      <c r="HZ61" s="558" t="str">
        <f t="shared" si="112"/>
        <v>.</v>
      </c>
      <c r="IA61" s="558" t="str">
        <f t="shared" si="112"/>
        <v>.</v>
      </c>
      <c r="IB61" s="558" t="str">
        <f t="shared" si="112"/>
        <v>.</v>
      </c>
      <c r="IC61" s="558" t="str">
        <f t="shared" si="112"/>
        <v>.</v>
      </c>
      <c r="ID61" s="558" t="str">
        <f t="shared" si="79"/>
        <v>.</v>
      </c>
      <c r="IE61" s="558" t="str">
        <f t="shared" si="79"/>
        <v>.</v>
      </c>
      <c r="IF61" s="558" t="str">
        <f t="shared" si="79"/>
        <v>.</v>
      </c>
      <c r="IG61" s="558" t="str">
        <f t="shared" si="79"/>
        <v>.</v>
      </c>
      <c r="IH61" s="558" t="str">
        <f t="shared" si="79"/>
        <v>.</v>
      </c>
      <c r="II61" s="558" t="str">
        <f t="shared" si="79"/>
        <v>.</v>
      </c>
      <c r="IJ61" s="558" t="str">
        <f t="shared" si="79"/>
        <v>.</v>
      </c>
      <c r="IK61" s="558" t="str">
        <f t="shared" si="79"/>
        <v>.</v>
      </c>
      <c r="IL61" s="558" t="str">
        <f t="shared" si="79"/>
        <v>.</v>
      </c>
      <c r="IM61" s="558" t="str">
        <f t="shared" si="79"/>
        <v>.</v>
      </c>
      <c r="IN61" s="558" t="str">
        <f t="shared" si="79"/>
        <v>.</v>
      </c>
      <c r="IO61" s="558" t="str">
        <f t="shared" si="76"/>
        <v>.</v>
      </c>
      <c r="IP61" s="558" t="str">
        <f t="shared" si="76"/>
        <v>.</v>
      </c>
      <c r="IQ61" s="558" t="str">
        <f t="shared" si="76"/>
        <v>.</v>
      </c>
      <c r="IR61" s="558" t="str">
        <f t="shared" si="76"/>
        <v>.</v>
      </c>
      <c r="IS61" s="558" t="str">
        <f t="shared" si="76"/>
        <v>.</v>
      </c>
      <c r="IT61" s="558" t="str">
        <f t="shared" si="76"/>
        <v>.</v>
      </c>
      <c r="IU61" s="558" t="str">
        <f t="shared" si="76"/>
        <v>.</v>
      </c>
      <c r="IV61" s="558" t="str">
        <f t="shared" si="76"/>
        <v>.</v>
      </c>
      <c r="IW61" s="558" t="str">
        <f t="shared" si="76"/>
        <v>.</v>
      </c>
      <c r="IX61" s="558" t="str">
        <f t="shared" ref="IX61:JE61" si="116" xml:space="preserve"> IF(  OR( IX$18&gt;$FK61, $FK61&gt;$FP$12 ),  LEER,  ROUND( $FO$19 * ( $FL61 - IX$15 * $FM61 ), IX$17 )  )</f>
        <v>.</v>
      </c>
      <c r="IY61" s="558" t="str">
        <f t="shared" si="116"/>
        <v>.</v>
      </c>
      <c r="IZ61" s="558" t="str">
        <f t="shared" si="116"/>
        <v>.</v>
      </c>
      <c r="JA61" s="558" t="str">
        <f t="shared" si="116"/>
        <v>.</v>
      </c>
      <c r="JB61" s="558" t="str">
        <f t="shared" si="116"/>
        <v>.</v>
      </c>
      <c r="JC61" s="558" t="str">
        <f t="shared" si="116"/>
        <v>.</v>
      </c>
      <c r="JD61" s="558" t="str">
        <f t="shared" si="116"/>
        <v>.</v>
      </c>
      <c r="JE61" s="558" t="str">
        <f t="shared" si="116"/>
        <v>.</v>
      </c>
      <c r="JF61" s="558" t="str">
        <f t="shared" si="77"/>
        <v>.</v>
      </c>
      <c r="JG61" s="558" t="str">
        <f t="shared" si="77"/>
        <v>.</v>
      </c>
      <c r="JH61" s="558" t="str">
        <f t="shared" si="113"/>
        <v>.</v>
      </c>
      <c r="JI61" s="558" t="str">
        <f t="shared" si="113"/>
        <v>.</v>
      </c>
      <c r="JJ61" s="558" t="str">
        <f t="shared" si="113"/>
        <v>.</v>
      </c>
      <c r="JK61" s="558" t="str">
        <f t="shared" si="113"/>
        <v>.</v>
      </c>
      <c r="JL61" s="558" t="str">
        <f t="shared" si="113"/>
        <v>.</v>
      </c>
    </row>
    <row r="62" spans="1:272" ht="10.199999999999999" x14ac:dyDescent="0.2">
      <c r="A62" s="534">
        <f xml:space="preserve"> Basis!A62</f>
        <v>62</v>
      </c>
      <c r="F62" s="536">
        <f xml:space="preserve"> ROUND(    IF( $A$15=BE_MF_,   AW62,   INDEX( qx!62:62, F$16 ) ),    F$17    )</f>
        <v>4.4000000000000003E-3</v>
      </c>
      <c r="G62" s="536">
        <f xml:space="preserve"> ROUND(    IF( $A$15=BE_MF_,   BB62,   INDEX( wx!62:62, G$16 ) ),    G$17    )</f>
        <v>6.7000000000000002E-3</v>
      </c>
      <c r="H62" s="537">
        <f xml:space="preserve"> ROUND(    IF( $A$15=BE_MF_,   BG62,   INDEX( Kx!62:62, H$16 ) ),    H$17    )</f>
        <v>4706.04</v>
      </c>
      <c r="I62" s="538">
        <f t="shared" si="55"/>
        <v>4706.04</v>
      </c>
      <c r="J62" s="539">
        <f t="shared" si="81"/>
        <v>2.2650000000000001</v>
      </c>
      <c r="K62" s="540">
        <f t="shared" si="114"/>
        <v>2</v>
      </c>
      <c r="L62" s="541">
        <f t="shared" si="71"/>
        <v>0</v>
      </c>
      <c r="M62" s="541">
        <f t="shared" si="71"/>
        <v>8.5999999999999993E-2</v>
      </c>
      <c r="O62" s="542" t="b">
        <f t="shared" si="57"/>
        <v>1</v>
      </c>
      <c r="P62" s="493">
        <f t="shared" si="82"/>
        <v>1.11E-2</v>
      </c>
      <c r="Q62" s="493">
        <f t="shared" si="83"/>
        <v>0.9889</v>
      </c>
      <c r="R62" s="543">
        <f t="shared" si="84"/>
        <v>525743</v>
      </c>
      <c r="S62" s="544">
        <f t="shared" si="85"/>
        <v>0.97560975599999999</v>
      </c>
      <c r="T62" s="423">
        <f t="shared" si="86"/>
        <v>113734.92</v>
      </c>
      <c r="U62" s="423">
        <f xml:space="preserve"> IF( $O62,    ROUND(  SUM( T62:T$120), U$17 ),  LEER  )</f>
        <v>2067617.02</v>
      </c>
      <c r="V62" s="493">
        <f t="shared" si="87"/>
        <v>18.179300000000001</v>
      </c>
      <c r="W62" s="493">
        <f t="shared" si="88"/>
        <v>257609.59</v>
      </c>
      <c r="X62" s="493">
        <f xml:space="preserve"> IF( $O62,    ROUND(  SUM( W62:W$120), X$17 ),  LEER  )</f>
        <v>7991109.4100000001</v>
      </c>
      <c r="Y62" s="493">
        <f t="shared" si="89"/>
        <v>70.260800000000003</v>
      </c>
      <c r="Z62" s="493">
        <f t="shared" si="90"/>
        <v>3.8649</v>
      </c>
      <c r="AA62" s="493">
        <f t="shared" si="91"/>
        <v>1.0101</v>
      </c>
      <c r="AB62" s="493">
        <f t="shared" si="92"/>
        <v>2.3494000000000002</v>
      </c>
      <c r="AC62" s="545">
        <f t="shared" si="93"/>
        <v>0.38600000000000001</v>
      </c>
      <c r="AD62" s="493">
        <f t="shared" si="94"/>
        <v>3.9077999999999999</v>
      </c>
      <c r="AE62" s="493">
        <f t="shared" si="95"/>
        <v>4.6978</v>
      </c>
      <c r="AF62" s="493">
        <f t="shared" si="96"/>
        <v>4.6978</v>
      </c>
      <c r="AG62" s="493" t="str">
        <f t="shared" si="97"/>
        <v>.</v>
      </c>
      <c r="AH62" s="493" t="str">
        <f t="shared" si="98"/>
        <v>.</v>
      </c>
      <c r="AI62" s="423">
        <f t="shared" si="99"/>
        <v>2077.79</v>
      </c>
      <c r="AJ62" s="423">
        <f t="shared" si="100"/>
        <v>9761.0400000000009</v>
      </c>
      <c r="AK62" s="423">
        <f t="shared" si="101"/>
        <v>813.42</v>
      </c>
      <c r="AN62" s="423">
        <f t="shared" si="115"/>
        <v>75952.7</v>
      </c>
      <c r="AO62" s="423">
        <f t="shared" si="115"/>
        <v>75114.14</v>
      </c>
      <c r="AR62" s="546">
        <f xml:space="preserve"> ROUND(  INDEX( Kx!62:62, AR$16 ),  AR$17 )</f>
        <v>0.73860000000000003</v>
      </c>
      <c r="AS62" s="547">
        <f xml:space="preserve"> ROUND(  INDEX( qx!62:62, AS$16 ),  AS$17 )</f>
        <v>5.0000000000000001E-3</v>
      </c>
      <c r="AT62" s="547">
        <f xml:space="preserve"> ROUND(  INDEX( qx!62:62, AT$16 ),  AT$17 )</f>
        <v>3.2000000000000002E-3</v>
      </c>
      <c r="AU62" s="548" t="str">
        <f t="shared" si="102"/>
        <v>F</v>
      </c>
      <c r="AV62" s="542">
        <f t="shared" si="103"/>
        <v>0.6532</v>
      </c>
      <c r="AW62" s="542">
        <f t="shared" si="104"/>
        <v>4.4000000000000003E-3</v>
      </c>
      <c r="AX62" s="546">
        <f xml:space="preserve"> ROUND(  INDEX( wx!62:62, AX$16 ),  AX$17 )</f>
        <v>6.4999999999999997E-3</v>
      </c>
      <c r="AY62" s="546">
        <f xml:space="preserve"> ROUND(  INDEX( wx!62:62, AY$16 ),  AY$17 )</f>
        <v>7.6E-3</v>
      </c>
      <c r="AZ62" s="548" t="str">
        <f t="shared" si="105"/>
        <v>M</v>
      </c>
      <c r="BA62" s="542">
        <f t="shared" si="106"/>
        <v>0.80910000000000004</v>
      </c>
      <c r="BB62" s="542">
        <f t="shared" si="107"/>
        <v>6.7000000000000002E-3</v>
      </c>
      <c r="BC62" s="533">
        <f xml:space="preserve"> ROUND(  INDEX( Kx!62:62, BC$16 ),  BC$17 )</f>
        <v>4746.25</v>
      </c>
      <c r="BD62" s="533">
        <f xml:space="preserve"> ROUND(  INDEX( Kx!62:62, BD$16 ),  BD$17 )</f>
        <v>4535.6400000000003</v>
      </c>
      <c r="BE62" s="548" t="str">
        <f t="shared" si="58"/>
        <v>M</v>
      </c>
      <c r="BF62" s="542">
        <f t="shared" si="108"/>
        <v>0.80910000000000004</v>
      </c>
      <c r="BG62" s="420">
        <f t="shared" si="109"/>
        <v>4706.04</v>
      </c>
      <c r="BQ62" s="549"/>
      <c r="BR62" s="423"/>
      <c r="BS62" s="550"/>
      <c r="BT62" s="423"/>
      <c r="BU62" s="551"/>
      <c r="BV62" s="551"/>
      <c r="BW62" s="529"/>
      <c r="BX62" s="552"/>
      <c r="BY62" s="560"/>
      <c r="BZ62" s="559"/>
      <c r="CB62" s="423"/>
      <c r="CC62" s="423"/>
      <c r="CD62" s="423"/>
      <c r="CE62" s="423"/>
      <c r="CF62" s="553"/>
      <c r="CH62" s="423"/>
      <c r="CI62" s="423"/>
      <c r="CJ62" s="423"/>
      <c r="CK62" s="423"/>
      <c r="CL62" s="553"/>
      <c r="CN62" s="423"/>
      <c r="CO62" s="423"/>
      <c r="CP62" s="423"/>
      <c r="CQ62" s="423"/>
      <c r="CR62" s="553"/>
      <c r="EI62" s="553"/>
      <c r="EJ62" s="553"/>
      <c r="EK62" s="423"/>
      <c r="EL62" s="555"/>
      <c r="ES62" s="533"/>
      <c r="ET62" s="533"/>
      <c r="EU62" s="533"/>
      <c r="EV62" s="556"/>
      <c r="EY62" s="533"/>
      <c r="EZ62" s="533"/>
      <c r="FA62" s="556"/>
      <c r="FD62" s="556"/>
      <c r="FE62" s="556"/>
      <c r="FF62" s="556"/>
      <c r="FK62" s="557">
        <f t="shared" si="48"/>
        <v>62</v>
      </c>
      <c r="FL62" s="493">
        <f t="shared" si="59"/>
        <v>70.260800000000003</v>
      </c>
      <c r="FM62" s="493">
        <f t="shared" si="60"/>
        <v>18.179300000000001</v>
      </c>
      <c r="FO62" s="427">
        <f t="shared" si="61"/>
        <v>2472658.62</v>
      </c>
      <c r="FP62" s="558">
        <f t="shared" si="110"/>
        <v>100644.76</v>
      </c>
      <c r="FQ62" s="558">
        <f t="shared" si="110"/>
        <v>99114.96</v>
      </c>
      <c r="FR62" s="558">
        <f t="shared" si="110"/>
        <v>97581.39</v>
      </c>
      <c r="FS62" s="558">
        <f t="shared" si="110"/>
        <v>96047.81</v>
      </c>
      <c r="FT62" s="558">
        <f t="shared" si="110"/>
        <v>94461.36</v>
      </c>
      <c r="FU62" s="558">
        <f t="shared" si="110"/>
        <v>92829.57</v>
      </c>
      <c r="FV62" s="558">
        <f t="shared" si="110"/>
        <v>91212.9</v>
      </c>
      <c r="FW62" s="558">
        <f t="shared" si="110"/>
        <v>89584.89</v>
      </c>
      <c r="FX62" s="558">
        <f t="shared" si="110"/>
        <v>87900.23</v>
      </c>
      <c r="FY62" s="558">
        <f t="shared" si="110"/>
        <v>86147.57</v>
      </c>
      <c r="FZ62" s="558">
        <f t="shared" si="110"/>
        <v>84383.58</v>
      </c>
      <c r="GA62" s="558">
        <f t="shared" si="110"/>
        <v>82593.149999999994</v>
      </c>
      <c r="GB62" s="558">
        <f t="shared" si="110"/>
        <v>80761.17</v>
      </c>
      <c r="GC62" s="558">
        <f t="shared" si="110"/>
        <v>78921.64</v>
      </c>
      <c r="GD62" s="558">
        <f t="shared" si="110"/>
        <v>77025.45</v>
      </c>
      <c r="GE62" s="558">
        <f t="shared" si="110"/>
        <v>75114.14</v>
      </c>
      <c r="GF62" s="558">
        <f t="shared" si="80"/>
        <v>73146.179999999993</v>
      </c>
      <c r="GG62" s="558">
        <f t="shared" si="80"/>
        <v>71132.89</v>
      </c>
      <c r="GH62" s="558">
        <f t="shared" si="80"/>
        <v>69062.95</v>
      </c>
      <c r="GI62" s="558">
        <f t="shared" si="80"/>
        <v>66932.56</v>
      </c>
      <c r="GJ62" s="558">
        <f t="shared" si="80"/>
        <v>64737.96</v>
      </c>
      <c r="GK62" s="558">
        <f t="shared" si="80"/>
        <v>62460.27</v>
      </c>
      <c r="GL62" s="558">
        <f t="shared" si="80"/>
        <v>60099.47</v>
      </c>
      <c r="GM62" s="558">
        <f t="shared" si="80"/>
        <v>57651.79</v>
      </c>
      <c r="GN62" s="558">
        <f t="shared" si="80"/>
        <v>55105.91</v>
      </c>
      <c r="GO62" s="558">
        <f t="shared" si="80"/>
        <v>52480.7</v>
      </c>
      <c r="GP62" s="558">
        <f t="shared" si="80"/>
        <v>49764.84</v>
      </c>
      <c r="GQ62" s="558">
        <f t="shared" si="80"/>
        <v>46965.88</v>
      </c>
      <c r="GR62" s="558">
        <f t="shared" si="80"/>
        <v>44091.37</v>
      </c>
      <c r="GS62" s="558">
        <f t="shared" si="80"/>
        <v>41145.089999999997</v>
      </c>
      <c r="GT62" s="558">
        <f t="shared" si="80"/>
        <v>38138.379999999997</v>
      </c>
      <c r="GU62" s="558">
        <f t="shared" si="80"/>
        <v>35059.9</v>
      </c>
      <c r="GV62" s="558">
        <f t="shared" si="111"/>
        <v>31939.87</v>
      </c>
      <c r="GW62" s="558">
        <f t="shared" si="111"/>
        <v>28763.18</v>
      </c>
      <c r="GX62" s="558">
        <f t="shared" si="111"/>
        <v>25552.49</v>
      </c>
      <c r="GY62" s="558">
        <f t="shared" si="111"/>
        <v>22307.81</v>
      </c>
      <c r="GZ62" s="558">
        <f t="shared" si="111"/>
        <v>19025.36</v>
      </c>
      <c r="HA62" s="558">
        <f t="shared" si="111"/>
        <v>15716.47</v>
      </c>
      <c r="HB62" s="558">
        <f t="shared" si="111"/>
        <v>12358.47</v>
      </c>
      <c r="HC62" s="558">
        <f t="shared" si="111"/>
        <v>8928.7000000000007</v>
      </c>
      <c r="HD62" s="558">
        <f t="shared" si="111"/>
        <v>5449.83</v>
      </c>
      <c r="HE62" s="558">
        <f t="shared" si="111"/>
        <v>1936.96</v>
      </c>
      <c r="HF62" s="558">
        <f t="shared" si="111"/>
        <v>-1621.23</v>
      </c>
      <c r="HG62" s="558" t="str">
        <f t="shared" si="111"/>
        <v>.</v>
      </c>
      <c r="HH62" s="558" t="str">
        <f t="shared" si="111"/>
        <v>.</v>
      </c>
      <c r="HI62" s="558" t="str">
        <f t="shared" si="111"/>
        <v>.</v>
      </c>
      <c r="HJ62" s="558" t="str">
        <f t="shared" si="111"/>
        <v>.</v>
      </c>
      <c r="HK62" s="558" t="str">
        <f t="shared" si="111"/>
        <v>.</v>
      </c>
      <c r="HL62" s="558" t="str">
        <f t="shared" si="112"/>
        <v>.</v>
      </c>
      <c r="HM62" s="558" t="str">
        <f t="shared" si="112"/>
        <v>.</v>
      </c>
      <c r="HN62" s="558" t="str">
        <f t="shared" si="112"/>
        <v>.</v>
      </c>
      <c r="HO62" s="558" t="str">
        <f t="shared" si="112"/>
        <v>.</v>
      </c>
      <c r="HP62" s="558" t="str">
        <f t="shared" si="112"/>
        <v>.</v>
      </c>
      <c r="HQ62" s="558" t="str">
        <f t="shared" si="112"/>
        <v>.</v>
      </c>
      <c r="HR62" s="558" t="str">
        <f t="shared" si="112"/>
        <v>.</v>
      </c>
      <c r="HS62" s="558" t="str">
        <f t="shared" si="112"/>
        <v>.</v>
      </c>
      <c r="HT62" s="558" t="str">
        <f t="shared" si="112"/>
        <v>.</v>
      </c>
      <c r="HU62" s="558" t="str">
        <f t="shared" si="112"/>
        <v>.</v>
      </c>
      <c r="HV62" s="558" t="str">
        <f t="shared" si="112"/>
        <v>.</v>
      </c>
      <c r="HW62" s="558" t="str">
        <f t="shared" si="112"/>
        <v>.</v>
      </c>
      <c r="HX62" s="558" t="str">
        <f t="shared" si="112"/>
        <v>.</v>
      </c>
      <c r="HY62" s="558" t="str">
        <f t="shared" si="112"/>
        <v>.</v>
      </c>
      <c r="HZ62" s="558" t="str">
        <f t="shared" si="112"/>
        <v>.</v>
      </c>
      <c r="IA62" s="558" t="str">
        <f t="shared" si="112"/>
        <v>.</v>
      </c>
      <c r="IB62" s="558" t="str">
        <f t="shared" si="112"/>
        <v>.</v>
      </c>
      <c r="IC62" s="558" t="str">
        <f t="shared" si="112"/>
        <v>.</v>
      </c>
      <c r="ID62" s="558" t="str">
        <f t="shared" si="79"/>
        <v>.</v>
      </c>
      <c r="IE62" s="558" t="str">
        <f t="shared" si="79"/>
        <v>.</v>
      </c>
      <c r="IF62" s="558" t="str">
        <f t="shared" si="79"/>
        <v>.</v>
      </c>
      <c r="IG62" s="558" t="str">
        <f t="shared" si="79"/>
        <v>.</v>
      </c>
      <c r="IH62" s="558" t="str">
        <f t="shared" si="79"/>
        <v>.</v>
      </c>
      <c r="II62" s="558" t="str">
        <f t="shared" si="79"/>
        <v>.</v>
      </c>
      <c r="IJ62" s="558" t="str">
        <f t="shared" si="79"/>
        <v>.</v>
      </c>
      <c r="IK62" s="558" t="str">
        <f t="shared" si="79"/>
        <v>.</v>
      </c>
      <c r="IL62" s="558" t="str">
        <f t="shared" si="79"/>
        <v>.</v>
      </c>
      <c r="IM62" s="558" t="str">
        <f t="shared" si="79"/>
        <v>.</v>
      </c>
      <c r="IN62" s="558" t="str">
        <f t="shared" si="79"/>
        <v>.</v>
      </c>
      <c r="IO62" s="558" t="str">
        <f t="shared" si="79"/>
        <v>.</v>
      </c>
      <c r="IP62" s="558" t="str">
        <f t="shared" si="79"/>
        <v>.</v>
      </c>
      <c r="IQ62" s="558" t="str">
        <f t="shared" si="79"/>
        <v>.</v>
      </c>
      <c r="IR62" s="558" t="str">
        <f t="shared" si="79"/>
        <v>.</v>
      </c>
      <c r="IS62" s="558" t="str">
        <f t="shared" si="79"/>
        <v>.</v>
      </c>
      <c r="IT62" s="558" t="str">
        <f t="shared" si="79"/>
        <v>.</v>
      </c>
      <c r="IU62" s="558" t="str">
        <f t="shared" si="79"/>
        <v>.</v>
      </c>
      <c r="IV62" s="558" t="str">
        <f t="shared" si="79"/>
        <v>.</v>
      </c>
      <c r="IW62" s="558" t="str">
        <f t="shared" ref="IW62:JL77" si="117" xml:space="preserve"> IF(  OR( IW$18&gt;$FK62, $FK62&gt;$FP$12 ),  LEER,  ROUND( $FO$19 * ( $FL62 - IW$15 * $FM62 ), IW$17 )  )</f>
        <v>.</v>
      </c>
      <c r="IX62" s="558" t="str">
        <f t="shared" si="117"/>
        <v>.</v>
      </c>
      <c r="IY62" s="558" t="str">
        <f t="shared" si="117"/>
        <v>.</v>
      </c>
      <c r="IZ62" s="558" t="str">
        <f t="shared" si="117"/>
        <v>.</v>
      </c>
      <c r="JA62" s="558" t="str">
        <f t="shared" si="117"/>
        <v>.</v>
      </c>
      <c r="JB62" s="558" t="str">
        <f t="shared" si="117"/>
        <v>.</v>
      </c>
      <c r="JC62" s="558" t="str">
        <f t="shared" si="117"/>
        <v>.</v>
      </c>
      <c r="JD62" s="558" t="str">
        <f t="shared" si="117"/>
        <v>.</v>
      </c>
      <c r="JE62" s="558" t="str">
        <f t="shared" si="117"/>
        <v>.</v>
      </c>
      <c r="JF62" s="558" t="str">
        <f t="shared" si="117"/>
        <v>.</v>
      </c>
      <c r="JG62" s="558" t="str">
        <f t="shared" si="117"/>
        <v>.</v>
      </c>
      <c r="JH62" s="558" t="str">
        <f t="shared" si="113"/>
        <v>.</v>
      </c>
      <c r="JI62" s="558" t="str">
        <f t="shared" si="113"/>
        <v>.</v>
      </c>
      <c r="JJ62" s="558" t="str">
        <f t="shared" si="113"/>
        <v>.</v>
      </c>
      <c r="JK62" s="558" t="str">
        <f t="shared" si="113"/>
        <v>.</v>
      </c>
      <c r="JL62" s="558" t="str">
        <f t="shared" si="113"/>
        <v>.</v>
      </c>
    </row>
    <row r="63" spans="1:272" ht="10.199999999999999" x14ac:dyDescent="0.2">
      <c r="A63" s="534">
        <f xml:space="preserve"> Basis!A63</f>
        <v>63</v>
      </c>
      <c r="F63" s="536">
        <f xml:space="preserve"> ROUND(    IF( $A$15=BE_MF_,   AW63,   INDEX( qx!63:63, F$16 ) ),    F$17    )</f>
        <v>4.7000000000000002E-3</v>
      </c>
      <c r="G63" s="536">
        <f xml:space="preserve"> ROUND(    IF( $A$15=BE_MF_,   BB63,   INDEX( wx!63:63, G$16 ) ),    G$17    )</f>
        <v>6.4000000000000003E-3</v>
      </c>
      <c r="H63" s="537">
        <f xml:space="preserve"> ROUND(    IF( $A$15=BE_MF_,   BG63,   INDEX( Kx!63:63, H$16 ) ),    H$17    )</f>
        <v>4955.95</v>
      </c>
      <c r="I63" s="538">
        <f t="shared" si="55"/>
        <v>4955.95</v>
      </c>
      <c r="J63" s="539">
        <f t="shared" si="81"/>
        <v>2.3849999999999998</v>
      </c>
      <c r="K63" s="540">
        <f t="shared" si="114"/>
        <v>2</v>
      </c>
      <c r="L63" s="541">
        <f t="shared" si="71"/>
        <v>0</v>
      </c>
      <c r="M63" s="541">
        <f t="shared" si="71"/>
        <v>8.5999999999999993E-2</v>
      </c>
      <c r="O63" s="542" t="b">
        <f t="shared" si="57"/>
        <v>1</v>
      </c>
      <c r="P63" s="493">
        <f t="shared" si="82"/>
        <v>1.11E-2</v>
      </c>
      <c r="Q63" s="493">
        <f t="shared" si="83"/>
        <v>0.9889</v>
      </c>
      <c r="R63" s="543">
        <f t="shared" si="84"/>
        <v>519907</v>
      </c>
      <c r="S63" s="544">
        <f t="shared" si="85"/>
        <v>0.97560975599999999</v>
      </c>
      <c r="T63" s="423">
        <f t="shared" si="86"/>
        <v>109729.18</v>
      </c>
      <c r="U63" s="423">
        <f xml:space="preserve"> IF( $O63,    ROUND(  SUM( T63:T$120), U$17 ),  LEER  )</f>
        <v>1953882.1</v>
      </c>
      <c r="V63" s="493">
        <f t="shared" si="87"/>
        <v>17.8064</v>
      </c>
      <c r="W63" s="493">
        <f t="shared" si="88"/>
        <v>261704.09</v>
      </c>
      <c r="X63" s="493">
        <f xml:space="preserve"> IF( $O63,    ROUND(  SUM( W63:W$120), X$17 ),  LEER  )</f>
        <v>7733499.8200000003</v>
      </c>
      <c r="Y63" s="493">
        <f t="shared" si="89"/>
        <v>70.478099999999998</v>
      </c>
      <c r="Z63" s="493">
        <f t="shared" si="90"/>
        <v>3.9580000000000002</v>
      </c>
      <c r="AA63" s="493">
        <f t="shared" si="91"/>
        <v>1.0103</v>
      </c>
      <c r="AB63" s="493">
        <f t="shared" si="92"/>
        <v>2.3494000000000002</v>
      </c>
      <c r="AC63" s="545">
        <f t="shared" si="93"/>
        <v>0.38600000000000001</v>
      </c>
      <c r="AD63" s="493">
        <f t="shared" si="94"/>
        <v>4.0026999999999999</v>
      </c>
      <c r="AE63" s="493">
        <f t="shared" si="95"/>
        <v>4.8015999999999996</v>
      </c>
      <c r="AF63" s="493">
        <f t="shared" si="96"/>
        <v>4.8015999999999996</v>
      </c>
      <c r="AG63" s="493" t="str">
        <f t="shared" si="97"/>
        <v>.</v>
      </c>
      <c r="AH63" s="493" t="str">
        <f t="shared" si="98"/>
        <v>.</v>
      </c>
      <c r="AI63" s="423">
        <f t="shared" si="99"/>
        <v>2077.79</v>
      </c>
      <c r="AJ63" s="423">
        <f t="shared" si="100"/>
        <v>9976.7199999999993</v>
      </c>
      <c r="AK63" s="423">
        <f t="shared" si="101"/>
        <v>831.39</v>
      </c>
      <c r="AN63" s="423">
        <f t="shared" si="115"/>
        <v>77840.77</v>
      </c>
      <c r="AO63" s="423">
        <f t="shared" si="115"/>
        <v>77019.42</v>
      </c>
      <c r="AR63" s="546">
        <f xml:space="preserve"> ROUND(  INDEX( Kx!63:63, AR$16 ),  AR$17 )</f>
        <v>0.7298</v>
      </c>
      <c r="AS63" s="547">
        <f xml:space="preserve"> ROUND(  INDEX( qx!63:63, AS$16 ),  AS$17 )</f>
        <v>5.4000000000000003E-3</v>
      </c>
      <c r="AT63" s="547">
        <f xml:space="preserve"> ROUND(  INDEX( qx!63:63, AT$16 ),  AT$17 )</f>
        <v>3.5000000000000001E-3</v>
      </c>
      <c r="AU63" s="548" t="str">
        <f t="shared" si="102"/>
        <v>F</v>
      </c>
      <c r="AV63" s="542">
        <f t="shared" si="103"/>
        <v>0.64290000000000003</v>
      </c>
      <c r="AW63" s="542">
        <f t="shared" si="104"/>
        <v>4.7000000000000002E-3</v>
      </c>
      <c r="AX63" s="546">
        <f xml:space="preserve"> ROUND(  INDEX( wx!63:63, AX$16 ),  AX$17 )</f>
        <v>6.1999999999999998E-3</v>
      </c>
      <c r="AY63" s="546">
        <f xml:space="preserve"> ROUND(  INDEX( wx!63:63, AY$16 ),  AY$17 )</f>
        <v>7.0000000000000001E-3</v>
      </c>
      <c r="AZ63" s="548" t="str">
        <f t="shared" si="105"/>
        <v>M</v>
      </c>
      <c r="BA63" s="542">
        <f t="shared" si="106"/>
        <v>0.80200000000000005</v>
      </c>
      <c r="BB63" s="542">
        <f t="shared" si="107"/>
        <v>6.4000000000000003E-3</v>
      </c>
      <c r="BC63" s="533">
        <f xml:space="preserve"> ROUND(  INDEX( Kx!63:63, BC$16 ),  BC$17 )</f>
        <v>5018.3599999999997</v>
      </c>
      <c r="BD63" s="533">
        <f xml:space="preserve"> ROUND(  INDEX( Kx!63:63, BD$16 ),  BD$17 )</f>
        <v>4703.16</v>
      </c>
      <c r="BE63" s="548" t="str">
        <f t="shared" si="58"/>
        <v>M</v>
      </c>
      <c r="BF63" s="542">
        <f t="shared" si="108"/>
        <v>0.80200000000000005</v>
      </c>
      <c r="BG63" s="420">
        <f t="shared" si="109"/>
        <v>4955.95</v>
      </c>
      <c r="BQ63" s="549"/>
      <c r="BR63" s="423"/>
      <c r="BS63" s="550"/>
      <c r="BT63" s="423"/>
      <c r="BU63" s="551"/>
      <c r="BV63" s="551"/>
      <c r="BW63" s="529"/>
      <c r="BX63" s="552"/>
      <c r="BY63" s="560"/>
      <c r="BZ63" s="559"/>
      <c r="CB63" s="423"/>
      <c r="CC63" s="423"/>
      <c r="CD63" s="423"/>
      <c r="CE63" s="423"/>
      <c r="CF63" s="553"/>
      <c r="CH63" s="423"/>
      <c r="CI63" s="423"/>
      <c r="CJ63" s="423"/>
      <c r="CK63" s="423"/>
      <c r="CL63" s="553"/>
      <c r="CN63" s="423"/>
      <c r="CO63" s="423"/>
      <c r="CP63" s="423"/>
      <c r="CQ63" s="423"/>
      <c r="CR63" s="553"/>
      <c r="EI63" s="553"/>
      <c r="EJ63" s="553"/>
      <c r="EK63" s="423"/>
      <c r="EL63" s="555"/>
      <c r="ES63" s="533"/>
      <c r="ET63" s="533"/>
      <c r="EU63" s="533"/>
      <c r="EV63" s="556"/>
      <c r="EY63" s="533"/>
      <c r="EZ63" s="533"/>
      <c r="FA63" s="556"/>
      <c r="FD63" s="556"/>
      <c r="FE63" s="556"/>
      <c r="FF63" s="556"/>
      <c r="FK63" s="557">
        <f t="shared" si="48"/>
        <v>63</v>
      </c>
      <c r="FL63" s="493">
        <f t="shared" si="59"/>
        <v>70.478099999999998</v>
      </c>
      <c r="FM63" s="493">
        <f t="shared" si="60"/>
        <v>17.8064</v>
      </c>
      <c r="FO63" s="427">
        <f t="shared" si="61"/>
        <v>2568465.37</v>
      </c>
      <c r="FP63" s="558">
        <f t="shared" si="110"/>
        <v>102026.34</v>
      </c>
      <c r="FQ63" s="558">
        <f t="shared" si="110"/>
        <v>100527.92</v>
      </c>
      <c r="FR63" s="558">
        <f t="shared" si="110"/>
        <v>99025.81</v>
      </c>
      <c r="FS63" s="558">
        <f t="shared" si="110"/>
        <v>97523.69</v>
      </c>
      <c r="FT63" s="558">
        <f t="shared" si="110"/>
        <v>95969.77</v>
      </c>
      <c r="FU63" s="558">
        <f t="shared" si="110"/>
        <v>94371.46</v>
      </c>
      <c r="FV63" s="558">
        <f t="shared" si="110"/>
        <v>92787.95</v>
      </c>
      <c r="FW63" s="558">
        <f t="shared" si="110"/>
        <v>91193.34</v>
      </c>
      <c r="FX63" s="558">
        <f t="shared" si="110"/>
        <v>89543.23</v>
      </c>
      <c r="FY63" s="558">
        <f t="shared" si="110"/>
        <v>87826.52</v>
      </c>
      <c r="FZ63" s="558">
        <f t="shared" si="110"/>
        <v>86098.72</v>
      </c>
      <c r="GA63" s="558">
        <f t="shared" si="110"/>
        <v>84345.02</v>
      </c>
      <c r="GB63" s="558">
        <f t="shared" si="110"/>
        <v>82550.61</v>
      </c>
      <c r="GC63" s="558">
        <f t="shared" si="110"/>
        <v>80748.81</v>
      </c>
      <c r="GD63" s="558">
        <f t="shared" si="110"/>
        <v>78891.520000000004</v>
      </c>
      <c r="GE63" s="558">
        <f t="shared" si="110"/>
        <v>77019.42</v>
      </c>
      <c r="GF63" s="558">
        <f t="shared" si="80"/>
        <v>75091.83</v>
      </c>
      <c r="GG63" s="558">
        <f t="shared" si="80"/>
        <v>73119.83</v>
      </c>
      <c r="GH63" s="558">
        <f t="shared" si="80"/>
        <v>71092.350000000006</v>
      </c>
      <c r="GI63" s="558">
        <f t="shared" si="80"/>
        <v>69005.66</v>
      </c>
      <c r="GJ63" s="558">
        <f t="shared" si="80"/>
        <v>66856.08</v>
      </c>
      <c r="GK63" s="558">
        <f t="shared" si="80"/>
        <v>64625.1</v>
      </c>
      <c r="GL63" s="558">
        <f t="shared" si="80"/>
        <v>62312.73</v>
      </c>
      <c r="GM63" s="558">
        <f t="shared" si="80"/>
        <v>59915.26</v>
      </c>
      <c r="GN63" s="558">
        <f t="shared" si="80"/>
        <v>57421.599999999999</v>
      </c>
      <c r="GO63" s="558">
        <f t="shared" si="80"/>
        <v>54850.239999999998</v>
      </c>
      <c r="GP63" s="558">
        <f t="shared" si="80"/>
        <v>52190.09</v>
      </c>
      <c r="GQ63" s="558">
        <f t="shared" si="80"/>
        <v>49448.54</v>
      </c>
      <c r="GR63" s="558">
        <f t="shared" si="80"/>
        <v>46632.99</v>
      </c>
      <c r="GS63" s="558">
        <f t="shared" si="80"/>
        <v>43747.15</v>
      </c>
      <c r="GT63" s="558">
        <f t="shared" si="80"/>
        <v>40802.120000000003</v>
      </c>
      <c r="GU63" s="558">
        <f t="shared" si="80"/>
        <v>37786.78</v>
      </c>
      <c r="GV63" s="558">
        <f t="shared" si="111"/>
        <v>34730.75</v>
      </c>
      <c r="GW63" s="558">
        <f t="shared" si="111"/>
        <v>31619.22</v>
      </c>
      <c r="GX63" s="558">
        <f t="shared" si="111"/>
        <v>28474.400000000001</v>
      </c>
      <c r="GY63" s="558">
        <f t="shared" si="111"/>
        <v>25296.27</v>
      </c>
      <c r="GZ63" s="558">
        <f t="shared" si="111"/>
        <v>22081.15</v>
      </c>
      <c r="HA63" s="558">
        <f t="shared" si="111"/>
        <v>18840.13</v>
      </c>
      <c r="HB63" s="558">
        <f t="shared" si="111"/>
        <v>15551.01</v>
      </c>
      <c r="HC63" s="558">
        <f t="shared" si="111"/>
        <v>12191.59</v>
      </c>
      <c r="HD63" s="558">
        <f t="shared" si="111"/>
        <v>8784.08</v>
      </c>
      <c r="HE63" s="558">
        <f t="shared" si="111"/>
        <v>5343.27</v>
      </c>
      <c r="HF63" s="558">
        <f t="shared" si="111"/>
        <v>1858.06</v>
      </c>
      <c r="HG63" s="558">
        <f t="shared" si="111"/>
        <v>-1653.04</v>
      </c>
      <c r="HH63" s="558" t="str">
        <f t="shared" si="111"/>
        <v>.</v>
      </c>
      <c r="HI63" s="558" t="str">
        <f t="shared" si="111"/>
        <v>.</v>
      </c>
      <c r="HJ63" s="558" t="str">
        <f t="shared" si="111"/>
        <v>.</v>
      </c>
      <c r="HK63" s="558" t="str">
        <f t="shared" si="111"/>
        <v>.</v>
      </c>
      <c r="HL63" s="558" t="str">
        <f t="shared" si="112"/>
        <v>.</v>
      </c>
      <c r="HM63" s="558" t="str">
        <f t="shared" si="112"/>
        <v>.</v>
      </c>
      <c r="HN63" s="558" t="str">
        <f t="shared" si="112"/>
        <v>.</v>
      </c>
      <c r="HO63" s="558" t="str">
        <f t="shared" si="112"/>
        <v>.</v>
      </c>
      <c r="HP63" s="558" t="str">
        <f t="shared" si="112"/>
        <v>.</v>
      </c>
      <c r="HQ63" s="558" t="str">
        <f t="shared" si="112"/>
        <v>.</v>
      </c>
      <c r="HR63" s="558" t="str">
        <f t="shared" si="112"/>
        <v>.</v>
      </c>
      <c r="HS63" s="558" t="str">
        <f t="shared" si="112"/>
        <v>.</v>
      </c>
      <c r="HT63" s="558" t="str">
        <f t="shared" si="112"/>
        <v>.</v>
      </c>
      <c r="HU63" s="558" t="str">
        <f t="shared" si="112"/>
        <v>.</v>
      </c>
      <c r="HV63" s="558" t="str">
        <f t="shared" si="112"/>
        <v>.</v>
      </c>
      <c r="HW63" s="558" t="str">
        <f t="shared" si="112"/>
        <v>.</v>
      </c>
      <c r="HX63" s="558" t="str">
        <f t="shared" si="112"/>
        <v>.</v>
      </c>
      <c r="HY63" s="558" t="str">
        <f t="shared" si="112"/>
        <v>.</v>
      </c>
      <c r="HZ63" s="558" t="str">
        <f t="shared" si="112"/>
        <v>.</v>
      </c>
      <c r="IA63" s="558" t="str">
        <f t="shared" si="112"/>
        <v>.</v>
      </c>
      <c r="IB63" s="558" t="str">
        <f t="shared" si="112"/>
        <v>.</v>
      </c>
      <c r="IC63" s="558" t="str">
        <f t="shared" si="112"/>
        <v>.</v>
      </c>
      <c r="ID63" s="558" t="str">
        <f t="shared" si="79"/>
        <v>.</v>
      </c>
      <c r="IE63" s="558" t="str">
        <f t="shared" si="79"/>
        <v>.</v>
      </c>
      <c r="IF63" s="558" t="str">
        <f t="shared" si="79"/>
        <v>.</v>
      </c>
      <c r="IG63" s="558" t="str">
        <f t="shared" si="79"/>
        <v>.</v>
      </c>
      <c r="IH63" s="558" t="str">
        <f t="shared" si="79"/>
        <v>.</v>
      </c>
      <c r="II63" s="558" t="str">
        <f t="shared" si="79"/>
        <v>.</v>
      </c>
      <c r="IJ63" s="558" t="str">
        <f t="shared" si="79"/>
        <v>.</v>
      </c>
      <c r="IK63" s="558" t="str">
        <f t="shared" si="79"/>
        <v>.</v>
      </c>
      <c r="IL63" s="558" t="str">
        <f t="shared" si="79"/>
        <v>.</v>
      </c>
      <c r="IM63" s="558" t="str">
        <f t="shared" si="79"/>
        <v>.</v>
      </c>
      <c r="IN63" s="558" t="str">
        <f t="shared" si="79"/>
        <v>.</v>
      </c>
      <c r="IO63" s="558" t="str">
        <f t="shared" si="79"/>
        <v>.</v>
      </c>
      <c r="IP63" s="558" t="str">
        <f t="shared" si="79"/>
        <v>.</v>
      </c>
      <c r="IQ63" s="558" t="str">
        <f t="shared" si="79"/>
        <v>.</v>
      </c>
      <c r="IR63" s="558" t="str">
        <f t="shared" si="79"/>
        <v>.</v>
      </c>
      <c r="IS63" s="558" t="str">
        <f t="shared" si="79"/>
        <v>.</v>
      </c>
      <c r="IT63" s="558" t="str">
        <f t="shared" si="79"/>
        <v>.</v>
      </c>
      <c r="IU63" s="558" t="str">
        <f t="shared" si="79"/>
        <v>.</v>
      </c>
      <c r="IV63" s="558" t="str">
        <f t="shared" si="79"/>
        <v>.</v>
      </c>
      <c r="IW63" s="558" t="str">
        <f t="shared" si="117"/>
        <v>.</v>
      </c>
      <c r="IX63" s="558" t="str">
        <f t="shared" si="117"/>
        <v>.</v>
      </c>
      <c r="IY63" s="558" t="str">
        <f t="shared" si="117"/>
        <v>.</v>
      </c>
      <c r="IZ63" s="558" t="str">
        <f t="shared" si="117"/>
        <v>.</v>
      </c>
      <c r="JA63" s="558" t="str">
        <f t="shared" si="117"/>
        <v>.</v>
      </c>
      <c r="JB63" s="558" t="str">
        <f t="shared" si="117"/>
        <v>.</v>
      </c>
      <c r="JC63" s="558" t="str">
        <f t="shared" si="117"/>
        <v>.</v>
      </c>
      <c r="JD63" s="558" t="str">
        <f t="shared" si="117"/>
        <v>.</v>
      </c>
      <c r="JE63" s="558" t="str">
        <f t="shared" si="117"/>
        <v>.</v>
      </c>
      <c r="JF63" s="558" t="str">
        <f t="shared" si="117"/>
        <v>.</v>
      </c>
      <c r="JG63" s="558" t="str">
        <f t="shared" si="117"/>
        <v>.</v>
      </c>
      <c r="JH63" s="558" t="str">
        <f t="shared" si="113"/>
        <v>.</v>
      </c>
      <c r="JI63" s="558" t="str">
        <f t="shared" si="113"/>
        <v>.</v>
      </c>
      <c r="JJ63" s="558" t="str">
        <f t="shared" si="113"/>
        <v>.</v>
      </c>
      <c r="JK63" s="558" t="str">
        <f t="shared" si="113"/>
        <v>.</v>
      </c>
      <c r="JL63" s="558" t="str">
        <f t="shared" si="113"/>
        <v>.</v>
      </c>
    </row>
    <row r="64" spans="1:272" ht="10.199999999999999" x14ac:dyDescent="0.2">
      <c r="A64" s="534">
        <f xml:space="preserve"> Basis!A64</f>
        <v>64</v>
      </c>
      <c r="F64" s="536">
        <f xml:space="preserve"> ROUND(    IF( $A$15=BE_MF_,   AW64,   INDEX( qx!64:64, F$16 ) ),    F$17    )</f>
        <v>5.1000000000000004E-3</v>
      </c>
      <c r="G64" s="536">
        <f xml:space="preserve"> ROUND(    IF( $A$15=BE_MF_,   BB64,   INDEX( wx!64:64, G$16 ) ),    G$17    )</f>
        <v>5.8999999999999999E-3</v>
      </c>
      <c r="H64" s="537">
        <f xml:space="preserve"> ROUND(    IF( $A$15=BE_MF_,   BG64,   INDEX( Kx!64:64, H$16 ) ),    H$17    )</f>
        <v>5222.17</v>
      </c>
      <c r="I64" s="538">
        <f t="shared" si="55"/>
        <v>5222.17</v>
      </c>
      <c r="J64" s="539">
        <f t="shared" si="81"/>
        <v>2.5129999999999999</v>
      </c>
      <c r="K64" s="540">
        <f t="shared" si="114"/>
        <v>2</v>
      </c>
      <c r="L64" s="541">
        <f t="shared" si="71"/>
        <v>0</v>
      </c>
      <c r="M64" s="541">
        <f t="shared" si="71"/>
        <v>8.5999999999999993E-2</v>
      </c>
      <c r="O64" s="542" t="b">
        <f t="shared" si="57"/>
        <v>1</v>
      </c>
      <c r="P64" s="493">
        <f t="shared" si="82"/>
        <v>1.0999999999999999E-2</v>
      </c>
      <c r="Q64" s="493">
        <f t="shared" si="83"/>
        <v>0.98899999999999999</v>
      </c>
      <c r="R64" s="543">
        <f t="shared" si="84"/>
        <v>514136</v>
      </c>
      <c r="S64" s="544">
        <f t="shared" si="85"/>
        <v>0.97560975599999999</v>
      </c>
      <c r="T64" s="423">
        <f t="shared" si="86"/>
        <v>105864.57</v>
      </c>
      <c r="U64" s="423">
        <f xml:space="preserve"> IF( $O64,    ROUND(  SUM( T64:T$120), U$17 ),  LEER  )</f>
        <v>1844152.92</v>
      </c>
      <c r="V64" s="493">
        <f t="shared" si="87"/>
        <v>17.419899999999998</v>
      </c>
      <c r="W64" s="493">
        <f t="shared" si="88"/>
        <v>266037.65999999997</v>
      </c>
      <c r="X64" s="493">
        <f xml:space="preserve"> IF( $O64,    ROUND(  SUM( W64:W$120), X$17 ),  LEER  )</f>
        <v>7471795.7300000004</v>
      </c>
      <c r="Y64" s="493">
        <f t="shared" si="89"/>
        <v>70.578800000000001</v>
      </c>
      <c r="Z64" s="493">
        <f t="shared" si="90"/>
        <v>4.0515999999999996</v>
      </c>
      <c r="AA64" s="493">
        <f t="shared" si="91"/>
        <v>1.0105999999999999</v>
      </c>
      <c r="AB64" s="493">
        <f t="shared" si="92"/>
        <v>2.3494000000000002</v>
      </c>
      <c r="AC64" s="545">
        <f t="shared" si="93"/>
        <v>0.38600000000000001</v>
      </c>
      <c r="AD64" s="493">
        <f t="shared" si="94"/>
        <v>4.0986000000000002</v>
      </c>
      <c r="AE64" s="493">
        <f t="shared" si="95"/>
        <v>4.9066000000000001</v>
      </c>
      <c r="AF64" s="493">
        <f t="shared" si="96"/>
        <v>4.9066000000000001</v>
      </c>
      <c r="AG64" s="493" t="str">
        <f t="shared" si="97"/>
        <v>.</v>
      </c>
      <c r="AH64" s="493" t="str">
        <f t="shared" si="98"/>
        <v>.</v>
      </c>
      <c r="AI64" s="423">
        <f t="shared" si="99"/>
        <v>2077.79</v>
      </c>
      <c r="AJ64" s="423">
        <f t="shared" si="100"/>
        <v>10194.879999999999</v>
      </c>
      <c r="AK64" s="423">
        <f t="shared" si="101"/>
        <v>849.57</v>
      </c>
      <c r="AN64" s="423">
        <f t="shared" si="115"/>
        <v>79538.97</v>
      </c>
      <c r="AO64" s="423">
        <f t="shared" si="115"/>
        <v>78735.45</v>
      </c>
      <c r="AR64" s="546">
        <f xml:space="preserve"> ROUND(  INDEX( Kx!64:64, AR$16 ),  AR$17 )</f>
        <v>0.72729999999999995</v>
      </c>
      <c r="AS64" s="547">
        <f xml:space="preserve"> ROUND(  INDEX( qx!64:64, AS$16 ),  AS$17 )</f>
        <v>5.8999999999999999E-3</v>
      </c>
      <c r="AT64" s="547">
        <f xml:space="preserve"> ROUND(  INDEX( qx!64:64, AT$16 ),  AT$17 )</f>
        <v>3.8E-3</v>
      </c>
      <c r="AU64" s="548" t="str">
        <f t="shared" si="102"/>
        <v>F</v>
      </c>
      <c r="AV64" s="542">
        <f t="shared" si="103"/>
        <v>0.64</v>
      </c>
      <c r="AW64" s="542">
        <f t="shared" si="104"/>
        <v>5.1000000000000004E-3</v>
      </c>
      <c r="AX64" s="546">
        <f xml:space="preserve"> ROUND(  INDEX( wx!64:64, AX$16 ),  AX$17 )</f>
        <v>5.8999999999999999E-3</v>
      </c>
      <c r="AY64" s="546">
        <f xml:space="preserve"> ROUND(  INDEX( wx!64:64, AY$16 ),  AY$17 )</f>
        <v>5.7999999999999996E-3</v>
      </c>
      <c r="AZ64" s="548" t="str">
        <f t="shared" si="105"/>
        <v>F</v>
      </c>
      <c r="BA64" s="542">
        <f t="shared" si="106"/>
        <v>0.64</v>
      </c>
      <c r="BB64" s="542">
        <f t="shared" si="107"/>
        <v>5.8999999999999999E-3</v>
      </c>
      <c r="BC64" s="533">
        <f xml:space="preserve"> ROUND(  INDEX( Kx!64:64, BC$16 ),  BC$17 )</f>
        <v>5306.13</v>
      </c>
      <c r="BD64" s="533">
        <f xml:space="preserve"> ROUND(  INDEX( Kx!64:64, BD$16 ),  BD$17 )</f>
        <v>4886.3500000000004</v>
      </c>
      <c r="BE64" s="548" t="str">
        <f t="shared" si="58"/>
        <v>M</v>
      </c>
      <c r="BF64" s="542">
        <f t="shared" si="108"/>
        <v>0.8</v>
      </c>
      <c r="BG64" s="420">
        <f t="shared" si="109"/>
        <v>5222.17</v>
      </c>
      <c r="BQ64" s="549"/>
      <c r="BR64" s="423"/>
      <c r="BS64" s="550"/>
      <c r="BT64" s="423"/>
      <c r="BU64" s="551"/>
      <c r="BV64" s="551"/>
      <c r="BW64" s="529"/>
      <c r="BX64" s="552"/>
      <c r="BY64" s="560"/>
      <c r="BZ64" s="559"/>
      <c r="CB64" s="423"/>
      <c r="CC64" s="423"/>
      <c r="CD64" s="423"/>
      <c r="CE64" s="423"/>
      <c r="CF64" s="553"/>
      <c r="CH64" s="423"/>
      <c r="CI64" s="423"/>
      <c r="CJ64" s="423"/>
      <c r="CK64" s="423"/>
      <c r="CL64" s="553"/>
      <c r="CN64" s="423"/>
      <c r="CO64" s="423"/>
      <c r="CP64" s="423"/>
      <c r="CQ64" s="423"/>
      <c r="CR64" s="553"/>
      <c r="EI64" s="553"/>
      <c r="EJ64" s="553"/>
      <c r="EK64" s="423"/>
      <c r="EL64" s="555"/>
      <c r="ES64" s="533"/>
      <c r="ET64" s="533"/>
      <c r="EU64" s="533"/>
      <c r="EV64" s="556"/>
      <c r="EY64" s="533"/>
      <c r="EZ64" s="533"/>
      <c r="FA64" s="556"/>
      <c r="FD64" s="556"/>
      <c r="FE64" s="556"/>
      <c r="FF64" s="556"/>
      <c r="FK64" s="557">
        <f t="shared" si="48"/>
        <v>64</v>
      </c>
      <c r="FL64" s="493">
        <f t="shared" si="59"/>
        <v>70.578800000000001</v>
      </c>
      <c r="FM64" s="493">
        <f t="shared" si="60"/>
        <v>17.419899999999998</v>
      </c>
      <c r="FO64" s="427">
        <f t="shared" si="61"/>
        <v>2660077.1399999992</v>
      </c>
      <c r="FP64" s="558">
        <f t="shared" si="110"/>
        <v>103199.57</v>
      </c>
      <c r="FQ64" s="558">
        <f t="shared" si="110"/>
        <v>101733.68</v>
      </c>
      <c r="FR64" s="558">
        <f t="shared" si="110"/>
        <v>100264.17</v>
      </c>
      <c r="FS64" s="558">
        <f t="shared" si="110"/>
        <v>98794.66</v>
      </c>
      <c r="FT64" s="558">
        <f t="shared" si="110"/>
        <v>97274.47</v>
      </c>
      <c r="FU64" s="558">
        <f t="shared" si="110"/>
        <v>95710.85</v>
      </c>
      <c r="FV64" s="558">
        <f t="shared" si="110"/>
        <v>94161.71</v>
      </c>
      <c r="FW64" s="558">
        <f t="shared" si="110"/>
        <v>92601.71</v>
      </c>
      <c r="FX64" s="558">
        <f t="shared" si="110"/>
        <v>90987.42</v>
      </c>
      <c r="FY64" s="558">
        <f t="shared" si="110"/>
        <v>89307.97</v>
      </c>
      <c r="FZ64" s="558">
        <f t="shared" si="110"/>
        <v>87617.67</v>
      </c>
      <c r="GA64" s="558">
        <f t="shared" si="110"/>
        <v>85902.03</v>
      </c>
      <c r="GB64" s="558">
        <f t="shared" si="110"/>
        <v>84146.58</v>
      </c>
      <c r="GC64" s="558">
        <f t="shared" si="110"/>
        <v>82383.89</v>
      </c>
      <c r="GD64" s="558">
        <f t="shared" si="110"/>
        <v>80566.91</v>
      </c>
      <c r="GE64" s="558">
        <f t="shared" si="110"/>
        <v>78735.45</v>
      </c>
      <c r="GF64" s="558">
        <f t="shared" si="80"/>
        <v>76849.69</v>
      </c>
      <c r="GG64" s="558">
        <f t="shared" si="80"/>
        <v>74920.5</v>
      </c>
      <c r="GH64" s="558">
        <f t="shared" si="80"/>
        <v>72937.02</v>
      </c>
      <c r="GI64" s="558">
        <f t="shared" si="80"/>
        <v>70895.63</v>
      </c>
      <c r="GJ64" s="558">
        <f t="shared" si="80"/>
        <v>68792.710000000006</v>
      </c>
      <c r="GK64" s="558">
        <f t="shared" si="80"/>
        <v>66610.16</v>
      </c>
      <c r="GL64" s="558">
        <f t="shared" si="80"/>
        <v>64347.97</v>
      </c>
      <c r="GM64" s="558">
        <f t="shared" si="80"/>
        <v>62002.55</v>
      </c>
      <c r="GN64" s="558">
        <f t="shared" si="80"/>
        <v>59563.01</v>
      </c>
      <c r="GO64" s="558">
        <f t="shared" si="80"/>
        <v>57047.46</v>
      </c>
      <c r="GP64" s="558">
        <f t="shared" si="80"/>
        <v>54445.05</v>
      </c>
      <c r="GQ64" s="558">
        <f t="shared" si="80"/>
        <v>51763.01</v>
      </c>
      <c r="GR64" s="558">
        <f t="shared" si="80"/>
        <v>49008.58</v>
      </c>
      <c r="GS64" s="558">
        <f t="shared" si="80"/>
        <v>46185.38</v>
      </c>
      <c r="GT64" s="558">
        <f t="shared" si="80"/>
        <v>43304.26</v>
      </c>
      <c r="GU64" s="558">
        <f t="shared" si="80"/>
        <v>40354.379999999997</v>
      </c>
      <c r="GV64" s="558">
        <f t="shared" si="111"/>
        <v>37364.68</v>
      </c>
      <c r="GW64" s="558">
        <f t="shared" si="111"/>
        <v>34320.69</v>
      </c>
      <c r="GX64" s="558">
        <f t="shared" si="111"/>
        <v>31244.12</v>
      </c>
      <c r="GY64" s="558">
        <f t="shared" si="111"/>
        <v>28134.98</v>
      </c>
      <c r="GZ64" s="558">
        <f t="shared" si="111"/>
        <v>24989.65</v>
      </c>
      <c r="HA64" s="558">
        <f t="shared" si="111"/>
        <v>21818.97</v>
      </c>
      <c r="HB64" s="558">
        <f t="shared" si="111"/>
        <v>18601.25</v>
      </c>
      <c r="HC64" s="558">
        <f t="shared" si="111"/>
        <v>15314.75</v>
      </c>
      <c r="HD64" s="558">
        <f t="shared" si="111"/>
        <v>11981.2</v>
      </c>
      <c r="HE64" s="558">
        <f t="shared" si="111"/>
        <v>8615.08</v>
      </c>
      <c r="HF64" s="558">
        <f t="shared" si="111"/>
        <v>5205.5200000000004</v>
      </c>
      <c r="HG64" s="558">
        <f t="shared" si="111"/>
        <v>1770.62</v>
      </c>
      <c r="HH64" s="558">
        <f t="shared" si="111"/>
        <v>-1700.47</v>
      </c>
      <c r="HI64" s="558" t="str">
        <f t="shared" si="111"/>
        <v>.</v>
      </c>
      <c r="HJ64" s="558" t="str">
        <f t="shared" si="111"/>
        <v>.</v>
      </c>
      <c r="HK64" s="558" t="str">
        <f t="shared" si="111"/>
        <v>.</v>
      </c>
      <c r="HL64" s="558" t="str">
        <f t="shared" si="112"/>
        <v>.</v>
      </c>
      <c r="HM64" s="558" t="str">
        <f t="shared" si="112"/>
        <v>.</v>
      </c>
      <c r="HN64" s="558" t="str">
        <f t="shared" si="112"/>
        <v>.</v>
      </c>
      <c r="HO64" s="558" t="str">
        <f t="shared" si="112"/>
        <v>.</v>
      </c>
      <c r="HP64" s="558" t="str">
        <f t="shared" si="112"/>
        <v>.</v>
      </c>
      <c r="HQ64" s="558" t="str">
        <f t="shared" si="112"/>
        <v>.</v>
      </c>
      <c r="HR64" s="558" t="str">
        <f t="shared" si="112"/>
        <v>.</v>
      </c>
      <c r="HS64" s="558" t="str">
        <f t="shared" si="112"/>
        <v>.</v>
      </c>
      <c r="HT64" s="558" t="str">
        <f t="shared" si="112"/>
        <v>.</v>
      </c>
      <c r="HU64" s="558" t="str">
        <f t="shared" si="112"/>
        <v>.</v>
      </c>
      <c r="HV64" s="558" t="str">
        <f t="shared" si="112"/>
        <v>.</v>
      </c>
      <c r="HW64" s="558" t="str">
        <f t="shared" si="112"/>
        <v>.</v>
      </c>
      <c r="HX64" s="558" t="str">
        <f t="shared" si="112"/>
        <v>.</v>
      </c>
      <c r="HY64" s="558" t="str">
        <f t="shared" si="112"/>
        <v>.</v>
      </c>
      <c r="HZ64" s="558" t="str">
        <f t="shared" si="112"/>
        <v>.</v>
      </c>
      <c r="IA64" s="558" t="str">
        <f t="shared" si="112"/>
        <v>.</v>
      </c>
      <c r="IB64" s="558" t="str">
        <f t="shared" si="112"/>
        <v>.</v>
      </c>
      <c r="IC64" s="558" t="str">
        <f t="shared" si="112"/>
        <v>.</v>
      </c>
      <c r="ID64" s="558" t="str">
        <f t="shared" si="79"/>
        <v>.</v>
      </c>
      <c r="IE64" s="558" t="str">
        <f t="shared" si="79"/>
        <v>.</v>
      </c>
      <c r="IF64" s="558" t="str">
        <f t="shared" si="79"/>
        <v>.</v>
      </c>
      <c r="IG64" s="558" t="str">
        <f t="shared" si="79"/>
        <v>.</v>
      </c>
      <c r="IH64" s="558" t="str">
        <f t="shared" si="79"/>
        <v>.</v>
      </c>
      <c r="II64" s="558" t="str">
        <f t="shared" si="79"/>
        <v>.</v>
      </c>
      <c r="IJ64" s="558" t="str">
        <f t="shared" si="79"/>
        <v>.</v>
      </c>
      <c r="IK64" s="558" t="str">
        <f t="shared" si="79"/>
        <v>.</v>
      </c>
      <c r="IL64" s="558" t="str">
        <f t="shared" si="79"/>
        <v>.</v>
      </c>
      <c r="IM64" s="558" t="str">
        <f t="shared" si="79"/>
        <v>.</v>
      </c>
      <c r="IN64" s="558" t="str">
        <f t="shared" si="79"/>
        <v>.</v>
      </c>
      <c r="IO64" s="558" t="str">
        <f t="shared" si="79"/>
        <v>.</v>
      </c>
      <c r="IP64" s="558" t="str">
        <f t="shared" si="79"/>
        <v>.</v>
      </c>
      <c r="IQ64" s="558" t="str">
        <f t="shared" si="79"/>
        <v>.</v>
      </c>
      <c r="IR64" s="558" t="str">
        <f t="shared" si="79"/>
        <v>.</v>
      </c>
      <c r="IS64" s="558" t="str">
        <f t="shared" si="79"/>
        <v>.</v>
      </c>
      <c r="IT64" s="558" t="str">
        <f t="shared" si="79"/>
        <v>.</v>
      </c>
      <c r="IU64" s="558" t="str">
        <f t="shared" si="79"/>
        <v>.</v>
      </c>
      <c r="IV64" s="558" t="str">
        <f t="shared" si="79"/>
        <v>.</v>
      </c>
      <c r="IW64" s="558" t="str">
        <f t="shared" si="117"/>
        <v>.</v>
      </c>
      <c r="IX64" s="558" t="str">
        <f t="shared" si="117"/>
        <v>.</v>
      </c>
      <c r="IY64" s="558" t="str">
        <f t="shared" si="117"/>
        <v>.</v>
      </c>
      <c r="IZ64" s="558" t="str">
        <f t="shared" si="117"/>
        <v>.</v>
      </c>
      <c r="JA64" s="558" t="str">
        <f t="shared" si="117"/>
        <v>.</v>
      </c>
      <c r="JB64" s="558" t="str">
        <f t="shared" si="117"/>
        <v>.</v>
      </c>
      <c r="JC64" s="558" t="str">
        <f t="shared" si="117"/>
        <v>.</v>
      </c>
      <c r="JD64" s="558" t="str">
        <f t="shared" si="117"/>
        <v>.</v>
      </c>
      <c r="JE64" s="558" t="str">
        <f t="shared" si="117"/>
        <v>.</v>
      </c>
      <c r="JF64" s="558" t="str">
        <f t="shared" si="117"/>
        <v>.</v>
      </c>
      <c r="JG64" s="558" t="str">
        <f t="shared" si="117"/>
        <v>.</v>
      </c>
      <c r="JH64" s="558" t="str">
        <f t="shared" si="113"/>
        <v>.</v>
      </c>
      <c r="JI64" s="558" t="str">
        <f t="shared" si="113"/>
        <v>.</v>
      </c>
      <c r="JJ64" s="558" t="str">
        <f t="shared" si="113"/>
        <v>.</v>
      </c>
      <c r="JK64" s="558" t="str">
        <f t="shared" si="113"/>
        <v>.</v>
      </c>
      <c r="JL64" s="558" t="str">
        <f t="shared" si="113"/>
        <v>.</v>
      </c>
    </row>
    <row r="65" spans="1:272" ht="10.199999999999999" x14ac:dyDescent="0.2">
      <c r="A65" s="534">
        <f xml:space="preserve"> Basis!A65</f>
        <v>65</v>
      </c>
      <c r="F65" s="536">
        <f xml:space="preserve"> ROUND(    IF( $A$15=BE_MF_,   AW65,   INDEX( qx!65:65, F$16 ) ),    F$17    )</f>
        <v>5.5999999999999999E-3</v>
      </c>
      <c r="G65" s="536">
        <f xml:space="preserve"> ROUND(    IF( $A$15=BE_MF_,   BB65,   INDEX( wx!65:65, G$16 ) ),    G$17    )</f>
        <v>5.3E-3</v>
      </c>
      <c r="H65" s="537">
        <f xml:space="preserve"> ROUND(    IF( $A$15=BE_MF_,   BG65,   INDEX( Kx!65:65, H$16 ) ),    H$17    )</f>
        <v>5505.39</v>
      </c>
      <c r="I65" s="538">
        <f t="shared" si="55"/>
        <v>5505.39</v>
      </c>
      <c r="J65" s="539">
        <f t="shared" si="81"/>
        <v>2.65</v>
      </c>
      <c r="K65" s="540">
        <f t="shared" si="114"/>
        <v>2</v>
      </c>
      <c r="L65" s="541">
        <f t="shared" si="71"/>
        <v>0</v>
      </c>
      <c r="M65" s="541">
        <f t="shared" si="71"/>
        <v>8.5999999999999993E-2</v>
      </c>
      <c r="O65" s="542" t="b">
        <f t="shared" si="57"/>
        <v>1</v>
      </c>
      <c r="P65" s="493">
        <f t="shared" si="82"/>
        <v>1.09E-2</v>
      </c>
      <c r="Q65" s="493">
        <f t="shared" si="83"/>
        <v>0.98909999999999998</v>
      </c>
      <c r="R65" s="543">
        <f t="shared" si="84"/>
        <v>508480</v>
      </c>
      <c r="S65" s="544">
        <f t="shared" si="85"/>
        <v>0.97560975599999999</v>
      </c>
      <c r="T65" s="423">
        <f t="shared" si="86"/>
        <v>102146.3</v>
      </c>
      <c r="U65" s="423">
        <f xml:space="preserve"> IF( $O65,    ROUND(  SUM( T65:T$120), U$17 ),  LEER  )</f>
        <v>1738288.35</v>
      </c>
      <c r="V65" s="493">
        <f t="shared" si="87"/>
        <v>17.017600000000002</v>
      </c>
      <c r="W65" s="493">
        <f t="shared" si="88"/>
        <v>270687.7</v>
      </c>
      <c r="X65" s="493">
        <f xml:space="preserve"> IF( $O65,    ROUND(  SUM( W65:W$120), X$17 ),  LEER  )</f>
        <v>7205758.0700000003</v>
      </c>
      <c r="Y65" s="493">
        <f t="shared" si="89"/>
        <v>70.543499999999995</v>
      </c>
      <c r="Z65" s="493">
        <f t="shared" si="90"/>
        <v>4.1452999999999998</v>
      </c>
      <c r="AA65" s="493">
        <f t="shared" si="91"/>
        <v>1.0107999999999999</v>
      </c>
      <c r="AB65" s="493">
        <f t="shared" si="92"/>
        <v>2.3494000000000002</v>
      </c>
      <c r="AC65" s="545">
        <f t="shared" si="93"/>
        <v>0.32679999999999998</v>
      </c>
      <c r="AD65" s="493">
        <f t="shared" si="94"/>
        <v>4.1936</v>
      </c>
      <c r="AE65" s="493">
        <f t="shared" si="95"/>
        <v>4.9457000000000004</v>
      </c>
      <c r="AF65" s="493">
        <f t="shared" si="96"/>
        <v>4.9457000000000004</v>
      </c>
      <c r="AG65" s="493" t="str">
        <f t="shared" si="97"/>
        <v>.</v>
      </c>
      <c r="AH65" s="493" t="str">
        <f t="shared" si="98"/>
        <v>.</v>
      </c>
      <c r="AI65" s="423">
        <f t="shared" si="99"/>
        <v>2077.79</v>
      </c>
      <c r="AJ65" s="423">
        <f t="shared" si="100"/>
        <v>10276.129999999999</v>
      </c>
      <c r="AK65" s="423">
        <f t="shared" si="101"/>
        <v>856.34</v>
      </c>
      <c r="AN65" s="423">
        <f t="shared" si="115"/>
        <v>81015.460000000006</v>
      </c>
      <c r="AO65" s="423">
        <f t="shared" si="115"/>
        <v>80230.490000000005</v>
      </c>
      <c r="AR65" s="546">
        <f xml:space="preserve"> ROUND(  INDEX( Kx!65:65, AR$16 ),  AR$17 )</f>
        <v>0.72950000000000004</v>
      </c>
      <c r="AS65" s="547">
        <f xml:space="preserve"> ROUND(  INDEX( qx!65:65, AS$16 ),  AS$17 )</f>
        <v>6.4000000000000003E-3</v>
      </c>
      <c r="AT65" s="547">
        <f xml:space="preserve"> ROUND(  INDEX( qx!65:65, AT$16 ),  AT$17 )</f>
        <v>4.1000000000000003E-3</v>
      </c>
      <c r="AU65" s="548" t="str">
        <f t="shared" si="102"/>
        <v>F</v>
      </c>
      <c r="AV65" s="542">
        <f t="shared" si="103"/>
        <v>0.64259999999999995</v>
      </c>
      <c r="AW65" s="542">
        <f t="shared" si="104"/>
        <v>5.5999999999999999E-3</v>
      </c>
      <c r="AX65" s="546">
        <f xml:space="preserve"> ROUND(  INDEX( wx!65:65, AX$16 ),  AX$17 )</f>
        <v>5.5999999999999999E-3</v>
      </c>
      <c r="AY65" s="546">
        <f xml:space="preserve"> ROUND(  INDEX( wx!65:65, AY$16 ),  AY$17 )</f>
        <v>4.7999999999999996E-3</v>
      </c>
      <c r="AZ65" s="548" t="str">
        <f t="shared" si="105"/>
        <v>F</v>
      </c>
      <c r="BA65" s="542">
        <f t="shared" si="106"/>
        <v>0.64259999999999995</v>
      </c>
      <c r="BB65" s="542">
        <f t="shared" si="107"/>
        <v>5.3E-3</v>
      </c>
      <c r="BC65" s="533">
        <f xml:space="preserve"> ROUND(  INDEX( Kx!65:65, BC$16 ),  BC$17 )</f>
        <v>5608.68</v>
      </c>
      <c r="BD65" s="533">
        <f xml:space="preserve"> ROUND(  INDEX( Kx!65:65, BD$16 ),  BD$17 )</f>
        <v>5087.53</v>
      </c>
      <c r="BE65" s="548" t="str">
        <f t="shared" si="58"/>
        <v>M</v>
      </c>
      <c r="BF65" s="542">
        <f t="shared" si="108"/>
        <v>0.80179999999999996</v>
      </c>
      <c r="BG65" s="420">
        <f t="shared" si="109"/>
        <v>5505.39</v>
      </c>
      <c r="BQ65" s="549"/>
      <c r="BR65" s="423"/>
      <c r="BS65" s="550"/>
      <c r="BT65" s="423"/>
      <c r="BU65" s="551"/>
      <c r="BV65" s="551"/>
      <c r="BW65" s="529"/>
      <c r="BX65" s="552"/>
      <c r="BY65" s="560"/>
      <c r="BZ65" s="559"/>
      <c r="CB65" s="423"/>
      <c r="CC65" s="423"/>
      <c r="CD65" s="423"/>
      <c r="CE65" s="423"/>
      <c r="CF65" s="553"/>
      <c r="CH65" s="423"/>
      <c r="CI65" s="423"/>
      <c r="CJ65" s="423"/>
      <c r="CK65" s="423"/>
      <c r="CL65" s="553"/>
      <c r="CN65" s="423"/>
      <c r="CO65" s="423"/>
      <c r="CP65" s="423"/>
      <c r="CQ65" s="423"/>
      <c r="CR65" s="553"/>
      <c r="EI65" s="553"/>
      <c r="EJ65" s="553"/>
      <c r="EK65" s="423"/>
      <c r="EL65" s="555"/>
      <c r="ES65" s="533"/>
      <c r="ET65" s="533"/>
      <c r="EU65" s="533"/>
      <c r="EV65" s="556"/>
      <c r="EY65" s="533"/>
      <c r="EZ65" s="533"/>
      <c r="FA65" s="556"/>
      <c r="FD65" s="556"/>
      <c r="FE65" s="556"/>
      <c r="FF65" s="556"/>
      <c r="FK65" s="557">
        <f t="shared" si="48"/>
        <v>65</v>
      </c>
      <c r="FL65" s="493">
        <f t="shared" si="59"/>
        <v>70.543499999999995</v>
      </c>
      <c r="FM65" s="493">
        <f t="shared" si="60"/>
        <v>17.017600000000002</v>
      </c>
      <c r="FO65" s="427">
        <f t="shared" si="61"/>
        <v>2746039.8600000003</v>
      </c>
      <c r="FP65" s="558">
        <f t="shared" si="110"/>
        <v>104129.64</v>
      </c>
      <c r="FQ65" s="558">
        <f t="shared" si="110"/>
        <v>102697.60000000001</v>
      </c>
      <c r="FR65" s="558">
        <f t="shared" si="110"/>
        <v>101262.02</v>
      </c>
      <c r="FS65" s="558">
        <f t="shared" si="110"/>
        <v>99826.45</v>
      </c>
      <c r="FT65" s="558">
        <f t="shared" si="110"/>
        <v>98341.37</v>
      </c>
      <c r="FU65" s="558">
        <f t="shared" si="110"/>
        <v>96813.86</v>
      </c>
      <c r="FV65" s="558">
        <f t="shared" si="110"/>
        <v>95300.49</v>
      </c>
      <c r="FW65" s="558">
        <f t="shared" si="110"/>
        <v>93776.52</v>
      </c>
      <c r="FX65" s="558">
        <f t="shared" si="110"/>
        <v>92199.51</v>
      </c>
      <c r="FY65" s="558">
        <f t="shared" si="110"/>
        <v>90558.85</v>
      </c>
      <c r="FZ65" s="558">
        <f t="shared" si="110"/>
        <v>88907.59</v>
      </c>
      <c r="GA65" s="558">
        <f t="shared" si="110"/>
        <v>87231.57</v>
      </c>
      <c r="GB65" s="558">
        <f t="shared" si="110"/>
        <v>85516.66</v>
      </c>
      <c r="GC65" s="558">
        <f t="shared" si="110"/>
        <v>83794.679999999993</v>
      </c>
      <c r="GD65" s="558">
        <f t="shared" si="110"/>
        <v>82019.649999999994</v>
      </c>
      <c r="GE65" s="558">
        <f t="shared" si="110"/>
        <v>80230.490000000005</v>
      </c>
      <c r="GF65" s="558">
        <f t="shared" si="80"/>
        <v>78388.28</v>
      </c>
      <c r="GG65" s="558">
        <f t="shared" si="80"/>
        <v>76503.649999999994</v>
      </c>
      <c r="GH65" s="558">
        <f t="shared" si="80"/>
        <v>74565.98</v>
      </c>
      <c r="GI65" s="558">
        <f t="shared" si="80"/>
        <v>72571.73</v>
      </c>
      <c r="GJ65" s="558">
        <f t="shared" si="80"/>
        <v>70517.37</v>
      </c>
      <c r="GK65" s="558">
        <f t="shared" si="80"/>
        <v>68385.22</v>
      </c>
      <c r="GL65" s="558">
        <f t="shared" si="80"/>
        <v>66175.289999999994</v>
      </c>
      <c r="GM65" s="558">
        <f t="shared" si="80"/>
        <v>63884.02</v>
      </c>
      <c r="GN65" s="558">
        <f t="shared" si="80"/>
        <v>61500.83</v>
      </c>
      <c r="GO65" s="558">
        <f t="shared" si="80"/>
        <v>59043.38</v>
      </c>
      <c r="GP65" s="558">
        <f t="shared" si="80"/>
        <v>56501.06</v>
      </c>
      <c r="GQ65" s="558">
        <f t="shared" si="80"/>
        <v>53880.959999999999</v>
      </c>
      <c r="GR65" s="558">
        <f t="shared" si="80"/>
        <v>51190.14</v>
      </c>
      <c r="GS65" s="558">
        <f t="shared" si="80"/>
        <v>48432.14</v>
      </c>
      <c r="GT65" s="558">
        <f t="shared" si="80"/>
        <v>45617.56</v>
      </c>
      <c r="GU65" s="558">
        <f t="shared" si="80"/>
        <v>42735.81</v>
      </c>
      <c r="GV65" s="558">
        <f t="shared" si="111"/>
        <v>39815.15</v>
      </c>
      <c r="GW65" s="558">
        <f t="shared" si="111"/>
        <v>36841.46</v>
      </c>
      <c r="GX65" s="558">
        <f t="shared" si="111"/>
        <v>33835.949999999997</v>
      </c>
      <c r="GY65" s="558">
        <f t="shared" si="111"/>
        <v>30798.61</v>
      </c>
      <c r="GZ65" s="558">
        <f t="shared" si="111"/>
        <v>27725.91</v>
      </c>
      <c r="HA65" s="558">
        <f t="shared" si="111"/>
        <v>24628.46</v>
      </c>
      <c r="HB65" s="558">
        <f t="shared" si="111"/>
        <v>21485.05</v>
      </c>
      <c r="HC65" s="558">
        <f t="shared" si="111"/>
        <v>18274.45</v>
      </c>
      <c r="HD65" s="558">
        <f t="shared" si="111"/>
        <v>15017.89</v>
      </c>
      <c r="HE65" s="558">
        <f t="shared" si="111"/>
        <v>11729.5</v>
      </c>
      <c r="HF65" s="558">
        <f t="shared" si="111"/>
        <v>8398.68</v>
      </c>
      <c r="HG65" s="558">
        <f t="shared" si="111"/>
        <v>5043.1099999999997</v>
      </c>
      <c r="HH65" s="558">
        <f t="shared" si="111"/>
        <v>1652.19</v>
      </c>
      <c r="HI65" s="558">
        <f t="shared" si="111"/>
        <v>-1706.92</v>
      </c>
      <c r="HJ65" s="558" t="str">
        <f t="shared" si="111"/>
        <v>.</v>
      </c>
      <c r="HK65" s="558" t="str">
        <f t="shared" si="111"/>
        <v>.</v>
      </c>
      <c r="HL65" s="558" t="str">
        <f t="shared" si="112"/>
        <v>.</v>
      </c>
      <c r="HM65" s="558" t="str">
        <f t="shared" si="112"/>
        <v>.</v>
      </c>
      <c r="HN65" s="558" t="str">
        <f t="shared" si="112"/>
        <v>.</v>
      </c>
      <c r="HO65" s="558" t="str">
        <f t="shared" si="112"/>
        <v>.</v>
      </c>
      <c r="HP65" s="558" t="str">
        <f t="shared" si="112"/>
        <v>.</v>
      </c>
      <c r="HQ65" s="558" t="str">
        <f t="shared" si="112"/>
        <v>.</v>
      </c>
      <c r="HR65" s="558" t="str">
        <f t="shared" si="112"/>
        <v>.</v>
      </c>
      <c r="HS65" s="558" t="str">
        <f t="shared" si="112"/>
        <v>.</v>
      </c>
      <c r="HT65" s="558" t="str">
        <f t="shared" si="112"/>
        <v>.</v>
      </c>
      <c r="HU65" s="558" t="str">
        <f t="shared" si="112"/>
        <v>.</v>
      </c>
      <c r="HV65" s="558" t="str">
        <f t="shared" si="112"/>
        <v>.</v>
      </c>
      <c r="HW65" s="558" t="str">
        <f t="shared" si="112"/>
        <v>.</v>
      </c>
      <c r="HX65" s="558" t="str">
        <f t="shared" si="112"/>
        <v>.</v>
      </c>
      <c r="HY65" s="558" t="str">
        <f t="shared" si="112"/>
        <v>.</v>
      </c>
      <c r="HZ65" s="558" t="str">
        <f t="shared" si="112"/>
        <v>.</v>
      </c>
      <c r="IA65" s="558" t="str">
        <f t="shared" si="112"/>
        <v>.</v>
      </c>
      <c r="IB65" s="558" t="str">
        <f t="shared" si="112"/>
        <v>.</v>
      </c>
      <c r="IC65" s="558" t="str">
        <f t="shared" si="112"/>
        <v>.</v>
      </c>
      <c r="ID65" s="558" t="str">
        <f t="shared" ref="ID65:JB76" si="118" xml:space="preserve"> IF(  OR( ID$18&gt;$FK65, $FK65&gt;$FP$12 ),  LEER,  ROUND( $FO$19 * ( $FL65 - ID$15 * $FM65 ), ID$17 )  )</f>
        <v>.</v>
      </c>
      <c r="IE65" s="558" t="str">
        <f t="shared" si="118"/>
        <v>.</v>
      </c>
      <c r="IF65" s="558" t="str">
        <f t="shared" si="118"/>
        <v>.</v>
      </c>
      <c r="IG65" s="558" t="str">
        <f t="shared" si="118"/>
        <v>.</v>
      </c>
      <c r="IH65" s="558" t="str">
        <f t="shared" si="118"/>
        <v>.</v>
      </c>
      <c r="II65" s="558" t="str">
        <f t="shared" si="118"/>
        <v>.</v>
      </c>
      <c r="IJ65" s="558" t="str">
        <f t="shared" si="118"/>
        <v>.</v>
      </c>
      <c r="IK65" s="558" t="str">
        <f t="shared" si="118"/>
        <v>.</v>
      </c>
      <c r="IL65" s="558" t="str">
        <f t="shared" si="118"/>
        <v>.</v>
      </c>
      <c r="IM65" s="558" t="str">
        <f t="shared" si="118"/>
        <v>.</v>
      </c>
      <c r="IN65" s="558" t="str">
        <f t="shared" si="118"/>
        <v>.</v>
      </c>
      <c r="IO65" s="558" t="str">
        <f t="shared" si="118"/>
        <v>.</v>
      </c>
      <c r="IP65" s="558" t="str">
        <f t="shared" si="118"/>
        <v>.</v>
      </c>
      <c r="IQ65" s="558" t="str">
        <f t="shared" si="118"/>
        <v>.</v>
      </c>
      <c r="IR65" s="558" t="str">
        <f t="shared" si="118"/>
        <v>.</v>
      </c>
      <c r="IS65" s="558" t="str">
        <f t="shared" si="118"/>
        <v>.</v>
      </c>
      <c r="IT65" s="558" t="str">
        <f t="shared" si="118"/>
        <v>.</v>
      </c>
      <c r="IU65" s="558" t="str">
        <f t="shared" si="118"/>
        <v>.</v>
      </c>
      <c r="IV65" s="558" t="str">
        <f t="shared" si="118"/>
        <v>.</v>
      </c>
      <c r="IW65" s="558" t="str">
        <f t="shared" si="118"/>
        <v>.</v>
      </c>
      <c r="IX65" s="558" t="str">
        <f t="shared" si="118"/>
        <v>.</v>
      </c>
      <c r="IY65" s="558" t="str">
        <f t="shared" si="118"/>
        <v>.</v>
      </c>
      <c r="IZ65" s="558" t="str">
        <f t="shared" si="118"/>
        <v>.</v>
      </c>
      <c r="JA65" s="558" t="str">
        <f t="shared" si="118"/>
        <v>.</v>
      </c>
      <c r="JB65" s="558" t="str">
        <f t="shared" si="118"/>
        <v>.</v>
      </c>
      <c r="JC65" s="558" t="str">
        <f t="shared" si="117"/>
        <v>.</v>
      </c>
      <c r="JD65" s="558" t="str">
        <f t="shared" si="117"/>
        <v>.</v>
      </c>
      <c r="JE65" s="558" t="str">
        <f t="shared" si="117"/>
        <v>.</v>
      </c>
      <c r="JF65" s="558" t="str">
        <f t="shared" si="117"/>
        <v>.</v>
      </c>
      <c r="JG65" s="558" t="str">
        <f t="shared" si="117"/>
        <v>.</v>
      </c>
      <c r="JH65" s="558" t="str">
        <f t="shared" si="113"/>
        <v>.</v>
      </c>
      <c r="JI65" s="558" t="str">
        <f t="shared" si="113"/>
        <v>.</v>
      </c>
      <c r="JJ65" s="558" t="str">
        <f t="shared" si="113"/>
        <v>.</v>
      </c>
      <c r="JK65" s="558" t="str">
        <f t="shared" si="113"/>
        <v>.</v>
      </c>
      <c r="JL65" s="558" t="str">
        <f t="shared" si="113"/>
        <v>.</v>
      </c>
    </row>
    <row r="66" spans="1:272" ht="10.199999999999999" x14ac:dyDescent="0.2">
      <c r="A66" s="534">
        <f xml:space="preserve"> Basis!A66</f>
        <v>66</v>
      </c>
      <c r="F66" s="536">
        <f xml:space="preserve"> ROUND(    IF( $A$15=BE_MF_,   AW66,   INDEX( qx!66:66, F$16 ) ),    F$17    )</f>
        <v>6.1000000000000004E-3</v>
      </c>
      <c r="G66" s="536">
        <f xml:space="preserve"> ROUND(    IF( $A$15=BE_MF_,   BB66,   INDEX( wx!66:66, G$16 ) ),    G$17    )</f>
        <v>4.7000000000000002E-3</v>
      </c>
      <c r="H66" s="537">
        <f xml:space="preserve"> ROUND(    IF( $A$15=BE_MF_,   BG66,   INDEX( Kx!66:66, H$16 ) ),    H$17    )</f>
        <v>5798.42</v>
      </c>
      <c r="I66" s="538">
        <f t="shared" si="55"/>
        <v>5798.42</v>
      </c>
      <c r="J66" s="539">
        <f t="shared" si="81"/>
        <v>2.7909999999999999</v>
      </c>
      <c r="K66" s="540">
        <f t="shared" si="114"/>
        <v>2</v>
      </c>
      <c r="L66" s="541">
        <f t="shared" si="71"/>
        <v>0</v>
      </c>
      <c r="M66" s="541">
        <f t="shared" si="71"/>
        <v>8.5999999999999993E-2</v>
      </c>
      <c r="O66" s="542" t="b">
        <f t="shared" si="57"/>
        <v>1</v>
      </c>
      <c r="P66" s="493">
        <f t="shared" si="82"/>
        <v>1.0800000000000001E-2</v>
      </c>
      <c r="Q66" s="493">
        <f t="shared" si="83"/>
        <v>0.98919999999999997</v>
      </c>
      <c r="R66" s="543">
        <f t="shared" si="84"/>
        <v>502937</v>
      </c>
      <c r="S66" s="544">
        <f t="shared" si="85"/>
        <v>0.97560975599999999</v>
      </c>
      <c r="T66" s="423">
        <f t="shared" si="86"/>
        <v>98568.57</v>
      </c>
      <c r="U66" s="423">
        <f xml:space="preserve"> IF( $O66,    ROUND(  SUM( T66:T$120), U$17 ),  LEER  )</f>
        <v>1636142.05</v>
      </c>
      <c r="V66" s="493">
        <f t="shared" si="87"/>
        <v>16.599</v>
      </c>
      <c r="W66" s="493">
        <f t="shared" si="88"/>
        <v>275104.88</v>
      </c>
      <c r="X66" s="493">
        <f xml:space="preserve"> IF( $O66,    ROUND(  SUM( W66:W$120), X$17 ),  LEER  )</f>
        <v>6935070.3700000001</v>
      </c>
      <c r="Y66" s="493">
        <f t="shared" si="89"/>
        <v>70.357799999999997</v>
      </c>
      <c r="Z66" s="493">
        <f t="shared" si="90"/>
        <v>4.2386999999999997</v>
      </c>
      <c r="AA66" s="493">
        <f t="shared" si="91"/>
        <v>1.0111000000000001</v>
      </c>
      <c r="AB66" s="493">
        <f t="shared" si="92"/>
        <v>2.3494000000000002</v>
      </c>
      <c r="AC66" s="545">
        <f t="shared" si="93"/>
        <v>0.32679999999999998</v>
      </c>
      <c r="AD66" s="493">
        <f t="shared" si="94"/>
        <v>4.2893999999999997</v>
      </c>
      <c r="AE66" s="493">
        <f t="shared" si="95"/>
        <v>5.0505000000000004</v>
      </c>
      <c r="AF66" s="493">
        <f t="shared" si="96"/>
        <v>5.0505000000000004</v>
      </c>
      <c r="AG66" s="493" t="str">
        <f t="shared" si="97"/>
        <v>.</v>
      </c>
      <c r="AH66" s="493" t="str">
        <f t="shared" si="98"/>
        <v>.</v>
      </c>
      <c r="AI66" s="423">
        <f t="shared" si="99"/>
        <v>2077.79</v>
      </c>
      <c r="AJ66" s="423">
        <f t="shared" si="100"/>
        <v>10493.88</v>
      </c>
      <c r="AK66" s="423">
        <f t="shared" si="101"/>
        <v>874.49</v>
      </c>
      <c r="AN66" s="423">
        <f t="shared" si="115"/>
        <v>82242.240000000005</v>
      </c>
      <c r="AO66" s="423">
        <f t="shared" si="115"/>
        <v>81476.58</v>
      </c>
      <c r="AR66" s="546">
        <f xml:space="preserve"> ROUND(  INDEX( Kx!66:66, AR$16 ),  AR$17 )</f>
        <v>0.72860000000000003</v>
      </c>
      <c r="AS66" s="547">
        <f xml:space="preserve"> ROUND(  INDEX( qx!66:66, AS$16 ),  AS$17 )</f>
        <v>7.0000000000000001E-3</v>
      </c>
      <c r="AT66" s="547">
        <f xml:space="preserve"> ROUND(  INDEX( qx!66:66, AT$16 ),  AT$17 )</f>
        <v>4.4000000000000003E-3</v>
      </c>
      <c r="AU66" s="548" t="str">
        <f t="shared" si="102"/>
        <v>F</v>
      </c>
      <c r="AV66" s="542">
        <f t="shared" si="103"/>
        <v>0.64149999999999996</v>
      </c>
      <c r="AW66" s="542">
        <f t="shared" si="104"/>
        <v>6.1000000000000004E-3</v>
      </c>
      <c r="AX66" s="546">
        <f xml:space="preserve"> ROUND(  INDEX( wx!66:66, AX$16 ),  AX$17 )</f>
        <v>5.1000000000000004E-3</v>
      </c>
      <c r="AY66" s="546">
        <f xml:space="preserve"> ROUND(  INDEX( wx!66:66, AY$16 ),  AY$17 )</f>
        <v>4.0000000000000001E-3</v>
      </c>
      <c r="AZ66" s="548" t="str">
        <f t="shared" si="105"/>
        <v>F</v>
      </c>
      <c r="BA66" s="542">
        <f t="shared" si="106"/>
        <v>0.64149999999999996</v>
      </c>
      <c r="BB66" s="542">
        <f t="shared" si="107"/>
        <v>4.7000000000000002E-3</v>
      </c>
      <c r="BC66" s="533">
        <f xml:space="preserve"> ROUND(  INDEX( Kx!66:66, BC$16 ),  BC$17 )</f>
        <v>5922.4</v>
      </c>
      <c r="BD66" s="533">
        <f xml:space="preserve"> ROUND(  INDEX( Kx!66:66, BD$16 ),  BD$17 )</f>
        <v>5299.05</v>
      </c>
      <c r="BE66" s="548" t="str">
        <f t="shared" si="58"/>
        <v>M</v>
      </c>
      <c r="BF66" s="542">
        <f t="shared" si="108"/>
        <v>0.80110000000000003</v>
      </c>
      <c r="BG66" s="420">
        <f t="shared" si="109"/>
        <v>5798.42</v>
      </c>
      <c r="BQ66" s="549"/>
      <c r="BR66" s="423"/>
      <c r="BS66" s="550"/>
      <c r="BT66" s="423"/>
      <c r="BU66" s="551"/>
      <c r="BV66" s="551"/>
      <c r="BW66" s="529"/>
      <c r="BX66" s="552"/>
      <c r="BY66" s="560"/>
      <c r="BZ66" s="559"/>
      <c r="CB66" s="423"/>
      <c r="CC66" s="423"/>
      <c r="CD66" s="423"/>
      <c r="CE66" s="423"/>
      <c r="CF66" s="553"/>
      <c r="CH66" s="423"/>
      <c r="CI66" s="423"/>
      <c r="CJ66" s="423"/>
      <c r="CK66" s="423"/>
      <c r="CL66" s="553"/>
      <c r="CN66" s="423"/>
      <c r="CO66" s="423"/>
      <c r="CP66" s="423"/>
      <c r="CQ66" s="423"/>
      <c r="CR66" s="553"/>
      <c r="EI66" s="553"/>
      <c r="EJ66" s="553"/>
      <c r="EK66" s="423"/>
      <c r="EL66" s="555"/>
      <c r="ES66" s="533"/>
      <c r="ET66" s="533"/>
      <c r="EU66" s="533"/>
      <c r="EV66" s="556"/>
      <c r="EY66" s="533"/>
      <c r="EZ66" s="533"/>
      <c r="FA66" s="556"/>
      <c r="FD66" s="556"/>
      <c r="FE66" s="556"/>
      <c r="FF66" s="556"/>
      <c r="FK66" s="557">
        <f t="shared" si="48"/>
        <v>66</v>
      </c>
      <c r="FL66" s="493">
        <f t="shared" si="59"/>
        <v>70.357799999999997</v>
      </c>
      <c r="FM66" s="493">
        <f t="shared" si="60"/>
        <v>16.599</v>
      </c>
      <c r="FO66" s="427">
        <f t="shared" si="61"/>
        <v>2824845.0499999993</v>
      </c>
      <c r="FP66" s="558">
        <f t="shared" si="110"/>
        <v>104787.85</v>
      </c>
      <c r="FQ66" s="558">
        <f t="shared" si="110"/>
        <v>103391.03999999999</v>
      </c>
      <c r="FR66" s="558">
        <f t="shared" si="110"/>
        <v>101990.78</v>
      </c>
      <c r="FS66" s="558">
        <f t="shared" si="110"/>
        <v>100590.51</v>
      </c>
      <c r="FT66" s="558">
        <f t="shared" si="110"/>
        <v>99141.97</v>
      </c>
      <c r="FU66" s="558">
        <f t="shared" si="110"/>
        <v>97652.03</v>
      </c>
      <c r="FV66" s="558">
        <f t="shared" si="110"/>
        <v>96175.89</v>
      </c>
      <c r="FW66" s="558">
        <f t="shared" si="110"/>
        <v>94689.41</v>
      </c>
      <c r="FX66" s="558">
        <f t="shared" si="110"/>
        <v>93151.19</v>
      </c>
      <c r="FY66" s="558">
        <f t="shared" si="110"/>
        <v>91550.89</v>
      </c>
      <c r="FZ66" s="558">
        <f t="shared" si="110"/>
        <v>89940.24</v>
      </c>
      <c r="GA66" s="558">
        <f t="shared" si="110"/>
        <v>88305.45</v>
      </c>
      <c r="GB66" s="558">
        <f t="shared" si="110"/>
        <v>86632.72</v>
      </c>
      <c r="GC66" s="558">
        <f t="shared" si="110"/>
        <v>84953.09</v>
      </c>
      <c r="GD66" s="558">
        <f t="shared" si="110"/>
        <v>83221.73</v>
      </c>
      <c r="GE66" s="558">
        <f t="shared" si="110"/>
        <v>81476.58</v>
      </c>
      <c r="GF66" s="558">
        <f t="shared" si="80"/>
        <v>79679.69</v>
      </c>
      <c r="GG66" s="558">
        <f t="shared" si="80"/>
        <v>77841.41</v>
      </c>
      <c r="GH66" s="558">
        <f t="shared" si="80"/>
        <v>75951.399999999994</v>
      </c>
      <c r="GI66" s="558">
        <f t="shared" si="80"/>
        <v>74006.210000000006</v>
      </c>
      <c r="GJ66" s="558">
        <f t="shared" si="80"/>
        <v>72002.39</v>
      </c>
      <c r="GK66" s="558">
        <f t="shared" si="80"/>
        <v>69922.69</v>
      </c>
      <c r="GL66" s="558">
        <f t="shared" si="80"/>
        <v>67767.11</v>
      </c>
      <c r="GM66" s="558">
        <f t="shared" si="80"/>
        <v>65532.21</v>
      </c>
      <c r="GN66" s="558">
        <f t="shared" si="80"/>
        <v>63207.63</v>
      </c>
      <c r="GO66" s="558">
        <f t="shared" si="80"/>
        <v>60810.63</v>
      </c>
      <c r="GP66" s="558">
        <f t="shared" si="80"/>
        <v>58330.85</v>
      </c>
      <c r="GQ66" s="558">
        <f t="shared" si="80"/>
        <v>55775.199999999997</v>
      </c>
      <c r="GR66" s="558">
        <f t="shared" si="80"/>
        <v>53150.57</v>
      </c>
      <c r="GS66" s="558">
        <f t="shared" si="80"/>
        <v>50460.41</v>
      </c>
      <c r="GT66" s="558">
        <f t="shared" si="80"/>
        <v>47715.07</v>
      </c>
      <c r="GU66" s="558">
        <f t="shared" ref="GU66:HJ81" si="119" xml:space="preserve"> IF(  OR( GU$18&gt;$FK66, $FK66&gt;$FP$12 ),  LEER,  ROUND( $FO$19 * ( $FL66 - GU$15 * $FM66 ), GU$17 )  )</f>
        <v>44904.19</v>
      </c>
      <c r="GV66" s="558">
        <f t="shared" si="119"/>
        <v>42055.38</v>
      </c>
      <c r="GW66" s="558">
        <f t="shared" si="119"/>
        <v>39154.839999999997</v>
      </c>
      <c r="GX66" s="558">
        <f t="shared" si="111"/>
        <v>36223.25</v>
      </c>
      <c r="GY66" s="558">
        <f t="shared" si="111"/>
        <v>33260.629999999997</v>
      </c>
      <c r="GZ66" s="558">
        <f t="shared" si="111"/>
        <v>30263.51</v>
      </c>
      <c r="HA66" s="558">
        <f t="shared" si="111"/>
        <v>27242.26</v>
      </c>
      <c r="HB66" s="558">
        <f t="shared" si="111"/>
        <v>24176.16</v>
      </c>
      <c r="HC66" s="558">
        <f t="shared" si="111"/>
        <v>21044.54</v>
      </c>
      <c r="HD66" s="558">
        <f t="shared" si="111"/>
        <v>17868.080000000002</v>
      </c>
      <c r="HE66" s="558">
        <f t="shared" si="111"/>
        <v>14660.58</v>
      </c>
      <c r="HF66" s="558">
        <f t="shared" si="111"/>
        <v>11411.7</v>
      </c>
      <c r="HG66" s="558">
        <f t="shared" si="111"/>
        <v>8138.67</v>
      </c>
      <c r="HH66" s="558">
        <f t="shared" si="111"/>
        <v>4831.1499999999996</v>
      </c>
      <c r="HI66" s="558">
        <f t="shared" si="111"/>
        <v>1554.67</v>
      </c>
      <c r="HJ66" s="558">
        <f t="shared" si="111"/>
        <v>-1749.4</v>
      </c>
      <c r="HK66" s="558" t="str">
        <f t="shared" si="111"/>
        <v>.</v>
      </c>
      <c r="HL66" s="558" t="str">
        <f t="shared" si="112"/>
        <v>.</v>
      </c>
      <c r="HM66" s="558" t="str">
        <f t="shared" si="112"/>
        <v>.</v>
      </c>
      <c r="HN66" s="558" t="str">
        <f t="shared" si="112"/>
        <v>.</v>
      </c>
      <c r="HO66" s="558" t="str">
        <f t="shared" ref="HO66:IF80" si="120" xml:space="preserve"> IF(  OR( HO$18&gt;$FK66, $FK66&gt;$FP$12 ),  LEER,  ROUND( $FO$19 * ( $FL66 - HO$15 * $FM66 ), HO$17 )  )</f>
        <v>.</v>
      </c>
      <c r="HP66" s="558" t="str">
        <f t="shared" si="120"/>
        <v>.</v>
      </c>
      <c r="HQ66" s="558" t="str">
        <f t="shared" si="120"/>
        <v>.</v>
      </c>
      <c r="HR66" s="558" t="str">
        <f t="shared" si="120"/>
        <v>.</v>
      </c>
      <c r="HS66" s="558" t="str">
        <f t="shared" si="120"/>
        <v>.</v>
      </c>
      <c r="HT66" s="558" t="str">
        <f t="shared" si="120"/>
        <v>.</v>
      </c>
      <c r="HU66" s="558" t="str">
        <f t="shared" si="120"/>
        <v>.</v>
      </c>
      <c r="HV66" s="558" t="str">
        <f t="shared" si="120"/>
        <v>.</v>
      </c>
      <c r="HW66" s="558" t="str">
        <f t="shared" si="120"/>
        <v>.</v>
      </c>
      <c r="HX66" s="558" t="str">
        <f t="shared" si="120"/>
        <v>.</v>
      </c>
      <c r="HY66" s="558" t="str">
        <f t="shared" si="120"/>
        <v>.</v>
      </c>
      <c r="HZ66" s="558" t="str">
        <f t="shared" si="120"/>
        <v>.</v>
      </c>
      <c r="IA66" s="558" t="str">
        <f t="shared" si="120"/>
        <v>.</v>
      </c>
      <c r="IB66" s="558" t="str">
        <f t="shared" si="120"/>
        <v>.</v>
      </c>
      <c r="IC66" s="558" t="str">
        <f t="shared" si="120"/>
        <v>.</v>
      </c>
      <c r="ID66" s="558" t="str">
        <f t="shared" si="120"/>
        <v>.</v>
      </c>
      <c r="IE66" s="558" t="str">
        <f t="shared" si="120"/>
        <v>.</v>
      </c>
      <c r="IF66" s="558" t="str">
        <f t="shared" si="120"/>
        <v>.</v>
      </c>
      <c r="IG66" s="558" t="str">
        <f t="shared" si="118"/>
        <v>.</v>
      </c>
      <c r="IH66" s="558" t="str">
        <f t="shared" si="118"/>
        <v>.</v>
      </c>
      <c r="II66" s="558" t="str">
        <f t="shared" si="118"/>
        <v>.</v>
      </c>
      <c r="IJ66" s="558" t="str">
        <f t="shared" si="118"/>
        <v>.</v>
      </c>
      <c r="IK66" s="558" t="str">
        <f t="shared" si="118"/>
        <v>.</v>
      </c>
      <c r="IL66" s="558" t="str">
        <f t="shared" si="118"/>
        <v>.</v>
      </c>
      <c r="IM66" s="558" t="str">
        <f t="shared" si="118"/>
        <v>.</v>
      </c>
      <c r="IN66" s="558" t="str">
        <f t="shared" si="118"/>
        <v>.</v>
      </c>
      <c r="IO66" s="558" t="str">
        <f t="shared" si="118"/>
        <v>.</v>
      </c>
      <c r="IP66" s="558" t="str">
        <f t="shared" si="118"/>
        <v>.</v>
      </c>
      <c r="IQ66" s="558" t="str">
        <f t="shared" si="118"/>
        <v>.</v>
      </c>
      <c r="IR66" s="558" t="str">
        <f t="shared" si="118"/>
        <v>.</v>
      </c>
      <c r="IS66" s="558" t="str">
        <f t="shared" si="118"/>
        <v>.</v>
      </c>
      <c r="IT66" s="558" t="str">
        <f t="shared" si="118"/>
        <v>.</v>
      </c>
      <c r="IU66" s="558" t="str">
        <f t="shared" si="118"/>
        <v>.</v>
      </c>
      <c r="IV66" s="558" t="str">
        <f t="shared" si="118"/>
        <v>.</v>
      </c>
      <c r="IW66" s="558" t="str">
        <f t="shared" si="118"/>
        <v>.</v>
      </c>
      <c r="IX66" s="558" t="str">
        <f t="shared" si="118"/>
        <v>.</v>
      </c>
      <c r="IY66" s="558" t="str">
        <f t="shared" si="118"/>
        <v>.</v>
      </c>
      <c r="IZ66" s="558" t="str">
        <f t="shared" si="118"/>
        <v>.</v>
      </c>
      <c r="JA66" s="558" t="str">
        <f t="shared" si="118"/>
        <v>.</v>
      </c>
      <c r="JB66" s="558" t="str">
        <f t="shared" si="118"/>
        <v>.</v>
      </c>
      <c r="JC66" s="558" t="str">
        <f t="shared" si="117"/>
        <v>.</v>
      </c>
      <c r="JD66" s="558" t="str">
        <f t="shared" si="117"/>
        <v>.</v>
      </c>
      <c r="JE66" s="558" t="str">
        <f t="shared" si="117"/>
        <v>.</v>
      </c>
      <c r="JF66" s="558" t="str">
        <f t="shared" si="117"/>
        <v>.</v>
      </c>
      <c r="JG66" s="558" t="str">
        <f t="shared" si="117"/>
        <v>.</v>
      </c>
      <c r="JH66" s="558" t="str">
        <f t="shared" si="113"/>
        <v>.</v>
      </c>
      <c r="JI66" s="558" t="str">
        <f t="shared" si="113"/>
        <v>.</v>
      </c>
      <c r="JJ66" s="558" t="str">
        <f t="shared" si="113"/>
        <v>.</v>
      </c>
      <c r="JK66" s="558" t="str">
        <f t="shared" si="113"/>
        <v>.</v>
      </c>
      <c r="JL66" s="558" t="str">
        <f t="shared" si="113"/>
        <v>.</v>
      </c>
    </row>
    <row r="67" spans="1:272" ht="10.199999999999999" x14ac:dyDescent="0.2">
      <c r="A67" s="534">
        <f xml:space="preserve"> Basis!A67</f>
        <v>67</v>
      </c>
      <c r="F67" s="536">
        <f xml:space="preserve"> ROUND(    IF( $A$15=BE_MF_,   AW67,   INDEX( qx!67:67, F$16 ) ),    F$17    )</f>
        <v>6.7000000000000002E-3</v>
      </c>
      <c r="G67" s="536">
        <f xml:space="preserve"> ROUND(    IF( $A$15=BE_MF_,   BB67,   INDEX( wx!67:67, G$16 ) ),    G$17    )</f>
        <v>4.1000000000000003E-3</v>
      </c>
      <c r="H67" s="537">
        <f xml:space="preserve"> ROUND(    IF( $A$15=BE_MF_,   BG67,   INDEX( Kx!67:67, H$16 ) ),    H$17    )</f>
        <v>6101.4</v>
      </c>
      <c r="I67" s="538">
        <f t="shared" si="55"/>
        <v>6101.4</v>
      </c>
      <c r="J67" s="539">
        <f t="shared" si="81"/>
        <v>2.9359999999999999</v>
      </c>
      <c r="K67" s="540">
        <f t="shared" si="114"/>
        <v>2</v>
      </c>
      <c r="L67" s="541">
        <f t="shared" si="71"/>
        <v>0</v>
      </c>
      <c r="M67" s="541">
        <f t="shared" si="71"/>
        <v>8.5999999999999993E-2</v>
      </c>
      <c r="O67" s="542" t="b">
        <f t="shared" si="57"/>
        <v>1</v>
      </c>
      <c r="P67" s="493">
        <f t="shared" si="82"/>
        <v>1.0800000000000001E-2</v>
      </c>
      <c r="Q67" s="493">
        <f t="shared" si="83"/>
        <v>0.98919999999999997</v>
      </c>
      <c r="R67" s="543">
        <f t="shared" si="84"/>
        <v>497505</v>
      </c>
      <c r="S67" s="544">
        <f t="shared" si="85"/>
        <v>0.97560975599999999</v>
      </c>
      <c r="T67" s="423">
        <f t="shared" si="86"/>
        <v>95125.83</v>
      </c>
      <c r="U67" s="423">
        <f xml:space="preserve"> IF( $O67,    ROUND(  SUM( T67:T$120), U$17 ),  LEER  )</f>
        <v>1537573.48</v>
      </c>
      <c r="V67" s="493">
        <f t="shared" si="87"/>
        <v>16.163599999999999</v>
      </c>
      <c r="W67" s="493">
        <f t="shared" si="88"/>
        <v>279289.44</v>
      </c>
      <c r="X67" s="493">
        <f xml:space="preserve"> IF( $O67,    ROUND(  SUM( W67:W$120), X$17 ),  LEER  )</f>
        <v>6659965.4900000002</v>
      </c>
      <c r="Y67" s="493">
        <f t="shared" si="89"/>
        <v>70.012200000000007</v>
      </c>
      <c r="Z67" s="493">
        <f t="shared" si="90"/>
        <v>4.3315000000000001</v>
      </c>
      <c r="AA67" s="493">
        <f t="shared" si="91"/>
        <v>1.0114000000000001</v>
      </c>
      <c r="AB67" s="493">
        <f t="shared" si="92"/>
        <v>2.3494000000000002</v>
      </c>
      <c r="AC67" s="545">
        <f t="shared" si="93"/>
        <v>0.32679999999999998</v>
      </c>
      <c r="AD67" s="493">
        <f t="shared" si="94"/>
        <v>4.3845999999999998</v>
      </c>
      <c r="AE67" s="493">
        <f t="shared" si="95"/>
        <v>5.1547000000000001</v>
      </c>
      <c r="AF67" s="493">
        <f t="shared" si="96"/>
        <v>5.1547000000000001</v>
      </c>
      <c r="AG67" s="493" t="str">
        <f t="shared" si="97"/>
        <v>.</v>
      </c>
      <c r="AH67" s="493" t="str">
        <f t="shared" si="98"/>
        <v>.</v>
      </c>
      <c r="AI67" s="423">
        <f t="shared" si="99"/>
        <v>2077.79</v>
      </c>
      <c r="AJ67" s="423">
        <f t="shared" si="100"/>
        <v>10710.38</v>
      </c>
      <c r="AK67" s="423">
        <f t="shared" si="101"/>
        <v>892.53</v>
      </c>
      <c r="AN67" s="423">
        <f t="shared" si="115"/>
        <v>83201.5</v>
      </c>
      <c r="AO67" s="423">
        <f t="shared" si="115"/>
        <v>82455.929999999993</v>
      </c>
      <c r="AR67" s="546">
        <f xml:space="preserve"> ROUND(  INDEX( Kx!67:67, AR$16 ),  AR$17 )</f>
        <v>0.7288</v>
      </c>
      <c r="AS67" s="547">
        <f xml:space="preserve"> ROUND(  INDEX( qx!67:67, AS$16 ),  AS$17 )</f>
        <v>7.7000000000000002E-3</v>
      </c>
      <c r="AT67" s="547">
        <f xml:space="preserve"> ROUND(  INDEX( qx!67:67, AT$16 ),  AT$17 )</f>
        <v>4.7999999999999996E-3</v>
      </c>
      <c r="AU67" s="548" t="str">
        <f t="shared" si="102"/>
        <v>F</v>
      </c>
      <c r="AV67" s="542">
        <f t="shared" si="103"/>
        <v>0.64180000000000004</v>
      </c>
      <c r="AW67" s="542">
        <f t="shared" si="104"/>
        <v>6.7000000000000002E-3</v>
      </c>
      <c r="AX67" s="546">
        <f xml:space="preserve"> ROUND(  INDEX( wx!67:67, AX$16 ),  AX$17 )</f>
        <v>4.5999999999999999E-3</v>
      </c>
      <c r="AY67" s="546">
        <f xml:space="preserve"> ROUND(  INDEX( wx!67:67, AY$16 ),  AY$17 )</f>
        <v>3.3E-3</v>
      </c>
      <c r="AZ67" s="548" t="str">
        <f t="shared" si="105"/>
        <v>F</v>
      </c>
      <c r="BA67" s="542">
        <f t="shared" si="106"/>
        <v>0.64180000000000004</v>
      </c>
      <c r="BB67" s="542">
        <f t="shared" si="107"/>
        <v>4.1000000000000003E-3</v>
      </c>
      <c r="BC67" s="533">
        <f xml:space="preserve"> ROUND(  INDEX( Kx!67:67, BC$16 ),  BC$17 )</f>
        <v>6242.11</v>
      </c>
      <c r="BD67" s="533">
        <f xml:space="preserve"> ROUND(  INDEX( Kx!67:67, BD$16 ),  BD$17 )</f>
        <v>5534.32</v>
      </c>
      <c r="BE67" s="548" t="str">
        <f t="shared" si="58"/>
        <v>M</v>
      </c>
      <c r="BF67" s="542">
        <f t="shared" si="108"/>
        <v>0.80120000000000002</v>
      </c>
      <c r="BG67" s="420">
        <f t="shared" si="109"/>
        <v>6101.4</v>
      </c>
      <c r="BQ67" s="549"/>
      <c r="BR67" s="423"/>
      <c r="BS67" s="550"/>
      <c r="BT67" s="423"/>
      <c r="BU67" s="551"/>
      <c r="BV67" s="551"/>
      <c r="BW67" s="529"/>
      <c r="BX67" s="552"/>
      <c r="BY67" s="560"/>
      <c r="BZ67" s="559"/>
      <c r="CB67" s="423"/>
      <c r="CC67" s="423"/>
      <c r="CD67" s="423"/>
      <c r="CE67" s="423"/>
      <c r="CF67" s="553"/>
      <c r="CH67" s="423"/>
      <c r="CI67" s="423"/>
      <c r="CJ67" s="423"/>
      <c r="CK67" s="423"/>
      <c r="CL67" s="553"/>
      <c r="CN67" s="423"/>
      <c r="CO67" s="423"/>
      <c r="CP67" s="423"/>
      <c r="CQ67" s="423"/>
      <c r="CR67" s="553"/>
      <c r="EI67" s="553"/>
      <c r="EJ67" s="553"/>
      <c r="EK67" s="423"/>
      <c r="EL67" s="555"/>
      <c r="ES67" s="533"/>
      <c r="ET67" s="533"/>
      <c r="EU67" s="533"/>
      <c r="EV67" s="556"/>
      <c r="EY67" s="533"/>
      <c r="EZ67" s="533"/>
      <c r="FA67" s="556"/>
      <c r="FD67" s="556"/>
      <c r="FE67" s="556"/>
      <c r="FF67" s="556"/>
      <c r="FK67" s="557">
        <f t="shared" si="48"/>
        <v>67</v>
      </c>
      <c r="FL67" s="493">
        <f t="shared" si="59"/>
        <v>70.012200000000007</v>
      </c>
      <c r="FM67" s="493">
        <f t="shared" si="60"/>
        <v>16.163599999999999</v>
      </c>
      <c r="FO67" s="427">
        <f t="shared" si="61"/>
        <v>2895440.0900000003</v>
      </c>
      <c r="FP67" s="558">
        <f t="shared" si="110"/>
        <v>105155.74</v>
      </c>
      <c r="FQ67" s="558">
        <f t="shared" si="110"/>
        <v>103795.56</v>
      </c>
      <c r="FR67" s="558">
        <f t="shared" si="110"/>
        <v>102432.03</v>
      </c>
      <c r="FS67" s="558">
        <f t="shared" si="110"/>
        <v>101068.49</v>
      </c>
      <c r="FT67" s="558">
        <f t="shared" si="110"/>
        <v>99657.94</v>
      </c>
      <c r="FU67" s="558">
        <f t="shared" si="110"/>
        <v>98207.09</v>
      </c>
      <c r="FV67" s="558">
        <f t="shared" si="110"/>
        <v>96769.67</v>
      </c>
      <c r="FW67" s="558">
        <f t="shared" si="110"/>
        <v>95322.17</v>
      </c>
      <c r="FX67" s="558">
        <f t="shared" si="110"/>
        <v>93824.3</v>
      </c>
      <c r="FY67" s="558">
        <f t="shared" si="110"/>
        <v>92265.98</v>
      </c>
      <c r="FZ67" s="558">
        <f t="shared" si="110"/>
        <v>90697.58</v>
      </c>
      <c r="GA67" s="558">
        <f t="shared" si="110"/>
        <v>89105.67</v>
      </c>
      <c r="GB67" s="558">
        <f t="shared" si="110"/>
        <v>87476.82</v>
      </c>
      <c r="GC67" s="558">
        <f t="shared" si="110"/>
        <v>85841.25</v>
      </c>
      <c r="GD67" s="558">
        <f t="shared" si="110"/>
        <v>84155.31</v>
      </c>
      <c r="GE67" s="558">
        <f t="shared" ref="GE67:GT82" si="121" xml:space="preserve"> IF(  OR( GE$18&gt;$FK67, $FK67&gt;$FP$12 ),  LEER,  ROUND( $FO$19 * ( $FL67 - GE$15 * $FM67 ), GE$17 )  )</f>
        <v>82455.929999999993</v>
      </c>
      <c r="GF67" s="558">
        <f t="shared" si="121"/>
        <v>80706.17</v>
      </c>
      <c r="GG67" s="558">
        <f t="shared" si="121"/>
        <v>78916.11</v>
      </c>
      <c r="GH67" s="558">
        <f t="shared" si="121"/>
        <v>77075.679999999993</v>
      </c>
      <c r="GI67" s="558">
        <f t="shared" si="121"/>
        <v>75181.509999999995</v>
      </c>
      <c r="GJ67" s="558">
        <f t="shared" si="121"/>
        <v>73230.25</v>
      </c>
      <c r="GK67" s="558">
        <f t="shared" si="121"/>
        <v>71205.100000000006</v>
      </c>
      <c r="GL67" s="558">
        <f t="shared" si="121"/>
        <v>69106.06</v>
      </c>
      <c r="GM67" s="558">
        <f t="shared" si="121"/>
        <v>66929.78</v>
      </c>
      <c r="GN67" s="558">
        <f t="shared" si="121"/>
        <v>64666.18</v>
      </c>
      <c r="GO67" s="558">
        <f t="shared" si="121"/>
        <v>62332.05</v>
      </c>
      <c r="GP67" s="558">
        <f t="shared" si="121"/>
        <v>59917.32</v>
      </c>
      <c r="GQ67" s="558">
        <f t="shared" si="121"/>
        <v>57428.71</v>
      </c>
      <c r="GR67" s="558">
        <f t="shared" si="121"/>
        <v>54872.92</v>
      </c>
      <c r="GS67" s="558">
        <f t="shared" si="121"/>
        <v>52253.33</v>
      </c>
      <c r="GT67" s="558">
        <f t="shared" si="121"/>
        <v>49579.99</v>
      </c>
      <c r="GU67" s="558">
        <f t="shared" si="119"/>
        <v>46842.85</v>
      </c>
      <c r="GV67" s="558">
        <f t="shared" si="119"/>
        <v>44068.77</v>
      </c>
      <c r="GW67" s="558">
        <f t="shared" si="119"/>
        <v>41244.31</v>
      </c>
      <c r="GX67" s="558">
        <f t="shared" si="111"/>
        <v>38389.620000000003</v>
      </c>
      <c r="GY67" s="558">
        <f t="shared" si="111"/>
        <v>35504.699999999997</v>
      </c>
      <c r="GZ67" s="558">
        <f t="shared" si="111"/>
        <v>32586.2</v>
      </c>
      <c r="HA67" s="558">
        <f t="shared" si="111"/>
        <v>29644.2</v>
      </c>
      <c r="HB67" s="558">
        <f t="shared" si="111"/>
        <v>26658.53</v>
      </c>
      <c r="HC67" s="558">
        <f t="shared" si="111"/>
        <v>23609.05</v>
      </c>
      <c r="HD67" s="558">
        <f t="shared" si="111"/>
        <v>20515.91</v>
      </c>
      <c r="HE67" s="558">
        <f t="shared" si="111"/>
        <v>17392.55</v>
      </c>
      <c r="HF67" s="558">
        <f t="shared" si="111"/>
        <v>14228.88</v>
      </c>
      <c r="HG67" s="558">
        <f t="shared" si="111"/>
        <v>11041.7</v>
      </c>
      <c r="HH67" s="558">
        <f t="shared" si="111"/>
        <v>7820.95</v>
      </c>
      <c r="HI67" s="558">
        <f t="shared" si="111"/>
        <v>4630.41</v>
      </c>
      <c r="HJ67" s="558">
        <f t="shared" si="111"/>
        <v>1413.01</v>
      </c>
      <c r="HK67" s="558">
        <f t="shared" si="111"/>
        <v>-1784.24</v>
      </c>
      <c r="HL67" s="558" t="str">
        <f t="shared" ref="HL67:HO83" si="122" xml:space="preserve"> IF(  OR( HL$18&gt;$FK67, $FK67&gt;$FP$12 ),  LEER,  ROUND( $FO$19 * ( $FL67 - HL$15 * $FM67 ), HL$17 )  )</f>
        <v>.</v>
      </c>
      <c r="HM67" s="558" t="str">
        <f t="shared" si="122"/>
        <v>.</v>
      </c>
      <c r="HN67" s="558" t="str">
        <f t="shared" si="122"/>
        <v>.</v>
      </c>
      <c r="HO67" s="558" t="str">
        <f t="shared" si="122"/>
        <v>.</v>
      </c>
      <c r="HP67" s="558" t="str">
        <f t="shared" si="120"/>
        <v>.</v>
      </c>
      <c r="HQ67" s="558" t="str">
        <f t="shared" si="120"/>
        <v>.</v>
      </c>
      <c r="HR67" s="558" t="str">
        <f t="shared" si="120"/>
        <v>.</v>
      </c>
      <c r="HS67" s="558" t="str">
        <f t="shared" si="120"/>
        <v>.</v>
      </c>
      <c r="HT67" s="558" t="str">
        <f t="shared" si="120"/>
        <v>.</v>
      </c>
      <c r="HU67" s="558" t="str">
        <f t="shared" si="120"/>
        <v>.</v>
      </c>
      <c r="HV67" s="558" t="str">
        <f t="shared" si="120"/>
        <v>.</v>
      </c>
      <c r="HW67" s="558" t="str">
        <f t="shared" si="120"/>
        <v>.</v>
      </c>
      <c r="HX67" s="558" t="str">
        <f t="shared" si="120"/>
        <v>.</v>
      </c>
      <c r="HY67" s="558" t="str">
        <f t="shared" si="120"/>
        <v>.</v>
      </c>
      <c r="HZ67" s="558" t="str">
        <f t="shared" si="120"/>
        <v>.</v>
      </c>
      <c r="IA67" s="558" t="str">
        <f t="shared" si="120"/>
        <v>.</v>
      </c>
      <c r="IB67" s="558" t="str">
        <f t="shared" si="120"/>
        <v>.</v>
      </c>
      <c r="IC67" s="558" t="str">
        <f t="shared" si="120"/>
        <v>.</v>
      </c>
      <c r="ID67" s="558" t="str">
        <f t="shared" si="120"/>
        <v>.</v>
      </c>
      <c r="IE67" s="558" t="str">
        <f t="shared" si="120"/>
        <v>.</v>
      </c>
      <c r="IF67" s="558" t="str">
        <f t="shared" si="120"/>
        <v>.</v>
      </c>
      <c r="IG67" s="558" t="str">
        <f t="shared" si="118"/>
        <v>.</v>
      </c>
      <c r="IH67" s="558" t="str">
        <f t="shared" si="118"/>
        <v>.</v>
      </c>
      <c r="II67" s="558" t="str">
        <f t="shared" si="118"/>
        <v>.</v>
      </c>
      <c r="IJ67" s="558" t="str">
        <f t="shared" si="118"/>
        <v>.</v>
      </c>
      <c r="IK67" s="558" t="str">
        <f t="shared" si="118"/>
        <v>.</v>
      </c>
      <c r="IL67" s="558" t="str">
        <f t="shared" si="118"/>
        <v>.</v>
      </c>
      <c r="IM67" s="558" t="str">
        <f t="shared" si="118"/>
        <v>.</v>
      </c>
      <c r="IN67" s="558" t="str">
        <f t="shared" si="118"/>
        <v>.</v>
      </c>
      <c r="IO67" s="558" t="str">
        <f t="shared" si="118"/>
        <v>.</v>
      </c>
      <c r="IP67" s="558" t="str">
        <f t="shared" si="118"/>
        <v>.</v>
      </c>
      <c r="IQ67" s="558" t="str">
        <f t="shared" si="118"/>
        <v>.</v>
      </c>
      <c r="IR67" s="558" t="str">
        <f t="shared" si="118"/>
        <v>.</v>
      </c>
      <c r="IS67" s="558" t="str">
        <f t="shared" si="118"/>
        <v>.</v>
      </c>
      <c r="IT67" s="558" t="str">
        <f t="shared" si="118"/>
        <v>.</v>
      </c>
      <c r="IU67" s="558" t="str">
        <f t="shared" si="118"/>
        <v>.</v>
      </c>
      <c r="IV67" s="558" t="str">
        <f t="shared" si="118"/>
        <v>.</v>
      </c>
      <c r="IW67" s="558" t="str">
        <f t="shared" si="118"/>
        <v>.</v>
      </c>
      <c r="IX67" s="558" t="str">
        <f t="shared" si="118"/>
        <v>.</v>
      </c>
      <c r="IY67" s="558" t="str">
        <f t="shared" si="118"/>
        <v>.</v>
      </c>
      <c r="IZ67" s="558" t="str">
        <f t="shared" si="118"/>
        <v>.</v>
      </c>
      <c r="JA67" s="558" t="str">
        <f t="shared" si="118"/>
        <v>.</v>
      </c>
      <c r="JB67" s="558" t="str">
        <f t="shared" si="118"/>
        <v>.</v>
      </c>
      <c r="JC67" s="558" t="str">
        <f t="shared" si="117"/>
        <v>.</v>
      </c>
      <c r="JD67" s="558" t="str">
        <f t="shared" si="117"/>
        <v>.</v>
      </c>
      <c r="JE67" s="558" t="str">
        <f t="shared" si="117"/>
        <v>.</v>
      </c>
      <c r="JF67" s="558" t="str">
        <f t="shared" si="117"/>
        <v>.</v>
      </c>
      <c r="JG67" s="558" t="str">
        <f t="shared" si="117"/>
        <v>.</v>
      </c>
      <c r="JH67" s="558" t="str">
        <f t="shared" si="113"/>
        <v>.</v>
      </c>
      <c r="JI67" s="558" t="str">
        <f t="shared" si="113"/>
        <v>.</v>
      </c>
      <c r="JJ67" s="558" t="str">
        <f t="shared" si="113"/>
        <v>.</v>
      </c>
      <c r="JK67" s="558" t="str">
        <f t="shared" si="113"/>
        <v>.</v>
      </c>
      <c r="JL67" s="558" t="str">
        <f t="shared" si="113"/>
        <v>.</v>
      </c>
    </row>
    <row r="68" spans="1:272" ht="10.199999999999999" x14ac:dyDescent="0.2">
      <c r="A68" s="534">
        <f xml:space="preserve"> Basis!A68</f>
        <v>68</v>
      </c>
      <c r="F68" s="536">
        <f xml:space="preserve"> ROUND(    IF( $A$15=BE_MF_,   AW68,   INDEX( qx!68:68, F$16 ) ),    F$17    )</f>
        <v>7.1999999999999998E-3</v>
      </c>
      <c r="G68" s="536">
        <f xml:space="preserve"> ROUND(    IF( $A$15=BE_MF_,   BB68,   INDEX( wx!68:68, G$16 ) ),    G$17    )</f>
        <v>3.7000000000000002E-3</v>
      </c>
      <c r="H68" s="537">
        <f xml:space="preserve"> ROUND(    IF( $A$15=BE_MF_,   BG68,   INDEX( Kx!68:68, H$16 ) ),    H$17    )</f>
        <v>6404.98</v>
      </c>
      <c r="I68" s="538">
        <f t="shared" si="55"/>
        <v>6404.98</v>
      </c>
      <c r="J68" s="539">
        <f t="shared" si="81"/>
        <v>3.0830000000000002</v>
      </c>
      <c r="K68" s="540">
        <f t="shared" si="114"/>
        <v>2</v>
      </c>
      <c r="L68" s="541">
        <f t="shared" si="71"/>
        <v>0</v>
      </c>
      <c r="M68" s="541">
        <f t="shared" si="71"/>
        <v>8.5999999999999993E-2</v>
      </c>
      <c r="O68" s="542" t="b">
        <f t="shared" si="57"/>
        <v>1</v>
      </c>
      <c r="P68" s="493">
        <f t="shared" si="82"/>
        <v>1.09E-2</v>
      </c>
      <c r="Q68" s="493">
        <f t="shared" si="83"/>
        <v>0.98909999999999998</v>
      </c>
      <c r="R68" s="543">
        <f t="shared" si="84"/>
        <v>492131</v>
      </c>
      <c r="S68" s="544">
        <f t="shared" si="85"/>
        <v>0.97560975599999999</v>
      </c>
      <c r="T68" s="423">
        <f t="shared" si="86"/>
        <v>91803.21</v>
      </c>
      <c r="U68" s="423">
        <f xml:space="preserve"> IF( $O68,    ROUND(  SUM( T68:T$120), U$17 ),  LEER  )</f>
        <v>1442447.65</v>
      </c>
      <c r="V68" s="493">
        <f t="shared" si="87"/>
        <v>15.712400000000001</v>
      </c>
      <c r="W68" s="493">
        <f t="shared" si="88"/>
        <v>283029.3</v>
      </c>
      <c r="X68" s="493">
        <f xml:space="preserve"> IF( $O68,    ROUND(  SUM( W68:W$120), X$17 ),  LEER  )</f>
        <v>6380676.0499999998</v>
      </c>
      <c r="Y68" s="493">
        <f t="shared" si="89"/>
        <v>69.503799999999998</v>
      </c>
      <c r="Z68" s="493">
        <f t="shared" si="90"/>
        <v>4.4234999999999998</v>
      </c>
      <c r="AA68" s="493">
        <f t="shared" si="91"/>
        <v>1.0117</v>
      </c>
      <c r="AB68" s="493">
        <f t="shared" si="92"/>
        <v>2.3494000000000002</v>
      </c>
      <c r="AC68" s="545">
        <f t="shared" si="93"/>
        <v>0.32679999999999998</v>
      </c>
      <c r="AD68" s="493">
        <f t="shared" si="94"/>
        <v>4.4790999999999999</v>
      </c>
      <c r="AE68" s="493">
        <f t="shared" si="95"/>
        <v>5.2580999999999998</v>
      </c>
      <c r="AF68" s="493">
        <f t="shared" si="96"/>
        <v>5.2580999999999998</v>
      </c>
      <c r="AG68" s="493" t="str">
        <f t="shared" si="97"/>
        <v>.</v>
      </c>
      <c r="AH68" s="493" t="str">
        <f t="shared" si="98"/>
        <v>.</v>
      </c>
      <c r="AI68" s="423">
        <f t="shared" si="99"/>
        <v>2077.79</v>
      </c>
      <c r="AJ68" s="423">
        <f t="shared" si="100"/>
        <v>10925.23</v>
      </c>
      <c r="AK68" s="423">
        <f t="shared" si="101"/>
        <v>910.44</v>
      </c>
      <c r="AN68" s="423">
        <f t="shared" si="115"/>
        <v>83883.37</v>
      </c>
      <c r="AO68" s="423">
        <f t="shared" si="115"/>
        <v>83158.61</v>
      </c>
      <c r="AR68" s="546">
        <f xml:space="preserve"> ROUND(  INDEX( Kx!68:68, AR$16 ),  AR$17 )</f>
        <v>0.72399999999999998</v>
      </c>
      <c r="AS68" s="547">
        <f xml:space="preserve"> ROUND(  INDEX( qx!68:68, AS$16 ),  AS$17 )</f>
        <v>8.3999999999999995E-3</v>
      </c>
      <c r="AT68" s="547">
        <f xml:space="preserve"> ROUND(  INDEX( qx!68:68, AT$16 ),  AT$17 )</f>
        <v>5.1000000000000004E-3</v>
      </c>
      <c r="AU68" s="548" t="str">
        <f t="shared" si="102"/>
        <v>F</v>
      </c>
      <c r="AV68" s="542">
        <f t="shared" si="103"/>
        <v>0.63619999999999999</v>
      </c>
      <c r="AW68" s="542">
        <f t="shared" si="104"/>
        <v>7.1999999999999998E-3</v>
      </c>
      <c r="AX68" s="546">
        <f xml:space="preserve"> ROUND(  INDEX( wx!68:68, AX$16 ),  AX$17 )</f>
        <v>4.1999999999999997E-3</v>
      </c>
      <c r="AY68" s="546">
        <f xml:space="preserve"> ROUND(  INDEX( wx!68:68, AY$16 ),  AY$17 )</f>
        <v>2.8999999999999998E-3</v>
      </c>
      <c r="AZ68" s="548" t="str">
        <f t="shared" si="105"/>
        <v>F</v>
      </c>
      <c r="BA68" s="542">
        <f t="shared" si="106"/>
        <v>0.63619999999999999</v>
      </c>
      <c r="BB68" s="542">
        <f t="shared" si="107"/>
        <v>3.7000000000000002E-3</v>
      </c>
      <c r="BC68" s="533">
        <f xml:space="preserve"> ROUND(  INDEX( Kx!68:68, BC$16 ),  BC$17 )</f>
        <v>6564.2</v>
      </c>
      <c r="BD68" s="533">
        <f xml:space="preserve"> ROUND(  INDEX( Kx!68:68, BD$16 ),  BD$17 )</f>
        <v>5778.3</v>
      </c>
      <c r="BE68" s="548" t="str">
        <f t="shared" si="58"/>
        <v>M</v>
      </c>
      <c r="BF68" s="542">
        <f t="shared" si="108"/>
        <v>0.7974</v>
      </c>
      <c r="BG68" s="420">
        <f t="shared" si="109"/>
        <v>6404.98</v>
      </c>
      <c r="BQ68" s="549"/>
      <c r="BR68" s="423"/>
      <c r="BS68" s="550"/>
      <c r="BT68" s="423"/>
      <c r="BU68" s="551"/>
      <c r="BV68" s="551"/>
      <c r="BW68" s="529"/>
      <c r="BX68" s="552"/>
      <c r="BY68" s="560"/>
      <c r="BZ68" s="559"/>
      <c r="CB68" s="423"/>
      <c r="CC68" s="423"/>
      <c r="CD68" s="423"/>
      <c r="CE68" s="423"/>
      <c r="CF68" s="553"/>
      <c r="CH68" s="423"/>
      <c r="CI68" s="423"/>
      <c r="CJ68" s="423"/>
      <c r="CK68" s="423"/>
      <c r="CL68" s="553"/>
      <c r="CN68" s="423"/>
      <c r="CO68" s="423"/>
      <c r="CP68" s="423"/>
      <c r="CQ68" s="423"/>
      <c r="CR68" s="553"/>
      <c r="EI68" s="553"/>
      <c r="EJ68" s="553"/>
      <c r="EK68" s="423"/>
      <c r="EL68" s="555"/>
      <c r="ES68" s="533"/>
      <c r="ET68" s="533"/>
      <c r="EU68" s="533"/>
      <c r="EV68" s="556"/>
      <c r="EY68" s="533"/>
      <c r="EZ68" s="533"/>
      <c r="FA68" s="556"/>
      <c r="FD68" s="556"/>
      <c r="FE68" s="556"/>
      <c r="FF68" s="556"/>
      <c r="FK68" s="557">
        <f t="shared" si="48"/>
        <v>68</v>
      </c>
      <c r="FL68" s="493">
        <f t="shared" si="59"/>
        <v>69.503799999999998</v>
      </c>
      <c r="FM68" s="493">
        <f t="shared" si="60"/>
        <v>15.712400000000001</v>
      </c>
      <c r="FO68" s="427">
        <f t="shared" si="61"/>
        <v>2957011.28</v>
      </c>
      <c r="FP68" s="558">
        <f t="shared" ref="FP68:GE83" si="123" xml:space="preserve"> IF(  OR( FP$18&gt;$FK68, $FK68&gt;$FP$12 ),  LEER,  ROUND( $FO$19 * ( $FL68 - FP$15 * $FM68 ), FP$17 )  )</f>
        <v>105224.76</v>
      </c>
      <c r="FQ68" s="558">
        <f t="shared" si="123"/>
        <v>103902.55</v>
      </c>
      <c r="FR68" s="558">
        <f t="shared" si="123"/>
        <v>102577.08</v>
      </c>
      <c r="FS68" s="558">
        <f t="shared" si="123"/>
        <v>101251.61</v>
      </c>
      <c r="FT68" s="558">
        <f t="shared" si="123"/>
        <v>99880.44</v>
      </c>
      <c r="FU68" s="558">
        <f t="shared" si="123"/>
        <v>98470.080000000002</v>
      </c>
      <c r="FV68" s="558">
        <f t="shared" si="123"/>
        <v>97072.79</v>
      </c>
      <c r="FW68" s="558">
        <f t="shared" si="123"/>
        <v>95665.7</v>
      </c>
      <c r="FX68" s="558">
        <f t="shared" si="123"/>
        <v>94209.64</v>
      </c>
      <c r="FY68" s="558">
        <f t="shared" si="123"/>
        <v>92694.82</v>
      </c>
      <c r="FZ68" s="558">
        <f t="shared" si="123"/>
        <v>91170.2</v>
      </c>
      <c r="GA68" s="558">
        <f t="shared" si="123"/>
        <v>89622.73</v>
      </c>
      <c r="GB68" s="558">
        <f t="shared" si="123"/>
        <v>88039.34</v>
      </c>
      <c r="GC68" s="558">
        <f t="shared" si="123"/>
        <v>86449.43</v>
      </c>
      <c r="GD68" s="558">
        <f t="shared" si="123"/>
        <v>84810.55</v>
      </c>
      <c r="GE68" s="558">
        <f t="shared" si="123"/>
        <v>83158.61</v>
      </c>
      <c r="GF68" s="558">
        <f t="shared" si="121"/>
        <v>81457.7</v>
      </c>
      <c r="GG68" s="558">
        <f t="shared" si="121"/>
        <v>79717.61</v>
      </c>
      <c r="GH68" s="558">
        <f t="shared" si="121"/>
        <v>77928.55</v>
      </c>
      <c r="GI68" s="558">
        <f t="shared" si="121"/>
        <v>76087.25</v>
      </c>
      <c r="GJ68" s="558">
        <f t="shared" si="121"/>
        <v>74190.460000000006</v>
      </c>
      <c r="GK68" s="558">
        <f t="shared" si="121"/>
        <v>72221.84</v>
      </c>
      <c r="GL68" s="558">
        <f t="shared" si="121"/>
        <v>70181.399999999994</v>
      </c>
      <c r="GM68" s="558">
        <f t="shared" si="121"/>
        <v>68065.87</v>
      </c>
      <c r="GN68" s="558">
        <f t="shared" si="121"/>
        <v>65865.460000000006</v>
      </c>
      <c r="GO68" s="558">
        <f t="shared" si="121"/>
        <v>63596.480000000003</v>
      </c>
      <c r="GP68" s="558">
        <f t="shared" si="121"/>
        <v>61249.16</v>
      </c>
      <c r="GQ68" s="558">
        <f t="shared" si="121"/>
        <v>58830.01</v>
      </c>
      <c r="GR68" s="558">
        <f t="shared" si="121"/>
        <v>56345.57</v>
      </c>
      <c r="GS68" s="558">
        <f t="shared" si="121"/>
        <v>53799.1</v>
      </c>
      <c r="GT68" s="558">
        <f t="shared" si="121"/>
        <v>51200.39</v>
      </c>
      <c r="GU68" s="558">
        <f t="shared" si="119"/>
        <v>48539.66</v>
      </c>
      <c r="GV68" s="558">
        <f t="shared" si="119"/>
        <v>45843.01</v>
      </c>
      <c r="GW68" s="558">
        <f t="shared" si="119"/>
        <v>43097.39</v>
      </c>
      <c r="GX68" s="558">
        <f t="shared" si="119"/>
        <v>40322.39</v>
      </c>
      <c r="GY68" s="558">
        <f t="shared" si="119"/>
        <v>37518.01</v>
      </c>
      <c r="GZ68" s="558">
        <f t="shared" si="119"/>
        <v>34680.980000000003</v>
      </c>
      <c r="HA68" s="558">
        <f t="shared" si="119"/>
        <v>31821.09</v>
      </c>
      <c r="HB68" s="558">
        <f t="shared" si="119"/>
        <v>28918.77</v>
      </c>
      <c r="HC68" s="558">
        <f t="shared" si="119"/>
        <v>25954.42</v>
      </c>
      <c r="HD68" s="558">
        <f t="shared" si="119"/>
        <v>22947.62</v>
      </c>
      <c r="HE68" s="558">
        <f t="shared" si="119"/>
        <v>19911.439999999999</v>
      </c>
      <c r="HF68" s="558">
        <f t="shared" si="119"/>
        <v>16836.09</v>
      </c>
      <c r="HG68" s="558">
        <f t="shared" si="119"/>
        <v>13737.88</v>
      </c>
      <c r="HH68" s="558">
        <f t="shared" si="119"/>
        <v>10607.03</v>
      </c>
      <c r="HI68" s="558">
        <f t="shared" si="119"/>
        <v>7505.56</v>
      </c>
      <c r="HJ68" s="558">
        <f t="shared" si="119"/>
        <v>4377.97</v>
      </c>
      <c r="HK68" s="558">
        <f t="shared" ref="HK68:HK83" si="124" xml:space="preserve"> IF(  OR( HK$18&gt;$FK68, $FK68&gt;$FP$12 ),  LEER,  ROUND( $FO$19 * ( $FL68 - HK$15 * $FM68 ), HK$17 )  )</f>
        <v>1269.97</v>
      </c>
      <c r="HL68" s="558">
        <f t="shared" si="122"/>
        <v>-1815.18</v>
      </c>
      <c r="HM68" s="558" t="str">
        <f t="shared" si="122"/>
        <v>.</v>
      </c>
      <c r="HN68" s="558" t="str">
        <f t="shared" si="122"/>
        <v>.</v>
      </c>
      <c r="HO68" s="558" t="str">
        <f t="shared" si="122"/>
        <v>.</v>
      </c>
      <c r="HP68" s="558" t="str">
        <f t="shared" si="120"/>
        <v>.</v>
      </c>
      <c r="HQ68" s="558" t="str">
        <f t="shared" si="120"/>
        <v>.</v>
      </c>
      <c r="HR68" s="558" t="str">
        <f t="shared" si="120"/>
        <v>.</v>
      </c>
      <c r="HS68" s="558" t="str">
        <f t="shared" si="120"/>
        <v>.</v>
      </c>
      <c r="HT68" s="558" t="str">
        <f t="shared" si="120"/>
        <v>.</v>
      </c>
      <c r="HU68" s="558" t="str">
        <f t="shared" si="120"/>
        <v>.</v>
      </c>
      <c r="HV68" s="558" t="str">
        <f t="shared" si="120"/>
        <v>.</v>
      </c>
      <c r="HW68" s="558" t="str">
        <f t="shared" si="120"/>
        <v>.</v>
      </c>
      <c r="HX68" s="558" t="str">
        <f t="shared" si="120"/>
        <v>.</v>
      </c>
      <c r="HY68" s="558" t="str">
        <f t="shared" si="120"/>
        <v>.</v>
      </c>
      <c r="HZ68" s="558" t="str">
        <f t="shared" si="120"/>
        <v>.</v>
      </c>
      <c r="IA68" s="558" t="str">
        <f t="shared" si="120"/>
        <v>.</v>
      </c>
      <c r="IB68" s="558" t="str">
        <f t="shared" si="120"/>
        <v>.</v>
      </c>
      <c r="IC68" s="558" t="str">
        <f t="shared" si="120"/>
        <v>.</v>
      </c>
      <c r="ID68" s="558" t="str">
        <f t="shared" si="120"/>
        <v>.</v>
      </c>
      <c r="IE68" s="558" t="str">
        <f t="shared" si="120"/>
        <v>.</v>
      </c>
      <c r="IF68" s="558" t="str">
        <f t="shared" si="120"/>
        <v>.</v>
      </c>
      <c r="IG68" s="558" t="str">
        <f t="shared" si="118"/>
        <v>.</v>
      </c>
      <c r="IH68" s="558" t="str">
        <f t="shared" si="118"/>
        <v>.</v>
      </c>
      <c r="II68" s="558" t="str">
        <f t="shared" si="118"/>
        <v>.</v>
      </c>
      <c r="IJ68" s="558" t="str">
        <f t="shared" si="118"/>
        <v>.</v>
      </c>
      <c r="IK68" s="558" t="str">
        <f t="shared" si="118"/>
        <v>.</v>
      </c>
      <c r="IL68" s="558" t="str">
        <f t="shared" si="118"/>
        <v>.</v>
      </c>
      <c r="IM68" s="558" t="str">
        <f t="shared" si="118"/>
        <v>.</v>
      </c>
      <c r="IN68" s="558" t="str">
        <f t="shared" si="118"/>
        <v>.</v>
      </c>
      <c r="IO68" s="558" t="str">
        <f t="shared" si="118"/>
        <v>.</v>
      </c>
      <c r="IP68" s="558" t="str">
        <f t="shared" si="118"/>
        <v>.</v>
      </c>
      <c r="IQ68" s="558" t="str">
        <f t="shared" si="118"/>
        <v>.</v>
      </c>
      <c r="IR68" s="558" t="str">
        <f t="shared" si="118"/>
        <v>.</v>
      </c>
      <c r="IS68" s="558" t="str">
        <f t="shared" si="118"/>
        <v>.</v>
      </c>
      <c r="IT68" s="558" t="str">
        <f t="shared" si="118"/>
        <v>.</v>
      </c>
      <c r="IU68" s="558" t="str">
        <f t="shared" si="118"/>
        <v>.</v>
      </c>
      <c r="IV68" s="558" t="str">
        <f t="shared" si="118"/>
        <v>.</v>
      </c>
      <c r="IW68" s="558" t="str">
        <f t="shared" si="118"/>
        <v>.</v>
      </c>
      <c r="IX68" s="558" t="str">
        <f t="shared" si="118"/>
        <v>.</v>
      </c>
      <c r="IY68" s="558" t="str">
        <f t="shared" si="118"/>
        <v>.</v>
      </c>
      <c r="IZ68" s="558" t="str">
        <f t="shared" si="118"/>
        <v>.</v>
      </c>
      <c r="JA68" s="558" t="str">
        <f t="shared" si="118"/>
        <v>.</v>
      </c>
      <c r="JB68" s="558" t="str">
        <f t="shared" si="118"/>
        <v>.</v>
      </c>
      <c r="JC68" s="558" t="str">
        <f t="shared" si="117"/>
        <v>.</v>
      </c>
      <c r="JD68" s="558" t="str">
        <f t="shared" si="117"/>
        <v>.</v>
      </c>
      <c r="JE68" s="558" t="str">
        <f t="shared" si="117"/>
        <v>.</v>
      </c>
      <c r="JF68" s="558" t="str">
        <f t="shared" si="117"/>
        <v>.</v>
      </c>
      <c r="JG68" s="558" t="str">
        <f t="shared" si="117"/>
        <v>.</v>
      </c>
      <c r="JH68" s="558" t="str">
        <f t="shared" si="117"/>
        <v>.</v>
      </c>
      <c r="JI68" s="558" t="str">
        <f t="shared" si="117"/>
        <v>.</v>
      </c>
      <c r="JJ68" s="558" t="str">
        <f t="shared" si="117"/>
        <v>.</v>
      </c>
      <c r="JK68" s="558" t="str">
        <f t="shared" si="117"/>
        <v>.</v>
      </c>
      <c r="JL68" s="558" t="str">
        <f t="shared" si="117"/>
        <v>.</v>
      </c>
    </row>
    <row r="69" spans="1:272" ht="10.199999999999999" x14ac:dyDescent="0.2">
      <c r="A69" s="534">
        <f xml:space="preserve"> Basis!A69</f>
        <v>69</v>
      </c>
      <c r="F69" s="536">
        <f xml:space="preserve"> ROUND(    IF( $A$15=BE_MF_,   AW69,   INDEX( qx!69:69, F$16 ) ),    F$17    )</f>
        <v>7.9000000000000008E-3</v>
      </c>
      <c r="G69" s="536">
        <f xml:space="preserve"> ROUND(    IF( $A$15=BE_MF_,   BB69,   INDEX( wx!69:69, G$16 ) ),    G$17    )</f>
        <v>3.3E-3</v>
      </c>
      <c r="H69" s="537">
        <f xml:space="preserve"> ROUND(    IF( $A$15=BE_MF_,   BG69,   INDEX( Kx!69:69, H$16 ) ),    H$17    )</f>
        <v>6711.93</v>
      </c>
      <c r="I69" s="538">
        <f t="shared" si="55"/>
        <v>6711.93</v>
      </c>
      <c r="J69" s="539">
        <f t="shared" si="81"/>
        <v>3.23</v>
      </c>
      <c r="K69" s="540">
        <f t="shared" si="114"/>
        <v>2</v>
      </c>
      <c r="L69" s="541">
        <f t="shared" si="71"/>
        <v>0</v>
      </c>
      <c r="M69" s="541">
        <f t="shared" si="71"/>
        <v>8.5999999999999993E-2</v>
      </c>
      <c r="O69" s="542" t="b">
        <f t="shared" si="57"/>
        <v>1</v>
      </c>
      <c r="P69" s="493">
        <f t="shared" si="82"/>
        <v>1.12E-2</v>
      </c>
      <c r="Q69" s="493">
        <f t="shared" si="83"/>
        <v>0.98880000000000001</v>
      </c>
      <c r="R69" s="543">
        <f t="shared" si="84"/>
        <v>486766</v>
      </c>
      <c r="S69" s="544">
        <f t="shared" si="85"/>
        <v>0.97560975599999999</v>
      </c>
      <c r="T69" s="423">
        <f t="shared" si="86"/>
        <v>88587.72</v>
      </c>
      <c r="U69" s="423">
        <f xml:space="preserve"> IF( $O69,    ROUND(  SUM( T69:T$120), U$17 ),  LEER  )</f>
        <v>1350644.44</v>
      </c>
      <c r="V69" s="493">
        <f t="shared" si="87"/>
        <v>15.2464</v>
      </c>
      <c r="W69" s="493">
        <f t="shared" si="88"/>
        <v>286138.34000000003</v>
      </c>
      <c r="X69" s="493">
        <f xml:space="preserve"> IF( $O69,    ROUND(  SUM( W69:W$120), X$17 ),  LEER  )</f>
        <v>6097646.75</v>
      </c>
      <c r="Y69" s="493">
        <f t="shared" si="89"/>
        <v>68.831699999999998</v>
      </c>
      <c r="Z69" s="493">
        <f t="shared" si="90"/>
        <v>4.5145999999999997</v>
      </c>
      <c r="AA69" s="493">
        <f t="shared" si="91"/>
        <v>1.0121</v>
      </c>
      <c r="AB69" s="493">
        <f t="shared" si="92"/>
        <v>2.3494000000000002</v>
      </c>
      <c r="AC69" s="545">
        <f t="shared" si="93"/>
        <v>0.32679999999999998</v>
      </c>
      <c r="AD69" s="493">
        <f t="shared" si="94"/>
        <v>4.5731999999999999</v>
      </c>
      <c r="AE69" s="493">
        <f t="shared" si="95"/>
        <v>5.3611000000000004</v>
      </c>
      <c r="AF69" s="493">
        <f t="shared" si="96"/>
        <v>5.3611000000000004</v>
      </c>
      <c r="AG69" s="493" t="str">
        <f t="shared" si="97"/>
        <v>.</v>
      </c>
      <c r="AH69" s="493" t="str">
        <f t="shared" si="98"/>
        <v>.</v>
      </c>
      <c r="AI69" s="423">
        <f t="shared" si="99"/>
        <v>2077.79</v>
      </c>
      <c r="AJ69" s="423">
        <f t="shared" si="100"/>
        <v>11139.24</v>
      </c>
      <c r="AK69" s="423">
        <f t="shared" si="101"/>
        <v>928.27</v>
      </c>
      <c r="AN69" s="423">
        <f t="shared" si="115"/>
        <v>84282.12</v>
      </c>
      <c r="AO69" s="423">
        <f t="shared" si="115"/>
        <v>83578.850000000006</v>
      </c>
      <c r="AR69" s="546">
        <f xml:space="preserve"> ROUND(  INDEX( Kx!69:69, AR$16 ),  AR$17 )</f>
        <v>0.71760000000000002</v>
      </c>
      <c r="AS69" s="547">
        <f xml:space="preserve"> ROUND(  INDEX( qx!69:69, AS$16 ),  AS$17 )</f>
        <v>9.1999999999999998E-3</v>
      </c>
      <c r="AT69" s="547">
        <f xml:space="preserve"> ROUND(  INDEX( qx!69:69, AT$16 ),  AT$17 )</f>
        <v>5.5999999999999999E-3</v>
      </c>
      <c r="AU69" s="548" t="str">
        <f t="shared" si="102"/>
        <v>F</v>
      </c>
      <c r="AV69" s="542">
        <f t="shared" si="103"/>
        <v>0.62880000000000003</v>
      </c>
      <c r="AW69" s="542">
        <f t="shared" si="104"/>
        <v>7.9000000000000008E-3</v>
      </c>
      <c r="AX69" s="546">
        <f xml:space="preserve"> ROUND(  INDEX( wx!69:69, AX$16 ),  AX$17 )</f>
        <v>3.8E-3</v>
      </c>
      <c r="AY69" s="546">
        <f xml:space="preserve"> ROUND(  INDEX( wx!69:69, AY$16 ),  AY$17 )</f>
        <v>2.5000000000000001E-3</v>
      </c>
      <c r="AZ69" s="548" t="str">
        <f t="shared" si="105"/>
        <v>F</v>
      </c>
      <c r="BA69" s="542">
        <f t="shared" si="106"/>
        <v>0.62880000000000003</v>
      </c>
      <c r="BB69" s="542">
        <f t="shared" si="107"/>
        <v>3.3E-3</v>
      </c>
      <c r="BC69" s="533">
        <f xml:space="preserve"> ROUND(  INDEX( Kx!69:69, BC$16 ),  BC$17 )</f>
        <v>6889.55</v>
      </c>
      <c r="BD69" s="533">
        <f xml:space="preserve"> ROUND(  INDEX( Kx!69:69, BD$16 ),  BD$17 )</f>
        <v>6034.78</v>
      </c>
      <c r="BE69" s="548" t="str">
        <f t="shared" si="58"/>
        <v>M</v>
      </c>
      <c r="BF69" s="542">
        <f t="shared" si="108"/>
        <v>0.79220000000000002</v>
      </c>
      <c r="BG69" s="420">
        <f t="shared" si="109"/>
        <v>6711.93</v>
      </c>
      <c r="BQ69" s="549"/>
      <c r="BR69" s="423"/>
      <c r="BS69" s="550"/>
      <c r="BT69" s="423"/>
      <c r="BU69" s="551"/>
      <c r="BV69" s="551"/>
      <c r="BW69" s="529"/>
      <c r="BX69" s="552"/>
      <c r="BY69" s="560"/>
      <c r="BZ69" s="559"/>
      <c r="CB69" s="423"/>
      <c r="CC69" s="423"/>
      <c r="CD69" s="423"/>
      <c r="CE69" s="423"/>
      <c r="CF69" s="553"/>
      <c r="CH69" s="423"/>
      <c r="CI69" s="423"/>
      <c r="CJ69" s="423"/>
      <c r="CK69" s="423"/>
      <c r="CL69" s="553"/>
      <c r="CN69" s="423"/>
      <c r="CO69" s="423"/>
      <c r="CP69" s="423"/>
      <c r="CQ69" s="423"/>
      <c r="CR69" s="553"/>
      <c r="EI69" s="553"/>
      <c r="EJ69" s="553"/>
      <c r="EK69" s="423"/>
      <c r="EL69" s="555"/>
      <c r="ES69" s="533"/>
      <c r="ET69" s="533"/>
      <c r="EU69" s="533"/>
      <c r="EV69" s="556"/>
      <c r="EY69" s="533"/>
      <c r="EZ69" s="533"/>
      <c r="FA69" s="556"/>
      <c r="FD69" s="556"/>
      <c r="FE69" s="556"/>
      <c r="FF69" s="556"/>
      <c r="FK69" s="557">
        <f t="shared" si="48"/>
        <v>69</v>
      </c>
      <c r="FL69" s="493">
        <f t="shared" si="59"/>
        <v>68.831699999999998</v>
      </c>
      <c r="FM69" s="493">
        <f t="shared" si="60"/>
        <v>15.2464</v>
      </c>
      <c r="FO69" s="427">
        <f t="shared" si="61"/>
        <v>3008898.2199999997</v>
      </c>
      <c r="FP69" s="558">
        <f t="shared" si="123"/>
        <v>104990.57</v>
      </c>
      <c r="FQ69" s="558">
        <f t="shared" si="123"/>
        <v>103707.57</v>
      </c>
      <c r="FR69" s="558">
        <f t="shared" si="123"/>
        <v>102421.41</v>
      </c>
      <c r="FS69" s="558">
        <f t="shared" si="123"/>
        <v>101135.25</v>
      </c>
      <c r="FT69" s="558">
        <f t="shared" si="123"/>
        <v>99804.74</v>
      </c>
      <c r="FU69" s="558">
        <f t="shared" si="123"/>
        <v>98436.22</v>
      </c>
      <c r="FV69" s="558">
        <f t="shared" si="123"/>
        <v>97080.36</v>
      </c>
      <c r="FW69" s="558">
        <f t="shared" si="123"/>
        <v>95715.01</v>
      </c>
      <c r="FX69" s="558">
        <f t="shared" si="123"/>
        <v>94302.13</v>
      </c>
      <c r="FY69" s="558">
        <f t="shared" si="123"/>
        <v>92832.24</v>
      </c>
      <c r="FZ69" s="558">
        <f t="shared" si="123"/>
        <v>91352.83</v>
      </c>
      <c r="GA69" s="558">
        <f t="shared" si="123"/>
        <v>89851.26</v>
      </c>
      <c r="GB69" s="558">
        <f t="shared" si="123"/>
        <v>88314.84</v>
      </c>
      <c r="GC69" s="558">
        <f t="shared" si="123"/>
        <v>86772.08</v>
      </c>
      <c r="GD69" s="558">
        <f t="shared" si="123"/>
        <v>85181.8</v>
      </c>
      <c r="GE69" s="558">
        <f t="shared" si="123"/>
        <v>83578.850000000006</v>
      </c>
      <c r="GF69" s="558">
        <f t="shared" si="121"/>
        <v>81928.39</v>
      </c>
      <c r="GG69" s="558">
        <f t="shared" si="121"/>
        <v>80239.91</v>
      </c>
      <c r="GH69" s="558">
        <f t="shared" si="121"/>
        <v>78503.91</v>
      </c>
      <c r="GI69" s="558">
        <f t="shared" si="121"/>
        <v>76717.22</v>
      </c>
      <c r="GJ69" s="558">
        <f t="shared" si="121"/>
        <v>74876.679999999993</v>
      </c>
      <c r="GK69" s="558">
        <f t="shared" si="121"/>
        <v>72966.45</v>
      </c>
      <c r="GL69" s="558">
        <f t="shared" si="121"/>
        <v>70986.52</v>
      </c>
      <c r="GM69" s="558">
        <f t="shared" si="121"/>
        <v>68933.740000000005</v>
      </c>
      <c r="GN69" s="558">
        <f t="shared" si="121"/>
        <v>66798.58</v>
      </c>
      <c r="GO69" s="558">
        <f t="shared" si="121"/>
        <v>64596.91</v>
      </c>
      <c r="GP69" s="558">
        <f t="shared" si="121"/>
        <v>62319.199999999997</v>
      </c>
      <c r="GQ69" s="558">
        <f t="shared" si="121"/>
        <v>59971.8</v>
      </c>
      <c r="GR69" s="558">
        <f t="shared" si="121"/>
        <v>57561.04</v>
      </c>
      <c r="GS69" s="558">
        <f t="shared" si="121"/>
        <v>55090.09</v>
      </c>
      <c r="GT69" s="558">
        <f t="shared" si="121"/>
        <v>52568.46</v>
      </c>
      <c r="GU69" s="558">
        <f t="shared" si="119"/>
        <v>49986.63</v>
      </c>
      <c r="GV69" s="558">
        <f t="shared" si="119"/>
        <v>47369.96</v>
      </c>
      <c r="GW69" s="558">
        <f t="shared" si="119"/>
        <v>44705.78</v>
      </c>
      <c r="GX69" s="558">
        <f t="shared" si="119"/>
        <v>42013.08</v>
      </c>
      <c r="GY69" s="558">
        <f t="shared" si="119"/>
        <v>39291.870000000003</v>
      </c>
      <c r="GZ69" s="558">
        <f t="shared" si="119"/>
        <v>36538.980000000003</v>
      </c>
      <c r="HA69" s="558">
        <f t="shared" si="119"/>
        <v>33763.910000000003</v>
      </c>
      <c r="HB69" s="558">
        <f t="shared" si="119"/>
        <v>30947.67</v>
      </c>
      <c r="HC69" s="558">
        <f t="shared" si="119"/>
        <v>28071.23</v>
      </c>
      <c r="HD69" s="558">
        <f t="shared" si="119"/>
        <v>25153.61</v>
      </c>
      <c r="HE69" s="558">
        <f t="shared" si="119"/>
        <v>22207.48</v>
      </c>
      <c r="HF69" s="558">
        <f t="shared" si="119"/>
        <v>19223.34</v>
      </c>
      <c r="HG69" s="558">
        <f t="shared" si="119"/>
        <v>16217.02</v>
      </c>
      <c r="HH69" s="558">
        <f t="shared" si="119"/>
        <v>13179.02</v>
      </c>
      <c r="HI69" s="558">
        <f t="shared" si="119"/>
        <v>10169.530000000001</v>
      </c>
      <c r="HJ69" s="558">
        <f t="shared" si="119"/>
        <v>7134.7</v>
      </c>
      <c r="HK69" s="558">
        <f t="shared" si="124"/>
        <v>4118.87</v>
      </c>
      <c r="HL69" s="558">
        <f t="shared" si="122"/>
        <v>1125.23</v>
      </c>
      <c r="HM69" s="558">
        <f t="shared" si="122"/>
        <v>-1855.75</v>
      </c>
      <c r="HN69" s="558" t="str">
        <f t="shared" si="122"/>
        <v>.</v>
      </c>
      <c r="HO69" s="558" t="str">
        <f t="shared" si="122"/>
        <v>.</v>
      </c>
      <c r="HP69" s="558" t="str">
        <f t="shared" si="120"/>
        <v>.</v>
      </c>
      <c r="HQ69" s="558" t="str">
        <f t="shared" si="120"/>
        <v>.</v>
      </c>
      <c r="HR69" s="558" t="str">
        <f t="shared" si="120"/>
        <v>.</v>
      </c>
      <c r="HS69" s="558" t="str">
        <f t="shared" si="120"/>
        <v>.</v>
      </c>
      <c r="HT69" s="558" t="str">
        <f t="shared" si="120"/>
        <v>.</v>
      </c>
      <c r="HU69" s="558" t="str">
        <f t="shared" si="120"/>
        <v>.</v>
      </c>
      <c r="HV69" s="558" t="str">
        <f t="shared" si="120"/>
        <v>.</v>
      </c>
      <c r="HW69" s="558" t="str">
        <f t="shared" si="120"/>
        <v>.</v>
      </c>
      <c r="HX69" s="558" t="str">
        <f t="shared" si="120"/>
        <v>.</v>
      </c>
      <c r="HY69" s="558" t="str">
        <f t="shared" si="120"/>
        <v>.</v>
      </c>
      <c r="HZ69" s="558" t="str">
        <f t="shared" si="120"/>
        <v>.</v>
      </c>
      <c r="IA69" s="558" t="str">
        <f t="shared" si="120"/>
        <v>.</v>
      </c>
      <c r="IB69" s="558" t="str">
        <f t="shared" si="120"/>
        <v>.</v>
      </c>
      <c r="IC69" s="558" t="str">
        <f t="shared" si="120"/>
        <v>.</v>
      </c>
      <c r="ID69" s="558" t="str">
        <f t="shared" si="120"/>
        <v>.</v>
      </c>
      <c r="IE69" s="558" t="str">
        <f t="shared" si="120"/>
        <v>.</v>
      </c>
      <c r="IF69" s="558" t="str">
        <f t="shared" si="120"/>
        <v>.</v>
      </c>
      <c r="IG69" s="558" t="str">
        <f t="shared" si="118"/>
        <v>.</v>
      </c>
      <c r="IH69" s="558" t="str">
        <f t="shared" si="118"/>
        <v>.</v>
      </c>
      <c r="II69" s="558" t="str">
        <f t="shared" si="118"/>
        <v>.</v>
      </c>
      <c r="IJ69" s="558" t="str">
        <f t="shared" si="118"/>
        <v>.</v>
      </c>
      <c r="IK69" s="558" t="str">
        <f t="shared" si="118"/>
        <v>.</v>
      </c>
      <c r="IL69" s="558" t="str">
        <f t="shared" si="118"/>
        <v>.</v>
      </c>
      <c r="IM69" s="558" t="str">
        <f t="shared" si="118"/>
        <v>.</v>
      </c>
      <c r="IN69" s="558" t="str">
        <f t="shared" si="118"/>
        <v>.</v>
      </c>
      <c r="IO69" s="558" t="str">
        <f t="shared" si="118"/>
        <v>.</v>
      </c>
      <c r="IP69" s="558" t="str">
        <f t="shared" si="118"/>
        <v>.</v>
      </c>
      <c r="IQ69" s="558" t="str">
        <f t="shared" si="118"/>
        <v>.</v>
      </c>
      <c r="IR69" s="558" t="str">
        <f t="shared" si="118"/>
        <v>.</v>
      </c>
      <c r="IS69" s="558" t="str">
        <f t="shared" si="118"/>
        <v>.</v>
      </c>
      <c r="IT69" s="558" t="str">
        <f t="shared" si="118"/>
        <v>.</v>
      </c>
      <c r="IU69" s="558" t="str">
        <f t="shared" si="118"/>
        <v>.</v>
      </c>
      <c r="IV69" s="558" t="str">
        <f t="shared" si="118"/>
        <v>.</v>
      </c>
      <c r="IW69" s="558" t="str">
        <f t="shared" si="118"/>
        <v>.</v>
      </c>
      <c r="IX69" s="558" t="str">
        <f t="shared" si="118"/>
        <v>.</v>
      </c>
      <c r="IY69" s="558" t="str">
        <f t="shared" si="118"/>
        <v>.</v>
      </c>
      <c r="IZ69" s="558" t="str">
        <f t="shared" si="118"/>
        <v>.</v>
      </c>
      <c r="JA69" s="558" t="str">
        <f t="shared" si="118"/>
        <v>.</v>
      </c>
      <c r="JB69" s="558" t="str">
        <f t="shared" si="118"/>
        <v>.</v>
      </c>
      <c r="JC69" s="558" t="str">
        <f t="shared" si="117"/>
        <v>.</v>
      </c>
      <c r="JD69" s="558" t="str">
        <f t="shared" si="117"/>
        <v>.</v>
      </c>
      <c r="JE69" s="558" t="str">
        <f t="shared" si="117"/>
        <v>.</v>
      </c>
      <c r="JF69" s="558" t="str">
        <f t="shared" si="117"/>
        <v>.</v>
      </c>
      <c r="JG69" s="558" t="str">
        <f t="shared" si="117"/>
        <v>.</v>
      </c>
      <c r="JH69" s="558" t="str">
        <f t="shared" si="117"/>
        <v>.</v>
      </c>
      <c r="JI69" s="558" t="str">
        <f t="shared" si="117"/>
        <v>.</v>
      </c>
      <c r="JJ69" s="558" t="str">
        <f t="shared" si="117"/>
        <v>.</v>
      </c>
      <c r="JK69" s="558" t="str">
        <f t="shared" si="117"/>
        <v>.</v>
      </c>
      <c r="JL69" s="558" t="str">
        <f t="shared" si="117"/>
        <v>.</v>
      </c>
    </row>
    <row r="70" spans="1:272" ht="10.199999999999999" x14ac:dyDescent="0.2">
      <c r="A70" s="534">
        <f xml:space="preserve"> Basis!A70</f>
        <v>70</v>
      </c>
      <c r="F70" s="536">
        <f xml:space="preserve"> ROUND(    IF( $A$15=BE_MF_,   AW70,   INDEX( qx!70:70, F$16 ) ),    F$17    )</f>
        <v>8.6E-3</v>
      </c>
      <c r="G70" s="536">
        <f xml:space="preserve"> ROUND(    IF( $A$15=BE_MF_,   BB70,   INDEX( wx!70:70, G$16 ) ),    G$17    )</f>
        <v>3.0000000000000001E-3</v>
      </c>
      <c r="H70" s="537">
        <f xml:space="preserve"> ROUND(    IF( $A$15=BE_MF_,   BG70,   INDEX( Kx!70:70, H$16 ) ),    H$17    )</f>
        <v>7024.79</v>
      </c>
      <c r="I70" s="538">
        <f t="shared" si="55"/>
        <v>7024.79</v>
      </c>
      <c r="J70" s="539">
        <f t="shared" si="81"/>
        <v>3.3809999999999998</v>
      </c>
      <c r="K70" s="540">
        <f t="shared" si="114"/>
        <v>1.5</v>
      </c>
      <c r="L70" s="541">
        <f t="shared" si="71"/>
        <v>0</v>
      </c>
      <c r="M70" s="541">
        <f t="shared" si="71"/>
        <v>8.5999999999999993E-2</v>
      </c>
      <c r="O70" s="542" t="b">
        <f t="shared" si="57"/>
        <v>1</v>
      </c>
      <c r="P70" s="493">
        <f t="shared" si="82"/>
        <v>1.1599999999999999E-2</v>
      </c>
      <c r="Q70" s="493">
        <f t="shared" si="83"/>
        <v>0.98839999999999995</v>
      </c>
      <c r="R70" s="543">
        <f t="shared" si="84"/>
        <v>481314</v>
      </c>
      <c r="S70" s="544">
        <f t="shared" si="85"/>
        <v>0.97560975599999999</v>
      </c>
      <c r="T70" s="423">
        <f t="shared" si="86"/>
        <v>85459.02</v>
      </c>
      <c r="U70" s="423">
        <f xml:space="preserve"> IF( $O70,    ROUND(  SUM( T70:T$120), U$17 ),  LEER  )</f>
        <v>1262056.72</v>
      </c>
      <c r="V70" s="493">
        <f t="shared" si="87"/>
        <v>14.768000000000001</v>
      </c>
      <c r="W70" s="493">
        <f t="shared" si="88"/>
        <v>288936.95</v>
      </c>
      <c r="X70" s="493">
        <f xml:space="preserve"> IF( $O70,    ROUND(  SUM( W70:W$120), X$17 ),  LEER  )</f>
        <v>5811508.4100000001</v>
      </c>
      <c r="Y70" s="493">
        <f t="shared" si="89"/>
        <v>68.003500000000003</v>
      </c>
      <c r="Z70" s="493">
        <f t="shared" si="90"/>
        <v>4.6048</v>
      </c>
      <c r="AA70" s="493">
        <f t="shared" si="91"/>
        <v>1.0093000000000001</v>
      </c>
      <c r="AB70" s="493">
        <f t="shared" si="92"/>
        <v>2.3494000000000002</v>
      </c>
      <c r="AC70" s="545">
        <f t="shared" si="93"/>
        <v>0.32679999999999998</v>
      </c>
      <c r="AD70" s="493">
        <f t="shared" si="94"/>
        <v>4.6506999999999996</v>
      </c>
      <c r="AE70" s="493">
        <f t="shared" si="95"/>
        <v>5.4458000000000002</v>
      </c>
      <c r="AF70" s="493">
        <f t="shared" si="96"/>
        <v>5.4458000000000002</v>
      </c>
      <c r="AG70" s="493" t="str">
        <f t="shared" si="97"/>
        <v>.</v>
      </c>
      <c r="AH70" s="493" t="str">
        <f t="shared" si="98"/>
        <v>.</v>
      </c>
      <c r="AI70" s="423">
        <f t="shared" si="99"/>
        <v>2077.79</v>
      </c>
      <c r="AJ70" s="423">
        <f t="shared" si="100"/>
        <v>11315.23</v>
      </c>
      <c r="AK70" s="423">
        <f t="shared" si="101"/>
        <v>942.94</v>
      </c>
      <c r="AN70" s="423">
        <f t="shared" si="115"/>
        <v>84404.3</v>
      </c>
      <c r="AO70" s="423">
        <f t="shared" si="115"/>
        <v>83723.100000000006</v>
      </c>
      <c r="AR70" s="546">
        <f xml:space="preserve"> ROUND(  INDEX( Kx!70:70, AR$16 ),  AR$17 )</f>
        <v>0.71040000000000003</v>
      </c>
      <c r="AS70" s="547">
        <f xml:space="preserve"> ROUND(  INDEX( qx!70:70, AS$16 ),  AS$17 )</f>
        <v>1.01E-2</v>
      </c>
      <c r="AT70" s="547">
        <f xml:space="preserve"> ROUND(  INDEX( qx!70:70, AT$16 ),  AT$17 )</f>
        <v>6.1000000000000004E-3</v>
      </c>
      <c r="AU70" s="548" t="str">
        <f t="shared" si="102"/>
        <v>F</v>
      </c>
      <c r="AV70" s="542">
        <f t="shared" si="103"/>
        <v>0.62050000000000005</v>
      </c>
      <c r="AW70" s="542">
        <f t="shared" si="104"/>
        <v>8.6E-3</v>
      </c>
      <c r="AX70" s="546">
        <f xml:space="preserve"> ROUND(  INDEX( wx!70:70, AX$16 ),  AX$17 )</f>
        <v>3.5000000000000001E-3</v>
      </c>
      <c r="AY70" s="546">
        <f xml:space="preserve"> ROUND(  INDEX( wx!70:70, AY$16 ),  AY$17 )</f>
        <v>2.3E-3</v>
      </c>
      <c r="AZ70" s="548" t="str">
        <f t="shared" si="105"/>
        <v>F</v>
      </c>
      <c r="BA70" s="542">
        <f t="shared" si="106"/>
        <v>0.62050000000000005</v>
      </c>
      <c r="BB70" s="542">
        <f t="shared" si="107"/>
        <v>3.0000000000000001E-3</v>
      </c>
      <c r="BC70" s="533">
        <f xml:space="preserve"> ROUND(  INDEX( Kx!70:70, BC$16 ),  BC$17 )</f>
        <v>7220.62</v>
      </c>
      <c r="BD70" s="533">
        <f xml:space="preserve"> ROUND(  INDEX( Kx!70:70, BD$16 ),  BD$17 )</f>
        <v>6304.25</v>
      </c>
      <c r="BE70" s="548" t="str">
        <f t="shared" si="58"/>
        <v>M</v>
      </c>
      <c r="BF70" s="542">
        <f t="shared" si="108"/>
        <v>0.7863</v>
      </c>
      <c r="BG70" s="420">
        <f t="shared" si="109"/>
        <v>7024.79</v>
      </c>
      <c r="BQ70" s="549"/>
      <c r="BR70" s="423"/>
      <c r="BS70" s="550"/>
      <c r="BT70" s="423"/>
      <c r="BU70" s="551"/>
      <c r="BV70" s="551"/>
      <c r="BW70" s="529"/>
      <c r="BX70" s="552"/>
      <c r="BY70" s="560"/>
      <c r="BZ70" s="559"/>
      <c r="CB70" s="423"/>
      <c r="CC70" s="423"/>
      <c r="CD70" s="423"/>
      <c r="CE70" s="423"/>
      <c r="CF70" s="553"/>
      <c r="CH70" s="423"/>
      <c r="CI70" s="423"/>
      <c r="CJ70" s="423"/>
      <c r="CK70" s="423"/>
      <c r="CL70" s="553"/>
      <c r="CN70" s="423"/>
      <c r="CO70" s="423"/>
      <c r="CP70" s="423"/>
      <c r="CQ70" s="423"/>
      <c r="CR70" s="553"/>
      <c r="EI70" s="553"/>
      <c r="EJ70" s="553"/>
      <c r="EK70" s="423"/>
      <c r="EL70" s="555"/>
      <c r="ES70" s="533"/>
      <c r="ET70" s="533"/>
      <c r="EU70" s="533"/>
      <c r="EV70" s="556"/>
      <c r="EY70" s="533"/>
      <c r="EZ70" s="533"/>
      <c r="FA70" s="556"/>
      <c r="FD70" s="556"/>
      <c r="FE70" s="556"/>
      <c r="FF70" s="556"/>
      <c r="FK70" s="557">
        <f t="shared" si="48"/>
        <v>70</v>
      </c>
      <c r="FL70" s="493">
        <f t="shared" si="59"/>
        <v>68.003500000000003</v>
      </c>
      <c r="FM70" s="493">
        <f t="shared" si="60"/>
        <v>14.768000000000001</v>
      </c>
      <c r="FO70" s="427">
        <f t="shared" si="61"/>
        <v>3051415.1199999996</v>
      </c>
      <c r="FP70" s="558">
        <f t="shared" si="123"/>
        <v>104462.96</v>
      </c>
      <c r="FQ70" s="558">
        <f t="shared" si="123"/>
        <v>103220.22</v>
      </c>
      <c r="FR70" s="558">
        <f t="shared" si="123"/>
        <v>101974.42</v>
      </c>
      <c r="FS70" s="558">
        <f t="shared" si="123"/>
        <v>100728.61</v>
      </c>
      <c r="FT70" s="558">
        <f t="shared" si="123"/>
        <v>99439.85</v>
      </c>
      <c r="FU70" s="558">
        <f t="shared" si="123"/>
        <v>98114.27</v>
      </c>
      <c r="FV70" s="558">
        <f t="shared" si="123"/>
        <v>96800.960000000006</v>
      </c>
      <c r="FW70" s="558">
        <f t="shared" si="123"/>
        <v>95478.44</v>
      </c>
      <c r="FX70" s="558">
        <f t="shared" si="123"/>
        <v>94109.9</v>
      </c>
      <c r="FY70" s="558">
        <f t="shared" si="123"/>
        <v>92686.13</v>
      </c>
      <c r="FZ70" s="558">
        <f t="shared" si="123"/>
        <v>91253.15</v>
      </c>
      <c r="GA70" s="558">
        <f t="shared" si="123"/>
        <v>89798.69</v>
      </c>
      <c r="GB70" s="558">
        <f t="shared" si="123"/>
        <v>88310.47</v>
      </c>
      <c r="GC70" s="558">
        <f t="shared" si="123"/>
        <v>86816.13</v>
      </c>
      <c r="GD70" s="558">
        <f t="shared" si="123"/>
        <v>85275.75</v>
      </c>
      <c r="GE70" s="558">
        <f t="shared" si="123"/>
        <v>83723.100000000006</v>
      </c>
      <c r="GF70" s="558">
        <f t="shared" si="121"/>
        <v>82124.42</v>
      </c>
      <c r="GG70" s="558">
        <f t="shared" si="121"/>
        <v>80488.92</v>
      </c>
      <c r="GH70" s="558">
        <f t="shared" si="121"/>
        <v>78807.39</v>
      </c>
      <c r="GI70" s="558">
        <f t="shared" si="121"/>
        <v>77076.77</v>
      </c>
      <c r="GJ70" s="558">
        <f t="shared" si="121"/>
        <v>75293.98</v>
      </c>
      <c r="GK70" s="558">
        <f t="shared" si="121"/>
        <v>73443.69</v>
      </c>
      <c r="GL70" s="558">
        <f t="shared" si="121"/>
        <v>71525.89</v>
      </c>
      <c r="GM70" s="558">
        <f t="shared" si="121"/>
        <v>69537.509999999995</v>
      </c>
      <c r="GN70" s="558">
        <f t="shared" si="121"/>
        <v>67469.36</v>
      </c>
      <c r="GO70" s="558">
        <f t="shared" si="121"/>
        <v>65336.76</v>
      </c>
      <c r="GP70" s="558">
        <f t="shared" si="121"/>
        <v>63130.53</v>
      </c>
      <c r="GQ70" s="558">
        <f t="shared" si="121"/>
        <v>60856.78</v>
      </c>
      <c r="GR70" s="558">
        <f t="shared" si="121"/>
        <v>58521.67</v>
      </c>
      <c r="GS70" s="558">
        <f t="shared" si="121"/>
        <v>56128.25</v>
      </c>
      <c r="GT70" s="558">
        <f t="shared" si="121"/>
        <v>53685.74</v>
      </c>
      <c r="GU70" s="558">
        <f t="shared" si="119"/>
        <v>51184.93</v>
      </c>
      <c r="GV70" s="558">
        <f t="shared" si="119"/>
        <v>48650.37</v>
      </c>
      <c r="GW70" s="558">
        <f t="shared" si="119"/>
        <v>46069.78</v>
      </c>
      <c r="GX70" s="558">
        <f t="shared" si="119"/>
        <v>43461.57</v>
      </c>
      <c r="GY70" s="558">
        <f t="shared" si="119"/>
        <v>40825.74</v>
      </c>
      <c r="GZ70" s="558">
        <f t="shared" si="119"/>
        <v>38159.230000000003</v>
      </c>
      <c r="HA70" s="558">
        <f t="shared" si="119"/>
        <v>35471.24</v>
      </c>
      <c r="HB70" s="558">
        <f t="shared" si="119"/>
        <v>32743.37</v>
      </c>
      <c r="HC70" s="558">
        <f t="shared" si="119"/>
        <v>29957.19</v>
      </c>
      <c r="HD70" s="558">
        <f t="shared" si="119"/>
        <v>27131.119999999999</v>
      </c>
      <c r="HE70" s="558">
        <f t="shared" si="119"/>
        <v>24277.43</v>
      </c>
      <c r="HF70" s="558">
        <f t="shared" si="119"/>
        <v>21386.92</v>
      </c>
      <c r="HG70" s="558">
        <f t="shared" si="119"/>
        <v>18474.93</v>
      </c>
      <c r="HH70" s="558">
        <f t="shared" si="119"/>
        <v>15532.26</v>
      </c>
      <c r="HI70" s="558">
        <f t="shared" si="119"/>
        <v>12617.2</v>
      </c>
      <c r="HJ70" s="558">
        <f t="shared" si="119"/>
        <v>9677.6</v>
      </c>
      <c r="HK70" s="558">
        <f t="shared" si="124"/>
        <v>6756.41</v>
      </c>
      <c r="HL70" s="558">
        <f t="shared" si="122"/>
        <v>3856.69</v>
      </c>
      <c r="HM70" s="558">
        <f t="shared" si="122"/>
        <v>969.25</v>
      </c>
      <c r="HN70" s="558">
        <f t="shared" si="122"/>
        <v>-1408.82</v>
      </c>
      <c r="HO70" s="558" t="str">
        <f t="shared" si="122"/>
        <v>.</v>
      </c>
      <c r="HP70" s="558" t="str">
        <f t="shared" si="120"/>
        <v>.</v>
      </c>
      <c r="HQ70" s="558" t="str">
        <f t="shared" si="120"/>
        <v>.</v>
      </c>
      <c r="HR70" s="558" t="str">
        <f t="shared" si="120"/>
        <v>.</v>
      </c>
      <c r="HS70" s="558" t="str">
        <f t="shared" si="120"/>
        <v>.</v>
      </c>
      <c r="HT70" s="558" t="str">
        <f t="shared" si="120"/>
        <v>.</v>
      </c>
      <c r="HU70" s="558" t="str">
        <f t="shared" si="120"/>
        <v>.</v>
      </c>
      <c r="HV70" s="558" t="str">
        <f t="shared" si="120"/>
        <v>.</v>
      </c>
      <c r="HW70" s="558" t="str">
        <f t="shared" si="120"/>
        <v>.</v>
      </c>
      <c r="HX70" s="558" t="str">
        <f t="shared" si="120"/>
        <v>.</v>
      </c>
      <c r="HY70" s="558" t="str">
        <f t="shared" si="120"/>
        <v>.</v>
      </c>
      <c r="HZ70" s="558" t="str">
        <f t="shared" si="120"/>
        <v>.</v>
      </c>
      <c r="IA70" s="558" t="str">
        <f t="shared" si="120"/>
        <v>.</v>
      </c>
      <c r="IB70" s="558" t="str">
        <f t="shared" si="120"/>
        <v>.</v>
      </c>
      <c r="IC70" s="558" t="str">
        <f t="shared" si="120"/>
        <v>.</v>
      </c>
      <c r="ID70" s="558" t="str">
        <f t="shared" si="120"/>
        <v>.</v>
      </c>
      <c r="IE70" s="558" t="str">
        <f t="shared" si="120"/>
        <v>.</v>
      </c>
      <c r="IF70" s="558" t="str">
        <f t="shared" si="120"/>
        <v>.</v>
      </c>
      <c r="IG70" s="558" t="str">
        <f t="shared" si="118"/>
        <v>.</v>
      </c>
      <c r="IH70" s="558" t="str">
        <f t="shared" si="118"/>
        <v>.</v>
      </c>
      <c r="II70" s="558" t="str">
        <f t="shared" si="118"/>
        <v>.</v>
      </c>
      <c r="IJ70" s="558" t="str">
        <f t="shared" si="118"/>
        <v>.</v>
      </c>
      <c r="IK70" s="558" t="str">
        <f t="shared" si="118"/>
        <v>.</v>
      </c>
      <c r="IL70" s="558" t="str">
        <f t="shared" si="118"/>
        <v>.</v>
      </c>
      <c r="IM70" s="558" t="str">
        <f t="shared" si="118"/>
        <v>.</v>
      </c>
      <c r="IN70" s="558" t="str">
        <f t="shared" si="118"/>
        <v>.</v>
      </c>
      <c r="IO70" s="558" t="str">
        <f t="shared" si="118"/>
        <v>.</v>
      </c>
      <c r="IP70" s="558" t="str">
        <f t="shared" si="118"/>
        <v>.</v>
      </c>
      <c r="IQ70" s="558" t="str">
        <f t="shared" si="118"/>
        <v>.</v>
      </c>
      <c r="IR70" s="558" t="str">
        <f t="shared" si="118"/>
        <v>.</v>
      </c>
      <c r="IS70" s="558" t="str">
        <f t="shared" si="118"/>
        <v>.</v>
      </c>
      <c r="IT70" s="558" t="str">
        <f t="shared" si="118"/>
        <v>.</v>
      </c>
      <c r="IU70" s="558" t="str">
        <f t="shared" si="118"/>
        <v>.</v>
      </c>
      <c r="IV70" s="558" t="str">
        <f t="shared" si="118"/>
        <v>.</v>
      </c>
      <c r="IW70" s="558" t="str">
        <f t="shared" si="118"/>
        <v>.</v>
      </c>
      <c r="IX70" s="558" t="str">
        <f t="shared" si="118"/>
        <v>.</v>
      </c>
      <c r="IY70" s="558" t="str">
        <f t="shared" si="118"/>
        <v>.</v>
      </c>
      <c r="IZ70" s="558" t="str">
        <f t="shared" si="118"/>
        <v>.</v>
      </c>
      <c r="JA70" s="558" t="str">
        <f t="shared" si="118"/>
        <v>.</v>
      </c>
      <c r="JB70" s="558" t="str">
        <f t="shared" si="118"/>
        <v>.</v>
      </c>
      <c r="JC70" s="558" t="str">
        <f t="shared" si="117"/>
        <v>.</v>
      </c>
      <c r="JD70" s="558" t="str">
        <f t="shared" si="117"/>
        <v>.</v>
      </c>
      <c r="JE70" s="558" t="str">
        <f t="shared" si="117"/>
        <v>.</v>
      </c>
      <c r="JF70" s="558" t="str">
        <f t="shared" si="117"/>
        <v>.</v>
      </c>
      <c r="JG70" s="558" t="str">
        <f t="shared" si="117"/>
        <v>.</v>
      </c>
      <c r="JH70" s="558" t="str">
        <f t="shared" si="117"/>
        <v>.</v>
      </c>
      <c r="JI70" s="558" t="str">
        <f t="shared" si="117"/>
        <v>.</v>
      </c>
      <c r="JJ70" s="558" t="str">
        <f t="shared" si="117"/>
        <v>.</v>
      </c>
      <c r="JK70" s="558" t="str">
        <f t="shared" si="117"/>
        <v>.</v>
      </c>
      <c r="JL70" s="558" t="str">
        <f t="shared" si="117"/>
        <v>.</v>
      </c>
    </row>
    <row r="71" spans="1:272" ht="10.199999999999999" x14ac:dyDescent="0.2">
      <c r="A71" s="534">
        <f xml:space="preserve"> Basis!A71</f>
        <v>71</v>
      </c>
      <c r="F71" s="536">
        <f xml:space="preserve"> ROUND(    IF( $A$15=BE_MF_,   AW71,   INDEX( qx!71:71, F$16 ) ),    F$17    )</f>
        <v>9.4000000000000004E-3</v>
      </c>
      <c r="G71" s="536">
        <f xml:space="preserve"> ROUND(    IF( $A$15=BE_MF_,   BB71,   INDEX( wx!71:71, G$16 ) ),    G$17    )</f>
        <v>2.8E-3</v>
      </c>
      <c r="H71" s="537">
        <f xml:space="preserve"> ROUND(    IF( $A$15=BE_MF_,   BG71,   INDEX( Kx!71:71, H$16 ) ),    H$17    )</f>
        <v>7349.56</v>
      </c>
      <c r="I71" s="538">
        <f t="shared" si="55"/>
        <v>7349.56</v>
      </c>
      <c r="J71" s="539">
        <f t="shared" si="81"/>
        <v>3.5369999999999999</v>
      </c>
      <c r="K71" s="540">
        <f t="shared" si="114"/>
        <v>1</v>
      </c>
      <c r="L71" s="541">
        <f t="shared" si="71"/>
        <v>0</v>
      </c>
      <c r="M71" s="541">
        <f t="shared" si="71"/>
        <v>8.5999999999999993E-2</v>
      </c>
      <c r="O71" s="542" t="b">
        <f t="shared" si="57"/>
        <v>1</v>
      </c>
      <c r="P71" s="493">
        <f t="shared" si="82"/>
        <v>1.2200000000000001E-2</v>
      </c>
      <c r="Q71" s="493">
        <f t="shared" si="83"/>
        <v>0.98780000000000001</v>
      </c>
      <c r="R71" s="543">
        <f t="shared" si="84"/>
        <v>475730</v>
      </c>
      <c r="S71" s="544">
        <f t="shared" si="85"/>
        <v>0.97560975599999999</v>
      </c>
      <c r="T71" s="423">
        <f t="shared" si="86"/>
        <v>82407.38</v>
      </c>
      <c r="U71" s="423">
        <f xml:space="preserve"> IF( $O71,    ROUND(  SUM( T71:T$120), U$17 ),  LEER  )</f>
        <v>1176597.7</v>
      </c>
      <c r="V71" s="493">
        <f t="shared" si="87"/>
        <v>14.277799999999999</v>
      </c>
      <c r="W71" s="493">
        <f t="shared" si="88"/>
        <v>291474.90000000002</v>
      </c>
      <c r="X71" s="493">
        <f xml:space="preserve"> IF( $O71,    ROUND(  SUM( W71:W$120), X$17 ),  LEER  )</f>
        <v>5522571.46</v>
      </c>
      <c r="Y71" s="493">
        <f t="shared" si="89"/>
        <v>67.015500000000003</v>
      </c>
      <c r="Z71" s="493">
        <f t="shared" si="90"/>
        <v>4.6936999999999998</v>
      </c>
      <c r="AA71" s="493">
        <f t="shared" si="91"/>
        <v>1.0064</v>
      </c>
      <c r="AB71" s="493">
        <f t="shared" si="92"/>
        <v>2.3494000000000002</v>
      </c>
      <c r="AC71" s="545">
        <f t="shared" si="93"/>
        <v>0.32679999999999998</v>
      </c>
      <c r="AD71" s="493">
        <f t="shared" si="94"/>
        <v>4.7257999999999996</v>
      </c>
      <c r="AE71" s="493">
        <f t="shared" si="95"/>
        <v>5.5279999999999996</v>
      </c>
      <c r="AF71" s="493">
        <f t="shared" si="96"/>
        <v>5.5279999999999996</v>
      </c>
      <c r="AG71" s="493" t="str">
        <f t="shared" si="97"/>
        <v>.</v>
      </c>
      <c r="AH71" s="493" t="str">
        <f t="shared" si="98"/>
        <v>.</v>
      </c>
      <c r="AI71" s="423">
        <f t="shared" si="99"/>
        <v>2077.79</v>
      </c>
      <c r="AJ71" s="423">
        <f t="shared" si="100"/>
        <v>11486.02</v>
      </c>
      <c r="AK71" s="423">
        <f t="shared" si="101"/>
        <v>957.17</v>
      </c>
      <c r="AN71" s="423">
        <f t="shared" si="115"/>
        <v>84239.9</v>
      </c>
      <c r="AO71" s="423">
        <f t="shared" si="115"/>
        <v>83581.31</v>
      </c>
      <c r="AR71" s="546">
        <f xml:space="preserve"> ROUND(  INDEX( Kx!71:71, AR$16 ),  AR$17 )</f>
        <v>0.70979999999999999</v>
      </c>
      <c r="AS71" s="547">
        <f xml:space="preserve"> ROUND(  INDEX( qx!71:71, AS$16 ),  AS$17 )</f>
        <v>1.11E-2</v>
      </c>
      <c r="AT71" s="547">
        <f xml:space="preserve"> ROUND(  INDEX( qx!71:71, AT$16 ),  AT$17 )</f>
        <v>6.7000000000000002E-3</v>
      </c>
      <c r="AU71" s="548" t="str">
        <f t="shared" si="102"/>
        <v>F</v>
      </c>
      <c r="AV71" s="542">
        <f t="shared" si="103"/>
        <v>0.61990000000000001</v>
      </c>
      <c r="AW71" s="542">
        <f t="shared" si="104"/>
        <v>9.4000000000000004E-3</v>
      </c>
      <c r="AX71" s="546">
        <f xml:space="preserve"> ROUND(  INDEX( wx!71:71, AX$16 ),  AX$17 )</f>
        <v>3.2000000000000002E-3</v>
      </c>
      <c r="AY71" s="546">
        <f xml:space="preserve"> ROUND(  INDEX( wx!71:71, AY$16 ),  AY$17 )</f>
        <v>2.2000000000000001E-3</v>
      </c>
      <c r="AZ71" s="548" t="str">
        <f t="shared" si="105"/>
        <v>F</v>
      </c>
      <c r="BA71" s="542">
        <f t="shared" si="106"/>
        <v>0.61990000000000001</v>
      </c>
      <c r="BB71" s="542">
        <f t="shared" si="107"/>
        <v>2.8E-3</v>
      </c>
      <c r="BC71" s="533">
        <f xml:space="preserve"> ROUND(  INDEX( Kx!71:71, BC$16 ),  BC$17 )</f>
        <v>7558.22</v>
      </c>
      <c r="BD71" s="533">
        <f xml:space="preserve"> ROUND(  INDEX( Kx!71:71, BD$16 ),  BD$17 )</f>
        <v>6584.07</v>
      </c>
      <c r="BE71" s="548" t="str">
        <f t="shared" si="58"/>
        <v>M</v>
      </c>
      <c r="BF71" s="542">
        <f t="shared" si="108"/>
        <v>0.78580000000000005</v>
      </c>
      <c r="BG71" s="420">
        <f t="shared" si="109"/>
        <v>7349.56</v>
      </c>
      <c r="BQ71" s="549"/>
      <c r="BR71" s="423"/>
      <c r="BS71" s="550"/>
      <c r="BT71" s="423"/>
      <c r="BU71" s="551"/>
      <c r="BV71" s="551"/>
      <c r="BW71" s="529"/>
      <c r="BX71" s="552"/>
      <c r="BY71" s="560"/>
      <c r="BZ71" s="559"/>
      <c r="CB71" s="423"/>
      <c r="CC71" s="423"/>
      <c r="CD71" s="423"/>
      <c r="CE71" s="423"/>
      <c r="CF71" s="553"/>
      <c r="CH71" s="423"/>
      <c r="CI71" s="423"/>
      <c r="CJ71" s="423"/>
      <c r="CK71" s="423"/>
      <c r="CL71" s="553"/>
      <c r="CN71" s="423"/>
      <c r="CO71" s="423"/>
      <c r="CP71" s="423"/>
      <c r="CQ71" s="423"/>
      <c r="CR71" s="553"/>
      <c r="EI71" s="553"/>
      <c r="EJ71" s="553"/>
      <c r="EK71" s="423"/>
      <c r="EL71" s="555"/>
      <c r="ES71" s="533"/>
      <c r="ET71" s="533"/>
      <c r="EU71" s="533"/>
      <c r="EV71" s="556"/>
      <c r="EY71" s="533"/>
      <c r="EZ71" s="533"/>
      <c r="FA71" s="556"/>
      <c r="FD71" s="556"/>
      <c r="FE71" s="556"/>
      <c r="FF71" s="556"/>
      <c r="FK71" s="557">
        <f t="shared" si="48"/>
        <v>71</v>
      </c>
      <c r="FL71" s="493">
        <f t="shared" si="59"/>
        <v>67.015500000000003</v>
      </c>
      <c r="FM71" s="493">
        <f t="shared" si="60"/>
        <v>14.277799999999999</v>
      </c>
      <c r="FO71" s="427">
        <f t="shared" si="61"/>
        <v>3083676.36</v>
      </c>
      <c r="FP71" s="558">
        <f t="shared" si="123"/>
        <v>103632.75</v>
      </c>
      <c r="FQ71" s="558">
        <f t="shared" si="123"/>
        <v>102431.26</v>
      </c>
      <c r="FR71" s="558">
        <f t="shared" si="123"/>
        <v>101226.81</v>
      </c>
      <c r="FS71" s="558">
        <f t="shared" si="123"/>
        <v>100022.36</v>
      </c>
      <c r="FT71" s="558">
        <f t="shared" si="123"/>
        <v>98776.38</v>
      </c>
      <c r="FU71" s="558">
        <f t="shared" si="123"/>
        <v>97494.79</v>
      </c>
      <c r="FV71" s="558">
        <f t="shared" si="123"/>
        <v>96225.08</v>
      </c>
      <c r="FW71" s="558">
        <f t="shared" si="123"/>
        <v>94946.46</v>
      </c>
      <c r="FX71" s="558">
        <f t="shared" si="123"/>
        <v>93623.35</v>
      </c>
      <c r="FY71" s="558">
        <f t="shared" si="123"/>
        <v>92246.83</v>
      </c>
      <c r="FZ71" s="558">
        <f t="shared" si="123"/>
        <v>90861.42</v>
      </c>
      <c r="GA71" s="558">
        <f t="shared" si="123"/>
        <v>89455.23</v>
      </c>
      <c r="GB71" s="558">
        <f t="shared" si="123"/>
        <v>88016.42</v>
      </c>
      <c r="GC71" s="558">
        <f t="shared" si="123"/>
        <v>86571.67</v>
      </c>
      <c r="GD71" s="558">
        <f t="shared" si="123"/>
        <v>85082.43</v>
      </c>
      <c r="GE71" s="558">
        <f t="shared" si="123"/>
        <v>83581.31</v>
      </c>
      <c r="GF71" s="558">
        <f t="shared" si="121"/>
        <v>82035.7</v>
      </c>
      <c r="GG71" s="558">
        <f t="shared" si="121"/>
        <v>80454.490000000005</v>
      </c>
      <c r="GH71" s="558">
        <f t="shared" si="121"/>
        <v>78828.78</v>
      </c>
      <c r="GI71" s="558">
        <f t="shared" si="121"/>
        <v>77155.600000000006</v>
      </c>
      <c r="GJ71" s="558">
        <f t="shared" si="121"/>
        <v>75431.990000000005</v>
      </c>
      <c r="GK71" s="558">
        <f t="shared" si="121"/>
        <v>73643.11</v>
      </c>
      <c r="GL71" s="558">
        <f t="shared" si="121"/>
        <v>71788.97</v>
      </c>
      <c r="GM71" s="558">
        <f t="shared" si="121"/>
        <v>69866.600000000006</v>
      </c>
      <c r="GN71" s="558">
        <f t="shared" si="121"/>
        <v>67867.09</v>
      </c>
      <c r="GO71" s="558">
        <f t="shared" si="121"/>
        <v>65805.279999999999</v>
      </c>
      <c r="GP71" s="558">
        <f t="shared" si="121"/>
        <v>63672.28</v>
      </c>
      <c r="GQ71" s="558">
        <f t="shared" si="121"/>
        <v>61474.01</v>
      </c>
      <c r="GR71" s="558">
        <f t="shared" si="121"/>
        <v>59216.41</v>
      </c>
      <c r="GS71" s="558">
        <f t="shared" si="121"/>
        <v>56902.44</v>
      </c>
      <c r="GT71" s="558">
        <f t="shared" si="121"/>
        <v>54541</v>
      </c>
      <c r="GU71" s="558">
        <f t="shared" si="119"/>
        <v>52123.199999999997</v>
      </c>
      <c r="GV71" s="558">
        <f t="shared" si="119"/>
        <v>49672.77</v>
      </c>
      <c r="GW71" s="558">
        <f t="shared" si="119"/>
        <v>47177.83</v>
      </c>
      <c r="GX71" s="558">
        <f t="shared" si="119"/>
        <v>44656.2</v>
      </c>
      <c r="GY71" s="558">
        <f t="shared" si="119"/>
        <v>42107.87</v>
      </c>
      <c r="GZ71" s="558">
        <f t="shared" si="119"/>
        <v>39529.870000000003</v>
      </c>
      <c r="HA71" s="558">
        <f t="shared" si="119"/>
        <v>36931.1</v>
      </c>
      <c r="HB71" s="558">
        <f t="shared" si="119"/>
        <v>34293.769999999997</v>
      </c>
      <c r="HC71" s="558">
        <f t="shared" si="119"/>
        <v>31600.07</v>
      </c>
      <c r="HD71" s="558">
        <f t="shared" si="119"/>
        <v>28867.81</v>
      </c>
      <c r="HE71" s="558">
        <f t="shared" si="119"/>
        <v>26108.85</v>
      </c>
      <c r="HF71" s="558">
        <f t="shared" si="119"/>
        <v>23314.29</v>
      </c>
      <c r="HG71" s="558">
        <f t="shared" si="119"/>
        <v>20498.96</v>
      </c>
      <c r="HH71" s="558">
        <f t="shared" si="119"/>
        <v>17653.96</v>
      </c>
      <c r="HI71" s="558">
        <f t="shared" si="119"/>
        <v>14835.67</v>
      </c>
      <c r="HJ71" s="558">
        <f t="shared" si="119"/>
        <v>11993.64</v>
      </c>
      <c r="HK71" s="558">
        <f t="shared" si="124"/>
        <v>9169.41</v>
      </c>
      <c r="HL71" s="558">
        <f t="shared" si="122"/>
        <v>6365.95</v>
      </c>
      <c r="HM71" s="558">
        <f t="shared" si="122"/>
        <v>3574.35</v>
      </c>
      <c r="HN71" s="558">
        <f t="shared" si="122"/>
        <v>1275.21</v>
      </c>
      <c r="HO71" s="558">
        <f t="shared" si="122"/>
        <v>-952.72</v>
      </c>
      <c r="HP71" s="558" t="str">
        <f t="shared" si="120"/>
        <v>.</v>
      </c>
      <c r="HQ71" s="558" t="str">
        <f t="shared" si="120"/>
        <v>.</v>
      </c>
      <c r="HR71" s="558" t="str">
        <f t="shared" si="120"/>
        <v>.</v>
      </c>
      <c r="HS71" s="558" t="str">
        <f t="shared" si="120"/>
        <v>.</v>
      </c>
      <c r="HT71" s="558" t="str">
        <f t="shared" si="120"/>
        <v>.</v>
      </c>
      <c r="HU71" s="558" t="str">
        <f t="shared" si="120"/>
        <v>.</v>
      </c>
      <c r="HV71" s="558" t="str">
        <f t="shared" si="120"/>
        <v>.</v>
      </c>
      <c r="HW71" s="558" t="str">
        <f t="shared" si="120"/>
        <v>.</v>
      </c>
      <c r="HX71" s="558" t="str">
        <f t="shared" si="120"/>
        <v>.</v>
      </c>
      <c r="HY71" s="558" t="str">
        <f t="shared" si="120"/>
        <v>.</v>
      </c>
      <c r="HZ71" s="558" t="str">
        <f t="shared" si="120"/>
        <v>.</v>
      </c>
      <c r="IA71" s="558" t="str">
        <f t="shared" si="120"/>
        <v>.</v>
      </c>
      <c r="IB71" s="558" t="str">
        <f t="shared" si="120"/>
        <v>.</v>
      </c>
      <c r="IC71" s="558" t="str">
        <f t="shared" si="120"/>
        <v>.</v>
      </c>
      <c r="ID71" s="558" t="str">
        <f t="shared" si="120"/>
        <v>.</v>
      </c>
      <c r="IE71" s="558" t="str">
        <f t="shared" si="120"/>
        <v>.</v>
      </c>
      <c r="IF71" s="558" t="str">
        <f t="shared" si="120"/>
        <v>.</v>
      </c>
      <c r="IG71" s="558" t="str">
        <f t="shared" si="118"/>
        <v>.</v>
      </c>
      <c r="IH71" s="558" t="str">
        <f t="shared" si="118"/>
        <v>.</v>
      </c>
      <c r="II71" s="558" t="str">
        <f t="shared" si="118"/>
        <v>.</v>
      </c>
      <c r="IJ71" s="558" t="str">
        <f t="shared" si="118"/>
        <v>.</v>
      </c>
      <c r="IK71" s="558" t="str">
        <f t="shared" si="118"/>
        <v>.</v>
      </c>
      <c r="IL71" s="558" t="str">
        <f t="shared" si="118"/>
        <v>.</v>
      </c>
      <c r="IM71" s="558" t="str">
        <f t="shared" si="118"/>
        <v>.</v>
      </c>
      <c r="IN71" s="558" t="str">
        <f t="shared" si="118"/>
        <v>.</v>
      </c>
      <c r="IO71" s="558" t="str">
        <f t="shared" si="118"/>
        <v>.</v>
      </c>
      <c r="IP71" s="558" t="str">
        <f t="shared" si="118"/>
        <v>.</v>
      </c>
      <c r="IQ71" s="558" t="str">
        <f t="shared" si="118"/>
        <v>.</v>
      </c>
      <c r="IR71" s="558" t="str">
        <f t="shared" si="118"/>
        <v>.</v>
      </c>
      <c r="IS71" s="558" t="str">
        <f t="shared" si="118"/>
        <v>.</v>
      </c>
      <c r="IT71" s="558" t="str">
        <f t="shared" si="118"/>
        <v>.</v>
      </c>
      <c r="IU71" s="558" t="str">
        <f t="shared" si="118"/>
        <v>.</v>
      </c>
      <c r="IV71" s="558" t="str">
        <f t="shared" si="118"/>
        <v>.</v>
      </c>
      <c r="IW71" s="558" t="str">
        <f t="shared" si="118"/>
        <v>.</v>
      </c>
      <c r="IX71" s="558" t="str">
        <f t="shared" si="118"/>
        <v>.</v>
      </c>
      <c r="IY71" s="558" t="str">
        <f t="shared" si="118"/>
        <v>.</v>
      </c>
      <c r="IZ71" s="558" t="str">
        <f t="shared" si="118"/>
        <v>.</v>
      </c>
      <c r="JA71" s="558" t="str">
        <f t="shared" si="118"/>
        <v>.</v>
      </c>
      <c r="JB71" s="558" t="str">
        <f t="shared" si="118"/>
        <v>.</v>
      </c>
      <c r="JC71" s="558" t="str">
        <f t="shared" si="117"/>
        <v>.</v>
      </c>
      <c r="JD71" s="558" t="str">
        <f t="shared" si="117"/>
        <v>.</v>
      </c>
      <c r="JE71" s="558" t="str">
        <f t="shared" si="117"/>
        <v>.</v>
      </c>
      <c r="JF71" s="558" t="str">
        <f t="shared" si="117"/>
        <v>.</v>
      </c>
      <c r="JG71" s="558" t="str">
        <f t="shared" si="117"/>
        <v>.</v>
      </c>
      <c r="JH71" s="558" t="str">
        <f t="shared" si="117"/>
        <v>.</v>
      </c>
      <c r="JI71" s="558" t="str">
        <f t="shared" si="117"/>
        <v>.</v>
      </c>
      <c r="JJ71" s="558" t="str">
        <f t="shared" si="117"/>
        <v>.</v>
      </c>
      <c r="JK71" s="558" t="str">
        <f t="shared" si="117"/>
        <v>.</v>
      </c>
      <c r="JL71" s="558" t="str">
        <f t="shared" si="117"/>
        <v>.</v>
      </c>
    </row>
    <row r="72" spans="1:272" ht="10.199999999999999" x14ac:dyDescent="0.2">
      <c r="A72" s="534">
        <f xml:space="preserve"> Basis!A72</f>
        <v>72</v>
      </c>
      <c r="F72" s="536">
        <f xml:space="preserve"> ROUND(    IF( $A$15=BE_MF_,   AW72,   INDEX( qx!72:72, F$16 ) ),    F$17    )</f>
        <v>1.04E-2</v>
      </c>
      <c r="G72" s="536">
        <f xml:space="preserve"> ROUND(    IF( $A$15=BE_MF_,   BB72,   INDEX( wx!72:72, G$16 ) ),    G$17    )</f>
        <v>2.7000000000000001E-3</v>
      </c>
      <c r="H72" s="537">
        <f xml:space="preserve"> ROUND(    IF( $A$15=BE_MF_,   BG72,   INDEX( Kx!72:72, H$16 ) ),    H$17    )</f>
        <v>7677.94</v>
      </c>
      <c r="I72" s="538">
        <f t="shared" si="55"/>
        <v>7677.94</v>
      </c>
      <c r="J72" s="539">
        <f t="shared" si="81"/>
        <v>3.6949999999999998</v>
      </c>
      <c r="K72" s="540">
        <f t="shared" si="114"/>
        <v>0.5</v>
      </c>
      <c r="L72" s="541">
        <f t="shared" si="71"/>
        <v>0</v>
      </c>
      <c r="M72" s="541">
        <f t="shared" si="71"/>
        <v>8.5999999999999993E-2</v>
      </c>
      <c r="O72" s="542" t="b">
        <f t="shared" si="57"/>
        <v>1</v>
      </c>
      <c r="P72" s="493">
        <f t="shared" si="82"/>
        <v>1.3100000000000001E-2</v>
      </c>
      <c r="Q72" s="493">
        <f t="shared" si="83"/>
        <v>0.9869</v>
      </c>
      <c r="R72" s="543">
        <f t="shared" si="84"/>
        <v>469926</v>
      </c>
      <c r="S72" s="544">
        <f t="shared" si="85"/>
        <v>0.97560975599999999</v>
      </c>
      <c r="T72" s="423">
        <f t="shared" si="86"/>
        <v>79416.58</v>
      </c>
      <c r="U72" s="423">
        <f xml:space="preserve"> IF( $O72,    ROUND(  SUM( T72:T$120), U$17 ),  LEER  )</f>
        <v>1094190.32</v>
      </c>
      <c r="V72" s="493">
        <f t="shared" si="87"/>
        <v>13.777900000000001</v>
      </c>
      <c r="W72" s="493">
        <f t="shared" si="88"/>
        <v>293444.26</v>
      </c>
      <c r="X72" s="493">
        <f xml:space="preserve"> IF( $O72,    ROUND(  SUM( W72:W$120), X$17 ),  LEER  )</f>
        <v>5231096.5599999996</v>
      </c>
      <c r="Y72" s="493">
        <f t="shared" si="89"/>
        <v>65.869100000000003</v>
      </c>
      <c r="Z72" s="493">
        <f t="shared" si="90"/>
        <v>4.7808000000000002</v>
      </c>
      <c r="AA72" s="493">
        <f t="shared" si="91"/>
        <v>1.0033000000000001</v>
      </c>
      <c r="AB72" s="493">
        <f t="shared" si="92"/>
        <v>2.3494000000000002</v>
      </c>
      <c r="AC72" s="545">
        <f t="shared" si="93"/>
        <v>0.32679999999999998</v>
      </c>
      <c r="AD72" s="493">
        <f t="shared" si="94"/>
        <v>4.7976999999999999</v>
      </c>
      <c r="AE72" s="493">
        <f t="shared" si="95"/>
        <v>5.6067</v>
      </c>
      <c r="AF72" s="493">
        <f t="shared" si="96"/>
        <v>5.6067</v>
      </c>
      <c r="AG72" s="493" t="str">
        <f t="shared" si="97"/>
        <v>.</v>
      </c>
      <c r="AH72" s="493" t="str">
        <f t="shared" si="98"/>
        <v>.</v>
      </c>
      <c r="AI72" s="423">
        <f t="shared" si="99"/>
        <v>2077.79</v>
      </c>
      <c r="AJ72" s="423">
        <f t="shared" si="100"/>
        <v>11649.55</v>
      </c>
      <c r="AK72" s="423">
        <f t="shared" si="101"/>
        <v>970.8</v>
      </c>
      <c r="AN72" s="423">
        <f t="shared" si="115"/>
        <v>83783.759999999995</v>
      </c>
      <c r="AO72" s="423">
        <f t="shared" si="115"/>
        <v>83148.22</v>
      </c>
      <c r="AR72" s="546">
        <f xml:space="preserve"> ROUND(  INDEX( Kx!72:72, AR$16 ),  AR$17 )</f>
        <v>0.70579999999999998</v>
      </c>
      <c r="AS72" s="547">
        <f xml:space="preserve"> ROUND(  INDEX( qx!72:72, AS$16 ),  AS$17 )</f>
        <v>1.23E-2</v>
      </c>
      <c r="AT72" s="547">
        <f xml:space="preserve"> ROUND(  INDEX( qx!72:72, AT$16 ),  AT$17 )</f>
        <v>7.4000000000000003E-3</v>
      </c>
      <c r="AU72" s="548" t="str">
        <f t="shared" si="102"/>
        <v>F</v>
      </c>
      <c r="AV72" s="542">
        <f t="shared" si="103"/>
        <v>0.61529999999999996</v>
      </c>
      <c r="AW72" s="542">
        <f t="shared" si="104"/>
        <v>1.04E-2</v>
      </c>
      <c r="AX72" s="546">
        <f xml:space="preserve"> ROUND(  INDEX( wx!72:72, AX$16 ),  AX$17 )</f>
        <v>3.0999999999999999E-3</v>
      </c>
      <c r="AY72" s="546">
        <f xml:space="preserve"> ROUND(  INDEX( wx!72:72, AY$16 ),  AY$17 )</f>
        <v>2.0999999999999999E-3</v>
      </c>
      <c r="AZ72" s="548" t="str">
        <f t="shared" si="105"/>
        <v>F</v>
      </c>
      <c r="BA72" s="542">
        <f t="shared" si="106"/>
        <v>0.61529999999999996</v>
      </c>
      <c r="BB72" s="542">
        <f t="shared" si="107"/>
        <v>2.7000000000000001E-3</v>
      </c>
      <c r="BC72" s="533">
        <f xml:space="preserve"> ROUND(  INDEX( Kx!72:72, BC$16 ),  BC$17 )</f>
        <v>7900.91</v>
      </c>
      <c r="BD72" s="533">
        <f xml:space="preserve"> ROUND(  INDEX( Kx!72:72, BD$16 ),  BD$17 )</f>
        <v>6875.78</v>
      </c>
      <c r="BE72" s="548" t="str">
        <f t="shared" si="58"/>
        <v>M</v>
      </c>
      <c r="BF72" s="542">
        <f t="shared" si="108"/>
        <v>0.78249999999999997</v>
      </c>
      <c r="BG72" s="420">
        <f t="shared" si="109"/>
        <v>7677.94</v>
      </c>
      <c r="BQ72" s="549"/>
      <c r="BR72" s="423"/>
      <c r="BS72" s="550"/>
      <c r="BT72" s="423"/>
      <c r="BU72" s="551"/>
      <c r="BV72" s="551"/>
      <c r="BW72" s="529"/>
      <c r="BX72" s="552"/>
      <c r="BY72" s="560"/>
      <c r="BZ72" s="559"/>
      <c r="CB72" s="423"/>
      <c r="CC72" s="423"/>
      <c r="CD72" s="423"/>
      <c r="CE72" s="423"/>
      <c r="CF72" s="553"/>
      <c r="CH72" s="423"/>
      <c r="CI72" s="423"/>
      <c r="CJ72" s="423"/>
      <c r="CK72" s="423"/>
      <c r="CL72" s="553"/>
      <c r="CN72" s="423"/>
      <c r="CO72" s="423"/>
      <c r="CP72" s="423"/>
      <c r="CQ72" s="423"/>
      <c r="CR72" s="553"/>
      <c r="EI72" s="553"/>
      <c r="EJ72" s="553"/>
      <c r="EK72" s="423"/>
      <c r="EL72" s="555"/>
      <c r="ES72" s="533"/>
      <c r="ET72" s="533"/>
      <c r="EU72" s="533"/>
      <c r="EV72" s="556"/>
      <c r="EY72" s="533"/>
      <c r="EZ72" s="533"/>
      <c r="FA72" s="556"/>
      <c r="FD72" s="556"/>
      <c r="FE72" s="556"/>
      <c r="FF72" s="556"/>
      <c r="FK72" s="557">
        <f t="shared" si="48"/>
        <v>72</v>
      </c>
      <c r="FL72" s="493">
        <f t="shared" si="59"/>
        <v>65.869100000000003</v>
      </c>
      <c r="FM72" s="493">
        <f t="shared" si="60"/>
        <v>13.777900000000001</v>
      </c>
      <c r="FO72" s="427">
        <f t="shared" si="61"/>
        <v>3104876.26</v>
      </c>
      <c r="FP72" s="558">
        <f t="shared" si="123"/>
        <v>102497.61</v>
      </c>
      <c r="FQ72" s="558">
        <f t="shared" si="123"/>
        <v>101338.19</v>
      </c>
      <c r="FR72" s="558">
        <f t="shared" si="123"/>
        <v>100175.91</v>
      </c>
      <c r="FS72" s="558">
        <f t="shared" si="123"/>
        <v>99013.63</v>
      </c>
      <c r="FT72" s="558">
        <f t="shared" si="123"/>
        <v>97811.27</v>
      </c>
      <c r="FU72" s="558">
        <f t="shared" si="123"/>
        <v>96574.56</v>
      </c>
      <c r="FV72" s="558">
        <f t="shared" si="123"/>
        <v>95349.3</v>
      </c>
      <c r="FW72" s="558">
        <f t="shared" si="123"/>
        <v>94115.45</v>
      </c>
      <c r="FX72" s="558">
        <f t="shared" si="123"/>
        <v>92838.66</v>
      </c>
      <c r="FY72" s="558">
        <f t="shared" si="123"/>
        <v>91510.34</v>
      </c>
      <c r="FZ72" s="558">
        <f t="shared" si="123"/>
        <v>90173.43</v>
      </c>
      <c r="GA72" s="558">
        <f t="shared" si="123"/>
        <v>88816.49</v>
      </c>
      <c r="GB72" s="558">
        <f t="shared" si="123"/>
        <v>87428.05</v>
      </c>
      <c r="GC72" s="558">
        <f t="shared" si="123"/>
        <v>86033.88</v>
      </c>
      <c r="GD72" s="558">
        <f t="shared" si="123"/>
        <v>84596.78</v>
      </c>
      <c r="GE72" s="558">
        <f t="shared" si="123"/>
        <v>83148.22</v>
      </c>
      <c r="GF72" s="558">
        <f t="shared" si="121"/>
        <v>81656.73</v>
      </c>
      <c r="GG72" s="558">
        <f t="shared" si="121"/>
        <v>80130.880000000005</v>
      </c>
      <c r="GH72" s="558">
        <f t="shared" si="121"/>
        <v>78562.080000000002</v>
      </c>
      <c r="GI72" s="558">
        <f t="shared" si="121"/>
        <v>76947.490000000005</v>
      </c>
      <c r="GJ72" s="558">
        <f t="shared" si="121"/>
        <v>75284.23</v>
      </c>
      <c r="GK72" s="558">
        <f t="shared" si="121"/>
        <v>73557.98</v>
      </c>
      <c r="GL72" s="558">
        <f t="shared" si="121"/>
        <v>71768.759999999995</v>
      </c>
      <c r="GM72" s="558">
        <f t="shared" si="121"/>
        <v>69913.69</v>
      </c>
      <c r="GN72" s="558">
        <f t="shared" si="121"/>
        <v>67984.19</v>
      </c>
      <c r="GO72" s="558">
        <f t="shared" si="121"/>
        <v>65994.58</v>
      </c>
      <c r="GP72" s="558">
        <f t="shared" si="121"/>
        <v>63936.25</v>
      </c>
      <c r="GQ72" s="558">
        <f t="shared" si="121"/>
        <v>61814.95</v>
      </c>
      <c r="GR72" s="558">
        <f t="shared" si="121"/>
        <v>59636.39</v>
      </c>
      <c r="GS72" s="558">
        <f t="shared" si="121"/>
        <v>57403.44</v>
      </c>
      <c r="GT72" s="558">
        <f t="shared" si="121"/>
        <v>55124.68</v>
      </c>
      <c r="GU72" s="558">
        <f t="shared" si="119"/>
        <v>52791.53</v>
      </c>
      <c r="GV72" s="558">
        <f t="shared" si="119"/>
        <v>50426.9</v>
      </c>
      <c r="GW72" s="558">
        <f t="shared" si="119"/>
        <v>48019.32</v>
      </c>
      <c r="GX72" s="558">
        <f t="shared" si="119"/>
        <v>45585.97</v>
      </c>
      <c r="GY72" s="558">
        <f t="shared" si="119"/>
        <v>43126.86</v>
      </c>
      <c r="GZ72" s="558">
        <f t="shared" si="119"/>
        <v>40639.129999999997</v>
      </c>
      <c r="HA72" s="558">
        <f t="shared" si="119"/>
        <v>38131.35</v>
      </c>
      <c r="HB72" s="558">
        <f t="shared" si="119"/>
        <v>35586.36</v>
      </c>
      <c r="HC72" s="558">
        <f t="shared" si="119"/>
        <v>32986.97</v>
      </c>
      <c r="HD72" s="558">
        <f t="shared" si="119"/>
        <v>30350.37</v>
      </c>
      <c r="HE72" s="558">
        <f t="shared" si="119"/>
        <v>27688.01</v>
      </c>
      <c r="HF72" s="558">
        <f t="shared" si="119"/>
        <v>24991.29</v>
      </c>
      <c r="HG72" s="558">
        <f t="shared" si="119"/>
        <v>22274.53</v>
      </c>
      <c r="HH72" s="558">
        <f t="shared" si="119"/>
        <v>19529.150000000001</v>
      </c>
      <c r="HI72" s="558">
        <f t="shared" si="119"/>
        <v>16809.53</v>
      </c>
      <c r="HJ72" s="558">
        <f t="shared" si="119"/>
        <v>14067</v>
      </c>
      <c r="HK72" s="558">
        <f t="shared" si="124"/>
        <v>11341.66</v>
      </c>
      <c r="HL72" s="558">
        <f t="shared" si="122"/>
        <v>8636.35</v>
      </c>
      <c r="HM72" s="558">
        <f t="shared" si="122"/>
        <v>5942.5</v>
      </c>
      <c r="HN72" s="558">
        <f t="shared" si="122"/>
        <v>3723.86</v>
      </c>
      <c r="HO72" s="558">
        <f t="shared" si="122"/>
        <v>1573.93</v>
      </c>
      <c r="HP72" s="558">
        <f t="shared" si="120"/>
        <v>-484.4</v>
      </c>
      <c r="HQ72" s="558" t="str">
        <f t="shared" si="120"/>
        <v>.</v>
      </c>
      <c r="HR72" s="558" t="str">
        <f t="shared" si="120"/>
        <v>.</v>
      </c>
      <c r="HS72" s="558" t="str">
        <f t="shared" si="120"/>
        <v>.</v>
      </c>
      <c r="HT72" s="558" t="str">
        <f t="shared" si="120"/>
        <v>.</v>
      </c>
      <c r="HU72" s="558" t="str">
        <f t="shared" si="120"/>
        <v>.</v>
      </c>
      <c r="HV72" s="558" t="str">
        <f t="shared" si="120"/>
        <v>.</v>
      </c>
      <c r="HW72" s="558" t="str">
        <f t="shared" si="120"/>
        <v>.</v>
      </c>
      <c r="HX72" s="558" t="str">
        <f t="shared" si="120"/>
        <v>.</v>
      </c>
      <c r="HY72" s="558" t="str">
        <f t="shared" si="120"/>
        <v>.</v>
      </c>
      <c r="HZ72" s="558" t="str">
        <f t="shared" si="120"/>
        <v>.</v>
      </c>
      <c r="IA72" s="558" t="str">
        <f t="shared" si="120"/>
        <v>.</v>
      </c>
      <c r="IB72" s="558" t="str">
        <f t="shared" si="120"/>
        <v>.</v>
      </c>
      <c r="IC72" s="558" t="str">
        <f t="shared" si="120"/>
        <v>.</v>
      </c>
      <c r="ID72" s="558" t="str">
        <f t="shared" si="120"/>
        <v>.</v>
      </c>
      <c r="IE72" s="558" t="str">
        <f t="shared" si="120"/>
        <v>.</v>
      </c>
      <c r="IF72" s="558" t="str">
        <f t="shared" si="120"/>
        <v>.</v>
      </c>
      <c r="IG72" s="558" t="str">
        <f t="shared" si="118"/>
        <v>.</v>
      </c>
      <c r="IH72" s="558" t="str">
        <f t="shared" si="118"/>
        <v>.</v>
      </c>
      <c r="II72" s="558" t="str">
        <f t="shared" si="118"/>
        <v>.</v>
      </c>
      <c r="IJ72" s="558" t="str">
        <f t="shared" si="118"/>
        <v>.</v>
      </c>
      <c r="IK72" s="558" t="str">
        <f t="shared" si="118"/>
        <v>.</v>
      </c>
      <c r="IL72" s="558" t="str">
        <f t="shared" si="118"/>
        <v>.</v>
      </c>
      <c r="IM72" s="558" t="str">
        <f t="shared" si="118"/>
        <v>.</v>
      </c>
      <c r="IN72" s="558" t="str">
        <f t="shared" si="118"/>
        <v>.</v>
      </c>
      <c r="IO72" s="558" t="str">
        <f t="shared" si="118"/>
        <v>.</v>
      </c>
      <c r="IP72" s="558" t="str">
        <f t="shared" si="118"/>
        <v>.</v>
      </c>
      <c r="IQ72" s="558" t="str">
        <f t="shared" si="118"/>
        <v>.</v>
      </c>
      <c r="IR72" s="558" t="str">
        <f t="shared" si="118"/>
        <v>.</v>
      </c>
      <c r="IS72" s="558" t="str">
        <f t="shared" si="118"/>
        <v>.</v>
      </c>
      <c r="IT72" s="558" t="str">
        <f t="shared" si="118"/>
        <v>.</v>
      </c>
      <c r="IU72" s="558" t="str">
        <f t="shared" si="118"/>
        <v>.</v>
      </c>
      <c r="IV72" s="558" t="str">
        <f t="shared" si="118"/>
        <v>.</v>
      </c>
      <c r="IW72" s="558" t="str">
        <f t="shared" si="118"/>
        <v>.</v>
      </c>
      <c r="IX72" s="558" t="str">
        <f t="shared" si="118"/>
        <v>.</v>
      </c>
      <c r="IY72" s="558" t="str">
        <f t="shared" si="118"/>
        <v>.</v>
      </c>
      <c r="IZ72" s="558" t="str">
        <f t="shared" si="118"/>
        <v>.</v>
      </c>
      <c r="JA72" s="558" t="str">
        <f t="shared" si="118"/>
        <v>.</v>
      </c>
      <c r="JB72" s="558" t="str">
        <f t="shared" si="118"/>
        <v>.</v>
      </c>
      <c r="JC72" s="558" t="str">
        <f t="shared" si="117"/>
        <v>.</v>
      </c>
      <c r="JD72" s="558" t="str">
        <f t="shared" si="117"/>
        <v>.</v>
      </c>
      <c r="JE72" s="558" t="str">
        <f t="shared" si="117"/>
        <v>.</v>
      </c>
      <c r="JF72" s="558" t="str">
        <f t="shared" si="117"/>
        <v>.</v>
      </c>
      <c r="JG72" s="558" t="str">
        <f t="shared" si="117"/>
        <v>.</v>
      </c>
      <c r="JH72" s="558" t="str">
        <f t="shared" si="117"/>
        <v>.</v>
      </c>
      <c r="JI72" s="558" t="str">
        <f t="shared" si="117"/>
        <v>.</v>
      </c>
      <c r="JJ72" s="558" t="str">
        <f t="shared" si="117"/>
        <v>.</v>
      </c>
      <c r="JK72" s="558" t="str">
        <f t="shared" si="117"/>
        <v>.</v>
      </c>
      <c r="JL72" s="558" t="str">
        <f t="shared" si="117"/>
        <v>.</v>
      </c>
    </row>
    <row r="73" spans="1:272" ht="10.199999999999999" x14ac:dyDescent="0.2">
      <c r="A73" s="534">
        <f xml:space="preserve"> Basis!A73</f>
        <v>73</v>
      </c>
      <c r="F73" s="536">
        <f xml:space="preserve"> ROUND(    IF( $A$15=BE_MF_,   AW73,   INDEX( qx!73:73, F$16 ) ),    F$17    )</f>
        <v>1.1599999999999999E-2</v>
      </c>
      <c r="G73" s="536">
        <f xml:space="preserve"> ROUND(    IF( $A$15=BE_MF_,   BB73,   INDEX( wx!73:73, G$16 ) ),    G$17    )</f>
        <v>2.5999999999999999E-3</v>
      </c>
      <c r="H73" s="537">
        <f xml:space="preserve"> ROUND(    IF( $A$15=BE_MF_,   BG73,   INDEX( Kx!73:73, H$16 ) ),    H$17    )</f>
        <v>8011.86</v>
      </c>
      <c r="I73" s="538">
        <f t="shared" si="55"/>
        <v>8011.86</v>
      </c>
      <c r="J73" s="539">
        <f t="shared" si="81"/>
        <v>3.8559999999999999</v>
      </c>
      <c r="K73" s="540">
        <f t="shared" si="114"/>
        <v>0</v>
      </c>
      <c r="L73" s="541">
        <f t="shared" si="71"/>
        <v>0</v>
      </c>
      <c r="M73" s="541">
        <f t="shared" si="71"/>
        <v>8.5999999999999993E-2</v>
      </c>
      <c r="O73" s="542" t="b">
        <f t="shared" si="57"/>
        <v>1</v>
      </c>
      <c r="P73" s="493">
        <f t="shared" si="82"/>
        <v>1.4200000000000001E-2</v>
      </c>
      <c r="Q73" s="493">
        <f t="shared" si="83"/>
        <v>0.98580000000000001</v>
      </c>
      <c r="R73" s="543">
        <f t="shared" si="84"/>
        <v>463769</v>
      </c>
      <c r="S73" s="544">
        <f t="shared" si="85"/>
        <v>0.97560975599999999</v>
      </c>
      <c r="T73" s="423">
        <f t="shared" si="86"/>
        <v>76464.44</v>
      </c>
      <c r="U73" s="423">
        <f xml:space="preserve"> IF( $O73,    ROUND(  SUM( T73:T$120), U$17 ),  LEER  )</f>
        <v>1014773.74</v>
      </c>
      <c r="V73" s="493">
        <f t="shared" si="87"/>
        <v>13.2712</v>
      </c>
      <c r="W73" s="493">
        <f t="shared" si="88"/>
        <v>294846.88</v>
      </c>
      <c r="X73" s="493">
        <f xml:space="preserve"> IF( $O73,    ROUND(  SUM( W73:W$120), X$17 ),  LEER  )</f>
        <v>4937652.3</v>
      </c>
      <c r="Y73" s="493">
        <f t="shared" si="89"/>
        <v>64.5745</v>
      </c>
      <c r="Z73" s="493">
        <f t="shared" si="90"/>
        <v>4.8658000000000001</v>
      </c>
      <c r="AA73" s="493">
        <f t="shared" si="91"/>
        <v>1</v>
      </c>
      <c r="AB73" s="493">
        <f t="shared" si="92"/>
        <v>2.3494000000000002</v>
      </c>
      <c r="AC73" s="545">
        <f t="shared" si="93"/>
        <v>0.32679999999999998</v>
      </c>
      <c r="AD73" s="493">
        <f t="shared" si="94"/>
        <v>4.8658000000000001</v>
      </c>
      <c r="AE73" s="493">
        <f t="shared" si="95"/>
        <v>5.6811999999999996</v>
      </c>
      <c r="AF73" s="493">
        <f t="shared" si="96"/>
        <v>5.6811999999999996</v>
      </c>
      <c r="AG73" s="493" t="str">
        <f t="shared" si="97"/>
        <v>.</v>
      </c>
      <c r="AH73" s="493" t="str">
        <f t="shared" si="98"/>
        <v>.</v>
      </c>
      <c r="AI73" s="423">
        <f t="shared" si="99"/>
        <v>2077.79</v>
      </c>
      <c r="AJ73" s="423">
        <f t="shared" si="100"/>
        <v>11804.34</v>
      </c>
      <c r="AK73" s="423">
        <f t="shared" si="101"/>
        <v>983.7</v>
      </c>
      <c r="AN73" s="423">
        <f t="shared" si="115"/>
        <v>83045.88</v>
      </c>
      <c r="AO73" s="423">
        <f t="shared" si="115"/>
        <v>82433.72</v>
      </c>
      <c r="AR73" s="546">
        <f xml:space="preserve"> ROUND(  INDEX( Kx!73:73, AR$16 ),  AR$17 )</f>
        <v>0.70169999999999999</v>
      </c>
      <c r="AS73" s="547">
        <f xml:space="preserve"> ROUND(  INDEX( qx!73:73, AS$16 ),  AS$17 )</f>
        <v>1.37E-2</v>
      </c>
      <c r="AT73" s="547">
        <f xml:space="preserve"> ROUND(  INDEX( qx!73:73, AT$16 ),  AT$17 )</f>
        <v>8.2000000000000007E-3</v>
      </c>
      <c r="AU73" s="548" t="str">
        <f t="shared" si="102"/>
        <v>F</v>
      </c>
      <c r="AV73" s="542">
        <f t="shared" si="103"/>
        <v>0.61060000000000003</v>
      </c>
      <c r="AW73" s="542">
        <f t="shared" si="104"/>
        <v>1.1599999999999999E-2</v>
      </c>
      <c r="AX73" s="546">
        <f xml:space="preserve"> ROUND(  INDEX( wx!73:73, AX$16 ),  AX$17 )</f>
        <v>3.0000000000000001E-3</v>
      </c>
      <c r="AY73" s="546">
        <f xml:space="preserve"> ROUND(  INDEX( wx!73:73, AY$16 ),  AY$17 )</f>
        <v>2.0999999999999999E-3</v>
      </c>
      <c r="AZ73" s="548" t="str">
        <f t="shared" si="105"/>
        <v>F</v>
      </c>
      <c r="BA73" s="542">
        <f t="shared" si="106"/>
        <v>0.61060000000000003</v>
      </c>
      <c r="BB73" s="542">
        <f t="shared" si="107"/>
        <v>2.5999999999999999E-3</v>
      </c>
      <c r="BC73" s="533">
        <f xml:space="preserve"> ROUND(  INDEX( Kx!73:73, BC$16 ),  BC$17 )</f>
        <v>8249.5</v>
      </c>
      <c r="BD73" s="533">
        <f xml:space="preserve"> ROUND(  INDEX( Kx!73:73, BD$16 ),  BD$17 )</f>
        <v>7173.22</v>
      </c>
      <c r="BE73" s="548" t="str">
        <f t="shared" si="58"/>
        <v>M</v>
      </c>
      <c r="BF73" s="542">
        <f t="shared" si="108"/>
        <v>0.7792</v>
      </c>
      <c r="BG73" s="420">
        <f t="shared" si="109"/>
        <v>8011.86</v>
      </c>
      <c r="BQ73" s="549"/>
      <c r="BR73" s="423"/>
      <c r="BS73" s="550"/>
      <c r="BT73" s="423"/>
      <c r="BU73" s="551"/>
      <c r="BV73" s="551"/>
      <c r="BW73" s="529"/>
      <c r="BX73" s="552"/>
      <c r="BY73" s="560"/>
      <c r="BZ73" s="559"/>
      <c r="CB73" s="423"/>
      <c r="CC73" s="423"/>
      <c r="CD73" s="423"/>
      <c r="CE73" s="423"/>
      <c r="CF73" s="553"/>
      <c r="CH73" s="423"/>
      <c r="CI73" s="423"/>
      <c r="CJ73" s="423"/>
      <c r="CK73" s="423"/>
      <c r="CL73" s="553"/>
      <c r="CN73" s="423"/>
      <c r="CO73" s="423"/>
      <c r="CP73" s="423"/>
      <c r="CQ73" s="423"/>
      <c r="CR73" s="553"/>
      <c r="EI73" s="553"/>
      <c r="EJ73" s="553"/>
      <c r="EK73" s="423"/>
      <c r="EL73" s="555"/>
      <c r="ES73" s="533"/>
      <c r="ET73" s="533"/>
      <c r="EU73" s="533"/>
      <c r="EV73" s="556"/>
      <c r="EY73" s="533"/>
      <c r="EZ73" s="533"/>
      <c r="FA73" s="556"/>
      <c r="FD73" s="556"/>
      <c r="FE73" s="556"/>
      <c r="FF73" s="556"/>
      <c r="FK73" s="557">
        <f t="shared" si="48"/>
        <v>73</v>
      </c>
      <c r="FL73" s="493">
        <f t="shared" si="59"/>
        <v>64.5745</v>
      </c>
      <c r="FM73" s="493">
        <f t="shared" si="60"/>
        <v>13.2712</v>
      </c>
      <c r="FO73" s="427">
        <f t="shared" si="61"/>
        <v>3114888.2599999993</v>
      </c>
      <c r="FP73" s="558">
        <f t="shared" si="123"/>
        <v>101071.5</v>
      </c>
      <c r="FQ73" s="558">
        <f t="shared" si="123"/>
        <v>99954.72</v>
      </c>
      <c r="FR73" s="558">
        <f t="shared" si="123"/>
        <v>98835.19</v>
      </c>
      <c r="FS73" s="558">
        <f t="shared" si="123"/>
        <v>97715.65</v>
      </c>
      <c r="FT73" s="558">
        <f t="shared" si="123"/>
        <v>96557.51</v>
      </c>
      <c r="FU73" s="558">
        <f t="shared" si="123"/>
        <v>95366.28</v>
      </c>
      <c r="FV73" s="558">
        <f t="shared" si="123"/>
        <v>94186.08</v>
      </c>
      <c r="FW73" s="558">
        <f t="shared" si="123"/>
        <v>92997.61</v>
      </c>
      <c r="FX73" s="558">
        <f t="shared" si="123"/>
        <v>91767.77</v>
      </c>
      <c r="FY73" s="558">
        <f t="shared" si="123"/>
        <v>90488.31</v>
      </c>
      <c r="FZ73" s="558">
        <f t="shared" si="123"/>
        <v>89200.56</v>
      </c>
      <c r="GA73" s="558">
        <f t="shared" si="123"/>
        <v>87893.52</v>
      </c>
      <c r="GB73" s="558">
        <f t="shared" si="123"/>
        <v>86556.14</v>
      </c>
      <c r="GC73" s="558">
        <f t="shared" si="123"/>
        <v>85213.25</v>
      </c>
      <c r="GD73" s="558">
        <f t="shared" si="123"/>
        <v>83829</v>
      </c>
      <c r="GE73" s="558">
        <f t="shared" si="123"/>
        <v>82433.72</v>
      </c>
      <c r="GF73" s="558">
        <f t="shared" si="121"/>
        <v>80997.070000000007</v>
      </c>
      <c r="GG73" s="558">
        <f t="shared" si="121"/>
        <v>79527.34</v>
      </c>
      <c r="GH73" s="558">
        <f t="shared" si="121"/>
        <v>78016.240000000005</v>
      </c>
      <c r="GI73" s="558">
        <f t="shared" si="121"/>
        <v>76461.02</v>
      </c>
      <c r="GJ73" s="558">
        <f t="shared" si="121"/>
        <v>74858.929999999993</v>
      </c>
      <c r="GK73" s="558">
        <f t="shared" si="121"/>
        <v>73196.17</v>
      </c>
      <c r="GL73" s="558">
        <f t="shared" si="121"/>
        <v>71472.75</v>
      </c>
      <c r="GM73" s="558">
        <f t="shared" si="121"/>
        <v>69685.899999999994</v>
      </c>
      <c r="GN73" s="558">
        <f t="shared" si="121"/>
        <v>67827.360000000001</v>
      </c>
      <c r="GO73" s="558">
        <f t="shared" si="121"/>
        <v>65910.92</v>
      </c>
      <c r="GP73" s="558">
        <f t="shared" si="121"/>
        <v>63928.29</v>
      </c>
      <c r="GQ73" s="558">
        <f t="shared" si="121"/>
        <v>61885</v>
      </c>
      <c r="GR73" s="558">
        <f t="shared" si="121"/>
        <v>59786.559999999998</v>
      </c>
      <c r="GS73" s="558">
        <f t="shared" si="121"/>
        <v>57635.73</v>
      </c>
      <c r="GT73" s="558">
        <f t="shared" si="121"/>
        <v>55440.78</v>
      </c>
      <c r="GU73" s="558">
        <f t="shared" si="119"/>
        <v>53193.43</v>
      </c>
      <c r="GV73" s="558">
        <f t="shared" si="119"/>
        <v>50915.76</v>
      </c>
      <c r="GW73" s="558">
        <f t="shared" si="119"/>
        <v>48596.72</v>
      </c>
      <c r="GX73" s="558">
        <f t="shared" si="119"/>
        <v>46252.86</v>
      </c>
      <c r="GY73" s="558">
        <f t="shared" si="119"/>
        <v>43884.19</v>
      </c>
      <c r="GZ73" s="558">
        <f t="shared" si="119"/>
        <v>41487.94</v>
      </c>
      <c r="HA73" s="558">
        <f t="shared" si="119"/>
        <v>39072.400000000001</v>
      </c>
      <c r="HB73" s="558">
        <f t="shared" si="119"/>
        <v>36621</v>
      </c>
      <c r="HC73" s="558">
        <f t="shared" si="119"/>
        <v>34117.21</v>
      </c>
      <c r="HD73" s="558">
        <f t="shared" si="119"/>
        <v>31577.57</v>
      </c>
      <c r="HE73" s="558">
        <f t="shared" si="119"/>
        <v>29013.119999999999</v>
      </c>
      <c r="HF73" s="558">
        <f t="shared" si="119"/>
        <v>26415.58</v>
      </c>
      <c r="HG73" s="558">
        <f t="shared" si="119"/>
        <v>23798.73</v>
      </c>
      <c r="HH73" s="558">
        <f t="shared" si="119"/>
        <v>21154.31</v>
      </c>
      <c r="HI73" s="558">
        <f t="shared" si="119"/>
        <v>18534.71</v>
      </c>
      <c r="HJ73" s="558">
        <f t="shared" si="119"/>
        <v>15893.05</v>
      </c>
      <c r="HK73" s="558">
        <f t="shared" si="124"/>
        <v>13267.93</v>
      </c>
      <c r="HL73" s="558">
        <f t="shared" si="122"/>
        <v>10662.11</v>
      </c>
      <c r="HM73" s="558">
        <f t="shared" si="122"/>
        <v>8067.33</v>
      </c>
      <c r="HN73" s="558">
        <f t="shared" si="122"/>
        <v>5930.28</v>
      </c>
      <c r="HO73" s="558">
        <f t="shared" si="122"/>
        <v>3859.42</v>
      </c>
      <c r="HP73" s="558">
        <f t="shared" si="120"/>
        <v>1876.79</v>
      </c>
      <c r="HQ73" s="558">
        <f t="shared" si="120"/>
        <v>-1.05</v>
      </c>
      <c r="HR73" s="558" t="str">
        <f t="shared" si="120"/>
        <v>.</v>
      </c>
      <c r="HS73" s="558" t="str">
        <f t="shared" si="120"/>
        <v>.</v>
      </c>
      <c r="HT73" s="558" t="str">
        <f t="shared" si="120"/>
        <v>.</v>
      </c>
      <c r="HU73" s="558" t="str">
        <f t="shared" si="120"/>
        <v>.</v>
      </c>
      <c r="HV73" s="558" t="str">
        <f t="shared" si="120"/>
        <v>.</v>
      </c>
      <c r="HW73" s="558" t="str">
        <f t="shared" si="120"/>
        <v>.</v>
      </c>
      <c r="HX73" s="558" t="str">
        <f t="shared" si="120"/>
        <v>.</v>
      </c>
      <c r="HY73" s="558" t="str">
        <f t="shared" si="120"/>
        <v>.</v>
      </c>
      <c r="HZ73" s="558" t="str">
        <f t="shared" si="120"/>
        <v>.</v>
      </c>
      <c r="IA73" s="558" t="str">
        <f t="shared" si="120"/>
        <v>.</v>
      </c>
      <c r="IB73" s="558" t="str">
        <f t="shared" si="120"/>
        <v>.</v>
      </c>
      <c r="IC73" s="558" t="str">
        <f t="shared" si="120"/>
        <v>.</v>
      </c>
      <c r="ID73" s="558" t="str">
        <f t="shared" si="120"/>
        <v>.</v>
      </c>
      <c r="IE73" s="558" t="str">
        <f t="shared" si="120"/>
        <v>.</v>
      </c>
      <c r="IF73" s="558" t="str">
        <f t="shared" si="120"/>
        <v>.</v>
      </c>
      <c r="IG73" s="558" t="str">
        <f t="shared" si="118"/>
        <v>.</v>
      </c>
      <c r="IH73" s="558" t="str">
        <f t="shared" si="118"/>
        <v>.</v>
      </c>
      <c r="II73" s="558" t="str">
        <f t="shared" si="118"/>
        <v>.</v>
      </c>
      <c r="IJ73" s="558" t="str">
        <f t="shared" si="118"/>
        <v>.</v>
      </c>
      <c r="IK73" s="558" t="str">
        <f t="shared" si="118"/>
        <v>.</v>
      </c>
      <c r="IL73" s="558" t="str">
        <f t="shared" si="118"/>
        <v>.</v>
      </c>
      <c r="IM73" s="558" t="str">
        <f t="shared" si="118"/>
        <v>.</v>
      </c>
      <c r="IN73" s="558" t="str">
        <f t="shared" si="118"/>
        <v>.</v>
      </c>
      <c r="IO73" s="558" t="str">
        <f t="shared" si="118"/>
        <v>.</v>
      </c>
      <c r="IP73" s="558" t="str">
        <f t="shared" si="118"/>
        <v>.</v>
      </c>
      <c r="IQ73" s="558" t="str">
        <f t="shared" si="118"/>
        <v>.</v>
      </c>
      <c r="IR73" s="558" t="str">
        <f t="shared" si="118"/>
        <v>.</v>
      </c>
      <c r="IS73" s="558" t="str">
        <f t="shared" si="118"/>
        <v>.</v>
      </c>
      <c r="IT73" s="558" t="str">
        <f t="shared" si="118"/>
        <v>.</v>
      </c>
      <c r="IU73" s="558" t="str">
        <f t="shared" si="118"/>
        <v>.</v>
      </c>
      <c r="IV73" s="558" t="str">
        <f t="shared" si="118"/>
        <v>.</v>
      </c>
      <c r="IW73" s="558" t="str">
        <f t="shared" si="118"/>
        <v>.</v>
      </c>
      <c r="IX73" s="558" t="str">
        <f t="shared" si="118"/>
        <v>.</v>
      </c>
      <c r="IY73" s="558" t="str">
        <f t="shared" si="118"/>
        <v>.</v>
      </c>
      <c r="IZ73" s="558" t="str">
        <f t="shared" si="118"/>
        <v>.</v>
      </c>
      <c r="JA73" s="558" t="str">
        <f t="shared" si="118"/>
        <v>.</v>
      </c>
      <c r="JB73" s="558" t="str">
        <f t="shared" si="118"/>
        <v>.</v>
      </c>
      <c r="JC73" s="558" t="str">
        <f t="shared" si="117"/>
        <v>.</v>
      </c>
      <c r="JD73" s="558" t="str">
        <f t="shared" si="117"/>
        <v>.</v>
      </c>
      <c r="JE73" s="558" t="str">
        <f t="shared" si="117"/>
        <v>.</v>
      </c>
      <c r="JF73" s="558" t="str">
        <f t="shared" si="117"/>
        <v>.</v>
      </c>
      <c r="JG73" s="558" t="str">
        <f t="shared" si="117"/>
        <v>.</v>
      </c>
      <c r="JH73" s="558" t="str">
        <f t="shared" si="117"/>
        <v>.</v>
      </c>
      <c r="JI73" s="558" t="str">
        <f t="shared" si="117"/>
        <v>.</v>
      </c>
      <c r="JJ73" s="558" t="str">
        <f t="shared" si="117"/>
        <v>.</v>
      </c>
      <c r="JK73" s="558" t="str">
        <f t="shared" si="117"/>
        <v>.</v>
      </c>
      <c r="JL73" s="558" t="str">
        <f t="shared" si="117"/>
        <v>.</v>
      </c>
    </row>
    <row r="74" spans="1:272" ht="10.199999999999999" x14ac:dyDescent="0.2">
      <c r="A74" s="534">
        <f xml:space="preserve"> Basis!A74</f>
        <v>74</v>
      </c>
      <c r="F74" s="536">
        <f xml:space="preserve"> ROUND(    IF( $A$15=BE_MF_,   AW74,   INDEX( qx!74:74, F$16 ) ),    F$17    )</f>
        <v>1.29E-2</v>
      </c>
      <c r="G74" s="536">
        <f xml:space="preserve"> ROUND(    IF( $A$15=BE_MF_,   BB74,   INDEX( wx!74:74, G$16 ) ),    G$17    )</f>
        <v>2.5000000000000001E-3</v>
      </c>
      <c r="H74" s="537">
        <f xml:space="preserve"> ROUND(    IF( $A$15=BE_MF_,   BG74,   INDEX( Kx!74:74, H$16 ) ),    H$17    )</f>
        <v>8350.9699999999993</v>
      </c>
      <c r="I74" s="538">
        <f t="shared" si="55"/>
        <v>8350.9699999999993</v>
      </c>
      <c r="J74" s="539">
        <f t="shared" si="81"/>
        <v>4.0190000000000001</v>
      </c>
      <c r="K74" s="540">
        <f t="shared" si="114"/>
        <v>0</v>
      </c>
      <c r="L74" s="541">
        <f t="shared" si="71"/>
        <v>0</v>
      </c>
      <c r="M74" s="541">
        <f t="shared" si="71"/>
        <v>8.5999999999999993E-2</v>
      </c>
      <c r="O74" s="542" t="b">
        <f t="shared" si="57"/>
        <v>1</v>
      </c>
      <c r="P74" s="493">
        <f t="shared" si="82"/>
        <v>1.54E-2</v>
      </c>
      <c r="Q74" s="493">
        <f t="shared" si="83"/>
        <v>0.98460000000000003</v>
      </c>
      <c r="R74" s="543">
        <f t="shared" si="84"/>
        <v>457183</v>
      </c>
      <c r="S74" s="544">
        <f t="shared" si="85"/>
        <v>0.97560975599999999</v>
      </c>
      <c r="T74" s="423">
        <f t="shared" si="86"/>
        <v>73540.070000000007</v>
      </c>
      <c r="U74" s="423">
        <f xml:space="preserve"> IF( $O74,    ROUND(  SUM( T74:T$120), U$17 ),  LEER  )</f>
        <v>938309.3</v>
      </c>
      <c r="V74" s="493">
        <f t="shared" si="87"/>
        <v>12.7592</v>
      </c>
      <c r="W74" s="493">
        <f t="shared" si="88"/>
        <v>295557.53999999998</v>
      </c>
      <c r="X74" s="493">
        <f xml:space="preserve"> IF( $O74,    ROUND(  SUM( W74:W$120), X$17 ),  LEER  )</f>
        <v>4642805.42</v>
      </c>
      <c r="Y74" s="493">
        <f t="shared" si="89"/>
        <v>63.133000000000003</v>
      </c>
      <c r="Z74" s="493">
        <f t="shared" si="90"/>
        <v>4.9480000000000004</v>
      </c>
      <c r="AA74" s="493">
        <f t="shared" si="91"/>
        <v>1</v>
      </c>
      <c r="AB74" s="493">
        <f t="shared" si="92"/>
        <v>2.3494000000000002</v>
      </c>
      <c r="AC74" s="545">
        <f t="shared" si="93"/>
        <v>0.32679999999999998</v>
      </c>
      <c r="AD74" s="493">
        <f t="shared" si="94"/>
        <v>4.9480000000000004</v>
      </c>
      <c r="AE74" s="493">
        <f t="shared" si="95"/>
        <v>5.7710999999999997</v>
      </c>
      <c r="AF74" s="493">
        <f t="shared" si="96"/>
        <v>5.7710999999999997</v>
      </c>
      <c r="AG74" s="493" t="str">
        <f t="shared" si="97"/>
        <v>.</v>
      </c>
      <c r="AH74" s="493" t="str">
        <f t="shared" si="98"/>
        <v>.</v>
      </c>
      <c r="AI74" s="423">
        <f t="shared" si="99"/>
        <v>2077.79</v>
      </c>
      <c r="AJ74" s="423">
        <f t="shared" si="100"/>
        <v>11991.13</v>
      </c>
      <c r="AK74" s="423">
        <f t="shared" si="101"/>
        <v>999.26</v>
      </c>
      <c r="AN74" s="423">
        <f t="shared" si="115"/>
        <v>82023.19</v>
      </c>
      <c r="AO74" s="423">
        <f t="shared" si="115"/>
        <v>81434.64</v>
      </c>
      <c r="AR74" s="546">
        <f xml:space="preserve"> ROUND(  INDEX( Kx!74:74, AR$16 ),  AR$17 )</f>
        <v>0.69969999999999999</v>
      </c>
      <c r="AS74" s="547">
        <f xml:space="preserve"> ROUND(  INDEX( qx!74:74, AS$16 ),  AS$17 )</f>
        <v>1.5299999999999999E-2</v>
      </c>
      <c r="AT74" s="547">
        <f xml:space="preserve"> ROUND(  INDEX( qx!74:74, AT$16 ),  AT$17 )</f>
        <v>9.1999999999999998E-3</v>
      </c>
      <c r="AU74" s="548" t="str">
        <f t="shared" si="102"/>
        <v>F</v>
      </c>
      <c r="AV74" s="542">
        <f t="shared" si="103"/>
        <v>0.60840000000000005</v>
      </c>
      <c r="AW74" s="542">
        <f t="shared" si="104"/>
        <v>1.29E-2</v>
      </c>
      <c r="AX74" s="546">
        <f xml:space="preserve"> ROUND(  INDEX( wx!74:74, AX$16 ),  AX$17 )</f>
        <v>2.7000000000000001E-3</v>
      </c>
      <c r="AY74" s="546">
        <f xml:space="preserve"> ROUND(  INDEX( wx!74:74, AY$16 ),  AY$17 )</f>
        <v>2.0999999999999999E-3</v>
      </c>
      <c r="AZ74" s="548" t="str">
        <f t="shared" si="105"/>
        <v>F</v>
      </c>
      <c r="BA74" s="542">
        <f t="shared" si="106"/>
        <v>0.60840000000000005</v>
      </c>
      <c r="BB74" s="542">
        <f t="shared" si="107"/>
        <v>2.5000000000000001E-3</v>
      </c>
      <c r="BC74" s="533">
        <f xml:space="preserve"> ROUND(  INDEX( Kx!74:74, BC$16 ),  BC$17 )</f>
        <v>8601.9699999999993</v>
      </c>
      <c r="BD74" s="533">
        <f xml:space="preserve"> ROUND(  INDEX( Kx!74:74, BD$16 ),  BD$17 )</f>
        <v>7473.87</v>
      </c>
      <c r="BE74" s="548" t="str">
        <f t="shared" si="58"/>
        <v>M</v>
      </c>
      <c r="BF74" s="542">
        <f t="shared" si="108"/>
        <v>0.77749999999999997</v>
      </c>
      <c r="BG74" s="420">
        <f t="shared" si="109"/>
        <v>8350.9699999999993</v>
      </c>
      <c r="BQ74" s="549"/>
      <c r="BR74" s="423"/>
      <c r="BS74" s="550"/>
      <c r="BT74" s="423"/>
      <c r="BU74" s="551"/>
      <c r="BV74" s="551"/>
      <c r="BW74" s="529"/>
      <c r="BX74" s="552"/>
      <c r="BY74" s="560"/>
      <c r="BZ74" s="559"/>
      <c r="CB74" s="423"/>
      <c r="CC74" s="423"/>
      <c r="CD74" s="423"/>
      <c r="CE74" s="423"/>
      <c r="CF74" s="553"/>
      <c r="CH74" s="423"/>
      <c r="CI74" s="423"/>
      <c r="CJ74" s="423"/>
      <c r="CK74" s="423"/>
      <c r="CL74" s="553"/>
      <c r="CN74" s="423"/>
      <c r="CO74" s="423"/>
      <c r="CP74" s="423"/>
      <c r="CQ74" s="423"/>
      <c r="CR74" s="553"/>
      <c r="EI74" s="553"/>
      <c r="EJ74" s="553"/>
      <c r="EK74" s="423"/>
      <c r="EL74" s="555"/>
      <c r="ES74" s="533"/>
      <c r="ET74" s="533"/>
      <c r="EU74" s="533"/>
      <c r="EV74" s="556"/>
      <c r="EY74" s="533"/>
      <c r="EZ74" s="533"/>
      <c r="FA74" s="556"/>
      <c r="FD74" s="556"/>
      <c r="FE74" s="556"/>
      <c r="FF74" s="556"/>
      <c r="FK74" s="557">
        <f t="shared" si="48"/>
        <v>74</v>
      </c>
      <c r="FL74" s="493">
        <f t="shared" si="59"/>
        <v>63.133000000000003</v>
      </c>
      <c r="FM74" s="493">
        <f t="shared" si="60"/>
        <v>12.7592</v>
      </c>
      <c r="FO74" s="427">
        <f t="shared" si="61"/>
        <v>3112502.4299999997</v>
      </c>
      <c r="FP74" s="558">
        <f t="shared" si="123"/>
        <v>99353.39</v>
      </c>
      <c r="FQ74" s="558">
        <f t="shared" si="123"/>
        <v>98279.69</v>
      </c>
      <c r="FR74" s="558">
        <f t="shared" si="123"/>
        <v>97203.35</v>
      </c>
      <c r="FS74" s="558">
        <f t="shared" si="123"/>
        <v>96127</v>
      </c>
      <c r="FT74" s="558">
        <f t="shared" si="123"/>
        <v>95013.55</v>
      </c>
      <c r="FU74" s="558">
        <f t="shared" si="123"/>
        <v>93868.27</v>
      </c>
      <c r="FV74" s="558">
        <f t="shared" si="123"/>
        <v>92733.6</v>
      </c>
      <c r="FW74" s="558">
        <f t="shared" si="123"/>
        <v>91590.98</v>
      </c>
      <c r="FX74" s="558">
        <f t="shared" si="123"/>
        <v>90408.6</v>
      </c>
      <c r="FY74" s="558">
        <f t="shared" si="123"/>
        <v>89178.49</v>
      </c>
      <c r="FZ74" s="558">
        <f t="shared" si="123"/>
        <v>87940.43</v>
      </c>
      <c r="GA74" s="558">
        <f t="shared" si="123"/>
        <v>86683.81</v>
      </c>
      <c r="GB74" s="558">
        <f t="shared" si="123"/>
        <v>85398.03</v>
      </c>
      <c r="GC74" s="558">
        <f t="shared" si="123"/>
        <v>84106.95</v>
      </c>
      <c r="GD74" s="558">
        <f t="shared" si="123"/>
        <v>82776.100000000006</v>
      </c>
      <c r="GE74" s="558">
        <f t="shared" si="123"/>
        <v>81434.64</v>
      </c>
      <c r="GF74" s="558">
        <f t="shared" si="121"/>
        <v>80053.42</v>
      </c>
      <c r="GG74" s="558">
        <f t="shared" si="121"/>
        <v>78640.39</v>
      </c>
      <c r="GH74" s="558">
        <f t="shared" si="121"/>
        <v>77187.59</v>
      </c>
      <c r="GI74" s="558">
        <f t="shared" si="121"/>
        <v>75692.37</v>
      </c>
      <c r="GJ74" s="558">
        <f t="shared" si="121"/>
        <v>74152.09</v>
      </c>
      <c r="GK74" s="558">
        <f t="shared" si="121"/>
        <v>72553.48</v>
      </c>
      <c r="GL74" s="558">
        <f t="shared" si="121"/>
        <v>70896.539999999994</v>
      </c>
      <c r="GM74" s="558">
        <f t="shared" si="121"/>
        <v>69178.64</v>
      </c>
      <c r="GN74" s="558">
        <f t="shared" si="121"/>
        <v>67391.8</v>
      </c>
      <c r="GO74" s="558">
        <f t="shared" si="121"/>
        <v>65549.289999999994</v>
      </c>
      <c r="GP74" s="558">
        <f t="shared" si="121"/>
        <v>63643.15</v>
      </c>
      <c r="GQ74" s="558">
        <f t="shared" si="121"/>
        <v>61678.69</v>
      </c>
      <c r="GR74" s="558">
        <f t="shared" si="121"/>
        <v>59661.21</v>
      </c>
      <c r="GS74" s="558">
        <f t="shared" si="121"/>
        <v>57593.36</v>
      </c>
      <c r="GT74" s="558">
        <f t="shared" si="121"/>
        <v>55483.09</v>
      </c>
      <c r="GU74" s="558">
        <f t="shared" si="119"/>
        <v>53322.44</v>
      </c>
      <c r="GV74" s="558">
        <f t="shared" si="119"/>
        <v>51132.639999999999</v>
      </c>
      <c r="GW74" s="558">
        <f t="shared" si="119"/>
        <v>48903.07</v>
      </c>
      <c r="GX74" s="558">
        <f t="shared" si="119"/>
        <v>46649.64</v>
      </c>
      <c r="GY74" s="558">
        <f t="shared" si="119"/>
        <v>44372.35</v>
      </c>
      <c r="GZ74" s="558">
        <f t="shared" si="119"/>
        <v>42068.55</v>
      </c>
      <c r="HA74" s="558">
        <f t="shared" si="119"/>
        <v>39746.19</v>
      </c>
      <c r="HB74" s="558">
        <f t="shared" si="119"/>
        <v>37389.370000000003</v>
      </c>
      <c r="HC74" s="558">
        <f t="shared" si="119"/>
        <v>34982.18</v>
      </c>
      <c r="HD74" s="558">
        <f t="shared" si="119"/>
        <v>32540.52</v>
      </c>
      <c r="HE74" s="558">
        <f t="shared" si="119"/>
        <v>30075</v>
      </c>
      <c r="HF74" s="558">
        <f t="shared" si="119"/>
        <v>27577.67</v>
      </c>
      <c r="HG74" s="558">
        <f t="shared" si="119"/>
        <v>25061.78</v>
      </c>
      <c r="HH74" s="558">
        <f t="shared" si="119"/>
        <v>22519.38</v>
      </c>
      <c r="HI74" s="558">
        <f t="shared" si="119"/>
        <v>20000.849999999999</v>
      </c>
      <c r="HJ74" s="558">
        <f t="shared" si="119"/>
        <v>17461.099999999999</v>
      </c>
      <c r="HK74" s="558">
        <f t="shared" si="124"/>
        <v>14937.26</v>
      </c>
      <c r="HL74" s="558">
        <f t="shared" si="122"/>
        <v>12431.97</v>
      </c>
      <c r="HM74" s="558">
        <f t="shared" si="122"/>
        <v>9937.2900000000009</v>
      </c>
      <c r="HN74" s="558">
        <f t="shared" si="122"/>
        <v>7882.7</v>
      </c>
      <c r="HO74" s="558">
        <f t="shared" si="122"/>
        <v>5891.72</v>
      </c>
      <c r="HP74" s="558">
        <f t="shared" si="120"/>
        <v>3985.59</v>
      </c>
      <c r="HQ74" s="558">
        <f t="shared" si="120"/>
        <v>2180.19</v>
      </c>
      <c r="HR74" s="558">
        <f t="shared" si="120"/>
        <v>0.99</v>
      </c>
      <c r="HS74" s="558" t="str">
        <f t="shared" si="120"/>
        <v>.</v>
      </c>
      <c r="HT74" s="558" t="str">
        <f t="shared" si="120"/>
        <v>.</v>
      </c>
      <c r="HU74" s="558" t="str">
        <f t="shared" si="120"/>
        <v>.</v>
      </c>
      <c r="HV74" s="558" t="str">
        <f t="shared" si="120"/>
        <v>.</v>
      </c>
      <c r="HW74" s="558" t="str">
        <f t="shared" si="120"/>
        <v>.</v>
      </c>
      <c r="HX74" s="558" t="str">
        <f t="shared" si="120"/>
        <v>.</v>
      </c>
      <c r="HY74" s="558" t="str">
        <f t="shared" si="120"/>
        <v>.</v>
      </c>
      <c r="HZ74" s="558" t="str">
        <f t="shared" si="120"/>
        <v>.</v>
      </c>
      <c r="IA74" s="558" t="str">
        <f t="shared" si="120"/>
        <v>.</v>
      </c>
      <c r="IB74" s="558" t="str">
        <f t="shared" si="120"/>
        <v>.</v>
      </c>
      <c r="IC74" s="558" t="str">
        <f t="shared" si="120"/>
        <v>.</v>
      </c>
      <c r="ID74" s="558" t="str">
        <f t="shared" si="120"/>
        <v>.</v>
      </c>
      <c r="IE74" s="558" t="str">
        <f t="shared" si="120"/>
        <v>.</v>
      </c>
      <c r="IF74" s="558" t="str">
        <f t="shared" si="120"/>
        <v>.</v>
      </c>
      <c r="IG74" s="558" t="str">
        <f t="shared" si="118"/>
        <v>.</v>
      </c>
      <c r="IH74" s="558" t="str">
        <f t="shared" si="118"/>
        <v>.</v>
      </c>
      <c r="II74" s="558" t="str">
        <f t="shared" si="118"/>
        <v>.</v>
      </c>
      <c r="IJ74" s="558" t="str">
        <f t="shared" si="118"/>
        <v>.</v>
      </c>
      <c r="IK74" s="558" t="str">
        <f t="shared" si="118"/>
        <v>.</v>
      </c>
      <c r="IL74" s="558" t="str">
        <f t="shared" si="118"/>
        <v>.</v>
      </c>
      <c r="IM74" s="558" t="str">
        <f t="shared" si="118"/>
        <v>.</v>
      </c>
      <c r="IN74" s="558" t="str">
        <f t="shared" si="118"/>
        <v>.</v>
      </c>
      <c r="IO74" s="558" t="str">
        <f t="shared" si="118"/>
        <v>.</v>
      </c>
      <c r="IP74" s="558" t="str">
        <f t="shared" si="118"/>
        <v>.</v>
      </c>
      <c r="IQ74" s="558" t="str">
        <f t="shared" si="118"/>
        <v>.</v>
      </c>
      <c r="IR74" s="558" t="str">
        <f t="shared" si="118"/>
        <v>.</v>
      </c>
      <c r="IS74" s="558" t="str">
        <f t="shared" si="118"/>
        <v>.</v>
      </c>
      <c r="IT74" s="558" t="str">
        <f t="shared" si="118"/>
        <v>.</v>
      </c>
      <c r="IU74" s="558" t="str">
        <f t="shared" si="118"/>
        <v>.</v>
      </c>
      <c r="IV74" s="558" t="str">
        <f t="shared" si="118"/>
        <v>.</v>
      </c>
      <c r="IW74" s="558" t="str">
        <f t="shared" si="118"/>
        <v>.</v>
      </c>
      <c r="IX74" s="558" t="str">
        <f t="shared" si="118"/>
        <v>.</v>
      </c>
      <c r="IY74" s="558" t="str">
        <f t="shared" si="118"/>
        <v>.</v>
      </c>
      <c r="IZ74" s="558" t="str">
        <f t="shared" si="118"/>
        <v>.</v>
      </c>
      <c r="JA74" s="558" t="str">
        <f t="shared" si="118"/>
        <v>.</v>
      </c>
      <c r="JB74" s="558" t="str">
        <f t="shared" si="118"/>
        <v>.</v>
      </c>
      <c r="JC74" s="558" t="str">
        <f t="shared" si="117"/>
        <v>.</v>
      </c>
      <c r="JD74" s="558" t="str">
        <f t="shared" si="117"/>
        <v>.</v>
      </c>
      <c r="JE74" s="558" t="str">
        <f t="shared" si="117"/>
        <v>.</v>
      </c>
      <c r="JF74" s="558" t="str">
        <f t="shared" si="117"/>
        <v>.</v>
      </c>
      <c r="JG74" s="558" t="str">
        <f t="shared" si="117"/>
        <v>.</v>
      </c>
      <c r="JH74" s="558" t="str">
        <f t="shared" si="117"/>
        <v>.</v>
      </c>
      <c r="JI74" s="558" t="str">
        <f t="shared" si="117"/>
        <v>.</v>
      </c>
      <c r="JJ74" s="558" t="str">
        <f t="shared" si="117"/>
        <v>.</v>
      </c>
      <c r="JK74" s="558" t="str">
        <f t="shared" si="117"/>
        <v>.</v>
      </c>
      <c r="JL74" s="558" t="str">
        <f t="shared" si="117"/>
        <v>.</v>
      </c>
    </row>
    <row r="75" spans="1:272" ht="10.199999999999999" x14ac:dyDescent="0.2">
      <c r="A75" s="534">
        <f xml:space="preserve"> Basis!A75</f>
        <v>75</v>
      </c>
      <c r="F75" s="536">
        <f xml:space="preserve"> ROUND(    IF( $A$15=BE_MF_,   AW75,   INDEX( qx!75:75, F$16 ) ),    F$17    )</f>
        <v>1.46E-2</v>
      </c>
      <c r="G75" s="536">
        <f xml:space="preserve"> ROUND(    IF( $A$15=BE_MF_,   BB75,   INDEX( wx!75:75, G$16 ) ),    G$17    )</f>
        <v>2.3E-3</v>
      </c>
      <c r="H75" s="537">
        <f xml:space="preserve"> ROUND(    IF( $A$15=BE_MF_,   BG75,   INDEX( Kx!75:75, H$16 ) ),    H$17    )</f>
        <v>8688.0400000000009</v>
      </c>
      <c r="I75" s="538">
        <f t="shared" si="55"/>
        <v>8688.0400000000009</v>
      </c>
      <c r="J75" s="539">
        <f t="shared" si="81"/>
        <v>4.181</v>
      </c>
      <c r="K75" s="540">
        <f t="shared" si="114"/>
        <v>0</v>
      </c>
      <c r="L75" s="541">
        <f t="shared" si="71"/>
        <v>0</v>
      </c>
      <c r="M75" s="541">
        <f t="shared" si="71"/>
        <v>8.5999999999999993E-2</v>
      </c>
      <c r="O75" s="542" t="b">
        <f t="shared" si="57"/>
        <v>1</v>
      </c>
      <c r="P75" s="493">
        <f t="shared" si="82"/>
        <v>1.6899999999999998E-2</v>
      </c>
      <c r="Q75" s="493">
        <f t="shared" si="83"/>
        <v>0.98309999999999997</v>
      </c>
      <c r="R75" s="543">
        <f t="shared" si="84"/>
        <v>450142</v>
      </c>
      <c r="S75" s="544">
        <f t="shared" si="85"/>
        <v>0.97560975599999999</v>
      </c>
      <c r="T75" s="423">
        <f t="shared" si="86"/>
        <v>70641.45</v>
      </c>
      <c r="U75" s="423">
        <f xml:space="preserve"> IF( $O75,    ROUND(  SUM( T75:T$120), U$17 ),  LEER  )</f>
        <v>864769.23</v>
      </c>
      <c r="V75" s="493">
        <f t="shared" si="87"/>
        <v>12.2417</v>
      </c>
      <c r="W75" s="493">
        <f t="shared" si="88"/>
        <v>295351.90000000002</v>
      </c>
      <c r="X75" s="493">
        <f xml:space="preserve"> IF( $O75,    ROUND(  SUM( W75:W$120), X$17 ),  LEER  )</f>
        <v>4347247.88</v>
      </c>
      <c r="Y75" s="493">
        <f t="shared" si="89"/>
        <v>61.5396</v>
      </c>
      <c r="Z75" s="493">
        <f t="shared" si="90"/>
        <v>5.0270000000000001</v>
      </c>
      <c r="AA75" s="493">
        <f t="shared" si="91"/>
        <v>1</v>
      </c>
      <c r="AB75" s="493">
        <f t="shared" si="92"/>
        <v>2.3494000000000002</v>
      </c>
      <c r="AC75" s="545">
        <f t="shared" si="93"/>
        <v>0.32679999999999998</v>
      </c>
      <c r="AD75" s="493">
        <f t="shared" si="94"/>
        <v>5.0270000000000001</v>
      </c>
      <c r="AE75" s="493">
        <f t="shared" si="95"/>
        <v>5.8574999999999999</v>
      </c>
      <c r="AF75" s="493">
        <f t="shared" si="96"/>
        <v>5.8574999999999999</v>
      </c>
      <c r="AG75" s="493" t="str">
        <f t="shared" si="97"/>
        <v>.</v>
      </c>
      <c r="AH75" s="493" t="str">
        <f t="shared" si="98"/>
        <v>.</v>
      </c>
      <c r="AI75" s="423">
        <f t="shared" si="99"/>
        <v>2077.79</v>
      </c>
      <c r="AJ75" s="423">
        <f t="shared" si="100"/>
        <v>12170.65</v>
      </c>
      <c r="AK75" s="423">
        <f t="shared" si="101"/>
        <v>1014.22</v>
      </c>
      <c r="AN75" s="423">
        <f t="shared" si="115"/>
        <v>80706.070000000007</v>
      </c>
      <c r="AO75" s="423">
        <f t="shared" si="115"/>
        <v>80141.399999999994</v>
      </c>
      <c r="AR75" s="546">
        <f xml:space="preserve"> ROUND(  INDEX( Kx!75:75, AR$16 ),  AR$17 )</f>
        <v>0.69520000000000004</v>
      </c>
      <c r="AS75" s="547">
        <f xml:space="preserve"> ROUND(  INDEX( qx!75:75, AS$16 ),  AS$17 )</f>
        <v>1.7299999999999999E-2</v>
      </c>
      <c r="AT75" s="547">
        <f xml:space="preserve"> ROUND(  INDEX( qx!75:75, AT$16 ),  AT$17 )</f>
        <v>1.04E-2</v>
      </c>
      <c r="AU75" s="548" t="str">
        <f t="shared" si="102"/>
        <v>F</v>
      </c>
      <c r="AV75" s="542">
        <f t="shared" si="103"/>
        <v>0.60329999999999995</v>
      </c>
      <c r="AW75" s="542">
        <f t="shared" si="104"/>
        <v>1.46E-2</v>
      </c>
      <c r="AX75" s="546">
        <f xml:space="preserve"> ROUND(  INDEX( wx!75:75, AX$16 ),  AX$17 )</f>
        <v>2.3999999999999998E-3</v>
      </c>
      <c r="AY75" s="546">
        <f xml:space="preserve"> ROUND(  INDEX( wx!75:75, AY$16 ),  AY$17 )</f>
        <v>2.0999999999999999E-3</v>
      </c>
      <c r="AZ75" s="548" t="str">
        <f t="shared" si="105"/>
        <v>F</v>
      </c>
      <c r="BA75" s="542">
        <f t="shared" si="106"/>
        <v>0.60329999999999995</v>
      </c>
      <c r="BB75" s="542">
        <f t="shared" si="107"/>
        <v>2.3E-3</v>
      </c>
      <c r="BC75" s="533">
        <f xml:space="preserve"> ROUND(  INDEX( Kx!75:75, BC$16 ),  BC$17 )</f>
        <v>8956.01</v>
      </c>
      <c r="BD75" s="533">
        <f xml:space="preserve"> ROUND(  INDEX( Kx!75:75, BD$16 ),  BD$17 )</f>
        <v>7771.37</v>
      </c>
      <c r="BE75" s="548" t="str">
        <f t="shared" si="58"/>
        <v>M</v>
      </c>
      <c r="BF75" s="542">
        <f t="shared" si="108"/>
        <v>0.77380000000000004</v>
      </c>
      <c r="BG75" s="420">
        <f t="shared" si="109"/>
        <v>8688.0400000000009</v>
      </c>
      <c r="BQ75" s="549"/>
      <c r="BR75" s="423"/>
      <c r="BS75" s="550"/>
      <c r="BT75" s="423"/>
      <c r="BU75" s="551"/>
      <c r="BV75" s="551"/>
      <c r="BW75" s="529"/>
      <c r="BX75" s="552"/>
      <c r="BY75" s="560"/>
      <c r="BZ75" s="559"/>
      <c r="CB75" s="423"/>
      <c r="CC75" s="423"/>
      <c r="CD75" s="423"/>
      <c r="CE75" s="423"/>
      <c r="CF75" s="553"/>
      <c r="CH75" s="423"/>
      <c r="CI75" s="423"/>
      <c r="CJ75" s="423"/>
      <c r="CK75" s="423"/>
      <c r="CL75" s="553"/>
      <c r="CN75" s="423"/>
      <c r="CO75" s="423"/>
      <c r="CP75" s="423"/>
      <c r="CQ75" s="423"/>
      <c r="CR75" s="553"/>
      <c r="EI75" s="553"/>
      <c r="EJ75" s="553"/>
      <c r="EK75" s="423"/>
      <c r="EL75" s="555"/>
      <c r="ES75" s="533"/>
      <c r="ET75" s="533"/>
      <c r="EU75" s="533"/>
      <c r="EV75" s="556"/>
      <c r="EY75" s="533"/>
      <c r="EZ75" s="533"/>
      <c r="FA75" s="556"/>
      <c r="FD75" s="556"/>
      <c r="FE75" s="556"/>
      <c r="FF75" s="556"/>
      <c r="FK75" s="557">
        <f t="shared" si="48"/>
        <v>75</v>
      </c>
      <c r="FL75" s="493">
        <f t="shared" si="59"/>
        <v>61.5396</v>
      </c>
      <c r="FM75" s="493">
        <f t="shared" si="60"/>
        <v>12.2417</v>
      </c>
      <c r="FO75" s="427">
        <f t="shared" si="61"/>
        <v>3096794.9099999997</v>
      </c>
      <c r="FP75" s="558">
        <f t="shared" si="123"/>
        <v>97333.37</v>
      </c>
      <c r="FQ75" s="558">
        <f t="shared" si="123"/>
        <v>96303.23</v>
      </c>
      <c r="FR75" s="558">
        <f t="shared" si="123"/>
        <v>95270.54</v>
      </c>
      <c r="FS75" s="558">
        <f t="shared" si="123"/>
        <v>94237.85</v>
      </c>
      <c r="FT75" s="558">
        <f t="shared" si="123"/>
        <v>93169.55</v>
      </c>
      <c r="FU75" s="558">
        <f t="shared" si="123"/>
        <v>92070.73</v>
      </c>
      <c r="FV75" s="558">
        <f t="shared" si="123"/>
        <v>90982.080000000002</v>
      </c>
      <c r="FW75" s="558">
        <f t="shared" si="123"/>
        <v>89885.81</v>
      </c>
      <c r="FX75" s="558">
        <f t="shared" si="123"/>
        <v>88751.37</v>
      </c>
      <c r="FY75" s="558">
        <f t="shared" si="123"/>
        <v>87571.16</v>
      </c>
      <c r="FZ75" s="558">
        <f t="shared" si="123"/>
        <v>86383.31</v>
      </c>
      <c r="GA75" s="558">
        <f t="shared" si="123"/>
        <v>85177.66</v>
      </c>
      <c r="GB75" s="558">
        <f t="shared" si="123"/>
        <v>83944.03</v>
      </c>
      <c r="GC75" s="558">
        <f t="shared" si="123"/>
        <v>82705.31</v>
      </c>
      <c r="GD75" s="558">
        <f t="shared" si="123"/>
        <v>81428.44</v>
      </c>
      <c r="GE75" s="558">
        <f t="shared" si="123"/>
        <v>80141.399999999994</v>
      </c>
      <c r="GF75" s="558">
        <f t="shared" si="121"/>
        <v>78816.2</v>
      </c>
      <c r="GG75" s="558">
        <f t="shared" si="121"/>
        <v>77460.47</v>
      </c>
      <c r="GH75" s="558">
        <f t="shared" si="121"/>
        <v>76066.600000000006</v>
      </c>
      <c r="GI75" s="558">
        <f t="shared" si="121"/>
        <v>74632.03</v>
      </c>
      <c r="GJ75" s="558">
        <f t="shared" si="121"/>
        <v>73154.210000000006</v>
      </c>
      <c r="GK75" s="558">
        <f t="shared" si="121"/>
        <v>71620.44</v>
      </c>
      <c r="GL75" s="558">
        <f t="shared" si="121"/>
        <v>70030.710000000006</v>
      </c>
      <c r="GM75" s="558">
        <f t="shared" si="121"/>
        <v>68382.48</v>
      </c>
      <c r="GN75" s="558">
        <f t="shared" si="121"/>
        <v>66668.11</v>
      </c>
      <c r="GO75" s="558">
        <f t="shared" si="121"/>
        <v>64900.34</v>
      </c>
      <c r="GP75" s="558">
        <f t="shared" si="121"/>
        <v>63071.51</v>
      </c>
      <c r="GQ75" s="558">
        <f t="shared" si="121"/>
        <v>61186.73</v>
      </c>
      <c r="GR75" s="558">
        <f t="shared" si="121"/>
        <v>59251.07</v>
      </c>
      <c r="GS75" s="558">
        <f t="shared" si="121"/>
        <v>57267.09</v>
      </c>
      <c r="GT75" s="558">
        <f t="shared" si="121"/>
        <v>55242.41</v>
      </c>
      <c r="GU75" s="558">
        <f t="shared" si="119"/>
        <v>53169.4</v>
      </c>
      <c r="GV75" s="558">
        <f t="shared" si="119"/>
        <v>51068.41</v>
      </c>
      <c r="GW75" s="558">
        <f t="shared" si="119"/>
        <v>48929.27</v>
      </c>
      <c r="GX75" s="558">
        <f t="shared" si="119"/>
        <v>46767.24</v>
      </c>
      <c r="GY75" s="558">
        <f t="shared" si="119"/>
        <v>44582.31</v>
      </c>
      <c r="GZ75" s="558">
        <f t="shared" si="119"/>
        <v>42371.95</v>
      </c>
      <c r="HA75" s="558">
        <f t="shared" si="119"/>
        <v>40143.79</v>
      </c>
      <c r="HB75" s="558">
        <f t="shared" si="119"/>
        <v>37882.550000000003</v>
      </c>
      <c r="HC75" s="558">
        <f t="shared" si="119"/>
        <v>35572.99</v>
      </c>
      <c r="HD75" s="558">
        <f t="shared" si="119"/>
        <v>33230.370000000003</v>
      </c>
      <c r="HE75" s="558">
        <f t="shared" si="119"/>
        <v>30864.85</v>
      </c>
      <c r="HF75" s="558">
        <f t="shared" si="119"/>
        <v>28468.81</v>
      </c>
      <c r="HG75" s="558">
        <f t="shared" si="119"/>
        <v>26054.959999999999</v>
      </c>
      <c r="HH75" s="558">
        <f t="shared" si="119"/>
        <v>23615.68</v>
      </c>
      <c r="HI75" s="558">
        <f t="shared" si="119"/>
        <v>21199.29</v>
      </c>
      <c r="HJ75" s="558">
        <f t="shared" si="119"/>
        <v>18762.55</v>
      </c>
      <c r="HK75" s="558">
        <f t="shared" si="124"/>
        <v>16341.07</v>
      </c>
      <c r="HL75" s="558">
        <f t="shared" si="122"/>
        <v>13937.4</v>
      </c>
      <c r="HM75" s="558">
        <f t="shared" si="122"/>
        <v>11543.91</v>
      </c>
      <c r="HN75" s="558">
        <f t="shared" si="122"/>
        <v>9572.64</v>
      </c>
      <c r="HO75" s="558">
        <f t="shared" si="122"/>
        <v>7662.42</v>
      </c>
      <c r="HP75" s="558">
        <f t="shared" si="120"/>
        <v>5833.59</v>
      </c>
      <c r="HQ75" s="558">
        <f t="shared" si="120"/>
        <v>4101.42</v>
      </c>
      <c r="HR75" s="558">
        <f t="shared" si="120"/>
        <v>2010.61</v>
      </c>
      <c r="HS75" s="558">
        <f t="shared" si="120"/>
        <v>1.19</v>
      </c>
      <c r="HT75" s="558" t="str">
        <f t="shared" si="120"/>
        <v>.</v>
      </c>
      <c r="HU75" s="558" t="str">
        <f t="shared" si="120"/>
        <v>.</v>
      </c>
      <c r="HV75" s="558" t="str">
        <f t="shared" si="120"/>
        <v>.</v>
      </c>
      <c r="HW75" s="558" t="str">
        <f t="shared" si="120"/>
        <v>.</v>
      </c>
      <c r="HX75" s="558" t="str">
        <f t="shared" si="120"/>
        <v>.</v>
      </c>
      <c r="HY75" s="558" t="str">
        <f t="shared" si="120"/>
        <v>.</v>
      </c>
      <c r="HZ75" s="558" t="str">
        <f t="shared" si="120"/>
        <v>.</v>
      </c>
      <c r="IA75" s="558" t="str">
        <f t="shared" si="120"/>
        <v>.</v>
      </c>
      <c r="IB75" s="558" t="str">
        <f t="shared" si="120"/>
        <v>.</v>
      </c>
      <c r="IC75" s="558" t="str">
        <f t="shared" si="120"/>
        <v>.</v>
      </c>
      <c r="ID75" s="558" t="str">
        <f t="shared" si="120"/>
        <v>.</v>
      </c>
      <c r="IE75" s="558" t="str">
        <f t="shared" si="120"/>
        <v>.</v>
      </c>
      <c r="IF75" s="558" t="str">
        <f t="shared" si="120"/>
        <v>.</v>
      </c>
      <c r="IG75" s="558" t="str">
        <f t="shared" si="118"/>
        <v>.</v>
      </c>
      <c r="IH75" s="558" t="str">
        <f t="shared" si="118"/>
        <v>.</v>
      </c>
      <c r="II75" s="558" t="str">
        <f t="shared" si="118"/>
        <v>.</v>
      </c>
      <c r="IJ75" s="558" t="str">
        <f t="shared" si="118"/>
        <v>.</v>
      </c>
      <c r="IK75" s="558" t="str">
        <f t="shared" si="118"/>
        <v>.</v>
      </c>
      <c r="IL75" s="558" t="str">
        <f t="shared" si="118"/>
        <v>.</v>
      </c>
      <c r="IM75" s="558" t="str">
        <f t="shared" si="118"/>
        <v>.</v>
      </c>
      <c r="IN75" s="558" t="str">
        <f t="shared" si="118"/>
        <v>.</v>
      </c>
      <c r="IO75" s="558" t="str">
        <f t="shared" si="118"/>
        <v>.</v>
      </c>
      <c r="IP75" s="558" t="str">
        <f t="shared" si="118"/>
        <v>.</v>
      </c>
      <c r="IQ75" s="558" t="str">
        <f t="shared" si="118"/>
        <v>.</v>
      </c>
      <c r="IR75" s="558" t="str">
        <f t="shared" si="118"/>
        <v>.</v>
      </c>
      <c r="IS75" s="558" t="str">
        <f t="shared" si="118"/>
        <v>.</v>
      </c>
      <c r="IT75" s="558" t="str">
        <f t="shared" si="118"/>
        <v>.</v>
      </c>
      <c r="IU75" s="558" t="str">
        <f t="shared" si="118"/>
        <v>.</v>
      </c>
      <c r="IV75" s="558" t="str">
        <f t="shared" si="118"/>
        <v>.</v>
      </c>
      <c r="IW75" s="558" t="str">
        <f t="shared" si="118"/>
        <v>.</v>
      </c>
      <c r="IX75" s="558" t="str">
        <f t="shared" si="118"/>
        <v>.</v>
      </c>
      <c r="IY75" s="558" t="str">
        <f t="shared" si="118"/>
        <v>.</v>
      </c>
      <c r="IZ75" s="558" t="str">
        <f t="shared" si="118"/>
        <v>.</v>
      </c>
      <c r="JA75" s="558" t="str">
        <f t="shared" si="118"/>
        <v>.</v>
      </c>
      <c r="JB75" s="558" t="str">
        <f t="shared" si="118"/>
        <v>.</v>
      </c>
      <c r="JC75" s="558" t="str">
        <f t="shared" si="117"/>
        <v>.</v>
      </c>
      <c r="JD75" s="558" t="str">
        <f t="shared" si="117"/>
        <v>.</v>
      </c>
      <c r="JE75" s="558" t="str">
        <f t="shared" si="117"/>
        <v>.</v>
      </c>
      <c r="JF75" s="558" t="str">
        <f t="shared" si="117"/>
        <v>.</v>
      </c>
      <c r="JG75" s="558" t="str">
        <f t="shared" si="117"/>
        <v>.</v>
      </c>
      <c r="JH75" s="558" t="str">
        <f t="shared" si="117"/>
        <v>.</v>
      </c>
      <c r="JI75" s="558" t="str">
        <f t="shared" si="117"/>
        <v>.</v>
      </c>
      <c r="JJ75" s="558" t="str">
        <f t="shared" si="117"/>
        <v>.</v>
      </c>
      <c r="JK75" s="558" t="str">
        <f t="shared" si="117"/>
        <v>.</v>
      </c>
      <c r="JL75" s="558" t="str">
        <f t="shared" si="117"/>
        <v>.</v>
      </c>
    </row>
    <row r="76" spans="1:272" ht="10.199999999999999" x14ac:dyDescent="0.2">
      <c r="A76" s="534">
        <f xml:space="preserve"> Basis!A76</f>
        <v>76</v>
      </c>
      <c r="F76" s="536">
        <f xml:space="preserve"> ROUND(    IF( $A$15=BE_MF_,   AW76,   INDEX( qx!76:76, F$16 ) ),    F$17    )</f>
        <v>1.6500000000000001E-2</v>
      </c>
      <c r="G76" s="536">
        <f xml:space="preserve"> ROUND(    IF( $A$15=BE_MF_,   BB76,   INDEX( wx!76:76, G$16 ) ),    G$17    )</f>
        <v>2.2000000000000001E-3</v>
      </c>
      <c r="H76" s="537">
        <f xml:space="preserve"> ROUND(    IF( $A$15=BE_MF_,   BG76,   INDEX( Kx!76:76, H$16 ) ),    H$17    )</f>
        <v>9062.2800000000007</v>
      </c>
      <c r="I76" s="538">
        <f t="shared" si="55"/>
        <v>9062.2800000000007</v>
      </c>
      <c r="J76" s="539">
        <f t="shared" si="81"/>
        <v>4.3609999999999998</v>
      </c>
      <c r="K76" s="540">
        <f t="shared" si="114"/>
        <v>0</v>
      </c>
      <c r="L76" s="541">
        <f t="shared" si="71"/>
        <v>0</v>
      </c>
      <c r="M76" s="541">
        <f t="shared" si="71"/>
        <v>8.5999999999999993E-2</v>
      </c>
      <c r="O76" s="542" t="b">
        <f t="shared" si="57"/>
        <v>1</v>
      </c>
      <c r="P76" s="493">
        <f t="shared" si="82"/>
        <v>1.8700000000000001E-2</v>
      </c>
      <c r="Q76" s="493">
        <f t="shared" si="83"/>
        <v>0.98129999999999995</v>
      </c>
      <c r="R76" s="543">
        <f t="shared" si="84"/>
        <v>442534</v>
      </c>
      <c r="S76" s="544">
        <f t="shared" si="85"/>
        <v>0.97560975599999999</v>
      </c>
      <c r="T76" s="423">
        <f t="shared" si="86"/>
        <v>67753.679999999993</v>
      </c>
      <c r="U76" s="423">
        <f xml:space="preserve"> IF( $O76,    ROUND(  SUM( T76:T$120), U$17 ),  LEER  )</f>
        <v>794127.78</v>
      </c>
      <c r="V76" s="493">
        <f t="shared" si="87"/>
        <v>11.720800000000001</v>
      </c>
      <c r="W76" s="493">
        <f t="shared" si="88"/>
        <v>295473.8</v>
      </c>
      <c r="X76" s="493">
        <f xml:space="preserve"> IF( $O76,    ROUND(  SUM( W76:W$120), X$17 ),  LEER  )</f>
        <v>4051895.98</v>
      </c>
      <c r="Y76" s="493">
        <f t="shared" si="89"/>
        <v>59.8033</v>
      </c>
      <c r="Z76" s="493">
        <f t="shared" si="90"/>
        <v>5.1022999999999996</v>
      </c>
      <c r="AA76" s="493">
        <f t="shared" si="91"/>
        <v>1</v>
      </c>
      <c r="AB76" s="493">
        <f t="shared" si="92"/>
        <v>2.3494000000000002</v>
      </c>
      <c r="AC76" s="545">
        <f t="shared" si="93"/>
        <v>0.32679999999999998</v>
      </c>
      <c r="AD76" s="493">
        <f t="shared" si="94"/>
        <v>5.1022999999999996</v>
      </c>
      <c r="AE76" s="493">
        <f t="shared" si="95"/>
        <v>5.9398999999999997</v>
      </c>
      <c r="AF76" s="493">
        <f t="shared" si="96"/>
        <v>5.9398999999999997</v>
      </c>
      <c r="AG76" s="493" t="str">
        <f t="shared" si="97"/>
        <v>.</v>
      </c>
      <c r="AH76" s="493" t="str">
        <f t="shared" si="98"/>
        <v>.</v>
      </c>
      <c r="AI76" s="423">
        <f t="shared" si="99"/>
        <v>2077.79</v>
      </c>
      <c r="AJ76" s="423">
        <f t="shared" si="100"/>
        <v>12341.86</v>
      </c>
      <c r="AK76" s="423">
        <f t="shared" si="101"/>
        <v>1028.49</v>
      </c>
      <c r="AN76" s="423">
        <f t="shared" si="115"/>
        <v>79105.13</v>
      </c>
      <c r="AO76" s="423">
        <f t="shared" si="115"/>
        <v>78564.490000000005</v>
      </c>
      <c r="AR76" s="546">
        <f xml:space="preserve"> ROUND(  INDEX( Kx!76:76, AR$16 ),  AR$17 )</f>
        <v>0.6986</v>
      </c>
      <c r="AS76" s="547">
        <f xml:space="preserve"> ROUND(  INDEX( qx!76:76, AS$16 ),  AS$17 )</f>
        <v>1.9599999999999999E-2</v>
      </c>
      <c r="AT76" s="547">
        <f xml:space="preserve"> ROUND(  INDEX( qx!76:76, AT$16 ),  AT$17 )</f>
        <v>1.18E-2</v>
      </c>
      <c r="AU76" s="548" t="str">
        <f t="shared" si="102"/>
        <v>F</v>
      </c>
      <c r="AV76" s="542">
        <f t="shared" si="103"/>
        <v>0.60709999999999997</v>
      </c>
      <c r="AW76" s="542">
        <f t="shared" si="104"/>
        <v>1.6500000000000001E-2</v>
      </c>
      <c r="AX76" s="546">
        <f xml:space="preserve"> ROUND(  INDEX( wx!76:76, AX$16 ),  AX$17 )</f>
        <v>2.2000000000000001E-3</v>
      </c>
      <c r="AY76" s="546">
        <f xml:space="preserve"> ROUND(  INDEX( wx!76:76, AY$16 ),  AY$17 )</f>
        <v>2.0999999999999999E-3</v>
      </c>
      <c r="AZ76" s="548" t="str">
        <f t="shared" si="105"/>
        <v>F</v>
      </c>
      <c r="BA76" s="542">
        <f t="shared" si="106"/>
        <v>0.60709999999999997</v>
      </c>
      <c r="BB76" s="542">
        <f t="shared" si="107"/>
        <v>2.2000000000000001E-3</v>
      </c>
      <c r="BC76" s="533">
        <f xml:space="preserve"> ROUND(  INDEX( Kx!76:76, BC$16 ),  BC$17 )</f>
        <v>9348.7000000000007</v>
      </c>
      <c r="BD76" s="533">
        <f xml:space="preserve"> ROUND(  INDEX( Kx!76:76, BD$16 ),  BD$17 )</f>
        <v>8066.61</v>
      </c>
      <c r="BE76" s="548" t="str">
        <f t="shared" si="58"/>
        <v>M</v>
      </c>
      <c r="BF76" s="542">
        <f t="shared" si="108"/>
        <v>0.77659999999999996</v>
      </c>
      <c r="BG76" s="420">
        <f t="shared" si="109"/>
        <v>9062.2800000000007</v>
      </c>
      <c r="BQ76" s="549"/>
      <c r="BR76" s="423"/>
      <c r="BS76" s="550"/>
      <c r="BT76" s="423"/>
      <c r="BU76" s="551"/>
      <c r="BV76" s="551"/>
      <c r="BW76" s="529"/>
      <c r="BX76" s="552"/>
      <c r="BY76" s="560"/>
      <c r="BZ76" s="559"/>
      <c r="CB76" s="423"/>
      <c r="CC76" s="423"/>
      <c r="CD76" s="423"/>
      <c r="CE76" s="423"/>
      <c r="CF76" s="553"/>
      <c r="CH76" s="423"/>
      <c r="CI76" s="423"/>
      <c r="CJ76" s="423"/>
      <c r="CK76" s="423"/>
      <c r="CL76" s="553"/>
      <c r="CN76" s="423"/>
      <c r="CO76" s="423"/>
      <c r="CP76" s="423"/>
      <c r="CQ76" s="423"/>
      <c r="CR76" s="553"/>
      <c r="EI76" s="553"/>
      <c r="EJ76" s="553"/>
      <c r="EK76" s="423"/>
      <c r="EL76" s="555"/>
      <c r="ES76" s="533"/>
      <c r="ET76" s="533"/>
      <c r="EU76" s="533"/>
      <c r="EV76" s="556"/>
      <c r="EY76" s="533"/>
      <c r="EZ76" s="533"/>
      <c r="FA76" s="556"/>
      <c r="FD76" s="556"/>
      <c r="FE76" s="556"/>
      <c r="FF76" s="556"/>
      <c r="FK76" s="557">
        <f t="shared" si="48"/>
        <v>76</v>
      </c>
      <c r="FL76" s="493">
        <f t="shared" si="59"/>
        <v>59.8033</v>
      </c>
      <c r="FM76" s="493">
        <f t="shared" si="60"/>
        <v>11.720800000000001</v>
      </c>
      <c r="FO76" s="427">
        <f t="shared" si="61"/>
        <v>3067682.6500000008</v>
      </c>
      <c r="FP76" s="558">
        <f t="shared" si="123"/>
        <v>95024.92</v>
      </c>
      <c r="FQ76" s="558">
        <f t="shared" si="123"/>
        <v>94038.61</v>
      </c>
      <c r="FR76" s="558">
        <f t="shared" si="123"/>
        <v>93049.87</v>
      </c>
      <c r="FS76" s="558">
        <f t="shared" si="123"/>
        <v>92061.119999999995</v>
      </c>
      <c r="FT76" s="558">
        <f t="shared" si="123"/>
        <v>91038.28</v>
      </c>
      <c r="FU76" s="558">
        <f t="shared" si="123"/>
        <v>89986.21</v>
      </c>
      <c r="FV76" s="558">
        <f t="shared" si="123"/>
        <v>88943.89</v>
      </c>
      <c r="FW76" s="558">
        <f t="shared" si="123"/>
        <v>87894.26</v>
      </c>
      <c r="FX76" s="558">
        <f t="shared" si="123"/>
        <v>86808.1</v>
      </c>
      <c r="FY76" s="558">
        <f t="shared" si="123"/>
        <v>85678.1</v>
      </c>
      <c r="FZ76" s="558">
        <f t="shared" si="123"/>
        <v>84540.800000000003</v>
      </c>
      <c r="GA76" s="558">
        <f t="shared" si="123"/>
        <v>83386.45</v>
      </c>
      <c r="GB76" s="558">
        <f t="shared" si="123"/>
        <v>82205.31</v>
      </c>
      <c r="GC76" s="558">
        <f t="shared" si="123"/>
        <v>81019.31</v>
      </c>
      <c r="GD76" s="558">
        <f t="shared" si="123"/>
        <v>79796.77</v>
      </c>
      <c r="GE76" s="558">
        <f t="shared" si="123"/>
        <v>78564.490000000005</v>
      </c>
      <c r="GF76" s="558">
        <f t="shared" si="121"/>
        <v>77295.679999999993</v>
      </c>
      <c r="GG76" s="558">
        <f t="shared" si="121"/>
        <v>75997.64</v>
      </c>
      <c r="GH76" s="558">
        <f t="shared" si="121"/>
        <v>74663.08</v>
      </c>
      <c r="GI76" s="558">
        <f t="shared" si="121"/>
        <v>73289.55</v>
      </c>
      <c r="GJ76" s="558">
        <f t="shared" si="121"/>
        <v>71874.62</v>
      </c>
      <c r="GK76" s="558">
        <f t="shared" si="121"/>
        <v>70406.11</v>
      </c>
      <c r="GL76" s="558">
        <f t="shared" si="121"/>
        <v>68884.03</v>
      </c>
      <c r="GM76" s="558">
        <f t="shared" si="121"/>
        <v>67305.929999999993</v>
      </c>
      <c r="GN76" s="558">
        <f t="shared" si="121"/>
        <v>65664.509999999995</v>
      </c>
      <c r="GO76" s="558">
        <f t="shared" si="121"/>
        <v>63971.95</v>
      </c>
      <c r="GP76" s="558">
        <f t="shared" si="121"/>
        <v>62220.95</v>
      </c>
      <c r="GQ76" s="558">
        <f t="shared" si="121"/>
        <v>60416.36</v>
      </c>
      <c r="GR76" s="558">
        <f t="shared" si="121"/>
        <v>58563.07</v>
      </c>
      <c r="GS76" s="558">
        <f t="shared" si="121"/>
        <v>56663.51</v>
      </c>
      <c r="GT76" s="558">
        <f t="shared" si="121"/>
        <v>54724.98</v>
      </c>
      <c r="GU76" s="558">
        <f t="shared" si="119"/>
        <v>52740.18</v>
      </c>
      <c r="GV76" s="558">
        <f t="shared" si="119"/>
        <v>50728.6</v>
      </c>
      <c r="GW76" s="558">
        <f t="shared" si="119"/>
        <v>48680.480000000003</v>
      </c>
      <c r="GX76" s="558">
        <f t="shared" si="119"/>
        <v>46610.44</v>
      </c>
      <c r="GY76" s="558">
        <f t="shared" si="119"/>
        <v>44518.49</v>
      </c>
      <c r="GZ76" s="558">
        <f t="shared" si="119"/>
        <v>42402.18</v>
      </c>
      <c r="HA76" s="558">
        <f t="shared" si="119"/>
        <v>40268.83</v>
      </c>
      <c r="HB76" s="558">
        <f t="shared" si="119"/>
        <v>38103.81</v>
      </c>
      <c r="HC76" s="558">
        <f t="shared" si="119"/>
        <v>35892.53</v>
      </c>
      <c r="HD76" s="558">
        <f t="shared" si="119"/>
        <v>33649.58</v>
      </c>
      <c r="HE76" s="558">
        <f t="shared" si="119"/>
        <v>31384.720000000001</v>
      </c>
      <c r="HF76" s="558">
        <f t="shared" si="119"/>
        <v>29090.63</v>
      </c>
      <c r="HG76" s="558">
        <f t="shared" si="119"/>
        <v>26779.5</v>
      </c>
      <c r="HH76" s="558">
        <f t="shared" si="119"/>
        <v>24444.01</v>
      </c>
      <c r="HI76" s="558">
        <f t="shared" si="119"/>
        <v>22130.44</v>
      </c>
      <c r="HJ76" s="558">
        <f t="shared" si="119"/>
        <v>19797.39</v>
      </c>
      <c r="HK76" s="558">
        <f t="shared" si="124"/>
        <v>17478.95</v>
      </c>
      <c r="HL76" s="558">
        <f t="shared" si="122"/>
        <v>15177.56</v>
      </c>
      <c r="HM76" s="558">
        <f t="shared" si="122"/>
        <v>12885.91</v>
      </c>
      <c r="HN76" s="558">
        <f t="shared" si="122"/>
        <v>10998.52</v>
      </c>
      <c r="HO76" s="558">
        <f t="shared" si="122"/>
        <v>9169.59</v>
      </c>
      <c r="HP76" s="558">
        <f t="shared" si="120"/>
        <v>7418.58</v>
      </c>
      <c r="HQ76" s="558">
        <f t="shared" si="120"/>
        <v>5760.11</v>
      </c>
      <c r="HR76" s="558">
        <f t="shared" si="120"/>
        <v>3758.27</v>
      </c>
      <c r="HS76" s="558">
        <f t="shared" si="120"/>
        <v>1834.35</v>
      </c>
      <c r="HT76" s="558">
        <f t="shared" si="120"/>
        <v>0.54</v>
      </c>
      <c r="HU76" s="558" t="str">
        <f t="shared" si="120"/>
        <v>.</v>
      </c>
      <c r="HV76" s="558" t="str">
        <f t="shared" si="120"/>
        <v>.</v>
      </c>
      <c r="HW76" s="558" t="str">
        <f t="shared" si="120"/>
        <v>.</v>
      </c>
      <c r="HX76" s="558" t="str">
        <f t="shared" si="120"/>
        <v>.</v>
      </c>
      <c r="HY76" s="558" t="str">
        <f t="shared" si="120"/>
        <v>.</v>
      </c>
      <c r="HZ76" s="558" t="str">
        <f t="shared" si="120"/>
        <v>.</v>
      </c>
      <c r="IA76" s="558" t="str">
        <f t="shared" si="120"/>
        <v>.</v>
      </c>
      <c r="IB76" s="558" t="str">
        <f t="shared" si="120"/>
        <v>.</v>
      </c>
      <c r="IC76" s="558" t="str">
        <f t="shared" si="120"/>
        <v>.</v>
      </c>
      <c r="ID76" s="558" t="str">
        <f t="shared" si="120"/>
        <v>.</v>
      </c>
      <c r="IE76" s="558" t="str">
        <f t="shared" si="120"/>
        <v>.</v>
      </c>
      <c r="IF76" s="558" t="str">
        <f t="shared" si="120"/>
        <v>.</v>
      </c>
      <c r="IG76" s="558" t="str">
        <f t="shared" si="118"/>
        <v>.</v>
      </c>
      <c r="IH76" s="558" t="str">
        <f t="shared" si="118"/>
        <v>.</v>
      </c>
      <c r="II76" s="558" t="str">
        <f t="shared" si="118"/>
        <v>.</v>
      </c>
      <c r="IJ76" s="558" t="str">
        <f t="shared" si="118"/>
        <v>.</v>
      </c>
      <c r="IK76" s="558" t="str">
        <f t="shared" si="118"/>
        <v>.</v>
      </c>
      <c r="IL76" s="558" t="str">
        <f t="shared" si="118"/>
        <v>.</v>
      </c>
      <c r="IM76" s="558" t="str">
        <f t="shared" si="118"/>
        <v>.</v>
      </c>
      <c r="IN76" s="558" t="str">
        <f t="shared" si="118"/>
        <v>.</v>
      </c>
      <c r="IO76" s="558" t="str">
        <f t="shared" si="118"/>
        <v>.</v>
      </c>
      <c r="IP76" s="558" t="str">
        <f t="shared" si="118"/>
        <v>.</v>
      </c>
      <c r="IQ76" s="558" t="str">
        <f t="shared" ref="IQ76:JG76" si="125" xml:space="preserve"> IF(  OR( IQ$18&gt;$FK76, $FK76&gt;$FP$12 ),  LEER,  ROUND( $FO$19 * ( $FL76 - IQ$15 * $FM76 ), IQ$17 )  )</f>
        <v>.</v>
      </c>
      <c r="IR76" s="558" t="str">
        <f t="shared" si="125"/>
        <v>.</v>
      </c>
      <c r="IS76" s="558" t="str">
        <f t="shared" si="125"/>
        <v>.</v>
      </c>
      <c r="IT76" s="558" t="str">
        <f t="shared" si="125"/>
        <v>.</v>
      </c>
      <c r="IU76" s="558" t="str">
        <f t="shared" si="125"/>
        <v>.</v>
      </c>
      <c r="IV76" s="558" t="str">
        <f t="shared" si="125"/>
        <v>.</v>
      </c>
      <c r="IW76" s="558" t="str">
        <f t="shared" si="125"/>
        <v>.</v>
      </c>
      <c r="IX76" s="558" t="str">
        <f t="shared" si="125"/>
        <v>.</v>
      </c>
      <c r="IY76" s="558" t="str">
        <f t="shared" si="125"/>
        <v>.</v>
      </c>
      <c r="IZ76" s="558" t="str">
        <f t="shared" si="125"/>
        <v>.</v>
      </c>
      <c r="JA76" s="558" t="str">
        <f t="shared" si="125"/>
        <v>.</v>
      </c>
      <c r="JB76" s="558" t="str">
        <f t="shared" si="125"/>
        <v>.</v>
      </c>
      <c r="JC76" s="558" t="str">
        <f t="shared" si="125"/>
        <v>.</v>
      </c>
      <c r="JD76" s="558" t="str">
        <f t="shared" si="125"/>
        <v>.</v>
      </c>
      <c r="JE76" s="558" t="str">
        <f t="shared" si="125"/>
        <v>.</v>
      </c>
      <c r="JF76" s="558" t="str">
        <f t="shared" si="125"/>
        <v>.</v>
      </c>
      <c r="JG76" s="558" t="str">
        <f t="shared" si="125"/>
        <v>.</v>
      </c>
      <c r="JH76" s="558" t="str">
        <f t="shared" si="117"/>
        <v>.</v>
      </c>
      <c r="JI76" s="558" t="str">
        <f t="shared" si="117"/>
        <v>.</v>
      </c>
      <c r="JJ76" s="558" t="str">
        <f t="shared" si="117"/>
        <v>.</v>
      </c>
      <c r="JK76" s="558" t="str">
        <f t="shared" si="117"/>
        <v>.</v>
      </c>
      <c r="JL76" s="558" t="str">
        <f t="shared" si="117"/>
        <v>.</v>
      </c>
    </row>
    <row r="77" spans="1:272" ht="10.199999999999999" x14ac:dyDescent="0.2">
      <c r="A77" s="534">
        <f xml:space="preserve"> Basis!A77</f>
        <v>77</v>
      </c>
      <c r="F77" s="536">
        <f xml:space="preserve"> ROUND(    IF( $A$15=BE_MF_,   AW77,   INDEX( qx!77:77, F$16 ) ),    F$17    )</f>
        <v>1.8700000000000001E-2</v>
      </c>
      <c r="G77" s="536">
        <f xml:space="preserve"> ROUND(    IF( $A$15=BE_MF_,   BB77,   INDEX( wx!77:77, G$16 ) ),    G$17    )</f>
        <v>2E-3</v>
      </c>
      <c r="H77" s="537">
        <f xml:space="preserve"> ROUND(    IF( $A$15=BE_MF_,   BG77,   INDEX( Kx!77:77, H$16 ) ),    H$17    )</f>
        <v>9394.36</v>
      </c>
      <c r="I77" s="538">
        <f t="shared" si="55"/>
        <v>9394.36</v>
      </c>
      <c r="J77" s="539">
        <f t="shared" si="81"/>
        <v>4.5209999999999999</v>
      </c>
      <c r="K77" s="540">
        <f t="shared" si="114"/>
        <v>0</v>
      </c>
      <c r="L77" s="541">
        <f t="shared" si="71"/>
        <v>0</v>
      </c>
      <c r="M77" s="541">
        <f t="shared" si="71"/>
        <v>8.5999999999999993E-2</v>
      </c>
      <c r="O77" s="542" t="b">
        <f t="shared" si="57"/>
        <v>1</v>
      </c>
      <c r="P77" s="493">
        <f t="shared" si="82"/>
        <v>2.07E-2</v>
      </c>
      <c r="Q77" s="493">
        <f t="shared" si="83"/>
        <v>0.97929999999999995</v>
      </c>
      <c r="R77" s="543">
        <f t="shared" si="84"/>
        <v>434258</v>
      </c>
      <c r="S77" s="544">
        <f t="shared" si="85"/>
        <v>0.97560975599999999</v>
      </c>
      <c r="T77" s="423">
        <f t="shared" si="86"/>
        <v>64864.97</v>
      </c>
      <c r="U77" s="423">
        <f xml:space="preserve"> IF( $O77,    ROUND(  SUM( T77:T$120), U$17 ),  LEER  )</f>
        <v>726374.1</v>
      </c>
      <c r="V77" s="493">
        <f t="shared" si="87"/>
        <v>11.1982</v>
      </c>
      <c r="W77" s="493">
        <f t="shared" si="88"/>
        <v>293254.53000000003</v>
      </c>
      <c r="X77" s="493">
        <f xml:space="preserve"> IF( $O77,    ROUND(  SUM( W77:W$120), X$17 ),  LEER  )</f>
        <v>3756422.18</v>
      </c>
      <c r="Y77" s="493">
        <f t="shared" si="89"/>
        <v>57.9114</v>
      </c>
      <c r="Z77" s="493">
        <f t="shared" si="90"/>
        <v>5.1715</v>
      </c>
      <c r="AA77" s="493">
        <f t="shared" si="91"/>
        <v>1</v>
      </c>
      <c r="AB77" s="493">
        <f t="shared" si="92"/>
        <v>2.3494000000000002</v>
      </c>
      <c r="AC77" s="545">
        <f t="shared" si="93"/>
        <v>0.32679999999999998</v>
      </c>
      <c r="AD77" s="493">
        <f t="shared" si="94"/>
        <v>5.1715</v>
      </c>
      <c r="AE77" s="493">
        <f t="shared" si="95"/>
        <v>6.0156000000000001</v>
      </c>
      <c r="AF77" s="493">
        <f t="shared" si="96"/>
        <v>6.0156000000000001</v>
      </c>
      <c r="AG77" s="493" t="str">
        <f t="shared" si="97"/>
        <v>.</v>
      </c>
      <c r="AH77" s="493" t="str">
        <f t="shared" si="98"/>
        <v>.</v>
      </c>
      <c r="AI77" s="423">
        <f t="shared" si="99"/>
        <v>2077.79</v>
      </c>
      <c r="AJ77" s="423">
        <f t="shared" si="100"/>
        <v>12499.15</v>
      </c>
      <c r="AK77" s="423">
        <f t="shared" si="101"/>
        <v>1041.5999999999999</v>
      </c>
      <c r="AN77" s="423">
        <f t="shared" si="115"/>
        <v>77187.44</v>
      </c>
      <c r="AO77" s="423">
        <f t="shared" si="115"/>
        <v>76670.899999999994</v>
      </c>
      <c r="AR77" s="546">
        <f xml:space="preserve"> ROUND(  INDEX( Kx!77:77, AR$16 ),  AR$17 )</f>
        <v>0.68430000000000002</v>
      </c>
      <c r="AS77" s="547">
        <f xml:space="preserve"> ROUND(  INDEX( qx!77:77, AS$16 ),  AS$17 )</f>
        <v>2.23E-2</v>
      </c>
      <c r="AT77" s="547">
        <f xml:space="preserve"> ROUND(  INDEX( qx!77:77, AT$16 ),  AT$17 )</f>
        <v>1.3599999999999999E-2</v>
      </c>
      <c r="AU77" s="548" t="str">
        <f t="shared" si="102"/>
        <v>F</v>
      </c>
      <c r="AV77" s="542">
        <f t="shared" si="103"/>
        <v>0.59099999999999997</v>
      </c>
      <c r="AW77" s="542">
        <f t="shared" si="104"/>
        <v>1.8700000000000001E-2</v>
      </c>
      <c r="AX77" s="546">
        <f xml:space="preserve"> ROUND(  INDEX( wx!77:77, AX$16 ),  AX$17 )</f>
        <v>2E-3</v>
      </c>
      <c r="AY77" s="546">
        <f xml:space="preserve"> ROUND(  INDEX( wx!77:77, AY$16 ),  AY$17 )</f>
        <v>2.0999999999999999E-3</v>
      </c>
      <c r="AZ77" s="548" t="str">
        <f t="shared" si="105"/>
        <v>M</v>
      </c>
      <c r="BA77" s="542">
        <f t="shared" si="106"/>
        <v>0.76480000000000004</v>
      </c>
      <c r="BB77" s="542">
        <f t="shared" si="107"/>
        <v>2E-3</v>
      </c>
      <c r="BC77" s="533">
        <f xml:space="preserve"> ROUND(  INDEX( Kx!77:77, BC$16 ),  BC$17 )</f>
        <v>9712.2099999999991</v>
      </c>
      <c r="BD77" s="533">
        <f xml:space="preserve"> ROUND(  INDEX( Kx!77:77, BD$16 ),  BD$17 )</f>
        <v>8360.7999999999993</v>
      </c>
      <c r="BE77" s="548" t="str">
        <f t="shared" si="58"/>
        <v>M</v>
      </c>
      <c r="BF77" s="542">
        <f t="shared" si="108"/>
        <v>0.76480000000000004</v>
      </c>
      <c r="BG77" s="420">
        <f t="shared" si="109"/>
        <v>9394.36</v>
      </c>
      <c r="BQ77" s="549"/>
      <c r="BR77" s="423"/>
      <c r="BS77" s="550"/>
      <c r="BT77" s="423"/>
      <c r="BU77" s="551"/>
      <c r="BV77" s="551"/>
      <c r="BW77" s="529"/>
      <c r="BX77" s="552"/>
      <c r="BY77" s="560"/>
      <c r="BZ77" s="559"/>
      <c r="CB77" s="423"/>
      <c r="CC77" s="423"/>
      <c r="CD77" s="423"/>
      <c r="CE77" s="423"/>
      <c r="CF77" s="553"/>
      <c r="CH77" s="423"/>
      <c r="CI77" s="423"/>
      <c r="CJ77" s="423"/>
      <c r="CK77" s="423"/>
      <c r="CL77" s="553"/>
      <c r="CN77" s="423"/>
      <c r="CO77" s="423"/>
      <c r="CP77" s="423"/>
      <c r="CQ77" s="423"/>
      <c r="CR77" s="553"/>
      <c r="EI77" s="553"/>
      <c r="EJ77" s="553"/>
      <c r="EK77" s="423"/>
      <c r="EL77" s="555"/>
      <c r="ES77" s="533"/>
      <c r="ET77" s="533"/>
      <c r="EU77" s="533"/>
      <c r="EV77" s="556"/>
      <c r="EY77" s="533"/>
      <c r="EZ77" s="533"/>
      <c r="FA77" s="556"/>
      <c r="FD77" s="556"/>
      <c r="FE77" s="556"/>
      <c r="FF77" s="556"/>
      <c r="FK77" s="557">
        <f t="shared" si="48"/>
        <v>77</v>
      </c>
      <c r="FL77" s="493">
        <f t="shared" si="59"/>
        <v>57.9114</v>
      </c>
      <c r="FM77" s="493">
        <f t="shared" si="60"/>
        <v>11.1982</v>
      </c>
      <c r="FO77" s="427">
        <f t="shared" si="61"/>
        <v>3022638.4099999992</v>
      </c>
      <c r="FP77" s="558">
        <f t="shared" si="123"/>
        <v>92397.41</v>
      </c>
      <c r="FQ77" s="558">
        <f t="shared" si="123"/>
        <v>91455.08</v>
      </c>
      <c r="FR77" s="558">
        <f t="shared" si="123"/>
        <v>90510.42</v>
      </c>
      <c r="FS77" s="558">
        <f t="shared" si="123"/>
        <v>89565.759999999995</v>
      </c>
      <c r="FT77" s="558">
        <f t="shared" si="123"/>
        <v>88588.52</v>
      </c>
      <c r="FU77" s="558">
        <f t="shared" si="123"/>
        <v>87583.360000000001</v>
      </c>
      <c r="FV77" s="558">
        <f t="shared" si="123"/>
        <v>86587.51</v>
      </c>
      <c r="FW77" s="558">
        <f t="shared" si="123"/>
        <v>85584.68</v>
      </c>
      <c r="FX77" s="558">
        <f t="shared" si="123"/>
        <v>84546.95</v>
      </c>
      <c r="FY77" s="558">
        <f t="shared" si="123"/>
        <v>83467.34</v>
      </c>
      <c r="FZ77" s="558">
        <f t="shared" si="123"/>
        <v>82380.75</v>
      </c>
      <c r="GA77" s="558">
        <f t="shared" si="123"/>
        <v>81277.87</v>
      </c>
      <c r="GB77" s="558">
        <f t="shared" si="123"/>
        <v>80149.399999999994</v>
      </c>
      <c r="GC77" s="558">
        <f t="shared" si="123"/>
        <v>79016.27</v>
      </c>
      <c r="GD77" s="558">
        <f t="shared" si="123"/>
        <v>77848.240000000005</v>
      </c>
      <c r="GE77" s="558">
        <f t="shared" si="123"/>
        <v>76670.899999999994</v>
      </c>
      <c r="GF77" s="558">
        <f t="shared" si="121"/>
        <v>75458.67</v>
      </c>
      <c r="GG77" s="558">
        <f t="shared" si="121"/>
        <v>74218.509999999995</v>
      </c>
      <c r="GH77" s="558">
        <f t="shared" si="121"/>
        <v>72943.45</v>
      </c>
      <c r="GI77" s="558">
        <f t="shared" si="121"/>
        <v>71631.16</v>
      </c>
      <c r="GJ77" s="558">
        <f t="shared" si="121"/>
        <v>70279.320000000007</v>
      </c>
      <c r="GK77" s="558">
        <f t="shared" si="121"/>
        <v>68876.289999999994</v>
      </c>
      <c r="GL77" s="558">
        <f t="shared" si="121"/>
        <v>67422.070000000007</v>
      </c>
      <c r="GM77" s="558">
        <f t="shared" si="121"/>
        <v>65914.33</v>
      </c>
      <c r="GN77" s="558">
        <f t="shared" si="121"/>
        <v>64346.1</v>
      </c>
      <c r="GO77" s="558">
        <f t="shared" si="121"/>
        <v>62729.01</v>
      </c>
      <c r="GP77" s="558">
        <f t="shared" si="121"/>
        <v>61056.08</v>
      </c>
      <c r="GQ77" s="558">
        <f t="shared" si="121"/>
        <v>59331.96</v>
      </c>
      <c r="GR77" s="558">
        <f t="shared" si="121"/>
        <v>57561.3</v>
      </c>
      <c r="GS77" s="558">
        <f t="shared" si="121"/>
        <v>55746.43</v>
      </c>
      <c r="GT77" s="558">
        <f t="shared" si="121"/>
        <v>53894.34</v>
      </c>
      <c r="GU77" s="558">
        <f t="shared" si="119"/>
        <v>51998.04</v>
      </c>
      <c r="GV77" s="558">
        <f t="shared" si="119"/>
        <v>50076.14</v>
      </c>
      <c r="GW77" s="558">
        <f t="shared" si="119"/>
        <v>48119.34</v>
      </c>
      <c r="GX77" s="558">
        <f t="shared" si="119"/>
        <v>46141.61</v>
      </c>
      <c r="GY77" s="558">
        <f t="shared" si="119"/>
        <v>44142.93</v>
      </c>
      <c r="GZ77" s="558">
        <f t="shared" si="119"/>
        <v>42120.98</v>
      </c>
      <c r="HA77" s="558">
        <f t="shared" si="119"/>
        <v>40082.75</v>
      </c>
      <c r="HB77" s="558">
        <f t="shared" si="119"/>
        <v>38014.26</v>
      </c>
      <c r="HC77" s="558">
        <f t="shared" si="119"/>
        <v>35901.58</v>
      </c>
      <c r="HD77" s="558">
        <f t="shared" si="119"/>
        <v>33758.639999999999</v>
      </c>
      <c r="HE77" s="558">
        <f t="shared" si="119"/>
        <v>31594.76</v>
      </c>
      <c r="HF77" s="558">
        <f t="shared" si="119"/>
        <v>29402.959999999999</v>
      </c>
      <c r="HG77" s="558">
        <f t="shared" si="119"/>
        <v>27194.87</v>
      </c>
      <c r="HH77" s="558">
        <f t="shared" si="119"/>
        <v>24963.52</v>
      </c>
      <c r="HI77" s="558">
        <f t="shared" si="119"/>
        <v>22753.11</v>
      </c>
      <c r="HJ77" s="558">
        <f t="shared" si="119"/>
        <v>20524.080000000002</v>
      </c>
      <c r="HK77" s="558">
        <f t="shared" si="124"/>
        <v>18309.009999999998</v>
      </c>
      <c r="HL77" s="558">
        <f t="shared" si="122"/>
        <v>16110.23</v>
      </c>
      <c r="HM77" s="558">
        <f t="shared" si="122"/>
        <v>13920.76</v>
      </c>
      <c r="HN77" s="558">
        <f t="shared" si="122"/>
        <v>12117.53</v>
      </c>
      <c r="HO77" s="558">
        <f t="shared" si="122"/>
        <v>10370.14</v>
      </c>
      <c r="HP77" s="558">
        <f t="shared" si="120"/>
        <v>8697.2000000000007</v>
      </c>
      <c r="HQ77" s="558">
        <f t="shared" si="120"/>
        <v>7112.69</v>
      </c>
      <c r="HR77" s="558">
        <f t="shared" si="120"/>
        <v>5200.1000000000004</v>
      </c>
      <c r="HS77" s="558">
        <f t="shared" si="120"/>
        <v>3361.97</v>
      </c>
      <c r="HT77" s="558">
        <f t="shared" si="120"/>
        <v>1609.92</v>
      </c>
      <c r="HU77" s="558">
        <f t="shared" si="120"/>
        <v>-0.19</v>
      </c>
      <c r="HV77" s="558" t="str">
        <f t="shared" si="120"/>
        <v>.</v>
      </c>
      <c r="HW77" s="558" t="str">
        <f t="shared" si="120"/>
        <v>.</v>
      </c>
      <c r="HX77" s="558" t="str">
        <f t="shared" si="120"/>
        <v>.</v>
      </c>
      <c r="HY77" s="558" t="str">
        <f t="shared" si="120"/>
        <v>.</v>
      </c>
      <c r="HZ77" s="558" t="str">
        <f t="shared" si="120"/>
        <v>.</v>
      </c>
      <c r="IA77" s="558" t="str">
        <f t="shared" si="120"/>
        <v>.</v>
      </c>
      <c r="IB77" s="558" t="str">
        <f t="shared" si="120"/>
        <v>.</v>
      </c>
      <c r="IC77" s="558" t="str">
        <f t="shared" si="120"/>
        <v>.</v>
      </c>
      <c r="ID77" s="558" t="str">
        <f t="shared" si="120"/>
        <v>.</v>
      </c>
      <c r="IE77" s="558" t="str">
        <f t="shared" si="120"/>
        <v>.</v>
      </c>
      <c r="IF77" s="558" t="str">
        <f t="shared" si="120"/>
        <v>.</v>
      </c>
      <c r="IG77" s="558" t="str">
        <f t="shared" ref="IG77:JE90" si="126" xml:space="preserve"> IF(  OR( IG$18&gt;$FK77, $FK77&gt;$FP$12 ),  LEER,  ROUND( $FO$19 * ( $FL77 - IG$15 * $FM77 ), IG$17 )  )</f>
        <v>.</v>
      </c>
      <c r="IH77" s="558" t="str">
        <f t="shared" si="126"/>
        <v>.</v>
      </c>
      <c r="II77" s="558" t="str">
        <f t="shared" si="126"/>
        <v>.</v>
      </c>
      <c r="IJ77" s="558" t="str">
        <f t="shared" si="126"/>
        <v>.</v>
      </c>
      <c r="IK77" s="558" t="str">
        <f t="shared" si="126"/>
        <v>.</v>
      </c>
      <c r="IL77" s="558" t="str">
        <f t="shared" si="126"/>
        <v>.</v>
      </c>
      <c r="IM77" s="558" t="str">
        <f t="shared" si="126"/>
        <v>.</v>
      </c>
      <c r="IN77" s="558" t="str">
        <f t="shared" si="126"/>
        <v>.</v>
      </c>
      <c r="IO77" s="558" t="str">
        <f t="shared" si="126"/>
        <v>.</v>
      </c>
      <c r="IP77" s="558" t="str">
        <f t="shared" si="126"/>
        <v>.</v>
      </c>
      <c r="IQ77" s="558" t="str">
        <f t="shared" si="126"/>
        <v>.</v>
      </c>
      <c r="IR77" s="558" t="str">
        <f t="shared" si="126"/>
        <v>.</v>
      </c>
      <c r="IS77" s="558" t="str">
        <f t="shared" si="126"/>
        <v>.</v>
      </c>
      <c r="IT77" s="558" t="str">
        <f t="shared" si="126"/>
        <v>.</v>
      </c>
      <c r="IU77" s="558" t="str">
        <f t="shared" si="126"/>
        <v>.</v>
      </c>
      <c r="IV77" s="558" t="str">
        <f t="shared" si="126"/>
        <v>.</v>
      </c>
      <c r="IW77" s="558" t="str">
        <f t="shared" si="126"/>
        <v>.</v>
      </c>
      <c r="IX77" s="558" t="str">
        <f t="shared" si="126"/>
        <v>.</v>
      </c>
      <c r="IY77" s="558" t="str">
        <f t="shared" si="126"/>
        <v>.</v>
      </c>
      <c r="IZ77" s="558" t="str">
        <f t="shared" si="126"/>
        <v>.</v>
      </c>
      <c r="JA77" s="558" t="str">
        <f t="shared" si="126"/>
        <v>.</v>
      </c>
      <c r="JB77" s="558" t="str">
        <f t="shared" si="126"/>
        <v>.</v>
      </c>
      <c r="JC77" s="558" t="str">
        <f t="shared" si="126"/>
        <v>.</v>
      </c>
      <c r="JD77" s="558" t="str">
        <f t="shared" si="126"/>
        <v>.</v>
      </c>
      <c r="JE77" s="558" t="str">
        <f t="shared" si="126"/>
        <v>.</v>
      </c>
      <c r="JF77" s="558" t="str">
        <f t="shared" ref="JF77:JG95" si="127" xml:space="preserve"> IF(  OR( JF$18&gt;$FK77, $FK77&gt;$FP$12 ),  LEER,  ROUND( $FO$19 * ( $FL77 - JF$15 * $FM77 ), JF$17 )  )</f>
        <v>.</v>
      </c>
      <c r="JG77" s="558" t="str">
        <f t="shared" si="127"/>
        <v>.</v>
      </c>
      <c r="JH77" s="558" t="str">
        <f t="shared" si="117"/>
        <v>.</v>
      </c>
      <c r="JI77" s="558" t="str">
        <f t="shared" si="117"/>
        <v>.</v>
      </c>
      <c r="JJ77" s="558" t="str">
        <f t="shared" si="117"/>
        <v>.</v>
      </c>
      <c r="JK77" s="558" t="str">
        <f t="shared" si="117"/>
        <v>.</v>
      </c>
      <c r="JL77" s="558" t="str">
        <f t="shared" si="117"/>
        <v>.</v>
      </c>
    </row>
    <row r="78" spans="1:272" ht="10.199999999999999" x14ac:dyDescent="0.2">
      <c r="A78" s="534">
        <f xml:space="preserve"> Basis!A78</f>
        <v>78</v>
      </c>
      <c r="F78" s="536">
        <f xml:space="preserve"> ROUND(    IF( $A$15=BE_MF_,   AW78,   INDEX( qx!78:78, F$16 ) ),    F$17    )</f>
        <v>2.1299999999999999E-2</v>
      </c>
      <c r="G78" s="536">
        <f xml:space="preserve"> ROUND(    IF( $A$15=BE_MF_,   BB78,   INDEX( wx!78:78, G$16 ) ),    G$17    )</f>
        <v>1.9E-3</v>
      </c>
      <c r="H78" s="537">
        <f xml:space="preserve"> ROUND(    IF( $A$15=BE_MF_,   BG78,   INDEX( Kx!78:78, H$16 ) ),    H$17    )</f>
        <v>9713.98</v>
      </c>
      <c r="I78" s="538">
        <f t="shared" si="55"/>
        <v>9713.98</v>
      </c>
      <c r="J78" s="539">
        <f t="shared" si="81"/>
        <v>4.6749999999999998</v>
      </c>
      <c r="K78" s="540">
        <f t="shared" si="114"/>
        <v>0</v>
      </c>
      <c r="L78" s="541">
        <f t="shared" si="71"/>
        <v>0</v>
      </c>
      <c r="M78" s="541">
        <f t="shared" si="71"/>
        <v>8.5999999999999993E-2</v>
      </c>
      <c r="O78" s="542" t="b">
        <f t="shared" si="57"/>
        <v>1</v>
      </c>
      <c r="P78" s="493">
        <f t="shared" si="82"/>
        <v>2.3199999999999998E-2</v>
      </c>
      <c r="Q78" s="493">
        <f t="shared" si="83"/>
        <v>0.9768</v>
      </c>
      <c r="R78" s="543">
        <f t="shared" si="84"/>
        <v>425268</v>
      </c>
      <c r="S78" s="544">
        <f t="shared" si="85"/>
        <v>0.97560975599999999</v>
      </c>
      <c r="T78" s="423">
        <f t="shared" si="86"/>
        <v>61972.81</v>
      </c>
      <c r="U78" s="423">
        <f xml:space="preserve"> IF( $O78,    ROUND(  SUM( T78:T$120), U$17 ),  LEER  )</f>
        <v>661509.13</v>
      </c>
      <c r="V78" s="493">
        <f t="shared" si="87"/>
        <v>10.674200000000001</v>
      </c>
      <c r="W78" s="493">
        <f t="shared" si="88"/>
        <v>289722.89</v>
      </c>
      <c r="X78" s="493">
        <f xml:space="preserve"> IF( $O78,    ROUND(  SUM( W78:W$120), X$17 ),  LEER  )</f>
        <v>3463167.65</v>
      </c>
      <c r="Y78" s="493">
        <f t="shared" si="89"/>
        <v>55.881999999999998</v>
      </c>
      <c r="Z78" s="493">
        <f t="shared" si="90"/>
        <v>5.2351999999999999</v>
      </c>
      <c r="AA78" s="493">
        <f t="shared" si="91"/>
        <v>1</v>
      </c>
      <c r="AB78" s="493">
        <f t="shared" si="92"/>
        <v>2.3494000000000002</v>
      </c>
      <c r="AC78" s="545">
        <f t="shared" si="93"/>
        <v>0.32679999999999998</v>
      </c>
      <c r="AD78" s="493">
        <f t="shared" si="94"/>
        <v>5.2351999999999999</v>
      </c>
      <c r="AE78" s="493">
        <f t="shared" si="95"/>
        <v>6.0853000000000002</v>
      </c>
      <c r="AF78" s="493">
        <f t="shared" si="96"/>
        <v>6.0853000000000002</v>
      </c>
      <c r="AG78" s="493" t="str">
        <f t="shared" si="97"/>
        <v>.</v>
      </c>
      <c r="AH78" s="493" t="str">
        <f t="shared" si="98"/>
        <v>.</v>
      </c>
      <c r="AI78" s="423">
        <f t="shared" si="99"/>
        <v>2077.79</v>
      </c>
      <c r="AJ78" s="423">
        <f t="shared" si="100"/>
        <v>12643.98</v>
      </c>
      <c r="AK78" s="423">
        <f t="shared" si="101"/>
        <v>1053.67</v>
      </c>
      <c r="AN78" s="423">
        <f t="shared" si="115"/>
        <v>74989.45</v>
      </c>
      <c r="AO78" s="423">
        <f t="shared" si="115"/>
        <v>74497.08</v>
      </c>
      <c r="AR78" s="546">
        <f xml:space="preserve"> ROUND(  INDEX( Kx!78:78, AR$16 ),  AR$17 )</f>
        <v>0.66959999999999997</v>
      </c>
      <c r="AS78" s="547">
        <f xml:space="preserve"> ROUND(  INDEX( qx!78:78, AS$16 ),  AS$17 )</f>
        <v>2.5399999999999999E-2</v>
      </c>
      <c r="AT78" s="547">
        <f xml:space="preserve"> ROUND(  INDEX( qx!78:78, AT$16 ),  AT$17 )</f>
        <v>1.5699999999999999E-2</v>
      </c>
      <c r="AU78" s="548" t="str">
        <f t="shared" si="102"/>
        <v>F</v>
      </c>
      <c r="AV78" s="542">
        <f t="shared" si="103"/>
        <v>0.57469999999999999</v>
      </c>
      <c r="AW78" s="542">
        <f t="shared" si="104"/>
        <v>2.1299999999999999E-2</v>
      </c>
      <c r="AX78" s="546">
        <f xml:space="preserve"> ROUND(  INDEX( wx!78:78, AX$16 ),  AX$17 )</f>
        <v>1.9E-3</v>
      </c>
      <c r="AY78" s="546">
        <f xml:space="preserve"> ROUND(  INDEX( wx!78:78, AY$16 ),  AY$17 )</f>
        <v>2.0999999999999999E-3</v>
      </c>
      <c r="AZ78" s="548" t="str">
        <f t="shared" si="105"/>
        <v>M</v>
      </c>
      <c r="BA78" s="542">
        <f t="shared" si="106"/>
        <v>0.75249999999999995</v>
      </c>
      <c r="BB78" s="542">
        <f t="shared" si="107"/>
        <v>1.9E-3</v>
      </c>
      <c r="BC78" s="533">
        <f xml:space="preserve"> ROUND(  INDEX( Kx!78:78, BC$16 ),  BC$17 )</f>
        <v>10064.959999999999</v>
      </c>
      <c r="BD78" s="533">
        <f xml:space="preserve"> ROUND(  INDEX( Kx!78:78, BD$16 ),  BD$17 )</f>
        <v>8646.84</v>
      </c>
      <c r="BE78" s="548" t="str">
        <f t="shared" si="58"/>
        <v>M</v>
      </c>
      <c r="BF78" s="542">
        <f t="shared" si="108"/>
        <v>0.75249999999999995</v>
      </c>
      <c r="BG78" s="420">
        <f t="shared" si="109"/>
        <v>9713.98</v>
      </c>
      <c r="BQ78" s="549"/>
      <c r="BR78" s="423"/>
      <c r="BS78" s="550"/>
      <c r="BT78" s="423"/>
      <c r="BU78" s="551"/>
      <c r="BV78" s="551"/>
      <c r="BW78" s="529"/>
      <c r="BX78" s="552"/>
      <c r="BY78" s="560"/>
      <c r="BZ78" s="559"/>
      <c r="CB78" s="423"/>
      <c r="CC78" s="423"/>
      <c r="CD78" s="423"/>
      <c r="CE78" s="423"/>
      <c r="CF78" s="553"/>
      <c r="CH78" s="423"/>
      <c r="CI78" s="423"/>
      <c r="CJ78" s="423"/>
      <c r="CK78" s="423"/>
      <c r="CL78" s="553"/>
      <c r="CN78" s="423"/>
      <c r="CO78" s="423"/>
      <c r="CP78" s="423"/>
      <c r="CQ78" s="423"/>
      <c r="CR78" s="553"/>
      <c r="EI78" s="553"/>
      <c r="EJ78" s="553"/>
      <c r="EK78" s="423"/>
      <c r="EL78" s="555"/>
      <c r="ES78" s="533"/>
      <c r="ET78" s="533"/>
      <c r="EU78" s="533"/>
      <c r="EV78" s="556"/>
      <c r="EY78" s="533"/>
      <c r="EZ78" s="533"/>
      <c r="FA78" s="556"/>
      <c r="FD78" s="556"/>
      <c r="FE78" s="556"/>
      <c r="FF78" s="556"/>
      <c r="FK78" s="557">
        <f t="shared" si="48"/>
        <v>78</v>
      </c>
      <c r="FL78" s="493">
        <f t="shared" si="59"/>
        <v>55.881999999999998</v>
      </c>
      <c r="FM78" s="493">
        <f t="shared" si="60"/>
        <v>10.674200000000001</v>
      </c>
      <c r="FO78" s="427">
        <f t="shared" si="61"/>
        <v>2963203.9200000009</v>
      </c>
      <c r="FP78" s="558">
        <f t="shared" si="123"/>
        <v>89487.69</v>
      </c>
      <c r="FQ78" s="558">
        <f t="shared" si="123"/>
        <v>88589.45</v>
      </c>
      <c r="FR78" s="558">
        <f t="shared" si="123"/>
        <v>87689</v>
      </c>
      <c r="FS78" s="558">
        <f t="shared" si="123"/>
        <v>86788.54</v>
      </c>
      <c r="FT78" s="558">
        <f t="shared" si="123"/>
        <v>85857.03</v>
      </c>
      <c r="FU78" s="558">
        <f t="shared" si="123"/>
        <v>84898.91</v>
      </c>
      <c r="FV78" s="558">
        <f t="shared" si="123"/>
        <v>83949.66</v>
      </c>
      <c r="FW78" s="558">
        <f t="shared" si="123"/>
        <v>82993.759999999995</v>
      </c>
      <c r="FX78" s="558">
        <f t="shared" si="123"/>
        <v>82004.59</v>
      </c>
      <c r="FY78" s="558">
        <f t="shared" si="123"/>
        <v>80975.490000000005</v>
      </c>
      <c r="FZ78" s="558">
        <f t="shared" si="123"/>
        <v>79939.740000000005</v>
      </c>
      <c r="GA78" s="558">
        <f t="shared" si="123"/>
        <v>78888.47</v>
      </c>
      <c r="GB78" s="558">
        <f t="shared" si="123"/>
        <v>77812.800000000003</v>
      </c>
      <c r="GC78" s="558">
        <f t="shared" si="123"/>
        <v>76732.7</v>
      </c>
      <c r="GD78" s="558">
        <f t="shared" si="123"/>
        <v>75619.320000000007</v>
      </c>
      <c r="GE78" s="558">
        <f t="shared" si="123"/>
        <v>74497.08</v>
      </c>
      <c r="GF78" s="558">
        <f t="shared" si="121"/>
        <v>73341.570000000007</v>
      </c>
      <c r="GG78" s="558">
        <f t="shared" si="121"/>
        <v>72159.44</v>
      </c>
      <c r="GH78" s="558">
        <f t="shared" si="121"/>
        <v>70944.039999999994</v>
      </c>
      <c r="GI78" s="558">
        <f t="shared" si="121"/>
        <v>69693.16</v>
      </c>
      <c r="GJ78" s="558">
        <f t="shared" si="121"/>
        <v>68404.58</v>
      </c>
      <c r="GK78" s="558">
        <f t="shared" si="121"/>
        <v>67067.199999999997</v>
      </c>
      <c r="GL78" s="558">
        <f t="shared" si="121"/>
        <v>65681.03</v>
      </c>
      <c r="GM78" s="558">
        <f t="shared" si="121"/>
        <v>64243.85</v>
      </c>
      <c r="GN78" s="558">
        <f t="shared" si="121"/>
        <v>62749</v>
      </c>
      <c r="GO78" s="558">
        <f t="shared" si="121"/>
        <v>61207.58</v>
      </c>
      <c r="GP78" s="558">
        <f t="shared" si="121"/>
        <v>59612.92</v>
      </c>
      <c r="GQ78" s="558">
        <f t="shared" si="121"/>
        <v>57969.48</v>
      </c>
      <c r="GR78" s="558">
        <f t="shared" si="121"/>
        <v>56281.68</v>
      </c>
      <c r="GS78" s="558">
        <f t="shared" si="121"/>
        <v>54551.73</v>
      </c>
      <c r="GT78" s="558">
        <f t="shared" si="121"/>
        <v>52786.31</v>
      </c>
      <c r="GU78" s="558">
        <f t="shared" si="119"/>
        <v>50978.74</v>
      </c>
      <c r="GV78" s="558">
        <f t="shared" si="119"/>
        <v>49146.77</v>
      </c>
      <c r="GW78" s="558">
        <f t="shared" si="119"/>
        <v>47281.54</v>
      </c>
      <c r="GX78" s="558">
        <f t="shared" si="119"/>
        <v>45396.35</v>
      </c>
      <c r="GY78" s="558">
        <f t="shared" si="119"/>
        <v>43491.19</v>
      </c>
      <c r="GZ78" s="558">
        <f t="shared" si="119"/>
        <v>41563.86</v>
      </c>
      <c r="HA78" s="558">
        <f t="shared" si="119"/>
        <v>39621</v>
      </c>
      <c r="HB78" s="558">
        <f t="shared" si="119"/>
        <v>37649.31</v>
      </c>
      <c r="HC78" s="558">
        <f t="shared" si="119"/>
        <v>35635.480000000003</v>
      </c>
      <c r="HD78" s="558">
        <f t="shared" si="119"/>
        <v>33592.82</v>
      </c>
      <c r="HE78" s="558">
        <f t="shared" si="119"/>
        <v>31530.19</v>
      </c>
      <c r="HF78" s="558">
        <f t="shared" si="119"/>
        <v>29440.959999999999</v>
      </c>
      <c r="HG78" s="558">
        <f t="shared" si="119"/>
        <v>27336.19</v>
      </c>
      <c r="HH78" s="558">
        <f t="shared" si="119"/>
        <v>25209.25</v>
      </c>
      <c r="HI78" s="558">
        <f t="shared" si="119"/>
        <v>23102.27</v>
      </c>
      <c r="HJ78" s="558">
        <f t="shared" si="119"/>
        <v>20977.55</v>
      </c>
      <c r="HK78" s="558">
        <f t="shared" si="124"/>
        <v>18866.13</v>
      </c>
      <c r="HL78" s="558">
        <f t="shared" si="122"/>
        <v>16770.240000000002</v>
      </c>
      <c r="HM78" s="558">
        <f t="shared" si="122"/>
        <v>14683.22</v>
      </c>
      <c r="HN78" s="558">
        <f t="shared" si="122"/>
        <v>12964.37</v>
      </c>
      <c r="HO78" s="558">
        <f t="shared" si="122"/>
        <v>11298.74</v>
      </c>
      <c r="HP78" s="558">
        <f t="shared" si="120"/>
        <v>9704.09</v>
      </c>
      <c r="HQ78" s="558">
        <f t="shared" si="120"/>
        <v>8193.7199999999993</v>
      </c>
      <c r="HR78" s="558">
        <f t="shared" si="120"/>
        <v>6370.63</v>
      </c>
      <c r="HS78" s="558">
        <f t="shared" si="120"/>
        <v>4618.5</v>
      </c>
      <c r="HT78" s="558">
        <f t="shared" si="120"/>
        <v>2948.44</v>
      </c>
      <c r="HU78" s="558">
        <f t="shared" si="120"/>
        <v>1413.68</v>
      </c>
      <c r="HV78" s="558">
        <f t="shared" si="120"/>
        <v>0.89</v>
      </c>
      <c r="HW78" s="558" t="str">
        <f t="shared" si="120"/>
        <v>.</v>
      </c>
      <c r="HX78" s="558" t="str">
        <f t="shared" si="120"/>
        <v>.</v>
      </c>
      <c r="HY78" s="558" t="str">
        <f t="shared" si="120"/>
        <v>.</v>
      </c>
      <c r="HZ78" s="558" t="str">
        <f t="shared" si="120"/>
        <v>.</v>
      </c>
      <c r="IA78" s="558" t="str">
        <f t="shared" si="120"/>
        <v>.</v>
      </c>
      <c r="IB78" s="558" t="str">
        <f t="shared" si="120"/>
        <v>.</v>
      </c>
      <c r="IC78" s="558" t="str">
        <f t="shared" si="120"/>
        <v>.</v>
      </c>
      <c r="ID78" s="558" t="str">
        <f t="shared" si="120"/>
        <v>.</v>
      </c>
      <c r="IE78" s="558" t="str">
        <f t="shared" si="120"/>
        <v>.</v>
      </c>
      <c r="IF78" s="558" t="str">
        <f t="shared" si="120"/>
        <v>.</v>
      </c>
      <c r="IG78" s="558" t="str">
        <f t="shared" si="126"/>
        <v>.</v>
      </c>
      <c r="IH78" s="558" t="str">
        <f t="shared" si="126"/>
        <v>.</v>
      </c>
      <c r="II78" s="558" t="str">
        <f t="shared" si="126"/>
        <v>.</v>
      </c>
      <c r="IJ78" s="558" t="str">
        <f t="shared" si="126"/>
        <v>.</v>
      </c>
      <c r="IK78" s="558" t="str">
        <f t="shared" si="126"/>
        <v>.</v>
      </c>
      <c r="IL78" s="558" t="str">
        <f t="shared" si="126"/>
        <v>.</v>
      </c>
      <c r="IM78" s="558" t="str">
        <f t="shared" si="126"/>
        <v>.</v>
      </c>
      <c r="IN78" s="558" t="str">
        <f t="shared" si="126"/>
        <v>.</v>
      </c>
      <c r="IO78" s="558" t="str">
        <f t="shared" si="126"/>
        <v>.</v>
      </c>
      <c r="IP78" s="558" t="str">
        <f t="shared" si="126"/>
        <v>.</v>
      </c>
      <c r="IQ78" s="558" t="str">
        <f t="shared" si="126"/>
        <v>.</v>
      </c>
      <c r="IR78" s="558" t="str">
        <f t="shared" si="126"/>
        <v>.</v>
      </c>
      <c r="IS78" s="558" t="str">
        <f t="shared" si="126"/>
        <v>.</v>
      </c>
      <c r="IT78" s="558" t="str">
        <f t="shared" si="126"/>
        <v>.</v>
      </c>
      <c r="IU78" s="558" t="str">
        <f t="shared" si="126"/>
        <v>.</v>
      </c>
      <c r="IV78" s="558" t="str">
        <f t="shared" si="126"/>
        <v>.</v>
      </c>
      <c r="IW78" s="558" t="str">
        <f t="shared" si="126"/>
        <v>.</v>
      </c>
      <c r="IX78" s="558" t="str">
        <f t="shared" si="126"/>
        <v>.</v>
      </c>
      <c r="IY78" s="558" t="str">
        <f t="shared" si="126"/>
        <v>.</v>
      </c>
      <c r="IZ78" s="558" t="str">
        <f t="shared" si="126"/>
        <v>.</v>
      </c>
      <c r="JA78" s="558" t="str">
        <f t="shared" si="126"/>
        <v>.</v>
      </c>
      <c r="JB78" s="558" t="str">
        <f t="shared" si="126"/>
        <v>.</v>
      </c>
      <c r="JC78" s="558" t="str">
        <f t="shared" si="126"/>
        <v>.</v>
      </c>
      <c r="JD78" s="558" t="str">
        <f t="shared" si="126"/>
        <v>.</v>
      </c>
      <c r="JE78" s="558" t="str">
        <f t="shared" si="126"/>
        <v>.</v>
      </c>
      <c r="JF78" s="558" t="str">
        <f t="shared" si="127"/>
        <v>.</v>
      </c>
      <c r="JG78" s="558" t="str">
        <f t="shared" si="127"/>
        <v>.</v>
      </c>
      <c r="JH78" s="558" t="str">
        <f xml:space="preserve"> IF(  OR( JH$18&gt;$FK78, $FK78&gt;$FP$12 ),  LEER,  ROUND( $FO$19 * ( $FL78 - JH$15 * $FM78 ), JH$17 )  )</f>
        <v>.</v>
      </c>
      <c r="JI78" s="558" t="str">
        <f xml:space="preserve"> IF(  OR( JI$18&gt;$FK78, $FK78&gt;$FP$12 ),  LEER,  ROUND( $FO$19 * ( $FL78 - JI$15 * $FM78 ), JI$17 )  )</f>
        <v>.</v>
      </c>
      <c r="JJ78" s="558" t="str">
        <f t="shared" ref="JH78:JL93" si="128" xml:space="preserve"> IF(  OR( JJ$18&gt;$FK78, $FK78&gt;$FP$12 ),  LEER,  ROUND( $FO$19 * ( $FL78 - JJ$15 * $FM78 ), JJ$17 )  )</f>
        <v>.</v>
      </c>
      <c r="JK78" s="558" t="str">
        <f t="shared" si="128"/>
        <v>.</v>
      </c>
      <c r="JL78" s="558" t="str">
        <f t="shared" si="128"/>
        <v>.</v>
      </c>
    </row>
    <row r="79" spans="1:272" ht="10.199999999999999" x14ac:dyDescent="0.2">
      <c r="A79" s="534">
        <f xml:space="preserve"> Basis!A79</f>
        <v>79</v>
      </c>
      <c r="F79" s="536">
        <f xml:space="preserve"> ROUND(    IF( $A$15=BE_MF_,   AW79,   INDEX( qx!79:79, F$16 ) ),    F$17    )</f>
        <v>2.47E-2</v>
      </c>
      <c r="G79" s="536">
        <f xml:space="preserve"> ROUND(    IF( $A$15=BE_MF_,   BB79,   INDEX( wx!79:79, G$16 ) ),    G$17    )</f>
        <v>1.8E-3</v>
      </c>
      <c r="H79" s="537">
        <f xml:space="preserve"> ROUND(    IF( $A$15=BE_MF_,   BG79,   INDEX( Kx!79:79, H$16 ) ),    H$17    )</f>
        <v>10036.23</v>
      </c>
      <c r="I79" s="538">
        <f t="shared" si="55"/>
        <v>10036.23</v>
      </c>
      <c r="J79" s="539">
        <f t="shared" si="81"/>
        <v>4.83</v>
      </c>
      <c r="K79" s="540">
        <f t="shared" si="114"/>
        <v>0</v>
      </c>
      <c r="L79" s="541">
        <f t="shared" si="71"/>
        <v>0</v>
      </c>
      <c r="M79" s="541">
        <f t="shared" si="71"/>
        <v>8.5999999999999993E-2</v>
      </c>
      <c r="O79" s="542" t="b">
        <f t="shared" si="57"/>
        <v>1</v>
      </c>
      <c r="P79" s="493">
        <f t="shared" si="82"/>
        <v>2.6499999999999999E-2</v>
      </c>
      <c r="Q79" s="493">
        <f t="shared" si="83"/>
        <v>0.97350000000000003</v>
      </c>
      <c r="R79" s="543">
        <f t="shared" si="84"/>
        <v>415401</v>
      </c>
      <c r="S79" s="544">
        <f t="shared" si="85"/>
        <v>0.97560975599999999</v>
      </c>
      <c r="T79" s="423">
        <f t="shared" si="86"/>
        <v>59058.47</v>
      </c>
      <c r="U79" s="423">
        <f xml:space="preserve"> IF( $O79,    ROUND(  SUM( T79:T$120), U$17 ),  LEER  )</f>
        <v>599536.31999999995</v>
      </c>
      <c r="V79" s="493">
        <f t="shared" si="87"/>
        <v>10.1516</v>
      </c>
      <c r="W79" s="493">
        <f t="shared" si="88"/>
        <v>285252.40999999997</v>
      </c>
      <c r="X79" s="493">
        <f xml:space="preserve"> IF( $O79,    ROUND(  SUM( W79:W$120), X$17 ),  LEER  )</f>
        <v>3173444.76</v>
      </c>
      <c r="Y79" s="493">
        <f t="shared" si="89"/>
        <v>53.733899999999998</v>
      </c>
      <c r="Z79" s="493">
        <f t="shared" si="90"/>
        <v>5.2930999999999999</v>
      </c>
      <c r="AA79" s="493">
        <f t="shared" si="91"/>
        <v>1</v>
      </c>
      <c r="AB79" s="493">
        <f t="shared" si="92"/>
        <v>2.3494000000000002</v>
      </c>
      <c r="AC79" s="545">
        <f t="shared" si="93"/>
        <v>0.32679999999999998</v>
      </c>
      <c r="AD79" s="493">
        <f t="shared" si="94"/>
        <v>5.2930999999999999</v>
      </c>
      <c r="AE79" s="493">
        <f t="shared" si="95"/>
        <v>6.1486999999999998</v>
      </c>
      <c r="AF79" s="493">
        <f t="shared" si="96"/>
        <v>6.1486999999999998</v>
      </c>
      <c r="AG79" s="493" t="str">
        <f t="shared" si="97"/>
        <v>.</v>
      </c>
      <c r="AH79" s="493" t="str">
        <f t="shared" si="98"/>
        <v>.</v>
      </c>
      <c r="AI79" s="423">
        <f t="shared" si="99"/>
        <v>2077.79</v>
      </c>
      <c r="AJ79" s="423">
        <f t="shared" si="100"/>
        <v>12775.71</v>
      </c>
      <c r="AK79" s="423">
        <f t="shared" si="101"/>
        <v>1064.6400000000001</v>
      </c>
      <c r="AN79" s="423">
        <f t="shared" si="115"/>
        <v>72539.429999999993</v>
      </c>
      <c r="AO79" s="423">
        <f t="shared" si="115"/>
        <v>72071.17</v>
      </c>
      <c r="AR79" s="546">
        <f xml:space="preserve"> ROUND(  INDEX( Kx!79:79, AR$16 ),  AR$17 )</f>
        <v>0.67149999999999999</v>
      </c>
      <c r="AS79" s="547">
        <f xml:space="preserve"> ROUND(  INDEX( qx!79:79, AS$16 ),  AS$17 )</f>
        <v>2.93E-2</v>
      </c>
      <c r="AT79" s="547">
        <f xml:space="preserve"> ROUND(  INDEX( qx!79:79, AT$16 ),  AT$17 )</f>
        <v>1.84E-2</v>
      </c>
      <c r="AU79" s="548" t="str">
        <f t="shared" si="102"/>
        <v>F</v>
      </c>
      <c r="AV79" s="542">
        <f t="shared" si="103"/>
        <v>0.57679999999999998</v>
      </c>
      <c r="AW79" s="542">
        <f t="shared" si="104"/>
        <v>2.47E-2</v>
      </c>
      <c r="AX79" s="546">
        <f xml:space="preserve"> ROUND(  INDEX( wx!79:79, AX$16 ),  AX$17 )</f>
        <v>1.6999999999999999E-3</v>
      </c>
      <c r="AY79" s="546">
        <f xml:space="preserve"> ROUND(  INDEX( wx!79:79, AY$16 ),  AY$17 )</f>
        <v>2.0999999999999999E-3</v>
      </c>
      <c r="AZ79" s="548" t="str">
        <f t="shared" si="105"/>
        <v>M</v>
      </c>
      <c r="BA79" s="542">
        <f t="shared" si="106"/>
        <v>0.75409999999999999</v>
      </c>
      <c r="BB79" s="542">
        <f t="shared" si="107"/>
        <v>1.8E-3</v>
      </c>
      <c r="BC79" s="533">
        <f xml:space="preserve"> ROUND(  INDEX( Kx!79:79, BC$16 ),  BC$17 )</f>
        <v>10401.56</v>
      </c>
      <c r="BD79" s="533">
        <f xml:space="preserve"> ROUND(  INDEX( Kx!79:79, BD$16 ),  BD$17 )</f>
        <v>8915.89</v>
      </c>
      <c r="BE79" s="548" t="str">
        <f t="shared" si="58"/>
        <v>M</v>
      </c>
      <c r="BF79" s="542">
        <f t="shared" si="108"/>
        <v>0.75409999999999999</v>
      </c>
      <c r="BG79" s="420">
        <f t="shared" si="109"/>
        <v>10036.23</v>
      </c>
      <c r="BQ79" s="549"/>
      <c r="BR79" s="423"/>
      <c r="BS79" s="550"/>
      <c r="BT79" s="423"/>
      <c r="BU79" s="551"/>
      <c r="BV79" s="551"/>
      <c r="BW79" s="529"/>
      <c r="BX79" s="552"/>
      <c r="BY79" s="560"/>
      <c r="BZ79" s="559"/>
      <c r="CB79" s="423"/>
      <c r="CC79" s="423"/>
      <c r="CD79" s="423"/>
      <c r="CE79" s="423"/>
      <c r="CF79" s="553"/>
      <c r="CH79" s="423"/>
      <c r="CI79" s="423"/>
      <c r="CJ79" s="423"/>
      <c r="CK79" s="423"/>
      <c r="CL79" s="553"/>
      <c r="CN79" s="423"/>
      <c r="CO79" s="423"/>
      <c r="CP79" s="423"/>
      <c r="CQ79" s="423"/>
      <c r="CR79" s="553"/>
      <c r="EI79" s="553"/>
      <c r="EJ79" s="553"/>
      <c r="EK79" s="423"/>
      <c r="EL79" s="555"/>
      <c r="ES79" s="533"/>
      <c r="ET79" s="533"/>
      <c r="EU79" s="533"/>
      <c r="EV79" s="556"/>
      <c r="EY79" s="533"/>
      <c r="EZ79" s="533"/>
      <c r="FA79" s="556"/>
      <c r="FD79" s="556"/>
      <c r="FE79" s="556"/>
      <c r="FF79" s="556"/>
      <c r="FK79" s="557">
        <f t="shared" si="48"/>
        <v>79</v>
      </c>
      <c r="FL79" s="493">
        <f t="shared" si="59"/>
        <v>53.733899999999998</v>
      </c>
      <c r="FM79" s="493">
        <f t="shared" si="60"/>
        <v>10.1516</v>
      </c>
      <c r="FO79" s="427">
        <f t="shared" si="61"/>
        <v>2890191.5300000017</v>
      </c>
      <c r="FP79" s="558">
        <f t="shared" si="123"/>
        <v>86327.85</v>
      </c>
      <c r="FQ79" s="558">
        <f t="shared" si="123"/>
        <v>85473.59</v>
      </c>
      <c r="FR79" s="558">
        <f t="shared" si="123"/>
        <v>84617.22</v>
      </c>
      <c r="FS79" s="558">
        <f t="shared" si="123"/>
        <v>83760.850000000006</v>
      </c>
      <c r="FT79" s="558">
        <f t="shared" si="123"/>
        <v>82874.94</v>
      </c>
      <c r="FU79" s="558">
        <f t="shared" si="123"/>
        <v>81963.73</v>
      </c>
      <c r="FV79" s="558">
        <f t="shared" si="123"/>
        <v>81060.960000000006</v>
      </c>
      <c r="FW79" s="558">
        <f t="shared" si="123"/>
        <v>80151.850000000006</v>
      </c>
      <c r="FX79" s="558">
        <f t="shared" si="123"/>
        <v>79211.11</v>
      </c>
      <c r="FY79" s="558">
        <f t="shared" si="123"/>
        <v>78232.399999999994</v>
      </c>
      <c r="FZ79" s="558">
        <f t="shared" si="123"/>
        <v>77247.360000000001</v>
      </c>
      <c r="GA79" s="558">
        <f t="shared" si="123"/>
        <v>76247.56</v>
      </c>
      <c r="GB79" s="558">
        <f t="shared" si="123"/>
        <v>75224.55</v>
      </c>
      <c r="GC79" s="558">
        <f t="shared" si="123"/>
        <v>74197.33</v>
      </c>
      <c r="GD79" s="558">
        <f t="shared" si="123"/>
        <v>73138.47</v>
      </c>
      <c r="GE79" s="558">
        <f t="shared" si="123"/>
        <v>72071.17</v>
      </c>
      <c r="GF79" s="558">
        <f t="shared" si="121"/>
        <v>70972.23</v>
      </c>
      <c r="GG79" s="558">
        <f t="shared" si="121"/>
        <v>69847.97</v>
      </c>
      <c r="GH79" s="558">
        <f t="shared" si="121"/>
        <v>68692.08</v>
      </c>
      <c r="GI79" s="558">
        <f t="shared" si="121"/>
        <v>67502.44</v>
      </c>
      <c r="GJ79" s="558">
        <f t="shared" si="121"/>
        <v>66276.95</v>
      </c>
      <c r="GK79" s="558">
        <f t="shared" si="121"/>
        <v>65005.05</v>
      </c>
      <c r="GL79" s="558">
        <f t="shared" si="121"/>
        <v>63686.74</v>
      </c>
      <c r="GM79" s="558">
        <f t="shared" si="121"/>
        <v>62319.92</v>
      </c>
      <c r="GN79" s="558">
        <f t="shared" si="121"/>
        <v>60898.26</v>
      </c>
      <c r="GO79" s="558">
        <f t="shared" si="121"/>
        <v>59432.3</v>
      </c>
      <c r="GP79" s="558">
        <f t="shared" si="121"/>
        <v>57915.72</v>
      </c>
      <c r="GQ79" s="558">
        <f t="shared" si="121"/>
        <v>56352.74</v>
      </c>
      <c r="GR79" s="558">
        <f t="shared" si="121"/>
        <v>54747.57</v>
      </c>
      <c r="GS79" s="558">
        <f t="shared" si="121"/>
        <v>53102.33</v>
      </c>
      <c r="GT79" s="558">
        <f t="shared" si="121"/>
        <v>51423.33</v>
      </c>
      <c r="GU79" s="558">
        <f t="shared" si="119"/>
        <v>49704.26</v>
      </c>
      <c r="GV79" s="558">
        <f t="shared" si="119"/>
        <v>47961.99</v>
      </c>
      <c r="GW79" s="558">
        <f t="shared" si="119"/>
        <v>46188.08</v>
      </c>
      <c r="GX79" s="558">
        <f t="shared" si="119"/>
        <v>44395.18</v>
      </c>
      <c r="GY79" s="558">
        <f t="shared" si="119"/>
        <v>42583.3</v>
      </c>
      <c r="GZ79" s="558">
        <f t="shared" si="119"/>
        <v>40750.33</v>
      </c>
      <c r="HA79" s="558">
        <f t="shared" si="119"/>
        <v>38902.589999999997</v>
      </c>
      <c r="HB79" s="558">
        <f t="shared" si="119"/>
        <v>37027.43</v>
      </c>
      <c r="HC79" s="558">
        <f t="shared" si="119"/>
        <v>35112.199999999997</v>
      </c>
      <c r="HD79" s="558">
        <f t="shared" si="119"/>
        <v>33169.54</v>
      </c>
      <c r="HE79" s="558">
        <f t="shared" si="119"/>
        <v>31207.9</v>
      </c>
      <c r="HF79" s="558">
        <f t="shared" si="119"/>
        <v>29220.95</v>
      </c>
      <c r="HG79" s="558">
        <f t="shared" si="119"/>
        <v>27219.24</v>
      </c>
      <c r="HH79" s="558">
        <f t="shared" si="119"/>
        <v>25196.43</v>
      </c>
      <c r="HI79" s="558">
        <f t="shared" si="119"/>
        <v>23192.6</v>
      </c>
      <c r="HJ79" s="558">
        <f t="shared" si="119"/>
        <v>21171.91</v>
      </c>
      <c r="HK79" s="558">
        <f t="shared" si="124"/>
        <v>19163.86</v>
      </c>
      <c r="HL79" s="558">
        <f t="shared" si="122"/>
        <v>17170.580000000002</v>
      </c>
      <c r="HM79" s="558">
        <f t="shared" si="122"/>
        <v>15185.74</v>
      </c>
      <c r="HN79" s="558">
        <f t="shared" si="122"/>
        <v>13551.04</v>
      </c>
      <c r="HO79" s="558">
        <f t="shared" si="122"/>
        <v>11966.97</v>
      </c>
      <c r="HP79" s="558">
        <f t="shared" si="120"/>
        <v>10450.39</v>
      </c>
      <c r="HQ79" s="558">
        <f t="shared" si="120"/>
        <v>9013.9599999999991</v>
      </c>
      <c r="HR79" s="558">
        <f t="shared" si="120"/>
        <v>7280.13</v>
      </c>
      <c r="HS79" s="558">
        <f t="shared" si="120"/>
        <v>5613.79</v>
      </c>
      <c r="HT79" s="558">
        <f t="shared" si="120"/>
        <v>4025.49</v>
      </c>
      <c r="HU79" s="558">
        <f t="shared" si="120"/>
        <v>2565.86</v>
      </c>
      <c r="HV79" s="558">
        <f t="shared" si="120"/>
        <v>1222.25</v>
      </c>
      <c r="HW79" s="558">
        <f t="shared" si="120"/>
        <v>0.97</v>
      </c>
      <c r="HX79" s="558" t="str">
        <f t="shared" si="120"/>
        <v>.</v>
      </c>
      <c r="HY79" s="558" t="str">
        <f t="shared" si="120"/>
        <v>.</v>
      </c>
      <c r="HZ79" s="558" t="str">
        <f t="shared" si="120"/>
        <v>.</v>
      </c>
      <c r="IA79" s="558" t="str">
        <f t="shared" si="120"/>
        <v>.</v>
      </c>
      <c r="IB79" s="558" t="str">
        <f t="shared" si="120"/>
        <v>.</v>
      </c>
      <c r="IC79" s="558" t="str">
        <f t="shared" si="120"/>
        <v>.</v>
      </c>
      <c r="ID79" s="558" t="str">
        <f t="shared" si="120"/>
        <v>.</v>
      </c>
      <c r="IE79" s="558" t="str">
        <f t="shared" si="120"/>
        <v>.</v>
      </c>
      <c r="IF79" s="558" t="str">
        <f t="shared" si="120"/>
        <v>.</v>
      </c>
      <c r="IG79" s="558" t="str">
        <f t="shared" si="126"/>
        <v>.</v>
      </c>
      <c r="IH79" s="558" t="str">
        <f t="shared" si="126"/>
        <v>.</v>
      </c>
      <c r="II79" s="558" t="str">
        <f t="shared" si="126"/>
        <v>.</v>
      </c>
      <c r="IJ79" s="558" t="str">
        <f t="shared" si="126"/>
        <v>.</v>
      </c>
      <c r="IK79" s="558" t="str">
        <f t="shared" si="126"/>
        <v>.</v>
      </c>
      <c r="IL79" s="558" t="str">
        <f t="shared" si="126"/>
        <v>.</v>
      </c>
      <c r="IM79" s="558" t="str">
        <f t="shared" si="126"/>
        <v>.</v>
      </c>
      <c r="IN79" s="558" t="str">
        <f t="shared" si="126"/>
        <v>.</v>
      </c>
      <c r="IO79" s="558" t="str">
        <f t="shared" si="126"/>
        <v>.</v>
      </c>
      <c r="IP79" s="558" t="str">
        <f t="shared" si="126"/>
        <v>.</v>
      </c>
      <c r="IQ79" s="558" t="str">
        <f t="shared" si="126"/>
        <v>.</v>
      </c>
      <c r="IR79" s="558" t="str">
        <f t="shared" si="126"/>
        <v>.</v>
      </c>
      <c r="IS79" s="558" t="str">
        <f t="shared" si="126"/>
        <v>.</v>
      </c>
      <c r="IT79" s="558" t="str">
        <f t="shared" si="126"/>
        <v>.</v>
      </c>
      <c r="IU79" s="558" t="str">
        <f t="shared" si="126"/>
        <v>.</v>
      </c>
      <c r="IV79" s="558" t="str">
        <f t="shared" si="126"/>
        <v>.</v>
      </c>
      <c r="IW79" s="558" t="str">
        <f t="shared" si="126"/>
        <v>.</v>
      </c>
      <c r="IX79" s="558" t="str">
        <f t="shared" si="126"/>
        <v>.</v>
      </c>
      <c r="IY79" s="558" t="str">
        <f t="shared" si="126"/>
        <v>.</v>
      </c>
      <c r="IZ79" s="558" t="str">
        <f t="shared" si="126"/>
        <v>.</v>
      </c>
      <c r="JA79" s="558" t="str">
        <f t="shared" si="126"/>
        <v>.</v>
      </c>
      <c r="JB79" s="558" t="str">
        <f t="shared" si="126"/>
        <v>.</v>
      </c>
      <c r="JC79" s="558" t="str">
        <f t="shared" si="126"/>
        <v>.</v>
      </c>
      <c r="JD79" s="558" t="str">
        <f t="shared" si="126"/>
        <v>.</v>
      </c>
      <c r="JE79" s="558" t="str">
        <f t="shared" si="126"/>
        <v>.</v>
      </c>
      <c r="JF79" s="558" t="str">
        <f t="shared" si="127"/>
        <v>.</v>
      </c>
      <c r="JG79" s="558" t="str">
        <f t="shared" si="127"/>
        <v>.</v>
      </c>
      <c r="JH79" s="558" t="str">
        <f t="shared" si="128"/>
        <v>.</v>
      </c>
      <c r="JI79" s="558" t="str">
        <f t="shared" si="128"/>
        <v>.</v>
      </c>
      <c r="JJ79" s="558" t="str">
        <f t="shared" si="128"/>
        <v>.</v>
      </c>
      <c r="JK79" s="558" t="str">
        <f t="shared" si="128"/>
        <v>.</v>
      </c>
      <c r="JL79" s="558" t="str">
        <f t="shared" si="128"/>
        <v>.</v>
      </c>
    </row>
    <row r="80" spans="1:272" ht="10.199999999999999" x14ac:dyDescent="0.2">
      <c r="A80" s="534">
        <f xml:space="preserve"> Basis!A80</f>
        <v>80</v>
      </c>
      <c r="F80" s="536">
        <f xml:space="preserve"> ROUND(    IF( $A$15=BE_MF_,   AW80,   INDEX( qx!80:80, F$16 ) ),    F$17    )</f>
        <v>2.8299999999999999E-2</v>
      </c>
      <c r="G80" s="536">
        <f xml:space="preserve"> ROUND(    IF( $A$15=BE_MF_,   BB80,   INDEX( wx!80:80, G$16 ) ),    G$17    )</f>
        <v>1.6999999999999999E-3</v>
      </c>
      <c r="H80" s="537">
        <f xml:space="preserve"> ROUND(    IF( $A$15=BE_MF_,   BG80,   INDEX( Kx!80:80, H$16 ) ),    H$17    )</f>
        <v>10301.86</v>
      </c>
      <c r="I80" s="538">
        <f t="shared" si="55"/>
        <v>10301.86</v>
      </c>
      <c r="J80" s="539">
        <f t="shared" si="81"/>
        <v>4.9580000000000002</v>
      </c>
      <c r="K80" s="540">
        <f t="shared" si="114"/>
        <v>0</v>
      </c>
      <c r="L80" s="541">
        <f t="shared" si="71"/>
        <v>0</v>
      </c>
      <c r="M80" s="541">
        <f t="shared" si="71"/>
        <v>8.5999999999999993E-2</v>
      </c>
      <c r="O80" s="542" t="b">
        <f t="shared" si="57"/>
        <v>1</v>
      </c>
      <c r="P80" s="493">
        <f t="shared" si="82"/>
        <v>0.03</v>
      </c>
      <c r="Q80" s="493">
        <f t="shared" si="83"/>
        <v>0.97</v>
      </c>
      <c r="R80" s="543">
        <f t="shared" si="84"/>
        <v>404392</v>
      </c>
      <c r="S80" s="544">
        <f t="shared" si="85"/>
        <v>0.97560975599999999</v>
      </c>
      <c r="T80" s="423">
        <f t="shared" si="86"/>
        <v>56091.02</v>
      </c>
      <c r="U80" s="423">
        <f xml:space="preserve"> IF( $O80,    ROUND(  SUM( T80:T$120), U$17 ),  LEER  )</f>
        <v>540477.85</v>
      </c>
      <c r="V80" s="493">
        <f t="shared" si="87"/>
        <v>9.6356999999999999</v>
      </c>
      <c r="W80" s="493">
        <f t="shared" si="88"/>
        <v>278099.28000000003</v>
      </c>
      <c r="X80" s="493">
        <f xml:space="preserve"> IF( $O80,    ROUND(  SUM( W80:W$120), X$17 ),  LEER  )</f>
        <v>2888192.35</v>
      </c>
      <c r="Y80" s="493">
        <f t="shared" si="89"/>
        <v>51.491199999999999</v>
      </c>
      <c r="Z80" s="493">
        <f t="shared" si="90"/>
        <v>5.3437999999999999</v>
      </c>
      <c r="AA80" s="493">
        <f t="shared" si="91"/>
        <v>1</v>
      </c>
      <c r="AB80" s="493">
        <f t="shared" si="92"/>
        <v>2.3494000000000002</v>
      </c>
      <c r="AC80" s="545">
        <f t="shared" si="93"/>
        <v>0.32679999999999998</v>
      </c>
      <c r="AD80" s="493">
        <f t="shared" si="94"/>
        <v>5.3437999999999999</v>
      </c>
      <c r="AE80" s="493">
        <f t="shared" si="95"/>
        <v>6.2042000000000002</v>
      </c>
      <c r="AF80" s="493">
        <f t="shared" si="96"/>
        <v>6.2042000000000002</v>
      </c>
      <c r="AG80" s="493" t="str">
        <f t="shared" si="97"/>
        <v>.</v>
      </c>
      <c r="AH80" s="493" t="str">
        <f t="shared" si="98"/>
        <v>.</v>
      </c>
      <c r="AI80" s="423">
        <f t="shared" si="99"/>
        <v>2077.79</v>
      </c>
      <c r="AJ80" s="423">
        <f t="shared" si="100"/>
        <v>12891.02</v>
      </c>
      <c r="AK80" s="423">
        <f t="shared" si="101"/>
        <v>1074.25</v>
      </c>
      <c r="AN80" s="423">
        <f t="shared" ref="AN80:AO99" si="129" xml:space="preserve">  IF( AND( $A80&lt;=$O$12, $A80&gt;=AN$12),    ROUND( AN$19 * ( SUM($Y80) - SUM(AN$8) * SUM($V80) ), AN$17 ),  LEER  )</f>
        <v>69867.039999999994</v>
      </c>
      <c r="AO80" s="423">
        <f t="shared" si="129"/>
        <v>69422.570000000007</v>
      </c>
      <c r="AR80" s="546">
        <f xml:space="preserve"> ROUND(  INDEX( Kx!80:80, AR$16 ),  AR$17 )</f>
        <v>0.64510000000000001</v>
      </c>
      <c r="AS80" s="547">
        <f xml:space="preserve"> ROUND(  INDEX( qx!80:80, AS$16 ),  AS$17 )</f>
        <v>3.3799999999999997E-2</v>
      </c>
      <c r="AT80" s="547">
        <f xml:space="preserve"> ROUND(  INDEX( qx!80:80, AT$16 ),  AT$17 )</f>
        <v>2.1600000000000001E-2</v>
      </c>
      <c r="AU80" s="548" t="str">
        <f t="shared" si="102"/>
        <v>F</v>
      </c>
      <c r="AV80" s="542">
        <f t="shared" si="103"/>
        <v>0.54790000000000005</v>
      </c>
      <c r="AW80" s="542">
        <f t="shared" si="104"/>
        <v>2.8299999999999999E-2</v>
      </c>
      <c r="AX80" s="546">
        <f xml:space="preserve"> ROUND(  INDEX( wx!80:80, AX$16 ),  AX$17 )</f>
        <v>1.6000000000000001E-3</v>
      </c>
      <c r="AY80" s="546">
        <f xml:space="preserve"> ROUND(  INDEX( wx!80:80, AY$16 ),  AY$17 )</f>
        <v>2.0999999999999999E-3</v>
      </c>
      <c r="AZ80" s="548" t="str">
        <f t="shared" si="105"/>
        <v>M</v>
      </c>
      <c r="BA80" s="542">
        <f t="shared" si="106"/>
        <v>0.73170000000000002</v>
      </c>
      <c r="BB80" s="542">
        <f t="shared" si="107"/>
        <v>1.6999999999999999E-3</v>
      </c>
      <c r="BC80" s="533">
        <f xml:space="preserve"> ROUND(  INDEX( Kx!80:80, BC$16 ),  BC$17 )</f>
        <v>10718.26</v>
      </c>
      <c r="BD80" s="533">
        <f xml:space="preserve"> ROUND(  INDEX( Kx!80:80, BD$16 ),  BD$17 )</f>
        <v>9166.27</v>
      </c>
      <c r="BE80" s="548" t="str">
        <f t="shared" si="58"/>
        <v>M</v>
      </c>
      <c r="BF80" s="542">
        <f t="shared" si="108"/>
        <v>0.73170000000000002</v>
      </c>
      <c r="BG80" s="420">
        <f t="shared" si="109"/>
        <v>10301.86</v>
      </c>
      <c r="BQ80" s="549"/>
      <c r="BR80" s="423"/>
      <c r="BS80" s="550"/>
      <c r="BT80" s="423"/>
      <c r="BU80" s="551"/>
      <c r="BV80" s="551"/>
      <c r="BW80" s="529"/>
      <c r="BX80" s="552"/>
      <c r="BY80" s="560"/>
      <c r="BZ80" s="559"/>
      <c r="CB80" s="423"/>
      <c r="CC80" s="423"/>
      <c r="CD80" s="423"/>
      <c r="CE80" s="423"/>
      <c r="CF80" s="553"/>
      <c r="CH80" s="423"/>
      <c r="CI80" s="423"/>
      <c r="CJ80" s="423"/>
      <c r="CK80" s="423"/>
      <c r="CL80" s="553"/>
      <c r="CN80" s="423"/>
      <c r="CO80" s="423"/>
      <c r="CP80" s="423"/>
      <c r="CQ80" s="423"/>
      <c r="CR80" s="553"/>
      <c r="EI80" s="553"/>
      <c r="EJ80" s="553"/>
      <c r="EK80" s="423"/>
      <c r="EL80" s="555"/>
      <c r="ES80" s="533"/>
      <c r="ET80" s="533"/>
      <c r="EU80" s="533"/>
      <c r="EV80" s="556"/>
      <c r="EY80" s="533"/>
      <c r="EZ80" s="533"/>
      <c r="FA80" s="556"/>
      <c r="FD80" s="556"/>
      <c r="FE80" s="556"/>
      <c r="FF80" s="556"/>
      <c r="FK80" s="557">
        <f t="shared" si="48"/>
        <v>80</v>
      </c>
      <c r="FL80" s="493">
        <f t="shared" si="59"/>
        <v>51.491199999999999</v>
      </c>
      <c r="FM80" s="493">
        <f t="shared" si="60"/>
        <v>9.6356999999999999</v>
      </c>
      <c r="FO80" s="427">
        <f t="shared" si="61"/>
        <v>2804155.0000000005</v>
      </c>
      <c r="FP80" s="558">
        <f t="shared" si="123"/>
        <v>82954.740000000005</v>
      </c>
      <c r="FQ80" s="558">
        <f t="shared" si="123"/>
        <v>82143.89</v>
      </c>
      <c r="FR80" s="558">
        <f t="shared" si="123"/>
        <v>81331.039999999994</v>
      </c>
      <c r="FS80" s="558">
        <f t="shared" si="123"/>
        <v>80518.19</v>
      </c>
      <c r="FT80" s="558">
        <f t="shared" si="123"/>
        <v>79677.31</v>
      </c>
      <c r="FU80" s="558">
        <f t="shared" si="123"/>
        <v>78812.399999999994</v>
      </c>
      <c r="FV80" s="558">
        <f t="shared" si="123"/>
        <v>77955.5</v>
      </c>
      <c r="FW80" s="558">
        <f t="shared" si="123"/>
        <v>77092.600000000006</v>
      </c>
      <c r="FX80" s="558">
        <f t="shared" si="123"/>
        <v>76199.67</v>
      </c>
      <c r="FY80" s="558">
        <f t="shared" si="123"/>
        <v>75270.69</v>
      </c>
      <c r="FZ80" s="558">
        <f t="shared" si="123"/>
        <v>74335.710000000006</v>
      </c>
      <c r="GA80" s="558">
        <f t="shared" si="123"/>
        <v>73386.720000000001</v>
      </c>
      <c r="GB80" s="558">
        <f t="shared" si="123"/>
        <v>72415.7</v>
      </c>
      <c r="GC80" s="558">
        <f t="shared" si="123"/>
        <v>71440.679999999993</v>
      </c>
      <c r="GD80" s="558">
        <f t="shared" si="123"/>
        <v>70435.63</v>
      </c>
      <c r="GE80" s="558">
        <f t="shared" si="123"/>
        <v>69422.570000000007</v>
      </c>
      <c r="GF80" s="558">
        <f t="shared" si="121"/>
        <v>68379.48</v>
      </c>
      <c r="GG80" s="558">
        <f t="shared" si="121"/>
        <v>67312.36</v>
      </c>
      <c r="GH80" s="558">
        <f t="shared" si="121"/>
        <v>66215.210000000006</v>
      </c>
      <c r="GI80" s="558">
        <f t="shared" si="121"/>
        <v>65086.03</v>
      </c>
      <c r="GJ80" s="558">
        <f t="shared" si="121"/>
        <v>63922.81</v>
      </c>
      <c r="GK80" s="558">
        <f t="shared" si="121"/>
        <v>62715.55</v>
      </c>
      <c r="GL80" s="558">
        <f t="shared" si="121"/>
        <v>61464.24</v>
      </c>
      <c r="GM80" s="558">
        <f t="shared" si="121"/>
        <v>60166.879999999997</v>
      </c>
      <c r="GN80" s="558">
        <f t="shared" si="121"/>
        <v>58817.47</v>
      </c>
      <c r="GO80" s="558">
        <f t="shared" si="121"/>
        <v>57426.01</v>
      </c>
      <c r="GP80" s="558">
        <f t="shared" si="121"/>
        <v>55986.5</v>
      </c>
      <c r="GQ80" s="558">
        <f t="shared" si="121"/>
        <v>54502.95</v>
      </c>
      <c r="GR80" s="558">
        <f t="shared" si="121"/>
        <v>52979.360000000001</v>
      </c>
      <c r="GS80" s="558">
        <f t="shared" si="121"/>
        <v>51417.72</v>
      </c>
      <c r="GT80" s="558">
        <f t="shared" si="121"/>
        <v>49824.05</v>
      </c>
      <c r="GU80" s="558">
        <f t="shared" si="119"/>
        <v>48192.34</v>
      </c>
      <c r="GV80" s="558">
        <f t="shared" si="119"/>
        <v>46538.61</v>
      </c>
      <c r="GW80" s="558">
        <f t="shared" si="119"/>
        <v>44854.85</v>
      </c>
      <c r="GX80" s="558">
        <f t="shared" si="119"/>
        <v>43153.07</v>
      </c>
      <c r="GY80" s="558">
        <f t="shared" si="119"/>
        <v>41433.269999999997</v>
      </c>
      <c r="GZ80" s="558">
        <f t="shared" si="119"/>
        <v>39693.449999999997</v>
      </c>
      <c r="HA80" s="558">
        <f t="shared" si="119"/>
        <v>37939.61</v>
      </c>
      <c r="HB80" s="558">
        <f t="shared" si="119"/>
        <v>36159.75</v>
      </c>
      <c r="HC80" s="558">
        <f t="shared" si="119"/>
        <v>34341.839999999997</v>
      </c>
      <c r="HD80" s="558">
        <f t="shared" si="119"/>
        <v>32497.91</v>
      </c>
      <c r="HE80" s="558">
        <f t="shared" si="119"/>
        <v>30635.96</v>
      </c>
      <c r="HF80" s="558">
        <f t="shared" si="119"/>
        <v>28749.99</v>
      </c>
      <c r="HG80" s="558">
        <f t="shared" si="119"/>
        <v>26850</v>
      </c>
      <c r="HH80" s="558">
        <f t="shared" si="119"/>
        <v>24929.99</v>
      </c>
      <c r="HI80" s="558">
        <f t="shared" si="119"/>
        <v>23028</v>
      </c>
      <c r="HJ80" s="558">
        <f t="shared" si="119"/>
        <v>21109.99</v>
      </c>
      <c r="HK80" s="558">
        <f t="shared" si="124"/>
        <v>19203.990000000002</v>
      </c>
      <c r="HL80" s="558">
        <f t="shared" si="122"/>
        <v>17312.009999999998</v>
      </c>
      <c r="HM80" s="558">
        <f t="shared" si="122"/>
        <v>15428.04</v>
      </c>
      <c r="HN80" s="558">
        <f t="shared" si="122"/>
        <v>13876.42</v>
      </c>
      <c r="HO80" s="558">
        <f t="shared" si="122"/>
        <v>12372.84</v>
      </c>
      <c r="HP80" s="558">
        <f t="shared" si="120"/>
        <v>10933.34</v>
      </c>
      <c r="HQ80" s="558">
        <f t="shared" si="120"/>
        <v>9569.91</v>
      </c>
      <c r="HR80" s="558">
        <f t="shared" si="120"/>
        <v>7924.18</v>
      </c>
      <c r="HS80" s="558">
        <f t="shared" si="120"/>
        <v>6342.53</v>
      </c>
      <c r="HT80" s="558">
        <f t="shared" si="120"/>
        <v>4834.95</v>
      </c>
      <c r="HU80" s="558">
        <f t="shared" si="120"/>
        <v>3449.5</v>
      </c>
      <c r="HV80" s="558">
        <f t="shared" si="120"/>
        <v>2174.16</v>
      </c>
      <c r="HW80" s="558">
        <f t="shared" si="120"/>
        <v>1014.95</v>
      </c>
      <c r="HX80" s="558">
        <f t="shared" si="120"/>
        <v>-0.11</v>
      </c>
      <c r="HY80" s="558" t="str">
        <f t="shared" si="120"/>
        <v>.</v>
      </c>
      <c r="HZ80" s="558" t="str">
        <f t="shared" si="120"/>
        <v>.</v>
      </c>
      <c r="IA80" s="558" t="str">
        <f t="shared" si="120"/>
        <v>.</v>
      </c>
      <c r="IB80" s="558" t="str">
        <f t="shared" si="120"/>
        <v>.</v>
      </c>
      <c r="IC80" s="558" t="str">
        <f t="shared" si="120"/>
        <v>.</v>
      </c>
      <c r="ID80" s="558" t="str">
        <f t="shared" si="120"/>
        <v>.</v>
      </c>
      <c r="IE80" s="558" t="str">
        <f t="shared" si="120"/>
        <v>.</v>
      </c>
      <c r="IF80" s="558" t="str">
        <f t="shared" ref="IF80:IN80" si="130" xml:space="preserve"> IF(  OR( IF$18&gt;$FK80, $FK80&gt;$FP$12 ),  LEER,  ROUND( $FO$19 * ( $FL80 - IF$15 * $FM80 ), IF$17 )  )</f>
        <v>.</v>
      </c>
      <c r="IG80" s="558" t="str">
        <f t="shared" si="130"/>
        <v>.</v>
      </c>
      <c r="IH80" s="558" t="str">
        <f t="shared" si="130"/>
        <v>.</v>
      </c>
      <c r="II80" s="558" t="str">
        <f t="shared" si="130"/>
        <v>.</v>
      </c>
      <c r="IJ80" s="558" t="str">
        <f t="shared" si="130"/>
        <v>.</v>
      </c>
      <c r="IK80" s="558" t="str">
        <f t="shared" si="130"/>
        <v>.</v>
      </c>
      <c r="IL80" s="558" t="str">
        <f t="shared" si="130"/>
        <v>.</v>
      </c>
      <c r="IM80" s="558" t="str">
        <f t="shared" si="130"/>
        <v>.</v>
      </c>
      <c r="IN80" s="558" t="str">
        <f t="shared" si="130"/>
        <v>.</v>
      </c>
      <c r="IO80" s="558" t="str">
        <f t="shared" si="126"/>
        <v>.</v>
      </c>
      <c r="IP80" s="558" t="str">
        <f t="shared" si="126"/>
        <v>.</v>
      </c>
      <c r="IQ80" s="558" t="str">
        <f t="shared" si="126"/>
        <v>.</v>
      </c>
      <c r="IR80" s="558" t="str">
        <f t="shared" si="126"/>
        <v>.</v>
      </c>
      <c r="IS80" s="558" t="str">
        <f t="shared" si="126"/>
        <v>.</v>
      </c>
      <c r="IT80" s="558" t="str">
        <f t="shared" si="126"/>
        <v>.</v>
      </c>
      <c r="IU80" s="558" t="str">
        <f t="shared" si="126"/>
        <v>.</v>
      </c>
      <c r="IV80" s="558" t="str">
        <f t="shared" si="126"/>
        <v>.</v>
      </c>
      <c r="IW80" s="558" t="str">
        <f t="shared" si="126"/>
        <v>.</v>
      </c>
      <c r="IX80" s="558" t="str">
        <f t="shared" si="126"/>
        <v>.</v>
      </c>
      <c r="IY80" s="558" t="str">
        <f t="shared" si="126"/>
        <v>.</v>
      </c>
      <c r="IZ80" s="558" t="str">
        <f t="shared" si="126"/>
        <v>.</v>
      </c>
      <c r="JA80" s="558" t="str">
        <f t="shared" si="126"/>
        <v>.</v>
      </c>
      <c r="JB80" s="558" t="str">
        <f t="shared" si="126"/>
        <v>.</v>
      </c>
      <c r="JC80" s="558" t="str">
        <f t="shared" si="126"/>
        <v>.</v>
      </c>
      <c r="JD80" s="558" t="str">
        <f t="shared" si="126"/>
        <v>.</v>
      </c>
      <c r="JE80" s="558" t="str">
        <f t="shared" si="126"/>
        <v>.</v>
      </c>
      <c r="JF80" s="558" t="str">
        <f t="shared" si="127"/>
        <v>.</v>
      </c>
      <c r="JG80" s="558" t="str">
        <f t="shared" si="127"/>
        <v>.</v>
      </c>
      <c r="JH80" s="558" t="str">
        <f t="shared" si="128"/>
        <v>.</v>
      </c>
      <c r="JI80" s="558" t="str">
        <f t="shared" si="128"/>
        <v>.</v>
      </c>
      <c r="JJ80" s="558" t="str">
        <f t="shared" si="128"/>
        <v>.</v>
      </c>
      <c r="JK80" s="558" t="str">
        <f t="shared" si="128"/>
        <v>.</v>
      </c>
      <c r="JL80" s="558" t="str">
        <f t="shared" si="128"/>
        <v>.</v>
      </c>
    </row>
    <row r="81" spans="1:272" ht="10.199999999999999" x14ac:dyDescent="0.2">
      <c r="A81" s="534">
        <f xml:space="preserve"> Basis!A81</f>
        <v>81</v>
      </c>
      <c r="F81" s="536">
        <f xml:space="preserve"> ROUND(    IF( $A$15=BE_MF_,   AW81,   INDEX( qx!81:81, F$16 ) ),    F$17    )</f>
        <v>3.3000000000000002E-2</v>
      </c>
      <c r="G81" s="536">
        <f xml:space="preserve"> ROUND(    IF( $A$15=BE_MF_,   BB81,   INDEX( wx!81:81, G$16 ) ),    G$17    )</f>
        <v>1.6999999999999999E-3</v>
      </c>
      <c r="H81" s="537">
        <f xml:space="preserve"> ROUND(    IF( $A$15=BE_MF_,   BG81,   INDEX( Kx!81:81, H$16 ) ),    H$17    )</f>
        <v>10583.86</v>
      </c>
      <c r="I81" s="538">
        <f t="shared" si="55"/>
        <v>10583.86</v>
      </c>
      <c r="J81" s="539">
        <f t="shared" si="81"/>
        <v>5.0940000000000003</v>
      </c>
      <c r="K81" s="540">
        <f t="shared" si="114"/>
        <v>0</v>
      </c>
      <c r="L81" s="541">
        <f t="shared" si="71"/>
        <v>0</v>
      </c>
      <c r="M81" s="541">
        <f t="shared" si="71"/>
        <v>8.5999999999999993E-2</v>
      </c>
      <c r="O81" s="542" t="b">
        <f t="shared" si="57"/>
        <v>1</v>
      </c>
      <c r="P81" s="493">
        <f t="shared" si="82"/>
        <v>3.4700000000000002E-2</v>
      </c>
      <c r="Q81" s="493">
        <f t="shared" si="83"/>
        <v>0.96530000000000005</v>
      </c>
      <c r="R81" s="543">
        <f t="shared" si="84"/>
        <v>392260</v>
      </c>
      <c r="S81" s="544">
        <f t="shared" si="85"/>
        <v>0.97560975599999999</v>
      </c>
      <c r="T81" s="423">
        <f t="shared" si="86"/>
        <v>53081.22</v>
      </c>
      <c r="U81" s="423">
        <f xml:space="preserve"> IF( $O81,    ROUND(  SUM( T81:T$120), U$17 ),  LEER  )</f>
        <v>484386.83</v>
      </c>
      <c r="V81" s="493">
        <f t="shared" si="87"/>
        <v>9.1254000000000008</v>
      </c>
      <c r="W81" s="493">
        <f t="shared" si="88"/>
        <v>270395.73</v>
      </c>
      <c r="X81" s="493">
        <f xml:space="preserve"> IF( $O81,    ROUND(  SUM( W81:W$120), X$17 ),  LEER  )</f>
        <v>2610093.0699999998</v>
      </c>
      <c r="Y81" s="493">
        <f t="shared" si="89"/>
        <v>49.171700000000001</v>
      </c>
      <c r="Z81" s="493">
        <f t="shared" si="90"/>
        <v>5.3883999999999999</v>
      </c>
      <c r="AA81" s="493">
        <f t="shared" si="91"/>
        <v>1</v>
      </c>
      <c r="AB81" s="493">
        <f t="shared" si="92"/>
        <v>2.3494000000000002</v>
      </c>
      <c r="AC81" s="545">
        <f t="shared" si="93"/>
        <v>0.32679999999999998</v>
      </c>
      <c r="AD81" s="493">
        <f t="shared" si="94"/>
        <v>5.3883999999999999</v>
      </c>
      <c r="AE81" s="493">
        <f t="shared" si="95"/>
        <v>6.2530000000000001</v>
      </c>
      <c r="AF81" s="493">
        <f t="shared" si="96"/>
        <v>6.2530000000000001</v>
      </c>
      <c r="AG81" s="493" t="str">
        <f t="shared" si="97"/>
        <v>.</v>
      </c>
      <c r="AH81" s="493" t="str">
        <f t="shared" si="98"/>
        <v>.</v>
      </c>
      <c r="AI81" s="423">
        <f t="shared" si="99"/>
        <v>2077.79</v>
      </c>
      <c r="AJ81" s="423">
        <f t="shared" si="100"/>
        <v>12992.42</v>
      </c>
      <c r="AK81" s="423">
        <f t="shared" si="101"/>
        <v>1082.7</v>
      </c>
      <c r="AN81" s="423">
        <f t="shared" si="129"/>
        <v>67013.5</v>
      </c>
      <c r="AO81" s="423">
        <f t="shared" si="129"/>
        <v>66592.570000000007</v>
      </c>
      <c r="AR81" s="546">
        <f xml:space="preserve"> ROUND(  INDEX( Kx!81:81, AR$16 ),  AR$17 )</f>
        <v>0.6482</v>
      </c>
      <c r="AS81" s="547">
        <f xml:space="preserve"> ROUND(  INDEX( qx!81:81, AS$16 ),  AS$17 )</f>
        <v>3.9100000000000003E-2</v>
      </c>
      <c r="AT81" s="547">
        <f xml:space="preserve"> ROUND(  INDEX( qx!81:81, AT$16 ),  AT$17 )</f>
        <v>2.5399999999999999E-2</v>
      </c>
      <c r="AU81" s="548" t="str">
        <f t="shared" si="102"/>
        <v>F</v>
      </c>
      <c r="AV81" s="542">
        <f t="shared" si="103"/>
        <v>0.55120000000000002</v>
      </c>
      <c r="AW81" s="542">
        <f t="shared" si="104"/>
        <v>3.3000000000000002E-2</v>
      </c>
      <c r="AX81" s="546">
        <f xml:space="preserve"> ROUND(  INDEX( wx!81:81, AX$16 ),  AX$17 )</f>
        <v>1.5E-3</v>
      </c>
      <c r="AY81" s="546">
        <f xml:space="preserve"> ROUND(  INDEX( wx!81:81, AY$16 ),  AY$17 )</f>
        <v>2.0999999999999999E-3</v>
      </c>
      <c r="AZ81" s="548" t="str">
        <f t="shared" si="105"/>
        <v>M</v>
      </c>
      <c r="BA81" s="542">
        <f t="shared" si="106"/>
        <v>0.73429999999999995</v>
      </c>
      <c r="BB81" s="542">
        <f t="shared" si="107"/>
        <v>1.6999999999999999E-3</v>
      </c>
      <c r="BC81" s="533">
        <f xml:space="preserve"> ROUND(  INDEX( Kx!81:81, BC$16 ),  BC$17 )</f>
        <v>11012.77</v>
      </c>
      <c r="BD81" s="533">
        <f xml:space="preserve"> ROUND(  INDEX( Kx!81:81, BD$16 ),  BD$17 )</f>
        <v>9398.51</v>
      </c>
      <c r="BE81" s="548" t="str">
        <f t="shared" si="58"/>
        <v>M</v>
      </c>
      <c r="BF81" s="542">
        <f t="shared" si="108"/>
        <v>0.73429999999999995</v>
      </c>
      <c r="BG81" s="420">
        <f t="shared" si="109"/>
        <v>10583.86</v>
      </c>
      <c r="BQ81" s="549"/>
      <c r="BR81" s="423"/>
      <c r="BS81" s="550"/>
      <c r="BT81" s="423"/>
      <c r="BU81" s="551"/>
      <c r="BV81" s="551"/>
      <c r="BW81" s="529"/>
      <c r="BX81" s="552"/>
      <c r="BY81" s="560"/>
      <c r="BZ81" s="559"/>
      <c r="CB81" s="423"/>
      <c r="CC81" s="423"/>
      <c r="CD81" s="423"/>
      <c r="CE81" s="423"/>
      <c r="CF81" s="553"/>
      <c r="CH81" s="423"/>
      <c r="CI81" s="423"/>
      <c r="CJ81" s="423"/>
      <c r="CK81" s="423"/>
      <c r="CL81" s="553"/>
      <c r="CN81" s="423"/>
      <c r="CO81" s="423"/>
      <c r="CP81" s="423"/>
      <c r="CQ81" s="423"/>
      <c r="CR81" s="553"/>
      <c r="EI81" s="553"/>
      <c r="EJ81" s="553"/>
      <c r="EK81" s="423"/>
      <c r="EL81" s="555"/>
      <c r="ES81" s="533"/>
      <c r="ET81" s="533"/>
      <c r="EU81" s="533"/>
      <c r="EV81" s="556"/>
      <c r="EY81" s="533"/>
      <c r="EZ81" s="533"/>
      <c r="FA81" s="556"/>
      <c r="FD81" s="556"/>
      <c r="FE81" s="556"/>
      <c r="FF81" s="556"/>
      <c r="FK81" s="557">
        <f t="shared" si="48"/>
        <v>81</v>
      </c>
      <c r="FL81" s="493">
        <f t="shared" si="59"/>
        <v>49.171700000000001</v>
      </c>
      <c r="FM81" s="493">
        <f t="shared" si="60"/>
        <v>9.1254000000000008</v>
      </c>
      <c r="FO81" s="427">
        <f t="shared" si="61"/>
        <v>2707290.6000000006</v>
      </c>
      <c r="FP81" s="558">
        <f t="shared" si="123"/>
        <v>79408.08</v>
      </c>
      <c r="FQ81" s="558">
        <f t="shared" si="123"/>
        <v>78640.179999999993</v>
      </c>
      <c r="FR81" s="558">
        <f t="shared" si="123"/>
        <v>77870.37</v>
      </c>
      <c r="FS81" s="558">
        <f t="shared" si="123"/>
        <v>77100.570000000007</v>
      </c>
      <c r="FT81" s="558">
        <f t="shared" si="123"/>
        <v>76304.22</v>
      </c>
      <c r="FU81" s="558">
        <f t="shared" si="123"/>
        <v>75485.119999999995</v>
      </c>
      <c r="FV81" s="558">
        <f t="shared" si="123"/>
        <v>74673.61</v>
      </c>
      <c r="FW81" s="558">
        <f t="shared" si="123"/>
        <v>73856.399999999994</v>
      </c>
      <c r="FX81" s="558">
        <f t="shared" si="123"/>
        <v>73010.759999999995</v>
      </c>
      <c r="FY81" s="558">
        <f t="shared" si="123"/>
        <v>72130.98</v>
      </c>
      <c r="FZ81" s="558">
        <f t="shared" si="123"/>
        <v>71245.52</v>
      </c>
      <c r="GA81" s="558">
        <f t="shared" si="123"/>
        <v>70346.78</v>
      </c>
      <c r="GB81" s="558">
        <f t="shared" si="123"/>
        <v>69427.19</v>
      </c>
      <c r="GC81" s="558">
        <f t="shared" si="123"/>
        <v>68503.81</v>
      </c>
      <c r="GD81" s="558">
        <f t="shared" si="123"/>
        <v>67551.98</v>
      </c>
      <c r="GE81" s="558">
        <f t="shared" si="123"/>
        <v>66592.570000000007</v>
      </c>
      <c r="GF81" s="558">
        <f t="shared" si="121"/>
        <v>65604.72</v>
      </c>
      <c r="GG81" s="558">
        <f t="shared" si="121"/>
        <v>64594.12</v>
      </c>
      <c r="GH81" s="558">
        <f t="shared" si="121"/>
        <v>63555.07</v>
      </c>
      <c r="GI81" s="558">
        <f t="shared" si="121"/>
        <v>62485.69</v>
      </c>
      <c r="GJ81" s="558">
        <f t="shared" si="121"/>
        <v>61384.08</v>
      </c>
      <c r="GK81" s="558">
        <f t="shared" si="121"/>
        <v>60240.75</v>
      </c>
      <c r="GL81" s="558">
        <f t="shared" si="121"/>
        <v>59055.71</v>
      </c>
      <c r="GM81" s="558">
        <f t="shared" si="121"/>
        <v>57827.06</v>
      </c>
      <c r="GN81" s="558">
        <f t="shared" si="121"/>
        <v>56549.11</v>
      </c>
      <c r="GO81" s="558">
        <f t="shared" si="121"/>
        <v>55231.34</v>
      </c>
      <c r="GP81" s="558">
        <f t="shared" si="121"/>
        <v>53868.07</v>
      </c>
      <c r="GQ81" s="558">
        <f t="shared" si="121"/>
        <v>52463.08</v>
      </c>
      <c r="GR81" s="558">
        <f t="shared" si="121"/>
        <v>51020.18</v>
      </c>
      <c r="GS81" s="558">
        <f t="shared" si="121"/>
        <v>49541.25</v>
      </c>
      <c r="GT81" s="558">
        <f t="shared" si="121"/>
        <v>48031.98</v>
      </c>
      <c r="GU81" s="558">
        <f t="shared" si="119"/>
        <v>46486.68</v>
      </c>
      <c r="GV81" s="558">
        <f t="shared" si="119"/>
        <v>44920.53</v>
      </c>
      <c r="GW81" s="558">
        <f t="shared" si="119"/>
        <v>43325.94</v>
      </c>
      <c r="GX81" s="558">
        <f t="shared" si="119"/>
        <v>41714.28</v>
      </c>
      <c r="GY81" s="558">
        <f t="shared" si="119"/>
        <v>40085.56</v>
      </c>
      <c r="GZ81" s="558">
        <f t="shared" si="119"/>
        <v>38437.879999999997</v>
      </c>
      <c r="HA81" s="558">
        <f t="shared" si="119"/>
        <v>36776.93</v>
      </c>
      <c r="HB81" s="558">
        <f t="shared" si="119"/>
        <v>35091.32</v>
      </c>
      <c r="HC81" s="558">
        <f t="shared" si="119"/>
        <v>33369.69</v>
      </c>
      <c r="HD81" s="558">
        <f t="shared" si="119"/>
        <v>31623.42</v>
      </c>
      <c r="HE81" s="558">
        <f t="shared" si="119"/>
        <v>29860.080000000002</v>
      </c>
      <c r="HF81" s="558">
        <f t="shared" si="119"/>
        <v>28073.98</v>
      </c>
      <c r="HG81" s="558">
        <f t="shared" si="119"/>
        <v>26274.61</v>
      </c>
      <c r="HH81" s="558">
        <f t="shared" si="119"/>
        <v>24456.29</v>
      </c>
      <c r="HI81" s="558">
        <f t="shared" si="119"/>
        <v>22655.02</v>
      </c>
      <c r="HJ81" s="558">
        <f t="shared" si="119"/>
        <v>20838.59</v>
      </c>
      <c r="HK81" s="558">
        <f t="shared" si="124"/>
        <v>19033.54</v>
      </c>
      <c r="HL81" s="558">
        <f t="shared" si="122"/>
        <v>17241.75</v>
      </c>
      <c r="HM81" s="558">
        <f t="shared" si="122"/>
        <v>15457.55</v>
      </c>
      <c r="HN81" s="558">
        <f t="shared" si="122"/>
        <v>13988.1</v>
      </c>
      <c r="HO81" s="558">
        <f t="shared" si="122"/>
        <v>12564.16</v>
      </c>
      <c r="HP81" s="558">
        <f t="shared" ref="HP81:IB83" si="131" xml:space="preserve"> IF(  OR( HP$18&gt;$FK81, $FK81&gt;$FP$12 ),  LEER,  ROUND( $FO$19 * ( $FL81 - HP$15 * $FM81 ), HP$17 )  )</f>
        <v>11200.88</v>
      </c>
      <c r="HQ81" s="558">
        <f t="shared" si="131"/>
        <v>9909.66</v>
      </c>
      <c r="HR81" s="558">
        <f t="shared" si="131"/>
        <v>8351.1</v>
      </c>
      <c r="HS81" s="558">
        <f t="shared" si="131"/>
        <v>6853.2</v>
      </c>
      <c r="HT81" s="558">
        <f t="shared" si="131"/>
        <v>5425.47</v>
      </c>
      <c r="HU81" s="558">
        <f t="shared" si="131"/>
        <v>4113.3900000000003</v>
      </c>
      <c r="HV81" s="558">
        <f t="shared" si="131"/>
        <v>2905.59</v>
      </c>
      <c r="HW81" s="558">
        <f t="shared" si="131"/>
        <v>1807.77</v>
      </c>
      <c r="HX81" s="558">
        <f t="shared" si="131"/>
        <v>846.47</v>
      </c>
      <c r="HY81" s="558">
        <f t="shared" si="131"/>
        <v>0.82</v>
      </c>
      <c r="HZ81" s="558" t="str">
        <f t="shared" si="131"/>
        <v>.</v>
      </c>
      <c r="IA81" s="558" t="str">
        <f t="shared" si="131"/>
        <v>.</v>
      </c>
      <c r="IB81" s="558" t="str">
        <f t="shared" si="131"/>
        <v>.</v>
      </c>
      <c r="IC81" s="558" t="str">
        <f t="shared" ref="IC81:JA96" si="132" xml:space="preserve"> IF(  OR( IC$18&gt;$FK81, $FK81&gt;$FP$12 ),  LEER,  ROUND( $FO$19 * ( $FL81 - IC$15 * $FM81 ), IC$17 )  )</f>
        <v>.</v>
      </c>
      <c r="ID81" s="558" t="str">
        <f t="shared" si="132"/>
        <v>.</v>
      </c>
      <c r="IE81" s="558" t="str">
        <f t="shared" si="132"/>
        <v>.</v>
      </c>
      <c r="IF81" s="558" t="str">
        <f t="shared" si="132"/>
        <v>.</v>
      </c>
      <c r="IG81" s="558" t="str">
        <f t="shared" si="132"/>
        <v>.</v>
      </c>
      <c r="IH81" s="558" t="str">
        <f t="shared" si="132"/>
        <v>.</v>
      </c>
      <c r="II81" s="558" t="str">
        <f t="shared" si="132"/>
        <v>.</v>
      </c>
      <c r="IJ81" s="558" t="str">
        <f t="shared" si="132"/>
        <v>.</v>
      </c>
      <c r="IK81" s="558" t="str">
        <f t="shared" si="132"/>
        <v>.</v>
      </c>
      <c r="IL81" s="558" t="str">
        <f t="shared" si="132"/>
        <v>.</v>
      </c>
      <c r="IM81" s="558" t="str">
        <f t="shared" si="132"/>
        <v>.</v>
      </c>
      <c r="IN81" s="558" t="str">
        <f t="shared" si="132"/>
        <v>.</v>
      </c>
      <c r="IO81" s="558" t="str">
        <f t="shared" si="126"/>
        <v>.</v>
      </c>
      <c r="IP81" s="558" t="str">
        <f t="shared" si="126"/>
        <v>.</v>
      </c>
      <c r="IQ81" s="558" t="str">
        <f t="shared" si="126"/>
        <v>.</v>
      </c>
      <c r="IR81" s="558" t="str">
        <f t="shared" si="126"/>
        <v>.</v>
      </c>
      <c r="IS81" s="558" t="str">
        <f t="shared" si="126"/>
        <v>.</v>
      </c>
      <c r="IT81" s="558" t="str">
        <f t="shared" si="126"/>
        <v>.</v>
      </c>
      <c r="IU81" s="558" t="str">
        <f t="shared" si="126"/>
        <v>.</v>
      </c>
      <c r="IV81" s="558" t="str">
        <f t="shared" si="126"/>
        <v>.</v>
      </c>
      <c r="IW81" s="558" t="str">
        <f t="shared" si="126"/>
        <v>.</v>
      </c>
      <c r="IX81" s="558" t="str">
        <f t="shared" si="126"/>
        <v>.</v>
      </c>
      <c r="IY81" s="558" t="str">
        <f t="shared" si="126"/>
        <v>.</v>
      </c>
      <c r="IZ81" s="558" t="str">
        <f t="shared" si="126"/>
        <v>.</v>
      </c>
      <c r="JA81" s="558" t="str">
        <f t="shared" si="126"/>
        <v>.</v>
      </c>
      <c r="JB81" s="558" t="str">
        <f t="shared" si="126"/>
        <v>.</v>
      </c>
      <c r="JC81" s="558" t="str">
        <f t="shared" si="126"/>
        <v>.</v>
      </c>
      <c r="JD81" s="558" t="str">
        <f t="shared" si="126"/>
        <v>.</v>
      </c>
      <c r="JE81" s="558" t="str">
        <f t="shared" si="126"/>
        <v>.</v>
      </c>
      <c r="JF81" s="558" t="str">
        <f t="shared" si="127"/>
        <v>.</v>
      </c>
      <c r="JG81" s="558" t="str">
        <f t="shared" si="127"/>
        <v>.</v>
      </c>
      <c r="JH81" s="558" t="str">
        <f t="shared" si="128"/>
        <v>.</v>
      </c>
      <c r="JI81" s="558" t="str">
        <f t="shared" si="128"/>
        <v>.</v>
      </c>
      <c r="JJ81" s="558" t="str">
        <f t="shared" si="128"/>
        <v>.</v>
      </c>
      <c r="JK81" s="558" t="str">
        <f t="shared" si="128"/>
        <v>.</v>
      </c>
      <c r="JL81" s="558" t="str">
        <f t="shared" si="128"/>
        <v>.</v>
      </c>
    </row>
    <row r="82" spans="1:272" ht="10.199999999999999" x14ac:dyDescent="0.2">
      <c r="A82" s="534">
        <f xml:space="preserve"> Basis!A82</f>
        <v>82</v>
      </c>
      <c r="F82" s="536">
        <f xml:space="preserve"> ROUND(    IF( $A$15=BE_MF_,   AW82,   INDEX( qx!82:82, F$16 ) ),    F$17    )</f>
        <v>3.7999999999999999E-2</v>
      </c>
      <c r="G82" s="536">
        <f xml:space="preserve"> ROUND(    IF( $A$15=BE_MF_,   BB82,   INDEX( wx!82:82, G$16 ) ),    G$17    )</f>
        <v>1.6000000000000001E-3</v>
      </c>
      <c r="H82" s="537">
        <f xml:space="preserve"> ROUND(    IF( $A$15=BE_MF_,   BG82,   INDEX( Kx!82:82, H$16 ) ),    H$17    )</f>
        <v>10809.2</v>
      </c>
      <c r="I82" s="538">
        <f t="shared" si="55"/>
        <v>10809.2</v>
      </c>
      <c r="J82" s="539">
        <f t="shared" si="81"/>
        <v>5.202</v>
      </c>
      <c r="K82" s="540">
        <f t="shared" si="114"/>
        <v>0</v>
      </c>
      <c r="L82" s="541">
        <f t="shared" si="71"/>
        <v>0</v>
      </c>
      <c r="M82" s="541">
        <f t="shared" si="71"/>
        <v>8.5999999999999993E-2</v>
      </c>
      <c r="O82" s="542" t="b">
        <f t="shared" si="57"/>
        <v>1</v>
      </c>
      <c r="P82" s="493">
        <f t="shared" si="82"/>
        <v>3.9600000000000003E-2</v>
      </c>
      <c r="Q82" s="493">
        <f t="shared" si="83"/>
        <v>0.96040000000000003</v>
      </c>
      <c r="R82" s="543">
        <f t="shared" si="84"/>
        <v>378648</v>
      </c>
      <c r="S82" s="544">
        <f t="shared" si="85"/>
        <v>0.97560975599999999</v>
      </c>
      <c r="T82" s="423">
        <f t="shared" si="86"/>
        <v>49989.49</v>
      </c>
      <c r="U82" s="423">
        <f xml:space="preserve"> IF( $O82,    ROUND(  SUM( T82:T$120), U$17 ),  LEER  )</f>
        <v>431305.61</v>
      </c>
      <c r="V82" s="493">
        <f t="shared" si="87"/>
        <v>8.6279000000000003</v>
      </c>
      <c r="W82" s="493">
        <f t="shared" si="88"/>
        <v>260045.33</v>
      </c>
      <c r="X82" s="493">
        <f xml:space="preserve"> IF( $O82,    ROUND(  SUM( W82:W$120), X$17 ),  LEER  )</f>
        <v>2339697.34</v>
      </c>
      <c r="Y82" s="493">
        <f t="shared" si="89"/>
        <v>46.803800000000003</v>
      </c>
      <c r="Z82" s="493">
        <f t="shared" si="90"/>
        <v>5.4246999999999996</v>
      </c>
      <c r="AA82" s="493">
        <f t="shared" si="91"/>
        <v>1</v>
      </c>
      <c r="AB82" s="493">
        <f t="shared" si="92"/>
        <v>2.3494000000000002</v>
      </c>
      <c r="AC82" s="545">
        <f t="shared" si="93"/>
        <v>0.32679999999999998</v>
      </c>
      <c r="AD82" s="493">
        <f t="shared" si="94"/>
        <v>5.4246999999999996</v>
      </c>
      <c r="AE82" s="493">
        <f t="shared" si="95"/>
        <v>6.2927</v>
      </c>
      <c r="AF82" s="493">
        <f t="shared" si="96"/>
        <v>6.2927</v>
      </c>
      <c r="AG82" s="493" t="str">
        <f t="shared" si="97"/>
        <v>.</v>
      </c>
      <c r="AH82" s="493" t="str">
        <f t="shared" si="98"/>
        <v>.</v>
      </c>
      <c r="AI82" s="423">
        <f t="shared" si="99"/>
        <v>2077.79</v>
      </c>
      <c r="AJ82" s="423">
        <f t="shared" si="100"/>
        <v>13074.91</v>
      </c>
      <c r="AK82" s="423">
        <f t="shared" si="101"/>
        <v>1089.58</v>
      </c>
      <c r="AN82" s="423">
        <f t="shared" si="129"/>
        <v>64010.080000000002</v>
      </c>
      <c r="AO82" s="423">
        <f t="shared" si="129"/>
        <v>63612.1</v>
      </c>
      <c r="AR82" s="546">
        <f xml:space="preserve"> ROUND(  INDEX( Kx!82:82, AR$16 ),  AR$17 )</f>
        <v>0.62949999999999995</v>
      </c>
      <c r="AS82" s="547">
        <f xml:space="preserve"> ROUND(  INDEX( qx!82:82, AS$16 ),  AS$17 )</f>
        <v>4.5100000000000001E-2</v>
      </c>
      <c r="AT82" s="547">
        <f xml:space="preserve"> ROUND(  INDEX( qx!82:82, AT$16 ),  AT$17 )</f>
        <v>0.03</v>
      </c>
      <c r="AU82" s="548" t="str">
        <f t="shared" si="102"/>
        <v>F</v>
      </c>
      <c r="AV82" s="542">
        <f t="shared" si="103"/>
        <v>0.53110000000000002</v>
      </c>
      <c r="AW82" s="542">
        <f t="shared" si="104"/>
        <v>3.7999999999999999E-2</v>
      </c>
      <c r="AX82" s="546">
        <f xml:space="preserve"> ROUND(  INDEX( wx!82:82, AX$16 ),  AX$17 )</f>
        <v>1.4E-3</v>
      </c>
      <c r="AY82" s="546">
        <f xml:space="preserve"> ROUND(  INDEX( wx!82:82, AY$16 ),  AY$17 )</f>
        <v>2.0999999999999999E-3</v>
      </c>
      <c r="AZ82" s="548" t="str">
        <f t="shared" si="105"/>
        <v>M</v>
      </c>
      <c r="BA82" s="542">
        <f t="shared" si="106"/>
        <v>0.71819999999999995</v>
      </c>
      <c r="BB82" s="542">
        <f t="shared" si="107"/>
        <v>1.6000000000000001E-3</v>
      </c>
      <c r="BC82" s="533">
        <f xml:space="preserve"> ROUND(  INDEX( Kx!82:82, BC$16 ),  BC$17 )</f>
        <v>11280.84</v>
      </c>
      <c r="BD82" s="533">
        <f xml:space="preserve"> ROUND(  INDEX( Kx!82:82, BD$16 ),  BD$17 )</f>
        <v>9607.18</v>
      </c>
      <c r="BE82" s="548" t="str">
        <f t="shared" si="58"/>
        <v>M</v>
      </c>
      <c r="BF82" s="542">
        <f t="shared" si="108"/>
        <v>0.71819999999999995</v>
      </c>
      <c r="BG82" s="420">
        <f t="shared" si="109"/>
        <v>10809.2</v>
      </c>
      <c r="BQ82" s="549"/>
      <c r="BR82" s="423"/>
      <c r="BS82" s="550"/>
      <c r="BT82" s="423"/>
      <c r="BU82" s="551"/>
      <c r="BV82" s="551"/>
      <c r="BW82" s="529"/>
      <c r="BX82" s="552"/>
      <c r="BY82" s="560"/>
      <c r="BZ82" s="559"/>
      <c r="CB82" s="423"/>
      <c r="CC82" s="423"/>
      <c r="CD82" s="423"/>
      <c r="CE82" s="423"/>
      <c r="CF82" s="553"/>
      <c r="CH82" s="423"/>
      <c r="CI82" s="423"/>
      <c r="CJ82" s="423"/>
      <c r="CK82" s="423"/>
      <c r="CL82" s="553"/>
      <c r="CN82" s="423"/>
      <c r="CO82" s="423"/>
      <c r="CP82" s="423"/>
      <c r="CQ82" s="423"/>
      <c r="CR82" s="553"/>
      <c r="EI82" s="553"/>
      <c r="EJ82" s="553"/>
      <c r="EK82" s="423"/>
      <c r="EL82" s="555"/>
      <c r="ES82" s="533"/>
      <c r="ET82" s="533"/>
      <c r="EU82" s="533"/>
      <c r="EV82" s="556"/>
      <c r="EY82" s="533"/>
      <c r="EZ82" s="533"/>
      <c r="FA82" s="556"/>
      <c r="FD82" s="556"/>
      <c r="FE82" s="556"/>
      <c r="FF82" s="556"/>
      <c r="FK82" s="557">
        <f t="shared" si="48"/>
        <v>82</v>
      </c>
      <c r="FL82" s="493">
        <f t="shared" si="59"/>
        <v>46.803800000000003</v>
      </c>
      <c r="FM82" s="493">
        <f t="shared" si="60"/>
        <v>8.6279000000000003</v>
      </c>
      <c r="FO82" s="427">
        <f t="shared" si="61"/>
        <v>2599996.4900000002</v>
      </c>
      <c r="FP82" s="558">
        <f t="shared" si="123"/>
        <v>75728.94</v>
      </c>
      <c r="FQ82" s="558">
        <f t="shared" si="123"/>
        <v>75002.899999999994</v>
      </c>
      <c r="FR82" s="558">
        <f t="shared" si="123"/>
        <v>74275.06</v>
      </c>
      <c r="FS82" s="558">
        <f t="shared" si="123"/>
        <v>73547.23</v>
      </c>
      <c r="FT82" s="558">
        <f t="shared" si="123"/>
        <v>72794.3</v>
      </c>
      <c r="FU82" s="558">
        <f t="shared" si="123"/>
        <v>72019.850000000006</v>
      </c>
      <c r="FV82" s="558">
        <f t="shared" si="123"/>
        <v>71252.58</v>
      </c>
      <c r="FW82" s="558">
        <f t="shared" si="123"/>
        <v>70479.92</v>
      </c>
      <c r="FX82" s="558">
        <f t="shared" si="123"/>
        <v>69680.38</v>
      </c>
      <c r="FY82" s="558">
        <f t="shared" si="123"/>
        <v>68848.570000000007</v>
      </c>
      <c r="FZ82" s="558">
        <f t="shared" si="123"/>
        <v>68011.38</v>
      </c>
      <c r="GA82" s="558">
        <f t="shared" si="123"/>
        <v>67161.64</v>
      </c>
      <c r="GB82" s="558">
        <f t="shared" si="123"/>
        <v>66292.19</v>
      </c>
      <c r="GC82" s="558">
        <f t="shared" si="123"/>
        <v>65419.14</v>
      </c>
      <c r="GD82" s="558">
        <f t="shared" si="123"/>
        <v>64519.21</v>
      </c>
      <c r="GE82" s="558">
        <f t="shared" si="123"/>
        <v>63612.1</v>
      </c>
      <c r="GF82" s="558">
        <f t="shared" si="121"/>
        <v>62678.11</v>
      </c>
      <c r="GG82" s="558">
        <f t="shared" si="121"/>
        <v>61722.6</v>
      </c>
      <c r="GH82" s="558">
        <f t="shared" si="121"/>
        <v>60740.2</v>
      </c>
      <c r="GI82" s="558">
        <f t="shared" si="121"/>
        <v>59729.120000000003</v>
      </c>
      <c r="GJ82" s="558">
        <f t="shared" si="121"/>
        <v>58687.57</v>
      </c>
      <c r="GK82" s="558">
        <f t="shared" si="121"/>
        <v>57606.57</v>
      </c>
      <c r="GL82" s="558">
        <f t="shared" si="121"/>
        <v>56486.14</v>
      </c>
      <c r="GM82" s="558">
        <f t="shared" si="121"/>
        <v>55324.47</v>
      </c>
      <c r="GN82" s="558">
        <f t="shared" si="121"/>
        <v>54116.19</v>
      </c>
      <c r="GO82" s="558">
        <f t="shared" si="121"/>
        <v>52870.27</v>
      </c>
      <c r="GP82" s="558">
        <f t="shared" si="121"/>
        <v>51581.32</v>
      </c>
      <c r="GQ82" s="558">
        <f t="shared" si="121"/>
        <v>50252.93</v>
      </c>
      <c r="GR82" s="558">
        <f t="shared" si="121"/>
        <v>48888.69</v>
      </c>
      <c r="GS82" s="558">
        <f t="shared" si="121"/>
        <v>47490.39</v>
      </c>
      <c r="GT82" s="558">
        <f t="shared" si="121"/>
        <v>46063.4</v>
      </c>
      <c r="GU82" s="558">
        <f t="shared" ref="GU82:HJ97" si="133" xml:space="preserve"> IF(  OR( GU$18&gt;$FK82, $FK82&gt;$FP$12 ),  LEER,  ROUND( $FO$19 * ( $FL82 - GU$15 * $FM82 ), GU$17 )  )</f>
        <v>44602.35</v>
      </c>
      <c r="GV82" s="558">
        <f t="shared" si="133"/>
        <v>43121.58</v>
      </c>
      <c r="GW82" s="558">
        <f t="shared" si="133"/>
        <v>41613.93</v>
      </c>
      <c r="GX82" s="558">
        <f t="shared" si="133"/>
        <v>40090.129999999997</v>
      </c>
      <c r="GY82" s="558">
        <f t="shared" si="133"/>
        <v>38550.21</v>
      </c>
      <c r="GZ82" s="558">
        <f t="shared" si="133"/>
        <v>36992.36</v>
      </c>
      <c r="HA82" s="558">
        <f t="shared" si="133"/>
        <v>35421.949999999997</v>
      </c>
      <c r="HB82" s="558">
        <f t="shared" si="133"/>
        <v>33828.25</v>
      </c>
      <c r="HC82" s="558">
        <f t="shared" si="133"/>
        <v>32200.48</v>
      </c>
      <c r="HD82" s="558">
        <f t="shared" si="133"/>
        <v>30549.4</v>
      </c>
      <c r="HE82" s="558">
        <f t="shared" si="133"/>
        <v>28882.2</v>
      </c>
      <c r="HF82" s="558">
        <f t="shared" si="133"/>
        <v>27193.48</v>
      </c>
      <c r="HG82" s="558">
        <f t="shared" si="133"/>
        <v>25492.21</v>
      </c>
      <c r="HH82" s="558">
        <f t="shared" si="133"/>
        <v>23773.01</v>
      </c>
      <c r="HI82" s="558">
        <f t="shared" si="133"/>
        <v>22069.95</v>
      </c>
      <c r="HJ82" s="558">
        <f t="shared" si="133"/>
        <v>20352.55</v>
      </c>
      <c r="HK82" s="558">
        <f t="shared" si="124"/>
        <v>18645.900000000001</v>
      </c>
      <c r="HL82" s="558">
        <f t="shared" si="122"/>
        <v>16951.8</v>
      </c>
      <c r="HM82" s="558">
        <f t="shared" si="122"/>
        <v>15264.87</v>
      </c>
      <c r="HN82" s="558">
        <f t="shared" si="122"/>
        <v>13875.53</v>
      </c>
      <c r="HO82" s="558">
        <f t="shared" si="122"/>
        <v>12529.22</v>
      </c>
      <c r="HP82" s="558">
        <f t="shared" si="131"/>
        <v>11240.27</v>
      </c>
      <c r="HQ82" s="558">
        <f t="shared" si="131"/>
        <v>10019.44</v>
      </c>
      <c r="HR82" s="558">
        <f t="shared" si="131"/>
        <v>8545.85</v>
      </c>
      <c r="HS82" s="558">
        <f t="shared" si="131"/>
        <v>7129.62</v>
      </c>
      <c r="HT82" s="558">
        <f t="shared" si="131"/>
        <v>5779.72</v>
      </c>
      <c r="HU82" s="558">
        <f t="shared" si="131"/>
        <v>4539.17</v>
      </c>
      <c r="HV82" s="558">
        <f t="shared" si="131"/>
        <v>3397.22</v>
      </c>
      <c r="HW82" s="558">
        <f t="shared" si="131"/>
        <v>2359.25</v>
      </c>
      <c r="HX82" s="558">
        <f t="shared" si="131"/>
        <v>1450.36</v>
      </c>
      <c r="HY82" s="558">
        <f t="shared" si="131"/>
        <v>650.80999999999995</v>
      </c>
      <c r="HZ82" s="558">
        <f t="shared" si="131"/>
        <v>0.06</v>
      </c>
      <c r="IA82" s="558" t="str">
        <f t="shared" si="131"/>
        <v>.</v>
      </c>
      <c r="IB82" s="558" t="str">
        <f t="shared" si="131"/>
        <v>.</v>
      </c>
      <c r="IC82" s="558" t="str">
        <f t="shared" si="132"/>
        <v>.</v>
      </c>
      <c r="ID82" s="558" t="str">
        <f t="shared" si="132"/>
        <v>.</v>
      </c>
      <c r="IE82" s="558" t="str">
        <f t="shared" si="132"/>
        <v>.</v>
      </c>
      <c r="IF82" s="558" t="str">
        <f t="shared" si="132"/>
        <v>.</v>
      </c>
      <c r="IG82" s="558" t="str">
        <f t="shared" si="132"/>
        <v>.</v>
      </c>
      <c r="IH82" s="558" t="str">
        <f t="shared" si="132"/>
        <v>.</v>
      </c>
      <c r="II82" s="558" t="str">
        <f t="shared" si="132"/>
        <v>.</v>
      </c>
      <c r="IJ82" s="558" t="str">
        <f t="shared" si="132"/>
        <v>.</v>
      </c>
      <c r="IK82" s="558" t="str">
        <f t="shared" si="132"/>
        <v>.</v>
      </c>
      <c r="IL82" s="558" t="str">
        <f t="shared" si="132"/>
        <v>.</v>
      </c>
      <c r="IM82" s="558" t="str">
        <f t="shared" si="132"/>
        <v>.</v>
      </c>
      <c r="IN82" s="558" t="str">
        <f t="shared" si="132"/>
        <v>.</v>
      </c>
      <c r="IO82" s="558" t="str">
        <f t="shared" si="126"/>
        <v>.</v>
      </c>
      <c r="IP82" s="558" t="str">
        <f t="shared" si="126"/>
        <v>.</v>
      </c>
      <c r="IQ82" s="558" t="str">
        <f t="shared" si="126"/>
        <v>.</v>
      </c>
      <c r="IR82" s="558" t="str">
        <f t="shared" si="126"/>
        <v>.</v>
      </c>
      <c r="IS82" s="558" t="str">
        <f t="shared" si="126"/>
        <v>.</v>
      </c>
      <c r="IT82" s="558" t="str">
        <f t="shared" si="126"/>
        <v>.</v>
      </c>
      <c r="IU82" s="558" t="str">
        <f t="shared" si="126"/>
        <v>.</v>
      </c>
      <c r="IV82" s="558" t="str">
        <f t="shared" si="126"/>
        <v>.</v>
      </c>
      <c r="IW82" s="558" t="str">
        <f t="shared" si="126"/>
        <v>.</v>
      </c>
      <c r="IX82" s="558" t="str">
        <f t="shared" si="126"/>
        <v>.</v>
      </c>
      <c r="IY82" s="558" t="str">
        <f t="shared" si="126"/>
        <v>.</v>
      </c>
      <c r="IZ82" s="558" t="str">
        <f t="shared" si="126"/>
        <v>.</v>
      </c>
      <c r="JA82" s="558" t="str">
        <f t="shared" si="126"/>
        <v>.</v>
      </c>
      <c r="JB82" s="558" t="str">
        <f t="shared" si="126"/>
        <v>.</v>
      </c>
      <c r="JC82" s="558" t="str">
        <f t="shared" si="126"/>
        <v>.</v>
      </c>
      <c r="JD82" s="558" t="str">
        <f t="shared" si="126"/>
        <v>.</v>
      </c>
      <c r="JE82" s="558" t="str">
        <f t="shared" si="126"/>
        <v>.</v>
      </c>
      <c r="JF82" s="558" t="str">
        <f t="shared" si="127"/>
        <v>.</v>
      </c>
      <c r="JG82" s="558" t="str">
        <f t="shared" si="127"/>
        <v>.</v>
      </c>
      <c r="JH82" s="558" t="str">
        <f t="shared" si="128"/>
        <v>.</v>
      </c>
      <c r="JI82" s="558" t="str">
        <f t="shared" si="128"/>
        <v>.</v>
      </c>
      <c r="JJ82" s="558" t="str">
        <f t="shared" si="128"/>
        <v>.</v>
      </c>
      <c r="JK82" s="558" t="str">
        <f t="shared" si="128"/>
        <v>.</v>
      </c>
      <c r="JL82" s="558" t="str">
        <f t="shared" si="128"/>
        <v>.</v>
      </c>
    </row>
    <row r="83" spans="1:272" ht="10.199999999999999" x14ac:dyDescent="0.2">
      <c r="A83" s="534">
        <f xml:space="preserve"> Basis!A83</f>
        <v>83</v>
      </c>
      <c r="F83" s="536">
        <f xml:space="preserve"> ROUND(    IF( $A$15=BE_MF_,   AW83,   INDEX( qx!83:83, F$16 ) ),    F$17    )</f>
        <v>4.3999999999999997E-2</v>
      </c>
      <c r="G83" s="536">
        <f xml:space="preserve"> ROUND(    IF( $A$15=BE_MF_,   BB83,   INDEX( wx!83:83, G$16 ) ),    G$17    )</f>
        <v>1.5E-3</v>
      </c>
      <c r="H83" s="537">
        <f xml:space="preserve"> ROUND(    IF( $A$15=BE_MF_,   BG83,   INDEX( Kx!83:83, H$16 ) ),    H$17    )</f>
        <v>11008.65</v>
      </c>
      <c r="I83" s="538">
        <f t="shared" si="55"/>
        <v>11008.65</v>
      </c>
      <c r="J83" s="539">
        <f t="shared" si="81"/>
        <v>5.298</v>
      </c>
      <c r="K83" s="540">
        <f t="shared" si="114"/>
        <v>0</v>
      </c>
      <c r="L83" s="541">
        <f t="shared" si="71"/>
        <v>0</v>
      </c>
      <c r="M83" s="541">
        <f t="shared" si="71"/>
        <v>8.5999999999999993E-2</v>
      </c>
      <c r="O83" s="542" t="b">
        <f t="shared" si="57"/>
        <v>1</v>
      </c>
      <c r="P83" s="493">
        <f t="shared" si="82"/>
        <v>4.5499999999999999E-2</v>
      </c>
      <c r="Q83" s="493">
        <f t="shared" si="83"/>
        <v>0.95450000000000002</v>
      </c>
      <c r="R83" s="543">
        <f t="shared" si="84"/>
        <v>363653</v>
      </c>
      <c r="S83" s="544">
        <f t="shared" si="85"/>
        <v>0.97560975599999999</v>
      </c>
      <c r="T83" s="423">
        <f t="shared" si="86"/>
        <v>46838.86</v>
      </c>
      <c r="U83" s="423">
        <f xml:space="preserve"> IF( $O83,    ROUND(  SUM( T83:T$120), U$17 ),  LEER  )</f>
        <v>381316.12</v>
      </c>
      <c r="V83" s="493">
        <f t="shared" si="87"/>
        <v>8.141</v>
      </c>
      <c r="W83" s="493">
        <f t="shared" si="88"/>
        <v>248152.28</v>
      </c>
      <c r="X83" s="493">
        <f xml:space="preserve"> IF( $O83,    ROUND(  SUM( W83:W$120), X$17 ),  LEER  )</f>
        <v>2079652.01</v>
      </c>
      <c r="Y83" s="493">
        <f t="shared" si="89"/>
        <v>44.400100000000002</v>
      </c>
      <c r="Z83" s="493">
        <f t="shared" si="90"/>
        <v>5.4539</v>
      </c>
      <c r="AA83" s="493">
        <f t="shared" si="91"/>
        <v>1</v>
      </c>
      <c r="AB83" s="493">
        <f t="shared" si="92"/>
        <v>2.3494000000000002</v>
      </c>
      <c r="AC83" s="545">
        <f t="shared" si="93"/>
        <v>0.32679999999999998</v>
      </c>
      <c r="AD83" s="493">
        <f t="shared" si="94"/>
        <v>5.4539</v>
      </c>
      <c r="AE83" s="493">
        <f t="shared" si="95"/>
        <v>6.3246000000000002</v>
      </c>
      <c r="AF83" s="493">
        <f t="shared" si="96"/>
        <v>6.3246000000000002</v>
      </c>
      <c r="AG83" s="493" t="str">
        <f t="shared" si="97"/>
        <v>.</v>
      </c>
      <c r="AH83" s="493" t="str">
        <f t="shared" si="98"/>
        <v>.</v>
      </c>
      <c r="AI83" s="423">
        <f t="shared" si="99"/>
        <v>2077.79</v>
      </c>
      <c r="AJ83" s="423">
        <f t="shared" si="100"/>
        <v>13141.19</v>
      </c>
      <c r="AK83" s="423">
        <f t="shared" si="101"/>
        <v>1095.0999999999999</v>
      </c>
      <c r="AN83" s="423">
        <f t="shared" si="129"/>
        <v>60891.45</v>
      </c>
      <c r="AO83" s="423">
        <f t="shared" si="129"/>
        <v>60515.93</v>
      </c>
      <c r="AR83" s="546">
        <f xml:space="preserve"> ROUND(  INDEX( Kx!83:83, AR$16 ),  AR$17 )</f>
        <v>0.61509999999999998</v>
      </c>
      <c r="AS83" s="547">
        <f xml:space="preserve"> ROUND(  INDEX( qx!83:83, AS$16 ),  AS$17 )</f>
        <v>5.21E-2</v>
      </c>
      <c r="AT83" s="547">
        <f xml:space="preserve"> ROUND(  INDEX( qx!83:83, AT$16 ),  AT$17 )</f>
        <v>3.5400000000000001E-2</v>
      </c>
      <c r="AU83" s="548" t="str">
        <f t="shared" si="102"/>
        <v>F</v>
      </c>
      <c r="AV83" s="542">
        <f t="shared" si="103"/>
        <v>0.51580000000000004</v>
      </c>
      <c r="AW83" s="542">
        <f t="shared" si="104"/>
        <v>4.3999999999999997E-2</v>
      </c>
      <c r="AX83" s="546">
        <f xml:space="preserve"> ROUND(  INDEX( wx!83:83, AX$16 ),  AX$17 )</f>
        <v>1.2999999999999999E-3</v>
      </c>
      <c r="AY83" s="546">
        <f xml:space="preserve"> ROUND(  INDEX( wx!83:83, AY$16 ),  AY$17 )</f>
        <v>2.0999999999999999E-3</v>
      </c>
      <c r="AZ83" s="548" t="str">
        <f t="shared" si="105"/>
        <v>M</v>
      </c>
      <c r="BA83" s="542">
        <f t="shared" si="106"/>
        <v>0.7056</v>
      </c>
      <c r="BB83" s="542">
        <f t="shared" si="107"/>
        <v>1.5E-3</v>
      </c>
      <c r="BC83" s="533">
        <f xml:space="preserve"> ROUND(  INDEX( Kx!83:83, BC$16 ),  BC$17 )</f>
        <v>11518.7</v>
      </c>
      <c r="BD83" s="533">
        <f xml:space="preserve"> ROUND(  INDEX( Kx!83:83, BD$16 ),  BD$17 )</f>
        <v>9786.2099999999991</v>
      </c>
      <c r="BE83" s="548" t="str">
        <f t="shared" si="58"/>
        <v>M</v>
      </c>
      <c r="BF83" s="542">
        <f t="shared" si="108"/>
        <v>0.7056</v>
      </c>
      <c r="BG83" s="420">
        <f t="shared" si="109"/>
        <v>11008.65</v>
      </c>
      <c r="BQ83" s="549"/>
      <c r="BR83" s="423"/>
      <c r="BS83" s="550"/>
      <c r="BT83" s="423"/>
      <c r="BU83" s="551"/>
      <c r="BV83" s="551"/>
      <c r="BW83" s="529"/>
      <c r="BX83" s="552"/>
      <c r="BY83" s="560"/>
      <c r="BZ83" s="559"/>
      <c r="CB83" s="423"/>
      <c r="CC83" s="423"/>
      <c r="CD83" s="423"/>
      <c r="CE83" s="423"/>
      <c r="CF83" s="553"/>
      <c r="CH83" s="423"/>
      <c r="CI83" s="423"/>
      <c r="CJ83" s="423"/>
      <c r="CK83" s="423"/>
      <c r="CL83" s="553"/>
      <c r="CN83" s="423"/>
      <c r="CO83" s="423"/>
      <c r="CP83" s="423"/>
      <c r="CQ83" s="423"/>
      <c r="CR83" s="553"/>
      <c r="EI83" s="553"/>
      <c r="EJ83" s="553"/>
      <c r="EK83" s="423"/>
      <c r="EL83" s="555"/>
      <c r="ES83" s="533"/>
      <c r="ET83" s="533"/>
      <c r="EU83" s="533"/>
      <c r="EV83" s="556"/>
      <c r="EY83" s="533"/>
      <c r="EZ83" s="533"/>
      <c r="FA83" s="556"/>
      <c r="FD83" s="556"/>
      <c r="FE83" s="556"/>
      <c r="FF83" s="556"/>
      <c r="FK83" s="557">
        <f t="shared" si="48"/>
        <v>83</v>
      </c>
      <c r="FL83" s="493">
        <f t="shared" si="59"/>
        <v>44.400100000000002</v>
      </c>
      <c r="FM83" s="493">
        <f t="shared" si="60"/>
        <v>8.141</v>
      </c>
      <c r="FO83" s="427">
        <f t="shared" si="61"/>
        <v>2484370.67</v>
      </c>
      <c r="FP83" s="558">
        <f t="shared" si="123"/>
        <v>71948.97</v>
      </c>
      <c r="FQ83" s="558">
        <f t="shared" si="123"/>
        <v>71263.899999999994</v>
      </c>
      <c r="FR83" s="558">
        <f t="shared" si="123"/>
        <v>70577.14</v>
      </c>
      <c r="FS83" s="558">
        <f t="shared" si="123"/>
        <v>69890.38</v>
      </c>
      <c r="FT83" s="558">
        <f t="shared" si="123"/>
        <v>69179.94</v>
      </c>
      <c r="FU83" s="558">
        <f t="shared" si="123"/>
        <v>68449.2</v>
      </c>
      <c r="FV83" s="558">
        <f t="shared" si="123"/>
        <v>67725.22</v>
      </c>
      <c r="FW83" s="558">
        <f t="shared" si="123"/>
        <v>66996.179999999993</v>
      </c>
      <c r="FX83" s="558">
        <f t="shared" si="123"/>
        <v>66241.75</v>
      </c>
      <c r="FY83" s="558">
        <f t="shared" si="123"/>
        <v>65456.88</v>
      </c>
      <c r="FZ83" s="558">
        <f t="shared" si="123"/>
        <v>64666.94</v>
      </c>
      <c r="GA83" s="558">
        <f t="shared" si="123"/>
        <v>63865.16</v>
      </c>
      <c r="GB83" s="558">
        <f t="shared" si="123"/>
        <v>63044.76</v>
      </c>
      <c r="GC83" s="558">
        <f t="shared" si="123"/>
        <v>62220.99</v>
      </c>
      <c r="GD83" s="558">
        <f t="shared" si="123"/>
        <v>61371.839999999997</v>
      </c>
      <c r="GE83" s="558">
        <f t="shared" ref="GE83:GT98" si="134" xml:space="preserve"> IF(  OR( GE$18&gt;$FK83, $FK83&gt;$FP$12 ),  LEER,  ROUND( $FO$19 * ( $FL83 - GE$15 * $FM83 ), GE$17 )  )</f>
        <v>60515.93</v>
      </c>
      <c r="GF83" s="558">
        <f t="shared" si="134"/>
        <v>59634.64</v>
      </c>
      <c r="GG83" s="558">
        <f t="shared" si="134"/>
        <v>58733.06</v>
      </c>
      <c r="GH83" s="558">
        <f t="shared" si="134"/>
        <v>57806.1</v>
      </c>
      <c r="GI83" s="558">
        <f t="shared" si="134"/>
        <v>56852.08</v>
      </c>
      <c r="GJ83" s="558">
        <f t="shared" si="134"/>
        <v>55869.3</v>
      </c>
      <c r="GK83" s="558">
        <f t="shared" si="134"/>
        <v>54849.31</v>
      </c>
      <c r="GL83" s="558">
        <f t="shared" si="134"/>
        <v>53792.1</v>
      </c>
      <c r="GM83" s="558">
        <f t="shared" si="134"/>
        <v>52695.99</v>
      </c>
      <c r="GN83" s="558">
        <f t="shared" si="134"/>
        <v>51555.9</v>
      </c>
      <c r="GO83" s="558">
        <f t="shared" si="134"/>
        <v>50380.29</v>
      </c>
      <c r="GP83" s="558">
        <f t="shared" si="134"/>
        <v>49164.08</v>
      </c>
      <c r="GQ83" s="558">
        <f t="shared" si="134"/>
        <v>47910.66</v>
      </c>
      <c r="GR83" s="558">
        <f t="shared" si="134"/>
        <v>46623.4</v>
      </c>
      <c r="GS83" s="558">
        <f t="shared" si="134"/>
        <v>45304.01</v>
      </c>
      <c r="GT83" s="558">
        <f t="shared" si="134"/>
        <v>43957.55</v>
      </c>
      <c r="GU83" s="558">
        <f t="shared" si="133"/>
        <v>42578.96</v>
      </c>
      <c r="GV83" s="558">
        <f t="shared" si="133"/>
        <v>41181.75</v>
      </c>
      <c r="GW83" s="558">
        <f t="shared" si="133"/>
        <v>39759.18</v>
      </c>
      <c r="GX83" s="558">
        <f t="shared" si="133"/>
        <v>38321.379999999997</v>
      </c>
      <c r="GY83" s="558">
        <f t="shared" si="133"/>
        <v>36868.36</v>
      </c>
      <c r="GZ83" s="558">
        <f t="shared" si="133"/>
        <v>35398.42</v>
      </c>
      <c r="HA83" s="558">
        <f t="shared" si="133"/>
        <v>33916.639999999999</v>
      </c>
      <c r="HB83" s="558">
        <f t="shared" si="133"/>
        <v>32412.87</v>
      </c>
      <c r="HC83" s="558">
        <f t="shared" si="133"/>
        <v>30876.959999999999</v>
      </c>
      <c r="HD83" s="558">
        <f t="shared" si="133"/>
        <v>29319.06</v>
      </c>
      <c r="HE83" s="558">
        <f t="shared" si="133"/>
        <v>27745.94</v>
      </c>
      <c r="HF83" s="558">
        <f t="shared" si="133"/>
        <v>26152.52</v>
      </c>
      <c r="HG83" s="558">
        <f t="shared" si="133"/>
        <v>24547.26</v>
      </c>
      <c r="HH83" s="558">
        <f t="shared" si="133"/>
        <v>22925.08</v>
      </c>
      <c r="HI83" s="558">
        <f t="shared" si="133"/>
        <v>21318.13</v>
      </c>
      <c r="HJ83" s="558">
        <f t="shared" si="133"/>
        <v>19697.650000000001</v>
      </c>
      <c r="HK83" s="558">
        <f t="shared" si="124"/>
        <v>18087.310000000001</v>
      </c>
      <c r="HL83" s="558">
        <f t="shared" si="122"/>
        <v>16488.82</v>
      </c>
      <c r="HM83" s="558">
        <f t="shared" si="122"/>
        <v>14897.09</v>
      </c>
      <c r="HN83" s="558">
        <f t="shared" si="122"/>
        <v>13586.15</v>
      </c>
      <c r="HO83" s="558">
        <f t="shared" si="122"/>
        <v>12315.81</v>
      </c>
      <c r="HP83" s="558">
        <f t="shared" si="131"/>
        <v>11099.6</v>
      </c>
      <c r="HQ83" s="558">
        <f t="shared" si="131"/>
        <v>9947.67</v>
      </c>
      <c r="HR83" s="558">
        <f t="shared" si="131"/>
        <v>8557.24</v>
      </c>
      <c r="HS83" s="558">
        <f t="shared" si="131"/>
        <v>7220.93</v>
      </c>
      <c r="HT83" s="558">
        <f t="shared" si="131"/>
        <v>5947.21</v>
      </c>
      <c r="HU83" s="558">
        <f t="shared" si="131"/>
        <v>4776.67</v>
      </c>
      <c r="HV83" s="558">
        <f t="shared" si="131"/>
        <v>3699.17</v>
      </c>
      <c r="HW83" s="558">
        <f t="shared" si="131"/>
        <v>2719.77</v>
      </c>
      <c r="HX83" s="558">
        <f t="shared" si="131"/>
        <v>1862.17</v>
      </c>
      <c r="HY83" s="558">
        <f t="shared" si="131"/>
        <v>1107.74</v>
      </c>
      <c r="HZ83" s="558">
        <f t="shared" si="131"/>
        <v>493.72</v>
      </c>
      <c r="IA83" s="558">
        <f t="shared" si="131"/>
        <v>-0.21</v>
      </c>
      <c r="IB83" s="558" t="str">
        <f t="shared" si="131"/>
        <v>.</v>
      </c>
      <c r="IC83" s="558" t="str">
        <f t="shared" si="132"/>
        <v>.</v>
      </c>
      <c r="ID83" s="558" t="str">
        <f t="shared" si="132"/>
        <v>.</v>
      </c>
      <c r="IE83" s="558" t="str">
        <f t="shared" si="132"/>
        <v>.</v>
      </c>
      <c r="IF83" s="558" t="str">
        <f t="shared" si="132"/>
        <v>.</v>
      </c>
      <c r="IG83" s="558" t="str">
        <f t="shared" si="132"/>
        <v>.</v>
      </c>
      <c r="IH83" s="558" t="str">
        <f t="shared" si="132"/>
        <v>.</v>
      </c>
      <c r="II83" s="558" t="str">
        <f t="shared" si="132"/>
        <v>.</v>
      </c>
      <c r="IJ83" s="558" t="str">
        <f t="shared" si="132"/>
        <v>.</v>
      </c>
      <c r="IK83" s="558" t="str">
        <f t="shared" si="132"/>
        <v>.</v>
      </c>
      <c r="IL83" s="558" t="str">
        <f t="shared" si="132"/>
        <v>.</v>
      </c>
      <c r="IM83" s="558" t="str">
        <f t="shared" si="132"/>
        <v>.</v>
      </c>
      <c r="IN83" s="558" t="str">
        <f t="shared" si="132"/>
        <v>.</v>
      </c>
      <c r="IO83" s="558" t="str">
        <f t="shared" si="126"/>
        <v>.</v>
      </c>
      <c r="IP83" s="558" t="str">
        <f t="shared" si="126"/>
        <v>.</v>
      </c>
      <c r="IQ83" s="558" t="str">
        <f t="shared" si="126"/>
        <v>.</v>
      </c>
      <c r="IR83" s="558" t="str">
        <f t="shared" si="126"/>
        <v>.</v>
      </c>
      <c r="IS83" s="558" t="str">
        <f t="shared" si="126"/>
        <v>.</v>
      </c>
      <c r="IT83" s="558" t="str">
        <f t="shared" si="126"/>
        <v>.</v>
      </c>
      <c r="IU83" s="558" t="str">
        <f t="shared" si="126"/>
        <v>.</v>
      </c>
      <c r="IV83" s="558" t="str">
        <f t="shared" si="126"/>
        <v>.</v>
      </c>
      <c r="IW83" s="558" t="str">
        <f t="shared" si="126"/>
        <v>.</v>
      </c>
      <c r="IX83" s="558" t="str">
        <f t="shared" si="126"/>
        <v>.</v>
      </c>
      <c r="IY83" s="558" t="str">
        <f t="shared" si="126"/>
        <v>.</v>
      </c>
      <c r="IZ83" s="558" t="str">
        <f t="shared" si="126"/>
        <v>.</v>
      </c>
      <c r="JA83" s="558" t="str">
        <f t="shared" si="126"/>
        <v>.</v>
      </c>
      <c r="JB83" s="558" t="str">
        <f t="shared" si="126"/>
        <v>.</v>
      </c>
      <c r="JC83" s="558" t="str">
        <f t="shared" si="126"/>
        <v>.</v>
      </c>
      <c r="JD83" s="558" t="str">
        <f t="shared" si="126"/>
        <v>.</v>
      </c>
      <c r="JE83" s="558" t="str">
        <f t="shared" si="126"/>
        <v>.</v>
      </c>
      <c r="JF83" s="558" t="str">
        <f t="shared" si="127"/>
        <v>.</v>
      </c>
      <c r="JG83" s="558" t="str">
        <f t="shared" si="127"/>
        <v>.</v>
      </c>
      <c r="JH83" s="558" t="str">
        <f t="shared" si="128"/>
        <v>.</v>
      </c>
      <c r="JI83" s="558" t="str">
        <f t="shared" si="128"/>
        <v>.</v>
      </c>
      <c r="JJ83" s="558" t="str">
        <f t="shared" si="128"/>
        <v>.</v>
      </c>
      <c r="JK83" s="558" t="str">
        <f t="shared" si="128"/>
        <v>.</v>
      </c>
      <c r="JL83" s="558" t="str">
        <f t="shared" si="128"/>
        <v>.</v>
      </c>
    </row>
    <row r="84" spans="1:272" ht="10.199999999999999" x14ac:dyDescent="0.2">
      <c r="A84" s="534">
        <f xml:space="preserve"> Basis!A84</f>
        <v>84</v>
      </c>
      <c r="F84" s="536">
        <f xml:space="preserve"> ROUND(    IF( $A$15=BE_MF_,   AW84,   INDEX( qx!84:84, F$16 ) ),    F$17    )</f>
        <v>5.0900000000000001E-2</v>
      </c>
      <c r="G84" s="536">
        <f xml:space="preserve"> ROUND(    IF( $A$15=BE_MF_,   BB84,   INDEX( wx!84:84, G$16 ) ),    G$17    )</f>
        <v>1.5E-3</v>
      </c>
      <c r="H84" s="537">
        <f xml:space="preserve"> ROUND(    IF( $A$15=BE_MF_,   BG84,   INDEX( Kx!84:84, H$16 ) ),    H$17    )</f>
        <v>11175.87</v>
      </c>
      <c r="I84" s="538">
        <f t="shared" si="55"/>
        <v>11175.87</v>
      </c>
      <c r="J84" s="539">
        <f t="shared" ref="J84:J115" si="135" xml:space="preserve"> ROUND(  I84 / I$19,  J$17 )</f>
        <v>5.3789999999999996</v>
      </c>
      <c r="K84" s="540">
        <f t="shared" si="114"/>
        <v>0</v>
      </c>
      <c r="L84" s="541">
        <f t="shared" si="71"/>
        <v>0</v>
      </c>
      <c r="M84" s="541">
        <f t="shared" si="71"/>
        <v>8.5999999999999993E-2</v>
      </c>
      <c r="O84" s="542" t="b">
        <f t="shared" si="57"/>
        <v>1</v>
      </c>
      <c r="P84" s="493">
        <f t="shared" ref="P84:P120" si="136" xml:space="preserve"> IF( $O84,   IF(  A84&gt;= $O$12, 1,  ROUND(  MIN( 1,  F84 + G84 ),  P$17  )  ), LEER )</f>
        <v>5.2400000000000002E-2</v>
      </c>
      <c r="Q84" s="493">
        <f t="shared" ref="Q84:Q115" si="137" xml:space="preserve"> IF( $O84,    ROUND( 1 - P84,  Q$17  ),  LEER  )</f>
        <v>0.9476</v>
      </c>
      <c r="R84" s="543">
        <f t="shared" ref="R84:R120" si="138" xml:space="preserve"> IF(  NOT($O84),  LEER,  IF( $A84=R$10,  R$12,  ROUNDDOWN(  R83 * Q83,  R$17 )  )  )</f>
        <v>347106</v>
      </c>
      <c r="S84" s="544">
        <f t="shared" ref="S84:S120" si="139" xml:space="preserve"> IF( $O84,    ROUND(  ( 1 / ( 1 + S$12 ) ), S$17 ),  LEER  )</f>
        <v>0.97560975599999999</v>
      </c>
      <c r="T84" s="423">
        <f t="shared" ref="T84:T115" si="140" xml:space="preserve"> IF( $O84,    ROUND( R84 * S84 ^ A84, T$17 ),  LEER  )</f>
        <v>43617.16</v>
      </c>
      <c r="U84" s="423">
        <f xml:space="preserve"> IF( $O84,    ROUND(  SUM( T84:T$120), U$17 ),  LEER  )</f>
        <v>334477.26</v>
      </c>
      <c r="V84" s="493">
        <f t="shared" ref="V84:V115" si="141" xml:space="preserve"> IF( $O84,    IF( T84= 0, 1,  ROUND(  U84 / T84, V$17 )   ),  LEER  )</f>
        <v>7.6684999999999999</v>
      </c>
      <c r="W84" s="493">
        <f t="shared" ref="W84:W120" si="142" xml:space="preserve"> IF( $O84,    ROUND( J84 * T84, W$17 ),  LEER  )</f>
        <v>234616.7</v>
      </c>
      <c r="X84" s="493">
        <f xml:space="preserve"> IF( $O84,    ROUND(  SUM( W84:W$120), X$17 ),  LEER  )</f>
        <v>1831499.73</v>
      </c>
      <c r="Y84" s="493">
        <f t="shared" ref="Y84:Y115" si="143" xml:space="preserve"> IF( $O84,    IF( T84= 0, J84,  ROUND(  X84 / T84, Y$17 )   ),   LEER  )</f>
        <v>41.990299999999998</v>
      </c>
      <c r="Z84" s="493">
        <f t="shared" ref="Z84:Z115" si="144" xml:space="preserve"> IF( $O84,    IF( V84= 0, Y84,  ROUND( Y84 / V84, Z$17 )  ),   LEER  )</f>
        <v>5.4756999999999998</v>
      </c>
      <c r="AA84" s="493">
        <f t="shared" ref="AA84:AA120" si="145" xml:space="preserve"> IF( $O84,    ROUND( ( 12 * V84 * ( 1 - M84 ) ) / ( 12 * V84 * ( 1 - M84 ) - K84 ), AA$17 ),    LEER  )</f>
        <v>1</v>
      </c>
      <c r="AB84" s="493">
        <f t="shared" ref="AB84:AB120" si="146" xml:space="preserve">  IF( $O84,    ROUND( INDEX( $Z$20:$Z$120, AB$16 ) / ( 1 - M84 - L84 - INDEX( $K$20:$K$120, AB$16 ) / ( 12 * INDEX( $V$20:$V$120, AB$16 ) ) ), AB$17 ),       LEER  )</f>
        <v>2.3494000000000002</v>
      </c>
      <c r="AC84" s="545">
        <f t="shared" ref="AC84:AC115" si="147" xml:space="preserve">  IF( NOT($O84),   LEER,   ROUND(  L84 * AB84  +  IF( $A84&lt;AC$12, AC$5, AC$6 ),  AC$17  )    )</f>
        <v>0.32679999999999998</v>
      </c>
      <c r="AD84" s="493">
        <f t="shared" ref="AD84:AD115" si="148" xml:space="preserve">  IF( $O84,   ROUND( AA84 * Z84 + ( AA84 - 1 ) * AC84, AD$17 ),       LEER  )</f>
        <v>5.4756999999999998</v>
      </c>
      <c r="AE84" s="493">
        <f t="shared" ref="AE84:AE115" si="149" xml:space="preserve">  IF( $O84,   ROUND( ( AD84 + AC84 ) / ( 1 - M84), AE$17 ),       LEER  )</f>
        <v>6.3484999999999996</v>
      </c>
      <c r="AF84" s="493">
        <f t="shared" ref="AF84:AF115" si="150" xml:space="preserve">  IF(  $O84,   IF(  OR( NOT( $AF$12), $A84=$M$12, AE84&gt;=AF83 ), AE84, MAX( AE84,AF83) ),  LEER  )</f>
        <v>6.3484999999999996</v>
      </c>
      <c r="AG84" s="493" t="str">
        <f t="shared" ref="AG84:AG115" si="151" xml:space="preserve">  IF(  $O84,   IF(  AE84=AF84,  LEER, Setzung ),    LEER  )</f>
        <v>.</v>
      </c>
      <c r="AH84" s="493" t="str">
        <f t="shared" ref="AH84:AH115" si="152" xml:space="preserve">  IF(  $O84,   IF( AND( K83&lt;&gt;0, AG84=Setzung), SetzungZillmerung, LEER ),    LEER  )</f>
        <v>.</v>
      </c>
      <c r="AI84" s="423">
        <f t="shared" ref="AI84:AI120" si="153" xml:space="preserve">  IF( $O84,    $J$19,  LEER  )</f>
        <v>2077.79</v>
      </c>
      <c r="AJ84" s="423">
        <f t="shared" ref="AJ84:AJ115" si="154" xml:space="preserve">  IF( $O84,    ROUND( AF84 * AI84, AJ$17 ),  LEER  )</f>
        <v>13190.85</v>
      </c>
      <c r="AK84" s="423">
        <f t="shared" ref="AK84:AK115" si="155" xml:space="preserve">  IF( $O84,    ROUND( AJ84 / 12, AK$17 ),  LEER  )</f>
        <v>1099.24</v>
      </c>
      <c r="AN84" s="423">
        <f t="shared" si="129"/>
        <v>57704.66</v>
      </c>
      <c r="AO84" s="423">
        <f t="shared" si="129"/>
        <v>57350.94</v>
      </c>
      <c r="AR84" s="546">
        <f xml:space="preserve"> ROUND(  INDEX( Kx!84:84, AR$16 ),  AR$17 )</f>
        <v>0.60209999999999997</v>
      </c>
      <c r="AS84" s="547">
        <f xml:space="preserve"> ROUND(  INDEX( qx!84:84, AS$16 ),  AS$17 )</f>
        <v>6.0100000000000001E-2</v>
      </c>
      <c r="AT84" s="547">
        <f xml:space="preserve"> ROUND(  INDEX( qx!84:84, AT$16 ),  AT$17 )</f>
        <v>4.1700000000000001E-2</v>
      </c>
      <c r="AU84" s="548" t="str">
        <f t="shared" ref="AU84:AU115" si="156" xml:space="preserve"> IF( AS84&lt;AT84, AS$13, AT$13 )</f>
        <v>F</v>
      </c>
      <c r="AV84" s="542">
        <f t="shared" ref="AV84:AV115" si="157" xml:space="preserve"> ROUND(     IF( AU84=BE_M_, ( $AR84 + $AR84 * AV$18 ) / ( 1 + $AR84 * AV$18 ),  ( $AR84 ) / ( 1 + ( 1 - $AR84 ) * AV$18 ) ),   AV$17 )</f>
        <v>0.50219999999999998</v>
      </c>
      <c r="AW84" s="542">
        <f t="shared" ref="AW84:AW115" si="158" xml:space="preserve"> ROUND( AV84 * AS84 + ( 1 - AV84) * AT84, AW$17 )</f>
        <v>5.0900000000000001E-2</v>
      </c>
      <c r="AX84" s="546">
        <f xml:space="preserve"> ROUND(  INDEX( wx!84:84, AX$16 ),  AX$17 )</f>
        <v>1.1999999999999999E-3</v>
      </c>
      <c r="AY84" s="546">
        <f xml:space="preserve"> ROUND(  INDEX( wx!84:84, AY$16 ),  AY$17 )</f>
        <v>2.0999999999999999E-3</v>
      </c>
      <c r="AZ84" s="548" t="str">
        <f t="shared" ref="AZ84:AZ115" si="159" xml:space="preserve"> IF( AX84&lt;AY84, AX$13, AY$13 )</f>
        <v>M</v>
      </c>
      <c r="BA84" s="542">
        <f t="shared" ref="BA84:BA115" si="160" xml:space="preserve"> ROUND(     IF( AZ84=BE_M_, ( $AR84 + $AR84 * BA$18 ) / ( 1 + $AR84 * BA$18 ),  ( $AR84 ) / ( 1 + ( 1 - $AR84 ) * BA$18 ) ),   BA$17 )</f>
        <v>0.69420000000000004</v>
      </c>
      <c r="BB84" s="542">
        <f t="shared" ref="BB84:BB115" si="161" xml:space="preserve"> ROUND( BA84 * AX84 + ( 1 - BA84) * AY84, BB$17 )</f>
        <v>1.5E-3</v>
      </c>
      <c r="BC84" s="533">
        <f xml:space="preserve"> ROUND(  INDEX( Kx!84:84, BC$16 ),  BC$17 )</f>
        <v>11725.22</v>
      </c>
      <c r="BD84" s="533">
        <f xml:space="preserve"> ROUND(  INDEX( Kx!84:84, BD$16 ),  BD$17 )</f>
        <v>9928.7900000000009</v>
      </c>
      <c r="BE84" s="548" t="str">
        <f t="shared" si="58"/>
        <v>M</v>
      </c>
      <c r="BF84" s="542">
        <f t="shared" ref="BF84:BF115" si="162" xml:space="preserve"> ROUND(     IF( BE84=BE_M_, ( $AR84 + $AR84 * BF$18 ) / ( 1 + $AR84 * BF$18 ),  ( $AR84 ) / ( 1 + ( 1 - $AR84 ) * BF$18 ) ),   BF$17 )</f>
        <v>0.69420000000000004</v>
      </c>
      <c r="BG84" s="420">
        <f t="shared" ref="BG84:BG115" si="163" xml:space="preserve"> ROUND( BF84 * BC84 + ( 1 - BF84) * BD84, BG$17 )</f>
        <v>11175.87</v>
      </c>
      <c r="BQ84" s="549"/>
      <c r="BR84" s="423"/>
      <c r="BS84" s="550"/>
      <c r="BT84" s="423"/>
      <c r="BU84" s="551"/>
      <c r="BV84" s="551"/>
      <c r="BW84" s="529"/>
      <c r="BX84" s="552"/>
      <c r="BY84" s="560"/>
      <c r="BZ84" s="559"/>
      <c r="CB84" s="423"/>
      <c r="CC84" s="423"/>
      <c r="CD84" s="423"/>
      <c r="CE84" s="423"/>
      <c r="CF84" s="553"/>
      <c r="CH84" s="423"/>
      <c r="CI84" s="423"/>
      <c r="CJ84" s="423"/>
      <c r="CK84" s="423"/>
      <c r="CL84" s="553"/>
      <c r="CN84" s="423"/>
      <c r="CO84" s="423"/>
      <c r="CP84" s="423"/>
      <c r="CQ84" s="423"/>
      <c r="CR84" s="553"/>
      <c r="EI84" s="553"/>
      <c r="EJ84" s="553"/>
      <c r="EK84" s="423"/>
      <c r="EL84" s="555"/>
      <c r="ES84" s="533"/>
      <c r="ET84" s="533"/>
      <c r="EU84" s="533"/>
      <c r="EV84" s="556"/>
      <c r="EY84" s="533"/>
      <c r="EZ84" s="533"/>
      <c r="FA84" s="556"/>
      <c r="FD84" s="556"/>
      <c r="FE84" s="556"/>
      <c r="FF84" s="556"/>
      <c r="FK84" s="557">
        <f t="shared" ref="FK84:FK119" si="164" xml:space="preserve"> A84</f>
        <v>84</v>
      </c>
      <c r="FL84" s="493">
        <f t="shared" si="59"/>
        <v>41.990299999999998</v>
      </c>
      <c r="FM84" s="493">
        <f t="shared" si="60"/>
        <v>7.6684999999999999</v>
      </c>
      <c r="FO84" s="427">
        <f t="shared" si="61"/>
        <v>2362407.6100000008</v>
      </c>
      <c r="FP84" s="558">
        <f t="shared" ref="FP84:GE99" si="165" xml:space="preserve"> IF(  OR( FP$18&gt;$FK84, $FK84&gt;$FP$12 ),  LEER,  ROUND( $FO$19 * ( $FL84 - FP$15 * $FM84 ), FP$17 )  )</f>
        <v>68120.41</v>
      </c>
      <c r="FQ84" s="558">
        <f t="shared" si="165"/>
        <v>67475.100000000006</v>
      </c>
      <c r="FR84" s="558">
        <f t="shared" si="165"/>
        <v>66828.2</v>
      </c>
      <c r="FS84" s="558">
        <f t="shared" si="165"/>
        <v>66181.3</v>
      </c>
      <c r="FT84" s="558">
        <f t="shared" si="165"/>
        <v>65512.09</v>
      </c>
      <c r="FU84" s="558">
        <f t="shared" si="165"/>
        <v>64823.76</v>
      </c>
      <c r="FV84" s="558">
        <f t="shared" si="165"/>
        <v>64141.81</v>
      </c>
      <c r="FW84" s="558">
        <f t="shared" si="165"/>
        <v>63455.07</v>
      </c>
      <c r="FX84" s="558">
        <f t="shared" si="165"/>
        <v>62744.44</v>
      </c>
      <c r="FY84" s="558">
        <f t="shared" si="165"/>
        <v>62005.120000000003</v>
      </c>
      <c r="FZ84" s="558">
        <f t="shared" si="165"/>
        <v>61261.03</v>
      </c>
      <c r="GA84" s="558">
        <f t="shared" si="165"/>
        <v>60505.78</v>
      </c>
      <c r="GB84" s="558">
        <f t="shared" si="165"/>
        <v>59733</v>
      </c>
      <c r="GC84" s="558">
        <f t="shared" si="165"/>
        <v>58957.04</v>
      </c>
      <c r="GD84" s="558">
        <f t="shared" si="165"/>
        <v>58157.17</v>
      </c>
      <c r="GE84" s="558">
        <f t="shared" si="165"/>
        <v>57350.94</v>
      </c>
      <c r="GF84" s="558">
        <f t="shared" si="134"/>
        <v>56520.800000000003</v>
      </c>
      <c r="GG84" s="558">
        <f t="shared" si="134"/>
        <v>55671.54</v>
      </c>
      <c r="GH84" s="558">
        <f t="shared" si="134"/>
        <v>54798.39</v>
      </c>
      <c r="GI84" s="558">
        <f t="shared" si="134"/>
        <v>53899.74</v>
      </c>
      <c r="GJ84" s="558">
        <f t="shared" si="134"/>
        <v>52974</v>
      </c>
      <c r="GK84" s="558">
        <f t="shared" si="134"/>
        <v>52013.2</v>
      </c>
      <c r="GL84" s="558">
        <f t="shared" si="134"/>
        <v>51017.36</v>
      </c>
      <c r="GM84" s="558">
        <f t="shared" si="134"/>
        <v>49984.87</v>
      </c>
      <c r="GN84" s="558">
        <f t="shared" si="134"/>
        <v>48910.95</v>
      </c>
      <c r="GO84" s="558">
        <f t="shared" si="134"/>
        <v>47803.57</v>
      </c>
      <c r="GP84" s="558">
        <f t="shared" si="134"/>
        <v>46657.94</v>
      </c>
      <c r="GQ84" s="558">
        <f t="shared" si="134"/>
        <v>45477.27</v>
      </c>
      <c r="GR84" s="558">
        <f t="shared" si="134"/>
        <v>44264.73</v>
      </c>
      <c r="GS84" s="558">
        <f t="shared" si="134"/>
        <v>43021.91</v>
      </c>
      <c r="GT84" s="558">
        <f t="shared" si="134"/>
        <v>41753.599999999999</v>
      </c>
      <c r="GU84" s="558">
        <f t="shared" si="133"/>
        <v>40455.019999999997</v>
      </c>
      <c r="GV84" s="558">
        <f t="shared" si="133"/>
        <v>39138.910000000003</v>
      </c>
      <c r="GW84" s="558">
        <f t="shared" si="133"/>
        <v>37798.9</v>
      </c>
      <c r="GX84" s="558">
        <f t="shared" si="133"/>
        <v>36444.550000000003</v>
      </c>
      <c r="GY84" s="558">
        <f t="shared" si="133"/>
        <v>35075.86</v>
      </c>
      <c r="GZ84" s="558">
        <f t="shared" si="133"/>
        <v>33691.24</v>
      </c>
      <c r="HA84" s="558">
        <f t="shared" si="133"/>
        <v>32295.46</v>
      </c>
      <c r="HB84" s="558">
        <f t="shared" si="133"/>
        <v>30878.97</v>
      </c>
      <c r="HC84" s="558">
        <f t="shared" si="133"/>
        <v>29432.2</v>
      </c>
      <c r="HD84" s="558">
        <f t="shared" si="133"/>
        <v>27964.720000000001</v>
      </c>
      <c r="HE84" s="558">
        <f t="shared" si="133"/>
        <v>26482.91</v>
      </c>
      <c r="HF84" s="558">
        <f t="shared" si="133"/>
        <v>24981.97</v>
      </c>
      <c r="HG84" s="558">
        <f t="shared" si="133"/>
        <v>23469.87</v>
      </c>
      <c r="HH84" s="558">
        <f t="shared" si="133"/>
        <v>21941.85</v>
      </c>
      <c r="HI84" s="558">
        <f t="shared" si="133"/>
        <v>20428.16</v>
      </c>
      <c r="HJ84" s="558">
        <f t="shared" si="133"/>
        <v>18901.73</v>
      </c>
      <c r="HK84" s="558">
        <f t="shared" ref="HK84:IB98" si="166" xml:space="preserve"> IF(  OR( HK$18&gt;$FK84, $FK84&gt;$FP$12 ),  LEER,  ROUND( $FO$19 * ( $FL84 - HK$15 * $FM84 ), HK$17 )  )</f>
        <v>17384.86</v>
      </c>
      <c r="HL84" s="558">
        <f t="shared" si="166"/>
        <v>15879.14</v>
      </c>
      <c r="HM84" s="558">
        <f t="shared" si="166"/>
        <v>14379.79</v>
      </c>
      <c r="HN84" s="558">
        <f t="shared" si="166"/>
        <v>13144.95</v>
      </c>
      <c r="HO84" s="558">
        <f t="shared" si="166"/>
        <v>11948.34</v>
      </c>
      <c r="HP84" s="558">
        <f t="shared" si="166"/>
        <v>10802.72</v>
      </c>
      <c r="HQ84" s="558">
        <f t="shared" si="166"/>
        <v>9717.64</v>
      </c>
      <c r="HR84" s="558">
        <f t="shared" si="166"/>
        <v>8407.91</v>
      </c>
      <c r="HS84" s="558">
        <f t="shared" si="166"/>
        <v>7149.16</v>
      </c>
      <c r="HT84" s="558">
        <f t="shared" si="166"/>
        <v>5949.36</v>
      </c>
      <c r="HU84" s="558">
        <f t="shared" si="166"/>
        <v>4846.76</v>
      </c>
      <c r="HV84" s="558">
        <f t="shared" si="166"/>
        <v>3831.8</v>
      </c>
      <c r="HW84" s="558">
        <f t="shared" si="166"/>
        <v>2909.24</v>
      </c>
      <c r="HX84" s="558">
        <f t="shared" si="166"/>
        <v>2101.41</v>
      </c>
      <c r="HY84" s="558">
        <f t="shared" si="166"/>
        <v>1390.78</v>
      </c>
      <c r="HZ84" s="558">
        <f t="shared" si="166"/>
        <v>812.39</v>
      </c>
      <c r="IA84" s="558">
        <f t="shared" si="166"/>
        <v>347.13</v>
      </c>
      <c r="IB84" s="558">
        <f t="shared" si="166"/>
        <v>-0.22</v>
      </c>
      <c r="IC84" s="558" t="str">
        <f t="shared" si="132"/>
        <v>.</v>
      </c>
      <c r="ID84" s="558" t="str">
        <f t="shared" si="132"/>
        <v>.</v>
      </c>
      <c r="IE84" s="558" t="str">
        <f t="shared" si="132"/>
        <v>.</v>
      </c>
      <c r="IF84" s="558" t="str">
        <f t="shared" si="132"/>
        <v>.</v>
      </c>
      <c r="IG84" s="558" t="str">
        <f t="shared" si="132"/>
        <v>.</v>
      </c>
      <c r="IH84" s="558" t="str">
        <f t="shared" si="132"/>
        <v>.</v>
      </c>
      <c r="II84" s="558" t="str">
        <f t="shared" si="132"/>
        <v>.</v>
      </c>
      <c r="IJ84" s="558" t="str">
        <f t="shared" si="132"/>
        <v>.</v>
      </c>
      <c r="IK84" s="558" t="str">
        <f t="shared" si="132"/>
        <v>.</v>
      </c>
      <c r="IL84" s="558" t="str">
        <f t="shared" si="132"/>
        <v>.</v>
      </c>
      <c r="IM84" s="558" t="str">
        <f t="shared" si="132"/>
        <v>.</v>
      </c>
      <c r="IN84" s="558" t="str">
        <f t="shared" si="132"/>
        <v>.</v>
      </c>
      <c r="IO84" s="558" t="str">
        <f t="shared" si="126"/>
        <v>.</v>
      </c>
      <c r="IP84" s="558" t="str">
        <f t="shared" si="126"/>
        <v>.</v>
      </c>
      <c r="IQ84" s="558" t="str">
        <f t="shared" si="126"/>
        <v>.</v>
      </c>
      <c r="IR84" s="558" t="str">
        <f t="shared" si="126"/>
        <v>.</v>
      </c>
      <c r="IS84" s="558" t="str">
        <f t="shared" si="126"/>
        <v>.</v>
      </c>
      <c r="IT84" s="558" t="str">
        <f t="shared" si="126"/>
        <v>.</v>
      </c>
      <c r="IU84" s="558" t="str">
        <f t="shared" si="126"/>
        <v>.</v>
      </c>
      <c r="IV84" s="558" t="str">
        <f t="shared" si="126"/>
        <v>.</v>
      </c>
      <c r="IW84" s="558" t="str">
        <f t="shared" si="126"/>
        <v>.</v>
      </c>
      <c r="IX84" s="558" t="str">
        <f t="shared" si="126"/>
        <v>.</v>
      </c>
      <c r="IY84" s="558" t="str">
        <f t="shared" si="126"/>
        <v>.</v>
      </c>
      <c r="IZ84" s="558" t="str">
        <f t="shared" si="126"/>
        <v>.</v>
      </c>
      <c r="JA84" s="558" t="str">
        <f t="shared" si="126"/>
        <v>.</v>
      </c>
      <c r="JB84" s="558" t="str">
        <f t="shared" si="126"/>
        <v>.</v>
      </c>
      <c r="JC84" s="558" t="str">
        <f t="shared" si="126"/>
        <v>.</v>
      </c>
      <c r="JD84" s="558" t="str">
        <f t="shared" si="126"/>
        <v>.</v>
      </c>
      <c r="JE84" s="558" t="str">
        <f t="shared" si="126"/>
        <v>.</v>
      </c>
      <c r="JF84" s="558" t="str">
        <f t="shared" si="127"/>
        <v>.</v>
      </c>
      <c r="JG84" s="558" t="str">
        <f t="shared" si="127"/>
        <v>.</v>
      </c>
      <c r="JH84" s="558" t="str">
        <f t="shared" si="128"/>
        <v>.</v>
      </c>
      <c r="JI84" s="558" t="str">
        <f t="shared" si="128"/>
        <v>.</v>
      </c>
      <c r="JJ84" s="558" t="str">
        <f t="shared" si="128"/>
        <v>.</v>
      </c>
      <c r="JK84" s="558" t="str">
        <f t="shared" si="128"/>
        <v>.</v>
      </c>
      <c r="JL84" s="558" t="str">
        <f t="shared" si="128"/>
        <v>.</v>
      </c>
    </row>
    <row r="85" spans="1:272" ht="10.199999999999999" x14ac:dyDescent="0.2">
      <c r="A85" s="534">
        <f xml:space="preserve"> Basis!A85</f>
        <v>85</v>
      </c>
      <c r="F85" s="536">
        <f xml:space="preserve"> ROUND(    IF( $A$15=BE_MF_,   AW85,   INDEX( qx!85:85, F$16 ) ),    F$17    )</f>
        <v>5.8700000000000002E-2</v>
      </c>
      <c r="G85" s="536">
        <f xml:space="preserve"> ROUND(    IF( $A$15=BE_MF_,   BB85,   INDEX( wx!85:85, G$16 ) ),    G$17    )</f>
        <v>1.4E-3</v>
      </c>
      <c r="H85" s="537">
        <f xml:space="preserve"> ROUND(    IF( $A$15=BE_MF_,   BG85,   INDEX( Kx!85:85, H$16 ) ),    H$17    )</f>
        <v>11283.49</v>
      </c>
      <c r="I85" s="538">
        <f t="shared" ref="I85:I120" si="167" xml:space="preserve"> IF( $A85&gt;$H$12, MAX( H85, I84 ), H85 )</f>
        <v>11283.49</v>
      </c>
      <c r="J85" s="539">
        <f t="shared" si="135"/>
        <v>5.431</v>
      </c>
      <c r="K85" s="540">
        <f t="shared" ref="K85:K120" si="168" xml:space="preserve"> IF( $A85&lt;K$18,  K$15,  MAX( 0, K84-K$16 )   )</f>
        <v>0</v>
      </c>
      <c r="L85" s="541">
        <f t="shared" si="71"/>
        <v>0</v>
      </c>
      <c r="M85" s="541">
        <f t="shared" si="71"/>
        <v>8.5999999999999993E-2</v>
      </c>
      <c r="O85" s="542" t="b">
        <f t="shared" ref="O85:O120" si="169" xml:space="preserve"> AND( O$10&lt;=$A85, $A85&lt;=$O$12 )</f>
        <v>1</v>
      </c>
      <c r="P85" s="493">
        <f t="shared" si="136"/>
        <v>6.0100000000000001E-2</v>
      </c>
      <c r="Q85" s="493">
        <f t="shared" si="137"/>
        <v>0.93989999999999996</v>
      </c>
      <c r="R85" s="543">
        <f t="shared" si="138"/>
        <v>328917</v>
      </c>
      <c r="S85" s="544">
        <f t="shared" si="139"/>
        <v>0.97560975599999999</v>
      </c>
      <c r="T85" s="423">
        <f t="shared" si="140"/>
        <v>40323.46</v>
      </c>
      <c r="U85" s="423">
        <f xml:space="preserve"> IF( $O85,    ROUND(  SUM( T85:T$120), U$17 ),  LEER  )</f>
        <v>290860.09999999998</v>
      </c>
      <c r="V85" s="493">
        <f t="shared" si="141"/>
        <v>7.2131999999999996</v>
      </c>
      <c r="W85" s="493">
        <f t="shared" si="142"/>
        <v>218996.71</v>
      </c>
      <c r="X85" s="493">
        <f xml:space="preserve"> IF( $O85,    ROUND(  SUM( W85:W$120), X$17 ),  LEER  )</f>
        <v>1596883.03</v>
      </c>
      <c r="Y85" s="493">
        <f t="shared" si="143"/>
        <v>39.601799999999997</v>
      </c>
      <c r="Z85" s="493">
        <f t="shared" si="144"/>
        <v>5.4901999999999997</v>
      </c>
      <c r="AA85" s="493">
        <f t="shared" si="145"/>
        <v>1</v>
      </c>
      <c r="AB85" s="493">
        <f t="shared" si="146"/>
        <v>2.3494000000000002</v>
      </c>
      <c r="AC85" s="545">
        <f t="shared" si="147"/>
        <v>0.32679999999999998</v>
      </c>
      <c r="AD85" s="493">
        <f t="shared" si="148"/>
        <v>5.4901999999999997</v>
      </c>
      <c r="AE85" s="493">
        <f t="shared" si="149"/>
        <v>6.3643000000000001</v>
      </c>
      <c r="AF85" s="493">
        <f t="shared" si="150"/>
        <v>6.3643000000000001</v>
      </c>
      <c r="AG85" s="493" t="str">
        <f t="shared" si="151"/>
        <v>.</v>
      </c>
      <c r="AH85" s="493" t="str">
        <f t="shared" si="152"/>
        <v>.</v>
      </c>
      <c r="AI85" s="423">
        <f t="shared" si="153"/>
        <v>2077.79</v>
      </c>
      <c r="AJ85" s="423">
        <f t="shared" si="154"/>
        <v>13223.68</v>
      </c>
      <c r="AK85" s="423">
        <f t="shared" si="155"/>
        <v>1101.97</v>
      </c>
      <c r="AN85" s="423">
        <f t="shared" si="129"/>
        <v>54495.87</v>
      </c>
      <c r="AO85" s="423">
        <f t="shared" si="129"/>
        <v>54163.15</v>
      </c>
      <c r="AR85" s="546">
        <f xml:space="preserve"> ROUND(  INDEX( Kx!85:85, AR$16 ),  AR$17 )</f>
        <v>0.57469999999999999</v>
      </c>
      <c r="AS85" s="547">
        <f xml:space="preserve"> ROUND(  INDEX( qx!85:85, AS$16 ),  AS$17 )</f>
        <v>6.9199999999999998E-2</v>
      </c>
      <c r="AT85" s="547">
        <f xml:space="preserve"> ROUND(  INDEX( qx!85:85, AT$16 ),  AT$17 )</f>
        <v>4.9200000000000001E-2</v>
      </c>
      <c r="AU85" s="548" t="str">
        <f t="shared" si="156"/>
        <v>F</v>
      </c>
      <c r="AV85" s="542">
        <f t="shared" si="157"/>
        <v>0.47389999999999999</v>
      </c>
      <c r="AW85" s="542">
        <f t="shared" si="158"/>
        <v>5.8700000000000002E-2</v>
      </c>
      <c r="AX85" s="546">
        <f xml:space="preserve"> ROUND(  INDEX( wx!85:85, AX$16 ),  AX$17 )</f>
        <v>1.1000000000000001E-3</v>
      </c>
      <c r="AY85" s="546">
        <f xml:space="preserve"> ROUND(  INDEX( wx!85:85, AY$16 ),  AY$17 )</f>
        <v>2.0999999999999999E-3</v>
      </c>
      <c r="AZ85" s="548" t="str">
        <f t="shared" si="159"/>
        <v>M</v>
      </c>
      <c r="BA85" s="542">
        <f t="shared" si="160"/>
        <v>0.66959999999999997</v>
      </c>
      <c r="BB85" s="542">
        <f t="shared" si="161"/>
        <v>1.4E-3</v>
      </c>
      <c r="BC85" s="533">
        <f xml:space="preserve"> ROUND(  INDEX( Kx!85:85, BC$16 ),  BC$17 )</f>
        <v>11901.02</v>
      </c>
      <c r="BD85" s="533">
        <f xml:space="preserve"> ROUND(  INDEX( Kx!85:85, BD$16 ),  BD$17 )</f>
        <v>10031.99</v>
      </c>
      <c r="BE85" s="548" t="str">
        <f t="shared" ref="BE85:BE120" si="170" xml:space="preserve"> IF( BC85&gt;BD85, BC$18, BD$18 )</f>
        <v>M</v>
      </c>
      <c r="BF85" s="542">
        <f t="shared" si="162"/>
        <v>0.66959999999999997</v>
      </c>
      <c r="BG85" s="420">
        <f t="shared" si="163"/>
        <v>11283.49</v>
      </c>
      <c r="BQ85" s="549"/>
      <c r="BR85" s="423"/>
      <c r="BS85" s="550"/>
      <c r="BT85" s="423"/>
      <c r="BU85" s="551"/>
      <c r="BV85" s="551"/>
      <c r="BW85" s="529"/>
      <c r="BX85" s="552"/>
      <c r="BY85" s="560"/>
      <c r="BZ85" s="559"/>
      <c r="CB85" s="423"/>
      <c r="CC85" s="423"/>
      <c r="CD85" s="423"/>
      <c r="CE85" s="423"/>
      <c r="CF85" s="553"/>
      <c r="CH85" s="423"/>
      <c r="CI85" s="423"/>
      <c r="CJ85" s="423"/>
      <c r="CK85" s="423"/>
      <c r="CL85" s="553"/>
      <c r="CN85" s="423"/>
      <c r="CO85" s="423"/>
      <c r="CP85" s="423"/>
      <c r="CQ85" s="423"/>
      <c r="CR85" s="553"/>
      <c r="EI85" s="553"/>
      <c r="EJ85" s="553"/>
      <c r="EK85" s="423"/>
      <c r="EL85" s="555"/>
      <c r="ES85" s="533"/>
      <c r="ET85" s="533"/>
      <c r="EU85" s="533"/>
      <c r="EV85" s="556"/>
      <c r="EY85" s="533"/>
      <c r="EZ85" s="533"/>
      <c r="FA85" s="556"/>
      <c r="FD85" s="556"/>
      <c r="FE85" s="556"/>
      <c r="FF85" s="556"/>
      <c r="FK85" s="557">
        <f t="shared" si="164"/>
        <v>85</v>
      </c>
      <c r="FL85" s="493">
        <f t="shared" ref="FL85:FL120" si="171" xml:space="preserve"> Y85</f>
        <v>39.601799999999997</v>
      </c>
      <c r="FM85" s="493">
        <f t="shared" ref="FM85:FM120" si="172" xml:space="preserve"> V85</f>
        <v>7.2131999999999996</v>
      </c>
      <c r="FO85" s="427">
        <f t="shared" ref="FO85:FO120" si="173" xml:space="preserve"> SUM( FP85:JL85 )</f>
        <v>2236268.91</v>
      </c>
      <c r="FP85" s="558">
        <f t="shared" si="165"/>
        <v>64293.21</v>
      </c>
      <c r="FQ85" s="558">
        <f t="shared" si="165"/>
        <v>63686.22</v>
      </c>
      <c r="FR85" s="558">
        <f t="shared" si="165"/>
        <v>63077.72</v>
      </c>
      <c r="FS85" s="558">
        <f t="shared" si="165"/>
        <v>62469.23</v>
      </c>
      <c r="FT85" s="558">
        <f t="shared" si="165"/>
        <v>61839.76</v>
      </c>
      <c r="FU85" s="558">
        <f t="shared" si="165"/>
        <v>61192.29</v>
      </c>
      <c r="FV85" s="558">
        <f t="shared" si="165"/>
        <v>60550.83</v>
      </c>
      <c r="FW85" s="558">
        <f t="shared" si="165"/>
        <v>59904.87</v>
      </c>
      <c r="FX85" s="558">
        <f t="shared" si="165"/>
        <v>59236.42</v>
      </c>
      <c r="FY85" s="558">
        <f t="shared" si="165"/>
        <v>58541</v>
      </c>
      <c r="FZ85" s="558">
        <f t="shared" si="165"/>
        <v>57841.09</v>
      </c>
      <c r="GA85" s="558">
        <f t="shared" si="165"/>
        <v>57130.68</v>
      </c>
      <c r="GB85" s="558">
        <f t="shared" si="165"/>
        <v>56403.78</v>
      </c>
      <c r="GC85" s="558">
        <f t="shared" si="165"/>
        <v>55673.89</v>
      </c>
      <c r="GD85" s="558">
        <f t="shared" si="165"/>
        <v>54921.52</v>
      </c>
      <c r="GE85" s="558">
        <f t="shared" si="165"/>
        <v>54163.15</v>
      </c>
      <c r="GF85" s="558">
        <f t="shared" si="134"/>
        <v>53382.3</v>
      </c>
      <c r="GG85" s="558">
        <f t="shared" si="134"/>
        <v>52583.47</v>
      </c>
      <c r="GH85" s="558">
        <f t="shared" si="134"/>
        <v>51762.15</v>
      </c>
      <c r="GI85" s="558">
        <f t="shared" si="134"/>
        <v>50916.85</v>
      </c>
      <c r="GJ85" s="558">
        <f t="shared" si="134"/>
        <v>50046.080000000002</v>
      </c>
      <c r="GK85" s="558">
        <f t="shared" si="134"/>
        <v>49142.33</v>
      </c>
      <c r="GL85" s="558">
        <f t="shared" si="134"/>
        <v>48205.61</v>
      </c>
      <c r="GM85" s="558">
        <f t="shared" si="134"/>
        <v>47234.42</v>
      </c>
      <c r="GN85" s="558">
        <f t="shared" si="134"/>
        <v>46224.26</v>
      </c>
      <c r="GO85" s="558">
        <f t="shared" si="134"/>
        <v>45182.63</v>
      </c>
      <c r="GP85" s="558">
        <f t="shared" si="134"/>
        <v>44105.03</v>
      </c>
      <c r="GQ85" s="558">
        <f t="shared" si="134"/>
        <v>42994.45</v>
      </c>
      <c r="GR85" s="558">
        <f t="shared" si="134"/>
        <v>41853.9</v>
      </c>
      <c r="GS85" s="558">
        <f t="shared" si="134"/>
        <v>40684.879999999997</v>
      </c>
      <c r="GT85" s="558">
        <f t="shared" si="134"/>
        <v>39491.870000000003</v>
      </c>
      <c r="GU85" s="558">
        <f t="shared" si="133"/>
        <v>38270.39</v>
      </c>
      <c r="GV85" s="558">
        <f t="shared" si="133"/>
        <v>37032.42</v>
      </c>
      <c r="GW85" s="558">
        <f t="shared" si="133"/>
        <v>35771.97</v>
      </c>
      <c r="GX85" s="558">
        <f t="shared" si="133"/>
        <v>34498.03</v>
      </c>
      <c r="GY85" s="558">
        <f t="shared" si="133"/>
        <v>33210.6</v>
      </c>
      <c r="GZ85" s="558">
        <f t="shared" si="133"/>
        <v>31908.19</v>
      </c>
      <c r="HA85" s="558">
        <f t="shared" si="133"/>
        <v>30595.279999999999</v>
      </c>
      <c r="HB85" s="558">
        <f t="shared" si="133"/>
        <v>29262.89</v>
      </c>
      <c r="HC85" s="558">
        <f t="shared" si="133"/>
        <v>27902.03</v>
      </c>
      <c r="HD85" s="558">
        <f t="shared" si="133"/>
        <v>26521.68</v>
      </c>
      <c r="HE85" s="558">
        <f t="shared" si="133"/>
        <v>25127.84</v>
      </c>
      <c r="HF85" s="558">
        <f t="shared" si="133"/>
        <v>23716.01</v>
      </c>
      <c r="HG85" s="558">
        <f t="shared" si="133"/>
        <v>22293.7</v>
      </c>
      <c r="HH85" s="558">
        <f t="shared" si="133"/>
        <v>20856.400000000001</v>
      </c>
      <c r="HI85" s="558">
        <f t="shared" si="133"/>
        <v>19432.580000000002</v>
      </c>
      <c r="HJ85" s="558">
        <f t="shared" si="133"/>
        <v>17996.78</v>
      </c>
      <c r="HK85" s="558">
        <f t="shared" si="166"/>
        <v>16569.97</v>
      </c>
      <c r="HL85" s="558">
        <f t="shared" si="166"/>
        <v>15153.65</v>
      </c>
      <c r="HM85" s="558">
        <f t="shared" si="166"/>
        <v>13743.32</v>
      </c>
      <c r="HN85" s="558">
        <f t="shared" si="166"/>
        <v>12581.79</v>
      </c>
      <c r="HO85" s="558">
        <f t="shared" si="166"/>
        <v>11456.23</v>
      </c>
      <c r="HP85" s="558">
        <f t="shared" si="166"/>
        <v>10378.620000000001</v>
      </c>
      <c r="HQ85" s="558">
        <f t="shared" si="166"/>
        <v>9357.9699999999993</v>
      </c>
      <c r="HR85" s="558">
        <f t="shared" si="166"/>
        <v>8126</v>
      </c>
      <c r="HS85" s="558">
        <f t="shared" si="166"/>
        <v>6941.99</v>
      </c>
      <c r="HT85" s="558">
        <f t="shared" si="166"/>
        <v>5813.43</v>
      </c>
      <c r="HU85" s="558">
        <f t="shared" si="166"/>
        <v>4776.29</v>
      </c>
      <c r="HV85" s="558">
        <f t="shared" si="166"/>
        <v>3821.59</v>
      </c>
      <c r="HW85" s="558">
        <f t="shared" si="166"/>
        <v>2953.81</v>
      </c>
      <c r="HX85" s="558">
        <f t="shared" si="166"/>
        <v>2193.94</v>
      </c>
      <c r="HY85" s="558">
        <f t="shared" si="166"/>
        <v>1525.5</v>
      </c>
      <c r="HZ85" s="558">
        <f t="shared" si="166"/>
        <v>981.45</v>
      </c>
      <c r="IA85" s="558">
        <f t="shared" si="166"/>
        <v>543.82000000000005</v>
      </c>
      <c r="IB85" s="558">
        <f t="shared" si="166"/>
        <v>217.09</v>
      </c>
      <c r="IC85" s="558">
        <f t="shared" si="132"/>
        <v>-0.23</v>
      </c>
      <c r="ID85" s="558" t="str">
        <f t="shared" si="132"/>
        <v>.</v>
      </c>
      <c r="IE85" s="558" t="str">
        <f t="shared" si="132"/>
        <v>.</v>
      </c>
      <c r="IF85" s="558" t="str">
        <f t="shared" si="132"/>
        <v>.</v>
      </c>
      <c r="IG85" s="558" t="str">
        <f t="shared" si="132"/>
        <v>.</v>
      </c>
      <c r="IH85" s="558" t="str">
        <f t="shared" si="132"/>
        <v>.</v>
      </c>
      <c r="II85" s="558" t="str">
        <f t="shared" si="132"/>
        <v>.</v>
      </c>
      <c r="IJ85" s="558" t="str">
        <f t="shared" si="132"/>
        <v>.</v>
      </c>
      <c r="IK85" s="558" t="str">
        <f t="shared" si="132"/>
        <v>.</v>
      </c>
      <c r="IL85" s="558" t="str">
        <f t="shared" si="132"/>
        <v>.</v>
      </c>
      <c r="IM85" s="558" t="str">
        <f t="shared" si="132"/>
        <v>.</v>
      </c>
      <c r="IN85" s="558" t="str">
        <f t="shared" si="132"/>
        <v>.</v>
      </c>
      <c r="IO85" s="558" t="str">
        <f t="shared" si="126"/>
        <v>.</v>
      </c>
      <c r="IP85" s="558" t="str">
        <f t="shared" si="126"/>
        <v>.</v>
      </c>
      <c r="IQ85" s="558" t="str">
        <f t="shared" si="126"/>
        <v>.</v>
      </c>
      <c r="IR85" s="558" t="str">
        <f t="shared" si="126"/>
        <v>.</v>
      </c>
      <c r="IS85" s="558" t="str">
        <f t="shared" si="126"/>
        <v>.</v>
      </c>
      <c r="IT85" s="558" t="str">
        <f t="shared" si="126"/>
        <v>.</v>
      </c>
      <c r="IU85" s="558" t="str">
        <f t="shared" si="126"/>
        <v>.</v>
      </c>
      <c r="IV85" s="558" t="str">
        <f t="shared" si="126"/>
        <v>.</v>
      </c>
      <c r="IW85" s="558" t="str">
        <f t="shared" si="126"/>
        <v>.</v>
      </c>
      <c r="IX85" s="558" t="str">
        <f t="shared" si="126"/>
        <v>.</v>
      </c>
      <c r="IY85" s="558" t="str">
        <f t="shared" si="126"/>
        <v>.</v>
      </c>
      <c r="IZ85" s="558" t="str">
        <f t="shared" si="126"/>
        <v>.</v>
      </c>
      <c r="JA85" s="558" t="str">
        <f t="shared" si="126"/>
        <v>.</v>
      </c>
      <c r="JB85" s="558" t="str">
        <f t="shared" si="126"/>
        <v>.</v>
      </c>
      <c r="JC85" s="558" t="str">
        <f t="shared" si="126"/>
        <v>.</v>
      </c>
      <c r="JD85" s="558" t="str">
        <f t="shared" si="126"/>
        <v>.</v>
      </c>
      <c r="JE85" s="558" t="str">
        <f t="shared" si="126"/>
        <v>.</v>
      </c>
      <c r="JF85" s="558" t="str">
        <f t="shared" si="127"/>
        <v>.</v>
      </c>
      <c r="JG85" s="558" t="str">
        <f t="shared" si="127"/>
        <v>.</v>
      </c>
      <c r="JH85" s="558" t="str">
        <f t="shared" si="128"/>
        <v>.</v>
      </c>
      <c r="JI85" s="558" t="str">
        <f t="shared" si="128"/>
        <v>.</v>
      </c>
      <c r="JJ85" s="558" t="str">
        <f t="shared" si="128"/>
        <v>.</v>
      </c>
      <c r="JK85" s="558" t="str">
        <f t="shared" si="128"/>
        <v>.</v>
      </c>
      <c r="JL85" s="558" t="str">
        <f t="shared" si="128"/>
        <v>.</v>
      </c>
    </row>
    <row r="86" spans="1:272" ht="10.199999999999999" x14ac:dyDescent="0.2">
      <c r="A86" s="534">
        <f xml:space="preserve"> Basis!A86</f>
        <v>86</v>
      </c>
      <c r="F86" s="536">
        <f xml:space="preserve"> ROUND(    IF( $A$15=BE_MF_,   AW86,   INDEX( qx!86:86, F$16 ) ),    F$17    )</f>
        <v>6.7400000000000002E-2</v>
      </c>
      <c r="G86" s="536">
        <f xml:space="preserve"> ROUND(    IF( $A$15=BE_MF_,   BB86,   INDEX( wx!86:86, G$16 ) ),    G$17    )</f>
        <v>1.5E-3</v>
      </c>
      <c r="H86" s="537">
        <f xml:space="preserve"> ROUND(    IF( $A$15=BE_MF_,   BG86,   INDEX( Kx!86:86, H$16 ) ),    H$17    )</f>
        <v>11347.26</v>
      </c>
      <c r="I86" s="538">
        <f t="shared" si="167"/>
        <v>11347.26</v>
      </c>
      <c r="J86" s="539">
        <f t="shared" si="135"/>
        <v>5.4610000000000003</v>
      </c>
      <c r="K86" s="540">
        <f t="shared" si="168"/>
        <v>0</v>
      </c>
      <c r="L86" s="541">
        <f t="shared" si="71"/>
        <v>0</v>
      </c>
      <c r="M86" s="541">
        <f t="shared" si="71"/>
        <v>8.5999999999999993E-2</v>
      </c>
      <c r="O86" s="542" t="b">
        <f t="shared" si="169"/>
        <v>1</v>
      </c>
      <c r="P86" s="493">
        <f t="shared" si="136"/>
        <v>6.8900000000000003E-2</v>
      </c>
      <c r="Q86" s="493">
        <f t="shared" si="137"/>
        <v>0.93110000000000004</v>
      </c>
      <c r="R86" s="543">
        <f t="shared" si="138"/>
        <v>309149</v>
      </c>
      <c r="S86" s="544">
        <f t="shared" si="139"/>
        <v>0.97560975599999999</v>
      </c>
      <c r="T86" s="423">
        <f t="shared" si="140"/>
        <v>36975.620000000003</v>
      </c>
      <c r="U86" s="423">
        <f xml:space="preserve"> IF( $O86,    ROUND(  SUM( T86:T$120), U$17 ),  LEER  )</f>
        <v>250536.64</v>
      </c>
      <c r="V86" s="493">
        <f t="shared" si="141"/>
        <v>6.7756999999999996</v>
      </c>
      <c r="W86" s="493">
        <f t="shared" si="142"/>
        <v>201923.86</v>
      </c>
      <c r="X86" s="493">
        <f xml:space="preserve"> IF( $O86,    ROUND(  SUM( W86:W$120), X$17 ),  LEER  )</f>
        <v>1377886.32</v>
      </c>
      <c r="Y86" s="493">
        <f t="shared" si="143"/>
        <v>37.264699999999998</v>
      </c>
      <c r="Z86" s="493">
        <f t="shared" si="144"/>
        <v>5.4997999999999996</v>
      </c>
      <c r="AA86" s="493">
        <f t="shared" si="145"/>
        <v>1</v>
      </c>
      <c r="AB86" s="493">
        <f t="shared" si="146"/>
        <v>2.3494000000000002</v>
      </c>
      <c r="AC86" s="545">
        <f t="shared" si="147"/>
        <v>0.32679999999999998</v>
      </c>
      <c r="AD86" s="493">
        <f t="shared" si="148"/>
        <v>5.4997999999999996</v>
      </c>
      <c r="AE86" s="493">
        <f t="shared" si="149"/>
        <v>6.3747999999999996</v>
      </c>
      <c r="AF86" s="493">
        <f t="shared" si="150"/>
        <v>6.3747999999999996</v>
      </c>
      <c r="AG86" s="493" t="str">
        <f t="shared" si="151"/>
        <v>.</v>
      </c>
      <c r="AH86" s="493" t="str">
        <f t="shared" si="152"/>
        <v>.</v>
      </c>
      <c r="AI86" s="423">
        <f t="shared" si="153"/>
        <v>2077.79</v>
      </c>
      <c r="AJ86" s="423">
        <f t="shared" si="154"/>
        <v>13245.5</v>
      </c>
      <c r="AK86" s="423">
        <f t="shared" si="155"/>
        <v>1103.79</v>
      </c>
      <c r="AN86" s="423">
        <f t="shared" si="129"/>
        <v>51325.31</v>
      </c>
      <c r="AO86" s="423">
        <f t="shared" si="129"/>
        <v>51012.77</v>
      </c>
      <c r="AR86" s="546">
        <f xml:space="preserve"> ROUND(  INDEX( Kx!86:86, AR$16 ),  AR$17 )</f>
        <v>0.54579999999999995</v>
      </c>
      <c r="AS86" s="547">
        <f xml:space="preserve"> ROUND(  INDEX( qx!86:86, AS$16 ),  AS$17 )</f>
        <v>7.9500000000000001E-2</v>
      </c>
      <c r="AT86" s="547">
        <f xml:space="preserve"> ROUND(  INDEX( qx!86:86, AT$16 ),  AT$17 )</f>
        <v>5.7700000000000001E-2</v>
      </c>
      <c r="AU86" s="548" t="str">
        <f t="shared" si="156"/>
        <v>F</v>
      </c>
      <c r="AV86" s="542">
        <f t="shared" si="157"/>
        <v>0.44479999999999997</v>
      </c>
      <c r="AW86" s="542">
        <f t="shared" si="158"/>
        <v>6.7400000000000002E-2</v>
      </c>
      <c r="AX86" s="546">
        <f xml:space="preserve"> ROUND(  INDEX( wx!86:86, AX$16 ),  AX$17 )</f>
        <v>1.1000000000000001E-3</v>
      </c>
      <c r="AY86" s="546">
        <f xml:space="preserve"> ROUND(  INDEX( wx!86:86, AY$16 ),  AY$17 )</f>
        <v>2.0999999999999999E-3</v>
      </c>
      <c r="AZ86" s="548" t="str">
        <f t="shared" si="159"/>
        <v>M</v>
      </c>
      <c r="BA86" s="542">
        <f t="shared" si="160"/>
        <v>0.64319999999999999</v>
      </c>
      <c r="BB86" s="542">
        <f t="shared" si="161"/>
        <v>1.5E-3</v>
      </c>
      <c r="BC86" s="533">
        <f xml:space="preserve"> ROUND(  INDEX( Kx!86:86, BC$16 ),  BC$17 )</f>
        <v>12046.14</v>
      </c>
      <c r="BD86" s="533">
        <f xml:space="preserve"> ROUND(  INDEX( Kx!86:86, BD$16 ),  BD$17 )</f>
        <v>10087.4</v>
      </c>
      <c r="BE86" s="548" t="str">
        <f t="shared" si="170"/>
        <v>M</v>
      </c>
      <c r="BF86" s="542">
        <f t="shared" si="162"/>
        <v>0.64319999999999999</v>
      </c>
      <c r="BG86" s="420">
        <f t="shared" si="163"/>
        <v>11347.26</v>
      </c>
      <c r="BQ86" s="549"/>
      <c r="BR86" s="423"/>
      <c r="BS86" s="550"/>
      <c r="BT86" s="423"/>
      <c r="BU86" s="551"/>
      <c r="BV86" s="551"/>
      <c r="BW86" s="529"/>
      <c r="BX86" s="552"/>
      <c r="BY86" s="560"/>
      <c r="BZ86" s="559"/>
      <c r="CB86" s="423"/>
      <c r="CC86" s="423"/>
      <c r="CD86" s="423"/>
      <c r="CE86" s="423"/>
      <c r="CF86" s="553"/>
      <c r="CH86" s="423"/>
      <c r="CI86" s="423"/>
      <c r="CJ86" s="423"/>
      <c r="CK86" s="423"/>
      <c r="CL86" s="553"/>
      <c r="CN86" s="423"/>
      <c r="CO86" s="423"/>
      <c r="CP86" s="423"/>
      <c r="CQ86" s="423"/>
      <c r="CR86" s="553"/>
      <c r="EI86" s="553"/>
      <c r="EJ86" s="553"/>
      <c r="EK86" s="423"/>
      <c r="EL86" s="555"/>
      <c r="ES86" s="533"/>
      <c r="ET86" s="533"/>
      <c r="EU86" s="533"/>
      <c r="EV86" s="556"/>
      <c r="EY86" s="533"/>
      <c r="EZ86" s="533"/>
      <c r="FA86" s="556"/>
      <c r="FD86" s="556"/>
      <c r="FE86" s="556"/>
      <c r="FF86" s="556"/>
      <c r="FK86" s="557">
        <f t="shared" si="164"/>
        <v>86</v>
      </c>
      <c r="FL86" s="493">
        <f t="shared" si="171"/>
        <v>37.264699999999998</v>
      </c>
      <c r="FM86" s="493">
        <f t="shared" si="172"/>
        <v>6.7756999999999996</v>
      </c>
      <c r="FO86" s="427">
        <f t="shared" si="173"/>
        <v>2109526.4900000002</v>
      </c>
      <c r="FP86" s="558">
        <f t="shared" si="165"/>
        <v>60528.41</v>
      </c>
      <c r="FQ86" s="558">
        <f t="shared" si="165"/>
        <v>59958.23</v>
      </c>
      <c r="FR86" s="558">
        <f t="shared" si="165"/>
        <v>59386.65</v>
      </c>
      <c r="FS86" s="558">
        <f t="shared" si="165"/>
        <v>58815.06</v>
      </c>
      <c r="FT86" s="558">
        <f t="shared" si="165"/>
        <v>58223.76</v>
      </c>
      <c r="FU86" s="558">
        <f t="shared" si="165"/>
        <v>57615.57</v>
      </c>
      <c r="FV86" s="558">
        <f t="shared" si="165"/>
        <v>57013.01</v>
      </c>
      <c r="FW86" s="558">
        <f t="shared" si="165"/>
        <v>56406.23</v>
      </c>
      <c r="FX86" s="558">
        <f t="shared" si="165"/>
        <v>55778.33</v>
      </c>
      <c r="FY86" s="558">
        <f t="shared" si="165"/>
        <v>55125.09</v>
      </c>
      <c r="FZ86" s="558">
        <f t="shared" si="165"/>
        <v>54467.63</v>
      </c>
      <c r="GA86" s="558">
        <f t="shared" si="165"/>
        <v>53800.31</v>
      </c>
      <c r="GB86" s="558">
        <f t="shared" si="165"/>
        <v>53117.5</v>
      </c>
      <c r="GC86" s="558">
        <f t="shared" si="165"/>
        <v>52431.88</v>
      </c>
      <c r="GD86" s="558">
        <f t="shared" si="165"/>
        <v>51725.14</v>
      </c>
      <c r="GE86" s="558">
        <f t="shared" si="165"/>
        <v>51012.77</v>
      </c>
      <c r="GF86" s="558">
        <f t="shared" si="134"/>
        <v>50279.28</v>
      </c>
      <c r="GG86" s="558">
        <f t="shared" si="134"/>
        <v>49528.89</v>
      </c>
      <c r="GH86" s="558">
        <f t="shared" si="134"/>
        <v>48757.39</v>
      </c>
      <c r="GI86" s="558">
        <f t="shared" si="134"/>
        <v>47963.37</v>
      </c>
      <c r="GJ86" s="558">
        <f t="shared" si="134"/>
        <v>47145.41</v>
      </c>
      <c r="GK86" s="558">
        <f t="shared" si="134"/>
        <v>46296.47</v>
      </c>
      <c r="GL86" s="558">
        <f t="shared" si="134"/>
        <v>45416.57</v>
      </c>
      <c r="GM86" s="558">
        <f t="shared" si="134"/>
        <v>44504.28</v>
      </c>
      <c r="GN86" s="558">
        <f t="shared" si="134"/>
        <v>43555.39</v>
      </c>
      <c r="GO86" s="558">
        <f t="shared" si="134"/>
        <v>42576.94</v>
      </c>
      <c r="GP86" s="558">
        <f t="shared" si="134"/>
        <v>41564.699999999997</v>
      </c>
      <c r="GQ86" s="558">
        <f t="shared" si="134"/>
        <v>40521.480000000003</v>
      </c>
      <c r="GR86" s="558">
        <f t="shared" si="134"/>
        <v>39450.11</v>
      </c>
      <c r="GS86" s="558">
        <f t="shared" si="134"/>
        <v>38351.99</v>
      </c>
      <c r="GT86" s="558">
        <f t="shared" si="134"/>
        <v>37231.339999999997</v>
      </c>
      <c r="GU86" s="558">
        <f t="shared" si="133"/>
        <v>36083.94</v>
      </c>
      <c r="GV86" s="558">
        <f t="shared" si="133"/>
        <v>34921.06</v>
      </c>
      <c r="GW86" s="558">
        <f t="shared" si="133"/>
        <v>33737.06</v>
      </c>
      <c r="GX86" s="558">
        <f t="shared" si="133"/>
        <v>32540.39</v>
      </c>
      <c r="GY86" s="558">
        <f t="shared" si="133"/>
        <v>31331.05</v>
      </c>
      <c r="GZ86" s="558">
        <f t="shared" si="133"/>
        <v>30107.63</v>
      </c>
      <c r="HA86" s="558">
        <f t="shared" si="133"/>
        <v>28874.35</v>
      </c>
      <c r="HB86" s="558">
        <f t="shared" si="133"/>
        <v>27622.78</v>
      </c>
      <c r="HC86" s="558">
        <f t="shared" si="133"/>
        <v>26344.45</v>
      </c>
      <c r="HD86" s="558">
        <f t="shared" si="133"/>
        <v>25047.82</v>
      </c>
      <c r="HE86" s="558">
        <f t="shared" si="133"/>
        <v>23738.52</v>
      </c>
      <c r="HF86" s="558">
        <f t="shared" si="133"/>
        <v>22412.33</v>
      </c>
      <c r="HG86" s="558">
        <f t="shared" si="133"/>
        <v>21076.28</v>
      </c>
      <c r="HH86" s="558">
        <f t="shared" si="133"/>
        <v>19726.16</v>
      </c>
      <c r="HI86" s="558">
        <f t="shared" si="133"/>
        <v>18388.7</v>
      </c>
      <c r="HJ86" s="558">
        <f t="shared" si="133"/>
        <v>17039.98</v>
      </c>
      <c r="HK86" s="558">
        <f t="shared" si="166"/>
        <v>15699.71</v>
      </c>
      <c r="HL86" s="558">
        <f t="shared" si="166"/>
        <v>14369.29</v>
      </c>
      <c r="HM86" s="558">
        <f t="shared" si="166"/>
        <v>13044.51</v>
      </c>
      <c r="HN86" s="558">
        <f t="shared" si="166"/>
        <v>11953.43</v>
      </c>
      <c r="HO86" s="558">
        <f t="shared" si="166"/>
        <v>10896.13</v>
      </c>
      <c r="HP86" s="558">
        <f t="shared" si="166"/>
        <v>9883.89</v>
      </c>
      <c r="HQ86" s="558">
        <f t="shared" si="166"/>
        <v>8925.14</v>
      </c>
      <c r="HR86" s="558">
        <f t="shared" si="166"/>
        <v>7767.89</v>
      </c>
      <c r="HS86" s="558">
        <f t="shared" si="166"/>
        <v>6655.69</v>
      </c>
      <c r="HT86" s="558">
        <f t="shared" si="166"/>
        <v>5595.58</v>
      </c>
      <c r="HU86" s="558">
        <f t="shared" si="166"/>
        <v>4621.3500000000004</v>
      </c>
      <c r="HV86" s="558">
        <f t="shared" si="166"/>
        <v>3724.55</v>
      </c>
      <c r="HW86" s="558">
        <f t="shared" si="166"/>
        <v>2909.41</v>
      </c>
      <c r="HX86" s="558">
        <f t="shared" si="166"/>
        <v>2195.63</v>
      </c>
      <c r="HY86" s="558">
        <f t="shared" si="166"/>
        <v>1567.73</v>
      </c>
      <c r="HZ86" s="558">
        <f t="shared" si="166"/>
        <v>1056.68</v>
      </c>
      <c r="IA86" s="558">
        <f t="shared" si="166"/>
        <v>645.59</v>
      </c>
      <c r="IB86" s="558">
        <f t="shared" si="166"/>
        <v>338.68</v>
      </c>
      <c r="IC86" s="558">
        <f t="shared" si="132"/>
        <v>134.54</v>
      </c>
      <c r="ID86" s="558">
        <f t="shared" si="132"/>
        <v>-0.61</v>
      </c>
      <c r="IE86" s="558" t="str">
        <f t="shared" si="132"/>
        <v>.</v>
      </c>
      <c r="IF86" s="558" t="str">
        <f t="shared" si="132"/>
        <v>.</v>
      </c>
      <c r="IG86" s="558" t="str">
        <f t="shared" si="132"/>
        <v>.</v>
      </c>
      <c r="IH86" s="558" t="str">
        <f t="shared" si="132"/>
        <v>.</v>
      </c>
      <c r="II86" s="558" t="str">
        <f t="shared" si="132"/>
        <v>.</v>
      </c>
      <c r="IJ86" s="558" t="str">
        <f t="shared" si="132"/>
        <v>.</v>
      </c>
      <c r="IK86" s="558" t="str">
        <f t="shared" si="132"/>
        <v>.</v>
      </c>
      <c r="IL86" s="558" t="str">
        <f t="shared" si="132"/>
        <v>.</v>
      </c>
      <c r="IM86" s="558" t="str">
        <f t="shared" si="132"/>
        <v>.</v>
      </c>
      <c r="IN86" s="558" t="str">
        <f t="shared" si="132"/>
        <v>.</v>
      </c>
      <c r="IO86" s="558" t="str">
        <f t="shared" si="126"/>
        <v>.</v>
      </c>
      <c r="IP86" s="558" t="str">
        <f t="shared" si="126"/>
        <v>.</v>
      </c>
      <c r="IQ86" s="558" t="str">
        <f t="shared" si="126"/>
        <v>.</v>
      </c>
      <c r="IR86" s="558" t="str">
        <f t="shared" si="126"/>
        <v>.</v>
      </c>
      <c r="IS86" s="558" t="str">
        <f t="shared" si="126"/>
        <v>.</v>
      </c>
      <c r="IT86" s="558" t="str">
        <f t="shared" si="126"/>
        <v>.</v>
      </c>
      <c r="IU86" s="558" t="str">
        <f t="shared" si="126"/>
        <v>.</v>
      </c>
      <c r="IV86" s="558" t="str">
        <f t="shared" si="126"/>
        <v>.</v>
      </c>
      <c r="IW86" s="558" t="str">
        <f t="shared" si="126"/>
        <v>.</v>
      </c>
      <c r="IX86" s="558" t="str">
        <f t="shared" si="126"/>
        <v>.</v>
      </c>
      <c r="IY86" s="558" t="str">
        <f t="shared" si="126"/>
        <v>.</v>
      </c>
      <c r="IZ86" s="558" t="str">
        <f t="shared" si="126"/>
        <v>.</v>
      </c>
      <c r="JA86" s="558" t="str">
        <f t="shared" si="126"/>
        <v>.</v>
      </c>
      <c r="JB86" s="558" t="str">
        <f t="shared" si="126"/>
        <v>.</v>
      </c>
      <c r="JC86" s="558" t="str">
        <f t="shared" si="126"/>
        <v>.</v>
      </c>
      <c r="JD86" s="558" t="str">
        <f t="shared" si="126"/>
        <v>.</v>
      </c>
      <c r="JE86" s="558" t="str">
        <f t="shared" si="126"/>
        <v>.</v>
      </c>
      <c r="JF86" s="558" t="str">
        <f t="shared" si="127"/>
        <v>.</v>
      </c>
      <c r="JG86" s="558" t="str">
        <f t="shared" si="127"/>
        <v>.</v>
      </c>
      <c r="JH86" s="558" t="str">
        <f t="shared" si="128"/>
        <v>.</v>
      </c>
      <c r="JI86" s="558" t="str">
        <f t="shared" si="128"/>
        <v>.</v>
      </c>
      <c r="JJ86" s="558" t="str">
        <f t="shared" si="128"/>
        <v>.</v>
      </c>
      <c r="JK86" s="558" t="str">
        <f t="shared" si="128"/>
        <v>.</v>
      </c>
      <c r="JL86" s="558" t="str">
        <f t="shared" si="128"/>
        <v>.</v>
      </c>
    </row>
    <row r="87" spans="1:272" ht="10.199999999999999" x14ac:dyDescent="0.2">
      <c r="A87" s="534">
        <f xml:space="preserve"> Basis!A87</f>
        <v>87</v>
      </c>
      <c r="F87" s="536">
        <f xml:space="preserve"> ROUND(    IF( $A$15=BE_MF_,   AW87,   INDEX( qx!87:87, F$16 ) ),    F$17    )</f>
        <v>7.8E-2</v>
      </c>
      <c r="G87" s="536">
        <f xml:space="preserve"> ROUND(    IF( $A$15=BE_MF_,   BB87,   INDEX( wx!87:87, G$16 ) ),    G$17    )</f>
        <v>1.4E-3</v>
      </c>
      <c r="H87" s="537">
        <f xml:space="preserve"> ROUND(    IF( $A$15=BE_MF_,   BG87,   INDEX( Kx!87:87, H$16 ) ),    H$17    )</f>
        <v>11437.67</v>
      </c>
      <c r="I87" s="538">
        <f t="shared" si="167"/>
        <v>11437.67</v>
      </c>
      <c r="J87" s="539">
        <f t="shared" si="135"/>
        <v>5.5049999999999999</v>
      </c>
      <c r="K87" s="540">
        <f t="shared" si="168"/>
        <v>0</v>
      </c>
      <c r="L87" s="541">
        <f t="shared" si="71"/>
        <v>0</v>
      </c>
      <c r="M87" s="541">
        <f t="shared" si="71"/>
        <v>8.5999999999999993E-2</v>
      </c>
      <c r="O87" s="542" t="b">
        <f t="shared" si="169"/>
        <v>1</v>
      </c>
      <c r="P87" s="493">
        <f t="shared" si="136"/>
        <v>7.9399999999999998E-2</v>
      </c>
      <c r="Q87" s="493">
        <f t="shared" si="137"/>
        <v>0.92059999999999997</v>
      </c>
      <c r="R87" s="543">
        <f t="shared" si="138"/>
        <v>287848</v>
      </c>
      <c r="S87" s="544">
        <f t="shared" si="139"/>
        <v>0.97560975599999999</v>
      </c>
      <c r="T87" s="423">
        <f t="shared" si="140"/>
        <v>33588.21</v>
      </c>
      <c r="U87" s="423">
        <f xml:space="preserve"> IF( $O87,    ROUND(  SUM( T87:T$120), U$17 ),  LEER  )</f>
        <v>213561.02</v>
      </c>
      <c r="V87" s="493">
        <f t="shared" si="141"/>
        <v>6.3582000000000001</v>
      </c>
      <c r="W87" s="493">
        <f t="shared" si="142"/>
        <v>184903.1</v>
      </c>
      <c r="X87" s="493">
        <f xml:space="preserve"> IF( $O87,    ROUND(  SUM( W87:W$120), X$17 ),  LEER  )</f>
        <v>1175962.46</v>
      </c>
      <c r="Y87" s="493">
        <f t="shared" si="143"/>
        <v>35.011200000000002</v>
      </c>
      <c r="Z87" s="493">
        <f t="shared" si="144"/>
        <v>5.5065</v>
      </c>
      <c r="AA87" s="493">
        <f t="shared" si="145"/>
        <v>1</v>
      </c>
      <c r="AB87" s="493">
        <f t="shared" si="146"/>
        <v>2.3494000000000002</v>
      </c>
      <c r="AC87" s="545">
        <f t="shared" si="147"/>
        <v>0.32679999999999998</v>
      </c>
      <c r="AD87" s="493">
        <f t="shared" si="148"/>
        <v>5.5065</v>
      </c>
      <c r="AE87" s="493">
        <f t="shared" si="149"/>
        <v>6.3822000000000001</v>
      </c>
      <c r="AF87" s="493">
        <f t="shared" si="150"/>
        <v>6.3822000000000001</v>
      </c>
      <c r="AG87" s="493" t="str">
        <f t="shared" si="151"/>
        <v>.</v>
      </c>
      <c r="AH87" s="493" t="str">
        <f t="shared" si="152"/>
        <v>.</v>
      </c>
      <c r="AI87" s="423">
        <f t="shared" si="153"/>
        <v>2077.79</v>
      </c>
      <c r="AJ87" s="423">
        <f t="shared" si="154"/>
        <v>13260.87</v>
      </c>
      <c r="AK87" s="423">
        <f t="shared" si="155"/>
        <v>1105.07</v>
      </c>
      <c r="AN87" s="423">
        <f t="shared" si="129"/>
        <v>48251.4</v>
      </c>
      <c r="AO87" s="423">
        <f t="shared" si="129"/>
        <v>47958.11</v>
      </c>
      <c r="AR87" s="546">
        <f xml:space="preserve"> ROUND(  INDEX( Kx!87:87, AR$16 ),  AR$17 )</f>
        <v>0.54530000000000001</v>
      </c>
      <c r="AS87" s="547">
        <f xml:space="preserve"> ROUND(  INDEX( qx!87:87, AS$16 ),  AS$17 )</f>
        <v>9.11E-2</v>
      </c>
      <c r="AT87" s="547">
        <f xml:space="preserve"> ROUND(  INDEX( qx!87:87, AT$16 ),  AT$17 )</f>
        <v>6.7599999999999993E-2</v>
      </c>
      <c r="AU87" s="548" t="str">
        <f t="shared" si="156"/>
        <v>F</v>
      </c>
      <c r="AV87" s="542">
        <f t="shared" si="157"/>
        <v>0.44429999999999997</v>
      </c>
      <c r="AW87" s="542">
        <f t="shared" si="158"/>
        <v>7.8E-2</v>
      </c>
      <c r="AX87" s="546">
        <f xml:space="preserve"> ROUND(  INDEX( wx!87:87, AX$16 ),  AX$17 )</f>
        <v>1E-3</v>
      </c>
      <c r="AY87" s="546">
        <f xml:space="preserve"> ROUND(  INDEX( wx!87:87, AY$16 ),  AY$17 )</f>
        <v>2.0999999999999999E-3</v>
      </c>
      <c r="AZ87" s="548" t="str">
        <f t="shared" si="159"/>
        <v>M</v>
      </c>
      <c r="BA87" s="542">
        <f t="shared" si="160"/>
        <v>0.64270000000000005</v>
      </c>
      <c r="BB87" s="542">
        <f t="shared" si="161"/>
        <v>1.4E-3</v>
      </c>
      <c r="BC87" s="533">
        <f xml:space="preserve"> ROUND(  INDEX( Kx!87:87, BC$16 ),  BC$17 )</f>
        <v>12169.91</v>
      </c>
      <c r="BD87" s="533">
        <f xml:space="preserve"> ROUND(  INDEX( Kx!87:87, BD$16 ),  BD$17 )</f>
        <v>10120.549999999999</v>
      </c>
      <c r="BE87" s="548" t="str">
        <f t="shared" si="170"/>
        <v>M</v>
      </c>
      <c r="BF87" s="542">
        <f t="shared" si="162"/>
        <v>0.64270000000000005</v>
      </c>
      <c r="BG87" s="420">
        <f t="shared" si="163"/>
        <v>11437.67</v>
      </c>
      <c r="BQ87" s="549"/>
      <c r="BR87" s="423"/>
      <c r="BS87" s="550"/>
      <c r="BT87" s="423"/>
      <c r="BU87" s="551"/>
      <c r="BV87" s="551"/>
      <c r="BW87" s="529"/>
      <c r="BX87" s="552"/>
      <c r="BY87" s="560"/>
      <c r="BZ87" s="559"/>
      <c r="CB87" s="423"/>
      <c r="CC87" s="423"/>
      <c r="CD87" s="423"/>
      <c r="CE87" s="423"/>
      <c r="CF87" s="553"/>
      <c r="CH87" s="423"/>
      <c r="CI87" s="423"/>
      <c r="CJ87" s="423"/>
      <c r="CK87" s="423"/>
      <c r="CL87" s="553"/>
      <c r="CN87" s="423"/>
      <c r="CO87" s="423"/>
      <c r="CP87" s="423"/>
      <c r="CQ87" s="423"/>
      <c r="CR87" s="553"/>
      <c r="EI87" s="553"/>
      <c r="EJ87" s="553"/>
      <c r="EK87" s="423"/>
      <c r="EL87" s="555"/>
      <c r="ES87" s="533"/>
      <c r="ET87" s="533"/>
      <c r="EU87" s="533"/>
      <c r="EV87" s="556"/>
      <c r="EY87" s="533"/>
      <c r="EZ87" s="533"/>
      <c r="FA87" s="556"/>
      <c r="FD87" s="556"/>
      <c r="FE87" s="556"/>
      <c r="FF87" s="556"/>
      <c r="FK87" s="557">
        <f t="shared" si="164"/>
        <v>87</v>
      </c>
      <c r="FL87" s="493">
        <f t="shared" si="171"/>
        <v>35.011200000000002</v>
      </c>
      <c r="FM87" s="493">
        <f t="shared" si="172"/>
        <v>6.3582000000000001</v>
      </c>
      <c r="FO87" s="427">
        <f t="shared" si="173"/>
        <v>1985479.9499999995</v>
      </c>
      <c r="FP87" s="558">
        <f t="shared" si="165"/>
        <v>56887.43</v>
      </c>
      <c r="FQ87" s="558">
        <f t="shared" si="165"/>
        <v>56352.39</v>
      </c>
      <c r="FR87" s="558">
        <f t="shared" si="165"/>
        <v>55816.02</v>
      </c>
      <c r="FS87" s="558">
        <f t="shared" si="165"/>
        <v>55279.65</v>
      </c>
      <c r="FT87" s="558">
        <f t="shared" si="165"/>
        <v>54724.79</v>
      </c>
      <c r="FU87" s="558">
        <f t="shared" si="165"/>
        <v>54154.07</v>
      </c>
      <c r="FV87" s="558">
        <f t="shared" si="165"/>
        <v>53588.639999999999</v>
      </c>
      <c r="FW87" s="558">
        <f t="shared" si="165"/>
        <v>53019.25</v>
      </c>
      <c r="FX87" s="558">
        <f t="shared" si="165"/>
        <v>52430.04</v>
      </c>
      <c r="FY87" s="558">
        <f t="shared" si="165"/>
        <v>51817.05</v>
      </c>
      <c r="FZ87" s="558">
        <f t="shared" si="165"/>
        <v>51200.09</v>
      </c>
      <c r="GA87" s="558">
        <f t="shared" si="165"/>
        <v>50573.89</v>
      </c>
      <c r="GB87" s="558">
        <f t="shared" si="165"/>
        <v>49933.16</v>
      </c>
      <c r="GC87" s="558">
        <f t="shared" si="165"/>
        <v>49289.78</v>
      </c>
      <c r="GD87" s="558">
        <f t="shared" si="165"/>
        <v>48626.59</v>
      </c>
      <c r="GE87" s="558">
        <f t="shared" si="165"/>
        <v>47958.11</v>
      </c>
      <c r="GF87" s="558">
        <f t="shared" si="134"/>
        <v>47269.82</v>
      </c>
      <c r="GG87" s="558">
        <f t="shared" si="134"/>
        <v>46565.67</v>
      </c>
      <c r="GH87" s="558">
        <f t="shared" si="134"/>
        <v>45841.71</v>
      </c>
      <c r="GI87" s="558">
        <f t="shared" si="134"/>
        <v>45096.61</v>
      </c>
      <c r="GJ87" s="558">
        <f t="shared" si="134"/>
        <v>44329.05</v>
      </c>
      <c r="GK87" s="558">
        <f t="shared" si="134"/>
        <v>43532.43</v>
      </c>
      <c r="GL87" s="558">
        <f t="shared" si="134"/>
        <v>42706.74</v>
      </c>
      <c r="GM87" s="558">
        <f t="shared" si="134"/>
        <v>41850.67</v>
      </c>
      <c r="GN87" s="558">
        <f t="shared" si="134"/>
        <v>40960.239999999998</v>
      </c>
      <c r="GO87" s="558">
        <f t="shared" si="134"/>
        <v>40042.080000000002</v>
      </c>
      <c r="GP87" s="558">
        <f t="shared" si="134"/>
        <v>39092.21</v>
      </c>
      <c r="GQ87" s="558">
        <f t="shared" si="134"/>
        <v>38113.269999999997</v>
      </c>
      <c r="GR87" s="558">
        <f t="shared" si="134"/>
        <v>37107.919999999998</v>
      </c>
      <c r="GS87" s="558">
        <f t="shared" si="134"/>
        <v>36077.46</v>
      </c>
      <c r="GT87" s="558">
        <f t="shared" si="134"/>
        <v>35025.86</v>
      </c>
      <c r="GU87" s="558">
        <f t="shared" si="133"/>
        <v>33949.160000000003</v>
      </c>
      <c r="GV87" s="558">
        <f t="shared" si="133"/>
        <v>32857.94</v>
      </c>
      <c r="GW87" s="558">
        <f t="shared" si="133"/>
        <v>31746.89</v>
      </c>
      <c r="GX87" s="558">
        <f t="shared" si="133"/>
        <v>30623.95</v>
      </c>
      <c r="GY87" s="558">
        <f t="shared" si="133"/>
        <v>29489.13</v>
      </c>
      <c r="GZ87" s="558">
        <f t="shared" si="133"/>
        <v>28341.09</v>
      </c>
      <c r="HA87" s="558">
        <f t="shared" si="133"/>
        <v>27183.81</v>
      </c>
      <c r="HB87" s="558">
        <f t="shared" si="133"/>
        <v>26009.35</v>
      </c>
      <c r="HC87" s="558">
        <f t="shared" si="133"/>
        <v>24809.79</v>
      </c>
      <c r="HD87" s="558">
        <f t="shared" si="133"/>
        <v>23593.06</v>
      </c>
      <c r="HE87" s="558">
        <f t="shared" si="133"/>
        <v>22364.43</v>
      </c>
      <c r="HF87" s="558">
        <f t="shared" si="133"/>
        <v>21119.96</v>
      </c>
      <c r="HG87" s="558">
        <f t="shared" si="133"/>
        <v>19866.23</v>
      </c>
      <c r="HH87" s="558">
        <f t="shared" si="133"/>
        <v>18599.3</v>
      </c>
      <c r="HI87" s="558">
        <f t="shared" si="133"/>
        <v>17344.25</v>
      </c>
      <c r="HJ87" s="558">
        <f t="shared" si="133"/>
        <v>16078.64</v>
      </c>
      <c r="HK87" s="558">
        <f t="shared" si="166"/>
        <v>14820.95</v>
      </c>
      <c r="HL87" s="558">
        <f t="shared" si="166"/>
        <v>13572.51</v>
      </c>
      <c r="HM87" s="558">
        <f t="shared" si="166"/>
        <v>12329.36</v>
      </c>
      <c r="HN87" s="558">
        <f t="shared" si="166"/>
        <v>11305.5</v>
      </c>
      <c r="HO87" s="558">
        <f t="shared" si="166"/>
        <v>10313.36</v>
      </c>
      <c r="HP87" s="558">
        <f t="shared" si="166"/>
        <v>9363.49</v>
      </c>
      <c r="HQ87" s="558">
        <f t="shared" si="166"/>
        <v>8463.82</v>
      </c>
      <c r="HR87" s="558">
        <f t="shared" si="166"/>
        <v>7377.87</v>
      </c>
      <c r="HS87" s="558">
        <f t="shared" si="166"/>
        <v>6334.2</v>
      </c>
      <c r="HT87" s="558">
        <f t="shared" si="166"/>
        <v>5339.41</v>
      </c>
      <c r="HU87" s="558">
        <f t="shared" si="166"/>
        <v>4425.21</v>
      </c>
      <c r="HV87" s="558">
        <f t="shared" si="166"/>
        <v>3583.67</v>
      </c>
      <c r="HW87" s="558">
        <f t="shared" si="166"/>
        <v>2818.75</v>
      </c>
      <c r="HX87" s="558">
        <f t="shared" si="166"/>
        <v>2148.96</v>
      </c>
      <c r="HY87" s="558">
        <f t="shared" si="166"/>
        <v>1559.75</v>
      </c>
      <c r="HZ87" s="558">
        <f t="shared" si="166"/>
        <v>1080.19</v>
      </c>
      <c r="IA87" s="558">
        <f t="shared" si="166"/>
        <v>694.42</v>
      </c>
      <c r="IB87" s="558">
        <f t="shared" si="166"/>
        <v>406.42</v>
      </c>
      <c r="IC87" s="558">
        <f t="shared" si="132"/>
        <v>214.87</v>
      </c>
      <c r="ID87" s="558">
        <f t="shared" si="132"/>
        <v>88.04</v>
      </c>
      <c r="IE87" s="558">
        <f t="shared" si="132"/>
        <v>-0.47</v>
      </c>
      <c r="IF87" s="558" t="str">
        <f t="shared" si="132"/>
        <v>.</v>
      </c>
      <c r="IG87" s="558" t="str">
        <f t="shared" si="132"/>
        <v>.</v>
      </c>
      <c r="IH87" s="558" t="str">
        <f t="shared" si="132"/>
        <v>.</v>
      </c>
      <c r="II87" s="558" t="str">
        <f t="shared" si="132"/>
        <v>.</v>
      </c>
      <c r="IJ87" s="558" t="str">
        <f t="shared" si="132"/>
        <v>.</v>
      </c>
      <c r="IK87" s="558" t="str">
        <f t="shared" si="132"/>
        <v>.</v>
      </c>
      <c r="IL87" s="558" t="str">
        <f t="shared" si="132"/>
        <v>.</v>
      </c>
      <c r="IM87" s="558" t="str">
        <f t="shared" si="132"/>
        <v>.</v>
      </c>
      <c r="IN87" s="558" t="str">
        <f t="shared" si="132"/>
        <v>.</v>
      </c>
      <c r="IO87" s="558" t="str">
        <f t="shared" si="126"/>
        <v>.</v>
      </c>
      <c r="IP87" s="558" t="str">
        <f t="shared" si="126"/>
        <v>.</v>
      </c>
      <c r="IQ87" s="558" t="str">
        <f t="shared" si="126"/>
        <v>.</v>
      </c>
      <c r="IR87" s="558" t="str">
        <f t="shared" si="126"/>
        <v>.</v>
      </c>
      <c r="IS87" s="558" t="str">
        <f t="shared" si="126"/>
        <v>.</v>
      </c>
      <c r="IT87" s="558" t="str">
        <f t="shared" si="126"/>
        <v>.</v>
      </c>
      <c r="IU87" s="558" t="str">
        <f t="shared" si="126"/>
        <v>.</v>
      </c>
      <c r="IV87" s="558" t="str">
        <f t="shared" si="126"/>
        <v>.</v>
      </c>
      <c r="IW87" s="558" t="str">
        <f t="shared" si="126"/>
        <v>.</v>
      </c>
      <c r="IX87" s="558" t="str">
        <f t="shared" si="126"/>
        <v>.</v>
      </c>
      <c r="IY87" s="558" t="str">
        <f t="shared" si="126"/>
        <v>.</v>
      </c>
      <c r="IZ87" s="558" t="str">
        <f t="shared" si="126"/>
        <v>.</v>
      </c>
      <c r="JA87" s="558" t="str">
        <f t="shared" si="126"/>
        <v>.</v>
      </c>
      <c r="JB87" s="558" t="str">
        <f t="shared" si="126"/>
        <v>.</v>
      </c>
      <c r="JC87" s="558" t="str">
        <f t="shared" si="126"/>
        <v>.</v>
      </c>
      <c r="JD87" s="558" t="str">
        <f t="shared" si="126"/>
        <v>.</v>
      </c>
      <c r="JE87" s="558" t="str">
        <f t="shared" si="126"/>
        <v>.</v>
      </c>
      <c r="JF87" s="558" t="str">
        <f t="shared" si="127"/>
        <v>.</v>
      </c>
      <c r="JG87" s="558" t="str">
        <f t="shared" si="127"/>
        <v>.</v>
      </c>
      <c r="JH87" s="558" t="str">
        <f t="shared" si="128"/>
        <v>.</v>
      </c>
      <c r="JI87" s="558" t="str">
        <f t="shared" si="128"/>
        <v>.</v>
      </c>
      <c r="JJ87" s="558" t="str">
        <f t="shared" si="128"/>
        <v>.</v>
      </c>
      <c r="JK87" s="558" t="str">
        <f t="shared" si="128"/>
        <v>.</v>
      </c>
      <c r="JL87" s="558" t="str">
        <f t="shared" si="128"/>
        <v>.</v>
      </c>
    </row>
    <row r="88" spans="1:272" ht="10.199999999999999" x14ac:dyDescent="0.2">
      <c r="A88" s="534">
        <f xml:space="preserve"> Basis!A88</f>
        <v>88</v>
      </c>
      <c r="F88" s="536">
        <f xml:space="preserve"> ROUND(    IF( $A$15=BE_MF_,   AW88,   INDEX( qx!88:88, F$16 ) ),    F$17    )</f>
        <v>8.8599999999999998E-2</v>
      </c>
      <c r="G88" s="536">
        <f xml:space="preserve"> ROUND(    IF( $A$15=BE_MF_,   BB88,   INDEX( wx!88:88, G$16 ) ),    G$17    )</f>
        <v>1.4E-3</v>
      </c>
      <c r="H88" s="537">
        <f xml:space="preserve"> ROUND(    IF( $A$15=BE_MF_,   BG88,   INDEX( Kx!88:88, H$16 ) ),    H$17    )</f>
        <v>11400.96</v>
      </c>
      <c r="I88" s="538">
        <f t="shared" si="167"/>
        <v>11437.67</v>
      </c>
      <c r="J88" s="539">
        <f t="shared" si="135"/>
        <v>5.5049999999999999</v>
      </c>
      <c r="K88" s="540">
        <f t="shared" si="168"/>
        <v>0</v>
      </c>
      <c r="L88" s="541">
        <f t="shared" si="71"/>
        <v>0</v>
      </c>
      <c r="M88" s="541">
        <f t="shared" si="71"/>
        <v>8.5999999999999993E-2</v>
      </c>
      <c r="O88" s="542" t="b">
        <f t="shared" si="169"/>
        <v>1</v>
      </c>
      <c r="P88" s="493">
        <f t="shared" si="136"/>
        <v>0.09</v>
      </c>
      <c r="Q88" s="493">
        <f t="shared" si="137"/>
        <v>0.91</v>
      </c>
      <c r="R88" s="543">
        <f t="shared" si="138"/>
        <v>264992</v>
      </c>
      <c r="S88" s="544">
        <f t="shared" si="139"/>
        <v>0.97560975599999999</v>
      </c>
      <c r="T88" s="423">
        <f t="shared" si="140"/>
        <v>30167.03</v>
      </c>
      <c r="U88" s="423">
        <f xml:space="preserve"> IF( $O88,    ROUND(  SUM( T88:T$120), U$17 ),  LEER  )</f>
        <v>179972.81</v>
      </c>
      <c r="V88" s="493">
        <f t="shared" si="141"/>
        <v>5.9659000000000004</v>
      </c>
      <c r="W88" s="493">
        <f t="shared" si="142"/>
        <v>166069.5</v>
      </c>
      <c r="X88" s="493">
        <f xml:space="preserve"> IF( $O88,    ROUND(  SUM( W88:W$120), X$17 ),  LEER  )</f>
        <v>991059.36</v>
      </c>
      <c r="Y88" s="493">
        <f t="shared" si="143"/>
        <v>32.852400000000003</v>
      </c>
      <c r="Z88" s="493">
        <f t="shared" si="144"/>
        <v>5.5067000000000004</v>
      </c>
      <c r="AA88" s="493">
        <f t="shared" si="145"/>
        <v>1</v>
      </c>
      <c r="AB88" s="493">
        <f t="shared" si="146"/>
        <v>2.3494000000000002</v>
      </c>
      <c r="AC88" s="545">
        <f t="shared" si="147"/>
        <v>0.32679999999999998</v>
      </c>
      <c r="AD88" s="493">
        <f t="shared" si="148"/>
        <v>5.5067000000000004</v>
      </c>
      <c r="AE88" s="493">
        <f t="shared" si="149"/>
        <v>6.3823999999999996</v>
      </c>
      <c r="AF88" s="493">
        <f t="shared" si="150"/>
        <v>6.3823999999999996</v>
      </c>
      <c r="AG88" s="493" t="str">
        <f t="shared" si="151"/>
        <v>.</v>
      </c>
      <c r="AH88" s="493" t="str">
        <f t="shared" si="152"/>
        <v>.</v>
      </c>
      <c r="AI88" s="423">
        <f t="shared" si="153"/>
        <v>2077.79</v>
      </c>
      <c r="AJ88" s="423">
        <f t="shared" si="154"/>
        <v>13261.29</v>
      </c>
      <c r="AK88" s="423">
        <f t="shared" si="155"/>
        <v>1105.1099999999999</v>
      </c>
      <c r="AN88" s="423">
        <f t="shared" si="129"/>
        <v>45277.17</v>
      </c>
      <c r="AO88" s="423">
        <f t="shared" si="129"/>
        <v>45001.98</v>
      </c>
      <c r="AR88" s="546">
        <f xml:space="preserve"> ROUND(  INDEX( Kx!88:88, AR$16 ),  AR$17 )</f>
        <v>0.49080000000000001</v>
      </c>
      <c r="AS88" s="547">
        <f xml:space="preserve"> ROUND(  INDEX( qx!88:88, AS$16 ),  AS$17 )</f>
        <v>0.1041</v>
      </c>
      <c r="AT88" s="547">
        <f xml:space="preserve"> ROUND(  INDEX( qx!88:88, AT$16 ),  AT$17 )</f>
        <v>7.8700000000000006E-2</v>
      </c>
      <c r="AU88" s="548" t="str">
        <f t="shared" si="156"/>
        <v>F</v>
      </c>
      <c r="AV88" s="542">
        <f t="shared" si="157"/>
        <v>0.39119999999999999</v>
      </c>
      <c r="AW88" s="542">
        <f t="shared" si="158"/>
        <v>8.8599999999999998E-2</v>
      </c>
      <c r="AX88" s="546">
        <f xml:space="preserve"> ROUND(  INDEX( wx!88:88, AX$16 ),  AX$17 )</f>
        <v>8.9999999999999998E-4</v>
      </c>
      <c r="AY88" s="546">
        <f xml:space="preserve"> ROUND(  INDEX( wx!88:88, AY$16 ),  AY$17 )</f>
        <v>2.0999999999999999E-3</v>
      </c>
      <c r="AZ88" s="548" t="str">
        <f t="shared" si="159"/>
        <v>M</v>
      </c>
      <c r="BA88" s="542">
        <f t="shared" si="160"/>
        <v>0.59109999999999996</v>
      </c>
      <c r="BB88" s="542">
        <f t="shared" si="161"/>
        <v>1.4E-3</v>
      </c>
      <c r="BC88" s="533">
        <f xml:space="preserve"> ROUND(  INDEX( Kx!88:88, BC$16 ),  BC$17 )</f>
        <v>12277.72</v>
      </c>
      <c r="BD88" s="533">
        <f xml:space="preserve"> ROUND(  INDEX( Kx!88:88, BD$16 ),  BD$17 )</f>
        <v>10133.52</v>
      </c>
      <c r="BE88" s="548" t="str">
        <f t="shared" si="170"/>
        <v>M</v>
      </c>
      <c r="BF88" s="542">
        <f t="shared" si="162"/>
        <v>0.59109999999999996</v>
      </c>
      <c r="BG88" s="420">
        <f t="shared" si="163"/>
        <v>11400.96</v>
      </c>
      <c r="BQ88" s="549"/>
      <c r="BR88" s="423"/>
      <c r="BS88" s="550"/>
      <c r="BT88" s="423"/>
      <c r="BU88" s="551"/>
      <c r="BV88" s="551"/>
      <c r="BW88" s="529"/>
      <c r="BX88" s="552"/>
      <c r="BY88" s="560"/>
      <c r="BZ88" s="559"/>
      <c r="CB88" s="423"/>
      <c r="CC88" s="423"/>
      <c r="CD88" s="423"/>
      <c r="CE88" s="423"/>
      <c r="CF88" s="553"/>
      <c r="CH88" s="423"/>
      <c r="CI88" s="423"/>
      <c r="CJ88" s="423"/>
      <c r="CK88" s="423"/>
      <c r="CL88" s="553"/>
      <c r="CN88" s="423"/>
      <c r="CO88" s="423"/>
      <c r="CP88" s="423"/>
      <c r="CQ88" s="423"/>
      <c r="CR88" s="553"/>
      <c r="EI88" s="553"/>
      <c r="EJ88" s="553"/>
      <c r="EK88" s="423"/>
      <c r="EL88" s="555"/>
      <c r="ES88" s="533"/>
      <c r="ET88" s="533"/>
      <c r="EU88" s="533"/>
      <c r="EV88" s="556"/>
      <c r="EY88" s="533"/>
      <c r="EZ88" s="533"/>
      <c r="FA88" s="556"/>
      <c r="FD88" s="556"/>
      <c r="FE88" s="556"/>
      <c r="FF88" s="556"/>
      <c r="FK88" s="557">
        <f t="shared" si="164"/>
        <v>88</v>
      </c>
      <c r="FL88" s="493">
        <f t="shared" si="171"/>
        <v>32.852400000000003</v>
      </c>
      <c r="FM88" s="493">
        <f t="shared" si="172"/>
        <v>5.9659000000000004</v>
      </c>
      <c r="FO88" s="427">
        <f t="shared" si="173"/>
        <v>1863171.9299999997</v>
      </c>
      <c r="FP88" s="558">
        <f t="shared" si="165"/>
        <v>53380.37</v>
      </c>
      <c r="FQ88" s="558">
        <f t="shared" si="165"/>
        <v>52878.33</v>
      </c>
      <c r="FR88" s="558">
        <f t="shared" si="165"/>
        <v>52375.06</v>
      </c>
      <c r="FS88" s="558">
        <f t="shared" si="165"/>
        <v>51871.79</v>
      </c>
      <c r="FT88" s="558">
        <f t="shared" si="165"/>
        <v>51351.16</v>
      </c>
      <c r="FU88" s="558">
        <f t="shared" si="165"/>
        <v>50815.66</v>
      </c>
      <c r="FV88" s="558">
        <f t="shared" si="165"/>
        <v>50285.11</v>
      </c>
      <c r="FW88" s="558">
        <f t="shared" si="165"/>
        <v>49750.85</v>
      </c>
      <c r="FX88" s="558">
        <f t="shared" si="165"/>
        <v>49197.99</v>
      </c>
      <c r="FY88" s="558">
        <f t="shared" si="165"/>
        <v>48622.82</v>
      </c>
      <c r="FZ88" s="558">
        <f t="shared" si="165"/>
        <v>48043.94</v>
      </c>
      <c r="GA88" s="558">
        <f t="shared" si="165"/>
        <v>47456.37</v>
      </c>
      <c r="GB88" s="558">
        <f t="shared" si="165"/>
        <v>46855.17</v>
      </c>
      <c r="GC88" s="558">
        <f t="shared" si="165"/>
        <v>46251.49</v>
      </c>
      <c r="GD88" s="558">
        <f t="shared" si="165"/>
        <v>45629.22</v>
      </c>
      <c r="GE88" s="558">
        <f t="shared" si="165"/>
        <v>45001.98</v>
      </c>
      <c r="GF88" s="558">
        <f t="shared" si="134"/>
        <v>44356.160000000003</v>
      </c>
      <c r="GG88" s="558">
        <f t="shared" si="134"/>
        <v>43695.46</v>
      </c>
      <c r="GH88" s="558">
        <f t="shared" si="134"/>
        <v>43016.160000000003</v>
      </c>
      <c r="GI88" s="558">
        <f t="shared" si="134"/>
        <v>42317.04</v>
      </c>
      <c r="GJ88" s="558">
        <f t="shared" si="134"/>
        <v>41596.83</v>
      </c>
      <c r="GK88" s="558">
        <f t="shared" si="134"/>
        <v>40849.360000000001</v>
      </c>
      <c r="GL88" s="558">
        <f t="shared" si="134"/>
        <v>40074.620000000003</v>
      </c>
      <c r="GM88" s="558">
        <f t="shared" si="134"/>
        <v>39271.370000000003</v>
      </c>
      <c r="GN88" s="558">
        <f t="shared" si="134"/>
        <v>38435.879999999997</v>
      </c>
      <c r="GO88" s="558">
        <f t="shared" si="134"/>
        <v>37574.370000000003</v>
      </c>
      <c r="GP88" s="558">
        <f t="shared" si="134"/>
        <v>36683.1</v>
      </c>
      <c r="GQ88" s="558">
        <f t="shared" si="134"/>
        <v>35764.57</v>
      </c>
      <c r="GR88" s="558">
        <f t="shared" si="134"/>
        <v>34821.24</v>
      </c>
      <c r="GS88" s="558">
        <f t="shared" si="134"/>
        <v>33854.36</v>
      </c>
      <c r="GT88" s="558">
        <f t="shared" si="134"/>
        <v>32867.65</v>
      </c>
      <c r="GU88" s="558">
        <f t="shared" si="133"/>
        <v>31857.39</v>
      </c>
      <c r="GV88" s="558">
        <f t="shared" si="133"/>
        <v>30833.49</v>
      </c>
      <c r="GW88" s="558">
        <f t="shared" si="133"/>
        <v>29790.99</v>
      </c>
      <c r="GX88" s="558">
        <f t="shared" si="133"/>
        <v>28737.34</v>
      </c>
      <c r="GY88" s="558">
        <f t="shared" si="133"/>
        <v>27672.53</v>
      </c>
      <c r="GZ88" s="558">
        <f t="shared" si="133"/>
        <v>26595.33</v>
      </c>
      <c r="HA88" s="558">
        <f t="shared" si="133"/>
        <v>25509.45</v>
      </c>
      <c r="HB88" s="558">
        <f t="shared" si="133"/>
        <v>24407.46</v>
      </c>
      <c r="HC88" s="558">
        <f t="shared" si="133"/>
        <v>23281.91</v>
      </c>
      <c r="HD88" s="558">
        <f t="shared" si="133"/>
        <v>22140.25</v>
      </c>
      <c r="HE88" s="558">
        <f t="shared" si="133"/>
        <v>20987.43</v>
      </c>
      <c r="HF88" s="558">
        <f t="shared" si="133"/>
        <v>19819.740000000002</v>
      </c>
      <c r="HG88" s="558">
        <f t="shared" si="133"/>
        <v>18643.37</v>
      </c>
      <c r="HH88" s="558">
        <f t="shared" si="133"/>
        <v>17454.599999999999</v>
      </c>
      <c r="HI88" s="558">
        <f t="shared" si="133"/>
        <v>16276.99</v>
      </c>
      <c r="HJ88" s="558">
        <f t="shared" si="133"/>
        <v>15089.47</v>
      </c>
      <c r="HK88" s="558">
        <f t="shared" si="166"/>
        <v>13909.38</v>
      </c>
      <c r="HL88" s="558">
        <f t="shared" si="166"/>
        <v>12737.97</v>
      </c>
      <c r="HM88" s="558">
        <f t="shared" si="166"/>
        <v>11571.52</v>
      </c>
      <c r="HN88" s="558">
        <f t="shared" si="166"/>
        <v>10610.83</v>
      </c>
      <c r="HO88" s="558">
        <f t="shared" si="166"/>
        <v>9679.9</v>
      </c>
      <c r="HP88" s="558">
        <f t="shared" si="166"/>
        <v>8788.64</v>
      </c>
      <c r="HQ88" s="558">
        <f t="shared" si="166"/>
        <v>7944.48</v>
      </c>
      <c r="HR88" s="558">
        <f t="shared" si="166"/>
        <v>6925.54</v>
      </c>
      <c r="HS88" s="558">
        <f t="shared" si="166"/>
        <v>5946.26</v>
      </c>
      <c r="HT88" s="558">
        <f t="shared" si="166"/>
        <v>5012.8500000000004</v>
      </c>
      <c r="HU88" s="558">
        <f t="shared" si="166"/>
        <v>4155.0600000000004</v>
      </c>
      <c r="HV88" s="558">
        <f t="shared" si="166"/>
        <v>3365.44</v>
      </c>
      <c r="HW88" s="558">
        <f t="shared" si="166"/>
        <v>2647.72</v>
      </c>
      <c r="HX88" s="558">
        <f t="shared" si="166"/>
        <v>2019.25</v>
      </c>
      <c r="HY88" s="558">
        <f t="shared" si="166"/>
        <v>1466.39</v>
      </c>
      <c r="HZ88" s="558">
        <f t="shared" si="166"/>
        <v>1016.42</v>
      </c>
      <c r="IA88" s="558">
        <f t="shared" si="166"/>
        <v>654.46</v>
      </c>
      <c r="IB88" s="558">
        <f t="shared" si="166"/>
        <v>384.23</v>
      </c>
      <c r="IC88" s="558">
        <f t="shared" si="132"/>
        <v>204.49</v>
      </c>
      <c r="ID88" s="558">
        <f t="shared" si="132"/>
        <v>85.49</v>
      </c>
      <c r="IE88" s="558">
        <f t="shared" si="132"/>
        <v>2.4300000000000002</v>
      </c>
      <c r="IF88" s="558">
        <f t="shared" si="132"/>
        <v>-0.04</v>
      </c>
      <c r="IG88" s="558" t="str">
        <f t="shared" si="132"/>
        <v>.</v>
      </c>
      <c r="IH88" s="558" t="str">
        <f t="shared" si="132"/>
        <v>.</v>
      </c>
      <c r="II88" s="558" t="str">
        <f t="shared" si="132"/>
        <v>.</v>
      </c>
      <c r="IJ88" s="558" t="str">
        <f t="shared" si="132"/>
        <v>.</v>
      </c>
      <c r="IK88" s="558" t="str">
        <f t="shared" si="132"/>
        <v>.</v>
      </c>
      <c r="IL88" s="558" t="str">
        <f t="shared" si="132"/>
        <v>.</v>
      </c>
      <c r="IM88" s="558" t="str">
        <f t="shared" si="132"/>
        <v>.</v>
      </c>
      <c r="IN88" s="558" t="str">
        <f t="shared" si="132"/>
        <v>.</v>
      </c>
      <c r="IO88" s="558" t="str">
        <f t="shared" si="126"/>
        <v>.</v>
      </c>
      <c r="IP88" s="558" t="str">
        <f t="shared" si="126"/>
        <v>.</v>
      </c>
      <c r="IQ88" s="558" t="str">
        <f t="shared" si="126"/>
        <v>.</v>
      </c>
      <c r="IR88" s="558" t="str">
        <f t="shared" si="126"/>
        <v>.</v>
      </c>
      <c r="IS88" s="558" t="str">
        <f t="shared" si="126"/>
        <v>.</v>
      </c>
      <c r="IT88" s="558" t="str">
        <f t="shared" si="126"/>
        <v>.</v>
      </c>
      <c r="IU88" s="558" t="str">
        <f t="shared" si="126"/>
        <v>.</v>
      </c>
      <c r="IV88" s="558" t="str">
        <f t="shared" si="126"/>
        <v>.</v>
      </c>
      <c r="IW88" s="558" t="str">
        <f t="shared" si="126"/>
        <v>.</v>
      </c>
      <c r="IX88" s="558" t="str">
        <f t="shared" si="126"/>
        <v>.</v>
      </c>
      <c r="IY88" s="558" t="str">
        <f t="shared" si="126"/>
        <v>.</v>
      </c>
      <c r="IZ88" s="558" t="str">
        <f t="shared" si="126"/>
        <v>.</v>
      </c>
      <c r="JA88" s="558" t="str">
        <f t="shared" si="126"/>
        <v>.</v>
      </c>
      <c r="JB88" s="558" t="str">
        <f t="shared" si="126"/>
        <v>.</v>
      </c>
      <c r="JC88" s="558" t="str">
        <f t="shared" si="126"/>
        <v>.</v>
      </c>
      <c r="JD88" s="558" t="str">
        <f t="shared" si="126"/>
        <v>.</v>
      </c>
      <c r="JE88" s="558" t="str">
        <f t="shared" si="126"/>
        <v>.</v>
      </c>
      <c r="JF88" s="558" t="str">
        <f t="shared" si="127"/>
        <v>.</v>
      </c>
      <c r="JG88" s="558" t="str">
        <f t="shared" si="127"/>
        <v>.</v>
      </c>
      <c r="JH88" s="558" t="str">
        <f t="shared" si="128"/>
        <v>.</v>
      </c>
      <c r="JI88" s="558" t="str">
        <f t="shared" si="128"/>
        <v>.</v>
      </c>
      <c r="JJ88" s="558" t="str">
        <f t="shared" si="128"/>
        <v>.</v>
      </c>
      <c r="JK88" s="558" t="str">
        <f t="shared" si="128"/>
        <v>.</v>
      </c>
      <c r="JL88" s="558" t="str">
        <f t="shared" si="128"/>
        <v>.</v>
      </c>
    </row>
    <row r="89" spans="1:272" ht="10.199999999999999" x14ac:dyDescent="0.2">
      <c r="A89" s="534">
        <f xml:space="preserve"> Basis!A89</f>
        <v>89</v>
      </c>
      <c r="F89" s="536">
        <f xml:space="preserve"> ROUND(    IF( $A$15=BE_MF_,   AW89,   INDEX( qx!89:89, F$16 ) ),    F$17    )</f>
        <v>0.1014</v>
      </c>
      <c r="G89" s="536">
        <f xml:space="preserve"> ROUND(    IF( $A$15=BE_MF_,   BB89,   INDEX( wx!89:89, G$16 ) ),    G$17    )</f>
        <v>1.4E-3</v>
      </c>
      <c r="H89" s="537">
        <f xml:space="preserve"> ROUND(    IF( $A$15=BE_MF_,   BG89,   INDEX( Kx!89:89, H$16 ) ),    H$17    )</f>
        <v>11417.02</v>
      </c>
      <c r="I89" s="538">
        <f t="shared" si="167"/>
        <v>11437.67</v>
      </c>
      <c r="J89" s="539">
        <f t="shared" si="135"/>
        <v>5.5049999999999999</v>
      </c>
      <c r="K89" s="540">
        <f t="shared" si="168"/>
        <v>0</v>
      </c>
      <c r="L89" s="541">
        <f t="shared" si="71"/>
        <v>0</v>
      </c>
      <c r="M89" s="541">
        <f t="shared" si="71"/>
        <v>8.5999999999999993E-2</v>
      </c>
      <c r="O89" s="542" t="b">
        <f t="shared" si="169"/>
        <v>1</v>
      </c>
      <c r="P89" s="493">
        <f t="shared" si="136"/>
        <v>0.1028</v>
      </c>
      <c r="Q89" s="493">
        <f t="shared" si="137"/>
        <v>0.8972</v>
      </c>
      <c r="R89" s="543">
        <f t="shared" si="138"/>
        <v>241142</v>
      </c>
      <c r="S89" s="544">
        <f t="shared" si="139"/>
        <v>0.97560975599999999</v>
      </c>
      <c r="T89" s="423">
        <f t="shared" si="140"/>
        <v>26782.36</v>
      </c>
      <c r="U89" s="423">
        <f xml:space="preserve"> IF( $O89,    ROUND(  SUM( T89:T$120), U$17 ),  LEER  )</f>
        <v>149805.78</v>
      </c>
      <c r="V89" s="493">
        <f t="shared" si="141"/>
        <v>5.5933999999999999</v>
      </c>
      <c r="W89" s="493">
        <f t="shared" si="142"/>
        <v>147436.89000000001</v>
      </c>
      <c r="X89" s="493">
        <f xml:space="preserve"> IF( $O89,    ROUND(  SUM( W89:W$120), X$17 ),  LEER  )</f>
        <v>824989.86</v>
      </c>
      <c r="Y89" s="493">
        <f t="shared" si="143"/>
        <v>30.8035</v>
      </c>
      <c r="Z89" s="493">
        <f t="shared" si="144"/>
        <v>5.5071000000000003</v>
      </c>
      <c r="AA89" s="493">
        <f t="shared" si="145"/>
        <v>1</v>
      </c>
      <c r="AB89" s="493">
        <f t="shared" si="146"/>
        <v>2.3494000000000002</v>
      </c>
      <c r="AC89" s="545">
        <f t="shared" si="147"/>
        <v>0.32679999999999998</v>
      </c>
      <c r="AD89" s="493">
        <f t="shared" si="148"/>
        <v>5.5071000000000003</v>
      </c>
      <c r="AE89" s="493">
        <f t="shared" si="149"/>
        <v>6.3827999999999996</v>
      </c>
      <c r="AF89" s="493">
        <f t="shared" si="150"/>
        <v>6.3827999999999996</v>
      </c>
      <c r="AG89" s="493" t="str">
        <f t="shared" si="151"/>
        <v>.</v>
      </c>
      <c r="AH89" s="493" t="str">
        <f t="shared" si="152"/>
        <v>.</v>
      </c>
      <c r="AI89" s="423">
        <f t="shared" si="153"/>
        <v>2077.79</v>
      </c>
      <c r="AJ89" s="423">
        <f t="shared" si="154"/>
        <v>13262.12</v>
      </c>
      <c r="AK89" s="423">
        <f t="shared" si="155"/>
        <v>1105.18</v>
      </c>
      <c r="AN89" s="423">
        <f t="shared" si="129"/>
        <v>42455.02</v>
      </c>
      <c r="AO89" s="423">
        <f t="shared" si="129"/>
        <v>42197.01</v>
      </c>
      <c r="AR89" s="546">
        <f xml:space="preserve"> ROUND(  INDEX( Kx!89:89, AR$16 ),  AR$17 )</f>
        <v>0.46949999999999997</v>
      </c>
      <c r="AS89" s="547">
        <f xml:space="preserve"> ROUND(  INDEX( qx!89:89, AS$16 ),  AS$17 )</f>
        <v>0.1186</v>
      </c>
      <c r="AT89" s="547">
        <f xml:space="preserve"> ROUND(  INDEX( qx!89:89, AT$16 ),  AT$17 )</f>
        <v>9.1200000000000003E-2</v>
      </c>
      <c r="AU89" s="548" t="str">
        <f t="shared" si="156"/>
        <v>F</v>
      </c>
      <c r="AV89" s="542">
        <f t="shared" si="157"/>
        <v>0.37109999999999999</v>
      </c>
      <c r="AW89" s="542">
        <f t="shared" si="158"/>
        <v>0.1014</v>
      </c>
      <c r="AX89" s="546">
        <f xml:space="preserve"> ROUND(  INDEX( wx!89:89, AX$16 ),  AX$17 )</f>
        <v>8.9999999999999998E-4</v>
      </c>
      <c r="AY89" s="546">
        <f xml:space="preserve"> ROUND(  INDEX( wx!89:89, AY$16 ),  AY$17 )</f>
        <v>2.0999999999999999E-3</v>
      </c>
      <c r="AZ89" s="548" t="str">
        <f t="shared" si="159"/>
        <v>M</v>
      </c>
      <c r="BA89" s="542">
        <f t="shared" si="160"/>
        <v>0.57040000000000002</v>
      </c>
      <c r="BB89" s="542">
        <f t="shared" si="161"/>
        <v>1.4E-3</v>
      </c>
      <c r="BC89" s="533">
        <f xml:space="preserve"> ROUND(  INDEX( Kx!89:89, BC$16 ),  BC$17 )</f>
        <v>12375.44</v>
      </c>
      <c r="BD89" s="533">
        <f xml:space="preserve"> ROUND(  INDEX( Kx!89:89, BD$16 ),  BD$17 )</f>
        <v>10144.49</v>
      </c>
      <c r="BE89" s="548" t="str">
        <f t="shared" si="170"/>
        <v>M</v>
      </c>
      <c r="BF89" s="542">
        <f t="shared" si="162"/>
        <v>0.57040000000000002</v>
      </c>
      <c r="BG89" s="420">
        <f t="shared" si="163"/>
        <v>11417.02</v>
      </c>
      <c r="BQ89" s="549"/>
      <c r="BR89" s="423"/>
      <c r="BS89" s="550"/>
      <c r="BT89" s="423"/>
      <c r="BU89" s="551"/>
      <c r="BV89" s="551"/>
      <c r="BW89" s="529"/>
      <c r="BX89" s="552"/>
      <c r="BY89" s="560"/>
      <c r="BZ89" s="559"/>
      <c r="CB89" s="423"/>
      <c r="CC89" s="423"/>
      <c r="CD89" s="423"/>
      <c r="CE89" s="423"/>
      <c r="CF89" s="553"/>
      <c r="CH89" s="423"/>
      <c r="CI89" s="423"/>
      <c r="CJ89" s="423"/>
      <c r="CK89" s="423"/>
      <c r="CL89" s="553"/>
      <c r="CN89" s="423"/>
      <c r="CO89" s="423"/>
      <c r="CP89" s="423"/>
      <c r="CQ89" s="423"/>
      <c r="CR89" s="553"/>
      <c r="EI89" s="553"/>
      <c r="EJ89" s="553"/>
      <c r="EK89" s="423"/>
      <c r="EL89" s="555"/>
      <c r="ES89" s="533"/>
      <c r="ET89" s="533"/>
      <c r="EU89" s="533"/>
      <c r="EV89" s="556"/>
      <c r="EY89" s="533"/>
      <c r="EZ89" s="533"/>
      <c r="FA89" s="556"/>
      <c r="FD89" s="556"/>
      <c r="FE89" s="556"/>
      <c r="FF89" s="556"/>
      <c r="FK89" s="557">
        <f t="shared" si="164"/>
        <v>89</v>
      </c>
      <c r="FL89" s="493">
        <f t="shared" si="171"/>
        <v>30.8035</v>
      </c>
      <c r="FM89" s="493">
        <f t="shared" si="172"/>
        <v>5.5933999999999999</v>
      </c>
      <c r="FO89" s="427">
        <f t="shared" si="173"/>
        <v>1747175.0999999999</v>
      </c>
      <c r="FP89" s="558">
        <f t="shared" si="165"/>
        <v>50052.26</v>
      </c>
      <c r="FQ89" s="558">
        <f t="shared" si="165"/>
        <v>49581.58</v>
      </c>
      <c r="FR89" s="558">
        <f t="shared" si="165"/>
        <v>49109.73</v>
      </c>
      <c r="FS89" s="558">
        <f t="shared" si="165"/>
        <v>48637.88</v>
      </c>
      <c r="FT89" s="558">
        <f t="shared" si="165"/>
        <v>48149.760000000002</v>
      </c>
      <c r="FU89" s="558">
        <f t="shared" si="165"/>
        <v>47647.69</v>
      </c>
      <c r="FV89" s="558">
        <f t="shared" si="165"/>
        <v>47150.27</v>
      </c>
      <c r="FW89" s="558">
        <f t="shared" si="165"/>
        <v>46649.37</v>
      </c>
      <c r="FX89" s="558">
        <f t="shared" si="165"/>
        <v>46131.03</v>
      </c>
      <c r="FY89" s="558">
        <f t="shared" si="165"/>
        <v>45591.77</v>
      </c>
      <c r="FZ89" s="558">
        <f t="shared" si="165"/>
        <v>45049.03</v>
      </c>
      <c r="GA89" s="558">
        <f t="shared" si="165"/>
        <v>44498.15</v>
      </c>
      <c r="GB89" s="558">
        <f t="shared" si="165"/>
        <v>43934.49</v>
      </c>
      <c r="GC89" s="558">
        <f t="shared" si="165"/>
        <v>43368.5</v>
      </c>
      <c r="GD89" s="558">
        <f t="shared" si="165"/>
        <v>42785.08</v>
      </c>
      <c r="GE89" s="558">
        <f t="shared" si="165"/>
        <v>42197.01</v>
      </c>
      <c r="GF89" s="558">
        <f t="shared" si="134"/>
        <v>41591.51</v>
      </c>
      <c r="GG89" s="558">
        <f t="shared" si="134"/>
        <v>40972.06</v>
      </c>
      <c r="GH89" s="558">
        <f t="shared" si="134"/>
        <v>40335.18</v>
      </c>
      <c r="GI89" s="558">
        <f t="shared" si="134"/>
        <v>39679.71</v>
      </c>
      <c r="GJ89" s="558">
        <f t="shared" si="134"/>
        <v>39004.47</v>
      </c>
      <c r="GK89" s="558">
        <f t="shared" si="134"/>
        <v>38303.67</v>
      </c>
      <c r="GL89" s="558">
        <f t="shared" si="134"/>
        <v>37577.300000000003</v>
      </c>
      <c r="GM89" s="558">
        <f t="shared" si="134"/>
        <v>36824.199999999997</v>
      </c>
      <c r="GN89" s="558">
        <f t="shared" si="134"/>
        <v>36040.89</v>
      </c>
      <c r="GO89" s="558">
        <f t="shared" si="134"/>
        <v>35233.160000000003</v>
      </c>
      <c r="GP89" s="558">
        <f t="shared" si="134"/>
        <v>34397.550000000003</v>
      </c>
      <c r="GQ89" s="558">
        <f t="shared" si="134"/>
        <v>33536.370000000003</v>
      </c>
      <c r="GR89" s="558">
        <f t="shared" si="134"/>
        <v>32651.94</v>
      </c>
      <c r="GS89" s="558">
        <f t="shared" si="134"/>
        <v>31745.43</v>
      </c>
      <c r="GT89" s="558">
        <f t="shared" si="134"/>
        <v>30820.33</v>
      </c>
      <c r="GU89" s="558">
        <f t="shared" si="133"/>
        <v>29873.14</v>
      </c>
      <c r="GV89" s="558">
        <f t="shared" si="133"/>
        <v>28913.17</v>
      </c>
      <c r="GW89" s="558">
        <f t="shared" si="133"/>
        <v>27935.77</v>
      </c>
      <c r="GX89" s="558">
        <f t="shared" si="133"/>
        <v>26947.9</v>
      </c>
      <c r="GY89" s="558">
        <f t="shared" si="133"/>
        <v>25949.58</v>
      </c>
      <c r="GZ89" s="558">
        <f t="shared" si="133"/>
        <v>24939.64</v>
      </c>
      <c r="HA89" s="558">
        <f t="shared" si="133"/>
        <v>23921.56</v>
      </c>
      <c r="HB89" s="558">
        <f t="shared" si="133"/>
        <v>22888.37</v>
      </c>
      <c r="HC89" s="558">
        <f t="shared" si="133"/>
        <v>21833.1</v>
      </c>
      <c r="HD89" s="558">
        <f t="shared" si="133"/>
        <v>20762.72</v>
      </c>
      <c r="HE89" s="558">
        <f t="shared" si="133"/>
        <v>19681.89</v>
      </c>
      <c r="HF89" s="558">
        <f t="shared" si="133"/>
        <v>18587.099999999999</v>
      </c>
      <c r="HG89" s="558">
        <f t="shared" si="133"/>
        <v>17484.18</v>
      </c>
      <c r="HH89" s="558">
        <f t="shared" si="133"/>
        <v>16369.64</v>
      </c>
      <c r="HI89" s="558">
        <f t="shared" si="133"/>
        <v>15265.56</v>
      </c>
      <c r="HJ89" s="558">
        <f t="shared" si="133"/>
        <v>14152.18</v>
      </c>
      <c r="HK89" s="558">
        <f t="shared" si="166"/>
        <v>13045.78</v>
      </c>
      <c r="HL89" s="558">
        <f t="shared" si="166"/>
        <v>11947.5</v>
      </c>
      <c r="HM89" s="558">
        <f t="shared" si="166"/>
        <v>10853.88</v>
      </c>
      <c r="HN89" s="558">
        <f t="shared" si="166"/>
        <v>9953.18</v>
      </c>
      <c r="HO89" s="558">
        <f t="shared" si="166"/>
        <v>9080.3799999999992</v>
      </c>
      <c r="HP89" s="558">
        <f t="shared" si="166"/>
        <v>8244.76</v>
      </c>
      <c r="HQ89" s="558">
        <f t="shared" si="166"/>
        <v>7453.31</v>
      </c>
      <c r="HR89" s="558">
        <f t="shared" si="166"/>
        <v>6497.99</v>
      </c>
      <c r="HS89" s="558">
        <f t="shared" si="166"/>
        <v>5579.86</v>
      </c>
      <c r="HT89" s="558">
        <f t="shared" si="166"/>
        <v>4704.7299999999996</v>
      </c>
      <c r="HU89" s="558">
        <f t="shared" si="166"/>
        <v>3900.49</v>
      </c>
      <c r="HV89" s="558">
        <f t="shared" si="166"/>
        <v>3160.18</v>
      </c>
      <c r="HW89" s="558">
        <f t="shared" si="166"/>
        <v>2487.27</v>
      </c>
      <c r="HX89" s="558">
        <f t="shared" si="166"/>
        <v>1898.04</v>
      </c>
      <c r="HY89" s="558">
        <f t="shared" si="166"/>
        <v>1379.7</v>
      </c>
      <c r="HZ89" s="558">
        <f t="shared" si="166"/>
        <v>957.83</v>
      </c>
      <c r="IA89" s="558">
        <f t="shared" si="166"/>
        <v>618.47</v>
      </c>
      <c r="IB89" s="558">
        <f t="shared" si="166"/>
        <v>365.11</v>
      </c>
      <c r="IC89" s="558">
        <f t="shared" si="132"/>
        <v>196.59</v>
      </c>
      <c r="ID89" s="558">
        <f t="shared" si="132"/>
        <v>85.02</v>
      </c>
      <c r="IE89" s="558">
        <f t="shared" si="132"/>
        <v>7.15</v>
      </c>
      <c r="IF89" s="558">
        <f t="shared" si="132"/>
        <v>4.83</v>
      </c>
      <c r="IG89" s="558">
        <f t="shared" si="132"/>
        <v>0.18</v>
      </c>
      <c r="IH89" s="558" t="str">
        <f t="shared" si="132"/>
        <v>.</v>
      </c>
      <c r="II89" s="558" t="str">
        <f t="shared" si="132"/>
        <v>.</v>
      </c>
      <c r="IJ89" s="558" t="str">
        <f t="shared" si="132"/>
        <v>.</v>
      </c>
      <c r="IK89" s="558" t="str">
        <f t="shared" si="132"/>
        <v>.</v>
      </c>
      <c r="IL89" s="558" t="str">
        <f t="shared" si="132"/>
        <v>.</v>
      </c>
      <c r="IM89" s="558" t="str">
        <f t="shared" si="132"/>
        <v>.</v>
      </c>
      <c r="IN89" s="558" t="str">
        <f t="shared" si="132"/>
        <v>.</v>
      </c>
      <c r="IO89" s="558" t="str">
        <f t="shared" si="126"/>
        <v>.</v>
      </c>
      <c r="IP89" s="558" t="str">
        <f t="shared" si="126"/>
        <v>.</v>
      </c>
      <c r="IQ89" s="558" t="str">
        <f t="shared" si="126"/>
        <v>.</v>
      </c>
      <c r="IR89" s="558" t="str">
        <f t="shared" si="126"/>
        <v>.</v>
      </c>
      <c r="IS89" s="558" t="str">
        <f t="shared" si="126"/>
        <v>.</v>
      </c>
      <c r="IT89" s="558" t="str">
        <f t="shared" si="126"/>
        <v>.</v>
      </c>
      <c r="IU89" s="558" t="str">
        <f t="shared" si="126"/>
        <v>.</v>
      </c>
      <c r="IV89" s="558" t="str">
        <f t="shared" si="126"/>
        <v>.</v>
      </c>
      <c r="IW89" s="558" t="str">
        <f t="shared" si="126"/>
        <v>.</v>
      </c>
      <c r="IX89" s="558" t="str">
        <f t="shared" si="126"/>
        <v>.</v>
      </c>
      <c r="IY89" s="558" t="str">
        <f t="shared" si="126"/>
        <v>.</v>
      </c>
      <c r="IZ89" s="558" t="str">
        <f t="shared" si="126"/>
        <v>.</v>
      </c>
      <c r="JA89" s="558" t="str">
        <f t="shared" si="126"/>
        <v>.</v>
      </c>
      <c r="JB89" s="558" t="str">
        <f t="shared" si="126"/>
        <v>.</v>
      </c>
      <c r="JC89" s="558" t="str">
        <f t="shared" si="126"/>
        <v>.</v>
      </c>
      <c r="JD89" s="558" t="str">
        <f t="shared" si="126"/>
        <v>.</v>
      </c>
      <c r="JE89" s="558" t="str">
        <f t="shared" si="126"/>
        <v>.</v>
      </c>
      <c r="JF89" s="558" t="str">
        <f t="shared" si="127"/>
        <v>.</v>
      </c>
      <c r="JG89" s="558" t="str">
        <f t="shared" si="127"/>
        <v>.</v>
      </c>
      <c r="JH89" s="558" t="str">
        <f t="shared" si="128"/>
        <v>.</v>
      </c>
      <c r="JI89" s="558" t="str">
        <f t="shared" si="128"/>
        <v>.</v>
      </c>
      <c r="JJ89" s="558" t="str">
        <f t="shared" si="128"/>
        <v>.</v>
      </c>
      <c r="JK89" s="558" t="str">
        <f t="shared" si="128"/>
        <v>.</v>
      </c>
      <c r="JL89" s="558" t="str">
        <f t="shared" si="128"/>
        <v>.</v>
      </c>
    </row>
    <row r="90" spans="1:272" ht="10.199999999999999" x14ac:dyDescent="0.2">
      <c r="A90" s="534">
        <f xml:space="preserve"> Basis!A90</f>
        <v>90</v>
      </c>
      <c r="F90" s="536">
        <f xml:space="preserve"> ROUND(    IF( $A$15=BE_MF_,   AW90,   INDEX( qx!90:90, F$16 ) ),    F$17    )</f>
        <v>0.11559999999999999</v>
      </c>
      <c r="G90" s="536">
        <f xml:space="preserve"> ROUND(    IF( $A$15=BE_MF_,   BB90,   INDEX( wx!90:90, G$16 ) ),    G$17    )</f>
        <v>1.4E-3</v>
      </c>
      <c r="H90" s="537">
        <f xml:space="preserve"> ROUND(    IF( $A$15=BE_MF_,   BG90,   INDEX( Kx!90:90, H$16 ) ),    H$17    )</f>
        <v>11433.23</v>
      </c>
      <c r="I90" s="538">
        <f t="shared" si="167"/>
        <v>11437.67</v>
      </c>
      <c r="J90" s="539">
        <f t="shared" si="135"/>
        <v>5.5049999999999999</v>
      </c>
      <c r="K90" s="540">
        <f t="shared" si="168"/>
        <v>0</v>
      </c>
      <c r="L90" s="541">
        <f t="shared" si="71"/>
        <v>0</v>
      </c>
      <c r="M90" s="541">
        <f t="shared" si="71"/>
        <v>8.5999999999999993E-2</v>
      </c>
      <c r="O90" s="542" t="b">
        <f t="shared" si="169"/>
        <v>1</v>
      </c>
      <c r="P90" s="493">
        <f t="shared" si="136"/>
        <v>0.11700000000000001</v>
      </c>
      <c r="Q90" s="493">
        <f t="shared" si="137"/>
        <v>0.88300000000000001</v>
      </c>
      <c r="R90" s="543">
        <f t="shared" si="138"/>
        <v>216352</v>
      </c>
      <c r="S90" s="544">
        <f t="shared" si="139"/>
        <v>0.97560975599999999</v>
      </c>
      <c r="T90" s="423">
        <f t="shared" si="140"/>
        <v>23442.99</v>
      </c>
      <c r="U90" s="423">
        <f xml:space="preserve"> IF( $O90,    ROUND(  SUM( T90:T$120), U$17 ),  LEER  )</f>
        <v>123023.42</v>
      </c>
      <c r="V90" s="493">
        <f t="shared" si="141"/>
        <v>5.2477999999999998</v>
      </c>
      <c r="W90" s="493">
        <f t="shared" si="142"/>
        <v>129053.66</v>
      </c>
      <c r="X90" s="493">
        <f xml:space="preserve"> IF( $O90,    ROUND(  SUM( W90:W$120), X$17 ),  LEER  )</f>
        <v>677552.97</v>
      </c>
      <c r="Y90" s="493">
        <f t="shared" si="143"/>
        <v>28.902200000000001</v>
      </c>
      <c r="Z90" s="493">
        <f t="shared" si="144"/>
        <v>5.5075000000000003</v>
      </c>
      <c r="AA90" s="493">
        <f t="shared" si="145"/>
        <v>1</v>
      </c>
      <c r="AB90" s="493">
        <f t="shared" si="146"/>
        <v>2.3494000000000002</v>
      </c>
      <c r="AC90" s="545">
        <f t="shared" si="147"/>
        <v>0.32679999999999998</v>
      </c>
      <c r="AD90" s="493">
        <f t="shared" si="148"/>
        <v>5.5075000000000003</v>
      </c>
      <c r="AE90" s="493">
        <f t="shared" si="149"/>
        <v>6.3833000000000002</v>
      </c>
      <c r="AF90" s="493">
        <f t="shared" si="150"/>
        <v>6.3833000000000002</v>
      </c>
      <c r="AG90" s="493" t="str">
        <f t="shared" si="151"/>
        <v>.</v>
      </c>
      <c r="AH90" s="493" t="str">
        <f t="shared" si="152"/>
        <v>.</v>
      </c>
      <c r="AI90" s="423">
        <f t="shared" si="153"/>
        <v>2077.79</v>
      </c>
      <c r="AJ90" s="423">
        <f t="shared" si="154"/>
        <v>13263.16</v>
      </c>
      <c r="AK90" s="423">
        <f t="shared" si="155"/>
        <v>1105.26</v>
      </c>
      <c r="AN90" s="423">
        <f t="shared" si="129"/>
        <v>39835.919999999998</v>
      </c>
      <c r="AO90" s="423">
        <f t="shared" si="129"/>
        <v>39593.85</v>
      </c>
      <c r="AR90" s="546">
        <f xml:space="preserve"> ROUND(  INDEX( Kx!90:90, AR$16 ),  AR$17 )</f>
        <v>0.45229999999999998</v>
      </c>
      <c r="AS90" s="547">
        <f xml:space="preserve"> ROUND(  INDEX( qx!90:90, AS$16 ),  AS$17 )</f>
        <v>0.1346</v>
      </c>
      <c r="AT90" s="547">
        <f xml:space="preserve"> ROUND(  INDEX( qx!90:90, AT$16 ),  AT$17 )</f>
        <v>0.1051</v>
      </c>
      <c r="AU90" s="548" t="str">
        <f t="shared" si="156"/>
        <v>F</v>
      </c>
      <c r="AV90" s="542">
        <f t="shared" si="157"/>
        <v>0.35510000000000003</v>
      </c>
      <c r="AW90" s="542">
        <f t="shared" si="158"/>
        <v>0.11559999999999999</v>
      </c>
      <c r="AX90" s="546">
        <f xml:space="preserve"> ROUND(  INDEX( wx!90:90, AX$16 ),  AX$17 )</f>
        <v>8.0000000000000004E-4</v>
      </c>
      <c r="AY90" s="546">
        <f xml:space="preserve"> ROUND(  INDEX( wx!90:90, AY$16 ),  AY$17 )</f>
        <v>2.0999999999999999E-3</v>
      </c>
      <c r="AZ90" s="548" t="str">
        <f t="shared" si="159"/>
        <v>M</v>
      </c>
      <c r="BA90" s="542">
        <f t="shared" si="160"/>
        <v>0.55330000000000001</v>
      </c>
      <c r="BB90" s="542">
        <f t="shared" si="161"/>
        <v>1.4E-3</v>
      </c>
      <c r="BC90" s="533">
        <f xml:space="preserve"> ROUND(  INDEX( Kx!90:90, BC$16 ),  BC$17 )</f>
        <v>12466.24</v>
      </c>
      <c r="BD90" s="533">
        <f xml:space="preserve"> ROUND(  INDEX( Kx!90:90, BD$16 ),  BD$17 )</f>
        <v>10153.700000000001</v>
      </c>
      <c r="BE90" s="548" t="str">
        <f t="shared" si="170"/>
        <v>M</v>
      </c>
      <c r="BF90" s="542">
        <f t="shared" si="162"/>
        <v>0.55330000000000001</v>
      </c>
      <c r="BG90" s="420">
        <f t="shared" si="163"/>
        <v>11433.23</v>
      </c>
      <c r="BQ90" s="549"/>
      <c r="BR90" s="423"/>
      <c r="BS90" s="550"/>
      <c r="BT90" s="423"/>
      <c r="BU90" s="551"/>
      <c r="BV90" s="551"/>
      <c r="BW90" s="529"/>
      <c r="BX90" s="552"/>
      <c r="BY90" s="560"/>
      <c r="BZ90" s="559"/>
      <c r="CB90" s="423"/>
      <c r="CC90" s="423"/>
      <c r="CD90" s="423"/>
      <c r="CE90" s="423"/>
      <c r="CF90" s="553"/>
      <c r="CH90" s="423"/>
      <c r="CI90" s="423"/>
      <c r="CJ90" s="423"/>
      <c r="CK90" s="423"/>
      <c r="CL90" s="553"/>
      <c r="CN90" s="423"/>
      <c r="CO90" s="423"/>
      <c r="CP90" s="423"/>
      <c r="CQ90" s="423"/>
      <c r="CR90" s="553"/>
      <c r="EI90" s="553"/>
      <c r="EJ90" s="553"/>
      <c r="EK90" s="423"/>
      <c r="EL90" s="555"/>
      <c r="ES90" s="533"/>
      <c r="ET90" s="533"/>
      <c r="EU90" s="533"/>
      <c r="EV90" s="556"/>
      <c r="EY90" s="533"/>
      <c r="EZ90" s="533"/>
      <c r="FA90" s="556"/>
      <c r="FD90" s="556"/>
      <c r="FE90" s="556"/>
      <c r="FF90" s="556"/>
      <c r="FK90" s="557">
        <f t="shared" si="164"/>
        <v>90</v>
      </c>
      <c r="FL90" s="493">
        <f t="shared" si="171"/>
        <v>28.902200000000001</v>
      </c>
      <c r="FM90" s="493">
        <f t="shared" si="172"/>
        <v>5.2477999999999998</v>
      </c>
      <c r="FO90" s="427">
        <f t="shared" si="173"/>
        <v>1639507.0400000003</v>
      </c>
      <c r="FP90" s="558">
        <f t="shared" si="165"/>
        <v>46963.75</v>
      </c>
      <c r="FQ90" s="558">
        <f t="shared" si="165"/>
        <v>46522.14</v>
      </c>
      <c r="FR90" s="558">
        <f t="shared" si="165"/>
        <v>46079.45</v>
      </c>
      <c r="FS90" s="558">
        <f t="shared" si="165"/>
        <v>45636.75</v>
      </c>
      <c r="FT90" s="558">
        <f t="shared" si="165"/>
        <v>45178.79</v>
      </c>
      <c r="FU90" s="558">
        <f t="shared" si="165"/>
        <v>44707.75</v>
      </c>
      <c r="FV90" s="558">
        <f t="shared" si="165"/>
        <v>44241.06</v>
      </c>
      <c r="FW90" s="558">
        <f t="shared" si="165"/>
        <v>43771.11</v>
      </c>
      <c r="FX90" s="558">
        <f t="shared" si="165"/>
        <v>43284.800000000003</v>
      </c>
      <c r="FY90" s="558">
        <f t="shared" si="165"/>
        <v>42778.86</v>
      </c>
      <c r="FZ90" s="558">
        <f t="shared" si="165"/>
        <v>42269.65</v>
      </c>
      <c r="GA90" s="558">
        <f t="shared" si="165"/>
        <v>41752.81</v>
      </c>
      <c r="GB90" s="558">
        <f t="shared" si="165"/>
        <v>41223.97</v>
      </c>
      <c r="GC90" s="558">
        <f t="shared" si="165"/>
        <v>40692.959999999999</v>
      </c>
      <c r="GD90" s="558">
        <f t="shared" si="165"/>
        <v>40145.589999999997</v>
      </c>
      <c r="GE90" s="558">
        <f t="shared" si="165"/>
        <v>39593.85</v>
      </c>
      <c r="GF90" s="558">
        <f t="shared" si="134"/>
        <v>39025.760000000002</v>
      </c>
      <c r="GG90" s="558">
        <f t="shared" si="134"/>
        <v>38444.589999999997</v>
      </c>
      <c r="GH90" s="558">
        <f t="shared" si="134"/>
        <v>37847.06</v>
      </c>
      <c r="GI90" s="558">
        <f t="shared" si="134"/>
        <v>37232.080000000002</v>
      </c>
      <c r="GJ90" s="558">
        <f t="shared" si="134"/>
        <v>36598.57</v>
      </c>
      <c r="GK90" s="558">
        <f t="shared" si="134"/>
        <v>35941.07</v>
      </c>
      <c r="GL90" s="558">
        <f t="shared" si="134"/>
        <v>35259.58</v>
      </c>
      <c r="GM90" s="558">
        <f t="shared" si="134"/>
        <v>34553.01</v>
      </c>
      <c r="GN90" s="558">
        <f t="shared" si="134"/>
        <v>33818.1</v>
      </c>
      <c r="GO90" s="558">
        <f t="shared" si="134"/>
        <v>33060.28</v>
      </c>
      <c r="GP90" s="558">
        <f t="shared" si="134"/>
        <v>32276.29</v>
      </c>
      <c r="GQ90" s="558">
        <f t="shared" si="134"/>
        <v>31468.32</v>
      </c>
      <c r="GR90" s="558">
        <f t="shared" si="134"/>
        <v>30638.54</v>
      </c>
      <c r="GS90" s="558">
        <f t="shared" si="134"/>
        <v>29788.04</v>
      </c>
      <c r="GT90" s="558">
        <f t="shared" si="134"/>
        <v>28920.1</v>
      </c>
      <c r="GU90" s="558">
        <f t="shared" si="133"/>
        <v>28031.439999999999</v>
      </c>
      <c r="GV90" s="558">
        <f t="shared" si="133"/>
        <v>27130.78</v>
      </c>
      <c r="GW90" s="558">
        <f t="shared" si="133"/>
        <v>26213.77</v>
      </c>
      <c r="GX90" s="558">
        <f t="shared" si="133"/>
        <v>25286.94</v>
      </c>
      <c r="GY90" s="558">
        <f t="shared" si="133"/>
        <v>24350.3</v>
      </c>
      <c r="GZ90" s="558">
        <f t="shared" si="133"/>
        <v>23402.76</v>
      </c>
      <c r="HA90" s="558">
        <f t="shared" si="133"/>
        <v>22447.59</v>
      </c>
      <c r="HB90" s="558">
        <f t="shared" si="133"/>
        <v>21478.240000000002</v>
      </c>
      <c r="HC90" s="558">
        <f t="shared" si="133"/>
        <v>20488.169999999998</v>
      </c>
      <c r="HD90" s="558">
        <f t="shared" si="133"/>
        <v>19483.93</v>
      </c>
      <c r="HE90" s="558">
        <f t="shared" si="133"/>
        <v>18469.87</v>
      </c>
      <c r="HF90" s="558">
        <f t="shared" si="133"/>
        <v>17442.73</v>
      </c>
      <c r="HG90" s="558">
        <f t="shared" si="133"/>
        <v>16407.96</v>
      </c>
      <c r="HH90" s="558">
        <f t="shared" si="133"/>
        <v>15362.28</v>
      </c>
      <c r="HI90" s="558">
        <f t="shared" si="133"/>
        <v>14326.42</v>
      </c>
      <c r="HJ90" s="558">
        <f t="shared" si="133"/>
        <v>13281.83</v>
      </c>
      <c r="HK90" s="558">
        <f t="shared" si="166"/>
        <v>12243.79</v>
      </c>
      <c r="HL90" s="558">
        <f t="shared" si="166"/>
        <v>11213.37</v>
      </c>
      <c r="HM90" s="558">
        <f t="shared" si="166"/>
        <v>10187.32</v>
      </c>
      <c r="HN90" s="558">
        <f t="shared" si="166"/>
        <v>9342.2800000000007</v>
      </c>
      <c r="HO90" s="558">
        <f t="shared" si="166"/>
        <v>8523.4</v>
      </c>
      <c r="HP90" s="558">
        <f t="shared" si="166"/>
        <v>7739.41</v>
      </c>
      <c r="HQ90" s="558">
        <f t="shared" si="166"/>
        <v>6996.86</v>
      </c>
      <c r="HR90" s="558">
        <f t="shared" si="166"/>
        <v>6100.57</v>
      </c>
      <c r="HS90" s="558">
        <f t="shared" si="166"/>
        <v>5239.17</v>
      </c>
      <c r="HT90" s="558">
        <f t="shared" si="166"/>
        <v>4418.1099999999997</v>
      </c>
      <c r="HU90" s="558">
        <f t="shared" si="166"/>
        <v>3663.56</v>
      </c>
      <c r="HV90" s="558">
        <f t="shared" si="166"/>
        <v>2968.99</v>
      </c>
      <c r="HW90" s="558">
        <f t="shared" si="166"/>
        <v>2337.66</v>
      </c>
      <c r="HX90" s="558">
        <f t="shared" si="166"/>
        <v>1784.83</v>
      </c>
      <c r="HY90" s="558">
        <f t="shared" si="166"/>
        <v>1298.52</v>
      </c>
      <c r="HZ90" s="558">
        <f t="shared" si="166"/>
        <v>902.72</v>
      </c>
      <c r="IA90" s="558">
        <f t="shared" si="166"/>
        <v>584.32000000000005</v>
      </c>
      <c r="IB90" s="558">
        <f t="shared" si="166"/>
        <v>346.62</v>
      </c>
      <c r="IC90" s="558">
        <f t="shared" si="132"/>
        <v>188.51</v>
      </c>
      <c r="ID90" s="558">
        <f t="shared" si="132"/>
        <v>83.84</v>
      </c>
      <c r="IE90" s="558">
        <f t="shared" si="132"/>
        <v>10.78</v>
      </c>
      <c r="IF90" s="558">
        <f t="shared" si="132"/>
        <v>8.6</v>
      </c>
      <c r="IG90" s="558">
        <f t="shared" si="132"/>
        <v>4.24</v>
      </c>
      <c r="IH90" s="558">
        <f t="shared" si="132"/>
        <v>-0.12</v>
      </c>
      <c r="II90" s="558" t="str">
        <f t="shared" si="132"/>
        <v>.</v>
      </c>
      <c r="IJ90" s="558" t="str">
        <f t="shared" si="132"/>
        <v>.</v>
      </c>
      <c r="IK90" s="558" t="str">
        <f t="shared" si="132"/>
        <v>.</v>
      </c>
      <c r="IL90" s="558" t="str">
        <f t="shared" si="132"/>
        <v>.</v>
      </c>
      <c r="IM90" s="558" t="str">
        <f t="shared" si="132"/>
        <v>.</v>
      </c>
      <c r="IN90" s="558" t="str">
        <f t="shared" si="132"/>
        <v>.</v>
      </c>
      <c r="IO90" s="558" t="str">
        <f t="shared" si="126"/>
        <v>.</v>
      </c>
      <c r="IP90" s="558" t="str">
        <f t="shared" si="126"/>
        <v>.</v>
      </c>
      <c r="IQ90" s="558" t="str">
        <f t="shared" si="126"/>
        <v>.</v>
      </c>
      <c r="IR90" s="558" t="str">
        <f t="shared" si="126"/>
        <v>.</v>
      </c>
      <c r="IS90" s="558" t="str">
        <f t="shared" si="126"/>
        <v>.</v>
      </c>
      <c r="IT90" s="558" t="str">
        <f t="shared" si="126"/>
        <v>.</v>
      </c>
      <c r="IU90" s="558" t="str">
        <f t="shared" si="126"/>
        <v>.</v>
      </c>
      <c r="IV90" s="558" t="str">
        <f t="shared" si="126"/>
        <v>.</v>
      </c>
      <c r="IW90" s="558" t="str">
        <f t="shared" si="126"/>
        <v>.</v>
      </c>
      <c r="IX90" s="558" t="str">
        <f t="shared" si="126"/>
        <v>.</v>
      </c>
      <c r="IY90" s="558" t="str">
        <f t="shared" ref="IY90:JE90" si="174" xml:space="preserve"> IF(  OR( IY$18&gt;$FK90, $FK90&gt;$FP$12 ),  LEER,  ROUND( $FO$19 * ( $FL90 - IY$15 * $FM90 ), IY$17 )  )</f>
        <v>.</v>
      </c>
      <c r="IZ90" s="558" t="str">
        <f t="shared" si="174"/>
        <v>.</v>
      </c>
      <c r="JA90" s="558" t="str">
        <f t="shared" si="174"/>
        <v>.</v>
      </c>
      <c r="JB90" s="558" t="str">
        <f t="shared" si="174"/>
        <v>.</v>
      </c>
      <c r="JC90" s="558" t="str">
        <f t="shared" si="174"/>
        <v>.</v>
      </c>
      <c r="JD90" s="558" t="str">
        <f t="shared" si="174"/>
        <v>.</v>
      </c>
      <c r="JE90" s="558" t="str">
        <f t="shared" si="174"/>
        <v>.</v>
      </c>
      <c r="JF90" s="558" t="str">
        <f t="shared" si="127"/>
        <v>.</v>
      </c>
      <c r="JG90" s="558" t="str">
        <f t="shared" si="127"/>
        <v>.</v>
      </c>
      <c r="JH90" s="558" t="str">
        <f t="shared" si="128"/>
        <v>.</v>
      </c>
      <c r="JI90" s="558" t="str">
        <f t="shared" si="128"/>
        <v>.</v>
      </c>
      <c r="JJ90" s="558" t="str">
        <f t="shared" si="128"/>
        <v>.</v>
      </c>
      <c r="JK90" s="558" t="str">
        <f t="shared" si="128"/>
        <v>.</v>
      </c>
      <c r="JL90" s="558" t="str">
        <f t="shared" si="128"/>
        <v>.</v>
      </c>
    </row>
    <row r="91" spans="1:272" ht="10.199999999999999" x14ac:dyDescent="0.2">
      <c r="A91" s="534">
        <f xml:space="preserve"> Basis!A91</f>
        <v>91</v>
      </c>
      <c r="F91" s="536">
        <f xml:space="preserve"> ROUND(    IF( $A$15=BE_MF_,   AW91,   INDEX( qx!91:91, F$16 ) ),    F$17    )</f>
        <v>0.12909999999999999</v>
      </c>
      <c r="G91" s="536">
        <f xml:space="preserve"> ROUND(    IF( $A$15=BE_MF_,   BB91,   INDEX( wx!91:91, G$16 ) ),    G$17    )</f>
        <v>1.5E-3</v>
      </c>
      <c r="H91" s="537">
        <f xml:space="preserve"> ROUND(    IF( $A$15=BE_MF_,   BG91,   INDEX( Kx!91:91, H$16 ) ),    H$17    )</f>
        <v>11314.39</v>
      </c>
      <c r="I91" s="538">
        <f t="shared" si="167"/>
        <v>11437.67</v>
      </c>
      <c r="J91" s="539">
        <f t="shared" si="135"/>
        <v>5.5049999999999999</v>
      </c>
      <c r="K91" s="540">
        <f t="shared" si="168"/>
        <v>0</v>
      </c>
      <c r="L91" s="541">
        <f t="shared" si="71"/>
        <v>0</v>
      </c>
      <c r="M91" s="541">
        <f t="shared" si="71"/>
        <v>8.5999999999999993E-2</v>
      </c>
      <c r="O91" s="542" t="b">
        <f t="shared" si="169"/>
        <v>1</v>
      </c>
      <c r="P91" s="493">
        <f t="shared" si="136"/>
        <v>0.13059999999999999</v>
      </c>
      <c r="Q91" s="493">
        <f t="shared" si="137"/>
        <v>0.86939999999999995</v>
      </c>
      <c r="R91" s="543">
        <f t="shared" si="138"/>
        <v>191038</v>
      </c>
      <c r="S91" s="544">
        <f t="shared" si="139"/>
        <v>0.97560975599999999</v>
      </c>
      <c r="T91" s="423">
        <f t="shared" si="140"/>
        <v>20195.189999999999</v>
      </c>
      <c r="U91" s="423">
        <f xml:space="preserve"> IF( $O91,    ROUND(  SUM( T91:T$120), U$17 ),  LEER  )</f>
        <v>99580.43</v>
      </c>
      <c r="V91" s="493">
        <f t="shared" si="141"/>
        <v>4.9309000000000003</v>
      </c>
      <c r="W91" s="493">
        <f t="shared" si="142"/>
        <v>111174.52</v>
      </c>
      <c r="X91" s="493">
        <f xml:space="preserve"> IF( $O91,    ROUND(  SUM( W91:W$120), X$17 ),  LEER  )</f>
        <v>548499.31000000006</v>
      </c>
      <c r="Y91" s="493">
        <f t="shared" si="143"/>
        <v>27.1599</v>
      </c>
      <c r="Z91" s="493">
        <f t="shared" si="144"/>
        <v>5.5080999999999998</v>
      </c>
      <c r="AA91" s="493">
        <f t="shared" si="145"/>
        <v>1</v>
      </c>
      <c r="AB91" s="493">
        <f t="shared" si="146"/>
        <v>2.3494000000000002</v>
      </c>
      <c r="AC91" s="545">
        <f t="shared" si="147"/>
        <v>0.32679999999999998</v>
      </c>
      <c r="AD91" s="493">
        <f t="shared" si="148"/>
        <v>5.5080999999999998</v>
      </c>
      <c r="AE91" s="493">
        <f t="shared" si="149"/>
        <v>6.3838999999999997</v>
      </c>
      <c r="AF91" s="493">
        <f t="shared" si="150"/>
        <v>6.3838999999999997</v>
      </c>
      <c r="AG91" s="493" t="str">
        <f t="shared" si="151"/>
        <v>.</v>
      </c>
      <c r="AH91" s="493" t="str">
        <f t="shared" si="152"/>
        <v>.</v>
      </c>
      <c r="AI91" s="423">
        <f t="shared" si="153"/>
        <v>2077.79</v>
      </c>
      <c r="AJ91" s="423">
        <f t="shared" si="154"/>
        <v>13264.4</v>
      </c>
      <c r="AK91" s="423">
        <f t="shared" si="155"/>
        <v>1105.3699999999999</v>
      </c>
      <c r="AN91" s="423">
        <f t="shared" si="129"/>
        <v>37436.620000000003</v>
      </c>
      <c r="AO91" s="423">
        <f t="shared" si="129"/>
        <v>37209.17</v>
      </c>
      <c r="AR91" s="546">
        <f xml:space="preserve"> ROUND(  INDEX( Kx!91:91, AR$16 ),  AR$17 )</f>
        <v>0.38300000000000001</v>
      </c>
      <c r="AS91" s="547">
        <f xml:space="preserve"> ROUND(  INDEX( qx!91:91, AS$16 ),  AS$17 )</f>
        <v>0.15210000000000001</v>
      </c>
      <c r="AT91" s="547">
        <f xml:space="preserve"> ROUND(  INDEX( qx!91:91, AT$16 ),  AT$17 )</f>
        <v>0.1196</v>
      </c>
      <c r="AU91" s="548" t="str">
        <f t="shared" si="156"/>
        <v>F</v>
      </c>
      <c r="AV91" s="542">
        <f t="shared" si="157"/>
        <v>0.29270000000000002</v>
      </c>
      <c r="AW91" s="542">
        <f t="shared" si="158"/>
        <v>0.12909999999999999</v>
      </c>
      <c r="AX91" s="546">
        <f xml:space="preserve"> ROUND(  INDEX( wx!91:91, AX$16 ),  AX$17 )</f>
        <v>8.0000000000000004E-4</v>
      </c>
      <c r="AY91" s="546">
        <f xml:space="preserve"> ROUND(  INDEX( wx!91:91, AY$16 ),  AY$17 )</f>
        <v>2.0999999999999999E-3</v>
      </c>
      <c r="AZ91" s="548" t="str">
        <f t="shared" si="159"/>
        <v>M</v>
      </c>
      <c r="BA91" s="542">
        <f t="shared" si="160"/>
        <v>0.48220000000000002</v>
      </c>
      <c r="BB91" s="542">
        <f t="shared" si="161"/>
        <v>1.5E-3</v>
      </c>
      <c r="BC91" s="533">
        <f xml:space="preserve"> ROUND(  INDEX( Kx!91:91, BC$16 ),  BC$17 )</f>
        <v>12551.78</v>
      </c>
      <c r="BD91" s="533">
        <f xml:space="preserve"> ROUND(  INDEX( Kx!91:91, BD$16 ),  BD$17 )</f>
        <v>10162.08</v>
      </c>
      <c r="BE91" s="548" t="str">
        <f t="shared" si="170"/>
        <v>M</v>
      </c>
      <c r="BF91" s="542">
        <f t="shared" si="162"/>
        <v>0.48220000000000002</v>
      </c>
      <c r="BG91" s="420">
        <f t="shared" si="163"/>
        <v>11314.39</v>
      </c>
      <c r="BQ91" s="549"/>
      <c r="BR91" s="423"/>
      <c r="BS91" s="550"/>
      <c r="BT91" s="423"/>
      <c r="BU91" s="551"/>
      <c r="BV91" s="551"/>
      <c r="BW91" s="529"/>
      <c r="BX91" s="552"/>
      <c r="BY91" s="560"/>
      <c r="BZ91" s="559"/>
      <c r="CB91" s="423"/>
      <c r="CC91" s="423"/>
      <c r="CD91" s="423"/>
      <c r="CE91" s="423"/>
      <c r="CF91" s="553"/>
      <c r="CH91" s="423"/>
      <c r="CI91" s="423"/>
      <c r="CJ91" s="423"/>
      <c r="CK91" s="423"/>
      <c r="CL91" s="553"/>
      <c r="CN91" s="423"/>
      <c r="CO91" s="423"/>
      <c r="CP91" s="423"/>
      <c r="CQ91" s="423"/>
      <c r="CR91" s="553"/>
      <c r="EI91" s="553"/>
      <c r="EJ91" s="553"/>
      <c r="EK91" s="423"/>
      <c r="EL91" s="555"/>
      <c r="ES91" s="533"/>
      <c r="ET91" s="533"/>
      <c r="EU91" s="533"/>
      <c r="EV91" s="556"/>
      <c r="EY91" s="533"/>
      <c r="EZ91" s="533"/>
      <c r="FA91" s="556"/>
      <c r="FD91" s="556"/>
      <c r="FE91" s="556"/>
      <c r="FF91" s="556"/>
      <c r="FK91" s="557">
        <f t="shared" si="164"/>
        <v>91</v>
      </c>
      <c r="FL91" s="493">
        <f t="shared" si="171"/>
        <v>27.1599</v>
      </c>
      <c r="FM91" s="493">
        <f t="shared" si="172"/>
        <v>4.9309000000000003</v>
      </c>
      <c r="FO91" s="427">
        <f t="shared" si="173"/>
        <v>1540947.8499999999</v>
      </c>
      <c r="FP91" s="558">
        <f t="shared" si="165"/>
        <v>44134.02</v>
      </c>
      <c r="FQ91" s="558">
        <f t="shared" si="165"/>
        <v>43719.08</v>
      </c>
      <c r="FR91" s="558">
        <f t="shared" si="165"/>
        <v>43303.12</v>
      </c>
      <c r="FS91" s="558">
        <f t="shared" si="165"/>
        <v>42887.16</v>
      </c>
      <c r="FT91" s="558">
        <f t="shared" si="165"/>
        <v>42456.85</v>
      </c>
      <c r="FU91" s="558">
        <f t="shared" si="165"/>
        <v>42014.25</v>
      </c>
      <c r="FV91" s="558">
        <f t="shared" si="165"/>
        <v>41575.75</v>
      </c>
      <c r="FW91" s="558">
        <f t="shared" si="165"/>
        <v>41134.18</v>
      </c>
      <c r="FX91" s="558">
        <f t="shared" si="165"/>
        <v>40677.230000000003</v>
      </c>
      <c r="FY91" s="558">
        <f t="shared" si="165"/>
        <v>40201.85</v>
      </c>
      <c r="FZ91" s="558">
        <f t="shared" si="165"/>
        <v>39723.39</v>
      </c>
      <c r="GA91" s="558">
        <f t="shared" si="165"/>
        <v>39237.760000000002</v>
      </c>
      <c r="GB91" s="558">
        <f t="shared" si="165"/>
        <v>38740.86</v>
      </c>
      <c r="GC91" s="558">
        <f t="shared" si="165"/>
        <v>38241.910000000003</v>
      </c>
      <c r="GD91" s="558">
        <f t="shared" si="165"/>
        <v>37727.589999999997</v>
      </c>
      <c r="GE91" s="558">
        <f t="shared" si="165"/>
        <v>37209.17</v>
      </c>
      <c r="GF91" s="558">
        <f t="shared" si="134"/>
        <v>36675.39</v>
      </c>
      <c r="GG91" s="558">
        <f t="shared" si="134"/>
        <v>36129.31</v>
      </c>
      <c r="GH91" s="558">
        <f t="shared" si="134"/>
        <v>35567.86</v>
      </c>
      <c r="GI91" s="558">
        <f t="shared" si="134"/>
        <v>34990.019999999997</v>
      </c>
      <c r="GJ91" s="558">
        <f t="shared" si="134"/>
        <v>34394.769999999997</v>
      </c>
      <c r="GK91" s="558">
        <f t="shared" si="134"/>
        <v>33776.97</v>
      </c>
      <c r="GL91" s="558">
        <f t="shared" si="134"/>
        <v>33136.639999999999</v>
      </c>
      <c r="GM91" s="558">
        <f t="shared" si="134"/>
        <v>32472.74</v>
      </c>
      <c r="GN91" s="558">
        <f t="shared" si="134"/>
        <v>31782.2</v>
      </c>
      <c r="GO91" s="558">
        <f t="shared" si="134"/>
        <v>31070.14</v>
      </c>
      <c r="GP91" s="558">
        <f t="shared" si="134"/>
        <v>30333.5</v>
      </c>
      <c r="GQ91" s="558">
        <f t="shared" si="134"/>
        <v>29574.32</v>
      </c>
      <c r="GR91" s="558">
        <f t="shared" si="134"/>
        <v>28794.65</v>
      </c>
      <c r="GS91" s="558">
        <f t="shared" si="134"/>
        <v>27995.51</v>
      </c>
      <c r="GT91" s="558">
        <f t="shared" si="134"/>
        <v>27179.97</v>
      </c>
      <c r="GU91" s="558">
        <f t="shared" si="133"/>
        <v>26344.98</v>
      </c>
      <c r="GV91" s="558">
        <f t="shared" si="133"/>
        <v>25498.71</v>
      </c>
      <c r="GW91" s="558">
        <f t="shared" si="133"/>
        <v>24637.07</v>
      </c>
      <c r="GX91" s="558">
        <f t="shared" si="133"/>
        <v>23766.22</v>
      </c>
      <c r="GY91" s="558">
        <f t="shared" si="133"/>
        <v>22886.14</v>
      </c>
      <c r="GZ91" s="558">
        <f t="shared" si="133"/>
        <v>21995.82</v>
      </c>
      <c r="HA91" s="558">
        <f t="shared" si="133"/>
        <v>21098.32</v>
      </c>
      <c r="HB91" s="558">
        <f t="shared" si="133"/>
        <v>20187.509999999998</v>
      </c>
      <c r="HC91" s="558">
        <f t="shared" si="133"/>
        <v>19257.23</v>
      </c>
      <c r="HD91" s="558">
        <f t="shared" si="133"/>
        <v>18313.63</v>
      </c>
      <c r="HE91" s="558">
        <f t="shared" si="133"/>
        <v>17360.810000000001</v>
      </c>
      <c r="HF91" s="558">
        <f t="shared" si="133"/>
        <v>16395.689999999999</v>
      </c>
      <c r="HG91" s="558">
        <f t="shared" si="133"/>
        <v>15423.41</v>
      </c>
      <c r="HH91" s="558">
        <f t="shared" si="133"/>
        <v>14440.88</v>
      </c>
      <c r="HI91" s="558">
        <f t="shared" si="133"/>
        <v>13467.57</v>
      </c>
      <c r="HJ91" s="558">
        <f t="shared" si="133"/>
        <v>12486.06</v>
      </c>
      <c r="HK91" s="558">
        <f t="shared" si="166"/>
        <v>11510.7</v>
      </c>
      <c r="HL91" s="558">
        <f t="shared" si="166"/>
        <v>10542.51</v>
      </c>
      <c r="HM91" s="558">
        <f t="shared" si="166"/>
        <v>9578.42</v>
      </c>
      <c r="HN91" s="558">
        <f t="shared" si="166"/>
        <v>8784.4</v>
      </c>
      <c r="HO91" s="558">
        <f t="shared" si="166"/>
        <v>8014.98</v>
      </c>
      <c r="HP91" s="558">
        <f t="shared" si="166"/>
        <v>7278.33</v>
      </c>
      <c r="HQ91" s="558">
        <f t="shared" si="166"/>
        <v>6580.62</v>
      </c>
      <c r="HR91" s="558">
        <f t="shared" si="166"/>
        <v>5738.45</v>
      </c>
      <c r="HS91" s="558">
        <f t="shared" si="166"/>
        <v>4929.07</v>
      </c>
      <c r="HT91" s="558">
        <f t="shared" si="166"/>
        <v>4157.59</v>
      </c>
      <c r="HU91" s="558">
        <f t="shared" si="166"/>
        <v>3448.61</v>
      </c>
      <c r="HV91" s="558">
        <f t="shared" si="166"/>
        <v>2795.98</v>
      </c>
      <c r="HW91" s="558">
        <f t="shared" si="166"/>
        <v>2202.7800000000002</v>
      </c>
      <c r="HX91" s="558">
        <f t="shared" si="166"/>
        <v>1683.34</v>
      </c>
      <c r="HY91" s="558">
        <f t="shared" si="166"/>
        <v>1226.3900000000001</v>
      </c>
      <c r="HZ91" s="558">
        <f t="shared" si="166"/>
        <v>854.48</v>
      </c>
      <c r="IA91" s="558">
        <f t="shared" si="166"/>
        <v>555.32000000000005</v>
      </c>
      <c r="IB91" s="558">
        <f t="shared" si="166"/>
        <v>331.97</v>
      </c>
      <c r="IC91" s="558">
        <f t="shared" si="132"/>
        <v>183.41</v>
      </c>
      <c r="ID91" s="558">
        <f t="shared" si="132"/>
        <v>85.06</v>
      </c>
      <c r="IE91" s="558">
        <f t="shared" si="132"/>
        <v>16.41</v>
      </c>
      <c r="IF91" s="558">
        <f t="shared" si="132"/>
        <v>14.36</v>
      </c>
      <c r="IG91" s="558">
        <f t="shared" si="132"/>
        <v>10.27</v>
      </c>
      <c r="IH91" s="558">
        <f t="shared" si="132"/>
        <v>6.17</v>
      </c>
      <c r="II91" s="558">
        <f t="shared" si="132"/>
        <v>0.02</v>
      </c>
      <c r="IJ91" s="558" t="str">
        <f t="shared" si="132"/>
        <v>.</v>
      </c>
      <c r="IK91" s="558" t="str">
        <f t="shared" si="132"/>
        <v>.</v>
      </c>
      <c r="IL91" s="558" t="str">
        <f t="shared" si="132"/>
        <v>.</v>
      </c>
      <c r="IM91" s="558" t="str">
        <f t="shared" si="132"/>
        <v>.</v>
      </c>
      <c r="IN91" s="558" t="str">
        <f t="shared" si="132"/>
        <v>.</v>
      </c>
      <c r="IO91" s="558" t="str">
        <f t="shared" si="132"/>
        <v>.</v>
      </c>
      <c r="IP91" s="558" t="str">
        <f t="shared" si="132"/>
        <v>.</v>
      </c>
      <c r="IQ91" s="558" t="str">
        <f t="shared" si="132"/>
        <v>.</v>
      </c>
      <c r="IR91" s="558" t="str">
        <f t="shared" si="132"/>
        <v>.</v>
      </c>
      <c r="IS91" s="558" t="str">
        <f t="shared" si="132"/>
        <v>.</v>
      </c>
      <c r="IT91" s="558" t="str">
        <f t="shared" si="132"/>
        <v>.</v>
      </c>
      <c r="IU91" s="558" t="str">
        <f t="shared" si="132"/>
        <v>.</v>
      </c>
      <c r="IV91" s="558" t="str">
        <f t="shared" si="132"/>
        <v>.</v>
      </c>
      <c r="IW91" s="558" t="str">
        <f t="shared" si="132"/>
        <v>.</v>
      </c>
      <c r="IX91" s="558" t="str">
        <f t="shared" si="132"/>
        <v>.</v>
      </c>
      <c r="IY91" s="558" t="str">
        <f t="shared" si="132"/>
        <v>.</v>
      </c>
      <c r="IZ91" s="558" t="str">
        <f t="shared" si="132"/>
        <v>.</v>
      </c>
      <c r="JA91" s="558" t="str">
        <f t="shared" si="132"/>
        <v>.</v>
      </c>
      <c r="JB91" s="558" t="str">
        <f t="shared" ref="JB91:JE95" si="175" xml:space="preserve"> IF(  OR( JB$18&gt;$FK91, $FK91&gt;$FP$12 ),  LEER,  ROUND( $FO$19 * ( $FL91 - JB$15 * $FM91 ), JB$17 )  )</f>
        <v>.</v>
      </c>
      <c r="JC91" s="558" t="str">
        <f t="shared" si="175"/>
        <v>.</v>
      </c>
      <c r="JD91" s="558" t="str">
        <f t="shared" si="175"/>
        <v>.</v>
      </c>
      <c r="JE91" s="558" t="str">
        <f t="shared" si="175"/>
        <v>.</v>
      </c>
      <c r="JF91" s="558" t="str">
        <f t="shared" si="127"/>
        <v>.</v>
      </c>
      <c r="JG91" s="558" t="str">
        <f t="shared" si="127"/>
        <v>.</v>
      </c>
      <c r="JH91" s="558" t="str">
        <f t="shared" si="128"/>
        <v>.</v>
      </c>
      <c r="JI91" s="558" t="str">
        <f t="shared" si="128"/>
        <v>.</v>
      </c>
      <c r="JJ91" s="558" t="str">
        <f t="shared" si="128"/>
        <v>.</v>
      </c>
      <c r="JK91" s="558" t="str">
        <f t="shared" si="128"/>
        <v>.</v>
      </c>
      <c r="JL91" s="558" t="str">
        <f t="shared" si="128"/>
        <v>.</v>
      </c>
    </row>
    <row r="92" spans="1:272" ht="10.199999999999999" x14ac:dyDescent="0.2">
      <c r="A92" s="534">
        <f xml:space="preserve"> Basis!A92</f>
        <v>92</v>
      </c>
      <c r="F92" s="536">
        <f xml:space="preserve"> ROUND(    IF( $A$15=BE_MF_,   AW92,   INDEX( qx!92:92, F$16 ) ),    F$17    )</f>
        <v>0.14510000000000001</v>
      </c>
      <c r="G92" s="536">
        <f xml:space="preserve"> ROUND(    IF( $A$15=BE_MF_,   BB92,   INDEX( wx!92:92, G$16 ) ),    G$17    )</f>
        <v>1.4E-3</v>
      </c>
      <c r="H92" s="537">
        <f xml:space="preserve"> ROUND(    IF( $A$15=BE_MF_,   BG92,   INDEX( Kx!92:92, H$16 ) ),    H$17    )</f>
        <v>11317.65</v>
      </c>
      <c r="I92" s="538">
        <f t="shared" si="167"/>
        <v>11437.67</v>
      </c>
      <c r="J92" s="539">
        <f t="shared" si="135"/>
        <v>5.5049999999999999</v>
      </c>
      <c r="K92" s="540">
        <f t="shared" si="168"/>
        <v>0</v>
      </c>
      <c r="L92" s="541">
        <f t="shared" si="71"/>
        <v>0</v>
      </c>
      <c r="M92" s="541">
        <f t="shared" si="71"/>
        <v>8.5999999999999993E-2</v>
      </c>
      <c r="O92" s="542" t="b">
        <f t="shared" si="169"/>
        <v>1</v>
      </c>
      <c r="P92" s="493">
        <f t="shared" si="136"/>
        <v>0.14649999999999999</v>
      </c>
      <c r="Q92" s="493">
        <f t="shared" si="137"/>
        <v>0.85350000000000004</v>
      </c>
      <c r="R92" s="543">
        <f t="shared" si="138"/>
        <v>166088</v>
      </c>
      <c r="S92" s="544">
        <f t="shared" si="139"/>
        <v>0.97560975599999999</v>
      </c>
      <c r="T92" s="423">
        <f t="shared" si="140"/>
        <v>17129.419999999998</v>
      </c>
      <c r="U92" s="423">
        <f xml:space="preserve"> IF( $O92,    ROUND(  SUM( T92:T$120), U$17 ),  LEER  )</f>
        <v>79385.240000000005</v>
      </c>
      <c r="V92" s="493">
        <f t="shared" si="141"/>
        <v>4.6344000000000003</v>
      </c>
      <c r="W92" s="493">
        <f t="shared" si="142"/>
        <v>94297.46</v>
      </c>
      <c r="X92" s="493">
        <f xml:space="preserve"> IF( $O92,    ROUND(  SUM( W92:W$120), X$17 ),  LEER  )</f>
        <v>437324.79</v>
      </c>
      <c r="Y92" s="493">
        <f t="shared" si="143"/>
        <v>25.5306</v>
      </c>
      <c r="Z92" s="493">
        <f t="shared" si="144"/>
        <v>5.5088999999999997</v>
      </c>
      <c r="AA92" s="493">
        <f t="shared" si="145"/>
        <v>1</v>
      </c>
      <c r="AB92" s="493">
        <f t="shared" si="146"/>
        <v>2.3494000000000002</v>
      </c>
      <c r="AC92" s="545">
        <f t="shared" si="147"/>
        <v>0.32679999999999998</v>
      </c>
      <c r="AD92" s="493">
        <f t="shared" si="148"/>
        <v>5.5088999999999997</v>
      </c>
      <c r="AE92" s="493">
        <f t="shared" si="149"/>
        <v>6.3848000000000003</v>
      </c>
      <c r="AF92" s="493">
        <f t="shared" si="150"/>
        <v>6.3848000000000003</v>
      </c>
      <c r="AG92" s="493" t="str">
        <f t="shared" si="151"/>
        <v>.</v>
      </c>
      <c r="AH92" s="493" t="str">
        <f t="shared" si="152"/>
        <v>.</v>
      </c>
      <c r="AI92" s="423">
        <f t="shared" si="153"/>
        <v>2077.79</v>
      </c>
      <c r="AJ92" s="423">
        <f t="shared" si="154"/>
        <v>13266.27</v>
      </c>
      <c r="AK92" s="423">
        <f t="shared" si="155"/>
        <v>1105.52</v>
      </c>
      <c r="AN92" s="423">
        <f t="shared" si="129"/>
        <v>35193.519999999997</v>
      </c>
      <c r="AO92" s="423">
        <f t="shared" si="129"/>
        <v>34979.75</v>
      </c>
      <c r="AR92" s="546">
        <f xml:space="preserve"> ROUND(  INDEX( Kx!92:92, AR$16 ),  AR$17 )</f>
        <v>0.36759999999999998</v>
      </c>
      <c r="AS92" s="547">
        <f xml:space="preserve"> ROUND(  INDEX( qx!92:92, AS$16 ),  AS$17 )</f>
        <v>0.17100000000000001</v>
      </c>
      <c r="AT92" s="547">
        <f xml:space="preserve"> ROUND(  INDEX( qx!92:92, AT$16 ),  AT$17 )</f>
        <v>0.1351</v>
      </c>
      <c r="AU92" s="548" t="str">
        <f t="shared" si="156"/>
        <v>F</v>
      </c>
      <c r="AV92" s="542">
        <f t="shared" si="157"/>
        <v>0.27929999999999999</v>
      </c>
      <c r="AW92" s="542">
        <f t="shared" si="158"/>
        <v>0.14510000000000001</v>
      </c>
      <c r="AX92" s="546">
        <f xml:space="preserve"> ROUND(  INDEX( wx!92:92, AX$16 ),  AX$17 )</f>
        <v>6.9999999999999999E-4</v>
      </c>
      <c r="AY92" s="546">
        <f xml:space="preserve"> ROUND(  INDEX( wx!92:92, AY$16 ),  AY$17 )</f>
        <v>2.0999999999999999E-3</v>
      </c>
      <c r="AZ92" s="548" t="str">
        <f t="shared" si="159"/>
        <v>M</v>
      </c>
      <c r="BA92" s="542">
        <f t="shared" si="160"/>
        <v>0.46579999999999999</v>
      </c>
      <c r="BB92" s="542">
        <f t="shared" si="161"/>
        <v>1.4E-3</v>
      </c>
      <c r="BC92" s="533">
        <f xml:space="preserve"> ROUND(  INDEX( Kx!92:92, BC$16 ),  BC$17 )</f>
        <v>12633.61</v>
      </c>
      <c r="BD92" s="533">
        <f xml:space="preserve"> ROUND(  INDEX( Kx!92:92, BD$16 ),  BD$17 )</f>
        <v>10170.18</v>
      </c>
      <c r="BE92" s="548" t="str">
        <f t="shared" si="170"/>
        <v>M</v>
      </c>
      <c r="BF92" s="542">
        <f t="shared" si="162"/>
        <v>0.46579999999999999</v>
      </c>
      <c r="BG92" s="420">
        <f t="shared" si="163"/>
        <v>11317.65</v>
      </c>
      <c r="BQ92" s="549"/>
      <c r="BR92" s="423"/>
      <c r="BS92" s="550"/>
      <c r="BT92" s="423"/>
      <c r="BU92" s="551"/>
      <c r="BV92" s="551"/>
      <c r="BW92" s="529"/>
      <c r="BX92" s="552"/>
      <c r="BY92" s="560"/>
      <c r="BZ92" s="559"/>
      <c r="CB92" s="423"/>
      <c r="CC92" s="423"/>
      <c r="CD92" s="423"/>
      <c r="CE92" s="423"/>
      <c r="CF92" s="553"/>
      <c r="CH92" s="423"/>
      <c r="CI92" s="423"/>
      <c r="CJ92" s="423"/>
      <c r="CK92" s="423"/>
      <c r="CL92" s="553"/>
      <c r="CN92" s="423"/>
      <c r="CO92" s="423"/>
      <c r="CP92" s="423"/>
      <c r="CQ92" s="423"/>
      <c r="CR92" s="553"/>
      <c r="EI92" s="553"/>
      <c r="EJ92" s="553"/>
      <c r="EK92" s="423"/>
      <c r="EL92" s="555"/>
      <c r="ES92" s="533"/>
      <c r="ET92" s="533"/>
      <c r="EU92" s="533"/>
      <c r="EV92" s="556"/>
      <c r="EY92" s="533"/>
      <c r="EZ92" s="533"/>
      <c r="FA92" s="556"/>
      <c r="FD92" s="556"/>
      <c r="FE92" s="556"/>
      <c r="FF92" s="556"/>
      <c r="FK92" s="557">
        <f t="shared" si="164"/>
        <v>92</v>
      </c>
      <c r="FL92" s="493">
        <f t="shared" si="171"/>
        <v>25.5306</v>
      </c>
      <c r="FM92" s="493">
        <f t="shared" si="172"/>
        <v>4.6344000000000003</v>
      </c>
      <c r="FO92" s="427">
        <f t="shared" si="173"/>
        <v>1448865.6099999996</v>
      </c>
      <c r="FP92" s="558">
        <f t="shared" si="165"/>
        <v>41488.199999999997</v>
      </c>
      <c r="FQ92" s="558">
        <f t="shared" si="165"/>
        <v>41098.21</v>
      </c>
      <c r="FR92" s="558">
        <f t="shared" si="165"/>
        <v>40707.26</v>
      </c>
      <c r="FS92" s="558">
        <f t="shared" si="165"/>
        <v>40316.31</v>
      </c>
      <c r="FT92" s="558">
        <f t="shared" si="165"/>
        <v>39911.879999999997</v>
      </c>
      <c r="FU92" s="558">
        <f t="shared" si="165"/>
        <v>39495.9</v>
      </c>
      <c r="FV92" s="558">
        <f t="shared" si="165"/>
        <v>39083.760000000002</v>
      </c>
      <c r="FW92" s="558">
        <f t="shared" si="165"/>
        <v>38668.74</v>
      </c>
      <c r="FX92" s="558">
        <f t="shared" si="165"/>
        <v>38239.269999999997</v>
      </c>
      <c r="FY92" s="558">
        <f t="shared" si="165"/>
        <v>37792.47</v>
      </c>
      <c r="FZ92" s="558">
        <f t="shared" si="165"/>
        <v>37342.78</v>
      </c>
      <c r="GA92" s="558">
        <f t="shared" si="165"/>
        <v>36886.35</v>
      </c>
      <c r="GB92" s="558">
        <f t="shared" si="165"/>
        <v>36419.33</v>
      </c>
      <c r="GC92" s="558">
        <f t="shared" si="165"/>
        <v>35950.39</v>
      </c>
      <c r="GD92" s="558">
        <f t="shared" si="165"/>
        <v>35466.99</v>
      </c>
      <c r="GE92" s="558">
        <f t="shared" si="165"/>
        <v>34979.75</v>
      </c>
      <c r="GF92" s="558">
        <f t="shared" si="134"/>
        <v>34478.06</v>
      </c>
      <c r="GG92" s="558">
        <f t="shared" si="134"/>
        <v>33964.82</v>
      </c>
      <c r="GH92" s="558">
        <f t="shared" si="134"/>
        <v>33437.14</v>
      </c>
      <c r="GI92" s="558">
        <f t="shared" si="134"/>
        <v>32894.04</v>
      </c>
      <c r="GJ92" s="558">
        <f t="shared" si="134"/>
        <v>32334.58</v>
      </c>
      <c r="GK92" s="558">
        <f t="shared" si="134"/>
        <v>31753.93</v>
      </c>
      <c r="GL92" s="558">
        <f t="shared" si="134"/>
        <v>31152.1</v>
      </c>
      <c r="GM92" s="558">
        <f t="shared" si="134"/>
        <v>30528.12</v>
      </c>
      <c r="GN92" s="558">
        <f t="shared" si="134"/>
        <v>29879.11</v>
      </c>
      <c r="GO92" s="558">
        <f t="shared" si="134"/>
        <v>29209.87</v>
      </c>
      <c r="GP92" s="558">
        <f t="shared" si="134"/>
        <v>28517.52</v>
      </c>
      <c r="GQ92" s="558">
        <f t="shared" si="134"/>
        <v>27803.99</v>
      </c>
      <c r="GR92" s="558">
        <f t="shared" si="134"/>
        <v>27071.200000000001</v>
      </c>
      <c r="GS92" s="558">
        <f t="shared" si="134"/>
        <v>26320.11</v>
      </c>
      <c r="GT92" s="558">
        <f t="shared" si="134"/>
        <v>25553.62</v>
      </c>
      <c r="GU92" s="558">
        <f t="shared" si="133"/>
        <v>24768.83</v>
      </c>
      <c r="GV92" s="558">
        <f t="shared" si="133"/>
        <v>23973.45</v>
      </c>
      <c r="GW92" s="558">
        <f t="shared" si="133"/>
        <v>23163.62</v>
      </c>
      <c r="GX92" s="558">
        <f t="shared" si="133"/>
        <v>22345.13</v>
      </c>
      <c r="GY92" s="558">
        <f t="shared" si="133"/>
        <v>21517.98</v>
      </c>
      <c r="GZ92" s="558">
        <f t="shared" si="133"/>
        <v>20681.189999999999</v>
      </c>
      <c r="HA92" s="558">
        <f t="shared" si="133"/>
        <v>19837.66</v>
      </c>
      <c r="HB92" s="558">
        <f t="shared" si="133"/>
        <v>18981.62</v>
      </c>
      <c r="HC92" s="558">
        <f t="shared" si="133"/>
        <v>18107.27</v>
      </c>
      <c r="HD92" s="558">
        <f t="shared" si="133"/>
        <v>17220.41</v>
      </c>
      <c r="HE92" s="558">
        <f t="shared" si="133"/>
        <v>16324.89</v>
      </c>
      <c r="HF92" s="558">
        <f t="shared" si="133"/>
        <v>15417.81</v>
      </c>
      <c r="HG92" s="558">
        <f t="shared" si="133"/>
        <v>14503.99</v>
      </c>
      <c r="HH92" s="558">
        <f t="shared" si="133"/>
        <v>13580.54</v>
      </c>
      <c r="HI92" s="558">
        <f t="shared" si="133"/>
        <v>12665.75</v>
      </c>
      <c r="HJ92" s="558">
        <f t="shared" si="133"/>
        <v>11743.26</v>
      </c>
      <c r="HK92" s="558">
        <f t="shared" si="166"/>
        <v>10826.55</v>
      </c>
      <c r="HL92" s="558">
        <f t="shared" si="166"/>
        <v>9916.58</v>
      </c>
      <c r="HM92" s="558">
        <f t="shared" si="166"/>
        <v>9010.4599999999991</v>
      </c>
      <c r="HN92" s="558">
        <f t="shared" si="166"/>
        <v>8264.19</v>
      </c>
      <c r="HO92" s="558">
        <f t="shared" si="166"/>
        <v>7541.03</v>
      </c>
      <c r="HP92" s="558">
        <f t="shared" si="166"/>
        <v>6848.68</v>
      </c>
      <c r="HQ92" s="558">
        <f t="shared" si="166"/>
        <v>6192.93</v>
      </c>
      <c r="HR92" s="558">
        <f t="shared" si="166"/>
        <v>5401.4</v>
      </c>
      <c r="HS92" s="558">
        <f t="shared" si="166"/>
        <v>4640.68</v>
      </c>
      <c r="HT92" s="558">
        <f t="shared" si="166"/>
        <v>3915.6</v>
      </c>
      <c r="HU92" s="558">
        <f t="shared" si="166"/>
        <v>3249.25</v>
      </c>
      <c r="HV92" s="558">
        <f t="shared" si="166"/>
        <v>2635.86</v>
      </c>
      <c r="HW92" s="558">
        <f t="shared" si="166"/>
        <v>2078.3200000000002</v>
      </c>
      <c r="HX92" s="558">
        <f t="shared" si="166"/>
        <v>1590.12</v>
      </c>
      <c r="HY92" s="558">
        <f t="shared" si="166"/>
        <v>1160.6500000000001</v>
      </c>
      <c r="HZ92" s="558">
        <f t="shared" si="166"/>
        <v>811.11</v>
      </c>
      <c r="IA92" s="558">
        <f t="shared" si="166"/>
        <v>529.92999999999995</v>
      </c>
      <c r="IB92" s="558">
        <f t="shared" si="166"/>
        <v>320.01</v>
      </c>
      <c r="IC92" s="558">
        <f t="shared" si="132"/>
        <v>180.39</v>
      </c>
      <c r="ID92" s="558">
        <f t="shared" si="132"/>
        <v>87.95</v>
      </c>
      <c r="IE92" s="558">
        <f t="shared" si="132"/>
        <v>23.43</v>
      </c>
      <c r="IF92" s="558">
        <f t="shared" si="132"/>
        <v>21.5</v>
      </c>
      <c r="IG92" s="558">
        <f t="shared" si="132"/>
        <v>17.649999999999999</v>
      </c>
      <c r="IH92" s="558">
        <f t="shared" si="132"/>
        <v>13.8</v>
      </c>
      <c r="II92" s="558">
        <f t="shared" si="132"/>
        <v>8.02</v>
      </c>
      <c r="IJ92" s="558">
        <f t="shared" si="132"/>
        <v>0.32</v>
      </c>
      <c r="IK92" s="558" t="str">
        <f t="shared" si="132"/>
        <v>.</v>
      </c>
      <c r="IL92" s="558" t="str">
        <f t="shared" si="132"/>
        <v>.</v>
      </c>
      <c r="IM92" s="558" t="str">
        <f t="shared" si="132"/>
        <v>.</v>
      </c>
      <c r="IN92" s="558" t="str">
        <f t="shared" si="132"/>
        <v>.</v>
      </c>
      <c r="IO92" s="558" t="str">
        <f t="shared" si="132"/>
        <v>.</v>
      </c>
      <c r="IP92" s="558" t="str">
        <f t="shared" si="132"/>
        <v>.</v>
      </c>
      <c r="IQ92" s="558" t="str">
        <f t="shared" si="132"/>
        <v>.</v>
      </c>
      <c r="IR92" s="558" t="str">
        <f t="shared" si="132"/>
        <v>.</v>
      </c>
      <c r="IS92" s="558" t="str">
        <f t="shared" si="132"/>
        <v>.</v>
      </c>
      <c r="IT92" s="558" t="str">
        <f t="shared" si="132"/>
        <v>.</v>
      </c>
      <c r="IU92" s="558" t="str">
        <f t="shared" si="132"/>
        <v>.</v>
      </c>
      <c r="IV92" s="558" t="str">
        <f t="shared" si="132"/>
        <v>.</v>
      </c>
      <c r="IW92" s="558" t="str">
        <f t="shared" si="132"/>
        <v>.</v>
      </c>
      <c r="IX92" s="558" t="str">
        <f t="shared" si="132"/>
        <v>.</v>
      </c>
      <c r="IY92" s="558" t="str">
        <f t="shared" si="132"/>
        <v>.</v>
      </c>
      <c r="IZ92" s="558" t="str">
        <f t="shared" si="132"/>
        <v>.</v>
      </c>
      <c r="JA92" s="558" t="str">
        <f t="shared" si="132"/>
        <v>.</v>
      </c>
      <c r="JB92" s="558" t="str">
        <f t="shared" si="175"/>
        <v>.</v>
      </c>
      <c r="JC92" s="558" t="str">
        <f t="shared" si="175"/>
        <v>.</v>
      </c>
      <c r="JD92" s="558" t="str">
        <f t="shared" si="175"/>
        <v>.</v>
      </c>
      <c r="JE92" s="558" t="str">
        <f t="shared" si="175"/>
        <v>.</v>
      </c>
      <c r="JF92" s="558" t="str">
        <f t="shared" si="127"/>
        <v>.</v>
      </c>
      <c r="JG92" s="558" t="str">
        <f t="shared" si="127"/>
        <v>.</v>
      </c>
      <c r="JH92" s="558" t="str">
        <f t="shared" si="128"/>
        <v>.</v>
      </c>
      <c r="JI92" s="558" t="str">
        <f t="shared" si="128"/>
        <v>.</v>
      </c>
      <c r="JJ92" s="558" t="str">
        <f t="shared" si="128"/>
        <v>.</v>
      </c>
      <c r="JK92" s="558" t="str">
        <f t="shared" si="128"/>
        <v>.</v>
      </c>
      <c r="JL92" s="558" t="str">
        <f t="shared" si="128"/>
        <v>.</v>
      </c>
    </row>
    <row r="93" spans="1:272" ht="10.199999999999999" x14ac:dyDescent="0.2">
      <c r="A93" s="534">
        <f xml:space="preserve"> Basis!A93</f>
        <v>93</v>
      </c>
      <c r="F93" s="536">
        <f xml:space="preserve"> ROUND(    IF( $A$15=BE_MF_,   AW93,   INDEX( qx!93:93, F$16 ) ),    F$17    )</f>
        <v>0.16289999999999999</v>
      </c>
      <c r="G93" s="536">
        <f xml:space="preserve"> ROUND(    IF( $A$15=BE_MF_,   BB93,   INDEX( wx!93:93, G$16 ) ),    G$17    )</f>
        <v>1.4E-3</v>
      </c>
      <c r="H93" s="537">
        <f xml:space="preserve"> ROUND(    IF( $A$15=BE_MF_,   BG93,   INDEX( Kx!93:93, H$16 ) ),    H$17    )</f>
        <v>11366.2</v>
      </c>
      <c r="I93" s="538">
        <f t="shared" si="167"/>
        <v>11437.67</v>
      </c>
      <c r="J93" s="539">
        <f t="shared" si="135"/>
        <v>5.5049999999999999</v>
      </c>
      <c r="K93" s="540">
        <f t="shared" si="168"/>
        <v>0</v>
      </c>
      <c r="L93" s="541">
        <f t="shared" si="71"/>
        <v>0</v>
      </c>
      <c r="M93" s="541">
        <f t="shared" si="71"/>
        <v>8.5999999999999993E-2</v>
      </c>
      <c r="O93" s="542" t="b">
        <f t="shared" si="169"/>
        <v>1</v>
      </c>
      <c r="P93" s="493">
        <f t="shared" si="136"/>
        <v>0.1643</v>
      </c>
      <c r="Q93" s="493">
        <f t="shared" si="137"/>
        <v>0.8357</v>
      </c>
      <c r="R93" s="543">
        <f t="shared" si="138"/>
        <v>141756</v>
      </c>
      <c r="S93" s="544">
        <f t="shared" si="139"/>
        <v>0.97560975599999999</v>
      </c>
      <c r="T93" s="423">
        <f t="shared" si="140"/>
        <v>14263.36</v>
      </c>
      <c r="U93" s="423">
        <f xml:space="preserve"> IF( $O93,    ROUND(  SUM( T93:T$120), U$17 ),  LEER  )</f>
        <v>62255.82</v>
      </c>
      <c r="V93" s="493">
        <f t="shared" si="141"/>
        <v>4.3647</v>
      </c>
      <c r="W93" s="493">
        <f t="shared" si="142"/>
        <v>78519.8</v>
      </c>
      <c r="X93" s="493">
        <f xml:space="preserve"> IF( $O93,    ROUND(  SUM( W93:W$120), X$17 ),  LEER  )</f>
        <v>343027.33</v>
      </c>
      <c r="Y93" s="493">
        <f t="shared" si="143"/>
        <v>24.049499999999998</v>
      </c>
      <c r="Z93" s="493">
        <f t="shared" si="144"/>
        <v>5.51</v>
      </c>
      <c r="AA93" s="493">
        <f t="shared" si="145"/>
        <v>1</v>
      </c>
      <c r="AB93" s="493">
        <f t="shared" si="146"/>
        <v>2.3494000000000002</v>
      </c>
      <c r="AC93" s="545">
        <f t="shared" si="147"/>
        <v>0.32679999999999998</v>
      </c>
      <c r="AD93" s="493">
        <f t="shared" si="148"/>
        <v>5.51</v>
      </c>
      <c r="AE93" s="493">
        <f t="shared" si="149"/>
        <v>6.3860000000000001</v>
      </c>
      <c r="AF93" s="493">
        <f t="shared" si="150"/>
        <v>6.3860000000000001</v>
      </c>
      <c r="AG93" s="493" t="str">
        <f t="shared" si="151"/>
        <v>.</v>
      </c>
      <c r="AH93" s="493" t="str">
        <f t="shared" si="152"/>
        <v>.</v>
      </c>
      <c r="AI93" s="423">
        <f t="shared" si="153"/>
        <v>2077.79</v>
      </c>
      <c r="AJ93" s="423">
        <f t="shared" si="154"/>
        <v>13268.77</v>
      </c>
      <c r="AK93" s="423">
        <f t="shared" si="155"/>
        <v>1105.73</v>
      </c>
      <c r="AN93" s="423">
        <f t="shared" si="129"/>
        <v>33155.11</v>
      </c>
      <c r="AO93" s="423">
        <f t="shared" si="129"/>
        <v>32953.78</v>
      </c>
      <c r="AR93" s="546">
        <f xml:space="preserve"> ROUND(  INDEX( Kx!93:93, AR$16 ),  AR$17 )</f>
        <v>0.37009999999999998</v>
      </c>
      <c r="AS93" s="547">
        <f xml:space="preserve"> ROUND(  INDEX( qx!93:93, AS$16 ),  AS$17 )</f>
        <v>0.19109999999999999</v>
      </c>
      <c r="AT93" s="547">
        <f xml:space="preserve"> ROUND(  INDEX( qx!93:93, AT$16 ),  AT$17 )</f>
        <v>0.15179999999999999</v>
      </c>
      <c r="AU93" s="548" t="str">
        <f t="shared" si="156"/>
        <v>F</v>
      </c>
      <c r="AV93" s="542">
        <f t="shared" si="157"/>
        <v>0.28149999999999997</v>
      </c>
      <c r="AW93" s="542">
        <f t="shared" si="158"/>
        <v>0.16289999999999999</v>
      </c>
      <c r="AX93" s="546">
        <f xml:space="preserve"> ROUND(  INDEX( wx!93:93, AX$16 ),  AX$17 )</f>
        <v>5.9999999999999995E-4</v>
      </c>
      <c r="AY93" s="546">
        <f xml:space="preserve"> ROUND(  INDEX( wx!93:93, AY$16 ),  AY$17 )</f>
        <v>2.0999999999999999E-3</v>
      </c>
      <c r="AZ93" s="548" t="str">
        <f t="shared" si="159"/>
        <v>M</v>
      </c>
      <c r="BA93" s="542">
        <f t="shared" si="160"/>
        <v>0.46850000000000003</v>
      </c>
      <c r="BB93" s="542">
        <f t="shared" si="161"/>
        <v>1.4E-3</v>
      </c>
      <c r="BC93" s="533">
        <f xml:space="preserve"> ROUND(  INDEX( Kx!93:93, BC$16 ),  BC$17 )</f>
        <v>12713.37</v>
      </c>
      <c r="BD93" s="533">
        <f xml:space="preserve"> ROUND(  INDEX( Kx!93:93, BD$16 ),  BD$17 )</f>
        <v>10178.709999999999</v>
      </c>
      <c r="BE93" s="548" t="str">
        <f t="shared" si="170"/>
        <v>M</v>
      </c>
      <c r="BF93" s="542">
        <f t="shared" si="162"/>
        <v>0.46850000000000003</v>
      </c>
      <c r="BG93" s="420">
        <f t="shared" si="163"/>
        <v>11366.2</v>
      </c>
      <c r="BQ93" s="549"/>
      <c r="BR93" s="423"/>
      <c r="BS93" s="550"/>
      <c r="BT93" s="423"/>
      <c r="BU93" s="551"/>
      <c r="BV93" s="551"/>
      <c r="BW93" s="529"/>
      <c r="BX93" s="552"/>
      <c r="BY93" s="560"/>
      <c r="BZ93" s="559"/>
      <c r="CB93" s="423"/>
      <c r="CC93" s="423"/>
      <c r="CD93" s="423"/>
      <c r="CE93" s="423"/>
      <c r="CF93" s="553"/>
      <c r="CH93" s="423"/>
      <c r="CI93" s="423"/>
      <c r="CJ93" s="423"/>
      <c r="CK93" s="423"/>
      <c r="CL93" s="553"/>
      <c r="CN93" s="423"/>
      <c r="CO93" s="423"/>
      <c r="CP93" s="423"/>
      <c r="CQ93" s="423"/>
      <c r="CR93" s="553"/>
      <c r="EI93" s="553"/>
      <c r="EJ93" s="553"/>
      <c r="EK93" s="423"/>
      <c r="EL93" s="555"/>
      <c r="ES93" s="533"/>
      <c r="ET93" s="533"/>
      <c r="EU93" s="533"/>
      <c r="EV93" s="556"/>
      <c r="EY93" s="533"/>
      <c r="EZ93" s="533"/>
      <c r="FA93" s="556"/>
      <c r="FD93" s="556"/>
      <c r="FE93" s="556"/>
      <c r="FF93" s="556"/>
      <c r="FK93" s="557">
        <f t="shared" si="164"/>
        <v>93</v>
      </c>
      <c r="FL93" s="493">
        <f t="shared" si="171"/>
        <v>24.049499999999998</v>
      </c>
      <c r="FM93" s="493">
        <f t="shared" si="172"/>
        <v>4.3647</v>
      </c>
      <c r="FO93" s="427">
        <f t="shared" si="173"/>
        <v>1365255.3499999999</v>
      </c>
      <c r="FP93" s="558">
        <f t="shared" si="165"/>
        <v>39083.47</v>
      </c>
      <c r="FQ93" s="558">
        <f t="shared" si="165"/>
        <v>38716.18</v>
      </c>
      <c r="FR93" s="558">
        <f t="shared" si="165"/>
        <v>38347.980000000003</v>
      </c>
      <c r="FS93" s="558">
        <f t="shared" si="165"/>
        <v>37979.78</v>
      </c>
      <c r="FT93" s="558">
        <f t="shared" si="165"/>
        <v>37598.879999999997</v>
      </c>
      <c r="FU93" s="558">
        <f t="shared" si="165"/>
        <v>37207.11</v>
      </c>
      <c r="FV93" s="558">
        <f t="shared" si="165"/>
        <v>36818.959999999999</v>
      </c>
      <c r="FW93" s="558">
        <f t="shared" si="165"/>
        <v>36428.080000000002</v>
      </c>
      <c r="FX93" s="558">
        <f t="shared" si="165"/>
        <v>36023.61</v>
      </c>
      <c r="FY93" s="558">
        <f t="shared" si="165"/>
        <v>35602.81</v>
      </c>
      <c r="FZ93" s="558">
        <f t="shared" si="165"/>
        <v>35179.29</v>
      </c>
      <c r="GA93" s="558">
        <f t="shared" si="165"/>
        <v>34749.43</v>
      </c>
      <c r="GB93" s="558">
        <f t="shared" si="165"/>
        <v>34309.58</v>
      </c>
      <c r="GC93" s="558">
        <f t="shared" si="165"/>
        <v>33867.93</v>
      </c>
      <c r="GD93" s="558">
        <f t="shared" si="165"/>
        <v>33412.67</v>
      </c>
      <c r="GE93" s="558">
        <f t="shared" si="165"/>
        <v>32953.78</v>
      </c>
      <c r="GF93" s="558">
        <f t="shared" si="134"/>
        <v>32481.29</v>
      </c>
      <c r="GG93" s="558">
        <f t="shared" si="134"/>
        <v>31997.91</v>
      </c>
      <c r="GH93" s="558">
        <f t="shared" si="134"/>
        <v>31500.93</v>
      </c>
      <c r="GI93" s="558">
        <f t="shared" si="134"/>
        <v>30989.45</v>
      </c>
      <c r="GJ93" s="558">
        <f t="shared" si="134"/>
        <v>30462.54</v>
      </c>
      <c r="GK93" s="558">
        <f t="shared" si="134"/>
        <v>29915.69</v>
      </c>
      <c r="GL93" s="558">
        <f t="shared" si="134"/>
        <v>29348.880000000001</v>
      </c>
      <c r="GM93" s="558">
        <f t="shared" si="134"/>
        <v>28761.21</v>
      </c>
      <c r="GN93" s="558">
        <f t="shared" si="134"/>
        <v>28149.96</v>
      </c>
      <c r="GO93" s="558">
        <f t="shared" si="134"/>
        <v>27519.67</v>
      </c>
      <c r="GP93" s="558">
        <f t="shared" si="134"/>
        <v>26867.62</v>
      </c>
      <c r="GQ93" s="558">
        <f t="shared" si="134"/>
        <v>26195.61</v>
      </c>
      <c r="GR93" s="558">
        <f t="shared" si="134"/>
        <v>25505.47</v>
      </c>
      <c r="GS93" s="558">
        <f t="shared" si="134"/>
        <v>24798.09</v>
      </c>
      <c r="GT93" s="558">
        <f t="shared" si="134"/>
        <v>24076.2</v>
      </c>
      <c r="GU93" s="558">
        <f t="shared" si="133"/>
        <v>23337.08</v>
      </c>
      <c r="GV93" s="558">
        <f t="shared" si="133"/>
        <v>22587.99</v>
      </c>
      <c r="GW93" s="558">
        <f t="shared" si="133"/>
        <v>21825.29</v>
      </c>
      <c r="GX93" s="558">
        <f t="shared" si="133"/>
        <v>21054.43</v>
      </c>
      <c r="GY93" s="558">
        <f t="shared" si="133"/>
        <v>20275.41</v>
      </c>
      <c r="GZ93" s="558">
        <f t="shared" si="133"/>
        <v>19487.32</v>
      </c>
      <c r="HA93" s="558">
        <f t="shared" si="133"/>
        <v>18692.88</v>
      </c>
      <c r="HB93" s="558">
        <f t="shared" si="133"/>
        <v>17886.66</v>
      </c>
      <c r="HC93" s="558">
        <f t="shared" si="133"/>
        <v>17063.2</v>
      </c>
      <c r="HD93" s="558">
        <f t="shared" si="133"/>
        <v>16227.95</v>
      </c>
      <c r="HE93" s="558">
        <f t="shared" si="133"/>
        <v>15384.54</v>
      </c>
      <c r="HF93" s="558">
        <f t="shared" si="133"/>
        <v>14530.25</v>
      </c>
      <c r="HG93" s="558">
        <f t="shared" si="133"/>
        <v>13669.6</v>
      </c>
      <c r="HH93" s="558">
        <f t="shared" si="133"/>
        <v>12799.89</v>
      </c>
      <c r="HI93" s="558">
        <f t="shared" si="133"/>
        <v>11938.35</v>
      </c>
      <c r="HJ93" s="558">
        <f t="shared" si="133"/>
        <v>11069.54</v>
      </c>
      <c r="HK93" s="558">
        <f t="shared" si="166"/>
        <v>10206.18</v>
      </c>
      <c r="HL93" s="558">
        <f t="shared" si="166"/>
        <v>9349.17</v>
      </c>
      <c r="HM93" s="558">
        <f t="shared" si="166"/>
        <v>8495.7800000000007</v>
      </c>
      <c r="HN93" s="558">
        <f t="shared" si="166"/>
        <v>7792.94</v>
      </c>
      <c r="HO93" s="558">
        <f t="shared" si="166"/>
        <v>7111.86</v>
      </c>
      <c r="HP93" s="558">
        <f t="shared" si="166"/>
        <v>6459.81</v>
      </c>
      <c r="HQ93" s="558">
        <f t="shared" si="166"/>
        <v>5842.21</v>
      </c>
      <c r="HR93" s="558">
        <f t="shared" si="166"/>
        <v>5096.74</v>
      </c>
      <c r="HS93" s="558">
        <f t="shared" si="166"/>
        <v>4380.3</v>
      </c>
      <c r="HT93" s="558">
        <f t="shared" si="166"/>
        <v>3697.41</v>
      </c>
      <c r="HU93" s="558">
        <f t="shared" si="166"/>
        <v>3069.84</v>
      </c>
      <c r="HV93" s="558">
        <f t="shared" si="166"/>
        <v>2492.15</v>
      </c>
      <c r="HW93" s="558">
        <f t="shared" si="166"/>
        <v>1967.06</v>
      </c>
      <c r="HX93" s="558">
        <f t="shared" si="166"/>
        <v>1507.26</v>
      </c>
      <c r="HY93" s="558">
        <f t="shared" si="166"/>
        <v>1102.79</v>
      </c>
      <c r="HZ93" s="558">
        <f t="shared" si="166"/>
        <v>773.59</v>
      </c>
      <c r="IA93" s="558">
        <f t="shared" si="166"/>
        <v>508.77</v>
      </c>
      <c r="IB93" s="558">
        <f t="shared" si="166"/>
        <v>311.07</v>
      </c>
      <c r="IC93" s="558">
        <f t="shared" si="132"/>
        <v>179.57</v>
      </c>
      <c r="ID93" s="558">
        <f t="shared" si="132"/>
        <v>92.51</v>
      </c>
      <c r="IE93" s="558">
        <f t="shared" si="132"/>
        <v>31.75</v>
      </c>
      <c r="IF93" s="558">
        <f t="shared" si="132"/>
        <v>29.93</v>
      </c>
      <c r="IG93" s="558">
        <f t="shared" si="132"/>
        <v>26.31</v>
      </c>
      <c r="IH93" s="558">
        <f t="shared" si="132"/>
        <v>22.68</v>
      </c>
      <c r="II93" s="558">
        <f t="shared" si="132"/>
        <v>17.239999999999998</v>
      </c>
      <c r="IJ93" s="558">
        <f t="shared" si="132"/>
        <v>9.98</v>
      </c>
      <c r="IK93" s="558">
        <f t="shared" si="132"/>
        <v>0.01</v>
      </c>
      <c r="IL93" s="558" t="str">
        <f t="shared" si="132"/>
        <v>.</v>
      </c>
      <c r="IM93" s="558" t="str">
        <f t="shared" si="132"/>
        <v>.</v>
      </c>
      <c r="IN93" s="558" t="str">
        <f t="shared" si="132"/>
        <v>.</v>
      </c>
      <c r="IO93" s="558" t="str">
        <f t="shared" si="132"/>
        <v>.</v>
      </c>
      <c r="IP93" s="558" t="str">
        <f t="shared" si="132"/>
        <v>.</v>
      </c>
      <c r="IQ93" s="558" t="str">
        <f t="shared" si="132"/>
        <v>.</v>
      </c>
      <c r="IR93" s="558" t="str">
        <f t="shared" si="132"/>
        <v>.</v>
      </c>
      <c r="IS93" s="558" t="str">
        <f t="shared" si="132"/>
        <v>.</v>
      </c>
      <c r="IT93" s="558" t="str">
        <f t="shared" si="132"/>
        <v>.</v>
      </c>
      <c r="IU93" s="558" t="str">
        <f t="shared" si="132"/>
        <v>.</v>
      </c>
      <c r="IV93" s="558" t="str">
        <f t="shared" si="132"/>
        <v>.</v>
      </c>
      <c r="IW93" s="558" t="str">
        <f t="shared" si="132"/>
        <v>.</v>
      </c>
      <c r="IX93" s="558" t="str">
        <f t="shared" si="132"/>
        <v>.</v>
      </c>
      <c r="IY93" s="558" t="str">
        <f t="shared" si="132"/>
        <v>.</v>
      </c>
      <c r="IZ93" s="558" t="str">
        <f t="shared" si="132"/>
        <v>.</v>
      </c>
      <c r="JA93" s="558" t="str">
        <f t="shared" si="132"/>
        <v>.</v>
      </c>
      <c r="JB93" s="558" t="str">
        <f t="shared" si="175"/>
        <v>.</v>
      </c>
      <c r="JC93" s="558" t="str">
        <f t="shared" si="175"/>
        <v>.</v>
      </c>
      <c r="JD93" s="558" t="str">
        <f t="shared" si="175"/>
        <v>.</v>
      </c>
      <c r="JE93" s="558" t="str">
        <f t="shared" si="175"/>
        <v>.</v>
      </c>
      <c r="JF93" s="558" t="str">
        <f t="shared" si="127"/>
        <v>.</v>
      </c>
      <c r="JG93" s="558" t="str">
        <f t="shared" si="127"/>
        <v>.</v>
      </c>
      <c r="JH93" s="558" t="str">
        <f t="shared" si="128"/>
        <v>.</v>
      </c>
      <c r="JI93" s="558" t="str">
        <f t="shared" si="128"/>
        <v>.</v>
      </c>
      <c r="JJ93" s="558" t="str">
        <f t="shared" si="128"/>
        <v>.</v>
      </c>
      <c r="JK93" s="558" t="str">
        <f t="shared" si="128"/>
        <v>.</v>
      </c>
      <c r="JL93" s="558" t="str">
        <f t="shared" si="128"/>
        <v>.</v>
      </c>
    </row>
    <row r="94" spans="1:272" ht="10.199999999999999" x14ac:dyDescent="0.2">
      <c r="A94" s="534">
        <f xml:space="preserve"> Basis!A94</f>
        <v>94</v>
      </c>
      <c r="F94" s="536">
        <f xml:space="preserve"> ROUND(    IF( $A$15=BE_MF_,   AW94,   INDEX( qx!94:94, F$16 ) ),    F$17    )</f>
        <v>0.18</v>
      </c>
      <c r="G94" s="536">
        <f xml:space="preserve"> ROUND(    IF( $A$15=BE_MF_,   BB94,   INDEX( wx!94:94, G$16 ) ),    G$17    )</f>
        <v>1.5E-3</v>
      </c>
      <c r="H94" s="537">
        <f xml:space="preserve"> ROUND(    IF( $A$15=BE_MF_,   BG94,   INDEX( Kx!94:94, H$16 ) ),    H$17    )</f>
        <v>11291.78</v>
      </c>
      <c r="I94" s="538">
        <f t="shared" si="167"/>
        <v>11437.67</v>
      </c>
      <c r="J94" s="539">
        <f t="shared" si="135"/>
        <v>5.5049999999999999</v>
      </c>
      <c r="K94" s="540">
        <f t="shared" si="168"/>
        <v>0</v>
      </c>
      <c r="L94" s="541">
        <f t="shared" si="71"/>
        <v>0</v>
      </c>
      <c r="M94" s="541">
        <f t="shared" si="71"/>
        <v>8.5999999999999993E-2</v>
      </c>
      <c r="O94" s="542" t="b">
        <f t="shared" si="169"/>
        <v>1</v>
      </c>
      <c r="P94" s="493">
        <f t="shared" si="136"/>
        <v>0.18149999999999999</v>
      </c>
      <c r="Q94" s="493">
        <f t="shared" si="137"/>
        <v>0.81850000000000001</v>
      </c>
      <c r="R94" s="543">
        <f t="shared" si="138"/>
        <v>118465</v>
      </c>
      <c r="S94" s="544">
        <f t="shared" si="139"/>
        <v>0.97560975599999999</v>
      </c>
      <c r="T94" s="423">
        <f t="shared" si="140"/>
        <v>11629.12</v>
      </c>
      <c r="U94" s="423">
        <f xml:space="preserve"> IF( $O94,    ROUND(  SUM( T94:T$120), U$17 ),  LEER  )</f>
        <v>47992.46</v>
      </c>
      <c r="V94" s="493">
        <f t="shared" si="141"/>
        <v>4.1269</v>
      </c>
      <c r="W94" s="493">
        <f t="shared" si="142"/>
        <v>64018.31</v>
      </c>
      <c r="X94" s="493">
        <f xml:space="preserve"> IF( $O94,    ROUND(  SUM( W94:W$120), X$17 ),  LEER  )</f>
        <v>264507.53000000003</v>
      </c>
      <c r="Y94" s="493">
        <f t="shared" si="143"/>
        <v>22.7453</v>
      </c>
      <c r="Z94" s="493">
        <f t="shared" si="144"/>
        <v>5.5114999999999998</v>
      </c>
      <c r="AA94" s="493">
        <f t="shared" si="145"/>
        <v>1</v>
      </c>
      <c r="AB94" s="493">
        <f t="shared" si="146"/>
        <v>2.3494000000000002</v>
      </c>
      <c r="AC94" s="545">
        <f t="shared" si="147"/>
        <v>0.32679999999999998</v>
      </c>
      <c r="AD94" s="493">
        <f t="shared" si="148"/>
        <v>5.5114999999999998</v>
      </c>
      <c r="AE94" s="493">
        <f t="shared" si="149"/>
        <v>6.3875999999999999</v>
      </c>
      <c r="AF94" s="493">
        <f t="shared" si="150"/>
        <v>6.3875999999999999</v>
      </c>
      <c r="AG94" s="493" t="str">
        <f t="shared" si="151"/>
        <v>.</v>
      </c>
      <c r="AH94" s="493" t="str">
        <f t="shared" si="152"/>
        <v>.</v>
      </c>
      <c r="AI94" s="423">
        <f t="shared" si="153"/>
        <v>2077.79</v>
      </c>
      <c r="AJ94" s="423">
        <f t="shared" si="154"/>
        <v>13272.09</v>
      </c>
      <c r="AK94" s="423">
        <f t="shared" si="155"/>
        <v>1106.01</v>
      </c>
      <c r="AN94" s="423">
        <f t="shared" si="129"/>
        <v>31361.360000000001</v>
      </c>
      <c r="AO94" s="423">
        <f t="shared" si="129"/>
        <v>31171</v>
      </c>
      <c r="AR94" s="546">
        <f xml:space="preserve"> ROUND(  INDEX( Kx!94:94, AR$16 ),  AR$17 )</f>
        <v>0.3291</v>
      </c>
      <c r="AS94" s="547">
        <f xml:space="preserve"> ROUND(  INDEX( qx!94:94, AS$16 ),  AS$17 )</f>
        <v>0.2114</v>
      </c>
      <c r="AT94" s="547">
        <f xml:space="preserve"> ROUND(  INDEX( qx!94:94, AT$16 ),  AT$17 )</f>
        <v>0.16969999999999999</v>
      </c>
      <c r="AU94" s="548" t="str">
        <f t="shared" si="156"/>
        <v>F</v>
      </c>
      <c r="AV94" s="542">
        <f t="shared" si="157"/>
        <v>0.24640000000000001</v>
      </c>
      <c r="AW94" s="542">
        <f t="shared" si="158"/>
        <v>0.18</v>
      </c>
      <c r="AX94" s="546">
        <f xml:space="preserve"> ROUND(  INDEX( wx!94:94, AX$16 ),  AX$17 )</f>
        <v>5.9999999999999995E-4</v>
      </c>
      <c r="AY94" s="546">
        <f xml:space="preserve"> ROUND(  INDEX( wx!94:94, AY$16 ),  AY$17 )</f>
        <v>2.0999999999999999E-3</v>
      </c>
      <c r="AZ94" s="548" t="str">
        <f t="shared" si="159"/>
        <v>M</v>
      </c>
      <c r="BA94" s="542">
        <f t="shared" si="160"/>
        <v>0.4239</v>
      </c>
      <c r="BB94" s="542">
        <f t="shared" si="161"/>
        <v>1.5E-3</v>
      </c>
      <c r="BC94" s="533">
        <f xml:space="preserve"> ROUND(  INDEX( Kx!94:94, BC$16 ),  BC$17 )</f>
        <v>12792.07</v>
      </c>
      <c r="BD94" s="533">
        <f xml:space="preserve"> ROUND(  INDEX( Kx!94:94, BD$16 ),  BD$17 )</f>
        <v>10187.86</v>
      </c>
      <c r="BE94" s="548" t="str">
        <f t="shared" si="170"/>
        <v>M</v>
      </c>
      <c r="BF94" s="542">
        <f t="shared" si="162"/>
        <v>0.4239</v>
      </c>
      <c r="BG94" s="420">
        <f t="shared" si="163"/>
        <v>11291.78</v>
      </c>
      <c r="BQ94" s="549"/>
      <c r="BR94" s="423"/>
      <c r="BS94" s="550"/>
      <c r="BT94" s="423"/>
      <c r="BU94" s="551"/>
      <c r="BV94" s="551"/>
      <c r="BW94" s="529"/>
      <c r="BX94" s="552"/>
      <c r="BY94" s="560"/>
      <c r="BZ94" s="559"/>
      <c r="CB94" s="423"/>
      <c r="CC94" s="423"/>
      <c r="CD94" s="423"/>
      <c r="CE94" s="423"/>
      <c r="CF94" s="553"/>
      <c r="CH94" s="423"/>
      <c r="CI94" s="423"/>
      <c r="CJ94" s="423"/>
      <c r="CK94" s="423"/>
      <c r="CL94" s="553"/>
      <c r="CN94" s="423"/>
      <c r="CO94" s="423"/>
      <c r="CP94" s="423"/>
      <c r="CQ94" s="423"/>
      <c r="CR94" s="553"/>
      <c r="EI94" s="553"/>
      <c r="EJ94" s="553"/>
      <c r="EK94" s="423"/>
      <c r="EL94" s="555"/>
      <c r="ES94" s="533"/>
      <c r="ET94" s="533"/>
      <c r="EU94" s="533"/>
      <c r="EV94" s="556"/>
      <c r="EY94" s="533"/>
      <c r="EZ94" s="533"/>
      <c r="FA94" s="556"/>
      <c r="FD94" s="556"/>
      <c r="FE94" s="556"/>
      <c r="FF94" s="556"/>
      <c r="FK94" s="557">
        <f t="shared" si="164"/>
        <v>94</v>
      </c>
      <c r="FL94" s="493">
        <f t="shared" si="171"/>
        <v>22.7453</v>
      </c>
      <c r="FM94" s="493">
        <f t="shared" si="172"/>
        <v>4.1269</v>
      </c>
      <c r="FO94" s="427">
        <f t="shared" si="173"/>
        <v>1291807.0499999998</v>
      </c>
      <c r="FP94" s="558">
        <f t="shared" si="165"/>
        <v>36966.730000000003</v>
      </c>
      <c r="FQ94" s="558">
        <f t="shared" si="165"/>
        <v>36619.449999999997</v>
      </c>
      <c r="FR94" s="558">
        <f t="shared" si="165"/>
        <v>36271.31</v>
      </c>
      <c r="FS94" s="558">
        <f t="shared" si="165"/>
        <v>35923.17</v>
      </c>
      <c r="FT94" s="558">
        <f t="shared" si="165"/>
        <v>35563.03</v>
      </c>
      <c r="FU94" s="558">
        <f t="shared" si="165"/>
        <v>35192.6</v>
      </c>
      <c r="FV94" s="558">
        <f t="shared" si="165"/>
        <v>34825.589999999997</v>
      </c>
      <c r="FW94" s="558">
        <f t="shared" si="165"/>
        <v>34456.019999999997</v>
      </c>
      <c r="FX94" s="558">
        <f t="shared" si="165"/>
        <v>34073.58</v>
      </c>
      <c r="FY94" s="558">
        <f t="shared" si="165"/>
        <v>33675.71</v>
      </c>
      <c r="FZ94" s="558">
        <f t="shared" si="165"/>
        <v>33275.26</v>
      </c>
      <c r="GA94" s="558">
        <f t="shared" si="165"/>
        <v>32868.82</v>
      </c>
      <c r="GB94" s="558">
        <f t="shared" si="165"/>
        <v>32452.94</v>
      </c>
      <c r="GC94" s="558">
        <f t="shared" si="165"/>
        <v>32035.34</v>
      </c>
      <c r="GD94" s="558">
        <f t="shared" si="165"/>
        <v>31604.89</v>
      </c>
      <c r="GE94" s="558">
        <f t="shared" si="165"/>
        <v>31171</v>
      </c>
      <c r="GF94" s="558">
        <f t="shared" si="134"/>
        <v>30724.25</v>
      </c>
      <c r="GG94" s="558">
        <f t="shared" si="134"/>
        <v>30267.21</v>
      </c>
      <c r="GH94" s="558">
        <f t="shared" si="134"/>
        <v>29797.31</v>
      </c>
      <c r="GI94" s="558">
        <f t="shared" si="134"/>
        <v>29313.69</v>
      </c>
      <c r="GJ94" s="558">
        <f t="shared" si="134"/>
        <v>28815.49</v>
      </c>
      <c r="GK94" s="558">
        <f t="shared" si="134"/>
        <v>28298.43</v>
      </c>
      <c r="GL94" s="558">
        <f t="shared" si="134"/>
        <v>27762.5</v>
      </c>
      <c r="GM94" s="558">
        <f t="shared" si="134"/>
        <v>27206.86</v>
      </c>
      <c r="GN94" s="558">
        <f t="shared" si="134"/>
        <v>26628.91</v>
      </c>
      <c r="GO94" s="558">
        <f t="shared" si="134"/>
        <v>26032.959999999999</v>
      </c>
      <c r="GP94" s="558">
        <f t="shared" si="134"/>
        <v>25416.43</v>
      </c>
      <c r="GQ94" s="558">
        <f t="shared" si="134"/>
        <v>24781.040000000001</v>
      </c>
      <c r="GR94" s="558">
        <f t="shared" si="134"/>
        <v>24128.49</v>
      </c>
      <c r="GS94" s="558">
        <f t="shared" si="134"/>
        <v>23459.65</v>
      </c>
      <c r="GT94" s="558">
        <f t="shared" si="134"/>
        <v>22777.1</v>
      </c>
      <c r="GU94" s="558">
        <f t="shared" si="133"/>
        <v>22078.25</v>
      </c>
      <c r="GV94" s="558">
        <f t="shared" si="133"/>
        <v>21369.97</v>
      </c>
      <c r="GW94" s="558">
        <f t="shared" si="133"/>
        <v>20648.82</v>
      </c>
      <c r="GX94" s="558">
        <f t="shared" si="133"/>
        <v>19919.96</v>
      </c>
      <c r="GY94" s="558">
        <f t="shared" si="133"/>
        <v>19183.39</v>
      </c>
      <c r="GZ94" s="558">
        <f t="shared" si="133"/>
        <v>18438.23</v>
      </c>
      <c r="HA94" s="558">
        <f t="shared" si="133"/>
        <v>17687.080000000002</v>
      </c>
      <c r="HB94" s="558">
        <f t="shared" si="133"/>
        <v>16924.78</v>
      </c>
      <c r="HC94" s="558">
        <f t="shared" si="133"/>
        <v>16146.18</v>
      </c>
      <c r="HD94" s="558">
        <f t="shared" si="133"/>
        <v>15356.44</v>
      </c>
      <c r="HE94" s="558">
        <f t="shared" si="133"/>
        <v>14558.98</v>
      </c>
      <c r="HF94" s="558">
        <f t="shared" si="133"/>
        <v>13751.23</v>
      </c>
      <c r="HG94" s="558">
        <f t="shared" si="133"/>
        <v>12937.48</v>
      </c>
      <c r="HH94" s="558">
        <f t="shared" si="133"/>
        <v>12115.15</v>
      </c>
      <c r="HI94" s="558">
        <f t="shared" si="133"/>
        <v>11300.54</v>
      </c>
      <c r="HJ94" s="558">
        <f t="shared" si="133"/>
        <v>10479.07</v>
      </c>
      <c r="HK94" s="558">
        <f t="shared" si="166"/>
        <v>9662.75</v>
      </c>
      <c r="HL94" s="558">
        <f t="shared" si="166"/>
        <v>8852.43</v>
      </c>
      <c r="HM94" s="558">
        <f t="shared" si="166"/>
        <v>8045.54</v>
      </c>
      <c r="HN94" s="558">
        <f t="shared" si="166"/>
        <v>7380.99</v>
      </c>
      <c r="HO94" s="558">
        <f t="shared" si="166"/>
        <v>6737.02</v>
      </c>
      <c r="HP94" s="558">
        <f t="shared" si="166"/>
        <v>6120.49</v>
      </c>
      <c r="HQ94" s="558">
        <f t="shared" si="166"/>
        <v>5536.54</v>
      </c>
      <c r="HR94" s="558">
        <f t="shared" si="166"/>
        <v>4831.6899999999996</v>
      </c>
      <c r="HS94" s="558">
        <f t="shared" si="166"/>
        <v>4154.28</v>
      </c>
      <c r="HT94" s="558">
        <f t="shared" si="166"/>
        <v>3508.59</v>
      </c>
      <c r="HU94" s="558">
        <f t="shared" si="166"/>
        <v>2915.22</v>
      </c>
      <c r="HV94" s="558">
        <f t="shared" si="166"/>
        <v>2369</v>
      </c>
      <c r="HW94" s="558">
        <f t="shared" si="166"/>
        <v>1872.52</v>
      </c>
      <c r="HX94" s="558">
        <f t="shared" si="166"/>
        <v>1437.77</v>
      </c>
      <c r="HY94" s="558">
        <f t="shared" si="166"/>
        <v>1055.33</v>
      </c>
      <c r="HZ94" s="558">
        <f t="shared" si="166"/>
        <v>744.07</v>
      </c>
      <c r="IA94" s="558">
        <f t="shared" si="166"/>
        <v>493.68</v>
      </c>
      <c r="IB94" s="558">
        <f t="shared" si="166"/>
        <v>306.75</v>
      </c>
      <c r="IC94" s="558">
        <f t="shared" si="132"/>
        <v>182.42</v>
      </c>
      <c r="ID94" s="558">
        <f t="shared" si="132"/>
        <v>100.1</v>
      </c>
      <c r="IE94" s="558">
        <f t="shared" si="132"/>
        <v>42.65</v>
      </c>
      <c r="IF94" s="558">
        <f t="shared" si="132"/>
        <v>40.93</v>
      </c>
      <c r="IG94" s="558">
        <f t="shared" si="132"/>
        <v>37.5</v>
      </c>
      <c r="IH94" s="558">
        <f t="shared" si="132"/>
        <v>34.07</v>
      </c>
      <c r="II94" s="558">
        <f t="shared" si="132"/>
        <v>28.93</v>
      </c>
      <c r="IJ94" s="558">
        <f t="shared" si="132"/>
        <v>22.07</v>
      </c>
      <c r="IK94" s="558">
        <f t="shared" si="132"/>
        <v>12.64</v>
      </c>
      <c r="IL94" s="558">
        <f t="shared" si="132"/>
        <v>-0.23</v>
      </c>
      <c r="IM94" s="558" t="str">
        <f t="shared" si="132"/>
        <v>.</v>
      </c>
      <c r="IN94" s="558" t="str">
        <f t="shared" si="132"/>
        <v>.</v>
      </c>
      <c r="IO94" s="558" t="str">
        <f t="shared" si="132"/>
        <v>.</v>
      </c>
      <c r="IP94" s="558" t="str">
        <f t="shared" si="132"/>
        <v>.</v>
      </c>
      <c r="IQ94" s="558" t="str">
        <f t="shared" si="132"/>
        <v>.</v>
      </c>
      <c r="IR94" s="558" t="str">
        <f t="shared" si="132"/>
        <v>.</v>
      </c>
      <c r="IS94" s="558" t="str">
        <f t="shared" si="132"/>
        <v>.</v>
      </c>
      <c r="IT94" s="558" t="str">
        <f t="shared" si="132"/>
        <v>.</v>
      </c>
      <c r="IU94" s="558" t="str">
        <f t="shared" si="132"/>
        <v>.</v>
      </c>
      <c r="IV94" s="558" t="str">
        <f t="shared" si="132"/>
        <v>.</v>
      </c>
      <c r="IW94" s="558" t="str">
        <f t="shared" si="132"/>
        <v>.</v>
      </c>
      <c r="IX94" s="558" t="str">
        <f t="shared" si="132"/>
        <v>.</v>
      </c>
      <c r="IY94" s="558" t="str">
        <f t="shared" si="132"/>
        <v>.</v>
      </c>
      <c r="IZ94" s="558" t="str">
        <f t="shared" si="132"/>
        <v>.</v>
      </c>
      <c r="JA94" s="558" t="str">
        <f t="shared" si="132"/>
        <v>.</v>
      </c>
      <c r="JB94" s="558" t="str">
        <f t="shared" si="175"/>
        <v>.</v>
      </c>
      <c r="JC94" s="558" t="str">
        <f t="shared" si="175"/>
        <v>.</v>
      </c>
      <c r="JD94" s="558" t="str">
        <f t="shared" si="175"/>
        <v>.</v>
      </c>
      <c r="JE94" s="558" t="str">
        <f t="shared" si="175"/>
        <v>.</v>
      </c>
      <c r="JF94" s="558" t="str">
        <f t="shared" si="127"/>
        <v>.</v>
      </c>
      <c r="JG94" s="558" t="str">
        <f t="shared" si="127"/>
        <v>.</v>
      </c>
      <c r="JH94" s="558" t="str">
        <f t="shared" ref="JH94:JL99" si="176" xml:space="preserve"> IF(  OR( JH$18&gt;$FK94, $FK94&gt;$FP$12 ),  LEER,  ROUND( $FO$19 * ( $FL94 - JH$15 * $FM94 ), JH$17 )  )</f>
        <v>.</v>
      </c>
      <c r="JI94" s="558" t="str">
        <f t="shared" si="176"/>
        <v>.</v>
      </c>
      <c r="JJ94" s="558" t="str">
        <f t="shared" si="176"/>
        <v>.</v>
      </c>
      <c r="JK94" s="558" t="str">
        <f t="shared" si="176"/>
        <v>.</v>
      </c>
      <c r="JL94" s="558" t="str">
        <f t="shared" si="176"/>
        <v>.</v>
      </c>
    </row>
    <row r="95" spans="1:272" ht="10.199999999999999" x14ac:dyDescent="0.2">
      <c r="A95" s="534">
        <f xml:space="preserve"> Basis!A95</f>
        <v>95</v>
      </c>
      <c r="F95" s="536">
        <f xml:space="preserve"> ROUND(    IF( $A$15=BE_MF_,   AW95,   INDEX( qx!95:95, F$16 ) ),    F$17    )</f>
        <v>0.1993</v>
      </c>
      <c r="G95" s="536">
        <f xml:space="preserve"> ROUND(    IF( $A$15=BE_MF_,   BB95,   INDEX( wx!95:95, G$16 ) ),    G$17    )</f>
        <v>1.4E-3</v>
      </c>
      <c r="H95" s="537">
        <f xml:space="preserve"> ROUND(    IF( $A$15=BE_MF_,   BG95,   INDEX( Kx!95:95, H$16 ) ),    H$17    )</f>
        <v>11333.73</v>
      </c>
      <c r="I95" s="538">
        <f t="shared" si="167"/>
        <v>11437.67</v>
      </c>
      <c r="J95" s="539">
        <f t="shared" si="135"/>
        <v>5.5049999999999999</v>
      </c>
      <c r="K95" s="540">
        <f t="shared" si="168"/>
        <v>0</v>
      </c>
      <c r="L95" s="541">
        <f t="shared" si="71"/>
        <v>0</v>
      </c>
      <c r="M95" s="541">
        <f t="shared" si="71"/>
        <v>8.5999999999999993E-2</v>
      </c>
      <c r="O95" s="542" t="b">
        <f t="shared" si="169"/>
        <v>1</v>
      </c>
      <c r="P95" s="493">
        <f t="shared" si="136"/>
        <v>0.20069999999999999</v>
      </c>
      <c r="Q95" s="493">
        <f t="shared" si="137"/>
        <v>0.79930000000000001</v>
      </c>
      <c r="R95" s="543">
        <f t="shared" si="138"/>
        <v>96963</v>
      </c>
      <c r="S95" s="544">
        <f t="shared" si="139"/>
        <v>0.97560975599999999</v>
      </c>
      <c r="T95" s="423">
        <f t="shared" si="140"/>
        <v>9286.2199999999993</v>
      </c>
      <c r="U95" s="423">
        <f xml:space="preserve"> IF( $O95,    ROUND(  SUM( T95:T$120), U$17 ),  LEER  )</f>
        <v>36363.339999999997</v>
      </c>
      <c r="V95" s="493">
        <f t="shared" si="141"/>
        <v>3.9157999999999999</v>
      </c>
      <c r="W95" s="493">
        <f t="shared" si="142"/>
        <v>51120.639999999999</v>
      </c>
      <c r="X95" s="493">
        <f xml:space="preserve"> IF( $O95,    ROUND(  SUM( W95:W$120), X$17 ),  LEER  )</f>
        <v>200489.22</v>
      </c>
      <c r="Y95" s="493">
        <f t="shared" si="143"/>
        <v>21.59</v>
      </c>
      <c r="Z95" s="493">
        <f t="shared" si="144"/>
        <v>5.5136000000000003</v>
      </c>
      <c r="AA95" s="493">
        <f t="shared" si="145"/>
        <v>1</v>
      </c>
      <c r="AB95" s="493">
        <f t="shared" si="146"/>
        <v>2.3494000000000002</v>
      </c>
      <c r="AC95" s="545">
        <f t="shared" si="147"/>
        <v>0.32679999999999998</v>
      </c>
      <c r="AD95" s="493">
        <f t="shared" si="148"/>
        <v>5.5136000000000003</v>
      </c>
      <c r="AE95" s="493">
        <f t="shared" si="149"/>
        <v>6.3898999999999999</v>
      </c>
      <c r="AF95" s="493">
        <f t="shared" si="150"/>
        <v>6.3898999999999999</v>
      </c>
      <c r="AG95" s="493" t="str">
        <f t="shared" si="151"/>
        <v>.</v>
      </c>
      <c r="AH95" s="493" t="str">
        <f t="shared" si="152"/>
        <v>.</v>
      </c>
      <c r="AI95" s="423">
        <f t="shared" si="153"/>
        <v>2077.79</v>
      </c>
      <c r="AJ95" s="423">
        <f t="shared" si="154"/>
        <v>13276.87</v>
      </c>
      <c r="AK95" s="423">
        <f t="shared" si="155"/>
        <v>1106.4100000000001</v>
      </c>
      <c r="AN95" s="423">
        <f t="shared" si="129"/>
        <v>29774.14</v>
      </c>
      <c r="AO95" s="423">
        <f t="shared" si="129"/>
        <v>29593.52</v>
      </c>
      <c r="AR95" s="546">
        <f xml:space="preserve"> ROUND(  INDEX( Kx!95:95, AR$16 ),  AR$17 )</f>
        <v>0.3301</v>
      </c>
      <c r="AS95" s="547">
        <f xml:space="preserve"> ROUND(  INDEX( qx!95:95, AS$16 ),  AS$17 )</f>
        <v>0.23200000000000001</v>
      </c>
      <c r="AT95" s="547">
        <f xml:space="preserve"> ROUND(  INDEX( qx!95:95, AT$16 ),  AT$17 )</f>
        <v>0.1885</v>
      </c>
      <c r="AU95" s="548" t="str">
        <f t="shared" si="156"/>
        <v>F</v>
      </c>
      <c r="AV95" s="542">
        <f t="shared" si="157"/>
        <v>0.24729999999999999</v>
      </c>
      <c r="AW95" s="542">
        <f t="shared" si="158"/>
        <v>0.1993</v>
      </c>
      <c r="AX95" s="546">
        <f xml:space="preserve"> ROUND(  INDEX( wx!95:95, AX$16 ),  AX$17 )</f>
        <v>5.0000000000000001E-4</v>
      </c>
      <c r="AY95" s="546">
        <f xml:space="preserve"> ROUND(  INDEX( wx!95:95, AY$16 ),  AY$17 )</f>
        <v>2.0999999999999999E-3</v>
      </c>
      <c r="AZ95" s="548" t="str">
        <f t="shared" si="159"/>
        <v>M</v>
      </c>
      <c r="BA95" s="542">
        <f t="shared" si="160"/>
        <v>0.42499999999999999</v>
      </c>
      <c r="BB95" s="542">
        <f t="shared" si="161"/>
        <v>1.4E-3</v>
      </c>
      <c r="BC95" s="533">
        <f xml:space="preserve"> ROUND(  INDEX( Kx!95:95, BC$16 ),  BC$17 )</f>
        <v>12870.62</v>
      </c>
      <c r="BD95" s="533">
        <f xml:space="preserve"> ROUND(  INDEX( Kx!95:95, BD$16 ),  BD$17 )</f>
        <v>10197.76</v>
      </c>
      <c r="BE95" s="548" t="str">
        <f t="shared" si="170"/>
        <v>M</v>
      </c>
      <c r="BF95" s="542">
        <f t="shared" si="162"/>
        <v>0.42499999999999999</v>
      </c>
      <c r="BG95" s="420">
        <f t="shared" si="163"/>
        <v>11333.73</v>
      </c>
      <c r="BQ95" s="549"/>
      <c r="BR95" s="423"/>
      <c r="BS95" s="550"/>
      <c r="BT95" s="423"/>
      <c r="BU95" s="551"/>
      <c r="BV95" s="551"/>
      <c r="BW95" s="529"/>
      <c r="BX95" s="552"/>
      <c r="BY95" s="560"/>
      <c r="BZ95" s="559"/>
      <c r="CB95" s="423"/>
      <c r="CC95" s="423"/>
      <c r="CD95" s="423"/>
      <c r="CE95" s="423"/>
      <c r="CF95" s="553"/>
      <c r="CH95" s="423"/>
      <c r="CI95" s="423"/>
      <c r="CJ95" s="423"/>
      <c r="CK95" s="423"/>
      <c r="CL95" s="553"/>
      <c r="CN95" s="423"/>
      <c r="CO95" s="423"/>
      <c r="CP95" s="423"/>
      <c r="CQ95" s="423"/>
      <c r="CR95" s="553"/>
      <c r="EI95" s="553"/>
      <c r="EJ95" s="553"/>
      <c r="EK95" s="423"/>
      <c r="EL95" s="555"/>
      <c r="ES95" s="533"/>
      <c r="ET95" s="533"/>
      <c r="EU95" s="533"/>
      <c r="EV95" s="556"/>
      <c r="EY95" s="533"/>
      <c r="EZ95" s="533"/>
      <c r="FA95" s="556"/>
      <c r="FD95" s="556"/>
      <c r="FE95" s="556"/>
      <c r="FF95" s="556"/>
      <c r="FK95" s="557">
        <f t="shared" si="164"/>
        <v>95</v>
      </c>
      <c r="FL95" s="493">
        <f t="shared" si="171"/>
        <v>21.59</v>
      </c>
      <c r="FM95" s="493">
        <f t="shared" si="172"/>
        <v>3.9157999999999999</v>
      </c>
      <c r="FO95" s="427">
        <f t="shared" si="173"/>
        <v>1227001.4799999997</v>
      </c>
      <c r="FP95" s="558">
        <f t="shared" si="165"/>
        <v>35092.78</v>
      </c>
      <c r="FQ95" s="558">
        <f t="shared" si="165"/>
        <v>34763.26</v>
      </c>
      <c r="FR95" s="558">
        <f t="shared" si="165"/>
        <v>34432.93</v>
      </c>
      <c r="FS95" s="558">
        <f t="shared" si="165"/>
        <v>34102.6</v>
      </c>
      <c r="FT95" s="558">
        <f t="shared" si="165"/>
        <v>33760.879999999997</v>
      </c>
      <c r="FU95" s="558">
        <f t="shared" si="165"/>
        <v>33409.4</v>
      </c>
      <c r="FV95" s="558">
        <f t="shared" si="165"/>
        <v>33061.17</v>
      </c>
      <c r="FW95" s="558">
        <f t="shared" si="165"/>
        <v>32710.5</v>
      </c>
      <c r="FX95" s="558">
        <f t="shared" si="165"/>
        <v>32347.62</v>
      </c>
      <c r="FY95" s="558">
        <f t="shared" si="165"/>
        <v>31970.1</v>
      </c>
      <c r="FZ95" s="558">
        <f t="shared" si="165"/>
        <v>31590.14</v>
      </c>
      <c r="GA95" s="558">
        <f t="shared" si="165"/>
        <v>31204.48</v>
      </c>
      <c r="GB95" s="558">
        <f t="shared" si="165"/>
        <v>30809.88</v>
      </c>
      <c r="GC95" s="558">
        <f t="shared" si="165"/>
        <v>30413.65</v>
      </c>
      <c r="GD95" s="558">
        <f t="shared" si="165"/>
        <v>30005.21</v>
      </c>
      <c r="GE95" s="558">
        <f t="shared" si="165"/>
        <v>29593.52</v>
      </c>
      <c r="GF95" s="558">
        <f t="shared" si="134"/>
        <v>29169.62</v>
      </c>
      <c r="GG95" s="558">
        <f t="shared" si="134"/>
        <v>28735.96</v>
      </c>
      <c r="GH95" s="558">
        <f t="shared" si="134"/>
        <v>28290.09</v>
      </c>
      <c r="GI95" s="558">
        <f t="shared" si="134"/>
        <v>27831.21</v>
      </c>
      <c r="GJ95" s="558">
        <f t="shared" si="134"/>
        <v>27358.5</v>
      </c>
      <c r="GK95" s="558">
        <f t="shared" si="134"/>
        <v>26867.88</v>
      </c>
      <c r="GL95" s="558">
        <f t="shared" si="134"/>
        <v>26359.37</v>
      </c>
      <c r="GM95" s="558">
        <f t="shared" si="134"/>
        <v>25832.15</v>
      </c>
      <c r="GN95" s="558">
        <f t="shared" si="134"/>
        <v>25283.759999999998</v>
      </c>
      <c r="GO95" s="558">
        <f t="shared" si="134"/>
        <v>24718.3</v>
      </c>
      <c r="GP95" s="558">
        <f t="shared" si="134"/>
        <v>24133.3</v>
      </c>
      <c r="GQ95" s="558">
        <f t="shared" si="134"/>
        <v>23530.41</v>
      </c>
      <c r="GR95" s="558">
        <f t="shared" si="134"/>
        <v>22911.25</v>
      </c>
      <c r="GS95" s="558">
        <f t="shared" si="134"/>
        <v>22276.62</v>
      </c>
      <c r="GT95" s="558">
        <f t="shared" si="134"/>
        <v>21628.98</v>
      </c>
      <c r="GU95" s="558">
        <f t="shared" si="133"/>
        <v>20965.88</v>
      </c>
      <c r="GV95" s="558">
        <f t="shared" si="133"/>
        <v>20293.830000000002</v>
      </c>
      <c r="GW95" s="558">
        <f t="shared" si="133"/>
        <v>19609.57</v>
      </c>
      <c r="GX95" s="558">
        <f t="shared" si="133"/>
        <v>18917.990000000002</v>
      </c>
      <c r="GY95" s="558">
        <f t="shared" si="133"/>
        <v>18219.09</v>
      </c>
      <c r="GZ95" s="558">
        <f t="shared" si="133"/>
        <v>17512.060000000001</v>
      </c>
      <c r="HA95" s="558">
        <f t="shared" si="133"/>
        <v>16799.32</v>
      </c>
      <c r="HB95" s="558">
        <f t="shared" si="133"/>
        <v>16076.02</v>
      </c>
      <c r="HC95" s="558">
        <f t="shared" si="133"/>
        <v>15337.25</v>
      </c>
      <c r="HD95" s="558">
        <f t="shared" si="133"/>
        <v>14587.9</v>
      </c>
      <c r="HE95" s="558">
        <f t="shared" si="133"/>
        <v>13831.24</v>
      </c>
      <c r="HF95" s="558">
        <f t="shared" si="133"/>
        <v>13064.8</v>
      </c>
      <c r="HG95" s="558">
        <f t="shared" si="133"/>
        <v>12292.68</v>
      </c>
      <c r="HH95" s="558">
        <f t="shared" si="133"/>
        <v>11512.42</v>
      </c>
      <c r="HI95" s="558">
        <f t="shared" si="133"/>
        <v>10739.48</v>
      </c>
      <c r="HJ95" s="558">
        <f t="shared" si="133"/>
        <v>9960.0300000000007</v>
      </c>
      <c r="HK95" s="558">
        <f t="shared" si="166"/>
        <v>9185.4599999999991</v>
      </c>
      <c r="HL95" s="558">
        <f t="shared" si="166"/>
        <v>8416.59</v>
      </c>
      <c r="HM95" s="558">
        <f t="shared" si="166"/>
        <v>7650.97</v>
      </c>
      <c r="HN95" s="558">
        <f t="shared" si="166"/>
        <v>7020.41</v>
      </c>
      <c r="HO95" s="558">
        <f t="shared" si="166"/>
        <v>6409.38</v>
      </c>
      <c r="HP95" s="558">
        <f t="shared" si="166"/>
        <v>5824.39</v>
      </c>
      <c r="HQ95" s="558">
        <f t="shared" si="166"/>
        <v>5270.32</v>
      </c>
      <c r="HR95" s="558">
        <f t="shared" si="166"/>
        <v>4601.5200000000004</v>
      </c>
      <c r="HS95" s="558">
        <f t="shared" si="166"/>
        <v>3958.76</v>
      </c>
      <c r="HT95" s="558">
        <f t="shared" si="166"/>
        <v>3346.1</v>
      </c>
      <c r="HU95" s="558">
        <f t="shared" si="166"/>
        <v>2783.08</v>
      </c>
      <c r="HV95" s="558">
        <f t="shared" si="166"/>
        <v>2264.8000000000002</v>
      </c>
      <c r="HW95" s="558">
        <f t="shared" si="166"/>
        <v>1793.71</v>
      </c>
      <c r="HX95" s="558">
        <f t="shared" si="166"/>
        <v>1381.21</v>
      </c>
      <c r="HY95" s="558">
        <f t="shared" si="166"/>
        <v>1018.33</v>
      </c>
      <c r="HZ95" s="558">
        <f t="shared" si="166"/>
        <v>722.99</v>
      </c>
      <c r="IA95" s="558">
        <f t="shared" si="166"/>
        <v>485.41</v>
      </c>
      <c r="IB95" s="558">
        <f t="shared" si="166"/>
        <v>308.04000000000002</v>
      </c>
      <c r="IC95" s="558">
        <f t="shared" si="132"/>
        <v>190.07</v>
      </c>
      <c r="ID95" s="558">
        <f t="shared" si="132"/>
        <v>111.96</v>
      </c>
      <c r="IE95" s="558">
        <f t="shared" si="132"/>
        <v>57.45</v>
      </c>
      <c r="IF95" s="558">
        <f t="shared" si="132"/>
        <v>55.82</v>
      </c>
      <c r="IG95" s="558">
        <f t="shared" si="132"/>
        <v>52.56</v>
      </c>
      <c r="IH95" s="558">
        <f t="shared" si="132"/>
        <v>49.31</v>
      </c>
      <c r="II95" s="558">
        <f t="shared" si="132"/>
        <v>44.43</v>
      </c>
      <c r="IJ95" s="558">
        <f t="shared" si="132"/>
        <v>37.92</v>
      </c>
      <c r="IK95" s="558">
        <f t="shared" si="132"/>
        <v>28.97</v>
      </c>
      <c r="IL95" s="558">
        <f t="shared" si="132"/>
        <v>16.760000000000002</v>
      </c>
      <c r="IM95" s="558">
        <f t="shared" si="132"/>
        <v>-0.32</v>
      </c>
      <c r="IN95" s="558" t="str">
        <f t="shared" si="132"/>
        <v>.</v>
      </c>
      <c r="IO95" s="558" t="str">
        <f t="shared" si="132"/>
        <v>.</v>
      </c>
      <c r="IP95" s="558" t="str">
        <f t="shared" si="132"/>
        <v>.</v>
      </c>
      <c r="IQ95" s="558" t="str">
        <f t="shared" si="132"/>
        <v>.</v>
      </c>
      <c r="IR95" s="558" t="str">
        <f t="shared" si="132"/>
        <v>.</v>
      </c>
      <c r="IS95" s="558" t="str">
        <f t="shared" si="132"/>
        <v>.</v>
      </c>
      <c r="IT95" s="558" t="str">
        <f t="shared" si="132"/>
        <v>.</v>
      </c>
      <c r="IU95" s="558" t="str">
        <f t="shared" si="132"/>
        <v>.</v>
      </c>
      <c r="IV95" s="558" t="str">
        <f t="shared" si="132"/>
        <v>.</v>
      </c>
      <c r="IW95" s="558" t="str">
        <f t="shared" si="132"/>
        <v>.</v>
      </c>
      <c r="IX95" s="558" t="str">
        <f t="shared" si="132"/>
        <v>.</v>
      </c>
      <c r="IY95" s="558" t="str">
        <f t="shared" si="132"/>
        <v>.</v>
      </c>
      <c r="IZ95" s="558" t="str">
        <f t="shared" si="132"/>
        <v>.</v>
      </c>
      <c r="JA95" s="558" t="str">
        <f t="shared" si="132"/>
        <v>.</v>
      </c>
      <c r="JB95" s="558" t="str">
        <f t="shared" si="175"/>
        <v>.</v>
      </c>
      <c r="JC95" s="558" t="str">
        <f t="shared" si="175"/>
        <v>.</v>
      </c>
      <c r="JD95" s="558" t="str">
        <f t="shared" si="175"/>
        <v>.</v>
      </c>
      <c r="JE95" s="558" t="str">
        <f t="shared" si="175"/>
        <v>.</v>
      </c>
      <c r="JF95" s="558" t="str">
        <f t="shared" si="127"/>
        <v>.</v>
      </c>
      <c r="JG95" s="558" t="str">
        <f t="shared" si="127"/>
        <v>.</v>
      </c>
      <c r="JH95" s="558" t="str">
        <f t="shared" si="176"/>
        <v>.</v>
      </c>
      <c r="JI95" s="558" t="str">
        <f t="shared" si="176"/>
        <v>.</v>
      </c>
      <c r="JJ95" s="558" t="str">
        <f t="shared" si="176"/>
        <v>.</v>
      </c>
      <c r="JK95" s="558" t="str">
        <f t="shared" si="176"/>
        <v>.</v>
      </c>
      <c r="JL95" s="558" t="str">
        <f t="shared" si="176"/>
        <v>.</v>
      </c>
    </row>
    <row r="96" spans="1:272" ht="10.199999999999999" x14ac:dyDescent="0.2">
      <c r="A96" s="534">
        <f xml:space="preserve"> Basis!A96</f>
        <v>96</v>
      </c>
      <c r="F96" s="536">
        <f xml:space="preserve"> ROUND(    IF( $A$15=BE_MF_,   AW96,   INDEX( qx!96:96, F$16 ) ),    F$17    )</f>
        <v>0.21709999999999999</v>
      </c>
      <c r="G96" s="536">
        <f xml:space="preserve"> ROUND(    IF( $A$15=BE_MF_,   BB96,   INDEX( wx!96:96, G$16 ) ),    G$17    )</f>
        <v>1.4E-3</v>
      </c>
      <c r="H96" s="537">
        <f xml:space="preserve"> ROUND(    IF( $A$15=BE_MF_,   BG96,   INDEX( Kx!96:96, H$16 ) ),    H$17    )</f>
        <v>11397.07</v>
      </c>
      <c r="I96" s="538">
        <f t="shared" si="167"/>
        <v>11437.67</v>
      </c>
      <c r="J96" s="539">
        <f t="shared" si="135"/>
        <v>5.5049999999999999</v>
      </c>
      <c r="K96" s="540">
        <f t="shared" si="168"/>
        <v>0</v>
      </c>
      <c r="L96" s="541">
        <f t="shared" si="71"/>
        <v>0</v>
      </c>
      <c r="M96" s="541">
        <f t="shared" si="71"/>
        <v>8.5999999999999993E-2</v>
      </c>
      <c r="O96" s="542" t="b">
        <f t="shared" si="169"/>
        <v>1</v>
      </c>
      <c r="P96" s="493">
        <f t="shared" si="136"/>
        <v>0.2185</v>
      </c>
      <c r="Q96" s="493">
        <f t="shared" si="137"/>
        <v>0.78149999999999997</v>
      </c>
      <c r="R96" s="543">
        <f t="shared" si="138"/>
        <v>77502</v>
      </c>
      <c r="S96" s="544">
        <f t="shared" si="139"/>
        <v>0.97560975599999999</v>
      </c>
      <c r="T96" s="423">
        <f t="shared" si="140"/>
        <v>7241.39</v>
      </c>
      <c r="U96" s="423">
        <f xml:space="preserve"> IF( $O96,    ROUND(  SUM( T96:T$120), U$17 ),  LEER  )</f>
        <v>27077.119999999999</v>
      </c>
      <c r="V96" s="493">
        <f t="shared" si="141"/>
        <v>3.7391999999999999</v>
      </c>
      <c r="W96" s="493">
        <f t="shared" si="142"/>
        <v>39863.85</v>
      </c>
      <c r="X96" s="493">
        <f xml:space="preserve"> IF( $O96,    ROUND(  SUM( W96:W$120), X$17 ),  LEER  )</f>
        <v>149368.57999999999</v>
      </c>
      <c r="Y96" s="493">
        <f t="shared" si="143"/>
        <v>20.627099999999999</v>
      </c>
      <c r="Z96" s="493">
        <f t="shared" si="144"/>
        <v>5.5164</v>
      </c>
      <c r="AA96" s="493">
        <f t="shared" si="145"/>
        <v>1</v>
      </c>
      <c r="AB96" s="493">
        <f t="shared" si="146"/>
        <v>2.3494000000000002</v>
      </c>
      <c r="AC96" s="545">
        <f t="shared" si="147"/>
        <v>0.32679999999999998</v>
      </c>
      <c r="AD96" s="493">
        <f t="shared" si="148"/>
        <v>5.5164</v>
      </c>
      <c r="AE96" s="493">
        <f t="shared" si="149"/>
        <v>6.3929999999999998</v>
      </c>
      <c r="AF96" s="493">
        <f t="shared" si="150"/>
        <v>6.3929999999999998</v>
      </c>
      <c r="AG96" s="493" t="str">
        <f t="shared" si="151"/>
        <v>.</v>
      </c>
      <c r="AH96" s="493" t="str">
        <f t="shared" si="152"/>
        <v>.</v>
      </c>
      <c r="AI96" s="423">
        <f t="shared" si="153"/>
        <v>2077.79</v>
      </c>
      <c r="AJ96" s="423">
        <f t="shared" si="154"/>
        <v>13283.31</v>
      </c>
      <c r="AK96" s="423">
        <f t="shared" si="155"/>
        <v>1106.94</v>
      </c>
      <c r="AN96" s="423">
        <f t="shared" si="129"/>
        <v>28453.77</v>
      </c>
      <c r="AO96" s="423">
        <f t="shared" si="129"/>
        <v>28281.3</v>
      </c>
      <c r="AR96" s="546">
        <f xml:space="preserve"> ROUND(  INDEX( Kx!96:96, AR$16 ),  AR$17 )</f>
        <v>0.33800000000000002</v>
      </c>
      <c r="AS96" s="547">
        <f xml:space="preserve"> ROUND(  INDEX( qx!96:96, AS$16 ),  AS$17 )</f>
        <v>0.24329999999999999</v>
      </c>
      <c r="AT96" s="547">
        <f xml:space="preserve"> ROUND(  INDEX( qx!96:96, AT$16 ),  AT$17 )</f>
        <v>0.2082</v>
      </c>
      <c r="AU96" s="548" t="str">
        <f t="shared" si="156"/>
        <v>F</v>
      </c>
      <c r="AV96" s="542">
        <f t="shared" si="157"/>
        <v>0.25390000000000001</v>
      </c>
      <c r="AW96" s="542">
        <f t="shared" si="158"/>
        <v>0.21709999999999999</v>
      </c>
      <c r="AX96" s="546">
        <f xml:space="preserve"> ROUND(  INDEX( wx!96:96, AX$16 ),  AX$17 )</f>
        <v>5.0000000000000001E-4</v>
      </c>
      <c r="AY96" s="546">
        <f xml:space="preserve"> ROUND(  INDEX( wx!96:96, AY$16 ),  AY$17 )</f>
        <v>2.0999999999999999E-3</v>
      </c>
      <c r="AZ96" s="548" t="str">
        <f t="shared" si="159"/>
        <v>M</v>
      </c>
      <c r="BA96" s="542">
        <f t="shared" si="160"/>
        <v>0.43369999999999997</v>
      </c>
      <c r="BB96" s="542">
        <f t="shared" si="161"/>
        <v>1.4E-3</v>
      </c>
      <c r="BC96" s="533">
        <f xml:space="preserve"> ROUND(  INDEX( Kx!96:96, BC$16 ),  BC$17 )</f>
        <v>12949.09</v>
      </c>
      <c r="BD96" s="533">
        <f xml:space="preserve"> ROUND(  INDEX( Kx!96:96, BD$16 ),  BD$17 )</f>
        <v>10208.450000000001</v>
      </c>
      <c r="BE96" s="548" t="str">
        <f t="shared" si="170"/>
        <v>M</v>
      </c>
      <c r="BF96" s="542">
        <f t="shared" si="162"/>
        <v>0.43369999999999997</v>
      </c>
      <c r="BG96" s="420">
        <f t="shared" si="163"/>
        <v>11397.07</v>
      </c>
      <c r="BQ96" s="549"/>
      <c r="BR96" s="423"/>
      <c r="BS96" s="550"/>
      <c r="BT96" s="423"/>
      <c r="BU96" s="551"/>
      <c r="BV96" s="551"/>
      <c r="BW96" s="529"/>
      <c r="BX96" s="552"/>
      <c r="BY96" s="560"/>
      <c r="BZ96" s="559"/>
      <c r="CB96" s="423"/>
      <c r="CC96" s="423"/>
      <c r="CD96" s="423"/>
      <c r="CE96" s="423"/>
      <c r="CF96" s="553"/>
      <c r="CH96" s="423"/>
      <c r="CI96" s="423"/>
      <c r="CJ96" s="423"/>
      <c r="CK96" s="423"/>
      <c r="CL96" s="553"/>
      <c r="CN96" s="423"/>
      <c r="CO96" s="423"/>
      <c r="CP96" s="423"/>
      <c r="CQ96" s="423"/>
      <c r="CR96" s="553"/>
      <c r="EI96" s="553"/>
      <c r="EJ96" s="553"/>
      <c r="EK96" s="423"/>
      <c r="EL96" s="555"/>
      <c r="ES96" s="533"/>
      <c r="ET96" s="533"/>
      <c r="EU96" s="533"/>
      <c r="EV96" s="556"/>
      <c r="EY96" s="533"/>
      <c r="EZ96" s="533"/>
      <c r="FA96" s="556"/>
      <c r="FD96" s="556"/>
      <c r="FE96" s="556"/>
      <c r="FF96" s="556"/>
      <c r="FK96" s="557">
        <f t="shared" si="164"/>
        <v>96</v>
      </c>
      <c r="FL96" s="493">
        <f t="shared" si="171"/>
        <v>20.627099999999999</v>
      </c>
      <c r="FM96" s="493">
        <f t="shared" si="172"/>
        <v>3.7391999999999999</v>
      </c>
      <c r="FO96" s="427">
        <f t="shared" si="173"/>
        <v>1173369.5000000005</v>
      </c>
      <c r="FP96" s="558">
        <f t="shared" si="165"/>
        <v>33532.550000000003</v>
      </c>
      <c r="FQ96" s="558">
        <f t="shared" si="165"/>
        <v>33217.89</v>
      </c>
      <c r="FR96" s="558">
        <f t="shared" si="165"/>
        <v>32902.46</v>
      </c>
      <c r="FS96" s="558">
        <f t="shared" si="165"/>
        <v>32587.03</v>
      </c>
      <c r="FT96" s="558">
        <f t="shared" si="165"/>
        <v>32260.720000000001</v>
      </c>
      <c r="FU96" s="558">
        <f t="shared" si="165"/>
        <v>31925.09</v>
      </c>
      <c r="FV96" s="558">
        <f t="shared" si="165"/>
        <v>31592.560000000001</v>
      </c>
      <c r="FW96" s="558">
        <f t="shared" si="165"/>
        <v>31257.7</v>
      </c>
      <c r="FX96" s="558">
        <f t="shared" si="165"/>
        <v>30911.200000000001</v>
      </c>
      <c r="FY96" s="558">
        <f t="shared" si="165"/>
        <v>30550.7</v>
      </c>
      <c r="FZ96" s="558">
        <f t="shared" si="165"/>
        <v>30187.88</v>
      </c>
      <c r="GA96" s="558">
        <f t="shared" si="165"/>
        <v>29819.61</v>
      </c>
      <c r="GB96" s="558">
        <f t="shared" si="165"/>
        <v>29442.799999999999</v>
      </c>
      <c r="GC96" s="558">
        <f t="shared" si="165"/>
        <v>29064.44</v>
      </c>
      <c r="GD96" s="558">
        <f t="shared" si="165"/>
        <v>28674.42</v>
      </c>
      <c r="GE96" s="558">
        <f t="shared" si="165"/>
        <v>28281.3</v>
      </c>
      <c r="GF96" s="558">
        <f t="shared" si="134"/>
        <v>27876.52</v>
      </c>
      <c r="GG96" s="558">
        <f t="shared" si="134"/>
        <v>27462.42</v>
      </c>
      <c r="GH96" s="558">
        <f t="shared" si="134"/>
        <v>27036.66</v>
      </c>
      <c r="GI96" s="558">
        <f t="shared" si="134"/>
        <v>26598.47</v>
      </c>
      <c r="GJ96" s="558">
        <f t="shared" si="134"/>
        <v>26147.08</v>
      </c>
      <c r="GK96" s="558">
        <f t="shared" si="134"/>
        <v>25678.59</v>
      </c>
      <c r="GL96" s="558">
        <f t="shared" si="134"/>
        <v>25193.01</v>
      </c>
      <c r="GM96" s="558">
        <f t="shared" si="134"/>
        <v>24689.56</v>
      </c>
      <c r="GN96" s="558">
        <f t="shared" si="134"/>
        <v>24165.91</v>
      </c>
      <c r="GO96" s="558">
        <f t="shared" si="134"/>
        <v>23625.95</v>
      </c>
      <c r="GP96" s="558">
        <f t="shared" si="134"/>
        <v>23067.34</v>
      </c>
      <c r="GQ96" s="558">
        <f t="shared" si="134"/>
        <v>22491.63</v>
      </c>
      <c r="GR96" s="558">
        <f t="shared" si="134"/>
        <v>21900.39</v>
      </c>
      <c r="GS96" s="558">
        <f t="shared" si="134"/>
        <v>21294.39</v>
      </c>
      <c r="GT96" s="558">
        <f t="shared" si="134"/>
        <v>20675.96</v>
      </c>
      <c r="GU96" s="558">
        <f t="shared" si="133"/>
        <v>20042.759999999998</v>
      </c>
      <c r="GV96" s="558">
        <f t="shared" si="133"/>
        <v>19401.02</v>
      </c>
      <c r="GW96" s="558">
        <f t="shared" si="133"/>
        <v>18747.62</v>
      </c>
      <c r="GX96" s="558">
        <f t="shared" si="133"/>
        <v>18087.23</v>
      </c>
      <c r="GY96" s="558">
        <f t="shared" si="133"/>
        <v>17419.849999999999</v>
      </c>
      <c r="GZ96" s="558">
        <f t="shared" si="133"/>
        <v>16744.7</v>
      </c>
      <c r="HA96" s="558">
        <f t="shared" si="133"/>
        <v>16064.12</v>
      </c>
      <c r="HB96" s="558">
        <f t="shared" si="133"/>
        <v>15373.43</v>
      </c>
      <c r="HC96" s="558">
        <f t="shared" si="133"/>
        <v>14667.98</v>
      </c>
      <c r="HD96" s="558">
        <f t="shared" si="133"/>
        <v>13952.43</v>
      </c>
      <c r="HE96" s="558">
        <f t="shared" si="133"/>
        <v>13229.89</v>
      </c>
      <c r="HF96" s="558">
        <f t="shared" si="133"/>
        <v>12498.02</v>
      </c>
      <c r="HG96" s="558">
        <f t="shared" si="133"/>
        <v>11760.72</v>
      </c>
      <c r="HH96" s="558">
        <f t="shared" si="133"/>
        <v>11015.64</v>
      </c>
      <c r="HI96" s="558">
        <f t="shared" si="133"/>
        <v>10277.56</v>
      </c>
      <c r="HJ96" s="558">
        <f t="shared" si="133"/>
        <v>9533.27</v>
      </c>
      <c r="HK96" s="558">
        <f t="shared" si="166"/>
        <v>8793.6299999999992</v>
      </c>
      <c r="HL96" s="558">
        <f t="shared" si="166"/>
        <v>8059.43</v>
      </c>
      <c r="HM96" s="558">
        <f t="shared" si="166"/>
        <v>7328.35</v>
      </c>
      <c r="HN96" s="558">
        <f t="shared" si="166"/>
        <v>6726.23</v>
      </c>
      <c r="HO96" s="558">
        <f t="shared" si="166"/>
        <v>6142.75</v>
      </c>
      <c r="HP96" s="558">
        <f t="shared" si="166"/>
        <v>5584.14</v>
      </c>
      <c r="HQ96" s="558">
        <f t="shared" si="166"/>
        <v>5055.0600000000004</v>
      </c>
      <c r="HR96" s="558">
        <f t="shared" si="166"/>
        <v>4416.42</v>
      </c>
      <c r="HS96" s="558">
        <f t="shared" si="166"/>
        <v>3802.65</v>
      </c>
      <c r="HT96" s="558">
        <f t="shared" si="166"/>
        <v>3217.62</v>
      </c>
      <c r="HU96" s="558">
        <f t="shared" si="166"/>
        <v>2679.99</v>
      </c>
      <c r="HV96" s="558">
        <f t="shared" si="166"/>
        <v>2185.09</v>
      </c>
      <c r="HW96" s="558">
        <f t="shared" si="166"/>
        <v>1735.25</v>
      </c>
      <c r="HX96" s="558">
        <f t="shared" si="166"/>
        <v>1341.34</v>
      </c>
      <c r="HY96" s="558">
        <f t="shared" si="166"/>
        <v>994.83</v>
      </c>
      <c r="HZ96" s="558">
        <f t="shared" si="166"/>
        <v>712.81</v>
      </c>
      <c r="IA96" s="558">
        <f t="shared" si="166"/>
        <v>485.95</v>
      </c>
      <c r="IB96" s="558">
        <f t="shared" si="166"/>
        <v>316.58</v>
      </c>
      <c r="IC96" s="558">
        <f t="shared" si="132"/>
        <v>203.92</v>
      </c>
      <c r="ID96" s="558">
        <f t="shared" si="132"/>
        <v>129.34</v>
      </c>
      <c r="IE96" s="558">
        <f t="shared" si="132"/>
        <v>77.28</v>
      </c>
      <c r="IF96" s="558">
        <f t="shared" si="132"/>
        <v>75.73</v>
      </c>
      <c r="IG96" s="558">
        <f t="shared" si="132"/>
        <v>72.62</v>
      </c>
      <c r="IH96" s="558">
        <f t="shared" si="132"/>
        <v>69.510000000000005</v>
      </c>
      <c r="II96" s="558">
        <f t="shared" si="132"/>
        <v>64.849999999999994</v>
      </c>
      <c r="IJ96" s="558">
        <f t="shared" si="132"/>
        <v>58.64</v>
      </c>
      <c r="IK96" s="558">
        <f t="shared" si="132"/>
        <v>50.09</v>
      </c>
      <c r="IL96" s="558">
        <f t="shared" si="132"/>
        <v>38.44</v>
      </c>
      <c r="IM96" s="558">
        <f t="shared" ref="IM96:JK108" si="177" xml:space="preserve"> IF(  OR( IM$18&gt;$FK96, $FK96&gt;$FP$12 ),  LEER,  ROUND( $FO$19 * ( $FL96 - IM$15 * $FM96 ), IM$17 )  )</f>
        <v>22.12</v>
      </c>
      <c r="IN96" s="558">
        <f t="shared" si="177"/>
        <v>0.37</v>
      </c>
      <c r="IO96" s="558" t="str">
        <f t="shared" si="177"/>
        <v>.</v>
      </c>
      <c r="IP96" s="558" t="str">
        <f t="shared" si="177"/>
        <v>.</v>
      </c>
      <c r="IQ96" s="558" t="str">
        <f t="shared" si="177"/>
        <v>.</v>
      </c>
      <c r="IR96" s="558" t="str">
        <f t="shared" si="177"/>
        <v>.</v>
      </c>
      <c r="IS96" s="558" t="str">
        <f t="shared" si="177"/>
        <v>.</v>
      </c>
      <c r="IT96" s="558" t="str">
        <f t="shared" si="177"/>
        <v>.</v>
      </c>
      <c r="IU96" s="558" t="str">
        <f t="shared" si="177"/>
        <v>.</v>
      </c>
      <c r="IV96" s="558" t="str">
        <f t="shared" si="177"/>
        <v>.</v>
      </c>
      <c r="IW96" s="558" t="str">
        <f t="shared" si="177"/>
        <v>.</v>
      </c>
      <c r="IX96" s="558" t="str">
        <f t="shared" si="177"/>
        <v>.</v>
      </c>
      <c r="IY96" s="558" t="str">
        <f t="shared" si="177"/>
        <v>.</v>
      </c>
      <c r="IZ96" s="558" t="str">
        <f t="shared" si="177"/>
        <v>.</v>
      </c>
      <c r="JA96" s="558" t="str">
        <f t="shared" si="177"/>
        <v>.</v>
      </c>
      <c r="JB96" s="558" t="str">
        <f t="shared" si="177"/>
        <v>.</v>
      </c>
      <c r="JC96" s="558" t="str">
        <f t="shared" si="177"/>
        <v>.</v>
      </c>
      <c r="JD96" s="558" t="str">
        <f t="shared" si="177"/>
        <v>.</v>
      </c>
      <c r="JE96" s="558" t="str">
        <f t="shared" si="177"/>
        <v>.</v>
      </c>
      <c r="JF96" s="558" t="str">
        <f t="shared" si="177"/>
        <v>.</v>
      </c>
      <c r="JG96" s="558" t="str">
        <f t="shared" si="177"/>
        <v>.</v>
      </c>
      <c r="JH96" s="558" t="str">
        <f t="shared" si="176"/>
        <v>.</v>
      </c>
      <c r="JI96" s="558" t="str">
        <f t="shared" si="176"/>
        <v>.</v>
      </c>
      <c r="JJ96" s="558" t="str">
        <f t="shared" si="176"/>
        <v>.</v>
      </c>
      <c r="JK96" s="558" t="str">
        <f t="shared" si="176"/>
        <v>.</v>
      </c>
      <c r="JL96" s="558" t="str">
        <f t="shared" si="176"/>
        <v>.</v>
      </c>
    </row>
    <row r="97" spans="1:272" ht="10.199999999999999" x14ac:dyDescent="0.2">
      <c r="A97" s="534">
        <f xml:space="preserve"> Basis!A97</f>
        <v>97</v>
      </c>
      <c r="F97" s="536">
        <f xml:space="preserve"> ROUND(    IF( $A$15=BE_MF_,   AW97,   INDEX( qx!97:97, F$16 ) ),    F$17    )</f>
        <v>0.23449999999999999</v>
      </c>
      <c r="G97" s="536">
        <f xml:space="preserve"> ROUND(    IF( $A$15=BE_MF_,   BB97,   INDEX( wx!97:97, G$16 ) ),    G$17    )</f>
        <v>1.2999999999999999E-3</v>
      </c>
      <c r="H97" s="537">
        <f xml:space="preserve"> ROUND(    IF( $A$15=BE_MF_,   BG97,   INDEX( Kx!97:97, H$16 ) ),    H$17    )</f>
        <v>11469.4</v>
      </c>
      <c r="I97" s="538">
        <f t="shared" si="167"/>
        <v>11469.4</v>
      </c>
      <c r="J97" s="539">
        <f t="shared" si="135"/>
        <v>5.52</v>
      </c>
      <c r="K97" s="540">
        <f t="shared" si="168"/>
        <v>0</v>
      </c>
      <c r="L97" s="541">
        <f t="shared" si="71"/>
        <v>0</v>
      </c>
      <c r="M97" s="541">
        <f t="shared" si="71"/>
        <v>8.5999999999999993E-2</v>
      </c>
      <c r="O97" s="542" t="b">
        <f t="shared" si="169"/>
        <v>1</v>
      </c>
      <c r="P97" s="493">
        <f t="shared" si="136"/>
        <v>0.23580000000000001</v>
      </c>
      <c r="Q97" s="493">
        <f t="shared" si="137"/>
        <v>0.76419999999999999</v>
      </c>
      <c r="R97" s="543">
        <f t="shared" si="138"/>
        <v>60567</v>
      </c>
      <c r="S97" s="544">
        <f t="shared" si="139"/>
        <v>0.97560975599999999</v>
      </c>
      <c r="T97" s="423">
        <f t="shared" si="140"/>
        <v>5521.04</v>
      </c>
      <c r="U97" s="423">
        <f xml:space="preserve"> IF( $O97,    ROUND(  SUM( T97:T$120), U$17 ),  LEER  )</f>
        <v>19835.73</v>
      </c>
      <c r="V97" s="493">
        <f t="shared" si="141"/>
        <v>3.5928</v>
      </c>
      <c r="W97" s="493">
        <f t="shared" si="142"/>
        <v>30476.14</v>
      </c>
      <c r="X97" s="493">
        <f xml:space="preserve"> IF( $O97,    ROUND(  SUM( W97:W$120), X$17 ),  LEER  )</f>
        <v>109504.73</v>
      </c>
      <c r="Y97" s="493">
        <f t="shared" si="143"/>
        <v>19.834099999999999</v>
      </c>
      <c r="Z97" s="493">
        <f t="shared" si="144"/>
        <v>5.5205000000000002</v>
      </c>
      <c r="AA97" s="493">
        <f t="shared" si="145"/>
        <v>1</v>
      </c>
      <c r="AB97" s="493">
        <f t="shared" si="146"/>
        <v>2.3494000000000002</v>
      </c>
      <c r="AC97" s="545">
        <f t="shared" si="147"/>
        <v>0.32679999999999998</v>
      </c>
      <c r="AD97" s="493">
        <f t="shared" si="148"/>
        <v>5.5205000000000002</v>
      </c>
      <c r="AE97" s="493">
        <f t="shared" si="149"/>
        <v>6.3975</v>
      </c>
      <c r="AF97" s="493">
        <f t="shared" si="150"/>
        <v>6.3975</v>
      </c>
      <c r="AG97" s="493" t="str">
        <f t="shared" si="151"/>
        <v>.</v>
      </c>
      <c r="AH97" s="493" t="str">
        <f t="shared" si="152"/>
        <v>.</v>
      </c>
      <c r="AI97" s="423">
        <f t="shared" si="153"/>
        <v>2077.79</v>
      </c>
      <c r="AJ97" s="423">
        <f t="shared" si="154"/>
        <v>13292.66</v>
      </c>
      <c r="AK97" s="423">
        <f t="shared" si="155"/>
        <v>1107.72</v>
      </c>
      <c r="AN97" s="423">
        <f t="shared" si="129"/>
        <v>27370.080000000002</v>
      </c>
      <c r="AO97" s="423">
        <f t="shared" si="129"/>
        <v>27204.36</v>
      </c>
      <c r="AR97" s="546">
        <f xml:space="preserve"> ROUND(  INDEX( Kx!97:97, AR$16 ),  AR$17 )</f>
        <v>0.3483</v>
      </c>
      <c r="AS97" s="547">
        <f xml:space="preserve"> ROUND(  INDEX( qx!97:97, AS$16 ),  AS$17 )</f>
        <v>0.25130000000000002</v>
      </c>
      <c r="AT97" s="547">
        <f xml:space="preserve"> ROUND(  INDEX( qx!97:97, AT$16 ),  AT$17 )</f>
        <v>0.22850000000000001</v>
      </c>
      <c r="AU97" s="548" t="str">
        <f t="shared" si="156"/>
        <v>F</v>
      </c>
      <c r="AV97" s="542">
        <f t="shared" si="157"/>
        <v>0.26269999999999999</v>
      </c>
      <c r="AW97" s="542">
        <f t="shared" si="158"/>
        <v>0.23449999999999999</v>
      </c>
      <c r="AX97" s="546">
        <f xml:space="preserve"> ROUND(  INDEX( wx!97:97, AX$16 ),  AX$17 )</f>
        <v>4.0000000000000002E-4</v>
      </c>
      <c r="AY97" s="546">
        <f xml:space="preserve"> ROUND(  INDEX( wx!97:97, AY$16 ),  AY$17 )</f>
        <v>2.0999999999999999E-3</v>
      </c>
      <c r="AZ97" s="548" t="str">
        <f t="shared" si="159"/>
        <v>M</v>
      </c>
      <c r="BA97" s="542">
        <f t="shared" si="160"/>
        <v>0.44500000000000001</v>
      </c>
      <c r="BB97" s="542">
        <f t="shared" si="161"/>
        <v>1.2999999999999999E-3</v>
      </c>
      <c r="BC97" s="533">
        <f xml:space="preserve"> ROUND(  INDEX( Kx!97:97, BC$16 ),  BC$17 )</f>
        <v>13027.51</v>
      </c>
      <c r="BD97" s="533">
        <f xml:space="preserve"> ROUND(  INDEX( Kx!97:97, BD$16 ),  BD$17 )</f>
        <v>10220.1</v>
      </c>
      <c r="BE97" s="548" t="str">
        <f t="shared" si="170"/>
        <v>M</v>
      </c>
      <c r="BF97" s="542">
        <f t="shared" si="162"/>
        <v>0.44500000000000001</v>
      </c>
      <c r="BG97" s="420">
        <f t="shared" si="163"/>
        <v>11469.4</v>
      </c>
      <c r="BQ97" s="549"/>
      <c r="BR97" s="423"/>
      <c r="BS97" s="550"/>
      <c r="BT97" s="423"/>
      <c r="BU97" s="551"/>
      <c r="BV97" s="551"/>
      <c r="BW97" s="529"/>
      <c r="BX97" s="552"/>
      <c r="BY97" s="560"/>
      <c r="BZ97" s="559"/>
      <c r="CB97" s="423"/>
      <c r="CC97" s="423"/>
      <c r="CD97" s="423"/>
      <c r="CE97" s="423"/>
      <c r="CF97" s="553"/>
      <c r="CH97" s="423"/>
      <c r="CI97" s="423"/>
      <c r="CJ97" s="423"/>
      <c r="CK97" s="423"/>
      <c r="CL97" s="553"/>
      <c r="CN97" s="423"/>
      <c r="CO97" s="423"/>
      <c r="CP97" s="423"/>
      <c r="CQ97" s="423"/>
      <c r="CR97" s="553"/>
      <c r="EI97" s="553"/>
      <c r="EJ97" s="553"/>
      <c r="EK97" s="423"/>
      <c r="EL97" s="555"/>
      <c r="ES97" s="533"/>
      <c r="ET97" s="533"/>
      <c r="EU97" s="533"/>
      <c r="EV97" s="556"/>
      <c r="EY97" s="533"/>
      <c r="EZ97" s="533"/>
      <c r="FA97" s="556"/>
      <c r="FD97" s="556"/>
      <c r="FE97" s="556"/>
      <c r="FF97" s="556"/>
      <c r="FK97" s="557">
        <f t="shared" si="164"/>
        <v>97</v>
      </c>
      <c r="FL97" s="493">
        <f t="shared" si="171"/>
        <v>19.834099999999999</v>
      </c>
      <c r="FM97" s="493">
        <f t="shared" si="172"/>
        <v>3.5928</v>
      </c>
      <c r="FO97" s="427">
        <f t="shared" si="173"/>
        <v>1129766.0400000003</v>
      </c>
      <c r="FP97" s="558">
        <f t="shared" si="165"/>
        <v>32250.01</v>
      </c>
      <c r="FQ97" s="558">
        <f t="shared" si="165"/>
        <v>31947.67</v>
      </c>
      <c r="FR97" s="558">
        <f t="shared" si="165"/>
        <v>31644.59</v>
      </c>
      <c r="FS97" s="558">
        <f t="shared" si="165"/>
        <v>31341.51</v>
      </c>
      <c r="FT97" s="558">
        <f t="shared" si="165"/>
        <v>31027.97</v>
      </c>
      <c r="FU97" s="558">
        <f t="shared" si="165"/>
        <v>30705.48</v>
      </c>
      <c r="FV97" s="558">
        <f t="shared" si="165"/>
        <v>30385.98</v>
      </c>
      <c r="FW97" s="558">
        <f t="shared" si="165"/>
        <v>30064.23</v>
      </c>
      <c r="FX97" s="558">
        <f t="shared" si="165"/>
        <v>29731.29</v>
      </c>
      <c r="FY97" s="558">
        <f t="shared" si="165"/>
        <v>29384.91</v>
      </c>
      <c r="FZ97" s="558">
        <f t="shared" si="165"/>
        <v>29036.29</v>
      </c>
      <c r="GA97" s="558">
        <f t="shared" si="165"/>
        <v>28682.44</v>
      </c>
      <c r="GB97" s="558">
        <f t="shared" si="165"/>
        <v>28320.39</v>
      </c>
      <c r="GC97" s="558">
        <f t="shared" si="165"/>
        <v>27956.84</v>
      </c>
      <c r="GD97" s="558">
        <f t="shared" si="165"/>
        <v>27582.09</v>
      </c>
      <c r="GE97" s="558">
        <f t="shared" si="165"/>
        <v>27204.36</v>
      </c>
      <c r="GF97" s="558">
        <f t="shared" si="134"/>
        <v>26815.43</v>
      </c>
      <c r="GG97" s="558">
        <f t="shared" si="134"/>
        <v>26417.54</v>
      </c>
      <c r="GH97" s="558">
        <f t="shared" si="134"/>
        <v>26008.45</v>
      </c>
      <c r="GI97" s="558">
        <f t="shared" si="134"/>
        <v>25587.42</v>
      </c>
      <c r="GJ97" s="558">
        <f t="shared" si="134"/>
        <v>25153.7</v>
      </c>
      <c r="GK97" s="558">
        <f t="shared" si="134"/>
        <v>24703.55</v>
      </c>
      <c r="GL97" s="558">
        <f t="shared" si="134"/>
        <v>24236.99</v>
      </c>
      <c r="GM97" s="558">
        <f t="shared" si="134"/>
        <v>23753.25</v>
      </c>
      <c r="GN97" s="558">
        <f t="shared" si="134"/>
        <v>23250.1</v>
      </c>
      <c r="GO97" s="558">
        <f t="shared" si="134"/>
        <v>22731.279999999999</v>
      </c>
      <c r="GP97" s="558">
        <f t="shared" si="134"/>
        <v>22194.54</v>
      </c>
      <c r="GQ97" s="558">
        <f t="shared" si="134"/>
        <v>21641.38</v>
      </c>
      <c r="GR97" s="558">
        <f t="shared" si="134"/>
        <v>21073.279999999999</v>
      </c>
      <c r="GS97" s="558">
        <f t="shared" si="134"/>
        <v>20491.009999999998</v>
      </c>
      <c r="GT97" s="558">
        <f t="shared" si="134"/>
        <v>19896.79</v>
      </c>
      <c r="GU97" s="558">
        <f t="shared" si="133"/>
        <v>19288.38</v>
      </c>
      <c r="GV97" s="558">
        <f t="shared" si="133"/>
        <v>18671.77</v>
      </c>
      <c r="GW97" s="558">
        <f t="shared" si="133"/>
        <v>18043.95</v>
      </c>
      <c r="GX97" s="558">
        <f t="shared" si="133"/>
        <v>17409.419999999998</v>
      </c>
      <c r="GY97" s="558">
        <f t="shared" si="133"/>
        <v>16768.169999999998</v>
      </c>
      <c r="GZ97" s="558">
        <f t="shared" si="133"/>
        <v>16119.45</v>
      </c>
      <c r="HA97" s="558">
        <f t="shared" si="133"/>
        <v>15465.51</v>
      </c>
      <c r="HB97" s="558">
        <f t="shared" si="133"/>
        <v>14801.87</v>
      </c>
      <c r="HC97" s="558">
        <f t="shared" si="133"/>
        <v>14124.04</v>
      </c>
      <c r="HD97" s="558">
        <f t="shared" si="133"/>
        <v>13436.5</v>
      </c>
      <c r="HE97" s="558">
        <f t="shared" si="133"/>
        <v>12742.25</v>
      </c>
      <c r="HF97" s="558">
        <f t="shared" si="133"/>
        <v>12039.04</v>
      </c>
      <c r="HG97" s="558">
        <f t="shared" si="133"/>
        <v>11330.6</v>
      </c>
      <c r="HH97" s="558">
        <f t="shared" si="133"/>
        <v>10614.7</v>
      </c>
      <c r="HI97" s="558">
        <f t="shared" si="133"/>
        <v>9905.52</v>
      </c>
      <c r="HJ97" s="558">
        <f t="shared" ref="HJ97:IA112" si="178" xml:space="preserve"> IF(  OR( HJ$18&gt;$FK97, $FK97&gt;$FP$12 ),  LEER,  ROUND( $FO$19 * ( $FL97 - HJ$15 * $FM97 ), HJ$17 )  )</f>
        <v>9190.36</v>
      </c>
      <c r="HK97" s="558">
        <f t="shared" si="178"/>
        <v>8479.69</v>
      </c>
      <c r="HL97" s="558">
        <f t="shared" si="178"/>
        <v>7774.24</v>
      </c>
      <c r="HM97" s="558">
        <f t="shared" si="178"/>
        <v>7071.77</v>
      </c>
      <c r="HN97" s="558">
        <f t="shared" si="178"/>
        <v>6493.23</v>
      </c>
      <c r="HO97" s="558">
        <f t="shared" si="178"/>
        <v>5932.6</v>
      </c>
      <c r="HP97" s="558">
        <f t="shared" si="166"/>
        <v>5395.86</v>
      </c>
      <c r="HQ97" s="558">
        <f t="shared" si="166"/>
        <v>4887.49</v>
      </c>
      <c r="HR97" s="558">
        <f t="shared" si="166"/>
        <v>4273.8599999999997</v>
      </c>
      <c r="HS97" s="558">
        <f t="shared" si="166"/>
        <v>3684.12</v>
      </c>
      <c r="HT97" s="558">
        <f t="shared" si="166"/>
        <v>3122</v>
      </c>
      <c r="HU97" s="558">
        <f t="shared" si="166"/>
        <v>2605.41</v>
      </c>
      <c r="HV97" s="558">
        <f t="shared" si="166"/>
        <v>2129.89</v>
      </c>
      <c r="HW97" s="558">
        <f t="shared" si="166"/>
        <v>1697.66</v>
      </c>
      <c r="HX97" s="558">
        <f t="shared" si="166"/>
        <v>1319.18</v>
      </c>
      <c r="HY97" s="558">
        <f t="shared" si="166"/>
        <v>986.24</v>
      </c>
      <c r="HZ97" s="558">
        <f t="shared" si="166"/>
        <v>715.25</v>
      </c>
      <c r="IA97" s="558">
        <f t="shared" si="166"/>
        <v>497.27</v>
      </c>
      <c r="IB97" s="558">
        <f t="shared" si="166"/>
        <v>334.53</v>
      </c>
      <c r="IC97" s="558">
        <f t="shared" ref="IC97:IN97" si="179" xml:space="preserve"> IF(  OR( IC$18&gt;$FK97, $FK97&gt;$FP$12 ),  LEER,  ROUND( $FO$19 * ( $FL97 - IC$15 * $FM97 ), IC$17 )  )</f>
        <v>226.29</v>
      </c>
      <c r="ID97" s="558">
        <f t="shared" si="179"/>
        <v>154.63</v>
      </c>
      <c r="IE97" s="558">
        <f t="shared" si="179"/>
        <v>104.61</v>
      </c>
      <c r="IF97" s="558">
        <f t="shared" si="179"/>
        <v>103.12</v>
      </c>
      <c r="IG97" s="558">
        <f t="shared" si="179"/>
        <v>100.13</v>
      </c>
      <c r="IH97" s="558">
        <f t="shared" si="179"/>
        <v>97.14</v>
      </c>
      <c r="II97" s="558">
        <f t="shared" si="179"/>
        <v>92.67</v>
      </c>
      <c r="IJ97" s="558">
        <f t="shared" si="179"/>
        <v>86.69</v>
      </c>
      <c r="IK97" s="558">
        <f t="shared" si="179"/>
        <v>78.48</v>
      </c>
      <c r="IL97" s="558">
        <f t="shared" si="179"/>
        <v>67.28</v>
      </c>
      <c r="IM97" s="558">
        <f t="shared" si="179"/>
        <v>51.61</v>
      </c>
      <c r="IN97" s="558">
        <f t="shared" si="179"/>
        <v>30.71</v>
      </c>
      <c r="IO97" s="558">
        <f t="shared" si="177"/>
        <v>0.1</v>
      </c>
      <c r="IP97" s="558" t="str">
        <f t="shared" si="177"/>
        <v>.</v>
      </c>
      <c r="IQ97" s="558" t="str">
        <f t="shared" si="177"/>
        <v>.</v>
      </c>
      <c r="IR97" s="558" t="str">
        <f t="shared" si="177"/>
        <v>.</v>
      </c>
      <c r="IS97" s="558" t="str">
        <f t="shared" si="177"/>
        <v>.</v>
      </c>
      <c r="IT97" s="558" t="str">
        <f t="shared" si="177"/>
        <v>.</v>
      </c>
      <c r="IU97" s="558" t="str">
        <f t="shared" si="177"/>
        <v>.</v>
      </c>
      <c r="IV97" s="558" t="str">
        <f t="shared" si="177"/>
        <v>.</v>
      </c>
      <c r="IW97" s="558" t="str">
        <f t="shared" si="177"/>
        <v>.</v>
      </c>
      <c r="IX97" s="558" t="str">
        <f t="shared" si="177"/>
        <v>.</v>
      </c>
      <c r="IY97" s="558" t="str">
        <f t="shared" si="177"/>
        <v>.</v>
      </c>
      <c r="IZ97" s="558" t="str">
        <f t="shared" si="177"/>
        <v>.</v>
      </c>
      <c r="JA97" s="558" t="str">
        <f t="shared" si="177"/>
        <v>.</v>
      </c>
      <c r="JB97" s="558" t="str">
        <f t="shared" si="177"/>
        <v>.</v>
      </c>
      <c r="JC97" s="558" t="str">
        <f t="shared" si="177"/>
        <v>.</v>
      </c>
      <c r="JD97" s="558" t="str">
        <f t="shared" si="177"/>
        <v>.</v>
      </c>
      <c r="JE97" s="558" t="str">
        <f t="shared" si="177"/>
        <v>.</v>
      </c>
      <c r="JF97" s="558" t="str">
        <f t="shared" si="177"/>
        <v>.</v>
      </c>
      <c r="JG97" s="558" t="str">
        <f t="shared" si="177"/>
        <v>.</v>
      </c>
      <c r="JH97" s="558" t="str">
        <f t="shared" si="176"/>
        <v>.</v>
      </c>
      <c r="JI97" s="558" t="str">
        <f t="shared" si="176"/>
        <v>.</v>
      </c>
      <c r="JJ97" s="558" t="str">
        <f t="shared" si="176"/>
        <v>.</v>
      </c>
      <c r="JK97" s="558" t="str">
        <f t="shared" si="176"/>
        <v>.</v>
      </c>
      <c r="JL97" s="558" t="str">
        <f t="shared" si="176"/>
        <v>.</v>
      </c>
    </row>
    <row r="98" spans="1:272" ht="10.199999999999999" x14ac:dyDescent="0.2">
      <c r="A98" s="534">
        <f xml:space="preserve"> Basis!A98</f>
        <v>98</v>
      </c>
      <c r="F98" s="536">
        <f xml:space="preserve"> ROUND(    IF( $A$15=BE_MF_,   AW98,   INDEX( qx!98:98, F$16 ) ),    F$17    )</f>
        <v>0.251</v>
      </c>
      <c r="G98" s="536">
        <f xml:space="preserve"> ROUND(    IF( $A$15=BE_MF_,   BB98,   INDEX( wx!98:98, G$16 ) ),    G$17    )</f>
        <v>1.5E-3</v>
      </c>
      <c r="H98" s="537">
        <f xml:space="preserve"> ROUND(    IF( $A$15=BE_MF_,   BG98,   INDEX( Kx!98:98, H$16 ) ),    H$17    )</f>
        <v>11210.02</v>
      </c>
      <c r="I98" s="538">
        <f t="shared" si="167"/>
        <v>11469.4</v>
      </c>
      <c r="J98" s="539">
        <f t="shared" si="135"/>
        <v>5.52</v>
      </c>
      <c r="K98" s="540">
        <f t="shared" si="168"/>
        <v>0</v>
      </c>
      <c r="L98" s="541">
        <f t="shared" si="71"/>
        <v>0</v>
      </c>
      <c r="M98" s="541">
        <f t="shared" si="71"/>
        <v>8.5999999999999993E-2</v>
      </c>
      <c r="O98" s="542" t="b">
        <f t="shared" si="169"/>
        <v>1</v>
      </c>
      <c r="P98" s="493">
        <f t="shared" si="136"/>
        <v>0.2525</v>
      </c>
      <c r="Q98" s="493">
        <f t="shared" si="137"/>
        <v>0.74750000000000005</v>
      </c>
      <c r="R98" s="543">
        <f t="shared" si="138"/>
        <v>46285</v>
      </c>
      <c r="S98" s="544">
        <f t="shared" si="139"/>
        <v>0.97560975599999999</v>
      </c>
      <c r="T98" s="423">
        <f t="shared" si="140"/>
        <v>4116.25</v>
      </c>
      <c r="U98" s="423">
        <f xml:space="preserve"> IF( $O98,    ROUND(  SUM( T98:T$120), U$17 ),  LEER  )</f>
        <v>14314.69</v>
      </c>
      <c r="V98" s="493">
        <f t="shared" si="141"/>
        <v>3.4775999999999998</v>
      </c>
      <c r="W98" s="493">
        <f t="shared" si="142"/>
        <v>22721.7</v>
      </c>
      <c r="X98" s="493">
        <f xml:space="preserve"> IF( $O98,    ROUND(  SUM( W98:W$120), X$17 ),  LEER  )</f>
        <v>79028.59</v>
      </c>
      <c r="Y98" s="493">
        <f t="shared" si="143"/>
        <v>19.199200000000001</v>
      </c>
      <c r="Z98" s="493">
        <f t="shared" si="144"/>
        <v>5.5208000000000004</v>
      </c>
      <c r="AA98" s="493">
        <f t="shared" si="145"/>
        <v>1</v>
      </c>
      <c r="AB98" s="493">
        <f t="shared" si="146"/>
        <v>2.3494000000000002</v>
      </c>
      <c r="AC98" s="545">
        <f t="shared" si="147"/>
        <v>0.32679999999999998</v>
      </c>
      <c r="AD98" s="493">
        <f t="shared" si="148"/>
        <v>5.5208000000000004</v>
      </c>
      <c r="AE98" s="493">
        <f t="shared" si="149"/>
        <v>6.3978000000000002</v>
      </c>
      <c r="AF98" s="493">
        <f t="shared" si="150"/>
        <v>6.3978000000000002</v>
      </c>
      <c r="AG98" s="493" t="str">
        <f t="shared" si="151"/>
        <v>.</v>
      </c>
      <c r="AH98" s="493" t="str">
        <f t="shared" si="152"/>
        <v>.</v>
      </c>
      <c r="AI98" s="423">
        <f t="shared" si="153"/>
        <v>2077.79</v>
      </c>
      <c r="AJ98" s="423">
        <f t="shared" si="154"/>
        <v>13293.28</v>
      </c>
      <c r="AK98" s="423">
        <f t="shared" si="155"/>
        <v>1107.77</v>
      </c>
      <c r="AN98" s="423">
        <f t="shared" si="129"/>
        <v>26494.69</v>
      </c>
      <c r="AO98" s="423">
        <f t="shared" si="129"/>
        <v>26334.28</v>
      </c>
      <c r="AR98" s="546">
        <f xml:space="preserve"> ROUND(  INDEX( Kx!98:98, AR$16 ),  AR$17 )</f>
        <v>0.25580000000000003</v>
      </c>
      <c r="AS98" s="547">
        <f xml:space="preserve"> ROUND(  INDEX( qx!98:98, AS$16 ),  AS$17 )</f>
        <v>0.25900000000000001</v>
      </c>
      <c r="AT98" s="547">
        <f xml:space="preserve"> ROUND(  INDEX( qx!98:98, AT$16 ),  AT$17 )</f>
        <v>0.2492</v>
      </c>
      <c r="AU98" s="548" t="str">
        <f t="shared" si="156"/>
        <v>F</v>
      </c>
      <c r="AV98" s="542">
        <f t="shared" si="157"/>
        <v>0.18640000000000001</v>
      </c>
      <c r="AW98" s="542">
        <f t="shared" si="158"/>
        <v>0.251</v>
      </c>
      <c r="AX98" s="546">
        <f xml:space="preserve"> ROUND(  INDEX( wx!98:98, AX$16 ),  AX$17 )</f>
        <v>2.9999999999999997E-4</v>
      </c>
      <c r="AY98" s="546">
        <f xml:space="preserve"> ROUND(  INDEX( wx!98:98, AY$16 ),  AY$17 )</f>
        <v>2.0999999999999999E-3</v>
      </c>
      <c r="AZ98" s="548" t="str">
        <f t="shared" si="159"/>
        <v>M</v>
      </c>
      <c r="BA98" s="542">
        <f t="shared" si="160"/>
        <v>0.3402</v>
      </c>
      <c r="BB98" s="542">
        <f t="shared" si="161"/>
        <v>1.5E-3</v>
      </c>
      <c r="BC98" s="533">
        <f xml:space="preserve"> ROUND(  INDEX( Kx!98:98, BC$16 ),  BC$17 )</f>
        <v>13105.98</v>
      </c>
      <c r="BD98" s="533">
        <f xml:space="preserve"> ROUND(  INDEX( Kx!98:98, BD$16 ),  BD$17 )</f>
        <v>10232.450000000001</v>
      </c>
      <c r="BE98" s="548" t="str">
        <f t="shared" si="170"/>
        <v>M</v>
      </c>
      <c r="BF98" s="542">
        <f t="shared" si="162"/>
        <v>0.3402</v>
      </c>
      <c r="BG98" s="420">
        <f t="shared" si="163"/>
        <v>11210.02</v>
      </c>
      <c r="BQ98" s="549"/>
      <c r="BR98" s="423"/>
      <c r="BS98" s="550"/>
      <c r="BT98" s="423"/>
      <c r="BU98" s="551"/>
      <c r="BV98" s="551"/>
      <c r="BW98" s="529"/>
      <c r="BX98" s="552"/>
      <c r="BY98" s="560"/>
      <c r="BZ98" s="559"/>
      <c r="CB98" s="423"/>
      <c r="CC98" s="423"/>
      <c r="CD98" s="423"/>
      <c r="CE98" s="423"/>
      <c r="CF98" s="553"/>
      <c r="CH98" s="423"/>
      <c r="CI98" s="423"/>
      <c r="CJ98" s="423"/>
      <c r="CK98" s="423"/>
      <c r="CL98" s="553"/>
      <c r="CN98" s="423"/>
      <c r="CO98" s="423"/>
      <c r="CP98" s="423"/>
      <c r="CQ98" s="423"/>
      <c r="CR98" s="553"/>
      <c r="EI98" s="553"/>
      <c r="EJ98" s="553"/>
      <c r="EK98" s="423"/>
      <c r="EL98" s="555"/>
      <c r="ES98" s="533"/>
      <c r="ET98" s="533"/>
      <c r="EU98" s="533"/>
      <c r="EV98" s="556"/>
      <c r="EY98" s="533"/>
      <c r="EZ98" s="533"/>
      <c r="FA98" s="556"/>
      <c r="FD98" s="556"/>
      <c r="FE98" s="556"/>
      <c r="FF98" s="556"/>
      <c r="FK98" s="557">
        <f t="shared" si="164"/>
        <v>98</v>
      </c>
      <c r="FL98" s="493">
        <f t="shared" si="171"/>
        <v>19.199200000000001</v>
      </c>
      <c r="FM98" s="493">
        <f t="shared" si="172"/>
        <v>3.4775999999999998</v>
      </c>
      <c r="FO98" s="427">
        <f t="shared" si="173"/>
        <v>1093713.5300000003</v>
      </c>
      <c r="FP98" s="558">
        <f t="shared" si="165"/>
        <v>31218.15</v>
      </c>
      <c r="FQ98" s="558">
        <f t="shared" si="165"/>
        <v>30925.51</v>
      </c>
      <c r="FR98" s="558">
        <f t="shared" si="165"/>
        <v>30632.14</v>
      </c>
      <c r="FS98" s="558">
        <f t="shared" si="165"/>
        <v>30338.78</v>
      </c>
      <c r="FT98" s="558">
        <f t="shared" si="165"/>
        <v>30035.3</v>
      </c>
      <c r="FU98" s="558">
        <f t="shared" si="165"/>
        <v>29723.15</v>
      </c>
      <c r="FV98" s="558">
        <f t="shared" si="165"/>
        <v>29413.89</v>
      </c>
      <c r="FW98" s="558">
        <f t="shared" si="165"/>
        <v>29102.46</v>
      </c>
      <c r="FX98" s="558">
        <f t="shared" si="165"/>
        <v>28780.19</v>
      </c>
      <c r="FY98" s="558">
        <f t="shared" si="165"/>
        <v>28444.92</v>
      </c>
      <c r="FZ98" s="558">
        <f t="shared" si="165"/>
        <v>28107.47</v>
      </c>
      <c r="GA98" s="558">
        <f t="shared" si="165"/>
        <v>27764.98</v>
      </c>
      <c r="GB98" s="558">
        <f t="shared" si="165"/>
        <v>27414.53</v>
      </c>
      <c r="GC98" s="558">
        <f t="shared" si="165"/>
        <v>27062.639999999999</v>
      </c>
      <c r="GD98" s="558">
        <f t="shared" si="165"/>
        <v>26699.9</v>
      </c>
      <c r="GE98" s="558">
        <f t="shared" si="165"/>
        <v>26334.28</v>
      </c>
      <c r="GF98" s="558">
        <f t="shared" si="134"/>
        <v>25957.82</v>
      </c>
      <c r="GG98" s="558">
        <f t="shared" si="134"/>
        <v>25572.69</v>
      </c>
      <c r="GH98" s="558">
        <f t="shared" si="134"/>
        <v>25176.720000000001</v>
      </c>
      <c r="GI98" s="558">
        <f t="shared" si="134"/>
        <v>24769.19</v>
      </c>
      <c r="GJ98" s="558">
        <f t="shared" si="134"/>
        <v>24349.38</v>
      </c>
      <c r="GK98" s="558">
        <f t="shared" si="134"/>
        <v>23913.67</v>
      </c>
      <c r="GL98" s="558">
        <f t="shared" si="134"/>
        <v>23462.06</v>
      </c>
      <c r="GM98" s="558">
        <f t="shared" si="134"/>
        <v>22993.83</v>
      </c>
      <c r="GN98" s="558">
        <f t="shared" si="134"/>
        <v>22506.82</v>
      </c>
      <c r="GO98" s="558">
        <f t="shared" si="134"/>
        <v>22004.63</v>
      </c>
      <c r="GP98" s="558">
        <f t="shared" si="134"/>
        <v>21485.1</v>
      </c>
      <c r="GQ98" s="558">
        <f t="shared" si="134"/>
        <v>20949.669999999998</v>
      </c>
      <c r="GR98" s="558">
        <f t="shared" si="134"/>
        <v>20399.8</v>
      </c>
      <c r="GS98" s="558">
        <f t="shared" si="134"/>
        <v>19836.189999999999</v>
      </c>
      <c r="GT98" s="558">
        <f t="shared" si="134"/>
        <v>19261.02</v>
      </c>
      <c r="GU98" s="558">
        <f t="shared" ref="GU98:HJ113" si="180" xml:space="preserve"> IF(  OR( GU$18&gt;$FK98, $FK98&gt;$FP$12 ),  LEER,  ROUND( $FO$19 * ( $FL98 - GU$15 * $FM98 ), GU$17 )  )</f>
        <v>18672.13</v>
      </c>
      <c r="GV98" s="558">
        <f t="shared" si="180"/>
        <v>18075.28</v>
      </c>
      <c r="GW98" s="558">
        <f t="shared" si="180"/>
        <v>17467.599999999999</v>
      </c>
      <c r="GX98" s="558">
        <f t="shared" si="180"/>
        <v>16853.41</v>
      </c>
      <c r="GY98" s="558">
        <f t="shared" si="180"/>
        <v>16232.72</v>
      </c>
      <c r="GZ98" s="558">
        <f t="shared" si="180"/>
        <v>15604.81</v>
      </c>
      <c r="HA98" s="558">
        <f t="shared" si="180"/>
        <v>14971.83</v>
      </c>
      <c r="HB98" s="558">
        <f t="shared" si="180"/>
        <v>14329.47</v>
      </c>
      <c r="HC98" s="558">
        <f t="shared" si="180"/>
        <v>13673.37</v>
      </c>
      <c r="HD98" s="558">
        <f t="shared" si="180"/>
        <v>13007.88</v>
      </c>
      <c r="HE98" s="558">
        <f t="shared" si="180"/>
        <v>12335.89</v>
      </c>
      <c r="HF98" s="558">
        <f t="shared" si="180"/>
        <v>11655.23</v>
      </c>
      <c r="HG98" s="558">
        <f t="shared" si="180"/>
        <v>10969.51</v>
      </c>
      <c r="HH98" s="558">
        <f t="shared" si="180"/>
        <v>10276.56</v>
      </c>
      <c r="HI98" s="558">
        <f t="shared" si="180"/>
        <v>9590.1200000000008</v>
      </c>
      <c r="HJ98" s="558">
        <f t="shared" si="180"/>
        <v>8897.89</v>
      </c>
      <c r="HK98" s="558">
        <f t="shared" si="178"/>
        <v>8210</v>
      </c>
      <c r="HL98" s="558">
        <f t="shared" si="178"/>
        <v>7527.17</v>
      </c>
      <c r="HM98" s="558">
        <f t="shared" si="178"/>
        <v>6847.23</v>
      </c>
      <c r="HN98" s="558">
        <f t="shared" si="178"/>
        <v>6287.24</v>
      </c>
      <c r="HO98" s="558">
        <f t="shared" si="178"/>
        <v>5744.59</v>
      </c>
      <c r="HP98" s="558">
        <f t="shared" si="166"/>
        <v>5225.0600000000004</v>
      </c>
      <c r="HQ98" s="558">
        <f t="shared" si="166"/>
        <v>4732.99</v>
      </c>
      <c r="HR98" s="558">
        <f t="shared" si="166"/>
        <v>4139.03</v>
      </c>
      <c r="HS98" s="558">
        <f t="shared" si="166"/>
        <v>3568.2</v>
      </c>
      <c r="HT98" s="558">
        <f t="shared" si="166"/>
        <v>3024.1</v>
      </c>
      <c r="HU98" s="558">
        <f t="shared" si="166"/>
        <v>2524.08</v>
      </c>
      <c r="HV98" s="558">
        <f t="shared" si="166"/>
        <v>2063.8000000000002</v>
      </c>
      <c r="HW98" s="558">
        <f t="shared" si="166"/>
        <v>1645.43</v>
      </c>
      <c r="HX98" s="558">
        <f t="shared" ref="HX98:IV113" si="181" xml:space="preserve"> IF(  OR( HX$18&gt;$FK98, $FK98&gt;$FP$12 ),  LEER,  ROUND( $FO$19 * ( $FL98 - HX$15 * $FM98 ), HX$17 )  )</f>
        <v>1279.0899999999999</v>
      </c>
      <c r="HY98" s="558">
        <f t="shared" si="181"/>
        <v>956.82</v>
      </c>
      <c r="HZ98" s="558">
        <f t="shared" si="181"/>
        <v>694.53</v>
      </c>
      <c r="IA98" s="558">
        <f t="shared" si="181"/>
        <v>483.54</v>
      </c>
      <c r="IB98" s="558">
        <f t="shared" si="181"/>
        <v>326.02</v>
      </c>
      <c r="IC98" s="558">
        <f t="shared" si="181"/>
        <v>221.24</v>
      </c>
      <c r="ID98" s="558">
        <f t="shared" si="181"/>
        <v>151.88</v>
      </c>
      <c r="IE98" s="558">
        <f t="shared" si="181"/>
        <v>103.46</v>
      </c>
      <c r="IF98" s="558">
        <f t="shared" si="181"/>
        <v>102.02</v>
      </c>
      <c r="IG98" s="558">
        <f t="shared" si="181"/>
        <v>99.13</v>
      </c>
      <c r="IH98" s="558">
        <f t="shared" si="181"/>
        <v>96.24</v>
      </c>
      <c r="II98" s="558">
        <f t="shared" si="181"/>
        <v>91.9</v>
      </c>
      <c r="IJ98" s="558">
        <f t="shared" si="181"/>
        <v>86.12</v>
      </c>
      <c r="IK98" s="558">
        <f t="shared" si="181"/>
        <v>78.17</v>
      </c>
      <c r="IL98" s="558">
        <f t="shared" si="181"/>
        <v>67.34</v>
      </c>
      <c r="IM98" s="558">
        <f t="shared" si="181"/>
        <v>52.16</v>
      </c>
      <c r="IN98" s="558">
        <f t="shared" si="181"/>
        <v>31.93</v>
      </c>
      <c r="IO98" s="558">
        <f t="shared" si="177"/>
        <v>2.2999999999999998</v>
      </c>
      <c r="IP98" s="558">
        <f t="shared" si="177"/>
        <v>0.14000000000000001</v>
      </c>
      <c r="IQ98" s="558" t="str">
        <f t="shared" si="177"/>
        <v>.</v>
      </c>
      <c r="IR98" s="558" t="str">
        <f t="shared" si="177"/>
        <v>.</v>
      </c>
      <c r="IS98" s="558" t="str">
        <f t="shared" si="177"/>
        <v>.</v>
      </c>
      <c r="IT98" s="558" t="str">
        <f t="shared" si="177"/>
        <v>.</v>
      </c>
      <c r="IU98" s="558" t="str">
        <f t="shared" si="177"/>
        <v>.</v>
      </c>
      <c r="IV98" s="558" t="str">
        <f t="shared" si="177"/>
        <v>.</v>
      </c>
      <c r="IW98" s="558" t="str">
        <f t="shared" si="177"/>
        <v>.</v>
      </c>
      <c r="IX98" s="558" t="str">
        <f t="shared" si="177"/>
        <v>.</v>
      </c>
      <c r="IY98" s="558" t="str">
        <f t="shared" si="177"/>
        <v>.</v>
      </c>
      <c r="IZ98" s="558" t="str">
        <f t="shared" si="177"/>
        <v>.</v>
      </c>
      <c r="JA98" s="558" t="str">
        <f t="shared" si="177"/>
        <v>.</v>
      </c>
      <c r="JB98" s="558" t="str">
        <f t="shared" si="177"/>
        <v>.</v>
      </c>
      <c r="JC98" s="558" t="str">
        <f t="shared" si="177"/>
        <v>.</v>
      </c>
      <c r="JD98" s="558" t="str">
        <f t="shared" si="177"/>
        <v>.</v>
      </c>
      <c r="JE98" s="558" t="str">
        <f t="shared" si="177"/>
        <v>.</v>
      </c>
      <c r="JF98" s="558" t="str">
        <f t="shared" si="177"/>
        <v>.</v>
      </c>
      <c r="JG98" s="558" t="str">
        <f t="shared" si="177"/>
        <v>.</v>
      </c>
      <c r="JH98" s="558" t="str">
        <f t="shared" si="176"/>
        <v>.</v>
      </c>
      <c r="JI98" s="558" t="str">
        <f t="shared" si="176"/>
        <v>.</v>
      </c>
      <c r="JJ98" s="558" t="str">
        <f t="shared" si="176"/>
        <v>.</v>
      </c>
      <c r="JK98" s="558" t="str">
        <f t="shared" si="176"/>
        <v>.</v>
      </c>
      <c r="JL98" s="558" t="str">
        <f t="shared" si="176"/>
        <v>.</v>
      </c>
    </row>
    <row r="99" spans="1:272" ht="10.199999999999999" x14ac:dyDescent="0.2">
      <c r="A99" s="534">
        <f xml:space="preserve"> Basis!A99</f>
        <v>99</v>
      </c>
      <c r="F99" s="536">
        <f xml:space="preserve"> ROUND(    IF( $A$15=BE_MF_,   AW99,   INDEX( qx!99:99, F$16 ) ),    F$17    )</f>
        <v>0.2601</v>
      </c>
      <c r="G99" s="536">
        <f xml:space="preserve"> ROUND(    IF( $A$15=BE_MF_,   BB99,   INDEX( wx!99:99, G$16 ) ),    G$17    )</f>
        <v>1.4E-3</v>
      </c>
      <c r="H99" s="537">
        <f xml:space="preserve"> ROUND(    IF( $A$15=BE_MF_,   BG99,   INDEX( Kx!99:99, H$16 ) ),    H$17    )</f>
        <v>11313.29</v>
      </c>
      <c r="I99" s="538">
        <f t="shared" si="167"/>
        <v>11469.4</v>
      </c>
      <c r="J99" s="539">
        <f t="shared" si="135"/>
        <v>5.52</v>
      </c>
      <c r="K99" s="540">
        <f t="shared" si="168"/>
        <v>0</v>
      </c>
      <c r="L99" s="541">
        <f t="shared" si="71"/>
        <v>0</v>
      </c>
      <c r="M99" s="541">
        <f t="shared" si="71"/>
        <v>8.5999999999999993E-2</v>
      </c>
      <c r="O99" s="542" t="b">
        <f t="shared" si="169"/>
        <v>1</v>
      </c>
      <c r="P99" s="493">
        <f t="shared" si="136"/>
        <v>0.26150000000000001</v>
      </c>
      <c r="Q99" s="493">
        <f t="shared" si="137"/>
        <v>0.73850000000000005</v>
      </c>
      <c r="R99" s="543">
        <f t="shared" si="138"/>
        <v>34598</v>
      </c>
      <c r="S99" s="544">
        <f t="shared" si="139"/>
        <v>0.97560975599999999</v>
      </c>
      <c r="T99" s="423">
        <f t="shared" si="140"/>
        <v>3001.85</v>
      </c>
      <c r="U99" s="423">
        <f xml:space="preserve"> IF( $O99,    ROUND(  SUM( T99:T$120), U$17 ),  LEER  )</f>
        <v>10198.44</v>
      </c>
      <c r="V99" s="493">
        <f t="shared" si="141"/>
        <v>3.3974000000000002</v>
      </c>
      <c r="W99" s="493">
        <f t="shared" si="142"/>
        <v>16570.21</v>
      </c>
      <c r="X99" s="493">
        <f xml:space="preserve"> IF( $O99,    ROUND(  SUM( W99:W$120), X$17 ),  LEER  )</f>
        <v>56306.89</v>
      </c>
      <c r="Y99" s="493">
        <f t="shared" si="143"/>
        <v>18.757400000000001</v>
      </c>
      <c r="Z99" s="493">
        <f t="shared" si="144"/>
        <v>5.5210999999999997</v>
      </c>
      <c r="AA99" s="493">
        <f t="shared" si="145"/>
        <v>1</v>
      </c>
      <c r="AB99" s="493">
        <f t="shared" si="146"/>
        <v>2.3494000000000002</v>
      </c>
      <c r="AC99" s="545">
        <f t="shared" si="147"/>
        <v>0.32679999999999998</v>
      </c>
      <c r="AD99" s="493">
        <f t="shared" si="148"/>
        <v>5.5210999999999997</v>
      </c>
      <c r="AE99" s="493">
        <f t="shared" si="149"/>
        <v>6.3981000000000003</v>
      </c>
      <c r="AF99" s="493">
        <f t="shared" si="150"/>
        <v>6.3981000000000003</v>
      </c>
      <c r="AG99" s="493" t="str">
        <f t="shared" si="151"/>
        <v>.</v>
      </c>
      <c r="AH99" s="493" t="str">
        <f t="shared" si="152"/>
        <v>.</v>
      </c>
      <c r="AI99" s="423">
        <f t="shared" si="153"/>
        <v>2077.79</v>
      </c>
      <c r="AJ99" s="423">
        <f t="shared" si="154"/>
        <v>13293.91</v>
      </c>
      <c r="AK99" s="423">
        <f t="shared" si="155"/>
        <v>1107.83</v>
      </c>
      <c r="AN99" s="423">
        <f t="shared" si="129"/>
        <v>25885.69</v>
      </c>
      <c r="AO99" s="423">
        <f t="shared" si="129"/>
        <v>25728.98</v>
      </c>
      <c r="AR99" s="546">
        <f xml:space="preserve"> ROUND(  INDEX( Kx!99:99, AR$16 ),  AR$17 )</f>
        <v>0.27560000000000001</v>
      </c>
      <c r="AS99" s="547">
        <f xml:space="preserve"> ROUND(  INDEX( qx!99:99, AS$16 ),  AS$17 )</f>
        <v>0.26619999999999999</v>
      </c>
      <c r="AT99" s="547">
        <f xml:space="preserve"> ROUND(  INDEX( qx!99:99, AT$16 ),  AT$17 )</f>
        <v>0.25850000000000001</v>
      </c>
      <c r="AU99" s="548" t="str">
        <f t="shared" si="156"/>
        <v>F</v>
      </c>
      <c r="AV99" s="542">
        <f t="shared" si="157"/>
        <v>0.20230000000000001</v>
      </c>
      <c r="AW99" s="542">
        <f t="shared" si="158"/>
        <v>0.2601</v>
      </c>
      <c r="AX99" s="546">
        <f xml:space="preserve"> ROUND(  INDEX( wx!99:99, AX$16 ),  AX$17 )</f>
        <v>2.9999999999999997E-4</v>
      </c>
      <c r="AY99" s="546">
        <f xml:space="preserve"> ROUND(  INDEX( wx!99:99, AY$16 ),  AY$17 )</f>
        <v>2.0999999999999999E-3</v>
      </c>
      <c r="AZ99" s="548" t="str">
        <f t="shared" si="159"/>
        <v>M</v>
      </c>
      <c r="BA99" s="542">
        <f t="shared" si="160"/>
        <v>0.36330000000000001</v>
      </c>
      <c r="BB99" s="542">
        <f t="shared" si="161"/>
        <v>1.4E-3</v>
      </c>
      <c r="BC99" s="533">
        <f xml:space="preserve"> ROUND(  INDEX( Kx!99:99, BC$16 ),  BC$17 )</f>
        <v>13184.7</v>
      </c>
      <c r="BD99" s="533">
        <f xml:space="preserve"> ROUND(  INDEX( Kx!99:99, BD$16 ),  BD$17 )</f>
        <v>10245.459999999999</v>
      </c>
      <c r="BE99" s="548" t="str">
        <f t="shared" si="170"/>
        <v>M</v>
      </c>
      <c r="BF99" s="542">
        <f t="shared" si="162"/>
        <v>0.36330000000000001</v>
      </c>
      <c r="BG99" s="420">
        <f t="shared" si="163"/>
        <v>11313.29</v>
      </c>
      <c r="BQ99" s="549"/>
      <c r="BR99" s="423"/>
      <c r="BS99" s="550"/>
      <c r="BT99" s="423"/>
      <c r="BU99" s="551"/>
      <c r="BV99" s="551"/>
      <c r="BW99" s="529"/>
      <c r="BX99" s="552"/>
      <c r="BY99" s="560"/>
      <c r="BZ99" s="559"/>
      <c r="CB99" s="423"/>
      <c r="CC99" s="423"/>
      <c r="CD99" s="423"/>
      <c r="CE99" s="423"/>
      <c r="CF99" s="553"/>
      <c r="CH99" s="423"/>
      <c r="CI99" s="423"/>
      <c r="CJ99" s="423"/>
      <c r="CK99" s="423"/>
      <c r="CL99" s="553"/>
      <c r="CN99" s="423"/>
      <c r="CO99" s="423"/>
      <c r="CP99" s="423"/>
      <c r="CQ99" s="423"/>
      <c r="CR99" s="553"/>
      <c r="EI99" s="553"/>
      <c r="EJ99" s="553"/>
      <c r="EK99" s="423"/>
      <c r="EL99" s="555"/>
      <c r="ES99" s="533"/>
      <c r="ET99" s="533"/>
      <c r="EU99" s="533"/>
      <c r="EV99" s="556"/>
      <c r="EY99" s="533"/>
      <c r="EZ99" s="533"/>
      <c r="FA99" s="556"/>
      <c r="FD99" s="556"/>
      <c r="FE99" s="556"/>
      <c r="FF99" s="556"/>
      <c r="FK99" s="557">
        <f t="shared" si="164"/>
        <v>99</v>
      </c>
      <c r="FL99" s="493">
        <f t="shared" si="171"/>
        <v>18.757400000000001</v>
      </c>
      <c r="FM99" s="493">
        <f t="shared" si="172"/>
        <v>3.3974000000000002</v>
      </c>
      <c r="FO99" s="427">
        <f t="shared" si="173"/>
        <v>1068649.6199999994</v>
      </c>
      <c r="FP99" s="558">
        <f t="shared" si="165"/>
        <v>30500.21</v>
      </c>
      <c r="FQ99" s="558">
        <f t="shared" si="165"/>
        <v>30214.32</v>
      </c>
      <c r="FR99" s="558">
        <f t="shared" si="165"/>
        <v>29927.72</v>
      </c>
      <c r="FS99" s="558">
        <f t="shared" si="165"/>
        <v>29641.119999999999</v>
      </c>
      <c r="FT99" s="558">
        <f t="shared" si="165"/>
        <v>29344.639999999999</v>
      </c>
      <c r="FU99" s="558">
        <f t="shared" si="165"/>
        <v>29039.69</v>
      </c>
      <c r="FV99" s="558">
        <f t="shared" si="165"/>
        <v>28737.56</v>
      </c>
      <c r="FW99" s="558">
        <f t="shared" si="165"/>
        <v>28433.31</v>
      </c>
      <c r="FX99" s="558">
        <f t="shared" si="165"/>
        <v>28118.48</v>
      </c>
      <c r="FY99" s="558">
        <f t="shared" si="165"/>
        <v>27790.94</v>
      </c>
      <c r="FZ99" s="558">
        <f t="shared" si="165"/>
        <v>27461.279999999999</v>
      </c>
      <c r="GA99" s="558">
        <f t="shared" si="165"/>
        <v>27126.68</v>
      </c>
      <c r="GB99" s="558">
        <f t="shared" si="165"/>
        <v>26784.31</v>
      </c>
      <c r="GC99" s="558">
        <f t="shared" si="165"/>
        <v>26440.53</v>
      </c>
      <c r="GD99" s="558">
        <f t="shared" si="165"/>
        <v>26086.17</v>
      </c>
      <c r="GE99" s="558">
        <f t="shared" ref="GE99:GT114" si="182" xml:space="preserve"> IF(  OR( GE$18&gt;$FK99, $FK99&gt;$FP$12 ),  LEER,  ROUND( $FO$19 * ( $FL99 - GE$15 * $FM99 ), GE$17 )  )</f>
        <v>25728.98</v>
      </c>
      <c r="GF99" s="558">
        <f t="shared" si="182"/>
        <v>25361.200000000001</v>
      </c>
      <c r="GG99" s="558">
        <f t="shared" si="182"/>
        <v>24984.95</v>
      </c>
      <c r="GH99" s="558">
        <f t="shared" si="182"/>
        <v>24598.11</v>
      </c>
      <c r="GI99" s="558">
        <f t="shared" si="182"/>
        <v>24199.98</v>
      </c>
      <c r="GJ99" s="558">
        <f t="shared" si="182"/>
        <v>23789.85</v>
      </c>
      <c r="GK99" s="558">
        <f t="shared" si="182"/>
        <v>23364.19</v>
      </c>
      <c r="GL99" s="558">
        <f t="shared" si="182"/>
        <v>22922.99</v>
      </c>
      <c r="GM99" s="558">
        <f t="shared" si="182"/>
        <v>22465.56</v>
      </c>
      <c r="GN99" s="558">
        <f t="shared" si="182"/>
        <v>21989.78</v>
      </c>
      <c r="GO99" s="558">
        <f t="shared" si="182"/>
        <v>21499.18</v>
      </c>
      <c r="GP99" s="558">
        <f t="shared" si="182"/>
        <v>20991.63</v>
      </c>
      <c r="GQ99" s="558">
        <f t="shared" si="182"/>
        <v>20468.55</v>
      </c>
      <c r="GR99" s="558">
        <f t="shared" si="182"/>
        <v>19931.349999999999</v>
      </c>
      <c r="GS99" s="558">
        <f t="shared" si="182"/>
        <v>19380.75</v>
      </c>
      <c r="GT99" s="558">
        <f t="shared" si="182"/>
        <v>18818.84</v>
      </c>
      <c r="GU99" s="558">
        <f t="shared" si="180"/>
        <v>18243.53</v>
      </c>
      <c r="GV99" s="558">
        <f t="shared" si="180"/>
        <v>17660.45</v>
      </c>
      <c r="GW99" s="558">
        <f t="shared" si="180"/>
        <v>17066.78</v>
      </c>
      <c r="GX99" s="558">
        <f t="shared" si="180"/>
        <v>16466.759999999998</v>
      </c>
      <c r="GY99" s="558">
        <f t="shared" si="180"/>
        <v>15860.38</v>
      </c>
      <c r="GZ99" s="558">
        <f t="shared" si="180"/>
        <v>15246.95</v>
      </c>
      <c r="HA99" s="558">
        <f t="shared" si="180"/>
        <v>14628.57</v>
      </c>
      <c r="HB99" s="558">
        <f t="shared" si="180"/>
        <v>14001.02</v>
      </c>
      <c r="HC99" s="558">
        <f t="shared" si="180"/>
        <v>13360.05</v>
      </c>
      <c r="HD99" s="558">
        <f t="shared" si="180"/>
        <v>12709.91</v>
      </c>
      <c r="HE99" s="558">
        <f t="shared" si="180"/>
        <v>12053.42</v>
      </c>
      <c r="HF99" s="558">
        <f t="shared" si="180"/>
        <v>11388.45</v>
      </c>
      <c r="HG99" s="558">
        <f t="shared" si="180"/>
        <v>10718.54</v>
      </c>
      <c r="HH99" s="558">
        <f t="shared" si="180"/>
        <v>10041.58</v>
      </c>
      <c r="HI99" s="558">
        <f t="shared" si="180"/>
        <v>9370.9599999999991</v>
      </c>
      <c r="HJ99" s="558">
        <f t="shared" si="180"/>
        <v>8694.7000000000007</v>
      </c>
      <c r="HK99" s="558">
        <f t="shared" si="178"/>
        <v>8022.68</v>
      </c>
      <c r="HL99" s="558">
        <f t="shared" si="178"/>
        <v>7355.6</v>
      </c>
      <c r="HM99" s="558">
        <f t="shared" si="178"/>
        <v>6691.34</v>
      </c>
      <c r="HN99" s="558">
        <f t="shared" si="178"/>
        <v>6144.26</v>
      </c>
      <c r="HO99" s="558">
        <f t="shared" si="178"/>
        <v>5614.12</v>
      </c>
      <c r="HP99" s="558">
        <f t="shared" si="178"/>
        <v>5106.57</v>
      </c>
      <c r="HQ99" s="558">
        <f t="shared" si="178"/>
        <v>4625.8500000000004</v>
      </c>
      <c r="HR99" s="558">
        <f t="shared" si="178"/>
        <v>4045.59</v>
      </c>
      <c r="HS99" s="558">
        <f t="shared" si="178"/>
        <v>3487.92</v>
      </c>
      <c r="HT99" s="558">
        <f t="shared" si="178"/>
        <v>2956.38</v>
      </c>
      <c r="HU99" s="558">
        <f t="shared" si="178"/>
        <v>2467.89</v>
      </c>
      <c r="HV99" s="558">
        <f t="shared" si="178"/>
        <v>2018.22</v>
      </c>
      <c r="HW99" s="558">
        <f t="shared" si="178"/>
        <v>1609.5</v>
      </c>
      <c r="HX99" s="558">
        <f t="shared" si="178"/>
        <v>1251.6099999999999</v>
      </c>
      <c r="HY99" s="558">
        <f t="shared" si="178"/>
        <v>936.77</v>
      </c>
      <c r="HZ99" s="558">
        <f t="shared" si="178"/>
        <v>680.53</v>
      </c>
      <c r="IA99" s="558">
        <f t="shared" si="178"/>
        <v>474.4</v>
      </c>
      <c r="IB99" s="558">
        <f t="shared" si="181"/>
        <v>320.51</v>
      </c>
      <c r="IC99" s="558">
        <f t="shared" si="181"/>
        <v>218.16</v>
      </c>
      <c r="ID99" s="558">
        <f t="shared" si="181"/>
        <v>150.38999999999999</v>
      </c>
      <c r="IE99" s="558">
        <f t="shared" si="181"/>
        <v>103.09</v>
      </c>
      <c r="IF99" s="558">
        <f t="shared" si="181"/>
        <v>101.68</v>
      </c>
      <c r="IG99" s="558">
        <f t="shared" si="181"/>
        <v>98.86</v>
      </c>
      <c r="IH99" s="558">
        <f t="shared" si="181"/>
        <v>96.03</v>
      </c>
      <c r="II99" s="558">
        <f t="shared" si="181"/>
        <v>91.8</v>
      </c>
      <c r="IJ99" s="558">
        <f t="shared" si="181"/>
        <v>86.15</v>
      </c>
      <c r="IK99" s="558">
        <f t="shared" si="181"/>
        <v>78.39</v>
      </c>
      <c r="IL99" s="558">
        <f t="shared" si="181"/>
        <v>67.8</v>
      </c>
      <c r="IM99" s="558">
        <f t="shared" si="181"/>
        <v>52.97</v>
      </c>
      <c r="IN99" s="558">
        <f t="shared" si="181"/>
        <v>33.21</v>
      </c>
      <c r="IO99" s="558">
        <f t="shared" si="177"/>
        <v>4.2699999999999996</v>
      </c>
      <c r="IP99" s="558">
        <f t="shared" si="177"/>
        <v>2.15</v>
      </c>
      <c r="IQ99" s="558">
        <f t="shared" si="177"/>
        <v>0.03</v>
      </c>
      <c r="IR99" s="558" t="str">
        <f t="shared" si="177"/>
        <v>.</v>
      </c>
      <c r="IS99" s="558" t="str">
        <f t="shared" si="177"/>
        <v>.</v>
      </c>
      <c r="IT99" s="558" t="str">
        <f t="shared" si="177"/>
        <v>.</v>
      </c>
      <c r="IU99" s="558" t="str">
        <f t="shared" si="177"/>
        <v>.</v>
      </c>
      <c r="IV99" s="558" t="str">
        <f t="shared" si="177"/>
        <v>.</v>
      </c>
      <c r="IW99" s="558" t="str">
        <f t="shared" si="177"/>
        <v>.</v>
      </c>
      <c r="IX99" s="558" t="str">
        <f t="shared" si="177"/>
        <v>.</v>
      </c>
      <c r="IY99" s="558" t="str">
        <f t="shared" si="177"/>
        <v>.</v>
      </c>
      <c r="IZ99" s="558" t="str">
        <f t="shared" si="177"/>
        <v>.</v>
      </c>
      <c r="JA99" s="558" t="str">
        <f t="shared" si="177"/>
        <v>.</v>
      </c>
      <c r="JB99" s="558" t="str">
        <f t="shared" si="177"/>
        <v>.</v>
      </c>
      <c r="JC99" s="558" t="str">
        <f t="shared" si="177"/>
        <v>.</v>
      </c>
      <c r="JD99" s="558" t="str">
        <f t="shared" si="177"/>
        <v>.</v>
      </c>
      <c r="JE99" s="558" t="str">
        <f t="shared" si="177"/>
        <v>.</v>
      </c>
      <c r="JF99" s="558" t="str">
        <f t="shared" si="177"/>
        <v>.</v>
      </c>
      <c r="JG99" s="558" t="str">
        <f t="shared" si="177"/>
        <v>.</v>
      </c>
      <c r="JH99" s="558" t="str">
        <f t="shared" si="176"/>
        <v>.</v>
      </c>
      <c r="JI99" s="558" t="str">
        <f t="shared" si="176"/>
        <v>.</v>
      </c>
      <c r="JJ99" s="558" t="str">
        <f t="shared" si="176"/>
        <v>.</v>
      </c>
      <c r="JK99" s="558" t="str">
        <f t="shared" si="176"/>
        <v>.</v>
      </c>
      <c r="JL99" s="558" t="str">
        <f t="shared" si="176"/>
        <v>.</v>
      </c>
    </row>
    <row r="100" spans="1:272" ht="10.199999999999999" x14ac:dyDescent="0.2">
      <c r="A100" s="534">
        <f xml:space="preserve"> Basis!A100</f>
        <v>100</v>
      </c>
      <c r="F100" s="536">
        <f xml:space="preserve"> ROUND(    IF( $A$15=BE_MF_,   AW100,   INDEX( qx!100:100, F$16 ) ),    F$17    )</f>
        <v>0.26479999999999998</v>
      </c>
      <c r="G100" s="536">
        <f xml:space="preserve"> ROUND(    IF( $A$15=BE_MF_,   BB100,   INDEX( wx!100:100, G$16 ) ),    G$17    )</f>
        <v>1.5E-3</v>
      </c>
      <c r="H100" s="537">
        <f xml:space="preserve"> ROUND(    IF( $A$15=BE_MF_,   BG100,   INDEX( Kx!100:100, H$16 ) ),    H$17    )</f>
        <v>11249.37</v>
      </c>
      <c r="I100" s="538">
        <f t="shared" si="167"/>
        <v>11469.4</v>
      </c>
      <c r="J100" s="539">
        <f t="shared" si="135"/>
        <v>5.52</v>
      </c>
      <c r="K100" s="540">
        <f t="shared" si="168"/>
        <v>0</v>
      </c>
      <c r="L100" s="541">
        <f t="shared" si="71"/>
        <v>0</v>
      </c>
      <c r="M100" s="541">
        <f t="shared" si="71"/>
        <v>8.5999999999999993E-2</v>
      </c>
      <c r="O100" s="542" t="b">
        <f t="shared" si="169"/>
        <v>1</v>
      </c>
      <c r="P100" s="493">
        <f t="shared" si="136"/>
        <v>0.26629999999999998</v>
      </c>
      <c r="Q100" s="493">
        <f t="shared" si="137"/>
        <v>0.73370000000000002</v>
      </c>
      <c r="R100" s="543">
        <f t="shared" si="138"/>
        <v>25550</v>
      </c>
      <c r="S100" s="544">
        <f t="shared" si="139"/>
        <v>0.97560975599999999</v>
      </c>
      <c r="T100" s="423">
        <f t="shared" si="140"/>
        <v>2162.7399999999998</v>
      </c>
      <c r="U100" s="423">
        <f xml:space="preserve"> IF( $O100,    ROUND(  SUM( T100:T$120), U$17 ),  LEER  )</f>
        <v>7196.59</v>
      </c>
      <c r="V100" s="493">
        <f t="shared" si="141"/>
        <v>3.3275000000000001</v>
      </c>
      <c r="W100" s="493">
        <f t="shared" si="142"/>
        <v>11938.32</v>
      </c>
      <c r="X100" s="493">
        <f xml:space="preserve"> IF( $O100,    ROUND(  SUM( W100:W$120), X$17 ),  LEER  )</f>
        <v>39736.68</v>
      </c>
      <c r="Y100" s="493">
        <f t="shared" si="143"/>
        <v>18.3733</v>
      </c>
      <c r="Z100" s="493">
        <f t="shared" si="144"/>
        <v>5.5217000000000001</v>
      </c>
      <c r="AA100" s="493">
        <f t="shared" si="145"/>
        <v>1</v>
      </c>
      <c r="AB100" s="493">
        <f t="shared" si="146"/>
        <v>2.3494000000000002</v>
      </c>
      <c r="AC100" s="545">
        <f t="shared" si="147"/>
        <v>0.32679999999999998</v>
      </c>
      <c r="AD100" s="493">
        <f t="shared" si="148"/>
        <v>5.5217000000000001</v>
      </c>
      <c r="AE100" s="493">
        <f t="shared" si="149"/>
        <v>6.3987999999999996</v>
      </c>
      <c r="AF100" s="493">
        <f t="shared" si="150"/>
        <v>6.3987999999999996</v>
      </c>
      <c r="AG100" s="493" t="str">
        <f t="shared" si="151"/>
        <v>.</v>
      </c>
      <c r="AH100" s="493" t="str">
        <f t="shared" si="152"/>
        <v>.</v>
      </c>
      <c r="AI100" s="423">
        <f t="shared" si="153"/>
        <v>2077.79</v>
      </c>
      <c r="AJ100" s="423">
        <f t="shared" si="154"/>
        <v>13295.36</v>
      </c>
      <c r="AK100" s="423">
        <f t="shared" si="155"/>
        <v>1107.95</v>
      </c>
      <c r="AN100" s="423">
        <f t="shared" ref="AN100:AO120" si="183" xml:space="preserve">  IF( AND( $A100&lt;=$O$12, $A100&gt;=AN$12),    ROUND( AN$19 * ( SUM($Y100) - SUM(AN$8) * SUM($V100) ), AN$17 ),  LEER  )</f>
        <v>25356.9</v>
      </c>
      <c r="AO100" s="423">
        <f t="shared" si="183"/>
        <v>25203.41</v>
      </c>
      <c r="AR100" s="546">
        <f xml:space="preserve"> ROUND(  INDEX( Kx!100:100, AR$16 ),  AR$17 )</f>
        <v>0.24679999999999999</v>
      </c>
      <c r="AS100" s="547">
        <f xml:space="preserve"> ROUND(  INDEX( qx!100:100, AS$16 ),  AS$17 )</f>
        <v>0.27300000000000002</v>
      </c>
      <c r="AT100" s="547">
        <f xml:space="preserve"> ROUND(  INDEX( qx!100:100, AT$16 ),  AT$17 )</f>
        <v>0.26300000000000001</v>
      </c>
      <c r="AU100" s="548" t="str">
        <f t="shared" si="156"/>
        <v>F</v>
      </c>
      <c r="AV100" s="542">
        <f t="shared" si="157"/>
        <v>0.17929999999999999</v>
      </c>
      <c r="AW100" s="542">
        <f t="shared" si="158"/>
        <v>0.26479999999999998</v>
      </c>
      <c r="AX100" s="546">
        <f xml:space="preserve"> ROUND(  INDEX( wx!100:100, AX$16 ),  AX$17 )</f>
        <v>2.0000000000000001E-4</v>
      </c>
      <c r="AY100" s="546">
        <f xml:space="preserve"> ROUND(  INDEX( wx!100:100, AY$16 ),  AY$17 )</f>
        <v>2.0999999999999999E-3</v>
      </c>
      <c r="AZ100" s="548" t="str">
        <f t="shared" si="159"/>
        <v>M</v>
      </c>
      <c r="BA100" s="542">
        <f t="shared" si="160"/>
        <v>0.32950000000000002</v>
      </c>
      <c r="BB100" s="542">
        <f t="shared" si="161"/>
        <v>1.5E-3</v>
      </c>
      <c r="BC100" s="533">
        <f xml:space="preserve"> ROUND(  INDEX( Kx!100:100, BC$16 ),  BC$17 )</f>
        <v>13263.95</v>
      </c>
      <c r="BD100" s="533">
        <f xml:space="preserve"> ROUND(  INDEX( Kx!100:100, BD$16 ),  BD$17 )</f>
        <v>10259.35</v>
      </c>
      <c r="BE100" s="548" t="str">
        <f t="shared" si="170"/>
        <v>M</v>
      </c>
      <c r="BF100" s="542">
        <f t="shared" si="162"/>
        <v>0.32950000000000002</v>
      </c>
      <c r="BG100" s="420">
        <f t="shared" si="163"/>
        <v>11249.37</v>
      </c>
      <c r="BQ100" s="549"/>
      <c r="BR100" s="423"/>
      <c r="BS100" s="550"/>
      <c r="BT100" s="423"/>
      <c r="BU100" s="551"/>
      <c r="BV100" s="551"/>
      <c r="BW100" s="529"/>
      <c r="BX100" s="552"/>
      <c r="BY100" s="560"/>
      <c r="BZ100" s="559"/>
      <c r="CB100" s="423"/>
      <c r="CC100" s="423"/>
      <c r="CD100" s="423"/>
      <c r="CE100" s="423"/>
      <c r="CF100" s="553"/>
      <c r="CH100" s="423"/>
      <c r="CI100" s="423"/>
      <c r="CJ100" s="423"/>
      <c r="CK100" s="423"/>
      <c r="CL100" s="553"/>
      <c r="CN100" s="423"/>
      <c r="CO100" s="423"/>
      <c r="CP100" s="423"/>
      <c r="CQ100" s="423"/>
      <c r="CR100" s="553"/>
      <c r="EI100" s="553"/>
      <c r="EJ100" s="553"/>
      <c r="EK100" s="423"/>
      <c r="EL100" s="555"/>
      <c r="ES100" s="533"/>
      <c r="ET100" s="533"/>
      <c r="EU100" s="533"/>
      <c r="EV100" s="556"/>
      <c r="EY100" s="533"/>
      <c r="EZ100" s="533"/>
      <c r="FA100" s="556"/>
      <c r="FD100" s="556"/>
      <c r="FE100" s="556"/>
      <c r="FF100" s="556"/>
      <c r="FK100" s="557">
        <f t="shared" si="164"/>
        <v>100</v>
      </c>
      <c r="FL100" s="493">
        <f t="shared" si="171"/>
        <v>18.3733</v>
      </c>
      <c r="FM100" s="493">
        <f t="shared" si="172"/>
        <v>3.3275000000000001</v>
      </c>
      <c r="FO100" s="427">
        <f t="shared" si="173"/>
        <v>1046965.73</v>
      </c>
      <c r="FP100" s="558">
        <f t="shared" ref="FP100:GE115" si="184" xml:space="preserve"> IF(  OR( FP$18&gt;$FK100, $FK100&gt;$FP$12 ),  LEER,  ROUND( $FO$19 * ( $FL100 - FP$15 * $FM100 ), FP$17 )  )</f>
        <v>29876.48</v>
      </c>
      <c r="FQ100" s="558">
        <f t="shared" si="184"/>
        <v>29596.47</v>
      </c>
      <c r="FR100" s="558">
        <f t="shared" si="184"/>
        <v>29315.77</v>
      </c>
      <c r="FS100" s="558">
        <f t="shared" si="184"/>
        <v>29035.06</v>
      </c>
      <c r="FT100" s="558">
        <f t="shared" si="184"/>
        <v>28744.68</v>
      </c>
      <c r="FU100" s="558">
        <f t="shared" si="184"/>
        <v>28446</v>
      </c>
      <c r="FV100" s="558">
        <f t="shared" si="184"/>
        <v>28150.09</v>
      </c>
      <c r="FW100" s="558">
        <f t="shared" si="184"/>
        <v>27852.1</v>
      </c>
      <c r="FX100" s="558">
        <f t="shared" si="184"/>
        <v>27543.75</v>
      </c>
      <c r="FY100" s="558">
        <f t="shared" si="184"/>
        <v>27222.94</v>
      </c>
      <c r="FZ100" s="558">
        <f t="shared" si="184"/>
        <v>26900.07</v>
      </c>
      <c r="GA100" s="558">
        <f t="shared" si="184"/>
        <v>26572.35</v>
      </c>
      <c r="GB100" s="558">
        <f t="shared" si="184"/>
        <v>26237.03</v>
      </c>
      <c r="GC100" s="558">
        <f t="shared" si="184"/>
        <v>25900.33</v>
      </c>
      <c r="GD100" s="558">
        <f t="shared" si="184"/>
        <v>25553.25</v>
      </c>
      <c r="GE100" s="558">
        <f t="shared" si="184"/>
        <v>25203.41</v>
      </c>
      <c r="GF100" s="558">
        <f t="shared" si="182"/>
        <v>24843.200000000001</v>
      </c>
      <c r="GG100" s="558">
        <f t="shared" si="182"/>
        <v>24474.69</v>
      </c>
      <c r="GH100" s="558">
        <f t="shared" si="182"/>
        <v>24095.81</v>
      </c>
      <c r="GI100" s="558">
        <f t="shared" si="182"/>
        <v>23705.87</v>
      </c>
      <c r="GJ100" s="558">
        <f t="shared" si="182"/>
        <v>23304.18</v>
      </c>
      <c r="GK100" s="558">
        <f t="shared" si="182"/>
        <v>22887.27</v>
      </c>
      <c r="GL100" s="558">
        <f t="shared" si="182"/>
        <v>22455.16</v>
      </c>
      <c r="GM100" s="558">
        <f t="shared" si="182"/>
        <v>22007.14</v>
      </c>
      <c r="GN100" s="558">
        <f t="shared" si="182"/>
        <v>21541.14</v>
      </c>
      <c r="GO100" s="558">
        <f t="shared" si="182"/>
        <v>21060.63</v>
      </c>
      <c r="GP100" s="558">
        <f t="shared" si="182"/>
        <v>20563.53</v>
      </c>
      <c r="GQ100" s="558">
        <f t="shared" si="182"/>
        <v>20051.21</v>
      </c>
      <c r="GR100" s="558">
        <f t="shared" si="182"/>
        <v>19525.07</v>
      </c>
      <c r="GS100" s="558">
        <f t="shared" si="182"/>
        <v>18985.79</v>
      </c>
      <c r="GT100" s="558">
        <f t="shared" si="182"/>
        <v>18435.45</v>
      </c>
      <c r="GU100" s="558">
        <f t="shared" si="180"/>
        <v>17871.97</v>
      </c>
      <c r="GV100" s="558">
        <f t="shared" si="180"/>
        <v>17300.88</v>
      </c>
      <c r="GW100" s="558">
        <f t="shared" si="180"/>
        <v>16719.43</v>
      </c>
      <c r="GX100" s="558">
        <f t="shared" si="180"/>
        <v>16131.75</v>
      </c>
      <c r="GY100" s="558">
        <f t="shared" si="180"/>
        <v>15537.85</v>
      </c>
      <c r="GZ100" s="558">
        <f t="shared" si="180"/>
        <v>14937.04</v>
      </c>
      <c r="HA100" s="558">
        <f t="shared" si="180"/>
        <v>14331.39</v>
      </c>
      <c r="HB100" s="558">
        <f t="shared" si="180"/>
        <v>13716.75</v>
      </c>
      <c r="HC100" s="558">
        <f t="shared" si="180"/>
        <v>13088.97</v>
      </c>
      <c r="HD100" s="558">
        <f t="shared" si="180"/>
        <v>12452.2</v>
      </c>
      <c r="HE100" s="558">
        <f t="shared" si="180"/>
        <v>11809.22</v>
      </c>
      <c r="HF100" s="558">
        <f t="shared" si="180"/>
        <v>11157.93</v>
      </c>
      <c r="HG100" s="558">
        <f t="shared" si="180"/>
        <v>10501.81</v>
      </c>
      <c r="HH100" s="558">
        <f t="shared" si="180"/>
        <v>9838.77</v>
      </c>
      <c r="HI100" s="558">
        <f t="shared" si="180"/>
        <v>9181.9500000000007</v>
      </c>
      <c r="HJ100" s="558">
        <f t="shared" si="180"/>
        <v>8519.61</v>
      </c>
      <c r="HK100" s="558">
        <f t="shared" si="178"/>
        <v>7861.41</v>
      </c>
      <c r="HL100" s="558">
        <f t="shared" si="178"/>
        <v>7208.05</v>
      </c>
      <c r="HM100" s="558">
        <f t="shared" si="178"/>
        <v>6557.46</v>
      </c>
      <c r="HN100" s="558">
        <f t="shared" si="178"/>
        <v>6021.63</v>
      </c>
      <c r="HO100" s="558">
        <f t="shared" si="178"/>
        <v>5502.4</v>
      </c>
      <c r="HP100" s="558">
        <f t="shared" si="178"/>
        <v>5005.3</v>
      </c>
      <c r="HQ100" s="558">
        <f t="shared" si="178"/>
        <v>4534.47</v>
      </c>
      <c r="HR100" s="558">
        <f t="shared" si="178"/>
        <v>3966.15</v>
      </c>
      <c r="HS100" s="558">
        <f t="shared" si="178"/>
        <v>3419.95</v>
      </c>
      <c r="HT100" s="558">
        <f t="shared" si="178"/>
        <v>2899.34</v>
      </c>
      <c r="HU100" s="558">
        <f t="shared" si="178"/>
        <v>2420.9</v>
      </c>
      <c r="HV100" s="558">
        <f t="shared" si="178"/>
        <v>1980.49</v>
      </c>
      <c r="HW100" s="558">
        <f t="shared" si="178"/>
        <v>1580.18</v>
      </c>
      <c r="HX100" s="558">
        <f t="shared" si="178"/>
        <v>1229.6500000000001</v>
      </c>
      <c r="HY100" s="558">
        <f t="shared" si="178"/>
        <v>921.29</v>
      </c>
      <c r="HZ100" s="558">
        <f t="shared" si="178"/>
        <v>670.32</v>
      </c>
      <c r="IA100" s="558">
        <f t="shared" si="178"/>
        <v>468.43</v>
      </c>
      <c r="IB100" s="558">
        <f t="shared" si="181"/>
        <v>317.70999999999998</v>
      </c>
      <c r="IC100" s="558">
        <f t="shared" si="181"/>
        <v>217.46</v>
      </c>
      <c r="ID100" s="558">
        <f t="shared" si="181"/>
        <v>151.09</v>
      </c>
      <c r="IE100" s="558">
        <f t="shared" si="181"/>
        <v>104.76</v>
      </c>
      <c r="IF100" s="558">
        <f t="shared" si="181"/>
        <v>103.38</v>
      </c>
      <c r="IG100" s="558">
        <f t="shared" si="181"/>
        <v>100.62</v>
      </c>
      <c r="IH100" s="558">
        <f t="shared" si="181"/>
        <v>97.85</v>
      </c>
      <c r="II100" s="558">
        <f t="shared" si="181"/>
        <v>93.7</v>
      </c>
      <c r="IJ100" s="558">
        <f t="shared" si="181"/>
        <v>88.17</v>
      </c>
      <c r="IK100" s="558">
        <f t="shared" si="181"/>
        <v>80.569999999999993</v>
      </c>
      <c r="IL100" s="558">
        <f t="shared" si="181"/>
        <v>70.2</v>
      </c>
      <c r="IM100" s="558">
        <f t="shared" si="181"/>
        <v>55.68</v>
      </c>
      <c r="IN100" s="558">
        <f t="shared" si="181"/>
        <v>36.32</v>
      </c>
      <c r="IO100" s="558">
        <f t="shared" si="177"/>
        <v>7.97</v>
      </c>
      <c r="IP100" s="558">
        <f t="shared" si="177"/>
        <v>5.9</v>
      </c>
      <c r="IQ100" s="558">
        <f t="shared" si="177"/>
        <v>3.82</v>
      </c>
      <c r="IR100" s="558">
        <f t="shared" si="177"/>
        <v>-0.33</v>
      </c>
      <c r="IS100" s="558" t="str">
        <f t="shared" si="177"/>
        <v>.</v>
      </c>
      <c r="IT100" s="558" t="str">
        <f t="shared" si="177"/>
        <v>.</v>
      </c>
      <c r="IU100" s="558" t="str">
        <f t="shared" si="177"/>
        <v>.</v>
      </c>
      <c r="IV100" s="558" t="str">
        <f t="shared" si="177"/>
        <v>.</v>
      </c>
      <c r="IW100" s="558" t="str">
        <f t="shared" si="177"/>
        <v>.</v>
      </c>
      <c r="IX100" s="558" t="str">
        <f t="shared" si="177"/>
        <v>.</v>
      </c>
      <c r="IY100" s="558" t="str">
        <f t="shared" si="177"/>
        <v>.</v>
      </c>
      <c r="IZ100" s="558" t="str">
        <f t="shared" si="177"/>
        <v>.</v>
      </c>
      <c r="JA100" s="558" t="str">
        <f t="shared" si="177"/>
        <v>.</v>
      </c>
      <c r="JB100" s="558" t="str">
        <f t="shared" si="177"/>
        <v>.</v>
      </c>
      <c r="JC100" s="558" t="str">
        <f t="shared" si="177"/>
        <v>.</v>
      </c>
      <c r="JD100" s="558" t="str">
        <f t="shared" si="177"/>
        <v>.</v>
      </c>
      <c r="JE100" s="558" t="str">
        <f t="shared" si="177"/>
        <v>.</v>
      </c>
      <c r="JF100" s="558" t="str">
        <f t="shared" si="177"/>
        <v>.</v>
      </c>
      <c r="JG100" s="558" t="str">
        <f t="shared" si="177"/>
        <v>.</v>
      </c>
      <c r="JH100" s="558" t="str">
        <f t="shared" si="177"/>
        <v>.</v>
      </c>
      <c r="JI100" s="558" t="str">
        <f t="shared" si="177"/>
        <v>.</v>
      </c>
      <c r="JJ100" s="558" t="str">
        <f t="shared" si="177"/>
        <v>.</v>
      </c>
      <c r="JK100" s="558" t="str">
        <f t="shared" si="177"/>
        <v>.</v>
      </c>
      <c r="JL100" s="558" t="str">
        <f t="shared" ref="JL100:JL105" si="185" xml:space="preserve"> IF(  OR( JL$18&gt;$FK100, $FK100&gt;$FP$12 ),  LEER,  ROUND( $FO$19 * ( $FL100 - JL$15 * $FM100 ), JL$17 )  )</f>
        <v>.</v>
      </c>
    </row>
    <row r="101" spans="1:272" ht="10.199999999999999" x14ac:dyDescent="0.2">
      <c r="A101" s="534">
        <f xml:space="preserve"> Basis!A101</f>
        <v>101</v>
      </c>
      <c r="F101" s="536">
        <f xml:space="preserve"> ROUND(    IF( $A$15=BE_MF_,   AW101,   INDEX( qx!101:101, F$16 ) ),    F$17    )</f>
        <v>0.27010000000000001</v>
      </c>
      <c r="G101" s="536">
        <f xml:space="preserve"> ROUND(    IF( $A$15=BE_MF_,   BB101,   INDEX( wx!101:101, G$16 ) ),    G$17    )</f>
        <v>1.4E-3</v>
      </c>
      <c r="H101" s="537">
        <f xml:space="preserve"> ROUND(    IF( $A$15=BE_MF_,   BG101,   INDEX( Kx!101:101, H$16 ) ),    H$17    )</f>
        <v>11283.21</v>
      </c>
      <c r="I101" s="538">
        <f t="shared" si="167"/>
        <v>11469.4</v>
      </c>
      <c r="J101" s="539">
        <f t="shared" si="135"/>
        <v>5.52</v>
      </c>
      <c r="K101" s="540">
        <f t="shared" si="168"/>
        <v>0</v>
      </c>
      <c r="L101" s="541">
        <f t="shared" si="71"/>
        <v>0</v>
      </c>
      <c r="M101" s="541">
        <f t="shared" si="71"/>
        <v>8.5999999999999993E-2</v>
      </c>
      <c r="O101" s="542" t="b">
        <f t="shared" si="169"/>
        <v>1</v>
      </c>
      <c r="P101" s="493">
        <f t="shared" si="136"/>
        <v>0.27150000000000002</v>
      </c>
      <c r="Q101" s="493">
        <f t="shared" si="137"/>
        <v>0.72850000000000004</v>
      </c>
      <c r="R101" s="543">
        <f t="shared" si="138"/>
        <v>18746</v>
      </c>
      <c r="S101" s="544">
        <f t="shared" si="139"/>
        <v>0.97560975599999999</v>
      </c>
      <c r="T101" s="423">
        <f t="shared" si="140"/>
        <v>1548.1</v>
      </c>
      <c r="U101" s="423">
        <f xml:space="preserve"> IF( $O101,    ROUND(  SUM( T101:T$120), U$17 ),  LEER  )</f>
        <v>5033.8500000000004</v>
      </c>
      <c r="V101" s="493">
        <f t="shared" si="141"/>
        <v>3.2515999999999998</v>
      </c>
      <c r="W101" s="493">
        <f t="shared" si="142"/>
        <v>8545.51</v>
      </c>
      <c r="X101" s="493">
        <f xml:space="preserve"> IF( $O101,    ROUND(  SUM( W101:W$120), X$17 ),  LEER  )</f>
        <v>27798.36</v>
      </c>
      <c r="Y101" s="493">
        <f t="shared" si="143"/>
        <v>17.956399999999999</v>
      </c>
      <c r="Z101" s="493">
        <f t="shared" si="144"/>
        <v>5.5223000000000004</v>
      </c>
      <c r="AA101" s="493">
        <f t="shared" si="145"/>
        <v>1</v>
      </c>
      <c r="AB101" s="493">
        <f t="shared" si="146"/>
        <v>2.3494000000000002</v>
      </c>
      <c r="AC101" s="545">
        <f t="shared" si="147"/>
        <v>0.32679999999999998</v>
      </c>
      <c r="AD101" s="493">
        <f t="shared" si="148"/>
        <v>5.5223000000000004</v>
      </c>
      <c r="AE101" s="493">
        <f t="shared" si="149"/>
        <v>6.3994999999999997</v>
      </c>
      <c r="AF101" s="493">
        <f t="shared" si="150"/>
        <v>6.3994999999999997</v>
      </c>
      <c r="AG101" s="493" t="str">
        <f t="shared" si="151"/>
        <v>.</v>
      </c>
      <c r="AH101" s="493" t="str">
        <f t="shared" si="152"/>
        <v>.</v>
      </c>
      <c r="AI101" s="423">
        <f t="shared" si="153"/>
        <v>2077.79</v>
      </c>
      <c r="AJ101" s="423">
        <f t="shared" si="154"/>
        <v>13296.82</v>
      </c>
      <c r="AK101" s="423">
        <f t="shared" si="155"/>
        <v>1108.07</v>
      </c>
      <c r="AN101" s="423">
        <f t="shared" si="183"/>
        <v>24783.07</v>
      </c>
      <c r="AO101" s="423">
        <f t="shared" si="183"/>
        <v>24633.08</v>
      </c>
      <c r="AR101" s="546">
        <f xml:space="preserve"> ROUND(  INDEX( Kx!101:101, AR$16 ),  AR$17 )</f>
        <v>0.24679999999999999</v>
      </c>
      <c r="AS101" s="547">
        <f xml:space="preserve"> ROUND(  INDEX( qx!101:101, AS$16 ),  AS$17 )</f>
        <v>0.27929999999999999</v>
      </c>
      <c r="AT101" s="547">
        <f xml:space="preserve"> ROUND(  INDEX( qx!101:101, AT$16 ),  AT$17 )</f>
        <v>0.2681</v>
      </c>
      <c r="AU101" s="548" t="str">
        <f t="shared" si="156"/>
        <v>F</v>
      </c>
      <c r="AV101" s="542">
        <f t="shared" si="157"/>
        <v>0.17929999999999999</v>
      </c>
      <c r="AW101" s="542">
        <f t="shared" si="158"/>
        <v>0.27010000000000001</v>
      </c>
      <c r="AX101" s="546">
        <f xml:space="preserve"> ROUND(  INDEX( wx!101:101, AX$16 ),  AX$17 )</f>
        <v>1E-4</v>
      </c>
      <c r="AY101" s="546">
        <f xml:space="preserve"> ROUND(  INDEX( wx!101:101, AY$16 ),  AY$17 )</f>
        <v>2.0999999999999999E-3</v>
      </c>
      <c r="AZ101" s="548" t="str">
        <f t="shared" si="159"/>
        <v>M</v>
      </c>
      <c r="BA101" s="542">
        <f t="shared" si="160"/>
        <v>0.32950000000000002</v>
      </c>
      <c r="BB101" s="542">
        <f t="shared" si="161"/>
        <v>1.4E-3</v>
      </c>
      <c r="BC101" s="533">
        <f xml:space="preserve"> ROUND(  INDEX( Kx!101:101, BC$16 ),  BC$17 )</f>
        <v>13342.32</v>
      </c>
      <c r="BD101" s="533">
        <f xml:space="preserve"> ROUND(  INDEX( Kx!101:101, BD$16 ),  BD$17 )</f>
        <v>10271.31</v>
      </c>
      <c r="BE101" s="548" t="str">
        <f t="shared" si="170"/>
        <v>M</v>
      </c>
      <c r="BF101" s="542">
        <f t="shared" si="162"/>
        <v>0.32950000000000002</v>
      </c>
      <c r="BG101" s="420">
        <f t="shared" si="163"/>
        <v>11283.21</v>
      </c>
      <c r="BQ101" s="549"/>
      <c r="BR101" s="423"/>
      <c r="BS101" s="550"/>
      <c r="BT101" s="423"/>
      <c r="BU101" s="551"/>
      <c r="BV101" s="551"/>
      <c r="BW101" s="529"/>
      <c r="BX101" s="552"/>
      <c r="BY101" s="560"/>
      <c r="BZ101" s="559"/>
      <c r="CB101" s="423"/>
      <c r="CC101" s="423"/>
      <c r="CD101" s="423"/>
      <c r="CE101" s="423"/>
      <c r="CF101" s="553"/>
      <c r="CH101" s="423"/>
      <c r="CI101" s="423"/>
      <c r="CJ101" s="423"/>
      <c r="CK101" s="423"/>
      <c r="CL101" s="553"/>
      <c r="CN101" s="423"/>
      <c r="CO101" s="423"/>
      <c r="CP101" s="423"/>
      <c r="CQ101" s="423"/>
      <c r="CR101" s="553"/>
      <c r="EI101" s="553"/>
      <c r="EJ101" s="553"/>
      <c r="EK101" s="423"/>
      <c r="EL101" s="555"/>
      <c r="ES101" s="533"/>
      <c r="ET101" s="533"/>
      <c r="EU101" s="533"/>
      <c r="EV101" s="556"/>
      <c r="EY101" s="533"/>
      <c r="EZ101" s="533"/>
      <c r="FA101" s="556"/>
      <c r="FD101" s="556"/>
      <c r="FE101" s="556"/>
      <c r="FF101" s="556"/>
      <c r="FK101" s="557">
        <f t="shared" si="164"/>
        <v>101</v>
      </c>
      <c r="FL101" s="493">
        <f t="shared" si="171"/>
        <v>17.956399999999999</v>
      </c>
      <c r="FM101" s="493">
        <f t="shared" si="172"/>
        <v>3.2515999999999998</v>
      </c>
      <c r="FO101" s="427">
        <f t="shared" si="173"/>
        <v>1023453.8699999998</v>
      </c>
      <c r="FP101" s="558">
        <f t="shared" si="184"/>
        <v>29199.56</v>
      </c>
      <c r="FQ101" s="558">
        <f t="shared" si="184"/>
        <v>28925.93</v>
      </c>
      <c r="FR101" s="558">
        <f t="shared" si="184"/>
        <v>28651.63</v>
      </c>
      <c r="FS101" s="558">
        <f t="shared" si="184"/>
        <v>28377.33</v>
      </c>
      <c r="FT101" s="558">
        <f t="shared" si="184"/>
        <v>28093.58</v>
      </c>
      <c r="FU101" s="558">
        <f t="shared" si="184"/>
        <v>27801.71</v>
      </c>
      <c r="FV101" s="558">
        <f t="shared" si="184"/>
        <v>27512.55</v>
      </c>
      <c r="FW101" s="558">
        <f t="shared" si="184"/>
        <v>27221.360000000001</v>
      </c>
      <c r="FX101" s="558">
        <f t="shared" si="184"/>
        <v>26920.03</v>
      </c>
      <c r="FY101" s="558">
        <f t="shared" si="184"/>
        <v>26606.55</v>
      </c>
      <c r="FZ101" s="558">
        <f t="shared" si="184"/>
        <v>26291.040000000001</v>
      </c>
      <c r="GA101" s="558">
        <f t="shared" si="184"/>
        <v>25970.799999999999</v>
      </c>
      <c r="GB101" s="558">
        <f t="shared" si="184"/>
        <v>25643.119999999999</v>
      </c>
      <c r="GC101" s="558">
        <f t="shared" si="184"/>
        <v>25314.1</v>
      </c>
      <c r="GD101" s="558">
        <f t="shared" si="184"/>
        <v>24974.94</v>
      </c>
      <c r="GE101" s="558">
        <f t="shared" si="184"/>
        <v>24633.08</v>
      </c>
      <c r="GF101" s="558">
        <f t="shared" si="182"/>
        <v>24281.08</v>
      </c>
      <c r="GG101" s="558">
        <f t="shared" si="182"/>
        <v>23920.98</v>
      </c>
      <c r="GH101" s="558">
        <f t="shared" si="182"/>
        <v>23550.75</v>
      </c>
      <c r="GI101" s="558">
        <f t="shared" si="182"/>
        <v>23169.7</v>
      </c>
      <c r="GJ101" s="558">
        <f t="shared" si="182"/>
        <v>22777.17</v>
      </c>
      <c r="GK101" s="558">
        <f t="shared" si="182"/>
        <v>22369.77</v>
      </c>
      <c r="GL101" s="558">
        <f t="shared" si="182"/>
        <v>21947.51</v>
      </c>
      <c r="GM101" s="558">
        <f t="shared" si="182"/>
        <v>21509.71</v>
      </c>
      <c r="GN101" s="558">
        <f t="shared" si="182"/>
        <v>21054.35</v>
      </c>
      <c r="GO101" s="558">
        <f t="shared" si="182"/>
        <v>20584.8</v>
      </c>
      <c r="GP101" s="558">
        <f t="shared" si="182"/>
        <v>20099.03</v>
      </c>
      <c r="GQ101" s="558">
        <f t="shared" si="182"/>
        <v>19598.400000000001</v>
      </c>
      <c r="GR101" s="558">
        <f t="shared" si="182"/>
        <v>19084.259999999998</v>
      </c>
      <c r="GS101" s="558">
        <f t="shared" si="182"/>
        <v>18557.28</v>
      </c>
      <c r="GT101" s="558">
        <f t="shared" si="182"/>
        <v>18019.490000000002</v>
      </c>
      <c r="GU101" s="558">
        <f t="shared" si="180"/>
        <v>17468.87</v>
      </c>
      <c r="GV101" s="558">
        <f t="shared" si="180"/>
        <v>16910.810000000001</v>
      </c>
      <c r="GW101" s="558">
        <f t="shared" si="180"/>
        <v>16342.62</v>
      </c>
      <c r="GX101" s="558">
        <f t="shared" si="180"/>
        <v>15768.35</v>
      </c>
      <c r="GY101" s="558">
        <f t="shared" si="180"/>
        <v>15187.99</v>
      </c>
      <c r="GZ101" s="558">
        <f t="shared" si="180"/>
        <v>14600.88</v>
      </c>
      <c r="HA101" s="558">
        <f t="shared" si="180"/>
        <v>14009.05</v>
      </c>
      <c r="HB101" s="558">
        <f t="shared" si="180"/>
        <v>13408.42</v>
      </c>
      <c r="HC101" s="558">
        <f t="shared" si="180"/>
        <v>12794.97</v>
      </c>
      <c r="HD101" s="558">
        <f t="shared" si="180"/>
        <v>12172.73</v>
      </c>
      <c r="HE101" s="558">
        <f t="shared" si="180"/>
        <v>11544.41</v>
      </c>
      <c r="HF101" s="558">
        <f t="shared" si="180"/>
        <v>10907.98</v>
      </c>
      <c r="HG101" s="558">
        <f t="shared" si="180"/>
        <v>10266.82</v>
      </c>
      <c r="HH101" s="558">
        <f t="shared" si="180"/>
        <v>9618.9</v>
      </c>
      <c r="HI101" s="558">
        <f t="shared" si="180"/>
        <v>8977.07</v>
      </c>
      <c r="HJ101" s="558">
        <f t="shared" si="180"/>
        <v>8329.83</v>
      </c>
      <c r="HK101" s="558">
        <f t="shared" si="178"/>
        <v>7686.65</v>
      </c>
      <c r="HL101" s="558">
        <f t="shared" si="178"/>
        <v>7048.19</v>
      </c>
      <c r="HM101" s="558">
        <f t="shared" si="178"/>
        <v>6412.44</v>
      </c>
      <c r="HN101" s="558">
        <f t="shared" si="178"/>
        <v>5888.84</v>
      </c>
      <c r="HO101" s="558">
        <f t="shared" si="178"/>
        <v>5381.45</v>
      </c>
      <c r="HP101" s="558">
        <f t="shared" si="178"/>
        <v>4895.6899999999996</v>
      </c>
      <c r="HQ101" s="558">
        <f t="shared" si="178"/>
        <v>4435.59</v>
      </c>
      <c r="HR101" s="558">
        <f t="shared" si="178"/>
        <v>3880.24</v>
      </c>
      <c r="HS101" s="558">
        <f t="shared" si="178"/>
        <v>3346.5</v>
      </c>
      <c r="HT101" s="558">
        <f t="shared" si="178"/>
        <v>2837.77</v>
      </c>
      <c r="HU101" s="558">
        <f t="shared" si="178"/>
        <v>2370.2399999999998</v>
      </c>
      <c r="HV101" s="558">
        <f t="shared" si="178"/>
        <v>1939.87</v>
      </c>
      <c r="HW101" s="558">
        <f t="shared" si="178"/>
        <v>1548.69</v>
      </c>
      <c r="HX101" s="558">
        <f t="shared" si="178"/>
        <v>1206.1600000000001</v>
      </c>
      <c r="HY101" s="558">
        <f t="shared" si="178"/>
        <v>904.83</v>
      </c>
      <c r="HZ101" s="558">
        <f t="shared" si="178"/>
        <v>659.59</v>
      </c>
      <c r="IA101" s="558">
        <f t="shared" si="178"/>
        <v>462.31</v>
      </c>
      <c r="IB101" s="558">
        <f t="shared" si="181"/>
        <v>315.02</v>
      </c>
      <c r="IC101" s="558">
        <f t="shared" si="181"/>
        <v>217.06</v>
      </c>
      <c r="ID101" s="558">
        <f t="shared" si="181"/>
        <v>152.19999999999999</v>
      </c>
      <c r="IE101" s="558">
        <f t="shared" si="181"/>
        <v>106.93</v>
      </c>
      <c r="IF101" s="558">
        <f t="shared" si="181"/>
        <v>105.58</v>
      </c>
      <c r="IG101" s="558">
        <f t="shared" si="181"/>
        <v>102.88</v>
      </c>
      <c r="IH101" s="558">
        <f t="shared" si="181"/>
        <v>100.18</v>
      </c>
      <c r="II101" s="558">
        <f t="shared" si="181"/>
        <v>96.12</v>
      </c>
      <c r="IJ101" s="558">
        <f t="shared" si="181"/>
        <v>90.72</v>
      </c>
      <c r="IK101" s="558">
        <f t="shared" si="181"/>
        <v>83.29</v>
      </c>
      <c r="IL101" s="558">
        <f t="shared" si="181"/>
        <v>73.150000000000006</v>
      </c>
      <c r="IM101" s="558">
        <f t="shared" si="181"/>
        <v>58.96</v>
      </c>
      <c r="IN101" s="558">
        <f t="shared" si="181"/>
        <v>40.049999999999997</v>
      </c>
      <c r="IO101" s="558">
        <f t="shared" si="177"/>
        <v>12.35</v>
      </c>
      <c r="IP101" s="558">
        <f t="shared" si="177"/>
        <v>10.32</v>
      </c>
      <c r="IQ101" s="558">
        <f t="shared" si="177"/>
        <v>8.2899999999999991</v>
      </c>
      <c r="IR101" s="558">
        <f t="shared" si="177"/>
        <v>4.24</v>
      </c>
      <c r="IS101" s="558">
        <f t="shared" si="177"/>
        <v>0.19</v>
      </c>
      <c r="IT101" s="558" t="str">
        <f t="shared" si="177"/>
        <v>.</v>
      </c>
      <c r="IU101" s="558" t="str">
        <f t="shared" si="177"/>
        <v>.</v>
      </c>
      <c r="IV101" s="558" t="str">
        <f t="shared" si="177"/>
        <v>.</v>
      </c>
      <c r="IW101" s="558" t="str">
        <f t="shared" si="177"/>
        <v>.</v>
      </c>
      <c r="IX101" s="558" t="str">
        <f t="shared" si="177"/>
        <v>.</v>
      </c>
      <c r="IY101" s="558" t="str">
        <f t="shared" si="177"/>
        <v>.</v>
      </c>
      <c r="IZ101" s="558" t="str">
        <f t="shared" si="177"/>
        <v>.</v>
      </c>
      <c r="JA101" s="558" t="str">
        <f t="shared" si="177"/>
        <v>.</v>
      </c>
      <c r="JB101" s="558" t="str">
        <f t="shared" si="177"/>
        <v>.</v>
      </c>
      <c r="JC101" s="558" t="str">
        <f t="shared" si="177"/>
        <v>.</v>
      </c>
      <c r="JD101" s="558" t="str">
        <f t="shared" si="177"/>
        <v>.</v>
      </c>
      <c r="JE101" s="558" t="str">
        <f t="shared" si="177"/>
        <v>.</v>
      </c>
      <c r="JF101" s="558" t="str">
        <f t="shared" si="177"/>
        <v>.</v>
      </c>
      <c r="JG101" s="558" t="str">
        <f t="shared" si="177"/>
        <v>.</v>
      </c>
      <c r="JH101" s="558" t="str">
        <f t="shared" si="177"/>
        <v>.</v>
      </c>
      <c r="JI101" s="558" t="str">
        <f t="shared" si="177"/>
        <v>.</v>
      </c>
      <c r="JJ101" s="558" t="str">
        <f t="shared" si="177"/>
        <v>.</v>
      </c>
      <c r="JK101" s="558" t="str">
        <f t="shared" si="177"/>
        <v>.</v>
      </c>
      <c r="JL101" s="558" t="str">
        <f t="shared" si="185"/>
        <v>.</v>
      </c>
    </row>
    <row r="102" spans="1:272" ht="10.199999999999999" x14ac:dyDescent="0.2">
      <c r="A102" s="534">
        <f xml:space="preserve"> Basis!A102</f>
        <v>102</v>
      </c>
      <c r="F102" s="536">
        <f xml:space="preserve"> ROUND(    IF( $A$15=BE_MF_,   AW102,   INDEX( qx!102:102, F$16 ) ),    F$17    )</f>
        <v>0.27510000000000001</v>
      </c>
      <c r="G102" s="536">
        <f xml:space="preserve"> ROUND(    IF( $A$15=BE_MF_,   BB102,   INDEX( wx!102:102, G$16 ) ),    G$17    )</f>
        <v>1.4E-3</v>
      </c>
      <c r="H102" s="537">
        <f xml:space="preserve"> ROUND(    IF( $A$15=BE_MF_,   BG102,   INDEX( Kx!102:102, H$16 ) ),    H$17    )</f>
        <v>11317.66</v>
      </c>
      <c r="I102" s="538">
        <f t="shared" si="167"/>
        <v>11469.4</v>
      </c>
      <c r="J102" s="539">
        <f t="shared" si="135"/>
        <v>5.52</v>
      </c>
      <c r="K102" s="540">
        <f t="shared" si="168"/>
        <v>0</v>
      </c>
      <c r="L102" s="541">
        <f t="shared" si="71"/>
        <v>0</v>
      </c>
      <c r="M102" s="541">
        <f t="shared" si="71"/>
        <v>8.5999999999999993E-2</v>
      </c>
      <c r="O102" s="542" t="b">
        <f t="shared" si="169"/>
        <v>1</v>
      </c>
      <c r="P102" s="493">
        <f t="shared" si="136"/>
        <v>0.27650000000000002</v>
      </c>
      <c r="Q102" s="493">
        <f t="shared" si="137"/>
        <v>0.72350000000000003</v>
      </c>
      <c r="R102" s="543">
        <f t="shared" si="138"/>
        <v>13656</v>
      </c>
      <c r="S102" s="544">
        <f t="shared" si="139"/>
        <v>0.97560975599999999</v>
      </c>
      <c r="T102" s="423">
        <f t="shared" si="140"/>
        <v>1100.24</v>
      </c>
      <c r="U102" s="423">
        <f xml:space="preserve"> IF( $O102,    ROUND(  SUM( T102:T$120), U$17 ),  LEER  )</f>
        <v>3485.75</v>
      </c>
      <c r="V102" s="493">
        <f t="shared" si="141"/>
        <v>3.1682000000000001</v>
      </c>
      <c r="W102" s="493">
        <f t="shared" si="142"/>
        <v>6073.32</v>
      </c>
      <c r="X102" s="493">
        <f xml:space="preserve"> IF( $O102,    ROUND(  SUM( W102:W$120), X$17 ),  LEER  )</f>
        <v>19252.849999999999</v>
      </c>
      <c r="Y102" s="493">
        <f t="shared" si="143"/>
        <v>17.498799999999999</v>
      </c>
      <c r="Z102" s="493">
        <f t="shared" si="144"/>
        <v>5.5232999999999999</v>
      </c>
      <c r="AA102" s="493">
        <f t="shared" si="145"/>
        <v>1</v>
      </c>
      <c r="AB102" s="493">
        <f t="shared" si="146"/>
        <v>2.3494000000000002</v>
      </c>
      <c r="AC102" s="545">
        <f t="shared" si="147"/>
        <v>0.32679999999999998</v>
      </c>
      <c r="AD102" s="493">
        <f t="shared" si="148"/>
        <v>5.5232999999999999</v>
      </c>
      <c r="AE102" s="493">
        <f t="shared" si="149"/>
        <v>6.4005000000000001</v>
      </c>
      <c r="AF102" s="493">
        <f t="shared" si="150"/>
        <v>6.4005000000000001</v>
      </c>
      <c r="AG102" s="493" t="str">
        <f t="shared" si="151"/>
        <v>.</v>
      </c>
      <c r="AH102" s="493" t="str">
        <f t="shared" si="152"/>
        <v>.</v>
      </c>
      <c r="AI102" s="423">
        <f t="shared" si="153"/>
        <v>2077.79</v>
      </c>
      <c r="AJ102" s="423">
        <f t="shared" si="154"/>
        <v>13298.89</v>
      </c>
      <c r="AK102" s="423">
        <f t="shared" si="155"/>
        <v>1108.24</v>
      </c>
      <c r="AN102" s="423">
        <f t="shared" si="183"/>
        <v>24153.56</v>
      </c>
      <c r="AO102" s="423">
        <f t="shared" si="183"/>
        <v>24007.42</v>
      </c>
      <c r="AR102" s="546">
        <f xml:space="preserve"> ROUND(  INDEX( Kx!102:102, AR$16 ),  AR$17 )</f>
        <v>0.24679999999999999</v>
      </c>
      <c r="AS102" s="547">
        <f xml:space="preserve"> ROUND(  INDEX( qx!102:102, AS$16 ),  AS$17 )</f>
        <v>0.28510000000000002</v>
      </c>
      <c r="AT102" s="547">
        <f xml:space="preserve"> ROUND(  INDEX( qx!102:102, AT$16 ),  AT$17 )</f>
        <v>0.27289999999999998</v>
      </c>
      <c r="AU102" s="548" t="str">
        <f t="shared" si="156"/>
        <v>F</v>
      </c>
      <c r="AV102" s="542">
        <f t="shared" si="157"/>
        <v>0.17929999999999999</v>
      </c>
      <c r="AW102" s="542">
        <f t="shared" si="158"/>
        <v>0.27510000000000001</v>
      </c>
      <c r="AX102" s="546">
        <f xml:space="preserve"> ROUND(  INDEX( wx!102:102, AX$16 ),  AX$17 )</f>
        <v>1E-4</v>
      </c>
      <c r="AY102" s="546">
        <f xml:space="preserve"> ROUND(  INDEX( wx!102:102, AY$16 ),  AY$17 )</f>
        <v>2.0999999999999999E-3</v>
      </c>
      <c r="AZ102" s="548" t="str">
        <f t="shared" si="159"/>
        <v>M</v>
      </c>
      <c r="BA102" s="542">
        <f t="shared" si="160"/>
        <v>0.32950000000000002</v>
      </c>
      <c r="BB102" s="542">
        <f t="shared" si="161"/>
        <v>1.4E-3</v>
      </c>
      <c r="BC102" s="533">
        <f xml:space="preserve"> ROUND(  INDEX( Kx!102:102, BC$16 ),  BC$17 )</f>
        <v>13421.01</v>
      </c>
      <c r="BD102" s="533">
        <f xml:space="preserve"> ROUND(  INDEX( Kx!102:102, BD$16 ),  BD$17 )</f>
        <v>10284.030000000001</v>
      </c>
      <c r="BE102" s="548" t="str">
        <f t="shared" si="170"/>
        <v>M</v>
      </c>
      <c r="BF102" s="542">
        <f t="shared" si="162"/>
        <v>0.32950000000000002</v>
      </c>
      <c r="BG102" s="420">
        <f t="shared" si="163"/>
        <v>11317.66</v>
      </c>
      <c r="BQ102" s="549"/>
      <c r="BR102" s="423"/>
      <c r="BS102" s="550"/>
      <c r="BT102" s="423"/>
      <c r="BU102" s="551"/>
      <c r="BV102" s="551"/>
      <c r="BW102" s="529"/>
      <c r="BX102" s="552"/>
      <c r="BY102" s="560"/>
      <c r="BZ102" s="559"/>
      <c r="CB102" s="423"/>
      <c r="CC102" s="423"/>
      <c r="CD102" s="423"/>
      <c r="CE102" s="423"/>
      <c r="CF102" s="553"/>
      <c r="CH102" s="423"/>
      <c r="CI102" s="423"/>
      <c r="CJ102" s="423"/>
      <c r="CK102" s="423"/>
      <c r="CL102" s="553"/>
      <c r="CN102" s="423"/>
      <c r="CO102" s="423"/>
      <c r="CP102" s="423"/>
      <c r="CQ102" s="423"/>
      <c r="CR102" s="553"/>
      <c r="EI102" s="553"/>
      <c r="EJ102" s="553"/>
      <c r="EK102" s="423"/>
      <c r="EL102" s="555"/>
      <c r="ES102" s="533"/>
      <c r="ET102" s="533"/>
      <c r="EU102" s="533"/>
      <c r="EV102" s="556"/>
      <c r="EY102" s="533"/>
      <c r="EZ102" s="533"/>
      <c r="FA102" s="556"/>
      <c r="FD102" s="556"/>
      <c r="FE102" s="556"/>
      <c r="FF102" s="556"/>
      <c r="FK102" s="557">
        <f t="shared" si="164"/>
        <v>102</v>
      </c>
      <c r="FL102" s="493">
        <f t="shared" si="171"/>
        <v>17.498799999999999</v>
      </c>
      <c r="FM102" s="493">
        <f t="shared" si="172"/>
        <v>3.1682000000000001</v>
      </c>
      <c r="FO102" s="427">
        <f t="shared" si="173"/>
        <v>997707.74999999988</v>
      </c>
      <c r="FP102" s="558">
        <f t="shared" si="184"/>
        <v>28456.77</v>
      </c>
      <c r="FQ102" s="558">
        <f t="shared" si="184"/>
        <v>28190.17</v>
      </c>
      <c r="FR102" s="558">
        <f t="shared" si="184"/>
        <v>27922.9</v>
      </c>
      <c r="FS102" s="558">
        <f t="shared" si="184"/>
        <v>27655.64</v>
      </c>
      <c r="FT102" s="558">
        <f t="shared" si="184"/>
        <v>27379.16</v>
      </c>
      <c r="FU102" s="558">
        <f t="shared" si="184"/>
        <v>27094.78</v>
      </c>
      <c r="FV102" s="558">
        <f t="shared" si="184"/>
        <v>26813.03</v>
      </c>
      <c r="FW102" s="558">
        <f t="shared" si="184"/>
        <v>26529.31</v>
      </c>
      <c r="FX102" s="558">
        <f t="shared" si="184"/>
        <v>26235.72</v>
      </c>
      <c r="FY102" s="558">
        <f t="shared" si="184"/>
        <v>25930.27</v>
      </c>
      <c r="FZ102" s="558">
        <f t="shared" si="184"/>
        <v>25622.85</v>
      </c>
      <c r="GA102" s="558">
        <f t="shared" si="184"/>
        <v>25310.83</v>
      </c>
      <c r="GB102" s="558">
        <f t="shared" si="184"/>
        <v>24991.56</v>
      </c>
      <c r="GC102" s="558">
        <f t="shared" si="184"/>
        <v>24670.97</v>
      </c>
      <c r="GD102" s="558">
        <f t="shared" si="184"/>
        <v>24340.51</v>
      </c>
      <c r="GE102" s="558">
        <f t="shared" si="184"/>
        <v>24007.42</v>
      </c>
      <c r="GF102" s="558">
        <f t="shared" si="182"/>
        <v>23664.46</v>
      </c>
      <c r="GG102" s="558">
        <f t="shared" si="182"/>
        <v>23313.59</v>
      </c>
      <c r="GH102" s="558">
        <f t="shared" si="182"/>
        <v>22952.85</v>
      </c>
      <c r="GI102" s="558">
        <f t="shared" si="182"/>
        <v>22581.58</v>
      </c>
      <c r="GJ102" s="558">
        <f t="shared" si="182"/>
        <v>22199.11</v>
      </c>
      <c r="GK102" s="558">
        <f t="shared" si="182"/>
        <v>21802.17</v>
      </c>
      <c r="GL102" s="558">
        <f t="shared" si="182"/>
        <v>21390.74</v>
      </c>
      <c r="GM102" s="558">
        <f t="shared" si="182"/>
        <v>20964.169999999998</v>
      </c>
      <c r="GN102" s="558">
        <f t="shared" si="182"/>
        <v>20520.48</v>
      </c>
      <c r="GO102" s="558">
        <f t="shared" si="182"/>
        <v>20062.98</v>
      </c>
      <c r="GP102" s="558">
        <f t="shared" si="182"/>
        <v>19589.669999999998</v>
      </c>
      <c r="GQ102" s="558">
        <f t="shared" si="182"/>
        <v>19101.88</v>
      </c>
      <c r="GR102" s="558">
        <f t="shared" si="182"/>
        <v>18600.919999999998</v>
      </c>
      <c r="GS102" s="558">
        <f t="shared" si="182"/>
        <v>18087.46</v>
      </c>
      <c r="GT102" s="558">
        <f t="shared" si="182"/>
        <v>17563.47</v>
      </c>
      <c r="GU102" s="558">
        <f t="shared" si="180"/>
        <v>17026.96</v>
      </c>
      <c r="GV102" s="558">
        <f t="shared" si="180"/>
        <v>16483.22</v>
      </c>
      <c r="GW102" s="558">
        <f t="shared" si="180"/>
        <v>15929.6</v>
      </c>
      <c r="GX102" s="558">
        <f t="shared" si="180"/>
        <v>15370.06</v>
      </c>
      <c r="GY102" s="558">
        <f t="shared" si="180"/>
        <v>14804.59</v>
      </c>
      <c r="GZ102" s="558">
        <f t="shared" si="180"/>
        <v>14232.54</v>
      </c>
      <c r="HA102" s="558">
        <f t="shared" si="180"/>
        <v>13655.88</v>
      </c>
      <c r="HB102" s="558">
        <f t="shared" si="180"/>
        <v>13070.67</v>
      </c>
      <c r="HC102" s="558">
        <f t="shared" si="180"/>
        <v>12472.94</v>
      </c>
      <c r="HD102" s="558">
        <f t="shared" si="180"/>
        <v>11866.66</v>
      </c>
      <c r="HE102" s="558">
        <f t="shared" si="180"/>
        <v>11254.46</v>
      </c>
      <c r="HF102" s="558">
        <f t="shared" si="180"/>
        <v>10634.35</v>
      </c>
      <c r="HG102" s="558">
        <f t="shared" si="180"/>
        <v>10009.64</v>
      </c>
      <c r="HH102" s="558">
        <f t="shared" si="180"/>
        <v>9378.35</v>
      </c>
      <c r="HI102" s="558">
        <f t="shared" si="180"/>
        <v>8752.9699999999993</v>
      </c>
      <c r="HJ102" s="558">
        <f t="shared" si="180"/>
        <v>8122.34</v>
      </c>
      <c r="HK102" s="558">
        <f t="shared" si="178"/>
        <v>7495.65</v>
      </c>
      <c r="HL102" s="558">
        <f t="shared" si="178"/>
        <v>6873.57</v>
      </c>
      <c r="HM102" s="558">
        <f t="shared" si="178"/>
        <v>6254.12</v>
      </c>
      <c r="HN102" s="558">
        <f t="shared" si="178"/>
        <v>5743.95</v>
      </c>
      <c r="HO102" s="558">
        <f t="shared" si="178"/>
        <v>5249.58</v>
      </c>
      <c r="HP102" s="558">
        <f t="shared" si="178"/>
        <v>4776.2700000000004</v>
      </c>
      <c r="HQ102" s="558">
        <f t="shared" si="178"/>
        <v>4327.9799999999996</v>
      </c>
      <c r="HR102" s="558">
        <f t="shared" si="178"/>
        <v>3786.87</v>
      </c>
      <c r="HS102" s="558">
        <f t="shared" si="178"/>
        <v>3266.82</v>
      </c>
      <c r="HT102" s="558">
        <f t="shared" si="178"/>
        <v>2771.13</v>
      </c>
      <c r="HU102" s="558">
        <f t="shared" si="178"/>
        <v>2315.6</v>
      </c>
      <c r="HV102" s="558">
        <f t="shared" si="178"/>
        <v>1896.27</v>
      </c>
      <c r="HW102" s="558">
        <f t="shared" si="178"/>
        <v>1515.13</v>
      </c>
      <c r="HX102" s="558">
        <f t="shared" si="178"/>
        <v>1181.3699999999999</v>
      </c>
      <c r="HY102" s="558">
        <f t="shared" si="178"/>
        <v>887.78</v>
      </c>
      <c r="HZ102" s="558">
        <f t="shared" si="178"/>
        <v>648.82000000000005</v>
      </c>
      <c r="IA102" s="558">
        <f t="shared" si="178"/>
        <v>456.6</v>
      </c>
      <c r="IB102" s="558">
        <f t="shared" si="181"/>
        <v>313.10000000000002</v>
      </c>
      <c r="IC102" s="558">
        <f t="shared" si="181"/>
        <v>217.65</v>
      </c>
      <c r="ID102" s="558">
        <f t="shared" si="181"/>
        <v>154.44999999999999</v>
      </c>
      <c r="IE102" s="558">
        <f t="shared" si="181"/>
        <v>110.34</v>
      </c>
      <c r="IF102" s="558">
        <f t="shared" si="181"/>
        <v>109.03</v>
      </c>
      <c r="IG102" s="558">
        <f t="shared" si="181"/>
        <v>106.39</v>
      </c>
      <c r="IH102" s="558">
        <f t="shared" si="181"/>
        <v>103.76</v>
      </c>
      <c r="II102" s="558">
        <f t="shared" si="181"/>
        <v>99.81</v>
      </c>
      <c r="IJ102" s="558">
        <f t="shared" si="181"/>
        <v>94.55</v>
      </c>
      <c r="IK102" s="558">
        <f t="shared" si="181"/>
        <v>87.3</v>
      </c>
      <c r="IL102" s="558">
        <f t="shared" si="181"/>
        <v>77.430000000000007</v>
      </c>
      <c r="IM102" s="558">
        <f t="shared" si="181"/>
        <v>63.61</v>
      </c>
      <c r="IN102" s="558">
        <f t="shared" si="181"/>
        <v>45.17</v>
      </c>
      <c r="IO102" s="558">
        <f t="shared" si="177"/>
        <v>18.18</v>
      </c>
      <c r="IP102" s="558">
        <f t="shared" si="177"/>
        <v>16.21</v>
      </c>
      <c r="IQ102" s="558">
        <f t="shared" si="177"/>
        <v>14.23</v>
      </c>
      <c r="IR102" s="558">
        <f t="shared" si="177"/>
        <v>10.29</v>
      </c>
      <c r="IS102" s="558">
        <f t="shared" si="177"/>
        <v>6.34</v>
      </c>
      <c r="IT102" s="558">
        <f t="shared" si="177"/>
        <v>-0.25</v>
      </c>
      <c r="IU102" s="558" t="str">
        <f t="shared" si="177"/>
        <v>.</v>
      </c>
      <c r="IV102" s="558" t="str">
        <f t="shared" si="177"/>
        <v>.</v>
      </c>
      <c r="IW102" s="558" t="str">
        <f t="shared" si="177"/>
        <v>.</v>
      </c>
      <c r="IX102" s="558" t="str">
        <f t="shared" si="177"/>
        <v>.</v>
      </c>
      <c r="IY102" s="558" t="str">
        <f t="shared" si="177"/>
        <v>.</v>
      </c>
      <c r="IZ102" s="558" t="str">
        <f t="shared" si="177"/>
        <v>.</v>
      </c>
      <c r="JA102" s="558" t="str">
        <f t="shared" si="177"/>
        <v>.</v>
      </c>
      <c r="JB102" s="558" t="str">
        <f t="shared" si="177"/>
        <v>.</v>
      </c>
      <c r="JC102" s="558" t="str">
        <f t="shared" si="177"/>
        <v>.</v>
      </c>
      <c r="JD102" s="558" t="str">
        <f t="shared" si="177"/>
        <v>.</v>
      </c>
      <c r="JE102" s="558" t="str">
        <f t="shared" si="177"/>
        <v>.</v>
      </c>
      <c r="JF102" s="558" t="str">
        <f t="shared" si="177"/>
        <v>.</v>
      </c>
      <c r="JG102" s="558" t="str">
        <f t="shared" si="177"/>
        <v>.</v>
      </c>
      <c r="JH102" s="558" t="str">
        <f t="shared" ref="JH102:JK105" si="186" xml:space="preserve"> IF(  OR( JH$18&gt;$FK102, $FK102&gt;$FP$12 ),  LEER,  ROUND( $FO$19 * ( $FL102 - JH$15 * $FM102 ), JH$17 )  )</f>
        <v>.</v>
      </c>
      <c r="JI102" s="558" t="str">
        <f t="shared" si="186"/>
        <v>.</v>
      </c>
      <c r="JJ102" s="558" t="str">
        <f t="shared" si="186"/>
        <v>.</v>
      </c>
      <c r="JK102" s="558" t="str">
        <f t="shared" si="186"/>
        <v>.</v>
      </c>
      <c r="JL102" s="558" t="str">
        <f t="shared" si="185"/>
        <v>.</v>
      </c>
    </row>
    <row r="103" spans="1:272" ht="10.199999999999999" x14ac:dyDescent="0.2">
      <c r="A103" s="534">
        <f xml:space="preserve"> Basis!A103</f>
        <v>103</v>
      </c>
      <c r="F103" s="536">
        <f xml:space="preserve"> ROUND(    IF( $A$15=BE_MF_,   AW103,   INDEX( qx!103:103, F$16 ) ),    F$17    )</f>
        <v>0.28170000000000001</v>
      </c>
      <c r="G103" s="536">
        <f xml:space="preserve"> ROUND(    IF( $A$15=BE_MF_,   BB103,   INDEX( wx!103:103, G$16 ) ),    G$17    )</f>
        <v>1.4E-3</v>
      </c>
      <c r="H103" s="537">
        <f xml:space="preserve"> ROUND(    IF( $A$15=BE_MF_,   BG103,   INDEX( Kx!103:103, H$16 ) ),    H$17    )</f>
        <v>11352.12</v>
      </c>
      <c r="I103" s="538">
        <f t="shared" si="167"/>
        <v>11469.4</v>
      </c>
      <c r="J103" s="539">
        <f t="shared" si="135"/>
        <v>5.52</v>
      </c>
      <c r="K103" s="540">
        <f t="shared" si="168"/>
        <v>0</v>
      </c>
      <c r="L103" s="541">
        <f t="shared" si="71"/>
        <v>0</v>
      </c>
      <c r="M103" s="541">
        <f t="shared" si="71"/>
        <v>8.5999999999999993E-2</v>
      </c>
      <c r="O103" s="542" t="b">
        <f t="shared" si="169"/>
        <v>1</v>
      </c>
      <c r="P103" s="493">
        <f t="shared" si="136"/>
        <v>0.28310000000000002</v>
      </c>
      <c r="Q103" s="493">
        <f t="shared" si="137"/>
        <v>0.71689999999999998</v>
      </c>
      <c r="R103" s="543">
        <f t="shared" si="138"/>
        <v>9880</v>
      </c>
      <c r="S103" s="544">
        <f t="shared" si="139"/>
        <v>0.97560975599999999</v>
      </c>
      <c r="T103" s="423">
        <f t="shared" si="140"/>
        <v>776.6</v>
      </c>
      <c r="U103" s="423">
        <f xml:space="preserve"> IF( $O103,    ROUND(  SUM( T103:T$120), U$17 ),  LEER  )</f>
        <v>2385.5100000000002</v>
      </c>
      <c r="V103" s="493">
        <f t="shared" si="141"/>
        <v>3.0716999999999999</v>
      </c>
      <c r="W103" s="493">
        <f t="shared" si="142"/>
        <v>4286.83</v>
      </c>
      <c r="X103" s="493">
        <f xml:space="preserve"> IF( $O103,    ROUND(  SUM( W103:W$120), X$17 ),  LEER  )</f>
        <v>13179.53</v>
      </c>
      <c r="Y103" s="493">
        <f t="shared" si="143"/>
        <v>16.970800000000001</v>
      </c>
      <c r="Z103" s="493">
        <f t="shared" si="144"/>
        <v>5.5248999999999997</v>
      </c>
      <c r="AA103" s="493">
        <f t="shared" si="145"/>
        <v>1</v>
      </c>
      <c r="AB103" s="493">
        <f t="shared" si="146"/>
        <v>2.3494000000000002</v>
      </c>
      <c r="AC103" s="545">
        <f t="shared" si="147"/>
        <v>0.32679999999999998</v>
      </c>
      <c r="AD103" s="493">
        <f t="shared" si="148"/>
        <v>5.5248999999999997</v>
      </c>
      <c r="AE103" s="493">
        <f t="shared" si="149"/>
        <v>6.4023000000000003</v>
      </c>
      <c r="AF103" s="493">
        <f t="shared" si="150"/>
        <v>6.4023000000000003</v>
      </c>
      <c r="AG103" s="493" t="str">
        <f t="shared" si="151"/>
        <v>.</v>
      </c>
      <c r="AH103" s="493" t="str">
        <f t="shared" si="152"/>
        <v>.</v>
      </c>
      <c r="AI103" s="423">
        <f t="shared" si="153"/>
        <v>2077.79</v>
      </c>
      <c r="AJ103" s="423">
        <f t="shared" si="154"/>
        <v>13302.63</v>
      </c>
      <c r="AK103" s="423">
        <f t="shared" si="155"/>
        <v>1108.55</v>
      </c>
      <c r="AN103" s="423">
        <f t="shared" si="183"/>
        <v>23428.25</v>
      </c>
      <c r="AO103" s="423">
        <f t="shared" si="183"/>
        <v>23286.560000000001</v>
      </c>
      <c r="AR103" s="546">
        <f xml:space="preserve"> ROUND(  INDEX( Kx!103:103, AR$16 ),  AR$17 )</f>
        <v>0.24679999999999999</v>
      </c>
      <c r="AS103" s="547">
        <f xml:space="preserve"> ROUND(  INDEX( qx!103:103, AS$16 ),  AS$17 )</f>
        <v>0.29220000000000002</v>
      </c>
      <c r="AT103" s="547">
        <f xml:space="preserve"> ROUND(  INDEX( qx!103:103, AT$16 ),  AT$17 )</f>
        <v>0.27939999999999998</v>
      </c>
      <c r="AU103" s="548" t="str">
        <f t="shared" si="156"/>
        <v>F</v>
      </c>
      <c r="AV103" s="542">
        <f t="shared" si="157"/>
        <v>0.17929999999999999</v>
      </c>
      <c r="AW103" s="542">
        <f t="shared" si="158"/>
        <v>0.28170000000000001</v>
      </c>
      <c r="AX103" s="546">
        <f xml:space="preserve"> ROUND(  INDEX( wx!103:103, AX$16 ),  AX$17 )</f>
        <v>0</v>
      </c>
      <c r="AY103" s="546">
        <f xml:space="preserve"> ROUND(  INDEX( wx!103:103, AY$16 ),  AY$17 )</f>
        <v>2.0999999999999999E-3</v>
      </c>
      <c r="AZ103" s="548" t="str">
        <f t="shared" si="159"/>
        <v>M</v>
      </c>
      <c r="BA103" s="542">
        <f t="shared" si="160"/>
        <v>0.32950000000000002</v>
      </c>
      <c r="BB103" s="542">
        <f t="shared" si="161"/>
        <v>1.4E-3</v>
      </c>
      <c r="BC103" s="533">
        <f xml:space="preserve"> ROUND(  INDEX( Kx!103:103, BC$16 ),  BC$17 )</f>
        <v>13499.7</v>
      </c>
      <c r="BD103" s="533">
        <f xml:space="preserve"> ROUND(  INDEX( Kx!103:103, BD$16 ),  BD$17 )</f>
        <v>10296.75</v>
      </c>
      <c r="BE103" s="548" t="str">
        <f t="shared" si="170"/>
        <v>M</v>
      </c>
      <c r="BF103" s="542">
        <f t="shared" si="162"/>
        <v>0.32950000000000002</v>
      </c>
      <c r="BG103" s="420">
        <f t="shared" si="163"/>
        <v>11352.12</v>
      </c>
      <c r="BQ103" s="549"/>
      <c r="BR103" s="423"/>
      <c r="BS103" s="550"/>
      <c r="BT103" s="423"/>
      <c r="BU103" s="551"/>
      <c r="BV103" s="551"/>
      <c r="BW103" s="529"/>
      <c r="BX103" s="552"/>
      <c r="BY103" s="560"/>
      <c r="BZ103" s="559"/>
      <c r="CB103" s="423"/>
      <c r="CC103" s="423"/>
      <c r="CD103" s="423"/>
      <c r="CE103" s="423"/>
      <c r="CF103" s="553"/>
      <c r="CH103" s="423"/>
      <c r="CI103" s="423"/>
      <c r="CJ103" s="423"/>
      <c r="CK103" s="423"/>
      <c r="CL103" s="553"/>
      <c r="CN103" s="423"/>
      <c r="CO103" s="423"/>
      <c r="CP103" s="423"/>
      <c r="CQ103" s="423"/>
      <c r="CR103" s="553"/>
      <c r="EI103" s="553"/>
      <c r="EJ103" s="553"/>
      <c r="EK103" s="423"/>
      <c r="EL103" s="555"/>
      <c r="ES103" s="533"/>
      <c r="ET103" s="533"/>
      <c r="EU103" s="533"/>
      <c r="EV103" s="556"/>
      <c r="EY103" s="533"/>
      <c r="EZ103" s="533"/>
      <c r="FA103" s="556"/>
      <c r="FD103" s="556"/>
      <c r="FE103" s="556"/>
      <c r="FF103" s="556"/>
      <c r="FK103" s="557">
        <f t="shared" si="164"/>
        <v>103</v>
      </c>
      <c r="FL103" s="493">
        <f t="shared" si="171"/>
        <v>16.970800000000001</v>
      </c>
      <c r="FM103" s="493">
        <f t="shared" si="172"/>
        <v>3.0716999999999999</v>
      </c>
      <c r="FO103" s="427">
        <f t="shared" si="173"/>
        <v>968180.02000000014</v>
      </c>
      <c r="FP103" s="558">
        <f t="shared" si="184"/>
        <v>27600.39</v>
      </c>
      <c r="FQ103" s="558">
        <f t="shared" si="184"/>
        <v>27341.9</v>
      </c>
      <c r="FR103" s="558">
        <f t="shared" si="184"/>
        <v>27082.78</v>
      </c>
      <c r="FS103" s="558">
        <f t="shared" si="184"/>
        <v>26823.66</v>
      </c>
      <c r="FT103" s="558">
        <f t="shared" si="184"/>
        <v>26555.599999999999</v>
      </c>
      <c r="FU103" s="558">
        <f t="shared" si="184"/>
        <v>26279.88</v>
      </c>
      <c r="FV103" s="558">
        <f t="shared" si="184"/>
        <v>26006.720000000001</v>
      </c>
      <c r="FW103" s="558">
        <f t="shared" si="184"/>
        <v>25731.64</v>
      </c>
      <c r="FX103" s="558">
        <f t="shared" si="184"/>
        <v>25446.98</v>
      </c>
      <c r="FY103" s="558">
        <f t="shared" si="184"/>
        <v>25150.84</v>
      </c>
      <c r="FZ103" s="558">
        <f t="shared" si="184"/>
        <v>24852.79</v>
      </c>
      <c r="GA103" s="558">
        <f t="shared" si="184"/>
        <v>24550.26</v>
      </c>
      <c r="GB103" s="558">
        <f t="shared" si="184"/>
        <v>24240.720000000001</v>
      </c>
      <c r="GC103" s="558">
        <f t="shared" si="184"/>
        <v>23929.9</v>
      </c>
      <c r="GD103" s="558">
        <f t="shared" si="184"/>
        <v>23609.51</v>
      </c>
      <c r="GE103" s="558">
        <f t="shared" si="184"/>
        <v>23286.560000000001</v>
      </c>
      <c r="GF103" s="558">
        <f t="shared" si="182"/>
        <v>22954.04</v>
      </c>
      <c r="GG103" s="558">
        <f t="shared" si="182"/>
        <v>22613.86</v>
      </c>
      <c r="GH103" s="558">
        <f t="shared" si="182"/>
        <v>22264.11</v>
      </c>
      <c r="GI103" s="558">
        <f t="shared" si="182"/>
        <v>21904.14</v>
      </c>
      <c r="GJ103" s="558">
        <f t="shared" si="182"/>
        <v>21533.33</v>
      </c>
      <c r="GK103" s="558">
        <f t="shared" si="182"/>
        <v>21148.47</v>
      </c>
      <c r="GL103" s="558">
        <f t="shared" si="182"/>
        <v>20749.580000000002</v>
      </c>
      <c r="GM103" s="558">
        <f t="shared" si="182"/>
        <v>20336</v>
      </c>
      <c r="GN103" s="558">
        <f t="shared" si="182"/>
        <v>19905.830000000002</v>
      </c>
      <c r="GO103" s="558">
        <f t="shared" si="182"/>
        <v>19462.259999999998</v>
      </c>
      <c r="GP103" s="558">
        <f t="shared" si="182"/>
        <v>19003.37</v>
      </c>
      <c r="GQ103" s="558">
        <f t="shared" si="182"/>
        <v>18530.43</v>
      </c>
      <c r="GR103" s="558">
        <f t="shared" si="182"/>
        <v>18044.740000000002</v>
      </c>
      <c r="GS103" s="558">
        <f t="shared" si="182"/>
        <v>17546.91</v>
      </c>
      <c r="GT103" s="558">
        <f t="shared" si="182"/>
        <v>17038.88</v>
      </c>
      <c r="GU103" s="558">
        <f t="shared" si="180"/>
        <v>16518.72</v>
      </c>
      <c r="GV103" s="558">
        <f t="shared" si="180"/>
        <v>15991.54</v>
      </c>
      <c r="GW103" s="558">
        <f t="shared" si="180"/>
        <v>15454.78</v>
      </c>
      <c r="GX103" s="558">
        <f t="shared" si="180"/>
        <v>14912.28</v>
      </c>
      <c r="GY103" s="558">
        <f t="shared" si="180"/>
        <v>14364.04</v>
      </c>
      <c r="GZ103" s="558">
        <f t="shared" si="180"/>
        <v>13809.41</v>
      </c>
      <c r="HA103" s="558">
        <f t="shared" si="180"/>
        <v>13250.32</v>
      </c>
      <c r="HB103" s="558">
        <f t="shared" si="180"/>
        <v>12682.93</v>
      </c>
      <c r="HC103" s="558">
        <f t="shared" si="180"/>
        <v>12103.41</v>
      </c>
      <c r="HD103" s="558">
        <f t="shared" si="180"/>
        <v>11515.6</v>
      </c>
      <c r="HE103" s="558">
        <f t="shared" si="180"/>
        <v>10922.04</v>
      </c>
      <c r="HF103" s="558">
        <f t="shared" si="180"/>
        <v>10320.82</v>
      </c>
      <c r="HG103" s="558">
        <f t="shared" si="180"/>
        <v>9715.14</v>
      </c>
      <c r="HH103" s="558">
        <f t="shared" si="180"/>
        <v>9103.07</v>
      </c>
      <c r="HI103" s="558">
        <f t="shared" si="180"/>
        <v>8496.75</v>
      </c>
      <c r="HJ103" s="558">
        <f t="shared" si="180"/>
        <v>7885.32</v>
      </c>
      <c r="HK103" s="558">
        <f t="shared" si="178"/>
        <v>7277.72</v>
      </c>
      <c r="HL103" s="558">
        <f t="shared" si="178"/>
        <v>6674.59</v>
      </c>
      <c r="HM103" s="558">
        <f t="shared" si="178"/>
        <v>6074.01</v>
      </c>
      <c r="HN103" s="558">
        <f t="shared" si="178"/>
        <v>5579.37</v>
      </c>
      <c r="HO103" s="558">
        <f t="shared" si="178"/>
        <v>5100.0600000000004</v>
      </c>
      <c r="HP103" s="558">
        <f t="shared" si="178"/>
        <v>4641.17</v>
      </c>
      <c r="HQ103" s="558">
        <f t="shared" si="178"/>
        <v>4206.53</v>
      </c>
      <c r="HR103" s="558">
        <f t="shared" si="178"/>
        <v>3681.9</v>
      </c>
      <c r="HS103" s="558">
        <f t="shared" si="178"/>
        <v>3177.7</v>
      </c>
      <c r="HT103" s="558">
        <f t="shared" si="178"/>
        <v>2697.11</v>
      </c>
      <c r="HU103" s="558">
        <f t="shared" si="178"/>
        <v>2255.4499999999998</v>
      </c>
      <c r="HV103" s="558">
        <f t="shared" si="178"/>
        <v>1848.89</v>
      </c>
      <c r="HW103" s="558">
        <f t="shared" si="178"/>
        <v>1479.35</v>
      </c>
      <c r="HX103" s="558">
        <f t="shared" si="178"/>
        <v>1155.77</v>
      </c>
      <c r="HY103" s="558">
        <f t="shared" si="178"/>
        <v>871.12</v>
      </c>
      <c r="HZ103" s="558">
        <f t="shared" si="178"/>
        <v>639.44000000000005</v>
      </c>
      <c r="IA103" s="558">
        <f t="shared" si="178"/>
        <v>453.07</v>
      </c>
      <c r="IB103" s="558">
        <f t="shared" si="181"/>
        <v>313.94</v>
      </c>
      <c r="IC103" s="558">
        <f t="shared" si="181"/>
        <v>221.39</v>
      </c>
      <c r="ID103" s="558">
        <f t="shared" si="181"/>
        <v>160.12</v>
      </c>
      <c r="IE103" s="558">
        <f t="shared" si="181"/>
        <v>117.36</v>
      </c>
      <c r="IF103" s="558">
        <f t="shared" si="181"/>
        <v>116.09</v>
      </c>
      <c r="IG103" s="558">
        <f t="shared" si="181"/>
        <v>113.53</v>
      </c>
      <c r="IH103" s="558">
        <f t="shared" si="181"/>
        <v>110.98</v>
      </c>
      <c r="II103" s="558">
        <f t="shared" si="181"/>
        <v>107.15</v>
      </c>
      <c r="IJ103" s="558">
        <f t="shared" si="181"/>
        <v>102.04</v>
      </c>
      <c r="IK103" s="558">
        <f t="shared" si="181"/>
        <v>95.02</v>
      </c>
      <c r="IL103" s="558">
        <f t="shared" si="181"/>
        <v>85.45</v>
      </c>
      <c r="IM103" s="558">
        <f t="shared" si="181"/>
        <v>72.05</v>
      </c>
      <c r="IN103" s="558">
        <f t="shared" si="181"/>
        <v>54.18</v>
      </c>
      <c r="IO103" s="558">
        <f t="shared" si="177"/>
        <v>28.01</v>
      </c>
      <c r="IP103" s="558">
        <f t="shared" si="177"/>
        <v>26.09</v>
      </c>
      <c r="IQ103" s="558">
        <f t="shared" si="177"/>
        <v>24.18</v>
      </c>
      <c r="IR103" s="558">
        <f t="shared" si="177"/>
        <v>20.350000000000001</v>
      </c>
      <c r="IS103" s="558">
        <f t="shared" si="177"/>
        <v>16.52</v>
      </c>
      <c r="IT103" s="558">
        <f t="shared" si="177"/>
        <v>10.14</v>
      </c>
      <c r="IU103" s="558">
        <f t="shared" si="177"/>
        <v>-7.0000000000000007E-2</v>
      </c>
      <c r="IV103" s="558" t="str">
        <f t="shared" si="177"/>
        <v>.</v>
      </c>
      <c r="IW103" s="558" t="str">
        <f t="shared" si="177"/>
        <v>.</v>
      </c>
      <c r="IX103" s="558" t="str">
        <f t="shared" si="177"/>
        <v>.</v>
      </c>
      <c r="IY103" s="558" t="str">
        <f t="shared" si="177"/>
        <v>.</v>
      </c>
      <c r="IZ103" s="558" t="str">
        <f t="shared" si="177"/>
        <v>.</v>
      </c>
      <c r="JA103" s="558" t="str">
        <f t="shared" si="177"/>
        <v>.</v>
      </c>
      <c r="JB103" s="558" t="str">
        <f t="shared" si="177"/>
        <v>.</v>
      </c>
      <c r="JC103" s="558" t="str">
        <f t="shared" si="177"/>
        <v>.</v>
      </c>
      <c r="JD103" s="558" t="str">
        <f t="shared" si="177"/>
        <v>.</v>
      </c>
      <c r="JE103" s="558" t="str">
        <f t="shared" si="177"/>
        <v>.</v>
      </c>
      <c r="JF103" s="558" t="str">
        <f t="shared" si="177"/>
        <v>.</v>
      </c>
      <c r="JG103" s="558" t="str">
        <f t="shared" si="177"/>
        <v>.</v>
      </c>
      <c r="JH103" s="558" t="str">
        <f t="shared" si="186"/>
        <v>.</v>
      </c>
      <c r="JI103" s="558" t="str">
        <f t="shared" si="186"/>
        <v>.</v>
      </c>
      <c r="JJ103" s="558" t="str">
        <f t="shared" si="186"/>
        <v>.</v>
      </c>
      <c r="JK103" s="558" t="str">
        <f t="shared" si="186"/>
        <v>.</v>
      </c>
      <c r="JL103" s="558" t="str">
        <f t="shared" si="185"/>
        <v>.</v>
      </c>
    </row>
    <row r="104" spans="1:272" ht="10.199999999999999" x14ac:dyDescent="0.2">
      <c r="A104" s="534">
        <f xml:space="preserve"> Basis!A104</f>
        <v>104</v>
      </c>
      <c r="F104" s="536">
        <f xml:space="preserve"> ROUND(    IF( $A$15=BE_MF_,   AW104,   INDEX( qx!104:104, F$16 ) ),    F$17    )</f>
        <v>0.28749999999999998</v>
      </c>
      <c r="G104" s="536">
        <f xml:space="preserve"> ROUND(    IF( $A$15=BE_MF_,   BB104,   INDEX( wx!104:104, G$16 ) ),    G$17    )</f>
        <v>1.4E-3</v>
      </c>
      <c r="H104" s="537">
        <f xml:space="preserve"> ROUND(    IF( $A$15=BE_MF_,   BG104,   INDEX( Kx!104:104, H$16 ) ),    H$17    )</f>
        <v>11386.57</v>
      </c>
      <c r="I104" s="538">
        <f t="shared" si="167"/>
        <v>11469.4</v>
      </c>
      <c r="J104" s="539">
        <f t="shared" si="135"/>
        <v>5.52</v>
      </c>
      <c r="K104" s="540">
        <f t="shared" si="168"/>
        <v>0</v>
      </c>
      <c r="L104" s="541">
        <f t="shared" ref="L104:M120" si="187" xml:space="preserve"> ROUND(  IF( $A104&lt;L$12, L$15, L$16 ),  L$17  )</f>
        <v>0</v>
      </c>
      <c r="M104" s="541">
        <f t="shared" si="187"/>
        <v>8.5999999999999993E-2</v>
      </c>
      <c r="O104" s="542" t="b">
        <f t="shared" si="169"/>
        <v>1</v>
      </c>
      <c r="P104" s="493">
        <f t="shared" si="136"/>
        <v>0.28889999999999999</v>
      </c>
      <c r="Q104" s="493">
        <f t="shared" si="137"/>
        <v>0.71109999999999995</v>
      </c>
      <c r="R104" s="543">
        <f t="shared" si="138"/>
        <v>7082</v>
      </c>
      <c r="S104" s="544">
        <f t="shared" si="139"/>
        <v>0.97560975599999999</v>
      </c>
      <c r="T104" s="423">
        <f t="shared" si="140"/>
        <v>543.09</v>
      </c>
      <c r="U104" s="423">
        <f xml:space="preserve"> IF( $O104,    ROUND(  SUM( T104:T$120), U$17 ),  LEER  )</f>
        <v>1608.91</v>
      </c>
      <c r="V104" s="493">
        <f t="shared" si="141"/>
        <v>2.9624999999999999</v>
      </c>
      <c r="W104" s="493">
        <f t="shared" si="142"/>
        <v>2997.86</v>
      </c>
      <c r="X104" s="493">
        <f xml:space="preserve"> IF( $O104,    ROUND(  SUM( W104:W$120), X$17 ),  LEER  )</f>
        <v>8892.7000000000007</v>
      </c>
      <c r="Y104" s="493">
        <f t="shared" si="143"/>
        <v>16.374300000000002</v>
      </c>
      <c r="Z104" s="493">
        <f t="shared" si="144"/>
        <v>5.5271999999999997</v>
      </c>
      <c r="AA104" s="493">
        <f t="shared" si="145"/>
        <v>1</v>
      </c>
      <c r="AB104" s="493">
        <f t="shared" si="146"/>
        <v>2.3494000000000002</v>
      </c>
      <c r="AC104" s="545">
        <f t="shared" si="147"/>
        <v>0.32679999999999998</v>
      </c>
      <c r="AD104" s="493">
        <f t="shared" si="148"/>
        <v>5.5271999999999997</v>
      </c>
      <c r="AE104" s="493">
        <f t="shared" si="149"/>
        <v>6.4047999999999998</v>
      </c>
      <c r="AF104" s="493">
        <f t="shared" si="150"/>
        <v>6.4047999999999998</v>
      </c>
      <c r="AG104" s="493" t="str">
        <f t="shared" si="151"/>
        <v>.</v>
      </c>
      <c r="AH104" s="493" t="str">
        <f t="shared" si="152"/>
        <v>.</v>
      </c>
      <c r="AI104" s="423">
        <f t="shared" si="153"/>
        <v>2077.79</v>
      </c>
      <c r="AJ104" s="423">
        <f t="shared" si="154"/>
        <v>13307.83</v>
      </c>
      <c r="AK104" s="423">
        <f t="shared" si="155"/>
        <v>1108.99</v>
      </c>
      <c r="AN104" s="423">
        <f t="shared" si="183"/>
        <v>22609.53</v>
      </c>
      <c r="AO104" s="423">
        <f t="shared" si="183"/>
        <v>22472.880000000001</v>
      </c>
      <c r="AR104" s="546">
        <f xml:space="preserve"> ROUND(  INDEX( Kx!104:104, AR$16 ),  AR$17 )</f>
        <v>0.24679999999999999</v>
      </c>
      <c r="AS104" s="547">
        <f xml:space="preserve"> ROUND(  INDEX( qx!104:104, AS$16 ),  AS$17 )</f>
        <v>0.29870000000000002</v>
      </c>
      <c r="AT104" s="547">
        <f xml:space="preserve"> ROUND(  INDEX( qx!104:104, AT$16 ),  AT$17 )</f>
        <v>0.28510000000000002</v>
      </c>
      <c r="AU104" s="548" t="str">
        <f t="shared" si="156"/>
        <v>F</v>
      </c>
      <c r="AV104" s="542">
        <f t="shared" si="157"/>
        <v>0.17929999999999999</v>
      </c>
      <c r="AW104" s="542">
        <f t="shared" si="158"/>
        <v>0.28749999999999998</v>
      </c>
      <c r="AX104" s="546">
        <f xml:space="preserve"> ROUND(  INDEX( wx!104:104, AX$16 ),  AX$17 )</f>
        <v>0</v>
      </c>
      <c r="AY104" s="546">
        <f xml:space="preserve"> ROUND(  INDEX( wx!104:104, AY$16 ),  AY$17 )</f>
        <v>2.0999999999999999E-3</v>
      </c>
      <c r="AZ104" s="548" t="str">
        <f t="shared" si="159"/>
        <v>M</v>
      </c>
      <c r="BA104" s="542">
        <f t="shared" si="160"/>
        <v>0.32950000000000002</v>
      </c>
      <c r="BB104" s="542">
        <f t="shared" si="161"/>
        <v>1.4E-3</v>
      </c>
      <c r="BC104" s="533">
        <f xml:space="preserve"> ROUND(  INDEX( Kx!104:104, BC$16 ),  BC$17 )</f>
        <v>13578.39</v>
      </c>
      <c r="BD104" s="533">
        <f xml:space="preserve"> ROUND(  INDEX( Kx!104:104, BD$16 ),  BD$17 )</f>
        <v>10309.459999999999</v>
      </c>
      <c r="BE104" s="548" t="str">
        <f t="shared" si="170"/>
        <v>M</v>
      </c>
      <c r="BF104" s="542">
        <f t="shared" si="162"/>
        <v>0.32950000000000002</v>
      </c>
      <c r="BG104" s="420">
        <f t="shared" si="163"/>
        <v>11386.57</v>
      </c>
      <c r="BQ104" s="549"/>
      <c r="BR104" s="423"/>
      <c r="BS104" s="550"/>
      <c r="BT104" s="423"/>
      <c r="BU104" s="551"/>
      <c r="BV104" s="551"/>
      <c r="BW104" s="529"/>
      <c r="BX104" s="552"/>
      <c r="BY104" s="560"/>
      <c r="BZ104" s="559"/>
      <c r="CB104" s="423"/>
      <c r="CC104" s="423"/>
      <c r="CD104" s="423"/>
      <c r="CE104" s="423"/>
      <c r="CF104" s="553"/>
      <c r="CH104" s="423"/>
      <c r="CI104" s="423"/>
      <c r="CJ104" s="423"/>
      <c r="CK104" s="423"/>
      <c r="CL104" s="553"/>
      <c r="CN104" s="423"/>
      <c r="CO104" s="423"/>
      <c r="CP104" s="423"/>
      <c r="CQ104" s="423"/>
      <c r="CR104" s="553"/>
      <c r="EI104" s="553"/>
      <c r="EJ104" s="553"/>
      <c r="EK104" s="423"/>
      <c r="EL104" s="555"/>
      <c r="ES104" s="533"/>
      <c r="ET104" s="533"/>
      <c r="EU104" s="533"/>
      <c r="EV104" s="556"/>
      <c r="EY104" s="533"/>
      <c r="EZ104" s="533"/>
      <c r="FA104" s="556"/>
      <c r="FD104" s="556"/>
      <c r="FE104" s="556"/>
      <c r="FF104" s="556"/>
      <c r="FK104" s="557">
        <f t="shared" si="164"/>
        <v>104</v>
      </c>
      <c r="FL104" s="493">
        <f t="shared" si="171"/>
        <v>16.374300000000002</v>
      </c>
      <c r="FM104" s="493">
        <f t="shared" si="172"/>
        <v>2.9624999999999999</v>
      </c>
      <c r="FO104" s="427">
        <f t="shared" si="173"/>
        <v>934950.77</v>
      </c>
      <c r="FP104" s="558">
        <f t="shared" si="184"/>
        <v>26633.35</v>
      </c>
      <c r="FQ104" s="558">
        <f t="shared" si="184"/>
        <v>26384.06</v>
      </c>
      <c r="FR104" s="558">
        <f t="shared" si="184"/>
        <v>26134.14</v>
      </c>
      <c r="FS104" s="558">
        <f t="shared" si="184"/>
        <v>25884.23</v>
      </c>
      <c r="FT104" s="558">
        <f t="shared" si="184"/>
        <v>25625.7</v>
      </c>
      <c r="FU104" s="558">
        <f t="shared" si="184"/>
        <v>25359.79</v>
      </c>
      <c r="FV104" s="558">
        <f t="shared" si="184"/>
        <v>25096.33</v>
      </c>
      <c r="FW104" s="558">
        <f t="shared" si="184"/>
        <v>24831.03</v>
      </c>
      <c r="FX104" s="558">
        <f t="shared" si="184"/>
        <v>24556.5</v>
      </c>
      <c r="FY104" s="558">
        <f t="shared" si="184"/>
        <v>24270.89</v>
      </c>
      <c r="FZ104" s="558">
        <f t="shared" si="184"/>
        <v>23983.43</v>
      </c>
      <c r="GA104" s="558">
        <f t="shared" si="184"/>
        <v>23691.66</v>
      </c>
      <c r="GB104" s="558">
        <f t="shared" si="184"/>
        <v>23393.119999999999</v>
      </c>
      <c r="GC104" s="558">
        <f t="shared" si="184"/>
        <v>23093.35</v>
      </c>
      <c r="GD104" s="558">
        <f t="shared" si="184"/>
        <v>22784.35</v>
      </c>
      <c r="GE104" s="558">
        <f t="shared" si="184"/>
        <v>22472.880000000001</v>
      </c>
      <c r="GF104" s="558">
        <f t="shared" si="182"/>
        <v>22152.18</v>
      </c>
      <c r="GG104" s="558">
        <f t="shared" si="182"/>
        <v>21824.1</v>
      </c>
      <c r="GH104" s="558">
        <f t="shared" si="182"/>
        <v>21486.78</v>
      </c>
      <c r="GI104" s="558">
        <f t="shared" si="182"/>
        <v>21139.61</v>
      </c>
      <c r="GJ104" s="558">
        <f t="shared" si="182"/>
        <v>20781.98</v>
      </c>
      <c r="GK104" s="558">
        <f t="shared" si="182"/>
        <v>20410.8</v>
      </c>
      <c r="GL104" s="558">
        <f t="shared" si="182"/>
        <v>20026.09</v>
      </c>
      <c r="GM104" s="558">
        <f t="shared" si="182"/>
        <v>19627.21</v>
      </c>
      <c r="GN104" s="558">
        <f t="shared" si="182"/>
        <v>19212.34</v>
      </c>
      <c r="GO104" s="558">
        <f t="shared" si="182"/>
        <v>18784.53</v>
      </c>
      <c r="GP104" s="558">
        <f t="shared" si="182"/>
        <v>18341.96</v>
      </c>
      <c r="GQ104" s="558">
        <f t="shared" si="182"/>
        <v>17885.84</v>
      </c>
      <c r="GR104" s="558">
        <f t="shared" si="182"/>
        <v>17417.41</v>
      </c>
      <c r="GS104" s="558">
        <f t="shared" si="182"/>
        <v>16937.28</v>
      </c>
      <c r="GT104" s="558">
        <f t="shared" si="182"/>
        <v>16447.310000000001</v>
      </c>
      <c r="GU104" s="558">
        <f t="shared" si="180"/>
        <v>15945.64</v>
      </c>
      <c r="GV104" s="558">
        <f t="shared" si="180"/>
        <v>15437.2</v>
      </c>
      <c r="GW104" s="558">
        <f t="shared" si="180"/>
        <v>14919.52</v>
      </c>
      <c r="GX104" s="558">
        <f t="shared" si="180"/>
        <v>14396.31</v>
      </c>
      <c r="GY104" s="558">
        <f t="shared" si="180"/>
        <v>13867.56</v>
      </c>
      <c r="GZ104" s="558">
        <f t="shared" si="180"/>
        <v>13332.65</v>
      </c>
      <c r="HA104" s="558">
        <f t="shared" si="180"/>
        <v>12793.43</v>
      </c>
      <c r="HB104" s="558">
        <f t="shared" si="180"/>
        <v>12246.21</v>
      </c>
      <c r="HC104" s="558">
        <f t="shared" si="180"/>
        <v>11687.3</v>
      </c>
      <c r="HD104" s="558">
        <f t="shared" si="180"/>
        <v>11120.38</v>
      </c>
      <c r="HE104" s="558">
        <f t="shared" si="180"/>
        <v>10547.92</v>
      </c>
      <c r="HF104" s="558">
        <f t="shared" si="180"/>
        <v>9968.08</v>
      </c>
      <c r="HG104" s="558">
        <f t="shared" si="180"/>
        <v>9383.93</v>
      </c>
      <c r="HH104" s="558">
        <f t="shared" si="180"/>
        <v>8793.6200000000008</v>
      </c>
      <c r="HI104" s="558">
        <f t="shared" si="180"/>
        <v>8208.85</v>
      </c>
      <c r="HJ104" s="558">
        <f t="shared" si="180"/>
        <v>7619.16</v>
      </c>
      <c r="HK104" s="558">
        <f t="shared" si="178"/>
        <v>7033.16</v>
      </c>
      <c r="HL104" s="558">
        <f t="shared" si="178"/>
        <v>6451.47</v>
      </c>
      <c r="HM104" s="558">
        <f t="shared" si="178"/>
        <v>5872.24</v>
      </c>
      <c r="HN104" s="558">
        <f t="shared" si="178"/>
        <v>5395.19</v>
      </c>
      <c r="HO104" s="558">
        <f t="shared" si="178"/>
        <v>4932.92</v>
      </c>
      <c r="HP104" s="558">
        <f t="shared" si="178"/>
        <v>4490.34</v>
      </c>
      <c r="HQ104" s="558">
        <f t="shared" si="178"/>
        <v>4071.15</v>
      </c>
      <c r="HR104" s="558">
        <f t="shared" si="178"/>
        <v>3565.18</v>
      </c>
      <c r="HS104" s="558">
        <f t="shared" si="178"/>
        <v>3078.9</v>
      </c>
      <c r="HT104" s="558">
        <f t="shared" si="178"/>
        <v>2615.39</v>
      </c>
      <c r="HU104" s="558">
        <f t="shared" si="178"/>
        <v>2189.4299999999998</v>
      </c>
      <c r="HV104" s="558">
        <f t="shared" si="178"/>
        <v>1797.33</v>
      </c>
      <c r="HW104" s="558">
        <f t="shared" si="178"/>
        <v>1440.93</v>
      </c>
      <c r="HX104" s="558">
        <f t="shared" si="178"/>
        <v>1128.8499999999999</v>
      </c>
      <c r="HY104" s="558">
        <f t="shared" si="178"/>
        <v>854.31</v>
      </c>
      <c r="HZ104" s="558">
        <f t="shared" si="178"/>
        <v>630.87</v>
      </c>
      <c r="IA104" s="558">
        <f t="shared" si="178"/>
        <v>451.13</v>
      </c>
      <c r="IB104" s="558">
        <f t="shared" si="181"/>
        <v>316.94</v>
      </c>
      <c r="IC104" s="558">
        <f t="shared" si="181"/>
        <v>227.69</v>
      </c>
      <c r="ID104" s="558">
        <f t="shared" si="181"/>
        <v>168.6</v>
      </c>
      <c r="IE104" s="558">
        <f t="shared" si="181"/>
        <v>127.36</v>
      </c>
      <c r="IF104" s="558">
        <f t="shared" si="181"/>
        <v>126.12</v>
      </c>
      <c r="IG104" s="558">
        <f t="shared" si="181"/>
        <v>123.66</v>
      </c>
      <c r="IH104" s="558">
        <f t="shared" si="181"/>
        <v>121.2</v>
      </c>
      <c r="II104" s="558">
        <f t="shared" si="181"/>
        <v>117.51</v>
      </c>
      <c r="IJ104" s="558">
        <f t="shared" si="181"/>
        <v>112.58</v>
      </c>
      <c r="IK104" s="558">
        <f t="shared" si="181"/>
        <v>105.81</v>
      </c>
      <c r="IL104" s="558">
        <f t="shared" si="181"/>
        <v>96.58</v>
      </c>
      <c r="IM104" s="558">
        <f t="shared" si="181"/>
        <v>83.65</v>
      </c>
      <c r="IN104" s="558">
        <f t="shared" si="181"/>
        <v>66.42</v>
      </c>
      <c r="IO104" s="558">
        <f t="shared" si="177"/>
        <v>41.18</v>
      </c>
      <c r="IP104" s="558">
        <f t="shared" si="177"/>
        <v>39.33</v>
      </c>
      <c r="IQ104" s="558">
        <f t="shared" si="177"/>
        <v>37.49</v>
      </c>
      <c r="IR104" s="558">
        <f t="shared" si="177"/>
        <v>33.79</v>
      </c>
      <c r="IS104" s="558">
        <f t="shared" si="177"/>
        <v>30.1</v>
      </c>
      <c r="IT104" s="558">
        <f t="shared" si="177"/>
        <v>23.94</v>
      </c>
      <c r="IU104" s="558">
        <f t="shared" si="177"/>
        <v>14.1</v>
      </c>
      <c r="IV104" s="558">
        <f t="shared" si="177"/>
        <v>-0.06</v>
      </c>
      <c r="IW104" s="558" t="str">
        <f t="shared" si="177"/>
        <v>.</v>
      </c>
      <c r="IX104" s="558" t="str">
        <f t="shared" si="177"/>
        <v>.</v>
      </c>
      <c r="IY104" s="558" t="str">
        <f t="shared" si="177"/>
        <v>.</v>
      </c>
      <c r="IZ104" s="558" t="str">
        <f t="shared" si="177"/>
        <v>.</v>
      </c>
      <c r="JA104" s="558" t="str">
        <f t="shared" si="177"/>
        <v>.</v>
      </c>
      <c r="JB104" s="558" t="str">
        <f t="shared" si="177"/>
        <v>.</v>
      </c>
      <c r="JC104" s="558" t="str">
        <f t="shared" si="177"/>
        <v>.</v>
      </c>
      <c r="JD104" s="558" t="str">
        <f t="shared" si="177"/>
        <v>.</v>
      </c>
      <c r="JE104" s="558" t="str">
        <f t="shared" si="177"/>
        <v>.</v>
      </c>
      <c r="JF104" s="558" t="str">
        <f t="shared" si="177"/>
        <v>.</v>
      </c>
      <c r="JG104" s="558" t="str">
        <f t="shared" si="177"/>
        <v>.</v>
      </c>
      <c r="JH104" s="558" t="str">
        <f t="shared" si="186"/>
        <v>.</v>
      </c>
      <c r="JI104" s="558" t="str">
        <f t="shared" si="186"/>
        <v>.</v>
      </c>
      <c r="JJ104" s="558" t="str">
        <f t="shared" si="186"/>
        <v>.</v>
      </c>
      <c r="JK104" s="558" t="str">
        <f t="shared" si="186"/>
        <v>.</v>
      </c>
      <c r="JL104" s="558" t="str">
        <f t="shared" si="185"/>
        <v>.</v>
      </c>
    </row>
    <row r="105" spans="1:272" ht="10.199999999999999" x14ac:dyDescent="0.2">
      <c r="A105" s="534">
        <f xml:space="preserve"> Basis!A105</f>
        <v>105</v>
      </c>
      <c r="F105" s="536">
        <f xml:space="preserve"> ROUND(    IF( $A$15=BE_MF_,   AW105,   INDEX( qx!105:105, F$16 ) ),    F$17    )</f>
        <v>0.29339999999999999</v>
      </c>
      <c r="G105" s="536">
        <f xml:space="preserve"> ROUND(    IF( $A$15=BE_MF_,   BB105,   INDEX( wx!105:105, G$16 ) ),    G$17    )</f>
        <v>1.4E-3</v>
      </c>
      <c r="H105" s="537">
        <f xml:space="preserve"> ROUND(    IF( $A$15=BE_MF_,   BG105,   INDEX( Kx!105:105, H$16 ) ),    H$17    )</f>
        <v>11421.03</v>
      </c>
      <c r="I105" s="538">
        <f t="shared" si="167"/>
        <v>11469.4</v>
      </c>
      <c r="J105" s="539">
        <f t="shared" si="135"/>
        <v>5.52</v>
      </c>
      <c r="K105" s="540">
        <f t="shared" si="168"/>
        <v>0</v>
      </c>
      <c r="L105" s="541">
        <f t="shared" si="187"/>
        <v>0</v>
      </c>
      <c r="M105" s="541">
        <f t="shared" si="187"/>
        <v>8.5999999999999993E-2</v>
      </c>
      <c r="O105" s="542" t="b">
        <f t="shared" si="169"/>
        <v>1</v>
      </c>
      <c r="P105" s="493">
        <f t="shared" si="136"/>
        <v>0.29480000000000001</v>
      </c>
      <c r="Q105" s="493">
        <f t="shared" si="137"/>
        <v>0.70520000000000005</v>
      </c>
      <c r="R105" s="543">
        <f t="shared" si="138"/>
        <v>5036</v>
      </c>
      <c r="S105" s="544">
        <f t="shared" si="139"/>
        <v>0.97560975599999999</v>
      </c>
      <c r="T105" s="423">
        <f t="shared" si="140"/>
        <v>376.77</v>
      </c>
      <c r="U105" s="423">
        <f xml:space="preserve"> IF( $O105,    ROUND(  SUM( T105:T$120), U$17 ),  LEER  )</f>
        <v>1065.82</v>
      </c>
      <c r="V105" s="493">
        <f t="shared" si="141"/>
        <v>2.8288000000000002</v>
      </c>
      <c r="W105" s="493">
        <f t="shared" si="142"/>
        <v>2079.77</v>
      </c>
      <c r="X105" s="493">
        <f xml:space="preserve"> IF( $O105,    ROUND(  SUM( W105:W$120), X$17 ),  LEER  )</f>
        <v>5894.84</v>
      </c>
      <c r="Y105" s="493">
        <f t="shared" si="143"/>
        <v>15.6457</v>
      </c>
      <c r="Z105" s="493">
        <f t="shared" si="144"/>
        <v>5.5308999999999999</v>
      </c>
      <c r="AA105" s="493">
        <f t="shared" si="145"/>
        <v>1</v>
      </c>
      <c r="AB105" s="493">
        <f t="shared" si="146"/>
        <v>2.3494000000000002</v>
      </c>
      <c r="AC105" s="545">
        <f t="shared" si="147"/>
        <v>0.32679999999999998</v>
      </c>
      <c r="AD105" s="493">
        <f t="shared" si="148"/>
        <v>5.5308999999999999</v>
      </c>
      <c r="AE105" s="493">
        <f t="shared" si="149"/>
        <v>6.4089</v>
      </c>
      <c r="AF105" s="493">
        <f t="shared" si="150"/>
        <v>6.4089</v>
      </c>
      <c r="AG105" s="493" t="str">
        <f t="shared" si="151"/>
        <v>.</v>
      </c>
      <c r="AH105" s="493" t="str">
        <f t="shared" si="152"/>
        <v>.</v>
      </c>
      <c r="AI105" s="423">
        <f t="shared" si="153"/>
        <v>2077.79</v>
      </c>
      <c r="AJ105" s="423">
        <f t="shared" si="154"/>
        <v>13316.35</v>
      </c>
      <c r="AK105" s="423">
        <f t="shared" si="155"/>
        <v>1109.7</v>
      </c>
      <c r="AN105" s="423">
        <f t="shared" si="183"/>
        <v>21610.720000000001</v>
      </c>
      <c r="AO105" s="423">
        <f t="shared" si="183"/>
        <v>21480.240000000002</v>
      </c>
      <c r="AR105" s="546">
        <f xml:space="preserve"> ROUND(  INDEX( Kx!105:105, AR$16 ),  AR$17 )</f>
        <v>0.24679999999999999</v>
      </c>
      <c r="AS105" s="547">
        <f xml:space="preserve"> ROUND(  INDEX( qx!105:105, AS$16 ),  AS$17 )</f>
        <v>0.30530000000000002</v>
      </c>
      <c r="AT105" s="547">
        <f xml:space="preserve"> ROUND(  INDEX( qx!105:105, AT$16 ),  AT$17 )</f>
        <v>0.2908</v>
      </c>
      <c r="AU105" s="548" t="str">
        <f t="shared" si="156"/>
        <v>F</v>
      </c>
      <c r="AV105" s="542">
        <f t="shared" si="157"/>
        <v>0.17929999999999999</v>
      </c>
      <c r="AW105" s="542">
        <f t="shared" si="158"/>
        <v>0.29339999999999999</v>
      </c>
      <c r="AX105" s="546">
        <f xml:space="preserve"> ROUND(  INDEX( wx!105:105, AX$16 ),  AX$17 )</f>
        <v>0</v>
      </c>
      <c r="AY105" s="546">
        <f xml:space="preserve"> ROUND(  INDEX( wx!105:105, AY$16 ),  AY$17 )</f>
        <v>2.0999999999999999E-3</v>
      </c>
      <c r="AZ105" s="548" t="str">
        <f t="shared" si="159"/>
        <v>M</v>
      </c>
      <c r="BA105" s="542">
        <f t="shared" si="160"/>
        <v>0.32950000000000002</v>
      </c>
      <c r="BB105" s="542">
        <f t="shared" si="161"/>
        <v>1.4E-3</v>
      </c>
      <c r="BC105" s="533">
        <f xml:space="preserve"> ROUND(  INDEX( Kx!105:105, BC$16 ),  BC$17 )</f>
        <v>13657.08</v>
      </c>
      <c r="BD105" s="533">
        <f xml:space="preserve"> ROUND(  INDEX( Kx!105:105, BD$16 ),  BD$17 )</f>
        <v>10322.18</v>
      </c>
      <c r="BE105" s="548" t="str">
        <f t="shared" si="170"/>
        <v>M</v>
      </c>
      <c r="BF105" s="542">
        <f t="shared" si="162"/>
        <v>0.32950000000000002</v>
      </c>
      <c r="BG105" s="420">
        <f t="shared" si="163"/>
        <v>11421.03</v>
      </c>
      <c r="BQ105" s="549"/>
      <c r="BR105" s="423"/>
      <c r="BS105" s="550"/>
      <c r="BT105" s="423"/>
      <c r="BU105" s="551"/>
      <c r="BV105" s="551"/>
      <c r="BW105" s="529"/>
      <c r="BX105" s="552"/>
      <c r="BY105" s="560"/>
      <c r="BZ105" s="559"/>
      <c r="CB105" s="423"/>
      <c r="CC105" s="423"/>
      <c r="CD105" s="423"/>
      <c r="CE105" s="423"/>
      <c r="CF105" s="553"/>
      <c r="CH105" s="423"/>
      <c r="CI105" s="423"/>
      <c r="CJ105" s="423"/>
      <c r="CK105" s="423"/>
      <c r="CL105" s="553"/>
      <c r="CN105" s="423"/>
      <c r="CO105" s="423"/>
      <c r="CP105" s="423"/>
      <c r="CQ105" s="423"/>
      <c r="CR105" s="553"/>
      <c r="EI105" s="553"/>
      <c r="EJ105" s="553"/>
      <c r="EK105" s="423"/>
      <c r="EL105" s="555"/>
      <c r="ES105" s="533"/>
      <c r="ET105" s="533"/>
      <c r="EU105" s="533"/>
      <c r="EV105" s="556"/>
      <c r="EY105" s="533"/>
      <c r="EZ105" s="533"/>
      <c r="FA105" s="556"/>
      <c r="FD105" s="556"/>
      <c r="FE105" s="556"/>
      <c r="FF105" s="556"/>
      <c r="FK105" s="557">
        <f t="shared" si="164"/>
        <v>105</v>
      </c>
      <c r="FL105" s="493">
        <f t="shared" si="171"/>
        <v>15.6457</v>
      </c>
      <c r="FM105" s="493">
        <f t="shared" si="172"/>
        <v>2.8288000000000002</v>
      </c>
      <c r="FO105" s="427">
        <f t="shared" si="173"/>
        <v>894589.64999999979</v>
      </c>
      <c r="FP105" s="558">
        <f t="shared" si="184"/>
        <v>25452.95</v>
      </c>
      <c r="FQ105" s="558">
        <f t="shared" si="184"/>
        <v>25214.9</v>
      </c>
      <c r="FR105" s="558">
        <f t="shared" si="184"/>
        <v>24976.27</v>
      </c>
      <c r="FS105" s="558">
        <f t="shared" si="184"/>
        <v>24737.63</v>
      </c>
      <c r="FT105" s="558">
        <f t="shared" si="184"/>
        <v>24490.77</v>
      </c>
      <c r="FU105" s="558">
        <f t="shared" si="184"/>
        <v>24236.86</v>
      </c>
      <c r="FV105" s="558">
        <f t="shared" si="184"/>
        <v>23985.3</v>
      </c>
      <c r="FW105" s="558">
        <f t="shared" si="184"/>
        <v>23731.97</v>
      </c>
      <c r="FX105" s="558">
        <f t="shared" si="184"/>
        <v>23469.83</v>
      </c>
      <c r="FY105" s="558">
        <f t="shared" si="184"/>
        <v>23197.1</v>
      </c>
      <c r="FZ105" s="558">
        <f t="shared" si="184"/>
        <v>22922.62</v>
      </c>
      <c r="GA105" s="558">
        <f t="shared" si="184"/>
        <v>22644.02</v>
      </c>
      <c r="GB105" s="558">
        <f t="shared" si="184"/>
        <v>22358.95</v>
      </c>
      <c r="GC105" s="558">
        <f t="shared" si="184"/>
        <v>22072.71</v>
      </c>
      <c r="GD105" s="558">
        <f t="shared" si="184"/>
        <v>21777.65</v>
      </c>
      <c r="GE105" s="558">
        <f t="shared" si="184"/>
        <v>21480.240000000002</v>
      </c>
      <c r="GF105" s="558">
        <f t="shared" si="182"/>
        <v>21174.01</v>
      </c>
      <c r="GG105" s="558">
        <f t="shared" si="182"/>
        <v>20860.740000000002</v>
      </c>
      <c r="GH105" s="558">
        <f t="shared" si="182"/>
        <v>20538.64</v>
      </c>
      <c r="GI105" s="558">
        <f t="shared" si="182"/>
        <v>20207.14</v>
      </c>
      <c r="GJ105" s="558">
        <f t="shared" si="182"/>
        <v>19865.650000000001</v>
      </c>
      <c r="GK105" s="558">
        <f t="shared" si="182"/>
        <v>19511.23</v>
      </c>
      <c r="GL105" s="558">
        <f t="shared" si="182"/>
        <v>19143.87</v>
      </c>
      <c r="GM105" s="558">
        <f t="shared" si="182"/>
        <v>18763</v>
      </c>
      <c r="GN105" s="558">
        <f t="shared" si="182"/>
        <v>18366.849999999999</v>
      </c>
      <c r="GO105" s="558">
        <f t="shared" si="182"/>
        <v>17958.349999999999</v>
      </c>
      <c r="GP105" s="558">
        <f t="shared" si="182"/>
        <v>17535.75</v>
      </c>
      <c r="GQ105" s="558">
        <f t="shared" si="182"/>
        <v>17100.21</v>
      </c>
      <c r="GR105" s="558">
        <f t="shared" si="182"/>
        <v>16652.919999999998</v>
      </c>
      <c r="GS105" s="558">
        <f t="shared" si="182"/>
        <v>16194.47</v>
      </c>
      <c r="GT105" s="558">
        <f t="shared" si="182"/>
        <v>15726.61</v>
      </c>
      <c r="GU105" s="558">
        <f t="shared" si="180"/>
        <v>15247.58</v>
      </c>
      <c r="GV105" s="558">
        <f t="shared" si="180"/>
        <v>14762.08</v>
      </c>
      <c r="GW105" s="558">
        <f t="shared" si="180"/>
        <v>14267.77</v>
      </c>
      <c r="GX105" s="558">
        <f t="shared" si="180"/>
        <v>13768.17</v>
      </c>
      <c r="GY105" s="558">
        <f t="shared" si="180"/>
        <v>13263.28</v>
      </c>
      <c r="GZ105" s="558">
        <f t="shared" si="180"/>
        <v>12752.51</v>
      </c>
      <c r="HA105" s="558">
        <f t="shared" si="180"/>
        <v>12237.63</v>
      </c>
      <c r="HB105" s="558">
        <f t="shared" si="180"/>
        <v>11715.11</v>
      </c>
      <c r="HC105" s="558">
        <f t="shared" si="180"/>
        <v>11181.42</v>
      </c>
      <c r="HD105" s="558">
        <f t="shared" si="180"/>
        <v>10640.09</v>
      </c>
      <c r="HE105" s="558">
        <f t="shared" si="180"/>
        <v>10093.459999999999</v>
      </c>
      <c r="HF105" s="558">
        <f t="shared" si="180"/>
        <v>9539.7900000000009</v>
      </c>
      <c r="HG105" s="558">
        <f t="shared" si="180"/>
        <v>8982</v>
      </c>
      <c r="HH105" s="558">
        <f t="shared" si="180"/>
        <v>8418.33</v>
      </c>
      <c r="HI105" s="558">
        <f t="shared" si="180"/>
        <v>7859.96</v>
      </c>
      <c r="HJ105" s="558">
        <f t="shared" si="180"/>
        <v>7296.88</v>
      </c>
      <c r="HK105" s="558">
        <f t="shared" si="178"/>
        <v>6737.32</v>
      </c>
      <c r="HL105" s="558">
        <f t="shared" si="178"/>
        <v>6181.89</v>
      </c>
      <c r="HM105" s="558">
        <f t="shared" si="178"/>
        <v>5628.8</v>
      </c>
      <c r="HN105" s="558">
        <f t="shared" si="178"/>
        <v>5173.28</v>
      </c>
      <c r="HO105" s="558">
        <f t="shared" si="178"/>
        <v>4731.87</v>
      </c>
      <c r="HP105" s="558">
        <f t="shared" si="178"/>
        <v>4309.2700000000004</v>
      </c>
      <c r="HQ105" s="558">
        <f t="shared" si="178"/>
        <v>3909</v>
      </c>
      <c r="HR105" s="558">
        <f t="shared" si="178"/>
        <v>3425.86</v>
      </c>
      <c r="HS105" s="558">
        <f t="shared" si="178"/>
        <v>2961.52</v>
      </c>
      <c r="HT105" s="558">
        <f t="shared" si="178"/>
        <v>2518.9299999999998</v>
      </c>
      <c r="HU105" s="558">
        <f t="shared" si="178"/>
        <v>2112.1999999999998</v>
      </c>
      <c r="HV105" s="558">
        <f t="shared" si="178"/>
        <v>1737.79</v>
      </c>
      <c r="HW105" s="558">
        <f t="shared" si="178"/>
        <v>1397.48</v>
      </c>
      <c r="HX105" s="558">
        <f t="shared" si="178"/>
        <v>1099.48</v>
      </c>
      <c r="HY105" s="558">
        <f t="shared" si="178"/>
        <v>837.34</v>
      </c>
      <c r="HZ105" s="558">
        <f t="shared" si="178"/>
        <v>623.98</v>
      </c>
      <c r="IA105" s="558">
        <f t="shared" si="178"/>
        <v>452.35</v>
      </c>
      <c r="IB105" s="558">
        <f t="shared" si="181"/>
        <v>324.22000000000003</v>
      </c>
      <c r="IC105" s="558">
        <f t="shared" si="181"/>
        <v>238.99</v>
      </c>
      <c r="ID105" s="558">
        <f t="shared" si="181"/>
        <v>182.57</v>
      </c>
      <c r="IE105" s="558">
        <f t="shared" si="181"/>
        <v>143.19</v>
      </c>
      <c r="IF105" s="558">
        <f t="shared" si="181"/>
        <v>142.01</v>
      </c>
      <c r="IG105" s="558">
        <f t="shared" si="181"/>
        <v>139.66</v>
      </c>
      <c r="IH105" s="558">
        <f t="shared" si="181"/>
        <v>137.31</v>
      </c>
      <c r="II105" s="558">
        <f t="shared" si="181"/>
        <v>133.78</v>
      </c>
      <c r="IJ105" s="558">
        <f t="shared" si="181"/>
        <v>129.08000000000001</v>
      </c>
      <c r="IK105" s="558">
        <f t="shared" si="181"/>
        <v>122.61</v>
      </c>
      <c r="IL105" s="558">
        <f t="shared" si="181"/>
        <v>113.8</v>
      </c>
      <c r="IM105" s="558">
        <f t="shared" si="181"/>
        <v>101.45</v>
      </c>
      <c r="IN105" s="558">
        <f t="shared" si="181"/>
        <v>85</v>
      </c>
      <c r="IO105" s="558">
        <f t="shared" si="177"/>
        <v>60.9</v>
      </c>
      <c r="IP105" s="558">
        <f t="shared" si="177"/>
        <v>59.14</v>
      </c>
      <c r="IQ105" s="558">
        <f t="shared" si="177"/>
        <v>57.37</v>
      </c>
      <c r="IR105" s="558">
        <f t="shared" si="177"/>
        <v>53.85</v>
      </c>
      <c r="IS105" s="558">
        <f t="shared" si="177"/>
        <v>50.32</v>
      </c>
      <c r="IT105" s="558">
        <f t="shared" si="177"/>
        <v>44.44</v>
      </c>
      <c r="IU105" s="558">
        <f t="shared" si="177"/>
        <v>35.04</v>
      </c>
      <c r="IV105" s="558">
        <f t="shared" si="177"/>
        <v>21.52</v>
      </c>
      <c r="IW105" s="558">
        <f t="shared" si="177"/>
        <v>-0.23</v>
      </c>
      <c r="IX105" s="558" t="str">
        <f t="shared" si="177"/>
        <v>.</v>
      </c>
      <c r="IY105" s="558" t="str">
        <f t="shared" si="177"/>
        <v>.</v>
      </c>
      <c r="IZ105" s="558" t="str">
        <f t="shared" si="177"/>
        <v>.</v>
      </c>
      <c r="JA105" s="558" t="str">
        <f t="shared" si="177"/>
        <v>.</v>
      </c>
      <c r="JB105" s="558" t="str">
        <f t="shared" si="177"/>
        <v>.</v>
      </c>
      <c r="JC105" s="558" t="str">
        <f t="shared" si="177"/>
        <v>.</v>
      </c>
      <c r="JD105" s="558" t="str">
        <f t="shared" si="177"/>
        <v>.</v>
      </c>
      <c r="JE105" s="558" t="str">
        <f t="shared" si="177"/>
        <v>.</v>
      </c>
      <c r="JF105" s="558" t="str">
        <f t="shared" si="177"/>
        <v>.</v>
      </c>
      <c r="JG105" s="558" t="str">
        <f t="shared" si="177"/>
        <v>.</v>
      </c>
      <c r="JH105" s="558" t="str">
        <f t="shared" si="186"/>
        <v>.</v>
      </c>
      <c r="JI105" s="558" t="str">
        <f t="shared" si="186"/>
        <v>.</v>
      </c>
      <c r="JJ105" s="558" t="str">
        <f t="shared" si="186"/>
        <v>.</v>
      </c>
      <c r="JK105" s="558" t="str">
        <f t="shared" si="186"/>
        <v>.</v>
      </c>
      <c r="JL105" s="558" t="str">
        <f t="shared" si="185"/>
        <v>.</v>
      </c>
    </row>
    <row r="106" spans="1:272" ht="10.199999999999999" x14ac:dyDescent="0.2">
      <c r="A106" s="534">
        <f xml:space="preserve"> Basis!A106</f>
        <v>106</v>
      </c>
      <c r="F106" s="536">
        <f xml:space="preserve"> ROUND(    IF( $A$15=BE_MF_,   AW106,   INDEX( qx!106:106, F$16 ) ),    F$17    )</f>
        <v>0.29920000000000002</v>
      </c>
      <c r="G106" s="536">
        <f xml:space="preserve"> ROUND(    IF( $A$15=BE_MF_,   BB106,   INDEX( wx!106:106, G$16 ) ),    G$17    )</f>
        <v>1.4E-3</v>
      </c>
      <c r="H106" s="537">
        <f xml:space="preserve"> ROUND(    IF( $A$15=BE_MF_,   BG106,   INDEX( Kx!106:106, H$16 ) ),    H$17    )</f>
        <v>11455.48</v>
      </c>
      <c r="I106" s="538">
        <f t="shared" si="167"/>
        <v>11469.4</v>
      </c>
      <c r="J106" s="539">
        <f t="shared" si="135"/>
        <v>5.52</v>
      </c>
      <c r="K106" s="540">
        <f t="shared" si="168"/>
        <v>0</v>
      </c>
      <c r="L106" s="541">
        <f t="shared" si="187"/>
        <v>0</v>
      </c>
      <c r="M106" s="541">
        <f t="shared" si="187"/>
        <v>8.5999999999999993E-2</v>
      </c>
      <c r="O106" s="542" t="b">
        <f t="shared" si="169"/>
        <v>1</v>
      </c>
      <c r="P106" s="493">
        <f t="shared" si="136"/>
        <v>0.30059999999999998</v>
      </c>
      <c r="Q106" s="493">
        <f t="shared" si="137"/>
        <v>0.69940000000000002</v>
      </c>
      <c r="R106" s="543">
        <f t="shared" si="138"/>
        <v>3551</v>
      </c>
      <c r="S106" s="544">
        <f t="shared" si="139"/>
        <v>0.97560975599999999</v>
      </c>
      <c r="T106" s="423">
        <f t="shared" si="140"/>
        <v>259.19</v>
      </c>
      <c r="U106" s="423">
        <f xml:space="preserve"> IF( $O106,    ROUND(  SUM( T106:T$120), U$17 ),  LEER  )</f>
        <v>689.05</v>
      </c>
      <c r="V106" s="493">
        <f t="shared" si="141"/>
        <v>2.6585000000000001</v>
      </c>
      <c r="W106" s="493">
        <f t="shared" si="142"/>
        <v>1430.73</v>
      </c>
      <c r="X106" s="493">
        <f xml:space="preserve"> IF( $O106,    ROUND(  SUM( W106:W$120), X$17 ),  LEER  )</f>
        <v>3815.07</v>
      </c>
      <c r="Y106" s="493">
        <f t="shared" si="143"/>
        <v>14.719200000000001</v>
      </c>
      <c r="Z106" s="493">
        <f t="shared" si="144"/>
        <v>5.5366999999999997</v>
      </c>
      <c r="AA106" s="493">
        <f t="shared" si="145"/>
        <v>1</v>
      </c>
      <c r="AB106" s="493">
        <f t="shared" si="146"/>
        <v>2.3494000000000002</v>
      </c>
      <c r="AC106" s="545">
        <f t="shared" si="147"/>
        <v>0.32679999999999998</v>
      </c>
      <c r="AD106" s="493">
        <f t="shared" si="148"/>
        <v>5.5366999999999997</v>
      </c>
      <c r="AE106" s="493">
        <f t="shared" si="149"/>
        <v>6.4151999999999996</v>
      </c>
      <c r="AF106" s="493">
        <f t="shared" si="150"/>
        <v>6.4151999999999996</v>
      </c>
      <c r="AG106" s="493" t="str">
        <f t="shared" si="151"/>
        <v>.</v>
      </c>
      <c r="AH106" s="493" t="str">
        <f t="shared" si="152"/>
        <v>.</v>
      </c>
      <c r="AI106" s="423">
        <f t="shared" si="153"/>
        <v>2077.79</v>
      </c>
      <c r="AJ106" s="423">
        <f t="shared" si="154"/>
        <v>13329.44</v>
      </c>
      <c r="AK106" s="423">
        <f t="shared" si="155"/>
        <v>1110.79</v>
      </c>
      <c r="AN106" s="423">
        <f t="shared" si="183"/>
        <v>20341.72</v>
      </c>
      <c r="AO106" s="423">
        <f t="shared" si="183"/>
        <v>20219.09</v>
      </c>
      <c r="AR106" s="546">
        <f xml:space="preserve"> ROUND(  INDEX( Kx!106:106, AR$16 ),  AR$17 )</f>
        <v>0.24679999999999999</v>
      </c>
      <c r="AS106" s="547">
        <f xml:space="preserve"> ROUND(  INDEX( qx!106:106, AS$16 ),  AS$17 )</f>
        <v>0.31180000000000002</v>
      </c>
      <c r="AT106" s="547">
        <f xml:space="preserve"> ROUND(  INDEX( qx!106:106, AT$16 ),  AT$17 )</f>
        <v>0.29649999999999999</v>
      </c>
      <c r="AU106" s="548" t="str">
        <f t="shared" si="156"/>
        <v>F</v>
      </c>
      <c r="AV106" s="542">
        <f t="shared" si="157"/>
        <v>0.17929999999999999</v>
      </c>
      <c r="AW106" s="542">
        <f t="shared" si="158"/>
        <v>0.29920000000000002</v>
      </c>
      <c r="AX106" s="546">
        <f xml:space="preserve"> ROUND(  INDEX( wx!106:106, AX$16 ),  AX$17 )</f>
        <v>0</v>
      </c>
      <c r="AY106" s="546">
        <f xml:space="preserve"> ROUND(  INDEX( wx!106:106, AY$16 ),  AY$17 )</f>
        <v>2.0999999999999999E-3</v>
      </c>
      <c r="AZ106" s="548" t="str">
        <f t="shared" si="159"/>
        <v>M</v>
      </c>
      <c r="BA106" s="542">
        <f t="shared" si="160"/>
        <v>0.32950000000000002</v>
      </c>
      <c r="BB106" s="542">
        <f t="shared" si="161"/>
        <v>1.4E-3</v>
      </c>
      <c r="BC106" s="533">
        <f xml:space="preserve"> ROUND(  INDEX( Kx!106:106, BC$16 ),  BC$17 )</f>
        <v>13735.77</v>
      </c>
      <c r="BD106" s="533">
        <f xml:space="preserve"> ROUND(  INDEX( Kx!106:106, BD$16 ),  BD$17 )</f>
        <v>10334.89</v>
      </c>
      <c r="BE106" s="548" t="str">
        <f t="shared" si="170"/>
        <v>M</v>
      </c>
      <c r="BF106" s="542">
        <f t="shared" si="162"/>
        <v>0.32950000000000002</v>
      </c>
      <c r="BG106" s="420">
        <f t="shared" si="163"/>
        <v>11455.48</v>
      </c>
      <c r="BQ106" s="549"/>
      <c r="BR106" s="423"/>
      <c r="BS106" s="550"/>
      <c r="BT106" s="423"/>
      <c r="BU106" s="551"/>
      <c r="BV106" s="551"/>
      <c r="BW106" s="529"/>
      <c r="BX106" s="552"/>
      <c r="BY106" s="560"/>
      <c r="BZ106" s="559"/>
      <c r="CB106" s="423"/>
      <c r="CC106" s="423"/>
      <c r="CD106" s="423"/>
      <c r="CE106" s="423"/>
      <c r="CF106" s="553"/>
      <c r="CH106" s="423"/>
      <c r="CI106" s="423"/>
      <c r="CJ106" s="423"/>
      <c r="CK106" s="423"/>
      <c r="CL106" s="553"/>
      <c r="CN106" s="423"/>
      <c r="CO106" s="423"/>
      <c r="CP106" s="423"/>
      <c r="CQ106" s="423"/>
      <c r="CR106" s="553"/>
      <c r="EI106" s="553"/>
      <c r="EJ106" s="553"/>
      <c r="EK106" s="423"/>
      <c r="EL106" s="555"/>
      <c r="ES106" s="533"/>
      <c r="ET106" s="533"/>
      <c r="EU106" s="533"/>
      <c r="EV106" s="556"/>
      <c r="EY106" s="533"/>
      <c r="EZ106" s="533"/>
      <c r="FA106" s="556"/>
      <c r="FD106" s="556"/>
      <c r="FE106" s="556"/>
      <c r="FF106" s="556"/>
      <c r="FK106" s="557">
        <f t="shared" si="164"/>
        <v>106</v>
      </c>
      <c r="FL106" s="493">
        <f t="shared" si="171"/>
        <v>14.719200000000001</v>
      </c>
      <c r="FM106" s="493">
        <f t="shared" si="172"/>
        <v>2.6585000000000001</v>
      </c>
      <c r="FO106" s="427">
        <f t="shared" si="173"/>
        <v>843485.94000000018</v>
      </c>
      <c r="FP106" s="558">
        <f t="shared" si="184"/>
        <v>23952.63</v>
      </c>
      <c r="FQ106" s="558">
        <f t="shared" si="184"/>
        <v>23728.92</v>
      </c>
      <c r="FR106" s="558">
        <f t="shared" si="184"/>
        <v>23504.65</v>
      </c>
      <c r="FS106" s="558">
        <f t="shared" si="184"/>
        <v>23280.38</v>
      </c>
      <c r="FT106" s="558">
        <f t="shared" si="184"/>
        <v>23048.38</v>
      </c>
      <c r="FU106" s="558">
        <f t="shared" si="184"/>
        <v>22809.759999999998</v>
      </c>
      <c r="FV106" s="558">
        <f t="shared" si="184"/>
        <v>22573.34</v>
      </c>
      <c r="FW106" s="558">
        <f t="shared" si="184"/>
        <v>22335.26</v>
      </c>
      <c r="FX106" s="558">
        <f t="shared" si="184"/>
        <v>22088.9</v>
      </c>
      <c r="FY106" s="558">
        <f t="shared" si="184"/>
        <v>21832.6</v>
      </c>
      <c r="FZ106" s="558">
        <f t="shared" si="184"/>
        <v>21574.63</v>
      </c>
      <c r="GA106" s="558">
        <f t="shared" si="184"/>
        <v>21312.81</v>
      </c>
      <c r="GB106" s="558">
        <f t="shared" si="184"/>
        <v>21044.9</v>
      </c>
      <c r="GC106" s="558">
        <f t="shared" si="184"/>
        <v>20775.89</v>
      </c>
      <c r="GD106" s="558">
        <f t="shared" si="184"/>
        <v>20498.599999999999</v>
      </c>
      <c r="GE106" s="558">
        <f t="shared" si="184"/>
        <v>20219.09</v>
      </c>
      <c r="GF106" s="558">
        <f t="shared" si="182"/>
        <v>19931.3</v>
      </c>
      <c r="GG106" s="558">
        <f t="shared" si="182"/>
        <v>19636.88</v>
      </c>
      <c r="GH106" s="558">
        <f t="shared" si="182"/>
        <v>19334.18</v>
      </c>
      <c r="GI106" s="558">
        <f t="shared" si="182"/>
        <v>19022.64</v>
      </c>
      <c r="GJ106" s="558">
        <f t="shared" si="182"/>
        <v>18701.7</v>
      </c>
      <c r="GK106" s="558">
        <f t="shared" si="182"/>
        <v>18368.62</v>
      </c>
      <c r="GL106" s="558">
        <f t="shared" si="182"/>
        <v>18023.38</v>
      </c>
      <c r="GM106" s="558">
        <f t="shared" si="182"/>
        <v>17665.439999999999</v>
      </c>
      <c r="GN106" s="558">
        <f t="shared" si="182"/>
        <v>17293.13</v>
      </c>
      <c r="GO106" s="558">
        <f t="shared" si="182"/>
        <v>16909.23</v>
      </c>
      <c r="GP106" s="558">
        <f t="shared" si="182"/>
        <v>16512.07</v>
      </c>
      <c r="GQ106" s="558">
        <f t="shared" si="182"/>
        <v>16102.75</v>
      </c>
      <c r="GR106" s="558">
        <f t="shared" si="182"/>
        <v>15682.39</v>
      </c>
      <c r="GS106" s="558">
        <f t="shared" si="182"/>
        <v>15251.53</v>
      </c>
      <c r="GT106" s="558">
        <f t="shared" si="182"/>
        <v>14811.84</v>
      </c>
      <c r="GU106" s="558">
        <f t="shared" si="180"/>
        <v>14361.65</v>
      </c>
      <c r="GV106" s="558">
        <f t="shared" si="180"/>
        <v>13905.38</v>
      </c>
      <c r="GW106" s="558">
        <f t="shared" si="180"/>
        <v>13440.83</v>
      </c>
      <c r="GX106" s="558">
        <f t="shared" si="180"/>
        <v>12971.31</v>
      </c>
      <c r="GY106" s="558">
        <f t="shared" si="180"/>
        <v>12496.81</v>
      </c>
      <c r="GZ106" s="558">
        <f t="shared" si="180"/>
        <v>12016.79</v>
      </c>
      <c r="HA106" s="558">
        <f t="shared" si="180"/>
        <v>11532.91</v>
      </c>
      <c r="HB106" s="558">
        <f t="shared" si="180"/>
        <v>11041.84</v>
      </c>
      <c r="HC106" s="558">
        <f t="shared" si="180"/>
        <v>10540.28</v>
      </c>
      <c r="HD106" s="558">
        <f t="shared" si="180"/>
        <v>10031.540000000001</v>
      </c>
      <c r="HE106" s="558">
        <f t="shared" si="180"/>
        <v>9517.82</v>
      </c>
      <c r="HF106" s="558">
        <f t="shared" si="180"/>
        <v>8997.48</v>
      </c>
      <c r="HG106" s="558">
        <f t="shared" si="180"/>
        <v>8473.27</v>
      </c>
      <c r="HH106" s="558">
        <f t="shared" si="180"/>
        <v>7943.54</v>
      </c>
      <c r="HI106" s="558">
        <f t="shared" si="180"/>
        <v>7418.78</v>
      </c>
      <c r="HJ106" s="558">
        <f t="shared" si="180"/>
        <v>6889.6</v>
      </c>
      <c r="HK106" s="558">
        <f t="shared" si="178"/>
        <v>6363.73</v>
      </c>
      <c r="HL106" s="558">
        <f t="shared" si="178"/>
        <v>5841.73</v>
      </c>
      <c r="HM106" s="558">
        <f t="shared" si="178"/>
        <v>5321.94</v>
      </c>
      <c r="HN106" s="558">
        <f t="shared" si="178"/>
        <v>4893.8500000000004</v>
      </c>
      <c r="HO106" s="558">
        <f t="shared" si="178"/>
        <v>4479.01</v>
      </c>
      <c r="HP106" s="558">
        <f t="shared" si="178"/>
        <v>4081.85</v>
      </c>
      <c r="HQ106" s="558">
        <f t="shared" si="178"/>
        <v>3705.68</v>
      </c>
      <c r="HR106" s="558">
        <f t="shared" si="178"/>
        <v>3251.62</v>
      </c>
      <c r="HS106" s="558">
        <f t="shared" si="178"/>
        <v>2815.24</v>
      </c>
      <c r="HT106" s="558">
        <f t="shared" si="178"/>
        <v>2399.3000000000002</v>
      </c>
      <c r="HU106" s="558">
        <f t="shared" si="178"/>
        <v>2017.05</v>
      </c>
      <c r="HV106" s="558">
        <f t="shared" si="178"/>
        <v>1665.18</v>
      </c>
      <c r="HW106" s="558">
        <f t="shared" si="178"/>
        <v>1345.36</v>
      </c>
      <c r="HX106" s="558">
        <f t="shared" si="178"/>
        <v>1065.3</v>
      </c>
      <c r="HY106" s="558">
        <f t="shared" si="178"/>
        <v>818.94</v>
      </c>
      <c r="HZ106" s="558">
        <f t="shared" si="178"/>
        <v>618.41999999999996</v>
      </c>
      <c r="IA106" s="558">
        <f t="shared" si="178"/>
        <v>457.13</v>
      </c>
      <c r="IB106" s="558">
        <f t="shared" si="181"/>
        <v>336.71</v>
      </c>
      <c r="IC106" s="558">
        <f t="shared" si="181"/>
        <v>256.61</v>
      </c>
      <c r="ID106" s="558">
        <f t="shared" si="181"/>
        <v>203.59</v>
      </c>
      <c r="IE106" s="558">
        <f t="shared" si="181"/>
        <v>166.58</v>
      </c>
      <c r="IF106" s="558">
        <f t="shared" si="181"/>
        <v>165.47</v>
      </c>
      <c r="IG106" s="558">
        <f t="shared" si="181"/>
        <v>163.26</v>
      </c>
      <c r="IH106" s="558">
        <f t="shared" si="181"/>
        <v>161.05000000000001</v>
      </c>
      <c r="II106" s="558">
        <f t="shared" si="181"/>
        <v>157.74</v>
      </c>
      <c r="IJ106" s="558">
        <f t="shared" si="181"/>
        <v>153.32</v>
      </c>
      <c r="IK106" s="558">
        <f t="shared" si="181"/>
        <v>147.24</v>
      </c>
      <c r="IL106" s="558">
        <f t="shared" si="181"/>
        <v>138.96</v>
      </c>
      <c r="IM106" s="558">
        <f t="shared" si="181"/>
        <v>127.36</v>
      </c>
      <c r="IN106" s="558">
        <f t="shared" si="181"/>
        <v>111.89</v>
      </c>
      <c r="IO106" s="558">
        <f t="shared" si="177"/>
        <v>89.24</v>
      </c>
      <c r="IP106" s="558">
        <f t="shared" si="177"/>
        <v>87.59</v>
      </c>
      <c r="IQ106" s="558">
        <f t="shared" si="177"/>
        <v>85.93</v>
      </c>
      <c r="IR106" s="558">
        <f t="shared" si="177"/>
        <v>82.61</v>
      </c>
      <c r="IS106" s="558">
        <f t="shared" si="177"/>
        <v>79.3</v>
      </c>
      <c r="IT106" s="558">
        <f t="shared" si="177"/>
        <v>73.78</v>
      </c>
      <c r="IU106" s="558">
        <f t="shared" si="177"/>
        <v>64.94</v>
      </c>
      <c r="IV106" s="558">
        <f t="shared" si="177"/>
        <v>52.23</v>
      </c>
      <c r="IW106" s="558">
        <f t="shared" si="177"/>
        <v>31.8</v>
      </c>
      <c r="IX106" s="558">
        <f t="shared" si="177"/>
        <v>-0.24</v>
      </c>
      <c r="IY106" s="558" t="str">
        <f t="shared" si="177"/>
        <v>.</v>
      </c>
      <c r="IZ106" s="558" t="str">
        <f t="shared" si="177"/>
        <v>.</v>
      </c>
      <c r="JA106" s="558" t="str">
        <f t="shared" si="177"/>
        <v>.</v>
      </c>
      <c r="JB106" s="558" t="str">
        <f t="shared" si="177"/>
        <v>.</v>
      </c>
      <c r="JC106" s="558" t="str">
        <f t="shared" si="177"/>
        <v>.</v>
      </c>
      <c r="JD106" s="558" t="str">
        <f t="shared" si="177"/>
        <v>.</v>
      </c>
      <c r="JE106" s="558" t="str">
        <f t="shared" si="177"/>
        <v>.</v>
      </c>
      <c r="JF106" s="558" t="str">
        <f t="shared" si="177"/>
        <v>.</v>
      </c>
      <c r="JG106" s="558" t="str">
        <f t="shared" si="177"/>
        <v>.</v>
      </c>
      <c r="JH106" s="558" t="str">
        <f t="shared" si="177"/>
        <v>.</v>
      </c>
      <c r="JI106" s="558" t="str">
        <f t="shared" si="177"/>
        <v>.</v>
      </c>
      <c r="JJ106" s="558" t="str">
        <f t="shared" si="177"/>
        <v>.</v>
      </c>
      <c r="JK106" s="558" t="str">
        <f t="shared" si="177"/>
        <v>.</v>
      </c>
      <c r="JL106" s="558" t="str">
        <f t="shared" ref="JH106:JL115" si="188" xml:space="preserve"> IF(  OR( JL$18&gt;$FK106, $FK106&gt;$FP$12 ),  LEER,  ROUND( $FO$19 * ( $FL106 - JL$15 * $FM106 ), JL$17 )  )</f>
        <v>.</v>
      </c>
    </row>
    <row r="107" spans="1:272" ht="10.199999999999999" x14ac:dyDescent="0.2">
      <c r="A107" s="534">
        <f xml:space="preserve"> Basis!A107</f>
        <v>107</v>
      </c>
      <c r="F107" s="536">
        <f xml:space="preserve"> ROUND(    IF( $A$15=BE_MF_,   AW107,   INDEX( qx!107:107, F$16 ) ),    F$17    )</f>
        <v>0.30509999999999998</v>
      </c>
      <c r="G107" s="536">
        <f xml:space="preserve"> ROUND(    IF( $A$15=BE_MF_,   BB107,   INDEX( wx!107:107, G$16 ) ),    G$17    )</f>
        <v>1.4E-3</v>
      </c>
      <c r="H107" s="537">
        <f xml:space="preserve"> ROUND(    IF( $A$15=BE_MF_,   BG107,   INDEX( Kx!107:107, H$16 ) ),    H$17    )</f>
        <v>11489.93</v>
      </c>
      <c r="I107" s="538">
        <f t="shared" si="167"/>
        <v>11489.93</v>
      </c>
      <c r="J107" s="539">
        <f t="shared" si="135"/>
        <v>5.53</v>
      </c>
      <c r="K107" s="540">
        <f t="shared" si="168"/>
        <v>0</v>
      </c>
      <c r="L107" s="541">
        <f t="shared" si="187"/>
        <v>0</v>
      </c>
      <c r="M107" s="541">
        <f t="shared" si="187"/>
        <v>8.5999999999999993E-2</v>
      </c>
      <c r="O107" s="542" t="b">
        <f t="shared" si="169"/>
        <v>1</v>
      </c>
      <c r="P107" s="493">
        <f t="shared" si="136"/>
        <v>0.30649999999999999</v>
      </c>
      <c r="Q107" s="493">
        <f t="shared" si="137"/>
        <v>0.69350000000000001</v>
      </c>
      <c r="R107" s="543">
        <f t="shared" si="138"/>
        <v>2483</v>
      </c>
      <c r="S107" s="544">
        <f t="shared" si="139"/>
        <v>0.97560975599999999</v>
      </c>
      <c r="T107" s="423">
        <f t="shared" si="140"/>
        <v>176.82</v>
      </c>
      <c r="U107" s="423">
        <f xml:space="preserve"> IF( $O107,    ROUND(  SUM( T107:T$120), U$17 ),  LEER  )</f>
        <v>429.86</v>
      </c>
      <c r="V107" s="493">
        <f t="shared" si="141"/>
        <v>2.4310999999999998</v>
      </c>
      <c r="W107" s="493">
        <f t="shared" si="142"/>
        <v>977.81</v>
      </c>
      <c r="X107" s="493">
        <f xml:space="preserve"> IF( $O107,    ROUND(  SUM( W107:W$120), X$17 ),  LEER  )</f>
        <v>2384.34</v>
      </c>
      <c r="Y107" s="493">
        <f t="shared" si="143"/>
        <v>13.4846</v>
      </c>
      <c r="Z107" s="493">
        <f t="shared" si="144"/>
        <v>5.5467000000000004</v>
      </c>
      <c r="AA107" s="493">
        <f t="shared" si="145"/>
        <v>1</v>
      </c>
      <c r="AB107" s="493">
        <f t="shared" si="146"/>
        <v>2.3494000000000002</v>
      </c>
      <c r="AC107" s="545">
        <f t="shared" si="147"/>
        <v>0.32679999999999998</v>
      </c>
      <c r="AD107" s="493">
        <f t="shared" si="148"/>
        <v>5.5467000000000004</v>
      </c>
      <c r="AE107" s="493">
        <f t="shared" si="149"/>
        <v>6.4260999999999999</v>
      </c>
      <c r="AF107" s="493">
        <f t="shared" si="150"/>
        <v>6.4260999999999999</v>
      </c>
      <c r="AG107" s="493" t="str">
        <f t="shared" si="151"/>
        <v>.</v>
      </c>
      <c r="AH107" s="493" t="str">
        <f t="shared" si="152"/>
        <v>.</v>
      </c>
      <c r="AI107" s="423">
        <f t="shared" si="153"/>
        <v>2077.79</v>
      </c>
      <c r="AJ107" s="423">
        <f t="shared" si="154"/>
        <v>13352.09</v>
      </c>
      <c r="AK107" s="423">
        <f t="shared" si="155"/>
        <v>1112.67</v>
      </c>
      <c r="AN107" s="423">
        <f t="shared" si="183"/>
        <v>18652.52</v>
      </c>
      <c r="AO107" s="423">
        <f t="shared" si="183"/>
        <v>18540.38</v>
      </c>
      <c r="AR107" s="546">
        <f xml:space="preserve"> ROUND(  INDEX( Kx!107:107, AR$16 ),  AR$17 )</f>
        <v>0.24679999999999999</v>
      </c>
      <c r="AS107" s="547">
        <f xml:space="preserve"> ROUND(  INDEX( qx!107:107, AS$16 ),  AS$17 )</f>
        <v>0.31840000000000002</v>
      </c>
      <c r="AT107" s="547">
        <f xml:space="preserve"> ROUND(  INDEX( qx!107:107, AT$16 ),  AT$17 )</f>
        <v>0.30220000000000002</v>
      </c>
      <c r="AU107" s="548" t="str">
        <f t="shared" si="156"/>
        <v>F</v>
      </c>
      <c r="AV107" s="542">
        <f t="shared" si="157"/>
        <v>0.17929999999999999</v>
      </c>
      <c r="AW107" s="542">
        <f t="shared" si="158"/>
        <v>0.30509999999999998</v>
      </c>
      <c r="AX107" s="546">
        <f xml:space="preserve"> ROUND(  INDEX( wx!107:107, AX$16 ),  AX$17 )</f>
        <v>0</v>
      </c>
      <c r="AY107" s="546">
        <f xml:space="preserve"> ROUND(  INDEX( wx!107:107, AY$16 ),  AY$17 )</f>
        <v>2.0999999999999999E-3</v>
      </c>
      <c r="AZ107" s="548" t="str">
        <f t="shared" si="159"/>
        <v>M</v>
      </c>
      <c r="BA107" s="542">
        <f t="shared" si="160"/>
        <v>0.32950000000000002</v>
      </c>
      <c r="BB107" s="542">
        <f t="shared" si="161"/>
        <v>1.4E-3</v>
      </c>
      <c r="BC107" s="533">
        <f xml:space="preserve"> ROUND(  INDEX( Kx!107:107, BC$16 ),  BC$17 )</f>
        <v>13814.45</v>
      </c>
      <c r="BD107" s="533">
        <f xml:space="preserve"> ROUND(  INDEX( Kx!107:107, BD$16 ),  BD$17 )</f>
        <v>10347.61</v>
      </c>
      <c r="BE107" s="548" t="str">
        <f t="shared" si="170"/>
        <v>M</v>
      </c>
      <c r="BF107" s="542">
        <f t="shared" si="162"/>
        <v>0.32950000000000002</v>
      </c>
      <c r="BG107" s="420">
        <f t="shared" si="163"/>
        <v>11489.93</v>
      </c>
      <c r="BQ107" s="549"/>
      <c r="BR107" s="423"/>
      <c r="BS107" s="550"/>
      <c r="BT107" s="423"/>
      <c r="BU107" s="551"/>
      <c r="BV107" s="551"/>
      <c r="BW107" s="529"/>
      <c r="BX107" s="552"/>
      <c r="BY107" s="560"/>
      <c r="BZ107" s="559"/>
      <c r="CB107" s="423"/>
      <c r="CC107" s="423"/>
      <c r="CD107" s="423"/>
      <c r="CE107" s="423"/>
      <c r="CF107" s="553"/>
      <c r="CH107" s="423"/>
      <c r="CI107" s="423"/>
      <c r="CJ107" s="423"/>
      <c r="CK107" s="423"/>
      <c r="CL107" s="553"/>
      <c r="CN107" s="423"/>
      <c r="CO107" s="423"/>
      <c r="CP107" s="423"/>
      <c r="CQ107" s="423"/>
      <c r="CR107" s="553"/>
      <c r="EI107" s="553"/>
      <c r="EJ107" s="553"/>
      <c r="EK107" s="423"/>
      <c r="EL107" s="555"/>
      <c r="ES107" s="533"/>
      <c r="ET107" s="533"/>
      <c r="EU107" s="533"/>
      <c r="EV107" s="556"/>
      <c r="EY107" s="533"/>
      <c r="EZ107" s="533"/>
      <c r="FA107" s="556"/>
      <c r="FD107" s="556"/>
      <c r="FE107" s="556"/>
      <c r="FF107" s="556"/>
      <c r="FK107" s="557">
        <f t="shared" si="164"/>
        <v>107</v>
      </c>
      <c r="FL107" s="493">
        <f t="shared" si="171"/>
        <v>13.4846</v>
      </c>
      <c r="FM107" s="493">
        <f t="shared" si="172"/>
        <v>2.4310999999999998</v>
      </c>
      <c r="FO107" s="427">
        <f t="shared" si="173"/>
        <v>775753.97</v>
      </c>
      <c r="FP107" s="558">
        <f t="shared" si="184"/>
        <v>21954.57</v>
      </c>
      <c r="FQ107" s="558">
        <f t="shared" si="184"/>
        <v>21749.99</v>
      </c>
      <c r="FR107" s="558">
        <f t="shared" si="184"/>
        <v>21544.91</v>
      </c>
      <c r="FS107" s="558">
        <f t="shared" si="184"/>
        <v>21339.82</v>
      </c>
      <c r="FT107" s="558">
        <f t="shared" si="184"/>
        <v>21127.67</v>
      </c>
      <c r="FU107" s="558">
        <f t="shared" si="184"/>
        <v>20909.45</v>
      </c>
      <c r="FV107" s="558">
        <f t="shared" si="184"/>
        <v>20693.25</v>
      </c>
      <c r="FW107" s="558">
        <f t="shared" si="184"/>
        <v>20475.54</v>
      </c>
      <c r="FX107" s="558">
        <f t="shared" si="184"/>
        <v>20250.25</v>
      </c>
      <c r="FY107" s="558">
        <f t="shared" si="184"/>
        <v>20015.87</v>
      </c>
      <c r="FZ107" s="558">
        <f t="shared" si="184"/>
        <v>19779.98</v>
      </c>
      <c r="GA107" s="558">
        <f t="shared" si="184"/>
        <v>19540.54</v>
      </c>
      <c r="GB107" s="558">
        <f t="shared" si="184"/>
        <v>19295.560000000001</v>
      </c>
      <c r="GC107" s="558">
        <f t="shared" si="184"/>
        <v>19049.560000000001</v>
      </c>
      <c r="GD107" s="558">
        <f t="shared" si="184"/>
        <v>18795.98</v>
      </c>
      <c r="GE107" s="558">
        <f t="shared" si="184"/>
        <v>18540.38</v>
      </c>
      <c r="GF107" s="558">
        <f t="shared" si="182"/>
        <v>18277.21</v>
      </c>
      <c r="GG107" s="558">
        <f t="shared" si="182"/>
        <v>18007.98</v>
      </c>
      <c r="GH107" s="558">
        <f t="shared" si="182"/>
        <v>17731.16</v>
      </c>
      <c r="GI107" s="558">
        <f t="shared" si="182"/>
        <v>17446.27</v>
      </c>
      <c r="GJ107" s="558">
        <f t="shared" si="182"/>
        <v>17152.79</v>
      </c>
      <c r="GK107" s="558">
        <f t="shared" si="182"/>
        <v>16848.189999999999</v>
      </c>
      <c r="GL107" s="558">
        <f t="shared" si="182"/>
        <v>16532.490000000002</v>
      </c>
      <c r="GM107" s="558">
        <f t="shared" si="182"/>
        <v>16205.16</v>
      </c>
      <c r="GN107" s="558">
        <f t="shared" si="182"/>
        <v>15864.7</v>
      </c>
      <c r="GO107" s="558">
        <f t="shared" si="182"/>
        <v>15513.64</v>
      </c>
      <c r="GP107" s="558">
        <f t="shared" si="182"/>
        <v>15150.45</v>
      </c>
      <c r="GQ107" s="558">
        <f t="shared" si="182"/>
        <v>14776.14</v>
      </c>
      <c r="GR107" s="558">
        <f t="shared" si="182"/>
        <v>14391.74</v>
      </c>
      <c r="GS107" s="558">
        <f t="shared" si="182"/>
        <v>13997.74</v>
      </c>
      <c r="GT107" s="558">
        <f t="shared" si="182"/>
        <v>13595.65</v>
      </c>
      <c r="GU107" s="558">
        <f t="shared" si="180"/>
        <v>13183.97</v>
      </c>
      <c r="GV107" s="558">
        <f t="shared" si="180"/>
        <v>12766.73</v>
      </c>
      <c r="GW107" s="558">
        <f t="shared" si="180"/>
        <v>12341.92</v>
      </c>
      <c r="GX107" s="558">
        <f t="shared" si="180"/>
        <v>11912.55</v>
      </c>
      <c r="GY107" s="558">
        <f t="shared" si="180"/>
        <v>11478.65</v>
      </c>
      <c r="GZ107" s="558">
        <f t="shared" si="180"/>
        <v>11039.69</v>
      </c>
      <c r="HA107" s="558">
        <f t="shared" si="180"/>
        <v>10597.19</v>
      </c>
      <c r="HB107" s="558">
        <f t="shared" si="180"/>
        <v>10148.129999999999</v>
      </c>
      <c r="HC107" s="558">
        <f t="shared" si="180"/>
        <v>9689.4699999999993</v>
      </c>
      <c r="HD107" s="558">
        <f t="shared" si="180"/>
        <v>9224.24</v>
      </c>
      <c r="HE107" s="558">
        <f t="shared" si="180"/>
        <v>8754.4699999999993</v>
      </c>
      <c r="HF107" s="558">
        <f t="shared" si="180"/>
        <v>8278.64</v>
      </c>
      <c r="HG107" s="558">
        <f t="shared" si="180"/>
        <v>7799.27</v>
      </c>
      <c r="HH107" s="558">
        <f t="shared" si="180"/>
        <v>7314.85</v>
      </c>
      <c r="HI107" s="558">
        <f t="shared" si="180"/>
        <v>6834.97</v>
      </c>
      <c r="HJ107" s="558">
        <f t="shared" si="180"/>
        <v>6351.06</v>
      </c>
      <c r="HK107" s="558">
        <f t="shared" si="178"/>
        <v>5870.17</v>
      </c>
      <c r="HL107" s="558">
        <f t="shared" si="178"/>
        <v>5392.82</v>
      </c>
      <c r="HM107" s="558">
        <f t="shared" si="178"/>
        <v>4917.49</v>
      </c>
      <c r="HN107" s="558">
        <f t="shared" si="178"/>
        <v>4526.0200000000004</v>
      </c>
      <c r="HO107" s="558">
        <f t="shared" si="178"/>
        <v>4146.66</v>
      </c>
      <c r="HP107" s="558">
        <f t="shared" si="178"/>
        <v>3783.47</v>
      </c>
      <c r="HQ107" s="558">
        <f t="shared" si="178"/>
        <v>3439.48</v>
      </c>
      <c r="HR107" s="558">
        <f t="shared" si="178"/>
        <v>3024.26</v>
      </c>
      <c r="HS107" s="558">
        <f t="shared" si="178"/>
        <v>2625.21</v>
      </c>
      <c r="HT107" s="558">
        <f t="shared" si="178"/>
        <v>2244.84</v>
      </c>
      <c r="HU107" s="558">
        <f t="shared" si="178"/>
        <v>1895.29</v>
      </c>
      <c r="HV107" s="558">
        <f t="shared" si="178"/>
        <v>1573.52</v>
      </c>
      <c r="HW107" s="558">
        <f t="shared" si="178"/>
        <v>1281.05</v>
      </c>
      <c r="HX107" s="558">
        <f t="shared" si="178"/>
        <v>1024.95</v>
      </c>
      <c r="HY107" s="558">
        <f t="shared" si="178"/>
        <v>799.66</v>
      </c>
      <c r="HZ107" s="558">
        <f t="shared" si="178"/>
        <v>616.29999999999995</v>
      </c>
      <c r="IA107" s="558">
        <f t="shared" si="178"/>
        <v>468.8</v>
      </c>
      <c r="IB107" s="558">
        <f t="shared" si="181"/>
        <v>358.68</v>
      </c>
      <c r="IC107" s="558">
        <f t="shared" si="181"/>
        <v>285.44</v>
      </c>
      <c r="ID107" s="558">
        <f t="shared" si="181"/>
        <v>236.94</v>
      </c>
      <c r="IE107" s="558">
        <f t="shared" si="181"/>
        <v>203.1</v>
      </c>
      <c r="IF107" s="558">
        <f t="shared" si="181"/>
        <v>202.09</v>
      </c>
      <c r="IG107" s="558">
        <f t="shared" si="181"/>
        <v>200.07</v>
      </c>
      <c r="IH107" s="558">
        <f t="shared" si="181"/>
        <v>198.05</v>
      </c>
      <c r="II107" s="558">
        <f t="shared" si="181"/>
        <v>195.02</v>
      </c>
      <c r="IJ107" s="558">
        <f t="shared" si="181"/>
        <v>190.98</v>
      </c>
      <c r="IK107" s="558">
        <f t="shared" si="181"/>
        <v>185.42</v>
      </c>
      <c r="IL107" s="558">
        <f t="shared" si="181"/>
        <v>177.84</v>
      </c>
      <c r="IM107" s="558">
        <f t="shared" si="181"/>
        <v>167.24</v>
      </c>
      <c r="IN107" s="558">
        <f t="shared" si="181"/>
        <v>153.09</v>
      </c>
      <c r="IO107" s="558">
        <f t="shared" si="177"/>
        <v>132.38</v>
      </c>
      <c r="IP107" s="558">
        <f t="shared" si="177"/>
        <v>130.87</v>
      </c>
      <c r="IQ107" s="558">
        <f t="shared" si="177"/>
        <v>129.35</v>
      </c>
      <c r="IR107" s="558">
        <f t="shared" si="177"/>
        <v>126.32</v>
      </c>
      <c r="IS107" s="558">
        <f t="shared" si="177"/>
        <v>123.29</v>
      </c>
      <c r="IT107" s="558">
        <f t="shared" si="177"/>
        <v>118.24</v>
      </c>
      <c r="IU107" s="558">
        <f t="shared" si="177"/>
        <v>110.16</v>
      </c>
      <c r="IV107" s="558">
        <f t="shared" si="177"/>
        <v>98.54</v>
      </c>
      <c r="IW107" s="558">
        <f t="shared" si="177"/>
        <v>79.849999999999994</v>
      </c>
      <c r="IX107" s="558">
        <f t="shared" si="177"/>
        <v>50.55</v>
      </c>
      <c r="IY107" s="558">
        <f t="shared" si="177"/>
        <v>0.04</v>
      </c>
      <c r="IZ107" s="558" t="str">
        <f t="shared" si="177"/>
        <v>.</v>
      </c>
      <c r="JA107" s="558" t="str">
        <f t="shared" si="177"/>
        <v>.</v>
      </c>
      <c r="JB107" s="558" t="str">
        <f t="shared" si="177"/>
        <v>.</v>
      </c>
      <c r="JC107" s="558" t="str">
        <f t="shared" si="177"/>
        <v>.</v>
      </c>
      <c r="JD107" s="558" t="str">
        <f t="shared" si="177"/>
        <v>.</v>
      </c>
      <c r="JE107" s="558" t="str">
        <f t="shared" si="177"/>
        <v>.</v>
      </c>
      <c r="JF107" s="558" t="str">
        <f t="shared" si="177"/>
        <v>.</v>
      </c>
      <c r="JG107" s="558" t="str">
        <f t="shared" si="177"/>
        <v>.</v>
      </c>
      <c r="JH107" s="558" t="str">
        <f t="shared" si="188"/>
        <v>.</v>
      </c>
      <c r="JI107" s="558" t="str">
        <f t="shared" si="188"/>
        <v>.</v>
      </c>
      <c r="JJ107" s="558" t="str">
        <f t="shared" si="188"/>
        <v>.</v>
      </c>
      <c r="JK107" s="558" t="str">
        <f t="shared" si="188"/>
        <v>.</v>
      </c>
      <c r="JL107" s="558" t="str">
        <f t="shared" si="188"/>
        <v>.</v>
      </c>
    </row>
    <row r="108" spans="1:272" ht="10.199999999999999" x14ac:dyDescent="0.2">
      <c r="A108" s="534">
        <f xml:space="preserve"> Basis!A108</f>
        <v>108</v>
      </c>
      <c r="F108" s="536">
        <f xml:space="preserve"> ROUND(    IF( $A$15=BE_MF_,   AW108,   INDEX( qx!108:108, F$16 ) ),    F$17    )</f>
        <v>0.31090000000000001</v>
      </c>
      <c r="G108" s="536">
        <f xml:space="preserve"> ROUND(    IF( $A$15=BE_MF_,   BB108,   INDEX( wx!108:108, G$16 ) ),    G$17    )</f>
        <v>1.4E-3</v>
      </c>
      <c r="H108" s="537">
        <f xml:space="preserve"> ROUND(    IF( $A$15=BE_MF_,   BG108,   INDEX( Kx!108:108, H$16 ) ),    H$17    )</f>
        <v>11524.39</v>
      </c>
      <c r="I108" s="538">
        <f t="shared" si="167"/>
        <v>11524.39</v>
      </c>
      <c r="J108" s="539">
        <f t="shared" si="135"/>
        <v>5.5460000000000003</v>
      </c>
      <c r="K108" s="540">
        <f t="shared" si="168"/>
        <v>0</v>
      </c>
      <c r="L108" s="541">
        <f t="shared" si="187"/>
        <v>0</v>
      </c>
      <c r="M108" s="541">
        <f t="shared" si="187"/>
        <v>8.5999999999999993E-2</v>
      </c>
      <c r="O108" s="542" t="b">
        <f t="shared" si="169"/>
        <v>1</v>
      </c>
      <c r="P108" s="493">
        <f t="shared" si="136"/>
        <v>0.31230000000000002</v>
      </c>
      <c r="Q108" s="493">
        <f t="shared" si="137"/>
        <v>0.68769999999999998</v>
      </c>
      <c r="R108" s="543">
        <f t="shared" si="138"/>
        <v>1721</v>
      </c>
      <c r="S108" s="544">
        <f t="shared" si="139"/>
        <v>0.97560975599999999</v>
      </c>
      <c r="T108" s="423">
        <f t="shared" si="140"/>
        <v>119.56</v>
      </c>
      <c r="U108" s="423">
        <f xml:space="preserve"> IF( $O108,    ROUND(  SUM( T108:T$120), U$17 ),  LEER  )</f>
        <v>253.04</v>
      </c>
      <c r="V108" s="493">
        <f t="shared" si="141"/>
        <v>2.1164000000000001</v>
      </c>
      <c r="W108" s="493">
        <f t="shared" si="142"/>
        <v>663.08</v>
      </c>
      <c r="X108" s="493">
        <f xml:space="preserve"> IF( $O108,    ROUND(  SUM( W108:W$120), X$17 ),  LEER  )</f>
        <v>1406.53</v>
      </c>
      <c r="Y108" s="493">
        <f t="shared" si="143"/>
        <v>11.764200000000001</v>
      </c>
      <c r="Z108" s="493">
        <f t="shared" si="144"/>
        <v>5.5586000000000002</v>
      </c>
      <c r="AA108" s="493">
        <f t="shared" si="145"/>
        <v>1</v>
      </c>
      <c r="AB108" s="493">
        <f t="shared" si="146"/>
        <v>2.3494000000000002</v>
      </c>
      <c r="AC108" s="545">
        <f t="shared" si="147"/>
        <v>0.32679999999999998</v>
      </c>
      <c r="AD108" s="493">
        <f t="shared" si="148"/>
        <v>5.5586000000000002</v>
      </c>
      <c r="AE108" s="493">
        <f t="shared" si="149"/>
        <v>6.4391999999999996</v>
      </c>
      <c r="AF108" s="493">
        <f t="shared" si="150"/>
        <v>6.4391999999999996</v>
      </c>
      <c r="AG108" s="493" t="str">
        <f t="shared" si="151"/>
        <v>.</v>
      </c>
      <c r="AH108" s="493" t="str">
        <f t="shared" si="152"/>
        <v>.</v>
      </c>
      <c r="AI108" s="423">
        <f t="shared" si="153"/>
        <v>2077.79</v>
      </c>
      <c r="AJ108" s="423">
        <f t="shared" si="154"/>
        <v>13379.31</v>
      </c>
      <c r="AK108" s="423">
        <f t="shared" si="155"/>
        <v>1114.94</v>
      </c>
      <c r="AN108" s="423">
        <f t="shared" si="183"/>
        <v>16290.25</v>
      </c>
      <c r="AO108" s="423">
        <f t="shared" si="183"/>
        <v>16192.63</v>
      </c>
      <c r="AR108" s="546">
        <f xml:space="preserve"> ROUND(  INDEX( Kx!108:108, AR$16 ),  AR$17 )</f>
        <v>0.24679999999999999</v>
      </c>
      <c r="AS108" s="547">
        <f xml:space="preserve"> ROUND(  INDEX( qx!108:108, AS$16 ),  AS$17 )</f>
        <v>0.32490000000000002</v>
      </c>
      <c r="AT108" s="547">
        <f xml:space="preserve"> ROUND(  INDEX( qx!108:108, AT$16 ),  AT$17 )</f>
        <v>0.30790000000000001</v>
      </c>
      <c r="AU108" s="548" t="str">
        <f t="shared" si="156"/>
        <v>F</v>
      </c>
      <c r="AV108" s="542">
        <f t="shared" si="157"/>
        <v>0.17929999999999999</v>
      </c>
      <c r="AW108" s="542">
        <f t="shared" si="158"/>
        <v>0.31090000000000001</v>
      </c>
      <c r="AX108" s="546">
        <f xml:space="preserve"> ROUND(  INDEX( wx!108:108, AX$16 ),  AX$17 )</f>
        <v>0</v>
      </c>
      <c r="AY108" s="546">
        <f xml:space="preserve"> ROUND(  INDEX( wx!108:108, AY$16 ),  AY$17 )</f>
        <v>2.0999999999999999E-3</v>
      </c>
      <c r="AZ108" s="548" t="str">
        <f t="shared" si="159"/>
        <v>M</v>
      </c>
      <c r="BA108" s="542">
        <f t="shared" si="160"/>
        <v>0.32950000000000002</v>
      </c>
      <c r="BB108" s="542">
        <f t="shared" si="161"/>
        <v>1.4E-3</v>
      </c>
      <c r="BC108" s="533">
        <f xml:space="preserve"> ROUND(  INDEX( Kx!108:108, BC$16 ),  BC$17 )</f>
        <v>13893.14</v>
      </c>
      <c r="BD108" s="533">
        <f xml:space="preserve"> ROUND(  INDEX( Kx!108:108, BD$16 ),  BD$17 )</f>
        <v>10360.33</v>
      </c>
      <c r="BE108" s="548" t="str">
        <f t="shared" si="170"/>
        <v>M</v>
      </c>
      <c r="BF108" s="542">
        <f t="shared" si="162"/>
        <v>0.32950000000000002</v>
      </c>
      <c r="BG108" s="420">
        <f t="shared" si="163"/>
        <v>11524.39</v>
      </c>
      <c r="BQ108" s="549"/>
      <c r="BR108" s="423"/>
      <c r="BS108" s="550"/>
      <c r="BT108" s="423"/>
      <c r="BU108" s="551"/>
      <c r="BV108" s="551"/>
      <c r="BW108" s="529"/>
      <c r="BX108" s="552"/>
      <c r="BY108" s="560"/>
      <c r="BZ108" s="559"/>
      <c r="CB108" s="423"/>
      <c r="CC108" s="423"/>
      <c r="CD108" s="423"/>
      <c r="CE108" s="423"/>
      <c r="CF108" s="553"/>
      <c r="CH108" s="423"/>
      <c r="CI108" s="423"/>
      <c r="CJ108" s="423"/>
      <c r="CK108" s="423"/>
      <c r="CL108" s="553"/>
      <c r="CN108" s="423"/>
      <c r="CO108" s="423"/>
      <c r="CP108" s="423"/>
      <c r="CQ108" s="423"/>
      <c r="CR108" s="553"/>
      <c r="EI108" s="553"/>
      <c r="EJ108" s="553"/>
      <c r="EK108" s="423"/>
      <c r="EL108" s="555"/>
      <c r="ES108" s="533"/>
      <c r="ET108" s="533"/>
      <c r="EU108" s="533"/>
      <c r="EV108" s="556"/>
      <c r="EY108" s="533"/>
      <c r="EZ108" s="533"/>
      <c r="FA108" s="556"/>
      <c r="FD108" s="556"/>
      <c r="FE108" s="556"/>
      <c r="FF108" s="556"/>
      <c r="FK108" s="557">
        <f t="shared" si="164"/>
        <v>108</v>
      </c>
      <c r="FL108" s="493">
        <f t="shared" si="171"/>
        <v>11.764200000000001</v>
      </c>
      <c r="FM108" s="493">
        <f t="shared" si="172"/>
        <v>2.1164000000000001</v>
      </c>
      <c r="FO108" s="427">
        <f t="shared" si="173"/>
        <v>679932.79000000027</v>
      </c>
      <c r="FP108" s="558">
        <f t="shared" si="184"/>
        <v>19164.86</v>
      </c>
      <c r="FQ108" s="558">
        <f t="shared" si="184"/>
        <v>18986.759999999998</v>
      </c>
      <c r="FR108" s="558">
        <f t="shared" si="184"/>
        <v>18808.22</v>
      </c>
      <c r="FS108" s="558">
        <f t="shared" si="184"/>
        <v>18629.689999999999</v>
      </c>
      <c r="FT108" s="558">
        <f t="shared" si="184"/>
        <v>18445</v>
      </c>
      <c r="FU108" s="558">
        <f t="shared" si="184"/>
        <v>18255.03</v>
      </c>
      <c r="FV108" s="558">
        <f t="shared" si="184"/>
        <v>18066.82</v>
      </c>
      <c r="FW108" s="558">
        <f t="shared" si="184"/>
        <v>17877.29</v>
      </c>
      <c r="FX108" s="558">
        <f t="shared" si="184"/>
        <v>17681.16</v>
      </c>
      <c r="FY108" s="558">
        <f t="shared" si="184"/>
        <v>17477.12</v>
      </c>
      <c r="FZ108" s="558">
        <f t="shared" si="184"/>
        <v>17271.759999999998</v>
      </c>
      <c r="GA108" s="558">
        <f t="shared" si="184"/>
        <v>17063.32</v>
      </c>
      <c r="GB108" s="558">
        <f t="shared" si="184"/>
        <v>16850.05</v>
      </c>
      <c r="GC108" s="558">
        <f t="shared" si="184"/>
        <v>16635.89</v>
      </c>
      <c r="GD108" s="558">
        <f t="shared" si="184"/>
        <v>16415.14</v>
      </c>
      <c r="GE108" s="558">
        <f t="shared" si="184"/>
        <v>16192.63</v>
      </c>
      <c r="GF108" s="558">
        <f t="shared" si="182"/>
        <v>15963.52</v>
      </c>
      <c r="GG108" s="558">
        <f t="shared" si="182"/>
        <v>15729.14</v>
      </c>
      <c r="GH108" s="558">
        <f t="shared" si="182"/>
        <v>15488.16</v>
      </c>
      <c r="GI108" s="558">
        <f t="shared" si="182"/>
        <v>15240.15</v>
      </c>
      <c r="GJ108" s="558">
        <f t="shared" si="182"/>
        <v>14984.65</v>
      </c>
      <c r="GK108" s="558">
        <f t="shared" si="182"/>
        <v>14719.49</v>
      </c>
      <c r="GL108" s="558">
        <f t="shared" si="182"/>
        <v>14444.65</v>
      </c>
      <c r="GM108" s="558">
        <f t="shared" si="182"/>
        <v>14159.7</v>
      </c>
      <c r="GN108" s="558">
        <f t="shared" si="182"/>
        <v>13863.31</v>
      </c>
      <c r="GO108" s="558">
        <f t="shared" si="182"/>
        <v>13557.69</v>
      </c>
      <c r="GP108" s="558">
        <f t="shared" si="182"/>
        <v>13241.51</v>
      </c>
      <c r="GQ108" s="558">
        <f t="shared" si="182"/>
        <v>12915.66</v>
      </c>
      <c r="GR108" s="558">
        <f t="shared" si="182"/>
        <v>12581.02</v>
      </c>
      <c r="GS108" s="558">
        <f t="shared" si="182"/>
        <v>12238.02</v>
      </c>
      <c r="GT108" s="558">
        <f t="shared" si="182"/>
        <v>11887.98</v>
      </c>
      <c r="GU108" s="558">
        <f t="shared" si="180"/>
        <v>11529.59</v>
      </c>
      <c r="GV108" s="558">
        <f t="shared" si="180"/>
        <v>11166.36</v>
      </c>
      <c r="GW108" s="558">
        <f t="shared" si="180"/>
        <v>10796.54</v>
      </c>
      <c r="GX108" s="558">
        <f t="shared" si="180"/>
        <v>10422.76</v>
      </c>
      <c r="GY108" s="558">
        <f t="shared" si="180"/>
        <v>10045.02</v>
      </c>
      <c r="GZ108" s="558">
        <f t="shared" si="180"/>
        <v>9662.8799999999992</v>
      </c>
      <c r="HA108" s="558">
        <f t="shared" si="180"/>
        <v>9277.66</v>
      </c>
      <c r="HB108" s="558">
        <f t="shared" si="180"/>
        <v>8886.73</v>
      </c>
      <c r="HC108" s="558">
        <f t="shared" si="180"/>
        <v>8487.4500000000007</v>
      </c>
      <c r="HD108" s="558">
        <f t="shared" si="180"/>
        <v>8082.44</v>
      </c>
      <c r="HE108" s="558">
        <f t="shared" si="180"/>
        <v>7673.48</v>
      </c>
      <c r="HF108" s="558">
        <f t="shared" si="180"/>
        <v>7259.24</v>
      </c>
      <c r="HG108" s="558">
        <f t="shared" si="180"/>
        <v>6841.93</v>
      </c>
      <c r="HH108" s="558">
        <f t="shared" si="180"/>
        <v>6420.21</v>
      </c>
      <c r="HI108" s="558">
        <f t="shared" si="180"/>
        <v>6002.45</v>
      </c>
      <c r="HJ108" s="558">
        <f t="shared" si="180"/>
        <v>5581.18</v>
      </c>
      <c r="HK108" s="558">
        <f t="shared" si="178"/>
        <v>5162.54</v>
      </c>
      <c r="HL108" s="558">
        <f t="shared" si="178"/>
        <v>4746.99</v>
      </c>
      <c r="HM108" s="558">
        <f t="shared" si="178"/>
        <v>4333.1899999999996</v>
      </c>
      <c r="HN108" s="558">
        <f t="shared" si="178"/>
        <v>3992.39</v>
      </c>
      <c r="HO108" s="558">
        <f t="shared" si="178"/>
        <v>3662.14</v>
      </c>
      <c r="HP108" s="558">
        <f t="shared" si="178"/>
        <v>3345.96</v>
      </c>
      <c r="HQ108" s="558">
        <f t="shared" si="178"/>
        <v>3046.5</v>
      </c>
      <c r="HR108" s="558">
        <f t="shared" si="178"/>
        <v>2685.03</v>
      </c>
      <c r="HS108" s="558">
        <f t="shared" si="178"/>
        <v>2337.63</v>
      </c>
      <c r="HT108" s="558">
        <f t="shared" si="178"/>
        <v>2006.51</v>
      </c>
      <c r="HU108" s="558">
        <f t="shared" si="178"/>
        <v>1702.2</v>
      </c>
      <c r="HV108" s="558">
        <f t="shared" si="178"/>
        <v>1422.09</v>
      </c>
      <c r="HW108" s="558">
        <f t="shared" si="178"/>
        <v>1167.48</v>
      </c>
      <c r="HX108" s="558">
        <f t="shared" si="178"/>
        <v>944.53</v>
      </c>
      <c r="HY108" s="558">
        <f t="shared" si="178"/>
        <v>748.4</v>
      </c>
      <c r="HZ108" s="558">
        <f t="shared" si="178"/>
        <v>588.77</v>
      </c>
      <c r="IA108" s="558">
        <f t="shared" si="178"/>
        <v>460.37</v>
      </c>
      <c r="IB108" s="558">
        <f t="shared" si="181"/>
        <v>364.5</v>
      </c>
      <c r="IC108" s="558">
        <f t="shared" si="181"/>
        <v>300.74</v>
      </c>
      <c r="ID108" s="558">
        <f t="shared" si="181"/>
        <v>258.52999999999997</v>
      </c>
      <c r="IE108" s="558">
        <f t="shared" si="181"/>
        <v>229.06</v>
      </c>
      <c r="IF108" s="558">
        <f t="shared" si="181"/>
        <v>228.18</v>
      </c>
      <c r="IG108" s="558">
        <f t="shared" si="181"/>
        <v>226.42</v>
      </c>
      <c r="IH108" s="558">
        <f t="shared" si="181"/>
        <v>224.67</v>
      </c>
      <c r="II108" s="558">
        <f t="shared" si="181"/>
        <v>222.03</v>
      </c>
      <c r="IJ108" s="558">
        <f t="shared" si="181"/>
        <v>218.51</v>
      </c>
      <c r="IK108" s="558">
        <f t="shared" si="181"/>
        <v>213.67</v>
      </c>
      <c r="IL108" s="558">
        <f t="shared" si="181"/>
        <v>207.08</v>
      </c>
      <c r="IM108" s="558">
        <f t="shared" si="181"/>
        <v>197.84</v>
      </c>
      <c r="IN108" s="558">
        <f t="shared" si="181"/>
        <v>185.53</v>
      </c>
      <c r="IO108" s="558">
        <f t="shared" si="177"/>
        <v>167.5</v>
      </c>
      <c r="IP108" s="558">
        <f t="shared" si="177"/>
        <v>166.18</v>
      </c>
      <c r="IQ108" s="558">
        <f t="shared" si="177"/>
        <v>164.86</v>
      </c>
      <c r="IR108" s="558">
        <f t="shared" si="177"/>
        <v>162.22</v>
      </c>
      <c r="IS108" s="558">
        <f t="shared" si="177"/>
        <v>159.58000000000001</v>
      </c>
      <c r="IT108" s="558">
        <f t="shared" si="177"/>
        <v>155.19</v>
      </c>
      <c r="IU108" s="558">
        <f t="shared" si="177"/>
        <v>148.15</v>
      </c>
      <c r="IV108" s="558">
        <f t="shared" si="177"/>
        <v>138.04</v>
      </c>
      <c r="IW108" s="558">
        <f t="shared" si="177"/>
        <v>121.77</v>
      </c>
      <c r="IX108" s="558">
        <f t="shared" si="177"/>
        <v>96.26</v>
      </c>
      <c r="IY108" s="558">
        <f t="shared" si="177"/>
        <v>52.29</v>
      </c>
      <c r="IZ108" s="558">
        <f t="shared" si="177"/>
        <v>-0.04</v>
      </c>
      <c r="JA108" s="558" t="str">
        <f t="shared" si="177"/>
        <v>.</v>
      </c>
      <c r="JB108" s="558" t="str">
        <f t="shared" ref="JB108:JG108" si="189" xml:space="preserve"> IF(  OR( JB$18&gt;$FK108, $FK108&gt;$FP$12 ),  LEER,  ROUND( $FO$19 * ( $FL108 - JB$15 * $FM108 ), JB$17 )  )</f>
        <v>.</v>
      </c>
      <c r="JC108" s="558" t="str">
        <f t="shared" si="189"/>
        <v>.</v>
      </c>
      <c r="JD108" s="558" t="str">
        <f t="shared" si="189"/>
        <v>.</v>
      </c>
      <c r="JE108" s="558" t="str">
        <f t="shared" si="189"/>
        <v>.</v>
      </c>
      <c r="JF108" s="558" t="str">
        <f t="shared" si="189"/>
        <v>.</v>
      </c>
      <c r="JG108" s="558" t="str">
        <f t="shared" si="189"/>
        <v>.</v>
      </c>
      <c r="JH108" s="558" t="str">
        <f t="shared" si="188"/>
        <v>.</v>
      </c>
      <c r="JI108" s="558" t="str">
        <f t="shared" si="188"/>
        <v>.</v>
      </c>
      <c r="JJ108" s="558" t="str">
        <f t="shared" si="188"/>
        <v>.</v>
      </c>
      <c r="JK108" s="558" t="str">
        <f t="shared" si="188"/>
        <v>.</v>
      </c>
      <c r="JL108" s="558" t="str">
        <f t="shared" si="188"/>
        <v>.</v>
      </c>
    </row>
    <row r="109" spans="1:272" ht="10.199999999999999" x14ac:dyDescent="0.2">
      <c r="A109" s="534">
        <f xml:space="preserve"> Basis!A109</f>
        <v>109</v>
      </c>
      <c r="F109" s="536">
        <f xml:space="preserve"> ROUND(    IF( $A$15=BE_MF_,   AW109,   INDEX( qx!109:109, F$16 ) ),    F$17    )</f>
        <v>0.31680000000000003</v>
      </c>
      <c r="G109" s="536">
        <f xml:space="preserve"> ROUND(    IF( $A$15=BE_MF_,   BB109,   INDEX( wx!109:109, G$16 ) ),    G$17    )</f>
        <v>1.4E-3</v>
      </c>
      <c r="H109" s="537">
        <f xml:space="preserve"> ROUND(    IF( $A$15=BE_MF_,   BG109,   INDEX( Kx!109:109, H$16 ) ),    H$17    )</f>
        <v>11558.84</v>
      </c>
      <c r="I109" s="538">
        <f t="shared" si="167"/>
        <v>11558.84</v>
      </c>
      <c r="J109" s="539">
        <f t="shared" si="135"/>
        <v>5.5629999999999997</v>
      </c>
      <c r="K109" s="540">
        <f t="shared" si="168"/>
        <v>0</v>
      </c>
      <c r="L109" s="541">
        <f t="shared" si="187"/>
        <v>0</v>
      </c>
      <c r="M109" s="541">
        <f t="shared" si="187"/>
        <v>8.5999999999999993E-2</v>
      </c>
      <c r="O109" s="542" t="b">
        <f t="shared" si="169"/>
        <v>1</v>
      </c>
      <c r="P109" s="493">
        <f t="shared" si="136"/>
        <v>0.31819999999999998</v>
      </c>
      <c r="Q109" s="493">
        <f t="shared" si="137"/>
        <v>0.68179999999999996</v>
      </c>
      <c r="R109" s="543">
        <f t="shared" si="138"/>
        <v>1183</v>
      </c>
      <c r="S109" s="544">
        <f t="shared" si="139"/>
        <v>0.97560975599999999</v>
      </c>
      <c r="T109" s="423">
        <f t="shared" si="140"/>
        <v>80.180000000000007</v>
      </c>
      <c r="U109" s="423">
        <f xml:space="preserve"> IF( $O109,    ROUND(  SUM( T109:T$120), U$17 ),  LEER  )</f>
        <v>133.47999999999999</v>
      </c>
      <c r="V109" s="493">
        <f t="shared" si="141"/>
        <v>1.6648000000000001</v>
      </c>
      <c r="W109" s="493">
        <f t="shared" si="142"/>
        <v>446.04</v>
      </c>
      <c r="X109" s="493">
        <f xml:space="preserve"> IF( $O109,    ROUND(  SUM( W109:W$120), X$17 ),  LEER  )</f>
        <v>743.45</v>
      </c>
      <c r="Y109" s="493">
        <f t="shared" si="143"/>
        <v>9.2722999999999995</v>
      </c>
      <c r="Z109" s="493">
        <f t="shared" si="144"/>
        <v>5.5696000000000003</v>
      </c>
      <c r="AA109" s="493">
        <f t="shared" si="145"/>
        <v>1</v>
      </c>
      <c r="AB109" s="493">
        <f t="shared" si="146"/>
        <v>2.3494000000000002</v>
      </c>
      <c r="AC109" s="545">
        <f t="shared" si="147"/>
        <v>0.32679999999999998</v>
      </c>
      <c r="AD109" s="493">
        <f t="shared" si="148"/>
        <v>5.5696000000000003</v>
      </c>
      <c r="AE109" s="493">
        <f t="shared" si="149"/>
        <v>6.4512</v>
      </c>
      <c r="AF109" s="493">
        <f t="shared" si="150"/>
        <v>6.4512</v>
      </c>
      <c r="AG109" s="493" t="str">
        <f t="shared" si="151"/>
        <v>.</v>
      </c>
      <c r="AH109" s="493" t="str">
        <f t="shared" si="152"/>
        <v>.</v>
      </c>
      <c r="AI109" s="423">
        <f t="shared" si="153"/>
        <v>2077.79</v>
      </c>
      <c r="AJ109" s="423">
        <f t="shared" si="154"/>
        <v>13404.24</v>
      </c>
      <c r="AK109" s="423">
        <f t="shared" si="155"/>
        <v>1117.02</v>
      </c>
      <c r="AN109" s="423">
        <f t="shared" si="183"/>
        <v>12852.37</v>
      </c>
      <c r="AO109" s="423">
        <f t="shared" si="183"/>
        <v>12775.57</v>
      </c>
      <c r="AR109" s="546">
        <f xml:space="preserve"> ROUND(  INDEX( Kx!109:109, AR$16 ),  AR$17 )</f>
        <v>0.24679999999999999</v>
      </c>
      <c r="AS109" s="547">
        <f xml:space="preserve"> ROUND(  INDEX( qx!109:109, AS$16 ),  AS$17 )</f>
        <v>0.33150000000000002</v>
      </c>
      <c r="AT109" s="547">
        <f xml:space="preserve"> ROUND(  INDEX( qx!109:109, AT$16 ),  AT$17 )</f>
        <v>0.31359999999999999</v>
      </c>
      <c r="AU109" s="548" t="str">
        <f t="shared" si="156"/>
        <v>F</v>
      </c>
      <c r="AV109" s="542">
        <f t="shared" si="157"/>
        <v>0.17929999999999999</v>
      </c>
      <c r="AW109" s="542">
        <f t="shared" si="158"/>
        <v>0.31680000000000003</v>
      </c>
      <c r="AX109" s="546">
        <f xml:space="preserve"> ROUND(  INDEX( wx!109:109, AX$16 ),  AX$17 )</f>
        <v>0</v>
      </c>
      <c r="AY109" s="546">
        <f xml:space="preserve"> ROUND(  INDEX( wx!109:109, AY$16 ),  AY$17 )</f>
        <v>2.0999999999999999E-3</v>
      </c>
      <c r="AZ109" s="548" t="str">
        <f t="shared" si="159"/>
        <v>M</v>
      </c>
      <c r="BA109" s="542">
        <f t="shared" si="160"/>
        <v>0.32950000000000002</v>
      </c>
      <c r="BB109" s="542">
        <f t="shared" si="161"/>
        <v>1.4E-3</v>
      </c>
      <c r="BC109" s="533">
        <f xml:space="preserve"> ROUND(  INDEX( Kx!109:109, BC$16 ),  BC$17 )</f>
        <v>13971.83</v>
      </c>
      <c r="BD109" s="533">
        <f xml:space="preserve"> ROUND(  INDEX( Kx!109:109, BD$16 ),  BD$17 )</f>
        <v>10373.040000000001</v>
      </c>
      <c r="BE109" s="548" t="str">
        <f t="shared" si="170"/>
        <v>M</v>
      </c>
      <c r="BF109" s="542">
        <f t="shared" si="162"/>
        <v>0.32950000000000002</v>
      </c>
      <c r="BG109" s="420">
        <f t="shared" si="163"/>
        <v>11558.84</v>
      </c>
      <c r="BQ109" s="549"/>
      <c r="BR109" s="423"/>
      <c r="BS109" s="550"/>
      <c r="BT109" s="423"/>
      <c r="BU109" s="551"/>
      <c r="BV109" s="551"/>
      <c r="BW109" s="529"/>
      <c r="BX109" s="552"/>
      <c r="BY109" s="560"/>
      <c r="BZ109" s="559"/>
      <c r="CB109" s="423"/>
      <c r="CC109" s="423"/>
      <c r="CD109" s="423"/>
      <c r="CE109" s="423"/>
      <c r="CF109" s="553"/>
      <c r="CH109" s="423"/>
      <c r="CI109" s="423"/>
      <c r="CJ109" s="423"/>
      <c r="CK109" s="423"/>
      <c r="CL109" s="553"/>
      <c r="CN109" s="423"/>
      <c r="CO109" s="423"/>
      <c r="CP109" s="423"/>
      <c r="CQ109" s="423"/>
      <c r="CR109" s="553"/>
      <c r="EI109" s="553"/>
      <c r="EJ109" s="553"/>
      <c r="EK109" s="423"/>
      <c r="EL109" s="555"/>
      <c r="ES109" s="533"/>
      <c r="ET109" s="533"/>
      <c r="EU109" s="533"/>
      <c r="EV109" s="556"/>
      <c r="EY109" s="533"/>
      <c r="EZ109" s="533"/>
      <c r="FA109" s="556"/>
      <c r="FD109" s="556"/>
      <c r="FE109" s="556"/>
      <c r="FF109" s="556"/>
      <c r="FK109" s="557">
        <f t="shared" si="164"/>
        <v>109</v>
      </c>
      <c r="FL109" s="493">
        <f t="shared" si="171"/>
        <v>9.2722999999999995</v>
      </c>
      <c r="FM109" s="493">
        <f t="shared" si="172"/>
        <v>1.6648000000000001</v>
      </c>
      <c r="FO109" s="427">
        <f t="shared" si="173"/>
        <v>538243.00000000023</v>
      </c>
      <c r="FP109" s="558">
        <f t="shared" si="184"/>
        <v>15113.58</v>
      </c>
      <c r="FQ109" s="558">
        <f t="shared" si="184"/>
        <v>14973.49</v>
      </c>
      <c r="FR109" s="558">
        <f t="shared" si="184"/>
        <v>14833.05</v>
      </c>
      <c r="FS109" s="558">
        <f t="shared" si="184"/>
        <v>14692.61</v>
      </c>
      <c r="FT109" s="558">
        <f t="shared" si="184"/>
        <v>14547.33</v>
      </c>
      <c r="FU109" s="558">
        <f t="shared" si="184"/>
        <v>14397.89</v>
      </c>
      <c r="FV109" s="558">
        <f t="shared" si="184"/>
        <v>14249.84</v>
      </c>
      <c r="FW109" s="558">
        <f t="shared" si="184"/>
        <v>14100.76</v>
      </c>
      <c r="FX109" s="558">
        <f t="shared" si="184"/>
        <v>13946.48</v>
      </c>
      <c r="FY109" s="558">
        <f t="shared" si="184"/>
        <v>13785.98</v>
      </c>
      <c r="FZ109" s="558">
        <f t="shared" si="184"/>
        <v>13624.44</v>
      </c>
      <c r="GA109" s="558">
        <f t="shared" si="184"/>
        <v>13460.48</v>
      </c>
      <c r="GB109" s="558">
        <f t="shared" si="184"/>
        <v>13292.71</v>
      </c>
      <c r="GC109" s="558">
        <f t="shared" si="184"/>
        <v>13124.25</v>
      </c>
      <c r="GD109" s="558">
        <f t="shared" si="184"/>
        <v>12950.6</v>
      </c>
      <c r="GE109" s="558">
        <f t="shared" si="184"/>
        <v>12775.57</v>
      </c>
      <c r="GF109" s="558">
        <f t="shared" si="182"/>
        <v>12595.35</v>
      </c>
      <c r="GG109" s="558">
        <f t="shared" si="182"/>
        <v>12410.98</v>
      </c>
      <c r="GH109" s="558">
        <f t="shared" si="182"/>
        <v>12221.43</v>
      </c>
      <c r="GI109" s="558">
        <f t="shared" si="182"/>
        <v>12026.33</v>
      </c>
      <c r="GJ109" s="558">
        <f t="shared" si="182"/>
        <v>11825.36</v>
      </c>
      <c r="GK109" s="558">
        <f t="shared" si="182"/>
        <v>11616.77</v>
      </c>
      <c r="GL109" s="558">
        <f t="shared" si="182"/>
        <v>11400.58</v>
      </c>
      <c r="GM109" s="558">
        <f t="shared" si="182"/>
        <v>11176.43</v>
      </c>
      <c r="GN109" s="558">
        <f t="shared" si="182"/>
        <v>10943.29</v>
      </c>
      <c r="GO109" s="558">
        <f t="shared" si="182"/>
        <v>10702.88</v>
      </c>
      <c r="GP109" s="558">
        <f t="shared" si="182"/>
        <v>10454.17</v>
      </c>
      <c r="GQ109" s="558">
        <f t="shared" si="182"/>
        <v>10197.85</v>
      </c>
      <c r="GR109" s="558">
        <f t="shared" si="182"/>
        <v>9934.61</v>
      </c>
      <c r="GS109" s="558">
        <f t="shared" si="182"/>
        <v>9664.7999999999993</v>
      </c>
      <c r="GT109" s="558">
        <f t="shared" si="182"/>
        <v>9389.4599999999991</v>
      </c>
      <c r="GU109" s="558">
        <f t="shared" si="180"/>
        <v>9107.5400000000009</v>
      </c>
      <c r="GV109" s="558">
        <f t="shared" si="180"/>
        <v>8821.82</v>
      </c>
      <c r="GW109" s="558">
        <f t="shared" si="180"/>
        <v>8530.91</v>
      </c>
      <c r="GX109" s="558">
        <f t="shared" si="180"/>
        <v>8236.8799999999992</v>
      </c>
      <c r="GY109" s="558">
        <f t="shared" si="180"/>
        <v>7939.75</v>
      </c>
      <c r="GZ109" s="558">
        <f t="shared" si="180"/>
        <v>7639.15</v>
      </c>
      <c r="HA109" s="558">
        <f t="shared" si="180"/>
        <v>7336.13</v>
      </c>
      <c r="HB109" s="558">
        <f t="shared" si="180"/>
        <v>7028.62</v>
      </c>
      <c r="HC109" s="558">
        <f t="shared" si="180"/>
        <v>6714.53</v>
      </c>
      <c r="HD109" s="558">
        <f t="shared" si="180"/>
        <v>6395.95</v>
      </c>
      <c r="HE109" s="558">
        <f t="shared" si="180"/>
        <v>6074.25</v>
      </c>
      <c r="HF109" s="558">
        <f t="shared" si="180"/>
        <v>5748.4</v>
      </c>
      <c r="HG109" s="558">
        <f t="shared" si="180"/>
        <v>5420.13</v>
      </c>
      <c r="HH109" s="558">
        <f t="shared" si="180"/>
        <v>5088.41</v>
      </c>
      <c r="HI109" s="558">
        <f t="shared" si="180"/>
        <v>4759.79</v>
      </c>
      <c r="HJ109" s="558">
        <f t="shared" si="180"/>
        <v>4428.41</v>
      </c>
      <c r="HK109" s="558">
        <f t="shared" si="178"/>
        <v>4099.1000000000004</v>
      </c>
      <c r="HL109" s="558">
        <f t="shared" si="178"/>
        <v>3772.22</v>
      </c>
      <c r="HM109" s="558">
        <f t="shared" si="178"/>
        <v>3446.71</v>
      </c>
      <c r="HN109" s="558">
        <f t="shared" si="178"/>
        <v>3178.63</v>
      </c>
      <c r="HO109" s="558">
        <f t="shared" si="178"/>
        <v>2918.85</v>
      </c>
      <c r="HP109" s="558">
        <f t="shared" si="178"/>
        <v>2670.15</v>
      </c>
      <c r="HQ109" s="558">
        <f t="shared" si="178"/>
        <v>2434.58</v>
      </c>
      <c r="HR109" s="558">
        <f t="shared" si="178"/>
        <v>2150.2399999999998</v>
      </c>
      <c r="HS109" s="558">
        <f t="shared" si="178"/>
        <v>1876.97</v>
      </c>
      <c r="HT109" s="558">
        <f t="shared" si="178"/>
        <v>1616.5</v>
      </c>
      <c r="HU109" s="558">
        <f t="shared" si="178"/>
        <v>1377.13</v>
      </c>
      <c r="HV109" s="558">
        <f t="shared" si="178"/>
        <v>1156.79</v>
      </c>
      <c r="HW109" s="558">
        <f t="shared" si="178"/>
        <v>956.5</v>
      </c>
      <c r="HX109" s="558">
        <f t="shared" si="178"/>
        <v>781.13</v>
      </c>
      <c r="HY109" s="558">
        <f t="shared" si="178"/>
        <v>626.85</v>
      </c>
      <c r="HZ109" s="558">
        <f t="shared" si="178"/>
        <v>501.29</v>
      </c>
      <c r="IA109" s="558">
        <f t="shared" si="178"/>
        <v>400.28</v>
      </c>
      <c r="IB109" s="558">
        <f t="shared" si="181"/>
        <v>324.87</v>
      </c>
      <c r="IC109" s="558">
        <f t="shared" si="181"/>
        <v>274.72000000000003</v>
      </c>
      <c r="ID109" s="558">
        <f t="shared" si="181"/>
        <v>241.51</v>
      </c>
      <c r="IE109" s="558">
        <f t="shared" si="181"/>
        <v>218.33</v>
      </c>
      <c r="IF109" s="558">
        <f t="shared" si="181"/>
        <v>217.64</v>
      </c>
      <c r="IG109" s="558">
        <f t="shared" si="181"/>
        <v>216.26</v>
      </c>
      <c r="IH109" s="558">
        <f t="shared" si="181"/>
        <v>214.87</v>
      </c>
      <c r="II109" s="558">
        <f t="shared" si="181"/>
        <v>212.8</v>
      </c>
      <c r="IJ109" s="558">
        <f t="shared" si="181"/>
        <v>210.03</v>
      </c>
      <c r="IK109" s="558">
        <f t="shared" si="181"/>
        <v>206.22</v>
      </c>
      <c r="IL109" s="558">
        <f t="shared" si="181"/>
        <v>201.04</v>
      </c>
      <c r="IM109" s="558">
        <f t="shared" si="181"/>
        <v>193.77</v>
      </c>
      <c r="IN109" s="558">
        <f t="shared" si="181"/>
        <v>184.09</v>
      </c>
      <c r="IO109" s="558">
        <f t="shared" si="181"/>
        <v>169.9</v>
      </c>
      <c r="IP109" s="558">
        <f t="shared" si="181"/>
        <v>168.87</v>
      </c>
      <c r="IQ109" s="558">
        <f t="shared" si="181"/>
        <v>167.83</v>
      </c>
      <c r="IR109" s="558">
        <f t="shared" si="181"/>
        <v>165.75</v>
      </c>
      <c r="IS109" s="558">
        <f t="shared" si="181"/>
        <v>163.68</v>
      </c>
      <c r="IT109" s="558">
        <f t="shared" si="181"/>
        <v>160.22</v>
      </c>
      <c r="IU109" s="558">
        <f t="shared" si="181"/>
        <v>154.68</v>
      </c>
      <c r="IV109" s="558">
        <f t="shared" si="181"/>
        <v>146.72999999999999</v>
      </c>
      <c r="IW109" s="558">
        <f t="shared" ref="IW109:JL120" si="190" xml:space="preserve"> IF(  OR( IW$18&gt;$FK109, $FK109&gt;$FP$12 ),  LEER,  ROUND( $FO$19 * ( $FL109 - IW$15 * $FM109 ), IW$17 )  )</f>
        <v>133.93</v>
      </c>
      <c r="IX109" s="558">
        <f t="shared" si="190"/>
        <v>113.87</v>
      </c>
      <c r="IY109" s="558">
        <f t="shared" si="190"/>
        <v>79.28</v>
      </c>
      <c r="IZ109" s="558">
        <f t="shared" si="190"/>
        <v>38.11</v>
      </c>
      <c r="JA109" s="558">
        <f t="shared" si="190"/>
        <v>0.06</v>
      </c>
      <c r="JB109" s="558" t="str">
        <f t="shared" si="190"/>
        <v>.</v>
      </c>
      <c r="JC109" s="558" t="str">
        <f t="shared" si="190"/>
        <v>.</v>
      </c>
      <c r="JD109" s="558" t="str">
        <f t="shared" si="190"/>
        <v>.</v>
      </c>
      <c r="JE109" s="558" t="str">
        <f t="shared" si="190"/>
        <v>.</v>
      </c>
      <c r="JF109" s="558" t="str">
        <f t="shared" si="190"/>
        <v>.</v>
      </c>
      <c r="JG109" s="558" t="str">
        <f t="shared" si="190"/>
        <v>.</v>
      </c>
      <c r="JH109" s="558" t="str">
        <f t="shared" si="188"/>
        <v>.</v>
      </c>
      <c r="JI109" s="558" t="str">
        <f t="shared" si="188"/>
        <v>.</v>
      </c>
      <c r="JJ109" s="558" t="str">
        <f t="shared" si="188"/>
        <v>.</v>
      </c>
      <c r="JK109" s="558" t="str">
        <f t="shared" si="188"/>
        <v>.</v>
      </c>
      <c r="JL109" s="558" t="str">
        <f t="shared" si="188"/>
        <v>.</v>
      </c>
    </row>
    <row r="110" spans="1:272" ht="10.199999999999999" x14ac:dyDescent="0.2">
      <c r="A110" s="534">
        <f xml:space="preserve"> Basis!A110</f>
        <v>110</v>
      </c>
      <c r="F110" s="536">
        <f xml:space="preserve"> ROUND(    IF( $A$15=BE_MF_,   AW110,   INDEX( qx!110:110, F$16 ) ),    F$17    )</f>
        <v>0.32269999999999999</v>
      </c>
      <c r="G110" s="536">
        <f xml:space="preserve"> ROUND(    IF( $A$15=BE_MF_,   BB110,   INDEX( wx!110:110, G$16 ) ),    G$17    )</f>
        <v>1.4E-3</v>
      </c>
      <c r="H110" s="537">
        <f xml:space="preserve"> ROUND(    IF( $A$15=BE_MF_,   BG110,   INDEX( Kx!110:110, H$16 ) ),    H$17    )</f>
        <v>11593.3</v>
      </c>
      <c r="I110" s="538">
        <f t="shared" si="167"/>
        <v>11593.3</v>
      </c>
      <c r="J110" s="539">
        <f t="shared" si="135"/>
        <v>5.58</v>
      </c>
      <c r="K110" s="540">
        <f t="shared" si="168"/>
        <v>0</v>
      </c>
      <c r="L110" s="541">
        <f t="shared" si="187"/>
        <v>0</v>
      </c>
      <c r="M110" s="541">
        <f t="shared" si="187"/>
        <v>8.5999999999999993E-2</v>
      </c>
      <c r="O110" s="542" t="b">
        <f t="shared" si="169"/>
        <v>1</v>
      </c>
      <c r="P110" s="493">
        <f t="shared" si="136"/>
        <v>1</v>
      </c>
      <c r="Q110" s="493">
        <f t="shared" si="137"/>
        <v>0</v>
      </c>
      <c r="R110" s="543">
        <f t="shared" si="138"/>
        <v>806</v>
      </c>
      <c r="S110" s="544">
        <f t="shared" si="139"/>
        <v>0.97560975599999999</v>
      </c>
      <c r="T110" s="423">
        <f t="shared" si="140"/>
        <v>53.3</v>
      </c>
      <c r="U110" s="423">
        <f xml:space="preserve"> IF( $O110,    ROUND(  SUM( T110:T$120), U$17 ),  LEER  )</f>
        <v>53.3</v>
      </c>
      <c r="V110" s="493">
        <f t="shared" si="141"/>
        <v>1</v>
      </c>
      <c r="W110" s="493">
        <f t="shared" si="142"/>
        <v>297.41000000000003</v>
      </c>
      <c r="X110" s="493">
        <f xml:space="preserve"> IF( $O110,    ROUND(  SUM( W110:W$120), X$17 ),  LEER  )</f>
        <v>297.41000000000003</v>
      </c>
      <c r="Y110" s="493">
        <f t="shared" si="143"/>
        <v>5.5799000000000003</v>
      </c>
      <c r="Z110" s="493">
        <f t="shared" si="144"/>
        <v>5.5799000000000003</v>
      </c>
      <c r="AA110" s="493">
        <f t="shared" si="145"/>
        <v>1</v>
      </c>
      <c r="AB110" s="493">
        <f t="shared" si="146"/>
        <v>2.3494000000000002</v>
      </c>
      <c r="AC110" s="545">
        <f t="shared" si="147"/>
        <v>0.32679999999999998</v>
      </c>
      <c r="AD110" s="493">
        <f t="shared" si="148"/>
        <v>5.5799000000000003</v>
      </c>
      <c r="AE110" s="493">
        <f t="shared" si="149"/>
        <v>6.4625000000000004</v>
      </c>
      <c r="AF110" s="493">
        <f t="shared" si="150"/>
        <v>6.4625000000000004</v>
      </c>
      <c r="AG110" s="493" t="str">
        <f t="shared" si="151"/>
        <v>.</v>
      </c>
      <c r="AH110" s="493" t="str">
        <f t="shared" si="152"/>
        <v>.</v>
      </c>
      <c r="AI110" s="423">
        <f t="shared" si="153"/>
        <v>2077.79</v>
      </c>
      <c r="AJ110" s="423">
        <f t="shared" si="154"/>
        <v>13427.72</v>
      </c>
      <c r="AK110" s="423">
        <f t="shared" si="155"/>
        <v>1118.98</v>
      </c>
      <c r="AN110" s="423">
        <f t="shared" si="183"/>
        <v>7741.43</v>
      </c>
      <c r="AO110" s="423">
        <f t="shared" si="183"/>
        <v>7695.3</v>
      </c>
      <c r="AR110" s="546">
        <f xml:space="preserve"> ROUND(  INDEX( Kx!110:110, AR$16 ),  AR$17 )</f>
        <v>0.24679999999999999</v>
      </c>
      <c r="AS110" s="547">
        <f xml:space="preserve"> ROUND(  INDEX( qx!110:110, AS$16 ),  AS$17 )</f>
        <v>0.33800000000000002</v>
      </c>
      <c r="AT110" s="547">
        <f xml:space="preserve"> ROUND(  INDEX( qx!110:110, AT$16 ),  AT$17 )</f>
        <v>0.31929999999999997</v>
      </c>
      <c r="AU110" s="548" t="str">
        <f t="shared" si="156"/>
        <v>F</v>
      </c>
      <c r="AV110" s="542">
        <f t="shared" si="157"/>
        <v>0.17929999999999999</v>
      </c>
      <c r="AW110" s="542">
        <f t="shared" si="158"/>
        <v>0.32269999999999999</v>
      </c>
      <c r="AX110" s="546">
        <f xml:space="preserve"> ROUND(  INDEX( wx!110:110, AX$16 ),  AX$17 )</f>
        <v>0</v>
      </c>
      <c r="AY110" s="546">
        <f xml:space="preserve"> ROUND(  INDEX( wx!110:110, AY$16 ),  AY$17 )</f>
        <v>2.0999999999999999E-3</v>
      </c>
      <c r="AZ110" s="548" t="str">
        <f t="shared" si="159"/>
        <v>M</v>
      </c>
      <c r="BA110" s="542">
        <f t="shared" si="160"/>
        <v>0.32950000000000002</v>
      </c>
      <c r="BB110" s="542">
        <f t="shared" si="161"/>
        <v>1.4E-3</v>
      </c>
      <c r="BC110" s="533">
        <f xml:space="preserve"> ROUND(  INDEX( Kx!110:110, BC$16 ),  BC$17 )</f>
        <v>14050.52</v>
      </c>
      <c r="BD110" s="533">
        <f xml:space="preserve"> ROUND(  INDEX( Kx!110:110, BD$16 ),  BD$17 )</f>
        <v>10385.76</v>
      </c>
      <c r="BE110" s="548" t="str">
        <f t="shared" si="170"/>
        <v>M</v>
      </c>
      <c r="BF110" s="542">
        <f t="shared" si="162"/>
        <v>0.32950000000000002</v>
      </c>
      <c r="BG110" s="420">
        <f t="shared" si="163"/>
        <v>11593.3</v>
      </c>
      <c r="BQ110" s="549"/>
      <c r="BR110" s="423"/>
      <c r="BS110" s="550"/>
      <c r="BT110" s="423"/>
      <c r="BU110" s="551"/>
      <c r="BV110" s="551"/>
      <c r="BW110" s="529"/>
      <c r="BX110" s="552"/>
      <c r="BY110" s="560"/>
      <c r="BZ110" s="559"/>
      <c r="CB110" s="423"/>
      <c r="CC110" s="423"/>
      <c r="CD110" s="423"/>
      <c r="CE110" s="423"/>
      <c r="CF110" s="553"/>
      <c r="CH110" s="423"/>
      <c r="CI110" s="423"/>
      <c r="CJ110" s="423"/>
      <c r="CK110" s="423"/>
      <c r="CL110" s="553"/>
      <c r="CN110" s="423"/>
      <c r="CO110" s="423"/>
      <c r="CP110" s="423"/>
      <c r="CQ110" s="423"/>
      <c r="CR110" s="553"/>
      <c r="EI110" s="553"/>
      <c r="EJ110" s="553"/>
      <c r="EK110" s="423"/>
      <c r="EL110" s="555"/>
      <c r="ES110" s="533"/>
      <c r="ET110" s="533"/>
      <c r="EU110" s="533"/>
      <c r="EV110" s="556"/>
      <c r="EY110" s="533"/>
      <c r="EZ110" s="533"/>
      <c r="FA110" s="556"/>
      <c r="FD110" s="556"/>
      <c r="FE110" s="556"/>
      <c r="FF110" s="556"/>
      <c r="FK110" s="557">
        <f t="shared" si="164"/>
        <v>110</v>
      </c>
      <c r="FL110" s="493">
        <f t="shared" si="171"/>
        <v>5.5799000000000003</v>
      </c>
      <c r="FM110" s="493">
        <f t="shared" si="172"/>
        <v>1</v>
      </c>
      <c r="FO110" s="427">
        <f t="shared" si="173"/>
        <v>325230.59000000008</v>
      </c>
      <c r="FP110" s="558">
        <f t="shared" si="184"/>
        <v>9099.68</v>
      </c>
      <c r="FQ110" s="558">
        <f t="shared" si="184"/>
        <v>9015.5300000000007</v>
      </c>
      <c r="FR110" s="558">
        <f t="shared" si="184"/>
        <v>8931.17</v>
      </c>
      <c r="FS110" s="558">
        <f t="shared" si="184"/>
        <v>8846.81</v>
      </c>
      <c r="FT110" s="558">
        <f t="shared" si="184"/>
        <v>8759.5499999999993</v>
      </c>
      <c r="FU110" s="558">
        <f t="shared" si="184"/>
        <v>8669.7900000000009</v>
      </c>
      <c r="FV110" s="558">
        <f t="shared" si="184"/>
        <v>8580.86</v>
      </c>
      <c r="FW110" s="558">
        <f t="shared" si="184"/>
        <v>8491.2999999999993</v>
      </c>
      <c r="FX110" s="558">
        <f t="shared" si="184"/>
        <v>8398.6299999999992</v>
      </c>
      <c r="FY110" s="558">
        <f t="shared" si="184"/>
        <v>8302.23</v>
      </c>
      <c r="FZ110" s="558">
        <f t="shared" si="184"/>
        <v>8205.19</v>
      </c>
      <c r="GA110" s="558">
        <f t="shared" si="184"/>
        <v>8106.71</v>
      </c>
      <c r="GB110" s="558">
        <f t="shared" si="184"/>
        <v>8005.93</v>
      </c>
      <c r="GC110" s="558">
        <f t="shared" si="184"/>
        <v>7904.74</v>
      </c>
      <c r="GD110" s="558">
        <f t="shared" si="184"/>
        <v>7800.44</v>
      </c>
      <c r="GE110" s="558">
        <f t="shared" si="184"/>
        <v>7695.3</v>
      </c>
      <c r="GF110" s="558">
        <f t="shared" si="182"/>
        <v>7587.05</v>
      </c>
      <c r="GG110" s="558">
        <f t="shared" si="182"/>
        <v>7476.3</v>
      </c>
      <c r="GH110" s="558">
        <f t="shared" si="182"/>
        <v>7362.44</v>
      </c>
      <c r="GI110" s="558">
        <f t="shared" si="182"/>
        <v>7245.25</v>
      </c>
      <c r="GJ110" s="558">
        <f t="shared" si="182"/>
        <v>7124.53</v>
      </c>
      <c r="GK110" s="558">
        <f t="shared" si="182"/>
        <v>6999.24</v>
      </c>
      <c r="GL110" s="558">
        <f t="shared" si="182"/>
        <v>6869.38</v>
      </c>
      <c r="GM110" s="558">
        <f t="shared" si="182"/>
        <v>6734.74</v>
      </c>
      <c r="GN110" s="558">
        <f t="shared" si="182"/>
        <v>6594.7</v>
      </c>
      <c r="GO110" s="558">
        <f t="shared" si="182"/>
        <v>6450.29</v>
      </c>
      <c r="GP110" s="558">
        <f t="shared" si="182"/>
        <v>6300.9</v>
      </c>
      <c r="GQ110" s="558">
        <f t="shared" si="182"/>
        <v>6146.93</v>
      </c>
      <c r="GR110" s="558">
        <f t="shared" si="182"/>
        <v>5988.81</v>
      </c>
      <c r="GS110" s="558">
        <f t="shared" si="182"/>
        <v>5826.75</v>
      </c>
      <c r="GT110" s="558">
        <f t="shared" si="182"/>
        <v>5661.35</v>
      </c>
      <c r="GU110" s="558">
        <f t="shared" si="180"/>
        <v>5492.01</v>
      </c>
      <c r="GV110" s="558">
        <f t="shared" si="180"/>
        <v>5320.39</v>
      </c>
      <c r="GW110" s="558">
        <f t="shared" si="180"/>
        <v>5145.6499999999996</v>
      </c>
      <c r="GX110" s="558">
        <f t="shared" si="180"/>
        <v>4969.03</v>
      </c>
      <c r="GY110" s="558">
        <f t="shared" si="180"/>
        <v>4790.55</v>
      </c>
      <c r="GZ110" s="558">
        <f t="shared" si="180"/>
        <v>4609.99</v>
      </c>
      <c r="HA110" s="558">
        <f t="shared" si="180"/>
        <v>4427.9799999999996</v>
      </c>
      <c r="HB110" s="558">
        <f t="shared" si="180"/>
        <v>4243.26</v>
      </c>
      <c r="HC110" s="558">
        <f t="shared" si="180"/>
        <v>4054.6</v>
      </c>
      <c r="HD110" s="558">
        <f t="shared" si="180"/>
        <v>3863.23</v>
      </c>
      <c r="HE110" s="558">
        <f t="shared" si="180"/>
        <v>3670</v>
      </c>
      <c r="HF110" s="558">
        <f t="shared" si="180"/>
        <v>3474.27</v>
      </c>
      <c r="HG110" s="558">
        <f t="shared" si="180"/>
        <v>3277.09</v>
      </c>
      <c r="HH110" s="558">
        <f t="shared" si="180"/>
        <v>3077.83</v>
      </c>
      <c r="HI110" s="558">
        <f t="shared" si="180"/>
        <v>2880.44</v>
      </c>
      <c r="HJ110" s="558">
        <f t="shared" si="180"/>
        <v>2681.39</v>
      </c>
      <c r="HK110" s="558">
        <f t="shared" si="178"/>
        <v>2483.58</v>
      </c>
      <c r="HL110" s="558">
        <f t="shared" si="178"/>
        <v>2287.23</v>
      </c>
      <c r="HM110" s="558">
        <f t="shared" si="178"/>
        <v>2091.71</v>
      </c>
      <c r="HN110" s="558">
        <f t="shared" si="178"/>
        <v>1930.68</v>
      </c>
      <c r="HO110" s="558">
        <f t="shared" si="178"/>
        <v>1774.64</v>
      </c>
      <c r="HP110" s="558">
        <f t="shared" si="178"/>
        <v>1625.25</v>
      </c>
      <c r="HQ110" s="558">
        <f t="shared" si="178"/>
        <v>1483.75</v>
      </c>
      <c r="HR110" s="558">
        <f t="shared" si="178"/>
        <v>1312.96</v>
      </c>
      <c r="HS110" s="558">
        <f t="shared" si="178"/>
        <v>1148.81</v>
      </c>
      <c r="HT110" s="558">
        <f t="shared" si="178"/>
        <v>992.35</v>
      </c>
      <c r="HU110" s="558">
        <f t="shared" si="178"/>
        <v>848.57</v>
      </c>
      <c r="HV110" s="558">
        <f t="shared" si="178"/>
        <v>716.21</v>
      </c>
      <c r="HW110" s="558">
        <f t="shared" si="178"/>
        <v>595.91</v>
      </c>
      <c r="HX110" s="558">
        <f t="shared" si="178"/>
        <v>490.57</v>
      </c>
      <c r="HY110" s="558">
        <f t="shared" si="178"/>
        <v>397.9</v>
      </c>
      <c r="HZ110" s="558">
        <f t="shared" si="178"/>
        <v>322.47000000000003</v>
      </c>
      <c r="IA110" s="558">
        <f t="shared" si="178"/>
        <v>261.8</v>
      </c>
      <c r="IB110" s="558">
        <f t="shared" si="181"/>
        <v>216.51</v>
      </c>
      <c r="IC110" s="558">
        <f t="shared" si="181"/>
        <v>186.38</v>
      </c>
      <c r="ID110" s="558">
        <f t="shared" si="181"/>
        <v>166.43</v>
      </c>
      <c r="IE110" s="558">
        <f t="shared" si="181"/>
        <v>152.51</v>
      </c>
      <c r="IF110" s="558">
        <f t="shared" si="181"/>
        <v>152.09</v>
      </c>
      <c r="IG110" s="558">
        <f t="shared" si="181"/>
        <v>151.26</v>
      </c>
      <c r="IH110" s="558">
        <f t="shared" si="181"/>
        <v>150.43</v>
      </c>
      <c r="II110" s="558">
        <f t="shared" si="181"/>
        <v>149.19</v>
      </c>
      <c r="IJ110" s="558">
        <f t="shared" si="181"/>
        <v>147.52000000000001</v>
      </c>
      <c r="IK110" s="558">
        <f t="shared" si="181"/>
        <v>145.24</v>
      </c>
      <c r="IL110" s="558">
        <f t="shared" si="181"/>
        <v>142.12</v>
      </c>
      <c r="IM110" s="558">
        <f t="shared" si="181"/>
        <v>137.76</v>
      </c>
      <c r="IN110" s="558">
        <f t="shared" si="181"/>
        <v>131.94</v>
      </c>
      <c r="IO110" s="558">
        <f t="shared" si="181"/>
        <v>123.42</v>
      </c>
      <c r="IP110" s="558">
        <f t="shared" si="181"/>
        <v>122.8</v>
      </c>
      <c r="IQ110" s="558">
        <f t="shared" si="181"/>
        <v>122.17</v>
      </c>
      <c r="IR110" s="558">
        <f t="shared" si="181"/>
        <v>120.93</v>
      </c>
      <c r="IS110" s="558">
        <f t="shared" si="181"/>
        <v>119.68</v>
      </c>
      <c r="IT110" s="558">
        <f t="shared" si="181"/>
        <v>117.6</v>
      </c>
      <c r="IU110" s="558">
        <f t="shared" si="181"/>
        <v>114.28</v>
      </c>
      <c r="IV110" s="558">
        <f t="shared" si="181"/>
        <v>109.5</v>
      </c>
      <c r="IW110" s="558">
        <f t="shared" si="190"/>
        <v>101.81</v>
      </c>
      <c r="IX110" s="558">
        <f t="shared" si="190"/>
        <v>89.76</v>
      </c>
      <c r="IY110" s="558">
        <f t="shared" si="190"/>
        <v>68.98</v>
      </c>
      <c r="IZ110" s="558">
        <f t="shared" si="190"/>
        <v>44.26</v>
      </c>
      <c r="JA110" s="558">
        <f t="shared" si="190"/>
        <v>21.4</v>
      </c>
      <c r="JB110" s="558">
        <f t="shared" si="190"/>
        <v>0</v>
      </c>
      <c r="JC110" s="558" t="str">
        <f t="shared" si="190"/>
        <v>.</v>
      </c>
      <c r="JD110" s="558" t="str">
        <f t="shared" si="190"/>
        <v>.</v>
      </c>
      <c r="JE110" s="558" t="str">
        <f t="shared" si="190"/>
        <v>.</v>
      </c>
      <c r="JF110" s="558" t="str">
        <f t="shared" si="190"/>
        <v>.</v>
      </c>
      <c r="JG110" s="558" t="str">
        <f t="shared" si="190"/>
        <v>.</v>
      </c>
      <c r="JH110" s="558" t="str">
        <f t="shared" si="188"/>
        <v>.</v>
      </c>
      <c r="JI110" s="558" t="str">
        <f t="shared" si="188"/>
        <v>.</v>
      </c>
      <c r="JJ110" s="558" t="str">
        <f t="shared" si="188"/>
        <v>.</v>
      </c>
      <c r="JK110" s="558" t="str">
        <f t="shared" si="188"/>
        <v>.</v>
      </c>
      <c r="JL110" s="558" t="str">
        <f t="shared" si="188"/>
        <v>.</v>
      </c>
    </row>
    <row r="111" spans="1:272" ht="10.199999999999999" x14ac:dyDescent="0.2">
      <c r="A111" s="534">
        <f xml:space="preserve"> Basis!A111</f>
        <v>111</v>
      </c>
      <c r="F111" s="536">
        <f xml:space="preserve"> ROUND(    IF( $A$15=BE_MF_,   AW111,   INDEX( qx!111:111, F$16 ) ),    F$17    )</f>
        <v>0.32850000000000001</v>
      </c>
      <c r="G111" s="536">
        <f xml:space="preserve"> ROUND(    IF( $A$15=BE_MF_,   BB111,   INDEX( wx!111:111, G$16 ) ),    G$17    )</f>
        <v>1.4E-3</v>
      </c>
      <c r="H111" s="537">
        <f xml:space="preserve"> ROUND(    IF( $A$15=BE_MF_,   BG111,   INDEX( Kx!111:111, H$16 ) ),    H$17    )</f>
        <v>11627.75</v>
      </c>
      <c r="I111" s="538">
        <f t="shared" si="167"/>
        <v>11627.75</v>
      </c>
      <c r="J111" s="539">
        <f t="shared" si="135"/>
        <v>5.5960000000000001</v>
      </c>
      <c r="K111" s="540">
        <f t="shared" si="168"/>
        <v>0</v>
      </c>
      <c r="L111" s="541">
        <f t="shared" si="187"/>
        <v>0</v>
      </c>
      <c r="M111" s="541">
        <f t="shared" si="187"/>
        <v>8.5999999999999993E-2</v>
      </c>
      <c r="O111" s="542" t="b">
        <f t="shared" si="169"/>
        <v>0</v>
      </c>
      <c r="P111" s="493" t="str">
        <f t="shared" si="136"/>
        <v>.</v>
      </c>
      <c r="Q111" s="493" t="str">
        <f t="shared" si="137"/>
        <v>.</v>
      </c>
      <c r="R111" s="543" t="str">
        <f t="shared" si="138"/>
        <v>.</v>
      </c>
      <c r="S111" s="544" t="str">
        <f t="shared" si="139"/>
        <v>.</v>
      </c>
      <c r="T111" s="423" t="str">
        <f t="shared" si="140"/>
        <v>.</v>
      </c>
      <c r="U111" s="423" t="str">
        <f xml:space="preserve"> IF( $O111,    ROUND(  SUM( T111:T$120), U$17 ),  LEER  )</f>
        <v>.</v>
      </c>
      <c r="V111" s="493" t="str">
        <f t="shared" si="141"/>
        <v>.</v>
      </c>
      <c r="W111" s="493" t="str">
        <f t="shared" si="142"/>
        <v>.</v>
      </c>
      <c r="X111" s="493" t="str">
        <f xml:space="preserve"> IF( $O111,    ROUND(  SUM( W111:W$120), X$17 ),  LEER  )</f>
        <v>.</v>
      </c>
      <c r="Y111" s="493" t="str">
        <f t="shared" si="143"/>
        <v>.</v>
      </c>
      <c r="Z111" s="493" t="str">
        <f t="shared" si="144"/>
        <v>.</v>
      </c>
      <c r="AA111" s="493" t="str">
        <f t="shared" si="145"/>
        <v>.</v>
      </c>
      <c r="AB111" s="493" t="str">
        <f t="shared" si="146"/>
        <v>.</v>
      </c>
      <c r="AC111" s="545" t="str">
        <f t="shared" si="147"/>
        <v>.</v>
      </c>
      <c r="AD111" s="493" t="str">
        <f t="shared" si="148"/>
        <v>.</v>
      </c>
      <c r="AE111" s="493" t="str">
        <f t="shared" si="149"/>
        <v>.</v>
      </c>
      <c r="AF111" s="493" t="str">
        <f t="shared" si="150"/>
        <v>.</v>
      </c>
      <c r="AG111" s="493" t="str">
        <f t="shared" si="151"/>
        <v>.</v>
      </c>
      <c r="AH111" s="493" t="str">
        <f t="shared" si="152"/>
        <v>.</v>
      </c>
      <c r="AI111" s="423" t="str">
        <f t="shared" si="153"/>
        <v>.</v>
      </c>
      <c r="AJ111" s="423" t="str">
        <f t="shared" si="154"/>
        <v>.</v>
      </c>
      <c r="AK111" s="423" t="str">
        <f t="shared" si="155"/>
        <v>.</v>
      </c>
      <c r="AN111" s="423" t="str">
        <f t="shared" si="183"/>
        <v>.</v>
      </c>
      <c r="AO111" s="423" t="str">
        <f t="shared" si="183"/>
        <v>.</v>
      </c>
      <c r="AR111" s="546">
        <f xml:space="preserve"> ROUND(  INDEX( Kx!111:111, AR$16 ),  AR$17 )</f>
        <v>0.24679999999999999</v>
      </c>
      <c r="AS111" s="547">
        <f xml:space="preserve"> ROUND(  INDEX( qx!111:111, AS$16 ),  AS$17 )</f>
        <v>0.34460000000000002</v>
      </c>
      <c r="AT111" s="547">
        <f xml:space="preserve"> ROUND(  INDEX( qx!111:111, AT$16 ),  AT$17 )</f>
        <v>0.32500000000000001</v>
      </c>
      <c r="AU111" s="548" t="str">
        <f t="shared" si="156"/>
        <v>F</v>
      </c>
      <c r="AV111" s="542">
        <f t="shared" si="157"/>
        <v>0.17929999999999999</v>
      </c>
      <c r="AW111" s="542">
        <f t="shared" si="158"/>
        <v>0.32850000000000001</v>
      </c>
      <c r="AX111" s="546">
        <f xml:space="preserve"> ROUND(  INDEX( wx!111:111, AX$16 ),  AX$17 )</f>
        <v>0</v>
      </c>
      <c r="AY111" s="546">
        <f xml:space="preserve"> ROUND(  INDEX( wx!111:111, AY$16 ),  AY$17 )</f>
        <v>2.0999999999999999E-3</v>
      </c>
      <c r="AZ111" s="548" t="str">
        <f t="shared" si="159"/>
        <v>M</v>
      </c>
      <c r="BA111" s="542">
        <f t="shared" si="160"/>
        <v>0.32950000000000002</v>
      </c>
      <c r="BB111" s="542">
        <f t="shared" si="161"/>
        <v>1.4E-3</v>
      </c>
      <c r="BC111" s="533">
        <f xml:space="preserve"> ROUND(  INDEX( Kx!111:111, BC$16 ),  BC$17 )</f>
        <v>14129.21</v>
      </c>
      <c r="BD111" s="533">
        <f xml:space="preserve"> ROUND(  INDEX( Kx!111:111, BD$16 ),  BD$17 )</f>
        <v>10398.469999999999</v>
      </c>
      <c r="BE111" s="548" t="str">
        <f t="shared" si="170"/>
        <v>M</v>
      </c>
      <c r="BF111" s="542">
        <f t="shared" si="162"/>
        <v>0.32950000000000002</v>
      </c>
      <c r="BG111" s="420">
        <f t="shared" si="163"/>
        <v>11627.75</v>
      </c>
      <c r="BQ111" s="549"/>
      <c r="BR111" s="423"/>
      <c r="BS111" s="550"/>
      <c r="BT111" s="423"/>
      <c r="BU111" s="551"/>
      <c r="BV111" s="551"/>
      <c r="BW111" s="529"/>
      <c r="BX111" s="552"/>
      <c r="BY111" s="560"/>
      <c r="BZ111" s="559"/>
      <c r="CB111" s="423"/>
      <c r="CC111" s="423"/>
      <c r="CD111" s="423"/>
      <c r="CE111" s="423"/>
      <c r="CF111" s="553"/>
      <c r="CH111" s="423"/>
      <c r="CI111" s="423"/>
      <c r="CJ111" s="423"/>
      <c r="CK111" s="423"/>
      <c r="CL111" s="553"/>
      <c r="CN111" s="423"/>
      <c r="CO111" s="423"/>
      <c r="CP111" s="423"/>
      <c r="CQ111" s="423"/>
      <c r="CR111" s="553"/>
      <c r="EI111" s="553"/>
      <c r="EJ111" s="553"/>
      <c r="EK111" s="423"/>
      <c r="EL111" s="555"/>
      <c r="ES111" s="533"/>
      <c r="ET111" s="533"/>
      <c r="EU111" s="533"/>
      <c r="EV111" s="556"/>
      <c r="EY111" s="533"/>
      <c r="EZ111" s="533"/>
      <c r="FA111" s="556"/>
      <c r="FD111" s="556"/>
      <c r="FE111" s="556"/>
      <c r="FF111" s="556"/>
      <c r="FK111" s="557">
        <f t="shared" si="164"/>
        <v>111</v>
      </c>
      <c r="FL111" s="493" t="str">
        <f t="shared" si="171"/>
        <v>.</v>
      </c>
      <c r="FM111" s="493" t="str">
        <f t="shared" si="172"/>
        <v>.</v>
      </c>
      <c r="FO111" s="427">
        <f t="shared" si="173"/>
        <v>0</v>
      </c>
      <c r="FP111" s="558" t="str">
        <f t="shared" si="184"/>
        <v>.</v>
      </c>
      <c r="FQ111" s="558" t="str">
        <f t="shared" si="184"/>
        <v>.</v>
      </c>
      <c r="FR111" s="558" t="str">
        <f t="shared" si="184"/>
        <v>.</v>
      </c>
      <c r="FS111" s="558" t="str">
        <f t="shared" si="184"/>
        <v>.</v>
      </c>
      <c r="FT111" s="558" t="str">
        <f t="shared" si="184"/>
        <v>.</v>
      </c>
      <c r="FU111" s="558" t="str">
        <f t="shared" si="184"/>
        <v>.</v>
      </c>
      <c r="FV111" s="558" t="str">
        <f t="shared" si="184"/>
        <v>.</v>
      </c>
      <c r="FW111" s="558" t="str">
        <f t="shared" si="184"/>
        <v>.</v>
      </c>
      <c r="FX111" s="558" t="str">
        <f t="shared" si="184"/>
        <v>.</v>
      </c>
      <c r="FY111" s="558" t="str">
        <f t="shared" si="184"/>
        <v>.</v>
      </c>
      <c r="FZ111" s="558" t="str">
        <f t="shared" si="184"/>
        <v>.</v>
      </c>
      <c r="GA111" s="558" t="str">
        <f t="shared" si="184"/>
        <v>.</v>
      </c>
      <c r="GB111" s="558" t="str">
        <f t="shared" si="184"/>
        <v>.</v>
      </c>
      <c r="GC111" s="558" t="str">
        <f t="shared" si="184"/>
        <v>.</v>
      </c>
      <c r="GD111" s="558" t="str">
        <f t="shared" si="184"/>
        <v>.</v>
      </c>
      <c r="GE111" s="558" t="str">
        <f t="shared" si="184"/>
        <v>.</v>
      </c>
      <c r="GF111" s="558" t="str">
        <f t="shared" si="182"/>
        <v>.</v>
      </c>
      <c r="GG111" s="558" t="str">
        <f t="shared" si="182"/>
        <v>.</v>
      </c>
      <c r="GH111" s="558" t="str">
        <f t="shared" si="182"/>
        <v>.</v>
      </c>
      <c r="GI111" s="558" t="str">
        <f t="shared" si="182"/>
        <v>.</v>
      </c>
      <c r="GJ111" s="558" t="str">
        <f t="shared" si="182"/>
        <v>.</v>
      </c>
      <c r="GK111" s="558" t="str">
        <f t="shared" si="182"/>
        <v>.</v>
      </c>
      <c r="GL111" s="558" t="str">
        <f t="shared" si="182"/>
        <v>.</v>
      </c>
      <c r="GM111" s="558" t="str">
        <f t="shared" si="182"/>
        <v>.</v>
      </c>
      <c r="GN111" s="558" t="str">
        <f t="shared" si="182"/>
        <v>.</v>
      </c>
      <c r="GO111" s="558" t="str">
        <f t="shared" si="182"/>
        <v>.</v>
      </c>
      <c r="GP111" s="558" t="str">
        <f t="shared" si="182"/>
        <v>.</v>
      </c>
      <c r="GQ111" s="558" t="str">
        <f t="shared" si="182"/>
        <v>.</v>
      </c>
      <c r="GR111" s="558" t="str">
        <f t="shared" si="182"/>
        <v>.</v>
      </c>
      <c r="GS111" s="558" t="str">
        <f t="shared" si="182"/>
        <v>.</v>
      </c>
      <c r="GT111" s="558" t="str">
        <f t="shared" si="182"/>
        <v>.</v>
      </c>
      <c r="GU111" s="558" t="str">
        <f t="shared" si="180"/>
        <v>.</v>
      </c>
      <c r="GV111" s="558" t="str">
        <f t="shared" si="180"/>
        <v>.</v>
      </c>
      <c r="GW111" s="558" t="str">
        <f t="shared" si="180"/>
        <v>.</v>
      </c>
      <c r="GX111" s="558" t="str">
        <f t="shared" si="180"/>
        <v>.</v>
      </c>
      <c r="GY111" s="558" t="str">
        <f t="shared" si="180"/>
        <v>.</v>
      </c>
      <c r="GZ111" s="558" t="str">
        <f t="shared" si="180"/>
        <v>.</v>
      </c>
      <c r="HA111" s="558" t="str">
        <f t="shared" si="180"/>
        <v>.</v>
      </c>
      <c r="HB111" s="558" t="str">
        <f t="shared" si="180"/>
        <v>.</v>
      </c>
      <c r="HC111" s="558" t="str">
        <f t="shared" si="180"/>
        <v>.</v>
      </c>
      <c r="HD111" s="558" t="str">
        <f t="shared" si="180"/>
        <v>.</v>
      </c>
      <c r="HE111" s="558" t="str">
        <f t="shared" si="180"/>
        <v>.</v>
      </c>
      <c r="HF111" s="558" t="str">
        <f t="shared" si="180"/>
        <v>.</v>
      </c>
      <c r="HG111" s="558" t="str">
        <f t="shared" si="180"/>
        <v>.</v>
      </c>
      <c r="HH111" s="558" t="str">
        <f t="shared" si="180"/>
        <v>.</v>
      </c>
      <c r="HI111" s="558" t="str">
        <f t="shared" si="180"/>
        <v>.</v>
      </c>
      <c r="HJ111" s="558" t="str">
        <f t="shared" si="180"/>
        <v>.</v>
      </c>
      <c r="HK111" s="558" t="str">
        <f t="shared" si="178"/>
        <v>.</v>
      </c>
      <c r="HL111" s="558" t="str">
        <f t="shared" si="178"/>
        <v>.</v>
      </c>
      <c r="HM111" s="558" t="str">
        <f t="shared" si="178"/>
        <v>.</v>
      </c>
      <c r="HN111" s="558" t="str">
        <f t="shared" si="178"/>
        <v>.</v>
      </c>
      <c r="HO111" s="558" t="str">
        <f t="shared" si="178"/>
        <v>.</v>
      </c>
      <c r="HP111" s="558" t="str">
        <f t="shared" si="178"/>
        <v>.</v>
      </c>
      <c r="HQ111" s="558" t="str">
        <f t="shared" si="178"/>
        <v>.</v>
      </c>
      <c r="HR111" s="558" t="str">
        <f t="shared" si="178"/>
        <v>.</v>
      </c>
      <c r="HS111" s="558" t="str">
        <f t="shared" si="178"/>
        <v>.</v>
      </c>
      <c r="HT111" s="558" t="str">
        <f t="shared" si="178"/>
        <v>.</v>
      </c>
      <c r="HU111" s="558" t="str">
        <f t="shared" si="178"/>
        <v>.</v>
      </c>
      <c r="HV111" s="558" t="str">
        <f t="shared" si="178"/>
        <v>.</v>
      </c>
      <c r="HW111" s="558" t="str">
        <f t="shared" si="178"/>
        <v>.</v>
      </c>
      <c r="HX111" s="558" t="str">
        <f t="shared" si="178"/>
        <v>.</v>
      </c>
      <c r="HY111" s="558" t="str">
        <f t="shared" si="178"/>
        <v>.</v>
      </c>
      <c r="HZ111" s="558" t="str">
        <f t="shared" si="178"/>
        <v>.</v>
      </c>
      <c r="IA111" s="558" t="str">
        <f t="shared" si="178"/>
        <v>.</v>
      </c>
      <c r="IB111" s="558" t="str">
        <f t="shared" si="181"/>
        <v>.</v>
      </c>
      <c r="IC111" s="558" t="str">
        <f t="shared" si="181"/>
        <v>.</v>
      </c>
      <c r="ID111" s="558" t="str">
        <f t="shared" si="181"/>
        <v>.</v>
      </c>
      <c r="IE111" s="558" t="str">
        <f t="shared" si="181"/>
        <v>.</v>
      </c>
      <c r="IF111" s="558" t="str">
        <f t="shared" si="181"/>
        <v>.</v>
      </c>
      <c r="IG111" s="558" t="str">
        <f t="shared" si="181"/>
        <v>.</v>
      </c>
      <c r="IH111" s="558" t="str">
        <f t="shared" si="181"/>
        <v>.</v>
      </c>
      <c r="II111" s="558" t="str">
        <f t="shared" si="181"/>
        <v>.</v>
      </c>
      <c r="IJ111" s="558" t="str">
        <f t="shared" si="181"/>
        <v>.</v>
      </c>
      <c r="IK111" s="558" t="str">
        <f t="shared" si="181"/>
        <v>.</v>
      </c>
      <c r="IL111" s="558" t="str">
        <f t="shared" si="181"/>
        <v>.</v>
      </c>
      <c r="IM111" s="558" t="str">
        <f t="shared" si="181"/>
        <v>.</v>
      </c>
      <c r="IN111" s="558" t="str">
        <f t="shared" si="181"/>
        <v>.</v>
      </c>
      <c r="IO111" s="558" t="str">
        <f t="shared" si="181"/>
        <v>.</v>
      </c>
      <c r="IP111" s="558" t="str">
        <f t="shared" si="181"/>
        <v>.</v>
      </c>
      <c r="IQ111" s="558" t="str">
        <f t="shared" si="181"/>
        <v>.</v>
      </c>
      <c r="IR111" s="558" t="str">
        <f t="shared" si="181"/>
        <v>.</v>
      </c>
      <c r="IS111" s="558" t="str">
        <f t="shared" si="181"/>
        <v>.</v>
      </c>
      <c r="IT111" s="558" t="str">
        <f t="shared" si="181"/>
        <v>.</v>
      </c>
      <c r="IU111" s="558" t="str">
        <f t="shared" si="181"/>
        <v>.</v>
      </c>
      <c r="IV111" s="558" t="str">
        <f t="shared" si="181"/>
        <v>.</v>
      </c>
      <c r="IW111" s="558" t="str">
        <f t="shared" si="190"/>
        <v>.</v>
      </c>
      <c r="IX111" s="558" t="str">
        <f t="shared" si="190"/>
        <v>.</v>
      </c>
      <c r="IY111" s="558" t="str">
        <f t="shared" si="190"/>
        <v>.</v>
      </c>
      <c r="IZ111" s="558" t="str">
        <f t="shared" si="190"/>
        <v>.</v>
      </c>
      <c r="JA111" s="558" t="str">
        <f t="shared" si="190"/>
        <v>.</v>
      </c>
      <c r="JB111" s="558" t="str">
        <f t="shared" si="190"/>
        <v>.</v>
      </c>
      <c r="JC111" s="558" t="str">
        <f t="shared" si="190"/>
        <v>.</v>
      </c>
      <c r="JD111" s="558" t="str">
        <f t="shared" si="190"/>
        <v>.</v>
      </c>
      <c r="JE111" s="558" t="str">
        <f t="shared" si="190"/>
        <v>.</v>
      </c>
      <c r="JF111" s="558" t="str">
        <f t="shared" si="190"/>
        <v>.</v>
      </c>
      <c r="JG111" s="558" t="str">
        <f t="shared" si="190"/>
        <v>.</v>
      </c>
      <c r="JH111" s="558" t="str">
        <f t="shared" si="188"/>
        <v>.</v>
      </c>
      <c r="JI111" s="558" t="str">
        <f t="shared" si="188"/>
        <v>.</v>
      </c>
      <c r="JJ111" s="558" t="str">
        <f t="shared" si="188"/>
        <v>.</v>
      </c>
      <c r="JK111" s="558" t="str">
        <f t="shared" si="188"/>
        <v>.</v>
      </c>
      <c r="JL111" s="558" t="str">
        <f t="shared" si="188"/>
        <v>.</v>
      </c>
    </row>
    <row r="112" spans="1:272" ht="10.199999999999999" x14ac:dyDescent="0.2">
      <c r="A112" s="534">
        <f xml:space="preserve"> Basis!A112</f>
        <v>112</v>
      </c>
      <c r="F112" s="536">
        <f xml:space="preserve"> ROUND(    IF( $A$15=BE_MF_,   AW112,   INDEX( qx!112:112, F$16 ) ),    F$17    )</f>
        <v>0.33439999999999998</v>
      </c>
      <c r="G112" s="536">
        <f xml:space="preserve"> ROUND(    IF( $A$15=BE_MF_,   BB112,   INDEX( wx!112:112, G$16 ) ),    G$17    )</f>
        <v>1.4E-3</v>
      </c>
      <c r="H112" s="537">
        <f xml:space="preserve"> ROUND(    IF( $A$15=BE_MF_,   BG112,   INDEX( Kx!112:112, H$16 ) ),    H$17    )</f>
        <v>11662.21</v>
      </c>
      <c r="I112" s="538">
        <f t="shared" si="167"/>
        <v>11662.21</v>
      </c>
      <c r="J112" s="539">
        <f t="shared" si="135"/>
        <v>5.6130000000000004</v>
      </c>
      <c r="K112" s="540">
        <f t="shared" si="168"/>
        <v>0</v>
      </c>
      <c r="L112" s="541">
        <f t="shared" si="187"/>
        <v>0</v>
      </c>
      <c r="M112" s="541">
        <f t="shared" si="187"/>
        <v>8.5999999999999993E-2</v>
      </c>
      <c r="O112" s="542" t="b">
        <f t="shared" si="169"/>
        <v>0</v>
      </c>
      <c r="P112" s="493" t="str">
        <f t="shared" si="136"/>
        <v>.</v>
      </c>
      <c r="Q112" s="493" t="str">
        <f t="shared" si="137"/>
        <v>.</v>
      </c>
      <c r="R112" s="543" t="str">
        <f t="shared" si="138"/>
        <v>.</v>
      </c>
      <c r="S112" s="544" t="str">
        <f t="shared" si="139"/>
        <v>.</v>
      </c>
      <c r="T112" s="423" t="str">
        <f t="shared" si="140"/>
        <v>.</v>
      </c>
      <c r="U112" s="423" t="str">
        <f xml:space="preserve"> IF( $O112,    ROUND(  SUM( T112:T$120), U$17 ),  LEER  )</f>
        <v>.</v>
      </c>
      <c r="V112" s="493" t="str">
        <f t="shared" si="141"/>
        <v>.</v>
      </c>
      <c r="W112" s="493" t="str">
        <f t="shared" si="142"/>
        <v>.</v>
      </c>
      <c r="X112" s="493" t="str">
        <f xml:space="preserve"> IF( $O112,    ROUND(  SUM( W112:W$120), X$17 ),  LEER  )</f>
        <v>.</v>
      </c>
      <c r="Y112" s="493" t="str">
        <f t="shared" si="143"/>
        <v>.</v>
      </c>
      <c r="Z112" s="493" t="str">
        <f t="shared" si="144"/>
        <v>.</v>
      </c>
      <c r="AA112" s="493" t="str">
        <f t="shared" si="145"/>
        <v>.</v>
      </c>
      <c r="AB112" s="493" t="str">
        <f t="shared" si="146"/>
        <v>.</v>
      </c>
      <c r="AC112" s="545" t="str">
        <f t="shared" si="147"/>
        <v>.</v>
      </c>
      <c r="AD112" s="493" t="str">
        <f t="shared" si="148"/>
        <v>.</v>
      </c>
      <c r="AE112" s="493" t="str">
        <f t="shared" si="149"/>
        <v>.</v>
      </c>
      <c r="AF112" s="493" t="str">
        <f t="shared" si="150"/>
        <v>.</v>
      </c>
      <c r="AG112" s="493" t="str">
        <f t="shared" si="151"/>
        <v>.</v>
      </c>
      <c r="AH112" s="493" t="str">
        <f t="shared" si="152"/>
        <v>.</v>
      </c>
      <c r="AI112" s="423" t="str">
        <f t="shared" si="153"/>
        <v>.</v>
      </c>
      <c r="AJ112" s="423" t="str">
        <f t="shared" si="154"/>
        <v>.</v>
      </c>
      <c r="AK112" s="423" t="str">
        <f t="shared" si="155"/>
        <v>.</v>
      </c>
      <c r="AN112" s="423" t="str">
        <f t="shared" si="183"/>
        <v>.</v>
      </c>
      <c r="AO112" s="423" t="str">
        <f t="shared" si="183"/>
        <v>.</v>
      </c>
      <c r="AR112" s="546">
        <f xml:space="preserve"> ROUND(  INDEX( Kx!112:112, AR$16 ),  AR$17 )</f>
        <v>0.24679999999999999</v>
      </c>
      <c r="AS112" s="547">
        <f xml:space="preserve"> ROUND(  INDEX( qx!112:112, AS$16 ),  AS$17 )</f>
        <v>0.35110000000000002</v>
      </c>
      <c r="AT112" s="547">
        <f xml:space="preserve"> ROUND(  INDEX( qx!112:112, AT$16 ),  AT$17 )</f>
        <v>0.33069999999999999</v>
      </c>
      <c r="AU112" s="548" t="str">
        <f t="shared" si="156"/>
        <v>F</v>
      </c>
      <c r="AV112" s="542">
        <f t="shared" si="157"/>
        <v>0.17929999999999999</v>
      </c>
      <c r="AW112" s="542">
        <f t="shared" si="158"/>
        <v>0.33439999999999998</v>
      </c>
      <c r="AX112" s="546">
        <f xml:space="preserve"> ROUND(  INDEX( wx!112:112, AX$16 ),  AX$17 )</f>
        <v>0</v>
      </c>
      <c r="AY112" s="546">
        <f xml:space="preserve"> ROUND(  INDEX( wx!112:112, AY$16 ),  AY$17 )</f>
        <v>2.0999999999999999E-3</v>
      </c>
      <c r="AZ112" s="548" t="str">
        <f t="shared" si="159"/>
        <v>M</v>
      </c>
      <c r="BA112" s="542">
        <f t="shared" si="160"/>
        <v>0.32950000000000002</v>
      </c>
      <c r="BB112" s="542">
        <f t="shared" si="161"/>
        <v>1.4E-3</v>
      </c>
      <c r="BC112" s="533">
        <f xml:space="preserve"> ROUND(  INDEX( Kx!112:112, BC$16 ),  BC$17 )</f>
        <v>14207.9</v>
      </c>
      <c r="BD112" s="533">
        <f xml:space="preserve"> ROUND(  INDEX( Kx!112:112, BD$16 ),  BD$17 )</f>
        <v>10411.19</v>
      </c>
      <c r="BE112" s="548" t="str">
        <f t="shared" si="170"/>
        <v>M</v>
      </c>
      <c r="BF112" s="542">
        <f t="shared" si="162"/>
        <v>0.32950000000000002</v>
      </c>
      <c r="BG112" s="420">
        <f t="shared" si="163"/>
        <v>11662.21</v>
      </c>
      <c r="BQ112" s="549"/>
      <c r="BR112" s="423"/>
      <c r="BS112" s="550"/>
      <c r="BT112" s="423"/>
      <c r="BU112" s="551"/>
      <c r="BV112" s="551"/>
      <c r="BW112" s="529"/>
      <c r="BX112" s="552"/>
      <c r="BY112" s="560"/>
      <c r="BZ112" s="559"/>
      <c r="CB112" s="423"/>
      <c r="CC112" s="423"/>
      <c r="CD112" s="423"/>
      <c r="CE112" s="423"/>
      <c r="CF112" s="553"/>
      <c r="CH112" s="423"/>
      <c r="CI112" s="423"/>
      <c r="CJ112" s="423"/>
      <c r="CK112" s="423"/>
      <c r="CL112" s="553"/>
      <c r="CN112" s="423"/>
      <c r="CO112" s="423"/>
      <c r="CP112" s="423"/>
      <c r="CQ112" s="423"/>
      <c r="CR112" s="553"/>
      <c r="EI112" s="553"/>
      <c r="EJ112" s="553"/>
      <c r="EK112" s="423"/>
      <c r="EL112" s="555"/>
      <c r="ES112" s="533"/>
      <c r="ET112" s="533"/>
      <c r="EU112" s="533"/>
      <c r="EV112" s="556"/>
      <c r="EY112" s="533"/>
      <c r="EZ112" s="533"/>
      <c r="FA112" s="556"/>
      <c r="FD112" s="556"/>
      <c r="FE112" s="556"/>
      <c r="FF112" s="556"/>
      <c r="FK112" s="557">
        <f t="shared" si="164"/>
        <v>112</v>
      </c>
      <c r="FL112" s="493" t="str">
        <f t="shared" si="171"/>
        <v>.</v>
      </c>
      <c r="FM112" s="493" t="str">
        <f t="shared" si="172"/>
        <v>.</v>
      </c>
      <c r="FO112" s="427">
        <f t="shared" si="173"/>
        <v>0</v>
      </c>
      <c r="FP112" s="558" t="str">
        <f t="shared" si="184"/>
        <v>.</v>
      </c>
      <c r="FQ112" s="558" t="str">
        <f t="shared" si="184"/>
        <v>.</v>
      </c>
      <c r="FR112" s="558" t="str">
        <f t="shared" si="184"/>
        <v>.</v>
      </c>
      <c r="FS112" s="558" t="str">
        <f t="shared" si="184"/>
        <v>.</v>
      </c>
      <c r="FT112" s="558" t="str">
        <f t="shared" si="184"/>
        <v>.</v>
      </c>
      <c r="FU112" s="558" t="str">
        <f t="shared" si="184"/>
        <v>.</v>
      </c>
      <c r="FV112" s="558" t="str">
        <f t="shared" si="184"/>
        <v>.</v>
      </c>
      <c r="FW112" s="558" t="str">
        <f t="shared" si="184"/>
        <v>.</v>
      </c>
      <c r="FX112" s="558" t="str">
        <f t="shared" si="184"/>
        <v>.</v>
      </c>
      <c r="FY112" s="558" t="str">
        <f t="shared" si="184"/>
        <v>.</v>
      </c>
      <c r="FZ112" s="558" t="str">
        <f t="shared" si="184"/>
        <v>.</v>
      </c>
      <c r="GA112" s="558" t="str">
        <f t="shared" si="184"/>
        <v>.</v>
      </c>
      <c r="GB112" s="558" t="str">
        <f t="shared" si="184"/>
        <v>.</v>
      </c>
      <c r="GC112" s="558" t="str">
        <f t="shared" si="184"/>
        <v>.</v>
      </c>
      <c r="GD112" s="558" t="str">
        <f t="shared" si="184"/>
        <v>.</v>
      </c>
      <c r="GE112" s="558" t="str">
        <f t="shared" si="184"/>
        <v>.</v>
      </c>
      <c r="GF112" s="558" t="str">
        <f t="shared" si="182"/>
        <v>.</v>
      </c>
      <c r="GG112" s="558" t="str">
        <f t="shared" si="182"/>
        <v>.</v>
      </c>
      <c r="GH112" s="558" t="str">
        <f t="shared" si="182"/>
        <v>.</v>
      </c>
      <c r="GI112" s="558" t="str">
        <f t="shared" si="182"/>
        <v>.</v>
      </c>
      <c r="GJ112" s="558" t="str">
        <f t="shared" si="182"/>
        <v>.</v>
      </c>
      <c r="GK112" s="558" t="str">
        <f t="shared" si="182"/>
        <v>.</v>
      </c>
      <c r="GL112" s="558" t="str">
        <f t="shared" si="182"/>
        <v>.</v>
      </c>
      <c r="GM112" s="558" t="str">
        <f t="shared" si="182"/>
        <v>.</v>
      </c>
      <c r="GN112" s="558" t="str">
        <f t="shared" si="182"/>
        <v>.</v>
      </c>
      <c r="GO112" s="558" t="str">
        <f t="shared" si="182"/>
        <v>.</v>
      </c>
      <c r="GP112" s="558" t="str">
        <f t="shared" si="182"/>
        <v>.</v>
      </c>
      <c r="GQ112" s="558" t="str">
        <f t="shared" si="182"/>
        <v>.</v>
      </c>
      <c r="GR112" s="558" t="str">
        <f t="shared" si="182"/>
        <v>.</v>
      </c>
      <c r="GS112" s="558" t="str">
        <f t="shared" si="182"/>
        <v>.</v>
      </c>
      <c r="GT112" s="558" t="str">
        <f t="shared" si="182"/>
        <v>.</v>
      </c>
      <c r="GU112" s="558" t="str">
        <f t="shared" si="180"/>
        <v>.</v>
      </c>
      <c r="GV112" s="558" t="str">
        <f t="shared" si="180"/>
        <v>.</v>
      </c>
      <c r="GW112" s="558" t="str">
        <f t="shared" si="180"/>
        <v>.</v>
      </c>
      <c r="GX112" s="558" t="str">
        <f t="shared" si="180"/>
        <v>.</v>
      </c>
      <c r="GY112" s="558" t="str">
        <f t="shared" si="180"/>
        <v>.</v>
      </c>
      <c r="GZ112" s="558" t="str">
        <f t="shared" si="180"/>
        <v>.</v>
      </c>
      <c r="HA112" s="558" t="str">
        <f t="shared" si="180"/>
        <v>.</v>
      </c>
      <c r="HB112" s="558" t="str">
        <f t="shared" si="180"/>
        <v>.</v>
      </c>
      <c r="HC112" s="558" t="str">
        <f t="shared" si="180"/>
        <v>.</v>
      </c>
      <c r="HD112" s="558" t="str">
        <f t="shared" si="180"/>
        <v>.</v>
      </c>
      <c r="HE112" s="558" t="str">
        <f t="shared" si="180"/>
        <v>.</v>
      </c>
      <c r="HF112" s="558" t="str">
        <f t="shared" si="180"/>
        <v>.</v>
      </c>
      <c r="HG112" s="558" t="str">
        <f t="shared" si="180"/>
        <v>.</v>
      </c>
      <c r="HH112" s="558" t="str">
        <f t="shared" si="180"/>
        <v>.</v>
      </c>
      <c r="HI112" s="558" t="str">
        <f t="shared" si="180"/>
        <v>.</v>
      </c>
      <c r="HJ112" s="558" t="str">
        <f t="shared" si="180"/>
        <v>.</v>
      </c>
      <c r="HK112" s="558" t="str">
        <f t="shared" si="178"/>
        <v>.</v>
      </c>
      <c r="HL112" s="558" t="str">
        <f t="shared" si="178"/>
        <v>.</v>
      </c>
      <c r="HM112" s="558" t="str">
        <f t="shared" si="178"/>
        <v>.</v>
      </c>
      <c r="HN112" s="558" t="str">
        <f t="shared" si="178"/>
        <v>.</v>
      </c>
      <c r="HO112" s="558" t="str">
        <f t="shared" si="178"/>
        <v>.</v>
      </c>
      <c r="HP112" s="558" t="str">
        <f t="shared" si="178"/>
        <v>.</v>
      </c>
      <c r="HQ112" s="558" t="str">
        <f t="shared" si="178"/>
        <v>.</v>
      </c>
      <c r="HR112" s="558" t="str">
        <f t="shared" si="178"/>
        <v>.</v>
      </c>
      <c r="HS112" s="558" t="str">
        <f t="shared" si="178"/>
        <v>.</v>
      </c>
      <c r="HT112" s="558" t="str">
        <f t="shared" si="178"/>
        <v>.</v>
      </c>
      <c r="HU112" s="558" t="str">
        <f t="shared" si="178"/>
        <v>.</v>
      </c>
      <c r="HV112" s="558" t="str">
        <f t="shared" si="178"/>
        <v>.</v>
      </c>
      <c r="HW112" s="558" t="str">
        <f t="shared" si="178"/>
        <v>.</v>
      </c>
      <c r="HX112" s="558" t="str">
        <f t="shared" si="178"/>
        <v>.</v>
      </c>
      <c r="HY112" s="558" t="str">
        <f t="shared" si="178"/>
        <v>.</v>
      </c>
      <c r="HZ112" s="558" t="str">
        <f t="shared" si="178"/>
        <v>.</v>
      </c>
      <c r="IA112" s="558" t="str">
        <f t="shared" si="178"/>
        <v>.</v>
      </c>
      <c r="IB112" s="558" t="str">
        <f t="shared" si="181"/>
        <v>.</v>
      </c>
      <c r="IC112" s="558" t="str">
        <f t="shared" si="181"/>
        <v>.</v>
      </c>
      <c r="ID112" s="558" t="str">
        <f t="shared" si="181"/>
        <v>.</v>
      </c>
      <c r="IE112" s="558" t="str">
        <f t="shared" si="181"/>
        <v>.</v>
      </c>
      <c r="IF112" s="558" t="str">
        <f t="shared" si="181"/>
        <v>.</v>
      </c>
      <c r="IG112" s="558" t="str">
        <f t="shared" si="181"/>
        <v>.</v>
      </c>
      <c r="IH112" s="558" t="str">
        <f t="shared" si="181"/>
        <v>.</v>
      </c>
      <c r="II112" s="558" t="str">
        <f t="shared" si="181"/>
        <v>.</v>
      </c>
      <c r="IJ112" s="558" t="str">
        <f t="shared" si="181"/>
        <v>.</v>
      </c>
      <c r="IK112" s="558" t="str">
        <f t="shared" si="181"/>
        <v>.</v>
      </c>
      <c r="IL112" s="558" t="str">
        <f t="shared" si="181"/>
        <v>.</v>
      </c>
      <c r="IM112" s="558" t="str">
        <f t="shared" si="181"/>
        <v>.</v>
      </c>
      <c r="IN112" s="558" t="str">
        <f t="shared" si="181"/>
        <v>.</v>
      </c>
      <c r="IO112" s="558" t="str">
        <f t="shared" si="181"/>
        <v>.</v>
      </c>
      <c r="IP112" s="558" t="str">
        <f t="shared" si="181"/>
        <v>.</v>
      </c>
      <c r="IQ112" s="558" t="str">
        <f t="shared" si="181"/>
        <v>.</v>
      </c>
      <c r="IR112" s="558" t="str">
        <f t="shared" si="181"/>
        <v>.</v>
      </c>
      <c r="IS112" s="558" t="str">
        <f t="shared" si="181"/>
        <v>.</v>
      </c>
      <c r="IT112" s="558" t="str">
        <f t="shared" si="181"/>
        <v>.</v>
      </c>
      <c r="IU112" s="558" t="str">
        <f t="shared" si="181"/>
        <v>.</v>
      </c>
      <c r="IV112" s="558" t="str">
        <f t="shared" si="181"/>
        <v>.</v>
      </c>
      <c r="IW112" s="558" t="str">
        <f t="shared" si="190"/>
        <v>.</v>
      </c>
      <c r="IX112" s="558" t="str">
        <f t="shared" si="190"/>
        <v>.</v>
      </c>
      <c r="IY112" s="558" t="str">
        <f t="shared" si="190"/>
        <v>.</v>
      </c>
      <c r="IZ112" s="558" t="str">
        <f t="shared" si="190"/>
        <v>.</v>
      </c>
      <c r="JA112" s="558" t="str">
        <f t="shared" si="190"/>
        <v>.</v>
      </c>
      <c r="JB112" s="558" t="str">
        <f t="shared" si="190"/>
        <v>.</v>
      </c>
      <c r="JC112" s="558" t="str">
        <f t="shared" si="190"/>
        <v>.</v>
      </c>
      <c r="JD112" s="558" t="str">
        <f t="shared" si="190"/>
        <v>.</v>
      </c>
      <c r="JE112" s="558" t="str">
        <f t="shared" si="190"/>
        <v>.</v>
      </c>
      <c r="JF112" s="558" t="str">
        <f t="shared" si="190"/>
        <v>.</v>
      </c>
      <c r="JG112" s="558" t="str">
        <f t="shared" si="190"/>
        <v>.</v>
      </c>
      <c r="JH112" s="558" t="str">
        <f t="shared" si="188"/>
        <v>.</v>
      </c>
      <c r="JI112" s="558" t="str">
        <f t="shared" si="188"/>
        <v>.</v>
      </c>
      <c r="JJ112" s="558" t="str">
        <f t="shared" si="188"/>
        <v>.</v>
      </c>
      <c r="JK112" s="558" t="str">
        <f t="shared" si="188"/>
        <v>.</v>
      </c>
      <c r="JL112" s="558" t="str">
        <f t="shared" si="188"/>
        <v>.</v>
      </c>
    </row>
    <row r="113" spans="1:272" ht="10.199999999999999" x14ac:dyDescent="0.2">
      <c r="A113" s="534">
        <f xml:space="preserve"> Basis!A113</f>
        <v>113</v>
      </c>
      <c r="F113" s="536">
        <f xml:space="preserve"> ROUND(    IF( $A$15=BE_MF_,   AW113,   INDEX( qx!113:113, F$16 ) ),    F$17    )</f>
        <v>0.3402</v>
      </c>
      <c r="G113" s="536">
        <f xml:space="preserve"> ROUND(    IF( $A$15=BE_MF_,   BB113,   INDEX( wx!113:113, G$16 ) ),    G$17    )</f>
        <v>1.4E-3</v>
      </c>
      <c r="H113" s="537">
        <f xml:space="preserve"> ROUND(    IF( $A$15=BE_MF_,   BG113,   INDEX( Kx!113:113, H$16 ) ),    H$17    )</f>
        <v>11696.66</v>
      </c>
      <c r="I113" s="538">
        <f t="shared" si="167"/>
        <v>11696.66</v>
      </c>
      <c r="J113" s="539">
        <f t="shared" si="135"/>
        <v>5.6289999999999996</v>
      </c>
      <c r="K113" s="540">
        <f t="shared" si="168"/>
        <v>0</v>
      </c>
      <c r="L113" s="541">
        <f t="shared" si="187"/>
        <v>0</v>
      </c>
      <c r="M113" s="541">
        <f t="shared" si="187"/>
        <v>8.5999999999999993E-2</v>
      </c>
      <c r="O113" s="542" t="b">
        <f t="shared" si="169"/>
        <v>0</v>
      </c>
      <c r="P113" s="493" t="str">
        <f t="shared" si="136"/>
        <v>.</v>
      </c>
      <c r="Q113" s="493" t="str">
        <f t="shared" si="137"/>
        <v>.</v>
      </c>
      <c r="R113" s="543" t="str">
        <f t="shared" si="138"/>
        <v>.</v>
      </c>
      <c r="S113" s="544" t="str">
        <f t="shared" si="139"/>
        <v>.</v>
      </c>
      <c r="T113" s="423" t="str">
        <f t="shared" si="140"/>
        <v>.</v>
      </c>
      <c r="U113" s="423" t="str">
        <f xml:space="preserve"> IF( $O113,    ROUND(  SUM( T113:T$120), U$17 ),  LEER  )</f>
        <v>.</v>
      </c>
      <c r="V113" s="493" t="str">
        <f t="shared" si="141"/>
        <v>.</v>
      </c>
      <c r="W113" s="493" t="str">
        <f t="shared" si="142"/>
        <v>.</v>
      </c>
      <c r="X113" s="493" t="str">
        <f xml:space="preserve"> IF( $O113,    ROUND(  SUM( W113:W$120), X$17 ),  LEER  )</f>
        <v>.</v>
      </c>
      <c r="Y113" s="493" t="str">
        <f t="shared" si="143"/>
        <v>.</v>
      </c>
      <c r="Z113" s="493" t="str">
        <f t="shared" si="144"/>
        <v>.</v>
      </c>
      <c r="AA113" s="493" t="str">
        <f t="shared" si="145"/>
        <v>.</v>
      </c>
      <c r="AB113" s="493" t="str">
        <f t="shared" si="146"/>
        <v>.</v>
      </c>
      <c r="AC113" s="545" t="str">
        <f t="shared" si="147"/>
        <v>.</v>
      </c>
      <c r="AD113" s="493" t="str">
        <f t="shared" si="148"/>
        <v>.</v>
      </c>
      <c r="AE113" s="493" t="str">
        <f t="shared" si="149"/>
        <v>.</v>
      </c>
      <c r="AF113" s="493" t="str">
        <f t="shared" si="150"/>
        <v>.</v>
      </c>
      <c r="AG113" s="493" t="str">
        <f t="shared" si="151"/>
        <v>.</v>
      </c>
      <c r="AH113" s="493" t="str">
        <f t="shared" si="152"/>
        <v>.</v>
      </c>
      <c r="AI113" s="423" t="str">
        <f t="shared" si="153"/>
        <v>.</v>
      </c>
      <c r="AJ113" s="423" t="str">
        <f t="shared" si="154"/>
        <v>.</v>
      </c>
      <c r="AK113" s="423" t="str">
        <f t="shared" si="155"/>
        <v>.</v>
      </c>
      <c r="AN113" s="423" t="str">
        <f t="shared" si="183"/>
        <v>.</v>
      </c>
      <c r="AO113" s="423" t="str">
        <f t="shared" si="183"/>
        <v>.</v>
      </c>
      <c r="AR113" s="546">
        <f xml:space="preserve"> ROUND(  INDEX( Kx!113:113, AR$16 ),  AR$17 )</f>
        <v>0.24679999999999999</v>
      </c>
      <c r="AS113" s="547">
        <f xml:space="preserve"> ROUND(  INDEX( qx!113:113, AS$16 ),  AS$17 )</f>
        <v>0.35770000000000002</v>
      </c>
      <c r="AT113" s="547">
        <f xml:space="preserve"> ROUND(  INDEX( qx!113:113, AT$16 ),  AT$17 )</f>
        <v>0.33639999999999998</v>
      </c>
      <c r="AU113" s="548" t="str">
        <f t="shared" si="156"/>
        <v>F</v>
      </c>
      <c r="AV113" s="542">
        <f t="shared" si="157"/>
        <v>0.17929999999999999</v>
      </c>
      <c r="AW113" s="542">
        <f t="shared" si="158"/>
        <v>0.3402</v>
      </c>
      <c r="AX113" s="546">
        <f xml:space="preserve"> ROUND(  INDEX( wx!113:113, AX$16 ),  AX$17 )</f>
        <v>0</v>
      </c>
      <c r="AY113" s="546">
        <f xml:space="preserve"> ROUND(  INDEX( wx!113:113, AY$16 ),  AY$17 )</f>
        <v>2.0999999999999999E-3</v>
      </c>
      <c r="AZ113" s="548" t="str">
        <f t="shared" si="159"/>
        <v>M</v>
      </c>
      <c r="BA113" s="542">
        <f t="shared" si="160"/>
        <v>0.32950000000000002</v>
      </c>
      <c r="BB113" s="542">
        <f t="shared" si="161"/>
        <v>1.4E-3</v>
      </c>
      <c r="BC113" s="533">
        <f xml:space="preserve"> ROUND(  INDEX( Kx!113:113, BC$16 ),  BC$17 )</f>
        <v>14286.59</v>
      </c>
      <c r="BD113" s="533">
        <f xml:space="preserve"> ROUND(  INDEX( Kx!113:113, BD$16 ),  BD$17 )</f>
        <v>10423.91</v>
      </c>
      <c r="BE113" s="548" t="str">
        <f t="shared" si="170"/>
        <v>M</v>
      </c>
      <c r="BF113" s="542">
        <f t="shared" si="162"/>
        <v>0.32950000000000002</v>
      </c>
      <c r="BG113" s="420">
        <f t="shared" si="163"/>
        <v>11696.66</v>
      </c>
      <c r="BQ113" s="549"/>
      <c r="BR113" s="423"/>
      <c r="BS113" s="550"/>
      <c r="BT113" s="423"/>
      <c r="BU113" s="551"/>
      <c r="BV113" s="551"/>
      <c r="BW113" s="529"/>
      <c r="BX113" s="552"/>
      <c r="BY113" s="560"/>
      <c r="BZ113" s="559"/>
      <c r="CB113" s="423"/>
      <c r="CC113" s="423"/>
      <c r="CD113" s="423"/>
      <c r="CE113" s="423"/>
      <c r="CF113" s="553"/>
      <c r="CH113" s="423"/>
      <c r="CI113" s="423"/>
      <c r="CJ113" s="423"/>
      <c r="CK113" s="423"/>
      <c r="CL113" s="553"/>
      <c r="CN113" s="423"/>
      <c r="CO113" s="423"/>
      <c r="CP113" s="423"/>
      <c r="CQ113" s="423"/>
      <c r="CR113" s="553"/>
      <c r="EI113" s="553"/>
      <c r="EJ113" s="553"/>
      <c r="EK113" s="423"/>
      <c r="EL113" s="555"/>
      <c r="ES113" s="533"/>
      <c r="ET113" s="533"/>
      <c r="EU113" s="533"/>
      <c r="EV113" s="556"/>
      <c r="EY113" s="533"/>
      <c r="EZ113" s="533"/>
      <c r="FA113" s="556"/>
      <c r="FD113" s="556"/>
      <c r="FE113" s="556"/>
      <c r="FF113" s="556"/>
      <c r="FK113" s="557">
        <f t="shared" si="164"/>
        <v>113</v>
      </c>
      <c r="FL113" s="493" t="str">
        <f t="shared" si="171"/>
        <v>.</v>
      </c>
      <c r="FM113" s="493" t="str">
        <f t="shared" si="172"/>
        <v>.</v>
      </c>
      <c r="FO113" s="427">
        <f t="shared" si="173"/>
        <v>0</v>
      </c>
      <c r="FP113" s="558" t="str">
        <f t="shared" si="184"/>
        <v>.</v>
      </c>
      <c r="FQ113" s="558" t="str">
        <f t="shared" si="184"/>
        <v>.</v>
      </c>
      <c r="FR113" s="558" t="str">
        <f t="shared" si="184"/>
        <v>.</v>
      </c>
      <c r="FS113" s="558" t="str">
        <f t="shared" si="184"/>
        <v>.</v>
      </c>
      <c r="FT113" s="558" t="str">
        <f t="shared" si="184"/>
        <v>.</v>
      </c>
      <c r="FU113" s="558" t="str">
        <f t="shared" si="184"/>
        <v>.</v>
      </c>
      <c r="FV113" s="558" t="str">
        <f t="shared" si="184"/>
        <v>.</v>
      </c>
      <c r="FW113" s="558" t="str">
        <f t="shared" si="184"/>
        <v>.</v>
      </c>
      <c r="FX113" s="558" t="str">
        <f t="shared" si="184"/>
        <v>.</v>
      </c>
      <c r="FY113" s="558" t="str">
        <f t="shared" si="184"/>
        <v>.</v>
      </c>
      <c r="FZ113" s="558" t="str">
        <f t="shared" si="184"/>
        <v>.</v>
      </c>
      <c r="GA113" s="558" t="str">
        <f t="shared" si="184"/>
        <v>.</v>
      </c>
      <c r="GB113" s="558" t="str">
        <f t="shared" si="184"/>
        <v>.</v>
      </c>
      <c r="GC113" s="558" t="str">
        <f t="shared" si="184"/>
        <v>.</v>
      </c>
      <c r="GD113" s="558" t="str">
        <f t="shared" si="184"/>
        <v>.</v>
      </c>
      <c r="GE113" s="558" t="str">
        <f t="shared" si="184"/>
        <v>.</v>
      </c>
      <c r="GF113" s="558" t="str">
        <f t="shared" si="182"/>
        <v>.</v>
      </c>
      <c r="GG113" s="558" t="str">
        <f t="shared" si="182"/>
        <v>.</v>
      </c>
      <c r="GH113" s="558" t="str">
        <f t="shared" si="182"/>
        <v>.</v>
      </c>
      <c r="GI113" s="558" t="str">
        <f t="shared" si="182"/>
        <v>.</v>
      </c>
      <c r="GJ113" s="558" t="str">
        <f t="shared" si="182"/>
        <v>.</v>
      </c>
      <c r="GK113" s="558" t="str">
        <f t="shared" si="182"/>
        <v>.</v>
      </c>
      <c r="GL113" s="558" t="str">
        <f t="shared" si="182"/>
        <v>.</v>
      </c>
      <c r="GM113" s="558" t="str">
        <f t="shared" si="182"/>
        <v>.</v>
      </c>
      <c r="GN113" s="558" t="str">
        <f t="shared" si="182"/>
        <v>.</v>
      </c>
      <c r="GO113" s="558" t="str">
        <f t="shared" si="182"/>
        <v>.</v>
      </c>
      <c r="GP113" s="558" t="str">
        <f t="shared" si="182"/>
        <v>.</v>
      </c>
      <c r="GQ113" s="558" t="str">
        <f t="shared" si="182"/>
        <v>.</v>
      </c>
      <c r="GR113" s="558" t="str">
        <f t="shared" si="182"/>
        <v>.</v>
      </c>
      <c r="GS113" s="558" t="str">
        <f t="shared" si="182"/>
        <v>.</v>
      </c>
      <c r="GT113" s="558" t="str">
        <f t="shared" si="182"/>
        <v>.</v>
      </c>
      <c r="GU113" s="558" t="str">
        <f t="shared" si="180"/>
        <v>.</v>
      </c>
      <c r="GV113" s="558" t="str">
        <f t="shared" si="180"/>
        <v>.</v>
      </c>
      <c r="GW113" s="558" t="str">
        <f t="shared" si="180"/>
        <v>.</v>
      </c>
      <c r="GX113" s="558" t="str">
        <f t="shared" si="180"/>
        <v>.</v>
      </c>
      <c r="GY113" s="558" t="str">
        <f t="shared" si="180"/>
        <v>.</v>
      </c>
      <c r="GZ113" s="558" t="str">
        <f t="shared" si="180"/>
        <v>.</v>
      </c>
      <c r="HA113" s="558" t="str">
        <f t="shared" si="180"/>
        <v>.</v>
      </c>
      <c r="HB113" s="558" t="str">
        <f t="shared" si="180"/>
        <v>.</v>
      </c>
      <c r="HC113" s="558" t="str">
        <f t="shared" si="180"/>
        <v>.</v>
      </c>
      <c r="HD113" s="558" t="str">
        <f t="shared" si="180"/>
        <v>.</v>
      </c>
      <c r="HE113" s="558" t="str">
        <f t="shared" si="180"/>
        <v>.</v>
      </c>
      <c r="HF113" s="558" t="str">
        <f t="shared" si="180"/>
        <v>.</v>
      </c>
      <c r="HG113" s="558" t="str">
        <f t="shared" si="180"/>
        <v>.</v>
      </c>
      <c r="HH113" s="558" t="str">
        <f t="shared" si="180"/>
        <v>.</v>
      </c>
      <c r="HI113" s="558" t="str">
        <f t="shared" si="180"/>
        <v>.</v>
      </c>
      <c r="HJ113" s="558" t="str">
        <f t="shared" ref="HJ113:IA120" si="191" xml:space="preserve"> IF(  OR( HJ$18&gt;$FK113, $FK113&gt;$FP$12 ),  LEER,  ROUND( $FO$19 * ( $FL113 - HJ$15 * $FM113 ), HJ$17 )  )</f>
        <v>.</v>
      </c>
      <c r="HK113" s="558" t="str">
        <f t="shared" si="191"/>
        <v>.</v>
      </c>
      <c r="HL113" s="558" t="str">
        <f t="shared" si="191"/>
        <v>.</v>
      </c>
      <c r="HM113" s="558" t="str">
        <f t="shared" si="191"/>
        <v>.</v>
      </c>
      <c r="HN113" s="558" t="str">
        <f t="shared" si="191"/>
        <v>.</v>
      </c>
      <c r="HO113" s="558" t="str">
        <f t="shared" si="191"/>
        <v>.</v>
      </c>
      <c r="HP113" s="558" t="str">
        <f t="shared" si="191"/>
        <v>.</v>
      </c>
      <c r="HQ113" s="558" t="str">
        <f t="shared" si="191"/>
        <v>.</v>
      </c>
      <c r="HR113" s="558" t="str">
        <f t="shared" si="191"/>
        <v>.</v>
      </c>
      <c r="HS113" s="558" t="str">
        <f t="shared" si="191"/>
        <v>.</v>
      </c>
      <c r="HT113" s="558" t="str">
        <f t="shared" si="191"/>
        <v>.</v>
      </c>
      <c r="HU113" s="558" t="str">
        <f t="shared" si="191"/>
        <v>.</v>
      </c>
      <c r="HV113" s="558" t="str">
        <f t="shared" si="191"/>
        <v>.</v>
      </c>
      <c r="HW113" s="558" t="str">
        <f t="shared" si="191"/>
        <v>.</v>
      </c>
      <c r="HX113" s="558" t="str">
        <f t="shared" si="191"/>
        <v>.</v>
      </c>
      <c r="HY113" s="558" t="str">
        <f t="shared" si="191"/>
        <v>.</v>
      </c>
      <c r="HZ113" s="558" t="str">
        <f t="shared" si="191"/>
        <v>.</v>
      </c>
      <c r="IA113" s="558" t="str">
        <f t="shared" si="191"/>
        <v>.</v>
      </c>
      <c r="IB113" s="558" t="str">
        <f t="shared" si="181"/>
        <v>.</v>
      </c>
      <c r="IC113" s="558" t="str">
        <f t="shared" si="181"/>
        <v>.</v>
      </c>
      <c r="ID113" s="558" t="str">
        <f t="shared" si="181"/>
        <v>.</v>
      </c>
      <c r="IE113" s="558" t="str">
        <f t="shared" si="181"/>
        <v>.</v>
      </c>
      <c r="IF113" s="558" t="str">
        <f t="shared" si="181"/>
        <v>.</v>
      </c>
      <c r="IG113" s="558" t="str">
        <f t="shared" si="181"/>
        <v>.</v>
      </c>
      <c r="IH113" s="558" t="str">
        <f t="shared" si="181"/>
        <v>.</v>
      </c>
      <c r="II113" s="558" t="str">
        <f t="shared" si="181"/>
        <v>.</v>
      </c>
      <c r="IJ113" s="558" t="str">
        <f t="shared" si="181"/>
        <v>.</v>
      </c>
      <c r="IK113" s="558" t="str">
        <f t="shared" si="181"/>
        <v>.</v>
      </c>
      <c r="IL113" s="558" t="str">
        <f t="shared" si="181"/>
        <v>.</v>
      </c>
      <c r="IM113" s="558" t="str">
        <f t="shared" si="181"/>
        <v>.</v>
      </c>
      <c r="IN113" s="558" t="str">
        <f t="shared" si="181"/>
        <v>.</v>
      </c>
      <c r="IO113" s="558" t="str">
        <f t="shared" si="181"/>
        <v>.</v>
      </c>
      <c r="IP113" s="558" t="str">
        <f t="shared" si="181"/>
        <v>.</v>
      </c>
      <c r="IQ113" s="558" t="str">
        <f t="shared" si="181"/>
        <v>.</v>
      </c>
      <c r="IR113" s="558" t="str">
        <f t="shared" si="181"/>
        <v>.</v>
      </c>
      <c r="IS113" s="558" t="str">
        <f t="shared" si="181"/>
        <v>.</v>
      </c>
      <c r="IT113" s="558" t="str">
        <f t="shared" si="181"/>
        <v>.</v>
      </c>
      <c r="IU113" s="558" t="str">
        <f t="shared" si="181"/>
        <v>.</v>
      </c>
      <c r="IV113" s="558" t="str">
        <f t="shared" si="181"/>
        <v>.</v>
      </c>
      <c r="IW113" s="558" t="str">
        <f t="shared" si="190"/>
        <v>.</v>
      </c>
      <c r="IX113" s="558" t="str">
        <f t="shared" si="190"/>
        <v>.</v>
      </c>
      <c r="IY113" s="558" t="str">
        <f t="shared" si="190"/>
        <v>.</v>
      </c>
      <c r="IZ113" s="558" t="str">
        <f t="shared" si="190"/>
        <v>.</v>
      </c>
      <c r="JA113" s="558" t="str">
        <f t="shared" si="190"/>
        <v>.</v>
      </c>
      <c r="JB113" s="558" t="str">
        <f t="shared" si="190"/>
        <v>.</v>
      </c>
      <c r="JC113" s="558" t="str">
        <f t="shared" si="190"/>
        <v>.</v>
      </c>
      <c r="JD113" s="558" t="str">
        <f t="shared" si="190"/>
        <v>.</v>
      </c>
      <c r="JE113" s="558" t="str">
        <f t="shared" si="190"/>
        <v>.</v>
      </c>
      <c r="JF113" s="558" t="str">
        <f t="shared" si="190"/>
        <v>.</v>
      </c>
      <c r="JG113" s="558" t="str">
        <f t="shared" si="190"/>
        <v>.</v>
      </c>
      <c r="JH113" s="558" t="str">
        <f t="shared" si="188"/>
        <v>.</v>
      </c>
      <c r="JI113" s="558" t="str">
        <f t="shared" si="188"/>
        <v>.</v>
      </c>
      <c r="JJ113" s="558" t="str">
        <f t="shared" si="188"/>
        <v>.</v>
      </c>
      <c r="JK113" s="558" t="str">
        <f t="shared" si="188"/>
        <v>.</v>
      </c>
      <c r="JL113" s="558" t="str">
        <f t="shared" si="188"/>
        <v>.</v>
      </c>
    </row>
    <row r="114" spans="1:272" ht="10.199999999999999" x14ac:dyDescent="0.2">
      <c r="A114" s="534">
        <f xml:space="preserve"> Basis!A114</f>
        <v>114</v>
      </c>
      <c r="F114" s="536">
        <f xml:space="preserve"> ROUND(    IF( $A$15=BE_MF_,   AW114,   INDEX( qx!114:114, F$16 ) ),    F$17    )</f>
        <v>0.34610000000000002</v>
      </c>
      <c r="G114" s="536">
        <f xml:space="preserve"> ROUND(    IF( $A$15=BE_MF_,   BB114,   INDEX( wx!114:114, G$16 ) ),    G$17    )</f>
        <v>1.4E-3</v>
      </c>
      <c r="H114" s="537">
        <f xml:space="preserve"> ROUND(    IF( $A$15=BE_MF_,   BG114,   INDEX( Kx!114:114, H$16 ) ),    H$17    )</f>
        <v>11731.11</v>
      </c>
      <c r="I114" s="538">
        <f t="shared" si="167"/>
        <v>11731.11</v>
      </c>
      <c r="J114" s="539">
        <f t="shared" si="135"/>
        <v>5.6459999999999999</v>
      </c>
      <c r="K114" s="540">
        <f t="shared" si="168"/>
        <v>0</v>
      </c>
      <c r="L114" s="541">
        <f t="shared" si="187"/>
        <v>0</v>
      </c>
      <c r="M114" s="541">
        <f t="shared" si="187"/>
        <v>8.5999999999999993E-2</v>
      </c>
      <c r="O114" s="542" t="b">
        <f t="shared" si="169"/>
        <v>0</v>
      </c>
      <c r="P114" s="493" t="str">
        <f t="shared" si="136"/>
        <v>.</v>
      </c>
      <c r="Q114" s="493" t="str">
        <f t="shared" si="137"/>
        <v>.</v>
      </c>
      <c r="R114" s="543" t="str">
        <f t="shared" si="138"/>
        <v>.</v>
      </c>
      <c r="S114" s="544" t="str">
        <f t="shared" si="139"/>
        <v>.</v>
      </c>
      <c r="T114" s="423" t="str">
        <f t="shared" si="140"/>
        <v>.</v>
      </c>
      <c r="U114" s="423" t="str">
        <f xml:space="preserve"> IF( $O114,    ROUND(  SUM( T114:T$120), U$17 ),  LEER  )</f>
        <v>.</v>
      </c>
      <c r="V114" s="493" t="str">
        <f t="shared" si="141"/>
        <v>.</v>
      </c>
      <c r="W114" s="493" t="str">
        <f t="shared" si="142"/>
        <v>.</v>
      </c>
      <c r="X114" s="493" t="str">
        <f xml:space="preserve"> IF( $O114,    ROUND(  SUM( W114:W$120), X$17 ),  LEER  )</f>
        <v>.</v>
      </c>
      <c r="Y114" s="493" t="str">
        <f t="shared" si="143"/>
        <v>.</v>
      </c>
      <c r="Z114" s="493" t="str">
        <f t="shared" si="144"/>
        <v>.</v>
      </c>
      <c r="AA114" s="493" t="str">
        <f t="shared" si="145"/>
        <v>.</v>
      </c>
      <c r="AB114" s="493" t="str">
        <f t="shared" si="146"/>
        <v>.</v>
      </c>
      <c r="AC114" s="545" t="str">
        <f t="shared" si="147"/>
        <v>.</v>
      </c>
      <c r="AD114" s="493" t="str">
        <f t="shared" si="148"/>
        <v>.</v>
      </c>
      <c r="AE114" s="493" t="str">
        <f t="shared" si="149"/>
        <v>.</v>
      </c>
      <c r="AF114" s="493" t="str">
        <f t="shared" si="150"/>
        <v>.</v>
      </c>
      <c r="AG114" s="493" t="str">
        <f t="shared" si="151"/>
        <v>.</v>
      </c>
      <c r="AH114" s="493" t="str">
        <f t="shared" si="152"/>
        <v>.</v>
      </c>
      <c r="AI114" s="423" t="str">
        <f t="shared" si="153"/>
        <v>.</v>
      </c>
      <c r="AJ114" s="423" t="str">
        <f t="shared" si="154"/>
        <v>.</v>
      </c>
      <c r="AK114" s="423" t="str">
        <f t="shared" si="155"/>
        <v>.</v>
      </c>
      <c r="AN114" s="423" t="str">
        <f t="shared" si="183"/>
        <v>.</v>
      </c>
      <c r="AO114" s="423" t="str">
        <f t="shared" si="183"/>
        <v>.</v>
      </c>
      <c r="AR114" s="546">
        <f xml:space="preserve"> ROUND(  INDEX( Kx!114:114, AR$16 ),  AR$17 )</f>
        <v>0.24679999999999999</v>
      </c>
      <c r="AS114" s="547">
        <f xml:space="preserve"> ROUND(  INDEX( qx!114:114, AS$16 ),  AS$17 )</f>
        <v>0.36420000000000002</v>
      </c>
      <c r="AT114" s="547">
        <f xml:space="preserve"> ROUND(  INDEX( qx!114:114, AT$16 ),  AT$17 )</f>
        <v>0.34210000000000002</v>
      </c>
      <c r="AU114" s="548" t="str">
        <f t="shared" si="156"/>
        <v>F</v>
      </c>
      <c r="AV114" s="542">
        <f t="shared" si="157"/>
        <v>0.17929999999999999</v>
      </c>
      <c r="AW114" s="542">
        <f t="shared" si="158"/>
        <v>0.34610000000000002</v>
      </c>
      <c r="AX114" s="546">
        <f xml:space="preserve"> ROUND(  INDEX( wx!114:114, AX$16 ),  AX$17 )</f>
        <v>0</v>
      </c>
      <c r="AY114" s="546">
        <f xml:space="preserve"> ROUND(  INDEX( wx!114:114, AY$16 ),  AY$17 )</f>
        <v>2.0999999999999999E-3</v>
      </c>
      <c r="AZ114" s="548" t="str">
        <f t="shared" si="159"/>
        <v>M</v>
      </c>
      <c r="BA114" s="542">
        <f t="shared" si="160"/>
        <v>0.32950000000000002</v>
      </c>
      <c r="BB114" s="542">
        <f t="shared" si="161"/>
        <v>1.4E-3</v>
      </c>
      <c r="BC114" s="533">
        <f xml:space="preserve"> ROUND(  INDEX( Kx!114:114, BC$16 ),  BC$17 )</f>
        <v>14365.28</v>
      </c>
      <c r="BD114" s="533">
        <f xml:space="preserve"> ROUND(  INDEX( Kx!114:114, BD$16 ),  BD$17 )</f>
        <v>10436.620000000001</v>
      </c>
      <c r="BE114" s="548" t="str">
        <f t="shared" si="170"/>
        <v>M</v>
      </c>
      <c r="BF114" s="542">
        <f t="shared" si="162"/>
        <v>0.32950000000000002</v>
      </c>
      <c r="BG114" s="420">
        <f t="shared" si="163"/>
        <v>11731.11</v>
      </c>
      <c r="BQ114" s="549"/>
      <c r="BR114" s="423"/>
      <c r="BS114" s="550"/>
      <c r="BT114" s="423"/>
      <c r="BU114" s="551"/>
      <c r="BV114" s="551"/>
      <c r="BW114" s="529"/>
      <c r="BX114" s="552"/>
      <c r="BY114" s="560"/>
      <c r="BZ114" s="559"/>
      <c r="CB114" s="423"/>
      <c r="CC114" s="423"/>
      <c r="CD114" s="423"/>
      <c r="CE114" s="423"/>
      <c r="CF114" s="553"/>
      <c r="CH114" s="423"/>
      <c r="CI114" s="423"/>
      <c r="CJ114" s="423"/>
      <c r="CK114" s="423"/>
      <c r="CL114" s="553"/>
      <c r="CN114" s="423"/>
      <c r="CO114" s="423"/>
      <c r="CP114" s="423"/>
      <c r="CQ114" s="423"/>
      <c r="CR114" s="553"/>
      <c r="EI114" s="553"/>
      <c r="EJ114" s="553"/>
      <c r="EK114" s="423"/>
      <c r="EL114" s="555"/>
      <c r="ES114" s="533"/>
      <c r="ET114" s="533"/>
      <c r="EU114" s="533"/>
      <c r="EV114" s="556"/>
      <c r="EY114" s="533"/>
      <c r="EZ114" s="533"/>
      <c r="FA114" s="556"/>
      <c r="FD114" s="556"/>
      <c r="FE114" s="556"/>
      <c r="FF114" s="556"/>
      <c r="FK114" s="557">
        <f t="shared" si="164"/>
        <v>114</v>
      </c>
      <c r="FL114" s="493" t="str">
        <f t="shared" si="171"/>
        <v>.</v>
      </c>
      <c r="FM114" s="493" t="str">
        <f t="shared" si="172"/>
        <v>.</v>
      </c>
      <c r="FO114" s="427">
        <f t="shared" si="173"/>
        <v>0</v>
      </c>
      <c r="FP114" s="558" t="str">
        <f t="shared" si="184"/>
        <v>.</v>
      </c>
      <c r="FQ114" s="558" t="str">
        <f t="shared" si="184"/>
        <v>.</v>
      </c>
      <c r="FR114" s="558" t="str">
        <f t="shared" si="184"/>
        <v>.</v>
      </c>
      <c r="FS114" s="558" t="str">
        <f t="shared" si="184"/>
        <v>.</v>
      </c>
      <c r="FT114" s="558" t="str">
        <f t="shared" si="184"/>
        <v>.</v>
      </c>
      <c r="FU114" s="558" t="str">
        <f t="shared" si="184"/>
        <v>.</v>
      </c>
      <c r="FV114" s="558" t="str">
        <f t="shared" si="184"/>
        <v>.</v>
      </c>
      <c r="FW114" s="558" t="str">
        <f t="shared" si="184"/>
        <v>.</v>
      </c>
      <c r="FX114" s="558" t="str">
        <f t="shared" si="184"/>
        <v>.</v>
      </c>
      <c r="FY114" s="558" t="str">
        <f t="shared" si="184"/>
        <v>.</v>
      </c>
      <c r="FZ114" s="558" t="str">
        <f t="shared" si="184"/>
        <v>.</v>
      </c>
      <c r="GA114" s="558" t="str">
        <f t="shared" si="184"/>
        <v>.</v>
      </c>
      <c r="GB114" s="558" t="str">
        <f t="shared" si="184"/>
        <v>.</v>
      </c>
      <c r="GC114" s="558" t="str">
        <f t="shared" si="184"/>
        <v>.</v>
      </c>
      <c r="GD114" s="558" t="str">
        <f t="shared" si="184"/>
        <v>.</v>
      </c>
      <c r="GE114" s="558" t="str">
        <f t="shared" si="184"/>
        <v>.</v>
      </c>
      <c r="GF114" s="558" t="str">
        <f t="shared" si="182"/>
        <v>.</v>
      </c>
      <c r="GG114" s="558" t="str">
        <f t="shared" si="182"/>
        <v>.</v>
      </c>
      <c r="GH114" s="558" t="str">
        <f t="shared" si="182"/>
        <v>.</v>
      </c>
      <c r="GI114" s="558" t="str">
        <f t="shared" si="182"/>
        <v>.</v>
      </c>
      <c r="GJ114" s="558" t="str">
        <f t="shared" si="182"/>
        <v>.</v>
      </c>
      <c r="GK114" s="558" t="str">
        <f t="shared" si="182"/>
        <v>.</v>
      </c>
      <c r="GL114" s="558" t="str">
        <f t="shared" si="182"/>
        <v>.</v>
      </c>
      <c r="GM114" s="558" t="str">
        <f t="shared" si="182"/>
        <v>.</v>
      </c>
      <c r="GN114" s="558" t="str">
        <f t="shared" si="182"/>
        <v>.</v>
      </c>
      <c r="GO114" s="558" t="str">
        <f t="shared" si="182"/>
        <v>.</v>
      </c>
      <c r="GP114" s="558" t="str">
        <f t="shared" si="182"/>
        <v>.</v>
      </c>
      <c r="GQ114" s="558" t="str">
        <f t="shared" si="182"/>
        <v>.</v>
      </c>
      <c r="GR114" s="558" t="str">
        <f t="shared" si="182"/>
        <v>.</v>
      </c>
      <c r="GS114" s="558" t="str">
        <f t="shared" si="182"/>
        <v>.</v>
      </c>
      <c r="GT114" s="558" t="str">
        <f t="shared" si="182"/>
        <v>.</v>
      </c>
      <c r="GU114" s="558" t="str">
        <f t="shared" ref="GU114:HJ120" si="192" xml:space="preserve"> IF(  OR( GU$18&gt;$FK114, $FK114&gt;$FP$12 ),  LEER,  ROUND( $FO$19 * ( $FL114 - GU$15 * $FM114 ), GU$17 )  )</f>
        <v>.</v>
      </c>
      <c r="GV114" s="558" t="str">
        <f t="shared" si="192"/>
        <v>.</v>
      </c>
      <c r="GW114" s="558" t="str">
        <f t="shared" si="192"/>
        <v>.</v>
      </c>
      <c r="GX114" s="558" t="str">
        <f t="shared" si="192"/>
        <v>.</v>
      </c>
      <c r="GY114" s="558" t="str">
        <f t="shared" si="192"/>
        <v>.</v>
      </c>
      <c r="GZ114" s="558" t="str">
        <f t="shared" si="192"/>
        <v>.</v>
      </c>
      <c r="HA114" s="558" t="str">
        <f t="shared" si="192"/>
        <v>.</v>
      </c>
      <c r="HB114" s="558" t="str">
        <f t="shared" si="192"/>
        <v>.</v>
      </c>
      <c r="HC114" s="558" t="str">
        <f t="shared" si="192"/>
        <v>.</v>
      </c>
      <c r="HD114" s="558" t="str">
        <f t="shared" si="192"/>
        <v>.</v>
      </c>
      <c r="HE114" s="558" t="str">
        <f t="shared" si="192"/>
        <v>.</v>
      </c>
      <c r="HF114" s="558" t="str">
        <f t="shared" si="192"/>
        <v>.</v>
      </c>
      <c r="HG114" s="558" t="str">
        <f t="shared" si="192"/>
        <v>.</v>
      </c>
      <c r="HH114" s="558" t="str">
        <f t="shared" si="192"/>
        <v>.</v>
      </c>
      <c r="HI114" s="558" t="str">
        <f t="shared" si="192"/>
        <v>.</v>
      </c>
      <c r="HJ114" s="558" t="str">
        <f t="shared" si="192"/>
        <v>.</v>
      </c>
      <c r="HK114" s="558" t="str">
        <f t="shared" si="191"/>
        <v>.</v>
      </c>
      <c r="HL114" s="558" t="str">
        <f t="shared" si="191"/>
        <v>.</v>
      </c>
      <c r="HM114" s="558" t="str">
        <f t="shared" si="191"/>
        <v>.</v>
      </c>
      <c r="HN114" s="558" t="str">
        <f t="shared" si="191"/>
        <v>.</v>
      </c>
      <c r="HO114" s="558" t="str">
        <f t="shared" si="191"/>
        <v>.</v>
      </c>
      <c r="HP114" s="558" t="str">
        <f t="shared" si="191"/>
        <v>.</v>
      </c>
      <c r="HQ114" s="558" t="str">
        <f t="shared" si="191"/>
        <v>.</v>
      </c>
      <c r="HR114" s="558" t="str">
        <f t="shared" si="191"/>
        <v>.</v>
      </c>
      <c r="HS114" s="558" t="str">
        <f t="shared" si="191"/>
        <v>.</v>
      </c>
      <c r="HT114" s="558" t="str">
        <f t="shared" si="191"/>
        <v>.</v>
      </c>
      <c r="HU114" s="558" t="str">
        <f t="shared" si="191"/>
        <v>.</v>
      </c>
      <c r="HV114" s="558" t="str">
        <f t="shared" si="191"/>
        <v>.</v>
      </c>
      <c r="HW114" s="558" t="str">
        <f t="shared" si="191"/>
        <v>.</v>
      </c>
      <c r="HX114" s="558" t="str">
        <f t="shared" si="191"/>
        <v>.</v>
      </c>
      <c r="HY114" s="558" t="str">
        <f t="shared" si="191"/>
        <v>.</v>
      </c>
      <c r="HZ114" s="558" t="str">
        <f t="shared" si="191"/>
        <v>.</v>
      </c>
      <c r="IA114" s="558" t="str">
        <f t="shared" si="191"/>
        <v>.</v>
      </c>
      <c r="IB114" s="558" t="str">
        <f t="shared" ref="IB114:JA120" si="193" xml:space="preserve"> IF(  OR( IB$18&gt;$FK114, $FK114&gt;$FP$12 ),  LEER,  ROUND( $FO$19 * ( $FL114 - IB$15 * $FM114 ), IB$17 )  )</f>
        <v>.</v>
      </c>
      <c r="IC114" s="558" t="str">
        <f t="shared" si="193"/>
        <v>.</v>
      </c>
      <c r="ID114" s="558" t="str">
        <f t="shared" si="193"/>
        <v>.</v>
      </c>
      <c r="IE114" s="558" t="str">
        <f t="shared" si="193"/>
        <v>.</v>
      </c>
      <c r="IF114" s="558" t="str">
        <f t="shared" si="193"/>
        <v>.</v>
      </c>
      <c r="IG114" s="558" t="str">
        <f t="shared" si="193"/>
        <v>.</v>
      </c>
      <c r="IH114" s="558" t="str">
        <f t="shared" si="193"/>
        <v>.</v>
      </c>
      <c r="II114" s="558" t="str">
        <f t="shared" si="193"/>
        <v>.</v>
      </c>
      <c r="IJ114" s="558" t="str">
        <f t="shared" si="193"/>
        <v>.</v>
      </c>
      <c r="IK114" s="558" t="str">
        <f t="shared" si="193"/>
        <v>.</v>
      </c>
      <c r="IL114" s="558" t="str">
        <f t="shared" si="193"/>
        <v>.</v>
      </c>
      <c r="IM114" s="558" t="str">
        <f t="shared" si="193"/>
        <v>.</v>
      </c>
      <c r="IN114" s="558" t="str">
        <f t="shared" si="193"/>
        <v>.</v>
      </c>
      <c r="IO114" s="558" t="str">
        <f t="shared" si="193"/>
        <v>.</v>
      </c>
      <c r="IP114" s="558" t="str">
        <f t="shared" si="193"/>
        <v>.</v>
      </c>
      <c r="IQ114" s="558" t="str">
        <f t="shared" si="193"/>
        <v>.</v>
      </c>
      <c r="IR114" s="558" t="str">
        <f t="shared" si="193"/>
        <v>.</v>
      </c>
      <c r="IS114" s="558" t="str">
        <f t="shared" si="193"/>
        <v>.</v>
      </c>
      <c r="IT114" s="558" t="str">
        <f t="shared" si="193"/>
        <v>.</v>
      </c>
      <c r="IU114" s="558" t="str">
        <f t="shared" si="193"/>
        <v>.</v>
      </c>
      <c r="IV114" s="558" t="str">
        <f t="shared" si="193"/>
        <v>.</v>
      </c>
      <c r="IW114" s="558" t="str">
        <f t="shared" si="193"/>
        <v>.</v>
      </c>
      <c r="IX114" s="558" t="str">
        <f t="shared" si="190"/>
        <v>.</v>
      </c>
      <c r="IY114" s="558" t="str">
        <f t="shared" si="190"/>
        <v>.</v>
      </c>
      <c r="IZ114" s="558" t="str">
        <f t="shared" si="190"/>
        <v>.</v>
      </c>
      <c r="JA114" s="558" t="str">
        <f t="shared" si="190"/>
        <v>.</v>
      </c>
      <c r="JB114" s="558" t="str">
        <f t="shared" si="190"/>
        <v>.</v>
      </c>
      <c r="JC114" s="558" t="str">
        <f t="shared" si="190"/>
        <v>.</v>
      </c>
      <c r="JD114" s="558" t="str">
        <f t="shared" si="190"/>
        <v>.</v>
      </c>
      <c r="JE114" s="558" t="str">
        <f t="shared" si="190"/>
        <v>.</v>
      </c>
      <c r="JF114" s="558" t="str">
        <f t="shared" si="190"/>
        <v>.</v>
      </c>
      <c r="JG114" s="558" t="str">
        <f t="shared" si="190"/>
        <v>.</v>
      </c>
      <c r="JH114" s="558" t="str">
        <f t="shared" si="190"/>
        <v>.</v>
      </c>
      <c r="JI114" s="558" t="str">
        <f t="shared" si="188"/>
        <v>.</v>
      </c>
      <c r="JJ114" s="558" t="str">
        <f t="shared" si="188"/>
        <v>.</v>
      </c>
      <c r="JK114" s="558" t="str">
        <f t="shared" si="188"/>
        <v>.</v>
      </c>
      <c r="JL114" s="558" t="str">
        <f t="shared" si="188"/>
        <v>.</v>
      </c>
    </row>
    <row r="115" spans="1:272" ht="10.199999999999999" x14ac:dyDescent="0.2">
      <c r="A115" s="534">
        <f xml:space="preserve"> Basis!A115</f>
        <v>115</v>
      </c>
      <c r="F115" s="536">
        <f xml:space="preserve"> ROUND(    IF( $A$15=BE_MF_,   AW115,   INDEX( qx!115:115, F$16 ) ),    F$17    )</f>
        <v>0.35189999999999999</v>
      </c>
      <c r="G115" s="536">
        <f xml:space="preserve"> ROUND(    IF( $A$15=BE_MF_,   BB115,   INDEX( wx!115:115, G$16 ) ),    G$17    )</f>
        <v>1.4E-3</v>
      </c>
      <c r="H115" s="537">
        <f xml:space="preserve"> ROUND(    IF( $A$15=BE_MF_,   BG115,   INDEX( Kx!115:115, H$16 ) ),    H$17    )</f>
        <v>11765.57</v>
      </c>
      <c r="I115" s="538">
        <f t="shared" si="167"/>
        <v>11765.57</v>
      </c>
      <c r="J115" s="539">
        <f t="shared" si="135"/>
        <v>5.6630000000000003</v>
      </c>
      <c r="K115" s="540">
        <f t="shared" si="168"/>
        <v>0</v>
      </c>
      <c r="L115" s="541">
        <f t="shared" si="187"/>
        <v>0</v>
      </c>
      <c r="M115" s="541">
        <f t="shared" si="187"/>
        <v>8.5999999999999993E-2</v>
      </c>
      <c r="O115" s="542" t="b">
        <f t="shared" si="169"/>
        <v>0</v>
      </c>
      <c r="P115" s="493" t="str">
        <f t="shared" si="136"/>
        <v>.</v>
      </c>
      <c r="Q115" s="493" t="str">
        <f t="shared" si="137"/>
        <v>.</v>
      </c>
      <c r="R115" s="543" t="str">
        <f t="shared" si="138"/>
        <v>.</v>
      </c>
      <c r="S115" s="544" t="str">
        <f t="shared" si="139"/>
        <v>.</v>
      </c>
      <c r="T115" s="423" t="str">
        <f t="shared" si="140"/>
        <v>.</v>
      </c>
      <c r="U115" s="423" t="str">
        <f xml:space="preserve"> IF( $O115,    ROUND(  SUM( T115:T$120), U$17 ),  LEER  )</f>
        <v>.</v>
      </c>
      <c r="V115" s="493" t="str">
        <f t="shared" si="141"/>
        <v>.</v>
      </c>
      <c r="W115" s="493" t="str">
        <f t="shared" si="142"/>
        <v>.</v>
      </c>
      <c r="X115" s="493" t="str">
        <f xml:space="preserve"> IF( $O115,    ROUND(  SUM( W115:W$120), X$17 ),  LEER  )</f>
        <v>.</v>
      </c>
      <c r="Y115" s="493" t="str">
        <f t="shared" si="143"/>
        <v>.</v>
      </c>
      <c r="Z115" s="493" t="str">
        <f t="shared" si="144"/>
        <v>.</v>
      </c>
      <c r="AA115" s="493" t="str">
        <f t="shared" si="145"/>
        <v>.</v>
      </c>
      <c r="AB115" s="493" t="str">
        <f t="shared" si="146"/>
        <v>.</v>
      </c>
      <c r="AC115" s="545" t="str">
        <f t="shared" si="147"/>
        <v>.</v>
      </c>
      <c r="AD115" s="493" t="str">
        <f t="shared" si="148"/>
        <v>.</v>
      </c>
      <c r="AE115" s="493" t="str">
        <f t="shared" si="149"/>
        <v>.</v>
      </c>
      <c r="AF115" s="493" t="str">
        <f t="shared" si="150"/>
        <v>.</v>
      </c>
      <c r="AG115" s="493" t="str">
        <f t="shared" si="151"/>
        <v>.</v>
      </c>
      <c r="AH115" s="493" t="str">
        <f t="shared" si="152"/>
        <v>.</v>
      </c>
      <c r="AI115" s="423" t="str">
        <f t="shared" si="153"/>
        <v>.</v>
      </c>
      <c r="AJ115" s="423" t="str">
        <f t="shared" si="154"/>
        <v>.</v>
      </c>
      <c r="AK115" s="423" t="str">
        <f t="shared" si="155"/>
        <v>.</v>
      </c>
      <c r="AN115" s="423" t="str">
        <f t="shared" si="183"/>
        <v>.</v>
      </c>
      <c r="AO115" s="423" t="str">
        <f t="shared" si="183"/>
        <v>.</v>
      </c>
      <c r="AR115" s="546">
        <f xml:space="preserve"> ROUND(  INDEX( Kx!115:115, AR$16 ),  AR$17 )</f>
        <v>0.24679999999999999</v>
      </c>
      <c r="AS115" s="547">
        <f xml:space="preserve"> ROUND(  INDEX( qx!115:115, AS$16 ),  AS$17 )</f>
        <v>0.37080000000000002</v>
      </c>
      <c r="AT115" s="547">
        <f xml:space="preserve"> ROUND(  INDEX( qx!115:115, AT$16 ),  AT$17 )</f>
        <v>0.3478</v>
      </c>
      <c r="AU115" s="548" t="str">
        <f t="shared" si="156"/>
        <v>F</v>
      </c>
      <c r="AV115" s="542">
        <f t="shared" si="157"/>
        <v>0.17929999999999999</v>
      </c>
      <c r="AW115" s="542">
        <f t="shared" si="158"/>
        <v>0.35189999999999999</v>
      </c>
      <c r="AX115" s="546">
        <f xml:space="preserve"> ROUND(  INDEX( wx!115:115, AX$16 ),  AX$17 )</f>
        <v>0</v>
      </c>
      <c r="AY115" s="546">
        <f xml:space="preserve"> ROUND(  INDEX( wx!115:115, AY$16 ),  AY$17 )</f>
        <v>2.0999999999999999E-3</v>
      </c>
      <c r="AZ115" s="548" t="str">
        <f t="shared" si="159"/>
        <v>M</v>
      </c>
      <c r="BA115" s="542">
        <f t="shared" si="160"/>
        <v>0.32950000000000002</v>
      </c>
      <c r="BB115" s="542">
        <f t="shared" si="161"/>
        <v>1.4E-3</v>
      </c>
      <c r="BC115" s="533">
        <f xml:space="preserve"> ROUND(  INDEX( Kx!115:115, BC$16 ),  BC$17 )</f>
        <v>14443.97</v>
      </c>
      <c r="BD115" s="533">
        <f xml:space="preserve"> ROUND(  INDEX( Kx!115:115, BD$16 ),  BD$17 )</f>
        <v>10449.34</v>
      </c>
      <c r="BE115" s="548" t="str">
        <f t="shared" si="170"/>
        <v>M</v>
      </c>
      <c r="BF115" s="542">
        <f t="shared" si="162"/>
        <v>0.32950000000000002</v>
      </c>
      <c r="BG115" s="420">
        <f t="shared" si="163"/>
        <v>11765.57</v>
      </c>
      <c r="BQ115" s="549"/>
      <c r="BR115" s="423"/>
      <c r="BS115" s="550"/>
      <c r="BT115" s="423"/>
      <c r="BU115" s="551"/>
      <c r="BV115" s="551"/>
      <c r="BW115" s="529"/>
      <c r="BX115" s="552"/>
      <c r="BY115" s="560"/>
      <c r="BZ115" s="559"/>
      <c r="CB115" s="423"/>
      <c r="CC115" s="423"/>
      <c r="CD115" s="423"/>
      <c r="CE115" s="423"/>
      <c r="CF115" s="553"/>
      <c r="CH115" s="423"/>
      <c r="CI115" s="423"/>
      <c r="CJ115" s="423"/>
      <c r="CK115" s="423"/>
      <c r="CL115" s="553"/>
      <c r="CN115" s="423"/>
      <c r="CO115" s="423"/>
      <c r="CP115" s="423"/>
      <c r="CQ115" s="423"/>
      <c r="CR115" s="553"/>
      <c r="EI115" s="553"/>
      <c r="EJ115" s="553"/>
      <c r="EK115" s="423"/>
      <c r="EL115" s="555"/>
      <c r="ES115" s="533"/>
      <c r="ET115" s="533"/>
      <c r="EU115" s="533"/>
      <c r="EV115" s="556"/>
      <c r="EY115" s="533"/>
      <c r="EZ115" s="533"/>
      <c r="FA115" s="556"/>
      <c r="FD115" s="556"/>
      <c r="FE115" s="556"/>
      <c r="FF115" s="556"/>
      <c r="FK115" s="557">
        <f t="shared" si="164"/>
        <v>115</v>
      </c>
      <c r="FL115" s="493" t="str">
        <f t="shared" si="171"/>
        <v>.</v>
      </c>
      <c r="FM115" s="493" t="str">
        <f t="shared" si="172"/>
        <v>.</v>
      </c>
      <c r="FO115" s="427">
        <f t="shared" si="173"/>
        <v>0</v>
      </c>
      <c r="FP115" s="558" t="str">
        <f t="shared" si="184"/>
        <v>.</v>
      </c>
      <c r="FQ115" s="558" t="str">
        <f t="shared" si="184"/>
        <v>.</v>
      </c>
      <c r="FR115" s="558" t="str">
        <f t="shared" si="184"/>
        <v>.</v>
      </c>
      <c r="FS115" s="558" t="str">
        <f t="shared" si="184"/>
        <v>.</v>
      </c>
      <c r="FT115" s="558" t="str">
        <f t="shared" si="184"/>
        <v>.</v>
      </c>
      <c r="FU115" s="558" t="str">
        <f t="shared" si="184"/>
        <v>.</v>
      </c>
      <c r="FV115" s="558" t="str">
        <f t="shared" si="184"/>
        <v>.</v>
      </c>
      <c r="FW115" s="558" t="str">
        <f t="shared" si="184"/>
        <v>.</v>
      </c>
      <c r="FX115" s="558" t="str">
        <f t="shared" si="184"/>
        <v>.</v>
      </c>
      <c r="FY115" s="558" t="str">
        <f t="shared" si="184"/>
        <v>.</v>
      </c>
      <c r="FZ115" s="558" t="str">
        <f t="shared" si="184"/>
        <v>.</v>
      </c>
      <c r="GA115" s="558" t="str">
        <f t="shared" si="184"/>
        <v>.</v>
      </c>
      <c r="GB115" s="558" t="str">
        <f t="shared" si="184"/>
        <v>.</v>
      </c>
      <c r="GC115" s="558" t="str">
        <f t="shared" si="184"/>
        <v>.</v>
      </c>
      <c r="GD115" s="558" t="str">
        <f t="shared" si="184"/>
        <v>.</v>
      </c>
      <c r="GE115" s="558" t="str">
        <f t="shared" ref="GE115:GT120" si="194" xml:space="preserve"> IF(  OR( GE$18&gt;$FK115, $FK115&gt;$FP$12 ),  LEER,  ROUND( $FO$19 * ( $FL115 - GE$15 * $FM115 ), GE$17 )  )</f>
        <v>.</v>
      </c>
      <c r="GF115" s="558" t="str">
        <f t="shared" si="194"/>
        <v>.</v>
      </c>
      <c r="GG115" s="558" t="str">
        <f t="shared" si="194"/>
        <v>.</v>
      </c>
      <c r="GH115" s="558" t="str">
        <f t="shared" si="194"/>
        <v>.</v>
      </c>
      <c r="GI115" s="558" t="str">
        <f t="shared" si="194"/>
        <v>.</v>
      </c>
      <c r="GJ115" s="558" t="str">
        <f t="shared" si="194"/>
        <v>.</v>
      </c>
      <c r="GK115" s="558" t="str">
        <f t="shared" si="194"/>
        <v>.</v>
      </c>
      <c r="GL115" s="558" t="str">
        <f t="shared" si="194"/>
        <v>.</v>
      </c>
      <c r="GM115" s="558" t="str">
        <f t="shared" si="194"/>
        <v>.</v>
      </c>
      <c r="GN115" s="558" t="str">
        <f t="shared" si="194"/>
        <v>.</v>
      </c>
      <c r="GO115" s="558" t="str">
        <f t="shared" si="194"/>
        <v>.</v>
      </c>
      <c r="GP115" s="558" t="str">
        <f t="shared" si="194"/>
        <v>.</v>
      </c>
      <c r="GQ115" s="558" t="str">
        <f t="shared" si="194"/>
        <v>.</v>
      </c>
      <c r="GR115" s="558" t="str">
        <f t="shared" si="194"/>
        <v>.</v>
      </c>
      <c r="GS115" s="558" t="str">
        <f t="shared" si="194"/>
        <v>.</v>
      </c>
      <c r="GT115" s="558" t="str">
        <f t="shared" si="194"/>
        <v>.</v>
      </c>
      <c r="GU115" s="558" t="str">
        <f t="shared" si="192"/>
        <v>.</v>
      </c>
      <c r="GV115" s="558" t="str">
        <f t="shared" si="192"/>
        <v>.</v>
      </c>
      <c r="GW115" s="558" t="str">
        <f t="shared" si="192"/>
        <v>.</v>
      </c>
      <c r="GX115" s="558" t="str">
        <f t="shared" si="192"/>
        <v>.</v>
      </c>
      <c r="GY115" s="558" t="str">
        <f t="shared" si="192"/>
        <v>.</v>
      </c>
      <c r="GZ115" s="558" t="str">
        <f t="shared" si="192"/>
        <v>.</v>
      </c>
      <c r="HA115" s="558" t="str">
        <f t="shared" si="192"/>
        <v>.</v>
      </c>
      <c r="HB115" s="558" t="str">
        <f t="shared" si="192"/>
        <v>.</v>
      </c>
      <c r="HC115" s="558" t="str">
        <f t="shared" si="192"/>
        <v>.</v>
      </c>
      <c r="HD115" s="558" t="str">
        <f t="shared" si="192"/>
        <v>.</v>
      </c>
      <c r="HE115" s="558" t="str">
        <f t="shared" si="192"/>
        <v>.</v>
      </c>
      <c r="HF115" s="558" t="str">
        <f t="shared" si="192"/>
        <v>.</v>
      </c>
      <c r="HG115" s="558" t="str">
        <f t="shared" si="192"/>
        <v>.</v>
      </c>
      <c r="HH115" s="558" t="str">
        <f t="shared" si="192"/>
        <v>.</v>
      </c>
      <c r="HI115" s="558" t="str">
        <f t="shared" si="192"/>
        <v>.</v>
      </c>
      <c r="HJ115" s="558" t="str">
        <f t="shared" si="192"/>
        <v>.</v>
      </c>
      <c r="HK115" s="558" t="str">
        <f t="shared" si="191"/>
        <v>.</v>
      </c>
      <c r="HL115" s="558" t="str">
        <f t="shared" si="191"/>
        <v>.</v>
      </c>
      <c r="HM115" s="558" t="str">
        <f t="shared" si="191"/>
        <v>.</v>
      </c>
      <c r="HN115" s="558" t="str">
        <f t="shared" si="191"/>
        <v>.</v>
      </c>
      <c r="HO115" s="558" t="str">
        <f t="shared" si="191"/>
        <v>.</v>
      </c>
      <c r="HP115" s="558" t="str">
        <f t="shared" si="191"/>
        <v>.</v>
      </c>
      <c r="HQ115" s="558" t="str">
        <f t="shared" si="191"/>
        <v>.</v>
      </c>
      <c r="HR115" s="558" t="str">
        <f t="shared" si="191"/>
        <v>.</v>
      </c>
      <c r="HS115" s="558" t="str">
        <f t="shared" si="191"/>
        <v>.</v>
      </c>
      <c r="HT115" s="558" t="str">
        <f t="shared" si="191"/>
        <v>.</v>
      </c>
      <c r="HU115" s="558" t="str">
        <f t="shared" si="191"/>
        <v>.</v>
      </c>
      <c r="HV115" s="558" t="str">
        <f t="shared" si="191"/>
        <v>.</v>
      </c>
      <c r="HW115" s="558" t="str">
        <f t="shared" si="191"/>
        <v>.</v>
      </c>
      <c r="HX115" s="558" t="str">
        <f t="shared" si="191"/>
        <v>.</v>
      </c>
      <c r="HY115" s="558" t="str">
        <f t="shared" si="191"/>
        <v>.</v>
      </c>
      <c r="HZ115" s="558" t="str">
        <f t="shared" si="191"/>
        <v>.</v>
      </c>
      <c r="IA115" s="558" t="str">
        <f t="shared" si="191"/>
        <v>.</v>
      </c>
      <c r="IB115" s="558" t="str">
        <f t="shared" si="193"/>
        <v>.</v>
      </c>
      <c r="IC115" s="558" t="str">
        <f t="shared" si="193"/>
        <v>.</v>
      </c>
      <c r="ID115" s="558" t="str">
        <f t="shared" si="193"/>
        <v>.</v>
      </c>
      <c r="IE115" s="558" t="str">
        <f t="shared" si="193"/>
        <v>.</v>
      </c>
      <c r="IF115" s="558" t="str">
        <f t="shared" si="193"/>
        <v>.</v>
      </c>
      <c r="IG115" s="558" t="str">
        <f t="shared" si="193"/>
        <v>.</v>
      </c>
      <c r="IH115" s="558" t="str">
        <f t="shared" si="193"/>
        <v>.</v>
      </c>
      <c r="II115" s="558" t="str">
        <f t="shared" si="193"/>
        <v>.</v>
      </c>
      <c r="IJ115" s="558" t="str">
        <f t="shared" si="193"/>
        <v>.</v>
      </c>
      <c r="IK115" s="558" t="str">
        <f t="shared" si="193"/>
        <v>.</v>
      </c>
      <c r="IL115" s="558" t="str">
        <f t="shared" si="193"/>
        <v>.</v>
      </c>
      <c r="IM115" s="558" t="str">
        <f t="shared" si="193"/>
        <v>.</v>
      </c>
      <c r="IN115" s="558" t="str">
        <f t="shared" si="193"/>
        <v>.</v>
      </c>
      <c r="IO115" s="558" t="str">
        <f t="shared" si="193"/>
        <v>.</v>
      </c>
      <c r="IP115" s="558" t="str">
        <f t="shared" si="193"/>
        <v>.</v>
      </c>
      <c r="IQ115" s="558" t="str">
        <f t="shared" si="193"/>
        <v>.</v>
      </c>
      <c r="IR115" s="558" t="str">
        <f t="shared" si="193"/>
        <v>.</v>
      </c>
      <c r="IS115" s="558" t="str">
        <f t="shared" si="193"/>
        <v>.</v>
      </c>
      <c r="IT115" s="558" t="str">
        <f t="shared" si="193"/>
        <v>.</v>
      </c>
      <c r="IU115" s="558" t="str">
        <f t="shared" si="193"/>
        <v>.</v>
      </c>
      <c r="IV115" s="558" t="str">
        <f t="shared" si="193"/>
        <v>.</v>
      </c>
      <c r="IW115" s="558" t="str">
        <f t="shared" si="193"/>
        <v>.</v>
      </c>
      <c r="IX115" s="558" t="str">
        <f t="shared" si="193"/>
        <v>.</v>
      </c>
      <c r="IY115" s="558" t="str">
        <f t="shared" si="193"/>
        <v>.</v>
      </c>
      <c r="IZ115" s="558" t="str">
        <f t="shared" si="193"/>
        <v>.</v>
      </c>
      <c r="JA115" s="558" t="str">
        <f t="shared" si="193"/>
        <v>.</v>
      </c>
      <c r="JB115" s="558" t="str">
        <f t="shared" si="190"/>
        <v>.</v>
      </c>
      <c r="JC115" s="558" t="str">
        <f t="shared" si="190"/>
        <v>.</v>
      </c>
      <c r="JD115" s="558" t="str">
        <f t="shared" si="190"/>
        <v>.</v>
      </c>
      <c r="JE115" s="558" t="str">
        <f t="shared" si="190"/>
        <v>.</v>
      </c>
      <c r="JF115" s="558" t="str">
        <f t="shared" si="190"/>
        <v>.</v>
      </c>
      <c r="JG115" s="558" t="str">
        <f t="shared" si="190"/>
        <v>.</v>
      </c>
      <c r="JH115" s="558" t="str">
        <f xml:space="preserve"> IF(  OR( JH$18&gt;$FK115, $FK115&gt;$FP$12 ),  LEER,  ROUND( $FO$19 * ( $FL115 - JH$15 * $FM115 ), JH$17 )  )</f>
        <v>.</v>
      </c>
      <c r="JI115" s="558" t="str">
        <f t="shared" si="188"/>
        <v>.</v>
      </c>
      <c r="JJ115" s="558" t="str">
        <f t="shared" si="188"/>
        <v>.</v>
      </c>
      <c r="JK115" s="558" t="str">
        <f t="shared" si="188"/>
        <v>.</v>
      </c>
      <c r="JL115" s="558" t="str">
        <f t="shared" si="188"/>
        <v>.</v>
      </c>
    </row>
    <row r="116" spans="1:272" ht="10.199999999999999" x14ac:dyDescent="0.2">
      <c r="A116" s="534">
        <f xml:space="preserve"> Basis!A116</f>
        <v>116</v>
      </c>
      <c r="F116" s="536">
        <f xml:space="preserve"> ROUND(    IF( $A$15=BE_MF_,   AW116,   INDEX( qx!116:116, F$16 ) ),    F$17    )</f>
        <v>0.35780000000000001</v>
      </c>
      <c r="G116" s="536">
        <f xml:space="preserve"> ROUND(    IF( $A$15=BE_MF_,   BB116,   INDEX( wx!116:116, G$16 ) ),    G$17    )</f>
        <v>1.4E-3</v>
      </c>
      <c r="H116" s="537">
        <f xml:space="preserve"> ROUND(    IF( $A$15=BE_MF_,   BG116,   INDEX( Kx!116:116, H$16 ) ),    H$17    )</f>
        <v>11800.03</v>
      </c>
      <c r="I116" s="538">
        <f t="shared" si="167"/>
        <v>11800.03</v>
      </c>
      <c r="J116" s="539">
        <f xml:space="preserve"> ROUND(  I116 / I$19,  J$17 )</f>
        <v>5.6790000000000003</v>
      </c>
      <c r="K116" s="540">
        <f t="shared" si="168"/>
        <v>0</v>
      </c>
      <c r="L116" s="541">
        <f t="shared" si="187"/>
        <v>0</v>
      </c>
      <c r="M116" s="541">
        <f t="shared" si="187"/>
        <v>8.5999999999999993E-2</v>
      </c>
      <c r="O116" s="542" t="b">
        <f t="shared" si="169"/>
        <v>0</v>
      </c>
      <c r="P116" s="493" t="str">
        <f t="shared" si="136"/>
        <v>.</v>
      </c>
      <c r="Q116" s="493" t="str">
        <f xml:space="preserve"> IF( $O116,    ROUND( 1 - P116,  Q$17  ),  LEER  )</f>
        <v>.</v>
      </c>
      <c r="R116" s="543" t="str">
        <f t="shared" si="138"/>
        <v>.</v>
      </c>
      <c r="S116" s="544" t="str">
        <f t="shared" si="139"/>
        <v>.</v>
      </c>
      <c r="T116" s="423" t="str">
        <f xml:space="preserve"> IF( $O116,    ROUND( R116 * S116 ^ A116, T$17 ),  LEER  )</f>
        <v>.</v>
      </c>
      <c r="U116" s="423" t="str">
        <f xml:space="preserve"> IF( $O116,    ROUND(  SUM( T116:T$120), U$17 ),  LEER  )</f>
        <v>.</v>
      </c>
      <c r="V116" s="493" t="str">
        <f xml:space="preserve"> IF( $O116,    IF( T116= 0, 1,  ROUND(  U116 / T116, V$17 )   ),  LEER  )</f>
        <v>.</v>
      </c>
      <c r="W116" s="493" t="str">
        <f t="shared" si="142"/>
        <v>.</v>
      </c>
      <c r="X116" s="493" t="str">
        <f xml:space="preserve"> IF( $O116,    ROUND(  SUM( W116:W$120), X$17 ),  LEER  )</f>
        <v>.</v>
      </c>
      <c r="Y116" s="493" t="str">
        <f xml:space="preserve"> IF( $O116,    IF( T116= 0, J116,  ROUND(  X116 / T116, Y$17 )   ),   LEER  )</f>
        <v>.</v>
      </c>
      <c r="Z116" s="493" t="str">
        <f xml:space="preserve"> IF( $O116,    IF( V116= 0, Y116,  ROUND( Y116 / V116, Z$17 )  ),   LEER  )</f>
        <v>.</v>
      </c>
      <c r="AA116" s="493" t="str">
        <f t="shared" si="145"/>
        <v>.</v>
      </c>
      <c r="AB116" s="493" t="str">
        <f t="shared" si="146"/>
        <v>.</v>
      </c>
      <c r="AC116" s="545" t="str">
        <f t="shared" ref="AC116:AC120" si="195" xml:space="preserve">  IF( NOT($O116),   LEER,   ROUND(  L116 * AB116  +  IF( $A116&lt;AC$12, AC$5, AC$6 ),  AC$17  )    )</f>
        <v>.</v>
      </c>
      <c r="AD116" s="493" t="str">
        <f xml:space="preserve">  IF( $O116,   ROUND( AA116 * Z116 + ( AA116 - 1 ) * AC116, AD$17 ),       LEER  )</f>
        <v>.</v>
      </c>
      <c r="AE116" s="493" t="str">
        <f xml:space="preserve">  IF( $O116,   ROUND( ( AD116 + AC116 ) / ( 1 - M116), AE$17 ),       LEER  )</f>
        <v>.</v>
      </c>
      <c r="AF116" s="493" t="str">
        <f xml:space="preserve">  IF(  $O116,   IF(  OR( NOT( $AF$12), $A116=$M$12, AE116&gt;=AF115 ), AE116, MAX( AE116,AF115) ),  LEER  )</f>
        <v>.</v>
      </c>
      <c r="AG116" s="493" t="str">
        <f xml:space="preserve">  IF(  $O116,   IF(  AE116=AF116,  LEER, Setzung ),    LEER  )</f>
        <v>.</v>
      </c>
      <c r="AH116" s="493" t="str">
        <f xml:space="preserve">  IF(  $O116,   IF( AND( K115&lt;&gt;0, AG116=Setzung), SetzungZillmerung, LEER ),    LEER  )</f>
        <v>.</v>
      </c>
      <c r="AI116" s="423" t="str">
        <f t="shared" si="153"/>
        <v>.</v>
      </c>
      <c r="AJ116" s="423" t="str">
        <f xml:space="preserve">  IF( $O116,    ROUND( AF116 * AI116, AJ$17 ),  LEER  )</f>
        <v>.</v>
      </c>
      <c r="AK116" s="423" t="str">
        <f xml:space="preserve">  IF( $O116,    ROUND( AJ116 / 12, AK$17 ),  LEER  )</f>
        <v>.</v>
      </c>
      <c r="AN116" s="423" t="str">
        <f t="shared" si="183"/>
        <v>.</v>
      </c>
      <c r="AO116" s="423" t="str">
        <f t="shared" si="183"/>
        <v>.</v>
      </c>
      <c r="AR116" s="546">
        <f xml:space="preserve"> ROUND(  INDEX( Kx!116:116, AR$16 ),  AR$17 )</f>
        <v>0.24679999999999999</v>
      </c>
      <c r="AS116" s="547">
        <f xml:space="preserve"> ROUND(  INDEX( qx!116:116, AS$16 ),  AS$17 )</f>
        <v>0.37730000000000002</v>
      </c>
      <c r="AT116" s="547">
        <f xml:space="preserve"> ROUND(  INDEX( qx!116:116, AT$16 ),  AT$17 )</f>
        <v>0.35349999999999998</v>
      </c>
      <c r="AU116" s="548" t="str">
        <f t="shared" ref="AU116:AU120" si="196" xml:space="preserve"> IF( AS116&lt;AT116, AS$13, AT$13 )</f>
        <v>F</v>
      </c>
      <c r="AV116" s="542">
        <f t="shared" ref="AV116:AV120" si="197" xml:space="preserve"> ROUND(     IF( AU116=BE_M_, ( $AR116 + $AR116 * AV$18 ) / ( 1 + $AR116 * AV$18 ),  ( $AR116 ) / ( 1 + ( 1 - $AR116 ) * AV$18 ) ),   AV$17 )</f>
        <v>0.17929999999999999</v>
      </c>
      <c r="AW116" s="542">
        <f t="shared" ref="AW116:AW120" si="198" xml:space="preserve"> ROUND( AV116 * AS116 + ( 1 - AV116) * AT116, AW$17 )</f>
        <v>0.35780000000000001</v>
      </c>
      <c r="AX116" s="546">
        <f xml:space="preserve"> ROUND(  INDEX( wx!116:116, AX$16 ),  AX$17 )</f>
        <v>0</v>
      </c>
      <c r="AY116" s="546">
        <f xml:space="preserve"> ROUND(  INDEX( wx!116:116, AY$16 ),  AY$17 )</f>
        <v>2.0999999999999999E-3</v>
      </c>
      <c r="AZ116" s="548" t="str">
        <f t="shared" ref="AZ116:AZ120" si="199" xml:space="preserve"> IF( AX116&lt;AY116, AX$13, AY$13 )</f>
        <v>M</v>
      </c>
      <c r="BA116" s="542">
        <f t="shared" ref="BA116:BA120" si="200" xml:space="preserve"> ROUND(     IF( AZ116=BE_M_, ( $AR116 + $AR116 * BA$18 ) / ( 1 + $AR116 * BA$18 ),  ( $AR116 ) / ( 1 + ( 1 - $AR116 ) * BA$18 ) ),   BA$17 )</f>
        <v>0.32950000000000002</v>
      </c>
      <c r="BB116" s="542">
        <f t="shared" ref="BB116:BB120" si="201" xml:space="preserve"> ROUND( BA116 * AX116 + ( 1 - BA116) * AY116, BB$17 )</f>
        <v>1.4E-3</v>
      </c>
      <c r="BC116" s="533">
        <f xml:space="preserve"> ROUND(  INDEX( Kx!116:116, BC$16 ),  BC$17 )</f>
        <v>14522.66</v>
      </c>
      <c r="BD116" s="533">
        <f xml:space="preserve"> ROUND(  INDEX( Kx!116:116, BD$16 ),  BD$17 )</f>
        <v>10462.06</v>
      </c>
      <c r="BE116" s="548" t="str">
        <f t="shared" si="170"/>
        <v>M</v>
      </c>
      <c r="BF116" s="542">
        <f t="shared" ref="BF116:BF120" si="202" xml:space="preserve"> ROUND(     IF( BE116=BE_M_, ( $AR116 + $AR116 * BF$18 ) / ( 1 + $AR116 * BF$18 ),  ( $AR116 ) / ( 1 + ( 1 - $AR116 ) * BF$18 ) ),   BF$17 )</f>
        <v>0.32950000000000002</v>
      </c>
      <c r="BG116" s="420">
        <f t="shared" ref="BG116:BG120" si="203" xml:space="preserve"> ROUND( BF116 * BC116 + ( 1 - BF116) * BD116, BG$17 )</f>
        <v>11800.03</v>
      </c>
      <c r="BQ116" s="549"/>
      <c r="BR116" s="423"/>
      <c r="BS116" s="550"/>
      <c r="BT116" s="423"/>
      <c r="BU116" s="551"/>
      <c r="BV116" s="551"/>
      <c r="BW116" s="529"/>
      <c r="BX116" s="552"/>
      <c r="BY116" s="560"/>
      <c r="BZ116" s="559"/>
      <c r="CB116" s="423"/>
      <c r="CC116" s="423"/>
      <c r="CD116" s="423"/>
      <c r="CE116" s="423"/>
      <c r="CF116" s="553"/>
      <c r="CH116" s="423"/>
      <c r="CI116" s="423"/>
      <c r="CJ116" s="423"/>
      <c r="CK116" s="423"/>
      <c r="CL116" s="553"/>
      <c r="CN116" s="423"/>
      <c r="CO116" s="423"/>
      <c r="CP116" s="423"/>
      <c r="CQ116" s="423"/>
      <c r="CR116" s="553"/>
      <c r="EI116" s="553"/>
      <c r="EJ116" s="553"/>
      <c r="EK116" s="423"/>
      <c r="EL116" s="555"/>
      <c r="ES116" s="533"/>
      <c r="ET116" s="533"/>
      <c r="EU116" s="533"/>
      <c r="EV116" s="556"/>
      <c r="EY116" s="533"/>
      <c r="EZ116" s="533"/>
      <c r="FA116" s="556"/>
      <c r="FD116" s="556"/>
      <c r="FE116" s="556"/>
      <c r="FF116" s="556"/>
      <c r="FK116" s="557">
        <f t="shared" si="164"/>
        <v>116</v>
      </c>
      <c r="FL116" s="493" t="str">
        <f t="shared" si="171"/>
        <v>.</v>
      </c>
      <c r="FM116" s="493" t="str">
        <f t="shared" si="172"/>
        <v>.</v>
      </c>
      <c r="FO116" s="427">
        <f t="shared" si="173"/>
        <v>0</v>
      </c>
      <c r="FP116" s="558" t="str">
        <f t="shared" ref="FP116:GE120" si="204" xml:space="preserve"> IF(  OR( FP$18&gt;$FK116, $FK116&gt;$FP$12 ),  LEER,  ROUND( $FO$19 * ( $FL116 - FP$15 * $FM116 ), FP$17 )  )</f>
        <v>.</v>
      </c>
      <c r="FQ116" s="558" t="str">
        <f t="shared" si="204"/>
        <v>.</v>
      </c>
      <c r="FR116" s="558" t="str">
        <f t="shared" si="204"/>
        <v>.</v>
      </c>
      <c r="FS116" s="558" t="str">
        <f t="shared" si="204"/>
        <v>.</v>
      </c>
      <c r="FT116" s="558" t="str">
        <f t="shared" si="204"/>
        <v>.</v>
      </c>
      <c r="FU116" s="558" t="str">
        <f t="shared" si="204"/>
        <v>.</v>
      </c>
      <c r="FV116" s="558" t="str">
        <f t="shared" si="204"/>
        <v>.</v>
      </c>
      <c r="FW116" s="558" t="str">
        <f t="shared" si="204"/>
        <v>.</v>
      </c>
      <c r="FX116" s="558" t="str">
        <f t="shared" si="204"/>
        <v>.</v>
      </c>
      <c r="FY116" s="558" t="str">
        <f t="shared" si="204"/>
        <v>.</v>
      </c>
      <c r="FZ116" s="558" t="str">
        <f t="shared" si="204"/>
        <v>.</v>
      </c>
      <c r="GA116" s="558" t="str">
        <f t="shared" si="204"/>
        <v>.</v>
      </c>
      <c r="GB116" s="558" t="str">
        <f t="shared" si="204"/>
        <v>.</v>
      </c>
      <c r="GC116" s="558" t="str">
        <f t="shared" si="204"/>
        <v>.</v>
      </c>
      <c r="GD116" s="558" t="str">
        <f t="shared" si="204"/>
        <v>.</v>
      </c>
      <c r="GE116" s="558" t="str">
        <f t="shared" si="204"/>
        <v>.</v>
      </c>
      <c r="GF116" s="558" t="str">
        <f t="shared" si="194"/>
        <v>.</v>
      </c>
      <c r="GG116" s="558" t="str">
        <f t="shared" si="194"/>
        <v>.</v>
      </c>
      <c r="GH116" s="558" t="str">
        <f t="shared" si="194"/>
        <v>.</v>
      </c>
      <c r="GI116" s="558" t="str">
        <f t="shared" si="194"/>
        <v>.</v>
      </c>
      <c r="GJ116" s="558" t="str">
        <f t="shared" si="194"/>
        <v>.</v>
      </c>
      <c r="GK116" s="558" t="str">
        <f t="shared" si="194"/>
        <v>.</v>
      </c>
      <c r="GL116" s="558" t="str">
        <f t="shared" si="194"/>
        <v>.</v>
      </c>
      <c r="GM116" s="558" t="str">
        <f t="shared" si="194"/>
        <v>.</v>
      </c>
      <c r="GN116" s="558" t="str">
        <f t="shared" si="194"/>
        <v>.</v>
      </c>
      <c r="GO116" s="558" t="str">
        <f t="shared" si="194"/>
        <v>.</v>
      </c>
      <c r="GP116" s="558" t="str">
        <f t="shared" si="194"/>
        <v>.</v>
      </c>
      <c r="GQ116" s="558" t="str">
        <f t="shared" si="194"/>
        <v>.</v>
      </c>
      <c r="GR116" s="558" t="str">
        <f t="shared" si="194"/>
        <v>.</v>
      </c>
      <c r="GS116" s="558" t="str">
        <f t="shared" si="194"/>
        <v>.</v>
      </c>
      <c r="GT116" s="558" t="str">
        <f t="shared" si="194"/>
        <v>.</v>
      </c>
      <c r="GU116" s="558" t="str">
        <f t="shared" si="192"/>
        <v>.</v>
      </c>
      <c r="GV116" s="558" t="str">
        <f t="shared" si="192"/>
        <v>.</v>
      </c>
      <c r="GW116" s="558" t="str">
        <f t="shared" si="192"/>
        <v>.</v>
      </c>
      <c r="GX116" s="558" t="str">
        <f t="shared" si="192"/>
        <v>.</v>
      </c>
      <c r="GY116" s="558" t="str">
        <f t="shared" si="192"/>
        <v>.</v>
      </c>
      <c r="GZ116" s="558" t="str">
        <f t="shared" si="192"/>
        <v>.</v>
      </c>
      <c r="HA116" s="558" t="str">
        <f t="shared" si="192"/>
        <v>.</v>
      </c>
      <c r="HB116" s="558" t="str">
        <f t="shared" si="192"/>
        <v>.</v>
      </c>
      <c r="HC116" s="558" t="str">
        <f t="shared" si="192"/>
        <v>.</v>
      </c>
      <c r="HD116" s="558" t="str">
        <f t="shared" si="192"/>
        <v>.</v>
      </c>
      <c r="HE116" s="558" t="str">
        <f t="shared" si="192"/>
        <v>.</v>
      </c>
      <c r="HF116" s="558" t="str">
        <f t="shared" si="192"/>
        <v>.</v>
      </c>
      <c r="HG116" s="558" t="str">
        <f t="shared" si="192"/>
        <v>.</v>
      </c>
      <c r="HH116" s="558" t="str">
        <f t="shared" si="192"/>
        <v>.</v>
      </c>
      <c r="HI116" s="558" t="str">
        <f t="shared" si="192"/>
        <v>.</v>
      </c>
      <c r="HJ116" s="558" t="str">
        <f t="shared" si="192"/>
        <v>.</v>
      </c>
      <c r="HK116" s="558" t="str">
        <f t="shared" si="191"/>
        <v>.</v>
      </c>
      <c r="HL116" s="558" t="str">
        <f t="shared" si="191"/>
        <v>.</v>
      </c>
      <c r="HM116" s="558" t="str">
        <f t="shared" si="191"/>
        <v>.</v>
      </c>
      <c r="HN116" s="558" t="str">
        <f t="shared" si="191"/>
        <v>.</v>
      </c>
      <c r="HO116" s="558" t="str">
        <f t="shared" si="191"/>
        <v>.</v>
      </c>
      <c r="HP116" s="558" t="str">
        <f t="shared" si="191"/>
        <v>.</v>
      </c>
      <c r="HQ116" s="558" t="str">
        <f t="shared" si="191"/>
        <v>.</v>
      </c>
      <c r="HR116" s="558" t="str">
        <f t="shared" si="191"/>
        <v>.</v>
      </c>
      <c r="HS116" s="558" t="str">
        <f t="shared" si="191"/>
        <v>.</v>
      </c>
      <c r="HT116" s="558" t="str">
        <f t="shared" si="191"/>
        <v>.</v>
      </c>
      <c r="HU116" s="558" t="str">
        <f t="shared" si="191"/>
        <v>.</v>
      </c>
      <c r="HV116" s="558" t="str">
        <f t="shared" si="191"/>
        <v>.</v>
      </c>
      <c r="HW116" s="558" t="str">
        <f t="shared" si="191"/>
        <v>.</v>
      </c>
      <c r="HX116" s="558" t="str">
        <f t="shared" si="191"/>
        <v>.</v>
      </c>
      <c r="HY116" s="558" t="str">
        <f t="shared" si="191"/>
        <v>.</v>
      </c>
      <c r="HZ116" s="558" t="str">
        <f t="shared" si="191"/>
        <v>.</v>
      </c>
      <c r="IA116" s="558" t="str">
        <f t="shared" si="191"/>
        <v>.</v>
      </c>
      <c r="IB116" s="558" t="str">
        <f t="shared" si="193"/>
        <v>.</v>
      </c>
      <c r="IC116" s="558" t="str">
        <f t="shared" si="193"/>
        <v>.</v>
      </c>
      <c r="ID116" s="558" t="str">
        <f t="shared" si="193"/>
        <v>.</v>
      </c>
      <c r="IE116" s="558" t="str">
        <f t="shared" si="193"/>
        <v>.</v>
      </c>
      <c r="IF116" s="558" t="str">
        <f t="shared" si="193"/>
        <v>.</v>
      </c>
      <c r="IG116" s="558" t="str">
        <f t="shared" si="193"/>
        <v>.</v>
      </c>
      <c r="IH116" s="558" t="str">
        <f t="shared" si="193"/>
        <v>.</v>
      </c>
      <c r="II116" s="558" t="str">
        <f t="shared" si="193"/>
        <v>.</v>
      </c>
      <c r="IJ116" s="558" t="str">
        <f t="shared" si="193"/>
        <v>.</v>
      </c>
      <c r="IK116" s="558" t="str">
        <f t="shared" si="193"/>
        <v>.</v>
      </c>
      <c r="IL116" s="558" t="str">
        <f t="shared" si="193"/>
        <v>.</v>
      </c>
      <c r="IM116" s="558" t="str">
        <f t="shared" si="193"/>
        <v>.</v>
      </c>
      <c r="IN116" s="558" t="str">
        <f t="shared" si="193"/>
        <v>.</v>
      </c>
      <c r="IO116" s="558" t="str">
        <f t="shared" si="193"/>
        <v>.</v>
      </c>
      <c r="IP116" s="558" t="str">
        <f t="shared" si="193"/>
        <v>.</v>
      </c>
      <c r="IQ116" s="558" t="str">
        <f t="shared" si="193"/>
        <v>.</v>
      </c>
      <c r="IR116" s="558" t="str">
        <f t="shared" si="193"/>
        <v>.</v>
      </c>
      <c r="IS116" s="558" t="str">
        <f t="shared" si="193"/>
        <v>.</v>
      </c>
      <c r="IT116" s="558" t="str">
        <f t="shared" si="193"/>
        <v>.</v>
      </c>
      <c r="IU116" s="558" t="str">
        <f t="shared" si="193"/>
        <v>.</v>
      </c>
      <c r="IV116" s="558" t="str">
        <f t="shared" si="193"/>
        <v>.</v>
      </c>
      <c r="IW116" s="558" t="str">
        <f t="shared" si="193"/>
        <v>.</v>
      </c>
      <c r="IX116" s="558" t="str">
        <f t="shared" si="193"/>
        <v>.</v>
      </c>
      <c r="IY116" s="558" t="str">
        <f t="shared" si="193"/>
        <v>.</v>
      </c>
      <c r="IZ116" s="558" t="str">
        <f t="shared" si="193"/>
        <v>.</v>
      </c>
      <c r="JA116" s="558" t="str">
        <f t="shared" si="193"/>
        <v>.</v>
      </c>
      <c r="JB116" s="558" t="str">
        <f t="shared" si="190"/>
        <v>.</v>
      </c>
      <c r="JC116" s="558" t="str">
        <f t="shared" si="190"/>
        <v>.</v>
      </c>
      <c r="JD116" s="558" t="str">
        <f t="shared" si="190"/>
        <v>.</v>
      </c>
      <c r="JE116" s="558" t="str">
        <f t="shared" si="190"/>
        <v>.</v>
      </c>
      <c r="JF116" s="558" t="str">
        <f t="shared" si="190"/>
        <v>.</v>
      </c>
      <c r="JG116" s="558" t="str">
        <f t="shared" si="190"/>
        <v>.</v>
      </c>
      <c r="JH116" s="558" t="str">
        <f t="shared" si="190"/>
        <v>.</v>
      </c>
      <c r="JI116" s="558" t="str">
        <f t="shared" si="190"/>
        <v>.</v>
      </c>
      <c r="JJ116" s="558" t="str">
        <f t="shared" si="190"/>
        <v>.</v>
      </c>
      <c r="JK116" s="558" t="str">
        <f t="shared" si="190"/>
        <v>.</v>
      </c>
      <c r="JL116" s="558" t="str">
        <f t="shared" si="190"/>
        <v>.</v>
      </c>
    </row>
    <row r="117" spans="1:272" ht="10.199999999999999" x14ac:dyDescent="0.2">
      <c r="A117" s="534">
        <f xml:space="preserve"> Basis!A117</f>
        <v>117</v>
      </c>
      <c r="F117" s="536">
        <f xml:space="preserve"> ROUND(    IF( $A$15=BE_MF_,   AW117,   INDEX( qx!117:117, F$16 ) ),    F$17    )</f>
        <v>0.36359999999999998</v>
      </c>
      <c r="G117" s="536">
        <f xml:space="preserve"> ROUND(    IF( $A$15=BE_MF_,   BB117,   INDEX( wx!117:117, G$16 ) ),    G$17    )</f>
        <v>1.4E-3</v>
      </c>
      <c r="H117" s="537">
        <f xml:space="preserve"> ROUND(    IF( $A$15=BE_MF_,   BG117,   INDEX( Kx!117:117, H$16 ) ),    H$17    )</f>
        <v>11834.48</v>
      </c>
      <c r="I117" s="538">
        <f t="shared" si="167"/>
        <v>11834.48</v>
      </c>
      <c r="J117" s="539">
        <f xml:space="preserve"> ROUND(  I117 / I$19,  J$17 )</f>
        <v>5.6959999999999997</v>
      </c>
      <c r="K117" s="540">
        <f t="shared" si="168"/>
        <v>0</v>
      </c>
      <c r="L117" s="541">
        <f t="shared" si="187"/>
        <v>0</v>
      </c>
      <c r="M117" s="541">
        <f t="shared" si="187"/>
        <v>8.5999999999999993E-2</v>
      </c>
      <c r="O117" s="542" t="b">
        <f t="shared" si="169"/>
        <v>0</v>
      </c>
      <c r="P117" s="493" t="str">
        <f t="shared" si="136"/>
        <v>.</v>
      </c>
      <c r="Q117" s="493" t="str">
        <f xml:space="preserve"> IF( $O117,    ROUND( 1 - P117,  Q$17  ),  LEER  )</f>
        <v>.</v>
      </c>
      <c r="R117" s="543" t="str">
        <f t="shared" si="138"/>
        <v>.</v>
      </c>
      <c r="S117" s="544" t="str">
        <f t="shared" si="139"/>
        <v>.</v>
      </c>
      <c r="T117" s="423" t="str">
        <f xml:space="preserve"> IF( $O117,    ROUND( R117 * S117 ^ A117, T$17 ),  LEER  )</f>
        <v>.</v>
      </c>
      <c r="U117" s="423" t="str">
        <f xml:space="preserve"> IF( $O117,    ROUND(  SUM( T117:T$120), U$17 ),  LEER  )</f>
        <v>.</v>
      </c>
      <c r="V117" s="493" t="str">
        <f xml:space="preserve"> IF( $O117,    IF( T117= 0, 1,  ROUND(  U117 / T117, V$17 )   ),  LEER  )</f>
        <v>.</v>
      </c>
      <c r="W117" s="493" t="str">
        <f t="shared" si="142"/>
        <v>.</v>
      </c>
      <c r="X117" s="493" t="str">
        <f xml:space="preserve"> IF( $O117,    ROUND(  SUM( W117:W$120), X$17 ),  LEER  )</f>
        <v>.</v>
      </c>
      <c r="Y117" s="493" t="str">
        <f xml:space="preserve"> IF( $O117,    IF( T117= 0, J117,  ROUND(  X117 / T117, Y$17 )   ),   LEER  )</f>
        <v>.</v>
      </c>
      <c r="Z117" s="493" t="str">
        <f xml:space="preserve"> IF( $O117,    IF( V117= 0, Y117,  ROUND( Y117 / V117, Z$17 )  ),   LEER  )</f>
        <v>.</v>
      </c>
      <c r="AA117" s="493" t="str">
        <f t="shared" si="145"/>
        <v>.</v>
      </c>
      <c r="AB117" s="493" t="str">
        <f t="shared" si="146"/>
        <v>.</v>
      </c>
      <c r="AC117" s="545" t="str">
        <f t="shared" si="195"/>
        <v>.</v>
      </c>
      <c r="AD117" s="493" t="str">
        <f xml:space="preserve">  IF( $O117,   ROUND( AA117 * Z117 + ( AA117 - 1 ) * AC117, AD$17 ),       LEER  )</f>
        <v>.</v>
      </c>
      <c r="AE117" s="493" t="str">
        <f xml:space="preserve">  IF( $O117,   ROUND( ( AD117 + AC117 ) / ( 1 - M117), AE$17 ),       LEER  )</f>
        <v>.</v>
      </c>
      <c r="AF117" s="493" t="str">
        <f xml:space="preserve">  IF(  $O117,   IF(  OR( NOT( $AF$12), $A117=$M$12, AE117&gt;=AF116 ), AE117, MAX( AE117,AF116) ),  LEER  )</f>
        <v>.</v>
      </c>
      <c r="AG117" s="493" t="str">
        <f xml:space="preserve">  IF(  $O117,   IF(  AE117=AF117,  LEER, Setzung ),    LEER  )</f>
        <v>.</v>
      </c>
      <c r="AH117" s="493" t="str">
        <f xml:space="preserve">  IF(  $O117,   IF( AND( K116&lt;&gt;0, AG117=Setzung), SetzungZillmerung, LEER ),    LEER  )</f>
        <v>.</v>
      </c>
      <c r="AI117" s="423" t="str">
        <f t="shared" si="153"/>
        <v>.</v>
      </c>
      <c r="AJ117" s="423" t="str">
        <f xml:space="preserve">  IF( $O117,    ROUND( AF117 * AI117, AJ$17 ),  LEER  )</f>
        <v>.</v>
      </c>
      <c r="AK117" s="423" t="str">
        <f xml:space="preserve">  IF( $O117,    ROUND( AJ117 / 12, AK$17 ),  LEER  )</f>
        <v>.</v>
      </c>
      <c r="AN117" s="423" t="str">
        <f t="shared" si="183"/>
        <v>.</v>
      </c>
      <c r="AO117" s="423" t="str">
        <f t="shared" si="183"/>
        <v>.</v>
      </c>
      <c r="AR117" s="546">
        <f xml:space="preserve"> ROUND(  INDEX( Kx!117:117, AR$16 ),  AR$17 )</f>
        <v>0.24679999999999999</v>
      </c>
      <c r="AS117" s="547">
        <f xml:space="preserve"> ROUND(  INDEX( qx!117:117, AS$16 ),  AS$17 )</f>
        <v>0.38390000000000002</v>
      </c>
      <c r="AT117" s="547">
        <f xml:space="preserve"> ROUND(  INDEX( qx!117:117, AT$16 ),  AT$17 )</f>
        <v>0.35920000000000002</v>
      </c>
      <c r="AU117" s="548" t="str">
        <f t="shared" si="196"/>
        <v>F</v>
      </c>
      <c r="AV117" s="542">
        <f t="shared" si="197"/>
        <v>0.17929999999999999</v>
      </c>
      <c r="AW117" s="542">
        <f t="shared" si="198"/>
        <v>0.36359999999999998</v>
      </c>
      <c r="AX117" s="546">
        <f xml:space="preserve"> ROUND(  INDEX( wx!117:117, AX$16 ),  AX$17 )</f>
        <v>0</v>
      </c>
      <c r="AY117" s="546">
        <f xml:space="preserve"> ROUND(  INDEX( wx!117:117, AY$16 ),  AY$17 )</f>
        <v>2.0999999999999999E-3</v>
      </c>
      <c r="AZ117" s="548" t="str">
        <f t="shared" si="199"/>
        <v>M</v>
      </c>
      <c r="BA117" s="542">
        <f t="shared" si="200"/>
        <v>0.32950000000000002</v>
      </c>
      <c r="BB117" s="542">
        <f t="shared" si="201"/>
        <v>1.4E-3</v>
      </c>
      <c r="BC117" s="533">
        <f xml:space="preserve"> ROUND(  INDEX( Kx!117:117, BC$16 ),  BC$17 )</f>
        <v>14601.35</v>
      </c>
      <c r="BD117" s="533">
        <f xml:space="preserve"> ROUND(  INDEX( Kx!117:117, BD$16 ),  BD$17 )</f>
        <v>10474.77</v>
      </c>
      <c r="BE117" s="548" t="str">
        <f t="shared" si="170"/>
        <v>M</v>
      </c>
      <c r="BF117" s="542">
        <f t="shared" si="202"/>
        <v>0.32950000000000002</v>
      </c>
      <c r="BG117" s="420">
        <f t="shared" si="203"/>
        <v>11834.48</v>
      </c>
      <c r="BQ117" s="549"/>
      <c r="BR117" s="423"/>
      <c r="BS117" s="550"/>
      <c r="BT117" s="423"/>
      <c r="BU117" s="551"/>
      <c r="BV117" s="551"/>
      <c r="BW117" s="529"/>
      <c r="BX117" s="552"/>
      <c r="BY117" s="560"/>
      <c r="BZ117" s="559"/>
      <c r="CB117" s="423"/>
      <c r="CC117" s="423"/>
      <c r="CD117" s="423"/>
      <c r="CE117" s="423"/>
      <c r="CF117" s="553"/>
      <c r="CH117" s="423"/>
      <c r="CI117" s="423"/>
      <c r="CJ117" s="423"/>
      <c r="CK117" s="423"/>
      <c r="CL117" s="553"/>
      <c r="CN117" s="423"/>
      <c r="CO117" s="423"/>
      <c r="CP117" s="423"/>
      <c r="CQ117" s="423"/>
      <c r="CR117" s="553"/>
      <c r="EI117" s="553"/>
      <c r="EJ117" s="553"/>
      <c r="EK117" s="423"/>
      <c r="EL117" s="555"/>
      <c r="ES117" s="533"/>
      <c r="ET117" s="533"/>
      <c r="EU117" s="533"/>
      <c r="EV117" s="556"/>
      <c r="EY117" s="533"/>
      <c r="EZ117" s="533"/>
      <c r="FA117" s="556"/>
      <c r="FD117" s="556"/>
      <c r="FE117" s="556"/>
      <c r="FF117" s="556"/>
      <c r="FK117" s="557">
        <f t="shared" si="164"/>
        <v>117</v>
      </c>
      <c r="FL117" s="493" t="str">
        <f t="shared" si="171"/>
        <v>.</v>
      </c>
      <c r="FM117" s="493" t="str">
        <f t="shared" si="172"/>
        <v>.</v>
      </c>
      <c r="FO117" s="427">
        <f t="shared" si="173"/>
        <v>0</v>
      </c>
      <c r="FP117" s="558" t="str">
        <f t="shared" si="204"/>
        <v>.</v>
      </c>
      <c r="FQ117" s="558" t="str">
        <f t="shared" si="204"/>
        <v>.</v>
      </c>
      <c r="FR117" s="558" t="str">
        <f t="shared" si="204"/>
        <v>.</v>
      </c>
      <c r="FS117" s="558" t="str">
        <f t="shared" si="204"/>
        <v>.</v>
      </c>
      <c r="FT117" s="558" t="str">
        <f t="shared" si="204"/>
        <v>.</v>
      </c>
      <c r="FU117" s="558" t="str">
        <f t="shared" si="204"/>
        <v>.</v>
      </c>
      <c r="FV117" s="558" t="str">
        <f t="shared" si="204"/>
        <v>.</v>
      </c>
      <c r="FW117" s="558" t="str">
        <f t="shared" si="204"/>
        <v>.</v>
      </c>
      <c r="FX117" s="558" t="str">
        <f t="shared" si="204"/>
        <v>.</v>
      </c>
      <c r="FY117" s="558" t="str">
        <f t="shared" si="204"/>
        <v>.</v>
      </c>
      <c r="FZ117" s="558" t="str">
        <f t="shared" si="204"/>
        <v>.</v>
      </c>
      <c r="GA117" s="558" t="str">
        <f t="shared" si="204"/>
        <v>.</v>
      </c>
      <c r="GB117" s="558" t="str">
        <f t="shared" si="204"/>
        <v>.</v>
      </c>
      <c r="GC117" s="558" t="str">
        <f t="shared" si="204"/>
        <v>.</v>
      </c>
      <c r="GD117" s="558" t="str">
        <f t="shared" si="204"/>
        <v>.</v>
      </c>
      <c r="GE117" s="558" t="str">
        <f t="shared" si="204"/>
        <v>.</v>
      </c>
      <c r="GF117" s="558" t="str">
        <f t="shared" si="194"/>
        <v>.</v>
      </c>
      <c r="GG117" s="558" t="str">
        <f t="shared" si="194"/>
        <v>.</v>
      </c>
      <c r="GH117" s="558" t="str">
        <f t="shared" si="194"/>
        <v>.</v>
      </c>
      <c r="GI117" s="558" t="str">
        <f t="shared" si="194"/>
        <v>.</v>
      </c>
      <c r="GJ117" s="558" t="str">
        <f t="shared" si="194"/>
        <v>.</v>
      </c>
      <c r="GK117" s="558" t="str">
        <f t="shared" si="194"/>
        <v>.</v>
      </c>
      <c r="GL117" s="558" t="str">
        <f t="shared" si="194"/>
        <v>.</v>
      </c>
      <c r="GM117" s="558" t="str">
        <f t="shared" si="194"/>
        <v>.</v>
      </c>
      <c r="GN117" s="558" t="str">
        <f t="shared" si="194"/>
        <v>.</v>
      </c>
      <c r="GO117" s="558" t="str">
        <f t="shared" si="194"/>
        <v>.</v>
      </c>
      <c r="GP117" s="558" t="str">
        <f t="shared" si="194"/>
        <v>.</v>
      </c>
      <c r="GQ117" s="558" t="str">
        <f t="shared" si="194"/>
        <v>.</v>
      </c>
      <c r="GR117" s="558" t="str">
        <f t="shared" si="194"/>
        <v>.</v>
      </c>
      <c r="GS117" s="558" t="str">
        <f t="shared" si="194"/>
        <v>.</v>
      </c>
      <c r="GT117" s="558" t="str">
        <f t="shared" si="194"/>
        <v>.</v>
      </c>
      <c r="GU117" s="558" t="str">
        <f t="shared" si="192"/>
        <v>.</v>
      </c>
      <c r="GV117" s="558" t="str">
        <f t="shared" si="192"/>
        <v>.</v>
      </c>
      <c r="GW117" s="558" t="str">
        <f t="shared" si="192"/>
        <v>.</v>
      </c>
      <c r="GX117" s="558" t="str">
        <f t="shared" si="192"/>
        <v>.</v>
      </c>
      <c r="GY117" s="558" t="str">
        <f t="shared" si="192"/>
        <v>.</v>
      </c>
      <c r="GZ117" s="558" t="str">
        <f t="shared" si="192"/>
        <v>.</v>
      </c>
      <c r="HA117" s="558" t="str">
        <f t="shared" si="192"/>
        <v>.</v>
      </c>
      <c r="HB117" s="558" t="str">
        <f t="shared" si="192"/>
        <v>.</v>
      </c>
      <c r="HC117" s="558" t="str">
        <f t="shared" si="192"/>
        <v>.</v>
      </c>
      <c r="HD117" s="558" t="str">
        <f t="shared" si="192"/>
        <v>.</v>
      </c>
      <c r="HE117" s="558" t="str">
        <f t="shared" si="192"/>
        <v>.</v>
      </c>
      <c r="HF117" s="558" t="str">
        <f t="shared" si="192"/>
        <v>.</v>
      </c>
      <c r="HG117" s="558" t="str">
        <f t="shared" si="192"/>
        <v>.</v>
      </c>
      <c r="HH117" s="558" t="str">
        <f t="shared" si="192"/>
        <v>.</v>
      </c>
      <c r="HI117" s="558" t="str">
        <f t="shared" si="192"/>
        <v>.</v>
      </c>
      <c r="HJ117" s="558" t="str">
        <f t="shared" si="192"/>
        <v>.</v>
      </c>
      <c r="HK117" s="558" t="str">
        <f t="shared" si="191"/>
        <v>.</v>
      </c>
      <c r="HL117" s="558" t="str">
        <f t="shared" si="191"/>
        <v>.</v>
      </c>
      <c r="HM117" s="558" t="str">
        <f t="shared" si="191"/>
        <v>.</v>
      </c>
      <c r="HN117" s="558" t="str">
        <f t="shared" si="191"/>
        <v>.</v>
      </c>
      <c r="HO117" s="558" t="str">
        <f t="shared" si="191"/>
        <v>.</v>
      </c>
      <c r="HP117" s="558" t="str">
        <f t="shared" si="191"/>
        <v>.</v>
      </c>
      <c r="HQ117" s="558" t="str">
        <f t="shared" si="191"/>
        <v>.</v>
      </c>
      <c r="HR117" s="558" t="str">
        <f t="shared" si="191"/>
        <v>.</v>
      </c>
      <c r="HS117" s="558" t="str">
        <f t="shared" si="191"/>
        <v>.</v>
      </c>
      <c r="HT117" s="558" t="str">
        <f t="shared" si="191"/>
        <v>.</v>
      </c>
      <c r="HU117" s="558" t="str">
        <f t="shared" si="191"/>
        <v>.</v>
      </c>
      <c r="HV117" s="558" t="str">
        <f t="shared" si="191"/>
        <v>.</v>
      </c>
      <c r="HW117" s="558" t="str">
        <f t="shared" si="191"/>
        <v>.</v>
      </c>
      <c r="HX117" s="558" t="str">
        <f t="shared" si="191"/>
        <v>.</v>
      </c>
      <c r="HY117" s="558" t="str">
        <f t="shared" si="191"/>
        <v>.</v>
      </c>
      <c r="HZ117" s="558" t="str">
        <f t="shared" si="191"/>
        <v>.</v>
      </c>
      <c r="IA117" s="558" t="str">
        <f t="shared" si="191"/>
        <v>.</v>
      </c>
      <c r="IB117" s="558" t="str">
        <f t="shared" si="193"/>
        <v>.</v>
      </c>
      <c r="IC117" s="558" t="str">
        <f t="shared" si="193"/>
        <v>.</v>
      </c>
      <c r="ID117" s="558" t="str">
        <f t="shared" si="193"/>
        <v>.</v>
      </c>
      <c r="IE117" s="558" t="str">
        <f t="shared" si="193"/>
        <v>.</v>
      </c>
      <c r="IF117" s="558" t="str">
        <f t="shared" si="193"/>
        <v>.</v>
      </c>
      <c r="IG117" s="558" t="str">
        <f t="shared" si="193"/>
        <v>.</v>
      </c>
      <c r="IH117" s="558" t="str">
        <f t="shared" si="193"/>
        <v>.</v>
      </c>
      <c r="II117" s="558" t="str">
        <f t="shared" si="193"/>
        <v>.</v>
      </c>
      <c r="IJ117" s="558" t="str">
        <f t="shared" si="193"/>
        <v>.</v>
      </c>
      <c r="IK117" s="558" t="str">
        <f t="shared" si="193"/>
        <v>.</v>
      </c>
      <c r="IL117" s="558" t="str">
        <f t="shared" si="193"/>
        <v>.</v>
      </c>
      <c r="IM117" s="558" t="str">
        <f t="shared" si="193"/>
        <v>.</v>
      </c>
      <c r="IN117" s="558" t="str">
        <f t="shared" si="193"/>
        <v>.</v>
      </c>
      <c r="IO117" s="558" t="str">
        <f t="shared" si="193"/>
        <v>.</v>
      </c>
      <c r="IP117" s="558" t="str">
        <f t="shared" si="193"/>
        <v>.</v>
      </c>
      <c r="IQ117" s="558" t="str">
        <f t="shared" si="193"/>
        <v>.</v>
      </c>
      <c r="IR117" s="558" t="str">
        <f t="shared" si="193"/>
        <v>.</v>
      </c>
      <c r="IS117" s="558" t="str">
        <f t="shared" si="193"/>
        <v>.</v>
      </c>
      <c r="IT117" s="558" t="str">
        <f t="shared" si="193"/>
        <v>.</v>
      </c>
      <c r="IU117" s="558" t="str">
        <f t="shared" si="193"/>
        <v>.</v>
      </c>
      <c r="IV117" s="558" t="str">
        <f t="shared" si="193"/>
        <v>.</v>
      </c>
      <c r="IW117" s="558" t="str">
        <f t="shared" si="193"/>
        <v>.</v>
      </c>
      <c r="IX117" s="558" t="str">
        <f t="shared" si="193"/>
        <v>.</v>
      </c>
      <c r="IY117" s="558" t="str">
        <f t="shared" si="193"/>
        <v>.</v>
      </c>
      <c r="IZ117" s="558" t="str">
        <f t="shared" si="193"/>
        <v>.</v>
      </c>
      <c r="JA117" s="558" t="str">
        <f t="shared" si="193"/>
        <v>.</v>
      </c>
      <c r="JB117" s="558" t="str">
        <f t="shared" si="190"/>
        <v>.</v>
      </c>
      <c r="JC117" s="558" t="str">
        <f t="shared" si="190"/>
        <v>.</v>
      </c>
      <c r="JD117" s="558" t="str">
        <f t="shared" si="190"/>
        <v>.</v>
      </c>
      <c r="JE117" s="558" t="str">
        <f t="shared" si="190"/>
        <v>.</v>
      </c>
      <c r="JF117" s="558" t="str">
        <f t="shared" si="190"/>
        <v>.</v>
      </c>
      <c r="JG117" s="558" t="str">
        <f t="shared" si="190"/>
        <v>.</v>
      </c>
      <c r="JH117" s="558" t="str">
        <f t="shared" si="190"/>
        <v>.</v>
      </c>
      <c r="JI117" s="558" t="str">
        <f t="shared" si="190"/>
        <v>.</v>
      </c>
      <c r="JJ117" s="558" t="str">
        <f t="shared" si="190"/>
        <v>.</v>
      </c>
      <c r="JK117" s="558" t="str">
        <f t="shared" si="190"/>
        <v>.</v>
      </c>
      <c r="JL117" s="558" t="str">
        <f t="shared" si="190"/>
        <v>.</v>
      </c>
    </row>
    <row r="118" spans="1:272" ht="10.199999999999999" x14ac:dyDescent="0.2">
      <c r="A118" s="534">
        <f xml:space="preserve"> Basis!A118</f>
        <v>118</v>
      </c>
      <c r="F118" s="536">
        <f xml:space="preserve"> ROUND(    IF( $A$15=BE_MF_,   AW118,   INDEX( qx!118:118, F$16 ) ),    F$17    )</f>
        <v>0.3695</v>
      </c>
      <c r="G118" s="536">
        <f xml:space="preserve"> ROUND(    IF( $A$15=BE_MF_,   BB118,   INDEX( wx!118:118, G$16 ) ),    G$17    )</f>
        <v>1.4E-3</v>
      </c>
      <c r="H118" s="537">
        <f xml:space="preserve"> ROUND(    IF( $A$15=BE_MF_,   BG118,   INDEX( Kx!118:118, H$16 ) ),    H$17    )</f>
        <v>11868.94</v>
      </c>
      <c r="I118" s="538">
        <f t="shared" si="167"/>
        <v>11868.94</v>
      </c>
      <c r="J118" s="539">
        <f xml:space="preserve"> ROUND(  I118 / I$19,  J$17 )</f>
        <v>5.7119999999999997</v>
      </c>
      <c r="K118" s="540">
        <f t="shared" si="168"/>
        <v>0</v>
      </c>
      <c r="L118" s="541">
        <f t="shared" si="187"/>
        <v>0</v>
      </c>
      <c r="M118" s="541">
        <f t="shared" si="187"/>
        <v>8.5999999999999993E-2</v>
      </c>
      <c r="O118" s="542" t="b">
        <f t="shared" si="169"/>
        <v>0</v>
      </c>
      <c r="P118" s="493" t="str">
        <f t="shared" si="136"/>
        <v>.</v>
      </c>
      <c r="Q118" s="493" t="str">
        <f xml:space="preserve"> IF( $O118,    ROUND( 1 - P118,  Q$17  ),  LEER  )</f>
        <v>.</v>
      </c>
      <c r="R118" s="543" t="str">
        <f t="shared" si="138"/>
        <v>.</v>
      </c>
      <c r="S118" s="544" t="str">
        <f t="shared" si="139"/>
        <v>.</v>
      </c>
      <c r="T118" s="423" t="str">
        <f xml:space="preserve"> IF( $O118,    ROUND( R118 * S118 ^ A118, T$17 ),  LEER  )</f>
        <v>.</v>
      </c>
      <c r="U118" s="423" t="str">
        <f xml:space="preserve"> IF( $O118,    ROUND(  SUM( T118:T$120), U$17 ),  LEER  )</f>
        <v>.</v>
      </c>
      <c r="V118" s="493" t="str">
        <f xml:space="preserve"> IF( $O118,    IF( T118= 0, 1,  ROUND(  U118 / T118, V$17 )   ),  LEER  )</f>
        <v>.</v>
      </c>
      <c r="W118" s="493" t="str">
        <f t="shared" si="142"/>
        <v>.</v>
      </c>
      <c r="X118" s="493" t="str">
        <f xml:space="preserve"> IF( $O118,    ROUND(  SUM( W118:W$120), X$17 ),  LEER  )</f>
        <v>.</v>
      </c>
      <c r="Y118" s="493" t="str">
        <f xml:space="preserve"> IF( $O118,    IF( T118= 0, J118,  ROUND(  X118 / T118, Y$17 )   ),   LEER  )</f>
        <v>.</v>
      </c>
      <c r="Z118" s="493" t="str">
        <f xml:space="preserve"> IF( $O118,    IF( V118= 0, Y118,  ROUND( Y118 / V118, Z$17 )  ),   LEER  )</f>
        <v>.</v>
      </c>
      <c r="AA118" s="493" t="str">
        <f t="shared" si="145"/>
        <v>.</v>
      </c>
      <c r="AB118" s="493" t="str">
        <f t="shared" si="146"/>
        <v>.</v>
      </c>
      <c r="AC118" s="545" t="str">
        <f t="shared" si="195"/>
        <v>.</v>
      </c>
      <c r="AD118" s="493" t="str">
        <f xml:space="preserve">  IF( $O118,   ROUND( AA118 * Z118 + ( AA118 - 1 ) * AC118, AD$17 ),       LEER  )</f>
        <v>.</v>
      </c>
      <c r="AE118" s="493" t="str">
        <f xml:space="preserve">  IF( $O118,   ROUND( ( AD118 + AC118 ) / ( 1 - M118), AE$17 ),       LEER  )</f>
        <v>.</v>
      </c>
      <c r="AF118" s="493" t="str">
        <f xml:space="preserve">  IF(  $O118,   IF(  OR( NOT( $AF$12), $A118=$M$12, AE118&gt;=AF117 ), AE118, MAX( AE118,AF117) ),  LEER  )</f>
        <v>.</v>
      </c>
      <c r="AG118" s="493" t="str">
        <f xml:space="preserve">  IF(  $O118,   IF(  AE118=AF118,  LEER, Setzung ),    LEER  )</f>
        <v>.</v>
      </c>
      <c r="AH118" s="493" t="str">
        <f xml:space="preserve">  IF(  $O118,   IF( AND( K117&lt;&gt;0, AG118=Setzung), SetzungZillmerung, LEER ),    LEER  )</f>
        <v>.</v>
      </c>
      <c r="AI118" s="423" t="str">
        <f t="shared" si="153"/>
        <v>.</v>
      </c>
      <c r="AJ118" s="423" t="str">
        <f xml:space="preserve">  IF( $O118,    ROUND( AF118 * AI118, AJ$17 ),  LEER  )</f>
        <v>.</v>
      </c>
      <c r="AK118" s="423" t="str">
        <f xml:space="preserve">  IF( $O118,    ROUND( AJ118 / 12, AK$17 ),  LEER  )</f>
        <v>.</v>
      </c>
      <c r="AN118" s="423" t="str">
        <f t="shared" si="183"/>
        <v>.</v>
      </c>
      <c r="AO118" s="423" t="str">
        <f t="shared" si="183"/>
        <v>.</v>
      </c>
      <c r="AR118" s="546">
        <f xml:space="preserve"> ROUND(  INDEX( Kx!118:118, AR$16 ),  AR$17 )</f>
        <v>0.24679999999999999</v>
      </c>
      <c r="AS118" s="547">
        <f xml:space="preserve"> ROUND(  INDEX( qx!118:118, AS$16 ),  AS$17 )</f>
        <v>0.39040000000000002</v>
      </c>
      <c r="AT118" s="547">
        <f xml:space="preserve"> ROUND(  INDEX( qx!118:118, AT$16 ),  AT$17 )</f>
        <v>0.3649</v>
      </c>
      <c r="AU118" s="548" t="str">
        <f t="shared" si="196"/>
        <v>F</v>
      </c>
      <c r="AV118" s="542">
        <f t="shared" si="197"/>
        <v>0.17929999999999999</v>
      </c>
      <c r="AW118" s="542">
        <f t="shared" si="198"/>
        <v>0.3695</v>
      </c>
      <c r="AX118" s="546">
        <f xml:space="preserve"> ROUND(  INDEX( wx!118:118, AX$16 ),  AX$17 )</f>
        <v>0</v>
      </c>
      <c r="AY118" s="546">
        <f xml:space="preserve"> ROUND(  INDEX( wx!118:118, AY$16 ),  AY$17 )</f>
        <v>2.0999999999999999E-3</v>
      </c>
      <c r="AZ118" s="548" t="str">
        <f t="shared" si="199"/>
        <v>M</v>
      </c>
      <c r="BA118" s="542">
        <f t="shared" si="200"/>
        <v>0.32950000000000002</v>
      </c>
      <c r="BB118" s="542">
        <f t="shared" si="201"/>
        <v>1.4E-3</v>
      </c>
      <c r="BC118" s="533">
        <f xml:space="preserve"> ROUND(  INDEX( Kx!118:118, BC$16 ),  BC$17 )</f>
        <v>14680.04</v>
      </c>
      <c r="BD118" s="533">
        <f xml:space="preserve"> ROUND(  INDEX( Kx!118:118, BD$16 ),  BD$17 )</f>
        <v>10487.49</v>
      </c>
      <c r="BE118" s="548" t="str">
        <f t="shared" si="170"/>
        <v>M</v>
      </c>
      <c r="BF118" s="542">
        <f t="shared" si="202"/>
        <v>0.32950000000000002</v>
      </c>
      <c r="BG118" s="420">
        <f t="shared" si="203"/>
        <v>11868.94</v>
      </c>
      <c r="BQ118" s="549"/>
      <c r="BR118" s="423"/>
      <c r="BS118" s="550"/>
      <c r="BT118" s="423"/>
      <c r="BU118" s="551"/>
      <c r="BV118" s="551"/>
      <c r="BW118" s="529"/>
      <c r="BX118" s="552"/>
      <c r="BY118" s="560"/>
      <c r="BZ118" s="559"/>
      <c r="CB118" s="423"/>
      <c r="CC118" s="423"/>
      <c r="CD118" s="423"/>
      <c r="CE118" s="423"/>
      <c r="CF118" s="553"/>
      <c r="CH118" s="423"/>
      <c r="CI118" s="423"/>
      <c r="CJ118" s="423"/>
      <c r="CK118" s="423"/>
      <c r="CL118" s="553"/>
      <c r="CN118" s="423"/>
      <c r="CO118" s="423"/>
      <c r="CP118" s="423"/>
      <c r="CQ118" s="423"/>
      <c r="CR118" s="553"/>
      <c r="EI118" s="553"/>
      <c r="EJ118" s="553"/>
      <c r="EK118" s="423"/>
      <c r="EL118" s="555"/>
      <c r="ES118" s="533"/>
      <c r="ET118" s="533"/>
      <c r="EU118" s="533"/>
      <c r="EV118" s="556"/>
      <c r="EY118" s="533"/>
      <c r="EZ118" s="533"/>
      <c r="FA118" s="556"/>
      <c r="FD118" s="556"/>
      <c r="FE118" s="556"/>
      <c r="FF118" s="556"/>
      <c r="FK118" s="557">
        <f t="shared" si="164"/>
        <v>118</v>
      </c>
      <c r="FL118" s="493" t="str">
        <f t="shared" si="171"/>
        <v>.</v>
      </c>
      <c r="FM118" s="493" t="str">
        <f t="shared" si="172"/>
        <v>.</v>
      </c>
      <c r="FO118" s="427">
        <f t="shared" si="173"/>
        <v>0</v>
      </c>
      <c r="FP118" s="558" t="str">
        <f t="shared" si="204"/>
        <v>.</v>
      </c>
      <c r="FQ118" s="558" t="str">
        <f t="shared" si="204"/>
        <v>.</v>
      </c>
      <c r="FR118" s="558" t="str">
        <f t="shared" si="204"/>
        <v>.</v>
      </c>
      <c r="FS118" s="558" t="str">
        <f t="shared" si="204"/>
        <v>.</v>
      </c>
      <c r="FT118" s="558" t="str">
        <f t="shared" si="204"/>
        <v>.</v>
      </c>
      <c r="FU118" s="558" t="str">
        <f t="shared" si="204"/>
        <v>.</v>
      </c>
      <c r="FV118" s="558" t="str">
        <f t="shared" si="204"/>
        <v>.</v>
      </c>
      <c r="FW118" s="558" t="str">
        <f t="shared" si="204"/>
        <v>.</v>
      </c>
      <c r="FX118" s="558" t="str">
        <f t="shared" si="204"/>
        <v>.</v>
      </c>
      <c r="FY118" s="558" t="str">
        <f t="shared" si="204"/>
        <v>.</v>
      </c>
      <c r="FZ118" s="558" t="str">
        <f t="shared" si="204"/>
        <v>.</v>
      </c>
      <c r="GA118" s="558" t="str">
        <f t="shared" si="204"/>
        <v>.</v>
      </c>
      <c r="GB118" s="558" t="str">
        <f t="shared" si="204"/>
        <v>.</v>
      </c>
      <c r="GC118" s="558" t="str">
        <f t="shared" si="204"/>
        <v>.</v>
      </c>
      <c r="GD118" s="558" t="str">
        <f t="shared" si="204"/>
        <v>.</v>
      </c>
      <c r="GE118" s="558" t="str">
        <f t="shared" si="204"/>
        <v>.</v>
      </c>
      <c r="GF118" s="558" t="str">
        <f t="shared" si="194"/>
        <v>.</v>
      </c>
      <c r="GG118" s="558" t="str">
        <f t="shared" si="194"/>
        <v>.</v>
      </c>
      <c r="GH118" s="558" t="str">
        <f t="shared" si="194"/>
        <v>.</v>
      </c>
      <c r="GI118" s="558" t="str">
        <f t="shared" si="194"/>
        <v>.</v>
      </c>
      <c r="GJ118" s="558" t="str">
        <f t="shared" si="194"/>
        <v>.</v>
      </c>
      <c r="GK118" s="558" t="str">
        <f t="shared" si="194"/>
        <v>.</v>
      </c>
      <c r="GL118" s="558" t="str">
        <f t="shared" si="194"/>
        <v>.</v>
      </c>
      <c r="GM118" s="558" t="str">
        <f t="shared" si="194"/>
        <v>.</v>
      </c>
      <c r="GN118" s="558" t="str">
        <f t="shared" si="194"/>
        <v>.</v>
      </c>
      <c r="GO118" s="558" t="str">
        <f t="shared" si="194"/>
        <v>.</v>
      </c>
      <c r="GP118" s="558" t="str">
        <f t="shared" si="194"/>
        <v>.</v>
      </c>
      <c r="GQ118" s="558" t="str">
        <f t="shared" si="194"/>
        <v>.</v>
      </c>
      <c r="GR118" s="558" t="str">
        <f t="shared" si="194"/>
        <v>.</v>
      </c>
      <c r="GS118" s="558" t="str">
        <f t="shared" si="194"/>
        <v>.</v>
      </c>
      <c r="GT118" s="558" t="str">
        <f t="shared" si="194"/>
        <v>.</v>
      </c>
      <c r="GU118" s="558" t="str">
        <f t="shared" si="192"/>
        <v>.</v>
      </c>
      <c r="GV118" s="558" t="str">
        <f t="shared" si="192"/>
        <v>.</v>
      </c>
      <c r="GW118" s="558" t="str">
        <f t="shared" si="192"/>
        <v>.</v>
      </c>
      <c r="GX118" s="558" t="str">
        <f t="shared" si="192"/>
        <v>.</v>
      </c>
      <c r="GY118" s="558" t="str">
        <f t="shared" si="192"/>
        <v>.</v>
      </c>
      <c r="GZ118" s="558" t="str">
        <f t="shared" si="192"/>
        <v>.</v>
      </c>
      <c r="HA118" s="558" t="str">
        <f t="shared" si="192"/>
        <v>.</v>
      </c>
      <c r="HB118" s="558" t="str">
        <f t="shared" si="192"/>
        <v>.</v>
      </c>
      <c r="HC118" s="558" t="str">
        <f t="shared" si="192"/>
        <v>.</v>
      </c>
      <c r="HD118" s="558" t="str">
        <f t="shared" si="192"/>
        <v>.</v>
      </c>
      <c r="HE118" s="558" t="str">
        <f t="shared" si="192"/>
        <v>.</v>
      </c>
      <c r="HF118" s="558" t="str">
        <f t="shared" si="192"/>
        <v>.</v>
      </c>
      <c r="HG118" s="558" t="str">
        <f t="shared" si="192"/>
        <v>.</v>
      </c>
      <c r="HH118" s="558" t="str">
        <f t="shared" si="192"/>
        <v>.</v>
      </c>
      <c r="HI118" s="558" t="str">
        <f t="shared" si="192"/>
        <v>.</v>
      </c>
      <c r="HJ118" s="558" t="str">
        <f t="shared" si="192"/>
        <v>.</v>
      </c>
      <c r="HK118" s="558" t="str">
        <f t="shared" si="191"/>
        <v>.</v>
      </c>
      <c r="HL118" s="558" t="str">
        <f t="shared" si="191"/>
        <v>.</v>
      </c>
      <c r="HM118" s="558" t="str">
        <f t="shared" si="191"/>
        <v>.</v>
      </c>
      <c r="HN118" s="558" t="str">
        <f t="shared" si="191"/>
        <v>.</v>
      </c>
      <c r="HO118" s="558" t="str">
        <f t="shared" si="191"/>
        <v>.</v>
      </c>
      <c r="HP118" s="558" t="str">
        <f t="shared" si="191"/>
        <v>.</v>
      </c>
      <c r="HQ118" s="558" t="str">
        <f t="shared" si="191"/>
        <v>.</v>
      </c>
      <c r="HR118" s="558" t="str">
        <f t="shared" si="191"/>
        <v>.</v>
      </c>
      <c r="HS118" s="558" t="str">
        <f t="shared" si="191"/>
        <v>.</v>
      </c>
      <c r="HT118" s="558" t="str">
        <f t="shared" si="191"/>
        <v>.</v>
      </c>
      <c r="HU118" s="558" t="str">
        <f t="shared" si="191"/>
        <v>.</v>
      </c>
      <c r="HV118" s="558" t="str">
        <f t="shared" si="191"/>
        <v>.</v>
      </c>
      <c r="HW118" s="558" t="str">
        <f t="shared" si="191"/>
        <v>.</v>
      </c>
      <c r="HX118" s="558" t="str">
        <f t="shared" si="191"/>
        <v>.</v>
      </c>
      <c r="HY118" s="558" t="str">
        <f t="shared" si="191"/>
        <v>.</v>
      </c>
      <c r="HZ118" s="558" t="str">
        <f t="shared" si="191"/>
        <v>.</v>
      </c>
      <c r="IA118" s="558" t="str">
        <f t="shared" si="191"/>
        <v>.</v>
      </c>
      <c r="IB118" s="558" t="str">
        <f t="shared" si="193"/>
        <v>.</v>
      </c>
      <c r="IC118" s="558" t="str">
        <f t="shared" si="193"/>
        <v>.</v>
      </c>
      <c r="ID118" s="558" t="str">
        <f t="shared" si="193"/>
        <v>.</v>
      </c>
      <c r="IE118" s="558" t="str">
        <f t="shared" si="193"/>
        <v>.</v>
      </c>
      <c r="IF118" s="558" t="str">
        <f t="shared" si="193"/>
        <v>.</v>
      </c>
      <c r="IG118" s="558" t="str">
        <f t="shared" si="193"/>
        <v>.</v>
      </c>
      <c r="IH118" s="558" t="str">
        <f t="shared" si="193"/>
        <v>.</v>
      </c>
      <c r="II118" s="558" t="str">
        <f t="shared" si="193"/>
        <v>.</v>
      </c>
      <c r="IJ118" s="558" t="str">
        <f t="shared" si="193"/>
        <v>.</v>
      </c>
      <c r="IK118" s="558" t="str">
        <f t="shared" si="193"/>
        <v>.</v>
      </c>
      <c r="IL118" s="558" t="str">
        <f t="shared" si="193"/>
        <v>.</v>
      </c>
      <c r="IM118" s="558" t="str">
        <f t="shared" si="193"/>
        <v>.</v>
      </c>
      <c r="IN118" s="558" t="str">
        <f t="shared" si="193"/>
        <v>.</v>
      </c>
      <c r="IO118" s="558" t="str">
        <f t="shared" si="193"/>
        <v>.</v>
      </c>
      <c r="IP118" s="558" t="str">
        <f t="shared" si="193"/>
        <v>.</v>
      </c>
      <c r="IQ118" s="558" t="str">
        <f t="shared" si="193"/>
        <v>.</v>
      </c>
      <c r="IR118" s="558" t="str">
        <f t="shared" si="193"/>
        <v>.</v>
      </c>
      <c r="IS118" s="558" t="str">
        <f t="shared" si="193"/>
        <v>.</v>
      </c>
      <c r="IT118" s="558" t="str">
        <f t="shared" si="193"/>
        <v>.</v>
      </c>
      <c r="IU118" s="558" t="str">
        <f t="shared" si="193"/>
        <v>.</v>
      </c>
      <c r="IV118" s="558" t="str">
        <f t="shared" si="193"/>
        <v>.</v>
      </c>
      <c r="IW118" s="558" t="str">
        <f t="shared" si="193"/>
        <v>.</v>
      </c>
      <c r="IX118" s="558" t="str">
        <f t="shared" si="193"/>
        <v>.</v>
      </c>
      <c r="IY118" s="558" t="str">
        <f t="shared" si="193"/>
        <v>.</v>
      </c>
      <c r="IZ118" s="558" t="str">
        <f t="shared" si="193"/>
        <v>.</v>
      </c>
      <c r="JA118" s="558" t="str">
        <f t="shared" si="193"/>
        <v>.</v>
      </c>
      <c r="JB118" s="558" t="str">
        <f t="shared" si="190"/>
        <v>.</v>
      </c>
      <c r="JC118" s="558" t="str">
        <f t="shared" si="190"/>
        <v>.</v>
      </c>
      <c r="JD118" s="558" t="str">
        <f t="shared" si="190"/>
        <v>.</v>
      </c>
      <c r="JE118" s="558" t="str">
        <f t="shared" si="190"/>
        <v>.</v>
      </c>
      <c r="JF118" s="558" t="str">
        <f t="shared" si="190"/>
        <v>.</v>
      </c>
      <c r="JG118" s="558" t="str">
        <f t="shared" si="190"/>
        <v>.</v>
      </c>
      <c r="JH118" s="558" t="str">
        <f t="shared" si="190"/>
        <v>.</v>
      </c>
      <c r="JI118" s="558" t="str">
        <f t="shared" si="190"/>
        <v>.</v>
      </c>
      <c r="JJ118" s="558" t="str">
        <f t="shared" si="190"/>
        <v>.</v>
      </c>
      <c r="JK118" s="558" t="str">
        <f t="shared" si="190"/>
        <v>.</v>
      </c>
      <c r="JL118" s="558" t="str">
        <f t="shared" si="190"/>
        <v>.</v>
      </c>
    </row>
    <row r="119" spans="1:272" ht="10.199999999999999" x14ac:dyDescent="0.2">
      <c r="A119" s="534">
        <f xml:space="preserve"> Basis!A119</f>
        <v>119</v>
      </c>
      <c r="F119" s="536">
        <f xml:space="preserve"> ROUND(    IF( $A$15=BE_MF_,   AW119,   INDEX( qx!119:119, F$16 ) ),    F$17    )</f>
        <v>0.37530000000000002</v>
      </c>
      <c r="G119" s="536">
        <f xml:space="preserve"> ROUND(    IF( $A$15=BE_MF_,   BB119,   INDEX( wx!119:119, G$16 ) ),    G$17    )</f>
        <v>1.4E-3</v>
      </c>
      <c r="H119" s="537">
        <f xml:space="preserve"> ROUND(    IF( $A$15=BE_MF_,   BG119,   INDEX( Kx!119:119, H$16 ) ),    H$17    )</f>
        <v>11903.39</v>
      </c>
      <c r="I119" s="538">
        <f t="shared" si="167"/>
        <v>11903.39</v>
      </c>
      <c r="J119" s="539">
        <f xml:space="preserve"> ROUND(  I119 / I$19,  J$17 )</f>
        <v>5.7290000000000001</v>
      </c>
      <c r="K119" s="540">
        <f t="shared" si="168"/>
        <v>0</v>
      </c>
      <c r="L119" s="541">
        <f t="shared" si="187"/>
        <v>0</v>
      </c>
      <c r="M119" s="541">
        <f t="shared" si="187"/>
        <v>8.5999999999999993E-2</v>
      </c>
      <c r="O119" s="542" t="b">
        <f t="shared" si="169"/>
        <v>0</v>
      </c>
      <c r="P119" s="493" t="str">
        <f t="shared" si="136"/>
        <v>.</v>
      </c>
      <c r="Q119" s="493" t="str">
        <f xml:space="preserve"> IF( $O119,    ROUND( 1 - P119,  Q$17  ),  LEER  )</f>
        <v>.</v>
      </c>
      <c r="R119" s="543" t="str">
        <f t="shared" si="138"/>
        <v>.</v>
      </c>
      <c r="S119" s="544" t="str">
        <f t="shared" si="139"/>
        <v>.</v>
      </c>
      <c r="T119" s="423" t="str">
        <f xml:space="preserve"> IF( $O119,    ROUND( R119 * S119 ^ A119, T$17 ),  LEER  )</f>
        <v>.</v>
      </c>
      <c r="U119" s="423" t="str">
        <f xml:space="preserve"> IF( $O119,    ROUND(  SUM( T119:T$120), U$17 ),  LEER  )</f>
        <v>.</v>
      </c>
      <c r="V119" s="493" t="str">
        <f xml:space="preserve"> IF( $O119,    IF( T119= 0, 1,  ROUND(  U119 / T119, V$17 )   ),  LEER  )</f>
        <v>.</v>
      </c>
      <c r="W119" s="493" t="str">
        <f t="shared" si="142"/>
        <v>.</v>
      </c>
      <c r="X119" s="493" t="str">
        <f xml:space="preserve"> IF( $O119,    ROUND(  SUM( W119:W$120), X$17 ),  LEER  )</f>
        <v>.</v>
      </c>
      <c r="Y119" s="493" t="str">
        <f xml:space="preserve"> IF( $O119,    IF( T119= 0, J119,  ROUND(  X119 / T119, Y$17 )   ),   LEER  )</f>
        <v>.</v>
      </c>
      <c r="Z119" s="493" t="str">
        <f xml:space="preserve"> IF( $O119,    IF( V119= 0, Y119,  ROUND( Y119 / V119, Z$17 )  ),   LEER  )</f>
        <v>.</v>
      </c>
      <c r="AA119" s="493" t="str">
        <f t="shared" si="145"/>
        <v>.</v>
      </c>
      <c r="AB119" s="493" t="str">
        <f t="shared" si="146"/>
        <v>.</v>
      </c>
      <c r="AC119" s="545" t="str">
        <f t="shared" si="195"/>
        <v>.</v>
      </c>
      <c r="AD119" s="493" t="str">
        <f xml:space="preserve">  IF( $O119,   ROUND( AA119 * Z119 + ( AA119 - 1 ) * AC119, AD$17 ),       LEER  )</f>
        <v>.</v>
      </c>
      <c r="AE119" s="493" t="str">
        <f xml:space="preserve">  IF( $O119,   ROUND( ( AD119 + AC119 ) / ( 1 - M119), AE$17 ),       LEER  )</f>
        <v>.</v>
      </c>
      <c r="AF119" s="493" t="str">
        <f xml:space="preserve">  IF(  $O119,   IF(  OR( NOT( $AF$12), $A119=$M$12, AE119&gt;=AF118 ), AE119, MAX( AE119,AF118) ),  LEER  )</f>
        <v>.</v>
      </c>
      <c r="AG119" s="493" t="str">
        <f xml:space="preserve">  IF(  $O119,   IF(  AE119=AF119,  LEER, Setzung ),    LEER  )</f>
        <v>.</v>
      </c>
      <c r="AH119" s="493" t="str">
        <f xml:space="preserve">  IF(  $O119,   IF( AND( K118&lt;&gt;0, AG119=Setzung), SetzungZillmerung, LEER ),    LEER  )</f>
        <v>.</v>
      </c>
      <c r="AI119" s="423" t="str">
        <f t="shared" si="153"/>
        <v>.</v>
      </c>
      <c r="AJ119" s="423" t="str">
        <f xml:space="preserve">  IF( $O119,    ROUND( AF119 * AI119, AJ$17 ),  LEER  )</f>
        <v>.</v>
      </c>
      <c r="AK119" s="423" t="str">
        <f xml:space="preserve">  IF( $O119,    ROUND( AJ119 / 12, AK$17 ),  LEER  )</f>
        <v>.</v>
      </c>
      <c r="AN119" s="423" t="str">
        <f t="shared" si="183"/>
        <v>.</v>
      </c>
      <c r="AO119" s="423" t="str">
        <f t="shared" si="183"/>
        <v>.</v>
      </c>
      <c r="AR119" s="546">
        <f xml:space="preserve"> ROUND(  INDEX( Kx!119:119, AR$16 ),  AR$17 )</f>
        <v>0.24679999999999999</v>
      </c>
      <c r="AS119" s="547">
        <f xml:space="preserve"> ROUND(  INDEX( qx!119:119, AS$16 ),  AS$17 )</f>
        <v>0.39700000000000002</v>
      </c>
      <c r="AT119" s="547">
        <f xml:space="preserve"> ROUND(  INDEX( qx!119:119, AT$16 ),  AT$17 )</f>
        <v>0.37059999999999998</v>
      </c>
      <c r="AU119" s="548" t="str">
        <f t="shared" si="196"/>
        <v>F</v>
      </c>
      <c r="AV119" s="542">
        <f t="shared" si="197"/>
        <v>0.17929999999999999</v>
      </c>
      <c r="AW119" s="542">
        <f t="shared" si="198"/>
        <v>0.37530000000000002</v>
      </c>
      <c r="AX119" s="546">
        <f xml:space="preserve"> ROUND(  INDEX( wx!119:119, AX$16 ),  AX$17 )</f>
        <v>0</v>
      </c>
      <c r="AY119" s="546">
        <f xml:space="preserve"> ROUND(  INDEX( wx!119:119, AY$16 ),  AY$17 )</f>
        <v>2.0999999999999999E-3</v>
      </c>
      <c r="AZ119" s="548" t="str">
        <f t="shared" si="199"/>
        <v>M</v>
      </c>
      <c r="BA119" s="542">
        <f t="shared" si="200"/>
        <v>0.32950000000000002</v>
      </c>
      <c r="BB119" s="542">
        <f t="shared" si="201"/>
        <v>1.4E-3</v>
      </c>
      <c r="BC119" s="533">
        <f xml:space="preserve"> ROUND(  INDEX( Kx!119:119, BC$16 ),  BC$17 )</f>
        <v>14758.73</v>
      </c>
      <c r="BD119" s="533">
        <f xml:space="preserve"> ROUND(  INDEX( Kx!119:119, BD$16 ),  BD$17 )</f>
        <v>10500.2</v>
      </c>
      <c r="BE119" s="548" t="str">
        <f t="shared" si="170"/>
        <v>M</v>
      </c>
      <c r="BF119" s="542">
        <f t="shared" si="202"/>
        <v>0.32950000000000002</v>
      </c>
      <c r="BG119" s="420">
        <f t="shared" si="203"/>
        <v>11903.39</v>
      </c>
      <c r="BQ119" s="549"/>
      <c r="BR119" s="423"/>
      <c r="BS119" s="550"/>
      <c r="BT119" s="423"/>
      <c r="BU119" s="551"/>
      <c r="BV119" s="551"/>
      <c r="BW119" s="529"/>
      <c r="BX119" s="552"/>
      <c r="BY119" s="560"/>
      <c r="BZ119" s="559"/>
      <c r="CB119" s="423"/>
      <c r="CC119" s="423"/>
      <c r="CD119" s="423"/>
      <c r="CE119" s="423"/>
      <c r="CF119" s="553"/>
      <c r="CH119" s="423"/>
      <c r="CI119" s="423"/>
      <c r="CJ119" s="423"/>
      <c r="CK119" s="423"/>
      <c r="CL119" s="553"/>
      <c r="CN119" s="423"/>
      <c r="CO119" s="423"/>
      <c r="CP119" s="423"/>
      <c r="CQ119" s="423"/>
      <c r="CR119" s="553"/>
      <c r="EI119" s="553"/>
      <c r="EJ119" s="553"/>
      <c r="EK119" s="423"/>
      <c r="EL119" s="555"/>
      <c r="ES119" s="533"/>
      <c r="ET119" s="533"/>
      <c r="EU119" s="533"/>
      <c r="EV119" s="556"/>
      <c r="EY119" s="533"/>
      <c r="EZ119" s="533"/>
      <c r="FA119" s="556"/>
      <c r="FD119" s="556"/>
      <c r="FE119" s="556"/>
      <c r="FF119" s="556"/>
      <c r="FK119" s="557">
        <f t="shared" si="164"/>
        <v>119</v>
      </c>
      <c r="FL119" s="493" t="str">
        <f t="shared" si="171"/>
        <v>.</v>
      </c>
      <c r="FM119" s="493" t="str">
        <f t="shared" si="172"/>
        <v>.</v>
      </c>
      <c r="FO119" s="427">
        <f t="shared" si="173"/>
        <v>0</v>
      </c>
      <c r="FP119" s="558" t="str">
        <f t="shared" si="204"/>
        <v>.</v>
      </c>
      <c r="FQ119" s="558" t="str">
        <f t="shared" si="204"/>
        <v>.</v>
      </c>
      <c r="FR119" s="558" t="str">
        <f t="shared" si="204"/>
        <v>.</v>
      </c>
      <c r="FS119" s="558" t="str">
        <f t="shared" si="204"/>
        <v>.</v>
      </c>
      <c r="FT119" s="558" t="str">
        <f t="shared" si="204"/>
        <v>.</v>
      </c>
      <c r="FU119" s="558" t="str">
        <f t="shared" si="204"/>
        <v>.</v>
      </c>
      <c r="FV119" s="558" t="str">
        <f t="shared" si="204"/>
        <v>.</v>
      </c>
      <c r="FW119" s="558" t="str">
        <f t="shared" si="204"/>
        <v>.</v>
      </c>
      <c r="FX119" s="558" t="str">
        <f t="shared" si="204"/>
        <v>.</v>
      </c>
      <c r="FY119" s="558" t="str">
        <f t="shared" si="204"/>
        <v>.</v>
      </c>
      <c r="FZ119" s="558" t="str">
        <f t="shared" si="204"/>
        <v>.</v>
      </c>
      <c r="GA119" s="558" t="str">
        <f t="shared" si="204"/>
        <v>.</v>
      </c>
      <c r="GB119" s="558" t="str">
        <f t="shared" si="204"/>
        <v>.</v>
      </c>
      <c r="GC119" s="558" t="str">
        <f t="shared" si="204"/>
        <v>.</v>
      </c>
      <c r="GD119" s="558" t="str">
        <f t="shared" si="204"/>
        <v>.</v>
      </c>
      <c r="GE119" s="558" t="str">
        <f t="shared" si="204"/>
        <v>.</v>
      </c>
      <c r="GF119" s="558" t="str">
        <f t="shared" si="194"/>
        <v>.</v>
      </c>
      <c r="GG119" s="558" t="str">
        <f t="shared" si="194"/>
        <v>.</v>
      </c>
      <c r="GH119" s="558" t="str">
        <f t="shared" si="194"/>
        <v>.</v>
      </c>
      <c r="GI119" s="558" t="str">
        <f t="shared" si="194"/>
        <v>.</v>
      </c>
      <c r="GJ119" s="558" t="str">
        <f t="shared" si="194"/>
        <v>.</v>
      </c>
      <c r="GK119" s="558" t="str">
        <f t="shared" si="194"/>
        <v>.</v>
      </c>
      <c r="GL119" s="558" t="str">
        <f t="shared" si="194"/>
        <v>.</v>
      </c>
      <c r="GM119" s="558" t="str">
        <f t="shared" si="194"/>
        <v>.</v>
      </c>
      <c r="GN119" s="558" t="str">
        <f t="shared" si="194"/>
        <v>.</v>
      </c>
      <c r="GO119" s="558" t="str">
        <f t="shared" si="194"/>
        <v>.</v>
      </c>
      <c r="GP119" s="558" t="str">
        <f t="shared" si="194"/>
        <v>.</v>
      </c>
      <c r="GQ119" s="558" t="str">
        <f t="shared" si="194"/>
        <v>.</v>
      </c>
      <c r="GR119" s="558" t="str">
        <f t="shared" si="194"/>
        <v>.</v>
      </c>
      <c r="GS119" s="558" t="str">
        <f t="shared" si="194"/>
        <v>.</v>
      </c>
      <c r="GT119" s="558" t="str">
        <f t="shared" si="194"/>
        <v>.</v>
      </c>
      <c r="GU119" s="558" t="str">
        <f t="shared" si="192"/>
        <v>.</v>
      </c>
      <c r="GV119" s="558" t="str">
        <f t="shared" si="192"/>
        <v>.</v>
      </c>
      <c r="GW119" s="558" t="str">
        <f t="shared" si="192"/>
        <v>.</v>
      </c>
      <c r="GX119" s="558" t="str">
        <f t="shared" si="192"/>
        <v>.</v>
      </c>
      <c r="GY119" s="558" t="str">
        <f t="shared" si="192"/>
        <v>.</v>
      </c>
      <c r="GZ119" s="558" t="str">
        <f t="shared" si="192"/>
        <v>.</v>
      </c>
      <c r="HA119" s="558" t="str">
        <f t="shared" si="192"/>
        <v>.</v>
      </c>
      <c r="HB119" s="558" t="str">
        <f t="shared" si="192"/>
        <v>.</v>
      </c>
      <c r="HC119" s="558" t="str">
        <f t="shared" si="192"/>
        <v>.</v>
      </c>
      <c r="HD119" s="558" t="str">
        <f t="shared" si="192"/>
        <v>.</v>
      </c>
      <c r="HE119" s="558" t="str">
        <f t="shared" si="192"/>
        <v>.</v>
      </c>
      <c r="HF119" s="558" t="str">
        <f t="shared" si="192"/>
        <v>.</v>
      </c>
      <c r="HG119" s="558" t="str">
        <f t="shared" si="192"/>
        <v>.</v>
      </c>
      <c r="HH119" s="558" t="str">
        <f t="shared" si="192"/>
        <v>.</v>
      </c>
      <c r="HI119" s="558" t="str">
        <f t="shared" si="192"/>
        <v>.</v>
      </c>
      <c r="HJ119" s="558" t="str">
        <f t="shared" si="192"/>
        <v>.</v>
      </c>
      <c r="HK119" s="558" t="str">
        <f t="shared" si="191"/>
        <v>.</v>
      </c>
      <c r="HL119" s="558" t="str">
        <f t="shared" si="191"/>
        <v>.</v>
      </c>
      <c r="HM119" s="558" t="str">
        <f t="shared" si="191"/>
        <v>.</v>
      </c>
      <c r="HN119" s="558" t="str">
        <f t="shared" si="191"/>
        <v>.</v>
      </c>
      <c r="HO119" s="558" t="str">
        <f t="shared" si="191"/>
        <v>.</v>
      </c>
      <c r="HP119" s="558" t="str">
        <f t="shared" si="191"/>
        <v>.</v>
      </c>
      <c r="HQ119" s="558" t="str">
        <f t="shared" si="191"/>
        <v>.</v>
      </c>
      <c r="HR119" s="558" t="str">
        <f t="shared" si="191"/>
        <v>.</v>
      </c>
      <c r="HS119" s="558" t="str">
        <f t="shared" si="191"/>
        <v>.</v>
      </c>
      <c r="HT119" s="558" t="str">
        <f t="shared" si="191"/>
        <v>.</v>
      </c>
      <c r="HU119" s="558" t="str">
        <f t="shared" si="191"/>
        <v>.</v>
      </c>
      <c r="HV119" s="558" t="str">
        <f t="shared" si="191"/>
        <v>.</v>
      </c>
      <c r="HW119" s="558" t="str">
        <f t="shared" si="191"/>
        <v>.</v>
      </c>
      <c r="HX119" s="558" t="str">
        <f t="shared" si="191"/>
        <v>.</v>
      </c>
      <c r="HY119" s="558" t="str">
        <f t="shared" si="191"/>
        <v>.</v>
      </c>
      <c r="HZ119" s="558" t="str">
        <f t="shared" si="191"/>
        <v>.</v>
      </c>
      <c r="IA119" s="558" t="str">
        <f t="shared" si="191"/>
        <v>.</v>
      </c>
      <c r="IB119" s="558" t="str">
        <f t="shared" si="193"/>
        <v>.</v>
      </c>
      <c r="IC119" s="558" t="str">
        <f t="shared" si="193"/>
        <v>.</v>
      </c>
      <c r="ID119" s="558" t="str">
        <f t="shared" si="193"/>
        <v>.</v>
      </c>
      <c r="IE119" s="558" t="str">
        <f t="shared" si="193"/>
        <v>.</v>
      </c>
      <c r="IF119" s="558" t="str">
        <f t="shared" si="193"/>
        <v>.</v>
      </c>
      <c r="IG119" s="558" t="str">
        <f t="shared" si="193"/>
        <v>.</v>
      </c>
      <c r="IH119" s="558" t="str">
        <f t="shared" si="193"/>
        <v>.</v>
      </c>
      <c r="II119" s="558" t="str">
        <f t="shared" si="193"/>
        <v>.</v>
      </c>
      <c r="IJ119" s="558" t="str">
        <f t="shared" si="193"/>
        <v>.</v>
      </c>
      <c r="IK119" s="558" t="str">
        <f t="shared" si="193"/>
        <v>.</v>
      </c>
      <c r="IL119" s="558" t="str">
        <f t="shared" si="193"/>
        <v>.</v>
      </c>
      <c r="IM119" s="558" t="str">
        <f t="shared" si="193"/>
        <v>.</v>
      </c>
      <c r="IN119" s="558" t="str">
        <f t="shared" si="193"/>
        <v>.</v>
      </c>
      <c r="IO119" s="558" t="str">
        <f t="shared" si="193"/>
        <v>.</v>
      </c>
      <c r="IP119" s="558" t="str">
        <f t="shared" si="193"/>
        <v>.</v>
      </c>
      <c r="IQ119" s="558" t="str">
        <f t="shared" si="193"/>
        <v>.</v>
      </c>
      <c r="IR119" s="558" t="str">
        <f t="shared" si="193"/>
        <v>.</v>
      </c>
      <c r="IS119" s="558" t="str">
        <f t="shared" si="193"/>
        <v>.</v>
      </c>
      <c r="IT119" s="558" t="str">
        <f t="shared" si="193"/>
        <v>.</v>
      </c>
      <c r="IU119" s="558" t="str">
        <f t="shared" si="193"/>
        <v>.</v>
      </c>
      <c r="IV119" s="558" t="str">
        <f t="shared" si="193"/>
        <v>.</v>
      </c>
      <c r="IW119" s="558" t="str">
        <f t="shared" si="193"/>
        <v>.</v>
      </c>
      <c r="IX119" s="558" t="str">
        <f t="shared" si="193"/>
        <v>.</v>
      </c>
      <c r="IY119" s="558" t="str">
        <f t="shared" si="193"/>
        <v>.</v>
      </c>
      <c r="IZ119" s="558" t="str">
        <f t="shared" si="193"/>
        <v>.</v>
      </c>
      <c r="JA119" s="558" t="str">
        <f t="shared" si="193"/>
        <v>.</v>
      </c>
      <c r="JB119" s="558" t="str">
        <f t="shared" si="190"/>
        <v>.</v>
      </c>
      <c r="JC119" s="558" t="str">
        <f t="shared" si="190"/>
        <v>.</v>
      </c>
      <c r="JD119" s="558" t="str">
        <f t="shared" si="190"/>
        <v>.</v>
      </c>
      <c r="JE119" s="558" t="str">
        <f t="shared" si="190"/>
        <v>.</v>
      </c>
      <c r="JF119" s="558" t="str">
        <f t="shared" si="190"/>
        <v>.</v>
      </c>
      <c r="JG119" s="558" t="str">
        <f t="shared" si="190"/>
        <v>.</v>
      </c>
      <c r="JH119" s="558" t="str">
        <f t="shared" si="190"/>
        <v>.</v>
      </c>
      <c r="JI119" s="558" t="str">
        <f t="shared" si="190"/>
        <v>.</v>
      </c>
      <c r="JJ119" s="558" t="str">
        <f t="shared" si="190"/>
        <v>.</v>
      </c>
      <c r="JK119" s="558" t="str">
        <f t="shared" si="190"/>
        <v>.</v>
      </c>
      <c r="JL119" s="558" t="str">
        <f t="shared" si="190"/>
        <v>.</v>
      </c>
    </row>
    <row r="120" spans="1:272" ht="10.199999999999999" x14ac:dyDescent="0.2">
      <c r="A120" s="534">
        <f xml:space="preserve"> Basis!A120</f>
        <v>120</v>
      </c>
      <c r="F120" s="536">
        <f xml:space="preserve"> ROUND(    IF( $A$15=BE_MF_,   AW120,   INDEX( qx!120:120, F$16 ) ),    F$17    )</f>
        <v>0.38119999999999998</v>
      </c>
      <c r="G120" s="536">
        <f xml:space="preserve"> ROUND(    IF( $A$15=BE_MF_,   BB120,   INDEX( wx!120:120, G$16 ) ),    G$17    )</f>
        <v>1.4E-3</v>
      </c>
      <c r="H120" s="537">
        <f xml:space="preserve"> ROUND(    IF( $A$15=BE_MF_,   BG120,   INDEX( Kx!120:120, H$16 ) ),    H$17    )</f>
        <v>11937.84</v>
      </c>
      <c r="I120" s="538">
        <f t="shared" si="167"/>
        <v>11937.84</v>
      </c>
      <c r="J120" s="539">
        <f xml:space="preserve"> ROUND(  I120 / I$19,  J$17 )</f>
        <v>5.7450000000000001</v>
      </c>
      <c r="K120" s="540">
        <f t="shared" si="168"/>
        <v>0</v>
      </c>
      <c r="L120" s="541">
        <f t="shared" si="187"/>
        <v>0</v>
      </c>
      <c r="M120" s="541">
        <f t="shared" si="187"/>
        <v>8.5999999999999993E-2</v>
      </c>
      <c r="O120" s="542" t="b">
        <f t="shared" si="169"/>
        <v>0</v>
      </c>
      <c r="P120" s="493" t="str">
        <f t="shared" si="136"/>
        <v>.</v>
      </c>
      <c r="Q120" s="493" t="str">
        <f xml:space="preserve"> IF( $O120,    ROUND( 1 - P120,  Q$17  ),  LEER  )</f>
        <v>.</v>
      </c>
      <c r="R120" s="543" t="str">
        <f t="shared" si="138"/>
        <v>.</v>
      </c>
      <c r="S120" s="544" t="str">
        <f t="shared" si="139"/>
        <v>.</v>
      </c>
      <c r="T120" s="423" t="str">
        <f xml:space="preserve"> IF( $O120,    ROUND( R120 * S120 ^ A120, T$17 ),  LEER  )</f>
        <v>.</v>
      </c>
      <c r="U120" s="423" t="str">
        <f xml:space="preserve"> IF( $O120,    ROUND(  SUM( T120:T$120), U$17 ),  LEER  )</f>
        <v>.</v>
      </c>
      <c r="V120" s="493" t="str">
        <f xml:space="preserve"> IF( $O120,    IF( T120= 0, 1,  ROUND(  U120 / T120, V$17 )   ),  LEER  )</f>
        <v>.</v>
      </c>
      <c r="W120" s="493" t="str">
        <f t="shared" si="142"/>
        <v>.</v>
      </c>
      <c r="X120" s="493" t="str">
        <f xml:space="preserve"> IF( $O120,    ROUND(  SUM( W120:W$120), X$17 ),  LEER  )</f>
        <v>.</v>
      </c>
      <c r="Y120" s="493" t="str">
        <f xml:space="preserve"> IF( $O120,    IF( T120= 0, J120,  ROUND(  X120 / T120, Y$17 )   ),   LEER  )</f>
        <v>.</v>
      </c>
      <c r="Z120" s="493" t="str">
        <f xml:space="preserve"> IF( $O120,    IF( V120= 0, Y120,  ROUND( Y120 / V120, Z$17 )  ),   LEER  )</f>
        <v>.</v>
      </c>
      <c r="AA120" s="493" t="str">
        <f t="shared" si="145"/>
        <v>.</v>
      </c>
      <c r="AB120" s="493" t="str">
        <f t="shared" si="146"/>
        <v>.</v>
      </c>
      <c r="AC120" s="545" t="str">
        <f t="shared" si="195"/>
        <v>.</v>
      </c>
      <c r="AD120" s="493" t="str">
        <f xml:space="preserve">  IF( $O120,   ROUND( AA120 * Z120 + ( AA120 - 1 ) * AC120, AD$17 ),       LEER  )</f>
        <v>.</v>
      </c>
      <c r="AE120" s="493" t="str">
        <f xml:space="preserve">  IF( $O120,   ROUND( ( AD120 + AC120 ) / ( 1 - M120), AE$17 ),       LEER  )</f>
        <v>.</v>
      </c>
      <c r="AF120" s="493" t="str">
        <f xml:space="preserve">  IF(  $O120,   IF(  OR( NOT( $AF$12), $A120=$M$12, AE120&gt;=AF119 ), AE120, MAX( AE120,AF119) ),  LEER  )</f>
        <v>.</v>
      </c>
      <c r="AG120" s="493" t="str">
        <f xml:space="preserve">  IF(  $O120,   IF(  AE120=AF120,  LEER, Setzung ),    LEER  )</f>
        <v>.</v>
      </c>
      <c r="AH120" s="493" t="str">
        <f xml:space="preserve">  IF(  $O120,   IF( AND( K119&lt;&gt;0, AG120=Setzung), SetzungZillmerung, LEER ),    LEER  )</f>
        <v>.</v>
      </c>
      <c r="AI120" s="423" t="str">
        <f t="shared" si="153"/>
        <v>.</v>
      </c>
      <c r="AJ120" s="423" t="str">
        <f xml:space="preserve">  IF( $O120,    ROUND( AF120 * AI120, AJ$17 ),  LEER  )</f>
        <v>.</v>
      </c>
      <c r="AK120" s="423" t="str">
        <f xml:space="preserve">  IF( $O120,    ROUND( AJ120 / 12, AK$17 ),  LEER  )</f>
        <v>.</v>
      </c>
      <c r="AN120" s="423" t="str">
        <f t="shared" si="183"/>
        <v>.</v>
      </c>
      <c r="AO120" s="423" t="str">
        <f t="shared" si="183"/>
        <v>.</v>
      </c>
      <c r="AR120" s="546">
        <f xml:space="preserve"> ROUND(  INDEX( Kx!120:120, AR$16 ),  AR$17 )</f>
        <v>0.24679999999999999</v>
      </c>
      <c r="AS120" s="547">
        <f xml:space="preserve"> ROUND(  INDEX( qx!120:120, AS$16 ),  AS$17 )</f>
        <v>0.40350000000000003</v>
      </c>
      <c r="AT120" s="547">
        <f xml:space="preserve"> ROUND(  INDEX( qx!120:120, AT$16 ),  AT$17 )</f>
        <v>0.37630000000000002</v>
      </c>
      <c r="AU120" s="548" t="str">
        <f t="shared" si="196"/>
        <v>F</v>
      </c>
      <c r="AV120" s="542">
        <f t="shared" si="197"/>
        <v>0.17929999999999999</v>
      </c>
      <c r="AW120" s="542">
        <f t="shared" si="198"/>
        <v>0.38119999999999998</v>
      </c>
      <c r="AX120" s="546">
        <f xml:space="preserve"> ROUND(  INDEX( wx!120:120, AX$16 ),  AX$17 )</f>
        <v>0</v>
      </c>
      <c r="AY120" s="546">
        <f xml:space="preserve"> ROUND(  INDEX( wx!120:120, AY$16 ),  AY$17 )</f>
        <v>2.0999999999999999E-3</v>
      </c>
      <c r="AZ120" s="548" t="str">
        <f t="shared" si="199"/>
        <v>M</v>
      </c>
      <c r="BA120" s="542">
        <f t="shared" si="200"/>
        <v>0.32950000000000002</v>
      </c>
      <c r="BB120" s="542">
        <f t="shared" si="201"/>
        <v>1.4E-3</v>
      </c>
      <c r="BC120" s="533">
        <f xml:space="preserve"> ROUND(  INDEX( Kx!120:120, BC$16 ),  BC$17 )</f>
        <v>14837.42</v>
      </c>
      <c r="BD120" s="533">
        <f xml:space="preserve"> ROUND(  INDEX( Kx!120:120, BD$16 ),  BD$17 )</f>
        <v>10512.92</v>
      </c>
      <c r="BE120" s="548" t="str">
        <f t="shared" si="170"/>
        <v>M</v>
      </c>
      <c r="BF120" s="542">
        <f t="shared" si="202"/>
        <v>0.32950000000000002</v>
      </c>
      <c r="BG120" s="420">
        <f t="shared" si="203"/>
        <v>11937.84</v>
      </c>
      <c r="BQ120" s="549"/>
      <c r="BR120" s="423"/>
      <c r="BS120" s="550"/>
      <c r="BT120" s="423"/>
      <c r="BU120" s="551"/>
      <c r="BV120" s="551"/>
      <c r="BW120" s="529"/>
      <c r="BX120" s="552"/>
      <c r="BY120" s="560"/>
      <c r="BZ120" s="559"/>
      <c r="CB120" s="423"/>
      <c r="CC120" s="423"/>
      <c r="CD120" s="423"/>
      <c r="CE120" s="423"/>
      <c r="CF120" s="553"/>
      <c r="CH120" s="423"/>
      <c r="CI120" s="423"/>
      <c r="CJ120" s="423"/>
      <c r="CK120" s="423"/>
      <c r="CL120" s="553"/>
      <c r="CN120" s="423"/>
      <c r="CO120" s="423"/>
      <c r="CP120" s="423"/>
      <c r="CQ120" s="423"/>
      <c r="CR120" s="553"/>
      <c r="EI120" s="553"/>
      <c r="EJ120" s="553"/>
      <c r="EK120" s="423"/>
      <c r="EL120" s="555"/>
      <c r="ES120" s="533"/>
      <c r="ET120" s="533"/>
      <c r="EU120" s="533"/>
      <c r="EV120" s="556"/>
      <c r="EY120" s="533"/>
      <c r="EZ120" s="533"/>
      <c r="FA120" s="556"/>
      <c r="FD120" s="556"/>
      <c r="FE120" s="556"/>
      <c r="FF120" s="556"/>
      <c r="FK120" s="557">
        <f xml:space="preserve"> A120</f>
        <v>120</v>
      </c>
      <c r="FL120" s="493" t="str">
        <f t="shared" si="171"/>
        <v>.</v>
      </c>
      <c r="FM120" s="493" t="str">
        <f t="shared" si="172"/>
        <v>.</v>
      </c>
      <c r="FO120" s="427">
        <f t="shared" si="173"/>
        <v>0</v>
      </c>
      <c r="FP120" s="558" t="str">
        <f t="shared" si="204"/>
        <v>.</v>
      </c>
      <c r="FQ120" s="558" t="str">
        <f t="shared" si="204"/>
        <v>.</v>
      </c>
      <c r="FR120" s="558" t="str">
        <f t="shared" si="204"/>
        <v>.</v>
      </c>
      <c r="FS120" s="558" t="str">
        <f t="shared" si="204"/>
        <v>.</v>
      </c>
      <c r="FT120" s="558" t="str">
        <f t="shared" si="204"/>
        <v>.</v>
      </c>
      <c r="FU120" s="558" t="str">
        <f t="shared" si="204"/>
        <v>.</v>
      </c>
      <c r="FV120" s="558" t="str">
        <f t="shared" si="204"/>
        <v>.</v>
      </c>
      <c r="FW120" s="558" t="str">
        <f t="shared" si="204"/>
        <v>.</v>
      </c>
      <c r="FX120" s="558" t="str">
        <f t="shared" si="204"/>
        <v>.</v>
      </c>
      <c r="FY120" s="558" t="str">
        <f t="shared" si="204"/>
        <v>.</v>
      </c>
      <c r="FZ120" s="558" t="str">
        <f t="shared" si="204"/>
        <v>.</v>
      </c>
      <c r="GA120" s="558" t="str">
        <f t="shared" si="204"/>
        <v>.</v>
      </c>
      <c r="GB120" s="558" t="str">
        <f t="shared" si="204"/>
        <v>.</v>
      </c>
      <c r="GC120" s="558" t="str">
        <f t="shared" si="204"/>
        <v>.</v>
      </c>
      <c r="GD120" s="558" t="str">
        <f t="shared" si="204"/>
        <v>.</v>
      </c>
      <c r="GE120" s="558" t="str">
        <f t="shared" si="204"/>
        <v>.</v>
      </c>
      <c r="GF120" s="558" t="str">
        <f t="shared" si="194"/>
        <v>.</v>
      </c>
      <c r="GG120" s="558" t="str">
        <f t="shared" si="194"/>
        <v>.</v>
      </c>
      <c r="GH120" s="558" t="str">
        <f t="shared" si="194"/>
        <v>.</v>
      </c>
      <c r="GI120" s="558" t="str">
        <f t="shared" si="194"/>
        <v>.</v>
      </c>
      <c r="GJ120" s="558" t="str">
        <f t="shared" si="194"/>
        <v>.</v>
      </c>
      <c r="GK120" s="558" t="str">
        <f t="shared" si="194"/>
        <v>.</v>
      </c>
      <c r="GL120" s="558" t="str">
        <f t="shared" si="194"/>
        <v>.</v>
      </c>
      <c r="GM120" s="558" t="str">
        <f t="shared" si="194"/>
        <v>.</v>
      </c>
      <c r="GN120" s="558" t="str">
        <f t="shared" si="194"/>
        <v>.</v>
      </c>
      <c r="GO120" s="558" t="str">
        <f t="shared" si="194"/>
        <v>.</v>
      </c>
      <c r="GP120" s="558" t="str">
        <f t="shared" si="194"/>
        <v>.</v>
      </c>
      <c r="GQ120" s="558" t="str">
        <f t="shared" si="194"/>
        <v>.</v>
      </c>
      <c r="GR120" s="558" t="str">
        <f t="shared" si="194"/>
        <v>.</v>
      </c>
      <c r="GS120" s="558" t="str">
        <f t="shared" si="194"/>
        <v>.</v>
      </c>
      <c r="GT120" s="558" t="str">
        <f t="shared" si="194"/>
        <v>.</v>
      </c>
      <c r="GU120" s="558" t="str">
        <f t="shared" si="192"/>
        <v>.</v>
      </c>
      <c r="GV120" s="558" t="str">
        <f t="shared" si="192"/>
        <v>.</v>
      </c>
      <c r="GW120" s="558" t="str">
        <f t="shared" si="192"/>
        <v>.</v>
      </c>
      <c r="GX120" s="558" t="str">
        <f t="shared" si="192"/>
        <v>.</v>
      </c>
      <c r="GY120" s="558" t="str">
        <f t="shared" si="192"/>
        <v>.</v>
      </c>
      <c r="GZ120" s="558" t="str">
        <f t="shared" si="192"/>
        <v>.</v>
      </c>
      <c r="HA120" s="558" t="str">
        <f t="shared" si="192"/>
        <v>.</v>
      </c>
      <c r="HB120" s="558" t="str">
        <f t="shared" si="192"/>
        <v>.</v>
      </c>
      <c r="HC120" s="558" t="str">
        <f t="shared" si="192"/>
        <v>.</v>
      </c>
      <c r="HD120" s="558" t="str">
        <f t="shared" si="192"/>
        <v>.</v>
      </c>
      <c r="HE120" s="558" t="str">
        <f t="shared" si="192"/>
        <v>.</v>
      </c>
      <c r="HF120" s="558" t="str">
        <f t="shared" si="192"/>
        <v>.</v>
      </c>
      <c r="HG120" s="558" t="str">
        <f t="shared" si="192"/>
        <v>.</v>
      </c>
      <c r="HH120" s="558" t="str">
        <f t="shared" si="192"/>
        <v>.</v>
      </c>
      <c r="HI120" s="558" t="str">
        <f t="shared" si="192"/>
        <v>.</v>
      </c>
      <c r="HJ120" s="558" t="str">
        <f t="shared" si="192"/>
        <v>.</v>
      </c>
      <c r="HK120" s="558" t="str">
        <f t="shared" si="191"/>
        <v>.</v>
      </c>
      <c r="HL120" s="558" t="str">
        <f t="shared" si="191"/>
        <v>.</v>
      </c>
      <c r="HM120" s="558" t="str">
        <f t="shared" si="191"/>
        <v>.</v>
      </c>
      <c r="HN120" s="558" t="str">
        <f t="shared" si="191"/>
        <v>.</v>
      </c>
      <c r="HO120" s="558" t="str">
        <f t="shared" si="191"/>
        <v>.</v>
      </c>
      <c r="HP120" s="558" t="str">
        <f t="shared" si="191"/>
        <v>.</v>
      </c>
      <c r="HQ120" s="558" t="str">
        <f t="shared" si="191"/>
        <v>.</v>
      </c>
      <c r="HR120" s="558" t="str">
        <f t="shared" si="191"/>
        <v>.</v>
      </c>
      <c r="HS120" s="558" t="str">
        <f t="shared" si="191"/>
        <v>.</v>
      </c>
      <c r="HT120" s="558" t="str">
        <f t="shared" si="191"/>
        <v>.</v>
      </c>
      <c r="HU120" s="558" t="str">
        <f t="shared" si="191"/>
        <v>.</v>
      </c>
      <c r="HV120" s="558" t="str">
        <f t="shared" si="191"/>
        <v>.</v>
      </c>
      <c r="HW120" s="558" t="str">
        <f t="shared" si="191"/>
        <v>.</v>
      </c>
      <c r="HX120" s="558" t="str">
        <f t="shared" si="191"/>
        <v>.</v>
      </c>
      <c r="HY120" s="558" t="str">
        <f t="shared" si="191"/>
        <v>.</v>
      </c>
      <c r="HZ120" s="558" t="str">
        <f t="shared" si="191"/>
        <v>.</v>
      </c>
      <c r="IA120" s="558" t="str">
        <f t="shared" si="191"/>
        <v>.</v>
      </c>
      <c r="IB120" s="558" t="str">
        <f t="shared" si="193"/>
        <v>.</v>
      </c>
      <c r="IC120" s="558" t="str">
        <f t="shared" si="193"/>
        <v>.</v>
      </c>
      <c r="ID120" s="558" t="str">
        <f t="shared" si="193"/>
        <v>.</v>
      </c>
      <c r="IE120" s="558" t="str">
        <f t="shared" si="193"/>
        <v>.</v>
      </c>
      <c r="IF120" s="558" t="str">
        <f t="shared" si="193"/>
        <v>.</v>
      </c>
      <c r="IG120" s="558" t="str">
        <f t="shared" si="193"/>
        <v>.</v>
      </c>
      <c r="IH120" s="558" t="str">
        <f t="shared" si="193"/>
        <v>.</v>
      </c>
      <c r="II120" s="558" t="str">
        <f t="shared" si="193"/>
        <v>.</v>
      </c>
      <c r="IJ120" s="558" t="str">
        <f t="shared" si="193"/>
        <v>.</v>
      </c>
      <c r="IK120" s="558" t="str">
        <f t="shared" si="193"/>
        <v>.</v>
      </c>
      <c r="IL120" s="558" t="str">
        <f t="shared" si="193"/>
        <v>.</v>
      </c>
      <c r="IM120" s="558" t="str">
        <f t="shared" si="193"/>
        <v>.</v>
      </c>
      <c r="IN120" s="558" t="str">
        <f t="shared" si="193"/>
        <v>.</v>
      </c>
      <c r="IO120" s="558" t="str">
        <f t="shared" si="193"/>
        <v>.</v>
      </c>
      <c r="IP120" s="558" t="str">
        <f t="shared" si="193"/>
        <v>.</v>
      </c>
      <c r="IQ120" s="558" t="str">
        <f t="shared" si="193"/>
        <v>.</v>
      </c>
      <c r="IR120" s="558" t="str">
        <f t="shared" si="193"/>
        <v>.</v>
      </c>
      <c r="IS120" s="558" t="str">
        <f t="shared" si="193"/>
        <v>.</v>
      </c>
      <c r="IT120" s="558" t="str">
        <f t="shared" si="193"/>
        <v>.</v>
      </c>
      <c r="IU120" s="558" t="str">
        <f t="shared" si="193"/>
        <v>.</v>
      </c>
      <c r="IV120" s="558" t="str">
        <f t="shared" si="193"/>
        <v>.</v>
      </c>
      <c r="IW120" s="558" t="str">
        <f t="shared" si="193"/>
        <v>.</v>
      </c>
      <c r="IX120" s="558" t="str">
        <f t="shared" si="193"/>
        <v>.</v>
      </c>
      <c r="IY120" s="558" t="str">
        <f t="shared" si="193"/>
        <v>.</v>
      </c>
      <c r="IZ120" s="558" t="str">
        <f t="shared" si="193"/>
        <v>.</v>
      </c>
      <c r="JA120" s="558" t="str">
        <f t="shared" si="193"/>
        <v>.</v>
      </c>
      <c r="JB120" s="558" t="str">
        <f t="shared" si="190"/>
        <v>.</v>
      </c>
      <c r="JC120" s="558" t="str">
        <f t="shared" si="190"/>
        <v>.</v>
      </c>
      <c r="JD120" s="558" t="str">
        <f t="shared" si="190"/>
        <v>.</v>
      </c>
      <c r="JE120" s="558" t="str">
        <f t="shared" si="190"/>
        <v>.</v>
      </c>
      <c r="JF120" s="558" t="str">
        <f t="shared" si="190"/>
        <v>.</v>
      </c>
      <c r="JG120" s="558" t="str">
        <f t="shared" si="190"/>
        <v>.</v>
      </c>
      <c r="JH120" s="558" t="str">
        <f t="shared" si="190"/>
        <v>.</v>
      </c>
      <c r="JI120" s="558" t="str">
        <f t="shared" si="190"/>
        <v>.</v>
      </c>
      <c r="JJ120" s="558" t="str">
        <f t="shared" si="190"/>
        <v>.</v>
      </c>
      <c r="JK120" s="558" t="str">
        <f t="shared" si="190"/>
        <v>.</v>
      </c>
      <c r="JL120" s="558" t="str">
        <f t="shared" si="190"/>
        <v>.</v>
      </c>
    </row>
    <row r="121" spans="1:272" ht="10.199999999999999" x14ac:dyDescent="0.2">
      <c r="BS121" s="487"/>
      <c r="BT121" s="487"/>
      <c r="BY121" s="560"/>
      <c r="ES121" s="385"/>
      <c r="ET121" s="385"/>
      <c r="EU121" s="385"/>
      <c r="EY121" s="385"/>
      <c r="EZ121" s="385"/>
    </row>
    <row r="122" spans="1:272" ht="10.199999999999999" x14ac:dyDescent="0.2">
      <c r="BS122" s="487"/>
      <c r="BT122" s="487"/>
      <c r="BY122" s="560"/>
      <c r="ES122" s="385"/>
      <c r="ET122" s="385"/>
      <c r="EU122" s="385"/>
      <c r="EY122" s="385"/>
      <c r="EZ122" s="385"/>
    </row>
    <row r="123" spans="1:272" ht="10.199999999999999" x14ac:dyDescent="0.2">
      <c r="BS123" s="487"/>
      <c r="BT123" s="487"/>
      <c r="ES123" s="385"/>
      <c r="ET123" s="385"/>
      <c r="EU123" s="385"/>
      <c r="EY123" s="385"/>
      <c r="EZ123" s="385"/>
    </row>
    <row r="124" spans="1:272" ht="10.199999999999999" x14ac:dyDescent="0.2">
      <c r="BS124" s="487"/>
      <c r="BT124" s="487"/>
      <c r="ES124" s="385"/>
      <c r="ET124" s="385"/>
      <c r="EU124" s="385"/>
      <c r="EY124" s="385"/>
      <c r="EZ124" s="385"/>
    </row>
    <row r="129" spans="1:59" ht="10.199999999999999" x14ac:dyDescent="0.2">
      <c r="I129" s="387">
        <f xml:space="preserve"> MATCH( F12, $A$130:$A$149, 0 )</f>
        <v>16</v>
      </c>
      <c r="J129" s="561">
        <f xml:space="preserve"> GrKx_Rd</f>
        <v>2</v>
      </c>
    </row>
    <row r="130" spans="1:59" ht="10.199999999999999" x14ac:dyDescent="0.2">
      <c r="A130" s="562">
        <f xml:space="preserve"> Basis!A130</f>
        <v>0</v>
      </c>
      <c r="G130" s="391"/>
      <c r="H130" s="533">
        <f xml:space="preserve"> ROUND(    IF( $A$15=BE_MF_,   BG130,   INDEX( Kx!130:130, H$16 ) ),    H$17    )</f>
        <v>3748.77</v>
      </c>
      <c r="I130" s="420">
        <f t="shared" ref="I130:I149" si="205" xml:space="preserve"> IF( $A130&gt;=$H$12, MAX( H130, I129 ), H130 )</f>
        <v>3748.77</v>
      </c>
      <c r="J130" s="420">
        <f xml:space="preserve"> ROUND(   IF( $A130&lt;$F$12, AVERAGE(  $I$130                        : INDEX( $I$130:$I$149, $I$129-1 )  ),  AVERAGE(  $I$149                        : INDEX( $I$130:$I$149, $I$129 )  )     ),        J$129   )</f>
        <v>1506.43</v>
      </c>
      <c r="L130" s="473">
        <f t="shared" ref="L130:L149" si="206" xml:space="preserve"> INDEX( Auswahl_DeltaTildeKJ, $D$1 )</f>
        <v>0</v>
      </c>
      <c r="M130" s="563">
        <f t="shared" ref="M130:M149" si="207" xml:space="preserve"> ROUND(  IF( $A130&lt;M$12, M$15, M$16 ),  M$17  )</f>
        <v>8.5999999999999993E-2</v>
      </c>
      <c r="O130" s="542" t="b">
        <f xml:space="preserve"> A130&lt;=$O$10</f>
        <v>1</v>
      </c>
      <c r="AJ130" s="423">
        <f t="shared" ref="AJ130:AJ149" si="208" xml:space="preserve">  IF( $O130,    ROUND( J130 / ( 1 - L130 - M130 ), AJ$17 ),  LEER )</f>
        <v>1648.17</v>
      </c>
      <c r="AK130" s="423">
        <f t="shared" ref="AK130:AK149" si="209" xml:space="preserve">  IF( $O130,    ROUND( AJ130 / 12, AK$17 ),  LEER  )</f>
        <v>137.35</v>
      </c>
      <c r="AR130" s="546">
        <f xml:space="preserve"> ROUND(  INDEX( Kx!130:130, AR$16 ),  AR$17 )</f>
        <v>0.51249999999999996</v>
      </c>
      <c r="BC130" s="533">
        <f xml:space="preserve"> ROUND(  INDEX( Kx!130:130, BC$16 ),  BC$17 )</f>
        <v>4067.31</v>
      </c>
      <c r="BD130" s="533">
        <f xml:space="preserve"> ROUND(  INDEX( Kx!130:130, BD$16 ),  BD$17 )</f>
        <v>3246.55</v>
      </c>
      <c r="BE130" s="548" t="str">
        <f t="shared" ref="BE130:BE149" si="210" xml:space="preserve"> IF( BC130&gt;BD130, BC$18, BD$18 )</f>
        <v>M</v>
      </c>
      <c r="BF130" s="542">
        <f t="shared" ref="BF130:BF149" si="211" xml:space="preserve"> ROUND(     IF( BE130=BE_M_, ( $AR130 + $AR130 * BF$18 ) / ( 1 + $AR130 * BF$18 ),  ( $AR130 ) / ( 1 + ( 1 - $AR130 ) * BF$18 ) ),   BF$17 )</f>
        <v>0.6119</v>
      </c>
      <c r="BG130" s="542">
        <f t="shared" ref="BG130:BG149" si="212" xml:space="preserve"> ROUND( BF130 * BC130 + ( 1 - BF130) * BD130, BG$17 )</f>
        <v>3748.77</v>
      </c>
    </row>
    <row r="131" spans="1:59" ht="10.199999999999999" x14ac:dyDescent="0.2">
      <c r="A131" s="562">
        <f xml:space="preserve"> Basis!A131</f>
        <v>1</v>
      </c>
      <c r="H131" s="533">
        <f xml:space="preserve"> ROUND(    IF( $A$15=BE_MF_,   BG131,   INDEX( Kx!131:131, H$16 ) ),    H$17    )</f>
        <v>2036.95</v>
      </c>
      <c r="I131" s="420">
        <f t="shared" si="205"/>
        <v>2036.95</v>
      </c>
      <c r="J131" s="420">
        <f xml:space="preserve"> ROUND(   IF( $A131&lt;$F$12, AVERAGE(  $I$130                        : INDEX( $I$130:$I$149, $I$129-1 )  ),  AVERAGE(  $I$149                        : INDEX( $I$130:$I$149, $I$129 )  )     ),        J$129   )</f>
        <v>1506.43</v>
      </c>
      <c r="L131" s="473">
        <f t="shared" si="206"/>
        <v>0</v>
      </c>
      <c r="M131" s="563">
        <f t="shared" si="207"/>
        <v>8.5999999999999993E-2</v>
      </c>
      <c r="O131" s="542" t="b">
        <f t="shared" ref="O131:O149" si="213" xml:space="preserve"> A131&lt;=$O$10</f>
        <v>1</v>
      </c>
      <c r="AJ131" s="423">
        <f t="shared" si="208"/>
        <v>1648.17</v>
      </c>
      <c r="AK131" s="423">
        <f t="shared" si="209"/>
        <v>137.35</v>
      </c>
      <c r="AR131" s="546">
        <f xml:space="preserve"> ROUND(  INDEX( Kx!131:131, AR$16 ),  AR$17 )</f>
        <v>0.51190000000000002</v>
      </c>
      <c r="BC131" s="533">
        <f xml:space="preserve"> ROUND(  INDEX( Kx!131:131, BC$16 ),  BC$17 )</f>
        <v>2094.37</v>
      </c>
      <c r="BD131" s="533">
        <f xml:space="preserve"> ROUND(  INDEX( Kx!131:131, BD$16 ),  BD$17 )</f>
        <v>1946.62</v>
      </c>
      <c r="BE131" s="548" t="str">
        <f t="shared" si="210"/>
        <v>M</v>
      </c>
      <c r="BF131" s="542">
        <f t="shared" si="211"/>
        <v>0.61140000000000005</v>
      </c>
      <c r="BG131" s="542">
        <f t="shared" si="212"/>
        <v>2036.95</v>
      </c>
    </row>
    <row r="132" spans="1:59" ht="10.199999999999999" x14ac:dyDescent="0.2">
      <c r="A132" s="562">
        <f xml:space="preserve"> Basis!A132</f>
        <v>2</v>
      </c>
      <c r="H132" s="533">
        <f xml:space="preserve"> ROUND(    IF( $A$15=BE_MF_,   BG132,   INDEX( Kx!132:132, H$16 ) ),    H$17    )</f>
        <v>1351.16</v>
      </c>
      <c r="I132" s="420">
        <f t="shared" si="205"/>
        <v>1351.16</v>
      </c>
      <c r="J132" s="420">
        <f xml:space="preserve"> ROUND(   IF( $A132&lt;$F$12, AVERAGE(  $I$130                        : INDEX( $I$130:$I$149, $I$129-1 )  ),  AVERAGE(  $I$149                        : INDEX( $I$130:$I$149, $I$129 )  )     ),        J$129   )</f>
        <v>1506.43</v>
      </c>
      <c r="L132" s="473">
        <f t="shared" si="206"/>
        <v>0</v>
      </c>
      <c r="M132" s="563">
        <f t="shared" si="207"/>
        <v>8.5999999999999993E-2</v>
      </c>
      <c r="O132" s="542" t="b">
        <f t="shared" si="213"/>
        <v>1</v>
      </c>
      <c r="AJ132" s="423">
        <f t="shared" si="208"/>
        <v>1648.17</v>
      </c>
      <c r="AK132" s="423">
        <f t="shared" si="209"/>
        <v>137.35</v>
      </c>
      <c r="AR132" s="546">
        <f xml:space="preserve"> ROUND(  INDEX( Kx!132:132, AR$16 ),  AR$17 )</f>
        <v>0.50880000000000003</v>
      </c>
      <c r="BC132" s="533">
        <f xml:space="preserve"> ROUND(  INDEX( Kx!132:132, BC$16 ),  BC$17 )</f>
        <v>1450.62</v>
      </c>
      <c r="BD132" s="533">
        <f xml:space="preserve"> ROUND(  INDEX( Kx!132:132, BD$16 ),  BD$17 )</f>
        <v>1196.6400000000001</v>
      </c>
      <c r="BE132" s="548" t="str">
        <f t="shared" si="210"/>
        <v>M</v>
      </c>
      <c r="BF132" s="542">
        <f t="shared" si="211"/>
        <v>0.60840000000000005</v>
      </c>
      <c r="BG132" s="542">
        <f t="shared" si="212"/>
        <v>1351.16</v>
      </c>
    </row>
    <row r="133" spans="1:59" ht="10.199999999999999" x14ac:dyDescent="0.2">
      <c r="A133" s="562">
        <f xml:space="preserve"> Basis!A133</f>
        <v>3</v>
      </c>
      <c r="H133" s="533">
        <f xml:space="preserve"> ROUND(    IF( $A$15=BE_MF_,   BG133,   INDEX( Kx!133:133, H$16 ) ),    H$17    )</f>
        <v>1207.25</v>
      </c>
      <c r="I133" s="420">
        <f t="shared" si="205"/>
        <v>1207.25</v>
      </c>
      <c r="J133" s="420">
        <f xml:space="preserve"> ROUND(   IF( $A133&lt;$F$12, AVERAGE(  $I$130                        : INDEX( $I$130:$I$149, $I$129-1 )  ),  AVERAGE(  $I$149                        : INDEX( $I$130:$I$149, $I$129 )  )     ),        J$129   )</f>
        <v>1506.43</v>
      </c>
      <c r="L133" s="473">
        <f t="shared" si="206"/>
        <v>0</v>
      </c>
      <c r="M133" s="563">
        <f t="shared" si="207"/>
        <v>8.5999999999999993E-2</v>
      </c>
      <c r="O133" s="542" t="b">
        <f t="shared" si="213"/>
        <v>1</v>
      </c>
      <c r="AJ133" s="423">
        <f t="shared" si="208"/>
        <v>1648.17</v>
      </c>
      <c r="AK133" s="423">
        <f t="shared" si="209"/>
        <v>137.35</v>
      </c>
      <c r="AR133" s="546">
        <f xml:space="preserve"> ROUND(  INDEX( Kx!133:133, AR$16 ),  AR$17 )</f>
        <v>0.51219999999999999</v>
      </c>
      <c r="BC133" s="533">
        <f xml:space="preserve"> ROUND(  INDEX( Kx!133:133, BC$16 ),  BC$17 )</f>
        <v>1307.23</v>
      </c>
      <c r="BD133" s="533">
        <f xml:space="preserve"> ROUND(  INDEX( Kx!133:133, BD$16 ),  BD$17 )</f>
        <v>1049.76</v>
      </c>
      <c r="BE133" s="548" t="str">
        <f t="shared" si="210"/>
        <v>M</v>
      </c>
      <c r="BF133" s="542">
        <f t="shared" si="211"/>
        <v>0.61170000000000002</v>
      </c>
      <c r="BG133" s="542">
        <f t="shared" si="212"/>
        <v>1207.25</v>
      </c>
    </row>
    <row r="134" spans="1:59" ht="10.199999999999999" x14ac:dyDescent="0.2">
      <c r="A134" s="562">
        <f xml:space="preserve"> Basis!A134</f>
        <v>4</v>
      </c>
      <c r="H134" s="533">
        <f xml:space="preserve"> ROUND(    IF( $A$15=BE_MF_,   BG134,   INDEX( Kx!134:134, H$16 ) ),    H$17    )</f>
        <v>1102.58</v>
      </c>
      <c r="I134" s="420">
        <f t="shared" si="205"/>
        <v>1102.58</v>
      </c>
      <c r="J134" s="420">
        <f xml:space="preserve"> ROUND(   IF( $A134&lt;$F$12, AVERAGE(  $I$130                        : INDEX( $I$130:$I$149, $I$129-1 )  ),  AVERAGE(  $I$149                        : INDEX( $I$130:$I$149, $I$129 )  )     ),        J$129   )</f>
        <v>1506.43</v>
      </c>
      <c r="L134" s="473">
        <f t="shared" si="206"/>
        <v>0</v>
      </c>
      <c r="M134" s="563">
        <f t="shared" si="207"/>
        <v>8.5999999999999993E-2</v>
      </c>
      <c r="O134" s="542" t="b">
        <f t="shared" si="213"/>
        <v>1</v>
      </c>
      <c r="AJ134" s="423">
        <f t="shared" si="208"/>
        <v>1648.17</v>
      </c>
      <c r="AK134" s="423">
        <f t="shared" si="209"/>
        <v>137.35</v>
      </c>
      <c r="AR134" s="546">
        <f xml:space="preserve"> ROUND(  INDEX( Kx!134:134, AR$16 ),  AR$17 )</f>
        <v>0.51270000000000004</v>
      </c>
      <c r="BC134" s="533">
        <f xml:space="preserve"> ROUND(  INDEX( Kx!134:134, BC$16 ),  BC$17 )</f>
        <v>1200.4000000000001</v>
      </c>
      <c r="BD134" s="533">
        <f xml:space="preserve"> ROUND(  INDEX( Kx!134:134, BD$16 ),  BD$17 )</f>
        <v>948.22</v>
      </c>
      <c r="BE134" s="548" t="str">
        <f t="shared" si="210"/>
        <v>M</v>
      </c>
      <c r="BF134" s="542">
        <f t="shared" si="211"/>
        <v>0.61209999999999998</v>
      </c>
      <c r="BG134" s="542">
        <f t="shared" si="212"/>
        <v>1102.58</v>
      </c>
    </row>
    <row r="135" spans="1:59" ht="10.199999999999999" x14ac:dyDescent="0.2">
      <c r="A135" s="562">
        <f xml:space="preserve"> Basis!A135</f>
        <v>5</v>
      </c>
      <c r="H135" s="533">
        <f xml:space="preserve"> ROUND(    IF( $A$15=BE_MF_,   BG135,   INDEX( Kx!135:135, H$16 ) ),    H$17    )</f>
        <v>1056.8399999999999</v>
      </c>
      <c r="I135" s="420">
        <f t="shared" si="205"/>
        <v>1056.8399999999999</v>
      </c>
      <c r="J135" s="420">
        <f xml:space="preserve"> ROUND(   IF( $A135&lt;$F$12, AVERAGE(  $I$130                        : INDEX( $I$130:$I$149, $I$129-1 )  ),  AVERAGE(  $I$149                        : INDEX( $I$130:$I$149, $I$129 )  )     ),        J$129   )</f>
        <v>1506.43</v>
      </c>
      <c r="L135" s="473">
        <f t="shared" si="206"/>
        <v>0</v>
      </c>
      <c r="M135" s="563">
        <f t="shared" si="207"/>
        <v>8.5999999999999993E-2</v>
      </c>
      <c r="O135" s="542" t="b">
        <f t="shared" si="213"/>
        <v>1</v>
      </c>
      <c r="AJ135" s="423">
        <f t="shared" si="208"/>
        <v>1648.17</v>
      </c>
      <c r="AK135" s="423">
        <f t="shared" si="209"/>
        <v>137.35</v>
      </c>
      <c r="AR135" s="546">
        <f xml:space="preserve"> ROUND(  INDEX( Kx!135:135, AR$16 ),  AR$17 )</f>
        <v>0.5101</v>
      </c>
      <c r="BC135" s="533">
        <f xml:space="preserve"> ROUND(  INDEX( Kx!135:135, BC$16 ),  BC$17 )</f>
        <v>1176.3800000000001</v>
      </c>
      <c r="BD135" s="533">
        <f xml:space="preserve"> ROUND(  INDEX( Kx!135:135, BD$16 ),  BD$17 )</f>
        <v>870.1</v>
      </c>
      <c r="BE135" s="548" t="str">
        <f t="shared" si="210"/>
        <v>M</v>
      </c>
      <c r="BF135" s="542">
        <f t="shared" si="211"/>
        <v>0.60970000000000002</v>
      </c>
      <c r="BG135" s="542">
        <f t="shared" si="212"/>
        <v>1056.8399999999999</v>
      </c>
    </row>
    <row r="136" spans="1:59" ht="10.199999999999999" x14ac:dyDescent="0.2">
      <c r="A136" s="562">
        <f xml:space="preserve"> Basis!A136</f>
        <v>6</v>
      </c>
      <c r="H136" s="533">
        <f xml:space="preserve"> ROUND(    IF( $A$15=BE_MF_,   BG136,   INDEX( Kx!136:136, H$16 ) ),    H$17    )</f>
        <v>1028.01</v>
      </c>
      <c r="I136" s="420">
        <f t="shared" si="205"/>
        <v>1028.01</v>
      </c>
      <c r="J136" s="420">
        <f xml:space="preserve"> ROUND(   IF( $A136&lt;$F$12, AVERAGE(  $I$130                        : INDEX( $I$130:$I$149, $I$129-1 )  ),  AVERAGE(  $I$149                        : INDEX( $I$130:$I$149, $I$129 )  )     ),        J$129   )</f>
        <v>1506.43</v>
      </c>
      <c r="L136" s="473">
        <f t="shared" si="206"/>
        <v>0</v>
      </c>
      <c r="M136" s="563">
        <f t="shared" si="207"/>
        <v>8.5999999999999993E-2</v>
      </c>
      <c r="O136" s="542" t="b">
        <f t="shared" si="213"/>
        <v>1</v>
      </c>
      <c r="AJ136" s="423">
        <f t="shared" si="208"/>
        <v>1648.17</v>
      </c>
      <c r="AK136" s="423">
        <f t="shared" si="209"/>
        <v>137.35</v>
      </c>
      <c r="AR136" s="546">
        <f xml:space="preserve"> ROUND(  INDEX( Kx!136:136, AR$16 ),  AR$17 )</f>
        <v>0.51100000000000001</v>
      </c>
      <c r="BC136" s="533">
        <f xml:space="preserve"> ROUND(  INDEX( Kx!136:136, BC$16 ),  BC$17 )</f>
        <v>1151.29</v>
      </c>
      <c r="BD136" s="533">
        <f xml:space="preserve"> ROUND(  INDEX( Kx!136:136, BD$16 ),  BD$17 )</f>
        <v>834.79</v>
      </c>
      <c r="BE136" s="548" t="str">
        <f t="shared" si="210"/>
        <v>M</v>
      </c>
      <c r="BF136" s="542">
        <f t="shared" si="211"/>
        <v>0.61050000000000004</v>
      </c>
      <c r="BG136" s="542">
        <f t="shared" si="212"/>
        <v>1028.01</v>
      </c>
    </row>
    <row r="137" spans="1:59" ht="10.199999999999999" x14ac:dyDescent="0.2">
      <c r="A137" s="562">
        <f xml:space="preserve"> Basis!A137</f>
        <v>7</v>
      </c>
      <c r="H137" s="533">
        <f xml:space="preserve"> ROUND(    IF( $A$15=BE_MF_,   BG137,   INDEX( Kx!137:137, H$16 ) ),    H$17    )</f>
        <v>1035.05</v>
      </c>
      <c r="I137" s="420">
        <f t="shared" si="205"/>
        <v>1035.05</v>
      </c>
      <c r="J137" s="420">
        <f xml:space="preserve"> ROUND(   IF( $A137&lt;$F$12, AVERAGE(  $I$130                        : INDEX( $I$130:$I$149, $I$129-1 )  ),  AVERAGE(  $I$149                        : INDEX( $I$130:$I$149, $I$129 )  )     ),        J$129   )</f>
        <v>1506.43</v>
      </c>
      <c r="L137" s="473">
        <f t="shared" si="206"/>
        <v>0</v>
      </c>
      <c r="M137" s="563">
        <f t="shared" si="207"/>
        <v>8.5999999999999993E-2</v>
      </c>
      <c r="O137" s="542" t="b">
        <f t="shared" si="213"/>
        <v>1</v>
      </c>
      <c r="AJ137" s="423">
        <f t="shared" si="208"/>
        <v>1648.17</v>
      </c>
      <c r="AK137" s="423">
        <f t="shared" si="209"/>
        <v>137.35</v>
      </c>
      <c r="AR137" s="546">
        <f xml:space="preserve"> ROUND(  INDEX( Kx!137:137, AR$16 ),  AR$17 )</f>
        <v>0.51259999999999994</v>
      </c>
      <c r="BC137" s="533">
        <f xml:space="preserve"> ROUND(  INDEX( Kx!137:137, BC$16 ),  BC$17 )</f>
        <v>1158.55</v>
      </c>
      <c r="BD137" s="533">
        <f xml:space="preserve"> ROUND(  INDEX( Kx!137:137, BD$16 ),  BD$17 )</f>
        <v>840.25</v>
      </c>
      <c r="BE137" s="548" t="str">
        <f t="shared" si="210"/>
        <v>M</v>
      </c>
      <c r="BF137" s="542">
        <f t="shared" si="211"/>
        <v>0.61199999999999999</v>
      </c>
      <c r="BG137" s="542">
        <f t="shared" si="212"/>
        <v>1035.05</v>
      </c>
    </row>
    <row r="138" spans="1:59" ht="10.199999999999999" x14ac:dyDescent="0.2">
      <c r="A138" s="562">
        <f xml:space="preserve"> Basis!A138</f>
        <v>8</v>
      </c>
      <c r="H138" s="533">
        <f xml:space="preserve"> ROUND(    IF( $A$15=BE_MF_,   BG138,   INDEX( Kx!138:138, H$16 ) ),    H$17    )</f>
        <v>1081.22</v>
      </c>
      <c r="I138" s="420">
        <f t="shared" si="205"/>
        <v>1081.22</v>
      </c>
      <c r="J138" s="420">
        <f xml:space="preserve"> ROUND(   IF( $A138&lt;$F$12, AVERAGE(  $I$130                        : INDEX( $I$130:$I$149, $I$129-1 )  ),  AVERAGE(  $I$149                        : INDEX( $I$130:$I$149, $I$129 )  )     ),        J$129   )</f>
        <v>1506.43</v>
      </c>
      <c r="L138" s="473">
        <f t="shared" si="206"/>
        <v>0</v>
      </c>
      <c r="M138" s="563">
        <f t="shared" si="207"/>
        <v>8.5999999999999993E-2</v>
      </c>
      <c r="O138" s="542" t="b">
        <f t="shared" si="213"/>
        <v>1</v>
      </c>
      <c r="AJ138" s="423">
        <f t="shared" si="208"/>
        <v>1648.17</v>
      </c>
      <c r="AK138" s="423">
        <f t="shared" si="209"/>
        <v>137.35</v>
      </c>
      <c r="AR138" s="546">
        <f xml:space="preserve"> ROUND(  INDEX( Kx!138:138, AR$16 ),  AR$17 )</f>
        <v>0.51219999999999999</v>
      </c>
      <c r="BC138" s="533">
        <f xml:space="preserve"> ROUND(  INDEX( Kx!138:138, BC$16 ),  BC$17 )</f>
        <v>1191.48</v>
      </c>
      <c r="BD138" s="533">
        <f xml:space="preserve"> ROUND(  INDEX( Kx!138:138, BD$16 ),  BD$17 )</f>
        <v>907.52</v>
      </c>
      <c r="BE138" s="548" t="str">
        <f t="shared" si="210"/>
        <v>M</v>
      </c>
      <c r="BF138" s="542">
        <f t="shared" si="211"/>
        <v>0.61170000000000002</v>
      </c>
      <c r="BG138" s="542">
        <f t="shared" si="212"/>
        <v>1081.22</v>
      </c>
    </row>
    <row r="139" spans="1:59" ht="10.199999999999999" x14ac:dyDescent="0.2">
      <c r="A139" s="562">
        <f xml:space="preserve"> Basis!A139</f>
        <v>9</v>
      </c>
      <c r="H139" s="533">
        <f xml:space="preserve"> ROUND(    IF( $A$15=BE_MF_,   BG139,   INDEX( Kx!139:139, H$16 ) ),    H$17    )</f>
        <v>1140.3499999999999</v>
      </c>
      <c r="I139" s="420">
        <f t="shared" si="205"/>
        <v>1140.3499999999999</v>
      </c>
      <c r="J139" s="420">
        <f xml:space="preserve"> ROUND(   IF( $A139&lt;$F$12, AVERAGE(  $I$130                        : INDEX( $I$130:$I$149, $I$129-1 )  ),  AVERAGE(  $I$149                        : INDEX( $I$130:$I$149, $I$129 )  )     ),        J$129   )</f>
        <v>1506.43</v>
      </c>
      <c r="L139" s="473">
        <f t="shared" si="206"/>
        <v>0</v>
      </c>
      <c r="M139" s="563">
        <f t="shared" si="207"/>
        <v>8.5999999999999993E-2</v>
      </c>
      <c r="O139" s="542" t="b">
        <f t="shared" si="213"/>
        <v>1</v>
      </c>
      <c r="AJ139" s="423">
        <f t="shared" si="208"/>
        <v>1648.17</v>
      </c>
      <c r="AK139" s="423">
        <f t="shared" si="209"/>
        <v>137.35</v>
      </c>
      <c r="AR139" s="546">
        <f xml:space="preserve"> ROUND(  INDEX( Kx!139:139, AR$16 ),  AR$17 )</f>
        <v>0.50970000000000004</v>
      </c>
      <c r="BC139" s="533">
        <f xml:space="preserve"> ROUND(  INDEX( Kx!139:139, BC$16 ),  BC$17 )</f>
        <v>1223.27</v>
      </c>
      <c r="BD139" s="533">
        <f xml:space="preserve"> ROUND(  INDEX( Kx!139:139, BD$16 ),  BD$17 )</f>
        <v>1011.04</v>
      </c>
      <c r="BE139" s="548" t="str">
        <f t="shared" si="210"/>
        <v>M</v>
      </c>
      <c r="BF139" s="542">
        <f t="shared" si="211"/>
        <v>0.60929999999999995</v>
      </c>
      <c r="BG139" s="542">
        <f t="shared" si="212"/>
        <v>1140.3499999999999</v>
      </c>
    </row>
    <row r="140" spans="1:59" ht="10.199999999999999" x14ac:dyDescent="0.2">
      <c r="A140" s="562">
        <f xml:space="preserve"> Basis!A140</f>
        <v>10</v>
      </c>
      <c r="H140" s="533">
        <f xml:space="preserve"> ROUND(    IF( $A$15=BE_MF_,   BG140,   INDEX( Kx!140:140, H$16 ) ),    H$17    )</f>
        <v>1238.3499999999999</v>
      </c>
      <c r="I140" s="420">
        <f t="shared" si="205"/>
        <v>1238.3499999999999</v>
      </c>
      <c r="J140" s="420">
        <f xml:space="preserve"> ROUND(   IF( $A140&lt;$F$12, AVERAGE(  $I$130                        : INDEX( $I$130:$I$149, $I$129-1 )  ),  AVERAGE(  $I$149                        : INDEX( $I$130:$I$149, $I$129 )  )     ),        J$129   )</f>
        <v>1506.43</v>
      </c>
      <c r="L140" s="473">
        <f t="shared" si="206"/>
        <v>0</v>
      </c>
      <c r="M140" s="563">
        <f t="shared" si="207"/>
        <v>8.5999999999999993E-2</v>
      </c>
      <c r="O140" s="542" t="b">
        <f t="shared" si="213"/>
        <v>1</v>
      </c>
      <c r="AJ140" s="423">
        <f t="shared" si="208"/>
        <v>1648.17</v>
      </c>
      <c r="AK140" s="423">
        <f t="shared" si="209"/>
        <v>137.35</v>
      </c>
      <c r="AR140" s="546">
        <f xml:space="preserve"> ROUND(  INDEX( Kx!140:140, AR$16 ),  AR$17 )</f>
        <v>0.51359999999999995</v>
      </c>
      <c r="BC140" s="533">
        <f xml:space="preserve"> ROUND(  INDEX( Kx!140:140, BC$16 ),  BC$17 )</f>
        <v>1287.95</v>
      </c>
      <c r="BD140" s="533">
        <f xml:space="preserve"> ROUND(  INDEX( Kx!140:140, BD$16 ),  BD$17 )</f>
        <v>1159.79</v>
      </c>
      <c r="BE140" s="548" t="str">
        <f t="shared" si="210"/>
        <v>M</v>
      </c>
      <c r="BF140" s="542">
        <f t="shared" si="211"/>
        <v>0.61299999999999999</v>
      </c>
      <c r="BG140" s="542">
        <f t="shared" si="212"/>
        <v>1238.3499999999999</v>
      </c>
    </row>
    <row r="141" spans="1:59" ht="10.199999999999999" x14ac:dyDescent="0.2">
      <c r="A141" s="562">
        <f xml:space="preserve"> Basis!A141</f>
        <v>11</v>
      </c>
      <c r="H141" s="533">
        <f xml:space="preserve"> ROUND(    IF( $A$15=BE_MF_,   BG141,   INDEX( Kx!141:141, H$16 ) ),    H$17    )</f>
        <v>1382.81</v>
      </c>
      <c r="I141" s="420">
        <f t="shared" si="205"/>
        <v>1382.81</v>
      </c>
      <c r="J141" s="420">
        <f xml:space="preserve"> ROUND(   IF( $A141&lt;$F$12, AVERAGE(  $I$130                        : INDEX( $I$130:$I$149, $I$129-1 )  ),  AVERAGE(  $I$149                        : INDEX( $I$130:$I$149, $I$129 )  )     ),        J$129   )</f>
        <v>1506.43</v>
      </c>
      <c r="L141" s="473">
        <f t="shared" si="206"/>
        <v>0</v>
      </c>
      <c r="M141" s="563">
        <f t="shared" si="207"/>
        <v>8.5999999999999993E-2</v>
      </c>
      <c r="O141" s="542" t="b">
        <f t="shared" si="213"/>
        <v>1</v>
      </c>
      <c r="AJ141" s="423">
        <f t="shared" si="208"/>
        <v>1648.17</v>
      </c>
      <c r="AK141" s="423">
        <f t="shared" si="209"/>
        <v>137.35</v>
      </c>
      <c r="AR141" s="546">
        <f xml:space="preserve"> ROUND(  INDEX( Kx!141:141, AR$16 ),  AR$17 )</f>
        <v>0.50990000000000002</v>
      </c>
      <c r="BC141" s="533">
        <f xml:space="preserve"> ROUND(  INDEX( Kx!141:141, BC$16 ),  BC$17 )</f>
        <v>1397.41</v>
      </c>
      <c r="BD141" s="533">
        <f xml:space="preserve"> ROUND(  INDEX( Kx!141:141, BD$16 ),  BD$17 )</f>
        <v>1360.03</v>
      </c>
      <c r="BE141" s="548" t="str">
        <f t="shared" si="210"/>
        <v>M</v>
      </c>
      <c r="BF141" s="542">
        <f t="shared" si="211"/>
        <v>0.60950000000000004</v>
      </c>
      <c r="BG141" s="542">
        <f t="shared" si="212"/>
        <v>1382.81</v>
      </c>
    </row>
    <row r="142" spans="1:59" ht="10.199999999999999" x14ac:dyDescent="0.2">
      <c r="A142" s="562">
        <f xml:space="preserve"> Basis!A142</f>
        <v>12</v>
      </c>
      <c r="H142" s="533">
        <f xml:space="preserve"> ROUND(    IF( $A$15=BE_MF_,   BG142,   INDEX( Kx!142:142, H$16 ) ),    H$17    )</f>
        <v>1577.89</v>
      </c>
      <c r="I142" s="420">
        <f t="shared" si="205"/>
        <v>1577.89</v>
      </c>
      <c r="J142" s="420">
        <f xml:space="preserve"> ROUND(   IF( $A142&lt;$F$12, AVERAGE(  $I$130                        : INDEX( $I$130:$I$149, $I$129-1 )  ),  AVERAGE(  $I$149                        : INDEX( $I$130:$I$149, $I$129 )  )     ),        J$129   )</f>
        <v>1506.43</v>
      </c>
      <c r="L142" s="473">
        <f t="shared" si="206"/>
        <v>0</v>
      </c>
      <c r="M142" s="563">
        <f t="shared" si="207"/>
        <v>8.5999999999999993E-2</v>
      </c>
      <c r="O142" s="542" t="b">
        <f t="shared" si="213"/>
        <v>1</v>
      </c>
      <c r="AJ142" s="423">
        <f t="shared" si="208"/>
        <v>1648.17</v>
      </c>
      <c r="AK142" s="423">
        <f t="shared" si="209"/>
        <v>137.35</v>
      </c>
      <c r="AR142" s="546">
        <f xml:space="preserve"> ROUND(  INDEX( Kx!142:142, AR$16 ),  AR$17 )</f>
        <v>0.51619999999999999</v>
      </c>
      <c r="BC142" s="533">
        <f xml:space="preserve"> ROUND(  INDEX( Kx!142:142, BC$16 ),  BC$17 )</f>
        <v>1555.05</v>
      </c>
      <c r="BD142" s="533">
        <f xml:space="preserve"> ROUND(  INDEX( Kx!142:142, BD$16 ),  BD$17 )</f>
        <v>1594.14</v>
      </c>
      <c r="BE142" s="548" t="str">
        <f t="shared" si="210"/>
        <v>F</v>
      </c>
      <c r="BF142" s="542">
        <f t="shared" si="211"/>
        <v>0.41570000000000001</v>
      </c>
      <c r="BG142" s="542">
        <f t="shared" si="212"/>
        <v>1577.89</v>
      </c>
    </row>
    <row r="143" spans="1:59" ht="10.199999999999999" x14ac:dyDescent="0.2">
      <c r="A143" s="562">
        <f xml:space="preserve"> Basis!A143</f>
        <v>13</v>
      </c>
      <c r="H143" s="533">
        <f xml:space="preserve"> ROUND(    IF( $A$15=BE_MF_,   BG143,   INDEX( Kx!143:143, H$16 ) ),    H$17    )</f>
        <v>1754.62</v>
      </c>
      <c r="I143" s="420">
        <f t="shared" si="205"/>
        <v>1754.62</v>
      </c>
      <c r="J143" s="420">
        <f xml:space="preserve"> ROUND(   IF( $A143&lt;$F$12, AVERAGE(  $I$130                        : INDEX( $I$130:$I$149, $I$129-1 )  ),  AVERAGE(  $I$149                        : INDEX( $I$130:$I$149, $I$129 )  )     ),        J$129   )</f>
        <v>1506.43</v>
      </c>
      <c r="L143" s="473">
        <f t="shared" si="206"/>
        <v>0</v>
      </c>
      <c r="M143" s="563">
        <f t="shared" si="207"/>
        <v>8.5999999999999993E-2</v>
      </c>
      <c r="O143" s="542" t="b">
        <f t="shared" si="213"/>
        <v>1</v>
      </c>
      <c r="AJ143" s="423">
        <f t="shared" si="208"/>
        <v>1648.17</v>
      </c>
      <c r="AK143" s="423">
        <f t="shared" si="209"/>
        <v>137.35</v>
      </c>
      <c r="AR143" s="546">
        <f xml:space="preserve"> ROUND(  INDEX( Kx!143:143, AR$16 ),  AR$17 )</f>
        <v>0.51139999999999997</v>
      </c>
      <c r="BC143" s="533">
        <f xml:space="preserve"> ROUND(  INDEX( Kx!143:143, BC$16 ),  BC$17 )</f>
        <v>1699.85</v>
      </c>
      <c r="BD143" s="533">
        <f xml:space="preserve"> ROUND(  INDEX( Kx!143:143, BD$16 ),  BD$17 )</f>
        <v>1792.83</v>
      </c>
      <c r="BE143" s="548" t="str">
        <f t="shared" si="210"/>
        <v>F</v>
      </c>
      <c r="BF143" s="542">
        <f t="shared" si="211"/>
        <v>0.41099999999999998</v>
      </c>
      <c r="BG143" s="542">
        <f t="shared" si="212"/>
        <v>1754.62</v>
      </c>
    </row>
    <row r="144" spans="1:59" ht="10.199999999999999" x14ac:dyDescent="0.2">
      <c r="A144" s="562">
        <f xml:space="preserve"> Basis!A144</f>
        <v>14</v>
      </c>
      <c r="H144" s="533">
        <f xml:space="preserve"> ROUND(    IF( $A$15=BE_MF_,   BG144,   INDEX( Kx!144:144, H$16 ) ),    H$17    )</f>
        <v>1854.56</v>
      </c>
      <c r="I144" s="420">
        <f t="shared" si="205"/>
        <v>1854.56</v>
      </c>
      <c r="J144" s="420">
        <f xml:space="preserve"> ROUND(   IF( $A144&lt;$F$12, AVERAGE(  $I$130                        : INDEX( $I$130:$I$149, $I$129-1 )  ),  AVERAGE(  $I$149                        : INDEX( $I$130:$I$149, $I$129 )  )     ),        J$129   )</f>
        <v>1506.43</v>
      </c>
      <c r="L144" s="473">
        <f t="shared" si="206"/>
        <v>0</v>
      </c>
      <c r="M144" s="563">
        <f t="shared" si="207"/>
        <v>8.5999999999999993E-2</v>
      </c>
      <c r="O144" s="542" t="b">
        <f t="shared" si="213"/>
        <v>1</v>
      </c>
      <c r="AJ144" s="423">
        <f t="shared" si="208"/>
        <v>1648.17</v>
      </c>
      <c r="AK144" s="423">
        <f t="shared" si="209"/>
        <v>137.35</v>
      </c>
      <c r="AR144" s="546">
        <f xml:space="preserve"> ROUND(  INDEX( Kx!144:144, AR$16 ),  AR$17 )</f>
        <v>0.50580000000000003</v>
      </c>
      <c r="BC144" s="533">
        <f xml:space="preserve"> ROUND(  INDEX( Kx!144:144, BC$16 ),  BC$17 )</f>
        <v>1771.93</v>
      </c>
      <c r="BD144" s="533">
        <f xml:space="preserve"> ROUND(  INDEX( Kx!144:144, BD$16 ),  BD$17 )</f>
        <v>1910.94</v>
      </c>
      <c r="BE144" s="548" t="str">
        <f t="shared" si="210"/>
        <v>F</v>
      </c>
      <c r="BF144" s="542">
        <f t="shared" si="211"/>
        <v>0.40560000000000002</v>
      </c>
      <c r="BG144" s="542">
        <f t="shared" si="212"/>
        <v>1854.56</v>
      </c>
    </row>
    <row r="145" spans="1:59" ht="10.199999999999999" x14ac:dyDescent="0.2">
      <c r="A145" s="562">
        <f xml:space="preserve"> Basis!A145</f>
        <v>15</v>
      </c>
      <c r="G145" s="391"/>
      <c r="H145" s="533">
        <f xml:space="preserve"> ROUND(    IF( $A$15=BE_MF_,   BG145,   INDEX( Kx!145:145, H$16 ) ),    H$17    )</f>
        <v>1862.52</v>
      </c>
      <c r="I145" s="420">
        <f t="shared" si="205"/>
        <v>1862.52</v>
      </c>
      <c r="J145" s="420">
        <f xml:space="preserve"> ROUND(   IF( $A145&lt;$F$12, AVERAGE(  $I$130                        : INDEX( $I$130:$I$149, $I$129-1 )  ),  AVERAGE(  $I$149                        : INDEX( $I$130:$I$149, $I$129 )  )     ),        J$129   )</f>
        <v>1766.76</v>
      </c>
      <c r="L145" s="473">
        <f t="shared" si="206"/>
        <v>0</v>
      </c>
      <c r="M145" s="563">
        <f t="shared" si="207"/>
        <v>8.5999999999999993E-2</v>
      </c>
      <c r="O145" s="542" t="b">
        <f t="shared" si="213"/>
        <v>1</v>
      </c>
      <c r="AJ145" s="423">
        <f t="shared" si="208"/>
        <v>1933</v>
      </c>
      <c r="AK145" s="423">
        <f t="shared" si="209"/>
        <v>161.08000000000001</v>
      </c>
      <c r="AR145" s="546">
        <f xml:space="preserve"> ROUND(  INDEX( Kx!145:145, AR$16 ),  AR$17 )</f>
        <v>0.50800000000000001</v>
      </c>
      <c r="BC145" s="533">
        <f xml:space="preserve"> ROUND(  INDEX( Kx!145:145, BC$16 ),  BC$17 )</f>
        <v>1746.56</v>
      </c>
      <c r="BD145" s="533">
        <f xml:space="preserve"> ROUND(  INDEX( Kx!145:145, BD$16 ),  BD$17 )</f>
        <v>1942.34</v>
      </c>
      <c r="BE145" s="548" t="str">
        <f t="shared" si="210"/>
        <v>F</v>
      </c>
      <c r="BF145" s="542">
        <f t="shared" si="211"/>
        <v>0.40770000000000001</v>
      </c>
      <c r="BG145" s="542">
        <f t="shared" si="212"/>
        <v>1862.52</v>
      </c>
    </row>
    <row r="146" spans="1:59" ht="10.199999999999999" x14ac:dyDescent="0.2">
      <c r="A146" s="562">
        <f xml:space="preserve"> Basis!A146</f>
        <v>16</v>
      </c>
      <c r="H146" s="533">
        <f xml:space="preserve"> ROUND(    IF( $A$15=BE_MF_,   BG146,   INDEX( Kx!146:146, H$16 ) ),    H$17    )</f>
        <v>1810.28</v>
      </c>
      <c r="I146" s="420">
        <f t="shared" si="205"/>
        <v>1810.28</v>
      </c>
      <c r="J146" s="420">
        <f xml:space="preserve"> ROUND(   IF( $A146&lt;$F$12, AVERAGE(  $I$130                        : INDEX( $I$130:$I$149, $I$129-1 )  ),  AVERAGE(  $I$149                        : INDEX( $I$130:$I$149, $I$129 )  )     ),        J$129   )</f>
        <v>1766.76</v>
      </c>
      <c r="L146" s="473">
        <f t="shared" si="206"/>
        <v>0</v>
      </c>
      <c r="M146" s="563">
        <f t="shared" si="207"/>
        <v>8.5999999999999993E-2</v>
      </c>
      <c r="O146" s="542" t="b">
        <f t="shared" si="213"/>
        <v>1</v>
      </c>
      <c r="AJ146" s="423">
        <f t="shared" si="208"/>
        <v>1933</v>
      </c>
      <c r="AK146" s="423">
        <f t="shared" si="209"/>
        <v>161.08000000000001</v>
      </c>
      <c r="AR146" s="546">
        <f xml:space="preserve"> ROUND(  INDEX( Kx!146:146, AR$16 ),  AR$17 )</f>
        <v>0.51200000000000001</v>
      </c>
      <c r="BC146" s="533">
        <f xml:space="preserve"> ROUND(  INDEX( Kx!146:146, BC$16 ),  BC$17 )</f>
        <v>1654.37</v>
      </c>
      <c r="BD146" s="533">
        <f xml:space="preserve"> ROUND(  INDEX( Kx!146:146, BD$16 ),  BD$17 )</f>
        <v>1919.35</v>
      </c>
      <c r="BE146" s="548" t="str">
        <f t="shared" si="210"/>
        <v>F</v>
      </c>
      <c r="BF146" s="542">
        <f t="shared" si="211"/>
        <v>0.41160000000000002</v>
      </c>
      <c r="BG146" s="542">
        <f t="shared" si="212"/>
        <v>1810.28</v>
      </c>
    </row>
    <row r="147" spans="1:59" ht="10.199999999999999" x14ac:dyDescent="0.2">
      <c r="A147" s="562">
        <f xml:space="preserve"> Basis!A147</f>
        <v>17</v>
      </c>
      <c r="H147" s="533">
        <f xml:space="preserve"> ROUND(    IF( $A$15=BE_MF_,   BG147,   INDEX( Kx!147:147, H$16 ) ),    H$17    )</f>
        <v>1748.48</v>
      </c>
      <c r="I147" s="420">
        <f t="shared" si="205"/>
        <v>1748.48</v>
      </c>
      <c r="J147" s="420">
        <f xml:space="preserve"> ROUND(   IF( $A147&lt;$F$12, AVERAGE(  $I$130                        : INDEX( $I$130:$I$149, $I$129-1 )  ),  AVERAGE(  $I$149                        : INDEX( $I$130:$I$149, $I$129 )  )     ),        J$129   )</f>
        <v>1766.76</v>
      </c>
      <c r="L147" s="473">
        <f t="shared" si="206"/>
        <v>0</v>
      </c>
      <c r="M147" s="563">
        <f t="shared" si="207"/>
        <v>8.5999999999999993E-2</v>
      </c>
      <c r="O147" s="542" t="b">
        <f t="shared" si="213"/>
        <v>1</v>
      </c>
      <c r="AJ147" s="423">
        <f t="shared" si="208"/>
        <v>1933</v>
      </c>
      <c r="AK147" s="423">
        <f t="shared" si="209"/>
        <v>161.08000000000001</v>
      </c>
      <c r="AR147" s="546">
        <f xml:space="preserve"> ROUND(  INDEX( Kx!147:147, AR$16 ),  AR$17 )</f>
        <v>0.51029999999999998</v>
      </c>
      <c r="BC147" s="533">
        <f xml:space="preserve"> ROUND(  INDEX( Kx!147:147, BC$16 ),  BC$17 )</f>
        <v>1551.48</v>
      </c>
      <c r="BD147" s="533">
        <f xml:space="preserve"> ROUND(  INDEX( Kx!147:147, BD$16 ),  BD$17 )</f>
        <v>1885.32</v>
      </c>
      <c r="BE147" s="548" t="str">
        <f t="shared" si="210"/>
        <v>F</v>
      </c>
      <c r="BF147" s="542">
        <f t="shared" si="211"/>
        <v>0.40989999999999999</v>
      </c>
      <c r="BG147" s="542">
        <f t="shared" si="212"/>
        <v>1748.48</v>
      </c>
    </row>
    <row r="148" spans="1:59" ht="10.199999999999999" x14ac:dyDescent="0.2">
      <c r="A148" s="562">
        <f xml:space="preserve"> Basis!A148</f>
        <v>18</v>
      </c>
      <c r="H148" s="533">
        <f xml:space="preserve"> ROUND(    IF( $A$15=BE_MF_,   BG148,   INDEX( Kx!148:148, H$16 ) ),    H$17    )</f>
        <v>1711.43</v>
      </c>
      <c r="I148" s="420">
        <f t="shared" si="205"/>
        <v>1711.43</v>
      </c>
      <c r="J148" s="420">
        <f xml:space="preserve"> ROUND(   IF( $A148&lt;$F$12, AVERAGE(  $I$130                        : INDEX( $I$130:$I$149, $I$129-1 )  ),  AVERAGE(  $I$149                        : INDEX( $I$130:$I$149, $I$129 )  )     ),        J$129   )</f>
        <v>1766.76</v>
      </c>
      <c r="L148" s="473">
        <f t="shared" si="206"/>
        <v>0</v>
      </c>
      <c r="M148" s="563">
        <f t="shared" si="207"/>
        <v>8.5999999999999993E-2</v>
      </c>
      <c r="O148" s="542" t="b">
        <f t="shared" si="213"/>
        <v>1</v>
      </c>
      <c r="AJ148" s="423">
        <f t="shared" si="208"/>
        <v>1933</v>
      </c>
      <c r="AK148" s="423">
        <f t="shared" si="209"/>
        <v>161.08000000000001</v>
      </c>
      <c r="AR148" s="546">
        <f xml:space="preserve"> ROUND(  INDEX( Kx!148:148, AR$16 ),  AR$17 )</f>
        <v>0.50019999999999998</v>
      </c>
      <c r="BC148" s="533">
        <f xml:space="preserve"> ROUND(  INDEX( Kx!148:148, BC$16 ),  BC$17 )</f>
        <v>1474.17</v>
      </c>
      <c r="BD148" s="533">
        <f xml:space="preserve"> ROUND(  INDEX( Kx!148:148, BD$16 ),  BD$17 )</f>
        <v>1869.74</v>
      </c>
      <c r="BE148" s="548" t="str">
        <f t="shared" si="210"/>
        <v>F</v>
      </c>
      <c r="BF148" s="542">
        <f t="shared" si="211"/>
        <v>0.4002</v>
      </c>
      <c r="BG148" s="542">
        <f t="shared" si="212"/>
        <v>1711.43</v>
      </c>
    </row>
    <row r="149" spans="1:59" ht="10.199999999999999" x14ac:dyDescent="0.2">
      <c r="A149" s="562">
        <f xml:space="preserve"> Basis!A149</f>
        <v>19</v>
      </c>
      <c r="H149" s="533">
        <f xml:space="preserve"> ROUND(    IF( $A$15=BE_MF_,   BG149,   INDEX( Kx!149:149, H$16 ) ),    H$17    )</f>
        <v>1701.11</v>
      </c>
      <c r="I149" s="420">
        <f t="shared" si="205"/>
        <v>1701.11</v>
      </c>
      <c r="J149" s="420">
        <f xml:space="preserve"> ROUND(   IF( $A149&lt;$F$12, AVERAGE(  $I$130                        : INDEX( $I$130:$I$149, $I$129-1 )  ),  AVERAGE(  $I$149                        : INDEX( $I$130:$I$149, $I$129 )  )     ),        J$129   )</f>
        <v>1766.76</v>
      </c>
      <c r="L149" s="473">
        <f t="shared" si="206"/>
        <v>0</v>
      </c>
      <c r="M149" s="563">
        <f t="shared" si="207"/>
        <v>8.5999999999999993E-2</v>
      </c>
      <c r="O149" s="542" t="b">
        <f t="shared" si="213"/>
        <v>1</v>
      </c>
      <c r="AJ149" s="423">
        <f t="shared" si="208"/>
        <v>1933</v>
      </c>
      <c r="AK149" s="423">
        <f t="shared" si="209"/>
        <v>161.08000000000001</v>
      </c>
      <c r="AR149" s="546">
        <f xml:space="preserve"> ROUND(  INDEX( Kx!149:149, AR$16 ),  AR$17 )</f>
        <v>0.50080000000000002</v>
      </c>
      <c r="BC149" s="533">
        <f xml:space="preserve"> ROUND(  INDEX( Kx!149:149, BC$16 ),  BC$17 )</f>
        <v>1429.31</v>
      </c>
      <c r="BD149" s="533">
        <f xml:space="preserve"> ROUND(  INDEX( Kx!149:149, BD$16 ),  BD$17 )</f>
        <v>1882.91</v>
      </c>
      <c r="BE149" s="548" t="str">
        <f t="shared" si="210"/>
        <v>F</v>
      </c>
      <c r="BF149" s="542">
        <f t="shared" si="211"/>
        <v>0.40079999999999999</v>
      </c>
      <c r="BG149" s="542">
        <f t="shared" si="212"/>
        <v>1701.11</v>
      </c>
    </row>
  </sheetData>
  <mergeCells count="2">
    <mergeCell ref="AF14:AG14"/>
    <mergeCell ref="BW14:BW15"/>
  </mergeCells>
  <phoneticPr fontId="2" type="noConversion"/>
  <conditionalFormatting sqref="A2">
    <cfRule type="expression" dxfId="38" priority="3">
      <formula>OR(ISNUMBER(SEARCH(BE_M,A2)),ISNUMBER(SEARCH(BE_M_,A2)))</formula>
    </cfRule>
  </conditionalFormatting>
  <conditionalFormatting sqref="A2">
    <cfRule type="expression" dxfId="37" priority="1">
      <formula>OR(ISNUMBER(SEARCH(BE_MF,A2)),ISNUMBER(SEARCH(BE_MF_,A2)))</formula>
    </cfRule>
    <cfRule type="expression" dxfId="36" priority="2">
      <formula>OR(ISNUMBER(SEARCH(BE_F,A2)),ISNUMBER(SEARCH(BE_F_,A2)))</formula>
    </cfRule>
  </conditionalFormatting>
  <conditionalFormatting sqref="K20:M120">
    <cfRule type="cellIs" dxfId="35" priority="16" stopIfTrue="1" operator="notEqual">
      <formula>K$15</formula>
    </cfRule>
  </conditionalFormatting>
  <conditionalFormatting sqref="AH17">
    <cfRule type="cellIs" dxfId="34" priority="17" stopIfTrue="1" operator="equal">
      <formula>TRUE</formula>
    </cfRule>
  </conditionalFormatting>
  <conditionalFormatting sqref="AH15">
    <cfRule type="cellIs" dxfId="33" priority="18" stopIfTrue="1" operator="equal">
      <formula>iO</formula>
    </cfRule>
  </conditionalFormatting>
  <conditionalFormatting sqref="FO8">
    <cfRule type="cellIs" dxfId="32" priority="14" operator="equal">
      <formula>FALSE</formula>
    </cfRule>
    <cfRule type="cellIs" dxfId="31" priority="15" stopIfTrue="1" operator="equal">
      <formula>TRUE</formula>
    </cfRule>
  </conditionalFormatting>
  <conditionalFormatting sqref="FP8:JL8">
    <cfRule type="cellIs" dxfId="30" priority="12" operator="equal">
      <formula>FALSE</formula>
    </cfRule>
    <cfRule type="cellIs" dxfId="29" priority="13" stopIfTrue="1" operator="equal">
      <formula>TRUE</formula>
    </cfRule>
  </conditionalFormatting>
  <conditionalFormatting sqref="F13">
    <cfRule type="cellIs" dxfId="28" priority="10" operator="equal">
      <formula>FALSE</formula>
    </cfRule>
    <cfRule type="cellIs" dxfId="27" priority="11" stopIfTrue="1" operator="equal">
      <formula>TRUE</formula>
    </cfRule>
  </conditionalFormatting>
  <conditionalFormatting sqref="A15">
    <cfRule type="expression" dxfId="26" priority="9">
      <formula>OR(ISNUMBER(SEARCH(BE_M,A15)),ISNUMBER(SEARCH(BE_M_,A15)))</formula>
    </cfRule>
  </conditionalFormatting>
  <conditionalFormatting sqref="A15">
    <cfRule type="expression" dxfId="25" priority="7">
      <formula>OR(ISNUMBER(SEARCH(BE_MF,A15)),ISNUMBER(SEARCH(BE_MF_,A15)))</formula>
    </cfRule>
    <cfRule type="expression" dxfId="24" priority="8">
      <formula>OR(ISNUMBER(SEARCH(BE_F,A15)),ISNUMBER(SEARCH(BE_F_,A15)))</formula>
    </cfRule>
  </conditionalFormatting>
  <conditionalFormatting sqref="D2:E2">
    <cfRule type="expression" dxfId="23" priority="6">
      <formula>OR(ISNUMBER(SEARCH(BE_M,D2)),ISNUMBER(SEARCH(BE_M_,D2)))</formula>
    </cfRule>
  </conditionalFormatting>
  <conditionalFormatting sqref="D2:E2">
    <cfRule type="expression" dxfId="22" priority="4">
      <formula>OR(ISNUMBER(SEARCH(BE_MF,D2)),ISNUMBER(SEARCH(BE_MF_,D2)))</formula>
    </cfRule>
    <cfRule type="expression" dxfId="21" priority="5">
      <formula>OR(ISNUMBER(SEARCH(BE_F,D2)),ISNUMBER(SEARCH(BE_F_,D2)))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>
    <tabColor indexed="16"/>
  </sheetPr>
  <dimension ref="A1:JL149"/>
  <sheetViews>
    <sheetView showGridLines="0" workbookViewId="0">
      <pane xSplit="2" ySplit="19" topLeftCell="C20" activePane="bottomRight" state="frozen"/>
      <selection activeCell="H27" sqref="H27"/>
      <selection pane="topRight" activeCell="H27" sqref="H27"/>
      <selection pane="bottomLeft" activeCell="H27" sqref="H27"/>
      <selection pane="bottomRight" activeCell="C20" sqref="C20"/>
    </sheetView>
  </sheetViews>
  <sheetFormatPr baseColWidth="10" defaultColWidth="8.77734375" defaultRowHeight="11.25" customHeight="1" x14ac:dyDescent="0.2"/>
  <cols>
    <col min="1" max="2" width="8.77734375" style="385"/>
    <col min="3" max="5" width="8.77734375" style="388"/>
    <col min="6" max="13" width="8.77734375" style="385"/>
    <col min="14" max="14" width="8.77734375" style="323"/>
    <col min="15" max="15" width="8.77734375" style="385"/>
    <col min="16" max="32" width="8.77734375" style="487"/>
    <col min="33" max="35" width="8.77734375" style="323"/>
    <col min="36" max="37" width="8.77734375" style="487"/>
    <col min="38" max="43" width="8.77734375" style="323"/>
    <col min="44" max="45" width="8.77734375" style="487"/>
    <col min="46" max="49" width="8.77734375" style="323"/>
    <col min="50" max="50" width="8.77734375" style="487"/>
    <col min="51" max="54" width="8.77734375" style="323"/>
    <col min="55" max="56" width="8.77734375" style="487"/>
    <col min="57" max="57" width="8.77734375" style="323"/>
    <col min="58" max="59" width="8.77734375" style="487"/>
    <col min="60" max="67" width="8.77734375" style="323"/>
    <col min="68" max="70" width="8.77734375" style="487"/>
    <col min="71" max="71" width="8.77734375" style="323"/>
    <col min="72" max="72" width="8.77734375" style="511"/>
    <col min="73" max="75" width="8.77734375" style="487"/>
    <col min="76" max="84" width="8.77734375" style="323"/>
    <col min="85" max="98" width="8.77734375" style="487"/>
    <col min="99" max="114" width="8.77734375" style="323"/>
    <col min="115" max="117" width="8.77734375" style="487"/>
    <col min="118" max="125" width="8.77734375" style="323"/>
    <col min="126" max="137" width="8.77734375" style="487"/>
    <col min="138" max="138" width="8.77734375" style="323"/>
    <col min="139" max="16384" width="8.77734375" style="487"/>
  </cols>
  <sheetData>
    <row r="1" spans="1:272" s="385" customFormat="1" ht="10.199999999999999" x14ac:dyDescent="0.25">
      <c r="A1" s="384" t="str">
        <f xml:space="preserve"> C1</f>
        <v>i3</v>
      </c>
      <c r="C1" s="386" t="str">
        <f xml:space="preserve"> i3_</f>
        <v>i3</v>
      </c>
      <c r="D1" s="387">
        <f xml:space="preserve"> MATCH( C1, Auswahl_Tarife, 0 )</f>
        <v>3</v>
      </c>
      <c r="E1" s="388"/>
      <c r="K1" s="389"/>
      <c r="L1" s="390">
        <f xml:space="preserve"> IF( $B$17, GrGamma_Rd, nix_Rd )</f>
        <v>2</v>
      </c>
      <c r="BT1" s="391"/>
      <c r="DP1" s="392"/>
      <c r="DQ1" s="393"/>
    </row>
    <row r="2" spans="1:272" s="385" customFormat="1" ht="20.399999999999999" x14ac:dyDescent="0.25">
      <c r="A2" s="394" t="str">
        <f xml:space="preserve"> D2</f>
        <v>Frauen+Männer</v>
      </c>
      <c r="C2" s="395" t="str">
        <f xml:space="preserve"> Geschl</f>
        <v>Geschlecht</v>
      </c>
      <c r="D2" s="394" t="str">
        <f xml:space="preserve"> INDEX( Auswahl_Geschl, $D$1 )</f>
        <v>Frauen+Männer</v>
      </c>
      <c r="E2" s="396"/>
      <c r="K2" s="397" t="str">
        <f xml:space="preserve"> GrGamma &amp; " " &amp; jun</f>
        <v>Γ_js jun</v>
      </c>
      <c r="L2" s="398">
        <f xml:space="preserve"> ROUND( INDEX( Auswahl_Gammaj, $D$1 ), L$1 )</f>
        <v>802</v>
      </c>
      <c r="R2" s="399"/>
      <c r="BT2" s="391"/>
      <c r="DP2" s="402"/>
      <c r="DQ2" s="402"/>
      <c r="ES2" s="403"/>
      <c r="ET2" s="403"/>
      <c r="EU2" s="403"/>
      <c r="EV2" s="403"/>
      <c r="EY2" s="404"/>
      <c r="EZ2" s="404"/>
      <c r="FA2" s="404"/>
      <c r="FD2" s="403"/>
      <c r="FE2" s="403"/>
      <c r="FF2" s="403"/>
    </row>
    <row r="3" spans="1:272" s="385" customFormat="1" ht="20.399999999999999" x14ac:dyDescent="0.25">
      <c r="C3" s="395" t="str">
        <f xml:space="preserve"> lambdaxVorsicht</f>
        <v>lambdax-Vorsicht</v>
      </c>
      <c r="D3" s="405" t="str">
        <f xml:space="preserve"> TEXT( INDEX( Auswahl_lambdaxVorsicht, $D$1 ), "+ 0,0 %;- 0,0 %;+ 0,0 %")</f>
        <v>+ 50,0 %</v>
      </c>
      <c r="E3" s="406"/>
      <c r="K3" s="397" t="str">
        <f xml:space="preserve"> GrGamma &amp; " " &amp; sen</f>
        <v>Γ_js sen</v>
      </c>
      <c r="L3" s="398">
        <f xml:space="preserve"> ROUND( INDEX( Auswahl_Gammas, $D$1 ), L$1 )</f>
        <v>679</v>
      </c>
      <c r="BT3" s="391"/>
    </row>
    <row r="4" spans="1:272" s="385" customFormat="1" ht="10.199999999999999" x14ac:dyDescent="0.25">
      <c r="C4" s="395" t="str">
        <f xml:space="preserve"> xomega</f>
        <v>x_ω</v>
      </c>
      <c r="D4" s="409" t="str">
        <f xml:space="preserve"> TEXT( O12, "0" )</f>
        <v>110</v>
      </c>
      <c r="E4" s="410"/>
      <c r="K4" s="411"/>
      <c r="L4" s="390">
        <f xml:space="preserve"> IF( $B$17, klgamma_Rd, nix_Rd )</f>
        <v>4</v>
      </c>
      <c r="AG4" s="412"/>
      <c r="AH4" s="413"/>
      <c r="AI4" s="390">
        <f xml:space="preserve"> GrGamma_Rd</f>
        <v>2</v>
      </c>
      <c r="AJ4" s="414" t="str">
        <f xml:space="preserve"> GrGamma</f>
        <v>Γ_js</v>
      </c>
      <c r="AK4" s="414" t="str">
        <f xml:space="preserve"> AJ4 &amp; "~"</f>
        <v>Γ_js~</v>
      </c>
      <c r="BT4" s="391"/>
      <c r="DP4" s="415"/>
      <c r="DQ4" s="415"/>
      <c r="ES4" s="416"/>
    </row>
    <row r="5" spans="1:272" s="385" customFormat="1" ht="10.199999999999999" x14ac:dyDescent="0.2">
      <c r="C5" s="395" t="str">
        <f xml:space="preserve"> r_</f>
        <v>r</v>
      </c>
      <c r="D5" s="417" t="str">
        <f xml:space="preserve"> TEXT( S12, "0,0 %")</f>
        <v>2,5 %</v>
      </c>
      <c r="E5" s="418"/>
      <c r="K5" s="397" t="str">
        <f xml:space="preserve"> klgamma &amp; " " &amp; jun</f>
        <v>γ_js jun</v>
      </c>
      <c r="L5" s="419">
        <f xml:space="preserve"> ROUND( L2 / $J$19, L$4 )</f>
        <v>0.38600000000000001</v>
      </c>
      <c r="AB5" s="420" t="str">
        <f t="shared" ref="AB5:AC6" si="0" xml:space="preserve"> K5</f>
        <v>γ_js jun</v>
      </c>
      <c r="AC5" s="420">
        <f xml:space="preserve"> L5</f>
        <v>0.38600000000000001</v>
      </c>
      <c r="AG5" s="421" t="str">
        <f xml:space="preserve"> xalpha</f>
        <v>x_α</v>
      </c>
      <c r="AH5" s="422">
        <f xml:space="preserve"> INDEX( Auswahl_xalpha, $D$1 )</f>
        <v>20</v>
      </c>
      <c r="AI5" s="414" t="str">
        <f xml:space="preserve"> jun</f>
        <v>jun</v>
      </c>
      <c r="AJ5" s="423">
        <f xml:space="preserve"> ROUND( INDEX( $AI$20:$AI$120, $AH5-19 ) * INDEX( $AC$20:$AC$120, $AH5-19 ), $AI$4 )</f>
        <v>802.03</v>
      </c>
      <c r="AK5" s="423">
        <f xml:space="preserve"> ROUND( AJ5 / 12, $AI$4 )</f>
        <v>66.84</v>
      </c>
      <c r="BT5" s="391"/>
      <c r="DP5" s="425"/>
      <c r="DQ5" s="425"/>
      <c r="ES5" s="426"/>
      <c r="FO5" s="427">
        <f xml:space="preserve"> MAX( FP5:JL5)</f>
        <v>1</v>
      </c>
      <c r="FP5" s="428">
        <f t="shared" ref="FP5:GU5" si="1" xml:space="preserve"> IF(  FP18&gt;$FP$12,  LEER,  COUNTIF( FP20:FP120, "&lt;0" )  )</f>
        <v>1</v>
      </c>
      <c r="FQ5" s="428">
        <f t="shared" si="1"/>
        <v>1</v>
      </c>
      <c r="FR5" s="428">
        <f t="shared" si="1"/>
        <v>1</v>
      </c>
      <c r="FS5" s="428">
        <f t="shared" si="1"/>
        <v>1</v>
      </c>
      <c r="FT5" s="428">
        <f t="shared" si="1"/>
        <v>1</v>
      </c>
      <c r="FU5" s="428">
        <f t="shared" si="1"/>
        <v>1</v>
      </c>
      <c r="FV5" s="428">
        <f t="shared" si="1"/>
        <v>1</v>
      </c>
      <c r="FW5" s="428">
        <f t="shared" si="1"/>
        <v>1</v>
      </c>
      <c r="FX5" s="428">
        <f t="shared" si="1"/>
        <v>1</v>
      </c>
      <c r="FY5" s="428">
        <f t="shared" si="1"/>
        <v>1</v>
      </c>
      <c r="FZ5" s="428">
        <f t="shared" si="1"/>
        <v>1</v>
      </c>
      <c r="GA5" s="428">
        <f t="shared" si="1"/>
        <v>1</v>
      </c>
      <c r="GB5" s="428">
        <f t="shared" si="1"/>
        <v>1</v>
      </c>
      <c r="GC5" s="428">
        <f t="shared" si="1"/>
        <v>1</v>
      </c>
      <c r="GD5" s="428">
        <f t="shared" si="1"/>
        <v>1</v>
      </c>
      <c r="GE5" s="428">
        <f t="shared" si="1"/>
        <v>1</v>
      </c>
      <c r="GF5" s="428">
        <f t="shared" si="1"/>
        <v>1</v>
      </c>
      <c r="GG5" s="428">
        <f t="shared" si="1"/>
        <v>1</v>
      </c>
      <c r="GH5" s="428">
        <f t="shared" si="1"/>
        <v>1</v>
      </c>
      <c r="GI5" s="428">
        <f t="shared" si="1"/>
        <v>1</v>
      </c>
      <c r="GJ5" s="428">
        <f t="shared" si="1"/>
        <v>1</v>
      </c>
      <c r="GK5" s="428">
        <f t="shared" si="1"/>
        <v>1</v>
      </c>
      <c r="GL5" s="428">
        <f t="shared" si="1"/>
        <v>1</v>
      </c>
      <c r="GM5" s="428">
        <f t="shared" si="1"/>
        <v>1</v>
      </c>
      <c r="GN5" s="428">
        <f t="shared" si="1"/>
        <v>1</v>
      </c>
      <c r="GO5" s="428">
        <f t="shared" si="1"/>
        <v>1</v>
      </c>
      <c r="GP5" s="428">
        <f t="shared" si="1"/>
        <v>1</v>
      </c>
      <c r="GQ5" s="428">
        <f t="shared" si="1"/>
        <v>1</v>
      </c>
      <c r="GR5" s="428">
        <f t="shared" si="1"/>
        <v>1</v>
      </c>
      <c r="GS5" s="428">
        <f t="shared" si="1"/>
        <v>1</v>
      </c>
      <c r="GT5" s="428">
        <f t="shared" si="1"/>
        <v>1</v>
      </c>
      <c r="GU5" s="428">
        <f t="shared" si="1"/>
        <v>1</v>
      </c>
      <c r="GV5" s="428">
        <f t="shared" ref="GV5:IA5" si="2" xml:space="preserve"> IF(  GV18&gt;$FP$12,  LEER,  COUNTIF( GV20:GV120, "&lt;0" )  )</f>
        <v>1</v>
      </c>
      <c r="GW5" s="428">
        <f t="shared" si="2"/>
        <v>1</v>
      </c>
      <c r="GX5" s="428">
        <f t="shared" si="2"/>
        <v>1</v>
      </c>
      <c r="GY5" s="428">
        <f t="shared" si="2"/>
        <v>1</v>
      </c>
      <c r="GZ5" s="428">
        <f t="shared" si="2"/>
        <v>1</v>
      </c>
      <c r="HA5" s="428">
        <f t="shared" si="2"/>
        <v>1</v>
      </c>
      <c r="HB5" s="428">
        <f t="shared" si="2"/>
        <v>1</v>
      </c>
      <c r="HC5" s="428">
        <f t="shared" si="2"/>
        <v>1</v>
      </c>
      <c r="HD5" s="428">
        <f t="shared" si="2"/>
        <v>1</v>
      </c>
      <c r="HE5" s="428">
        <f t="shared" si="2"/>
        <v>1</v>
      </c>
      <c r="HF5" s="428">
        <f t="shared" si="2"/>
        <v>1</v>
      </c>
      <c r="HG5" s="428">
        <f t="shared" si="2"/>
        <v>1</v>
      </c>
      <c r="HH5" s="428">
        <f t="shared" si="2"/>
        <v>1</v>
      </c>
      <c r="HI5" s="428">
        <f t="shared" si="2"/>
        <v>1</v>
      </c>
      <c r="HJ5" s="428">
        <f t="shared" si="2"/>
        <v>1</v>
      </c>
      <c r="HK5" s="428">
        <f t="shared" si="2"/>
        <v>1</v>
      </c>
      <c r="HL5" s="428">
        <f t="shared" si="2"/>
        <v>1</v>
      </c>
      <c r="HM5" s="428">
        <f t="shared" si="2"/>
        <v>1</v>
      </c>
      <c r="HN5" s="428">
        <f t="shared" si="2"/>
        <v>1</v>
      </c>
      <c r="HO5" s="428">
        <f t="shared" si="2"/>
        <v>1</v>
      </c>
      <c r="HP5" s="428">
        <f t="shared" si="2"/>
        <v>1</v>
      </c>
      <c r="HQ5" s="428">
        <f t="shared" si="2"/>
        <v>1</v>
      </c>
      <c r="HR5" s="428">
        <f t="shared" si="2"/>
        <v>0</v>
      </c>
      <c r="HS5" s="428">
        <f t="shared" si="2"/>
        <v>0</v>
      </c>
      <c r="HT5" s="428">
        <f t="shared" si="2"/>
        <v>0</v>
      </c>
      <c r="HU5" s="428">
        <f t="shared" si="2"/>
        <v>1</v>
      </c>
      <c r="HV5" s="428">
        <f t="shared" si="2"/>
        <v>0</v>
      </c>
      <c r="HW5" s="428">
        <f t="shared" si="2"/>
        <v>0</v>
      </c>
      <c r="HX5" s="428">
        <f t="shared" si="2"/>
        <v>1</v>
      </c>
      <c r="HY5" s="428">
        <f t="shared" si="2"/>
        <v>0</v>
      </c>
      <c r="HZ5" s="428">
        <f t="shared" si="2"/>
        <v>0</v>
      </c>
      <c r="IA5" s="428">
        <f t="shared" si="2"/>
        <v>1</v>
      </c>
      <c r="IB5" s="428">
        <f t="shared" ref="IB5:JL5" si="3" xml:space="preserve"> IF(  IB18&gt;$FP$12,  LEER,  COUNTIF( IB20:IB120, "&lt;0" )  )</f>
        <v>1</v>
      </c>
      <c r="IC5" s="428">
        <f t="shared" si="3"/>
        <v>1</v>
      </c>
      <c r="ID5" s="428">
        <f t="shared" si="3"/>
        <v>1</v>
      </c>
      <c r="IE5" s="428">
        <f t="shared" si="3"/>
        <v>1</v>
      </c>
      <c r="IF5" s="428">
        <f t="shared" si="3"/>
        <v>1</v>
      </c>
      <c r="IG5" s="428">
        <f t="shared" si="3"/>
        <v>0</v>
      </c>
      <c r="IH5" s="428">
        <f t="shared" si="3"/>
        <v>1</v>
      </c>
      <c r="II5" s="428">
        <f t="shared" si="3"/>
        <v>0</v>
      </c>
      <c r="IJ5" s="428">
        <f t="shared" si="3"/>
        <v>0</v>
      </c>
      <c r="IK5" s="428">
        <f t="shared" si="3"/>
        <v>0</v>
      </c>
      <c r="IL5" s="428">
        <f t="shared" si="3"/>
        <v>1</v>
      </c>
      <c r="IM5" s="428">
        <f t="shared" si="3"/>
        <v>1</v>
      </c>
      <c r="IN5" s="428">
        <f t="shared" si="3"/>
        <v>0</v>
      </c>
      <c r="IO5" s="428">
        <f t="shared" si="3"/>
        <v>0</v>
      </c>
      <c r="IP5" s="428">
        <f t="shared" si="3"/>
        <v>0</v>
      </c>
      <c r="IQ5" s="428">
        <f t="shared" si="3"/>
        <v>0</v>
      </c>
      <c r="IR5" s="428">
        <f t="shared" si="3"/>
        <v>1</v>
      </c>
      <c r="IS5" s="428">
        <f t="shared" si="3"/>
        <v>0</v>
      </c>
      <c r="IT5" s="428">
        <f t="shared" si="3"/>
        <v>1</v>
      </c>
      <c r="IU5" s="428">
        <f t="shared" si="3"/>
        <v>1</v>
      </c>
      <c r="IV5" s="428">
        <f t="shared" si="3"/>
        <v>1</v>
      </c>
      <c r="IW5" s="428">
        <f t="shared" si="3"/>
        <v>1</v>
      </c>
      <c r="IX5" s="428">
        <f t="shared" si="3"/>
        <v>1</v>
      </c>
      <c r="IY5" s="428">
        <f t="shared" si="3"/>
        <v>0</v>
      </c>
      <c r="IZ5" s="428">
        <f t="shared" si="3"/>
        <v>1</v>
      </c>
      <c r="JA5" s="428">
        <f t="shared" si="3"/>
        <v>0</v>
      </c>
      <c r="JB5" s="428">
        <f t="shared" si="3"/>
        <v>0</v>
      </c>
      <c r="JC5" s="428" t="str">
        <f t="shared" si="3"/>
        <v>.</v>
      </c>
      <c r="JD5" s="428" t="str">
        <f t="shared" si="3"/>
        <v>.</v>
      </c>
      <c r="JE5" s="428" t="str">
        <f t="shared" si="3"/>
        <v>.</v>
      </c>
      <c r="JF5" s="428" t="str">
        <f t="shared" si="3"/>
        <v>.</v>
      </c>
      <c r="JG5" s="428" t="str">
        <f t="shared" si="3"/>
        <v>.</v>
      </c>
      <c r="JH5" s="428" t="str">
        <f t="shared" si="3"/>
        <v>.</v>
      </c>
      <c r="JI5" s="428" t="str">
        <f t="shared" si="3"/>
        <v>.</v>
      </c>
      <c r="JJ5" s="428" t="str">
        <f t="shared" si="3"/>
        <v>.</v>
      </c>
      <c r="JK5" s="428" t="str">
        <f t="shared" si="3"/>
        <v>.</v>
      </c>
      <c r="JL5" s="428" t="str">
        <f t="shared" si="3"/>
        <v>.</v>
      </c>
    </row>
    <row r="6" spans="1:272" s="385" customFormat="1" ht="10.199999999999999" x14ac:dyDescent="0.25">
      <c r="C6" s="395" t="str">
        <f xml:space="preserve"> qx</f>
        <v>q_x</v>
      </c>
      <c r="D6" s="429" t="str">
        <f xml:space="preserve"> F15</f>
        <v>PKV 2017</v>
      </c>
      <c r="E6" s="430"/>
      <c r="K6" s="397" t="str">
        <f xml:space="preserve"> klgamma &amp; " " &amp; sen</f>
        <v>γ_js sen</v>
      </c>
      <c r="L6" s="419">
        <f xml:space="preserve"> ROUND( L3 / $J$19, L$4 )</f>
        <v>0.32679999999999998</v>
      </c>
      <c r="AB6" s="420" t="str">
        <f t="shared" si="0"/>
        <v>γ_js sen</v>
      </c>
      <c r="AC6" s="420">
        <f t="shared" si="0"/>
        <v>0.32679999999999998</v>
      </c>
      <c r="AG6" s="421" t="str">
        <f xml:space="preserve"> xomega</f>
        <v>x_ω</v>
      </c>
      <c r="AH6" s="422">
        <f xml:space="preserve"> INDEX( Auswahl_xsen, $D$1 )</f>
        <v>65</v>
      </c>
      <c r="AI6" s="414" t="str">
        <f xml:space="preserve"> sen</f>
        <v>sen</v>
      </c>
      <c r="AJ6" s="423">
        <f xml:space="preserve"> ROUND( INDEX( $AI$20:$AI$120, $AH6-19 ) * INDEX( $AC$20:$AC$120, $AH6-19 ), $AI$4 )</f>
        <v>679.02</v>
      </c>
      <c r="AK6" s="423">
        <f xml:space="preserve"> ROUND( AJ6 / 12, $AI$4 )</f>
        <v>56.59</v>
      </c>
      <c r="BT6" s="391"/>
      <c r="DT6" s="432"/>
      <c r="DX6" s="432"/>
      <c r="EE6" s="432"/>
      <c r="ES6" s="433"/>
      <c r="FO6" s="421" t="s">
        <v>174</v>
      </c>
      <c r="FP6" s="434">
        <f t="shared" ref="FP6:GU6" si="4" xml:space="preserve"> IF(  FP18&gt;$FP$12,  LEER,  MIN( 15, ROUNDDOWN( ( $FP$12 - FP18 ) / 2, 0 ) )  )</f>
        <v>15</v>
      </c>
      <c r="FQ6" s="434">
        <f t="shared" si="4"/>
        <v>15</v>
      </c>
      <c r="FR6" s="434">
        <f t="shared" si="4"/>
        <v>15</v>
      </c>
      <c r="FS6" s="434">
        <f t="shared" si="4"/>
        <v>15</v>
      </c>
      <c r="FT6" s="434">
        <f t="shared" si="4"/>
        <v>15</v>
      </c>
      <c r="FU6" s="434">
        <f t="shared" si="4"/>
        <v>15</v>
      </c>
      <c r="FV6" s="434">
        <f t="shared" si="4"/>
        <v>15</v>
      </c>
      <c r="FW6" s="434">
        <f t="shared" si="4"/>
        <v>15</v>
      </c>
      <c r="FX6" s="434">
        <f t="shared" si="4"/>
        <v>15</v>
      </c>
      <c r="FY6" s="434">
        <f t="shared" si="4"/>
        <v>15</v>
      </c>
      <c r="FZ6" s="434">
        <f t="shared" si="4"/>
        <v>15</v>
      </c>
      <c r="GA6" s="434">
        <f t="shared" si="4"/>
        <v>15</v>
      </c>
      <c r="GB6" s="434">
        <f t="shared" si="4"/>
        <v>15</v>
      </c>
      <c r="GC6" s="434">
        <f t="shared" si="4"/>
        <v>15</v>
      </c>
      <c r="GD6" s="434">
        <f t="shared" si="4"/>
        <v>15</v>
      </c>
      <c r="GE6" s="434">
        <f t="shared" si="4"/>
        <v>15</v>
      </c>
      <c r="GF6" s="434">
        <f t="shared" si="4"/>
        <v>15</v>
      </c>
      <c r="GG6" s="434">
        <f t="shared" si="4"/>
        <v>15</v>
      </c>
      <c r="GH6" s="434">
        <f t="shared" si="4"/>
        <v>15</v>
      </c>
      <c r="GI6" s="434">
        <f t="shared" si="4"/>
        <v>15</v>
      </c>
      <c r="GJ6" s="434">
        <f t="shared" si="4"/>
        <v>15</v>
      </c>
      <c r="GK6" s="434">
        <f t="shared" si="4"/>
        <v>15</v>
      </c>
      <c r="GL6" s="434">
        <f t="shared" si="4"/>
        <v>15</v>
      </c>
      <c r="GM6" s="434">
        <f t="shared" si="4"/>
        <v>15</v>
      </c>
      <c r="GN6" s="434">
        <f t="shared" si="4"/>
        <v>15</v>
      </c>
      <c r="GO6" s="434">
        <f t="shared" si="4"/>
        <v>15</v>
      </c>
      <c r="GP6" s="434">
        <f t="shared" si="4"/>
        <v>15</v>
      </c>
      <c r="GQ6" s="434">
        <f t="shared" si="4"/>
        <v>15</v>
      </c>
      <c r="GR6" s="434">
        <f t="shared" si="4"/>
        <v>15</v>
      </c>
      <c r="GS6" s="434">
        <f t="shared" si="4"/>
        <v>15</v>
      </c>
      <c r="GT6" s="434">
        <f t="shared" si="4"/>
        <v>15</v>
      </c>
      <c r="GU6" s="434">
        <f t="shared" si="4"/>
        <v>15</v>
      </c>
      <c r="GV6" s="434">
        <f t="shared" ref="GV6:IA6" si="5" xml:space="preserve"> IF(  GV18&gt;$FP$12,  LEER,  MIN( 15, ROUNDDOWN( ( $FP$12 - GV18 ) / 2, 0 ) )  )</f>
        <v>15</v>
      </c>
      <c r="GW6" s="434">
        <f t="shared" si="5"/>
        <v>15</v>
      </c>
      <c r="GX6" s="434">
        <f t="shared" si="5"/>
        <v>15</v>
      </c>
      <c r="GY6" s="434">
        <f t="shared" si="5"/>
        <v>15</v>
      </c>
      <c r="GZ6" s="434">
        <f t="shared" si="5"/>
        <v>15</v>
      </c>
      <c r="HA6" s="434">
        <f t="shared" si="5"/>
        <v>15</v>
      </c>
      <c r="HB6" s="434">
        <f t="shared" si="5"/>
        <v>15</v>
      </c>
      <c r="HC6" s="434">
        <f t="shared" si="5"/>
        <v>15</v>
      </c>
      <c r="HD6" s="434">
        <f t="shared" si="5"/>
        <v>15</v>
      </c>
      <c r="HE6" s="434">
        <f t="shared" si="5"/>
        <v>15</v>
      </c>
      <c r="HF6" s="434">
        <f t="shared" si="5"/>
        <v>15</v>
      </c>
      <c r="HG6" s="434">
        <f t="shared" si="5"/>
        <v>15</v>
      </c>
      <c r="HH6" s="434">
        <f t="shared" si="5"/>
        <v>15</v>
      </c>
      <c r="HI6" s="434">
        <f t="shared" si="5"/>
        <v>15</v>
      </c>
      <c r="HJ6" s="434">
        <f t="shared" si="5"/>
        <v>15</v>
      </c>
      <c r="HK6" s="434">
        <f t="shared" si="5"/>
        <v>15</v>
      </c>
      <c r="HL6" s="434">
        <f t="shared" si="5"/>
        <v>15</v>
      </c>
      <c r="HM6" s="434">
        <f t="shared" si="5"/>
        <v>15</v>
      </c>
      <c r="HN6" s="434">
        <f t="shared" si="5"/>
        <v>15</v>
      </c>
      <c r="HO6" s="434">
        <f t="shared" si="5"/>
        <v>15</v>
      </c>
      <c r="HP6" s="434">
        <f t="shared" si="5"/>
        <v>15</v>
      </c>
      <c r="HQ6" s="434">
        <f t="shared" si="5"/>
        <v>15</v>
      </c>
      <c r="HR6" s="434">
        <f t="shared" si="5"/>
        <v>15</v>
      </c>
      <c r="HS6" s="434">
        <f t="shared" si="5"/>
        <v>15</v>
      </c>
      <c r="HT6" s="434">
        <f t="shared" si="5"/>
        <v>15</v>
      </c>
      <c r="HU6" s="434">
        <f t="shared" si="5"/>
        <v>15</v>
      </c>
      <c r="HV6" s="434">
        <f t="shared" si="5"/>
        <v>15</v>
      </c>
      <c r="HW6" s="434">
        <f t="shared" si="5"/>
        <v>15</v>
      </c>
      <c r="HX6" s="434">
        <f t="shared" si="5"/>
        <v>15</v>
      </c>
      <c r="HY6" s="434">
        <f t="shared" si="5"/>
        <v>14</v>
      </c>
      <c r="HZ6" s="434">
        <f t="shared" si="5"/>
        <v>14</v>
      </c>
      <c r="IA6" s="434">
        <f t="shared" si="5"/>
        <v>13</v>
      </c>
      <c r="IB6" s="434">
        <f t="shared" ref="IB6:JL6" si="6" xml:space="preserve"> IF(  IB18&gt;$FP$12,  LEER,  MIN( 15, ROUNDDOWN( ( $FP$12 - IB18 ) / 2, 0 ) )  )</f>
        <v>13</v>
      </c>
      <c r="IC6" s="434">
        <f t="shared" si="6"/>
        <v>12</v>
      </c>
      <c r="ID6" s="434">
        <f t="shared" si="6"/>
        <v>12</v>
      </c>
      <c r="IE6" s="434">
        <f t="shared" si="6"/>
        <v>11</v>
      </c>
      <c r="IF6" s="434">
        <f t="shared" si="6"/>
        <v>11</v>
      </c>
      <c r="IG6" s="434">
        <f t="shared" si="6"/>
        <v>10</v>
      </c>
      <c r="IH6" s="434">
        <f t="shared" si="6"/>
        <v>10</v>
      </c>
      <c r="II6" s="434">
        <f t="shared" si="6"/>
        <v>9</v>
      </c>
      <c r="IJ6" s="434">
        <f t="shared" si="6"/>
        <v>9</v>
      </c>
      <c r="IK6" s="434">
        <f t="shared" si="6"/>
        <v>8</v>
      </c>
      <c r="IL6" s="434">
        <f t="shared" si="6"/>
        <v>8</v>
      </c>
      <c r="IM6" s="434">
        <f t="shared" si="6"/>
        <v>7</v>
      </c>
      <c r="IN6" s="434">
        <f t="shared" si="6"/>
        <v>7</v>
      </c>
      <c r="IO6" s="434">
        <f t="shared" si="6"/>
        <v>6</v>
      </c>
      <c r="IP6" s="434">
        <f t="shared" si="6"/>
        <v>6</v>
      </c>
      <c r="IQ6" s="434">
        <f t="shared" si="6"/>
        <v>5</v>
      </c>
      <c r="IR6" s="434">
        <f t="shared" si="6"/>
        <v>5</v>
      </c>
      <c r="IS6" s="434">
        <f t="shared" si="6"/>
        <v>4</v>
      </c>
      <c r="IT6" s="434">
        <f t="shared" si="6"/>
        <v>4</v>
      </c>
      <c r="IU6" s="434">
        <f t="shared" si="6"/>
        <v>3</v>
      </c>
      <c r="IV6" s="434">
        <f t="shared" si="6"/>
        <v>3</v>
      </c>
      <c r="IW6" s="434">
        <f t="shared" si="6"/>
        <v>2</v>
      </c>
      <c r="IX6" s="434">
        <f t="shared" si="6"/>
        <v>2</v>
      </c>
      <c r="IY6" s="434">
        <f t="shared" si="6"/>
        <v>1</v>
      </c>
      <c r="IZ6" s="434">
        <f t="shared" si="6"/>
        <v>1</v>
      </c>
      <c r="JA6" s="434">
        <f t="shared" si="6"/>
        <v>0</v>
      </c>
      <c r="JB6" s="434">
        <f t="shared" si="6"/>
        <v>0</v>
      </c>
      <c r="JC6" s="434" t="str">
        <f t="shared" si="6"/>
        <v>.</v>
      </c>
      <c r="JD6" s="434" t="str">
        <f t="shared" si="6"/>
        <v>.</v>
      </c>
      <c r="JE6" s="434" t="str">
        <f t="shared" si="6"/>
        <v>.</v>
      </c>
      <c r="JF6" s="434" t="str">
        <f t="shared" si="6"/>
        <v>.</v>
      </c>
      <c r="JG6" s="434" t="str">
        <f t="shared" si="6"/>
        <v>.</v>
      </c>
      <c r="JH6" s="434" t="str">
        <f t="shared" si="6"/>
        <v>.</v>
      </c>
      <c r="JI6" s="434" t="str">
        <f t="shared" si="6"/>
        <v>.</v>
      </c>
      <c r="JJ6" s="434" t="str">
        <f t="shared" si="6"/>
        <v>.</v>
      </c>
      <c r="JK6" s="434" t="str">
        <f t="shared" si="6"/>
        <v>.</v>
      </c>
      <c r="JL6" s="434" t="str">
        <f t="shared" si="6"/>
        <v>.</v>
      </c>
    </row>
    <row r="7" spans="1:272" s="385" customFormat="1" ht="10.199999999999999" x14ac:dyDescent="0.25">
      <c r="C7" s="395" t="str">
        <f xml:space="preserve"> wx</f>
        <v>w_x</v>
      </c>
      <c r="D7" s="429" t="str">
        <f xml:space="preserve"> G15</f>
        <v>Sto BaFin N 2015</v>
      </c>
      <c r="E7" s="430"/>
      <c r="U7" s="435"/>
      <c r="AN7" s="431" t="str">
        <f xml:space="preserve"> SUBSTITUTE( Z14, "x", AN12 )</f>
        <v>p_35</v>
      </c>
      <c r="AO7" s="431" t="str">
        <f xml:space="preserve"> SUBSTITUTE( AD14, "x", AO12 )</f>
        <v>z°p_35</v>
      </c>
      <c r="BT7" s="359"/>
      <c r="CH7" s="359"/>
      <c r="CN7" s="359"/>
      <c r="DP7" s="415"/>
      <c r="DQ7" s="415"/>
      <c r="DR7" s="415"/>
      <c r="DS7" s="415"/>
      <c r="DT7" s="415"/>
      <c r="DV7" s="415"/>
      <c r="DX7" s="415"/>
      <c r="DZ7" s="437"/>
      <c r="EA7" s="437"/>
      <c r="EB7" s="437"/>
      <c r="EC7" s="437"/>
      <c r="EE7" s="437"/>
      <c r="EI7" s="415"/>
      <c r="EJ7" s="437"/>
      <c r="FO7" s="438" t="str">
        <f xml:space="preserve"> K14</f>
        <v>α^Z_x</v>
      </c>
      <c r="FP7" s="428">
        <f t="array" ref="FP7:JL7" xml:space="preserve"> TRANSPOSE( K20:K120 )</f>
        <v>2</v>
      </c>
      <c r="FQ7" s="428">
        <v>2</v>
      </c>
      <c r="FR7" s="428">
        <v>2</v>
      </c>
      <c r="FS7" s="428">
        <v>2</v>
      </c>
      <c r="FT7" s="428">
        <v>2</v>
      </c>
      <c r="FU7" s="428">
        <v>2</v>
      </c>
      <c r="FV7" s="428">
        <v>2</v>
      </c>
      <c r="FW7" s="428">
        <v>2</v>
      </c>
      <c r="FX7" s="428">
        <v>2</v>
      </c>
      <c r="FY7" s="428">
        <v>2</v>
      </c>
      <c r="FZ7" s="428">
        <v>2</v>
      </c>
      <c r="GA7" s="428">
        <v>2</v>
      </c>
      <c r="GB7" s="428">
        <v>2</v>
      </c>
      <c r="GC7" s="428">
        <v>2</v>
      </c>
      <c r="GD7" s="428">
        <v>2</v>
      </c>
      <c r="GE7" s="428">
        <v>2</v>
      </c>
      <c r="GF7" s="428">
        <v>2</v>
      </c>
      <c r="GG7" s="428">
        <v>2</v>
      </c>
      <c r="GH7" s="428">
        <v>2</v>
      </c>
      <c r="GI7" s="428">
        <v>2</v>
      </c>
      <c r="GJ7" s="428">
        <v>2</v>
      </c>
      <c r="GK7" s="428">
        <v>2</v>
      </c>
      <c r="GL7" s="428">
        <v>2</v>
      </c>
      <c r="GM7" s="428">
        <v>2</v>
      </c>
      <c r="GN7" s="428">
        <v>2</v>
      </c>
      <c r="GO7" s="428">
        <v>2</v>
      </c>
      <c r="GP7" s="428">
        <v>2</v>
      </c>
      <c r="GQ7" s="428">
        <v>2</v>
      </c>
      <c r="GR7" s="428">
        <v>2</v>
      </c>
      <c r="GS7" s="428">
        <v>2</v>
      </c>
      <c r="GT7" s="428">
        <v>2</v>
      </c>
      <c r="GU7" s="428">
        <v>2</v>
      </c>
      <c r="GV7" s="428">
        <v>2</v>
      </c>
      <c r="GW7" s="428">
        <v>2</v>
      </c>
      <c r="GX7" s="428">
        <v>2</v>
      </c>
      <c r="GY7" s="428">
        <v>2</v>
      </c>
      <c r="GZ7" s="428">
        <v>2</v>
      </c>
      <c r="HA7" s="428">
        <v>2</v>
      </c>
      <c r="HB7" s="428">
        <v>2</v>
      </c>
      <c r="HC7" s="428">
        <v>2</v>
      </c>
      <c r="HD7" s="428">
        <v>2</v>
      </c>
      <c r="HE7" s="428">
        <v>2</v>
      </c>
      <c r="HF7" s="428">
        <v>2</v>
      </c>
      <c r="HG7" s="428">
        <v>2</v>
      </c>
      <c r="HH7" s="428">
        <v>2</v>
      </c>
      <c r="HI7" s="428">
        <v>2</v>
      </c>
      <c r="HJ7" s="428">
        <v>2</v>
      </c>
      <c r="HK7" s="428">
        <v>2</v>
      </c>
      <c r="HL7" s="428">
        <v>2</v>
      </c>
      <c r="HM7" s="428">
        <v>2</v>
      </c>
      <c r="HN7" s="428">
        <v>1.5</v>
      </c>
      <c r="HO7" s="428">
        <v>1</v>
      </c>
      <c r="HP7" s="428">
        <v>0.5</v>
      </c>
      <c r="HQ7" s="428">
        <v>0</v>
      </c>
      <c r="HR7" s="428">
        <v>0</v>
      </c>
      <c r="HS7" s="428">
        <v>0</v>
      </c>
      <c r="HT7" s="428">
        <v>0</v>
      </c>
      <c r="HU7" s="428">
        <v>0</v>
      </c>
      <c r="HV7" s="428">
        <v>0</v>
      </c>
      <c r="HW7" s="428">
        <v>0</v>
      </c>
      <c r="HX7" s="428">
        <v>0</v>
      </c>
      <c r="HY7" s="428">
        <v>0</v>
      </c>
      <c r="HZ7" s="428">
        <v>0</v>
      </c>
      <c r="IA7" s="428">
        <v>0</v>
      </c>
      <c r="IB7" s="428">
        <v>0</v>
      </c>
      <c r="IC7" s="428">
        <v>0</v>
      </c>
      <c r="ID7" s="428">
        <v>0</v>
      </c>
      <c r="IE7" s="428">
        <v>0</v>
      </c>
      <c r="IF7" s="428">
        <v>0</v>
      </c>
      <c r="IG7" s="428">
        <v>0</v>
      </c>
      <c r="IH7" s="428">
        <v>0</v>
      </c>
      <c r="II7" s="428">
        <v>0</v>
      </c>
      <c r="IJ7" s="428">
        <v>0</v>
      </c>
      <c r="IK7" s="428">
        <v>0</v>
      </c>
      <c r="IL7" s="428">
        <v>0</v>
      </c>
      <c r="IM7" s="428">
        <v>0</v>
      </c>
      <c r="IN7" s="428">
        <v>0</v>
      </c>
      <c r="IO7" s="428">
        <v>0</v>
      </c>
      <c r="IP7" s="428">
        <v>0</v>
      </c>
      <c r="IQ7" s="428">
        <v>0</v>
      </c>
      <c r="IR7" s="428">
        <v>0</v>
      </c>
      <c r="IS7" s="428">
        <v>0</v>
      </c>
      <c r="IT7" s="428">
        <v>0</v>
      </c>
      <c r="IU7" s="428">
        <v>0</v>
      </c>
      <c r="IV7" s="428">
        <v>0</v>
      </c>
      <c r="IW7" s="428">
        <v>0</v>
      </c>
      <c r="IX7" s="428">
        <v>0</v>
      </c>
      <c r="IY7" s="428">
        <v>0</v>
      </c>
      <c r="IZ7" s="428">
        <v>0</v>
      </c>
      <c r="JA7" s="428">
        <v>0</v>
      </c>
      <c r="JB7" s="428">
        <v>0</v>
      </c>
      <c r="JC7" s="428">
        <v>0</v>
      </c>
      <c r="JD7" s="428">
        <v>0</v>
      </c>
      <c r="JE7" s="428">
        <v>0</v>
      </c>
      <c r="JF7" s="428">
        <v>0</v>
      </c>
      <c r="JG7" s="428">
        <v>0</v>
      </c>
      <c r="JH7" s="428">
        <v>0</v>
      </c>
      <c r="JI7" s="428">
        <v>0</v>
      </c>
      <c r="JJ7" s="428">
        <v>0</v>
      </c>
      <c r="JK7" s="428">
        <v>0</v>
      </c>
      <c r="JL7" s="428">
        <v>0</v>
      </c>
    </row>
    <row r="8" spans="1:272" s="385" customFormat="1" ht="10.199999999999999" x14ac:dyDescent="0.25">
      <c r="C8" s="395" t="str">
        <f xml:space="preserve"> GrKx</f>
        <v>K_x</v>
      </c>
      <c r="D8" s="429" t="str">
        <f xml:space="preserve"> I15 &amp; IF( J12=0, "", " (" &amp; TEXT( J12, "+ 0,0 %;- 0,0 %; 0,0 %" ) &amp; ")" )</f>
        <v>Primo kompakt 2015</v>
      </c>
      <c r="E8" s="430"/>
      <c r="AN8" s="440">
        <f xml:space="preserve"> INDEX( $Z$20:$Z$120, MATCH( AN12, $A$20:$A$120, 0 ) )</f>
        <v>1.8541000000000001</v>
      </c>
      <c r="AO8" s="440">
        <f xml:space="preserve"> INDEX( $AD$20:$AD$120, MATCH( AO12, $A$20:$A$120, 0 ) )</f>
        <v>1.8763000000000001</v>
      </c>
      <c r="BT8" s="441"/>
      <c r="CH8" s="441"/>
      <c r="CN8" s="441"/>
      <c r="DP8" s="442"/>
      <c r="DQ8" s="442"/>
      <c r="DR8" s="442"/>
      <c r="DS8" s="443"/>
      <c r="DT8" s="420"/>
      <c r="DV8" s="444"/>
      <c r="DX8" s="445"/>
      <c r="DZ8" s="446"/>
      <c r="EA8" s="447"/>
      <c r="EB8" s="404"/>
      <c r="EC8" s="448"/>
      <c r="EE8" s="420"/>
      <c r="EI8" s="449"/>
      <c r="EJ8" s="420"/>
      <c r="ES8" s="450"/>
      <c r="ET8" s="450"/>
      <c r="EU8" s="450"/>
      <c r="EV8" s="450"/>
      <c r="EY8" s="450"/>
      <c r="EZ8" s="450"/>
      <c r="FA8" s="450"/>
      <c r="FO8" s="451" t="b">
        <f xml:space="preserve"> AND( FP8:JL8 )</f>
        <v>1</v>
      </c>
      <c r="FP8" s="428" t="b">
        <f t="shared" ref="FP8:GU8" si="7" xml:space="preserve"> IF(  FP18&gt;$FP$12,  LEER,  IF(  SUM(FP7)&lt;&gt;0,  FP5&lt;=FP6,  TRUE  )  )</f>
        <v>1</v>
      </c>
      <c r="FQ8" s="428" t="b">
        <f t="shared" si="7"/>
        <v>1</v>
      </c>
      <c r="FR8" s="428" t="b">
        <f t="shared" si="7"/>
        <v>1</v>
      </c>
      <c r="FS8" s="428" t="b">
        <f t="shared" si="7"/>
        <v>1</v>
      </c>
      <c r="FT8" s="428" t="b">
        <f t="shared" si="7"/>
        <v>1</v>
      </c>
      <c r="FU8" s="428" t="b">
        <f t="shared" si="7"/>
        <v>1</v>
      </c>
      <c r="FV8" s="428" t="b">
        <f t="shared" si="7"/>
        <v>1</v>
      </c>
      <c r="FW8" s="428" t="b">
        <f t="shared" si="7"/>
        <v>1</v>
      </c>
      <c r="FX8" s="428" t="b">
        <f t="shared" si="7"/>
        <v>1</v>
      </c>
      <c r="FY8" s="428" t="b">
        <f t="shared" si="7"/>
        <v>1</v>
      </c>
      <c r="FZ8" s="428" t="b">
        <f t="shared" si="7"/>
        <v>1</v>
      </c>
      <c r="GA8" s="428" t="b">
        <f t="shared" si="7"/>
        <v>1</v>
      </c>
      <c r="GB8" s="428" t="b">
        <f t="shared" si="7"/>
        <v>1</v>
      </c>
      <c r="GC8" s="428" t="b">
        <f t="shared" si="7"/>
        <v>1</v>
      </c>
      <c r="GD8" s="428" t="b">
        <f t="shared" si="7"/>
        <v>1</v>
      </c>
      <c r="GE8" s="428" t="b">
        <f t="shared" si="7"/>
        <v>1</v>
      </c>
      <c r="GF8" s="428" t="b">
        <f t="shared" si="7"/>
        <v>1</v>
      </c>
      <c r="GG8" s="428" t="b">
        <f t="shared" si="7"/>
        <v>1</v>
      </c>
      <c r="GH8" s="428" t="b">
        <f t="shared" si="7"/>
        <v>1</v>
      </c>
      <c r="GI8" s="428" t="b">
        <f t="shared" si="7"/>
        <v>1</v>
      </c>
      <c r="GJ8" s="428" t="b">
        <f t="shared" si="7"/>
        <v>1</v>
      </c>
      <c r="GK8" s="428" t="b">
        <f t="shared" si="7"/>
        <v>1</v>
      </c>
      <c r="GL8" s="428" t="b">
        <f t="shared" si="7"/>
        <v>1</v>
      </c>
      <c r="GM8" s="428" t="b">
        <f t="shared" si="7"/>
        <v>1</v>
      </c>
      <c r="GN8" s="428" t="b">
        <f t="shared" si="7"/>
        <v>1</v>
      </c>
      <c r="GO8" s="428" t="b">
        <f t="shared" si="7"/>
        <v>1</v>
      </c>
      <c r="GP8" s="428" t="b">
        <f t="shared" si="7"/>
        <v>1</v>
      </c>
      <c r="GQ8" s="428" t="b">
        <f t="shared" si="7"/>
        <v>1</v>
      </c>
      <c r="GR8" s="428" t="b">
        <f t="shared" si="7"/>
        <v>1</v>
      </c>
      <c r="GS8" s="428" t="b">
        <f t="shared" si="7"/>
        <v>1</v>
      </c>
      <c r="GT8" s="428" t="b">
        <f t="shared" si="7"/>
        <v>1</v>
      </c>
      <c r="GU8" s="428" t="b">
        <f t="shared" si="7"/>
        <v>1</v>
      </c>
      <c r="GV8" s="428" t="b">
        <f t="shared" ref="GV8:IA8" si="8" xml:space="preserve"> IF(  GV18&gt;$FP$12,  LEER,  IF(  SUM(GV7)&lt;&gt;0,  GV5&lt;=GV6,  TRUE  )  )</f>
        <v>1</v>
      </c>
      <c r="GW8" s="428" t="b">
        <f t="shared" si="8"/>
        <v>1</v>
      </c>
      <c r="GX8" s="428" t="b">
        <f t="shared" si="8"/>
        <v>1</v>
      </c>
      <c r="GY8" s="428" t="b">
        <f t="shared" si="8"/>
        <v>1</v>
      </c>
      <c r="GZ8" s="428" t="b">
        <f t="shared" si="8"/>
        <v>1</v>
      </c>
      <c r="HA8" s="428" t="b">
        <f t="shared" si="8"/>
        <v>1</v>
      </c>
      <c r="HB8" s="428" t="b">
        <f t="shared" si="8"/>
        <v>1</v>
      </c>
      <c r="HC8" s="428" t="b">
        <f t="shared" si="8"/>
        <v>1</v>
      </c>
      <c r="HD8" s="428" t="b">
        <f t="shared" si="8"/>
        <v>1</v>
      </c>
      <c r="HE8" s="428" t="b">
        <f t="shared" si="8"/>
        <v>1</v>
      </c>
      <c r="HF8" s="428" t="b">
        <f t="shared" si="8"/>
        <v>1</v>
      </c>
      <c r="HG8" s="428" t="b">
        <f t="shared" si="8"/>
        <v>1</v>
      </c>
      <c r="HH8" s="428" t="b">
        <f t="shared" si="8"/>
        <v>1</v>
      </c>
      <c r="HI8" s="428" t="b">
        <f t="shared" si="8"/>
        <v>1</v>
      </c>
      <c r="HJ8" s="428" t="b">
        <f t="shared" si="8"/>
        <v>1</v>
      </c>
      <c r="HK8" s="428" t="b">
        <f t="shared" si="8"/>
        <v>1</v>
      </c>
      <c r="HL8" s="428" t="b">
        <f t="shared" si="8"/>
        <v>1</v>
      </c>
      <c r="HM8" s="428" t="b">
        <f t="shared" si="8"/>
        <v>1</v>
      </c>
      <c r="HN8" s="428" t="b">
        <f t="shared" si="8"/>
        <v>1</v>
      </c>
      <c r="HO8" s="428" t="b">
        <f t="shared" si="8"/>
        <v>1</v>
      </c>
      <c r="HP8" s="428" t="b">
        <f t="shared" si="8"/>
        <v>1</v>
      </c>
      <c r="HQ8" s="428" t="b">
        <f t="shared" si="8"/>
        <v>1</v>
      </c>
      <c r="HR8" s="428" t="b">
        <f t="shared" si="8"/>
        <v>1</v>
      </c>
      <c r="HS8" s="428" t="b">
        <f t="shared" si="8"/>
        <v>1</v>
      </c>
      <c r="HT8" s="428" t="b">
        <f t="shared" si="8"/>
        <v>1</v>
      </c>
      <c r="HU8" s="428" t="b">
        <f t="shared" si="8"/>
        <v>1</v>
      </c>
      <c r="HV8" s="428" t="b">
        <f t="shared" si="8"/>
        <v>1</v>
      </c>
      <c r="HW8" s="428" t="b">
        <f t="shared" si="8"/>
        <v>1</v>
      </c>
      <c r="HX8" s="428" t="b">
        <f t="shared" si="8"/>
        <v>1</v>
      </c>
      <c r="HY8" s="428" t="b">
        <f t="shared" si="8"/>
        <v>1</v>
      </c>
      <c r="HZ8" s="428" t="b">
        <f t="shared" si="8"/>
        <v>1</v>
      </c>
      <c r="IA8" s="428" t="b">
        <f t="shared" si="8"/>
        <v>1</v>
      </c>
      <c r="IB8" s="428" t="b">
        <f t="shared" ref="IB8:JG8" si="9" xml:space="preserve"> IF(  IB18&gt;$FP$12,  LEER,  IF(  SUM(IB7)&lt;&gt;0,  IB5&lt;=IB6,  TRUE  )  )</f>
        <v>1</v>
      </c>
      <c r="IC8" s="428" t="b">
        <f t="shared" si="9"/>
        <v>1</v>
      </c>
      <c r="ID8" s="428" t="b">
        <f t="shared" si="9"/>
        <v>1</v>
      </c>
      <c r="IE8" s="428" t="b">
        <f t="shared" si="9"/>
        <v>1</v>
      </c>
      <c r="IF8" s="428" t="b">
        <f t="shared" si="9"/>
        <v>1</v>
      </c>
      <c r="IG8" s="428" t="b">
        <f t="shared" si="9"/>
        <v>1</v>
      </c>
      <c r="IH8" s="428" t="b">
        <f t="shared" si="9"/>
        <v>1</v>
      </c>
      <c r="II8" s="428" t="b">
        <f t="shared" si="9"/>
        <v>1</v>
      </c>
      <c r="IJ8" s="428" t="b">
        <f t="shared" si="9"/>
        <v>1</v>
      </c>
      <c r="IK8" s="428" t="b">
        <f t="shared" si="9"/>
        <v>1</v>
      </c>
      <c r="IL8" s="428" t="b">
        <f t="shared" si="9"/>
        <v>1</v>
      </c>
      <c r="IM8" s="428" t="b">
        <f t="shared" si="9"/>
        <v>1</v>
      </c>
      <c r="IN8" s="428" t="b">
        <f t="shared" si="9"/>
        <v>1</v>
      </c>
      <c r="IO8" s="428" t="b">
        <f t="shared" si="9"/>
        <v>1</v>
      </c>
      <c r="IP8" s="428" t="b">
        <f t="shared" si="9"/>
        <v>1</v>
      </c>
      <c r="IQ8" s="428" t="b">
        <f t="shared" si="9"/>
        <v>1</v>
      </c>
      <c r="IR8" s="428" t="b">
        <f t="shared" si="9"/>
        <v>1</v>
      </c>
      <c r="IS8" s="428" t="b">
        <f t="shared" si="9"/>
        <v>1</v>
      </c>
      <c r="IT8" s="428" t="b">
        <f t="shared" si="9"/>
        <v>1</v>
      </c>
      <c r="IU8" s="428" t="b">
        <f t="shared" si="9"/>
        <v>1</v>
      </c>
      <c r="IV8" s="428" t="b">
        <f t="shared" si="9"/>
        <v>1</v>
      </c>
      <c r="IW8" s="428" t="b">
        <f t="shared" si="9"/>
        <v>1</v>
      </c>
      <c r="IX8" s="428" t="b">
        <f t="shared" si="9"/>
        <v>1</v>
      </c>
      <c r="IY8" s="428" t="b">
        <f t="shared" si="9"/>
        <v>1</v>
      </c>
      <c r="IZ8" s="428" t="b">
        <f t="shared" si="9"/>
        <v>1</v>
      </c>
      <c r="JA8" s="428" t="b">
        <f t="shared" si="9"/>
        <v>1</v>
      </c>
      <c r="JB8" s="428" t="b">
        <f t="shared" si="9"/>
        <v>1</v>
      </c>
      <c r="JC8" s="428" t="str">
        <f t="shared" si="9"/>
        <v>.</v>
      </c>
      <c r="JD8" s="428" t="str">
        <f t="shared" si="9"/>
        <v>.</v>
      </c>
      <c r="JE8" s="428" t="str">
        <f t="shared" si="9"/>
        <v>.</v>
      </c>
      <c r="JF8" s="428" t="str">
        <f t="shared" si="9"/>
        <v>.</v>
      </c>
      <c r="JG8" s="428" t="str">
        <f t="shared" si="9"/>
        <v>.</v>
      </c>
      <c r="JH8" s="428" t="str">
        <f xml:space="preserve"> IF(  JH18&gt;$FP$12,  LEER,  IF(  SUM(JH7)&lt;&gt;0,  JH5&lt;=JH6,  TRUE  )  )</f>
        <v>.</v>
      </c>
      <c r="JI8" s="428" t="str">
        <f xml:space="preserve"> IF(  JI18&gt;$FP$12,  LEER,  IF(  SUM(JI7)&lt;&gt;0,  JI5&lt;=JI6,  TRUE  )  )</f>
        <v>.</v>
      </c>
      <c r="JJ8" s="428" t="str">
        <f xml:space="preserve"> IF(  JJ18&gt;$FP$12,  LEER,  IF(  SUM(JJ7)&lt;&gt;0,  JJ5&lt;=JJ6,  TRUE  )  )</f>
        <v>.</v>
      </c>
      <c r="JK8" s="428" t="str">
        <f xml:space="preserve"> IF(  JK18&gt;$FP$12,  LEER,  IF(  SUM(JK7)&lt;&gt;0,  JK5&lt;=JK6,  TRUE  )  )</f>
        <v>.</v>
      </c>
      <c r="JL8" s="428" t="str">
        <f xml:space="preserve"> IF(  JL18&gt;$FP$12,  LEER,  IF(  SUM(JL7)&lt;&gt;0,  JL5&lt;=JL6,  TRUE  )  )</f>
        <v>.</v>
      </c>
    </row>
    <row r="9" spans="1:272" s="385" customFormat="1" ht="10.199999999999999" x14ac:dyDescent="0.25">
      <c r="C9" s="395" t="str">
        <f xml:space="preserve"> SML</f>
        <v>SML</v>
      </c>
      <c r="D9" s="452" t="str">
        <f xml:space="preserve"> INDEX( Auswahl_vSK, $D$1 )</f>
        <v/>
      </c>
      <c r="E9" s="453"/>
      <c r="O9" s="401" t="str">
        <f xml:space="preserve"> xalpha</f>
        <v>x_α</v>
      </c>
      <c r="R9" s="401" t="str">
        <f xml:space="preserve"> xalpha</f>
        <v>x_α</v>
      </c>
      <c r="BT9" s="391"/>
      <c r="DX9" s="454"/>
      <c r="DZ9" s="455"/>
      <c r="EA9" s="455"/>
      <c r="EB9" s="455"/>
      <c r="EC9" s="455"/>
      <c r="EI9" s="455"/>
      <c r="ES9" s="456"/>
      <c r="ET9" s="456"/>
      <c r="EU9" s="456"/>
      <c r="EY9" s="457"/>
      <c r="EZ9" s="457"/>
    </row>
    <row r="10" spans="1:272" s="385" customFormat="1" ht="10.199999999999999" x14ac:dyDescent="0.2">
      <c r="C10" s="395" t="str">
        <f xml:space="preserve"> xKM</f>
        <v>x_KM</v>
      </c>
      <c r="D10" s="458">
        <f xml:space="preserve"> IF( H12&gt;O12, LEER, H12 )</f>
        <v>70</v>
      </c>
      <c r="E10" s="459"/>
      <c r="F10" s="460"/>
      <c r="G10" s="460"/>
      <c r="H10" s="461" t="b">
        <f xml:space="preserve"> INDEX( Auswahl_KSMaximierung, $D$1 )</f>
        <v>1</v>
      </c>
      <c r="I10" s="461" t="b">
        <f xml:space="preserve"> INDEX( Auswahl_KSNormierung, $D$1 )</f>
        <v>1</v>
      </c>
      <c r="J10" s="460"/>
      <c r="K10" s="460"/>
      <c r="L10" s="460"/>
      <c r="M10" s="460"/>
      <c r="O10" s="408">
        <f xml:space="preserve">  INDEX( Auswahl_xalpha, $D$1 )</f>
        <v>20</v>
      </c>
      <c r="R10" s="408">
        <f xml:space="preserve">  INDEX( Auswahl_xalpha, $D$1 )</f>
        <v>20</v>
      </c>
      <c r="BR10" s="462"/>
      <c r="BS10" s="462"/>
      <c r="BT10" s="462"/>
      <c r="BU10" s="462"/>
      <c r="BV10" s="462"/>
      <c r="BW10" s="462"/>
      <c r="BX10" s="462"/>
      <c r="CB10" s="462"/>
      <c r="CC10" s="463"/>
      <c r="CD10" s="463"/>
      <c r="CE10" s="463"/>
      <c r="CF10" s="463"/>
      <c r="CH10" s="462"/>
      <c r="CI10" s="462"/>
      <c r="CJ10" s="462"/>
      <c r="CK10" s="462"/>
      <c r="CL10" s="462"/>
      <c r="CN10" s="462"/>
      <c r="CO10" s="462"/>
      <c r="CP10" s="462"/>
      <c r="CQ10" s="462"/>
      <c r="CR10" s="462"/>
      <c r="DZ10" s="455"/>
      <c r="EA10" s="455"/>
      <c r="EB10" s="455"/>
      <c r="EC10" s="455"/>
      <c r="EI10" s="455"/>
    </row>
    <row r="11" spans="1:272" s="385" customFormat="1" ht="10.199999999999999" x14ac:dyDescent="0.25">
      <c r="C11" s="395" t="str">
        <f xml:space="preserve"> Delta</f>
        <v>Δ_js</v>
      </c>
      <c r="D11" s="464" t="str">
        <f xml:space="preserve"> TEXT( M15, "0,0 %") &amp; IF( M15=M16, "", " / " &amp; TEXT( M16, "0,0 %" ) )</f>
        <v>8,6 %</v>
      </c>
      <c r="E11" s="465"/>
      <c r="F11" s="466" t="str">
        <f xml:space="preserve"> xJ</f>
        <v>x_J</v>
      </c>
      <c r="G11" s="460"/>
      <c r="H11" s="401" t="str">
        <f xml:space="preserve"> xKM</f>
        <v>x_KM</v>
      </c>
      <c r="I11" s="401" t="str">
        <f xml:space="preserve"> xN</f>
        <v>x_N</v>
      </c>
      <c r="J11" s="401" t="str">
        <f xml:space="preserve"> Erhöhung</f>
        <v>Erhöhung</v>
      </c>
      <c r="K11" s="460"/>
      <c r="L11" s="401" t="str">
        <f xml:space="preserve"> xs</f>
        <v>x_s</v>
      </c>
      <c r="M11" s="401" t="str">
        <f xml:space="preserve"> xs</f>
        <v>x_s</v>
      </c>
      <c r="O11" s="401" t="str">
        <f xml:space="preserve"> xomega</f>
        <v>x_ω</v>
      </c>
      <c r="R11" s="401" t="str">
        <f xml:space="preserve"> l_xalpha</f>
        <v>l_x_α</v>
      </c>
      <c r="S11" s="431" t="str">
        <f xml:space="preserve"> r_</f>
        <v>r</v>
      </c>
      <c r="AB11" s="431" t="str">
        <f xml:space="preserve"> xr</f>
        <v>x_r</v>
      </c>
      <c r="AC11" s="431" t="str">
        <f xml:space="preserve"> xs</f>
        <v>x_s</v>
      </c>
      <c r="AF11" s="467" t="str">
        <f xml:space="preserve"> INDEX( Auswahl_Beitragsmonotonisierung, $D$1 )</f>
        <v>ja</v>
      </c>
      <c r="AN11" s="431" t="str">
        <f xml:space="preserve"> ARx</f>
        <v>x_0</v>
      </c>
      <c r="AO11" s="431" t="str">
        <f xml:space="preserve"> ARx</f>
        <v>x_0</v>
      </c>
      <c r="BR11" s="359"/>
      <c r="BS11" s="359"/>
      <c r="BT11" s="359"/>
      <c r="BU11" s="359"/>
      <c r="BV11" s="359"/>
      <c r="BW11" s="359"/>
      <c r="BX11" s="359"/>
      <c r="CB11" s="431"/>
      <c r="CC11" s="431"/>
      <c r="CD11" s="431"/>
      <c r="CE11" s="431"/>
      <c r="CF11" s="431"/>
      <c r="CH11" s="359"/>
      <c r="CI11" s="359"/>
      <c r="CJ11" s="359"/>
      <c r="CK11" s="359"/>
      <c r="CL11" s="359"/>
      <c r="CN11" s="359"/>
      <c r="CO11" s="359"/>
      <c r="CP11" s="359"/>
      <c r="CQ11" s="359"/>
      <c r="CR11" s="359"/>
      <c r="DP11" s="437"/>
      <c r="DQ11" s="437"/>
      <c r="DR11" s="437"/>
      <c r="DV11" s="437"/>
      <c r="DZ11" s="437"/>
      <c r="EA11" s="437"/>
      <c r="EB11" s="437"/>
      <c r="EC11" s="437"/>
      <c r="EI11" s="437"/>
      <c r="EJ11" s="455"/>
      <c r="EL11" s="437"/>
      <c r="ES11" s="468"/>
      <c r="ET11" s="450"/>
      <c r="EU11" s="450"/>
      <c r="EV11" s="468"/>
      <c r="EY11" s="457"/>
      <c r="EZ11" s="457"/>
      <c r="FA11" s="457"/>
      <c r="FO11" s="389"/>
      <c r="FP11" s="397" t="str">
        <f xml:space="preserve"> xomega</f>
        <v>x_ω</v>
      </c>
      <c r="FQ11" s="389"/>
      <c r="FR11" s="389"/>
      <c r="FS11" s="389"/>
      <c r="FT11" s="389"/>
      <c r="FU11" s="389"/>
      <c r="FV11" s="389"/>
      <c r="FW11" s="389"/>
      <c r="FX11" s="389"/>
      <c r="FY11" s="389"/>
      <c r="FZ11" s="389"/>
      <c r="GA11" s="389"/>
      <c r="GB11" s="389"/>
      <c r="GC11" s="389"/>
      <c r="GD11" s="389"/>
      <c r="GE11" s="389"/>
      <c r="GF11" s="389"/>
      <c r="GG11" s="389"/>
      <c r="GH11" s="389"/>
      <c r="GI11" s="389"/>
      <c r="GJ11" s="389"/>
      <c r="GK11" s="389"/>
      <c r="GL11" s="389"/>
      <c r="GM11" s="389"/>
      <c r="GN11" s="389"/>
      <c r="GO11" s="389"/>
      <c r="GP11" s="389"/>
      <c r="GQ11" s="389"/>
      <c r="GR11" s="389"/>
      <c r="GS11" s="389"/>
      <c r="GT11" s="389"/>
      <c r="GU11" s="389"/>
      <c r="GV11" s="389"/>
      <c r="GW11" s="389"/>
      <c r="GX11" s="389"/>
      <c r="GY11" s="389"/>
      <c r="GZ11" s="389"/>
      <c r="HA11" s="389"/>
      <c r="HB11" s="389"/>
      <c r="HC11" s="389"/>
      <c r="HD11" s="389"/>
      <c r="HE11" s="389"/>
      <c r="HF11" s="389"/>
      <c r="HG11" s="389"/>
      <c r="HH11" s="389"/>
      <c r="HI11" s="389"/>
      <c r="HJ11" s="389"/>
      <c r="HK11" s="389"/>
      <c r="HL11" s="389"/>
      <c r="HM11" s="389"/>
      <c r="HN11" s="389"/>
      <c r="HO11" s="389"/>
      <c r="HP11" s="389"/>
      <c r="HQ11" s="389"/>
      <c r="HR11" s="389"/>
      <c r="HS11" s="389"/>
      <c r="HT11" s="389"/>
      <c r="HU11" s="389"/>
      <c r="HV11" s="389"/>
      <c r="HW11" s="389"/>
      <c r="HX11" s="389"/>
      <c r="HY11" s="389"/>
      <c r="HZ11" s="389"/>
      <c r="IA11" s="389"/>
      <c r="IB11" s="389"/>
      <c r="IC11" s="389"/>
      <c r="ID11" s="389"/>
      <c r="IE11" s="389"/>
      <c r="IF11" s="389"/>
      <c r="IG11" s="389"/>
      <c r="IH11" s="389"/>
      <c r="II11" s="389"/>
      <c r="IJ11" s="389"/>
      <c r="IK11" s="389"/>
      <c r="IL11" s="389"/>
      <c r="IM11" s="389"/>
      <c r="IN11" s="389"/>
      <c r="IO11" s="389"/>
      <c r="IP11" s="389"/>
      <c r="IQ11" s="389"/>
      <c r="IR11" s="389"/>
      <c r="IS11" s="389"/>
      <c r="IT11" s="389"/>
      <c r="IU11" s="389"/>
      <c r="IV11" s="389"/>
      <c r="IW11" s="389"/>
      <c r="IX11" s="389"/>
      <c r="IY11" s="389"/>
      <c r="IZ11" s="389"/>
      <c r="JA11" s="389"/>
      <c r="JB11" s="389"/>
      <c r="JC11" s="389"/>
      <c r="JD11" s="389"/>
      <c r="JE11" s="389"/>
      <c r="JF11" s="389"/>
      <c r="JG11" s="389"/>
      <c r="JH11" s="389"/>
      <c r="JI11" s="389"/>
      <c r="JJ11" s="389"/>
      <c r="JK11" s="389"/>
      <c r="JL11" s="389"/>
    </row>
    <row r="12" spans="1:272" s="469" customFormat="1" ht="10.199999999999999" x14ac:dyDescent="0.25">
      <c r="C12" s="395" t="str">
        <f xml:space="preserve"> IF(  INDEX( Auswahl_Kostensatz, $D$1 ) = Kostensatzdynam,  DeltaTilde,  GrGamma )</f>
        <v>Γ_js</v>
      </c>
      <c r="D12" s="464" t="str">
        <f xml:space="preserve"> C12 &amp; ": " &amp; IF(  INDEX( Auswahl_Kostensatz, $D$1 ) = Kostensatzohne,     "ohne",
                          IF( INDEX( Auswahl_Kostensatz, $D$1 )  = Kostensatzdynam,  TEXT( L15, "0,0 %" ) &amp; IF( L15=L16, "", " / " &amp; TEXT( L16, "0,0 %" )           ),
                                                                                                                                                  TEXT( L2,  "0" )          &amp; IF( L2=L3,     "", " / " &amp; TEXT( L3,   "0" )  &amp; " Euro" )        ) )</f>
        <v>Γ_js: 802 / 679 Euro</v>
      </c>
      <c r="E12" s="465"/>
      <c r="F12" s="408">
        <f xml:space="preserve"> INDEX( Auswahl_xJ, $D$1 )</f>
        <v>15</v>
      </c>
      <c r="G12" s="470"/>
      <c r="H12" s="408">
        <f xml:space="preserve"> IF(  H10,  MIN( $D$4, INDEX( Auswahl_xKM, $D$1 ) ),  LEER  )</f>
        <v>70</v>
      </c>
      <c r="I12" s="408">
        <f xml:space="preserve"> IF(  I10,  MIN( D4, INDEX( Auswahl_xN, $D$1 ) ),  LEER  )</f>
        <v>40</v>
      </c>
      <c r="J12" s="471">
        <f xml:space="preserve"> INDEX( Auswahl_KSErhoehung, $D$1 )</f>
        <v>0</v>
      </c>
      <c r="K12" s="470"/>
      <c r="L12" s="408">
        <f xml:space="preserve"> INDEX( Auswahl_xsen, $D$1 )</f>
        <v>65</v>
      </c>
      <c r="M12" s="408">
        <f xml:space="preserve"> INDEX( Auswahl_xsen, $D$1 )</f>
        <v>65</v>
      </c>
      <c r="O12" s="408">
        <f xml:space="preserve">  INDEX( Auswahl_xomega, $D$1 )</f>
        <v>110</v>
      </c>
      <c r="P12" s="385"/>
      <c r="Q12" s="385"/>
      <c r="R12" s="472">
        <f xml:space="preserve"> INDEX( Auswahl_lxalpha, $D$1 )</f>
        <v>5000000</v>
      </c>
      <c r="S12" s="473">
        <f xml:space="preserve"> INDEX( Auswahl_r, $D$1 )</f>
        <v>2.5000000000000001E-2</v>
      </c>
      <c r="U12" s="385"/>
      <c r="V12" s="385"/>
      <c r="W12" s="385"/>
      <c r="X12" s="385"/>
      <c r="Y12" s="385"/>
      <c r="Z12" s="385"/>
      <c r="AA12" s="385"/>
      <c r="AB12" s="474">
        <f xml:space="preserve"> INDEX( Auswahl_xr, $D$1 )</f>
        <v>40</v>
      </c>
      <c r="AC12" s="474">
        <f xml:space="preserve"> INDEX( Auswahl_xsen, $D$1 )</f>
        <v>65</v>
      </c>
      <c r="AD12" s="385"/>
      <c r="AE12" s="385"/>
      <c r="AF12" s="475" t="b">
        <f xml:space="preserve"> UPPER(AF11)="JA"</f>
        <v>1</v>
      </c>
      <c r="AN12" s="474">
        <f xml:space="preserve"> INDEX( Auswahl_ARx, $D$1 )</f>
        <v>35</v>
      </c>
      <c r="AO12" s="474">
        <f xml:space="preserve"> INDEX( Auswahl_ARx, $D$1 )</f>
        <v>35</v>
      </c>
      <c r="BC12" s="385"/>
      <c r="BD12" s="385"/>
      <c r="BR12" s="476"/>
      <c r="BS12" s="476"/>
      <c r="BT12" s="476"/>
      <c r="BU12" s="476"/>
      <c r="BV12" s="476"/>
      <c r="BW12" s="476"/>
      <c r="BX12" s="476"/>
      <c r="CB12" s="474"/>
      <c r="CC12" s="474"/>
      <c r="CD12" s="474"/>
      <c r="CE12" s="474"/>
      <c r="CF12" s="474"/>
      <c r="CH12" s="476"/>
      <c r="CI12" s="476"/>
      <c r="CJ12" s="476"/>
      <c r="CK12" s="476"/>
      <c r="CL12" s="476"/>
      <c r="CN12" s="476"/>
      <c r="CO12" s="476"/>
      <c r="CP12" s="476"/>
      <c r="CQ12" s="476"/>
      <c r="CR12" s="476"/>
      <c r="DP12" s="477"/>
      <c r="DQ12" s="477"/>
      <c r="DR12" s="477"/>
      <c r="DV12" s="477"/>
      <c r="DZ12" s="477"/>
      <c r="EA12" s="477"/>
      <c r="EB12" s="477"/>
      <c r="EC12" s="477"/>
      <c r="ED12" s="385"/>
      <c r="EE12" s="385"/>
      <c r="EI12" s="477"/>
      <c r="EJ12" s="478"/>
      <c r="EL12" s="477"/>
      <c r="FO12" s="479"/>
      <c r="FP12" s="480">
        <f xml:space="preserve"> INDEX( Auswahl_xomega, $D$1 )</f>
        <v>110</v>
      </c>
      <c r="FQ12" s="479"/>
      <c r="FR12" s="479"/>
      <c r="FS12" s="479"/>
      <c r="FT12" s="479"/>
      <c r="FU12" s="479"/>
      <c r="FV12" s="479"/>
      <c r="FW12" s="479"/>
      <c r="FX12" s="479"/>
      <c r="FY12" s="479"/>
      <c r="FZ12" s="479"/>
      <c r="GA12" s="479"/>
      <c r="GB12" s="479"/>
      <c r="GC12" s="479"/>
      <c r="GD12" s="479"/>
      <c r="GE12" s="479"/>
      <c r="GF12" s="479"/>
      <c r="GG12" s="479"/>
      <c r="GH12" s="479"/>
      <c r="GI12" s="479"/>
      <c r="GJ12" s="479"/>
      <c r="GK12" s="479"/>
      <c r="GL12" s="479"/>
      <c r="GM12" s="479"/>
      <c r="GN12" s="479"/>
      <c r="GO12" s="479"/>
      <c r="GP12" s="479"/>
      <c r="GQ12" s="479"/>
      <c r="GR12" s="479"/>
      <c r="GS12" s="479"/>
      <c r="GT12" s="479"/>
      <c r="GU12" s="479"/>
      <c r="GV12" s="479"/>
      <c r="GW12" s="479"/>
      <c r="GX12" s="479"/>
      <c r="GY12" s="479"/>
      <c r="GZ12" s="479"/>
      <c r="HA12" s="479"/>
      <c r="HB12" s="479"/>
      <c r="HC12" s="479"/>
      <c r="HD12" s="479"/>
      <c r="HE12" s="479"/>
      <c r="HF12" s="479"/>
      <c r="HG12" s="479"/>
      <c r="HH12" s="479"/>
      <c r="HI12" s="479"/>
      <c r="HJ12" s="479"/>
      <c r="HK12" s="479"/>
      <c r="HL12" s="479"/>
      <c r="HM12" s="479"/>
      <c r="HN12" s="479"/>
      <c r="HO12" s="479"/>
      <c r="HP12" s="479"/>
      <c r="HQ12" s="479"/>
      <c r="HR12" s="479"/>
      <c r="HS12" s="479"/>
      <c r="HT12" s="479"/>
      <c r="HU12" s="479"/>
      <c r="HV12" s="479"/>
      <c r="HW12" s="479"/>
      <c r="HX12" s="479"/>
      <c r="HY12" s="479"/>
      <c r="HZ12" s="479"/>
      <c r="IA12" s="479"/>
      <c r="IB12" s="479"/>
      <c r="IC12" s="479"/>
      <c r="ID12" s="479"/>
      <c r="IE12" s="479"/>
      <c r="IF12" s="479"/>
      <c r="IG12" s="479"/>
      <c r="IH12" s="479"/>
      <c r="II12" s="479"/>
      <c r="IJ12" s="479"/>
      <c r="IK12" s="479"/>
      <c r="IL12" s="479"/>
      <c r="IM12" s="479"/>
      <c r="IN12" s="479"/>
      <c r="IO12" s="479"/>
      <c r="IP12" s="479"/>
      <c r="IQ12" s="479"/>
      <c r="IR12" s="479"/>
      <c r="IS12" s="479"/>
      <c r="IT12" s="479"/>
      <c r="IU12" s="479"/>
      <c r="IV12" s="479"/>
      <c r="IW12" s="479"/>
      <c r="IX12" s="479"/>
      <c r="IY12" s="479"/>
      <c r="IZ12" s="479"/>
      <c r="JA12" s="479"/>
      <c r="JB12" s="479"/>
      <c r="JC12" s="479"/>
      <c r="JD12" s="479"/>
      <c r="JE12" s="479"/>
      <c r="JF12" s="479"/>
      <c r="JG12" s="479"/>
      <c r="JH12" s="479"/>
      <c r="JI12" s="479"/>
      <c r="JJ12" s="479"/>
      <c r="JK12" s="479"/>
      <c r="JL12" s="479"/>
    </row>
    <row r="13" spans="1:272" s="385" customFormat="1" ht="10.199999999999999" x14ac:dyDescent="0.25">
      <c r="C13" s="395" t="s">
        <v>28</v>
      </c>
      <c r="D13" s="481" t="str">
        <f xml:space="preserve"> K15 &amp; " MB" &amp; IF( K15&lt;&gt;0, " (ab " &amp; K18 &amp; " abzgl. " &amp; K16 &amp; " MB)", "" )</f>
        <v>2 MB (ab 70 abzgl. 0,5 MB)</v>
      </c>
      <c r="E13" s="482"/>
      <c r="F13" s="451" t="b">
        <f xml:space="preserve"> FO8</f>
        <v>1</v>
      </c>
      <c r="G13" s="483"/>
      <c r="H13" s="483"/>
      <c r="I13" s="483"/>
      <c r="J13" s="390">
        <f xml:space="preserve"> IF( $B$17, G_Rd, nix_Rd )</f>
        <v>2</v>
      </c>
      <c r="K13" s="483"/>
      <c r="L13" s="483"/>
      <c r="M13" s="483"/>
      <c r="O13" s="484"/>
      <c r="P13" s="484"/>
      <c r="Q13" s="484"/>
      <c r="R13" s="484"/>
      <c r="S13" s="484"/>
      <c r="T13" s="484"/>
      <c r="U13" s="484"/>
      <c r="V13" s="484"/>
      <c r="W13" s="484"/>
      <c r="X13" s="484"/>
      <c r="Y13" s="484"/>
      <c r="Z13" s="484"/>
      <c r="AA13" s="484"/>
      <c r="AC13" s="484"/>
      <c r="AD13" s="484"/>
      <c r="AE13" s="484"/>
      <c r="AF13" s="484"/>
      <c r="AJ13" s="484"/>
      <c r="AK13" s="484"/>
      <c r="AR13" s="431" t="str">
        <f xml:space="preserve"> lambdax</f>
        <v>λ_x</v>
      </c>
      <c r="AS13" s="431" t="str">
        <f xml:space="preserve"> BE_M_</f>
        <v>M</v>
      </c>
      <c r="AT13" s="431" t="s">
        <v>1</v>
      </c>
      <c r="AU13" s="431"/>
      <c r="AV13" s="485" t="str">
        <f xml:space="preserve"> $AR13 &amp; "^" &amp; AV14</f>
        <v>λ_x^q_x</v>
      </c>
      <c r="AW13" s="486" t="str">
        <f xml:space="preserve"> BE_MF_</f>
        <v>MF</v>
      </c>
      <c r="AX13" s="431" t="str">
        <f xml:space="preserve"> BE_M_</f>
        <v>M</v>
      </c>
      <c r="AY13" s="431" t="s">
        <v>1</v>
      </c>
      <c r="AZ13" s="431"/>
      <c r="BA13" s="485" t="str">
        <f xml:space="preserve"> $AR13 &amp; "^" &amp; BA14</f>
        <v>λ_x^w_x</v>
      </c>
      <c r="BB13" s="486" t="str">
        <f xml:space="preserve"> BE_MF_</f>
        <v>MF</v>
      </c>
      <c r="BC13" s="431" t="str">
        <f xml:space="preserve"> BE_M_ &amp; " " &amp; SML_mSML</f>
        <v>M mSML</v>
      </c>
      <c r="BD13" s="431" t="str">
        <f xml:space="preserve"> BE_F_ &amp; " " &amp; SML_mSML</f>
        <v>F mSML</v>
      </c>
      <c r="BE13" s="431"/>
      <c r="BF13" s="485" t="str">
        <f xml:space="preserve"> $AR13 &amp; "^" &amp; BF14</f>
        <v>λ_x^K_x</v>
      </c>
      <c r="BG13" s="486" t="str">
        <f xml:space="preserve"> BE_MF_</f>
        <v>MF</v>
      </c>
      <c r="BR13" s="487"/>
      <c r="BT13" s="391"/>
      <c r="BU13" s="488"/>
      <c r="BW13" s="431"/>
      <c r="DZ13" s="489"/>
      <c r="EI13" s="455"/>
      <c r="EJ13" s="455"/>
    </row>
    <row r="14" spans="1:272" s="385" customFormat="1" ht="14.25" customHeight="1" x14ac:dyDescent="0.2">
      <c r="A14" s="490" t="str">
        <f xml:space="preserve"> x</f>
        <v>x</v>
      </c>
      <c r="C14" s="388"/>
      <c r="D14" s="388"/>
      <c r="E14" s="388"/>
      <c r="F14" s="401" t="str">
        <f xml:space="preserve"> qx</f>
        <v>q_x</v>
      </c>
      <c r="G14" s="401" t="str">
        <f xml:space="preserve"> wx</f>
        <v>w_x</v>
      </c>
      <c r="H14" s="401" t="str">
        <f xml:space="preserve"> GrKx &amp; quer</f>
        <v>K_x^quer</v>
      </c>
      <c r="I14" s="401" t="str">
        <f xml:space="preserve"> GrKx</f>
        <v>K_x</v>
      </c>
      <c r="J14" s="401" t="str">
        <f xml:space="preserve"> klkx</f>
        <v>k_x</v>
      </c>
      <c r="K14" s="401" t="str">
        <f xml:space="preserve"> alphaZx</f>
        <v>α^Z_x</v>
      </c>
      <c r="L14" s="401" t="str">
        <f xml:space="preserve"> DeltaTilde</f>
        <v>Δ~^r_js</v>
      </c>
      <c r="M14" s="401" t="str">
        <f xml:space="preserve"> Delta</f>
        <v>Δ_js</v>
      </c>
      <c r="O14" s="431" t="str">
        <f xml:space="preserve"> xrel</f>
        <v>Berechnungsalter</v>
      </c>
      <c r="P14" s="431" t="str">
        <f xml:space="preserve"> sx</f>
        <v>s_x</v>
      </c>
      <c r="Q14" s="431" t="str">
        <f xml:space="preserve"> sx_1</f>
        <v>1 - s_x</v>
      </c>
      <c r="R14" s="431" t="str">
        <f xml:space="preserve"> lx</f>
        <v>l_x</v>
      </c>
      <c r="S14" s="431" t="str">
        <f xml:space="preserve"> v</f>
        <v>v</v>
      </c>
      <c r="T14" s="431" t="str">
        <f xml:space="preserve"> Dx</f>
        <v>D_x</v>
      </c>
      <c r="U14" s="431" t="str">
        <f xml:space="preserve"> Nx</f>
        <v>N_x</v>
      </c>
      <c r="V14" s="431" t="str">
        <f xml:space="preserve"> klax</f>
        <v>a_x</v>
      </c>
      <c r="W14" s="431" t="str">
        <f xml:space="preserve"> Ox</f>
        <v>O_x</v>
      </c>
      <c r="X14" s="431" t="str">
        <f xml:space="preserve"> Ux</f>
        <v>U_x</v>
      </c>
      <c r="Y14" s="431" t="str">
        <f xml:space="preserve"> GrAx</f>
        <v>GrA_x</v>
      </c>
      <c r="Z14" s="431" t="str">
        <f xml:space="preserve"> px</f>
        <v>p_x</v>
      </c>
      <c r="AA14" s="431" t="str">
        <f xml:space="preserve"> zx</f>
        <v>z_x</v>
      </c>
      <c r="AB14" s="431" t="str">
        <f xml:space="preserve"> br</f>
        <v>b^r_js</v>
      </c>
      <c r="AC14" s="431" t="str">
        <f xml:space="preserve"> klgamma</f>
        <v>γ_js</v>
      </c>
      <c r="AD14" s="431" t="str">
        <f xml:space="preserve"> pZx</f>
        <v>z°p_x</v>
      </c>
      <c r="AE14" s="431" t="str">
        <f xml:space="preserve"> klbZx</f>
        <v>b°Z_x</v>
      </c>
      <c r="AF14" s="574" t="str">
        <f xml:space="preserve"> Beitragsmonotonisierung</f>
        <v>Beitrags-Monotonisierung</v>
      </c>
      <c r="AG14" s="574"/>
      <c r="AH14" s="431" t="str">
        <f xml:space="preserve"> Meldung</f>
        <v>Meldung</v>
      </c>
      <c r="AI14" s="431" t="str">
        <f xml:space="preserve"> G</f>
        <v>G</v>
      </c>
      <c r="AJ14" s="431" t="str">
        <f xml:space="preserve"> GrBZx</f>
        <v>B°Z_x</v>
      </c>
      <c r="AK14" s="431" t="str">
        <f xml:space="preserve"> GrBTildeZx</f>
        <v>B~°Z_x</v>
      </c>
      <c r="AN14" s="431" t="str">
        <f xml:space="preserve"> SUBSTITUTE( GrV_x_xplusm, "x", AN12 )</f>
        <v>V_35;35+m</v>
      </c>
      <c r="AO14" s="431" t="str">
        <f xml:space="preserve"> SUBSTITUTE( GrVZ_x_xplusm, "x", AO12 )</f>
        <v>V^Z_35;35+m</v>
      </c>
      <c r="AR14" s="431" t="str">
        <f xml:space="preserve"> GrKx</f>
        <v>K_x</v>
      </c>
      <c r="AS14" s="431" t="str">
        <f xml:space="preserve"> qx</f>
        <v>q_x</v>
      </c>
      <c r="AT14" s="431" t="str">
        <f xml:space="preserve"> qx</f>
        <v>q_x</v>
      </c>
      <c r="AU14" s="431" t="str">
        <f xml:space="preserve"> qx</f>
        <v>q_x</v>
      </c>
      <c r="AV14" s="431" t="str">
        <f xml:space="preserve"> qx</f>
        <v>q_x</v>
      </c>
      <c r="AW14" s="486" t="str">
        <f xml:space="preserve"> qx</f>
        <v>q_x</v>
      </c>
      <c r="AX14" s="431" t="str">
        <f xml:space="preserve"> wx</f>
        <v>w_x</v>
      </c>
      <c r="AY14" s="431" t="str">
        <f xml:space="preserve"> wx</f>
        <v>w_x</v>
      </c>
      <c r="AZ14" s="431" t="str">
        <f xml:space="preserve"> wx</f>
        <v>w_x</v>
      </c>
      <c r="BA14" s="431" t="str">
        <f xml:space="preserve"> wx</f>
        <v>w_x</v>
      </c>
      <c r="BB14" s="486" t="str">
        <f xml:space="preserve"> wx</f>
        <v>w_x</v>
      </c>
      <c r="BC14" s="431" t="str">
        <f xml:space="preserve"> GrKx</f>
        <v>K_x</v>
      </c>
      <c r="BD14" s="431" t="str">
        <f xml:space="preserve"> GrKx</f>
        <v>K_x</v>
      </c>
      <c r="BE14" s="431" t="str">
        <f xml:space="preserve"> GrKx</f>
        <v>K_x</v>
      </c>
      <c r="BF14" s="431" t="str">
        <f xml:space="preserve"> GrKx</f>
        <v>K_x</v>
      </c>
      <c r="BG14" s="486" t="str">
        <f xml:space="preserve"> GrKx</f>
        <v>K_x</v>
      </c>
      <c r="BR14" s="491"/>
      <c r="BS14" s="491"/>
      <c r="BT14" s="491"/>
      <c r="BU14" s="491"/>
      <c r="BV14" s="491"/>
      <c r="BW14" s="575"/>
      <c r="BX14" s="492"/>
      <c r="CB14" s="359"/>
      <c r="CC14" s="359"/>
      <c r="CD14" s="359"/>
      <c r="CE14" s="359"/>
      <c r="CF14" s="359"/>
      <c r="CH14" s="359"/>
      <c r="CI14" s="359"/>
      <c r="CJ14" s="359"/>
      <c r="CK14" s="359"/>
      <c r="CL14" s="359"/>
      <c r="CN14" s="359"/>
      <c r="CO14" s="359"/>
      <c r="CP14" s="359"/>
      <c r="CQ14" s="359"/>
      <c r="CR14" s="359"/>
      <c r="DX14" s="323"/>
      <c r="EI14" s="415"/>
      <c r="EJ14" s="415"/>
      <c r="EK14" s="359"/>
      <c r="EL14" s="415"/>
      <c r="ES14" s="431"/>
      <c r="ET14" s="431"/>
      <c r="EU14" s="431"/>
      <c r="EY14" s="431"/>
      <c r="EZ14" s="431"/>
      <c r="FL14" s="493" t="str">
        <f xml:space="preserve"> Y14</f>
        <v>GrA_x</v>
      </c>
      <c r="FM14" s="493" t="str">
        <f xml:space="preserve"> V14</f>
        <v>a_x</v>
      </c>
    </row>
    <row r="15" spans="1:272" s="494" customFormat="1" ht="30.6" x14ac:dyDescent="0.2">
      <c r="A15" s="394" t="str">
        <f xml:space="preserve"> INDEX( Auswahl_Geschl_, $D$1 )</f>
        <v>MF</v>
      </c>
      <c r="C15" s="495"/>
      <c r="D15" s="495"/>
      <c r="E15" s="495"/>
      <c r="F15" s="461" t="str">
        <f xml:space="preserve"> INDEX( Auswahl_qx, $D$1 )</f>
        <v>PKV 2017</v>
      </c>
      <c r="G15" s="461" t="str">
        <f xml:space="preserve"> INDEX( Auswahl_wx, $D$1 )</f>
        <v>Sto BaFin N 2015</v>
      </c>
      <c r="H15" s="461" t="str">
        <f xml:space="preserve"> INDEX( Auswahl_KS, $D$1 )</f>
        <v>Primo kompakt 2015</v>
      </c>
      <c r="I15" s="496" t="str">
        <f xml:space="preserve"> H15</f>
        <v>Primo kompakt 2015</v>
      </c>
      <c r="J15" s="461" t="str">
        <f xml:space="preserve"> I15</f>
        <v>Primo kompakt 2015</v>
      </c>
      <c r="K15" s="497">
        <f xml:space="preserve"> INDEX( Auswahl_alphaZMB, $D$1 )</f>
        <v>2</v>
      </c>
      <c r="L15" s="498">
        <f xml:space="preserve"> INDEX( Auswahl_DeltaTildejun, $D$1 )</f>
        <v>0</v>
      </c>
      <c r="M15" s="498">
        <f xml:space="preserve"> INDEX( Auswahl_Deltajun, $D$1 )</f>
        <v>8.6000000000000007E-2</v>
      </c>
      <c r="AH15" s="499" t="str">
        <f xml:space="preserve"> IF( AH17, iO, Achtung )</f>
        <v>i.O.</v>
      </c>
      <c r="AR15" s="500" t="str">
        <f xml:space="preserve"> INDEX( Auswahl_KS, $D$1 )</f>
        <v>Primo kompakt 2015</v>
      </c>
      <c r="AS15" s="500" t="str">
        <f xml:space="preserve"> INDEX( Auswahl_qx, $D$1 )</f>
        <v>PKV 2017</v>
      </c>
      <c r="AT15" s="500" t="str">
        <f xml:space="preserve"> INDEX( Auswahl_qx, $D$1 )</f>
        <v>PKV 2017</v>
      </c>
      <c r="AU15" s="500" t="str">
        <f xml:space="preserve"> Geschl</f>
        <v>Geschlecht</v>
      </c>
      <c r="AV15" s="501" t="str">
        <f xml:space="preserve"> AV13</f>
        <v>λ_x^q_x</v>
      </c>
      <c r="AW15" s="502" t="str">
        <f xml:space="preserve"> AS15</f>
        <v>PKV 2017</v>
      </c>
      <c r="AX15" s="500" t="str">
        <f xml:space="preserve"> INDEX( Auswahl_wx, $D$1 )</f>
        <v>Sto BaFin N 2015</v>
      </c>
      <c r="AY15" s="500" t="str">
        <f xml:space="preserve"> INDEX( Auswahl_wx, $D$1 )</f>
        <v>Sto BaFin N 2015</v>
      </c>
      <c r="AZ15" s="500" t="str">
        <f xml:space="preserve"> Geschl</f>
        <v>Geschlecht</v>
      </c>
      <c r="BA15" s="501" t="str">
        <f xml:space="preserve"> BA13</f>
        <v>λ_x^w_x</v>
      </c>
      <c r="BB15" s="502" t="str">
        <f xml:space="preserve"> AX15</f>
        <v>Sto BaFin N 2015</v>
      </c>
      <c r="BC15" s="500" t="str">
        <f xml:space="preserve"> INDEX( Auswahl_KS, $D$1 )</f>
        <v>Primo kompakt 2015</v>
      </c>
      <c r="BD15" s="500" t="str">
        <f xml:space="preserve"> INDEX( Auswahl_KS, $D$1 )</f>
        <v>Primo kompakt 2015</v>
      </c>
      <c r="BE15" s="500" t="str">
        <f xml:space="preserve"> Geschl</f>
        <v>Geschlecht</v>
      </c>
      <c r="BF15" s="501" t="str">
        <f xml:space="preserve"> BF13</f>
        <v>λ_x^K_x</v>
      </c>
      <c r="BG15" s="502" t="str">
        <f xml:space="preserve"> BC15</f>
        <v>Primo kompakt 2015</v>
      </c>
      <c r="BR15" s="503"/>
      <c r="BS15" s="503"/>
      <c r="BT15" s="503"/>
      <c r="BU15" s="503"/>
      <c r="BV15" s="503"/>
      <c r="BW15" s="575"/>
      <c r="BX15" s="503"/>
      <c r="CB15" s="431"/>
      <c r="CC15" s="431"/>
      <c r="CD15" s="431"/>
      <c r="CE15" s="431"/>
      <c r="CF15" s="431"/>
      <c r="CH15" s="431"/>
      <c r="CI15" s="431"/>
      <c r="CJ15" s="431"/>
      <c r="CK15" s="431"/>
      <c r="CL15" s="431"/>
      <c r="CN15" s="431"/>
      <c r="CO15" s="431"/>
      <c r="CP15" s="431"/>
      <c r="CQ15" s="431"/>
      <c r="CR15" s="431"/>
      <c r="DO15" s="385"/>
      <c r="DP15" s="323"/>
      <c r="DQ15" s="385"/>
      <c r="DY15" s="385"/>
      <c r="DZ15" s="489"/>
      <c r="ES15" s="500"/>
      <c r="ET15" s="500"/>
      <c r="EU15" s="500"/>
      <c r="EY15" s="500"/>
      <c r="EZ15" s="500"/>
      <c r="FO15" s="504" t="str">
        <f xml:space="preserve"> AD14</f>
        <v>z°p_x</v>
      </c>
      <c r="FP15" s="505">
        <f t="shared" ref="FP15:GU15" si="10" xml:space="preserve"> INDEX( $AD$20:$AD$120, MATCH( FP18, $A$20:$A$120, 0 ) )</f>
        <v>1.2003999999999999</v>
      </c>
      <c r="FQ15" s="505">
        <f t="shared" si="10"/>
        <v>1.2408999999999999</v>
      </c>
      <c r="FR15" s="505">
        <f t="shared" si="10"/>
        <v>1.2815000000000001</v>
      </c>
      <c r="FS15" s="505">
        <f t="shared" si="10"/>
        <v>1.3221000000000001</v>
      </c>
      <c r="FT15" s="505">
        <f t="shared" si="10"/>
        <v>1.3641000000000001</v>
      </c>
      <c r="FU15" s="505">
        <f t="shared" si="10"/>
        <v>1.4073</v>
      </c>
      <c r="FV15" s="505">
        <f t="shared" si="10"/>
        <v>1.4500999999999999</v>
      </c>
      <c r="FW15" s="505">
        <f t="shared" si="10"/>
        <v>1.4932000000000001</v>
      </c>
      <c r="FX15" s="505">
        <f t="shared" si="10"/>
        <v>1.5378000000000001</v>
      </c>
      <c r="FY15" s="505">
        <f t="shared" si="10"/>
        <v>1.5842000000000001</v>
      </c>
      <c r="FZ15" s="505">
        <f t="shared" si="10"/>
        <v>1.6309</v>
      </c>
      <c r="GA15" s="505">
        <f t="shared" si="10"/>
        <v>1.6782999999999999</v>
      </c>
      <c r="GB15" s="505">
        <f t="shared" si="10"/>
        <v>1.7267999999999999</v>
      </c>
      <c r="GC15" s="505">
        <f t="shared" si="10"/>
        <v>1.7755000000000001</v>
      </c>
      <c r="GD15" s="505">
        <f t="shared" si="10"/>
        <v>1.8257000000000001</v>
      </c>
      <c r="GE15" s="505">
        <f t="shared" si="10"/>
        <v>1.8763000000000001</v>
      </c>
      <c r="GF15" s="505">
        <f t="shared" si="10"/>
        <v>1.9283999999999999</v>
      </c>
      <c r="GG15" s="505">
        <f t="shared" si="10"/>
        <v>1.9817</v>
      </c>
      <c r="GH15" s="505">
        <f t="shared" si="10"/>
        <v>2.0365000000000002</v>
      </c>
      <c r="GI15" s="505">
        <f t="shared" si="10"/>
        <v>2.0929000000000002</v>
      </c>
      <c r="GJ15" s="505">
        <f t="shared" si="10"/>
        <v>2.1509999999999998</v>
      </c>
      <c r="GK15" s="505">
        <f t="shared" si="10"/>
        <v>2.2113</v>
      </c>
      <c r="GL15" s="505">
        <f t="shared" si="10"/>
        <v>2.2738</v>
      </c>
      <c r="GM15" s="505">
        <f t="shared" si="10"/>
        <v>2.3386</v>
      </c>
      <c r="GN15" s="505">
        <f t="shared" si="10"/>
        <v>2.4060000000000001</v>
      </c>
      <c r="GO15" s="505">
        <f t="shared" si="10"/>
        <v>2.4754999999999998</v>
      </c>
      <c r="GP15" s="505">
        <f t="shared" si="10"/>
        <v>2.5474000000000001</v>
      </c>
      <c r="GQ15" s="505">
        <f t="shared" si="10"/>
        <v>2.6215000000000002</v>
      </c>
      <c r="GR15" s="505">
        <f t="shared" si="10"/>
        <v>2.6976</v>
      </c>
      <c r="GS15" s="505">
        <f t="shared" si="10"/>
        <v>2.7755999999999998</v>
      </c>
      <c r="GT15" s="505">
        <f t="shared" si="10"/>
        <v>2.8552</v>
      </c>
      <c r="GU15" s="505">
        <f t="shared" si="10"/>
        <v>2.9367000000000001</v>
      </c>
      <c r="GV15" s="505">
        <f t="shared" ref="GV15:IA15" si="11" xml:space="preserve"> INDEX( $AD$20:$AD$120, MATCH( GV18, $A$20:$A$120, 0 ) )</f>
        <v>3.0192999999999999</v>
      </c>
      <c r="GW15" s="505">
        <f t="shared" si="11"/>
        <v>3.1034000000000002</v>
      </c>
      <c r="GX15" s="505">
        <f t="shared" si="11"/>
        <v>3.1884000000000001</v>
      </c>
      <c r="GY15" s="505">
        <f t="shared" si="11"/>
        <v>3.2743000000000002</v>
      </c>
      <c r="GZ15" s="505">
        <f t="shared" si="11"/>
        <v>3.3612000000000002</v>
      </c>
      <c r="HA15" s="505">
        <f t="shared" si="11"/>
        <v>3.4487999999999999</v>
      </c>
      <c r="HB15" s="505">
        <f t="shared" si="11"/>
        <v>3.5377000000000001</v>
      </c>
      <c r="HC15" s="505">
        <f t="shared" si="11"/>
        <v>3.6284999999999998</v>
      </c>
      <c r="HD15" s="505">
        <f t="shared" si="11"/>
        <v>3.7206000000000001</v>
      </c>
      <c r="HE15" s="505">
        <f t="shared" si="11"/>
        <v>3.8136000000000001</v>
      </c>
      <c r="HF15" s="505">
        <f t="shared" si="11"/>
        <v>3.9077999999999999</v>
      </c>
      <c r="HG15" s="505">
        <f t="shared" si="11"/>
        <v>4.0026999999999999</v>
      </c>
      <c r="HH15" s="505">
        <f t="shared" si="11"/>
        <v>4.0986000000000002</v>
      </c>
      <c r="HI15" s="505">
        <f t="shared" si="11"/>
        <v>4.1936</v>
      </c>
      <c r="HJ15" s="505">
        <f t="shared" si="11"/>
        <v>4.2893999999999997</v>
      </c>
      <c r="HK15" s="505">
        <f t="shared" si="11"/>
        <v>4.3845999999999998</v>
      </c>
      <c r="HL15" s="505">
        <f t="shared" si="11"/>
        <v>4.4790999999999999</v>
      </c>
      <c r="HM15" s="505">
        <f t="shared" si="11"/>
        <v>4.5731999999999999</v>
      </c>
      <c r="HN15" s="505">
        <f t="shared" si="11"/>
        <v>4.6506999999999996</v>
      </c>
      <c r="HO15" s="505">
        <f t="shared" si="11"/>
        <v>4.7257999999999996</v>
      </c>
      <c r="HP15" s="505">
        <f t="shared" si="11"/>
        <v>4.7976999999999999</v>
      </c>
      <c r="HQ15" s="505">
        <f t="shared" si="11"/>
        <v>4.8658000000000001</v>
      </c>
      <c r="HR15" s="505">
        <f t="shared" si="11"/>
        <v>4.9480000000000004</v>
      </c>
      <c r="HS15" s="505">
        <f t="shared" si="11"/>
        <v>5.0270000000000001</v>
      </c>
      <c r="HT15" s="505">
        <f t="shared" si="11"/>
        <v>5.1022999999999996</v>
      </c>
      <c r="HU15" s="505">
        <f t="shared" si="11"/>
        <v>5.1715</v>
      </c>
      <c r="HV15" s="505">
        <f t="shared" si="11"/>
        <v>5.2351999999999999</v>
      </c>
      <c r="HW15" s="505">
        <f t="shared" si="11"/>
        <v>5.2930999999999999</v>
      </c>
      <c r="HX15" s="505">
        <f t="shared" si="11"/>
        <v>5.3437999999999999</v>
      </c>
      <c r="HY15" s="505">
        <f t="shared" si="11"/>
        <v>5.3883999999999999</v>
      </c>
      <c r="HZ15" s="505">
        <f t="shared" si="11"/>
        <v>5.4246999999999996</v>
      </c>
      <c r="IA15" s="505">
        <f t="shared" si="11"/>
        <v>5.4539</v>
      </c>
      <c r="IB15" s="505">
        <f t="shared" ref="IB15:JL15" si="12" xml:space="preserve"> INDEX( $AD$20:$AD$120, MATCH( IB18, $A$20:$A$120, 0 ) )</f>
        <v>5.4756999999999998</v>
      </c>
      <c r="IC15" s="505">
        <f t="shared" si="12"/>
        <v>5.4901999999999997</v>
      </c>
      <c r="ID15" s="505">
        <f t="shared" si="12"/>
        <v>5.4997999999999996</v>
      </c>
      <c r="IE15" s="505">
        <f t="shared" si="12"/>
        <v>5.5065</v>
      </c>
      <c r="IF15" s="505">
        <f t="shared" si="12"/>
        <v>5.5067000000000004</v>
      </c>
      <c r="IG15" s="505">
        <f t="shared" si="12"/>
        <v>5.5071000000000003</v>
      </c>
      <c r="IH15" s="505">
        <f t="shared" si="12"/>
        <v>5.5075000000000003</v>
      </c>
      <c r="II15" s="505">
        <f t="shared" si="12"/>
        <v>5.5080999999999998</v>
      </c>
      <c r="IJ15" s="505">
        <f t="shared" si="12"/>
        <v>5.5088999999999997</v>
      </c>
      <c r="IK15" s="505">
        <f t="shared" si="12"/>
        <v>5.51</v>
      </c>
      <c r="IL15" s="505">
        <f t="shared" si="12"/>
        <v>5.5114999999999998</v>
      </c>
      <c r="IM15" s="505">
        <f t="shared" si="12"/>
        <v>5.5136000000000003</v>
      </c>
      <c r="IN15" s="505">
        <f t="shared" si="12"/>
        <v>5.5164</v>
      </c>
      <c r="IO15" s="505">
        <f t="shared" si="12"/>
        <v>5.5205000000000002</v>
      </c>
      <c r="IP15" s="505">
        <f t="shared" si="12"/>
        <v>5.5208000000000004</v>
      </c>
      <c r="IQ15" s="505">
        <f t="shared" si="12"/>
        <v>5.5210999999999997</v>
      </c>
      <c r="IR15" s="505">
        <f t="shared" si="12"/>
        <v>5.5217000000000001</v>
      </c>
      <c r="IS15" s="505">
        <f t="shared" si="12"/>
        <v>5.5223000000000004</v>
      </c>
      <c r="IT15" s="505">
        <f t="shared" si="12"/>
        <v>5.5232999999999999</v>
      </c>
      <c r="IU15" s="505">
        <f t="shared" si="12"/>
        <v>5.5248999999999997</v>
      </c>
      <c r="IV15" s="505">
        <f t="shared" si="12"/>
        <v>5.5271999999999997</v>
      </c>
      <c r="IW15" s="505">
        <f t="shared" si="12"/>
        <v>5.5308999999999999</v>
      </c>
      <c r="IX15" s="505">
        <f t="shared" si="12"/>
        <v>5.5366999999999997</v>
      </c>
      <c r="IY15" s="505">
        <f t="shared" si="12"/>
        <v>5.5467000000000004</v>
      </c>
      <c r="IZ15" s="505">
        <f t="shared" si="12"/>
        <v>5.5586000000000002</v>
      </c>
      <c r="JA15" s="505">
        <f t="shared" si="12"/>
        <v>5.5696000000000003</v>
      </c>
      <c r="JB15" s="505">
        <f t="shared" si="12"/>
        <v>5.5799000000000003</v>
      </c>
      <c r="JC15" s="505" t="str">
        <f t="shared" si="12"/>
        <v>.</v>
      </c>
      <c r="JD15" s="505" t="str">
        <f t="shared" si="12"/>
        <v>.</v>
      </c>
      <c r="JE15" s="505" t="str">
        <f t="shared" si="12"/>
        <v>.</v>
      </c>
      <c r="JF15" s="505" t="str">
        <f t="shared" si="12"/>
        <v>.</v>
      </c>
      <c r="JG15" s="505" t="str">
        <f t="shared" si="12"/>
        <v>.</v>
      </c>
      <c r="JH15" s="505" t="str">
        <f t="shared" si="12"/>
        <v>.</v>
      </c>
      <c r="JI15" s="505" t="str">
        <f t="shared" si="12"/>
        <v>.</v>
      </c>
      <c r="JJ15" s="505" t="str">
        <f t="shared" si="12"/>
        <v>.</v>
      </c>
      <c r="JK15" s="505" t="str">
        <f t="shared" si="12"/>
        <v>.</v>
      </c>
      <c r="JL15" s="505" t="str">
        <f t="shared" si="12"/>
        <v>.</v>
      </c>
    </row>
    <row r="16" spans="1:272" s="385" customFormat="1" ht="10.199999999999999" x14ac:dyDescent="0.25">
      <c r="A16" s="506"/>
      <c r="B16" s="506"/>
      <c r="C16" s="507"/>
      <c r="D16" s="507"/>
      <c r="E16" s="507"/>
      <c r="F16" s="508" t="e">
        <f xml:space="preserve"> MATCH( F15 &amp; " # " &amp; $A15, qx!15:15, 0 )</f>
        <v>#N/A</v>
      </c>
      <c r="G16" s="508" t="e">
        <f xml:space="preserve"> MATCH( G15 &amp; " # " &amp; $A15, wx!15:15, 0 )</f>
        <v>#N/A</v>
      </c>
      <c r="H16" s="509" t="e">
        <f xml:space="preserve"> MATCH( TRIM( H15 &amp; " # " &amp; $A15 &amp; " " &amp; D9 ), Kx!15:15, 0 )</f>
        <v>#N/A</v>
      </c>
      <c r="I16" s="510"/>
      <c r="J16" s="510"/>
      <c r="K16" s="497">
        <f xml:space="preserve"> INDEX( Auswahl_alphaZAbstufung, $D$1 )</f>
        <v>0.5</v>
      </c>
      <c r="L16" s="498">
        <f xml:space="preserve"> INDEX( Auswahl_DeltaTildesen, $D$1 )</f>
        <v>0</v>
      </c>
      <c r="M16" s="498">
        <f xml:space="preserve"> INDEX( Auswahl_Deltasen, $D$1 )</f>
        <v>8.6000000000000007E-2</v>
      </c>
      <c r="AB16" s="428">
        <f xml:space="preserve"> MATCH( AB12, $A$20:$A$120, 0 )</f>
        <v>21</v>
      </c>
      <c r="AR16" s="387">
        <f xml:space="preserve"> MATCH( AR15 &amp; " # " &amp; AR13, Kx!15:15, 0 )</f>
        <v>140</v>
      </c>
      <c r="AS16" s="387">
        <f xml:space="preserve"> MATCH( AS15 &amp; " # " &amp; AS13, qx!15:15, 0 )</f>
        <v>20</v>
      </c>
      <c r="AT16" s="387">
        <f xml:space="preserve"> MATCH( AT15 &amp; " # " &amp; AT13, qx!15:15, 0 )</f>
        <v>21</v>
      </c>
      <c r="AU16" s="387"/>
      <c r="AV16" s="387"/>
      <c r="AW16" s="387"/>
      <c r="AX16" s="387">
        <f xml:space="preserve"> MATCH( AX15 &amp; " # " &amp; AX13, wx!15:15, 0 )</f>
        <v>16</v>
      </c>
      <c r="AY16" s="387">
        <f xml:space="preserve"> MATCH( AY15 &amp; " # " &amp; AY13, wx!15:15, 0 )</f>
        <v>17</v>
      </c>
      <c r="AZ16" s="387"/>
      <c r="BA16" s="387"/>
      <c r="BB16" s="387"/>
      <c r="BC16" s="387">
        <f xml:space="preserve"> MATCH( BC15 &amp; " # " &amp; BC13, Kx!15:15, 0 )</f>
        <v>134</v>
      </c>
      <c r="BD16" s="387">
        <f xml:space="preserve"> MATCH( BD15 &amp; " # " &amp; BD13, Kx!15:15, 0 )</f>
        <v>135</v>
      </c>
      <c r="BE16" s="387"/>
      <c r="BF16" s="387"/>
      <c r="BG16" s="387"/>
      <c r="BR16" s="487"/>
      <c r="BT16" s="511"/>
      <c r="BU16" s="488"/>
      <c r="ES16" s="512"/>
      <c r="ET16" s="512"/>
      <c r="EU16" s="512"/>
      <c r="EY16" s="512"/>
      <c r="EZ16" s="512"/>
      <c r="FK16" s="494"/>
      <c r="FL16" s="494"/>
      <c r="FM16" s="494"/>
    </row>
    <row r="17" spans="1:272" s="385" customFormat="1" ht="10.199999999999999" x14ac:dyDescent="0.25">
      <c r="A17" s="513" t="str">
        <f xml:space="preserve"> Basis!A17</f>
        <v>Rd'Stellen</v>
      </c>
      <c r="B17" s="514" t="b">
        <f xml:space="preserve"> INDEX( Auswahl_Runden, $D$1 )</f>
        <v>1</v>
      </c>
      <c r="C17" s="515"/>
      <c r="D17" s="515"/>
      <c r="E17" s="515"/>
      <c r="F17" s="390">
        <f xml:space="preserve"> IF( $B$17, qx_Rd, nix_Rd )</f>
        <v>4</v>
      </c>
      <c r="G17" s="390">
        <f xml:space="preserve"> IF( $B$17, wx_Rd, nix_Rd )</f>
        <v>4</v>
      </c>
      <c r="H17" s="390">
        <f xml:space="preserve"> IF( $B$17, GrKx_Rd, nix_Rd )</f>
        <v>2</v>
      </c>
      <c r="I17" s="516"/>
      <c r="J17" s="390">
        <f xml:space="preserve"> IF( $B$17, klkx_rd, nix_Rd )</f>
        <v>3</v>
      </c>
      <c r="K17" s="390">
        <f xml:space="preserve"> IF( $B$17, alphaZx_Rd, nix_Rd )</f>
        <v>1</v>
      </c>
      <c r="L17" s="390">
        <f xml:space="preserve"> IF( $B$17, DeltaTilde_Rd, nix_Rd )</f>
        <v>4</v>
      </c>
      <c r="M17" s="390">
        <f xml:space="preserve"> IF( $B$17, Delta_Rd, nix_Rd )</f>
        <v>4</v>
      </c>
      <c r="O17" s="516"/>
      <c r="P17" s="390">
        <f xml:space="preserve"> IF( $B$17, sx_Rd, nix_Rd )</f>
        <v>4</v>
      </c>
      <c r="Q17" s="390">
        <f xml:space="preserve"> IF( $B$17, sx_1_Rd, nix_Rd )</f>
        <v>4</v>
      </c>
      <c r="R17" s="390">
        <f xml:space="preserve"> IF( $B$17, lx_Rd, nix_Rd )</f>
        <v>0</v>
      </c>
      <c r="S17" s="390">
        <f xml:space="preserve"> IF( $B$17, v_Rd, nix_Rd )</f>
        <v>9</v>
      </c>
      <c r="T17" s="390">
        <f xml:space="preserve"> IF( $B$17, Dx_Rd, nix_Rd )</f>
        <v>2</v>
      </c>
      <c r="U17" s="390">
        <f xml:space="preserve"> IF( $B$17, Nx_Rd, nix_Rd )</f>
        <v>2</v>
      </c>
      <c r="V17" s="390">
        <f xml:space="preserve"> IF( $B$17, klax_Rd, nix_Rd )</f>
        <v>4</v>
      </c>
      <c r="W17" s="390">
        <f xml:space="preserve"> IF( $B$17, Ox_Rd, nix_Rd )</f>
        <v>2</v>
      </c>
      <c r="X17" s="390">
        <f xml:space="preserve"> IF( $B$17, Ux_Rd, nix_Rd )</f>
        <v>2</v>
      </c>
      <c r="Y17" s="390">
        <f xml:space="preserve"> IF( $B$17, GrAx_Rd, nix_Rd )</f>
        <v>4</v>
      </c>
      <c r="Z17" s="390">
        <f xml:space="preserve"> IF( $B$17, px_Rd, nix_Rd )</f>
        <v>4</v>
      </c>
      <c r="AA17" s="390">
        <f xml:space="preserve"> IF( $B$17, zx_Rd, nix_Rd )</f>
        <v>4</v>
      </c>
      <c r="AB17" s="390">
        <f xml:space="preserve"> IF( $B$17, br_Rd, nix_Rd )</f>
        <v>4</v>
      </c>
      <c r="AC17" s="390">
        <f xml:space="preserve"> IF( $B$17, klgamma_Rd, nix_Rd )</f>
        <v>4</v>
      </c>
      <c r="AD17" s="390">
        <f xml:space="preserve"> IF( $B$17, pZx_Rd, nix_Rd )</f>
        <v>4</v>
      </c>
      <c r="AE17" s="390">
        <f xml:space="preserve"> IF( $B$17, klbZx_Rd, nix_Rd )</f>
        <v>4</v>
      </c>
      <c r="AF17" s="516"/>
      <c r="AG17" s="517">
        <f xml:space="preserve"> COUNTIF( AG20:AG120, Setzung )</f>
        <v>0</v>
      </c>
      <c r="AH17" s="499" t="b">
        <f xml:space="preserve">   COUNTIF( AH20:AH120, SetzungZillmerung ) = 0</f>
        <v>1</v>
      </c>
      <c r="AI17" s="516"/>
      <c r="AJ17" s="390">
        <f xml:space="preserve"> IF( $B$17, GrBZx_Rd, nix_Rd )</f>
        <v>2</v>
      </c>
      <c r="AK17" s="390">
        <f xml:space="preserve"> IF( $B$17, GrBTildeZx_Rd, nix_Rd )</f>
        <v>2</v>
      </c>
      <c r="AN17" s="390">
        <f xml:space="preserve"> IF( $B$17, GrV_x_xplusm_Rd, nix_Rd )</f>
        <v>2</v>
      </c>
      <c r="AO17" s="390">
        <f xml:space="preserve"> IF( $B$17, GrVZ_x_xplusm_Rd, nix_Rd )</f>
        <v>2</v>
      </c>
      <c r="AR17" s="518">
        <f xml:space="preserve"> IF( $B$17, lambdax_Rd, nix_Rd )</f>
        <v>4</v>
      </c>
      <c r="AS17" s="518">
        <f xml:space="preserve"> IF( $B$17, qx_Rd, nix_Rd )</f>
        <v>4</v>
      </c>
      <c r="AT17" s="518">
        <f xml:space="preserve"> IF( $B$17, qx_Rd, nix_Rd )</f>
        <v>4</v>
      </c>
      <c r="AU17" s="519"/>
      <c r="AV17" s="518">
        <f xml:space="preserve"> IF( $B$17, lambdax_Rd, nix_Rd )</f>
        <v>4</v>
      </c>
      <c r="AW17" s="518">
        <f xml:space="preserve"> IF( $B$17, qx_Rd, nix_Rd )</f>
        <v>4</v>
      </c>
      <c r="AX17" s="518">
        <f xml:space="preserve"> IF( $B$17, wx_Rd, nix_Rd )</f>
        <v>4</v>
      </c>
      <c r="AY17" s="518">
        <f xml:space="preserve"> IF( $B$17, wx_Rd, nix_Rd )</f>
        <v>4</v>
      </c>
      <c r="AZ17" s="519"/>
      <c r="BA17" s="518">
        <f xml:space="preserve"> IF( $B$17, lambdax_Rd, nix_Rd )</f>
        <v>4</v>
      </c>
      <c r="BB17" s="518">
        <f xml:space="preserve"> IF( $B$17, wx_Rd, nix_Rd )</f>
        <v>4</v>
      </c>
      <c r="BC17" s="518">
        <f xml:space="preserve"> IF( $B$17, GrKx_Rd, nix_Rd )</f>
        <v>2</v>
      </c>
      <c r="BD17" s="518">
        <f xml:space="preserve"> IF( $B$17, GrKx_Rd, nix_Rd )</f>
        <v>2</v>
      </c>
      <c r="BE17" s="519"/>
      <c r="BF17" s="518">
        <f xml:space="preserve"> IF( $B$17, lambdax_Rd, nix_Rd )</f>
        <v>4</v>
      </c>
      <c r="BG17" s="518">
        <f xml:space="preserve"> IF( $B$17, GrKx_Rd, nix_Rd )</f>
        <v>2</v>
      </c>
      <c r="BR17" s="519"/>
      <c r="BS17" s="519"/>
      <c r="BT17" s="518"/>
      <c r="BU17" s="519"/>
      <c r="BV17" s="518"/>
      <c r="BW17" s="519"/>
      <c r="BX17" s="519"/>
      <c r="CB17" s="518"/>
      <c r="CC17" s="518"/>
      <c r="CD17" s="518"/>
      <c r="CE17" s="519"/>
      <c r="CF17" s="519"/>
      <c r="CH17" s="519"/>
      <c r="CI17" s="518"/>
      <c r="CJ17" s="518"/>
      <c r="CK17" s="518"/>
      <c r="CL17" s="519"/>
      <c r="CN17" s="519"/>
      <c r="CO17" s="518"/>
      <c r="CP17" s="518"/>
      <c r="CQ17" s="518"/>
      <c r="CR17" s="519"/>
      <c r="EI17" s="432"/>
      <c r="EJ17" s="432"/>
      <c r="EK17" s="432"/>
      <c r="EL17" s="521"/>
      <c r="ES17" s="432"/>
      <c r="ET17" s="432"/>
      <c r="EU17" s="432"/>
      <c r="EV17" s="521"/>
      <c r="EY17" s="432"/>
      <c r="EZ17" s="432"/>
      <c r="FA17" s="521"/>
      <c r="FD17" s="521"/>
      <c r="FE17" s="521"/>
      <c r="FF17" s="521"/>
      <c r="FK17" s="521"/>
      <c r="FL17" s="521"/>
      <c r="FM17" s="521"/>
      <c r="FO17" s="521"/>
      <c r="FP17" s="432">
        <f t="shared" ref="FP17:IA17" si="13" xml:space="preserve"> GrVZ_x_xplusm_Rd</f>
        <v>2</v>
      </c>
      <c r="FQ17" s="432">
        <f t="shared" si="13"/>
        <v>2</v>
      </c>
      <c r="FR17" s="432">
        <f t="shared" si="13"/>
        <v>2</v>
      </c>
      <c r="FS17" s="432">
        <f t="shared" si="13"/>
        <v>2</v>
      </c>
      <c r="FT17" s="432">
        <f t="shared" si="13"/>
        <v>2</v>
      </c>
      <c r="FU17" s="432">
        <f t="shared" si="13"/>
        <v>2</v>
      </c>
      <c r="FV17" s="432">
        <f t="shared" si="13"/>
        <v>2</v>
      </c>
      <c r="FW17" s="432">
        <f t="shared" si="13"/>
        <v>2</v>
      </c>
      <c r="FX17" s="432">
        <f t="shared" si="13"/>
        <v>2</v>
      </c>
      <c r="FY17" s="432">
        <f t="shared" si="13"/>
        <v>2</v>
      </c>
      <c r="FZ17" s="432">
        <f t="shared" si="13"/>
        <v>2</v>
      </c>
      <c r="GA17" s="432">
        <f t="shared" si="13"/>
        <v>2</v>
      </c>
      <c r="GB17" s="432">
        <f t="shared" si="13"/>
        <v>2</v>
      </c>
      <c r="GC17" s="432">
        <f t="shared" si="13"/>
        <v>2</v>
      </c>
      <c r="GD17" s="432">
        <f t="shared" si="13"/>
        <v>2</v>
      </c>
      <c r="GE17" s="432">
        <f t="shared" si="13"/>
        <v>2</v>
      </c>
      <c r="GF17" s="432">
        <f t="shared" si="13"/>
        <v>2</v>
      </c>
      <c r="GG17" s="432">
        <f t="shared" si="13"/>
        <v>2</v>
      </c>
      <c r="GH17" s="432">
        <f t="shared" si="13"/>
        <v>2</v>
      </c>
      <c r="GI17" s="432">
        <f t="shared" si="13"/>
        <v>2</v>
      </c>
      <c r="GJ17" s="432">
        <f t="shared" si="13"/>
        <v>2</v>
      </c>
      <c r="GK17" s="432">
        <f t="shared" si="13"/>
        <v>2</v>
      </c>
      <c r="GL17" s="432">
        <f t="shared" si="13"/>
        <v>2</v>
      </c>
      <c r="GM17" s="432">
        <f t="shared" si="13"/>
        <v>2</v>
      </c>
      <c r="GN17" s="432">
        <f t="shared" si="13"/>
        <v>2</v>
      </c>
      <c r="GO17" s="432">
        <f t="shared" si="13"/>
        <v>2</v>
      </c>
      <c r="GP17" s="432">
        <f t="shared" si="13"/>
        <v>2</v>
      </c>
      <c r="GQ17" s="432">
        <f t="shared" si="13"/>
        <v>2</v>
      </c>
      <c r="GR17" s="432">
        <f t="shared" si="13"/>
        <v>2</v>
      </c>
      <c r="GS17" s="432">
        <f t="shared" si="13"/>
        <v>2</v>
      </c>
      <c r="GT17" s="432">
        <f t="shared" si="13"/>
        <v>2</v>
      </c>
      <c r="GU17" s="432">
        <f t="shared" si="13"/>
        <v>2</v>
      </c>
      <c r="GV17" s="432">
        <f t="shared" si="13"/>
        <v>2</v>
      </c>
      <c r="GW17" s="432">
        <f t="shared" si="13"/>
        <v>2</v>
      </c>
      <c r="GX17" s="432">
        <f t="shared" si="13"/>
        <v>2</v>
      </c>
      <c r="GY17" s="432">
        <f t="shared" si="13"/>
        <v>2</v>
      </c>
      <c r="GZ17" s="432">
        <f t="shared" si="13"/>
        <v>2</v>
      </c>
      <c r="HA17" s="432">
        <f t="shared" si="13"/>
        <v>2</v>
      </c>
      <c r="HB17" s="432">
        <f t="shared" si="13"/>
        <v>2</v>
      </c>
      <c r="HC17" s="432">
        <f t="shared" si="13"/>
        <v>2</v>
      </c>
      <c r="HD17" s="432">
        <f t="shared" si="13"/>
        <v>2</v>
      </c>
      <c r="HE17" s="432">
        <f t="shared" si="13"/>
        <v>2</v>
      </c>
      <c r="HF17" s="432">
        <f t="shared" si="13"/>
        <v>2</v>
      </c>
      <c r="HG17" s="432">
        <f t="shared" si="13"/>
        <v>2</v>
      </c>
      <c r="HH17" s="432">
        <f t="shared" si="13"/>
        <v>2</v>
      </c>
      <c r="HI17" s="432">
        <f t="shared" si="13"/>
        <v>2</v>
      </c>
      <c r="HJ17" s="432">
        <f t="shared" si="13"/>
        <v>2</v>
      </c>
      <c r="HK17" s="432">
        <f t="shared" si="13"/>
        <v>2</v>
      </c>
      <c r="HL17" s="432">
        <f t="shared" si="13"/>
        <v>2</v>
      </c>
      <c r="HM17" s="432">
        <f t="shared" si="13"/>
        <v>2</v>
      </c>
      <c r="HN17" s="432">
        <f t="shared" si="13"/>
        <v>2</v>
      </c>
      <c r="HO17" s="432">
        <f t="shared" si="13"/>
        <v>2</v>
      </c>
      <c r="HP17" s="432">
        <f t="shared" si="13"/>
        <v>2</v>
      </c>
      <c r="HQ17" s="432">
        <f t="shared" si="13"/>
        <v>2</v>
      </c>
      <c r="HR17" s="432">
        <f t="shared" si="13"/>
        <v>2</v>
      </c>
      <c r="HS17" s="432">
        <f t="shared" si="13"/>
        <v>2</v>
      </c>
      <c r="HT17" s="432">
        <f t="shared" si="13"/>
        <v>2</v>
      </c>
      <c r="HU17" s="432">
        <f t="shared" si="13"/>
        <v>2</v>
      </c>
      <c r="HV17" s="432">
        <f t="shared" si="13"/>
        <v>2</v>
      </c>
      <c r="HW17" s="432">
        <f t="shared" si="13"/>
        <v>2</v>
      </c>
      <c r="HX17" s="432">
        <f t="shared" si="13"/>
        <v>2</v>
      </c>
      <c r="HY17" s="432">
        <f t="shared" si="13"/>
        <v>2</v>
      </c>
      <c r="HZ17" s="432">
        <f t="shared" si="13"/>
        <v>2</v>
      </c>
      <c r="IA17" s="432">
        <f t="shared" si="13"/>
        <v>2</v>
      </c>
      <c r="IB17" s="432">
        <f t="shared" ref="IB17:JL17" si="14" xml:space="preserve"> GrVZ_x_xplusm_Rd</f>
        <v>2</v>
      </c>
      <c r="IC17" s="432">
        <f t="shared" si="14"/>
        <v>2</v>
      </c>
      <c r="ID17" s="432">
        <f t="shared" si="14"/>
        <v>2</v>
      </c>
      <c r="IE17" s="432">
        <f t="shared" si="14"/>
        <v>2</v>
      </c>
      <c r="IF17" s="432">
        <f t="shared" si="14"/>
        <v>2</v>
      </c>
      <c r="IG17" s="432">
        <f t="shared" si="14"/>
        <v>2</v>
      </c>
      <c r="IH17" s="432">
        <f t="shared" si="14"/>
        <v>2</v>
      </c>
      <c r="II17" s="432">
        <f t="shared" si="14"/>
        <v>2</v>
      </c>
      <c r="IJ17" s="432">
        <f t="shared" si="14"/>
        <v>2</v>
      </c>
      <c r="IK17" s="432">
        <f t="shared" si="14"/>
        <v>2</v>
      </c>
      <c r="IL17" s="432">
        <f t="shared" si="14"/>
        <v>2</v>
      </c>
      <c r="IM17" s="432">
        <f t="shared" si="14"/>
        <v>2</v>
      </c>
      <c r="IN17" s="432">
        <f t="shared" si="14"/>
        <v>2</v>
      </c>
      <c r="IO17" s="432">
        <f t="shared" si="14"/>
        <v>2</v>
      </c>
      <c r="IP17" s="432">
        <f t="shared" si="14"/>
        <v>2</v>
      </c>
      <c r="IQ17" s="432">
        <f t="shared" si="14"/>
        <v>2</v>
      </c>
      <c r="IR17" s="432">
        <f t="shared" si="14"/>
        <v>2</v>
      </c>
      <c r="IS17" s="432">
        <f t="shared" si="14"/>
        <v>2</v>
      </c>
      <c r="IT17" s="432">
        <f t="shared" si="14"/>
        <v>2</v>
      </c>
      <c r="IU17" s="432">
        <f t="shared" si="14"/>
        <v>2</v>
      </c>
      <c r="IV17" s="432">
        <f t="shared" si="14"/>
        <v>2</v>
      </c>
      <c r="IW17" s="432">
        <f t="shared" si="14"/>
        <v>2</v>
      </c>
      <c r="IX17" s="432">
        <f t="shared" si="14"/>
        <v>2</v>
      </c>
      <c r="IY17" s="432">
        <f t="shared" si="14"/>
        <v>2</v>
      </c>
      <c r="IZ17" s="432">
        <f t="shared" si="14"/>
        <v>2</v>
      </c>
      <c r="JA17" s="432">
        <f t="shared" si="14"/>
        <v>2</v>
      </c>
      <c r="JB17" s="432">
        <f t="shared" si="14"/>
        <v>2</v>
      </c>
      <c r="JC17" s="432">
        <f t="shared" si="14"/>
        <v>2</v>
      </c>
      <c r="JD17" s="432">
        <f t="shared" si="14"/>
        <v>2</v>
      </c>
      <c r="JE17" s="432">
        <f t="shared" si="14"/>
        <v>2</v>
      </c>
      <c r="JF17" s="432">
        <f t="shared" si="14"/>
        <v>2</v>
      </c>
      <c r="JG17" s="432">
        <f t="shared" si="14"/>
        <v>2</v>
      </c>
      <c r="JH17" s="432">
        <f t="shared" si="14"/>
        <v>2</v>
      </c>
      <c r="JI17" s="432">
        <f t="shared" si="14"/>
        <v>2</v>
      </c>
      <c r="JJ17" s="432">
        <f t="shared" si="14"/>
        <v>2</v>
      </c>
      <c r="JK17" s="432">
        <f t="shared" si="14"/>
        <v>2</v>
      </c>
      <c r="JL17" s="432">
        <f t="shared" si="14"/>
        <v>2</v>
      </c>
    </row>
    <row r="18" spans="1:272" s="385" customFormat="1" ht="10.199999999999999" x14ac:dyDescent="0.2">
      <c r="C18" s="388"/>
      <c r="D18" s="388"/>
      <c r="E18" s="388"/>
      <c r="F18" s="460"/>
      <c r="G18" s="460"/>
      <c r="H18" s="460"/>
      <c r="I18" s="466" t="str">
        <f xml:space="preserve"> G</f>
        <v>G</v>
      </c>
      <c r="J18" s="466" t="str">
        <f xml:space="preserve"> G</f>
        <v>G</v>
      </c>
      <c r="K18" s="497">
        <f xml:space="preserve"> INDEX( Auswahl_alphaZGrenzalter, $D$1 )</f>
        <v>70</v>
      </c>
      <c r="L18" s="460"/>
      <c r="M18" s="460"/>
      <c r="AN18" s="431" t="str">
        <f xml:space="preserve"> G</f>
        <v>G</v>
      </c>
      <c r="AO18" s="431" t="str">
        <f xml:space="preserve"> G</f>
        <v>G</v>
      </c>
      <c r="AR18" s="522"/>
      <c r="AS18" s="522"/>
      <c r="AT18" s="522"/>
      <c r="AU18" s="522"/>
      <c r="AV18" s="523">
        <f xml:space="preserve"> SUM( INDEX( Auswahl_lambdaxVorsicht, $D$1 ) )</f>
        <v>0.5</v>
      </c>
      <c r="AW18" s="522"/>
      <c r="AX18" s="522"/>
      <c r="AY18" s="522"/>
      <c r="AZ18" s="522"/>
      <c r="BA18" s="523">
        <f xml:space="preserve"> SUM( INDEX( Auswahl_lambdaxVorsicht, $D$1 ) )</f>
        <v>0.5</v>
      </c>
      <c r="BB18" s="522"/>
      <c r="BC18" s="431" t="str">
        <f xml:space="preserve"> BE_M_</f>
        <v>M</v>
      </c>
      <c r="BD18" s="431" t="str">
        <f xml:space="preserve"> BE_F_</f>
        <v>F</v>
      </c>
      <c r="BE18" s="522"/>
      <c r="BF18" s="523">
        <f xml:space="preserve"> SUM( INDEX( Auswahl_lambdaxVorsicht, $D$1 ) )</f>
        <v>0.5</v>
      </c>
      <c r="BG18" s="522"/>
      <c r="BR18" s="487"/>
      <c r="BT18" s="431"/>
      <c r="BU18" s="488"/>
      <c r="CB18" s="524"/>
      <c r="CC18" s="524"/>
      <c r="CD18" s="522"/>
      <c r="CE18" s="522"/>
      <c r="CF18" s="522"/>
      <c r="CH18" s="397"/>
      <c r="CI18" s="397"/>
      <c r="CJ18" s="524"/>
      <c r="CK18" s="524"/>
      <c r="CL18" s="522"/>
      <c r="CN18" s="397"/>
      <c r="CO18" s="397"/>
      <c r="CP18" s="524"/>
      <c r="CQ18" s="524"/>
      <c r="CR18" s="522"/>
      <c r="EI18" s="397"/>
      <c r="EJ18" s="522"/>
      <c r="EK18" s="522"/>
      <c r="EL18" s="522"/>
      <c r="ES18" s="522"/>
      <c r="ET18" s="522"/>
      <c r="EU18" s="522"/>
      <c r="EV18" s="522"/>
      <c r="EY18" s="522"/>
      <c r="EZ18" s="522"/>
      <c r="FA18" s="522"/>
      <c r="FD18" s="522"/>
      <c r="FE18" s="522"/>
      <c r="FF18" s="522"/>
      <c r="FK18" s="522"/>
      <c r="FL18" s="522"/>
      <c r="FM18" s="522"/>
      <c r="FO18" s="401" t="str">
        <f xml:space="preserve"> G</f>
        <v>G</v>
      </c>
      <c r="FP18" s="525">
        <f xml:space="preserve"> FK20</f>
        <v>20</v>
      </c>
      <c r="FQ18" s="526">
        <f xml:space="preserve"> FP18 + 1</f>
        <v>21</v>
      </c>
      <c r="FR18" s="526">
        <f t="shared" ref="FR18:IC18" si="15" xml:space="preserve"> FQ18 + 1</f>
        <v>22</v>
      </c>
      <c r="FS18" s="526">
        <f t="shared" si="15"/>
        <v>23</v>
      </c>
      <c r="FT18" s="526">
        <f t="shared" si="15"/>
        <v>24</v>
      </c>
      <c r="FU18" s="526">
        <f t="shared" si="15"/>
        <v>25</v>
      </c>
      <c r="FV18" s="526">
        <f t="shared" si="15"/>
        <v>26</v>
      </c>
      <c r="FW18" s="526">
        <f t="shared" si="15"/>
        <v>27</v>
      </c>
      <c r="FX18" s="526">
        <f t="shared" si="15"/>
        <v>28</v>
      </c>
      <c r="FY18" s="526">
        <f t="shared" si="15"/>
        <v>29</v>
      </c>
      <c r="FZ18" s="526">
        <f t="shared" si="15"/>
        <v>30</v>
      </c>
      <c r="GA18" s="526">
        <f t="shared" si="15"/>
        <v>31</v>
      </c>
      <c r="GB18" s="526">
        <f t="shared" si="15"/>
        <v>32</v>
      </c>
      <c r="GC18" s="526">
        <f t="shared" si="15"/>
        <v>33</v>
      </c>
      <c r="GD18" s="526">
        <f t="shared" si="15"/>
        <v>34</v>
      </c>
      <c r="GE18" s="526">
        <f t="shared" si="15"/>
        <v>35</v>
      </c>
      <c r="GF18" s="526">
        <f t="shared" si="15"/>
        <v>36</v>
      </c>
      <c r="GG18" s="526">
        <f t="shared" si="15"/>
        <v>37</v>
      </c>
      <c r="GH18" s="526">
        <f t="shared" si="15"/>
        <v>38</v>
      </c>
      <c r="GI18" s="526">
        <f t="shared" si="15"/>
        <v>39</v>
      </c>
      <c r="GJ18" s="526">
        <f t="shared" si="15"/>
        <v>40</v>
      </c>
      <c r="GK18" s="526">
        <f t="shared" si="15"/>
        <v>41</v>
      </c>
      <c r="GL18" s="526">
        <f t="shared" si="15"/>
        <v>42</v>
      </c>
      <c r="GM18" s="526">
        <f t="shared" si="15"/>
        <v>43</v>
      </c>
      <c r="GN18" s="526">
        <f t="shared" si="15"/>
        <v>44</v>
      </c>
      <c r="GO18" s="526">
        <f t="shared" si="15"/>
        <v>45</v>
      </c>
      <c r="GP18" s="526">
        <f t="shared" si="15"/>
        <v>46</v>
      </c>
      <c r="GQ18" s="526">
        <f t="shared" si="15"/>
        <v>47</v>
      </c>
      <c r="GR18" s="526">
        <f t="shared" si="15"/>
        <v>48</v>
      </c>
      <c r="GS18" s="526">
        <f t="shared" si="15"/>
        <v>49</v>
      </c>
      <c r="GT18" s="526">
        <f t="shared" si="15"/>
        <v>50</v>
      </c>
      <c r="GU18" s="526">
        <f t="shared" si="15"/>
        <v>51</v>
      </c>
      <c r="GV18" s="526">
        <f t="shared" si="15"/>
        <v>52</v>
      </c>
      <c r="GW18" s="526">
        <f t="shared" si="15"/>
        <v>53</v>
      </c>
      <c r="GX18" s="526">
        <f t="shared" si="15"/>
        <v>54</v>
      </c>
      <c r="GY18" s="526">
        <f t="shared" si="15"/>
        <v>55</v>
      </c>
      <c r="GZ18" s="526">
        <f t="shared" si="15"/>
        <v>56</v>
      </c>
      <c r="HA18" s="526">
        <f t="shared" si="15"/>
        <v>57</v>
      </c>
      <c r="HB18" s="526">
        <f t="shared" si="15"/>
        <v>58</v>
      </c>
      <c r="HC18" s="526">
        <f t="shared" si="15"/>
        <v>59</v>
      </c>
      <c r="HD18" s="526">
        <f t="shared" si="15"/>
        <v>60</v>
      </c>
      <c r="HE18" s="526">
        <f t="shared" si="15"/>
        <v>61</v>
      </c>
      <c r="HF18" s="526">
        <f t="shared" si="15"/>
        <v>62</v>
      </c>
      <c r="HG18" s="526">
        <f t="shared" si="15"/>
        <v>63</v>
      </c>
      <c r="HH18" s="526">
        <f t="shared" si="15"/>
        <v>64</v>
      </c>
      <c r="HI18" s="526">
        <f t="shared" si="15"/>
        <v>65</v>
      </c>
      <c r="HJ18" s="526">
        <f t="shared" si="15"/>
        <v>66</v>
      </c>
      <c r="HK18" s="526">
        <f t="shared" si="15"/>
        <v>67</v>
      </c>
      <c r="HL18" s="526">
        <f t="shared" si="15"/>
        <v>68</v>
      </c>
      <c r="HM18" s="526">
        <f t="shared" si="15"/>
        <v>69</v>
      </c>
      <c r="HN18" s="526">
        <f t="shared" si="15"/>
        <v>70</v>
      </c>
      <c r="HO18" s="526">
        <f t="shared" si="15"/>
        <v>71</v>
      </c>
      <c r="HP18" s="526">
        <f t="shared" si="15"/>
        <v>72</v>
      </c>
      <c r="HQ18" s="526">
        <f t="shared" si="15"/>
        <v>73</v>
      </c>
      <c r="HR18" s="526">
        <f t="shared" si="15"/>
        <v>74</v>
      </c>
      <c r="HS18" s="526">
        <f t="shared" si="15"/>
        <v>75</v>
      </c>
      <c r="HT18" s="526">
        <f t="shared" si="15"/>
        <v>76</v>
      </c>
      <c r="HU18" s="526">
        <f t="shared" si="15"/>
        <v>77</v>
      </c>
      <c r="HV18" s="526">
        <f t="shared" si="15"/>
        <v>78</v>
      </c>
      <c r="HW18" s="526">
        <f t="shared" si="15"/>
        <v>79</v>
      </c>
      <c r="HX18" s="526">
        <f t="shared" si="15"/>
        <v>80</v>
      </c>
      <c r="HY18" s="526">
        <f t="shared" si="15"/>
        <v>81</v>
      </c>
      <c r="HZ18" s="526">
        <f t="shared" si="15"/>
        <v>82</v>
      </c>
      <c r="IA18" s="526">
        <f t="shared" si="15"/>
        <v>83</v>
      </c>
      <c r="IB18" s="526">
        <f t="shared" si="15"/>
        <v>84</v>
      </c>
      <c r="IC18" s="526">
        <f t="shared" si="15"/>
        <v>85</v>
      </c>
      <c r="ID18" s="526">
        <f t="shared" ref="ID18:JL18" si="16" xml:space="preserve"> IC18 + 1</f>
        <v>86</v>
      </c>
      <c r="IE18" s="526">
        <f t="shared" si="16"/>
        <v>87</v>
      </c>
      <c r="IF18" s="526">
        <f t="shared" si="16"/>
        <v>88</v>
      </c>
      <c r="IG18" s="526">
        <f t="shared" si="16"/>
        <v>89</v>
      </c>
      <c r="IH18" s="526">
        <f t="shared" si="16"/>
        <v>90</v>
      </c>
      <c r="II18" s="526">
        <f t="shared" si="16"/>
        <v>91</v>
      </c>
      <c r="IJ18" s="526">
        <f t="shared" si="16"/>
        <v>92</v>
      </c>
      <c r="IK18" s="526">
        <f t="shared" si="16"/>
        <v>93</v>
      </c>
      <c r="IL18" s="526">
        <f t="shared" si="16"/>
        <v>94</v>
      </c>
      <c r="IM18" s="526">
        <f t="shared" si="16"/>
        <v>95</v>
      </c>
      <c r="IN18" s="526">
        <f t="shared" si="16"/>
        <v>96</v>
      </c>
      <c r="IO18" s="526">
        <f t="shared" si="16"/>
        <v>97</v>
      </c>
      <c r="IP18" s="526">
        <f t="shared" si="16"/>
        <v>98</v>
      </c>
      <c r="IQ18" s="526">
        <f t="shared" si="16"/>
        <v>99</v>
      </c>
      <c r="IR18" s="526">
        <f t="shared" si="16"/>
        <v>100</v>
      </c>
      <c r="IS18" s="526">
        <f t="shared" si="16"/>
        <v>101</v>
      </c>
      <c r="IT18" s="526">
        <f t="shared" si="16"/>
        <v>102</v>
      </c>
      <c r="IU18" s="526">
        <f t="shared" si="16"/>
        <v>103</v>
      </c>
      <c r="IV18" s="526">
        <f t="shared" si="16"/>
        <v>104</v>
      </c>
      <c r="IW18" s="526">
        <f t="shared" si="16"/>
        <v>105</v>
      </c>
      <c r="IX18" s="526">
        <f t="shared" si="16"/>
        <v>106</v>
      </c>
      <c r="IY18" s="526">
        <f t="shared" si="16"/>
        <v>107</v>
      </c>
      <c r="IZ18" s="526">
        <f t="shared" si="16"/>
        <v>108</v>
      </c>
      <c r="JA18" s="526">
        <f t="shared" si="16"/>
        <v>109</v>
      </c>
      <c r="JB18" s="526">
        <f t="shared" si="16"/>
        <v>110</v>
      </c>
      <c r="JC18" s="526">
        <f t="shared" si="16"/>
        <v>111</v>
      </c>
      <c r="JD18" s="526">
        <f t="shared" si="16"/>
        <v>112</v>
      </c>
      <c r="JE18" s="526">
        <f t="shared" si="16"/>
        <v>113</v>
      </c>
      <c r="JF18" s="526">
        <f t="shared" si="16"/>
        <v>114</v>
      </c>
      <c r="JG18" s="526">
        <f t="shared" si="16"/>
        <v>115</v>
      </c>
      <c r="JH18" s="526">
        <f t="shared" si="16"/>
        <v>116</v>
      </c>
      <c r="JI18" s="526">
        <f t="shared" si="16"/>
        <v>117</v>
      </c>
      <c r="JJ18" s="526">
        <f t="shared" si="16"/>
        <v>118</v>
      </c>
      <c r="JK18" s="526">
        <f t="shared" si="16"/>
        <v>119</v>
      </c>
      <c r="JL18" s="526">
        <f t="shared" si="16"/>
        <v>120</v>
      </c>
    </row>
    <row r="19" spans="1:272" s="385" customFormat="1" ht="10.199999999999999" x14ac:dyDescent="0.2">
      <c r="A19" s="527" t="str">
        <f xml:space="preserve"> Basis!A19</f>
        <v>G</v>
      </c>
      <c r="C19" s="388"/>
      <c r="D19" s="388"/>
      <c r="E19" s="388"/>
      <c r="I19" s="436">
        <f xml:space="preserve"> IF(  I10,  INDEX( $I$20:$I$120, MATCH( I12, $A$20:$A$120, 0 ) ),  1  )</f>
        <v>2077.79</v>
      </c>
      <c r="J19" s="436">
        <f xml:space="preserve"> ROUND( I19 * ( 1 + J12 ), J$13 )</f>
        <v>2077.79</v>
      </c>
      <c r="K19" s="528"/>
      <c r="AN19" s="436">
        <f xml:space="preserve"> $J$19</f>
        <v>2077.79</v>
      </c>
      <c r="AO19" s="436">
        <f xml:space="preserve"> $J$19</f>
        <v>2077.79</v>
      </c>
      <c r="AR19" s="433" t="s">
        <v>97</v>
      </c>
      <c r="BR19" s="487"/>
      <c r="BT19" s="436"/>
      <c r="BU19" s="488"/>
      <c r="BW19" s="529"/>
      <c r="CB19" s="530"/>
      <c r="CC19" s="530"/>
      <c r="CH19" s="436"/>
      <c r="CI19" s="436"/>
      <c r="CJ19" s="530"/>
      <c r="CK19" s="530"/>
      <c r="CN19" s="436"/>
      <c r="CO19" s="436"/>
      <c r="CP19" s="530"/>
      <c r="CQ19" s="530"/>
      <c r="EI19" s="436"/>
      <c r="EU19" s="533"/>
      <c r="EZ19" s="533"/>
      <c r="FK19" s="385" t="s">
        <v>141</v>
      </c>
      <c r="FL19" s="493"/>
      <c r="FM19" s="493"/>
      <c r="FO19" s="436">
        <f xml:space="preserve"> $J$19</f>
        <v>2077.79</v>
      </c>
    </row>
    <row r="20" spans="1:272" ht="10.199999999999999" x14ac:dyDescent="0.2">
      <c r="A20" s="534">
        <f xml:space="preserve"> Basis!A20</f>
        <v>20</v>
      </c>
      <c r="B20" s="489"/>
      <c r="C20" s="535"/>
      <c r="D20" s="535"/>
      <c r="E20" s="535"/>
      <c r="F20" s="536">
        <f xml:space="preserve"> ROUND(    IF( $A$15=BE_MF_,   AW20,   INDEX( qx!20:20, F$16 ) ),    F$17    )</f>
        <v>2.9999999999999997E-4</v>
      </c>
      <c r="G20" s="536">
        <f xml:space="preserve"> ROUND(    IF( $A$15=BE_MF_,   BB20,   INDEX( wx!20:20, G$16 ) ),    G$17    )</f>
        <v>0.1709</v>
      </c>
      <c r="H20" s="537">
        <f xml:space="preserve"> ROUND(    IF( $A$15=BE_MF_,   BG20,   INDEX( Kx!20:20, H$16 ) ),    H$17    )</f>
        <v>1707.32</v>
      </c>
      <c r="I20" s="538">
        <f xml:space="preserve"> IF( $A20&gt;$H$12, MAX( H20, I19 ), H20 )</f>
        <v>1707.32</v>
      </c>
      <c r="J20" s="539">
        <f t="shared" ref="J20:J51" si="17" xml:space="preserve"> ROUND(  I20 / I$19,  J$17 )</f>
        <v>0.82199999999999995</v>
      </c>
      <c r="K20" s="540">
        <f xml:space="preserve"> ROUND(  IF( $A20&lt;K$18,  K$15,  MAX( 0, K19-K$16 )   ),  K$17   )</f>
        <v>2</v>
      </c>
      <c r="L20" s="541">
        <f t="shared" ref="L20:M39" si="18" xml:space="preserve"> ROUND(  IF( $A20&lt;L$12, L$15, L$16 ),  L$17  )</f>
        <v>0</v>
      </c>
      <c r="M20" s="541">
        <f t="shared" si="18"/>
        <v>8.5999999999999993E-2</v>
      </c>
      <c r="O20" s="542" t="b">
        <f xml:space="preserve"> AND( O$10&lt;=$A20, $A20&lt;=$O$12 )</f>
        <v>1</v>
      </c>
      <c r="P20" s="493">
        <f t="shared" ref="P20:P51" si="19" xml:space="preserve"> IF( $O20,   IF(  A20&gt;= $O$12, 1,  ROUND(  MIN( 1,  F20 + G20 ),  P$17  )  ), LEER )</f>
        <v>0.17119999999999999</v>
      </c>
      <c r="Q20" s="493">
        <f t="shared" ref="Q20:Q51" si="20" xml:space="preserve"> IF( $O20,    ROUND( 1 - P20,  Q$17  ),  LEER  )</f>
        <v>0.82879999999999998</v>
      </c>
      <c r="R20" s="543">
        <f t="shared" ref="R20:R51" si="21" xml:space="preserve"> IF(  NOT($O20),  LEER,  IF( $A20=R$10,  R$12,  ROUNDDOWN(  R19 * Q19,  R$17 )  )  )</f>
        <v>5000000</v>
      </c>
      <c r="S20" s="544">
        <f t="shared" ref="S20:S51" si="22" xml:space="preserve"> IF( $O20,    ROUND(  ( 1 / ( 1 + S$12 ) ), S$17 ),  LEER  )</f>
        <v>0.97560975599999999</v>
      </c>
      <c r="T20" s="423">
        <f t="shared" ref="T20:T51" si="23" xml:space="preserve"> IF( $O20,    ROUND( R20 * S20 ^ A20, T$17 ),  LEER  )</f>
        <v>3051354.71</v>
      </c>
      <c r="U20" s="423">
        <f xml:space="preserve"> IF( $O20,    ROUND(  SUM( T20:T$120), U$17 ),  LEER  )</f>
        <v>27756818.949999999</v>
      </c>
      <c r="V20" s="493">
        <f t="shared" ref="V20:V51" si="24" xml:space="preserve"> IF( $O20,    IF( T20= 0, 1,  ROUND(  U20 / T20, V$17 )   ),  LEER  )</f>
        <v>9.0966000000000005</v>
      </c>
      <c r="W20" s="493">
        <f t="shared" ref="W20:W51" si="25" xml:space="preserve"> IF( $O20,    ROUND( J20 * T20, W$17 ),  LEER  )</f>
        <v>2508213.5699999998</v>
      </c>
      <c r="X20" s="493">
        <f xml:space="preserve"> IF( $O20,    ROUND(  SUM( W20:W$120), X$17 ),  LEER  )</f>
        <v>32433322.710000001</v>
      </c>
      <c r="Y20" s="493">
        <f t="shared" ref="Y20:Y51" si="26" xml:space="preserve"> IF( $O20,    IF( T20= 0, J20,  ROUND(  X20 / T20, Y$17 )   ),   LEER  )</f>
        <v>10.629200000000001</v>
      </c>
      <c r="Z20" s="493">
        <f t="shared" ref="Z20:Z51" si="27" xml:space="preserve"> IF( $O20,    IF( V20= 0, Y20,  ROUND( Y20 / V20, Z$17 )  ),   LEER  )</f>
        <v>1.1685000000000001</v>
      </c>
      <c r="AA20" s="493">
        <f t="shared" ref="AA20:AA51" si="28" xml:space="preserve"> IF( $O20,    ROUND( ( 12 * V20 * ( 1 - M20 ) ) / ( 12 * V20 * ( 1 - M20 ) - K20 ), AA$17 ),    LEER  )</f>
        <v>1.0205</v>
      </c>
      <c r="AB20" s="493">
        <f t="shared" ref="AB20:AB51" si="29" xml:space="preserve">  IF( $O20,    ROUND( INDEX( $Z$20:$Z$120, AB$16 ) / ( 1 - M20 - L20 - INDEX( $K$20:$K$120, AB$16 ) / ( 12 * INDEX( $V$20:$V$120, AB$16 ) ) ), AB$17 ),       LEER  )</f>
        <v>2.3494000000000002</v>
      </c>
      <c r="AC20" s="545">
        <f t="shared" ref="AC20:AC51" si="30" xml:space="preserve">  IF( NOT($O20),   LEER,   ROUND(  L20 * AB20  +  IF( $A20&lt;AC$12, AC$5, AC$6 ),  AC$17  )    )</f>
        <v>0.38600000000000001</v>
      </c>
      <c r="AD20" s="493">
        <f t="shared" ref="AD20:AD51" si="31" xml:space="preserve">  IF( $O20,   ROUND( AA20 * Z20 + ( AA20 - 1 ) * AC20, AD$17 ),       LEER  )</f>
        <v>1.2003999999999999</v>
      </c>
      <c r="AE20" s="493">
        <f t="shared" ref="AE20:AE51" si="32" xml:space="preserve">  IF( $O20,   ROUND( ( AD20 + AC20 ) / ( 1 - M20), AE$17 ),       LEER  )</f>
        <v>1.7357</v>
      </c>
      <c r="AF20" s="493">
        <f t="shared" ref="AF20:AF51" si="33" xml:space="preserve">  IF(  $O20,   IF(  OR( NOT( $AF$12), $A20=$M$12, AE20&gt;=AF19 ), AE20, MAX( AE20,AF19) ),  LEER  )</f>
        <v>1.7357</v>
      </c>
      <c r="AG20" s="493" t="str">
        <f t="shared" ref="AG20:AG51" si="34" xml:space="preserve">  IF(  $O20,   IF(  AE20=AF20,  LEER, Setzung ),    LEER  )</f>
        <v>.</v>
      </c>
      <c r="AH20" s="493" t="str">
        <f t="shared" ref="AH20:AH51" si="35" xml:space="preserve">  IF(  $O20,   IF( AND( K19&lt;&gt;0, AG20=Setzung), SetzungZillmerung, LEER ),    LEER  )</f>
        <v>.</v>
      </c>
      <c r="AI20" s="423">
        <f t="shared" ref="AI20:AI51" si="36" xml:space="preserve">  IF( $O20,    $J$19,  LEER  )</f>
        <v>2077.79</v>
      </c>
      <c r="AJ20" s="423">
        <f t="shared" ref="AJ20:AJ51" si="37" xml:space="preserve">  IF( $O20,    ROUND( AF20 * AI20, AJ$17 ),  LEER  )</f>
        <v>3606.42</v>
      </c>
      <c r="AK20" s="423">
        <f t="shared" ref="AK20:AK51" si="38" xml:space="preserve">  IF( $O20,    ROUND( AJ20 / 12, AK$17 ),  LEER  )</f>
        <v>300.54000000000002</v>
      </c>
      <c r="AN20" s="423" t="str">
        <f t="shared" ref="AN20:AO39" si="39" xml:space="preserve">  IF( AND( $A20&lt;=$O$12, $A20&gt;=AN$12),    ROUND( AN$19 * ( SUM($Y20) - SUM(AN$8) * SUM($V20) ), AN$17 ),  LEER  )</f>
        <v>.</v>
      </c>
      <c r="AO20" s="423" t="str">
        <f t="shared" si="39"/>
        <v>.</v>
      </c>
      <c r="AR20" s="546">
        <f xml:space="preserve"> ROUND(  INDEX( Kx!20:20, AR$16 ),  AR$17 )</f>
        <v>0.51770000000000005</v>
      </c>
      <c r="AS20" s="547">
        <f xml:space="preserve"> ROUND(  INDEX( qx!20:20, AS$16 ),  AS$17 )</f>
        <v>4.0000000000000002E-4</v>
      </c>
      <c r="AT20" s="547">
        <f xml:space="preserve"> ROUND(  INDEX( qx!20:20, AT$16 ),  AT$17 )</f>
        <v>2.0000000000000001E-4</v>
      </c>
      <c r="AU20" s="548" t="str">
        <f t="shared" ref="AU20:AU51" si="40" xml:space="preserve"> IF( AS20&lt;AT20, AS$13, AT$13 )</f>
        <v>F</v>
      </c>
      <c r="AV20" s="542">
        <f t="shared" ref="AV20:AV51" si="41" xml:space="preserve"> ROUND(     IF( AU20=BE_M_, ( $AR20 + $AR20 * AV$18 ) / ( 1 + $AR20 * AV$18 ),  ( $AR20 ) / ( 1 + ( 1 - $AR20 ) * AV$18 ) ),   AV$17 )</f>
        <v>0.41710000000000003</v>
      </c>
      <c r="AW20" s="542">
        <f t="shared" ref="AW20:AW51" si="42" xml:space="preserve"> ROUND( AV20 * AS20 + ( 1 - AV20) * AT20, AW$17 )</f>
        <v>2.9999999999999997E-4</v>
      </c>
      <c r="AX20" s="546">
        <f xml:space="preserve"> ROUND(  INDEX( wx!20:20, AX$16 ),  AX$17 )</f>
        <v>0.16550000000000001</v>
      </c>
      <c r="AY20" s="546">
        <f xml:space="preserve"> ROUND(  INDEX( wx!20:20, AY$16 ),  AY$17 )</f>
        <v>0.1797</v>
      </c>
      <c r="AZ20" s="548" t="str">
        <f t="shared" ref="AZ20:AZ51" si="43" xml:space="preserve"> IF( AX20&lt;AY20, AX$13, AY$13 )</f>
        <v>M</v>
      </c>
      <c r="BA20" s="542">
        <f t="shared" ref="BA20:BA51" si="44" xml:space="preserve"> ROUND(     IF( AZ20=BE_M_, ( $AR20 + $AR20 * BA$18 ) / ( 1 + $AR20 * BA$18 ),  ( $AR20 ) / ( 1 + ( 1 - $AR20 ) * BA$18 ) ),   BA$17 )</f>
        <v>0.6169</v>
      </c>
      <c r="BB20" s="542">
        <f t="shared" ref="BB20:BB51" si="45" xml:space="preserve"> ROUND( BA20 * AX20 + ( 1 - BA20) * AY20, BB$17 )</f>
        <v>0.1709</v>
      </c>
      <c r="BC20" s="533">
        <f xml:space="preserve"> ROUND(  INDEX( Kx!20:20, BC$16 ),  BC$17 )</f>
        <v>1405.8</v>
      </c>
      <c r="BD20" s="533">
        <f xml:space="preserve"> ROUND(  INDEX( Kx!20:20, BD$16 ),  BD$17 )</f>
        <v>1923.07</v>
      </c>
      <c r="BE20" s="548" t="str">
        <f xml:space="preserve"> IF( BC20&gt;BD20, BC$18, BD$18 )</f>
        <v>F</v>
      </c>
      <c r="BF20" s="542">
        <f t="shared" ref="BF20:BF51" si="46" xml:space="preserve"> ROUND(     IF( BE20=BE_M_, ( $AR20 + $AR20 * BF$18 ) / ( 1 + $AR20 * BF$18 ),  ( $AR20 ) / ( 1 + ( 1 - $AR20 ) * BF$18 ) ),   BF$17 )</f>
        <v>0.41710000000000003</v>
      </c>
      <c r="BG20" s="420">
        <f t="shared" ref="BG20:BG51" si="47" xml:space="preserve"> ROUND( BF20 * BC20 + ( 1 - BF20) * BD20, BG$17 )</f>
        <v>1707.32</v>
      </c>
      <c r="BQ20" s="549"/>
      <c r="BR20" s="423"/>
      <c r="BS20" s="550"/>
      <c r="BT20" s="423"/>
      <c r="BU20" s="551"/>
      <c r="BV20" s="551"/>
      <c r="BW20" s="529"/>
      <c r="BX20" s="552"/>
      <c r="CB20" s="423"/>
      <c r="CC20" s="423"/>
      <c r="CD20" s="423"/>
      <c r="CE20" s="423"/>
      <c r="CF20" s="553"/>
      <c r="CH20" s="423"/>
      <c r="CI20" s="423"/>
      <c r="CJ20" s="423"/>
      <c r="CK20" s="423"/>
      <c r="CL20" s="553"/>
      <c r="CN20" s="423"/>
      <c r="CO20" s="423"/>
      <c r="CP20" s="423"/>
      <c r="CQ20" s="423"/>
      <c r="CR20" s="553"/>
      <c r="DM20" s="554"/>
      <c r="DO20" s="385"/>
      <c r="DP20" s="385"/>
      <c r="DQ20" s="385"/>
      <c r="EI20" s="553"/>
      <c r="EJ20" s="553"/>
      <c r="EK20" s="423"/>
      <c r="EL20" s="555"/>
      <c r="ES20" s="533"/>
      <c r="ET20" s="533"/>
      <c r="EU20" s="533"/>
      <c r="EV20" s="556"/>
      <c r="EY20" s="533"/>
      <c r="EZ20" s="533"/>
      <c r="FA20" s="556"/>
      <c r="FD20" s="556"/>
      <c r="FE20" s="556"/>
      <c r="FF20" s="556"/>
      <c r="FK20" s="557">
        <f t="shared" ref="FK20:FK51" si="48" xml:space="preserve"> A20</f>
        <v>20</v>
      </c>
      <c r="FL20" s="493">
        <f t="shared" ref="FL20:FL51" si="49" xml:space="preserve"> Y20</f>
        <v>10.629200000000001</v>
      </c>
      <c r="FM20" s="493">
        <f t="shared" ref="FM20:FM51" si="50" xml:space="preserve"> V20</f>
        <v>9.0966000000000005</v>
      </c>
      <c r="FO20" s="427">
        <f xml:space="preserve"> SUM( FP20:JL20 )</f>
        <v>-603.29999999999995</v>
      </c>
      <c r="FP20" s="558">
        <f t="shared" ref="FP20:GE35" si="51" xml:space="preserve"> IF(  OR( FP$18&gt;$FK20, $FK20&gt;$FP$12 ),  LEER,  ROUND( $FO$19 * ( $FL20 - FP$15 * $FM20 ), FP$17 )  )</f>
        <v>-603.29999999999995</v>
      </c>
      <c r="FQ20" s="558" t="str">
        <f t="shared" si="51"/>
        <v>.</v>
      </c>
      <c r="FR20" s="558" t="str">
        <f t="shared" si="51"/>
        <v>.</v>
      </c>
      <c r="FS20" s="558" t="str">
        <f t="shared" si="51"/>
        <v>.</v>
      </c>
      <c r="FT20" s="558" t="str">
        <f t="shared" si="51"/>
        <v>.</v>
      </c>
      <c r="FU20" s="558" t="str">
        <f t="shared" si="51"/>
        <v>.</v>
      </c>
      <c r="FV20" s="558" t="str">
        <f t="shared" si="51"/>
        <v>.</v>
      </c>
      <c r="FW20" s="558" t="str">
        <f t="shared" si="51"/>
        <v>.</v>
      </c>
      <c r="FX20" s="558" t="str">
        <f t="shared" si="51"/>
        <v>.</v>
      </c>
      <c r="FY20" s="558" t="str">
        <f t="shared" si="51"/>
        <v>.</v>
      </c>
      <c r="FZ20" s="558" t="str">
        <f t="shared" si="51"/>
        <v>.</v>
      </c>
      <c r="GA20" s="558" t="str">
        <f t="shared" si="51"/>
        <v>.</v>
      </c>
      <c r="GB20" s="558" t="str">
        <f t="shared" si="51"/>
        <v>.</v>
      </c>
      <c r="GC20" s="558" t="str">
        <f t="shared" si="51"/>
        <v>.</v>
      </c>
      <c r="GD20" s="558" t="str">
        <f t="shared" si="51"/>
        <v>.</v>
      </c>
      <c r="GE20" s="558" t="str">
        <f t="shared" si="51"/>
        <v>.</v>
      </c>
      <c r="GF20" s="558" t="str">
        <f t="shared" ref="GF20:GU35" si="52" xml:space="preserve"> IF(  OR( GF$18&gt;$FK20, $FK20&gt;$FP$12 ),  LEER,  ROUND( $FO$19 * ( $FL20 - GF$15 * $FM20 ), GF$17 )  )</f>
        <v>.</v>
      </c>
      <c r="GG20" s="558" t="str">
        <f t="shared" si="52"/>
        <v>.</v>
      </c>
      <c r="GH20" s="558" t="str">
        <f t="shared" si="52"/>
        <v>.</v>
      </c>
      <c r="GI20" s="558" t="str">
        <f t="shared" si="52"/>
        <v>.</v>
      </c>
      <c r="GJ20" s="558" t="str">
        <f t="shared" si="52"/>
        <v>.</v>
      </c>
      <c r="GK20" s="558" t="str">
        <f t="shared" si="52"/>
        <v>.</v>
      </c>
      <c r="GL20" s="558" t="str">
        <f t="shared" si="52"/>
        <v>.</v>
      </c>
      <c r="GM20" s="558" t="str">
        <f t="shared" si="52"/>
        <v>.</v>
      </c>
      <c r="GN20" s="558" t="str">
        <f t="shared" si="52"/>
        <v>.</v>
      </c>
      <c r="GO20" s="558" t="str">
        <f t="shared" si="52"/>
        <v>.</v>
      </c>
      <c r="GP20" s="558" t="str">
        <f t="shared" si="52"/>
        <v>.</v>
      </c>
      <c r="GQ20" s="558" t="str">
        <f t="shared" si="52"/>
        <v>.</v>
      </c>
      <c r="GR20" s="558" t="str">
        <f t="shared" si="52"/>
        <v>.</v>
      </c>
      <c r="GS20" s="558" t="str">
        <f t="shared" si="52"/>
        <v>.</v>
      </c>
      <c r="GT20" s="558" t="str">
        <f t="shared" si="52"/>
        <v>.</v>
      </c>
      <c r="GU20" s="558" t="str">
        <f t="shared" si="52"/>
        <v>.</v>
      </c>
      <c r="GV20" s="558" t="str">
        <f t="shared" ref="GV20:HK35" si="53" xml:space="preserve"> IF(  OR( GV$18&gt;$FK20, $FK20&gt;$FP$12 ),  LEER,  ROUND( $FO$19 * ( $FL20 - GV$15 * $FM20 ), GV$17 )  )</f>
        <v>.</v>
      </c>
      <c r="GW20" s="558" t="str">
        <f t="shared" si="53"/>
        <v>.</v>
      </c>
      <c r="GX20" s="558" t="str">
        <f t="shared" si="53"/>
        <v>.</v>
      </c>
      <c r="GY20" s="558" t="str">
        <f t="shared" si="53"/>
        <v>.</v>
      </c>
      <c r="GZ20" s="558" t="str">
        <f t="shared" si="53"/>
        <v>.</v>
      </c>
      <c r="HA20" s="558" t="str">
        <f t="shared" si="53"/>
        <v>.</v>
      </c>
      <c r="HB20" s="558" t="str">
        <f t="shared" si="53"/>
        <v>.</v>
      </c>
      <c r="HC20" s="558" t="str">
        <f t="shared" si="53"/>
        <v>.</v>
      </c>
      <c r="HD20" s="558" t="str">
        <f t="shared" si="53"/>
        <v>.</v>
      </c>
      <c r="HE20" s="558" t="str">
        <f t="shared" si="53"/>
        <v>.</v>
      </c>
      <c r="HF20" s="558" t="str">
        <f t="shared" si="53"/>
        <v>.</v>
      </c>
      <c r="HG20" s="558" t="str">
        <f t="shared" si="53"/>
        <v>.</v>
      </c>
      <c r="HH20" s="558" t="str">
        <f t="shared" si="53"/>
        <v>.</v>
      </c>
      <c r="HI20" s="558" t="str">
        <f t="shared" si="53"/>
        <v>.</v>
      </c>
      <c r="HJ20" s="558" t="str">
        <f t="shared" si="53"/>
        <v>.</v>
      </c>
      <c r="HK20" s="558" t="str">
        <f t="shared" si="53"/>
        <v>.</v>
      </c>
      <c r="HL20" s="558" t="str">
        <f t="shared" ref="HL20:IC34" si="54" xml:space="preserve"> IF(  OR( HL$18&gt;$FK20, $FK20&gt;$FP$12 ),  LEER,  ROUND( $FO$19 * ( $FL20 - HL$15 * $FM20 ), HL$17 )  )</f>
        <v>.</v>
      </c>
      <c r="HM20" s="558" t="str">
        <f t="shared" si="54"/>
        <v>.</v>
      </c>
      <c r="HN20" s="558" t="str">
        <f t="shared" si="54"/>
        <v>.</v>
      </c>
      <c r="HO20" s="558" t="str">
        <f t="shared" si="54"/>
        <v>.</v>
      </c>
      <c r="HP20" s="558" t="str">
        <f t="shared" si="54"/>
        <v>.</v>
      </c>
      <c r="HQ20" s="558" t="str">
        <f t="shared" si="54"/>
        <v>.</v>
      </c>
      <c r="HR20" s="558" t="str">
        <f t="shared" si="54"/>
        <v>.</v>
      </c>
      <c r="HS20" s="558" t="str">
        <f t="shared" si="54"/>
        <v>.</v>
      </c>
      <c r="HT20" s="558" t="str">
        <f t="shared" si="54"/>
        <v>.</v>
      </c>
      <c r="HU20" s="558" t="str">
        <f t="shared" si="54"/>
        <v>.</v>
      </c>
      <c r="HV20" s="558" t="str">
        <f t="shared" si="54"/>
        <v>.</v>
      </c>
      <c r="HW20" s="558" t="str">
        <f t="shared" si="54"/>
        <v>.</v>
      </c>
      <c r="HX20" s="558" t="str">
        <f t="shared" si="54"/>
        <v>.</v>
      </c>
      <c r="HY20" s="558" t="str">
        <f t="shared" si="54"/>
        <v>.</v>
      </c>
      <c r="HZ20" s="558" t="str">
        <f t="shared" si="54"/>
        <v>.</v>
      </c>
      <c r="IA20" s="558" t="str">
        <f t="shared" si="54"/>
        <v>.</v>
      </c>
      <c r="IB20" s="558" t="str">
        <f t="shared" si="54"/>
        <v>.</v>
      </c>
      <c r="IC20" s="558" t="str">
        <f t="shared" si="54"/>
        <v>.</v>
      </c>
      <c r="ID20" s="558" t="str">
        <f t="shared" ref="ID20:JB30" si="55" xml:space="preserve"> IF(  OR( ID$18&gt;$FK20, $FK20&gt;$FP$12 ),  LEER,  ROUND( $FO$19 * ( $FL20 - ID$15 * $FM20 ), ID$17 )  )</f>
        <v>.</v>
      </c>
      <c r="IE20" s="558" t="str">
        <f t="shared" si="55"/>
        <v>.</v>
      </c>
      <c r="IF20" s="558" t="str">
        <f t="shared" si="55"/>
        <v>.</v>
      </c>
      <c r="IG20" s="558" t="str">
        <f t="shared" si="55"/>
        <v>.</v>
      </c>
      <c r="IH20" s="558" t="str">
        <f t="shared" si="55"/>
        <v>.</v>
      </c>
      <c r="II20" s="558" t="str">
        <f t="shared" si="55"/>
        <v>.</v>
      </c>
      <c r="IJ20" s="558" t="str">
        <f t="shared" si="55"/>
        <v>.</v>
      </c>
      <c r="IK20" s="558" t="str">
        <f t="shared" si="55"/>
        <v>.</v>
      </c>
      <c r="IL20" s="558" t="str">
        <f t="shared" si="55"/>
        <v>.</v>
      </c>
      <c r="IM20" s="558" t="str">
        <f t="shared" si="55"/>
        <v>.</v>
      </c>
      <c r="IN20" s="558" t="str">
        <f t="shared" si="55"/>
        <v>.</v>
      </c>
      <c r="IO20" s="558" t="str">
        <f t="shared" si="55"/>
        <v>.</v>
      </c>
      <c r="IP20" s="558" t="str">
        <f t="shared" si="55"/>
        <v>.</v>
      </c>
      <c r="IQ20" s="558" t="str">
        <f t="shared" si="55"/>
        <v>.</v>
      </c>
      <c r="IR20" s="558" t="str">
        <f t="shared" si="55"/>
        <v>.</v>
      </c>
      <c r="IS20" s="558" t="str">
        <f t="shared" si="55"/>
        <v>.</v>
      </c>
      <c r="IT20" s="558" t="str">
        <f t="shared" si="55"/>
        <v>.</v>
      </c>
      <c r="IU20" s="558" t="str">
        <f t="shared" si="55"/>
        <v>.</v>
      </c>
      <c r="IV20" s="558" t="str">
        <f t="shared" si="55"/>
        <v>.</v>
      </c>
      <c r="IW20" s="558" t="str">
        <f t="shared" si="55"/>
        <v>.</v>
      </c>
      <c r="IX20" s="558" t="str">
        <f t="shared" si="55"/>
        <v>.</v>
      </c>
      <c r="IY20" s="558" t="str">
        <f t="shared" si="55"/>
        <v>.</v>
      </c>
      <c r="IZ20" s="558" t="str">
        <f t="shared" si="55"/>
        <v>.</v>
      </c>
      <c r="JA20" s="558" t="str">
        <f t="shared" si="55"/>
        <v>.</v>
      </c>
      <c r="JB20" s="558" t="str">
        <f t="shared" si="55"/>
        <v>.</v>
      </c>
      <c r="JC20" s="558" t="str">
        <f t="shared" ref="JC20:JL35" si="56" xml:space="preserve"> IF(  OR( JC$18&gt;$FK20, $FK20&gt;$FP$12 ),  LEER,  ROUND( $FO$19 * ( $FL20 - JC$15 * $FM20 ), JC$17 )  )</f>
        <v>.</v>
      </c>
      <c r="JD20" s="558" t="str">
        <f t="shared" si="56"/>
        <v>.</v>
      </c>
      <c r="JE20" s="558" t="str">
        <f t="shared" si="56"/>
        <v>.</v>
      </c>
      <c r="JF20" s="558" t="str">
        <f t="shared" si="56"/>
        <v>.</v>
      </c>
      <c r="JG20" s="558" t="str">
        <f t="shared" si="56"/>
        <v>.</v>
      </c>
      <c r="JH20" s="558" t="str">
        <f t="shared" si="56"/>
        <v>.</v>
      </c>
      <c r="JI20" s="558" t="str">
        <f t="shared" si="56"/>
        <v>.</v>
      </c>
      <c r="JJ20" s="558" t="str">
        <f t="shared" si="56"/>
        <v>.</v>
      </c>
      <c r="JK20" s="558" t="str">
        <f t="shared" si="56"/>
        <v>.</v>
      </c>
      <c r="JL20" s="558" t="str">
        <f t="shared" si="56"/>
        <v>.</v>
      </c>
    </row>
    <row r="21" spans="1:272" ht="10.199999999999999" x14ac:dyDescent="0.2">
      <c r="A21" s="534">
        <f xml:space="preserve"> Basis!A21</f>
        <v>21</v>
      </c>
      <c r="F21" s="536">
        <f xml:space="preserve"> ROUND(    IF( $A$15=BE_MF_,   AW21,   INDEX( qx!21:21, F$16 ) ),    F$17    )</f>
        <v>2.9999999999999997E-4</v>
      </c>
      <c r="G21" s="536">
        <f xml:space="preserve"> ROUND(    IF( $A$15=BE_MF_,   BB21,   INDEX( wx!21:21, G$16 ) ),    G$17    )</f>
        <v>0.14710000000000001</v>
      </c>
      <c r="H21" s="537">
        <f xml:space="preserve"> ROUND(    IF( $A$15=BE_MF_,   BG21,   INDEX( Kx!21:21, H$16 ) ),    H$17    )</f>
        <v>1726.77</v>
      </c>
      <c r="I21" s="538">
        <f t="shared" ref="I21:I84" si="57" xml:space="preserve"> IF( $A21&gt;$H$12, MAX( H21, I20 ), H21 )</f>
        <v>1726.77</v>
      </c>
      <c r="J21" s="539">
        <f t="shared" si="17"/>
        <v>0.83099999999999996</v>
      </c>
      <c r="K21" s="540">
        <f t="shared" ref="K21:K52" si="58" xml:space="preserve"> IF( $A21&lt;K$18,  K$15,  MAX( 0, K20-K$16 )   )</f>
        <v>2</v>
      </c>
      <c r="L21" s="541">
        <f t="shared" si="18"/>
        <v>0</v>
      </c>
      <c r="M21" s="541">
        <f t="shared" si="18"/>
        <v>8.5999999999999993E-2</v>
      </c>
      <c r="O21" s="542" t="b">
        <f t="shared" ref="O21:O84" si="59" xml:space="preserve"> AND( O$10&lt;=$A21, $A21&lt;=$O$12 )</f>
        <v>1</v>
      </c>
      <c r="P21" s="493">
        <f t="shared" si="19"/>
        <v>0.1474</v>
      </c>
      <c r="Q21" s="493">
        <f t="shared" si="20"/>
        <v>0.85260000000000002</v>
      </c>
      <c r="R21" s="543">
        <f t="shared" si="21"/>
        <v>4144000</v>
      </c>
      <c r="S21" s="544">
        <f t="shared" si="22"/>
        <v>0.97560975599999999</v>
      </c>
      <c r="T21" s="423">
        <f t="shared" si="23"/>
        <v>2467280.7599999998</v>
      </c>
      <c r="U21" s="423">
        <f xml:space="preserve"> IF( $O21,    ROUND(  SUM( T21:T$120), U$17 ),  LEER  )</f>
        <v>24705464.239999998</v>
      </c>
      <c r="V21" s="493">
        <f t="shared" si="24"/>
        <v>10.013199999999999</v>
      </c>
      <c r="W21" s="493">
        <f t="shared" si="25"/>
        <v>2050310.31</v>
      </c>
      <c r="X21" s="493">
        <f xml:space="preserve"> IF( $O21,    ROUND(  SUM( W21:W$120), X$17 ),  LEER  )</f>
        <v>29925109.140000001</v>
      </c>
      <c r="Y21" s="493">
        <f t="shared" si="26"/>
        <v>12.1288</v>
      </c>
      <c r="Z21" s="493">
        <f t="shared" si="27"/>
        <v>1.2113</v>
      </c>
      <c r="AA21" s="493">
        <f t="shared" si="28"/>
        <v>1.0185</v>
      </c>
      <c r="AB21" s="493">
        <f t="shared" si="29"/>
        <v>2.3494000000000002</v>
      </c>
      <c r="AC21" s="545">
        <f t="shared" si="30"/>
        <v>0.38600000000000001</v>
      </c>
      <c r="AD21" s="493">
        <f t="shared" si="31"/>
        <v>1.2408999999999999</v>
      </c>
      <c r="AE21" s="493">
        <f t="shared" si="32"/>
        <v>1.78</v>
      </c>
      <c r="AF21" s="493">
        <f t="shared" si="33"/>
        <v>1.78</v>
      </c>
      <c r="AG21" s="493" t="str">
        <f t="shared" si="34"/>
        <v>.</v>
      </c>
      <c r="AH21" s="493" t="str">
        <f t="shared" si="35"/>
        <v>.</v>
      </c>
      <c r="AI21" s="423">
        <f t="shared" si="36"/>
        <v>2077.79</v>
      </c>
      <c r="AJ21" s="423">
        <f t="shared" si="37"/>
        <v>3698.47</v>
      </c>
      <c r="AK21" s="423">
        <f t="shared" si="38"/>
        <v>308.20999999999998</v>
      </c>
      <c r="AN21" s="423" t="str">
        <f t="shared" si="39"/>
        <v>.</v>
      </c>
      <c r="AO21" s="423" t="str">
        <f t="shared" si="39"/>
        <v>.</v>
      </c>
      <c r="AR21" s="546">
        <f xml:space="preserve"> ROUND(  INDEX( Kx!21:21, AR$16 ),  AR$17 )</f>
        <v>0.53779999999999994</v>
      </c>
      <c r="AS21" s="547">
        <f xml:space="preserve"> ROUND(  INDEX( qx!21:21, AS$16 ),  AS$17 )</f>
        <v>4.0000000000000002E-4</v>
      </c>
      <c r="AT21" s="547">
        <f xml:space="preserve"> ROUND(  INDEX( qx!21:21, AT$16 ),  AT$17 )</f>
        <v>2.0000000000000001E-4</v>
      </c>
      <c r="AU21" s="548" t="str">
        <f t="shared" si="40"/>
        <v>F</v>
      </c>
      <c r="AV21" s="542">
        <f t="shared" si="41"/>
        <v>0.43680000000000002</v>
      </c>
      <c r="AW21" s="542">
        <f t="shared" si="42"/>
        <v>2.9999999999999997E-4</v>
      </c>
      <c r="AX21" s="546">
        <f xml:space="preserve"> ROUND(  INDEX( wx!21:21, AX$16 ),  AX$17 )</f>
        <v>0.1409</v>
      </c>
      <c r="AY21" s="546">
        <f xml:space="preserve"> ROUND(  INDEX( wx!21:21, AY$16 ),  AY$17 )</f>
        <v>0.1578</v>
      </c>
      <c r="AZ21" s="548" t="str">
        <f t="shared" si="43"/>
        <v>M</v>
      </c>
      <c r="BA21" s="542">
        <f t="shared" si="44"/>
        <v>0.63570000000000004</v>
      </c>
      <c r="BB21" s="542">
        <f t="shared" si="45"/>
        <v>0.14710000000000001</v>
      </c>
      <c r="BC21" s="533">
        <f xml:space="preserve"> ROUND(  INDEX( Kx!21:21, BC$16 ),  BC$17 )</f>
        <v>1395.61</v>
      </c>
      <c r="BD21" s="533">
        <f xml:space="preserve"> ROUND(  INDEX( Kx!21:21, BD$16 ),  BD$17 )</f>
        <v>1983.6</v>
      </c>
      <c r="BE21" s="548" t="str">
        <f t="shared" ref="BE21:BE84" si="60" xml:space="preserve"> IF( BC21&gt;BD21, BC$18, BD$18 )</f>
        <v>F</v>
      </c>
      <c r="BF21" s="542">
        <f t="shared" si="46"/>
        <v>0.43680000000000002</v>
      </c>
      <c r="BG21" s="420">
        <f t="shared" si="47"/>
        <v>1726.77</v>
      </c>
      <c r="BQ21" s="549"/>
      <c r="BR21" s="423"/>
      <c r="BS21" s="550"/>
      <c r="BT21" s="423"/>
      <c r="BU21" s="551"/>
      <c r="BV21" s="551"/>
      <c r="BW21" s="529"/>
      <c r="BX21" s="552"/>
      <c r="BY21" s="559"/>
      <c r="BZ21" s="559"/>
      <c r="CB21" s="423"/>
      <c r="CC21" s="423"/>
      <c r="CD21" s="423"/>
      <c r="CE21" s="423"/>
      <c r="CF21" s="553"/>
      <c r="CH21" s="423"/>
      <c r="CI21" s="423"/>
      <c r="CJ21" s="423"/>
      <c r="CK21" s="423"/>
      <c r="CL21" s="553"/>
      <c r="CN21" s="423"/>
      <c r="CO21" s="423"/>
      <c r="CP21" s="423"/>
      <c r="CQ21" s="423"/>
      <c r="CR21" s="553"/>
      <c r="DM21" s="554"/>
      <c r="DO21" s="385"/>
      <c r="DP21" s="385"/>
      <c r="DQ21" s="385"/>
      <c r="EI21" s="553"/>
      <c r="EJ21" s="553"/>
      <c r="EK21" s="423"/>
      <c r="EL21" s="555"/>
      <c r="ES21" s="533"/>
      <c r="ET21" s="533"/>
      <c r="EU21" s="533"/>
      <c r="EV21" s="556"/>
      <c r="EY21" s="533"/>
      <c r="EZ21" s="533"/>
      <c r="FA21" s="556"/>
      <c r="FD21" s="556"/>
      <c r="FE21" s="556"/>
      <c r="FF21" s="556"/>
      <c r="FK21" s="557">
        <f t="shared" si="48"/>
        <v>21</v>
      </c>
      <c r="FL21" s="493">
        <f t="shared" si="49"/>
        <v>12.1288</v>
      </c>
      <c r="FM21" s="493">
        <f t="shared" si="50"/>
        <v>10.013199999999999</v>
      </c>
      <c r="FO21" s="427">
        <f t="shared" ref="FO21:FO84" si="61" xml:space="preserve"> SUM( FP21:JL21 )</f>
        <v>-389.84000000000003</v>
      </c>
      <c r="FP21" s="558">
        <f t="shared" si="51"/>
        <v>226.39</v>
      </c>
      <c r="FQ21" s="558">
        <f t="shared" si="51"/>
        <v>-616.23</v>
      </c>
      <c r="FR21" s="558" t="str">
        <f t="shared" si="51"/>
        <v>.</v>
      </c>
      <c r="FS21" s="558" t="str">
        <f t="shared" si="51"/>
        <v>.</v>
      </c>
      <c r="FT21" s="558" t="str">
        <f t="shared" si="51"/>
        <v>.</v>
      </c>
      <c r="FU21" s="558" t="str">
        <f t="shared" si="51"/>
        <v>.</v>
      </c>
      <c r="FV21" s="558" t="str">
        <f t="shared" si="51"/>
        <v>.</v>
      </c>
      <c r="FW21" s="558" t="str">
        <f t="shared" si="51"/>
        <v>.</v>
      </c>
      <c r="FX21" s="558" t="str">
        <f t="shared" si="51"/>
        <v>.</v>
      </c>
      <c r="FY21" s="558" t="str">
        <f t="shared" si="51"/>
        <v>.</v>
      </c>
      <c r="FZ21" s="558" t="str">
        <f t="shared" si="51"/>
        <v>.</v>
      </c>
      <c r="GA21" s="558" t="str">
        <f t="shared" si="51"/>
        <v>.</v>
      </c>
      <c r="GB21" s="558" t="str">
        <f t="shared" si="51"/>
        <v>.</v>
      </c>
      <c r="GC21" s="558" t="str">
        <f t="shared" si="51"/>
        <v>.</v>
      </c>
      <c r="GD21" s="558" t="str">
        <f t="shared" si="51"/>
        <v>.</v>
      </c>
      <c r="GE21" s="558" t="str">
        <f t="shared" si="51"/>
        <v>.</v>
      </c>
      <c r="GF21" s="558" t="str">
        <f t="shared" si="52"/>
        <v>.</v>
      </c>
      <c r="GG21" s="558" t="str">
        <f t="shared" si="52"/>
        <v>.</v>
      </c>
      <c r="GH21" s="558" t="str">
        <f t="shared" si="52"/>
        <v>.</v>
      </c>
      <c r="GI21" s="558" t="str">
        <f t="shared" si="52"/>
        <v>.</v>
      </c>
      <c r="GJ21" s="558" t="str">
        <f t="shared" si="52"/>
        <v>.</v>
      </c>
      <c r="GK21" s="558" t="str">
        <f t="shared" si="52"/>
        <v>.</v>
      </c>
      <c r="GL21" s="558" t="str">
        <f t="shared" si="52"/>
        <v>.</v>
      </c>
      <c r="GM21" s="558" t="str">
        <f t="shared" si="52"/>
        <v>.</v>
      </c>
      <c r="GN21" s="558" t="str">
        <f t="shared" si="52"/>
        <v>.</v>
      </c>
      <c r="GO21" s="558" t="str">
        <f t="shared" si="52"/>
        <v>.</v>
      </c>
      <c r="GP21" s="558" t="str">
        <f t="shared" si="52"/>
        <v>.</v>
      </c>
      <c r="GQ21" s="558" t="str">
        <f t="shared" si="52"/>
        <v>.</v>
      </c>
      <c r="GR21" s="558" t="str">
        <f t="shared" si="52"/>
        <v>.</v>
      </c>
      <c r="GS21" s="558" t="str">
        <f t="shared" si="52"/>
        <v>.</v>
      </c>
      <c r="GT21" s="558" t="str">
        <f t="shared" si="52"/>
        <v>.</v>
      </c>
      <c r="GU21" s="558" t="str">
        <f t="shared" si="52"/>
        <v>.</v>
      </c>
      <c r="GV21" s="558" t="str">
        <f t="shared" si="53"/>
        <v>.</v>
      </c>
      <c r="GW21" s="558" t="str">
        <f t="shared" si="53"/>
        <v>.</v>
      </c>
      <c r="GX21" s="558" t="str">
        <f t="shared" si="53"/>
        <v>.</v>
      </c>
      <c r="GY21" s="558" t="str">
        <f t="shared" si="53"/>
        <v>.</v>
      </c>
      <c r="GZ21" s="558" t="str">
        <f t="shared" si="53"/>
        <v>.</v>
      </c>
      <c r="HA21" s="558" t="str">
        <f t="shared" si="53"/>
        <v>.</v>
      </c>
      <c r="HB21" s="558" t="str">
        <f t="shared" si="53"/>
        <v>.</v>
      </c>
      <c r="HC21" s="558" t="str">
        <f t="shared" si="53"/>
        <v>.</v>
      </c>
      <c r="HD21" s="558" t="str">
        <f t="shared" si="53"/>
        <v>.</v>
      </c>
      <c r="HE21" s="558" t="str">
        <f t="shared" si="53"/>
        <v>.</v>
      </c>
      <c r="HF21" s="558" t="str">
        <f t="shared" si="53"/>
        <v>.</v>
      </c>
      <c r="HG21" s="558" t="str">
        <f t="shared" si="53"/>
        <v>.</v>
      </c>
      <c r="HH21" s="558" t="str">
        <f t="shared" si="53"/>
        <v>.</v>
      </c>
      <c r="HI21" s="558" t="str">
        <f t="shared" si="53"/>
        <v>.</v>
      </c>
      <c r="HJ21" s="558" t="str">
        <f t="shared" si="53"/>
        <v>.</v>
      </c>
      <c r="HK21" s="558" t="str">
        <f t="shared" si="53"/>
        <v>.</v>
      </c>
      <c r="HL21" s="558" t="str">
        <f t="shared" si="54"/>
        <v>.</v>
      </c>
      <c r="HM21" s="558" t="str">
        <f t="shared" si="54"/>
        <v>.</v>
      </c>
      <c r="HN21" s="558" t="str">
        <f t="shared" si="54"/>
        <v>.</v>
      </c>
      <c r="HO21" s="558" t="str">
        <f t="shared" si="54"/>
        <v>.</v>
      </c>
      <c r="HP21" s="558" t="str">
        <f t="shared" si="54"/>
        <v>.</v>
      </c>
      <c r="HQ21" s="558" t="str">
        <f t="shared" si="54"/>
        <v>.</v>
      </c>
      <c r="HR21" s="558" t="str">
        <f t="shared" si="54"/>
        <v>.</v>
      </c>
      <c r="HS21" s="558" t="str">
        <f t="shared" si="54"/>
        <v>.</v>
      </c>
      <c r="HT21" s="558" t="str">
        <f t="shared" si="54"/>
        <v>.</v>
      </c>
      <c r="HU21" s="558" t="str">
        <f t="shared" si="54"/>
        <v>.</v>
      </c>
      <c r="HV21" s="558" t="str">
        <f t="shared" si="54"/>
        <v>.</v>
      </c>
      <c r="HW21" s="558" t="str">
        <f t="shared" si="54"/>
        <v>.</v>
      </c>
      <c r="HX21" s="558" t="str">
        <f t="shared" si="54"/>
        <v>.</v>
      </c>
      <c r="HY21" s="558" t="str">
        <f t="shared" si="54"/>
        <v>.</v>
      </c>
      <c r="HZ21" s="558" t="str">
        <f t="shared" si="54"/>
        <v>.</v>
      </c>
      <c r="IA21" s="558" t="str">
        <f t="shared" si="54"/>
        <v>.</v>
      </c>
      <c r="IB21" s="558" t="str">
        <f t="shared" si="54"/>
        <v>.</v>
      </c>
      <c r="IC21" s="558" t="str">
        <f t="shared" si="54"/>
        <v>.</v>
      </c>
      <c r="ID21" s="558" t="str">
        <f t="shared" si="55"/>
        <v>.</v>
      </c>
      <c r="IE21" s="558" t="str">
        <f t="shared" si="55"/>
        <v>.</v>
      </c>
      <c r="IF21" s="558" t="str">
        <f t="shared" si="55"/>
        <v>.</v>
      </c>
      <c r="IG21" s="558" t="str">
        <f t="shared" si="55"/>
        <v>.</v>
      </c>
      <c r="IH21" s="558" t="str">
        <f t="shared" si="55"/>
        <v>.</v>
      </c>
      <c r="II21" s="558" t="str">
        <f t="shared" si="55"/>
        <v>.</v>
      </c>
      <c r="IJ21" s="558" t="str">
        <f t="shared" si="55"/>
        <v>.</v>
      </c>
      <c r="IK21" s="558" t="str">
        <f t="shared" si="55"/>
        <v>.</v>
      </c>
      <c r="IL21" s="558" t="str">
        <f t="shared" si="55"/>
        <v>.</v>
      </c>
      <c r="IM21" s="558" t="str">
        <f t="shared" si="55"/>
        <v>.</v>
      </c>
      <c r="IN21" s="558" t="str">
        <f t="shared" si="55"/>
        <v>.</v>
      </c>
      <c r="IO21" s="558" t="str">
        <f t="shared" si="55"/>
        <v>.</v>
      </c>
      <c r="IP21" s="558" t="str">
        <f t="shared" si="55"/>
        <v>.</v>
      </c>
      <c r="IQ21" s="558" t="str">
        <f t="shared" si="55"/>
        <v>.</v>
      </c>
      <c r="IR21" s="558" t="str">
        <f t="shared" si="55"/>
        <v>.</v>
      </c>
      <c r="IS21" s="558" t="str">
        <f t="shared" si="55"/>
        <v>.</v>
      </c>
      <c r="IT21" s="558" t="str">
        <f t="shared" si="55"/>
        <v>.</v>
      </c>
      <c r="IU21" s="558" t="str">
        <f t="shared" si="55"/>
        <v>.</v>
      </c>
      <c r="IV21" s="558" t="str">
        <f t="shared" si="55"/>
        <v>.</v>
      </c>
      <c r="IW21" s="558" t="str">
        <f t="shared" si="55"/>
        <v>.</v>
      </c>
      <c r="IX21" s="558" t="str">
        <f t="shared" si="55"/>
        <v>.</v>
      </c>
      <c r="IY21" s="558" t="str">
        <f t="shared" si="55"/>
        <v>.</v>
      </c>
      <c r="IZ21" s="558" t="str">
        <f t="shared" si="55"/>
        <v>.</v>
      </c>
      <c r="JA21" s="558" t="str">
        <f t="shared" si="55"/>
        <v>.</v>
      </c>
      <c r="JB21" s="558" t="str">
        <f t="shared" si="55"/>
        <v>.</v>
      </c>
      <c r="JC21" s="558" t="str">
        <f t="shared" si="56"/>
        <v>.</v>
      </c>
      <c r="JD21" s="558" t="str">
        <f t="shared" si="56"/>
        <v>.</v>
      </c>
      <c r="JE21" s="558" t="str">
        <f t="shared" si="56"/>
        <v>.</v>
      </c>
      <c r="JF21" s="558" t="str">
        <f t="shared" si="56"/>
        <v>.</v>
      </c>
      <c r="JG21" s="558" t="str">
        <f t="shared" si="56"/>
        <v>.</v>
      </c>
      <c r="JH21" s="558" t="str">
        <f t="shared" si="56"/>
        <v>.</v>
      </c>
      <c r="JI21" s="558" t="str">
        <f t="shared" si="56"/>
        <v>.</v>
      </c>
      <c r="JJ21" s="558" t="str">
        <f t="shared" si="56"/>
        <v>.</v>
      </c>
      <c r="JK21" s="558" t="str">
        <f t="shared" si="56"/>
        <v>.</v>
      </c>
      <c r="JL21" s="558" t="str">
        <f t="shared" si="56"/>
        <v>.</v>
      </c>
    </row>
    <row r="22" spans="1:272" ht="10.199999999999999" x14ac:dyDescent="0.2">
      <c r="A22" s="534">
        <f xml:space="preserve"> Basis!A22</f>
        <v>22</v>
      </c>
      <c r="F22" s="536">
        <f xml:space="preserve"> ROUND(    IF( $A$15=BE_MF_,   AW22,   INDEX( qx!22:22, F$16 ) ),    F$17    )</f>
        <v>2.9999999999999997E-4</v>
      </c>
      <c r="G22" s="536">
        <f xml:space="preserve"> ROUND(    IF( $A$15=BE_MF_,   BB22,   INDEX( wx!22:22, G$16 ) ),    G$17    )</f>
        <v>0.1113</v>
      </c>
      <c r="H22" s="537">
        <f xml:space="preserve"> ROUND(    IF( $A$15=BE_MF_,   BG22,   INDEX( Kx!22:22, H$16 ) ),    H$17    )</f>
        <v>1762.47</v>
      </c>
      <c r="I22" s="538">
        <f t="shared" si="57"/>
        <v>1762.47</v>
      </c>
      <c r="J22" s="539">
        <f t="shared" si="17"/>
        <v>0.84799999999999998</v>
      </c>
      <c r="K22" s="540">
        <f t="shared" si="58"/>
        <v>2</v>
      </c>
      <c r="L22" s="541">
        <f t="shared" si="18"/>
        <v>0</v>
      </c>
      <c r="M22" s="541">
        <f t="shared" si="18"/>
        <v>8.5999999999999993E-2</v>
      </c>
      <c r="O22" s="542" t="b">
        <f t="shared" si="59"/>
        <v>1</v>
      </c>
      <c r="P22" s="493">
        <f t="shared" si="19"/>
        <v>0.1116</v>
      </c>
      <c r="Q22" s="493">
        <f t="shared" si="20"/>
        <v>0.88839999999999997</v>
      </c>
      <c r="R22" s="543">
        <f t="shared" si="21"/>
        <v>3533174</v>
      </c>
      <c r="S22" s="544">
        <f t="shared" si="22"/>
        <v>0.97560975599999999</v>
      </c>
      <c r="T22" s="423">
        <f t="shared" si="23"/>
        <v>2052295.94</v>
      </c>
      <c r="U22" s="423">
        <f xml:space="preserve"> IF( $O22,    ROUND(  SUM( T22:T$120), U$17 ),  LEER  )</f>
        <v>22238183.48</v>
      </c>
      <c r="V22" s="493">
        <f t="shared" si="24"/>
        <v>10.835800000000001</v>
      </c>
      <c r="W22" s="493">
        <f t="shared" si="25"/>
        <v>1740346.96</v>
      </c>
      <c r="X22" s="493">
        <f xml:space="preserve"> IF( $O22,    ROUND(  SUM( W22:W$120), X$17 ),  LEER  )</f>
        <v>27874798.829999998</v>
      </c>
      <c r="Y22" s="493">
        <f t="shared" si="26"/>
        <v>13.5823</v>
      </c>
      <c r="Z22" s="493">
        <f t="shared" si="27"/>
        <v>1.2535000000000001</v>
      </c>
      <c r="AA22" s="493">
        <f t="shared" si="28"/>
        <v>1.0170999999999999</v>
      </c>
      <c r="AB22" s="493">
        <f t="shared" si="29"/>
        <v>2.3494000000000002</v>
      </c>
      <c r="AC22" s="545">
        <f t="shared" si="30"/>
        <v>0.38600000000000001</v>
      </c>
      <c r="AD22" s="493">
        <f t="shared" si="31"/>
        <v>1.2815000000000001</v>
      </c>
      <c r="AE22" s="493">
        <f t="shared" si="32"/>
        <v>1.8244</v>
      </c>
      <c r="AF22" s="493">
        <f t="shared" si="33"/>
        <v>1.8244</v>
      </c>
      <c r="AG22" s="493" t="str">
        <f t="shared" si="34"/>
        <v>.</v>
      </c>
      <c r="AH22" s="493" t="str">
        <f t="shared" si="35"/>
        <v>.</v>
      </c>
      <c r="AI22" s="423">
        <f t="shared" si="36"/>
        <v>2077.79</v>
      </c>
      <c r="AJ22" s="423">
        <f t="shared" si="37"/>
        <v>3790.72</v>
      </c>
      <c r="AK22" s="423">
        <f t="shared" si="38"/>
        <v>315.89</v>
      </c>
      <c r="AN22" s="423" t="str">
        <f t="shared" si="39"/>
        <v>.</v>
      </c>
      <c r="AO22" s="423" t="str">
        <f t="shared" si="39"/>
        <v>.</v>
      </c>
      <c r="AR22" s="546">
        <f xml:space="preserve"> ROUND(  INDEX( Kx!22:22, AR$16 ),  AR$17 )</f>
        <v>0.54530000000000001</v>
      </c>
      <c r="AS22" s="547">
        <f xml:space="preserve"> ROUND(  INDEX( qx!22:22, AS$16 ),  AS$17 )</f>
        <v>4.0000000000000002E-4</v>
      </c>
      <c r="AT22" s="547">
        <f xml:space="preserve"> ROUND(  INDEX( qx!22:22, AT$16 ),  AT$17 )</f>
        <v>2.0000000000000001E-4</v>
      </c>
      <c r="AU22" s="548" t="str">
        <f t="shared" si="40"/>
        <v>F</v>
      </c>
      <c r="AV22" s="542">
        <f t="shared" si="41"/>
        <v>0.44429999999999997</v>
      </c>
      <c r="AW22" s="542">
        <f t="shared" si="42"/>
        <v>2.9999999999999997E-4</v>
      </c>
      <c r="AX22" s="546">
        <f xml:space="preserve"> ROUND(  INDEX( wx!22:22, AX$16 ),  AX$17 )</f>
        <v>0.1038</v>
      </c>
      <c r="AY22" s="546">
        <f xml:space="preserve"> ROUND(  INDEX( wx!22:22, AY$16 ),  AY$17 )</f>
        <v>0.12479999999999999</v>
      </c>
      <c r="AZ22" s="548" t="str">
        <f t="shared" si="43"/>
        <v>M</v>
      </c>
      <c r="BA22" s="542">
        <f t="shared" si="44"/>
        <v>0.64270000000000005</v>
      </c>
      <c r="BB22" s="542">
        <f t="shared" si="45"/>
        <v>0.1113</v>
      </c>
      <c r="BC22" s="533">
        <f xml:space="preserve"> ROUND(  INDEX( Kx!22:22, BC$16 ),  BC$17 )</f>
        <v>1392.61</v>
      </c>
      <c r="BD22" s="533">
        <f xml:space="preserve"> ROUND(  INDEX( Kx!22:22, BD$16 ),  BD$17 )</f>
        <v>2058.1799999999998</v>
      </c>
      <c r="BE22" s="548" t="str">
        <f t="shared" si="60"/>
        <v>F</v>
      </c>
      <c r="BF22" s="542">
        <f t="shared" si="46"/>
        <v>0.44429999999999997</v>
      </c>
      <c r="BG22" s="420">
        <f t="shared" si="47"/>
        <v>1762.47</v>
      </c>
      <c r="BQ22" s="549"/>
      <c r="BR22" s="423"/>
      <c r="BS22" s="550"/>
      <c r="BT22" s="423"/>
      <c r="BU22" s="551"/>
      <c r="BV22" s="551"/>
      <c r="BW22" s="529"/>
      <c r="BX22" s="552"/>
      <c r="BY22" s="559"/>
      <c r="BZ22" s="559"/>
      <c r="CB22" s="423"/>
      <c r="CC22" s="423"/>
      <c r="CD22" s="423"/>
      <c r="CE22" s="423"/>
      <c r="CF22" s="553"/>
      <c r="CH22" s="423"/>
      <c r="CI22" s="423"/>
      <c r="CJ22" s="423"/>
      <c r="CK22" s="423"/>
      <c r="CL22" s="553"/>
      <c r="CN22" s="423"/>
      <c r="CO22" s="423"/>
      <c r="CP22" s="423"/>
      <c r="CQ22" s="423"/>
      <c r="CR22" s="553"/>
      <c r="DM22" s="554"/>
      <c r="DO22" s="385"/>
      <c r="DQ22" s="385"/>
      <c r="EI22" s="553"/>
      <c r="EJ22" s="553"/>
      <c r="EK22" s="423"/>
      <c r="EL22" s="555"/>
      <c r="ES22" s="533"/>
      <c r="ET22" s="533"/>
      <c r="EU22" s="533"/>
      <c r="EV22" s="556"/>
      <c r="EY22" s="533"/>
      <c r="EZ22" s="533"/>
      <c r="FA22" s="556"/>
      <c r="FD22" s="556"/>
      <c r="FE22" s="556"/>
      <c r="FF22" s="556"/>
      <c r="FK22" s="557">
        <f t="shared" si="48"/>
        <v>22</v>
      </c>
      <c r="FL22" s="493">
        <f t="shared" si="49"/>
        <v>13.5823</v>
      </c>
      <c r="FM22" s="493">
        <f t="shared" si="50"/>
        <v>10.835800000000001</v>
      </c>
      <c r="FO22" s="427">
        <f t="shared" si="61"/>
        <v>846.44999999999982</v>
      </c>
      <c r="FP22" s="558">
        <f t="shared" si="51"/>
        <v>1194.74</v>
      </c>
      <c r="FQ22" s="558">
        <f t="shared" si="51"/>
        <v>282.89999999999998</v>
      </c>
      <c r="FR22" s="558">
        <f t="shared" si="51"/>
        <v>-631.19000000000005</v>
      </c>
      <c r="FS22" s="558" t="str">
        <f t="shared" si="51"/>
        <v>.</v>
      </c>
      <c r="FT22" s="558" t="str">
        <f t="shared" si="51"/>
        <v>.</v>
      </c>
      <c r="FU22" s="558" t="str">
        <f t="shared" si="51"/>
        <v>.</v>
      </c>
      <c r="FV22" s="558" t="str">
        <f t="shared" si="51"/>
        <v>.</v>
      </c>
      <c r="FW22" s="558" t="str">
        <f t="shared" si="51"/>
        <v>.</v>
      </c>
      <c r="FX22" s="558" t="str">
        <f t="shared" si="51"/>
        <v>.</v>
      </c>
      <c r="FY22" s="558" t="str">
        <f t="shared" si="51"/>
        <v>.</v>
      </c>
      <c r="FZ22" s="558" t="str">
        <f t="shared" si="51"/>
        <v>.</v>
      </c>
      <c r="GA22" s="558" t="str">
        <f t="shared" si="51"/>
        <v>.</v>
      </c>
      <c r="GB22" s="558" t="str">
        <f t="shared" si="51"/>
        <v>.</v>
      </c>
      <c r="GC22" s="558" t="str">
        <f t="shared" si="51"/>
        <v>.</v>
      </c>
      <c r="GD22" s="558" t="str">
        <f t="shared" si="51"/>
        <v>.</v>
      </c>
      <c r="GE22" s="558" t="str">
        <f t="shared" si="51"/>
        <v>.</v>
      </c>
      <c r="GF22" s="558" t="str">
        <f t="shared" si="52"/>
        <v>.</v>
      </c>
      <c r="GG22" s="558" t="str">
        <f t="shared" si="52"/>
        <v>.</v>
      </c>
      <c r="GH22" s="558" t="str">
        <f t="shared" si="52"/>
        <v>.</v>
      </c>
      <c r="GI22" s="558" t="str">
        <f t="shared" si="52"/>
        <v>.</v>
      </c>
      <c r="GJ22" s="558" t="str">
        <f t="shared" si="52"/>
        <v>.</v>
      </c>
      <c r="GK22" s="558" t="str">
        <f t="shared" si="52"/>
        <v>.</v>
      </c>
      <c r="GL22" s="558" t="str">
        <f t="shared" si="52"/>
        <v>.</v>
      </c>
      <c r="GM22" s="558" t="str">
        <f t="shared" si="52"/>
        <v>.</v>
      </c>
      <c r="GN22" s="558" t="str">
        <f t="shared" si="52"/>
        <v>.</v>
      </c>
      <c r="GO22" s="558" t="str">
        <f t="shared" si="52"/>
        <v>.</v>
      </c>
      <c r="GP22" s="558" t="str">
        <f t="shared" si="52"/>
        <v>.</v>
      </c>
      <c r="GQ22" s="558" t="str">
        <f t="shared" si="52"/>
        <v>.</v>
      </c>
      <c r="GR22" s="558" t="str">
        <f t="shared" si="52"/>
        <v>.</v>
      </c>
      <c r="GS22" s="558" t="str">
        <f t="shared" si="52"/>
        <v>.</v>
      </c>
      <c r="GT22" s="558" t="str">
        <f t="shared" si="52"/>
        <v>.</v>
      </c>
      <c r="GU22" s="558" t="str">
        <f t="shared" si="52"/>
        <v>.</v>
      </c>
      <c r="GV22" s="558" t="str">
        <f t="shared" si="53"/>
        <v>.</v>
      </c>
      <c r="GW22" s="558" t="str">
        <f t="shared" si="53"/>
        <v>.</v>
      </c>
      <c r="GX22" s="558" t="str">
        <f t="shared" si="53"/>
        <v>.</v>
      </c>
      <c r="GY22" s="558" t="str">
        <f t="shared" si="53"/>
        <v>.</v>
      </c>
      <c r="GZ22" s="558" t="str">
        <f t="shared" si="53"/>
        <v>.</v>
      </c>
      <c r="HA22" s="558" t="str">
        <f t="shared" si="53"/>
        <v>.</v>
      </c>
      <c r="HB22" s="558" t="str">
        <f t="shared" si="53"/>
        <v>.</v>
      </c>
      <c r="HC22" s="558" t="str">
        <f t="shared" si="53"/>
        <v>.</v>
      </c>
      <c r="HD22" s="558" t="str">
        <f t="shared" si="53"/>
        <v>.</v>
      </c>
      <c r="HE22" s="558" t="str">
        <f t="shared" si="53"/>
        <v>.</v>
      </c>
      <c r="HF22" s="558" t="str">
        <f t="shared" si="53"/>
        <v>.</v>
      </c>
      <c r="HG22" s="558" t="str">
        <f t="shared" si="53"/>
        <v>.</v>
      </c>
      <c r="HH22" s="558" t="str">
        <f t="shared" si="53"/>
        <v>.</v>
      </c>
      <c r="HI22" s="558" t="str">
        <f t="shared" si="53"/>
        <v>.</v>
      </c>
      <c r="HJ22" s="558" t="str">
        <f t="shared" si="53"/>
        <v>.</v>
      </c>
      <c r="HK22" s="558" t="str">
        <f t="shared" si="53"/>
        <v>.</v>
      </c>
      <c r="HL22" s="558" t="str">
        <f t="shared" si="54"/>
        <v>.</v>
      </c>
      <c r="HM22" s="558" t="str">
        <f t="shared" si="54"/>
        <v>.</v>
      </c>
      <c r="HN22" s="558" t="str">
        <f t="shared" si="54"/>
        <v>.</v>
      </c>
      <c r="HO22" s="558" t="str">
        <f t="shared" si="54"/>
        <v>.</v>
      </c>
      <c r="HP22" s="558" t="str">
        <f t="shared" si="54"/>
        <v>.</v>
      </c>
      <c r="HQ22" s="558" t="str">
        <f t="shared" si="54"/>
        <v>.</v>
      </c>
      <c r="HR22" s="558" t="str">
        <f t="shared" si="54"/>
        <v>.</v>
      </c>
      <c r="HS22" s="558" t="str">
        <f t="shared" si="54"/>
        <v>.</v>
      </c>
      <c r="HT22" s="558" t="str">
        <f t="shared" si="54"/>
        <v>.</v>
      </c>
      <c r="HU22" s="558" t="str">
        <f t="shared" si="54"/>
        <v>.</v>
      </c>
      <c r="HV22" s="558" t="str">
        <f t="shared" si="54"/>
        <v>.</v>
      </c>
      <c r="HW22" s="558" t="str">
        <f t="shared" si="54"/>
        <v>.</v>
      </c>
      <c r="HX22" s="558" t="str">
        <f t="shared" si="54"/>
        <v>.</v>
      </c>
      <c r="HY22" s="558" t="str">
        <f t="shared" si="54"/>
        <v>.</v>
      </c>
      <c r="HZ22" s="558" t="str">
        <f t="shared" si="54"/>
        <v>.</v>
      </c>
      <c r="IA22" s="558" t="str">
        <f t="shared" si="54"/>
        <v>.</v>
      </c>
      <c r="IB22" s="558" t="str">
        <f t="shared" si="54"/>
        <v>.</v>
      </c>
      <c r="IC22" s="558" t="str">
        <f t="shared" si="54"/>
        <v>.</v>
      </c>
      <c r="ID22" s="558" t="str">
        <f t="shared" si="55"/>
        <v>.</v>
      </c>
      <c r="IE22" s="558" t="str">
        <f t="shared" si="55"/>
        <v>.</v>
      </c>
      <c r="IF22" s="558" t="str">
        <f t="shared" si="55"/>
        <v>.</v>
      </c>
      <c r="IG22" s="558" t="str">
        <f t="shared" si="55"/>
        <v>.</v>
      </c>
      <c r="IH22" s="558" t="str">
        <f t="shared" si="55"/>
        <v>.</v>
      </c>
      <c r="II22" s="558" t="str">
        <f t="shared" si="55"/>
        <v>.</v>
      </c>
      <c r="IJ22" s="558" t="str">
        <f t="shared" si="55"/>
        <v>.</v>
      </c>
      <c r="IK22" s="558" t="str">
        <f t="shared" si="55"/>
        <v>.</v>
      </c>
      <c r="IL22" s="558" t="str">
        <f t="shared" si="55"/>
        <v>.</v>
      </c>
      <c r="IM22" s="558" t="str">
        <f t="shared" si="55"/>
        <v>.</v>
      </c>
      <c r="IN22" s="558" t="str">
        <f t="shared" si="55"/>
        <v>.</v>
      </c>
      <c r="IO22" s="558" t="str">
        <f t="shared" si="55"/>
        <v>.</v>
      </c>
      <c r="IP22" s="558" t="str">
        <f t="shared" si="55"/>
        <v>.</v>
      </c>
      <c r="IQ22" s="558" t="str">
        <f t="shared" si="55"/>
        <v>.</v>
      </c>
      <c r="IR22" s="558" t="str">
        <f t="shared" si="55"/>
        <v>.</v>
      </c>
      <c r="IS22" s="558" t="str">
        <f t="shared" si="55"/>
        <v>.</v>
      </c>
      <c r="IT22" s="558" t="str">
        <f t="shared" si="55"/>
        <v>.</v>
      </c>
      <c r="IU22" s="558" t="str">
        <f t="shared" si="55"/>
        <v>.</v>
      </c>
      <c r="IV22" s="558" t="str">
        <f t="shared" si="55"/>
        <v>.</v>
      </c>
      <c r="IW22" s="558" t="str">
        <f t="shared" si="55"/>
        <v>.</v>
      </c>
      <c r="IX22" s="558" t="str">
        <f t="shared" si="55"/>
        <v>.</v>
      </c>
      <c r="IY22" s="558" t="str">
        <f t="shared" si="55"/>
        <v>.</v>
      </c>
      <c r="IZ22" s="558" t="str">
        <f t="shared" si="55"/>
        <v>.</v>
      </c>
      <c r="JA22" s="558" t="str">
        <f t="shared" si="55"/>
        <v>.</v>
      </c>
      <c r="JB22" s="558" t="str">
        <f t="shared" si="55"/>
        <v>.</v>
      </c>
      <c r="JC22" s="558" t="str">
        <f t="shared" si="56"/>
        <v>.</v>
      </c>
      <c r="JD22" s="558" t="str">
        <f t="shared" si="56"/>
        <v>.</v>
      </c>
      <c r="JE22" s="558" t="str">
        <f t="shared" si="56"/>
        <v>.</v>
      </c>
      <c r="JF22" s="558" t="str">
        <f t="shared" si="56"/>
        <v>.</v>
      </c>
      <c r="JG22" s="558" t="str">
        <f t="shared" si="56"/>
        <v>.</v>
      </c>
      <c r="JH22" s="558" t="str">
        <f t="shared" si="56"/>
        <v>.</v>
      </c>
      <c r="JI22" s="558" t="str">
        <f t="shared" si="56"/>
        <v>.</v>
      </c>
      <c r="JJ22" s="558" t="str">
        <f t="shared" si="56"/>
        <v>.</v>
      </c>
      <c r="JK22" s="558" t="str">
        <f t="shared" si="56"/>
        <v>.</v>
      </c>
      <c r="JL22" s="558" t="str">
        <f t="shared" si="56"/>
        <v>.</v>
      </c>
    </row>
    <row r="23" spans="1:272" ht="10.199999999999999" x14ac:dyDescent="0.2">
      <c r="A23" s="534">
        <f xml:space="preserve"> Basis!A23</f>
        <v>23</v>
      </c>
      <c r="F23" s="536">
        <f xml:space="preserve"> ROUND(    IF( $A$15=BE_MF_,   AW23,   INDEX( qx!23:23, F$16 ) ),    F$17    )</f>
        <v>2.9999999999999997E-4</v>
      </c>
      <c r="G23" s="536">
        <f xml:space="preserve"> ROUND(    IF( $A$15=BE_MF_,   BB23,   INDEX( wx!23:23, G$16 ) ),    G$17    )</f>
        <v>9.2999999999999999E-2</v>
      </c>
      <c r="H23" s="537">
        <f xml:space="preserve"> ROUND(    IF( $A$15=BE_MF_,   BG23,   INDEX( Kx!23:23, H$16 ) ),    H$17    )</f>
        <v>1783.36</v>
      </c>
      <c r="I23" s="538">
        <f t="shared" si="57"/>
        <v>1783.36</v>
      </c>
      <c r="J23" s="539">
        <f t="shared" si="17"/>
        <v>0.85799999999999998</v>
      </c>
      <c r="K23" s="540">
        <f t="shared" si="58"/>
        <v>2</v>
      </c>
      <c r="L23" s="541">
        <f t="shared" si="18"/>
        <v>0</v>
      </c>
      <c r="M23" s="541">
        <f t="shared" si="18"/>
        <v>8.5999999999999993E-2</v>
      </c>
      <c r="O23" s="542" t="b">
        <f t="shared" si="59"/>
        <v>1</v>
      </c>
      <c r="P23" s="493">
        <f t="shared" si="19"/>
        <v>9.3299999999999994E-2</v>
      </c>
      <c r="Q23" s="493">
        <f t="shared" si="20"/>
        <v>0.90669999999999995</v>
      </c>
      <c r="R23" s="543">
        <f t="shared" si="21"/>
        <v>3138871</v>
      </c>
      <c r="S23" s="544">
        <f t="shared" si="22"/>
        <v>0.97560975599999999</v>
      </c>
      <c r="T23" s="423">
        <f t="shared" si="23"/>
        <v>1778789.52</v>
      </c>
      <c r="U23" s="423">
        <f xml:space="preserve"> IF( $O23,    ROUND(  SUM( T23:T$120), U$17 ),  LEER  )</f>
        <v>20185887.539999999</v>
      </c>
      <c r="V23" s="493">
        <f t="shared" si="24"/>
        <v>11.348100000000001</v>
      </c>
      <c r="W23" s="493">
        <f t="shared" si="25"/>
        <v>1526201.41</v>
      </c>
      <c r="X23" s="493">
        <f xml:space="preserve"> IF( $O23,    ROUND(  SUM( W23:W$120), X$17 ),  LEER  )</f>
        <v>26134451.870000001</v>
      </c>
      <c r="Y23" s="493">
        <f t="shared" si="26"/>
        <v>14.692299999999999</v>
      </c>
      <c r="Z23" s="493">
        <f t="shared" si="27"/>
        <v>1.2947</v>
      </c>
      <c r="AA23" s="493">
        <f t="shared" si="28"/>
        <v>1.0163</v>
      </c>
      <c r="AB23" s="493">
        <f t="shared" si="29"/>
        <v>2.3494000000000002</v>
      </c>
      <c r="AC23" s="545">
        <f t="shared" si="30"/>
        <v>0.38600000000000001</v>
      </c>
      <c r="AD23" s="493">
        <f t="shared" si="31"/>
        <v>1.3221000000000001</v>
      </c>
      <c r="AE23" s="493">
        <f t="shared" si="32"/>
        <v>1.8688</v>
      </c>
      <c r="AF23" s="493">
        <f t="shared" si="33"/>
        <v>1.8688</v>
      </c>
      <c r="AG23" s="493" t="str">
        <f t="shared" si="34"/>
        <v>.</v>
      </c>
      <c r="AH23" s="493" t="str">
        <f t="shared" si="35"/>
        <v>.</v>
      </c>
      <c r="AI23" s="423">
        <f t="shared" si="36"/>
        <v>2077.79</v>
      </c>
      <c r="AJ23" s="423">
        <f t="shared" si="37"/>
        <v>3882.97</v>
      </c>
      <c r="AK23" s="423">
        <f t="shared" si="38"/>
        <v>323.58</v>
      </c>
      <c r="AN23" s="423" t="str">
        <f t="shared" si="39"/>
        <v>.</v>
      </c>
      <c r="AO23" s="423" t="str">
        <f t="shared" si="39"/>
        <v>.</v>
      </c>
      <c r="AR23" s="546">
        <f xml:space="preserve"> ROUND(  INDEX( Kx!23:23, AR$16 ),  AR$17 )</f>
        <v>0.57999999999999996</v>
      </c>
      <c r="AS23" s="547">
        <f xml:space="preserve"> ROUND(  INDEX( qx!23:23, AS$16 ),  AS$17 )</f>
        <v>4.0000000000000002E-4</v>
      </c>
      <c r="AT23" s="547">
        <f xml:space="preserve"> ROUND(  INDEX( qx!23:23, AT$16 ),  AT$17 )</f>
        <v>2.0000000000000001E-4</v>
      </c>
      <c r="AU23" s="548" t="str">
        <f t="shared" si="40"/>
        <v>F</v>
      </c>
      <c r="AV23" s="542">
        <f t="shared" si="41"/>
        <v>0.4793</v>
      </c>
      <c r="AW23" s="542">
        <f t="shared" si="42"/>
        <v>2.9999999999999997E-4</v>
      </c>
      <c r="AX23" s="546">
        <f xml:space="preserve"> ROUND(  INDEX( wx!23:23, AX$16 ),  AX$17 )</f>
        <v>8.5500000000000007E-2</v>
      </c>
      <c r="AY23" s="546">
        <f xml:space="preserve"> ROUND(  INDEX( wx!23:23, AY$16 ),  AY$17 )</f>
        <v>0.1085</v>
      </c>
      <c r="AZ23" s="548" t="str">
        <f t="shared" si="43"/>
        <v>M</v>
      </c>
      <c r="BA23" s="542">
        <f t="shared" si="44"/>
        <v>0.6744</v>
      </c>
      <c r="BB23" s="542">
        <f t="shared" si="45"/>
        <v>9.2999999999999999E-2</v>
      </c>
      <c r="BC23" s="533">
        <f xml:space="preserve"> ROUND(  INDEX( Kx!23:23, BC$16 ),  BC$17 )</f>
        <v>1392.74</v>
      </c>
      <c r="BD23" s="533">
        <f xml:space="preserve"> ROUND(  INDEX( Kx!23:23, BD$16 ),  BD$17 )</f>
        <v>2142.9299999999998</v>
      </c>
      <c r="BE23" s="548" t="str">
        <f t="shared" si="60"/>
        <v>F</v>
      </c>
      <c r="BF23" s="542">
        <f t="shared" si="46"/>
        <v>0.4793</v>
      </c>
      <c r="BG23" s="420">
        <f t="shared" si="47"/>
        <v>1783.36</v>
      </c>
      <c r="BQ23" s="549"/>
      <c r="BR23" s="423"/>
      <c r="BS23" s="550"/>
      <c r="BT23" s="423"/>
      <c r="BU23" s="551"/>
      <c r="BV23" s="551"/>
      <c r="BW23" s="529"/>
      <c r="BX23" s="552"/>
      <c r="BY23" s="559"/>
      <c r="BZ23" s="559"/>
      <c r="CB23" s="423"/>
      <c r="CC23" s="423"/>
      <c r="CD23" s="423"/>
      <c r="CE23" s="423"/>
      <c r="CF23" s="553"/>
      <c r="CH23" s="423"/>
      <c r="CI23" s="423"/>
      <c r="CJ23" s="423"/>
      <c r="CK23" s="423"/>
      <c r="CL23" s="553"/>
      <c r="CN23" s="423"/>
      <c r="CO23" s="423"/>
      <c r="CP23" s="423"/>
      <c r="CQ23" s="423"/>
      <c r="CR23" s="553"/>
      <c r="DM23" s="554"/>
      <c r="DO23" s="385"/>
      <c r="DP23" s="385"/>
      <c r="DQ23" s="385"/>
      <c r="EI23" s="553"/>
      <c r="EJ23" s="553"/>
      <c r="EK23" s="423"/>
      <c r="EL23" s="555"/>
      <c r="ES23" s="533"/>
      <c r="ET23" s="533"/>
      <c r="EU23" s="533"/>
      <c r="EV23" s="556"/>
      <c r="EY23" s="533"/>
      <c r="EZ23" s="533"/>
      <c r="FA23" s="556"/>
      <c r="FD23" s="556"/>
      <c r="FE23" s="556"/>
      <c r="FF23" s="556"/>
      <c r="FK23" s="557">
        <f t="shared" si="48"/>
        <v>23</v>
      </c>
      <c r="FL23" s="493">
        <f t="shared" si="49"/>
        <v>14.692299999999999</v>
      </c>
      <c r="FM23" s="493">
        <f t="shared" si="50"/>
        <v>11.348100000000001</v>
      </c>
      <c r="FO23" s="427">
        <f t="shared" si="61"/>
        <v>3156.5200000000004</v>
      </c>
      <c r="FP23" s="558">
        <f t="shared" si="51"/>
        <v>2223.3200000000002</v>
      </c>
      <c r="FQ23" s="558">
        <f t="shared" si="51"/>
        <v>1268.3699999999999</v>
      </c>
      <c r="FR23" s="558">
        <f t="shared" si="51"/>
        <v>311.07</v>
      </c>
      <c r="FS23" s="558">
        <f t="shared" si="51"/>
        <v>-646.24</v>
      </c>
      <c r="FT23" s="558" t="str">
        <f t="shared" si="51"/>
        <v>.</v>
      </c>
      <c r="FU23" s="558" t="str">
        <f t="shared" si="51"/>
        <v>.</v>
      </c>
      <c r="FV23" s="558" t="str">
        <f t="shared" si="51"/>
        <v>.</v>
      </c>
      <c r="FW23" s="558" t="str">
        <f t="shared" si="51"/>
        <v>.</v>
      </c>
      <c r="FX23" s="558" t="str">
        <f t="shared" si="51"/>
        <v>.</v>
      </c>
      <c r="FY23" s="558" t="str">
        <f t="shared" si="51"/>
        <v>.</v>
      </c>
      <c r="FZ23" s="558" t="str">
        <f t="shared" si="51"/>
        <v>.</v>
      </c>
      <c r="GA23" s="558" t="str">
        <f t="shared" si="51"/>
        <v>.</v>
      </c>
      <c r="GB23" s="558" t="str">
        <f t="shared" si="51"/>
        <v>.</v>
      </c>
      <c r="GC23" s="558" t="str">
        <f t="shared" si="51"/>
        <v>.</v>
      </c>
      <c r="GD23" s="558" t="str">
        <f t="shared" si="51"/>
        <v>.</v>
      </c>
      <c r="GE23" s="558" t="str">
        <f t="shared" si="51"/>
        <v>.</v>
      </c>
      <c r="GF23" s="558" t="str">
        <f t="shared" si="52"/>
        <v>.</v>
      </c>
      <c r="GG23" s="558" t="str">
        <f t="shared" si="52"/>
        <v>.</v>
      </c>
      <c r="GH23" s="558" t="str">
        <f t="shared" si="52"/>
        <v>.</v>
      </c>
      <c r="GI23" s="558" t="str">
        <f t="shared" si="52"/>
        <v>.</v>
      </c>
      <c r="GJ23" s="558" t="str">
        <f t="shared" si="52"/>
        <v>.</v>
      </c>
      <c r="GK23" s="558" t="str">
        <f t="shared" si="52"/>
        <v>.</v>
      </c>
      <c r="GL23" s="558" t="str">
        <f t="shared" si="52"/>
        <v>.</v>
      </c>
      <c r="GM23" s="558" t="str">
        <f t="shared" si="52"/>
        <v>.</v>
      </c>
      <c r="GN23" s="558" t="str">
        <f t="shared" si="52"/>
        <v>.</v>
      </c>
      <c r="GO23" s="558" t="str">
        <f t="shared" si="52"/>
        <v>.</v>
      </c>
      <c r="GP23" s="558" t="str">
        <f t="shared" si="52"/>
        <v>.</v>
      </c>
      <c r="GQ23" s="558" t="str">
        <f t="shared" si="52"/>
        <v>.</v>
      </c>
      <c r="GR23" s="558" t="str">
        <f t="shared" si="52"/>
        <v>.</v>
      </c>
      <c r="GS23" s="558" t="str">
        <f t="shared" si="52"/>
        <v>.</v>
      </c>
      <c r="GT23" s="558" t="str">
        <f t="shared" si="52"/>
        <v>.</v>
      </c>
      <c r="GU23" s="558" t="str">
        <f t="shared" si="52"/>
        <v>.</v>
      </c>
      <c r="GV23" s="558" t="str">
        <f t="shared" si="53"/>
        <v>.</v>
      </c>
      <c r="GW23" s="558" t="str">
        <f t="shared" si="53"/>
        <v>.</v>
      </c>
      <c r="GX23" s="558" t="str">
        <f t="shared" si="53"/>
        <v>.</v>
      </c>
      <c r="GY23" s="558" t="str">
        <f t="shared" si="53"/>
        <v>.</v>
      </c>
      <c r="GZ23" s="558" t="str">
        <f t="shared" si="53"/>
        <v>.</v>
      </c>
      <c r="HA23" s="558" t="str">
        <f t="shared" si="53"/>
        <v>.</v>
      </c>
      <c r="HB23" s="558" t="str">
        <f t="shared" si="53"/>
        <v>.</v>
      </c>
      <c r="HC23" s="558" t="str">
        <f t="shared" si="53"/>
        <v>.</v>
      </c>
      <c r="HD23" s="558" t="str">
        <f t="shared" si="53"/>
        <v>.</v>
      </c>
      <c r="HE23" s="558" t="str">
        <f t="shared" si="53"/>
        <v>.</v>
      </c>
      <c r="HF23" s="558" t="str">
        <f t="shared" si="53"/>
        <v>.</v>
      </c>
      <c r="HG23" s="558" t="str">
        <f t="shared" si="53"/>
        <v>.</v>
      </c>
      <c r="HH23" s="558" t="str">
        <f t="shared" si="53"/>
        <v>.</v>
      </c>
      <c r="HI23" s="558" t="str">
        <f t="shared" si="53"/>
        <v>.</v>
      </c>
      <c r="HJ23" s="558" t="str">
        <f t="shared" si="53"/>
        <v>.</v>
      </c>
      <c r="HK23" s="558" t="str">
        <f t="shared" si="53"/>
        <v>.</v>
      </c>
      <c r="HL23" s="558" t="str">
        <f t="shared" si="54"/>
        <v>.</v>
      </c>
      <c r="HM23" s="558" t="str">
        <f t="shared" si="54"/>
        <v>.</v>
      </c>
      <c r="HN23" s="558" t="str">
        <f t="shared" si="54"/>
        <v>.</v>
      </c>
      <c r="HO23" s="558" t="str">
        <f t="shared" si="54"/>
        <v>.</v>
      </c>
      <c r="HP23" s="558" t="str">
        <f t="shared" si="54"/>
        <v>.</v>
      </c>
      <c r="HQ23" s="558" t="str">
        <f t="shared" si="54"/>
        <v>.</v>
      </c>
      <c r="HR23" s="558" t="str">
        <f t="shared" si="54"/>
        <v>.</v>
      </c>
      <c r="HS23" s="558" t="str">
        <f t="shared" si="54"/>
        <v>.</v>
      </c>
      <c r="HT23" s="558" t="str">
        <f t="shared" si="54"/>
        <v>.</v>
      </c>
      <c r="HU23" s="558" t="str">
        <f t="shared" si="54"/>
        <v>.</v>
      </c>
      <c r="HV23" s="558" t="str">
        <f t="shared" si="54"/>
        <v>.</v>
      </c>
      <c r="HW23" s="558" t="str">
        <f t="shared" si="54"/>
        <v>.</v>
      </c>
      <c r="HX23" s="558" t="str">
        <f t="shared" si="54"/>
        <v>.</v>
      </c>
      <c r="HY23" s="558" t="str">
        <f t="shared" si="54"/>
        <v>.</v>
      </c>
      <c r="HZ23" s="558" t="str">
        <f t="shared" si="54"/>
        <v>.</v>
      </c>
      <c r="IA23" s="558" t="str">
        <f t="shared" si="54"/>
        <v>.</v>
      </c>
      <c r="IB23" s="558" t="str">
        <f t="shared" si="54"/>
        <v>.</v>
      </c>
      <c r="IC23" s="558" t="str">
        <f t="shared" si="54"/>
        <v>.</v>
      </c>
      <c r="ID23" s="558" t="str">
        <f t="shared" si="55"/>
        <v>.</v>
      </c>
      <c r="IE23" s="558" t="str">
        <f t="shared" si="55"/>
        <v>.</v>
      </c>
      <c r="IF23" s="558" t="str">
        <f t="shared" si="55"/>
        <v>.</v>
      </c>
      <c r="IG23" s="558" t="str">
        <f t="shared" si="55"/>
        <v>.</v>
      </c>
      <c r="IH23" s="558" t="str">
        <f t="shared" si="55"/>
        <v>.</v>
      </c>
      <c r="II23" s="558" t="str">
        <f t="shared" si="55"/>
        <v>.</v>
      </c>
      <c r="IJ23" s="558" t="str">
        <f t="shared" si="55"/>
        <v>.</v>
      </c>
      <c r="IK23" s="558" t="str">
        <f t="shared" si="55"/>
        <v>.</v>
      </c>
      <c r="IL23" s="558" t="str">
        <f t="shared" si="55"/>
        <v>.</v>
      </c>
      <c r="IM23" s="558" t="str">
        <f t="shared" si="55"/>
        <v>.</v>
      </c>
      <c r="IN23" s="558" t="str">
        <f t="shared" si="55"/>
        <v>.</v>
      </c>
      <c r="IO23" s="558" t="str">
        <f t="shared" si="55"/>
        <v>.</v>
      </c>
      <c r="IP23" s="558" t="str">
        <f t="shared" si="55"/>
        <v>.</v>
      </c>
      <c r="IQ23" s="558" t="str">
        <f t="shared" si="55"/>
        <v>.</v>
      </c>
      <c r="IR23" s="558" t="str">
        <f t="shared" si="55"/>
        <v>.</v>
      </c>
      <c r="IS23" s="558" t="str">
        <f t="shared" si="55"/>
        <v>.</v>
      </c>
      <c r="IT23" s="558" t="str">
        <f t="shared" si="55"/>
        <v>.</v>
      </c>
      <c r="IU23" s="558" t="str">
        <f t="shared" si="55"/>
        <v>.</v>
      </c>
      <c r="IV23" s="558" t="str">
        <f t="shared" si="55"/>
        <v>.</v>
      </c>
      <c r="IW23" s="558" t="str">
        <f t="shared" si="55"/>
        <v>.</v>
      </c>
      <c r="IX23" s="558" t="str">
        <f t="shared" si="55"/>
        <v>.</v>
      </c>
      <c r="IY23" s="558" t="str">
        <f t="shared" si="55"/>
        <v>.</v>
      </c>
      <c r="IZ23" s="558" t="str">
        <f t="shared" si="55"/>
        <v>.</v>
      </c>
      <c r="JA23" s="558" t="str">
        <f t="shared" si="55"/>
        <v>.</v>
      </c>
      <c r="JB23" s="558" t="str">
        <f t="shared" si="55"/>
        <v>.</v>
      </c>
      <c r="JC23" s="558" t="str">
        <f t="shared" si="56"/>
        <v>.</v>
      </c>
      <c r="JD23" s="558" t="str">
        <f t="shared" si="56"/>
        <v>.</v>
      </c>
      <c r="JE23" s="558" t="str">
        <f t="shared" si="56"/>
        <v>.</v>
      </c>
      <c r="JF23" s="558" t="str">
        <f t="shared" si="56"/>
        <v>.</v>
      </c>
      <c r="JG23" s="558" t="str">
        <f t="shared" si="56"/>
        <v>.</v>
      </c>
      <c r="JH23" s="558" t="str">
        <f t="shared" si="56"/>
        <v>.</v>
      </c>
      <c r="JI23" s="558" t="str">
        <f t="shared" si="56"/>
        <v>.</v>
      </c>
      <c r="JJ23" s="558" t="str">
        <f t="shared" si="56"/>
        <v>.</v>
      </c>
      <c r="JK23" s="558" t="str">
        <f t="shared" si="56"/>
        <v>.</v>
      </c>
      <c r="JL23" s="558" t="str">
        <f t="shared" si="56"/>
        <v>.</v>
      </c>
    </row>
    <row r="24" spans="1:272" ht="10.199999999999999" x14ac:dyDescent="0.2">
      <c r="A24" s="534">
        <f xml:space="preserve"> Basis!A24</f>
        <v>24</v>
      </c>
      <c r="F24" s="536">
        <f xml:space="preserve"> ROUND(    IF( $A$15=BE_MF_,   AW24,   INDEX( qx!24:24, F$16 ) ),    F$17    )</f>
        <v>2.9999999999999997E-4</v>
      </c>
      <c r="G24" s="536">
        <f xml:space="preserve"> ROUND(    IF( $A$15=BE_MF_,   BB24,   INDEX( wx!24:24, G$16 ) ),    G$17    )</f>
        <v>9.2700000000000005E-2</v>
      </c>
      <c r="H24" s="537">
        <f xml:space="preserve"> ROUND(    IF( $A$15=BE_MF_,   BG24,   INDEX( Kx!24:24, H$16 ) ),    H$17    )</f>
        <v>1810.8</v>
      </c>
      <c r="I24" s="538">
        <f t="shared" si="57"/>
        <v>1810.8</v>
      </c>
      <c r="J24" s="539">
        <f t="shared" si="17"/>
        <v>0.872</v>
      </c>
      <c r="K24" s="540">
        <f t="shared" si="58"/>
        <v>2</v>
      </c>
      <c r="L24" s="541">
        <f t="shared" si="18"/>
        <v>0</v>
      </c>
      <c r="M24" s="541">
        <f t="shared" si="18"/>
        <v>8.5999999999999993E-2</v>
      </c>
      <c r="O24" s="542" t="b">
        <f t="shared" si="59"/>
        <v>1</v>
      </c>
      <c r="P24" s="493">
        <f t="shared" si="19"/>
        <v>9.2999999999999999E-2</v>
      </c>
      <c r="Q24" s="493">
        <f t="shared" si="20"/>
        <v>0.90700000000000003</v>
      </c>
      <c r="R24" s="543">
        <f t="shared" si="21"/>
        <v>2846014</v>
      </c>
      <c r="S24" s="544">
        <f t="shared" si="22"/>
        <v>0.97560975599999999</v>
      </c>
      <c r="T24" s="423">
        <f t="shared" si="23"/>
        <v>1573490.99</v>
      </c>
      <c r="U24" s="423">
        <f xml:space="preserve"> IF( $O24,    ROUND(  SUM( T24:T$120), U$17 ),  LEER  )</f>
        <v>18407098.02</v>
      </c>
      <c r="V24" s="493">
        <f t="shared" si="24"/>
        <v>11.6983</v>
      </c>
      <c r="W24" s="493">
        <f t="shared" si="25"/>
        <v>1372084.14</v>
      </c>
      <c r="X24" s="493">
        <f xml:space="preserve"> IF( $O24,    ROUND(  SUM( W24:W$120), X$17 ),  LEER  )</f>
        <v>24608250.460000001</v>
      </c>
      <c r="Y24" s="493">
        <f t="shared" si="26"/>
        <v>15.6393</v>
      </c>
      <c r="Z24" s="493">
        <f t="shared" si="27"/>
        <v>1.3369</v>
      </c>
      <c r="AA24" s="493">
        <f t="shared" si="28"/>
        <v>1.0158</v>
      </c>
      <c r="AB24" s="493">
        <f t="shared" si="29"/>
        <v>2.3494000000000002</v>
      </c>
      <c r="AC24" s="545">
        <f t="shared" si="30"/>
        <v>0.38600000000000001</v>
      </c>
      <c r="AD24" s="493">
        <f t="shared" si="31"/>
        <v>1.3641000000000001</v>
      </c>
      <c r="AE24" s="493">
        <f t="shared" si="32"/>
        <v>1.9148000000000001</v>
      </c>
      <c r="AF24" s="493">
        <f t="shared" si="33"/>
        <v>1.9148000000000001</v>
      </c>
      <c r="AG24" s="493" t="str">
        <f t="shared" si="34"/>
        <v>.</v>
      </c>
      <c r="AH24" s="493" t="str">
        <f t="shared" si="35"/>
        <v>.</v>
      </c>
      <c r="AI24" s="423">
        <f t="shared" si="36"/>
        <v>2077.79</v>
      </c>
      <c r="AJ24" s="423">
        <f t="shared" si="37"/>
        <v>3978.55</v>
      </c>
      <c r="AK24" s="423">
        <f t="shared" si="38"/>
        <v>331.55</v>
      </c>
      <c r="AN24" s="423" t="str">
        <f t="shared" si="39"/>
        <v>.</v>
      </c>
      <c r="AO24" s="423" t="str">
        <f t="shared" si="39"/>
        <v>.</v>
      </c>
      <c r="AR24" s="546">
        <f xml:space="preserve"> ROUND(  INDEX( Kx!24:24, AR$16 ),  AR$17 )</f>
        <v>0.60409999999999997</v>
      </c>
      <c r="AS24" s="547">
        <f xml:space="preserve"> ROUND(  INDEX( qx!24:24, AS$16 ),  AS$17 )</f>
        <v>4.0000000000000002E-4</v>
      </c>
      <c r="AT24" s="547">
        <f xml:space="preserve"> ROUND(  INDEX( qx!24:24, AT$16 ),  AT$17 )</f>
        <v>2.0000000000000001E-4</v>
      </c>
      <c r="AU24" s="548" t="str">
        <f t="shared" si="40"/>
        <v>F</v>
      </c>
      <c r="AV24" s="542">
        <f t="shared" si="41"/>
        <v>0.50429999999999997</v>
      </c>
      <c r="AW24" s="542">
        <f t="shared" si="42"/>
        <v>2.9999999999999997E-4</v>
      </c>
      <c r="AX24" s="546">
        <f xml:space="preserve"> ROUND(  INDEX( wx!24:24, AX$16 ),  AX$17 )</f>
        <v>8.4599999999999995E-2</v>
      </c>
      <c r="AY24" s="546">
        <f xml:space="preserve"> ROUND(  INDEX( wx!24:24, AY$16 ),  AY$17 )</f>
        <v>0.1111</v>
      </c>
      <c r="AZ24" s="548" t="str">
        <f t="shared" si="43"/>
        <v>M</v>
      </c>
      <c r="BA24" s="542">
        <f t="shared" si="44"/>
        <v>0.69589999999999996</v>
      </c>
      <c r="BB24" s="542">
        <f t="shared" si="45"/>
        <v>9.2700000000000005E-2</v>
      </c>
      <c r="BC24" s="533">
        <f xml:space="preserve"> ROUND(  INDEX( Kx!24:24, BC$16 ),  BC$17 )</f>
        <v>1393.76</v>
      </c>
      <c r="BD24" s="533">
        <f xml:space="preserve"> ROUND(  INDEX( Kx!24:24, BD$16 ),  BD$17 )</f>
        <v>2235.0700000000002</v>
      </c>
      <c r="BE24" s="548" t="str">
        <f t="shared" si="60"/>
        <v>F</v>
      </c>
      <c r="BF24" s="542">
        <f t="shared" si="46"/>
        <v>0.50429999999999997</v>
      </c>
      <c r="BG24" s="420">
        <f t="shared" si="47"/>
        <v>1810.8</v>
      </c>
      <c r="BQ24" s="549"/>
      <c r="BR24" s="423"/>
      <c r="BS24" s="550"/>
      <c r="BT24" s="423"/>
      <c r="BU24" s="551"/>
      <c r="BV24" s="551"/>
      <c r="BW24" s="529"/>
      <c r="BX24" s="552"/>
      <c r="BY24" s="559"/>
      <c r="BZ24" s="559"/>
      <c r="CB24" s="423"/>
      <c r="CC24" s="423"/>
      <c r="CD24" s="423"/>
      <c r="CE24" s="423"/>
      <c r="CF24" s="553"/>
      <c r="CH24" s="423"/>
      <c r="CI24" s="423"/>
      <c r="CJ24" s="423"/>
      <c r="CK24" s="423"/>
      <c r="CL24" s="553"/>
      <c r="CN24" s="423"/>
      <c r="CO24" s="423"/>
      <c r="CP24" s="423"/>
      <c r="CQ24" s="423"/>
      <c r="CR24" s="553"/>
      <c r="DM24" s="554"/>
      <c r="DO24" s="385"/>
      <c r="DP24" s="385"/>
      <c r="DQ24" s="385"/>
      <c r="EI24" s="553"/>
      <c r="EJ24" s="553"/>
      <c r="EK24" s="423"/>
      <c r="EL24" s="555"/>
      <c r="ES24" s="533"/>
      <c r="ET24" s="533"/>
      <c r="EU24" s="533"/>
      <c r="EV24" s="556"/>
      <c r="EY24" s="533"/>
      <c r="EZ24" s="533"/>
      <c r="FA24" s="556"/>
      <c r="FD24" s="556"/>
      <c r="FE24" s="556"/>
      <c r="FF24" s="556"/>
      <c r="FK24" s="557">
        <f t="shared" si="48"/>
        <v>24</v>
      </c>
      <c r="FL24" s="493">
        <f t="shared" si="49"/>
        <v>15.6393</v>
      </c>
      <c r="FM24" s="493">
        <f t="shared" si="50"/>
        <v>11.6983</v>
      </c>
      <c r="FO24" s="427">
        <f t="shared" si="61"/>
        <v>6694.84</v>
      </c>
      <c r="FP24" s="558">
        <f t="shared" si="51"/>
        <v>3317.53</v>
      </c>
      <c r="FQ24" s="558">
        <f t="shared" si="51"/>
        <v>2333.11</v>
      </c>
      <c r="FR24" s="558">
        <f t="shared" si="51"/>
        <v>1346.26</v>
      </c>
      <c r="FS24" s="558">
        <f t="shared" si="51"/>
        <v>359.41</v>
      </c>
      <c r="FT24" s="558">
        <f t="shared" si="51"/>
        <v>-661.47</v>
      </c>
      <c r="FU24" s="558" t="str">
        <f t="shared" si="51"/>
        <v>.</v>
      </c>
      <c r="FV24" s="558" t="str">
        <f t="shared" si="51"/>
        <v>.</v>
      </c>
      <c r="FW24" s="558" t="str">
        <f t="shared" si="51"/>
        <v>.</v>
      </c>
      <c r="FX24" s="558" t="str">
        <f t="shared" si="51"/>
        <v>.</v>
      </c>
      <c r="FY24" s="558" t="str">
        <f t="shared" si="51"/>
        <v>.</v>
      </c>
      <c r="FZ24" s="558" t="str">
        <f t="shared" si="51"/>
        <v>.</v>
      </c>
      <c r="GA24" s="558" t="str">
        <f t="shared" si="51"/>
        <v>.</v>
      </c>
      <c r="GB24" s="558" t="str">
        <f t="shared" si="51"/>
        <v>.</v>
      </c>
      <c r="GC24" s="558" t="str">
        <f t="shared" si="51"/>
        <v>.</v>
      </c>
      <c r="GD24" s="558" t="str">
        <f t="shared" si="51"/>
        <v>.</v>
      </c>
      <c r="GE24" s="558" t="str">
        <f t="shared" si="51"/>
        <v>.</v>
      </c>
      <c r="GF24" s="558" t="str">
        <f t="shared" si="52"/>
        <v>.</v>
      </c>
      <c r="GG24" s="558" t="str">
        <f t="shared" si="52"/>
        <v>.</v>
      </c>
      <c r="GH24" s="558" t="str">
        <f t="shared" si="52"/>
        <v>.</v>
      </c>
      <c r="GI24" s="558" t="str">
        <f t="shared" si="52"/>
        <v>.</v>
      </c>
      <c r="GJ24" s="558" t="str">
        <f t="shared" si="52"/>
        <v>.</v>
      </c>
      <c r="GK24" s="558" t="str">
        <f t="shared" si="52"/>
        <v>.</v>
      </c>
      <c r="GL24" s="558" t="str">
        <f t="shared" si="52"/>
        <v>.</v>
      </c>
      <c r="GM24" s="558" t="str">
        <f t="shared" si="52"/>
        <v>.</v>
      </c>
      <c r="GN24" s="558" t="str">
        <f t="shared" si="52"/>
        <v>.</v>
      </c>
      <c r="GO24" s="558" t="str">
        <f t="shared" si="52"/>
        <v>.</v>
      </c>
      <c r="GP24" s="558" t="str">
        <f t="shared" si="52"/>
        <v>.</v>
      </c>
      <c r="GQ24" s="558" t="str">
        <f t="shared" si="52"/>
        <v>.</v>
      </c>
      <c r="GR24" s="558" t="str">
        <f t="shared" si="52"/>
        <v>.</v>
      </c>
      <c r="GS24" s="558" t="str">
        <f t="shared" si="52"/>
        <v>.</v>
      </c>
      <c r="GT24" s="558" t="str">
        <f t="shared" si="52"/>
        <v>.</v>
      </c>
      <c r="GU24" s="558" t="str">
        <f t="shared" si="52"/>
        <v>.</v>
      </c>
      <c r="GV24" s="558" t="str">
        <f t="shared" si="53"/>
        <v>.</v>
      </c>
      <c r="GW24" s="558" t="str">
        <f t="shared" si="53"/>
        <v>.</v>
      </c>
      <c r="GX24" s="558" t="str">
        <f t="shared" si="53"/>
        <v>.</v>
      </c>
      <c r="GY24" s="558" t="str">
        <f t="shared" si="53"/>
        <v>.</v>
      </c>
      <c r="GZ24" s="558" t="str">
        <f t="shared" si="53"/>
        <v>.</v>
      </c>
      <c r="HA24" s="558" t="str">
        <f t="shared" si="53"/>
        <v>.</v>
      </c>
      <c r="HB24" s="558" t="str">
        <f t="shared" si="53"/>
        <v>.</v>
      </c>
      <c r="HC24" s="558" t="str">
        <f t="shared" si="53"/>
        <v>.</v>
      </c>
      <c r="HD24" s="558" t="str">
        <f t="shared" si="53"/>
        <v>.</v>
      </c>
      <c r="HE24" s="558" t="str">
        <f t="shared" si="53"/>
        <v>.</v>
      </c>
      <c r="HF24" s="558" t="str">
        <f t="shared" si="53"/>
        <v>.</v>
      </c>
      <c r="HG24" s="558" t="str">
        <f t="shared" si="53"/>
        <v>.</v>
      </c>
      <c r="HH24" s="558" t="str">
        <f t="shared" si="53"/>
        <v>.</v>
      </c>
      <c r="HI24" s="558" t="str">
        <f t="shared" si="53"/>
        <v>.</v>
      </c>
      <c r="HJ24" s="558" t="str">
        <f t="shared" si="53"/>
        <v>.</v>
      </c>
      <c r="HK24" s="558" t="str">
        <f t="shared" si="53"/>
        <v>.</v>
      </c>
      <c r="HL24" s="558" t="str">
        <f t="shared" si="54"/>
        <v>.</v>
      </c>
      <c r="HM24" s="558" t="str">
        <f t="shared" si="54"/>
        <v>.</v>
      </c>
      <c r="HN24" s="558" t="str">
        <f t="shared" si="54"/>
        <v>.</v>
      </c>
      <c r="HO24" s="558" t="str">
        <f t="shared" si="54"/>
        <v>.</v>
      </c>
      <c r="HP24" s="558" t="str">
        <f t="shared" si="54"/>
        <v>.</v>
      </c>
      <c r="HQ24" s="558" t="str">
        <f t="shared" si="54"/>
        <v>.</v>
      </c>
      <c r="HR24" s="558" t="str">
        <f t="shared" si="54"/>
        <v>.</v>
      </c>
      <c r="HS24" s="558" t="str">
        <f t="shared" si="54"/>
        <v>.</v>
      </c>
      <c r="HT24" s="558" t="str">
        <f t="shared" si="54"/>
        <v>.</v>
      </c>
      <c r="HU24" s="558" t="str">
        <f t="shared" si="54"/>
        <v>.</v>
      </c>
      <c r="HV24" s="558" t="str">
        <f t="shared" si="54"/>
        <v>.</v>
      </c>
      <c r="HW24" s="558" t="str">
        <f t="shared" si="54"/>
        <v>.</v>
      </c>
      <c r="HX24" s="558" t="str">
        <f t="shared" si="54"/>
        <v>.</v>
      </c>
      <c r="HY24" s="558" t="str">
        <f t="shared" si="54"/>
        <v>.</v>
      </c>
      <c r="HZ24" s="558" t="str">
        <f t="shared" si="54"/>
        <v>.</v>
      </c>
      <c r="IA24" s="558" t="str">
        <f t="shared" si="54"/>
        <v>.</v>
      </c>
      <c r="IB24" s="558" t="str">
        <f t="shared" si="54"/>
        <v>.</v>
      </c>
      <c r="IC24" s="558" t="str">
        <f t="shared" si="54"/>
        <v>.</v>
      </c>
      <c r="ID24" s="558" t="str">
        <f t="shared" si="55"/>
        <v>.</v>
      </c>
      <c r="IE24" s="558" t="str">
        <f t="shared" si="55"/>
        <v>.</v>
      </c>
      <c r="IF24" s="558" t="str">
        <f t="shared" si="55"/>
        <v>.</v>
      </c>
      <c r="IG24" s="558" t="str">
        <f t="shared" si="55"/>
        <v>.</v>
      </c>
      <c r="IH24" s="558" t="str">
        <f t="shared" si="55"/>
        <v>.</v>
      </c>
      <c r="II24" s="558" t="str">
        <f t="shared" si="55"/>
        <v>.</v>
      </c>
      <c r="IJ24" s="558" t="str">
        <f t="shared" si="55"/>
        <v>.</v>
      </c>
      <c r="IK24" s="558" t="str">
        <f t="shared" si="55"/>
        <v>.</v>
      </c>
      <c r="IL24" s="558" t="str">
        <f t="shared" si="55"/>
        <v>.</v>
      </c>
      <c r="IM24" s="558" t="str">
        <f t="shared" si="55"/>
        <v>.</v>
      </c>
      <c r="IN24" s="558" t="str">
        <f t="shared" si="55"/>
        <v>.</v>
      </c>
      <c r="IO24" s="558" t="str">
        <f t="shared" si="55"/>
        <v>.</v>
      </c>
      <c r="IP24" s="558" t="str">
        <f t="shared" si="55"/>
        <v>.</v>
      </c>
      <c r="IQ24" s="558" t="str">
        <f t="shared" si="55"/>
        <v>.</v>
      </c>
      <c r="IR24" s="558" t="str">
        <f t="shared" si="55"/>
        <v>.</v>
      </c>
      <c r="IS24" s="558" t="str">
        <f t="shared" si="55"/>
        <v>.</v>
      </c>
      <c r="IT24" s="558" t="str">
        <f t="shared" si="55"/>
        <v>.</v>
      </c>
      <c r="IU24" s="558" t="str">
        <f t="shared" si="55"/>
        <v>.</v>
      </c>
      <c r="IV24" s="558" t="str">
        <f t="shared" si="55"/>
        <v>.</v>
      </c>
      <c r="IW24" s="558" t="str">
        <f t="shared" si="55"/>
        <v>.</v>
      </c>
      <c r="IX24" s="558" t="str">
        <f t="shared" si="55"/>
        <v>.</v>
      </c>
      <c r="IY24" s="558" t="str">
        <f t="shared" si="55"/>
        <v>.</v>
      </c>
      <c r="IZ24" s="558" t="str">
        <f t="shared" si="55"/>
        <v>.</v>
      </c>
      <c r="JA24" s="558" t="str">
        <f t="shared" si="55"/>
        <v>.</v>
      </c>
      <c r="JB24" s="558" t="str">
        <f t="shared" si="55"/>
        <v>.</v>
      </c>
      <c r="JC24" s="558" t="str">
        <f t="shared" si="56"/>
        <v>.</v>
      </c>
      <c r="JD24" s="558" t="str">
        <f t="shared" si="56"/>
        <v>.</v>
      </c>
      <c r="JE24" s="558" t="str">
        <f t="shared" si="56"/>
        <v>.</v>
      </c>
      <c r="JF24" s="558" t="str">
        <f t="shared" si="56"/>
        <v>.</v>
      </c>
      <c r="JG24" s="558" t="str">
        <f t="shared" si="56"/>
        <v>.</v>
      </c>
      <c r="JH24" s="558" t="str">
        <f t="shared" si="56"/>
        <v>.</v>
      </c>
      <c r="JI24" s="558" t="str">
        <f t="shared" si="56"/>
        <v>.</v>
      </c>
      <c r="JJ24" s="558" t="str">
        <f t="shared" si="56"/>
        <v>.</v>
      </c>
      <c r="JK24" s="558" t="str">
        <f t="shared" si="56"/>
        <v>.</v>
      </c>
      <c r="JL24" s="558" t="str">
        <f t="shared" si="56"/>
        <v>.</v>
      </c>
    </row>
    <row r="25" spans="1:272" ht="10.199999999999999" x14ac:dyDescent="0.2">
      <c r="A25" s="534">
        <f xml:space="preserve"> Basis!A25</f>
        <v>25</v>
      </c>
      <c r="F25" s="536">
        <f xml:space="preserve"> ROUND(    IF( $A$15=BE_MF_,   AW25,   INDEX( qx!25:25, F$16 ) ),    F$17    )</f>
        <v>2.9999999999999997E-4</v>
      </c>
      <c r="G25" s="536">
        <f xml:space="preserve"> ROUND(    IF( $A$15=BE_MF_,   BB25,   INDEX( wx!25:25, G$16 ) ),    G$17    )</f>
        <v>0.10290000000000001</v>
      </c>
      <c r="H25" s="537">
        <f xml:space="preserve"> ROUND(    IF( $A$15=BE_MF_,   BG25,   INDEX( Kx!25:25, H$16 ) ),    H$17    )</f>
        <v>1867.41</v>
      </c>
      <c r="I25" s="538">
        <f t="shared" si="57"/>
        <v>1867.41</v>
      </c>
      <c r="J25" s="539">
        <f t="shared" si="17"/>
        <v>0.89900000000000002</v>
      </c>
      <c r="K25" s="540">
        <f t="shared" si="58"/>
        <v>2</v>
      </c>
      <c r="L25" s="541">
        <f t="shared" si="18"/>
        <v>0</v>
      </c>
      <c r="M25" s="541">
        <f t="shared" si="18"/>
        <v>8.5999999999999993E-2</v>
      </c>
      <c r="O25" s="542" t="b">
        <f t="shared" si="59"/>
        <v>1</v>
      </c>
      <c r="P25" s="493">
        <f t="shared" si="19"/>
        <v>0.1032</v>
      </c>
      <c r="Q25" s="493">
        <f t="shared" si="20"/>
        <v>0.89680000000000004</v>
      </c>
      <c r="R25" s="543">
        <f t="shared" si="21"/>
        <v>2581334</v>
      </c>
      <c r="S25" s="544">
        <f t="shared" si="22"/>
        <v>0.97560975599999999</v>
      </c>
      <c r="T25" s="423">
        <f t="shared" si="23"/>
        <v>1392347.26</v>
      </c>
      <c r="U25" s="423">
        <f xml:space="preserve"> IF( $O25,    ROUND(  SUM( T25:T$120), U$17 ),  LEER  )</f>
        <v>16833607.030000001</v>
      </c>
      <c r="V25" s="493">
        <f t="shared" si="24"/>
        <v>12.0901</v>
      </c>
      <c r="W25" s="493">
        <f t="shared" si="25"/>
        <v>1251720.19</v>
      </c>
      <c r="X25" s="493">
        <f xml:space="preserve"> IF( $O25,    ROUND(  SUM( W25:W$120), X$17 ),  LEER  )</f>
        <v>23236166.32</v>
      </c>
      <c r="Y25" s="493">
        <f t="shared" si="26"/>
        <v>16.688500000000001</v>
      </c>
      <c r="Z25" s="493">
        <f t="shared" si="27"/>
        <v>1.3803000000000001</v>
      </c>
      <c r="AA25" s="493">
        <f t="shared" si="28"/>
        <v>1.0153000000000001</v>
      </c>
      <c r="AB25" s="493">
        <f t="shared" si="29"/>
        <v>2.3494000000000002</v>
      </c>
      <c r="AC25" s="545">
        <f t="shared" si="30"/>
        <v>0.38600000000000001</v>
      </c>
      <c r="AD25" s="493">
        <f t="shared" si="31"/>
        <v>1.4073</v>
      </c>
      <c r="AE25" s="493">
        <f t="shared" si="32"/>
        <v>1.962</v>
      </c>
      <c r="AF25" s="493">
        <f t="shared" si="33"/>
        <v>1.962</v>
      </c>
      <c r="AG25" s="493" t="str">
        <f t="shared" si="34"/>
        <v>.</v>
      </c>
      <c r="AH25" s="493" t="str">
        <f t="shared" si="35"/>
        <v>.</v>
      </c>
      <c r="AI25" s="423">
        <f t="shared" si="36"/>
        <v>2077.79</v>
      </c>
      <c r="AJ25" s="423">
        <f t="shared" si="37"/>
        <v>4076.62</v>
      </c>
      <c r="AK25" s="423">
        <f t="shared" si="38"/>
        <v>339.72</v>
      </c>
      <c r="AN25" s="423" t="str">
        <f t="shared" si="39"/>
        <v>.</v>
      </c>
      <c r="AO25" s="423" t="str">
        <f t="shared" si="39"/>
        <v>.</v>
      </c>
      <c r="AR25" s="546">
        <f xml:space="preserve"> ROUND(  INDEX( Kx!25:25, AR$16 ),  AR$17 )</f>
        <v>0.5948</v>
      </c>
      <c r="AS25" s="547">
        <f xml:space="preserve"> ROUND(  INDEX( qx!25:25, AS$16 ),  AS$17 )</f>
        <v>4.0000000000000002E-4</v>
      </c>
      <c r="AT25" s="547">
        <f xml:space="preserve"> ROUND(  INDEX( qx!25:25, AT$16 ),  AT$17 )</f>
        <v>2.0000000000000001E-4</v>
      </c>
      <c r="AU25" s="548" t="str">
        <f t="shared" si="40"/>
        <v>F</v>
      </c>
      <c r="AV25" s="542">
        <f t="shared" si="41"/>
        <v>0.49459999999999998</v>
      </c>
      <c r="AW25" s="542">
        <f t="shared" si="42"/>
        <v>2.9999999999999997E-4</v>
      </c>
      <c r="AX25" s="546">
        <f xml:space="preserve"> ROUND(  INDEX( wx!25:25, AX$16 ),  AX$17 )</f>
        <v>9.2999999999999999E-2</v>
      </c>
      <c r="AY25" s="546">
        <f xml:space="preserve"> ROUND(  INDEX( wx!25:25, AY$16 ),  AY$17 )</f>
        <v>0.12470000000000001</v>
      </c>
      <c r="AZ25" s="548" t="str">
        <f t="shared" si="43"/>
        <v>M</v>
      </c>
      <c r="BA25" s="542">
        <f t="shared" si="44"/>
        <v>0.68769999999999998</v>
      </c>
      <c r="BB25" s="542">
        <f t="shared" si="45"/>
        <v>0.10290000000000001</v>
      </c>
      <c r="BC25" s="533">
        <f xml:space="preserve"> ROUND(  INDEX( Kx!25:25, BC$16 ),  BC$17 )</f>
        <v>1393.14</v>
      </c>
      <c r="BD25" s="533">
        <f xml:space="preserve"> ROUND(  INDEX( Kx!25:25, BD$16 ),  BD$17 )</f>
        <v>2331.54</v>
      </c>
      <c r="BE25" s="548" t="str">
        <f t="shared" si="60"/>
        <v>F</v>
      </c>
      <c r="BF25" s="542">
        <f t="shared" si="46"/>
        <v>0.49459999999999998</v>
      </c>
      <c r="BG25" s="420">
        <f t="shared" si="47"/>
        <v>1867.41</v>
      </c>
      <c r="BQ25" s="549"/>
      <c r="BR25" s="423"/>
      <c r="BS25" s="550"/>
      <c r="BT25" s="423"/>
      <c r="BU25" s="551"/>
      <c r="BV25" s="551"/>
      <c r="BW25" s="529"/>
      <c r="BX25" s="552"/>
      <c r="BY25" s="559"/>
      <c r="BZ25" s="559"/>
      <c r="CB25" s="423"/>
      <c r="CC25" s="423"/>
      <c r="CD25" s="423"/>
      <c r="CE25" s="423"/>
      <c r="CF25" s="553"/>
      <c r="CH25" s="423"/>
      <c r="CI25" s="423"/>
      <c r="CJ25" s="423"/>
      <c r="CK25" s="423"/>
      <c r="CL25" s="553"/>
      <c r="CN25" s="423"/>
      <c r="CO25" s="423"/>
      <c r="CP25" s="423"/>
      <c r="CQ25" s="423"/>
      <c r="CR25" s="553"/>
      <c r="DM25" s="554"/>
      <c r="DO25" s="385"/>
      <c r="DP25" s="385"/>
      <c r="DQ25" s="385"/>
      <c r="EI25" s="553"/>
      <c r="EJ25" s="553"/>
      <c r="EK25" s="423"/>
      <c r="EL25" s="555"/>
      <c r="ES25" s="533"/>
      <c r="ET25" s="533"/>
      <c r="EU25" s="533"/>
      <c r="EV25" s="556"/>
      <c r="EY25" s="533"/>
      <c r="EZ25" s="533"/>
      <c r="FA25" s="556"/>
      <c r="FD25" s="556"/>
      <c r="FE25" s="556"/>
      <c r="FF25" s="556"/>
      <c r="FK25" s="557">
        <f t="shared" si="48"/>
        <v>25</v>
      </c>
      <c r="FL25" s="493">
        <f t="shared" si="49"/>
        <v>16.688500000000001</v>
      </c>
      <c r="FM25" s="493">
        <f t="shared" si="50"/>
        <v>12.0901</v>
      </c>
      <c r="FO25" s="427">
        <f t="shared" si="61"/>
        <v>11700.359999999999</v>
      </c>
      <c r="FP25" s="558">
        <f t="shared" si="51"/>
        <v>4520.32</v>
      </c>
      <c r="FQ25" s="558">
        <f t="shared" si="51"/>
        <v>3502.94</v>
      </c>
      <c r="FR25" s="558">
        <f t="shared" si="51"/>
        <v>2483.04</v>
      </c>
      <c r="FS25" s="558">
        <f t="shared" si="51"/>
        <v>1463.14</v>
      </c>
      <c r="FT25" s="558">
        <f t="shared" si="51"/>
        <v>408.07</v>
      </c>
      <c r="FU25" s="558">
        <f t="shared" si="51"/>
        <v>-677.15</v>
      </c>
      <c r="FV25" s="558" t="str">
        <f t="shared" si="51"/>
        <v>.</v>
      </c>
      <c r="FW25" s="558" t="str">
        <f t="shared" si="51"/>
        <v>.</v>
      </c>
      <c r="FX25" s="558" t="str">
        <f t="shared" si="51"/>
        <v>.</v>
      </c>
      <c r="FY25" s="558" t="str">
        <f t="shared" si="51"/>
        <v>.</v>
      </c>
      <c r="FZ25" s="558" t="str">
        <f t="shared" si="51"/>
        <v>.</v>
      </c>
      <c r="GA25" s="558" t="str">
        <f t="shared" si="51"/>
        <v>.</v>
      </c>
      <c r="GB25" s="558" t="str">
        <f t="shared" si="51"/>
        <v>.</v>
      </c>
      <c r="GC25" s="558" t="str">
        <f t="shared" si="51"/>
        <v>.</v>
      </c>
      <c r="GD25" s="558" t="str">
        <f t="shared" si="51"/>
        <v>.</v>
      </c>
      <c r="GE25" s="558" t="str">
        <f t="shared" si="51"/>
        <v>.</v>
      </c>
      <c r="GF25" s="558" t="str">
        <f t="shared" si="52"/>
        <v>.</v>
      </c>
      <c r="GG25" s="558" t="str">
        <f t="shared" si="52"/>
        <v>.</v>
      </c>
      <c r="GH25" s="558" t="str">
        <f t="shared" si="52"/>
        <v>.</v>
      </c>
      <c r="GI25" s="558" t="str">
        <f t="shared" si="52"/>
        <v>.</v>
      </c>
      <c r="GJ25" s="558" t="str">
        <f t="shared" si="52"/>
        <v>.</v>
      </c>
      <c r="GK25" s="558" t="str">
        <f t="shared" si="52"/>
        <v>.</v>
      </c>
      <c r="GL25" s="558" t="str">
        <f t="shared" si="52"/>
        <v>.</v>
      </c>
      <c r="GM25" s="558" t="str">
        <f t="shared" si="52"/>
        <v>.</v>
      </c>
      <c r="GN25" s="558" t="str">
        <f t="shared" si="52"/>
        <v>.</v>
      </c>
      <c r="GO25" s="558" t="str">
        <f t="shared" si="52"/>
        <v>.</v>
      </c>
      <c r="GP25" s="558" t="str">
        <f t="shared" si="52"/>
        <v>.</v>
      </c>
      <c r="GQ25" s="558" t="str">
        <f t="shared" si="52"/>
        <v>.</v>
      </c>
      <c r="GR25" s="558" t="str">
        <f t="shared" si="52"/>
        <v>.</v>
      </c>
      <c r="GS25" s="558" t="str">
        <f t="shared" si="52"/>
        <v>.</v>
      </c>
      <c r="GT25" s="558" t="str">
        <f t="shared" si="52"/>
        <v>.</v>
      </c>
      <c r="GU25" s="558" t="str">
        <f t="shared" si="52"/>
        <v>.</v>
      </c>
      <c r="GV25" s="558" t="str">
        <f t="shared" si="53"/>
        <v>.</v>
      </c>
      <c r="GW25" s="558" t="str">
        <f t="shared" si="53"/>
        <v>.</v>
      </c>
      <c r="GX25" s="558" t="str">
        <f t="shared" si="53"/>
        <v>.</v>
      </c>
      <c r="GY25" s="558" t="str">
        <f t="shared" si="53"/>
        <v>.</v>
      </c>
      <c r="GZ25" s="558" t="str">
        <f t="shared" si="53"/>
        <v>.</v>
      </c>
      <c r="HA25" s="558" t="str">
        <f t="shared" si="53"/>
        <v>.</v>
      </c>
      <c r="HB25" s="558" t="str">
        <f t="shared" si="53"/>
        <v>.</v>
      </c>
      <c r="HC25" s="558" t="str">
        <f t="shared" si="53"/>
        <v>.</v>
      </c>
      <c r="HD25" s="558" t="str">
        <f t="shared" si="53"/>
        <v>.</v>
      </c>
      <c r="HE25" s="558" t="str">
        <f t="shared" si="53"/>
        <v>.</v>
      </c>
      <c r="HF25" s="558" t="str">
        <f t="shared" si="53"/>
        <v>.</v>
      </c>
      <c r="HG25" s="558" t="str">
        <f t="shared" si="53"/>
        <v>.</v>
      </c>
      <c r="HH25" s="558" t="str">
        <f t="shared" si="53"/>
        <v>.</v>
      </c>
      <c r="HI25" s="558" t="str">
        <f t="shared" si="53"/>
        <v>.</v>
      </c>
      <c r="HJ25" s="558" t="str">
        <f t="shared" si="53"/>
        <v>.</v>
      </c>
      <c r="HK25" s="558" t="str">
        <f t="shared" si="53"/>
        <v>.</v>
      </c>
      <c r="HL25" s="558" t="str">
        <f t="shared" si="54"/>
        <v>.</v>
      </c>
      <c r="HM25" s="558" t="str">
        <f t="shared" si="54"/>
        <v>.</v>
      </c>
      <c r="HN25" s="558" t="str">
        <f t="shared" si="54"/>
        <v>.</v>
      </c>
      <c r="HO25" s="558" t="str">
        <f t="shared" si="54"/>
        <v>.</v>
      </c>
      <c r="HP25" s="558" t="str">
        <f t="shared" si="54"/>
        <v>.</v>
      </c>
      <c r="HQ25" s="558" t="str">
        <f t="shared" si="54"/>
        <v>.</v>
      </c>
      <c r="HR25" s="558" t="str">
        <f t="shared" si="54"/>
        <v>.</v>
      </c>
      <c r="HS25" s="558" t="str">
        <f t="shared" si="54"/>
        <v>.</v>
      </c>
      <c r="HT25" s="558" t="str">
        <f t="shared" si="54"/>
        <v>.</v>
      </c>
      <c r="HU25" s="558" t="str">
        <f t="shared" si="54"/>
        <v>.</v>
      </c>
      <c r="HV25" s="558" t="str">
        <f t="shared" si="54"/>
        <v>.</v>
      </c>
      <c r="HW25" s="558" t="str">
        <f t="shared" si="54"/>
        <v>.</v>
      </c>
      <c r="HX25" s="558" t="str">
        <f t="shared" si="54"/>
        <v>.</v>
      </c>
      <c r="HY25" s="558" t="str">
        <f t="shared" si="54"/>
        <v>.</v>
      </c>
      <c r="HZ25" s="558" t="str">
        <f t="shared" si="54"/>
        <v>.</v>
      </c>
      <c r="IA25" s="558" t="str">
        <f t="shared" si="54"/>
        <v>.</v>
      </c>
      <c r="IB25" s="558" t="str">
        <f t="shared" si="54"/>
        <v>.</v>
      </c>
      <c r="IC25" s="558" t="str">
        <f t="shared" si="54"/>
        <v>.</v>
      </c>
      <c r="ID25" s="558" t="str">
        <f t="shared" si="55"/>
        <v>.</v>
      </c>
      <c r="IE25" s="558" t="str">
        <f t="shared" si="55"/>
        <v>.</v>
      </c>
      <c r="IF25" s="558" t="str">
        <f t="shared" si="55"/>
        <v>.</v>
      </c>
      <c r="IG25" s="558" t="str">
        <f t="shared" si="55"/>
        <v>.</v>
      </c>
      <c r="IH25" s="558" t="str">
        <f t="shared" si="55"/>
        <v>.</v>
      </c>
      <c r="II25" s="558" t="str">
        <f t="shared" si="55"/>
        <v>.</v>
      </c>
      <c r="IJ25" s="558" t="str">
        <f t="shared" si="55"/>
        <v>.</v>
      </c>
      <c r="IK25" s="558" t="str">
        <f t="shared" si="55"/>
        <v>.</v>
      </c>
      <c r="IL25" s="558" t="str">
        <f t="shared" si="55"/>
        <v>.</v>
      </c>
      <c r="IM25" s="558" t="str">
        <f t="shared" si="55"/>
        <v>.</v>
      </c>
      <c r="IN25" s="558" t="str">
        <f t="shared" si="55"/>
        <v>.</v>
      </c>
      <c r="IO25" s="558" t="str">
        <f t="shared" si="55"/>
        <v>.</v>
      </c>
      <c r="IP25" s="558" t="str">
        <f t="shared" si="55"/>
        <v>.</v>
      </c>
      <c r="IQ25" s="558" t="str">
        <f t="shared" si="55"/>
        <v>.</v>
      </c>
      <c r="IR25" s="558" t="str">
        <f t="shared" si="55"/>
        <v>.</v>
      </c>
      <c r="IS25" s="558" t="str">
        <f t="shared" si="55"/>
        <v>.</v>
      </c>
      <c r="IT25" s="558" t="str">
        <f t="shared" si="55"/>
        <v>.</v>
      </c>
      <c r="IU25" s="558" t="str">
        <f t="shared" si="55"/>
        <v>.</v>
      </c>
      <c r="IV25" s="558" t="str">
        <f t="shared" si="55"/>
        <v>.</v>
      </c>
      <c r="IW25" s="558" t="str">
        <f t="shared" si="55"/>
        <v>.</v>
      </c>
      <c r="IX25" s="558" t="str">
        <f t="shared" si="55"/>
        <v>.</v>
      </c>
      <c r="IY25" s="558" t="str">
        <f t="shared" si="55"/>
        <v>.</v>
      </c>
      <c r="IZ25" s="558" t="str">
        <f t="shared" si="55"/>
        <v>.</v>
      </c>
      <c r="JA25" s="558" t="str">
        <f t="shared" si="55"/>
        <v>.</v>
      </c>
      <c r="JB25" s="558" t="str">
        <f t="shared" si="55"/>
        <v>.</v>
      </c>
      <c r="JC25" s="558" t="str">
        <f t="shared" si="56"/>
        <v>.</v>
      </c>
      <c r="JD25" s="558" t="str">
        <f t="shared" si="56"/>
        <v>.</v>
      </c>
      <c r="JE25" s="558" t="str">
        <f t="shared" si="56"/>
        <v>.</v>
      </c>
      <c r="JF25" s="558" t="str">
        <f t="shared" si="56"/>
        <v>.</v>
      </c>
      <c r="JG25" s="558" t="str">
        <f t="shared" si="56"/>
        <v>.</v>
      </c>
      <c r="JH25" s="558" t="str">
        <f t="shared" si="56"/>
        <v>.</v>
      </c>
      <c r="JI25" s="558" t="str">
        <f t="shared" si="56"/>
        <v>.</v>
      </c>
      <c r="JJ25" s="558" t="str">
        <f t="shared" si="56"/>
        <v>.</v>
      </c>
      <c r="JK25" s="558" t="str">
        <f t="shared" si="56"/>
        <v>.</v>
      </c>
      <c r="JL25" s="558" t="str">
        <f t="shared" si="56"/>
        <v>.</v>
      </c>
    </row>
    <row r="26" spans="1:272" ht="10.199999999999999" x14ac:dyDescent="0.2">
      <c r="A26" s="534">
        <f xml:space="preserve"> Basis!A26</f>
        <v>26</v>
      </c>
      <c r="F26" s="536">
        <f xml:space="preserve"> ROUND(    IF( $A$15=BE_MF_,   AW26,   INDEX( qx!26:26, F$16 ) ),    F$17    )</f>
        <v>2.9999999999999997E-4</v>
      </c>
      <c r="G26" s="536">
        <f xml:space="preserve"> ROUND(    IF( $A$15=BE_MF_,   BB26,   INDEX( wx!26:26, G$16 ) ),    G$17    )</f>
        <v>0.11260000000000001</v>
      </c>
      <c r="H26" s="537">
        <f xml:space="preserve"> ROUND(    IF( $A$15=BE_MF_,   BG26,   INDEX( Kx!26:26, H$16 ) ),    H$17    )</f>
        <v>1888.73</v>
      </c>
      <c r="I26" s="538">
        <f t="shared" si="57"/>
        <v>1888.73</v>
      </c>
      <c r="J26" s="539">
        <f t="shared" si="17"/>
        <v>0.90900000000000003</v>
      </c>
      <c r="K26" s="540">
        <f t="shared" si="58"/>
        <v>2</v>
      </c>
      <c r="L26" s="541">
        <f t="shared" si="18"/>
        <v>0</v>
      </c>
      <c r="M26" s="541">
        <f t="shared" si="18"/>
        <v>8.5999999999999993E-2</v>
      </c>
      <c r="O26" s="542" t="b">
        <f t="shared" si="59"/>
        <v>1</v>
      </c>
      <c r="P26" s="493">
        <f t="shared" si="19"/>
        <v>0.1129</v>
      </c>
      <c r="Q26" s="493">
        <f t="shared" si="20"/>
        <v>0.8871</v>
      </c>
      <c r="R26" s="543">
        <f t="shared" si="21"/>
        <v>2314940</v>
      </c>
      <c r="S26" s="544">
        <f t="shared" si="22"/>
        <v>0.97560975599999999</v>
      </c>
      <c r="T26" s="423">
        <f t="shared" si="23"/>
        <v>1218201.8</v>
      </c>
      <c r="U26" s="423">
        <f xml:space="preserve"> IF( $O26,    ROUND(  SUM( T26:T$120), U$17 ),  LEER  )</f>
        <v>15441259.77</v>
      </c>
      <c r="V26" s="493">
        <f t="shared" si="24"/>
        <v>12.6755</v>
      </c>
      <c r="W26" s="493">
        <f t="shared" si="25"/>
        <v>1107345.44</v>
      </c>
      <c r="X26" s="493">
        <f xml:space="preserve"> IF( $O26,    ROUND(  SUM( W26:W$120), X$17 ),  LEER  )</f>
        <v>21984446.129999999</v>
      </c>
      <c r="Y26" s="493">
        <f t="shared" si="26"/>
        <v>18.046600000000002</v>
      </c>
      <c r="Z26" s="493">
        <f t="shared" si="27"/>
        <v>1.4237</v>
      </c>
      <c r="AA26" s="493">
        <f t="shared" si="28"/>
        <v>1.0145999999999999</v>
      </c>
      <c r="AB26" s="493">
        <f t="shared" si="29"/>
        <v>2.3494000000000002</v>
      </c>
      <c r="AC26" s="545">
        <f t="shared" si="30"/>
        <v>0.38600000000000001</v>
      </c>
      <c r="AD26" s="493">
        <f t="shared" si="31"/>
        <v>1.4500999999999999</v>
      </c>
      <c r="AE26" s="493">
        <f t="shared" si="32"/>
        <v>2.0089000000000001</v>
      </c>
      <c r="AF26" s="493">
        <f t="shared" si="33"/>
        <v>2.0089000000000001</v>
      </c>
      <c r="AG26" s="493" t="str">
        <f t="shared" si="34"/>
        <v>.</v>
      </c>
      <c r="AH26" s="493" t="str">
        <f t="shared" si="35"/>
        <v>.</v>
      </c>
      <c r="AI26" s="423">
        <f t="shared" si="36"/>
        <v>2077.79</v>
      </c>
      <c r="AJ26" s="423">
        <f t="shared" si="37"/>
        <v>4174.07</v>
      </c>
      <c r="AK26" s="423">
        <f t="shared" si="38"/>
        <v>347.84</v>
      </c>
      <c r="AN26" s="423" t="str">
        <f t="shared" si="39"/>
        <v>.</v>
      </c>
      <c r="AO26" s="423" t="str">
        <f t="shared" si="39"/>
        <v>.</v>
      </c>
      <c r="AR26" s="546">
        <f xml:space="preserve"> ROUND(  INDEX( Kx!26:26, AR$16 ),  AR$17 )</f>
        <v>0.61960000000000004</v>
      </c>
      <c r="AS26" s="547">
        <f xml:space="preserve"> ROUND(  INDEX( qx!26:26, AS$16 ),  AS$17 )</f>
        <v>4.0000000000000002E-4</v>
      </c>
      <c r="AT26" s="547">
        <f xml:space="preserve"> ROUND(  INDEX( qx!26:26, AT$16 ),  AT$17 )</f>
        <v>2.0000000000000001E-4</v>
      </c>
      <c r="AU26" s="548" t="str">
        <f t="shared" si="40"/>
        <v>F</v>
      </c>
      <c r="AV26" s="542">
        <f t="shared" si="41"/>
        <v>0.52059999999999995</v>
      </c>
      <c r="AW26" s="542">
        <f t="shared" si="42"/>
        <v>2.9999999999999997E-4</v>
      </c>
      <c r="AX26" s="546">
        <f xml:space="preserve"> ROUND(  INDEX( wx!26:26, AX$16 ),  AX$17 )</f>
        <v>0.10299999999999999</v>
      </c>
      <c r="AY26" s="546">
        <f xml:space="preserve"> ROUND(  INDEX( wx!26:26, AY$16 ),  AY$17 )</f>
        <v>0.13619999999999999</v>
      </c>
      <c r="AZ26" s="548" t="str">
        <f t="shared" si="43"/>
        <v>M</v>
      </c>
      <c r="BA26" s="542">
        <f t="shared" si="44"/>
        <v>0.70960000000000001</v>
      </c>
      <c r="BB26" s="542">
        <f t="shared" si="45"/>
        <v>0.11260000000000001</v>
      </c>
      <c r="BC26" s="533">
        <f xml:space="preserve"> ROUND(  INDEX( Kx!26:26, BC$16 ),  BC$17 )</f>
        <v>1390.14</v>
      </c>
      <c r="BD26" s="533">
        <f xml:space="preserve"> ROUND(  INDEX( Kx!26:26, BD$16 ),  BD$17 )</f>
        <v>2430.17</v>
      </c>
      <c r="BE26" s="548" t="str">
        <f t="shared" si="60"/>
        <v>F</v>
      </c>
      <c r="BF26" s="542">
        <f t="shared" si="46"/>
        <v>0.52059999999999995</v>
      </c>
      <c r="BG26" s="420">
        <f t="shared" si="47"/>
        <v>1888.73</v>
      </c>
      <c r="BQ26" s="549"/>
      <c r="BR26" s="423"/>
      <c r="BS26" s="550"/>
      <c r="BT26" s="423"/>
      <c r="BU26" s="551"/>
      <c r="BV26" s="551"/>
      <c r="BW26" s="529"/>
      <c r="BX26" s="552"/>
      <c r="BY26" s="559"/>
      <c r="BZ26" s="559"/>
      <c r="CB26" s="423"/>
      <c r="CC26" s="423"/>
      <c r="CD26" s="423"/>
      <c r="CE26" s="423"/>
      <c r="CF26" s="553"/>
      <c r="CH26" s="423"/>
      <c r="CI26" s="423"/>
      <c r="CJ26" s="423"/>
      <c r="CK26" s="423"/>
      <c r="CL26" s="553"/>
      <c r="CN26" s="423"/>
      <c r="CO26" s="423"/>
      <c r="CP26" s="423"/>
      <c r="CQ26" s="423"/>
      <c r="CR26" s="553"/>
      <c r="DM26" s="554"/>
      <c r="DO26" s="385"/>
      <c r="DP26" s="385"/>
      <c r="DQ26" s="385"/>
      <c r="EI26" s="553"/>
      <c r="EJ26" s="553"/>
      <c r="EK26" s="423"/>
      <c r="EL26" s="555"/>
      <c r="ES26" s="533"/>
      <c r="ET26" s="533"/>
      <c r="EU26" s="533"/>
      <c r="EV26" s="556"/>
      <c r="EY26" s="533"/>
      <c r="EZ26" s="533"/>
      <c r="FA26" s="556"/>
      <c r="FD26" s="556"/>
      <c r="FE26" s="556"/>
      <c r="FF26" s="556"/>
      <c r="FK26" s="557">
        <f t="shared" si="48"/>
        <v>26</v>
      </c>
      <c r="FL26" s="493">
        <f t="shared" si="49"/>
        <v>18.046600000000002</v>
      </c>
      <c r="FM26" s="493">
        <f t="shared" si="50"/>
        <v>12.6755</v>
      </c>
      <c r="FO26" s="427">
        <f t="shared" si="61"/>
        <v>18429.89</v>
      </c>
      <c r="FP26" s="558">
        <f t="shared" si="51"/>
        <v>5882.08</v>
      </c>
      <c r="FQ26" s="558">
        <f t="shared" si="51"/>
        <v>4815.43</v>
      </c>
      <c r="FR26" s="558">
        <f t="shared" si="51"/>
        <v>3746.14</v>
      </c>
      <c r="FS26" s="558">
        <f t="shared" si="51"/>
        <v>2676.86</v>
      </c>
      <c r="FT26" s="558">
        <f t="shared" si="51"/>
        <v>1570.71</v>
      </c>
      <c r="FU26" s="558">
        <f t="shared" si="51"/>
        <v>432.95</v>
      </c>
      <c r="FV26" s="558">
        <f t="shared" si="51"/>
        <v>-694.28</v>
      </c>
      <c r="FW26" s="558" t="str">
        <f t="shared" si="51"/>
        <v>.</v>
      </c>
      <c r="FX26" s="558" t="str">
        <f t="shared" si="51"/>
        <v>.</v>
      </c>
      <c r="FY26" s="558" t="str">
        <f t="shared" si="51"/>
        <v>.</v>
      </c>
      <c r="FZ26" s="558" t="str">
        <f t="shared" si="51"/>
        <v>.</v>
      </c>
      <c r="GA26" s="558" t="str">
        <f t="shared" si="51"/>
        <v>.</v>
      </c>
      <c r="GB26" s="558" t="str">
        <f t="shared" si="51"/>
        <v>.</v>
      </c>
      <c r="GC26" s="558" t="str">
        <f t="shared" si="51"/>
        <v>.</v>
      </c>
      <c r="GD26" s="558" t="str">
        <f t="shared" si="51"/>
        <v>.</v>
      </c>
      <c r="GE26" s="558" t="str">
        <f t="shared" si="51"/>
        <v>.</v>
      </c>
      <c r="GF26" s="558" t="str">
        <f t="shared" si="52"/>
        <v>.</v>
      </c>
      <c r="GG26" s="558" t="str">
        <f t="shared" si="52"/>
        <v>.</v>
      </c>
      <c r="GH26" s="558" t="str">
        <f t="shared" si="52"/>
        <v>.</v>
      </c>
      <c r="GI26" s="558" t="str">
        <f t="shared" si="52"/>
        <v>.</v>
      </c>
      <c r="GJ26" s="558" t="str">
        <f t="shared" si="52"/>
        <v>.</v>
      </c>
      <c r="GK26" s="558" t="str">
        <f t="shared" si="52"/>
        <v>.</v>
      </c>
      <c r="GL26" s="558" t="str">
        <f t="shared" si="52"/>
        <v>.</v>
      </c>
      <c r="GM26" s="558" t="str">
        <f t="shared" si="52"/>
        <v>.</v>
      </c>
      <c r="GN26" s="558" t="str">
        <f t="shared" si="52"/>
        <v>.</v>
      </c>
      <c r="GO26" s="558" t="str">
        <f t="shared" si="52"/>
        <v>.</v>
      </c>
      <c r="GP26" s="558" t="str">
        <f t="shared" si="52"/>
        <v>.</v>
      </c>
      <c r="GQ26" s="558" t="str">
        <f t="shared" si="52"/>
        <v>.</v>
      </c>
      <c r="GR26" s="558" t="str">
        <f t="shared" si="52"/>
        <v>.</v>
      </c>
      <c r="GS26" s="558" t="str">
        <f t="shared" si="52"/>
        <v>.</v>
      </c>
      <c r="GT26" s="558" t="str">
        <f t="shared" si="52"/>
        <v>.</v>
      </c>
      <c r="GU26" s="558" t="str">
        <f t="shared" si="52"/>
        <v>.</v>
      </c>
      <c r="GV26" s="558" t="str">
        <f t="shared" si="53"/>
        <v>.</v>
      </c>
      <c r="GW26" s="558" t="str">
        <f t="shared" si="53"/>
        <v>.</v>
      </c>
      <c r="GX26" s="558" t="str">
        <f t="shared" si="53"/>
        <v>.</v>
      </c>
      <c r="GY26" s="558" t="str">
        <f t="shared" si="53"/>
        <v>.</v>
      </c>
      <c r="GZ26" s="558" t="str">
        <f t="shared" si="53"/>
        <v>.</v>
      </c>
      <c r="HA26" s="558" t="str">
        <f t="shared" si="53"/>
        <v>.</v>
      </c>
      <c r="HB26" s="558" t="str">
        <f t="shared" si="53"/>
        <v>.</v>
      </c>
      <c r="HC26" s="558" t="str">
        <f t="shared" si="53"/>
        <v>.</v>
      </c>
      <c r="HD26" s="558" t="str">
        <f t="shared" si="53"/>
        <v>.</v>
      </c>
      <c r="HE26" s="558" t="str">
        <f t="shared" si="53"/>
        <v>.</v>
      </c>
      <c r="HF26" s="558" t="str">
        <f t="shared" si="53"/>
        <v>.</v>
      </c>
      <c r="HG26" s="558" t="str">
        <f t="shared" si="53"/>
        <v>.</v>
      </c>
      <c r="HH26" s="558" t="str">
        <f t="shared" si="53"/>
        <v>.</v>
      </c>
      <c r="HI26" s="558" t="str">
        <f t="shared" si="53"/>
        <v>.</v>
      </c>
      <c r="HJ26" s="558" t="str">
        <f t="shared" si="53"/>
        <v>.</v>
      </c>
      <c r="HK26" s="558" t="str">
        <f t="shared" si="53"/>
        <v>.</v>
      </c>
      <c r="HL26" s="558" t="str">
        <f t="shared" si="54"/>
        <v>.</v>
      </c>
      <c r="HM26" s="558" t="str">
        <f t="shared" si="54"/>
        <v>.</v>
      </c>
      <c r="HN26" s="558" t="str">
        <f t="shared" si="54"/>
        <v>.</v>
      </c>
      <c r="HO26" s="558" t="str">
        <f t="shared" si="54"/>
        <v>.</v>
      </c>
      <c r="HP26" s="558" t="str">
        <f t="shared" si="54"/>
        <v>.</v>
      </c>
      <c r="HQ26" s="558" t="str">
        <f t="shared" si="54"/>
        <v>.</v>
      </c>
      <c r="HR26" s="558" t="str">
        <f t="shared" si="54"/>
        <v>.</v>
      </c>
      <c r="HS26" s="558" t="str">
        <f t="shared" si="54"/>
        <v>.</v>
      </c>
      <c r="HT26" s="558" t="str">
        <f t="shared" si="54"/>
        <v>.</v>
      </c>
      <c r="HU26" s="558" t="str">
        <f t="shared" si="54"/>
        <v>.</v>
      </c>
      <c r="HV26" s="558" t="str">
        <f t="shared" si="54"/>
        <v>.</v>
      </c>
      <c r="HW26" s="558" t="str">
        <f t="shared" si="54"/>
        <v>.</v>
      </c>
      <c r="HX26" s="558" t="str">
        <f t="shared" si="54"/>
        <v>.</v>
      </c>
      <c r="HY26" s="558" t="str">
        <f t="shared" si="54"/>
        <v>.</v>
      </c>
      <c r="HZ26" s="558" t="str">
        <f t="shared" si="54"/>
        <v>.</v>
      </c>
      <c r="IA26" s="558" t="str">
        <f t="shared" si="54"/>
        <v>.</v>
      </c>
      <c r="IB26" s="558" t="str">
        <f t="shared" si="54"/>
        <v>.</v>
      </c>
      <c r="IC26" s="558" t="str">
        <f t="shared" si="54"/>
        <v>.</v>
      </c>
      <c r="ID26" s="558" t="str">
        <f t="shared" si="55"/>
        <v>.</v>
      </c>
      <c r="IE26" s="558" t="str">
        <f t="shared" si="55"/>
        <v>.</v>
      </c>
      <c r="IF26" s="558" t="str">
        <f t="shared" si="55"/>
        <v>.</v>
      </c>
      <c r="IG26" s="558" t="str">
        <f t="shared" si="55"/>
        <v>.</v>
      </c>
      <c r="IH26" s="558" t="str">
        <f t="shared" si="55"/>
        <v>.</v>
      </c>
      <c r="II26" s="558" t="str">
        <f t="shared" si="55"/>
        <v>.</v>
      </c>
      <c r="IJ26" s="558" t="str">
        <f t="shared" si="55"/>
        <v>.</v>
      </c>
      <c r="IK26" s="558" t="str">
        <f t="shared" si="55"/>
        <v>.</v>
      </c>
      <c r="IL26" s="558" t="str">
        <f t="shared" si="55"/>
        <v>.</v>
      </c>
      <c r="IM26" s="558" t="str">
        <f t="shared" si="55"/>
        <v>.</v>
      </c>
      <c r="IN26" s="558" t="str">
        <f t="shared" si="55"/>
        <v>.</v>
      </c>
      <c r="IO26" s="558" t="str">
        <f t="shared" si="55"/>
        <v>.</v>
      </c>
      <c r="IP26" s="558" t="str">
        <f t="shared" si="55"/>
        <v>.</v>
      </c>
      <c r="IQ26" s="558" t="str">
        <f t="shared" si="55"/>
        <v>.</v>
      </c>
      <c r="IR26" s="558" t="str">
        <f t="shared" si="55"/>
        <v>.</v>
      </c>
      <c r="IS26" s="558" t="str">
        <f t="shared" si="55"/>
        <v>.</v>
      </c>
      <c r="IT26" s="558" t="str">
        <f t="shared" si="55"/>
        <v>.</v>
      </c>
      <c r="IU26" s="558" t="str">
        <f t="shared" si="55"/>
        <v>.</v>
      </c>
      <c r="IV26" s="558" t="str">
        <f t="shared" si="55"/>
        <v>.</v>
      </c>
      <c r="IW26" s="558" t="str">
        <f t="shared" si="55"/>
        <v>.</v>
      </c>
      <c r="IX26" s="558" t="str">
        <f t="shared" si="55"/>
        <v>.</v>
      </c>
      <c r="IY26" s="558" t="str">
        <f t="shared" si="55"/>
        <v>.</v>
      </c>
      <c r="IZ26" s="558" t="str">
        <f t="shared" si="55"/>
        <v>.</v>
      </c>
      <c r="JA26" s="558" t="str">
        <f t="shared" si="55"/>
        <v>.</v>
      </c>
      <c r="JB26" s="558" t="str">
        <f t="shared" si="55"/>
        <v>.</v>
      </c>
      <c r="JC26" s="558" t="str">
        <f t="shared" si="56"/>
        <v>.</v>
      </c>
      <c r="JD26" s="558" t="str">
        <f t="shared" si="56"/>
        <v>.</v>
      </c>
      <c r="JE26" s="558" t="str">
        <f t="shared" si="56"/>
        <v>.</v>
      </c>
      <c r="JF26" s="558" t="str">
        <f t="shared" si="56"/>
        <v>.</v>
      </c>
      <c r="JG26" s="558" t="str">
        <f t="shared" si="56"/>
        <v>.</v>
      </c>
      <c r="JH26" s="558" t="str">
        <f t="shared" si="56"/>
        <v>.</v>
      </c>
      <c r="JI26" s="558" t="str">
        <f t="shared" si="56"/>
        <v>.</v>
      </c>
      <c r="JJ26" s="558" t="str">
        <f t="shared" si="56"/>
        <v>.</v>
      </c>
      <c r="JK26" s="558" t="str">
        <f t="shared" si="56"/>
        <v>.</v>
      </c>
      <c r="JL26" s="558" t="str">
        <f t="shared" si="56"/>
        <v>.</v>
      </c>
    </row>
    <row r="27" spans="1:272" ht="10.199999999999999" x14ac:dyDescent="0.2">
      <c r="A27" s="534">
        <f xml:space="preserve"> Basis!A27</f>
        <v>27</v>
      </c>
      <c r="F27" s="536">
        <f xml:space="preserve"> ROUND(    IF( $A$15=BE_MF_,   AW27,   INDEX( qx!27:27, F$16 ) ),    F$17    )</f>
        <v>2.9999999999999997E-4</v>
      </c>
      <c r="G27" s="536">
        <f xml:space="preserve"> ROUND(    IF( $A$15=BE_MF_,   BB27,   INDEX( wx!27:27, G$16 ) ),    G$17    )</f>
        <v>0.111</v>
      </c>
      <c r="H27" s="537">
        <f xml:space="preserve"> ROUND(    IF( $A$15=BE_MF_,   BG27,   INDEX( Kx!27:27, H$16 ) ),    H$17    )</f>
        <v>1866.02</v>
      </c>
      <c r="I27" s="538">
        <f t="shared" si="57"/>
        <v>1866.02</v>
      </c>
      <c r="J27" s="539">
        <f t="shared" si="17"/>
        <v>0.89800000000000002</v>
      </c>
      <c r="K27" s="540">
        <f t="shared" si="58"/>
        <v>2</v>
      </c>
      <c r="L27" s="541">
        <f t="shared" si="18"/>
        <v>0</v>
      </c>
      <c r="M27" s="541">
        <f t="shared" si="18"/>
        <v>8.5999999999999993E-2</v>
      </c>
      <c r="O27" s="542" t="b">
        <f t="shared" si="59"/>
        <v>1</v>
      </c>
      <c r="P27" s="493">
        <f t="shared" si="19"/>
        <v>0.1113</v>
      </c>
      <c r="Q27" s="493">
        <f t="shared" si="20"/>
        <v>0.88870000000000005</v>
      </c>
      <c r="R27" s="543">
        <f t="shared" si="21"/>
        <v>2053583</v>
      </c>
      <c r="S27" s="544">
        <f t="shared" si="22"/>
        <v>0.97560975599999999</v>
      </c>
      <c r="T27" s="423">
        <f t="shared" si="23"/>
        <v>1054308.95</v>
      </c>
      <c r="U27" s="423">
        <f xml:space="preserve"> IF( $O27,    ROUND(  SUM( T27:T$120), U$17 ),  LEER  )</f>
        <v>14223057.970000001</v>
      </c>
      <c r="V27" s="493">
        <f t="shared" si="24"/>
        <v>13.490399999999999</v>
      </c>
      <c r="W27" s="493">
        <f t="shared" si="25"/>
        <v>946769.44</v>
      </c>
      <c r="X27" s="493">
        <f xml:space="preserve"> IF( $O27,    ROUND(  SUM( W27:W$120), X$17 ),  LEER  )</f>
        <v>20877100.690000001</v>
      </c>
      <c r="Y27" s="493">
        <f t="shared" si="26"/>
        <v>19.8017</v>
      </c>
      <c r="Z27" s="493">
        <f t="shared" si="27"/>
        <v>1.4678</v>
      </c>
      <c r="AA27" s="493">
        <f t="shared" si="28"/>
        <v>1.0137</v>
      </c>
      <c r="AB27" s="493">
        <f t="shared" si="29"/>
        <v>2.3494000000000002</v>
      </c>
      <c r="AC27" s="545">
        <f t="shared" si="30"/>
        <v>0.38600000000000001</v>
      </c>
      <c r="AD27" s="493">
        <f t="shared" si="31"/>
        <v>1.4932000000000001</v>
      </c>
      <c r="AE27" s="493">
        <f t="shared" si="32"/>
        <v>2.056</v>
      </c>
      <c r="AF27" s="493">
        <f t="shared" si="33"/>
        <v>2.056</v>
      </c>
      <c r="AG27" s="493" t="str">
        <f t="shared" si="34"/>
        <v>.</v>
      </c>
      <c r="AH27" s="493" t="str">
        <f t="shared" si="35"/>
        <v>.</v>
      </c>
      <c r="AI27" s="423">
        <f t="shared" si="36"/>
        <v>2077.79</v>
      </c>
      <c r="AJ27" s="423">
        <f t="shared" si="37"/>
        <v>4271.9399999999996</v>
      </c>
      <c r="AK27" s="423">
        <f t="shared" si="38"/>
        <v>356</v>
      </c>
      <c r="AN27" s="423" t="str">
        <f t="shared" si="39"/>
        <v>.</v>
      </c>
      <c r="AO27" s="423" t="str">
        <f t="shared" si="39"/>
        <v>.</v>
      </c>
      <c r="AR27" s="546">
        <f xml:space="preserve"> ROUND(  INDEX( Kx!27:27, AR$16 ),  AR$17 )</f>
        <v>0.67349999999999999</v>
      </c>
      <c r="AS27" s="547">
        <f xml:space="preserve"> ROUND(  INDEX( qx!27:27, AS$16 ),  AS$17 )</f>
        <v>2.9999999999999997E-4</v>
      </c>
      <c r="AT27" s="547">
        <f xml:space="preserve"> ROUND(  INDEX( qx!27:27, AT$16 ),  AT$17 )</f>
        <v>2.0000000000000001E-4</v>
      </c>
      <c r="AU27" s="548" t="str">
        <f t="shared" si="40"/>
        <v>F</v>
      </c>
      <c r="AV27" s="542">
        <f t="shared" si="41"/>
        <v>0.57899999999999996</v>
      </c>
      <c r="AW27" s="542">
        <f t="shared" si="42"/>
        <v>2.9999999999999997E-4</v>
      </c>
      <c r="AX27" s="546">
        <f xml:space="preserve"> ROUND(  INDEX( wx!27:27, AX$16 ),  AX$17 )</f>
        <v>0.1038</v>
      </c>
      <c r="AY27" s="546">
        <f xml:space="preserve"> ROUND(  INDEX( wx!27:27, AY$16 ),  AY$17 )</f>
        <v>0.13320000000000001</v>
      </c>
      <c r="AZ27" s="548" t="str">
        <f t="shared" si="43"/>
        <v>M</v>
      </c>
      <c r="BA27" s="542">
        <f t="shared" si="44"/>
        <v>0.75580000000000003</v>
      </c>
      <c r="BB27" s="542">
        <f t="shared" si="45"/>
        <v>0.111</v>
      </c>
      <c r="BC27" s="533">
        <f xml:space="preserve"> ROUND(  INDEX( Kx!27:27, BC$16 ),  BC$17 )</f>
        <v>1383.58</v>
      </c>
      <c r="BD27" s="533">
        <f xml:space="preserve"> ROUND(  INDEX( Kx!27:27, BD$16 ),  BD$17 )</f>
        <v>2529.52</v>
      </c>
      <c r="BE27" s="548" t="str">
        <f t="shared" si="60"/>
        <v>F</v>
      </c>
      <c r="BF27" s="542">
        <f t="shared" si="46"/>
        <v>0.57899999999999996</v>
      </c>
      <c r="BG27" s="420">
        <f t="shared" si="47"/>
        <v>1866.02</v>
      </c>
      <c r="BQ27" s="549"/>
      <c r="BR27" s="423"/>
      <c r="BS27" s="550"/>
      <c r="BT27" s="423"/>
      <c r="BU27" s="551"/>
      <c r="BV27" s="551"/>
      <c r="BW27" s="529"/>
      <c r="BX27" s="552"/>
      <c r="BY27" s="559"/>
      <c r="BZ27" s="559"/>
      <c r="CB27" s="423"/>
      <c r="CC27" s="423"/>
      <c r="CD27" s="423"/>
      <c r="CE27" s="423"/>
      <c r="CF27" s="553"/>
      <c r="CH27" s="423"/>
      <c r="CI27" s="423"/>
      <c r="CJ27" s="423"/>
      <c r="CK27" s="423"/>
      <c r="CL27" s="553"/>
      <c r="CN27" s="423"/>
      <c r="CO27" s="423"/>
      <c r="CP27" s="423"/>
      <c r="CQ27" s="423"/>
      <c r="CR27" s="553"/>
      <c r="DM27" s="554"/>
      <c r="DO27" s="385"/>
      <c r="DP27" s="385"/>
      <c r="DQ27" s="385"/>
      <c r="EI27" s="553"/>
      <c r="EJ27" s="553"/>
      <c r="EK27" s="423"/>
      <c r="EL27" s="555"/>
      <c r="ES27" s="533"/>
      <c r="ET27" s="533"/>
      <c r="EU27" s="533"/>
      <c r="EV27" s="556"/>
      <c r="EY27" s="533"/>
      <c r="EZ27" s="533"/>
      <c r="FA27" s="556"/>
      <c r="FD27" s="556"/>
      <c r="FE27" s="556"/>
      <c r="FF27" s="556"/>
      <c r="FK27" s="557">
        <f t="shared" si="48"/>
        <v>27</v>
      </c>
      <c r="FL27" s="493">
        <f t="shared" si="49"/>
        <v>19.8017</v>
      </c>
      <c r="FM27" s="493">
        <f t="shared" si="50"/>
        <v>13.490399999999999</v>
      </c>
      <c r="FO27" s="427">
        <f t="shared" si="61"/>
        <v>27556.25</v>
      </c>
      <c r="FP27" s="558">
        <f t="shared" si="51"/>
        <v>7496.3</v>
      </c>
      <c r="FQ27" s="558">
        <f t="shared" si="51"/>
        <v>6361.08</v>
      </c>
      <c r="FR27" s="558">
        <f t="shared" si="51"/>
        <v>5223.05</v>
      </c>
      <c r="FS27" s="558">
        <f t="shared" si="51"/>
        <v>4085.02</v>
      </c>
      <c r="FT27" s="558">
        <f t="shared" si="51"/>
        <v>2907.75</v>
      </c>
      <c r="FU27" s="558">
        <f t="shared" si="51"/>
        <v>1696.85</v>
      </c>
      <c r="FV27" s="558">
        <f t="shared" si="51"/>
        <v>497.15</v>
      </c>
      <c r="FW27" s="558">
        <f t="shared" si="51"/>
        <v>-710.95</v>
      </c>
      <c r="FX27" s="558" t="str">
        <f t="shared" si="51"/>
        <v>.</v>
      </c>
      <c r="FY27" s="558" t="str">
        <f t="shared" si="51"/>
        <v>.</v>
      </c>
      <c r="FZ27" s="558" t="str">
        <f t="shared" si="51"/>
        <v>.</v>
      </c>
      <c r="GA27" s="558" t="str">
        <f t="shared" si="51"/>
        <v>.</v>
      </c>
      <c r="GB27" s="558" t="str">
        <f t="shared" si="51"/>
        <v>.</v>
      </c>
      <c r="GC27" s="558" t="str">
        <f t="shared" si="51"/>
        <v>.</v>
      </c>
      <c r="GD27" s="558" t="str">
        <f t="shared" si="51"/>
        <v>.</v>
      </c>
      <c r="GE27" s="558" t="str">
        <f t="shared" si="51"/>
        <v>.</v>
      </c>
      <c r="GF27" s="558" t="str">
        <f t="shared" si="52"/>
        <v>.</v>
      </c>
      <c r="GG27" s="558" t="str">
        <f t="shared" si="52"/>
        <v>.</v>
      </c>
      <c r="GH27" s="558" t="str">
        <f t="shared" si="52"/>
        <v>.</v>
      </c>
      <c r="GI27" s="558" t="str">
        <f t="shared" si="52"/>
        <v>.</v>
      </c>
      <c r="GJ27" s="558" t="str">
        <f t="shared" si="52"/>
        <v>.</v>
      </c>
      <c r="GK27" s="558" t="str">
        <f t="shared" si="52"/>
        <v>.</v>
      </c>
      <c r="GL27" s="558" t="str">
        <f t="shared" si="52"/>
        <v>.</v>
      </c>
      <c r="GM27" s="558" t="str">
        <f t="shared" si="52"/>
        <v>.</v>
      </c>
      <c r="GN27" s="558" t="str">
        <f t="shared" si="52"/>
        <v>.</v>
      </c>
      <c r="GO27" s="558" t="str">
        <f t="shared" si="52"/>
        <v>.</v>
      </c>
      <c r="GP27" s="558" t="str">
        <f t="shared" si="52"/>
        <v>.</v>
      </c>
      <c r="GQ27" s="558" t="str">
        <f t="shared" si="52"/>
        <v>.</v>
      </c>
      <c r="GR27" s="558" t="str">
        <f t="shared" si="52"/>
        <v>.</v>
      </c>
      <c r="GS27" s="558" t="str">
        <f t="shared" si="52"/>
        <v>.</v>
      </c>
      <c r="GT27" s="558" t="str">
        <f t="shared" si="52"/>
        <v>.</v>
      </c>
      <c r="GU27" s="558" t="str">
        <f t="shared" si="52"/>
        <v>.</v>
      </c>
      <c r="GV27" s="558" t="str">
        <f t="shared" si="53"/>
        <v>.</v>
      </c>
      <c r="GW27" s="558" t="str">
        <f t="shared" si="53"/>
        <v>.</v>
      </c>
      <c r="GX27" s="558" t="str">
        <f t="shared" si="53"/>
        <v>.</v>
      </c>
      <c r="GY27" s="558" t="str">
        <f t="shared" si="53"/>
        <v>.</v>
      </c>
      <c r="GZ27" s="558" t="str">
        <f t="shared" si="53"/>
        <v>.</v>
      </c>
      <c r="HA27" s="558" t="str">
        <f t="shared" si="53"/>
        <v>.</v>
      </c>
      <c r="HB27" s="558" t="str">
        <f t="shared" si="53"/>
        <v>.</v>
      </c>
      <c r="HC27" s="558" t="str">
        <f t="shared" si="53"/>
        <v>.</v>
      </c>
      <c r="HD27" s="558" t="str">
        <f t="shared" si="53"/>
        <v>.</v>
      </c>
      <c r="HE27" s="558" t="str">
        <f t="shared" si="53"/>
        <v>.</v>
      </c>
      <c r="HF27" s="558" t="str">
        <f t="shared" si="53"/>
        <v>.</v>
      </c>
      <c r="HG27" s="558" t="str">
        <f t="shared" si="53"/>
        <v>.</v>
      </c>
      <c r="HH27" s="558" t="str">
        <f t="shared" si="53"/>
        <v>.</v>
      </c>
      <c r="HI27" s="558" t="str">
        <f t="shared" si="53"/>
        <v>.</v>
      </c>
      <c r="HJ27" s="558" t="str">
        <f t="shared" si="53"/>
        <v>.</v>
      </c>
      <c r="HK27" s="558" t="str">
        <f t="shared" si="53"/>
        <v>.</v>
      </c>
      <c r="HL27" s="558" t="str">
        <f t="shared" si="54"/>
        <v>.</v>
      </c>
      <c r="HM27" s="558" t="str">
        <f t="shared" si="54"/>
        <v>.</v>
      </c>
      <c r="HN27" s="558" t="str">
        <f t="shared" si="54"/>
        <v>.</v>
      </c>
      <c r="HO27" s="558" t="str">
        <f t="shared" si="54"/>
        <v>.</v>
      </c>
      <c r="HP27" s="558" t="str">
        <f t="shared" si="54"/>
        <v>.</v>
      </c>
      <c r="HQ27" s="558" t="str">
        <f t="shared" si="54"/>
        <v>.</v>
      </c>
      <c r="HR27" s="558" t="str">
        <f t="shared" si="54"/>
        <v>.</v>
      </c>
      <c r="HS27" s="558" t="str">
        <f t="shared" si="54"/>
        <v>.</v>
      </c>
      <c r="HT27" s="558" t="str">
        <f t="shared" si="54"/>
        <v>.</v>
      </c>
      <c r="HU27" s="558" t="str">
        <f t="shared" si="54"/>
        <v>.</v>
      </c>
      <c r="HV27" s="558" t="str">
        <f t="shared" si="54"/>
        <v>.</v>
      </c>
      <c r="HW27" s="558" t="str">
        <f t="shared" si="54"/>
        <v>.</v>
      </c>
      <c r="HX27" s="558" t="str">
        <f t="shared" si="54"/>
        <v>.</v>
      </c>
      <c r="HY27" s="558" t="str">
        <f t="shared" si="54"/>
        <v>.</v>
      </c>
      <c r="HZ27" s="558" t="str">
        <f t="shared" si="54"/>
        <v>.</v>
      </c>
      <c r="IA27" s="558" t="str">
        <f t="shared" si="54"/>
        <v>.</v>
      </c>
      <c r="IB27" s="558" t="str">
        <f t="shared" si="54"/>
        <v>.</v>
      </c>
      <c r="IC27" s="558" t="str">
        <f t="shared" si="54"/>
        <v>.</v>
      </c>
      <c r="ID27" s="558" t="str">
        <f t="shared" si="55"/>
        <v>.</v>
      </c>
      <c r="IE27" s="558" t="str">
        <f t="shared" si="55"/>
        <v>.</v>
      </c>
      <c r="IF27" s="558" t="str">
        <f t="shared" si="55"/>
        <v>.</v>
      </c>
      <c r="IG27" s="558" t="str">
        <f t="shared" si="55"/>
        <v>.</v>
      </c>
      <c r="IH27" s="558" t="str">
        <f t="shared" si="55"/>
        <v>.</v>
      </c>
      <c r="II27" s="558" t="str">
        <f t="shared" si="55"/>
        <v>.</v>
      </c>
      <c r="IJ27" s="558" t="str">
        <f t="shared" si="55"/>
        <v>.</v>
      </c>
      <c r="IK27" s="558" t="str">
        <f t="shared" si="55"/>
        <v>.</v>
      </c>
      <c r="IL27" s="558" t="str">
        <f t="shared" si="55"/>
        <v>.</v>
      </c>
      <c r="IM27" s="558" t="str">
        <f t="shared" si="55"/>
        <v>.</v>
      </c>
      <c r="IN27" s="558" t="str">
        <f t="shared" si="55"/>
        <v>.</v>
      </c>
      <c r="IO27" s="558" t="str">
        <f t="shared" si="55"/>
        <v>.</v>
      </c>
      <c r="IP27" s="558" t="str">
        <f t="shared" si="55"/>
        <v>.</v>
      </c>
      <c r="IQ27" s="558" t="str">
        <f t="shared" si="55"/>
        <v>.</v>
      </c>
      <c r="IR27" s="558" t="str">
        <f t="shared" si="55"/>
        <v>.</v>
      </c>
      <c r="IS27" s="558" t="str">
        <f t="shared" si="55"/>
        <v>.</v>
      </c>
      <c r="IT27" s="558" t="str">
        <f t="shared" si="55"/>
        <v>.</v>
      </c>
      <c r="IU27" s="558" t="str">
        <f t="shared" si="55"/>
        <v>.</v>
      </c>
      <c r="IV27" s="558" t="str">
        <f t="shared" si="55"/>
        <v>.</v>
      </c>
      <c r="IW27" s="558" t="str">
        <f t="shared" si="55"/>
        <v>.</v>
      </c>
      <c r="IX27" s="558" t="str">
        <f t="shared" si="55"/>
        <v>.</v>
      </c>
      <c r="IY27" s="558" t="str">
        <f t="shared" si="55"/>
        <v>.</v>
      </c>
      <c r="IZ27" s="558" t="str">
        <f t="shared" si="55"/>
        <v>.</v>
      </c>
      <c r="JA27" s="558" t="str">
        <f t="shared" si="55"/>
        <v>.</v>
      </c>
      <c r="JB27" s="558" t="str">
        <f t="shared" si="55"/>
        <v>.</v>
      </c>
      <c r="JC27" s="558" t="str">
        <f t="shared" si="56"/>
        <v>.</v>
      </c>
      <c r="JD27" s="558" t="str">
        <f t="shared" si="56"/>
        <v>.</v>
      </c>
      <c r="JE27" s="558" t="str">
        <f t="shared" si="56"/>
        <v>.</v>
      </c>
      <c r="JF27" s="558" t="str">
        <f t="shared" si="56"/>
        <v>.</v>
      </c>
      <c r="JG27" s="558" t="str">
        <f t="shared" si="56"/>
        <v>.</v>
      </c>
      <c r="JH27" s="558" t="str">
        <f t="shared" si="56"/>
        <v>.</v>
      </c>
      <c r="JI27" s="558" t="str">
        <f t="shared" si="56"/>
        <v>.</v>
      </c>
      <c r="JJ27" s="558" t="str">
        <f t="shared" si="56"/>
        <v>.</v>
      </c>
      <c r="JK27" s="558" t="str">
        <f t="shared" si="56"/>
        <v>.</v>
      </c>
      <c r="JL27" s="558" t="str">
        <f t="shared" si="56"/>
        <v>.</v>
      </c>
    </row>
    <row r="28" spans="1:272" ht="10.199999999999999" x14ac:dyDescent="0.2">
      <c r="A28" s="534">
        <f xml:space="preserve"> Basis!A28</f>
        <v>28</v>
      </c>
      <c r="F28" s="536">
        <f xml:space="preserve"> ROUND(    IF( $A$15=BE_MF_,   AW28,   INDEX( qx!28:28, F$16 ) ),    F$17    )</f>
        <v>2.9999999999999997E-4</v>
      </c>
      <c r="G28" s="536">
        <f xml:space="preserve"> ROUND(    IF( $A$15=BE_MF_,   BB28,   INDEX( wx!28:28, G$16 ) ),    G$17    )</f>
        <v>9.9699999999999997E-2</v>
      </c>
      <c r="H28" s="537">
        <f xml:space="preserve"> ROUND(    IF( $A$15=BE_MF_,   BG28,   INDEX( Kx!28:28, H$16 ) ),    H$17    )</f>
        <v>1830.8</v>
      </c>
      <c r="I28" s="538">
        <f t="shared" si="57"/>
        <v>1830.8</v>
      </c>
      <c r="J28" s="539">
        <f t="shared" si="17"/>
        <v>0.88100000000000001</v>
      </c>
      <c r="K28" s="540">
        <f t="shared" si="58"/>
        <v>2</v>
      </c>
      <c r="L28" s="541">
        <f t="shared" si="18"/>
        <v>0</v>
      </c>
      <c r="M28" s="541">
        <f t="shared" si="18"/>
        <v>8.5999999999999993E-2</v>
      </c>
      <c r="O28" s="542" t="b">
        <f t="shared" si="59"/>
        <v>1</v>
      </c>
      <c r="P28" s="493">
        <f t="shared" si="19"/>
        <v>0.1</v>
      </c>
      <c r="Q28" s="493">
        <f t="shared" si="20"/>
        <v>0.9</v>
      </c>
      <c r="R28" s="543">
        <f t="shared" si="21"/>
        <v>1825019</v>
      </c>
      <c r="S28" s="544">
        <f t="shared" si="22"/>
        <v>0.97560975599999999</v>
      </c>
      <c r="T28" s="423">
        <f t="shared" si="23"/>
        <v>914111.47</v>
      </c>
      <c r="U28" s="423">
        <f xml:space="preserve"> IF( $O28,    ROUND(  SUM( T28:T$120), U$17 ),  LEER  )</f>
        <v>13168749.02</v>
      </c>
      <c r="V28" s="493">
        <f t="shared" si="24"/>
        <v>14.4061</v>
      </c>
      <c r="W28" s="493">
        <f t="shared" si="25"/>
        <v>805332.21</v>
      </c>
      <c r="X28" s="493">
        <f xml:space="preserve"> IF( $O28,    ROUND(  SUM( W28:W$120), X$17 ),  LEER  )</f>
        <v>19930331.25</v>
      </c>
      <c r="Y28" s="493">
        <f t="shared" si="26"/>
        <v>21.803000000000001</v>
      </c>
      <c r="Z28" s="493">
        <f t="shared" si="27"/>
        <v>1.5135000000000001</v>
      </c>
      <c r="AA28" s="493">
        <f t="shared" si="28"/>
        <v>1.0127999999999999</v>
      </c>
      <c r="AB28" s="493">
        <f t="shared" si="29"/>
        <v>2.3494000000000002</v>
      </c>
      <c r="AC28" s="545">
        <f t="shared" si="30"/>
        <v>0.38600000000000001</v>
      </c>
      <c r="AD28" s="493">
        <f t="shared" si="31"/>
        <v>1.5378000000000001</v>
      </c>
      <c r="AE28" s="493">
        <f t="shared" si="32"/>
        <v>2.1048</v>
      </c>
      <c r="AF28" s="493">
        <f t="shared" si="33"/>
        <v>2.1048</v>
      </c>
      <c r="AG28" s="493" t="str">
        <f t="shared" si="34"/>
        <v>.</v>
      </c>
      <c r="AH28" s="493" t="str">
        <f t="shared" si="35"/>
        <v>.</v>
      </c>
      <c r="AI28" s="423">
        <f t="shared" si="36"/>
        <v>2077.79</v>
      </c>
      <c r="AJ28" s="423">
        <f t="shared" si="37"/>
        <v>4373.33</v>
      </c>
      <c r="AK28" s="423">
        <f t="shared" si="38"/>
        <v>364.44</v>
      </c>
      <c r="AN28" s="423" t="str">
        <f t="shared" si="39"/>
        <v>.</v>
      </c>
      <c r="AO28" s="423" t="str">
        <f t="shared" si="39"/>
        <v>.</v>
      </c>
      <c r="AR28" s="546">
        <f xml:space="preserve"> ROUND(  INDEX( Kx!28:28, AR$16 ),  AR$17 )</f>
        <v>0.72460000000000002</v>
      </c>
      <c r="AS28" s="547">
        <f xml:space="preserve"> ROUND(  INDEX( qx!28:28, AS$16 ),  AS$17 )</f>
        <v>2.9999999999999997E-4</v>
      </c>
      <c r="AT28" s="547">
        <f xml:space="preserve"> ROUND(  INDEX( qx!28:28, AT$16 ),  AT$17 )</f>
        <v>2.0000000000000001E-4</v>
      </c>
      <c r="AU28" s="548" t="str">
        <f t="shared" si="40"/>
        <v>F</v>
      </c>
      <c r="AV28" s="542">
        <f t="shared" si="41"/>
        <v>0.63690000000000002</v>
      </c>
      <c r="AW28" s="542">
        <f t="shared" si="42"/>
        <v>2.9999999999999997E-4</v>
      </c>
      <c r="AX28" s="546">
        <f xml:space="preserve"> ROUND(  INDEX( wx!28:28, AX$16 ),  AX$17 )</f>
        <v>9.4299999999999995E-2</v>
      </c>
      <c r="AY28" s="546">
        <f xml:space="preserve"> ROUND(  INDEX( wx!28:28, AY$16 ),  AY$17 )</f>
        <v>0.1211</v>
      </c>
      <c r="AZ28" s="548" t="str">
        <f t="shared" si="43"/>
        <v>M</v>
      </c>
      <c r="BA28" s="542">
        <f t="shared" si="44"/>
        <v>0.79779999999999995</v>
      </c>
      <c r="BB28" s="542">
        <f t="shared" si="45"/>
        <v>9.9699999999999997E-2</v>
      </c>
      <c r="BC28" s="533">
        <f xml:space="preserve"> ROUND(  INDEX( Kx!28:28, BC$16 ),  BC$17 )</f>
        <v>1375.81</v>
      </c>
      <c r="BD28" s="533">
        <f xml:space="preserve"> ROUND(  INDEX( Kx!28:28, BD$16 ),  BD$17 )</f>
        <v>2628.89</v>
      </c>
      <c r="BE28" s="548" t="str">
        <f t="shared" si="60"/>
        <v>F</v>
      </c>
      <c r="BF28" s="542">
        <f t="shared" si="46"/>
        <v>0.63690000000000002</v>
      </c>
      <c r="BG28" s="420">
        <f t="shared" si="47"/>
        <v>1830.8</v>
      </c>
      <c r="BQ28" s="549"/>
      <c r="BR28" s="423"/>
      <c r="BS28" s="550"/>
      <c r="BT28" s="423"/>
      <c r="BU28" s="551"/>
      <c r="BV28" s="551"/>
      <c r="BW28" s="529"/>
      <c r="BX28" s="552"/>
      <c r="BY28" s="559"/>
      <c r="BZ28" s="559"/>
      <c r="CB28" s="423"/>
      <c r="CC28" s="423"/>
      <c r="CD28" s="423"/>
      <c r="CE28" s="423"/>
      <c r="CF28" s="553"/>
      <c r="CH28" s="423"/>
      <c r="CI28" s="423"/>
      <c r="CJ28" s="423"/>
      <c r="CK28" s="423"/>
      <c r="CL28" s="553"/>
      <c r="CN28" s="423"/>
      <c r="CO28" s="423"/>
      <c r="CP28" s="423"/>
      <c r="CQ28" s="423"/>
      <c r="CR28" s="553"/>
      <c r="DM28" s="554"/>
      <c r="DO28" s="385"/>
      <c r="DP28" s="385"/>
      <c r="DQ28" s="385"/>
      <c r="EI28" s="553"/>
      <c r="EJ28" s="553"/>
      <c r="EK28" s="423"/>
      <c r="EL28" s="555"/>
      <c r="ES28" s="533"/>
      <c r="ET28" s="533"/>
      <c r="EU28" s="533"/>
      <c r="EV28" s="556"/>
      <c r="EY28" s="533"/>
      <c r="EZ28" s="533"/>
      <c r="FA28" s="556"/>
      <c r="FD28" s="556"/>
      <c r="FE28" s="556"/>
      <c r="FF28" s="556"/>
      <c r="FK28" s="557">
        <f t="shared" si="48"/>
        <v>28</v>
      </c>
      <c r="FL28" s="493">
        <f t="shared" si="49"/>
        <v>21.803000000000001</v>
      </c>
      <c r="FM28" s="493">
        <f t="shared" si="50"/>
        <v>14.4061</v>
      </c>
      <c r="FO28" s="427">
        <f t="shared" si="61"/>
        <v>39622.250000000007</v>
      </c>
      <c r="FP28" s="558">
        <f t="shared" si="51"/>
        <v>9370.66</v>
      </c>
      <c r="FQ28" s="558">
        <f t="shared" si="51"/>
        <v>8158.38</v>
      </c>
      <c r="FR28" s="558">
        <f t="shared" si="51"/>
        <v>6943.11</v>
      </c>
      <c r="FS28" s="558">
        <f t="shared" si="51"/>
        <v>5727.83</v>
      </c>
      <c r="FT28" s="558">
        <f t="shared" si="51"/>
        <v>4470.6499999999996</v>
      </c>
      <c r="FU28" s="558">
        <f t="shared" si="51"/>
        <v>3177.55</v>
      </c>
      <c r="FV28" s="558">
        <f t="shared" si="51"/>
        <v>1896.43</v>
      </c>
      <c r="FW28" s="558">
        <f t="shared" si="51"/>
        <v>606.32000000000005</v>
      </c>
      <c r="FX28" s="558">
        <f t="shared" si="51"/>
        <v>-728.68</v>
      </c>
      <c r="FY28" s="558" t="str">
        <f t="shared" si="51"/>
        <v>.</v>
      </c>
      <c r="FZ28" s="558" t="str">
        <f t="shared" si="51"/>
        <v>.</v>
      </c>
      <c r="GA28" s="558" t="str">
        <f t="shared" si="51"/>
        <v>.</v>
      </c>
      <c r="GB28" s="558" t="str">
        <f t="shared" si="51"/>
        <v>.</v>
      </c>
      <c r="GC28" s="558" t="str">
        <f t="shared" si="51"/>
        <v>.</v>
      </c>
      <c r="GD28" s="558" t="str">
        <f t="shared" si="51"/>
        <v>.</v>
      </c>
      <c r="GE28" s="558" t="str">
        <f t="shared" si="51"/>
        <v>.</v>
      </c>
      <c r="GF28" s="558" t="str">
        <f t="shared" si="52"/>
        <v>.</v>
      </c>
      <c r="GG28" s="558" t="str">
        <f t="shared" si="52"/>
        <v>.</v>
      </c>
      <c r="GH28" s="558" t="str">
        <f t="shared" si="52"/>
        <v>.</v>
      </c>
      <c r="GI28" s="558" t="str">
        <f t="shared" si="52"/>
        <v>.</v>
      </c>
      <c r="GJ28" s="558" t="str">
        <f t="shared" si="52"/>
        <v>.</v>
      </c>
      <c r="GK28" s="558" t="str">
        <f t="shared" si="52"/>
        <v>.</v>
      </c>
      <c r="GL28" s="558" t="str">
        <f t="shared" si="52"/>
        <v>.</v>
      </c>
      <c r="GM28" s="558" t="str">
        <f t="shared" si="52"/>
        <v>.</v>
      </c>
      <c r="GN28" s="558" t="str">
        <f t="shared" si="52"/>
        <v>.</v>
      </c>
      <c r="GO28" s="558" t="str">
        <f t="shared" si="52"/>
        <v>.</v>
      </c>
      <c r="GP28" s="558" t="str">
        <f t="shared" si="52"/>
        <v>.</v>
      </c>
      <c r="GQ28" s="558" t="str">
        <f t="shared" si="52"/>
        <v>.</v>
      </c>
      <c r="GR28" s="558" t="str">
        <f t="shared" si="52"/>
        <v>.</v>
      </c>
      <c r="GS28" s="558" t="str">
        <f t="shared" si="52"/>
        <v>.</v>
      </c>
      <c r="GT28" s="558" t="str">
        <f t="shared" si="52"/>
        <v>.</v>
      </c>
      <c r="GU28" s="558" t="str">
        <f t="shared" si="52"/>
        <v>.</v>
      </c>
      <c r="GV28" s="558" t="str">
        <f t="shared" si="53"/>
        <v>.</v>
      </c>
      <c r="GW28" s="558" t="str">
        <f t="shared" si="53"/>
        <v>.</v>
      </c>
      <c r="GX28" s="558" t="str">
        <f t="shared" si="53"/>
        <v>.</v>
      </c>
      <c r="GY28" s="558" t="str">
        <f t="shared" si="53"/>
        <v>.</v>
      </c>
      <c r="GZ28" s="558" t="str">
        <f t="shared" si="53"/>
        <v>.</v>
      </c>
      <c r="HA28" s="558" t="str">
        <f t="shared" si="53"/>
        <v>.</v>
      </c>
      <c r="HB28" s="558" t="str">
        <f t="shared" si="53"/>
        <v>.</v>
      </c>
      <c r="HC28" s="558" t="str">
        <f t="shared" si="53"/>
        <v>.</v>
      </c>
      <c r="HD28" s="558" t="str">
        <f t="shared" si="53"/>
        <v>.</v>
      </c>
      <c r="HE28" s="558" t="str">
        <f t="shared" si="53"/>
        <v>.</v>
      </c>
      <c r="HF28" s="558" t="str">
        <f t="shared" si="53"/>
        <v>.</v>
      </c>
      <c r="HG28" s="558" t="str">
        <f t="shared" si="53"/>
        <v>.</v>
      </c>
      <c r="HH28" s="558" t="str">
        <f t="shared" si="53"/>
        <v>.</v>
      </c>
      <c r="HI28" s="558" t="str">
        <f t="shared" si="53"/>
        <v>.</v>
      </c>
      <c r="HJ28" s="558" t="str">
        <f t="shared" si="53"/>
        <v>.</v>
      </c>
      <c r="HK28" s="558" t="str">
        <f t="shared" si="53"/>
        <v>.</v>
      </c>
      <c r="HL28" s="558" t="str">
        <f t="shared" si="54"/>
        <v>.</v>
      </c>
      <c r="HM28" s="558" t="str">
        <f t="shared" si="54"/>
        <v>.</v>
      </c>
      <c r="HN28" s="558" t="str">
        <f t="shared" si="54"/>
        <v>.</v>
      </c>
      <c r="HO28" s="558" t="str">
        <f t="shared" si="54"/>
        <v>.</v>
      </c>
      <c r="HP28" s="558" t="str">
        <f t="shared" si="54"/>
        <v>.</v>
      </c>
      <c r="HQ28" s="558" t="str">
        <f t="shared" si="54"/>
        <v>.</v>
      </c>
      <c r="HR28" s="558" t="str">
        <f t="shared" si="54"/>
        <v>.</v>
      </c>
      <c r="HS28" s="558" t="str">
        <f t="shared" si="54"/>
        <v>.</v>
      </c>
      <c r="HT28" s="558" t="str">
        <f t="shared" si="54"/>
        <v>.</v>
      </c>
      <c r="HU28" s="558" t="str">
        <f t="shared" si="54"/>
        <v>.</v>
      </c>
      <c r="HV28" s="558" t="str">
        <f t="shared" si="54"/>
        <v>.</v>
      </c>
      <c r="HW28" s="558" t="str">
        <f t="shared" si="54"/>
        <v>.</v>
      </c>
      <c r="HX28" s="558" t="str">
        <f t="shared" si="54"/>
        <v>.</v>
      </c>
      <c r="HY28" s="558" t="str">
        <f t="shared" si="54"/>
        <v>.</v>
      </c>
      <c r="HZ28" s="558" t="str">
        <f t="shared" si="54"/>
        <v>.</v>
      </c>
      <c r="IA28" s="558" t="str">
        <f t="shared" si="54"/>
        <v>.</v>
      </c>
      <c r="IB28" s="558" t="str">
        <f t="shared" si="54"/>
        <v>.</v>
      </c>
      <c r="IC28" s="558" t="str">
        <f t="shared" si="54"/>
        <v>.</v>
      </c>
      <c r="ID28" s="558" t="str">
        <f t="shared" si="55"/>
        <v>.</v>
      </c>
      <c r="IE28" s="558" t="str">
        <f t="shared" si="55"/>
        <v>.</v>
      </c>
      <c r="IF28" s="558" t="str">
        <f t="shared" si="55"/>
        <v>.</v>
      </c>
      <c r="IG28" s="558" t="str">
        <f t="shared" si="55"/>
        <v>.</v>
      </c>
      <c r="IH28" s="558" t="str">
        <f t="shared" si="55"/>
        <v>.</v>
      </c>
      <c r="II28" s="558" t="str">
        <f t="shared" si="55"/>
        <v>.</v>
      </c>
      <c r="IJ28" s="558" t="str">
        <f t="shared" si="55"/>
        <v>.</v>
      </c>
      <c r="IK28" s="558" t="str">
        <f t="shared" si="55"/>
        <v>.</v>
      </c>
      <c r="IL28" s="558" t="str">
        <f t="shared" si="55"/>
        <v>.</v>
      </c>
      <c r="IM28" s="558" t="str">
        <f t="shared" si="55"/>
        <v>.</v>
      </c>
      <c r="IN28" s="558" t="str">
        <f t="shared" si="55"/>
        <v>.</v>
      </c>
      <c r="IO28" s="558" t="str">
        <f t="shared" si="55"/>
        <v>.</v>
      </c>
      <c r="IP28" s="558" t="str">
        <f t="shared" si="55"/>
        <v>.</v>
      </c>
      <c r="IQ28" s="558" t="str">
        <f t="shared" si="55"/>
        <v>.</v>
      </c>
      <c r="IR28" s="558" t="str">
        <f t="shared" si="55"/>
        <v>.</v>
      </c>
      <c r="IS28" s="558" t="str">
        <f t="shared" si="55"/>
        <v>.</v>
      </c>
      <c r="IT28" s="558" t="str">
        <f t="shared" si="55"/>
        <v>.</v>
      </c>
      <c r="IU28" s="558" t="str">
        <f t="shared" si="55"/>
        <v>.</v>
      </c>
      <c r="IV28" s="558" t="str">
        <f t="shared" si="55"/>
        <v>.</v>
      </c>
      <c r="IW28" s="558" t="str">
        <f t="shared" si="55"/>
        <v>.</v>
      </c>
      <c r="IX28" s="558" t="str">
        <f t="shared" si="55"/>
        <v>.</v>
      </c>
      <c r="IY28" s="558" t="str">
        <f t="shared" si="55"/>
        <v>.</v>
      </c>
      <c r="IZ28" s="558" t="str">
        <f t="shared" si="55"/>
        <v>.</v>
      </c>
      <c r="JA28" s="558" t="str">
        <f t="shared" si="55"/>
        <v>.</v>
      </c>
      <c r="JB28" s="558" t="str">
        <f t="shared" si="55"/>
        <v>.</v>
      </c>
      <c r="JC28" s="558" t="str">
        <f t="shared" si="56"/>
        <v>.</v>
      </c>
      <c r="JD28" s="558" t="str">
        <f t="shared" si="56"/>
        <v>.</v>
      </c>
      <c r="JE28" s="558" t="str">
        <f t="shared" si="56"/>
        <v>.</v>
      </c>
      <c r="JF28" s="558" t="str">
        <f t="shared" si="56"/>
        <v>.</v>
      </c>
      <c r="JG28" s="558" t="str">
        <f t="shared" si="56"/>
        <v>.</v>
      </c>
      <c r="JH28" s="558" t="str">
        <f t="shared" si="56"/>
        <v>.</v>
      </c>
      <c r="JI28" s="558" t="str">
        <f t="shared" si="56"/>
        <v>.</v>
      </c>
      <c r="JJ28" s="558" t="str">
        <f t="shared" si="56"/>
        <v>.</v>
      </c>
      <c r="JK28" s="558" t="str">
        <f t="shared" si="56"/>
        <v>.</v>
      </c>
      <c r="JL28" s="558" t="str">
        <f t="shared" si="56"/>
        <v>.</v>
      </c>
    </row>
    <row r="29" spans="1:272" ht="10.199999999999999" x14ac:dyDescent="0.2">
      <c r="A29" s="534">
        <f xml:space="preserve"> Basis!A29</f>
        <v>29</v>
      </c>
      <c r="F29" s="536">
        <f xml:space="preserve"> ROUND(    IF( $A$15=BE_MF_,   AW29,   INDEX( qx!29:29, F$16 ) ),    F$17    )</f>
        <v>2.9999999999999997E-4</v>
      </c>
      <c r="G29" s="536">
        <f xml:space="preserve"> ROUND(    IF( $A$15=BE_MF_,   BB29,   INDEX( wx!29:29, G$16 ) ),    G$17    )</f>
        <v>8.5099999999999995E-2</v>
      </c>
      <c r="H29" s="537">
        <f xml:space="preserve"> ROUND(    IF( $A$15=BE_MF_,   BG29,   INDEX( Kx!29:29, H$16 ) ),    H$17    )</f>
        <v>1839.06</v>
      </c>
      <c r="I29" s="538">
        <f t="shared" si="57"/>
        <v>1839.06</v>
      </c>
      <c r="J29" s="539">
        <f t="shared" si="17"/>
        <v>0.88500000000000001</v>
      </c>
      <c r="K29" s="540">
        <f t="shared" si="58"/>
        <v>2</v>
      </c>
      <c r="L29" s="541">
        <f t="shared" si="18"/>
        <v>0</v>
      </c>
      <c r="M29" s="541">
        <f t="shared" si="18"/>
        <v>8.5999999999999993E-2</v>
      </c>
      <c r="O29" s="542" t="b">
        <f t="shared" si="59"/>
        <v>1</v>
      </c>
      <c r="P29" s="493">
        <f t="shared" si="19"/>
        <v>8.5400000000000004E-2</v>
      </c>
      <c r="Q29" s="493">
        <f t="shared" si="20"/>
        <v>0.91459999999999997</v>
      </c>
      <c r="R29" s="543">
        <f t="shared" si="21"/>
        <v>1642517</v>
      </c>
      <c r="S29" s="544">
        <f t="shared" si="22"/>
        <v>0.97560975599999999</v>
      </c>
      <c r="T29" s="423">
        <f t="shared" si="23"/>
        <v>802634.41</v>
      </c>
      <c r="U29" s="423">
        <f xml:space="preserve"> IF( $O29,    ROUND(  SUM( T29:T$120), U$17 ),  LEER  )</f>
        <v>12254637.550000001</v>
      </c>
      <c r="V29" s="493">
        <f t="shared" si="24"/>
        <v>15.268000000000001</v>
      </c>
      <c r="W29" s="493">
        <f t="shared" si="25"/>
        <v>710331.45</v>
      </c>
      <c r="X29" s="493">
        <f xml:space="preserve"> IF( $O29,    ROUND(  SUM( W29:W$120), X$17 ),  LEER  )</f>
        <v>19124999.039999999</v>
      </c>
      <c r="Y29" s="493">
        <f t="shared" si="26"/>
        <v>23.8278</v>
      </c>
      <c r="Z29" s="493">
        <f t="shared" si="27"/>
        <v>1.5606</v>
      </c>
      <c r="AA29" s="493">
        <f t="shared" si="28"/>
        <v>1.0121</v>
      </c>
      <c r="AB29" s="493">
        <f t="shared" si="29"/>
        <v>2.3494000000000002</v>
      </c>
      <c r="AC29" s="545">
        <f t="shared" si="30"/>
        <v>0.38600000000000001</v>
      </c>
      <c r="AD29" s="493">
        <f t="shared" si="31"/>
        <v>1.5842000000000001</v>
      </c>
      <c r="AE29" s="493">
        <f t="shared" si="32"/>
        <v>2.1556000000000002</v>
      </c>
      <c r="AF29" s="493">
        <f t="shared" si="33"/>
        <v>2.1556000000000002</v>
      </c>
      <c r="AG29" s="493" t="str">
        <f t="shared" si="34"/>
        <v>.</v>
      </c>
      <c r="AH29" s="493" t="str">
        <f t="shared" si="35"/>
        <v>.</v>
      </c>
      <c r="AI29" s="423">
        <f t="shared" si="36"/>
        <v>2077.79</v>
      </c>
      <c r="AJ29" s="423">
        <f t="shared" si="37"/>
        <v>4478.88</v>
      </c>
      <c r="AK29" s="423">
        <f t="shared" si="38"/>
        <v>373.24</v>
      </c>
      <c r="AN29" s="423" t="str">
        <f t="shared" si="39"/>
        <v>.</v>
      </c>
      <c r="AO29" s="423" t="str">
        <f t="shared" si="39"/>
        <v>.</v>
      </c>
      <c r="AR29" s="546">
        <f xml:space="preserve"> ROUND(  INDEX( Kx!29:29, AR$16 ),  AR$17 )</f>
        <v>0.73870000000000002</v>
      </c>
      <c r="AS29" s="547">
        <f xml:space="preserve"> ROUND(  INDEX( qx!29:29, AS$16 ),  AS$17 )</f>
        <v>2.9999999999999997E-4</v>
      </c>
      <c r="AT29" s="547">
        <f xml:space="preserve"> ROUND(  INDEX( qx!29:29, AT$16 ),  AT$17 )</f>
        <v>2.0000000000000001E-4</v>
      </c>
      <c r="AU29" s="548" t="str">
        <f t="shared" si="40"/>
        <v>F</v>
      </c>
      <c r="AV29" s="542">
        <f t="shared" si="41"/>
        <v>0.65329999999999999</v>
      </c>
      <c r="AW29" s="542">
        <f t="shared" si="42"/>
        <v>2.9999999999999997E-4</v>
      </c>
      <c r="AX29" s="546">
        <f xml:space="preserve"> ROUND(  INDEX( wx!29:29, AX$16 ),  AX$17 )</f>
        <v>8.0199999999999994E-2</v>
      </c>
      <c r="AY29" s="546">
        <f xml:space="preserve"> ROUND(  INDEX( wx!29:29, AY$16 ),  AY$17 )</f>
        <v>0.1057</v>
      </c>
      <c r="AZ29" s="548" t="str">
        <f t="shared" si="43"/>
        <v>M</v>
      </c>
      <c r="BA29" s="542">
        <f t="shared" si="44"/>
        <v>0.80920000000000003</v>
      </c>
      <c r="BB29" s="542">
        <f t="shared" si="45"/>
        <v>8.5099999999999995E-2</v>
      </c>
      <c r="BC29" s="533">
        <f xml:space="preserve"> ROUND(  INDEX( Kx!29:29, BC$16 ),  BC$17 )</f>
        <v>1367.99</v>
      </c>
      <c r="BD29" s="533">
        <f xml:space="preserve"> ROUND(  INDEX( Kx!29:29, BD$16 ),  BD$17 )</f>
        <v>2726.71</v>
      </c>
      <c r="BE29" s="548" t="str">
        <f t="shared" si="60"/>
        <v>F</v>
      </c>
      <c r="BF29" s="542">
        <f t="shared" si="46"/>
        <v>0.65329999999999999</v>
      </c>
      <c r="BG29" s="420">
        <f t="shared" si="47"/>
        <v>1839.06</v>
      </c>
      <c r="BQ29" s="549"/>
      <c r="BR29" s="423"/>
      <c r="BS29" s="550"/>
      <c r="BT29" s="423"/>
      <c r="BU29" s="551"/>
      <c r="BV29" s="551"/>
      <c r="BW29" s="529"/>
      <c r="BX29" s="552"/>
      <c r="BY29" s="559"/>
      <c r="BZ29" s="559"/>
      <c r="CB29" s="423"/>
      <c r="CC29" s="423"/>
      <c r="CD29" s="423"/>
      <c r="CE29" s="423"/>
      <c r="CF29" s="553"/>
      <c r="CH29" s="423"/>
      <c r="CI29" s="423"/>
      <c r="CJ29" s="423"/>
      <c r="CK29" s="423"/>
      <c r="CL29" s="553"/>
      <c r="CN29" s="423"/>
      <c r="CO29" s="423"/>
      <c r="CP29" s="423"/>
      <c r="CQ29" s="423"/>
      <c r="CR29" s="553"/>
      <c r="DM29" s="554"/>
      <c r="DO29" s="385"/>
      <c r="DP29" s="385"/>
      <c r="DQ29" s="385"/>
      <c r="EI29" s="553"/>
      <c r="EJ29" s="553"/>
      <c r="EK29" s="423"/>
      <c r="EL29" s="555"/>
      <c r="ES29" s="533"/>
      <c r="ET29" s="533"/>
      <c r="EU29" s="533"/>
      <c r="EV29" s="556"/>
      <c r="EY29" s="533"/>
      <c r="EZ29" s="533"/>
      <c r="FA29" s="556"/>
      <c r="FD29" s="556"/>
      <c r="FE29" s="556"/>
      <c r="FF29" s="556"/>
      <c r="FK29" s="557">
        <f t="shared" si="48"/>
        <v>29</v>
      </c>
      <c r="FL29" s="493">
        <f t="shared" si="49"/>
        <v>23.8278</v>
      </c>
      <c r="FM29" s="493">
        <f t="shared" si="50"/>
        <v>15.268000000000001</v>
      </c>
      <c r="FO29" s="427">
        <f t="shared" si="61"/>
        <v>54715.960000000006</v>
      </c>
      <c r="FP29" s="558">
        <f t="shared" si="51"/>
        <v>11428.04</v>
      </c>
      <c r="FQ29" s="558">
        <f t="shared" si="51"/>
        <v>10143.23</v>
      </c>
      <c r="FR29" s="558">
        <f t="shared" si="51"/>
        <v>8855.25</v>
      </c>
      <c r="FS29" s="558">
        <f t="shared" si="51"/>
        <v>7567.26</v>
      </c>
      <c r="FT29" s="558">
        <f t="shared" si="51"/>
        <v>6234.87</v>
      </c>
      <c r="FU29" s="558">
        <f t="shared" si="51"/>
        <v>4864.3999999999996</v>
      </c>
      <c r="FV29" s="558">
        <f t="shared" si="51"/>
        <v>3506.63</v>
      </c>
      <c r="FW29" s="558">
        <f t="shared" si="51"/>
        <v>2139.34</v>
      </c>
      <c r="FX29" s="558">
        <f t="shared" si="51"/>
        <v>724.46</v>
      </c>
      <c r="FY29" s="558">
        <f t="shared" si="51"/>
        <v>-747.52</v>
      </c>
      <c r="FZ29" s="558" t="str">
        <f t="shared" si="51"/>
        <v>.</v>
      </c>
      <c r="GA29" s="558" t="str">
        <f t="shared" si="51"/>
        <v>.</v>
      </c>
      <c r="GB29" s="558" t="str">
        <f t="shared" si="51"/>
        <v>.</v>
      </c>
      <c r="GC29" s="558" t="str">
        <f t="shared" si="51"/>
        <v>.</v>
      </c>
      <c r="GD29" s="558" t="str">
        <f t="shared" si="51"/>
        <v>.</v>
      </c>
      <c r="GE29" s="558" t="str">
        <f t="shared" si="51"/>
        <v>.</v>
      </c>
      <c r="GF29" s="558" t="str">
        <f t="shared" si="52"/>
        <v>.</v>
      </c>
      <c r="GG29" s="558" t="str">
        <f t="shared" si="52"/>
        <v>.</v>
      </c>
      <c r="GH29" s="558" t="str">
        <f t="shared" si="52"/>
        <v>.</v>
      </c>
      <c r="GI29" s="558" t="str">
        <f t="shared" si="52"/>
        <v>.</v>
      </c>
      <c r="GJ29" s="558" t="str">
        <f t="shared" si="52"/>
        <v>.</v>
      </c>
      <c r="GK29" s="558" t="str">
        <f t="shared" si="52"/>
        <v>.</v>
      </c>
      <c r="GL29" s="558" t="str">
        <f t="shared" si="52"/>
        <v>.</v>
      </c>
      <c r="GM29" s="558" t="str">
        <f t="shared" si="52"/>
        <v>.</v>
      </c>
      <c r="GN29" s="558" t="str">
        <f t="shared" si="52"/>
        <v>.</v>
      </c>
      <c r="GO29" s="558" t="str">
        <f t="shared" si="52"/>
        <v>.</v>
      </c>
      <c r="GP29" s="558" t="str">
        <f t="shared" si="52"/>
        <v>.</v>
      </c>
      <c r="GQ29" s="558" t="str">
        <f t="shared" si="52"/>
        <v>.</v>
      </c>
      <c r="GR29" s="558" t="str">
        <f t="shared" si="52"/>
        <v>.</v>
      </c>
      <c r="GS29" s="558" t="str">
        <f t="shared" si="52"/>
        <v>.</v>
      </c>
      <c r="GT29" s="558" t="str">
        <f t="shared" si="52"/>
        <v>.</v>
      </c>
      <c r="GU29" s="558" t="str">
        <f t="shared" si="52"/>
        <v>.</v>
      </c>
      <c r="GV29" s="558" t="str">
        <f t="shared" si="53"/>
        <v>.</v>
      </c>
      <c r="GW29" s="558" t="str">
        <f t="shared" si="53"/>
        <v>.</v>
      </c>
      <c r="GX29" s="558" t="str">
        <f t="shared" si="53"/>
        <v>.</v>
      </c>
      <c r="GY29" s="558" t="str">
        <f t="shared" si="53"/>
        <v>.</v>
      </c>
      <c r="GZ29" s="558" t="str">
        <f t="shared" si="53"/>
        <v>.</v>
      </c>
      <c r="HA29" s="558" t="str">
        <f t="shared" si="53"/>
        <v>.</v>
      </c>
      <c r="HB29" s="558" t="str">
        <f t="shared" si="53"/>
        <v>.</v>
      </c>
      <c r="HC29" s="558" t="str">
        <f t="shared" si="53"/>
        <v>.</v>
      </c>
      <c r="HD29" s="558" t="str">
        <f t="shared" si="53"/>
        <v>.</v>
      </c>
      <c r="HE29" s="558" t="str">
        <f t="shared" si="53"/>
        <v>.</v>
      </c>
      <c r="HF29" s="558" t="str">
        <f t="shared" si="53"/>
        <v>.</v>
      </c>
      <c r="HG29" s="558" t="str">
        <f t="shared" si="53"/>
        <v>.</v>
      </c>
      <c r="HH29" s="558" t="str">
        <f t="shared" si="53"/>
        <v>.</v>
      </c>
      <c r="HI29" s="558" t="str">
        <f t="shared" si="53"/>
        <v>.</v>
      </c>
      <c r="HJ29" s="558" t="str">
        <f t="shared" si="53"/>
        <v>.</v>
      </c>
      <c r="HK29" s="558" t="str">
        <f t="shared" si="53"/>
        <v>.</v>
      </c>
      <c r="HL29" s="558" t="str">
        <f t="shared" si="54"/>
        <v>.</v>
      </c>
      <c r="HM29" s="558" t="str">
        <f t="shared" si="54"/>
        <v>.</v>
      </c>
      <c r="HN29" s="558" t="str">
        <f t="shared" si="54"/>
        <v>.</v>
      </c>
      <c r="HO29" s="558" t="str">
        <f t="shared" si="54"/>
        <v>.</v>
      </c>
      <c r="HP29" s="558" t="str">
        <f t="shared" si="54"/>
        <v>.</v>
      </c>
      <c r="HQ29" s="558" t="str">
        <f t="shared" si="54"/>
        <v>.</v>
      </c>
      <c r="HR29" s="558" t="str">
        <f t="shared" si="54"/>
        <v>.</v>
      </c>
      <c r="HS29" s="558" t="str">
        <f t="shared" si="54"/>
        <v>.</v>
      </c>
      <c r="HT29" s="558" t="str">
        <f t="shared" si="54"/>
        <v>.</v>
      </c>
      <c r="HU29" s="558" t="str">
        <f t="shared" si="54"/>
        <v>.</v>
      </c>
      <c r="HV29" s="558" t="str">
        <f t="shared" si="54"/>
        <v>.</v>
      </c>
      <c r="HW29" s="558" t="str">
        <f t="shared" si="54"/>
        <v>.</v>
      </c>
      <c r="HX29" s="558" t="str">
        <f t="shared" si="54"/>
        <v>.</v>
      </c>
      <c r="HY29" s="558" t="str">
        <f t="shared" si="54"/>
        <v>.</v>
      </c>
      <c r="HZ29" s="558" t="str">
        <f t="shared" si="54"/>
        <v>.</v>
      </c>
      <c r="IA29" s="558" t="str">
        <f t="shared" si="54"/>
        <v>.</v>
      </c>
      <c r="IB29" s="558" t="str">
        <f t="shared" si="54"/>
        <v>.</v>
      </c>
      <c r="IC29" s="558" t="str">
        <f t="shared" si="54"/>
        <v>.</v>
      </c>
      <c r="ID29" s="558" t="str">
        <f t="shared" si="55"/>
        <v>.</v>
      </c>
      <c r="IE29" s="558" t="str">
        <f t="shared" si="55"/>
        <v>.</v>
      </c>
      <c r="IF29" s="558" t="str">
        <f t="shared" si="55"/>
        <v>.</v>
      </c>
      <c r="IG29" s="558" t="str">
        <f t="shared" si="55"/>
        <v>.</v>
      </c>
      <c r="IH29" s="558" t="str">
        <f t="shared" si="55"/>
        <v>.</v>
      </c>
      <c r="II29" s="558" t="str">
        <f t="shared" si="55"/>
        <v>.</v>
      </c>
      <c r="IJ29" s="558" t="str">
        <f t="shared" si="55"/>
        <v>.</v>
      </c>
      <c r="IK29" s="558" t="str">
        <f t="shared" si="55"/>
        <v>.</v>
      </c>
      <c r="IL29" s="558" t="str">
        <f t="shared" si="55"/>
        <v>.</v>
      </c>
      <c r="IM29" s="558" t="str">
        <f t="shared" si="55"/>
        <v>.</v>
      </c>
      <c r="IN29" s="558" t="str">
        <f t="shared" si="55"/>
        <v>.</v>
      </c>
      <c r="IO29" s="558" t="str">
        <f t="shared" si="55"/>
        <v>.</v>
      </c>
      <c r="IP29" s="558" t="str">
        <f t="shared" si="55"/>
        <v>.</v>
      </c>
      <c r="IQ29" s="558" t="str">
        <f t="shared" si="55"/>
        <v>.</v>
      </c>
      <c r="IR29" s="558" t="str">
        <f t="shared" si="55"/>
        <v>.</v>
      </c>
      <c r="IS29" s="558" t="str">
        <f t="shared" si="55"/>
        <v>.</v>
      </c>
      <c r="IT29" s="558" t="str">
        <f t="shared" si="55"/>
        <v>.</v>
      </c>
      <c r="IU29" s="558" t="str">
        <f t="shared" si="55"/>
        <v>.</v>
      </c>
      <c r="IV29" s="558" t="str">
        <f t="shared" si="55"/>
        <v>.</v>
      </c>
      <c r="IW29" s="558" t="str">
        <f t="shared" si="55"/>
        <v>.</v>
      </c>
      <c r="IX29" s="558" t="str">
        <f t="shared" si="55"/>
        <v>.</v>
      </c>
      <c r="IY29" s="558" t="str">
        <f t="shared" si="55"/>
        <v>.</v>
      </c>
      <c r="IZ29" s="558" t="str">
        <f t="shared" si="55"/>
        <v>.</v>
      </c>
      <c r="JA29" s="558" t="str">
        <f t="shared" si="55"/>
        <v>.</v>
      </c>
      <c r="JB29" s="558" t="str">
        <f t="shared" si="55"/>
        <v>.</v>
      </c>
      <c r="JC29" s="558" t="str">
        <f t="shared" si="56"/>
        <v>.</v>
      </c>
      <c r="JD29" s="558" t="str">
        <f t="shared" si="56"/>
        <v>.</v>
      </c>
      <c r="JE29" s="558" t="str">
        <f t="shared" si="56"/>
        <v>.</v>
      </c>
      <c r="JF29" s="558" t="str">
        <f t="shared" si="56"/>
        <v>.</v>
      </c>
      <c r="JG29" s="558" t="str">
        <f t="shared" si="56"/>
        <v>.</v>
      </c>
      <c r="JH29" s="558" t="str">
        <f t="shared" si="56"/>
        <v>.</v>
      </c>
      <c r="JI29" s="558" t="str">
        <f t="shared" si="56"/>
        <v>.</v>
      </c>
      <c r="JJ29" s="558" t="str">
        <f t="shared" si="56"/>
        <v>.</v>
      </c>
      <c r="JK29" s="558" t="str">
        <f t="shared" si="56"/>
        <v>.</v>
      </c>
      <c r="JL29" s="558" t="str">
        <f t="shared" si="56"/>
        <v>.</v>
      </c>
    </row>
    <row r="30" spans="1:272" ht="10.199999999999999" x14ac:dyDescent="0.2">
      <c r="A30" s="534">
        <f xml:space="preserve"> Basis!A30</f>
        <v>30</v>
      </c>
      <c r="F30" s="536">
        <f xml:space="preserve"> ROUND(    IF( $A$15=BE_MF_,   AW30,   INDEX( qx!30:30, F$16 ) ),    F$17    )</f>
        <v>2.9999999999999997E-4</v>
      </c>
      <c r="G30" s="536">
        <f xml:space="preserve"> ROUND(    IF( $A$15=BE_MF_,   BB30,   INDEX( wx!30:30, G$16 ) ),    G$17    )</f>
        <v>7.4399999999999994E-2</v>
      </c>
      <c r="H30" s="537">
        <f xml:space="preserve"> ROUND(    IF( $A$15=BE_MF_,   BG30,   INDEX( Kx!30:30, H$16 ) ),    H$17    )</f>
        <v>1857.15</v>
      </c>
      <c r="I30" s="538">
        <f t="shared" si="57"/>
        <v>1857.15</v>
      </c>
      <c r="J30" s="539">
        <f t="shared" si="17"/>
        <v>0.89400000000000002</v>
      </c>
      <c r="K30" s="540">
        <f t="shared" si="58"/>
        <v>2</v>
      </c>
      <c r="L30" s="541">
        <f t="shared" si="18"/>
        <v>0</v>
      </c>
      <c r="M30" s="541">
        <f t="shared" si="18"/>
        <v>8.5999999999999993E-2</v>
      </c>
      <c r="O30" s="542" t="b">
        <f t="shared" si="59"/>
        <v>1</v>
      </c>
      <c r="P30" s="493">
        <f t="shared" si="19"/>
        <v>7.4700000000000003E-2</v>
      </c>
      <c r="Q30" s="493">
        <f t="shared" si="20"/>
        <v>0.92530000000000001</v>
      </c>
      <c r="R30" s="543">
        <f t="shared" si="21"/>
        <v>1502246</v>
      </c>
      <c r="S30" s="544">
        <f t="shared" si="22"/>
        <v>0.97560975599999999</v>
      </c>
      <c r="T30" s="423">
        <f t="shared" si="23"/>
        <v>716184.79</v>
      </c>
      <c r="U30" s="423">
        <f xml:space="preserve"> IF( $O30,    ROUND(  SUM( T30:T$120), U$17 ),  LEER  )</f>
        <v>11452003.140000001</v>
      </c>
      <c r="V30" s="493">
        <f t="shared" si="24"/>
        <v>15.9903</v>
      </c>
      <c r="W30" s="493">
        <f t="shared" si="25"/>
        <v>640269.19999999995</v>
      </c>
      <c r="X30" s="493">
        <f xml:space="preserve"> IF( $O30,    ROUND(  SUM( W30:W$120), X$17 ),  LEER  )</f>
        <v>18414667.59</v>
      </c>
      <c r="Y30" s="493">
        <f t="shared" si="26"/>
        <v>25.712199999999999</v>
      </c>
      <c r="Z30" s="493">
        <f t="shared" si="27"/>
        <v>1.6080000000000001</v>
      </c>
      <c r="AA30" s="493">
        <f t="shared" si="28"/>
        <v>1.0115000000000001</v>
      </c>
      <c r="AB30" s="493">
        <f t="shared" si="29"/>
        <v>2.3494000000000002</v>
      </c>
      <c r="AC30" s="545">
        <f t="shared" si="30"/>
        <v>0.38600000000000001</v>
      </c>
      <c r="AD30" s="493">
        <f t="shared" si="31"/>
        <v>1.6309</v>
      </c>
      <c r="AE30" s="493">
        <f t="shared" si="32"/>
        <v>2.2067000000000001</v>
      </c>
      <c r="AF30" s="493">
        <f t="shared" si="33"/>
        <v>2.2067000000000001</v>
      </c>
      <c r="AG30" s="493" t="str">
        <f t="shared" si="34"/>
        <v>.</v>
      </c>
      <c r="AH30" s="493" t="str">
        <f t="shared" si="35"/>
        <v>.</v>
      </c>
      <c r="AI30" s="423">
        <f t="shared" si="36"/>
        <v>2077.79</v>
      </c>
      <c r="AJ30" s="423">
        <f t="shared" si="37"/>
        <v>4585.0600000000004</v>
      </c>
      <c r="AK30" s="423">
        <f t="shared" si="38"/>
        <v>382.09</v>
      </c>
      <c r="AN30" s="423" t="str">
        <f t="shared" si="39"/>
        <v>.</v>
      </c>
      <c r="AO30" s="423" t="str">
        <f t="shared" si="39"/>
        <v>.</v>
      </c>
      <c r="AR30" s="546">
        <f xml:space="preserve"> ROUND(  INDEX( Kx!30:30, AR$16 ),  AR$17 )</f>
        <v>0.74470000000000003</v>
      </c>
      <c r="AS30" s="547">
        <f xml:space="preserve"> ROUND(  INDEX( qx!30:30, AS$16 ),  AS$17 )</f>
        <v>2.9999999999999997E-4</v>
      </c>
      <c r="AT30" s="547">
        <f xml:space="preserve"> ROUND(  INDEX( qx!30:30, AT$16 ),  AT$17 )</f>
        <v>2.0000000000000001E-4</v>
      </c>
      <c r="AU30" s="548" t="str">
        <f t="shared" si="40"/>
        <v>F</v>
      </c>
      <c r="AV30" s="542">
        <f t="shared" si="41"/>
        <v>0.66039999999999999</v>
      </c>
      <c r="AW30" s="542">
        <f t="shared" si="42"/>
        <v>2.9999999999999997E-4</v>
      </c>
      <c r="AX30" s="546">
        <f xml:space="preserve"> ROUND(  INDEX( wx!30:30, AX$16 ),  AX$17 )</f>
        <v>7.0000000000000007E-2</v>
      </c>
      <c r="AY30" s="546">
        <f xml:space="preserve"> ROUND(  INDEX( wx!30:30, AY$16 ),  AY$17 )</f>
        <v>9.3399999999999997E-2</v>
      </c>
      <c r="AZ30" s="548" t="str">
        <f t="shared" si="43"/>
        <v>M</v>
      </c>
      <c r="BA30" s="542">
        <f t="shared" si="44"/>
        <v>0.81399999999999995</v>
      </c>
      <c r="BB30" s="542">
        <f t="shared" si="45"/>
        <v>7.4399999999999994E-2</v>
      </c>
      <c r="BC30" s="533">
        <f xml:space="preserve"> ROUND(  INDEX( Kx!30:30, BC$16 ),  BC$17 )</f>
        <v>1362.05</v>
      </c>
      <c r="BD30" s="533">
        <f xml:space="preserve"> ROUND(  INDEX( Kx!30:30, BD$16 ),  BD$17 )</f>
        <v>2819.93</v>
      </c>
      <c r="BE30" s="548" t="str">
        <f t="shared" si="60"/>
        <v>F</v>
      </c>
      <c r="BF30" s="542">
        <f t="shared" si="46"/>
        <v>0.66039999999999999</v>
      </c>
      <c r="BG30" s="420">
        <f t="shared" si="47"/>
        <v>1857.15</v>
      </c>
      <c r="BQ30" s="549"/>
      <c r="BR30" s="423"/>
      <c r="BS30" s="550"/>
      <c r="BT30" s="423"/>
      <c r="BU30" s="551"/>
      <c r="BV30" s="551"/>
      <c r="BW30" s="529"/>
      <c r="BX30" s="552"/>
      <c r="BY30" s="559"/>
      <c r="BZ30" s="559"/>
      <c r="CB30" s="423"/>
      <c r="CC30" s="423"/>
      <c r="CD30" s="423"/>
      <c r="CE30" s="423"/>
      <c r="CF30" s="553"/>
      <c r="CH30" s="423"/>
      <c r="CI30" s="423"/>
      <c r="CJ30" s="423"/>
      <c r="CK30" s="423"/>
      <c r="CL30" s="553"/>
      <c r="CN30" s="423"/>
      <c r="CO30" s="423"/>
      <c r="CP30" s="423"/>
      <c r="CQ30" s="423"/>
      <c r="CR30" s="553"/>
      <c r="DM30" s="554"/>
      <c r="DO30" s="385"/>
      <c r="DP30" s="385"/>
      <c r="DQ30" s="385"/>
      <c r="EI30" s="553"/>
      <c r="EJ30" s="553"/>
      <c r="EK30" s="423"/>
      <c r="EL30" s="555"/>
      <c r="ES30" s="533"/>
      <c r="ET30" s="533"/>
      <c r="EU30" s="533"/>
      <c r="EV30" s="556"/>
      <c r="EY30" s="533"/>
      <c r="EZ30" s="533"/>
      <c r="FA30" s="556"/>
      <c r="FD30" s="556"/>
      <c r="FE30" s="556"/>
      <c r="FF30" s="556"/>
      <c r="FK30" s="557">
        <f t="shared" si="48"/>
        <v>30</v>
      </c>
      <c r="FL30" s="493">
        <f t="shared" si="49"/>
        <v>25.712199999999999</v>
      </c>
      <c r="FM30" s="493">
        <f t="shared" si="50"/>
        <v>15.9903</v>
      </c>
      <c r="FO30" s="427">
        <f t="shared" si="61"/>
        <v>72275.240000000005</v>
      </c>
      <c r="FP30" s="558">
        <f t="shared" si="51"/>
        <v>13541.88</v>
      </c>
      <c r="FQ30" s="558">
        <f t="shared" si="51"/>
        <v>12196.29</v>
      </c>
      <c r="FR30" s="558">
        <f t="shared" si="51"/>
        <v>10847.37</v>
      </c>
      <c r="FS30" s="558">
        <f t="shared" si="51"/>
        <v>9498.4599999999991</v>
      </c>
      <c r="FT30" s="558">
        <f t="shared" si="51"/>
        <v>8103.03</v>
      </c>
      <c r="FU30" s="558">
        <f t="shared" si="51"/>
        <v>6667.73</v>
      </c>
      <c r="FV30" s="558">
        <f t="shared" si="51"/>
        <v>5245.73</v>
      </c>
      <c r="FW30" s="558">
        <f t="shared" si="51"/>
        <v>3813.75</v>
      </c>
      <c r="FX30" s="558">
        <f t="shared" si="51"/>
        <v>2331.94</v>
      </c>
      <c r="FY30" s="558">
        <f t="shared" si="51"/>
        <v>790.32</v>
      </c>
      <c r="FZ30" s="558">
        <f t="shared" si="51"/>
        <v>-761.26</v>
      </c>
      <c r="GA30" s="558" t="str">
        <f t="shared" si="51"/>
        <v>.</v>
      </c>
      <c r="GB30" s="558" t="str">
        <f t="shared" si="51"/>
        <v>.</v>
      </c>
      <c r="GC30" s="558" t="str">
        <f t="shared" si="51"/>
        <v>.</v>
      </c>
      <c r="GD30" s="558" t="str">
        <f t="shared" si="51"/>
        <v>.</v>
      </c>
      <c r="GE30" s="558" t="str">
        <f t="shared" si="51"/>
        <v>.</v>
      </c>
      <c r="GF30" s="558" t="str">
        <f t="shared" si="52"/>
        <v>.</v>
      </c>
      <c r="GG30" s="558" t="str">
        <f t="shared" si="52"/>
        <v>.</v>
      </c>
      <c r="GH30" s="558" t="str">
        <f t="shared" si="52"/>
        <v>.</v>
      </c>
      <c r="GI30" s="558" t="str">
        <f t="shared" si="52"/>
        <v>.</v>
      </c>
      <c r="GJ30" s="558" t="str">
        <f t="shared" si="52"/>
        <v>.</v>
      </c>
      <c r="GK30" s="558" t="str">
        <f t="shared" si="52"/>
        <v>.</v>
      </c>
      <c r="GL30" s="558" t="str">
        <f t="shared" si="52"/>
        <v>.</v>
      </c>
      <c r="GM30" s="558" t="str">
        <f t="shared" si="52"/>
        <v>.</v>
      </c>
      <c r="GN30" s="558" t="str">
        <f t="shared" si="52"/>
        <v>.</v>
      </c>
      <c r="GO30" s="558" t="str">
        <f t="shared" si="52"/>
        <v>.</v>
      </c>
      <c r="GP30" s="558" t="str">
        <f t="shared" si="52"/>
        <v>.</v>
      </c>
      <c r="GQ30" s="558" t="str">
        <f t="shared" si="52"/>
        <v>.</v>
      </c>
      <c r="GR30" s="558" t="str">
        <f t="shared" si="52"/>
        <v>.</v>
      </c>
      <c r="GS30" s="558" t="str">
        <f t="shared" si="52"/>
        <v>.</v>
      </c>
      <c r="GT30" s="558" t="str">
        <f t="shared" si="52"/>
        <v>.</v>
      </c>
      <c r="GU30" s="558" t="str">
        <f t="shared" si="52"/>
        <v>.</v>
      </c>
      <c r="GV30" s="558" t="str">
        <f t="shared" si="53"/>
        <v>.</v>
      </c>
      <c r="GW30" s="558" t="str">
        <f t="shared" si="53"/>
        <v>.</v>
      </c>
      <c r="GX30" s="558" t="str">
        <f t="shared" si="53"/>
        <v>.</v>
      </c>
      <c r="GY30" s="558" t="str">
        <f t="shared" si="53"/>
        <v>.</v>
      </c>
      <c r="GZ30" s="558" t="str">
        <f t="shared" si="53"/>
        <v>.</v>
      </c>
      <c r="HA30" s="558" t="str">
        <f t="shared" si="53"/>
        <v>.</v>
      </c>
      <c r="HB30" s="558" t="str">
        <f t="shared" si="53"/>
        <v>.</v>
      </c>
      <c r="HC30" s="558" t="str">
        <f t="shared" si="53"/>
        <v>.</v>
      </c>
      <c r="HD30" s="558" t="str">
        <f t="shared" si="53"/>
        <v>.</v>
      </c>
      <c r="HE30" s="558" t="str">
        <f t="shared" si="53"/>
        <v>.</v>
      </c>
      <c r="HF30" s="558" t="str">
        <f t="shared" si="53"/>
        <v>.</v>
      </c>
      <c r="HG30" s="558" t="str">
        <f t="shared" si="53"/>
        <v>.</v>
      </c>
      <c r="HH30" s="558" t="str">
        <f t="shared" si="53"/>
        <v>.</v>
      </c>
      <c r="HI30" s="558" t="str">
        <f t="shared" si="53"/>
        <v>.</v>
      </c>
      <c r="HJ30" s="558" t="str">
        <f t="shared" si="53"/>
        <v>.</v>
      </c>
      <c r="HK30" s="558" t="str">
        <f t="shared" si="53"/>
        <v>.</v>
      </c>
      <c r="HL30" s="558" t="str">
        <f t="shared" si="54"/>
        <v>.</v>
      </c>
      <c r="HM30" s="558" t="str">
        <f t="shared" si="54"/>
        <v>.</v>
      </c>
      <c r="HN30" s="558" t="str">
        <f t="shared" si="54"/>
        <v>.</v>
      </c>
      <c r="HO30" s="558" t="str">
        <f t="shared" si="54"/>
        <v>.</v>
      </c>
      <c r="HP30" s="558" t="str">
        <f t="shared" si="54"/>
        <v>.</v>
      </c>
      <c r="HQ30" s="558" t="str">
        <f t="shared" si="54"/>
        <v>.</v>
      </c>
      <c r="HR30" s="558" t="str">
        <f t="shared" si="54"/>
        <v>.</v>
      </c>
      <c r="HS30" s="558" t="str">
        <f t="shared" si="54"/>
        <v>.</v>
      </c>
      <c r="HT30" s="558" t="str">
        <f t="shared" si="54"/>
        <v>.</v>
      </c>
      <c r="HU30" s="558" t="str">
        <f t="shared" si="54"/>
        <v>.</v>
      </c>
      <c r="HV30" s="558" t="str">
        <f t="shared" si="54"/>
        <v>.</v>
      </c>
      <c r="HW30" s="558" t="str">
        <f t="shared" si="54"/>
        <v>.</v>
      </c>
      <c r="HX30" s="558" t="str">
        <f t="shared" si="54"/>
        <v>.</v>
      </c>
      <c r="HY30" s="558" t="str">
        <f t="shared" si="54"/>
        <v>.</v>
      </c>
      <c r="HZ30" s="558" t="str">
        <f t="shared" si="54"/>
        <v>.</v>
      </c>
      <c r="IA30" s="558" t="str">
        <f t="shared" si="54"/>
        <v>.</v>
      </c>
      <c r="IB30" s="558" t="str">
        <f t="shared" si="54"/>
        <v>.</v>
      </c>
      <c r="IC30" s="558" t="str">
        <f t="shared" si="54"/>
        <v>.</v>
      </c>
      <c r="ID30" s="558" t="str">
        <f t="shared" si="55"/>
        <v>.</v>
      </c>
      <c r="IE30" s="558" t="str">
        <f t="shared" si="55"/>
        <v>.</v>
      </c>
      <c r="IF30" s="558" t="str">
        <f t="shared" si="55"/>
        <v>.</v>
      </c>
      <c r="IG30" s="558" t="str">
        <f t="shared" si="55"/>
        <v>.</v>
      </c>
      <c r="IH30" s="558" t="str">
        <f t="shared" si="55"/>
        <v>.</v>
      </c>
      <c r="II30" s="558" t="str">
        <f t="shared" ref="II30:JG43" si="62" xml:space="preserve"> IF(  OR( II$18&gt;$FK30, $FK30&gt;$FP$12 ),  LEER,  ROUND( $FO$19 * ( $FL30 - II$15 * $FM30 ), II$17 )  )</f>
        <v>.</v>
      </c>
      <c r="IJ30" s="558" t="str">
        <f t="shared" si="62"/>
        <v>.</v>
      </c>
      <c r="IK30" s="558" t="str">
        <f t="shared" si="62"/>
        <v>.</v>
      </c>
      <c r="IL30" s="558" t="str">
        <f t="shared" si="62"/>
        <v>.</v>
      </c>
      <c r="IM30" s="558" t="str">
        <f t="shared" si="62"/>
        <v>.</v>
      </c>
      <c r="IN30" s="558" t="str">
        <f t="shared" si="62"/>
        <v>.</v>
      </c>
      <c r="IO30" s="558" t="str">
        <f t="shared" si="62"/>
        <v>.</v>
      </c>
      <c r="IP30" s="558" t="str">
        <f t="shared" si="62"/>
        <v>.</v>
      </c>
      <c r="IQ30" s="558" t="str">
        <f t="shared" si="62"/>
        <v>.</v>
      </c>
      <c r="IR30" s="558" t="str">
        <f t="shared" si="62"/>
        <v>.</v>
      </c>
      <c r="IS30" s="558" t="str">
        <f t="shared" si="62"/>
        <v>.</v>
      </c>
      <c r="IT30" s="558" t="str">
        <f t="shared" si="62"/>
        <v>.</v>
      </c>
      <c r="IU30" s="558" t="str">
        <f t="shared" si="62"/>
        <v>.</v>
      </c>
      <c r="IV30" s="558" t="str">
        <f t="shared" si="62"/>
        <v>.</v>
      </c>
      <c r="IW30" s="558" t="str">
        <f t="shared" si="62"/>
        <v>.</v>
      </c>
      <c r="IX30" s="558" t="str">
        <f t="shared" si="62"/>
        <v>.</v>
      </c>
      <c r="IY30" s="558" t="str">
        <f t="shared" si="62"/>
        <v>.</v>
      </c>
      <c r="IZ30" s="558" t="str">
        <f t="shared" si="62"/>
        <v>.</v>
      </c>
      <c r="JA30" s="558" t="str">
        <f t="shared" si="62"/>
        <v>.</v>
      </c>
      <c r="JB30" s="558" t="str">
        <f t="shared" si="62"/>
        <v>.</v>
      </c>
      <c r="JC30" s="558" t="str">
        <f t="shared" si="62"/>
        <v>.</v>
      </c>
      <c r="JD30" s="558" t="str">
        <f t="shared" si="62"/>
        <v>.</v>
      </c>
      <c r="JE30" s="558" t="str">
        <f t="shared" si="62"/>
        <v>.</v>
      </c>
      <c r="JF30" s="558" t="str">
        <f t="shared" si="62"/>
        <v>.</v>
      </c>
      <c r="JG30" s="558" t="str">
        <f t="shared" si="62"/>
        <v>.</v>
      </c>
      <c r="JH30" s="558" t="str">
        <f t="shared" si="56"/>
        <v>.</v>
      </c>
      <c r="JI30" s="558" t="str">
        <f t="shared" si="56"/>
        <v>.</v>
      </c>
      <c r="JJ30" s="558" t="str">
        <f t="shared" si="56"/>
        <v>.</v>
      </c>
      <c r="JK30" s="558" t="str">
        <f t="shared" si="56"/>
        <v>.</v>
      </c>
      <c r="JL30" s="558" t="str">
        <f t="shared" si="56"/>
        <v>.</v>
      </c>
    </row>
    <row r="31" spans="1:272" ht="10.199999999999999" x14ac:dyDescent="0.2">
      <c r="A31" s="534">
        <f xml:space="preserve"> Basis!A31</f>
        <v>31</v>
      </c>
      <c r="F31" s="536">
        <f xml:space="preserve"> ROUND(    IF( $A$15=BE_MF_,   AW31,   INDEX( qx!31:31, F$16 ) ),    F$17    )</f>
        <v>2.9999999999999997E-4</v>
      </c>
      <c r="G31" s="536">
        <f xml:space="preserve"> ROUND(    IF( $A$15=BE_MF_,   BB31,   INDEX( wx!31:31, G$16 ) ),    G$17    )</f>
        <v>6.7900000000000002E-2</v>
      </c>
      <c r="H31" s="537">
        <f xml:space="preserve"> ROUND(    IF( $A$15=BE_MF_,   BG31,   INDEX( Kx!31:31, H$16 ) ),    H$17    )</f>
        <v>1857.29</v>
      </c>
      <c r="I31" s="538">
        <f t="shared" si="57"/>
        <v>1857.29</v>
      </c>
      <c r="J31" s="539">
        <f t="shared" si="17"/>
        <v>0.89400000000000002</v>
      </c>
      <c r="K31" s="540">
        <f t="shared" si="58"/>
        <v>2</v>
      </c>
      <c r="L31" s="541">
        <f t="shared" si="18"/>
        <v>0</v>
      </c>
      <c r="M31" s="541">
        <f t="shared" si="18"/>
        <v>8.5999999999999993E-2</v>
      </c>
      <c r="O31" s="542" t="b">
        <f t="shared" si="59"/>
        <v>1</v>
      </c>
      <c r="P31" s="493">
        <f t="shared" si="19"/>
        <v>6.8199999999999997E-2</v>
      </c>
      <c r="Q31" s="493">
        <f t="shared" si="20"/>
        <v>0.93179999999999996</v>
      </c>
      <c r="R31" s="543">
        <f t="shared" si="21"/>
        <v>1390028</v>
      </c>
      <c r="S31" s="544">
        <f t="shared" si="22"/>
        <v>0.97560975599999999</v>
      </c>
      <c r="T31" s="423">
        <f t="shared" si="23"/>
        <v>646522.61</v>
      </c>
      <c r="U31" s="423">
        <f xml:space="preserve"> IF( $O31,    ROUND(  SUM( T31:T$120), U$17 ),  LEER  )</f>
        <v>10735818.35</v>
      </c>
      <c r="V31" s="493">
        <f t="shared" si="24"/>
        <v>16.605499999999999</v>
      </c>
      <c r="W31" s="493">
        <f t="shared" si="25"/>
        <v>577991.21</v>
      </c>
      <c r="X31" s="493">
        <f xml:space="preserve"> IF( $O31,    ROUND(  SUM( W31:W$120), X$17 ),  LEER  )</f>
        <v>17774398.390000001</v>
      </c>
      <c r="Y31" s="493">
        <f t="shared" si="26"/>
        <v>27.4923</v>
      </c>
      <c r="Z31" s="493">
        <f t="shared" si="27"/>
        <v>1.6556</v>
      </c>
      <c r="AA31" s="493">
        <f t="shared" si="28"/>
        <v>1.0111000000000001</v>
      </c>
      <c r="AB31" s="493">
        <f t="shared" si="29"/>
        <v>2.3494000000000002</v>
      </c>
      <c r="AC31" s="545">
        <f t="shared" si="30"/>
        <v>0.38600000000000001</v>
      </c>
      <c r="AD31" s="493">
        <f t="shared" si="31"/>
        <v>1.6782999999999999</v>
      </c>
      <c r="AE31" s="493">
        <f t="shared" si="32"/>
        <v>2.2585000000000002</v>
      </c>
      <c r="AF31" s="493">
        <f t="shared" si="33"/>
        <v>2.2585000000000002</v>
      </c>
      <c r="AG31" s="493" t="str">
        <f t="shared" si="34"/>
        <v>.</v>
      </c>
      <c r="AH31" s="493" t="str">
        <f t="shared" si="35"/>
        <v>.</v>
      </c>
      <c r="AI31" s="423">
        <f t="shared" si="36"/>
        <v>2077.79</v>
      </c>
      <c r="AJ31" s="423">
        <f t="shared" si="37"/>
        <v>4692.6899999999996</v>
      </c>
      <c r="AK31" s="423">
        <f t="shared" si="38"/>
        <v>391.06</v>
      </c>
      <c r="AN31" s="423" t="str">
        <f t="shared" si="39"/>
        <v>.</v>
      </c>
      <c r="AO31" s="423" t="str">
        <f t="shared" si="39"/>
        <v>.</v>
      </c>
      <c r="AR31" s="546">
        <f xml:space="preserve"> ROUND(  INDEX( Kx!31:31, AR$16 ),  AR$17 )</f>
        <v>0.76060000000000005</v>
      </c>
      <c r="AS31" s="547">
        <f xml:space="preserve"> ROUND(  INDEX( qx!31:31, AS$16 ),  AS$17 )</f>
        <v>2.9999999999999997E-4</v>
      </c>
      <c r="AT31" s="547">
        <f xml:space="preserve"> ROUND(  INDEX( qx!31:31, AT$16 ),  AT$17 )</f>
        <v>2.0000000000000001E-4</v>
      </c>
      <c r="AU31" s="548" t="str">
        <f t="shared" si="40"/>
        <v>F</v>
      </c>
      <c r="AV31" s="542">
        <f t="shared" si="41"/>
        <v>0.67930000000000001</v>
      </c>
      <c r="AW31" s="542">
        <f t="shared" si="42"/>
        <v>2.9999999999999997E-4</v>
      </c>
      <c r="AX31" s="546">
        <f xml:space="preserve"> ROUND(  INDEX( wx!31:31, AX$16 ),  AX$17 )</f>
        <v>6.4399999999999999E-2</v>
      </c>
      <c r="AY31" s="546">
        <f xml:space="preserve"> ROUND(  INDEX( wx!31:31, AY$16 ),  AY$17 )</f>
        <v>8.4599999999999995E-2</v>
      </c>
      <c r="AZ31" s="548" t="str">
        <f t="shared" si="43"/>
        <v>M</v>
      </c>
      <c r="BA31" s="542">
        <f t="shared" si="44"/>
        <v>0.8266</v>
      </c>
      <c r="BB31" s="542">
        <f t="shared" si="45"/>
        <v>6.7900000000000002E-2</v>
      </c>
      <c r="BC31" s="533">
        <f xml:space="preserve"> ROUND(  INDEX( Kx!31:31, BC$16 ),  BC$17 )</f>
        <v>1361.74</v>
      </c>
      <c r="BD31" s="533">
        <f xml:space="preserve"> ROUND(  INDEX( Kx!31:31, BD$16 ),  BD$17 )</f>
        <v>2906.96</v>
      </c>
      <c r="BE31" s="548" t="str">
        <f t="shared" si="60"/>
        <v>F</v>
      </c>
      <c r="BF31" s="542">
        <f t="shared" si="46"/>
        <v>0.67930000000000001</v>
      </c>
      <c r="BG31" s="420">
        <f t="shared" si="47"/>
        <v>1857.29</v>
      </c>
      <c r="BQ31" s="549"/>
      <c r="BR31" s="423"/>
      <c r="BS31" s="550"/>
      <c r="BT31" s="423"/>
      <c r="BU31" s="551"/>
      <c r="BV31" s="551"/>
      <c r="BW31" s="529"/>
      <c r="BX31" s="552"/>
      <c r="BY31" s="559"/>
      <c r="BZ31" s="559"/>
      <c r="CB31" s="423"/>
      <c r="CC31" s="423"/>
      <c r="CD31" s="423"/>
      <c r="CE31" s="423"/>
      <c r="CF31" s="553"/>
      <c r="CH31" s="423"/>
      <c r="CI31" s="423"/>
      <c r="CJ31" s="423"/>
      <c r="CK31" s="423"/>
      <c r="CL31" s="553"/>
      <c r="CN31" s="423"/>
      <c r="CO31" s="423"/>
      <c r="CP31" s="423"/>
      <c r="CQ31" s="423"/>
      <c r="CR31" s="553"/>
      <c r="DM31" s="554"/>
      <c r="DO31" s="385"/>
      <c r="DP31" s="385"/>
      <c r="DQ31" s="385"/>
      <c r="EI31" s="553"/>
      <c r="EJ31" s="553"/>
      <c r="EK31" s="423"/>
      <c r="EL31" s="555"/>
      <c r="ES31" s="533"/>
      <c r="ET31" s="533"/>
      <c r="EU31" s="533"/>
      <c r="EV31" s="556"/>
      <c r="EY31" s="533"/>
      <c r="EZ31" s="533"/>
      <c r="FA31" s="556"/>
      <c r="FD31" s="556"/>
      <c r="FE31" s="556"/>
      <c r="FF31" s="556"/>
      <c r="FK31" s="557">
        <f t="shared" si="48"/>
        <v>31</v>
      </c>
      <c r="FL31" s="493">
        <f t="shared" si="49"/>
        <v>27.4923</v>
      </c>
      <c r="FM31" s="493">
        <f t="shared" si="50"/>
        <v>16.605499999999999</v>
      </c>
      <c r="FO31" s="427">
        <f t="shared" si="61"/>
        <v>92348.96</v>
      </c>
      <c r="FP31" s="558">
        <f t="shared" si="51"/>
        <v>15706.13</v>
      </c>
      <c r="FQ31" s="558">
        <f t="shared" si="51"/>
        <v>14308.77</v>
      </c>
      <c r="FR31" s="558">
        <f t="shared" si="51"/>
        <v>12907.96</v>
      </c>
      <c r="FS31" s="558">
        <f t="shared" si="51"/>
        <v>11507.15</v>
      </c>
      <c r="FT31" s="558">
        <f t="shared" si="51"/>
        <v>10058.040000000001</v>
      </c>
      <c r="FU31" s="558">
        <f t="shared" si="51"/>
        <v>8567.52</v>
      </c>
      <c r="FV31" s="558">
        <f t="shared" si="51"/>
        <v>7090.8</v>
      </c>
      <c r="FW31" s="558">
        <f t="shared" si="51"/>
        <v>5603.73</v>
      </c>
      <c r="FX31" s="558">
        <f t="shared" si="51"/>
        <v>4064.91</v>
      </c>
      <c r="FY31" s="558">
        <f t="shared" si="51"/>
        <v>2463.98</v>
      </c>
      <c r="FZ31" s="558">
        <f t="shared" si="51"/>
        <v>852.7</v>
      </c>
      <c r="GA31" s="558">
        <f t="shared" si="51"/>
        <v>-782.73</v>
      </c>
      <c r="GB31" s="558" t="str">
        <f t="shared" si="51"/>
        <v>.</v>
      </c>
      <c r="GC31" s="558" t="str">
        <f t="shared" si="51"/>
        <v>.</v>
      </c>
      <c r="GD31" s="558" t="str">
        <f t="shared" si="51"/>
        <v>.</v>
      </c>
      <c r="GE31" s="558" t="str">
        <f t="shared" si="51"/>
        <v>.</v>
      </c>
      <c r="GF31" s="558" t="str">
        <f t="shared" si="52"/>
        <v>.</v>
      </c>
      <c r="GG31" s="558" t="str">
        <f t="shared" si="52"/>
        <v>.</v>
      </c>
      <c r="GH31" s="558" t="str">
        <f t="shared" si="52"/>
        <v>.</v>
      </c>
      <c r="GI31" s="558" t="str">
        <f t="shared" si="52"/>
        <v>.</v>
      </c>
      <c r="GJ31" s="558" t="str">
        <f t="shared" si="52"/>
        <v>.</v>
      </c>
      <c r="GK31" s="558" t="str">
        <f t="shared" si="52"/>
        <v>.</v>
      </c>
      <c r="GL31" s="558" t="str">
        <f t="shared" si="52"/>
        <v>.</v>
      </c>
      <c r="GM31" s="558" t="str">
        <f t="shared" si="52"/>
        <v>.</v>
      </c>
      <c r="GN31" s="558" t="str">
        <f t="shared" si="52"/>
        <v>.</v>
      </c>
      <c r="GO31" s="558" t="str">
        <f t="shared" si="52"/>
        <v>.</v>
      </c>
      <c r="GP31" s="558" t="str">
        <f t="shared" si="52"/>
        <v>.</v>
      </c>
      <c r="GQ31" s="558" t="str">
        <f t="shared" si="52"/>
        <v>.</v>
      </c>
      <c r="GR31" s="558" t="str">
        <f t="shared" si="52"/>
        <v>.</v>
      </c>
      <c r="GS31" s="558" t="str">
        <f t="shared" si="52"/>
        <v>.</v>
      </c>
      <c r="GT31" s="558" t="str">
        <f t="shared" si="52"/>
        <v>.</v>
      </c>
      <c r="GU31" s="558" t="str">
        <f t="shared" si="52"/>
        <v>.</v>
      </c>
      <c r="GV31" s="558" t="str">
        <f t="shared" si="53"/>
        <v>.</v>
      </c>
      <c r="GW31" s="558" t="str">
        <f t="shared" si="53"/>
        <v>.</v>
      </c>
      <c r="GX31" s="558" t="str">
        <f t="shared" si="53"/>
        <v>.</v>
      </c>
      <c r="GY31" s="558" t="str">
        <f t="shared" si="53"/>
        <v>.</v>
      </c>
      <c r="GZ31" s="558" t="str">
        <f t="shared" si="53"/>
        <v>.</v>
      </c>
      <c r="HA31" s="558" t="str">
        <f t="shared" si="53"/>
        <v>.</v>
      </c>
      <c r="HB31" s="558" t="str">
        <f t="shared" si="53"/>
        <v>.</v>
      </c>
      <c r="HC31" s="558" t="str">
        <f t="shared" si="53"/>
        <v>.</v>
      </c>
      <c r="HD31" s="558" t="str">
        <f t="shared" si="53"/>
        <v>.</v>
      </c>
      <c r="HE31" s="558" t="str">
        <f t="shared" si="53"/>
        <v>.</v>
      </c>
      <c r="HF31" s="558" t="str">
        <f t="shared" si="53"/>
        <v>.</v>
      </c>
      <c r="HG31" s="558" t="str">
        <f t="shared" si="53"/>
        <v>.</v>
      </c>
      <c r="HH31" s="558" t="str">
        <f t="shared" si="53"/>
        <v>.</v>
      </c>
      <c r="HI31" s="558" t="str">
        <f t="shared" si="53"/>
        <v>.</v>
      </c>
      <c r="HJ31" s="558" t="str">
        <f t="shared" si="53"/>
        <v>.</v>
      </c>
      <c r="HK31" s="558" t="str">
        <f t="shared" si="53"/>
        <v>.</v>
      </c>
      <c r="HL31" s="558" t="str">
        <f t="shared" si="54"/>
        <v>.</v>
      </c>
      <c r="HM31" s="558" t="str">
        <f t="shared" si="54"/>
        <v>.</v>
      </c>
      <c r="HN31" s="558" t="str">
        <f t="shared" si="54"/>
        <v>.</v>
      </c>
      <c r="HO31" s="558" t="str">
        <f t="shared" si="54"/>
        <v>.</v>
      </c>
      <c r="HP31" s="558" t="str">
        <f t="shared" si="54"/>
        <v>.</v>
      </c>
      <c r="HQ31" s="558" t="str">
        <f t="shared" si="54"/>
        <v>.</v>
      </c>
      <c r="HR31" s="558" t="str">
        <f t="shared" si="54"/>
        <v>.</v>
      </c>
      <c r="HS31" s="558" t="str">
        <f t="shared" si="54"/>
        <v>.</v>
      </c>
      <c r="HT31" s="558" t="str">
        <f t="shared" si="54"/>
        <v>.</v>
      </c>
      <c r="HU31" s="558" t="str">
        <f t="shared" si="54"/>
        <v>.</v>
      </c>
      <c r="HV31" s="558" t="str">
        <f t="shared" si="54"/>
        <v>.</v>
      </c>
      <c r="HW31" s="558" t="str">
        <f t="shared" si="54"/>
        <v>.</v>
      </c>
      <c r="HX31" s="558" t="str">
        <f t="shared" si="54"/>
        <v>.</v>
      </c>
      <c r="HY31" s="558" t="str">
        <f t="shared" si="54"/>
        <v>.</v>
      </c>
      <c r="HZ31" s="558" t="str">
        <f t="shared" si="54"/>
        <v>.</v>
      </c>
      <c r="IA31" s="558" t="str">
        <f t="shared" si="54"/>
        <v>.</v>
      </c>
      <c r="IB31" s="558" t="str">
        <f t="shared" si="54"/>
        <v>.</v>
      </c>
      <c r="IC31" s="558" t="str">
        <f t="shared" si="54"/>
        <v>.</v>
      </c>
      <c r="ID31" s="558" t="str">
        <f t="shared" ref="ID31:IN33" si="63" xml:space="preserve"> IF(  OR( ID$18&gt;$FK31, $FK31&gt;$FP$12 ),  LEER,  ROUND( $FO$19 * ( $FL31 - ID$15 * $FM31 ), ID$17 )  )</f>
        <v>.</v>
      </c>
      <c r="IE31" s="558" t="str">
        <f t="shared" si="63"/>
        <v>.</v>
      </c>
      <c r="IF31" s="558" t="str">
        <f t="shared" si="63"/>
        <v>.</v>
      </c>
      <c r="IG31" s="558" t="str">
        <f t="shared" si="63"/>
        <v>.</v>
      </c>
      <c r="IH31" s="558" t="str">
        <f t="shared" si="63"/>
        <v>.</v>
      </c>
      <c r="II31" s="558" t="str">
        <f t="shared" si="63"/>
        <v>.</v>
      </c>
      <c r="IJ31" s="558" t="str">
        <f t="shared" si="63"/>
        <v>.</v>
      </c>
      <c r="IK31" s="558" t="str">
        <f t="shared" si="63"/>
        <v>.</v>
      </c>
      <c r="IL31" s="558" t="str">
        <f t="shared" si="63"/>
        <v>.</v>
      </c>
      <c r="IM31" s="558" t="str">
        <f t="shared" si="63"/>
        <v>.</v>
      </c>
      <c r="IN31" s="558" t="str">
        <f t="shared" si="63"/>
        <v>.</v>
      </c>
      <c r="IO31" s="558" t="str">
        <f t="shared" si="62"/>
        <v>.</v>
      </c>
      <c r="IP31" s="558" t="str">
        <f t="shared" si="62"/>
        <v>.</v>
      </c>
      <c r="IQ31" s="558" t="str">
        <f t="shared" si="62"/>
        <v>.</v>
      </c>
      <c r="IR31" s="558" t="str">
        <f t="shared" si="62"/>
        <v>.</v>
      </c>
      <c r="IS31" s="558" t="str">
        <f t="shared" si="62"/>
        <v>.</v>
      </c>
      <c r="IT31" s="558" t="str">
        <f t="shared" si="62"/>
        <v>.</v>
      </c>
      <c r="IU31" s="558" t="str">
        <f t="shared" si="62"/>
        <v>.</v>
      </c>
      <c r="IV31" s="558" t="str">
        <f t="shared" si="62"/>
        <v>.</v>
      </c>
      <c r="IW31" s="558" t="str">
        <f t="shared" si="62"/>
        <v>.</v>
      </c>
      <c r="IX31" s="558" t="str">
        <f t="shared" si="62"/>
        <v>.</v>
      </c>
      <c r="IY31" s="558" t="str">
        <f t="shared" si="62"/>
        <v>.</v>
      </c>
      <c r="IZ31" s="558" t="str">
        <f t="shared" si="62"/>
        <v>.</v>
      </c>
      <c r="JA31" s="558" t="str">
        <f t="shared" si="62"/>
        <v>.</v>
      </c>
      <c r="JB31" s="558" t="str">
        <f t="shared" si="62"/>
        <v>.</v>
      </c>
      <c r="JC31" s="558" t="str">
        <f t="shared" si="62"/>
        <v>.</v>
      </c>
      <c r="JD31" s="558" t="str">
        <f t="shared" si="62"/>
        <v>.</v>
      </c>
      <c r="JE31" s="558" t="str">
        <f t="shared" si="62"/>
        <v>.</v>
      </c>
      <c r="JF31" s="558" t="str">
        <f t="shared" si="62"/>
        <v>.</v>
      </c>
      <c r="JG31" s="558" t="str">
        <f t="shared" si="62"/>
        <v>.</v>
      </c>
      <c r="JH31" s="558" t="str">
        <f t="shared" si="56"/>
        <v>.</v>
      </c>
      <c r="JI31" s="558" t="str">
        <f t="shared" si="56"/>
        <v>.</v>
      </c>
      <c r="JJ31" s="558" t="str">
        <f t="shared" si="56"/>
        <v>.</v>
      </c>
      <c r="JK31" s="558" t="str">
        <f t="shared" si="56"/>
        <v>.</v>
      </c>
      <c r="JL31" s="558" t="str">
        <f t="shared" si="56"/>
        <v>.</v>
      </c>
    </row>
    <row r="32" spans="1:272" ht="10.199999999999999" x14ac:dyDescent="0.2">
      <c r="A32" s="534">
        <f xml:space="preserve"> Basis!A32</f>
        <v>32</v>
      </c>
      <c r="F32" s="536">
        <f xml:space="preserve"> ROUND(    IF( $A$15=BE_MF_,   AW32,   INDEX( qx!32:32, F$16 ) ),    F$17    )</f>
        <v>2.9999999999999997E-4</v>
      </c>
      <c r="G32" s="536">
        <f xml:space="preserve"> ROUND(    IF( $A$15=BE_MF_,   BB32,   INDEX( wx!32:32, G$16 ) ),    G$17    )</f>
        <v>6.2600000000000003E-2</v>
      </c>
      <c r="H32" s="537">
        <f xml:space="preserve"> ROUND(    IF( $A$15=BE_MF_,   BG32,   INDEX( Kx!32:32, H$16 ) ),    H$17    )</f>
        <v>1898.53</v>
      </c>
      <c r="I32" s="538">
        <f t="shared" si="57"/>
        <v>1898.53</v>
      </c>
      <c r="J32" s="539">
        <f t="shared" si="17"/>
        <v>0.91400000000000003</v>
      </c>
      <c r="K32" s="540">
        <f t="shared" si="58"/>
        <v>2</v>
      </c>
      <c r="L32" s="541">
        <f t="shared" si="18"/>
        <v>0</v>
      </c>
      <c r="M32" s="541">
        <f t="shared" si="18"/>
        <v>8.5999999999999993E-2</v>
      </c>
      <c r="O32" s="542" t="b">
        <f t="shared" si="59"/>
        <v>1</v>
      </c>
      <c r="P32" s="493">
        <f t="shared" si="19"/>
        <v>6.2899999999999998E-2</v>
      </c>
      <c r="Q32" s="493">
        <f t="shared" si="20"/>
        <v>0.93710000000000004</v>
      </c>
      <c r="R32" s="543">
        <f t="shared" si="21"/>
        <v>1295228</v>
      </c>
      <c r="S32" s="544">
        <f t="shared" si="22"/>
        <v>0.97560975599999999</v>
      </c>
      <c r="T32" s="423">
        <f t="shared" si="23"/>
        <v>587736.31999999995</v>
      </c>
      <c r="U32" s="423">
        <f xml:space="preserve"> IF( $O32,    ROUND(  SUM( T32:T$120), U$17 ),  LEER  )</f>
        <v>10089295.74</v>
      </c>
      <c r="V32" s="493">
        <f t="shared" si="24"/>
        <v>17.166399999999999</v>
      </c>
      <c r="W32" s="493">
        <f t="shared" si="25"/>
        <v>537191</v>
      </c>
      <c r="X32" s="493">
        <f xml:space="preserve"> IF( $O32,    ROUND(  SUM( W32:W$120), X$17 ),  LEER  )</f>
        <v>17196407.18</v>
      </c>
      <c r="Y32" s="493">
        <f t="shared" si="26"/>
        <v>29.258700000000001</v>
      </c>
      <c r="Z32" s="493">
        <f t="shared" si="27"/>
        <v>1.7043999999999999</v>
      </c>
      <c r="AA32" s="493">
        <f t="shared" si="28"/>
        <v>1.0106999999999999</v>
      </c>
      <c r="AB32" s="493">
        <f t="shared" si="29"/>
        <v>2.3494000000000002</v>
      </c>
      <c r="AC32" s="545">
        <f t="shared" si="30"/>
        <v>0.38600000000000001</v>
      </c>
      <c r="AD32" s="493">
        <f t="shared" si="31"/>
        <v>1.7267999999999999</v>
      </c>
      <c r="AE32" s="493">
        <f t="shared" si="32"/>
        <v>2.3115999999999999</v>
      </c>
      <c r="AF32" s="493">
        <f t="shared" si="33"/>
        <v>2.3115999999999999</v>
      </c>
      <c r="AG32" s="493" t="str">
        <f t="shared" si="34"/>
        <v>.</v>
      </c>
      <c r="AH32" s="493" t="str">
        <f t="shared" si="35"/>
        <v>.</v>
      </c>
      <c r="AI32" s="423">
        <f t="shared" si="36"/>
        <v>2077.79</v>
      </c>
      <c r="AJ32" s="423">
        <f t="shared" si="37"/>
        <v>4803.0200000000004</v>
      </c>
      <c r="AK32" s="423">
        <f t="shared" si="38"/>
        <v>400.25</v>
      </c>
      <c r="AN32" s="423" t="str">
        <f t="shared" si="39"/>
        <v>.</v>
      </c>
      <c r="AO32" s="423" t="str">
        <f t="shared" si="39"/>
        <v>.</v>
      </c>
      <c r="AR32" s="546">
        <f xml:space="preserve"> ROUND(  INDEX( Kx!32:32, AR$16 ),  AR$17 )</f>
        <v>0.75480000000000003</v>
      </c>
      <c r="AS32" s="547">
        <f xml:space="preserve"> ROUND(  INDEX( qx!32:32, AS$16 ),  AS$17 )</f>
        <v>2.9999999999999997E-4</v>
      </c>
      <c r="AT32" s="547">
        <f xml:space="preserve"> ROUND(  INDEX( qx!32:32, AT$16 ),  AT$17 )</f>
        <v>2.0000000000000001E-4</v>
      </c>
      <c r="AU32" s="548" t="str">
        <f t="shared" si="40"/>
        <v>F</v>
      </c>
      <c r="AV32" s="542">
        <f t="shared" si="41"/>
        <v>0.6724</v>
      </c>
      <c r="AW32" s="542">
        <f t="shared" si="42"/>
        <v>2.9999999999999997E-4</v>
      </c>
      <c r="AX32" s="546">
        <f xml:space="preserve"> ROUND(  INDEX( wx!32:32, AX$16 ),  AX$17 )</f>
        <v>5.8999999999999997E-2</v>
      </c>
      <c r="AY32" s="546">
        <f xml:space="preserve"> ROUND(  INDEX( wx!32:32, AY$16 ),  AY$17 )</f>
        <v>7.9399999999999998E-2</v>
      </c>
      <c r="AZ32" s="548" t="str">
        <f t="shared" si="43"/>
        <v>M</v>
      </c>
      <c r="BA32" s="542">
        <f t="shared" si="44"/>
        <v>0.82199999999999995</v>
      </c>
      <c r="BB32" s="542">
        <f t="shared" si="45"/>
        <v>6.2600000000000003E-2</v>
      </c>
      <c r="BC32" s="533">
        <f xml:space="preserve"> ROUND(  INDEX( Kx!32:32, BC$16 ),  BC$17 )</f>
        <v>1369.93</v>
      </c>
      <c r="BD32" s="533">
        <f xml:space="preserve"> ROUND(  INDEX( Kx!32:32, BD$16 ),  BD$17 )</f>
        <v>2983.48</v>
      </c>
      <c r="BE32" s="548" t="str">
        <f t="shared" si="60"/>
        <v>F</v>
      </c>
      <c r="BF32" s="542">
        <f t="shared" si="46"/>
        <v>0.6724</v>
      </c>
      <c r="BG32" s="420">
        <f t="shared" si="47"/>
        <v>1898.53</v>
      </c>
      <c r="BQ32" s="549"/>
      <c r="BR32" s="423"/>
      <c r="BS32" s="550"/>
      <c r="BT32" s="423"/>
      <c r="BU32" s="551"/>
      <c r="BV32" s="551"/>
      <c r="BW32" s="529"/>
      <c r="BX32" s="552"/>
      <c r="BY32" s="559"/>
      <c r="BZ32" s="559"/>
      <c r="CB32" s="423"/>
      <c r="CC32" s="423"/>
      <c r="CD32" s="423"/>
      <c r="CE32" s="423"/>
      <c r="CF32" s="553"/>
      <c r="CH32" s="423"/>
      <c r="CI32" s="423"/>
      <c r="CJ32" s="423"/>
      <c r="CK32" s="423"/>
      <c r="CL32" s="553"/>
      <c r="CN32" s="423"/>
      <c r="CO32" s="423"/>
      <c r="CP32" s="423"/>
      <c r="CQ32" s="423"/>
      <c r="CR32" s="553"/>
      <c r="DO32" s="385"/>
      <c r="DP32" s="385"/>
      <c r="DQ32" s="385"/>
      <c r="EI32" s="553"/>
      <c r="EJ32" s="553"/>
      <c r="EK32" s="423"/>
      <c r="EL32" s="555"/>
      <c r="ES32" s="533"/>
      <c r="ET32" s="533"/>
      <c r="EU32" s="533"/>
      <c r="EV32" s="556"/>
      <c r="EY32" s="533"/>
      <c r="EZ32" s="533"/>
      <c r="FA32" s="556"/>
      <c r="FD32" s="556"/>
      <c r="FE32" s="556"/>
      <c r="FF32" s="556"/>
      <c r="FK32" s="557">
        <f t="shared" si="48"/>
        <v>32</v>
      </c>
      <c r="FL32" s="493">
        <f t="shared" si="49"/>
        <v>29.258700000000001</v>
      </c>
      <c r="FM32" s="493">
        <f t="shared" si="50"/>
        <v>17.166399999999999</v>
      </c>
      <c r="FO32" s="427">
        <f t="shared" si="61"/>
        <v>115558.40000000001</v>
      </c>
      <c r="FP32" s="558">
        <f t="shared" si="51"/>
        <v>17977.36</v>
      </c>
      <c r="FQ32" s="558">
        <f t="shared" si="51"/>
        <v>16532.8</v>
      </c>
      <c r="FR32" s="558">
        <f t="shared" si="51"/>
        <v>15084.67</v>
      </c>
      <c r="FS32" s="558">
        <f t="shared" si="51"/>
        <v>13636.54</v>
      </c>
      <c r="FT32" s="558">
        <f t="shared" si="51"/>
        <v>12138.48</v>
      </c>
      <c r="FU32" s="558">
        <f t="shared" si="51"/>
        <v>10597.61</v>
      </c>
      <c r="FV32" s="558">
        <f t="shared" si="51"/>
        <v>9071.01</v>
      </c>
      <c r="FW32" s="558">
        <f t="shared" si="51"/>
        <v>7533.72</v>
      </c>
      <c r="FX32" s="558">
        <f t="shared" si="51"/>
        <v>5942.92</v>
      </c>
      <c r="FY32" s="558">
        <f t="shared" si="51"/>
        <v>4287.91</v>
      </c>
      <c r="FZ32" s="558">
        <f t="shared" si="51"/>
        <v>2622.21</v>
      </c>
      <c r="GA32" s="558">
        <f t="shared" si="51"/>
        <v>931.54</v>
      </c>
      <c r="GB32" s="558">
        <f t="shared" si="51"/>
        <v>-798.37</v>
      </c>
      <c r="GC32" s="558" t="str">
        <f t="shared" si="51"/>
        <v>.</v>
      </c>
      <c r="GD32" s="558" t="str">
        <f t="shared" si="51"/>
        <v>.</v>
      </c>
      <c r="GE32" s="558" t="str">
        <f t="shared" si="51"/>
        <v>.</v>
      </c>
      <c r="GF32" s="558" t="str">
        <f t="shared" si="52"/>
        <v>.</v>
      </c>
      <c r="GG32" s="558" t="str">
        <f t="shared" si="52"/>
        <v>.</v>
      </c>
      <c r="GH32" s="558" t="str">
        <f t="shared" si="52"/>
        <v>.</v>
      </c>
      <c r="GI32" s="558" t="str">
        <f t="shared" si="52"/>
        <v>.</v>
      </c>
      <c r="GJ32" s="558" t="str">
        <f t="shared" si="52"/>
        <v>.</v>
      </c>
      <c r="GK32" s="558" t="str">
        <f t="shared" si="52"/>
        <v>.</v>
      </c>
      <c r="GL32" s="558" t="str">
        <f t="shared" si="52"/>
        <v>.</v>
      </c>
      <c r="GM32" s="558" t="str">
        <f t="shared" si="52"/>
        <v>.</v>
      </c>
      <c r="GN32" s="558" t="str">
        <f t="shared" si="52"/>
        <v>.</v>
      </c>
      <c r="GO32" s="558" t="str">
        <f t="shared" si="52"/>
        <v>.</v>
      </c>
      <c r="GP32" s="558" t="str">
        <f t="shared" si="52"/>
        <v>.</v>
      </c>
      <c r="GQ32" s="558" t="str">
        <f t="shared" si="52"/>
        <v>.</v>
      </c>
      <c r="GR32" s="558" t="str">
        <f t="shared" si="52"/>
        <v>.</v>
      </c>
      <c r="GS32" s="558" t="str">
        <f t="shared" si="52"/>
        <v>.</v>
      </c>
      <c r="GT32" s="558" t="str">
        <f t="shared" si="52"/>
        <v>.</v>
      </c>
      <c r="GU32" s="558" t="str">
        <f t="shared" si="52"/>
        <v>.</v>
      </c>
      <c r="GV32" s="558" t="str">
        <f t="shared" si="53"/>
        <v>.</v>
      </c>
      <c r="GW32" s="558" t="str">
        <f t="shared" si="53"/>
        <v>.</v>
      </c>
      <c r="GX32" s="558" t="str">
        <f t="shared" si="53"/>
        <v>.</v>
      </c>
      <c r="GY32" s="558" t="str">
        <f t="shared" si="53"/>
        <v>.</v>
      </c>
      <c r="GZ32" s="558" t="str">
        <f t="shared" si="53"/>
        <v>.</v>
      </c>
      <c r="HA32" s="558" t="str">
        <f t="shared" si="53"/>
        <v>.</v>
      </c>
      <c r="HB32" s="558" t="str">
        <f t="shared" si="53"/>
        <v>.</v>
      </c>
      <c r="HC32" s="558" t="str">
        <f t="shared" si="53"/>
        <v>.</v>
      </c>
      <c r="HD32" s="558" t="str">
        <f t="shared" si="53"/>
        <v>.</v>
      </c>
      <c r="HE32" s="558" t="str">
        <f t="shared" si="53"/>
        <v>.</v>
      </c>
      <c r="HF32" s="558" t="str">
        <f t="shared" si="53"/>
        <v>.</v>
      </c>
      <c r="HG32" s="558" t="str">
        <f t="shared" si="53"/>
        <v>.</v>
      </c>
      <c r="HH32" s="558" t="str">
        <f t="shared" si="53"/>
        <v>.</v>
      </c>
      <c r="HI32" s="558" t="str">
        <f t="shared" si="53"/>
        <v>.</v>
      </c>
      <c r="HJ32" s="558" t="str">
        <f t="shared" si="53"/>
        <v>.</v>
      </c>
      <c r="HK32" s="558" t="str">
        <f t="shared" si="53"/>
        <v>.</v>
      </c>
      <c r="HL32" s="558" t="str">
        <f t="shared" si="54"/>
        <v>.</v>
      </c>
      <c r="HM32" s="558" t="str">
        <f t="shared" si="54"/>
        <v>.</v>
      </c>
      <c r="HN32" s="558" t="str">
        <f t="shared" si="54"/>
        <v>.</v>
      </c>
      <c r="HO32" s="558" t="str">
        <f t="shared" si="54"/>
        <v>.</v>
      </c>
      <c r="HP32" s="558" t="str">
        <f t="shared" si="54"/>
        <v>.</v>
      </c>
      <c r="HQ32" s="558" t="str">
        <f t="shared" si="54"/>
        <v>.</v>
      </c>
      <c r="HR32" s="558" t="str">
        <f t="shared" si="54"/>
        <v>.</v>
      </c>
      <c r="HS32" s="558" t="str">
        <f t="shared" si="54"/>
        <v>.</v>
      </c>
      <c r="HT32" s="558" t="str">
        <f t="shared" si="54"/>
        <v>.</v>
      </c>
      <c r="HU32" s="558" t="str">
        <f t="shared" si="54"/>
        <v>.</v>
      </c>
      <c r="HV32" s="558" t="str">
        <f t="shared" si="54"/>
        <v>.</v>
      </c>
      <c r="HW32" s="558" t="str">
        <f t="shared" si="54"/>
        <v>.</v>
      </c>
      <c r="HX32" s="558" t="str">
        <f t="shared" si="54"/>
        <v>.</v>
      </c>
      <c r="HY32" s="558" t="str">
        <f t="shared" si="54"/>
        <v>.</v>
      </c>
      <c r="HZ32" s="558" t="str">
        <f t="shared" si="54"/>
        <v>.</v>
      </c>
      <c r="IA32" s="558" t="str">
        <f t="shared" si="54"/>
        <v>.</v>
      </c>
      <c r="IB32" s="558" t="str">
        <f t="shared" si="54"/>
        <v>.</v>
      </c>
      <c r="IC32" s="558" t="str">
        <f t="shared" si="54"/>
        <v>.</v>
      </c>
      <c r="ID32" s="558" t="str">
        <f t="shared" si="63"/>
        <v>.</v>
      </c>
      <c r="IE32" s="558" t="str">
        <f t="shared" si="63"/>
        <v>.</v>
      </c>
      <c r="IF32" s="558" t="str">
        <f t="shared" si="63"/>
        <v>.</v>
      </c>
      <c r="IG32" s="558" t="str">
        <f t="shared" si="63"/>
        <v>.</v>
      </c>
      <c r="IH32" s="558" t="str">
        <f t="shared" si="63"/>
        <v>.</v>
      </c>
      <c r="II32" s="558" t="str">
        <f t="shared" si="63"/>
        <v>.</v>
      </c>
      <c r="IJ32" s="558" t="str">
        <f t="shared" si="63"/>
        <v>.</v>
      </c>
      <c r="IK32" s="558" t="str">
        <f t="shared" si="63"/>
        <v>.</v>
      </c>
      <c r="IL32" s="558" t="str">
        <f t="shared" si="63"/>
        <v>.</v>
      </c>
      <c r="IM32" s="558" t="str">
        <f t="shared" si="63"/>
        <v>.</v>
      </c>
      <c r="IN32" s="558" t="str">
        <f t="shared" si="63"/>
        <v>.</v>
      </c>
      <c r="IO32" s="558" t="str">
        <f t="shared" si="62"/>
        <v>.</v>
      </c>
      <c r="IP32" s="558" t="str">
        <f t="shared" si="62"/>
        <v>.</v>
      </c>
      <c r="IQ32" s="558" t="str">
        <f t="shared" si="62"/>
        <v>.</v>
      </c>
      <c r="IR32" s="558" t="str">
        <f t="shared" si="62"/>
        <v>.</v>
      </c>
      <c r="IS32" s="558" t="str">
        <f t="shared" si="62"/>
        <v>.</v>
      </c>
      <c r="IT32" s="558" t="str">
        <f t="shared" si="62"/>
        <v>.</v>
      </c>
      <c r="IU32" s="558" t="str">
        <f t="shared" si="62"/>
        <v>.</v>
      </c>
      <c r="IV32" s="558" t="str">
        <f t="shared" si="62"/>
        <v>.</v>
      </c>
      <c r="IW32" s="558" t="str">
        <f t="shared" si="62"/>
        <v>.</v>
      </c>
      <c r="IX32" s="558" t="str">
        <f t="shared" si="62"/>
        <v>.</v>
      </c>
      <c r="IY32" s="558" t="str">
        <f t="shared" si="62"/>
        <v>.</v>
      </c>
      <c r="IZ32" s="558" t="str">
        <f t="shared" si="62"/>
        <v>.</v>
      </c>
      <c r="JA32" s="558" t="str">
        <f t="shared" si="62"/>
        <v>.</v>
      </c>
      <c r="JB32" s="558" t="str">
        <f t="shared" si="62"/>
        <v>.</v>
      </c>
      <c r="JC32" s="558" t="str">
        <f t="shared" si="62"/>
        <v>.</v>
      </c>
      <c r="JD32" s="558" t="str">
        <f t="shared" si="62"/>
        <v>.</v>
      </c>
      <c r="JE32" s="558" t="str">
        <f t="shared" si="62"/>
        <v>.</v>
      </c>
      <c r="JF32" s="558" t="str">
        <f t="shared" si="62"/>
        <v>.</v>
      </c>
      <c r="JG32" s="558" t="str">
        <f t="shared" si="62"/>
        <v>.</v>
      </c>
      <c r="JH32" s="558" t="str">
        <f t="shared" si="56"/>
        <v>.</v>
      </c>
      <c r="JI32" s="558" t="str">
        <f t="shared" si="56"/>
        <v>.</v>
      </c>
      <c r="JJ32" s="558" t="str">
        <f t="shared" si="56"/>
        <v>.</v>
      </c>
      <c r="JK32" s="558" t="str">
        <f t="shared" si="56"/>
        <v>.</v>
      </c>
      <c r="JL32" s="558" t="str">
        <f t="shared" si="56"/>
        <v>.</v>
      </c>
    </row>
    <row r="33" spans="1:272" ht="10.199999999999999" x14ac:dyDescent="0.2">
      <c r="A33" s="534">
        <f xml:space="preserve"> Basis!A33</f>
        <v>33</v>
      </c>
      <c r="F33" s="536">
        <f xml:space="preserve"> ROUND(    IF( $A$15=BE_MF_,   AW33,   INDEX( qx!33:33, F$16 ) ),    F$17    )</f>
        <v>2.9999999999999997E-4</v>
      </c>
      <c r="G33" s="536">
        <f xml:space="preserve"> ROUND(    IF( $A$15=BE_MF_,   BB33,   INDEX( wx!33:33, G$16 ) ),    G$17    )</f>
        <v>5.7299999999999997E-2</v>
      </c>
      <c r="H33" s="537">
        <f xml:space="preserve"> ROUND(    IF( $A$15=BE_MF_,   BG33,   INDEX( Kx!33:33, H$16 ) ),    H$17    )</f>
        <v>1907.67</v>
      </c>
      <c r="I33" s="538">
        <f t="shared" si="57"/>
        <v>1907.67</v>
      </c>
      <c r="J33" s="539">
        <f t="shared" si="17"/>
        <v>0.91800000000000004</v>
      </c>
      <c r="K33" s="540">
        <f t="shared" si="58"/>
        <v>2</v>
      </c>
      <c r="L33" s="541">
        <f t="shared" si="18"/>
        <v>0</v>
      </c>
      <c r="M33" s="541">
        <f t="shared" si="18"/>
        <v>8.5999999999999993E-2</v>
      </c>
      <c r="O33" s="542" t="b">
        <f t="shared" si="59"/>
        <v>1</v>
      </c>
      <c r="P33" s="493">
        <f t="shared" si="19"/>
        <v>5.7599999999999998E-2</v>
      </c>
      <c r="Q33" s="493">
        <f t="shared" si="20"/>
        <v>0.94240000000000002</v>
      </c>
      <c r="R33" s="543">
        <f t="shared" si="21"/>
        <v>1213758</v>
      </c>
      <c r="S33" s="544">
        <f t="shared" si="22"/>
        <v>0.97560975599999999</v>
      </c>
      <c r="T33" s="423">
        <f t="shared" si="23"/>
        <v>537334.28</v>
      </c>
      <c r="U33" s="423">
        <f xml:space="preserve"> IF( $O33,    ROUND(  SUM( T33:T$120), U$17 ),  LEER  )</f>
        <v>9501559.4199999999</v>
      </c>
      <c r="V33" s="493">
        <f t="shared" si="24"/>
        <v>17.6828</v>
      </c>
      <c r="W33" s="493">
        <f t="shared" si="25"/>
        <v>493272.87</v>
      </c>
      <c r="X33" s="493">
        <f xml:space="preserve"> IF( $O33,    ROUND(  SUM( W33:W$120), X$17 ),  LEER  )</f>
        <v>16659216.18</v>
      </c>
      <c r="Y33" s="493">
        <f t="shared" si="26"/>
        <v>31.003399999999999</v>
      </c>
      <c r="Z33" s="493">
        <f t="shared" si="27"/>
        <v>1.7533000000000001</v>
      </c>
      <c r="AA33" s="493">
        <f t="shared" si="28"/>
        <v>1.0104</v>
      </c>
      <c r="AB33" s="493">
        <f t="shared" si="29"/>
        <v>2.3494000000000002</v>
      </c>
      <c r="AC33" s="545">
        <f t="shared" si="30"/>
        <v>0.38600000000000001</v>
      </c>
      <c r="AD33" s="493">
        <f t="shared" si="31"/>
        <v>1.7755000000000001</v>
      </c>
      <c r="AE33" s="493">
        <f t="shared" si="32"/>
        <v>2.3649</v>
      </c>
      <c r="AF33" s="493">
        <f t="shared" si="33"/>
        <v>2.3649</v>
      </c>
      <c r="AG33" s="493" t="str">
        <f t="shared" si="34"/>
        <v>.</v>
      </c>
      <c r="AH33" s="493" t="str">
        <f t="shared" si="35"/>
        <v>.</v>
      </c>
      <c r="AI33" s="423">
        <f t="shared" si="36"/>
        <v>2077.79</v>
      </c>
      <c r="AJ33" s="423">
        <f t="shared" si="37"/>
        <v>4913.7700000000004</v>
      </c>
      <c r="AK33" s="423">
        <f t="shared" si="38"/>
        <v>409.48</v>
      </c>
      <c r="AN33" s="423" t="str">
        <f t="shared" si="39"/>
        <v>.</v>
      </c>
      <c r="AO33" s="423" t="str">
        <f t="shared" si="39"/>
        <v>.</v>
      </c>
      <c r="AR33" s="546">
        <f xml:space="preserve"> ROUND(  INDEX( Kx!33:33, AR$16 ),  AR$17 )</f>
        <v>0.76600000000000001</v>
      </c>
      <c r="AS33" s="547">
        <f xml:space="preserve"> ROUND(  INDEX( qx!33:33, AS$16 ),  AS$17 )</f>
        <v>2.9999999999999997E-4</v>
      </c>
      <c r="AT33" s="547">
        <f xml:space="preserve"> ROUND(  INDEX( qx!33:33, AT$16 ),  AT$17 )</f>
        <v>2.0000000000000001E-4</v>
      </c>
      <c r="AU33" s="548" t="str">
        <f t="shared" si="40"/>
        <v>F</v>
      </c>
      <c r="AV33" s="542">
        <f t="shared" si="41"/>
        <v>0.68579999999999997</v>
      </c>
      <c r="AW33" s="542">
        <f t="shared" si="42"/>
        <v>2.9999999999999997E-4</v>
      </c>
      <c r="AX33" s="546">
        <f xml:space="preserve"> ROUND(  INDEX( wx!33:33, AX$16 ),  AX$17 )</f>
        <v>5.3900000000000003E-2</v>
      </c>
      <c r="AY33" s="546">
        <f xml:space="preserve"> ROUND(  INDEX( wx!33:33, AY$16 ),  AY$17 )</f>
        <v>7.3899999999999993E-2</v>
      </c>
      <c r="AZ33" s="548" t="str">
        <f t="shared" si="43"/>
        <v>M</v>
      </c>
      <c r="BA33" s="542">
        <f t="shared" si="44"/>
        <v>0.83079999999999998</v>
      </c>
      <c r="BB33" s="542">
        <f t="shared" si="45"/>
        <v>5.7299999999999997E-2</v>
      </c>
      <c r="BC33" s="533">
        <f xml:space="preserve"> ROUND(  INDEX( Kx!33:33, BC$16 ),  BC$17 )</f>
        <v>1386.47</v>
      </c>
      <c r="BD33" s="533">
        <f xml:space="preserve"> ROUND(  INDEX( Kx!33:33, BD$16 ),  BD$17 )</f>
        <v>3045.28</v>
      </c>
      <c r="BE33" s="548" t="str">
        <f t="shared" si="60"/>
        <v>F</v>
      </c>
      <c r="BF33" s="542">
        <f t="shared" si="46"/>
        <v>0.68579999999999997</v>
      </c>
      <c r="BG33" s="420">
        <f t="shared" si="47"/>
        <v>1907.67</v>
      </c>
      <c r="BQ33" s="549"/>
      <c r="BR33" s="423"/>
      <c r="BS33" s="550"/>
      <c r="BT33" s="423"/>
      <c r="BU33" s="551"/>
      <c r="BV33" s="551"/>
      <c r="BW33" s="529"/>
      <c r="BX33" s="552"/>
      <c r="BY33" s="559"/>
      <c r="BZ33" s="559"/>
      <c r="CB33" s="423"/>
      <c r="CC33" s="423"/>
      <c r="CD33" s="423"/>
      <c r="CE33" s="423"/>
      <c r="CF33" s="553"/>
      <c r="CH33" s="423"/>
      <c r="CI33" s="423"/>
      <c r="CJ33" s="423"/>
      <c r="CK33" s="423"/>
      <c r="CL33" s="553"/>
      <c r="CN33" s="423"/>
      <c r="CO33" s="423"/>
      <c r="CP33" s="423"/>
      <c r="CQ33" s="423"/>
      <c r="CR33" s="553"/>
      <c r="DO33" s="385"/>
      <c r="DP33" s="385"/>
      <c r="DQ33" s="385"/>
      <c r="EI33" s="553"/>
      <c r="EJ33" s="553"/>
      <c r="EK33" s="423"/>
      <c r="EL33" s="555"/>
      <c r="ES33" s="533"/>
      <c r="ET33" s="533"/>
      <c r="EU33" s="533"/>
      <c r="EV33" s="556"/>
      <c r="EY33" s="533"/>
      <c r="EZ33" s="533"/>
      <c r="FA33" s="556"/>
      <c r="FD33" s="556"/>
      <c r="FE33" s="556"/>
      <c r="FF33" s="556"/>
      <c r="FK33" s="557">
        <f t="shared" si="48"/>
        <v>33</v>
      </c>
      <c r="FL33" s="493">
        <f t="shared" si="49"/>
        <v>31.003399999999999</v>
      </c>
      <c r="FM33" s="493">
        <f t="shared" si="50"/>
        <v>17.6828</v>
      </c>
      <c r="FO33" s="427">
        <f t="shared" si="61"/>
        <v>141571.58000000005</v>
      </c>
      <c r="FP33" s="558">
        <f t="shared" si="51"/>
        <v>20314.48</v>
      </c>
      <c r="FQ33" s="558">
        <f t="shared" si="51"/>
        <v>18826.47</v>
      </c>
      <c r="FR33" s="558">
        <f t="shared" si="51"/>
        <v>17334.78</v>
      </c>
      <c r="FS33" s="558">
        <f t="shared" si="51"/>
        <v>15843.09</v>
      </c>
      <c r="FT33" s="558">
        <f t="shared" si="51"/>
        <v>14299.96</v>
      </c>
      <c r="FU33" s="558">
        <f t="shared" si="51"/>
        <v>12712.74</v>
      </c>
      <c r="FV33" s="558">
        <f t="shared" si="51"/>
        <v>11140.22</v>
      </c>
      <c r="FW33" s="558">
        <f t="shared" si="51"/>
        <v>9556.68</v>
      </c>
      <c r="FX33" s="558">
        <f t="shared" si="51"/>
        <v>7918.02</v>
      </c>
      <c r="FY33" s="558">
        <f t="shared" si="51"/>
        <v>6213.23</v>
      </c>
      <c r="FZ33" s="558">
        <f t="shared" si="51"/>
        <v>4497.42</v>
      </c>
      <c r="GA33" s="558">
        <f t="shared" si="51"/>
        <v>2755.89</v>
      </c>
      <c r="GB33" s="558">
        <f t="shared" si="51"/>
        <v>973.95</v>
      </c>
      <c r="GC33" s="558">
        <f t="shared" si="51"/>
        <v>-815.35</v>
      </c>
      <c r="GD33" s="558" t="str">
        <f t="shared" si="51"/>
        <v>.</v>
      </c>
      <c r="GE33" s="558" t="str">
        <f t="shared" si="51"/>
        <v>.</v>
      </c>
      <c r="GF33" s="558" t="str">
        <f t="shared" si="52"/>
        <v>.</v>
      </c>
      <c r="GG33" s="558" t="str">
        <f t="shared" si="52"/>
        <v>.</v>
      </c>
      <c r="GH33" s="558" t="str">
        <f t="shared" si="52"/>
        <v>.</v>
      </c>
      <c r="GI33" s="558" t="str">
        <f t="shared" si="52"/>
        <v>.</v>
      </c>
      <c r="GJ33" s="558" t="str">
        <f t="shared" si="52"/>
        <v>.</v>
      </c>
      <c r="GK33" s="558" t="str">
        <f t="shared" si="52"/>
        <v>.</v>
      </c>
      <c r="GL33" s="558" t="str">
        <f t="shared" si="52"/>
        <v>.</v>
      </c>
      <c r="GM33" s="558" t="str">
        <f t="shared" si="52"/>
        <v>.</v>
      </c>
      <c r="GN33" s="558" t="str">
        <f t="shared" si="52"/>
        <v>.</v>
      </c>
      <c r="GO33" s="558" t="str">
        <f t="shared" si="52"/>
        <v>.</v>
      </c>
      <c r="GP33" s="558" t="str">
        <f t="shared" si="52"/>
        <v>.</v>
      </c>
      <c r="GQ33" s="558" t="str">
        <f t="shared" si="52"/>
        <v>.</v>
      </c>
      <c r="GR33" s="558" t="str">
        <f t="shared" si="52"/>
        <v>.</v>
      </c>
      <c r="GS33" s="558" t="str">
        <f t="shared" si="52"/>
        <v>.</v>
      </c>
      <c r="GT33" s="558" t="str">
        <f t="shared" si="52"/>
        <v>.</v>
      </c>
      <c r="GU33" s="558" t="str">
        <f t="shared" si="52"/>
        <v>.</v>
      </c>
      <c r="GV33" s="558" t="str">
        <f t="shared" si="53"/>
        <v>.</v>
      </c>
      <c r="GW33" s="558" t="str">
        <f t="shared" si="53"/>
        <v>.</v>
      </c>
      <c r="GX33" s="558" t="str">
        <f t="shared" si="53"/>
        <v>.</v>
      </c>
      <c r="GY33" s="558" t="str">
        <f t="shared" si="53"/>
        <v>.</v>
      </c>
      <c r="GZ33" s="558" t="str">
        <f t="shared" si="53"/>
        <v>.</v>
      </c>
      <c r="HA33" s="558" t="str">
        <f t="shared" si="53"/>
        <v>.</v>
      </c>
      <c r="HB33" s="558" t="str">
        <f t="shared" si="53"/>
        <v>.</v>
      </c>
      <c r="HC33" s="558" t="str">
        <f t="shared" si="53"/>
        <v>.</v>
      </c>
      <c r="HD33" s="558" t="str">
        <f t="shared" si="53"/>
        <v>.</v>
      </c>
      <c r="HE33" s="558" t="str">
        <f t="shared" si="53"/>
        <v>.</v>
      </c>
      <c r="HF33" s="558" t="str">
        <f t="shared" si="53"/>
        <v>.</v>
      </c>
      <c r="HG33" s="558" t="str">
        <f t="shared" si="53"/>
        <v>.</v>
      </c>
      <c r="HH33" s="558" t="str">
        <f t="shared" si="53"/>
        <v>.</v>
      </c>
      <c r="HI33" s="558" t="str">
        <f t="shared" si="53"/>
        <v>.</v>
      </c>
      <c r="HJ33" s="558" t="str">
        <f t="shared" si="53"/>
        <v>.</v>
      </c>
      <c r="HK33" s="558" t="str">
        <f t="shared" si="53"/>
        <v>.</v>
      </c>
      <c r="HL33" s="558" t="str">
        <f t="shared" si="54"/>
        <v>.</v>
      </c>
      <c r="HM33" s="558" t="str">
        <f t="shared" si="54"/>
        <v>.</v>
      </c>
      <c r="HN33" s="558" t="str">
        <f t="shared" si="54"/>
        <v>.</v>
      </c>
      <c r="HO33" s="558" t="str">
        <f t="shared" si="54"/>
        <v>.</v>
      </c>
      <c r="HP33" s="558" t="str">
        <f t="shared" si="54"/>
        <v>.</v>
      </c>
      <c r="HQ33" s="558" t="str">
        <f t="shared" si="54"/>
        <v>.</v>
      </c>
      <c r="HR33" s="558" t="str">
        <f t="shared" si="54"/>
        <v>.</v>
      </c>
      <c r="HS33" s="558" t="str">
        <f t="shared" si="54"/>
        <v>.</v>
      </c>
      <c r="HT33" s="558" t="str">
        <f t="shared" si="54"/>
        <v>.</v>
      </c>
      <c r="HU33" s="558" t="str">
        <f t="shared" si="54"/>
        <v>.</v>
      </c>
      <c r="HV33" s="558" t="str">
        <f t="shared" si="54"/>
        <v>.</v>
      </c>
      <c r="HW33" s="558" t="str">
        <f t="shared" si="54"/>
        <v>.</v>
      </c>
      <c r="HX33" s="558" t="str">
        <f t="shared" si="54"/>
        <v>.</v>
      </c>
      <c r="HY33" s="558" t="str">
        <f t="shared" si="54"/>
        <v>.</v>
      </c>
      <c r="HZ33" s="558" t="str">
        <f t="shared" si="54"/>
        <v>.</v>
      </c>
      <c r="IA33" s="558" t="str">
        <f t="shared" si="54"/>
        <v>.</v>
      </c>
      <c r="IB33" s="558" t="str">
        <f t="shared" si="54"/>
        <v>.</v>
      </c>
      <c r="IC33" s="558" t="str">
        <f t="shared" si="54"/>
        <v>.</v>
      </c>
      <c r="ID33" s="558" t="str">
        <f t="shared" si="63"/>
        <v>.</v>
      </c>
      <c r="IE33" s="558" t="str">
        <f t="shared" si="63"/>
        <v>.</v>
      </c>
      <c r="IF33" s="558" t="str">
        <f t="shared" si="63"/>
        <v>.</v>
      </c>
      <c r="IG33" s="558" t="str">
        <f t="shared" si="63"/>
        <v>.</v>
      </c>
      <c r="IH33" s="558" t="str">
        <f t="shared" si="63"/>
        <v>.</v>
      </c>
      <c r="II33" s="558" t="str">
        <f t="shared" si="63"/>
        <v>.</v>
      </c>
      <c r="IJ33" s="558" t="str">
        <f t="shared" si="63"/>
        <v>.</v>
      </c>
      <c r="IK33" s="558" t="str">
        <f t="shared" si="63"/>
        <v>.</v>
      </c>
      <c r="IL33" s="558" t="str">
        <f t="shared" si="63"/>
        <v>.</v>
      </c>
      <c r="IM33" s="558" t="str">
        <f t="shared" si="63"/>
        <v>.</v>
      </c>
      <c r="IN33" s="558" t="str">
        <f t="shared" si="63"/>
        <v>.</v>
      </c>
      <c r="IO33" s="558" t="str">
        <f t="shared" si="62"/>
        <v>.</v>
      </c>
      <c r="IP33" s="558" t="str">
        <f t="shared" si="62"/>
        <v>.</v>
      </c>
      <c r="IQ33" s="558" t="str">
        <f t="shared" si="62"/>
        <v>.</v>
      </c>
      <c r="IR33" s="558" t="str">
        <f t="shared" si="62"/>
        <v>.</v>
      </c>
      <c r="IS33" s="558" t="str">
        <f t="shared" si="62"/>
        <v>.</v>
      </c>
      <c r="IT33" s="558" t="str">
        <f t="shared" si="62"/>
        <v>.</v>
      </c>
      <c r="IU33" s="558" t="str">
        <f t="shared" si="62"/>
        <v>.</v>
      </c>
      <c r="IV33" s="558" t="str">
        <f t="shared" si="62"/>
        <v>.</v>
      </c>
      <c r="IW33" s="558" t="str">
        <f t="shared" si="62"/>
        <v>.</v>
      </c>
      <c r="IX33" s="558" t="str">
        <f t="shared" si="62"/>
        <v>.</v>
      </c>
      <c r="IY33" s="558" t="str">
        <f t="shared" si="62"/>
        <v>.</v>
      </c>
      <c r="IZ33" s="558" t="str">
        <f t="shared" si="62"/>
        <v>.</v>
      </c>
      <c r="JA33" s="558" t="str">
        <f t="shared" si="62"/>
        <v>.</v>
      </c>
      <c r="JB33" s="558" t="str">
        <f t="shared" si="62"/>
        <v>.</v>
      </c>
      <c r="JC33" s="558" t="str">
        <f t="shared" si="62"/>
        <v>.</v>
      </c>
      <c r="JD33" s="558" t="str">
        <f t="shared" si="62"/>
        <v>.</v>
      </c>
      <c r="JE33" s="558" t="str">
        <f t="shared" si="62"/>
        <v>.</v>
      </c>
      <c r="JF33" s="558" t="str">
        <f t="shared" si="62"/>
        <v>.</v>
      </c>
      <c r="JG33" s="558" t="str">
        <f t="shared" si="62"/>
        <v>.</v>
      </c>
      <c r="JH33" s="558" t="str">
        <f t="shared" si="56"/>
        <v>.</v>
      </c>
      <c r="JI33" s="558" t="str">
        <f t="shared" si="56"/>
        <v>.</v>
      </c>
      <c r="JJ33" s="558" t="str">
        <f t="shared" si="56"/>
        <v>.</v>
      </c>
      <c r="JK33" s="558" t="str">
        <f t="shared" si="56"/>
        <v>.</v>
      </c>
      <c r="JL33" s="558" t="str">
        <f t="shared" si="56"/>
        <v>.</v>
      </c>
    </row>
    <row r="34" spans="1:272" ht="10.199999999999999" x14ac:dyDescent="0.2">
      <c r="A34" s="534">
        <f xml:space="preserve"> Basis!A34</f>
        <v>34</v>
      </c>
      <c r="F34" s="536">
        <f xml:space="preserve"> ROUND(    IF( $A$15=BE_MF_,   AW34,   INDEX( qx!34:34, F$16 ) ),    F$17    )</f>
        <v>2.9999999999999997E-4</v>
      </c>
      <c r="G34" s="536">
        <f xml:space="preserve"> ROUND(    IF( $A$15=BE_MF_,   BB34,   INDEX( wx!34:34, G$16 ) ),    G$17    )</f>
        <v>5.2600000000000001E-2</v>
      </c>
      <c r="H34" s="537">
        <f xml:space="preserve"> ROUND(    IF( $A$15=BE_MF_,   BG34,   INDEX( Kx!34:34, H$16 ) ),    H$17    )</f>
        <v>1938.08</v>
      </c>
      <c r="I34" s="538">
        <f t="shared" si="57"/>
        <v>1938.08</v>
      </c>
      <c r="J34" s="539">
        <f t="shared" si="17"/>
        <v>0.93300000000000005</v>
      </c>
      <c r="K34" s="540">
        <f t="shared" si="58"/>
        <v>2</v>
      </c>
      <c r="L34" s="541">
        <f t="shared" si="18"/>
        <v>0</v>
      </c>
      <c r="M34" s="541">
        <f t="shared" si="18"/>
        <v>8.5999999999999993E-2</v>
      </c>
      <c r="O34" s="542" t="b">
        <f t="shared" si="59"/>
        <v>1</v>
      </c>
      <c r="P34" s="493">
        <f t="shared" si="19"/>
        <v>5.2900000000000003E-2</v>
      </c>
      <c r="Q34" s="493">
        <f t="shared" si="20"/>
        <v>0.94710000000000005</v>
      </c>
      <c r="R34" s="543">
        <f t="shared" si="21"/>
        <v>1143845</v>
      </c>
      <c r="S34" s="544">
        <f t="shared" si="22"/>
        <v>0.97560975599999999</v>
      </c>
      <c r="T34" s="423">
        <f t="shared" si="23"/>
        <v>494032.77</v>
      </c>
      <c r="U34" s="423">
        <f xml:space="preserve"> IF( $O34,    ROUND(  SUM( T34:T$120), U$17 ),  LEER  )</f>
        <v>8964225.1400000006</v>
      </c>
      <c r="V34" s="493">
        <f t="shared" si="24"/>
        <v>18.145</v>
      </c>
      <c r="W34" s="493">
        <f t="shared" si="25"/>
        <v>460932.57</v>
      </c>
      <c r="X34" s="493">
        <f xml:space="preserve"> IF( $O34,    ROUND(  SUM( W34:W$120), X$17 ),  LEER  )</f>
        <v>16165943.310000001</v>
      </c>
      <c r="Y34" s="493">
        <f t="shared" si="26"/>
        <v>32.7224</v>
      </c>
      <c r="Z34" s="493">
        <f t="shared" si="27"/>
        <v>1.8033999999999999</v>
      </c>
      <c r="AA34" s="493">
        <f t="shared" si="28"/>
        <v>1.0102</v>
      </c>
      <c r="AB34" s="493">
        <f t="shared" si="29"/>
        <v>2.3494000000000002</v>
      </c>
      <c r="AC34" s="545">
        <f t="shared" si="30"/>
        <v>0.38600000000000001</v>
      </c>
      <c r="AD34" s="493">
        <f t="shared" si="31"/>
        <v>1.8257000000000001</v>
      </c>
      <c r="AE34" s="493">
        <f t="shared" si="32"/>
        <v>2.4198</v>
      </c>
      <c r="AF34" s="493">
        <f t="shared" si="33"/>
        <v>2.4198</v>
      </c>
      <c r="AG34" s="493" t="str">
        <f t="shared" si="34"/>
        <v>.</v>
      </c>
      <c r="AH34" s="493" t="str">
        <f t="shared" si="35"/>
        <v>.</v>
      </c>
      <c r="AI34" s="423">
        <f t="shared" si="36"/>
        <v>2077.79</v>
      </c>
      <c r="AJ34" s="423">
        <f t="shared" si="37"/>
        <v>5027.84</v>
      </c>
      <c r="AK34" s="423">
        <f t="shared" si="38"/>
        <v>418.99</v>
      </c>
      <c r="AN34" s="423" t="str">
        <f t="shared" si="39"/>
        <v>.</v>
      </c>
      <c r="AO34" s="423" t="str">
        <f t="shared" si="39"/>
        <v>.</v>
      </c>
      <c r="AR34" s="546">
        <f xml:space="preserve"> ROUND(  INDEX( Kx!34:34, AR$16 ),  AR$17 )</f>
        <v>0.76690000000000003</v>
      </c>
      <c r="AS34" s="547">
        <f xml:space="preserve"> ROUND(  INDEX( qx!34:34, AS$16 ),  AS$17 )</f>
        <v>2.9999999999999997E-4</v>
      </c>
      <c r="AT34" s="547">
        <f xml:space="preserve"> ROUND(  INDEX( qx!34:34, AT$16 ),  AT$17 )</f>
        <v>2.0000000000000001E-4</v>
      </c>
      <c r="AU34" s="548" t="str">
        <f t="shared" si="40"/>
        <v>F</v>
      </c>
      <c r="AV34" s="542">
        <f t="shared" si="41"/>
        <v>0.68679999999999997</v>
      </c>
      <c r="AW34" s="542">
        <f t="shared" si="42"/>
        <v>2.9999999999999997E-4</v>
      </c>
      <c r="AX34" s="546">
        <f xml:space="preserve"> ROUND(  INDEX( wx!34:34, AX$16 ),  AX$17 )</f>
        <v>4.9200000000000001E-2</v>
      </c>
      <c r="AY34" s="546">
        <f xml:space="preserve"> ROUND(  INDEX( wx!34:34, AY$16 ),  AY$17 )</f>
        <v>6.9599999999999995E-2</v>
      </c>
      <c r="AZ34" s="548" t="str">
        <f t="shared" si="43"/>
        <v>M</v>
      </c>
      <c r="BA34" s="542">
        <f t="shared" si="44"/>
        <v>0.83150000000000002</v>
      </c>
      <c r="BB34" s="542">
        <f t="shared" si="45"/>
        <v>5.2600000000000001E-2</v>
      </c>
      <c r="BC34" s="533">
        <f xml:space="preserve"> ROUND(  INDEX( Kx!34:34, BC$16 ),  BC$17 )</f>
        <v>1412.71</v>
      </c>
      <c r="BD34" s="533">
        <f xml:space="preserve"> ROUND(  INDEX( Kx!34:34, BD$16 ),  BD$17 )</f>
        <v>3090.14</v>
      </c>
      <c r="BE34" s="548" t="str">
        <f t="shared" si="60"/>
        <v>F</v>
      </c>
      <c r="BF34" s="542">
        <f t="shared" si="46"/>
        <v>0.68679999999999997</v>
      </c>
      <c r="BG34" s="420">
        <f t="shared" si="47"/>
        <v>1938.08</v>
      </c>
      <c r="BQ34" s="549"/>
      <c r="BR34" s="423"/>
      <c r="BS34" s="550"/>
      <c r="BT34" s="423"/>
      <c r="BU34" s="551"/>
      <c r="BV34" s="551"/>
      <c r="BW34" s="529"/>
      <c r="BX34" s="552"/>
      <c r="BY34" s="559"/>
      <c r="BZ34" s="559"/>
      <c r="CB34" s="423"/>
      <c r="CC34" s="423"/>
      <c r="CD34" s="423"/>
      <c r="CE34" s="423"/>
      <c r="CF34" s="553"/>
      <c r="CH34" s="423"/>
      <c r="CI34" s="423"/>
      <c r="CJ34" s="423"/>
      <c r="CK34" s="423"/>
      <c r="CL34" s="553"/>
      <c r="CN34" s="423"/>
      <c r="CO34" s="423"/>
      <c r="CP34" s="423"/>
      <c r="CQ34" s="423"/>
      <c r="CR34" s="553"/>
      <c r="DO34" s="385"/>
      <c r="DP34" s="385"/>
      <c r="DQ34" s="385"/>
      <c r="EI34" s="553"/>
      <c r="EJ34" s="553"/>
      <c r="EK34" s="423"/>
      <c r="EL34" s="555"/>
      <c r="ES34" s="533"/>
      <c r="ET34" s="533"/>
      <c r="EU34" s="533"/>
      <c r="EV34" s="556"/>
      <c r="EY34" s="533"/>
      <c r="EZ34" s="533"/>
      <c r="FA34" s="556"/>
      <c r="FD34" s="556"/>
      <c r="FE34" s="556"/>
      <c r="FF34" s="556"/>
      <c r="FK34" s="557">
        <f t="shared" si="48"/>
        <v>34</v>
      </c>
      <c r="FL34" s="493">
        <f t="shared" si="49"/>
        <v>32.7224</v>
      </c>
      <c r="FM34" s="493">
        <f t="shared" si="50"/>
        <v>18.145</v>
      </c>
      <c r="FO34" s="427">
        <f t="shared" si="61"/>
        <v>170861.61000000002</v>
      </c>
      <c r="FP34" s="558">
        <f t="shared" si="51"/>
        <v>22733.4</v>
      </c>
      <c r="FQ34" s="558">
        <f t="shared" si="51"/>
        <v>21206.48</v>
      </c>
      <c r="FR34" s="558">
        <f t="shared" si="51"/>
        <v>19675.8</v>
      </c>
      <c r="FS34" s="558">
        <f t="shared" si="51"/>
        <v>18145.12</v>
      </c>
      <c r="FT34" s="558">
        <f t="shared" si="51"/>
        <v>16561.66</v>
      </c>
      <c r="FU34" s="558">
        <f t="shared" si="51"/>
        <v>14932.96</v>
      </c>
      <c r="FV34" s="558">
        <f t="shared" si="51"/>
        <v>13319.33</v>
      </c>
      <c r="FW34" s="558">
        <f t="shared" si="51"/>
        <v>11694.4</v>
      </c>
      <c r="FX34" s="558">
        <f t="shared" si="51"/>
        <v>10012.91</v>
      </c>
      <c r="FY34" s="558">
        <f t="shared" si="51"/>
        <v>8263.56</v>
      </c>
      <c r="FZ34" s="558">
        <f t="shared" si="51"/>
        <v>6502.9</v>
      </c>
      <c r="GA34" s="558">
        <f t="shared" si="51"/>
        <v>4715.8500000000004</v>
      </c>
      <c r="GB34" s="558">
        <f t="shared" si="51"/>
        <v>2887.33</v>
      </c>
      <c r="GC34" s="558">
        <f t="shared" si="51"/>
        <v>1051.26</v>
      </c>
      <c r="GD34" s="558">
        <f t="shared" si="51"/>
        <v>-841.35</v>
      </c>
      <c r="GE34" s="558" t="str">
        <f t="shared" si="51"/>
        <v>.</v>
      </c>
      <c r="GF34" s="558" t="str">
        <f t="shared" si="52"/>
        <v>.</v>
      </c>
      <c r="GG34" s="558" t="str">
        <f t="shared" si="52"/>
        <v>.</v>
      </c>
      <c r="GH34" s="558" t="str">
        <f t="shared" si="52"/>
        <v>.</v>
      </c>
      <c r="GI34" s="558" t="str">
        <f t="shared" si="52"/>
        <v>.</v>
      </c>
      <c r="GJ34" s="558" t="str">
        <f t="shared" si="52"/>
        <v>.</v>
      </c>
      <c r="GK34" s="558" t="str">
        <f t="shared" si="52"/>
        <v>.</v>
      </c>
      <c r="GL34" s="558" t="str">
        <f t="shared" si="52"/>
        <v>.</v>
      </c>
      <c r="GM34" s="558" t="str">
        <f t="shared" si="52"/>
        <v>.</v>
      </c>
      <c r="GN34" s="558" t="str">
        <f t="shared" si="52"/>
        <v>.</v>
      </c>
      <c r="GO34" s="558" t="str">
        <f t="shared" si="52"/>
        <v>.</v>
      </c>
      <c r="GP34" s="558" t="str">
        <f t="shared" si="52"/>
        <v>.</v>
      </c>
      <c r="GQ34" s="558" t="str">
        <f t="shared" si="52"/>
        <v>.</v>
      </c>
      <c r="GR34" s="558" t="str">
        <f t="shared" si="52"/>
        <v>.</v>
      </c>
      <c r="GS34" s="558" t="str">
        <f t="shared" si="52"/>
        <v>.</v>
      </c>
      <c r="GT34" s="558" t="str">
        <f t="shared" si="52"/>
        <v>.</v>
      </c>
      <c r="GU34" s="558" t="str">
        <f t="shared" si="52"/>
        <v>.</v>
      </c>
      <c r="GV34" s="558" t="str">
        <f t="shared" si="53"/>
        <v>.</v>
      </c>
      <c r="GW34" s="558" t="str">
        <f t="shared" si="53"/>
        <v>.</v>
      </c>
      <c r="GX34" s="558" t="str">
        <f t="shared" si="53"/>
        <v>.</v>
      </c>
      <c r="GY34" s="558" t="str">
        <f t="shared" si="53"/>
        <v>.</v>
      </c>
      <c r="GZ34" s="558" t="str">
        <f t="shared" si="53"/>
        <v>.</v>
      </c>
      <c r="HA34" s="558" t="str">
        <f t="shared" si="53"/>
        <v>.</v>
      </c>
      <c r="HB34" s="558" t="str">
        <f t="shared" si="53"/>
        <v>.</v>
      </c>
      <c r="HC34" s="558" t="str">
        <f t="shared" si="53"/>
        <v>.</v>
      </c>
      <c r="HD34" s="558" t="str">
        <f t="shared" si="53"/>
        <v>.</v>
      </c>
      <c r="HE34" s="558" t="str">
        <f t="shared" si="53"/>
        <v>.</v>
      </c>
      <c r="HF34" s="558" t="str">
        <f t="shared" si="53"/>
        <v>.</v>
      </c>
      <c r="HG34" s="558" t="str">
        <f t="shared" si="53"/>
        <v>.</v>
      </c>
      <c r="HH34" s="558" t="str">
        <f t="shared" si="53"/>
        <v>.</v>
      </c>
      <c r="HI34" s="558" t="str">
        <f t="shared" si="53"/>
        <v>.</v>
      </c>
      <c r="HJ34" s="558" t="str">
        <f t="shared" si="53"/>
        <v>.</v>
      </c>
      <c r="HK34" s="558" t="str">
        <f t="shared" si="53"/>
        <v>.</v>
      </c>
      <c r="HL34" s="558" t="str">
        <f t="shared" si="54"/>
        <v>.</v>
      </c>
      <c r="HM34" s="558" t="str">
        <f t="shared" si="54"/>
        <v>.</v>
      </c>
      <c r="HN34" s="558" t="str">
        <f t="shared" si="54"/>
        <v>.</v>
      </c>
      <c r="HO34" s="558" t="str">
        <f t="shared" ref="HO34:IF48" si="64" xml:space="preserve"> IF(  OR( HO$18&gt;$FK34, $FK34&gt;$FP$12 ),  LEER,  ROUND( $FO$19 * ( $FL34 - HO$15 * $FM34 ), HO$17 )  )</f>
        <v>.</v>
      </c>
      <c r="HP34" s="558" t="str">
        <f t="shared" si="64"/>
        <v>.</v>
      </c>
      <c r="HQ34" s="558" t="str">
        <f t="shared" si="64"/>
        <v>.</v>
      </c>
      <c r="HR34" s="558" t="str">
        <f t="shared" si="64"/>
        <v>.</v>
      </c>
      <c r="HS34" s="558" t="str">
        <f t="shared" si="64"/>
        <v>.</v>
      </c>
      <c r="HT34" s="558" t="str">
        <f t="shared" si="64"/>
        <v>.</v>
      </c>
      <c r="HU34" s="558" t="str">
        <f t="shared" si="64"/>
        <v>.</v>
      </c>
      <c r="HV34" s="558" t="str">
        <f t="shared" si="64"/>
        <v>.</v>
      </c>
      <c r="HW34" s="558" t="str">
        <f t="shared" si="64"/>
        <v>.</v>
      </c>
      <c r="HX34" s="558" t="str">
        <f t="shared" si="64"/>
        <v>.</v>
      </c>
      <c r="HY34" s="558" t="str">
        <f t="shared" si="64"/>
        <v>.</v>
      </c>
      <c r="HZ34" s="558" t="str">
        <f t="shared" si="64"/>
        <v>.</v>
      </c>
      <c r="IA34" s="558" t="str">
        <f t="shared" si="64"/>
        <v>.</v>
      </c>
      <c r="IB34" s="558" t="str">
        <f t="shared" si="64"/>
        <v>.</v>
      </c>
      <c r="IC34" s="558" t="str">
        <f t="shared" si="64"/>
        <v>.</v>
      </c>
      <c r="ID34" s="558" t="str">
        <f t="shared" si="64"/>
        <v>.</v>
      </c>
      <c r="IE34" s="558" t="str">
        <f t="shared" si="64"/>
        <v>.</v>
      </c>
      <c r="IF34" s="558" t="str">
        <f t="shared" si="64"/>
        <v>.</v>
      </c>
      <c r="IG34" s="558" t="str">
        <f t="shared" ref="IG34:IN46" si="65" xml:space="preserve"> IF(  OR( IG$18&gt;$FK34, $FK34&gt;$FP$12 ),  LEER,  ROUND( $FO$19 * ( $FL34 - IG$15 * $FM34 ), IG$17 )  )</f>
        <v>.</v>
      </c>
      <c r="IH34" s="558" t="str">
        <f t="shared" si="65"/>
        <v>.</v>
      </c>
      <c r="II34" s="558" t="str">
        <f t="shared" si="65"/>
        <v>.</v>
      </c>
      <c r="IJ34" s="558" t="str">
        <f t="shared" si="65"/>
        <v>.</v>
      </c>
      <c r="IK34" s="558" t="str">
        <f t="shared" si="65"/>
        <v>.</v>
      </c>
      <c r="IL34" s="558" t="str">
        <f t="shared" si="65"/>
        <v>.</v>
      </c>
      <c r="IM34" s="558" t="str">
        <f t="shared" si="65"/>
        <v>.</v>
      </c>
      <c r="IN34" s="558" t="str">
        <f t="shared" si="65"/>
        <v>.</v>
      </c>
      <c r="IO34" s="558" t="str">
        <f t="shared" si="62"/>
        <v>.</v>
      </c>
      <c r="IP34" s="558" t="str">
        <f t="shared" si="62"/>
        <v>.</v>
      </c>
      <c r="IQ34" s="558" t="str">
        <f t="shared" si="62"/>
        <v>.</v>
      </c>
      <c r="IR34" s="558" t="str">
        <f t="shared" si="62"/>
        <v>.</v>
      </c>
      <c r="IS34" s="558" t="str">
        <f t="shared" si="62"/>
        <v>.</v>
      </c>
      <c r="IT34" s="558" t="str">
        <f t="shared" si="62"/>
        <v>.</v>
      </c>
      <c r="IU34" s="558" t="str">
        <f t="shared" si="62"/>
        <v>.</v>
      </c>
      <c r="IV34" s="558" t="str">
        <f t="shared" si="62"/>
        <v>.</v>
      </c>
      <c r="IW34" s="558" t="str">
        <f t="shared" si="62"/>
        <v>.</v>
      </c>
      <c r="IX34" s="558" t="str">
        <f t="shared" si="62"/>
        <v>.</v>
      </c>
      <c r="IY34" s="558" t="str">
        <f t="shared" si="62"/>
        <v>.</v>
      </c>
      <c r="IZ34" s="558" t="str">
        <f t="shared" si="62"/>
        <v>.</v>
      </c>
      <c r="JA34" s="558" t="str">
        <f t="shared" si="62"/>
        <v>.</v>
      </c>
      <c r="JB34" s="558" t="str">
        <f t="shared" si="62"/>
        <v>.</v>
      </c>
      <c r="JC34" s="558" t="str">
        <f t="shared" si="62"/>
        <v>.</v>
      </c>
      <c r="JD34" s="558" t="str">
        <f t="shared" si="62"/>
        <v>.</v>
      </c>
      <c r="JE34" s="558" t="str">
        <f t="shared" si="62"/>
        <v>.</v>
      </c>
      <c r="JF34" s="558" t="str">
        <f t="shared" si="62"/>
        <v>.</v>
      </c>
      <c r="JG34" s="558" t="str">
        <f t="shared" si="62"/>
        <v>.</v>
      </c>
      <c r="JH34" s="558" t="str">
        <f t="shared" si="56"/>
        <v>.</v>
      </c>
      <c r="JI34" s="558" t="str">
        <f t="shared" si="56"/>
        <v>.</v>
      </c>
      <c r="JJ34" s="558" t="str">
        <f t="shared" si="56"/>
        <v>.</v>
      </c>
      <c r="JK34" s="558" t="str">
        <f t="shared" si="56"/>
        <v>.</v>
      </c>
      <c r="JL34" s="558" t="str">
        <f t="shared" si="56"/>
        <v>.</v>
      </c>
    </row>
    <row r="35" spans="1:272" ht="10.199999999999999" x14ac:dyDescent="0.2">
      <c r="A35" s="534">
        <f xml:space="preserve"> Basis!A35</f>
        <v>35</v>
      </c>
      <c r="F35" s="536">
        <f xml:space="preserve"> ROUND(    IF( $A$15=BE_MF_,   AW35,   INDEX( qx!35:35, F$16 ) ),    F$17    )</f>
        <v>2.9999999999999997E-4</v>
      </c>
      <c r="G35" s="536">
        <f xml:space="preserve"> ROUND(    IF( $A$15=BE_MF_,   BB35,   INDEX( wx!35:35, G$16 ) ),    G$17    )</f>
        <v>4.8000000000000001E-2</v>
      </c>
      <c r="H35" s="537">
        <f xml:space="preserve"> ROUND(    IF( $A$15=BE_MF_,   BG35,   INDEX( Kx!35:35, H$16 ) ),    H$17    )</f>
        <v>1955.93</v>
      </c>
      <c r="I35" s="538">
        <f t="shared" si="57"/>
        <v>1955.93</v>
      </c>
      <c r="J35" s="539">
        <f t="shared" si="17"/>
        <v>0.94099999999999995</v>
      </c>
      <c r="K35" s="540">
        <f t="shared" si="58"/>
        <v>2</v>
      </c>
      <c r="L35" s="541">
        <f t="shared" si="18"/>
        <v>0</v>
      </c>
      <c r="M35" s="541">
        <f t="shared" si="18"/>
        <v>8.5999999999999993E-2</v>
      </c>
      <c r="O35" s="542" t="b">
        <f t="shared" si="59"/>
        <v>1</v>
      </c>
      <c r="P35" s="493">
        <f t="shared" si="19"/>
        <v>4.8300000000000003E-2</v>
      </c>
      <c r="Q35" s="493">
        <f t="shared" si="20"/>
        <v>0.95169999999999999</v>
      </c>
      <c r="R35" s="543">
        <f t="shared" si="21"/>
        <v>1083335</v>
      </c>
      <c r="S35" s="544">
        <f t="shared" si="22"/>
        <v>0.97560975599999999</v>
      </c>
      <c r="T35" s="423">
        <f t="shared" si="23"/>
        <v>456486.02</v>
      </c>
      <c r="U35" s="423">
        <f xml:space="preserve"> IF( $O35,    ROUND(  SUM( T35:T$120), U$17 ),  LEER  )</f>
        <v>8470192.3699999992</v>
      </c>
      <c r="V35" s="493">
        <f t="shared" si="24"/>
        <v>18.555199999999999</v>
      </c>
      <c r="W35" s="493">
        <f t="shared" si="25"/>
        <v>429553.34</v>
      </c>
      <c r="X35" s="493">
        <f xml:space="preserve"> IF( $O35,    ROUND(  SUM( W35:W$120), X$17 ),  LEER  )</f>
        <v>15705010.74</v>
      </c>
      <c r="Y35" s="493">
        <f t="shared" si="26"/>
        <v>34.4041</v>
      </c>
      <c r="Z35" s="493">
        <f t="shared" si="27"/>
        <v>1.8541000000000001</v>
      </c>
      <c r="AA35" s="493">
        <f t="shared" si="28"/>
        <v>1.0099</v>
      </c>
      <c r="AB35" s="493">
        <f t="shared" si="29"/>
        <v>2.3494000000000002</v>
      </c>
      <c r="AC35" s="545">
        <f t="shared" si="30"/>
        <v>0.38600000000000001</v>
      </c>
      <c r="AD35" s="493">
        <f t="shared" si="31"/>
        <v>1.8763000000000001</v>
      </c>
      <c r="AE35" s="493">
        <f t="shared" si="32"/>
        <v>2.4752000000000001</v>
      </c>
      <c r="AF35" s="493">
        <f t="shared" si="33"/>
        <v>2.4752000000000001</v>
      </c>
      <c r="AG35" s="493" t="str">
        <f t="shared" si="34"/>
        <v>.</v>
      </c>
      <c r="AH35" s="493" t="str">
        <f t="shared" si="35"/>
        <v>.</v>
      </c>
      <c r="AI35" s="423">
        <f t="shared" si="36"/>
        <v>2077.79</v>
      </c>
      <c r="AJ35" s="423">
        <f t="shared" si="37"/>
        <v>5142.95</v>
      </c>
      <c r="AK35" s="423">
        <f t="shared" si="38"/>
        <v>428.58</v>
      </c>
      <c r="AN35" s="423">
        <f t="shared" si="39"/>
        <v>1.88</v>
      </c>
      <c r="AO35" s="423">
        <f t="shared" si="39"/>
        <v>-854.02</v>
      </c>
      <c r="AR35" s="546">
        <f xml:space="preserve"> ROUND(  INDEX( Kx!35:35, AR$16 ),  AR$17 )</f>
        <v>0.77390000000000003</v>
      </c>
      <c r="AS35" s="547">
        <f xml:space="preserve"> ROUND(  INDEX( qx!35:35, AS$16 ),  AS$17 )</f>
        <v>2.9999999999999997E-4</v>
      </c>
      <c r="AT35" s="547">
        <f xml:space="preserve"> ROUND(  INDEX( qx!35:35, AT$16 ),  AT$17 )</f>
        <v>2.0000000000000001E-4</v>
      </c>
      <c r="AU35" s="548" t="str">
        <f t="shared" si="40"/>
        <v>F</v>
      </c>
      <c r="AV35" s="542">
        <f t="shared" si="41"/>
        <v>0.69530000000000003</v>
      </c>
      <c r="AW35" s="542">
        <f t="shared" si="42"/>
        <v>2.9999999999999997E-4</v>
      </c>
      <c r="AX35" s="546">
        <f xml:space="preserve"> ROUND(  INDEX( wx!35:35, AX$16 ),  AX$17 )</f>
        <v>4.4900000000000002E-2</v>
      </c>
      <c r="AY35" s="546">
        <f xml:space="preserve"> ROUND(  INDEX( wx!35:35, AY$16 ),  AY$17 )</f>
        <v>6.3700000000000007E-2</v>
      </c>
      <c r="AZ35" s="548" t="str">
        <f t="shared" si="43"/>
        <v>M</v>
      </c>
      <c r="BA35" s="542">
        <f t="shared" si="44"/>
        <v>0.83699999999999997</v>
      </c>
      <c r="BB35" s="542">
        <f t="shared" si="45"/>
        <v>4.8000000000000001E-2</v>
      </c>
      <c r="BC35" s="533">
        <f xml:space="preserve"> ROUND(  INDEX( Kx!35:35, BC$16 ),  BC$17 )</f>
        <v>1447.6</v>
      </c>
      <c r="BD35" s="533">
        <f xml:space="preserve"> ROUND(  INDEX( Kx!35:35, BD$16 ),  BD$17 )</f>
        <v>3115.9</v>
      </c>
      <c r="BE35" s="548" t="str">
        <f t="shared" si="60"/>
        <v>F</v>
      </c>
      <c r="BF35" s="542">
        <f t="shared" si="46"/>
        <v>0.69530000000000003</v>
      </c>
      <c r="BG35" s="420">
        <f t="shared" si="47"/>
        <v>1955.93</v>
      </c>
      <c r="BQ35" s="549"/>
      <c r="BR35" s="423"/>
      <c r="BS35" s="550"/>
      <c r="BT35" s="423"/>
      <c r="BU35" s="551"/>
      <c r="BV35" s="551"/>
      <c r="BW35" s="529"/>
      <c r="BX35" s="552"/>
      <c r="BY35" s="559"/>
      <c r="BZ35" s="559"/>
      <c r="CB35" s="423"/>
      <c r="CC35" s="423"/>
      <c r="CD35" s="423"/>
      <c r="CE35" s="423"/>
      <c r="CF35" s="553"/>
      <c r="CH35" s="423"/>
      <c r="CI35" s="423"/>
      <c r="CJ35" s="423"/>
      <c r="CK35" s="423"/>
      <c r="CL35" s="553"/>
      <c r="CN35" s="423"/>
      <c r="CO35" s="423"/>
      <c r="CP35" s="423"/>
      <c r="CQ35" s="423"/>
      <c r="CR35" s="553"/>
      <c r="DO35" s="385"/>
      <c r="DP35" s="385"/>
      <c r="DQ35" s="385"/>
      <c r="EI35" s="553"/>
      <c r="EJ35" s="553"/>
      <c r="EK35" s="423"/>
      <c r="EL35" s="555"/>
      <c r="ES35" s="533"/>
      <c r="ET35" s="533"/>
      <c r="EU35" s="533"/>
      <c r="EV35" s="556"/>
      <c r="EY35" s="533"/>
      <c r="EZ35" s="533"/>
      <c r="FA35" s="556"/>
      <c r="FD35" s="556"/>
      <c r="FE35" s="556"/>
      <c r="FF35" s="556"/>
      <c r="FK35" s="557">
        <f t="shared" si="48"/>
        <v>35</v>
      </c>
      <c r="FL35" s="493">
        <f t="shared" si="49"/>
        <v>34.4041</v>
      </c>
      <c r="FM35" s="493">
        <f t="shared" si="50"/>
        <v>18.555199999999999</v>
      </c>
      <c r="FO35" s="427">
        <f t="shared" si="61"/>
        <v>203227.90000000002</v>
      </c>
      <c r="FP35" s="558">
        <f t="shared" si="51"/>
        <v>25204.5</v>
      </c>
      <c r="FQ35" s="558">
        <f t="shared" si="51"/>
        <v>23643.07</v>
      </c>
      <c r="FR35" s="558">
        <f t="shared" si="51"/>
        <v>22077.79</v>
      </c>
      <c r="FS35" s="558">
        <f t="shared" si="51"/>
        <v>20512.5</v>
      </c>
      <c r="FT35" s="558">
        <f t="shared" si="51"/>
        <v>18893.240000000002</v>
      </c>
      <c r="FU35" s="558">
        <f t="shared" si="51"/>
        <v>17227.72</v>
      </c>
      <c r="FV35" s="558">
        <f t="shared" si="51"/>
        <v>15577.62</v>
      </c>
      <c r="FW35" s="558">
        <f t="shared" si="51"/>
        <v>13915.95</v>
      </c>
      <c r="FX35" s="558">
        <f t="shared" si="51"/>
        <v>12196.45</v>
      </c>
      <c r="FY35" s="558">
        <f t="shared" si="51"/>
        <v>10407.549999999999</v>
      </c>
      <c r="FZ35" s="558">
        <f t="shared" si="51"/>
        <v>8607.09</v>
      </c>
      <c r="GA35" s="558">
        <f t="shared" si="51"/>
        <v>6779.64</v>
      </c>
      <c r="GB35" s="558">
        <f t="shared" si="51"/>
        <v>4909.78</v>
      </c>
      <c r="GC35" s="558">
        <f t="shared" si="51"/>
        <v>3032.21</v>
      </c>
      <c r="GD35" s="558">
        <f t="shared" si="51"/>
        <v>1096.81</v>
      </c>
      <c r="GE35" s="558">
        <f t="shared" ref="GE35:GT50" si="66" xml:space="preserve"> IF(  OR( GE$18&gt;$FK35, $FK35&gt;$FP$12 ),  LEER,  ROUND( $FO$19 * ( $FL35 - GE$15 * $FM35 ), GE$17 )  )</f>
        <v>-854.02</v>
      </c>
      <c r="GF35" s="558" t="str">
        <f t="shared" si="66"/>
        <v>.</v>
      </c>
      <c r="GG35" s="558" t="str">
        <f t="shared" si="66"/>
        <v>.</v>
      </c>
      <c r="GH35" s="558" t="str">
        <f t="shared" si="66"/>
        <v>.</v>
      </c>
      <c r="GI35" s="558" t="str">
        <f t="shared" si="66"/>
        <v>.</v>
      </c>
      <c r="GJ35" s="558" t="str">
        <f t="shared" si="52"/>
        <v>.</v>
      </c>
      <c r="GK35" s="558" t="str">
        <f t="shared" si="52"/>
        <v>.</v>
      </c>
      <c r="GL35" s="558" t="str">
        <f t="shared" si="52"/>
        <v>.</v>
      </c>
      <c r="GM35" s="558" t="str">
        <f t="shared" si="52"/>
        <v>.</v>
      </c>
      <c r="GN35" s="558" t="str">
        <f t="shared" si="52"/>
        <v>.</v>
      </c>
      <c r="GO35" s="558" t="str">
        <f t="shared" si="52"/>
        <v>.</v>
      </c>
      <c r="GP35" s="558" t="str">
        <f t="shared" si="52"/>
        <v>.</v>
      </c>
      <c r="GQ35" s="558" t="str">
        <f t="shared" si="52"/>
        <v>.</v>
      </c>
      <c r="GR35" s="558" t="str">
        <f t="shared" si="52"/>
        <v>.</v>
      </c>
      <c r="GS35" s="558" t="str">
        <f t="shared" si="52"/>
        <v>.</v>
      </c>
      <c r="GT35" s="558" t="str">
        <f t="shared" si="52"/>
        <v>.</v>
      </c>
      <c r="GU35" s="558" t="str">
        <f t="shared" si="52"/>
        <v>.</v>
      </c>
      <c r="GV35" s="558" t="str">
        <f t="shared" si="53"/>
        <v>.</v>
      </c>
      <c r="GW35" s="558" t="str">
        <f t="shared" si="53"/>
        <v>.</v>
      </c>
      <c r="GX35" s="558" t="str">
        <f t="shared" si="53"/>
        <v>.</v>
      </c>
      <c r="GY35" s="558" t="str">
        <f t="shared" si="53"/>
        <v>.</v>
      </c>
      <c r="GZ35" s="558" t="str">
        <f t="shared" si="53"/>
        <v>.</v>
      </c>
      <c r="HA35" s="558" t="str">
        <f t="shared" si="53"/>
        <v>.</v>
      </c>
      <c r="HB35" s="558" t="str">
        <f t="shared" si="53"/>
        <v>.</v>
      </c>
      <c r="HC35" s="558" t="str">
        <f t="shared" si="53"/>
        <v>.</v>
      </c>
      <c r="HD35" s="558" t="str">
        <f t="shared" si="53"/>
        <v>.</v>
      </c>
      <c r="HE35" s="558" t="str">
        <f t="shared" si="53"/>
        <v>.</v>
      </c>
      <c r="HF35" s="558" t="str">
        <f t="shared" si="53"/>
        <v>.</v>
      </c>
      <c r="HG35" s="558" t="str">
        <f t="shared" si="53"/>
        <v>.</v>
      </c>
      <c r="HH35" s="558" t="str">
        <f t="shared" si="53"/>
        <v>.</v>
      </c>
      <c r="HI35" s="558" t="str">
        <f t="shared" si="53"/>
        <v>.</v>
      </c>
      <c r="HJ35" s="558" t="str">
        <f t="shared" si="53"/>
        <v>.</v>
      </c>
      <c r="HK35" s="558" t="str">
        <f t="shared" ref="HK35:HO44" si="67" xml:space="preserve"> IF(  OR( HK$18&gt;$FK35, $FK35&gt;$FP$12 ),  LEER,  ROUND( $FO$19 * ( $FL35 - HK$15 * $FM35 ), HK$17 )  )</f>
        <v>.</v>
      </c>
      <c r="HL35" s="558" t="str">
        <f t="shared" si="67"/>
        <v>.</v>
      </c>
      <c r="HM35" s="558" t="str">
        <f t="shared" si="67"/>
        <v>.</v>
      </c>
      <c r="HN35" s="558" t="str">
        <f t="shared" si="67"/>
        <v>.</v>
      </c>
      <c r="HO35" s="558" t="str">
        <f t="shared" si="67"/>
        <v>.</v>
      </c>
      <c r="HP35" s="558" t="str">
        <f t="shared" si="64"/>
        <v>.</v>
      </c>
      <c r="HQ35" s="558" t="str">
        <f t="shared" si="64"/>
        <v>.</v>
      </c>
      <c r="HR35" s="558" t="str">
        <f t="shared" si="64"/>
        <v>.</v>
      </c>
      <c r="HS35" s="558" t="str">
        <f t="shared" si="64"/>
        <v>.</v>
      </c>
      <c r="HT35" s="558" t="str">
        <f t="shared" si="64"/>
        <v>.</v>
      </c>
      <c r="HU35" s="558" t="str">
        <f t="shared" si="64"/>
        <v>.</v>
      </c>
      <c r="HV35" s="558" t="str">
        <f t="shared" si="64"/>
        <v>.</v>
      </c>
      <c r="HW35" s="558" t="str">
        <f t="shared" si="64"/>
        <v>.</v>
      </c>
      <c r="HX35" s="558" t="str">
        <f t="shared" si="64"/>
        <v>.</v>
      </c>
      <c r="HY35" s="558" t="str">
        <f t="shared" si="64"/>
        <v>.</v>
      </c>
      <c r="HZ35" s="558" t="str">
        <f t="shared" si="64"/>
        <v>.</v>
      </c>
      <c r="IA35" s="558" t="str">
        <f t="shared" si="64"/>
        <v>.</v>
      </c>
      <c r="IB35" s="558" t="str">
        <f t="shared" si="64"/>
        <v>.</v>
      </c>
      <c r="IC35" s="558" t="str">
        <f t="shared" si="64"/>
        <v>.</v>
      </c>
      <c r="ID35" s="558" t="str">
        <f t="shared" si="64"/>
        <v>.</v>
      </c>
      <c r="IE35" s="558" t="str">
        <f t="shared" si="64"/>
        <v>.</v>
      </c>
      <c r="IF35" s="558" t="str">
        <f t="shared" si="64"/>
        <v>.</v>
      </c>
      <c r="IG35" s="558" t="str">
        <f t="shared" si="65"/>
        <v>.</v>
      </c>
      <c r="IH35" s="558" t="str">
        <f t="shared" si="65"/>
        <v>.</v>
      </c>
      <c r="II35" s="558" t="str">
        <f t="shared" si="65"/>
        <v>.</v>
      </c>
      <c r="IJ35" s="558" t="str">
        <f t="shared" si="65"/>
        <v>.</v>
      </c>
      <c r="IK35" s="558" t="str">
        <f t="shared" si="65"/>
        <v>.</v>
      </c>
      <c r="IL35" s="558" t="str">
        <f t="shared" si="65"/>
        <v>.</v>
      </c>
      <c r="IM35" s="558" t="str">
        <f t="shared" si="65"/>
        <v>.</v>
      </c>
      <c r="IN35" s="558" t="str">
        <f t="shared" si="65"/>
        <v>.</v>
      </c>
      <c r="IO35" s="558" t="str">
        <f t="shared" si="62"/>
        <v>.</v>
      </c>
      <c r="IP35" s="558" t="str">
        <f t="shared" si="62"/>
        <v>.</v>
      </c>
      <c r="IQ35" s="558" t="str">
        <f t="shared" si="62"/>
        <v>.</v>
      </c>
      <c r="IR35" s="558" t="str">
        <f t="shared" si="62"/>
        <v>.</v>
      </c>
      <c r="IS35" s="558" t="str">
        <f t="shared" si="62"/>
        <v>.</v>
      </c>
      <c r="IT35" s="558" t="str">
        <f t="shared" si="62"/>
        <v>.</v>
      </c>
      <c r="IU35" s="558" t="str">
        <f t="shared" si="62"/>
        <v>.</v>
      </c>
      <c r="IV35" s="558" t="str">
        <f t="shared" si="62"/>
        <v>.</v>
      </c>
      <c r="IW35" s="558" t="str">
        <f t="shared" si="62"/>
        <v>.</v>
      </c>
      <c r="IX35" s="558" t="str">
        <f t="shared" si="62"/>
        <v>.</v>
      </c>
      <c r="IY35" s="558" t="str">
        <f t="shared" si="62"/>
        <v>.</v>
      </c>
      <c r="IZ35" s="558" t="str">
        <f t="shared" si="62"/>
        <v>.</v>
      </c>
      <c r="JA35" s="558" t="str">
        <f t="shared" si="62"/>
        <v>.</v>
      </c>
      <c r="JB35" s="558" t="str">
        <f t="shared" si="62"/>
        <v>.</v>
      </c>
      <c r="JC35" s="558" t="str">
        <f t="shared" si="62"/>
        <v>.</v>
      </c>
      <c r="JD35" s="558" t="str">
        <f t="shared" si="62"/>
        <v>.</v>
      </c>
      <c r="JE35" s="558" t="str">
        <f t="shared" si="62"/>
        <v>.</v>
      </c>
      <c r="JF35" s="558" t="str">
        <f t="shared" si="62"/>
        <v>.</v>
      </c>
      <c r="JG35" s="558" t="str">
        <f t="shared" si="62"/>
        <v>.</v>
      </c>
      <c r="JH35" s="558" t="str">
        <f t="shared" si="56"/>
        <v>.</v>
      </c>
      <c r="JI35" s="558" t="str">
        <f t="shared" si="56"/>
        <v>.</v>
      </c>
      <c r="JJ35" s="558" t="str">
        <f t="shared" si="56"/>
        <v>.</v>
      </c>
      <c r="JK35" s="558" t="str">
        <f t="shared" si="56"/>
        <v>.</v>
      </c>
      <c r="JL35" s="558" t="str">
        <f t="shared" si="56"/>
        <v>.</v>
      </c>
    </row>
    <row r="36" spans="1:272" ht="10.199999999999999" x14ac:dyDescent="0.2">
      <c r="A36" s="534">
        <f xml:space="preserve"> Basis!A36</f>
        <v>36</v>
      </c>
      <c r="F36" s="536">
        <f xml:space="preserve"> ROUND(    IF( $A$15=BE_MF_,   AW36,   INDEX( qx!36:36, F$16 ) ),    F$17    )</f>
        <v>2.9999999999999997E-4</v>
      </c>
      <c r="G36" s="536">
        <f xml:space="preserve"> ROUND(    IF( $A$15=BE_MF_,   BB36,   INDEX( wx!36:36, G$16 ) ),    G$17    )</f>
        <v>4.41E-2</v>
      </c>
      <c r="H36" s="537">
        <f xml:space="preserve"> ROUND(    IF( $A$15=BE_MF_,   BG36,   INDEX( Kx!36:36, H$16 ) ),    H$17    )</f>
        <v>1987.3</v>
      </c>
      <c r="I36" s="538">
        <f t="shared" si="57"/>
        <v>1987.3</v>
      </c>
      <c r="J36" s="539">
        <f t="shared" si="17"/>
        <v>0.95599999999999996</v>
      </c>
      <c r="K36" s="540">
        <f t="shared" si="58"/>
        <v>2</v>
      </c>
      <c r="L36" s="541">
        <f t="shared" si="18"/>
        <v>0</v>
      </c>
      <c r="M36" s="541">
        <f t="shared" si="18"/>
        <v>8.5999999999999993E-2</v>
      </c>
      <c r="O36" s="542" t="b">
        <f t="shared" si="59"/>
        <v>1</v>
      </c>
      <c r="P36" s="493">
        <f t="shared" si="19"/>
        <v>4.4400000000000002E-2</v>
      </c>
      <c r="Q36" s="493">
        <f t="shared" si="20"/>
        <v>0.9556</v>
      </c>
      <c r="R36" s="543">
        <f t="shared" si="21"/>
        <v>1031009</v>
      </c>
      <c r="S36" s="544">
        <f t="shared" si="22"/>
        <v>0.97560975599999999</v>
      </c>
      <c r="T36" s="423">
        <f t="shared" si="23"/>
        <v>423841.33</v>
      </c>
      <c r="U36" s="423">
        <f xml:space="preserve"> IF( $O36,    ROUND(  SUM( T36:T$120), U$17 ),  LEER  )</f>
        <v>8013706.3499999996</v>
      </c>
      <c r="V36" s="493">
        <f t="shared" si="24"/>
        <v>18.907299999999999</v>
      </c>
      <c r="W36" s="493">
        <f t="shared" si="25"/>
        <v>405192.31</v>
      </c>
      <c r="X36" s="493">
        <f xml:space="preserve"> IF( $O36,    ROUND(  SUM( W36:W$120), X$17 ),  LEER  )</f>
        <v>15275457.4</v>
      </c>
      <c r="Y36" s="493">
        <f t="shared" si="26"/>
        <v>36.040500000000002</v>
      </c>
      <c r="Z36" s="493">
        <f t="shared" si="27"/>
        <v>1.9061999999999999</v>
      </c>
      <c r="AA36" s="493">
        <f t="shared" si="28"/>
        <v>1.0097</v>
      </c>
      <c r="AB36" s="493">
        <f t="shared" si="29"/>
        <v>2.3494000000000002</v>
      </c>
      <c r="AC36" s="545">
        <f t="shared" si="30"/>
        <v>0.38600000000000001</v>
      </c>
      <c r="AD36" s="493">
        <f t="shared" si="31"/>
        <v>1.9283999999999999</v>
      </c>
      <c r="AE36" s="493">
        <f t="shared" si="32"/>
        <v>2.5322</v>
      </c>
      <c r="AF36" s="493">
        <f t="shared" si="33"/>
        <v>2.5322</v>
      </c>
      <c r="AG36" s="493" t="str">
        <f t="shared" si="34"/>
        <v>.</v>
      </c>
      <c r="AH36" s="493" t="str">
        <f t="shared" si="35"/>
        <v>.</v>
      </c>
      <c r="AI36" s="423">
        <f t="shared" si="36"/>
        <v>2077.79</v>
      </c>
      <c r="AJ36" s="423">
        <f t="shared" si="37"/>
        <v>5261.38</v>
      </c>
      <c r="AK36" s="423">
        <f t="shared" si="38"/>
        <v>438.45</v>
      </c>
      <c r="AN36" s="423">
        <f t="shared" si="39"/>
        <v>2045.53</v>
      </c>
      <c r="AO36" s="423">
        <f t="shared" si="39"/>
        <v>1173.4000000000001</v>
      </c>
      <c r="AR36" s="546">
        <f xml:space="preserve"> ROUND(  INDEX( Kx!36:36, AR$16 ),  AR$17 )</f>
        <v>0.7742</v>
      </c>
      <c r="AS36" s="547">
        <f xml:space="preserve"> ROUND(  INDEX( qx!36:36, AS$16 ),  AS$17 )</f>
        <v>2.9999999999999997E-4</v>
      </c>
      <c r="AT36" s="547">
        <f xml:space="preserve"> ROUND(  INDEX( qx!36:36, AT$16 ),  AT$17 )</f>
        <v>2.0000000000000001E-4</v>
      </c>
      <c r="AU36" s="548" t="str">
        <f t="shared" si="40"/>
        <v>F</v>
      </c>
      <c r="AV36" s="542">
        <f t="shared" si="41"/>
        <v>0.69569999999999999</v>
      </c>
      <c r="AW36" s="542">
        <f t="shared" si="42"/>
        <v>2.9999999999999997E-4</v>
      </c>
      <c r="AX36" s="546">
        <f xml:space="preserve"> ROUND(  INDEX( wx!36:36, AX$16 ),  AX$17 )</f>
        <v>4.1000000000000002E-2</v>
      </c>
      <c r="AY36" s="546">
        <f xml:space="preserve"> ROUND(  INDEX( wx!36:36, AY$16 ),  AY$17 )</f>
        <v>6.0299999999999999E-2</v>
      </c>
      <c r="AZ36" s="548" t="str">
        <f t="shared" si="43"/>
        <v>M</v>
      </c>
      <c r="BA36" s="542">
        <f t="shared" si="44"/>
        <v>0.83720000000000006</v>
      </c>
      <c r="BB36" s="542">
        <f t="shared" si="45"/>
        <v>4.41E-2</v>
      </c>
      <c r="BC36" s="533">
        <f xml:space="preserve"> ROUND(  INDEX( Kx!36:36, BC$16 ),  BC$17 )</f>
        <v>1490.69</v>
      </c>
      <c r="BD36" s="533">
        <f xml:space="preserve"> ROUND(  INDEX( Kx!36:36, BD$16 ),  BD$17 )</f>
        <v>3122.66</v>
      </c>
      <c r="BE36" s="548" t="str">
        <f t="shared" si="60"/>
        <v>F</v>
      </c>
      <c r="BF36" s="542">
        <f t="shared" si="46"/>
        <v>0.69569999999999999</v>
      </c>
      <c r="BG36" s="420">
        <f t="shared" si="47"/>
        <v>1987.3</v>
      </c>
      <c r="BQ36" s="549"/>
      <c r="BR36" s="423"/>
      <c r="BS36" s="550"/>
      <c r="BT36" s="423"/>
      <c r="BU36" s="551"/>
      <c r="BV36" s="551"/>
      <c r="BW36" s="529"/>
      <c r="BX36" s="552"/>
      <c r="BY36" s="560"/>
      <c r="BZ36" s="559"/>
      <c r="CB36" s="423"/>
      <c r="CC36" s="423"/>
      <c r="CD36" s="423"/>
      <c r="CE36" s="423"/>
      <c r="CF36" s="553"/>
      <c r="CH36" s="423"/>
      <c r="CI36" s="423"/>
      <c r="CJ36" s="423"/>
      <c r="CK36" s="423"/>
      <c r="CL36" s="553"/>
      <c r="CN36" s="423"/>
      <c r="CO36" s="423"/>
      <c r="CP36" s="423"/>
      <c r="CQ36" s="423"/>
      <c r="CR36" s="553"/>
      <c r="DO36" s="385"/>
      <c r="DP36" s="385"/>
      <c r="DQ36" s="385"/>
      <c r="EI36" s="553"/>
      <c r="EJ36" s="553"/>
      <c r="EK36" s="423"/>
      <c r="EL36" s="555"/>
      <c r="ES36" s="533"/>
      <c r="ET36" s="533"/>
      <c r="EU36" s="533"/>
      <c r="EV36" s="556"/>
      <c r="EY36" s="533"/>
      <c r="EZ36" s="533"/>
      <c r="FA36" s="556"/>
      <c r="FD36" s="556"/>
      <c r="FE36" s="556"/>
      <c r="FF36" s="556"/>
      <c r="FK36" s="557">
        <f t="shared" si="48"/>
        <v>36</v>
      </c>
      <c r="FL36" s="493">
        <f t="shared" si="49"/>
        <v>36.040500000000002</v>
      </c>
      <c r="FM36" s="493">
        <f t="shared" si="50"/>
        <v>18.907299999999999</v>
      </c>
      <c r="FO36" s="427">
        <f t="shared" si="61"/>
        <v>238908.83000000002</v>
      </c>
      <c r="FP36" s="558">
        <f t="shared" ref="FP36:GE51" si="68" xml:space="preserve"> IF(  OR( FP$18&gt;$FK36, $FK36&gt;$FP$12 ),  LEER,  ROUND( $FO$19 * ( $FL36 - FP$15 * $FM36 ), FP$17 )  )</f>
        <v>27726.400000000001</v>
      </c>
      <c r="FQ36" s="558">
        <f t="shared" si="68"/>
        <v>26135.34</v>
      </c>
      <c r="FR36" s="558">
        <f t="shared" si="68"/>
        <v>24540.35</v>
      </c>
      <c r="FS36" s="558">
        <f t="shared" si="68"/>
        <v>22945.360000000001</v>
      </c>
      <c r="FT36" s="558">
        <f t="shared" si="68"/>
        <v>21295.38</v>
      </c>
      <c r="FU36" s="558">
        <f t="shared" si="68"/>
        <v>19598.25</v>
      </c>
      <c r="FV36" s="558">
        <f t="shared" si="68"/>
        <v>17916.830000000002</v>
      </c>
      <c r="FW36" s="558">
        <f t="shared" si="68"/>
        <v>16223.63</v>
      </c>
      <c r="FX36" s="558">
        <f t="shared" si="68"/>
        <v>14471.5</v>
      </c>
      <c r="FY36" s="558">
        <f t="shared" si="68"/>
        <v>12648.66</v>
      </c>
      <c r="FZ36" s="558">
        <f t="shared" si="68"/>
        <v>10814.03</v>
      </c>
      <c r="GA36" s="558">
        <f t="shared" si="68"/>
        <v>8951.91</v>
      </c>
      <c r="GB36" s="558">
        <f t="shared" si="68"/>
        <v>7046.56</v>
      </c>
      <c r="GC36" s="558">
        <f t="shared" si="68"/>
        <v>5133.3599999999997</v>
      </c>
      <c r="GD36" s="558">
        <f t="shared" si="68"/>
        <v>3161.24</v>
      </c>
      <c r="GE36" s="558">
        <f t="shared" si="68"/>
        <v>1173.4000000000001</v>
      </c>
      <c r="GF36" s="558">
        <f t="shared" si="66"/>
        <v>-873.37</v>
      </c>
      <c r="GG36" s="558" t="str">
        <f t="shared" si="66"/>
        <v>.</v>
      </c>
      <c r="GH36" s="558" t="str">
        <f t="shared" si="66"/>
        <v>.</v>
      </c>
      <c r="GI36" s="558" t="str">
        <f t="shared" si="66"/>
        <v>.</v>
      </c>
      <c r="GJ36" s="558" t="str">
        <f t="shared" si="66"/>
        <v>.</v>
      </c>
      <c r="GK36" s="558" t="str">
        <f t="shared" si="66"/>
        <v>.</v>
      </c>
      <c r="GL36" s="558" t="str">
        <f t="shared" si="66"/>
        <v>.</v>
      </c>
      <c r="GM36" s="558" t="str">
        <f t="shared" si="66"/>
        <v>.</v>
      </c>
      <c r="GN36" s="558" t="str">
        <f t="shared" si="66"/>
        <v>.</v>
      </c>
      <c r="GO36" s="558" t="str">
        <f t="shared" si="66"/>
        <v>.</v>
      </c>
      <c r="GP36" s="558" t="str">
        <f t="shared" si="66"/>
        <v>.</v>
      </c>
      <c r="GQ36" s="558" t="str">
        <f t="shared" si="66"/>
        <v>.</v>
      </c>
      <c r="GR36" s="558" t="str">
        <f t="shared" si="66"/>
        <v>.</v>
      </c>
      <c r="GS36" s="558" t="str">
        <f t="shared" si="66"/>
        <v>.</v>
      </c>
      <c r="GT36" s="558" t="str">
        <f t="shared" si="66"/>
        <v>.</v>
      </c>
      <c r="GU36" s="558" t="str">
        <f t="shared" ref="GU36:HJ51" si="69" xml:space="preserve"> IF(  OR( GU$18&gt;$FK36, $FK36&gt;$FP$12 ),  LEER,  ROUND( $FO$19 * ( $FL36 - GU$15 * $FM36 ), GU$17 )  )</f>
        <v>.</v>
      </c>
      <c r="GV36" s="558" t="str">
        <f t="shared" si="69"/>
        <v>.</v>
      </c>
      <c r="GW36" s="558" t="str">
        <f t="shared" si="69"/>
        <v>.</v>
      </c>
      <c r="GX36" s="558" t="str">
        <f t="shared" si="69"/>
        <v>.</v>
      </c>
      <c r="GY36" s="558" t="str">
        <f t="shared" si="69"/>
        <v>.</v>
      </c>
      <c r="GZ36" s="558" t="str">
        <f t="shared" si="69"/>
        <v>.</v>
      </c>
      <c r="HA36" s="558" t="str">
        <f t="shared" si="69"/>
        <v>.</v>
      </c>
      <c r="HB36" s="558" t="str">
        <f t="shared" si="69"/>
        <v>.</v>
      </c>
      <c r="HC36" s="558" t="str">
        <f t="shared" si="69"/>
        <v>.</v>
      </c>
      <c r="HD36" s="558" t="str">
        <f t="shared" si="69"/>
        <v>.</v>
      </c>
      <c r="HE36" s="558" t="str">
        <f t="shared" si="69"/>
        <v>.</v>
      </c>
      <c r="HF36" s="558" t="str">
        <f t="shared" si="69"/>
        <v>.</v>
      </c>
      <c r="HG36" s="558" t="str">
        <f t="shared" si="69"/>
        <v>.</v>
      </c>
      <c r="HH36" s="558" t="str">
        <f t="shared" si="69"/>
        <v>.</v>
      </c>
      <c r="HI36" s="558" t="str">
        <f t="shared" si="69"/>
        <v>.</v>
      </c>
      <c r="HJ36" s="558" t="str">
        <f t="shared" si="69"/>
        <v>.</v>
      </c>
      <c r="HK36" s="558" t="str">
        <f t="shared" si="67"/>
        <v>.</v>
      </c>
      <c r="HL36" s="558" t="str">
        <f t="shared" si="67"/>
        <v>.</v>
      </c>
      <c r="HM36" s="558" t="str">
        <f t="shared" si="67"/>
        <v>.</v>
      </c>
      <c r="HN36" s="558" t="str">
        <f t="shared" si="67"/>
        <v>.</v>
      </c>
      <c r="HO36" s="558" t="str">
        <f t="shared" si="67"/>
        <v>.</v>
      </c>
      <c r="HP36" s="558" t="str">
        <f t="shared" si="64"/>
        <v>.</v>
      </c>
      <c r="HQ36" s="558" t="str">
        <f t="shared" si="64"/>
        <v>.</v>
      </c>
      <c r="HR36" s="558" t="str">
        <f t="shared" si="64"/>
        <v>.</v>
      </c>
      <c r="HS36" s="558" t="str">
        <f t="shared" si="64"/>
        <v>.</v>
      </c>
      <c r="HT36" s="558" t="str">
        <f t="shared" si="64"/>
        <v>.</v>
      </c>
      <c r="HU36" s="558" t="str">
        <f t="shared" si="64"/>
        <v>.</v>
      </c>
      <c r="HV36" s="558" t="str">
        <f t="shared" si="64"/>
        <v>.</v>
      </c>
      <c r="HW36" s="558" t="str">
        <f t="shared" si="64"/>
        <v>.</v>
      </c>
      <c r="HX36" s="558" t="str">
        <f t="shared" si="64"/>
        <v>.</v>
      </c>
      <c r="HY36" s="558" t="str">
        <f t="shared" si="64"/>
        <v>.</v>
      </c>
      <c r="HZ36" s="558" t="str">
        <f t="shared" si="64"/>
        <v>.</v>
      </c>
      <c r="IA36" s="558" t="str">
        <f t="shared" si="64"/>
        <v>.</v>
      </c>
      <c r="IB36" s="558" t="str">
        <f t="shared" si="64"/>
        <v>.</v>
      </c>
      <c r="IC36" s="558" t="str">
        <f t="shared" si="64"/>
        <v>.</v>
      </c>
      <c r="ID36" s="558" t="str">
        <f t="shared" si="64"/>
        <v>.</v>
      </c>
      <c r="IE36" s="558" t="str">
        <f t="shared" si="64"/>
        <v>.</v>
      </c>
      <c r="IF36" s="558" t="str">
        <f t="shared" si="64"/>
        <v>.</v>
      </c>
      <c r="IG36" s="558" t="str">
        <f t="shared" si="65"/>
        <v>.</v>
      </c>
      <c r="IH36" s="558" t="str">
        <f t="shared" si="65"/>
        <v>.</v>
      </c>
      <c r="II36" s="558" t="str">
        <f t="shared" si="65"/>
        <v>.</v>
      </c>
      <c r="IJ36" s="558" t="str">
        <f t="shared" si="65"/>
        <v>.</v>
      </c>
      <c r="IK36" s="558" t="str">
        <f t="shared" si="65"/>
        <v>.</v>
      </c>
      <c r="IL36" s="558" t="str">
        <f t="shared" si="65"/>
        <v>.</v>
      </c>
      <c r="IM36" s="558" t="str">
        <f t="shared" si="65"/>
        <v>.</v>
      </c>
      <c r="IN36" s="558" t="str">
        <f t="shared" si="65"/>
        <v>.</v>
      </c>
      <c r="IO36" s="558" t="str">
        <f t="shared" si="62"/>
        <v>.</v>
      </c>
      <c r="IP36" s="558" t="str">
        <f t="shared" si="62"/>
        <v>.</v>
      </c>
      <c r="IQ36" s="558" t="str">
        <f t="shared" si="62"/>
        <v>.</v>
      </c>
      <c r="IR36" s="558" t="str">
        <f t="shared" si="62"/>
        <v>.</v>
      </c>
      <c r="IS36" s="558" t="str">
        <f t="shared" si="62"/>
        <v>.</v>
      </c>
      <c r="IT36" s="558" t="str">
        <f t="shared" si="62"/>
        <v>.</v>
      </c>
      <c r="IU36" s="558" t="str">
        <f t="shared" si="62"/>
        <v>.</v>
      </c>
      <c r="IV36" s="558" t="str">
        <f t="shared" si="62"/>
        <v>.</v>
      </c>
      <c r="IW36" s="558" t="str">
        <f t="shared" si="62"/>
        <v>.</v>
      </c>
      <c r="IX36" s="558" t="str">
        <f t="shared" si="62"/>
        <v>.</v>
      </c>
      <c r="IY36" s="558" t="str">
        <f t="shared" si="62"/>
        <v>.</v>
      </c>
      <c r="IZ36" s="558" t="str">
        <f t="shared" si="62"/>
        <v>.</v>
      </c>
      <c r="JA36" s="558" t="str">
        <f t="shared" si="62"/>
        <v>.</v>
      </c>
      <c r="JB36" s="558" t="str">
        <f t="shared" si="62"/>
        <v>.</v>
      </c>
      <c r="JC36" s="558" t="str">
        <f t="shared" si="62"/>
        <v>.</v>
      </c>
      <c r="JD36" s="558" t="str">
        <f t="shared" si="62"/>
        <v>.</v>
      </c>
      <c r="JE36" s="558" t="str">
        <f t="shared" si="62"/>
        <v>.</v>
      </c>
      <c r="JF36" s="558" t="str">
        <f t="shared" si="62"/>
        <v>.</v>
      </c>
      <c r="JG36" s="558" t="str">
        <f t="shared" si="62"/>
        <v>.</v>
      </c>
      <c r="JH36" s="558" t="str">
        <f t="shared" ref="JH36:JL51" si="70" xml:space="preserve"> IF(  OR( JH$18&gt;$FK36, $FK36&gt;$FP$12 ),  LEER,  ROUND( $FO$19 * ( $FL36 - JH$15 * $FM36 ), JH$17 )  )</f>
        <v>.</v>
      </c>
      <c r="JI36" s="558" t="str">
        <f t="shared" si="70"/>
        <v>.</v>
      </c>
      <c r="JJ36" s="558" t="str">
        <f t="shared" si="70"/>
        <v>.</v>
      </c>
      <c r="JK36" s="558" t="str">
        <f t="shared" si="70"/>
        <v>.</v>
      </c>
      <c r="JL36" s="558" t="str">
        <f t="shared" si="70"/>
        <v>.</v>
      </c>
    </row>
    <row r="37" spans="1:272" ht="10.199999999999999" x14ac:dyDescent="0.2">
      <c r="A37" s="534">
        <f xml:space="preserve"> Basis!A37</f>
        <v>37</v>
      </c>
      <c r="F37" s="536">
        <f xml:space="preserve"> ROUND(    IF( $A$15=BE_MF_,   AW37,   INDEX( qx!37:37, F$16 ) ),    F$17    )</f>
        <v>2.9999999999999997E-4</v>
      </c>
      <c r="G37" s="536">
        <f xml:space="preserve"> ROUND(    IF( $A$15=BE_MF_,   BB37,   INDEX( wx!37:37, G$16 ) ),    G$17    )</f>
        <v>4.0399999999999998E-2</v>
      </c>
      <c r="H37" s="537">
        <f xml:space="preserve"> ROUND(    IF( $A$15=BE_MF_,   BG37,   INDEX( Kx!37:37, H$16 ) ),    H$17    )</f>
        <v>2009.02</v>
      </c>
      <c r="I37" s="538">
        <f t="shared" si="57"/>
        <v>2009.02</v>
      </c>
      <c r="J37" s="539">
        <f t="shared" si="17"/>
        <v>0.96699999999999997</v>
      </c>
      <c r="K37" s="540">
        <f t="shared" si="58"/>
        <v>2</v>
      </c>
      <c r="L37" s="541">
        <f t="shared" si="18"/>
        <v>0</v>
      </c>
      <c r="M37" s="541">
        <f t="shared" si="18"/>
        <v>8.5999999999999993E-2</v>
      </c>
      <c r="O37" s="542" t="b">
        <f t="shared" si="59"/>
        <v>1</v>
      </c>
      <c r="P37" s="493">
        <f t="shared" si="19"/>
        <v>4.07E-2</v>
      </c>
      <c r="Q37" s="493">
        <f t="shared" si="20"/>
        <v>0.95930000000000004</v>
      </c>
      <c r="R37" s="543">
        <f t="shared" si="21"/>
        <v>985232</v>
      </c>
      <c r="S37" s="544">
        <f t="shared" si="22"/>
        <v>0.97560975599999999</v>
      </c>
      <c r="T37" s="423">
        <f t="shared" si="23"/>
        <v>395144.09</v>
      </c>
      <c r="U37" s="423">
        <f xml:space="preserve"> IF( $O37,    ROUND(  SUM( T37:T$120), U$17 ),  LEER  )</f>
        <v>7589865.0199999996</v>
      </c>
      <c r="V37" s="493">
        <f t="shared" si="24"/>
        <v>19.207799999999999</v>
      </c>
      <c r="W37" s="493">
        <f t="shared" si="25"/>
        <v>382104.34</v>
      </c>
      <c r="X37" s="493">
        <f xml:space="preserve"> IF( $O37,    ROUND(  SUM( W37:W$120), X$17 ),  LEER  )</f>
        <v>14870265.09</v>
      </c>
      <c r="Y37" s="493">
        <f t="shared" si="26"/>
        <v>37.6325</v>
      </c>
      <c r="Z37" s="493">
        <f t="shared" si="27"/>
        <v>1.9592000000000001</v>
      </c>
      <c r="AA37" s="493">
        <f t="shared" si="28"/>
        <v>1.0096000000000001</v>
      </c>
      <c r="AB37" s="493">
        <f t="shared" si="29"/>
        <v>2.3494000000000002</v>
      </c>
      <c r="AC37" s="545">
        <f t="shared" si="30"/>
        <v>0.38600000000000001</v>
      </c>
      <c r="AD37" s="493">
        <f t="shared" si="31"/>
        <v>1.9817</v>
      </c>
      <c r="AE37" s="493">
        <f t="shared" si="32"/>
        <v>2.5905</v>
      </c>
      <c r="AF37" s="493">
        <f t="shared" si="33"/>
        <v>2.5905</v>
      </c>
      <c r="AG37" s="493" t="str">
        <f t="shared" si="34"/>
        <v>.</v>
      </c>
      <c r="AH37" s="493" t="str">
        <f t="shared" si="35"/>
        <v>.</v>
      </c>
      <c r="AI37" s="423">
        <f t="shared" si="36"/>
        <v>2077.79</v>
      </c>
      <c r="AJ37" s="423">
        <f t="shared" si="37"/>
        <v>5382.51</v>
      </c>
      <c r="AK37" s="423">
        <f t="shared" si="38"/>
        <v>448.54</v>
      </c>
      <c r="AN37" s="423">
        <f t="shared" si="39"/>
        <v>4195.72</v>
      </c>
      <c r="AO37" s="423">
        <f t="shared" si="39"/>
        <v>3309.72</v>
      </c>
      <c r="AR37" s="546">
        <f xml:space="preserve"> ROUND(  INDEX( Kx!37:37, AR$16 ),  AR$17 )</f>
        <v>0.7792</v>
      </c>
      <c r="AS37" s="547">
        <f xml:space="preserve"> ROUND(  INDEX( qx!37:37, AS$16 ),  AS$17 )</f>
        <v>2.9999999999999997E-4</v>
      </c>
      <c r="AT37" s="547">
        <f xml:space="preserve"> ROUND(  INDEX( qx!37:37, AT$16 ),  AT$17 )</f>
        <v>2.0000000000000001E-4</v>
      </c>
      <c r="AU37" s="548" t="str">
        <f t="shared" si="40"/>
        <v>F</v>
      </c>
      <c r="AV37" s="542">
        <f t="shared" si="41"/>
        <v>0.70169999999999999</v>
      </c>
      <c r="AW37" s="542">
        <f t="shared" si="42"/>
        <v>2.9999999999999997E-4</v>
      </c>
      <c r="AX37" s="546">
        <f xml:space="preserve"> ROUND(  INDEX( wx!37:37, AX$16 ),  AX$17 )</f>
        <v>3.7499999999999999E-2</v>
      </c>
      <c r="AY37" s="546">
        <f xml:space="preserve"> ROUND(  INDEX( wx!37:37, AY$16 ),  AY$17 )</f>
        <v>5.5800000000000002E-2</v>
      </c>
      <c r="AZ37" s="548" t="str">
        <f t="shared" si="43"/>
        <v>M</v>
      </c>
      <c r="BA37" s="542">
        <f t="shared" si="44"/>
        <v>0.84109999999999996</v>
      </c>
      <c r="BB37" s="542">
        <f t="shared" si="45"/>
        <v>4.0399999999999998E-2</v>
      </c>
      <c r="BC37" s="533">
        <f xml:space="preserve"> ROUND(  INDEX( Kx!37:37, BC$16 ),  BC$17 )</f>
        <v>1540.58</v>
      </c>
      <c r="BD37" s="533">
        <f xml:space="preserve"> ROUND(  INDEX( Kx!37:37, BD$16 ),  BD$17 )</f>
        <v>3110.94</v>
      </c>
      <c r="BE37" s="548" t="str">
        <f t="shared" si="60"/>
        <v>F</v>
      </c>
      <c r="BF37" s="542">
        <f t="shared" si="46"/>
        <v>0.70169999999999999</v>
      </c>
      <c r="BG37" s="420">
        <f t="shared" si="47"/>
        <v>2009.02</v>
      </c>
      <c r="BQ37" s="549"/>
      <c r="BR37" s="423"/>
      <c r="BS37" s="550"/>
      <c r="BT37" s="423"/>
      <c r="BU37" s="551"/>
      <c r="BV37" s="551"/>
      <c r="BW37" s="529"/>
      <c r="BX37" s="552"/>
      <c r="BY37" s="560"/>
      <c r="BZ37" s="559"/>
      <c r="CB37" s="423"/>
      <c r="CC37" s="423"/>
      <c r="CD37" s="423"/>
      <c r="CE37" s="423"/>
      <c r="CF37" s="553"/>
      <c r="CH37" s="423"/>
      <c r="CI37" s="423"/>
      <c r="CJ37" s="423"/>
      <c r="CK37" s="423"/>
      <c r="CL37" s="553"/>
      <c r="CN37" s="423"/>
      <c r="CO37" s="423"/>
      <c r="CP37" s="423"/>
      <c r="CQ37" s="423"/>
      <c r="CR37" s="553"/>
      <c r="EI37" s="553"/>
      <c r="EJ37" s="553"/>
      <c r="EK37" s="423"/>
      <c r="EL37" s="555"/>
      <c r="ES37" s="533"/>
      <c r="ET37" s="533"/>
      <c r="EU37" s="533"/>
      <c r="EV37" s="556"/>
      <c r="EY37" s="533"/>
      <c r="EZ37" s="533"/>
      <c r="FA37" s="556"/>
      <c r="FD37" s="556"/>
      <c r="FE37" s="556"/>
      <c r="FF37" s="556"/>
      <c r="FK37" s="557">
        <f t="shared" si="48"/>
        <v>37</v>
      </c>
      <c r="FL37" s="493">
        <f t="shared" si="49"/>
        <v>37.6325</v>
      </c>
      <c r="FM37" s="493">
        <f t="shared" si="50"/>
        <v>19.207799999999999</v>
      </c>
      <c r="FO37" s="427">
        <f t="shared" si="61"/>
        <v>277809.6399999999</v>
      </c>
      <c r="FP37" s="558">
        <f t="shared" si="68"/>
        <v>30284.74</v>
      </c>
      <c r="FQ37" s="558">
        <f t="shared" si="68"/>
        <v>28668.39</v>
      </c>
      <c r="FR37" s="558">
        <f t="shared" si="68"/>
        <v>27048.06</v>
      </c>
      <c r="FS37" s="558">
        <f t="shared" si="68"/>
        <v>25427.72</v>
      </c>
      <c r="FT37" s="558">
        <f t="shared" si="68"/>
        <v>23751.51</v>
      </c>
      <c r="FU37" s="558">
        <f t="shared" si="68"/>
        <v>22027.41</v>
      </c>
      <c r="FV37" s="558">
        <f t="shared" si="68"/>
        <v>20319.27</v>
      </c>
      <c r="FW37" s="558">
        <f t="shared" si="68"/>
        <v>18599.16</v>
      </c>
      <c r="FX37" s="558">
        <f t="shared" si="68"/>
        <v>16819.18</v>
      </c>
      <c r="FY37" s="558">
        <f t="shared" si="68"/>
        <v>14967.37</v>
      </c>
      <c r="FZ37" s="558">
        <f t="shared" si="68"/>
        <v>13103.58</v>
      </c>
      <c r="GA37" s="558">
        <f t="shared" si="68"/>
        <v>11211.86</v>
      </c>
      <c r="GB37" s="558">
        <f t="shared" si="68"/>
        <v>9276.23</v>
      </c>
      <c r="GC37" s="558">
        <f t="shared" si="68"/>
        <v>7332.63</v>
      </c>
      <c r="GD37" s="558">
        <f t="shared" si="68"/>
        <v>5329.16</v>
      </c>
      <c r="GE37" s="558">
        <f t="shared" si="68"/>
        <v>3309.72</v>
      </c>
      <c r="GF37" s="558">
        <f t="shared" si="66"/>
        <v>1230.42</v>
      </c>
      <c r="GG37" s="558">
        <f t="shared" si="66"/>
        <v>-896.77</v>
      </c>
      <c r="GH37" s="558" t="str">
        <f t="shared" si="66"/>
        <v>.</v>
      </c>
      <c r="GI37" s="558" t="str">
        <f t="shared" si="66"/>
        <v>.</v>
      </c>
      <c r="GJ37" s="558" t="str">
        <f t="shared" si="66"/>
        <v>.</v>
      </c>
      <c r="GK37" s="558" t="str">
        <f t="shared" si="66"/>
        <v>.</v>
      </c>
      <c r="GL37" s="558" t="str">
        <f t="shared" si="66"/>
        <v>.</v>
      </c>
      <c r="GM37" s="558" t="str">
        <f t="shared" si="66"/>
        <v>.</v>
      </c>
      <c r="GN37" s="558" t="str">
        <f t="shared" si="66"/>
        <v>.</v>
      </c>
      <c r="GO37" s="558" t="str">
        <f t="shared" si="66"/>
        <v>.</v>
      </c>
      <c r="GP37" s="558" t="str">
        <f t="shared" si="66"/>
        <v>.</v>
      </c>
      <c r="GQ37" s="558" t="str">
        <f t="shared" si="66"/>
        <v>.</v>
      </c>
      <c r="GR37" s="558" t="str">
        <f t="shared" si="66"/>
        <v>.</v>
      </c>
      <c r="GS37" s="558" t="str">
        <f t="shared" si="66"/>
        <v>.</v>
      </c>
      <c r="GT37" s="558" t="str">
        <f t="shared" si="66"/>
        <v>.</v>
      </c>
      <c r="GU37" s="558" t="str">
        <f t="shared" si="69"/>
        <v>.</v>
      </c>
      <c r="GV37" s="558" t="str">
        <f t="shared" si="69"/>
        <v>.</v>
      </c>
      <c r="GW37" s="558" t="str">
        <f t="shared" si="69"/>
        <v>.</v>
      </c>
      <c r="GX37" s="558" t="str">
        <f t="shared" si="69"/>
        <v>.</v>
      </c>
      <c r="GY37" s="558" t="str">
        <f t="shared" si="69"/>
        <v>.</v>
      </c>
      <c r="GZ37" s="558" t="str">
        <f t="shared" si="69"/>
        <v>.</v>
      </c>
      <c r="HA37" s="558" t="str">
        <f t="shared" si="69"/>
        <v>.</v>
      </c>
      <c r="HB37" s="558" t="str">
        <f t="shared" si="69"/>
        <v>.</v>
      </c>
      <c r="HC37" s="558" t="str">
        <f t="shared" si="69"/>
        <v>.</v>
      </c>
      <c r="HD37" s="558" t="str">
        <f t="shared" si="69"/>
        <v>.</v>
      </c>
      <c r="HE37" s="558" t="str">
        <f t="shared" si="69"/>
        <v>.</v>
      </c>
      <c r="HF37" s="558" t="str">
        <f t="shared" si="69"/>
        <v>.</v>
      </c>
      <c r="HG37" s="558" t="str">
        <f t="shared" si="69"/>
        <v>.</v>
      </c>
      <c r="HH37" s="558" t="str">
        <f t="shared" si="69"/>
        <v>.</v>
      </c>
      <c r="HI37" s="558" t="str">
        <f t="shared" si="69"/>
        <v>.</v>
      </c>
      <c r="HJ37" s="558" t="str">
        <f t="shared" si="69"/>
        <v>.</v>
      </c>
      <c r="HK37" s="558" t="str">
        <f t="shared" si="67"/>
        <v>.</v>
      </c>
      <c r="HL37" s="558" t="str">
        <f t="shared" si="67"/>
        <v>.</v>
      </c>
      <c r="HM37" s="558" t="str">
        <f t="shared" si="67"/>
        <v>.</v>
      </c>
      <c r="HN37" s="558" t="str">
        <f t="shared" si="67"/>
        <v>.</v>
      </c>
      <c r="HO37" s="558" t="str">
        <f t="shared" si="67"/>
        <v>.</v>
      </c>
      <c r="HP37" s="558" t="str">
        <f t="shared" si="64"/>
        <v>.</v>
      </c>
      <c r="HQ37" s="558" t="str">
        <f t="shared" si="64"/>
        <v>.</v>
      </c>
      <c r="HR37" s="558" t="str">
        <f t="shared" si="64"/>
        <v>.</v>
      </c>
      <c r="HS37" s="558" t="str">
        <f t="shared" si="64"/>
        <v>.</v>
      </c>
      <c r="HT37" s="558" t="str">
        <f t="shared" si="64"/>
        <v>.</v>
      </c>
      <c r="HU37" s="558" t="str">
        <f t="shared" si="64"/>
        <v>.</v>
      </c>
      <c r="HV37" s="558" t="str">
        <f t="shared" si="64"/>
        <v>.</v>
      </c>
      <c r="HW37" s="558" t="str">
        <f t="shared" si="64"/>
        <v>.</v>
      </c>
      <c r="HX37" s="558" t="str">
        <f t="shared" si="64"/>
        <v>.</v>
      </c>
      <c r="HY37" s="558" t="str">
        <f t="shared" si="64"/>
        <v>.</v>
      </c>
      <c r="HZ37" s="558" t="str">
        <f t="shared" si="64"/>
        <v>.</v>
      </c>
      <c r="IA37" s="558" t="str">
        <f t="shared" si="64"/>
        <v>.</v>
      </c>
      <c r="IB37" s="558" t="str">
        <f t="shared" si="64"/>
        <v>.</v>
      </c>
      <c r="IC37" s="558" t="str">
        <f t="shared" si="64"/>
        <v>.</v>
      </c>
      <c r="ID37" s="558" t="str">
        <f t="shared" si="64"/>
        <v>.</v>
      </c>
      <c r="IE37" s="558" t="str">
        <f t="shared" si="64"/>
        <v>.</v>
      </c>
      <c r="IF37" s="558" t="str">
        <f t="shared" si="64"/>
        <v>.</v>
      </c>
      <c r="IG37" s="558" t="str">
        <f t="shared" si="65"/>
        <v>.</v>
      </c>
      <c r="IH37" s="558" t="str">
        <f t="shared" si="65"/>
        <v>.</v>
      </c>
      <c r="II37" s="558" t="str">
        <f t="shared" si="65"/>
        <v>.</v>
      </c>
      <c r="IJ37" s="558" t="str">
        <f t="shared" si="65"/>
        <v>.</v>
      </c>
      <c r="IK37" s="558" t="str">
        <f t="shared" si="65"/>
        <v>.</v>
      </c>
      <c r="IL37" s="558" t="str">
        <f t="shared" si="65"/>
        <v>.</v>
      </c>
      <c r="IM37" s="558" t="str">
        <f t="shared" si="65"/>
        <v>.</v>
      </c>
      <c r="IN37" s="558" t="str">
        <f t="shared" si="65"/>
        <v>.</v>
      </c>
      <c r="IO37" s="558" t="str">
        <f t="shared" si="62"/>
        <v>.</v>
      </c>
      <c r="IP37" s="558" t="str">
        <f t="shared" si="62"/>
        <v>.</v>
      </c>
      <c r="IQ37" s="558" t="str">
        <f t="shared" si="62"/>
        <v>.</v>
      </c>
      <c r="IR37" s="558" t="str">
        <f t="shared" si="62"/>
        <v>.</v>
      </c>
      <c r="IS37" s="558" t="str">
        <f t="shared" si="62"/>
        <v>.</v>
      </c>
      <c r="IT37" s="558" t="str">
        <f t="shared" si="62"/>
        <v>.</v>
      </c>
      <c r="IU37" s="558" t="str">
        <f t="shared" si="62"/>
        <v>.</v>
      </c>
      <c r="IV37" s="558" t="str">
        <f t="shared" si="62"/>
        <v>.</v>
      </c>
      <c r="IW37" s="558" t="str">
        <f t="shared" si="62"/>
        <v>.</v>
      </c>
      <c r="IX37" s="558" t="str">
        <f t="shared" si="62"/>
        <v>.</v>
      </c>
      <c r="IY37" s="558" t="str">
        <f t="shared" si="62"/>
        <v>.</v>
      </c>
      <c r="IZ37" s="558" t="str">
        <f t="shared" si="62"/>
        <v>.</v>
      </c>
      <c r="JA37" s="558" t="str">
        <f t="shared" si="62"/>
        <v>.</v>
      </c>
      <c r="JB37" s="558" t="str">
        <f t="shared" si="62"/>
        <v>.</v>
      </c>
      <c r="JC37" s="558" t="str">
        <f t="shared" si="62"/>
        <v>.</v>
      </c>
      <c r="JD37" s="558" t="str">
        <f t="shared" si="62"/>
        <v>.</v>
      </c>
      <c r="JE37" s="558" t="str">
        <f t="shared" si="62"/>
        <v>.</v>
      </c>
      <c r="JF37" s="558" t="str">
        <f t="shared" si="62"/>
        <v>.</v>
      </c>
      <c r="JG37" s="558" t="str">
        <f t="shared" si="62"/>
        <v>.</v>
      </c>
      <c r="JH37" s="558" t="str">
        <f t="shared" si="70"/>
        <v>.</v>
      </c>
      <c r="JI37" s="558" t="str">
        <f t="shared" si="70"/>
        <v>.</v>
      </c>
      <c r="JJ37" s="558" t="str">
        <f t="shared" si="70"/>
        <v>.</v>
      </c>
      <c r="JK37" s="558" t="str">
        <f t="shared" si="70"/>
        <v>.</v>
      </c>
      <c r="JL37" s="558" t="str">
        <f t="shared" si="70"/>
        <v>.</v>
      </c>
    </row>
    <row r="38" spans="1:272" ht="10.199999999999999" x14ac:dyDescent="0.2">
      <c r="A38" s="534">
        <f xml:space="preserve"> Basis!A38</f>
        <v>38</v>
      </c>
      <c r="F38" s="536">
        <f xml:space="preserve"> ROUND(    IF( $A$15=BE_MF_,   AW38,   INDEX( qx!38:38, F$16 ) ),    F$17    )</f>
        <v>4.0000000000000002E-4</v>
      </c>
      <c r="G38" s="536">
        <f xml:space="preserve"> ROUND(    IF( $A$15=BE_MF_,   BB38,   INDEX( wx!38:38, G$16 ) ),    G$17    )</f>
        <v>3.7100000000000001E-2</v>
      </c>
      <c r="H38" s="537">
        <f xml:space="preserve"> ROUND(    IF( $A$15=BE_MF_,   BG38,   INDEX( Kx!38:38, H$16 ) ),    H$17    )</f>
        <v>2034.22</v>
      </c>
      <c r="I38" s="538">
        <f t="shared" si="57"/>
        <v>2034.22</v>
      </c>
      <c r="J38" s="539">
        <f t="shared" si="17"/>
        <v>0.97899999999999998</v>
      </c>
      <c r="K38" s="540">
        <f t="shared" si="58"/>
        <v>2</v>
      </c>
      <c r="L38" s="541">
        <f t="shared" si="18"/>
        <v>0</v>
      </c>
      <c r="M38" s="541">
        <f t="shared" si="18"/>
        <v>8.5999999999999993E-2</v>
      </c>
      <c r="O38" s="542" t="b">
        <f t="shared" si="59"/>
        <v>1</v>
      </c>
      <c r="P38" s="493">
        <f t="shared" si="19"/>
        <v>3.7499999999999999E-2</v>
      </c>
      <c r="Q38" s="493">
        <f t="shared" si="20"/>
        <v>0.96250000000000002</v>
      </c>
      <c r="R38" s="543">
        <f t="shared" si="21"/>
        <v>945133</v>
      </c>
      <c r="S38" s="544">
        <f t="shared" si="22"/>
        <v>0.97560975599999999</v>
      </c>
      <c r="T38" s="423">
        <f t="shared" si="23"/>
        <v>369816.29</v>
      </c>
      <c r="U38" s="423">
        <f xml:space="preserve"> IF( $O38,    ROUND(  SUM( T38:T$120), U$17 ),  LEER  )</f>
        <v>7194720.9299999997</v>
      </c>
      <c r="V38" s="493">
        <f t="shared" si="24"/>
        <v>19.454899999999999</v>
      </c>
      <c r="W38" s="493">
        <f t="shared" si="25"/>
        <v>362050.15</v>
      </c>
      <c r="X38" s="493">
        <f xml:space="preserve"> IF( $O38,    ROUND(  SUM( W38:W$120), X$17 ),  LEER  )</f>
        <v>14488160.75</v>
      </c>
      <c r="Y38" s="493">
        <f t="shared" si="26"/>
        <v>39.176600000000001</v>
      </c>
      <c r="Z38" s="493">
        <f t="shared" si="27"/>
        <v>2.0137</v>
      </c>
      <c r="AA38" s="493">
        <f t="shared" si="28"/>
        <v>1.0095000000000001</v>
      </c>
      <c r="AB38" s="493">
        <f t="shared" si="29"/>
        <v>2.3494000000000002</v>
      </c>
      <c r="AC38" s="545">
        <f t="shared" si="30"/>
        <v>0.38600000000000001</v>
      </c>
      <c r="AD38" s="493">
        <f t="shared" si="31"/>
        <v>2.0365000000000002</v>
      </c>
      <c r="AE38" s="493">
        <f t="shared" si="32"/>
        <v>2.6503999999999999</v>
      </c>
      <c r="AF38" s="493">
        <f t="shared" si="33"/>
        <v>2.6503999999999999</v>
      </c>
      <c r="AG38" s="493" t="str">
        <f t="shared" si="34"/>
        <v>.</v>
      </c>
      <c r="AH38" s="493" t="str">
        <f t="shared" si="35"/>
        <v>.</v>
      </c>
      <c r="AI38" s="423">
        <f t="shared" si="36"/>
        <v>2077.79</v>
      </c>
      <c r="AJ38" s="423">
        <f t="shared" si="37"/>
        <v>5506.97</v>
      </c>
      <c r="AK38" s="423">
        <f t="shared" si="38"/>
        <v>458.91</v>
      </c>
      <c r="AN38" s="423">
        <f t="shared" si="39"/>
        <v>6452.1</v>
      </c>
      <c r="AO38" s="423">
        <f t="shared" si="39"/>
        <v>5554.7</v>
      </c>
      <c r="AR38" s="546">
        <f xml:space="preserve"> ROUND(  INDEX( Kx!38:38, AR$16 ),  AR$17 )</f>
        <v>0.78149999999999997</v>
      </c>
      <c r="AS38" s="547">
        <f xml:space="preserve"> ROUND(  INDEX( qx!38:38, AS$16 ),  AS$17 )</f>
        <v>4.0000000000000002E-4</v>
      </c>
      <c r="AT38" s="547">
        <f xml:space="preserve"> ROUND(  INDEX( qx!38:38, AT$16 ),  AT$17 )</f>
        <v>2.9999999999999997E-4</v>
      </c>
      <c r="AU38" s="548" t="str">
        <f t="shared" si="40"/>
        <v>F</v>
      </c>
      <c r="AV38" s="542">
        <f t="shared" si="41"/>
        <v>0.70450000000000002</v>
      </c>
      <c r="AW38" s="542">
        <f t="shared" si="42"/>
        <v>4.0000000000000002E-4</v>
      </c>
      <c r="AX38" s="546">
        <f xml:space="preserve"> ROUND(  INDEX( wx!38:38, AX$16 ),  AX$17 )</f>
        <v>3.44E-2</v>
      </c>
      <c r="AY38" s="546">
        <f xml:space="preserve"> ROUND(  INDEX( wx!38:38, AY$16 ),  AY$17 )</f>
        <v>5.1700000000000003E-2</v>
      </c>
      <c r="AZ38" s="548" t="str">
        <f t="shared" si="43"/>
        <v>M</v>
      </c>
      <c r="BA38" s="542">
        <f t="shared" si="44"/>
        <v>0.84289999999999998</v>
      </c>
      <c r="BB38" s="542">
        <f t="shared" si="45"/>
        <v>3.7100000000000001E-2</v>
      </c>
      <c r="BC38" s="533">
        <f xml:space="preserve"> ROUND(  INDEX( Kx!38:38, BC$16 ),  BC$17 )</f>
        <v>1594.24</v>
      </c>
      <c r="BD38" s="533">
        <f xml:space="preserve"> ROUND(  INDEX( Kx!38:38, BD$16 ),  BD$17 )</f>
        <v>3083.16</v>
      </c>
      <c r="BE38" s="548" t="str">
        <f t="shared" si="60"/>
        <v>F</v>
      </c>
      <c r="BF38" s="542">
        <f t="shared" si="46"/>
        <v>0.70450000000000002</v>
      </c>
      <c r="BG38" s="420">
        <f t="shared" si="47"/>
        <v>2034.22</v>
      </c>
      <c r="BQ38" s="549"/>
      <c r="BR38" s="423"/>
      <c r="BS38" s="550"/>
      <c r="BT38" s="423"/>
      <c r="BU38" s="551"/>
      <c r="BV38" s="551"/>
      <c r="BW38" s="529"/>
      <c r="BX38" s="552"/>
      <c r="BY38" s="560"/>
      <c r="BZ38" s="559"/>
      <c r="CB38" s="423"/>
      <c r="CC38" s="423"/>
      <c r="CD38" s="423"/>
      <c r="CE38" s="423"/>
      <c r="CF38" s="553"/>
      <c r="CH38" s="423"/>
      <c r="CI38" s="423"/>
      <c r="CJ38" s="423"/>
      <c r="CK38" s="423"/>
      <c r="CL38" s="553"/>
      <c r="CN38" s="423"/>
      <c r="CO38" s="423"/>
      <c r="CP38" s="423"/>
      <c r="CQ38" s="423"/>
      <c r="CR38" s="553"/>
      <c r="EI38" s="553"/>
      <c r="EJ38" s="553"/>
      <c r="EK38" s="423"/>
      <c r="EL38" s="555"/>
      <c r="ES38" s="533"/>
      <c r="ET38" s="533"/>
      <c r="EU38" s="533"/>
      <c r="EV38" s="556"/>
      <c r="EY38" s="533"/>
      <c r="EZ38" s="533"/>
      <c r="FA38" s="556"/>
      <c r="FD38" s="556"/>
      <c r="FE38" s="556"/>
      <c r="FF38" s="556"/>
      <c r="FK38" s="557">
        <f t="shared" si="48"/>
        <v>38</v>
      </c>
      <c r="FL38" s="493">
        <f t="shared" si="49"/>
        <v>39.176600000000001</v>
      </c>
      <c r="FM38" s="493">
        <f t="shared" si="50"/>
        <v>19.454899999999999</v>
      </c>
      <c r="FO38" s="427">
        <f t="shared" si="61"/>
        <v>320105.7099999999</v>
      </c>
      <c r="FP38" s="558">
        <f t="shared" si="68"/>
        <v>32876.74</v>
      </c>
      <c r="FQ38" s="558">
        <f t="shared" si="68"/>
        <v>31239.599999999999</v>
      </c>
      <c r="FR38" s="558">
        <f t="shared" si="68"/>
        <v>29598.42</v>
      </c>
      <c r="FS38" s="558">
        <f t="shared" si="68"/>
        <v>27957.24</v>
      </c>
      <c r="FT38" s="558">
        <f t="shared" si="68"/>
        <v>26259.47</v>
      </c>
      <c r="FU38" s="558">
        <f t="shared" si="68"/>
        <v>24513.18</v>
      </c>
      <c r="FV38" s="558">
        <f t="shared" si="68"/>
        <v>22783.07</v>
      </c>
      <c r="FW38" s="558">
        <f t="shared" si="68"/>
        <v>21040.83</v>
      </c>
      <c r="FX38" s="558">
        <f t="shared" si="68"/>
        <v>19237.96</v>
      </c>
      <c r="FY38" s="558">
        <f t="shared" si="68"/>
        <v>17362.32</v>
      </c>
      <c r="FZ38" s="558">
        <f t="shared" si="68"/>
        <v>15474.56</v>
      </c>
      <c r="GA38" s="558">
        <f t="shared" si="68"/>
        <v>13558.5</v>
      </c>
      <c r="GB38" s="558">
        <f t="shared" si="68"/>
        <v>11597.97</v>
      </c>
      <c r="GC38" s="558">
        <f t="shared" si="68"/>
        <v>9629.36</v>
      </c>
      <c r="GD38" s="558">
        <f t="shared" si="68"/>
        <v>7600.12</v>
      </c>
      <c r="GE38" s="558">
        <f t="shared" si="68"/>
        <v>5554.7</v>
      </c>
      <c r="GF38" s="558">
        <f t="shared" si="66"/>
        <v>3448.66</v>
      </c>
      <c r="GG38" s="558">
        <f t="shared" si="66"/>
        <v>1294.0999999999999</v>
      </c>
      <c r="GH38" s="558">
        <f t="shared" si="66"/>
        <v>-921.09</v>
      </c>
      <c r="GI38" s="558" t="str">
        <f t="shared" si="66"/>
        <v>.</v>
      </c>
      <c r="GJ38" s="558" t="str">
        <f t="shared" si="66"/>
        <v>.</v>
      </c>
      <c r="GK38" s="558" t="str">
        <f t="shared" si="66"/>
        <v>.</v>
      </c>
      <c r="GL38" s="558" t="str">
        <f t="shared" si="66"/>
        <v>.</v>
      </c>
      <c r="GM38" s="558" t="str">
        <f t="shared" si="66"/>
        <v>.</v>
      </c>
      <c r="GN38" s="558" t="str">
        <f t="shared" si="66"/>
        <v>.</v>
      </c>
      <c r="GO38" s="558" t="str">
        <f t="shared" si="66"/>
        <v>.</v>
      </c>
      <c r="GP38" s="558" t="str">
        <f t="shared" si="66"/>
        <v>.</v>
      </c>
      <c r="GQ38" s="558" t="str">
        <f t="shared" si="66"/>
        <v>.</v>
      </c>
      <c r="GR38" s="558" t="str">
        <f t="shared" si="66"/>
        <v>.</v>
      </c>
      <c r="GS38" s="558" t="str">
        <f t="shared" si="66"/>
        <v>.</v>
      </c>
      <c r="GT38" s="558" t="str">
        <f t="shared" si="66"/>
        <v>.</v>
      </c>
      <c r="GU38" s="558" t="str">
        <f t="shared" si="69"/>
        <v>.</v>
      </c>
      <c r="GV38" s="558" t="str">
        <f t="shared" si="69"/>
        <v>.</v>
      </c>
      <c r="GW38" s="558" t="str">
        <f t="shared" si="69"/>
        <v>.</v>
      </c>
      <c r="GX38" s="558" t="str">
        <f t="shared" si="69"/>
        <v>.</v>
      </c>
      <c r="GY38" s="558" t="str">
        <f t="shared" si="69"/>
        <v>.</v>
      </c>
      <c r="GZ38" s="558" t="str">
        <f t="shared" si="69"/>
        <v>.</v>
      </c>
      <c r="HA38" s="558" t="str">
        <f t="shared" si="69"/>
        <v>.</v>
      </c>
      <c r="HB38" s="558" t="str">
        <f t="shared" si="69"/>
        <v>.</v>
      </c>
      <c r="HC38" s="558" t="str">
        <f t="shared" si="69"/>
        <v>.</v>
      </c>
      <c r="HD38" s="558" t="str">
        <f t="shared" si="69"/>
        <v>.</v>
      </c>
      <c r="HE38" s="558" t="str">
        <f t="shared" si="69"/>
        <v>.</v>
      </c>
      <c r="HF38" s="558" t="str">
        <f t="shared" si="69"/>
        <v>.</v>
      </c>
      <c r="HG38" s="558" t="str">
        <f t="shared" si="69"/>
        <v>.</v>
      </c>
      <c r="HH38" s="558" t="str">
        <f t="shared" si="69"/>
        <v>.</v>
      </c>
      <c r="HI38" s="558" t="str">
        <f t="shared" si="69"/>
        <v>.</v>
      </c>
      <c r="HJ38" s="558" t="str">
        <f t="shared" si="69"/>
        <v>.</v>
      </c>
      <c r="HK38" s="558" t="str">
        <f t="shared" si="67"/>
        <v>.</v>
      </c>
      <c r="HL38" s="558" t="str">
        <f t="shared" si="67"/>
        <v>.</v>
      </c>
      <c r="HM38" s="558" t="str">
        <f t="shared" si="67"/>
        <v>.</v>
      </c>
      <c r="HN38" s="558" t="str">
        <f t="shared" si="67"/>
        <v>.</v>
      </c>
      <c r="HO38" s="558" t="str">
        <f t="shared" si="67"/>
        <v>.</v>
      </c>
      <c r="HP38" s="558" t="str">
        <f t="shared" si="64"/>
        <v>.</v>
      </c>
      <c r="HQ38" s="558" t="str">
        <f t="shared" si="64"/>
        <v>.</v>
      </c>
      <c r="HR38" s="558" t="str">
        <f t="shared" si="64"/>
        <v>.</v>
      </c>
      <c r="HS38" s="558" t="str">
        <f t="shared" si="64"/>
        <v>.</v>
      </c>
      <c r="HT38" s="558" t="str">
        <f t="shared" si="64"/>
        <v>.</v>
      </c>
      <c r="HU38" s="558" t="str">
        <f t="shared" si="64"/>
        <v>.</v>
      </c>
      <c r="HV38" s="558" t="str">
        <f t="shared" si="64"/>
        <v>.</v>
      </c>
      <c r="HW38" s="558" t="str">
        <f t="shared" si="64"/>
        <v>.</v>
      </c>
      <c r="HX38" s="558" t="str">
        <f t="shared" si="64"/>
        <v>.</v>
      </c>
      <c r="HY38" s="558" t="str">
        <f t="shared" si="64"/>
        <v>.</v>
      </c>
      <c r="HZ38" s="558" t="str">
        <f t="shared" si="64"/>
        <v>.</v>
      </c>
      <c r="IA38" s="558" t="str">
        <f t="shared" si="64"/>
        <v>.</v>
      </c>
      <c r="IB38" s="558" t="str">
        <f t="shared" si="64"/>
        <v>.</v>
      </c>
      <c r="IC38" s="558" t="str">
        <f t="shared" si="64"/>
        <v>.</v>
      </c>
      <c r="ID38" s="558" t="str">
        <f t="shared" si="64"/>
        <v>.</v>
      </c>
      <c r="IE38" s="558" t="str">
        <f t="shared" si="64"/>
        <v>.</v>
      </c>
      <c r="IF38" s="558" t="str">
        <f t="shared" si="64"/>
        <v>.</v>
      </c>
      <c r="IG38" s="558" t="str">
        <f t="shared" si="65"/>
        <v>.</v>
      </c>
      <c r="IH38" s="558" t="str">
        <f t="shared" si="65"/>
        <v>.</v>
      </c>
      <c r="II38" s="558" t="str">
        <f t="shared" si="65"/>
        <v>.</v>
      </c>
      <c r="IJ38" s="558" t="str">
        <f t="shared" si="65"/>
        <v>.</v>
      </c>
      <c r="IK38" s="558" t="str">
        <f t="shared" si="65"/>
        <v>.</v>
      </c>
      <c r="IL38" s="558" t="str">
        <f t="shared" si="65"/>
        <v>.</v>
      </c>
      <c r="IM38" s="558" t="str">
        <f t="shared" si="65"/>
        <v>.</v>
      </c>
      <c r="IN38" s="558" t="str">
        <f t="shared" si="65"/>
        <v>.</v>
      </c>
      <c r="IO38" s="558" t="str">
        <f t="shared" si="62"/>
        <v>.</v>
      </c>
      <c r="IP38" s="558" t="str">
        <f t="shared" si="62"/>
        <v>.</v>
      </c>
      <c r="IQ38" s="558" t="str">
        <f t="shared" si="62"/>
        <v>.</v>
      </c>
      <c r="IR38" s="558" t="str">
        <f t="shared" si="62"/>
        <v>.</v>
      </c>
      <c r="IS38" s="558" t="str">
        <f t="shared" si="62"/>
        <v>.</v>
      </c>
      <c r="IT38" s="558" t="str">
        <f t="shared" si="62"/>
        <v>.</v>
      </c>
      <c r="IU38" s="558" t="str">
        <f t="shared" si="62"/>
        <v>.</v>
      </c>
      <c r="IV38" s="558" t="str">
        <f t="shared" si="62"/>
        <v>.</v>
      </c>
      <c r="IW38" s="558" t="str">
        <f t="shared" si="62"/>
        <v>.</v>
      </c>
      <c r="IX38" s="558" t="str">
        <f t="shared" si="62"/>
        <v>.</v>
      </c>
      <c r="IY38" s="558" t="str">
        <f t="shared" si="62"/>
        <v>.</v>
      </c>
      <c r="IZ38" s="558" t="str">
        <f t="shared" si="62"/>
        <v>.</v>
      </c>
      <c r="JA38" s="558" t="str">
        <f t="shared" si="62"/>
        <v>.</v>
      </c>
      <c r="JB38" s="558" t="str">
        <f t="shared" si="62"/>
        <v>.</v>
      </c>
      <c r="JC38" s="558" t="str">
        <f t="shared" si="62"/>
        <v>.</v>
      </c>
      <c r="JD38" s="558" t="str">
        <f t="shared" si="62"/>
        <v>.</v>
      </c>
      <c r="JE38" s="558" t="str">
        <f t="shared" si="62"/>
        <v>.</v>
      </c>
      <c r="JF38" s="558" t="str">
        <f t="shared" si="62"/>
        <v>.</v>
      </c>
      <c r="JG38" s="558" t="str">
        <f t="shared" si="62"/>
        <v>.</v>
      </c>
      <c r="JH38" s="558" t="str">
        <f t="shared" si="70"/>
        <v>.</v>
      </c>
      <c r="JI38" s="558" t="str">
        <f t="shared" si="70"/>
        <v>.</v>
      </c>
      <c r="JJ38" s="558" t="str">
        <f t="shared" si="70"/>
        <v>.</v>
      </c>
      <c r="JK38" s="558" t="str">
        <f t="shared" si="70"/>
        <v>.</v>
      </c>
      <c r="JL38" s="558" t="str">
        <f t="shared" si="70"/>
        <v>.</v>
      </c>
    </row>
    <row r="39" spans="1:272" ht="10.199999999999999" x14ac:dyDescent="0.2">
      <c r="A39" s="534">
        <f xml:space="preserve"> Basis!A39</f>
        <v>39</v>
      </c>
      <c r="F39" s="536">
        <f xml:space="preserve"> ROUND(    IF( $A$15=BE_MF_,   AW39,   INDEX( qx!39:39, F$16 ) ),    F$17    )</f>
        <v>4.0000000000000002E-4</v>
      </c>
      <c r="G39" s="536">
        <f xml:space="preserve"> ROUND(    IF( $A$15=BE_MF_,   BB39,   INDEX( wx!39:39, G$16 ) ),    G$17    )</f>
        <v>3.4200000000000001E-2</v>
      </c>
      <c r="H39" s="537">
        <f xml:space="preserve"> ROUND(    IF( $A$15=BE_MF_,   BG39,   INDEX( Kx!39:39, H$16 ) ),    H$17    )</f>
        <v>2059.65</v>
      </c>
      <c r="I39" s="538">
        <f t="shared" si="57"/>
        <v>2059.65</v>
      </c>
      <c r="J39" s="539">
        <f t="shared" si="17"/>
        <v>0.99099999999999999</v>
      </c>
      <c r="K39" s="540">
        <f t="shared" si="58"/>
        <v>2</v>
      </c>
      <c r="L39" s="541">
        <f t="shared" si="18"/>
        <v>0</v>
      </c>
      <c r="M39" s="541">
        <f t="shared" si="18"/>
        <v>8.5999999999999993E-2</v>
      </c>
      <c r="O39" s="542" t="b">
        <f t="shared" si="59"/>
        <v>1</v>
      </c>
      <c r="P39" s="493">
        <f t="shared" si="19"/>
        <v>3.4599999999999999E-2</v>
      </c>
      <c r="Q39" s="493">
        <f t="shared" si="20"/>
        <v>0.96540000000000004</v>
      </c>
      <c r="R39" s="543">
        <f t="shared" si="21"/>
        <v>909690</v>
      </c>
      <c r="S39" s="544">
        <f t="shared" si="22"/>
        <v>0.97560975599999999</v>
      </c>
      <c r="T39" s="423">
        <f t="shared" si="23"/>
        <v>347266.32</v>
      </c>
      <c r="U39" s="423">
        <f xml:space="preserve"> IF( $O39,    ROUND(  SUM( T39:T$120), U$17 ),  LEER  )</f>
        <v>6824904.6399999997</v>
      </c>
      <c r="V39" s="493">
        <f t="shared" si="24"/>
        <v>19.653199999999998</v>
      </c>
      <c r="W39" s="493">
        <f t="shared" si="25"/>
        <v>344140.92</v>
      </c>
      <c r="X39" s="493">
        <f xml:space="preserve"> IF( $O39,    ROUND(  SUM( W39:W$120), X$17 ),  LEER  )</f>
        <v>14126110.6</v>
      </c>
      <c r="Y39" s="493">
        <f t="shared" si="26"/>
        <v>40.677999999999997</v>
      </c>
      <c r="Z39" s="493">
        <f t="shared" si="27"/>
        <v>2.0697999999999999</v>
      </c>
      <c r="AA39" s="493">
        <f t="shared" si="28"/>
        <v>1.0094000000000001</v>
      </c>
      <c r="AB39" s="493">
        <f t="shared" si="29"/>
        <v>2.3494000000000002</v>
      </c>
      <c r="AC39" s="545">
        <f t="shared" si="30"/>
        <v>0.38600000000000001</v>
      </c>
      <c r="AD39" s="493">
        <f t="shared" si="31"/>
        <v>2.0929000000000002</v>
      </c>
      <c r="AE39" s="493">
        <f t="shared" si="32"/>
        <v>2.7121</v>
      </c>
      <c r="AF39" s="493">
        <f t="shared" si="33"/>
        <v>2.7121</v>
      </c>
      <c r="AG39" s="493" t="str">
        <f t="shared" si="34"/>
        <v>.</v>
      </c>
      <c r="AH39" s="493" t="str">
        <f t="shared" si="35"/>
        <v>.</v>
      </c>
      <c r="AI39" s="423">
        <f t="shared" si="36"/>
        <v>2077.79</v>
      </c>
      <c r="AJ39" s="423">
        <f t="shared" si="37"/>
        <v>5635.17</v>
      </c>
      <c r="AK39" s="423">
        <f t="shared" si="38"/>
        <v>469.6</v>
      </c>
      <c r="AN39" s="423">
        <f t="shared" si="39"/>
        <v>8807.76</v>
      </c>
      <c r="AO39" s="423">
        <f t="shared" si="39"/>
        <v>7901.21</v>
      </c>
      <c r="AR39" s="546">
        <f xml:space="preserve"> ROUND(  INDEX( Kx!39:39, AR$16 ),  AR$17 )</f>
        <v>0.78280000000000005</v>
      </c>
      <c r="AS39" s="547">
        <f xml:space="preserve"> ROUND(  INDEX( qx!39:39, AS$16 ),  AS$17 )</f>
        <v>4.0000000000000002E-4</v>
      </c>
      <c r="AT39" s="547">
        <f xml:space="preserve"> ROUND(  INDEX( qx!39:39, AT$16 ),  AT$17 )</f>
        <v>2.9999999999999997E-4</v>
      </c>
      <c r="AU39" s="548" t="str">
        <f t="shared" si="40"/>
        <v>F</v>
      </c>
      <c r="AV39" s="542">
        <f t="shared" si="41"/>
        <v>0.70609999999999995</v>
      </c>
      <c r="AW39" s="542">
        <f t="shared" si="42"/>
        <v>4.0000000000000002E-4</v>
      </c>
      <c r="AX39" s="546">
        <f xml:space="preserve"> ROUND(  INDEX( wx!39:39, AX$16 ),  AX$17 )</f>
        <v>3.1699999999999999E-2</v>
      </c>
      <c r="AY39" s="546">
        <f xml:space="preserve"> ROUND(  INDEX( wx!39:39, AY$16 ),  AY$17 )</f>
        <v>4.8000000000000001E-2</v>
      </c>
      <c r="AZ39" s="548" t="str">
        <f t="shared" si="43"/>
        <v>M</v>
      </c>
      <c r="BA39" s="542">
        <f t="shared" si="44"/>
        <v>0.84389999999999998</v>
      </c>
      <c r="BB39" s="542">
        <f t="shared" si="45"/>
        <v>3.4200000000000001E-2</v>
      </c>
      <c r="BC39" s="533">
        <f xml:space="preserve"> ROUND(  INDEX( Kx!39:39, BC$16 ),  BC$17 )</f>
        <v>1650.38</v>
      </c>
      <c r="BD39" s="533">
        <f xml:space="preserve"> ROUND(  INDEX( Kx!39:39, BD$16 ),  BD$17 )</f>
        <v>3042.93</v>
      </c>
      <c r="BE39" s="548" t="str">
        <f t="shared" si="60"/>
        <v>F</v>
      </c>
      <c r="BF39" s="542">
        <f t="shared" si="46"/>
        <v>0.70609999999999995</v>
      </c>
      <c r="BG39" s="420">
        <f t="shared" si="47"/>
        <v>2059.65</v>
      </c>
      <c r="BQ39" s="549"/>
      <c r="BR39" s="423"/>
      <c r="BS39" s="550"/>
      <c r="BT39" s="423"/>
      <c r="BU39" s="551"/>
      <c r="BV39" s="551"/>
      <c r="BW39" s="529"/>
      <c r="BX39" s="552"/>
      <c r="BY39" s="560"/>
      <c r="BZ39" s="559"/>
      <c r="CB39" s="423"/>
      <c r="CC39" s="423"/>
      <c r="CD39" s="423"/>
      <c r="CE39" s="423"/>
      <c r="CF39" s="553"/>
      <c r="CH39" s="423"/>
      <c r="CI39" s="423"/>
      <c r="CJ39" s="423"/>
      <c r="CK39" s="423"/>
      <c r="CL39" s="553"/>
      <c r="CN39" s="423"/>
      <c r="CO39" s="423"/>
      <c r="CP39" s="423"/>
      <c r="CQ39" s="423"/>
      <c r="CR39" s="553"/>
      <c r="EI39" s="553"/>
      <c r="EJ39" s="553"/>
      <c r="EK39" s="423"/>
      <c r="EL39" s="555"/>
      <c r="ES39" s="533"/>
      <c r="ET39" s="533"/>
      <c r="EU39" s="533"/>
      <c r="EV39" s="556"/>
      <c r="EY39" s="533"/>
      <c r="EZ39" s="533"/>
      <c r="FA39" s="556"/>
      <c r="FD39" s="556"/>
      <c r="FE39" s="556"/>
      <c r="FF39" s="556"/>
      <c r="FK39" s="557">
        <f t="shared" si="48"/>
        <v>39</v>
      </c>
      <c r="FL39" s="493">
        <f t="shared" si="49"/>
        <v>40.677999999999997</v>
      </c>
      <c r="FM39" s="493">
        <f t="shared" si="50"/>
        <v>19.653199999999998</v>
      </c>
      <c r="FO39" s="427">
        <f t="shared" si="61"/>
        <v>365932.71</v>
      </c>
      <c r="FP39" s="558">
        <f t="shared" si="68"/>
        <v>35501.74</v>
      </c>
      <c r="FQ39" s="558">
        <f t="shared" si="68"/>
        <v>33847.910000000003</v>
      </c>
      <c r="FR39" s="558">
        <f t="shared" si="68"/>
        <v>32190</v>
      </c>
      <c r="FS39" s="558">
        <f t="shared" si="68"/>
        <v>30532.09</v>
      </c>
      <c r="FT39" s="558">
        <f t="shared" si="68"/>
        <v>28817.01</v>
      </c>
      <c r="FU39" s="558">
        <f t="shared" si="68"/>
        <v>27052.93</v>
      </c>
      <c r="FV39" s="558">
        <f t="shared" si="68"/>
        <v>25305.19</v>
      </c>
      <c r="FW39" s="558">
        <f t="shared" si="68"/>
        <v>23545.19</v>
      </c>
      <c r="FX39" s="558">
        <f t="shared" si="68"/>
        <v>21723.94</v>
      </c>
      <c r="FY39" s="558">
        <f t="shared" si="68"/>
        <v>19829.18</v>
      </c>
      <c r="FZ39" s="558">
        <f t="shared" si="68"/>
        <v>17922.18</v>
      </c>
      <c r="GA39" s="558">
        <f t="shared" si="68"/>
        <v>15986.59</v>
      </c>
      <c r="GB39" s="558">
        <f t="shared" si="68"/>
        <v>14006.08</v>
      </c>
      <c r="GC39" s="558">
        <f t="shared" si="68"/>
        <v>12017.4</v>
      </c>
      <c r="GD39" s="558">
        <f t="shared" si="68"/>
        <v>9967.48</v>
      </c>
      <c r="GE39" s="558">
        <f t="shared" si="68"/>
        <v>7901.21</v>
      </c>
      <c r="GF39" s="558">
        <f t="shared" si="66"/>
        <v>5773.7</v>
      </c>
      <c r="GG39" s="558">
        <f t="shared" si="66"/>
        <v>3597.18</v>
      </c>
      <c r="GH39" s="558">
        <f t="shared" si="66"/>
        <v>1359.41</v>
      </c>
      <c r="GI39" s="558">
        <f t="shared" si="66"/>
        <v>-943.7</v>
      </c>
      <c r="GJ39" s="558" t="str">
        <f t="shared" si="66"/>
        <v>.</v>
      </c>
      <c r="GK39" s="558" t="str">
        <f t="shared" si="66"/>
        <v>.</v>
      </c>
      <c r="GL39" s="558" t="str">
        <f t="shared" si="66"/>
        <v>.</v>
      </c>
      <c r="GM39" s="558" t="str">
        <f t="shared" si="66"/>
        <v>.</v>
      </c>
      <c r="GN39" s="558" t="str">
        <f t="shared" si="66"/>
        <v>.</v>
      </c>
      <c r="GO39" s="558" t="str">
        <f t="shared" si="66"/>
        <v>.</v>
      </c>
      <c r="GP39" s="558" t="str">
        <f t="shared" si="66"/>
        <v>.</v>
      </c>
      <c r="GQ39" s="558" t="str">
        <f t="shared" si="66"/>
        <v>.</v>
      </c>
      <c r="GR39" s="558" t="str">
        <f t="shared" si="66"/>
        <v>.</v>
      </c>
      <c r="GS39" s="558" t="str">
        <f t="shared" si="66"/>
        <v>.</v>
      </c>
      <c r="GT39" s="558" t="str">
        <f t="shared" si="66"/>
        <v>.</v>
      </c>
      <c r="GU39" s="558" t="str">
        <f t="shared" si="69"/>
        <v>.</v>
      </c>
      <c r="GV39" s="558" t="str">
        <f t="shared" si="69"/>
        <v>.</v>
      </c>
      <c r="GW39" s="558" t="str">
        <f t="shared" si="69"/>
        <v>.</v>
      </c>
      <c r="GX39" s="558" t="str">
        <f t="shared" si="69"/>
        <v>.</v>
      </c>
      <c r="GY39" s="558" t="str">
        <f t="shared" si="69"/>
        <v>.</v>
      </c>
      <c r="GZ39" s="558" t="str">
        <f t="shared" si="69"/>
        <v>.</v>
      </c>
      <c r="HA39" s="558" t="str">
        <f t="shared" si="69"/>
        <v>.</v>
      </c>
      <c r="HB39" s="558" t="str">
        <f t="shared" si="69"/>
        <v>.</v>
      </c>
      <c r="HC39" s="558" t="str">
        <f t="shared" si="69"/>
        <v>.</v>
      </c>
      <c r="HD39" s="558" t="str">
        <f t="shared" si="69"/>
        <v>.</v>
      </c>
      <c r="HE39" s="558" t="str">
        <f t="shared" si="69"/>
        <v>.</v>
      </c>
      <c r="HF39" s="558" t="str">
        <f t="shared" si="69"/>
        <v>.</v>
      </c>
      <c r="HG39" s="558" t="str">
        <f t="shared" si="69"/>
        <v>.</v>
      </c>
      <c r="HH39" s="558" t="str">
        <f t="shared" si="69"/>
        <v>.</v>
      </c>
      <c r="HI39" s="558" t="str">
        <f t="shared" si="69"/>
        <v>.</v>
      </c>
      <c r="HJ39" s="558" t="str">
        <f t="shared" si="69"/>
        <v>.</v>
      </c>
      <c r="HK39" s="558" t="str">
        <f t="shared" si="67"/>
        <v>.</v>
      </c>
      <c r="HL39" s="558" t="str">
        <f t="shared" si="67"/>
        <v>.</v>
      </c>
      <c r="HM39" s="558" t="str">
        <f t="shared" si="67"/>
        <v>.</v>
      </c>
      <c r="HN39" s="558" t="str">
        <f t="shared" si="67"/>
        <v>.</v>
      </c>
      <c r="HO39" s="558" t="str">
        <f t="shared" si="67"/>
        <v>.</v>
      </c>
      <c r="HP39" s="558" t="str">
        <f t="shared" si="64"/>
        <v>.</v>
      </c>
      <c r="HQ39" s="558" t="str">
        <f t="shared" si="64"/>
        <v>.</v>
      </c>
      <c r="HR39" s="558" t="str">
        <f t="shared" si="64"/>
        <v>.</v>
      </c>
      <c r="HS39" s="558" t="str">
        <f t="shared" si="64"/>
        <v>.</v>
      </c>
      <c r="HT39" s="558" t="str">
        <f t="shared" si="64"/>
        <v>.</v>
      </c>
      <c r="HU39" s="558" t="str">
        <f t="shared" si="64"/>
        <v>.</v>
      </c>
      <c r="HV39" s="558" t="str">
        <f t="shared" si="64"/>
        <v>.</v>
      </c>
      <c r="HW39" s="558" t="str">
        <f t="shared" si="64"/>
        <v>.</v>
      </c>
      <c r="HX39" s="558" t="str">
        <f t="shared" si="64"/>
        <v>.</v>
      </c>
      <c r="HY39" s="558" t="str">
        <f t="shared" si="64"/>
        <v>.</v>
      </c>
      <c r="HZ39" s="558" t="str">
        <f t="shared" si="64"/>
        <v>.</v>
      </c>
      <c r="IA39" s="558" t="str">
        <f t="shared" si="64"/>
        <v>.</v>
      </c>
      <c r="IB39" s="558" t="str">
        <f t="shared" si="64"/>
        <v>.</v>
      </c>
      <c r="IC39" s="558" t="str">
        <f t="shared" si="64"/>
        <v>.</v>
      </c>
      <c r="ID39" s="558" t="str">
        <f t="shared" si="64"/>
        <v>.</v>
      </c>
      <c r="IE39" s="558" t="str">
        <f t="shared" si="64"/>
        <v>.</v>
      </c>
      <c r="IF39" s="558" t="str">
        <f t="shared" si="64"/>
        <v>.</v>
      </c>
      <c r="IG39" s="558" t="str">
        <f t="shared" si="65"/>
        <v>.</v>
      </c>
      <c r="IH39" s="558" t="str">
        <f t="shared" si="65"/>
        <v>.</v>
      </c>
      <c r="II39" s="558" t="str">
        <f t="shared" si="65"/>
        <v>.</v>
      </c>
      <c r="IJ39" s="558" t="str">
        <f t="shared" si="65"/>
        <v>.</v>
      </c>
      <c r="IK39" s="558" t="str">
        <f t="shared" si="65"/>
        <v>.</v>
      </c>
      <c r="IL39" s="558" t="str">
        <f t="shared" si="65"/>
        <v>.</v>
      </c>
      <c r="IM39" s="558" t="str">
        <f t="shared" si="65"/>
        <v>.</v>
      </c>
      <c r="IN39" s="558" t="str">
        <f t="shared" si="65"/>
        <v>.</v>
      </c>
      <c r="IO39" s="558" t="str">
        <f t="shared" si="62"/>
        <v>.</v>
      </c>
      <c r="IP39" s="558" t="str">
        <f t="shared" si="62"/>
        <v>.</v>
      </c>
      <c r="IQ39" s="558" t="str">
        <f t="shared" si="62"/>
        <v>.</v>
      </c>
      <c r="IR39" s="558" t="str">
        <f t="shared" si="62"/>
        <v>.</v>
      </c>
      <c r="IS39" s="558" t="str">
        <f t="shared" si="62"/>
        <v>.</v>
      </c>
      <c r="IT39" s="558" t="str">
        <f t="shared" si="62"/>
        <v>.</v>
      </c>
      <c r="IU39" s="558" t="str">
        <f t="shared" si="62"/>
        <v>.</v>
      </c>
      <c r="IV39" s="558" t="str">
        <f t="shared" si="62"/>
        <v>.</v>
      </c>
      <c r="IW39" s="558" t="str">
        <f t="shared" si="62"/>
        <v>.</v>
      </c>
      <c r="IX39" s="558" t="str">
        <f t="shared" si="62"/>
        <v>.</v>
      </c>
      <c r="IY39" s="558" t="str">
        <f t="shared" si="62"/>
        <v>.</v>
      </c>
      <c r="IZ39" s="558" t="str">
        <f t="shared" si="62"/>
        <v>.</v>
      </c>
      <c r="JA39" s="558" t="str">
        <f t="shared" si="62"/>
        <v>.</v>
      </c>
      <c r="JB39" s="558" t="str">
        <f t="shared" si="62"/>
        <v>.</v>
      </c>
      <c r="JC39" s="558" t="str">
        <f t="shared" si="62"/>
        <v>.</v>
      </c>
      <c r="JD39" s="558" t="str">
        <f t="shared" si="62"/>
        <v>.</v>
      </c>
      <c r="JE39" s="558" t="str">
        <f t="shared" si="62"/>
        <v>.</v>
      </c>
      <c r="JF39" s="558" t="str">
        <f t="shared" si="62"/>
        <v>.</v>
      </c>
      <c r="JG39" s="558" t="str">
        <f t="shared" si="62"/>
        <v>.</v>
      </c>
      <c r="JH39" s="558" t="str">
        <f t="shared" si="70"/>
        <v>.</v>
      </c>
      <c r="JI39" s="558" t="str">
        <f t="shared" si="70"/>
        <v>.</v>
      </c>
      <c r="JJ39" s="558" t="str">
        <f t="shared" si="70"/>
        <v>.</v>
      </c>
      <c r="JK39" s="558" t="str">
        <f t="shared" si="70"/>
        <v>.</v>
      </c>
      <c r="JL39" s="558" t="str">
        <f t="shared" si="70"/>
        <v>.</v>
      </c>
    </row>
    <row r="40" spans="1:272" ht="10.199999999999999" x14ac:dyDescent="0.2">
      <c r="A40" s="534">
        <f xml:space="preserve"> Basis!A40</f>
        <v>40</v>
      </c>
      <c r="F40" s="536">
        <f xml:space="preserve"> ROUND(    IF( $A$15=BE_MF_,   AW40,   INDEX( qx!40:40, F$16 ) ),    F$17    )</f>
        <v>4.0000000000000002E-4</v>
      </c>
      <c r="G40" s="536">
        <f xml:space="preserve"> ROUND(    IF( $A$15=BE_MF_,   BB40,   INDEX( wx!40:40, G$16 ) ),    G$17    )</f>
        <v>3.1699999999999999E-2</v>
      </c>
      <c r="H40" s="537">
        <f xml:space="preserve"> ROUND(    IF( $A$15=BE_MF_,   BG40,   INDEX( Kx!40:40, H$16 ) ),    H$17    )</f>
        <v>2077.79</v>
      </c>
      <c r="I40" s="538">
        <f t="shared" si="57"/>
        <v>2077.79</v>
      </c>
      <c r="J40" s="539">
        <f t="shared" si="17"/>
        <v>1</v>
      </c>
      <c r="K40" s="540">
        <f t="shared" si="58"/>
        <v>2</v>
      </c>
      <c r="L40" s="541">
        <f t="shared" ref="L40:M103" si="71" xml:space="preserve"> ROUND(  IF( $A40&lt;L$12, L$15, L$16 ),  L$17  )</f>
        <v>0</v>
      </c>
      <c r="M40" s="541">
        <f t="shared" si="71"/>
        <v>8.5999999999999993E-2</v>
      </c>
      <c r="O40" s="542" t="b">
        <f t="shared" si="59"/>
        <v>1</v>
      </c>
      <c r="P40" s="493">
        <f t="shared" si="19"/>
        <v>3.2099999999999997E-2</v>
      </c>
      <c r="Q40" s="493">
        <f t="shared" si="20"/>
        <v>0.96789999999999998</v>
      </c>
      <c r="R40" s="543">
        <f t="shared" si="21"/>
        <v>878214</v>
      </c>
      <c r="S40" s="544">
        <f t="shared" si="22"/>
        <v>0.97560975599999999</v>
      </c>
      <c r="T40" s="423">
        <f t="shared" si="23"/>
        <v>327073.78999999998</v>
      </c>
      <c r="U40" s="423">
        <f xml:space="preserve"> IF( $O40,    ROUND(  SUM( T40:T$120), U$17 ),  LEER  )</f>
        <v>6477638.3200000003</v>
      </c>
      <c r="V40" s="493">
        <f t="shared" si="24"/>
        <v>19.8048</v>
      </c>
      <c r="W40" s="493">
        <f t="shared" si="25"/>
        <v>327073.78999999998</v>
      </c>
      <c r="X40" s="493">
        <f xml:space="preserve"> IF( $O40,    ROUND(  SUM( W40:W$120), X$17 ),  LEER  )</f>
        <v>13781969.68</v>
      </c>
      <c r="Y40" s="493">
        <f t="shared" si="26"/>
        <v>42.1372</v>
      </c>
      <c r="Z40" s="493">
        <f t="shared" si="27"/>
        <v>2.1276000000000002</v>
      </c>
      <c r="AA40" s="493">
        <f t="shared" si="28"/>
        <v>1.0093000000000001</v>
      </c>
      <c r="AB40" s="493">
        <f t="shared" si="29"/>
        <v>2.3494000000000002</v>
      </c>
      <c r="AC40" s="545">
        <f t="shared" si="30"/>
        <v>0.38600000000000001</v>
      </c>
      <c r="AD40" s="493">
        <f t="shared" si="31"/>
        <v>2.1509999999999998</v>
      </c>
      <c r="AE40" s="493">
        <f t="shared" si="32"/>
        <v>2.7757000000000001</v>
      </c>
      <c r="AF40" s="493">
        <f t="shared" si="33"/>
        <v>2.7757000000000001</v>
      </c>
      <c r="AG40" s="493" t="str">
        <f t="shared" si="34"/>
        <v>.</v>
      </c>
      <c r="AH40" s="493" t="str">
        <f t="shared" si="35"/>
        <v>.</v>
      </c>
      <c r="AI40" s="423">
        <f t="shared" si="36"/>
        <v>2077.79</v>
      </c>
      <c r="AJ40" s="423">
        <f t="shared" si="37"/>
        <v>5767.32</v>
      </c>
      <c r="AK40" s="423">
        <f t="shared" si="38"/>
        <v>480.61</v>
      </c>
      <c r="AN40" s="423">
        <f t="shared" ref="AN40:AO59" si="72" xml:space="preserve">  IF( AND( $A40&lt;=$O$12, $A40&gt;=AN$12),    ROUND( AN$19 * ( SUM($Y40) - SUM(AN$8) * SUM($V40) ), AN$17 ),  LEER  )</f>
        <v>11255.64</v>
      </c>
      <c r="AO40" s="423">
        <f t="shared" si="72"/>
        <v>10342.1</v>
      </c>
      <c r="AR40" s="546">
        <f xml:space="preserve"> ROUND(  INDEX( Kx!40:40, AR$16 ),  AR$17 )</f>
        <v>0.78900000000000003</v>
      </c>
      <c r="AS40" s="547">
        <f xml:space="preserve"> ROUND(  INDEX( qx!40:40, AS$16 ),  AS$17 )</f>
        <v>4.0000000000000002E-4</v>
      </c>
      <c r="AT40" s="547">
        <f xml:space="preserve"> ROUND(  INDEX( qx!40:40, AT$16 ),  AT$17 )</f>
        <v>2.9999999999999997E-4</v>
      </c>
      <c r="AU40" s="548" t="str">
        <f t="shared" si="40"/>
        <v>F</v>
      </c>
      <c r="AV40" s="542">
        <f t="shared" si="41"/>
        <v>0.7137</v>
      </c>
      <c r="AW40" s="542">
        <f t="shared" si="42"/>
        <v>4.0000000000000002E-4</v>
      </c>
      <c r="AX40" s="546">
        <f xml:space="preserve"> ROUND(  INDEX( wx!40:40, AX$16 ),  AX$17 )</f>
        <v>2.9399999999999999E-2</v>
      </c>
      <c r="AY40" s="546">
        <f xml:space="preserve"> ROUND(  INDEX( wx!40:40, AY$16 ),  AY$17 )</f>
        <v>4.48E-2</v>
      </c>
      <c r="AZ40" s="548" t="str">
        <f t="shared" si="43"/>
        <v>M</v>
      </c>
      <c r="BA40" s="542">
        <f t="shared" si="44"/>
        <v>0.84870000000000001</v>
      </c>
      <c r="BB40" s="542">
        <f t="shared" si="45"/>
        <v>3.1699999999999999E-2</v>
      </c>
      <c r="BC40" s="533">
        <f xml:space="preserve"> ROUND(  INDEX( Kx!40:40, BC$16 ),  BC$17 )</f>
        <v>1709.97</v>
      </c>
      <c r="BD40" s="533">
        <f xml:space="preserve"> ROUND(  INDEX( Kx!40:40, BD$16 ),  BD$17 )</f>
        <v>2994.72</v>
      </c>
      <c r="BE40" s="548" t="str">
        <f t="shared" si="60"/>
        <v>F</v>
      </c>
      <c r="BF40" s="542">
        <f t="shared" si="46"/>
        <v>0.7137</v>
      </c>
      <c r="BG40" s="420">
        <f t="shared" si="47"/>
        <v>2077.79</v>
      </c>
      <c r="BQ40" s="549"/>
      <c r="BR40" s="423"/>
      <c r="BS40" s="550"/>
      <c r="BT40" s="423"/>
      <c r="BU40" s="551"/>
      <c r="BV40" s="551"/>
      <c r="BW40" s="529"/>
      <c r="BX40" s="552"/>
      <c r="BY40" s="560"/>
      <c r="BZ40" s="559"/>
      <c r="CB40" s="423"/>
      <c r="CC40" s="423"/>
      <c r="CD40" s="423"/>
      <c r="CE40" s="423"/>
      <c r="CF40" s="553"/>
      <c r="CH40" s="423"/>
      <c r="CI40" s="423"/>
      <c r="CJ40" s="423"/>
      <c r="CK40" s="423"/>
      <c r="CL40" s="553"/>
      <c r="CN40" s="423"/>
      <c r="CO40" s="423"/>
      <c r="CP40" s="423"/>
      <c r="CQ40" s="423"/>
      <c r="CR40" s="553"/>
      <c r="EI40" s="553"/>
      <c r="EJ40" s="553"/>
      <c r="EK40" s="423"/>
      <c r="EL40" s="555"/>
      <c r="ES40" s="533"/>
      <c r="ET40" s="533"/>
      <c r="EU40" s="533"/>
      <c r="EV40" s="556"/>
      <c r="EY40" s="533"/>
      <c r="EZ40" s="533"/>
      <c r="FA40" s="556"/>
      <c r="FD40" s="556"/>
      <c r="FE40" s="556"/>
      <c r="FF40" s="556"/>
      <c r="FK40" s="557">
        <f t="shared" si="48"/>
        <v>40</v>
      </c>
      <c r="FL40" s="493">
        <f t="shared" si="49"/>
        <v>42.1372</v>
      </c>
      <c r="FM40" s="493">
        <f t="shared" si="50"/>
        <v>19.8048</v>
      </c>
      <c r="FO40" s="427">
        <f t="shared" si="61"/>
        <v>415392.40999999992</v>
      </c>
      <c r="FP40" s="558">
        <f t="shared" si="68"/>
        <v>38155.53</v>
      </c>
      <c r="FQ40" s="558">
        <f t="shared" si="68"/>
        <v>36488.949999999997</v>
      </c>
      <c r="FR40" s="558">
        <f t="shared" si="68"/>
        <v>34818.25</v>
      </c>
      <c r="FS40" s="558">
        <f t="shared" si="68"/>
        <v>33147.550000000003</v>
      </c>
      <c r="FT40" s="558">
        <f t="shared" si="68"/>
        <v>31419.24</v>
      </c>
      <c r="FU40" s="558">
        <f t="shared" si="68"/>
        <v>29641.55</v>
      </c>
      <c r="FV40" s="558">
        <f t="shared" si="68"/>
        <v>27880.33</v>
      </c>
      <c r="FW40" s="558">
        <f t="shared" si="68"/>
        <v>26106.75</v>
      </c>
      <c r="FX40" s="558">
        <f t="shared" si="68"/>
        <v>24271.45</v>
      </c>
      <c r="FY40" s="558">
        <f t="shared" si="68"/>
        <v>22362.080000000002</v>
      </c>
      <c r="FZ40" s="558">
        <f t="shared" si="68"/>
        <v>20440.37</v>
      </c>
      <c r="GA40" s="558">
        <f t="shared" si="68"/>
        <v>18489.849999999999</v>
      </c>
      <c r="GB40" s="558">
        <f t="shared" si="68"/>
        <v>16494.060000000001</v>
      </c>
      <c r="GC40" s="558">
        <f t="shared" si="68"/>
        <v>14490.05</v>
      </c>
      <c r="GD40" s="558">
        <f t="shared" si="68"/>
        <v>12424.3</v>
      </c>
      <c r="GE40" s="558">
        <f t="shared" si="68"/>
        <v>10342.1</v>
      </c>
      <c r="GF40" s="558">
        <f t="shared" si="66"/>
        <v>8198.18</v>
      </c>
      <c r="GG40" s="558">
        <f t="shared" si="66"/>
        <v>6004.87</v>
      </c>
      <c r="GH40" s="558">
        <f t="shared" si="66"/>
        <v>3749.84</v>
      </c>
      <c r="GI40" s="558">
        <f t="shared" si="66"/>
        <v>1428.97</v>
      </c>
      <c r="GJ40" s="558">
        <f t="shared" si="66"/>
        <v>-961.86</v>
      </c>
      <c r="GK40" s="558" t="str">
        <f t="shared" si="66"/>
        <v>.</v>
      </c>
      <c r="GL40" s="558" t="str">
        <f t="shared" si="66"/>
        <v>.</v>
      </c>
      <c r="GM40" s="558" t="str">
        <f t="shared" si="66"/>
        <v>.</v>
      </c>
      <c r="GN40" s="558" t="str">
        <f t="shared" si="66"/>
        <v>.</v>
      </c>
      <c r="GO40" s="558" t="str">
        <f t="shared" si="66"/>
        <v>.</v>
      </c>
      <c r="GP40" s="558" t="str">
        <f t="shared" si="66"/>
        <v>.</v>
      </c>
      <c r="GQ40" s="558" t="str">
        <f t="shared" si="66"/>
        <v>.</v>
      </c>
      <c r="GR40" s="558" t="str">
        <f t="shared" si="66"/>
        <v>.</v>
      </c>
      <c r="GS40" s="558" t="str">
        <f t="shared" si="66"/>
        <v>.</v>
      </c>
      <c r="GT40" s="558" t="str">
        <f t="shared" si="66"/>
        <v>.</v>
      </c>
      <c r="GU40" s="558" t="str">
        <f t="shared" si="69"/>
        <v>.</v>
      </c>
      <c r="GV40" s="558" t="str">
        <f t="shared" si="69"/>
        <v>.</v>
      </c>
      <c r="GW40" s="558" t="str">
        <f t="shared" si="69"/>
        <v>.</v>
      </c>
      <c r="GX40" s="558" t="str">
        <f t="shared" si="69"/>
        <v>.</v>
      </c>
      <c r="GY40" s="558" t="str">
        <f t="shared" si="69"/>
        <v>.</v>
      </c>
      <c r="GZ40" s="558" t="str">
        <f t="shared" si="69"/>
        <v>.</v>
      </c>
      <c r="HA40" s="558" t="str">
        <f t="shared" si="69"/>
        <v>.</v>
      </c>
      <c r="HB40" s="558" t="str">
        <f t="shared" si="69"/>
        <v>.</v>
      </c>
      <c r="HC40" s="558" t="str">
        <f t="shared" si="69"/>
        <v>.</v>
      </c>
      <c r="HD40" s="558" t="str">
        <f t="shared" si="69"/>
        <v>.</v>
      </c>
      <c r="HE40" s="558" t="str">
        <f t="shared" si="69"/>
        <v>.</v>
      </c>
      <c r="HF40" s="558" t="str">
        <f t="shared" si="69"/>
        <v>.</v>
      </c>
      <c r="HG40" s="558" t="str">
        <f t="shared" si="69"/>
        <v>.</v>
      </c>
      <c r="HH40" s="558" t="str">
        <f t="shared" si="69"/>
        <v>.</v>
      </c>
      <c r="HI40" s="558" t="str">
        <f t="shared" si="69"/>
        <v>.</v>
      </c>
      <c r="HJ40" s="558" t="str">
        <f t="shared" si="69"/>
        <v>.</v>
      </c>
      <c r="HK40" s="558" t="str">
        <f t="shared" si="67"/>
        <v>.</v>
      </c>
      <c r="HL40" s="558" t="str">
        <f t="shared" si="67"/>
        <v>.</v>
      </c>
      <c r="HM40" s="558" t="str">
        <f t="shared" si="67"/>
        <v>.</v>
      </c>
      <c r="HN40" s="558" t="str">
        <f t="shared" si="67"/>
        <v>.</v>
      </c>
      <c r="HO40" s="558" t="str">
        <f t="shared" si="67"/>
        <v>.</v>
      </c>
      <c r="HP40" s="558" t="str">
        <f t="shared" si="64"/>
        <v>.</v>
      </c>
      <c r="HQ40" s="558" t="str">
        <f t="shared" si="64"/>
        <v>.</v>
      </c>
      <c r="HR40" s="558" t="str">
        <f t="shared" si="64"/>
        <v>.</v>
      </c>
      <c r="HS40" s="558" t="str">
        <f t="shared" si="64"/>
        <v>.</v>
      </c>
      <c r="HT40" s="558" t="str">
        <f t="shared" si="64"/>
        <v>.</v>
      </c>
      <c r="HU40" s="558" t="str">
        <f t="shared" si="64"/>
        <v>.</v>
      </c>
      <c r="HV40" s="558" t="str">
        <f t="shared" si="64"/>
        <v>.</v>
      </c>
      <c r="HW40" s="558" t="str">
        <f t="shared" si="64"/>
        <v>.</v>
      </c>
      <c r="HX40" s="558" t="str">
        <f t="shared" si="64"/>
        <v>.</v>
      </c>
      <c r="HY40" s="558" t="str">
        <f t="shared" si="64"/>
        <v>.</v>
      </c>
      <c r="HZ40" s="558" t="str">
        <f t="shared" si="64"/>
        <v>.</v>
      </c>
      <c r="IA40" s="558" t="str">
        <f t="shared" si="64"/>
        <v>.</v>
      </c>
      <c r="IB40" s="558" t="str">
        <f t="shared" si="64"/>
        <v>.</v>
      </c>
      <c r="IC40" s="558" t="str">
        <f t="shared" si="64"/>
        <v>.</v>
      </c>
      <c r="ID40" s="558" t="str">
        <f t="shared" si="64"/>
        <v>.</v>
      </c>
      <c r="IE40" s="558" t="str">
        <f t="shared" si="64"/>
        <v>.</v>
      </c>
      <c r="IF40" s="558" t="str">
        <f t="shared" si="64"/>
        <v>.</v>
      </c>
      <c r="IG40" s="558" t="str">
        <f t="shared" si="65"/>
        <v>.</v>
      </c>
      <c r="IH40" s="558" t="str">
        <f t="shared" si="65"/>
        <v>.</v>
      </c>
      <c r="II40" s="558" t="str">
        <f t="shared" si="65"/>
        <v>.</v>
      </c>
      <c r="IJ40" s="558" t="str">
        <f t="shared" si="65"/>
        <v>.</v>
      </c>
      <c r="IK40" s="558" t="str">
        <f t="shared" si="65"/>
        <v>.</v>
      </c>
      <c r="IL40" s="558" t="str">
        <f t="shared" si="65"/>
        <v>.</v>
      </c>
      <c r="IM40" s="558" t="str">
        <f t="shared" si="65"/>
        <v>.</v>
      </c>
      <c r="IN40" s="558" t="str">
        <f t="shared" si="65"/>
        <v>.</v>
      </c>
      <c r="IO40" s="558" t="str">
        <f t="shared" si="62"/>
        <v>.</v>
      </c>
      <c r="IP40" s="558" t="str">
        <f t="shared" si="62"/>
        <v>.</v>
      </c>
      <c r="IQ40" s="558" t="str">
        <f t="shared" si="62"/>
        <v>.</v>
      </c>
      <c r="IR40" s="558" t="str">
        <f t="shared" si="62"/>
        <v>.</v>
      </c>
      <c r="IS40" s="558" t="str">
        <f t="shared" si="62"/>
        <v>.</v>
      </c>
      <c r="IT40" s="558" t="str">
        <f t="shared" si="62"/>
        <v>.</v>
      </c>
      <c r="IU40" s="558" t="str">
        <f t="shared" si="62"/>
        <v>.</v>
      </c>
      <c r="IV40" s="558" t="str">
        <f t="shared" si="62"/>
        <v>.</v>
      </c>
      <c r="IW40" s="558" t="str">
        <f t="shared" si="62"/>
        <v>.</v>
      </c>
      <c r="IX40" s="558" t="str">
        <f t="shared" si="62"/>
        <v>.</v>
      </c>
      <c r="IY40" s="558" t="str">
        <f t="shared" si="62"/>
        <v>.</v>
      </c>
      <c r="IZ40" s="558" t="str">
        <f t="shared" si="62"/>
        <v>.</v>
      </c>
      <c r="JA40" s="558" t="str">
        <f t="shared" si="62"/>
        <v>.</v>
      </c>
      <c r="JB40" s="558" t="str">
        <f t="shared" si="62"/>
        <v>.</v>
      </c>
      <c r="JC40" s="558" t="str">
        <f t="shared" si="62"/>
        <v>.</v>
      </c>
      <c r="JD40" s="558" t="str">
        <f t="shared" si="62"/>
        <v>.</v>
      </c>
      <c r="JE40" s="558" t="str">
        <f t="shared" si="62"/>
        <v>.</v>
      </c>
      <c r="JF40" s="558" t="str">
        <f t="shared" si="62"/>
        <v>.</v>
      </c>
      <c r="JG40" s="558" t="str">
        <f t="shared" si="62"/>
        <v>.</v>
      </c>
      <c r="JH40" s="558" t="str">
        <f t="shared" si="70"/>
        <v>.</v>
      </c>
      <c r="JI40" s="558" t="str">
        <f t="shared" si="70"/>
        <v>.</v>
      </c>
      <c r="JJ40" s="558" t="str">
        <f t="shared" si="70"/>
        <v>.</v>
      </c>
      <c r="JK40" s="558" t="str">
        <f t="shared" si="70"/>
        <v>.</v>
      </c>
      <c r="JL40" s="558" t="str">
        <f t="shared" si="70"/>
        <v>.</v>
      </c>
    </row>
    <row r="41" spans="1:272" ht="10.199999999999999" x14ac:dyDescent="0.2">
      <c r="A41" s="534">
        <f xml:space="preserve"> Basis!A41</f>
        <v>41</v>
      </c>
      <c r="F41" s="536">
        <f xml:space="preserve"> ROUND(    IF( $A$15=BE_MF_,   AW41,   INDEX( qx!41:41, F$16 ) ),    F$17    )</f>
        <v>5.0000000000000001E-4</v>
      </c>
      <c r="G41" s="536">
        <f xml:space="preserve"> ROUND(    IF( $A$15=BE_MF_,   BB41,   INDEX( wx!41:41, G$16 ) ),    G$17    )</f>
        <v>2.9700000000000001E-2</v>
      </c>
      <c r="H41" s="537">
        <f xml:space="preserve"> ROUND(    IF( $A$15=BE_MF_,   BG41,   INDEX( Kx!41:41, H$16 ) ),    H$17    )</f>
        <v>2106.62</v>
      </c>
      <c r="I41" s="538">
        <f t="shared" si="57"/>
        <v>2106.62</v>
      </c>
      <c r="J41" s="539">
        <f t="shared" si="17"/>
        <v>1.014</v>
      </c>
      <c r="K41" s="540">
        <f t="shared" si="58"/>
        <v>2</v>
      </c>
      <c r="L41" s="541">
        <f t="shared" si="71"/>
        <v>0</v>
      </c>
      <c r="M41" s="541">
        <f t="shared" si="71"/>
        <v>8.5999999999999993E-2</v>
      </c>
      <c r="O41" s="542" t="b">
        <f t="shared" si="59"/>
        <v>1</v>
      </c>
      <c r="P41" s="493">
        <f t="shared" si="19"/>
        <v>3.0200000000000001E-2</v>
      </c>
      <c r="Q41" s="493">
        <f t="shared" si="20"/>
        <v>0.9698</v>
      </c>
      <c r="R41" s="543">
        <f t="shared" si="21"/>
        <v>850023</v>
      </c>
      <c r="S41" s="544">
        <f t="shared" si="22"/>
        <v>0.97560975599999999</v>
      </c>
      <c r="T41" s="423">
        <f t="shared" si="23"/>
        <v>308853.26</v>
      </c>
      <c r="U41" s="423">
        <f xml:space="preserve"> IF( $O41,    ROUND(  SUM( T41:T$120), U$17 ),  LEER  )</f>
        <v>6150564.5300000003</v>
      </c>
      <c r="V41" s="493">
        <f t="shared" si="24"/>
        <v>19.914200000000001</v>
      </c>
      <c r="W41" s="493">
        <f t="shared" si="25"/>
        <v>313177.21000000002</v>
      </c>
      <c r="X41" s="493">
        <f xml:space="preserve"> IF( $O41,    ROUND(  SUM( W41:W$120), X$17 ),  LEER  )</f>
        <v>13454895.890000001</v>
      </c>
      <c r="Y41" s="493">
        <f t="shared" si="26"/>
        <v>43.564</v>
      </c>
      <c r="Z41" s="493">
        <f t="shared" si="27"/>
        <v>2.1876000000000002</v>
      </c>
      <c r="AA41" s="493">
        <f t="shared" si="28"/>
        <v>1.0092000000000001</v>
      </c>
      <c r="AB41" s="493">
        <f t="shared" si="29"/>
        <v>2.3494000000000002</v>
      </c>
      <c r="AC41" s="545">
        <f t="shared" si="30"/>
        <v>0.38600000000000001</v>
      </c>
      <c r="AD41" s="493">
        <f t="shared" si="31"/>
        <v>2.2113</v>
      </c>
      <c r="AE41" s="493">
        <f t="shared" si="32"/>
        <v>2.8416999999999999</v>
      </c>
      <c r="AF41" s="493">
        <f t="shared" si="33"/>
        <v>2.8416999999999999</v>
      </c>
      <c r="AG41" s="493" t="str">
        <f t="shared" si="34"/>
        <v>.</v>
      </c>
      <c r="AH41" s="493" t="str">
        <f t="shared" si="35"/>
        <v>.</v>
      </c>
      <c r="AI41" s="423">
        <f t="shared" si="36"/>
        <v>2077.79</v>
      </c>
      <c r="AJ41" s="423">
        <f t="shared" si="37"/>
        <v>5904.46</v>
      </c>
      <c r="AK41" s="423">
        <f t="shared" si="38"/>
        <v>492.04</v>
      </c>
      <c r="AN41" s="423">
        <f t="shared" si="72"/>
        <v>13798.77</v>
      </c>
      <c r="AO41" s="423">
        <f t="shared" si="72"/>
        <v>12880.19</v>
      </c>
      <c r="AR41" s="546">
        <f xml:space="preserve"> ROUND(  INDEX( Kx!41:41, AR$16 ),  AR$17 )</f>
        <v>0.78769999999999996</v>
      </c>
      <c r="AS41" s="547">
        <f xml:space="preserve"> ROUND(  INDEX( qx!41:41, AS$16 ),  AS$17 )</f>
        <v>5.0000000000000001E-4</v>
      </c>
      <c r="AT41" s="547">
        <f xml:space="preserve"> ROUND(  INDEX( qx!41:41, AT$16 ),  AT$17 )</f>
        <v>4.0000000000000002E-4</v>
      </c>
      <c r="AU41" s="548" t="str">
        <f t="shared" si="40"/>
        <v>F</v>
      </c>
      <c r="AV41" s="542">
        <f t="shared" si="41"/>
        <v>0.71209999999999996</v>
      </c>
      <c r="AW41" s="542">
        <f t="shared" si="42"/>
        <v>5.0000000000000001E-4</v>
      </c>
      <c r="AX41" s="546">
        <f xml:space="preserve"> ROUND(  INDEX( wx!41:41, AX$16 ),  AX$17 )</f>
        <v>2.75E-2</v>
      </c>
      <c r="AY41" s="546">
        <f xml:space="preserve"> ROUND(  INDEX( wx!41:41, AY$16 ),  AY$17 )</f>
        <v>4.2000000000000003E-2</v>
      </c>
      <c r="AZ41" s="548" t="str">
        <f t="shared" si="43"/>
        <v>M</v>
      </c>
      <c r="BA41" s="542">
        <f t="shared" si="44"/>
        <v>0.84770000000000001</v>
      </c>
      <c r="BB41" s="542">
        <f t="shared" si="45"/>
        <v>2.9700000000000001E-2</v>
      </c>
      <c r="BC41" s="533">
        <f xml:space="preserve"> ROUND(  INDEX( Kx!41:41, BC$16 ),  BC$17 )</f>
        <v>1768.36</v>
      </c>
      <c r="BD41" s="533">
        <f xml:space="preserve"> ROUND(  INDEX( Kx!41:41, BD$16 ),  BD$17 )</f>
        <v>2943.29</v>
      </c>
      <c r="BE41" s="548" t="str">
        <f t="shared" si="60"/>
        <v>F</v>
      </c>
      <c r="BF41" s="542">
        <f t="shared" si="46"/>
        <v>0.71209999999999996</v>
      </c>
      <c r="BG41" s="420">
        <f t="shared" si="47"/>
        <v>2106.62</v>
      </c>
      <c r="BQ41" s="549"/>
      <c r="BR41" s="423"/>
      <c r="BS41" s="550"/>
      <c r="BT41" s="423"/>
      <c r="BU41" s="551"/>
      <c r="BV41" s="551"/>
      <c r="BW41" s="529"/>
      <c r="BX41" s="552"/>
      <c r="BY41" s="560"/>
      <c r="BZ41" s="559"/>
      <c r="CB41" s="423"/>
      <c r="CC41" s="423"/>
      <c r="CD41" s="423"/>
      <c r="CE41" s="423"/>
      <c r="CF41" s="553"/>
      <c r="CH41" s="423"/>
      <c r="CI41" s="423"/>
      <c r="CJ41" s="423"/>
      <c r="CK41" s="423"/>
      <c r="CL41" s="553"/>
      <c r="CN41" s="423"/>
      <c r="CO41" s="423"/>
      <c r="CP41" s="423"/>
      <c r="CQ41" s="423"/>
      <c r="CR41" s="553"/>
      <c r="EI41" s="553"/>
      <c r="EJ41" s="553"/>
      <c r="EK41" s="423"/>
      <c r="EL41" s="555"/>
      <c r="ES41" s="533"/>
      <c r="ET41" s="533"/>
      <c r="EU41" s="533"/>
      <c r="EV41" s="556"/>
      <c r="EY41" s="533"/>
      <c r="EZ41" s="533"/>
      <c r="FA41" s="556"/>
      <c r="FD41" s="556"/>
      <c r="FE41" s="556"/>
      <c r="FF41" s="556"/>
      <c r="FK41" s="557">
        <f t="shared" si="48"/>
        <v>41</v>
      </c>
      <c r="FL41" s="493">
        <f t="shared" si="49"/>
        <v>43.564</v>
      </c>
      <c r="FM41" s="493">
        <f t="shared" si="50"/>
        <v>19.914200000000001</v>
      </c>
      <c r="FO41" s="427">
        <f t="shared" si="61"/>
        <v>468805.87</v>
      </c>
      <c r="FP41" s="558">
        <f t="shared" si="68"/>
        <v>40847.26</v>
      </c>
      <c r="FQ41" s="558">
        <f t="shared" si="68"/>
        <v>39171.47</v>
      </c>
      <c r="FR41" s="558">
        <f t="shared" si="68"/>
        <v>37491.54</v>
      </c>
      <c r="FS41" s="558">
        <f t="shared" si="68"/>
        <v>35811.620000000003</v>
      </c>
      <c r="FT41" s="558">
        <f t="shared" si="68"/>
        <v>34073.760000000002</v>
      </c>
      <c r="FU41" s="558">
        <f t="shared" si="68"/>
        <v>32286.25</v>
      </c>
      <c r="FV41" s="558">
        <f t="shared" si="68"/>
        <v>30515.29</v>
      </c>
      <c r="FW41" s="558">
        <f t="shared" si="68"/>
        <v>28731.919999999998</v>
      </c>
      <c r="FX41" s="558">
        <f t="shared" si="68"/>
        <v>26886.48</v>
      </c>
      <c r="FY41" s="558">
        <f t="shared" si="68"/>
        <v>24966.57</v>
      </c>
      <c r="FZ41" s="558">
        <f t="shared" si="68"/>
        <v>23034.240000000002</v>
      </c>
      <c r="GA41" s="558">
        <f t="shared" si="68"/>
        <v>21072.94</v>
      </c>
      <c r="GB41" s="558">
        <f t="shared" si="68"/>
        <v>19066.13</v>
      </c>
      <c r="GC41" s="558">
        <f t="shared" si="68"/>
        <v>17051.05</v>
      </c>
      <c r="GD41" s="558">
        <f t="shared" si="68"/>
        <v>14973.9</v>
      </c>
      <c r="GE41" s="558">
        <f t="shared" si="68"/>
        <v>12880.19</v>
      </c>
      <c r="GF41" s="558">
        <f t="shared" si="66"/>
        <v>10724.42</v>
      </c>
      <c r="GG41" s="558">
        <f t="shared" si="66"/>
        <v>8519</v>
      </c>
      <c r="GH41" s="558">
        <f t="shared" si="66"/>
        <v>6251.51</v>
      </c>
      <c r="GI41" s="558">
        <f t="shared" si="66"/>
        <v>3917.82</v>
      </c>
      <c r="GJ41" s="558">
        <f t="shared" si="66"/>
        <v>1513.79</v>
      </c>
      <c r="GK41" s="558">
        <f t="shared" si="66"/>
        <v>-981.28</v>
      </c>
      <c r="GL41" s="558" t="str">
        <f t="shared" si="66"/>
        <v>.</v>
      </c>
      <c r="GM41" s="558" t="str">
        <f t="shared" si="66"/>
        <v>.</v>
      </c>
      <c r="GN41" s="558" t="str">
        <f t="shared" si="66"/>
        <v>.</v>
      </c>
      <c r="GO41" s="558" t="str">
        <f t="shared" si="66"/>
        <v>.</v>
      </c>
      <c r="GP41" s="558" t="str">
        <f t="shared" si="66"/>
        <v>.</v>
      </c>
      <c r="GQ41" s="558" t="str">
        <f t="shared" si="66"/>
        <v>.</v>
      </c>
      <c r="GR41" s="558" t="str">
        <f t="shared" si="66"/>
        <v>.</v>
      </c>
      <c r="GS41" s="558" t="str">
        <f t="shared" si="66"/>
        <v>.</v>
      </c>
      <c r="GT41" s="558" t="str">
        <f t="shared" si="66"/>
        <v>.</v>
      </c>
      <c r="GU41" s="558" t="str">
        <f t="shared" si="69"/>
        <v>.</v>
      </c>
      <c r="GV41" s="558" t="str">
        <f t="shared" si="69"/>
        <v>.</v>
      </c>
      <c r="GW41" s="558" t="str">
        <f t="shared" si="69"/>
        <v>.</v>
      </c>
      <c r="GX41" s="558" t="str">
        <f t="shared" si="69"/>
        <v>.</v>
      </c>
      <c r="GY41" s="558" t="str">
        <f t="shared" si="69"/>
        <v>.</v>
      </c>
      <c r="GZ41" s="558" t="str">
        <f t="shared" si="69"/>
        <v>.</v>
      </c>
      <c r="HA41" s="558" t="str">
        <f t="shared" si="69"/>
        <v>.</v>
      </c>
      <c r="HB41" s="558" t="str">
        <f t="shared" si="69"/>
        <v>.</v>
      </c>
      <c r="HC41" s="558" t="str">
        <f t="shared" si="69"/>
        <v>.</v>
      </c>
      <c r="HD41" s="558" t="str">
        <f t="shared" si="69"/>
        <v>.</v>
      </c>
      <c r="HE41" s="558" t="str">
        <f t="shared" si="69"/>
        <v>.</v>
      </c>
      <c r="HF41" s="558" t="str">
        <f t="shared" si="69"/>
        <v>.</v>
      </c>
      <c r="HG41" s="558" t="str">
        <f t="shared" si="69"/>
        <v>.</v>
      </c>
      <c r="HH41" s="558" t="str">
        <f t="shared" si="69"/>
        <v>.</v>
      </c>
      <c r="HI41" s="558" t="str">
        <f t="shared" si="69"/>
        <v>.</v>
      </c>
      <c r="HJ41" s="558" t="str">
        <f t="shared" si="69"/>
        <v>.</v>
      </c>
      <c r="HK41" s="558" t="str">
        <f t="shared" si="67"/>
        <v>.</v>
      </c>
      <c r="HL41" s="558" t="str">
        <f t="shared" si="67"/>
        <v>.</v>
      </c>
      <c r="HM41" s="558" t="str">
        <f t="shared" si="67"/>
        <v>.</v>
      </c>
      <c r="HN41" s="558" t="str">
        <f t="shared" si="67"/>
        <v>.</v>
      </c>
      <c r="HO41" s="558" t="str">
        <f t="shared" si="67"/>
        <v>.</v>
      </c>
      <c r="HP41" s="558" t="str">
        <f t="shared" si="64"/>
        <v>.</v>
      </c>
      <c r="HQ41" s="558" t="str">
        <f t="shared" si="64"/>
        <v>.</v>
      </c>
      <c r="HR41" s="558" t="str">
        <f t="shared" si="64"/>
        <v>.</v>
      </c>
      <c r="HS41" s="558" t="str">
        <f t="shared" si="64"/>
        <v>.</v>
      </c>
      <c r="HT41" s="558" t="str">
        <f t="shared" si="64"/>
        <v>.</v>
      </c>
      <c r="HU41" s="558" t="str">
        <f t="shared" si="64"/>
        <v>.</v>
      </c>
      <c r="HV41" s="558" t="str">
        <f t="shared" si="64"/>
        <v>.</v>
      </c>
      <c r="HW41" s="558" t="str">
        <f t="shared" si="64"/>
        <v>.</v>
      </c>
      <c r="HX41" s="558" t="str">
        <f t="shared" si="64"/>
        <v>.</v>
      </c>
      <c r="HY41" s="558" t="str">
        <f t="shared" si="64"/>
        <v>.</v>
      </c>
      <c r="HZ41" s="558" t="str">
        <f t="shared" si="64"/>
        <v>.</v>
      </c>
      <c r="IA41" s="558" t="str">
        <f t="shared" si="64"/>
        <v>.</v>
      </c>
      <c r="IB41" s="558" t="str">
        <f t="shared" si="64"/>
        <v>.</v>
      </c>
      <c r="IC41" s="558" t="str">
        <f t="shared" si="64"/>
        <v>.</v>
      </c>
      <c r="ID41" s="558" t="str">
        <f t="shared" si="64"/>
        <v>.</v>
      </c>
      <c r="IE41" s="558" t="str">
        <f t="shared" si="64"/>
        <v>.</v>
      </c>
      <c r="IF41" s="558" t="str">
        <f t="shared" si="64"/>
        <v>.</v>
      </c>
      <c r="IG41" s="558" t="str">
        <f t="shared" si="65"/>
        <v>.</v>
      </c>
      <c r="IH41" s="558" t="str">
        <f t="shared" si="65"/>
        <v>.</v>
      </c>
      <c r="II41" s="558" t="str">
        <f t="shared" si="65"/>
        <v>.</v>
      </c>
      <c r="IJ41" s="558" t="str">
        <f t="shared" si="65"/>
        <v>.</v>
      </c>
      <c r="IK41" s="558" t="str">
        <f t="shared" si="65"/>
        <v>.</v>
      </c>
      <c r="IL41" s="558" t="str">
        <f t="shared" si="65"/>
        <v>.</v>
      </c>
      <c r="IM41" s="558" t="str">
        <f t="shared" si="65"/>
        <v>.</v>
      </c>
      <c r="IN41" s="558" t="str">
        <f t="shared" si="65"/>
        <v>.</v>
      </c>
      <c r="IO41" s="558" t="str">
        <f t="shared" si="62"/>
        <v>.</v>
      </c>
      <c r="IP41" s="558" t="str">
        <f t="shared" si="62"/>
        <v>.</v>
      </c>
      <c r="IQ41" s="558" t="str">
        <f t="shared" si="62"/>
        <v>.</v>
      </c>
      <c r="IR41" s="558" t="str">
        <f t="shared" si="62"/>
        <v>.</v>
      </c>
      <c r="IS41" s="558" t="str">
        <f t="shared" si="62"/>
        <v>.</v>
      </c>
      <c r="IT41" s="558" t="str">
        <f t="shared" si="62"/>
        <v>.</v>
      </c>
      <c r="IU41" s="558" t="str">
        <f t="shared" si="62"/>
        <v>.</v>
      </c>
      <c r="IV41" s="558" t="str">
        <f t="shared" si="62"/>
        <v>.</v>
      </c>
      <c r="IW41" s="558" t="str">
        <f t="shared" si="62"/>
        <v>.</v>
      </c>
      <c r="IX41" s="558" t="str">
        <f t="shared" si="62"/>
        <v>.</v>
      </c>
      <c r="IY41" s="558" t="str">
        <f t="shared" si="62"/>
        <v>.</v>
      </c>
      <c r="IZ41" s="558" t="str">
        <f t="shared" si="62"/>
        <v>.</v>
      </c>
      <c r="JA41" s="558" t="str">
        <f t="shared" si="62"/>
        <v>.</v>
      </c>
      <c r="JB41" s="558" t="str">
        <f t="shared" si="62"/>
        <v>.</v>
      </c>
      <c r="JC41" s="558" t="str">
        <f t="shared" si="62"/>
        <v>.</v>
      </c>
      <c r="JD41" s="558" t="str">
        <f t="shared" si="62"/>
        <v>.</v>
      </c>
      <c r="JE41" s="558" t="str">
        <f t="shared" si="62"/>
        <v>.</v>
      </c>
      <c r="JF41" s="558" t="str">
        <f t="shared" si="62"/>
        <v>.</v>
      </c>
      <c r="JG41" s="558" t="str">
        <f t="shared" si="62"/>
        <v>.</v>
      </c>
      <c r="JH41" s="558" t="str">
        <f t="shared" si="70"/>
        <v>.</v>
      </c>
      <c r="JI41" s="558" t="str">
        <f t="shared" si="70"/>
        <v>.</v>
      </c>
      <c r="JJ41" s="558" t="str">
        <f t="shared" si="70"/>
        <v>.</v>
      </c>
      <c r="JK41" s="558" t="str">
        <f t="shared" si="70"/>
        <v>.</v>
      </c>
      <c r="JL41" s="558" t="str">
        <f t="shared" si="70"/>
        <v>.</v>
      </c>
    </row>
    <row r="42" spans="1:272" ht="10.199999999999999" x14ac:dyDescent="0.2">
      <c r="A42" s="534">
        <f xml:space="preserve"> Basis!A42</f>
        <v>42</v>
      </c>
      <c r="F42" s="536">
        <f xml:space="preserve"> ROUND(    IF( $A$15=BE_MF_,   AW42,   INDEX( qx!42:42, F$16 ) ),    F$17    )</f>
        <v>5.0000000000000001E-4</v>
      </c>
      <c r="G42" s="536">
        <f xml:space="preserve"> ROUND(    IF( $A$15=BE_MF_,   BB42,   INDEX( wx!42:42, G$16 ) ),    G$17    )</f>
        <v>2.8000000000000001E-2</v>
      </c>
      <c r="H42" s="537">
        <f xml:space="preserve"> ROUND(    IF( $A$15=BE_MF_,   BG42,   INDEX( Kx!42:42, H$16 ) ),    H$17    )</f>
        <v>2141.37</v>
      </c>
      <c r="I42" s="538">
        <f t="shared" si="57"/>
        <v>2141.37</v>
      </c>
      <c r="J42" s="539">
        <f t="shared" si="17"/>
        <v>1.0309999999999999</v>
      </c>
      <c r="K42" s="540">
        <f t="shared" si="58"/>
        <v>2</v>
      </c>
      <c r="L42" s="541">
        <f t="shared" si="71"/>
        <v>0</v>
      </c>
      <c r="M42" s="541">
        <f t="shared" si="71"/>
        <v>8.5999999999999993E-2</v>
      </c>
      <c r="O42" s="542" t="b">
        <f t="shared" si="59"/>
        <v>1</v>
      </c>
      <c r="P42" s="493">
        <f t="shared" si="19"/>
        <v>2.8500000000000001E-2</v>
      </c>
      <c r="Q42" s="493">
        <f t="shared" si="20"/>
        <v>0.97150000000000003</v>
      </c>
      <c r="R42" s="543">
        <f t="shared" si="21"/>
        <v>824352</v>
      </c>
      <c r="S42" s="544">
        <f t="shared" si="22"/>
        <v>0.97560975599999999</v>
      </c>
      <c r="T42" s="423">
        <f t="shared" si="23"/>
        <v>292220.28000000003</v>
      </c>
      <c r="U42" s="423">
        <f xml:space="preserve"> IF( $O42,    ROUND(  SUM( T42:T$120), U$17 ),  LEER  )</f>
        <v>5841711.2699999996</v>
      </c>
      <c r="V42" s="493">
        <f t="shared" si="24"/>
        <v>19.9908</v>
      </c>
      <c r="W42" s="493">
        <f t="shared" si="25"/>
        <v>301279.11</v>
      </c>
      <c r="X42" s="493">
        <f xml:space="preserve"> IF( $O42,    ROUND(  SUM( W42:W$120), X$17 ),  LEER  )</f>
        <v>13141718.68</v>
      </c>
      <c r="Y42" s="493">
        <f t="shared" si="26"/>
        <v>44.972000000000001</v>
      </c>
      <c r="Z42" s="493">
        <f t="shared" si="27"/>
        <v>2.2496</v>
      </c>
      <c r="AA42" s="493">
        <f t="shared" si="28"/>
        <v>1.0092000000000001</v>
      </c>
      <c r="AB42" s="493">
        <f t="shared" si="29"/>
        <v>2.3494000000000002</v>
      </c>
      <c r="AC42" s="545">
        <f t="shared" si="30"/>
        <v>0.38600000000000001</v>
      </c>
      <c r="AD42" s="493">
        <f t="shared" si="31"/>
        <v>2.2738</v>
      </c>
      <c r="AE42" s="493">
        <f t="shared" si="32"/>
        <v>2.9100999999999999</v>
      </c>
      <c r="AF42" s="493">
        <f t="shared" si="33"/>
        <v>2.9100999999999999</v>
      </c>
      <c r="AG42" s="493" t="str">
        <f t="shared" si="34"/>
        <v>.</v>
      </c>
      <c r="AH42" s="493" t="str">
        <f t="shared" si="35"/>
        <v>.</v>
      </c>
      <c r="AI42" s="423">
        <f t="shared" si="36"/>
        <v>2077.79</v>
      </c>
      <c r="AJ42" s="423">
        <f t="shared" si="37"/>
        <v>6046.58</v>
      </c>
      <c r="AK42" s="423">
        <f t="shared" si="38"/>
        <v>503.88</v>
      </c>
      <c r="AN42" s="423">
        <f t="shared" si="72"/>
        <v>16429.21</v>
      </c>
      <c r="AO42" s="423">
        <f t="shared" si="72"/>
        <v>15507.09</v>
      </c>
      <c r="AR42" s="546">
        <f xml:space="preserve"> ROUND(  INDEX( Kx!42:42, AR$16 ),  AR$17 )</f>
        <v>0.78420000000000001</v>
      </c>
      <c r="AS42" s="547">
        <f xml:space="preserve"> ROUND(  INDEX( qx!42:42, AS$16 ),  AS$17 )</f>
        <v>5.0000000000000001E-4</v>
      </c>
      <c r="AT42" s="547">
        <f xml:space="preserve"> ROUND(  INDEX( qx!42:42, AT$16 ),  AT$17 )</f>
        <v>4.0000000000000002E-4</v>
      </c>
      <c r="AU42" s="548" t="str">
        <f t="shared" si="40"/>
        <v>F</v>
      </c>
      <c r="AV42" s="542">
        <f t="shared" si="41"/>
        <v>0.70779999999999998</v>
      </c>
      <c r="AW42" s="542">
        <f t="shared" si="42"/>
        <v>5.0000000000000001E-4</v>
      </c>
      <c r="AX42" s="546">
        <f xml:space="preserve"> ROUND(  INDEX( wx!42:42, AX$16 ),  AX$17 )</f>
        <v>2.5899999999999999E-2</v>
      </c>
      <c r="AY42" s="546">
        <f xml:space="preserve"> ROUND(  INDEX( wx!42:42, AY$16 ),  AY$17 )</f>
        <v>3.9600000000000003E-2</v>
      </c>
      <c r="AZ42" s="548" t="str">
        <f t="shared" si="43"/>
        <v>M</v>
      </c>
      <c r="BA42" s="542">
        <f t="shared" si="44"/>
        <v>0.84499999999999997</v>
      </c>
      <c r="BB42" s="542">
        <f t="shared" si="45"/>
        <v>2.8000000000000001E-2</v>
      </c>
      <c r="BC42" s="533">
        <f xml:space="preserve"> ROUND(  INDEX( Kx!42:42, BC$16 ),  BC$17 )</f>
        <v>1828.36</v>
      </c>
      <c r="BD42" s="533">
        <f xml:space="preserve"> ROUND(  INDEX( Kx!42:42, BD$16 ),  BD$17 )</f>
        <v>2899.59</v>
      </c>
      <c r="BE42" s="548" t="str">
        <f t="shared" si="60"/>
        <v>F</v>
      </c>
      <c r="BF42" s="542">
        <f t="shared" si="46"/>
        <v>0.70779999999999998</v>
      </c>
      <c r="BG42" s="420">
        <f t="shared" si="47"/>
        <v>2141.37</v>
      </c>
      <c r="BQ42" s="549"/>
      <c r="BR42" s="423"/>
      <c r="BS42" s="550"/>
      <c r="BT42" s="423"/>
      <c r="BU42" s="551"/>
      <c r="BV42" s="551"/>
      <c r="BW42" s="529"/>
      <c r="BX42" s="552"/>
      <c r="BY42" s="560"/>
      <c r="BZ42" s="559"/>
      <c r="CB42" s="423"/>
      <c r="CC42" s="423"/>
      <c r="CD42" s="423"/>
      <c r="CE42" s="423"/>
      <c r="CF42" s="553"/>
      <c r="CH42" s="423"/>
      <c r="CI42" s="423"/>
      <c r="CJ42" s="423"/>
      <c r="CK42" s="423"/>
      <c r="CL42" s="553"/>
      <c r="CN42" s="423"/>
      <c r="CO42" s="423"/>
      <c r="CP42" s="423"/>
      <c r="CQ42" s="423"/>
      <c r="CR42" s="553"/>
      <c r="EI42" s="553"/>
      <c r="EJ42" s="553"/>
      <c r="EK42" s="423"/>
      <c r="EL42" s="555"/>
      <c r="ES42" s="533"/>
      <c r="ET42" s="533"/>
      <c r="EU42" s="533"/>
      <c r="EV42" s="556"/>
      <c r="EY42" s="533"/>
      <c r="EZ42" s="533"/>
      <c r="FA42" s="556"/>
      <c r="FD42" s="556"/>
      <c r="FE42" s="556"/>
      <c r="FF42" s="556"/>
      <c r="FK42" s="557">
        <f t="shared" si="48"/>
        <v>42</v>
      </c>
      <c r="FL42" s="493">
        <f t="shared" si="49"/>
        <v>44.972000000000001</v>
      </c>
      <c r="FM42" s="493">
        <f t="shared" si="50"/>
        <v>19.9908</v>
      </c>
      <c r="FO42" s="427">
        <f t="shared" si="61"/>
        <v>526307.22</v>
      </c>
      <c r="FP42" s="558">
        <f t="shared" si="68"/>
        <v>43581.74</v>
      </c>
      <c r="FQ42" s="558">
        <f t="shared" si="68"/>
        <v>41899.5</v>
      </c>
      <c r="FR42" s="558">
        <f t="shared" si="68"/>
        <v>40213.11</v>
      </c>
      <c r="FS42" s="558">
        <f t="shared" si="68"/>
        <v>38526.720000000001</v>
      </c>
      <c r="FT42" s="558">
        <f t="shared" si="68"/>
        <v>36782.18</v>
      </c>
      <c r="FU42" s="558">
        <f t="shared" si="68"/>
        <v>34987.800000000003</v>
      </c>
      <c r="FV42" s="558">
        <f t="shared" si="68"/>
        <v>33210.03</v>
      </c>
      <c r="FW42" s="558">
        <f t="shared" si="68"/>
        <v>31419.79</v>
      </c>
      <c r="FX42" s="558">
        <f t="shared" si="68"/>
        <v>29567.26</v>
      </c>
      <c r="FY42" s="558">
        <f t="shared" si="68"/>
        <v>27639.96</v>
      </c>
      <c r="FZ42" s="558">
        <f t="shared" si="68"/>
        <v>25700.19</v>
      </c>
      <c r="GA42" s="558">
        <f t="shared" si="68"/>
        <v>23731.35</v>
      </c>
      <c r="GB42" s="558">
        <f t="shared" si="68"/>
        <v>21716.83</v>
      </c>
      <c r="GC42" s="558">
        <f t="shared" si="68"/>
        <v>19693.990000000002</v>
      </c>
      <c r="GD42" s="558">
        <f t="shared" si="68"/>
        <v>17608.849999999999</v>
      </c>
      <c r="GE42" s="558">
        <f t="shared" si="68"/>
        <v>15507.09</v>
      </c>
      <c r="GF42" s="558">
        <f t="shared" si="66"/>
        <v>13343.03</v>
      </c>
      <c r="GG42" s="558">
        <f t="shared" si="66"/>
        <v>11129.12</v>
      </c>
      <c r="GH42" s="558">
        <f t="shared" si="66"/>
        <v>8852.91</v>
      </c>
      <c r="GI42" s="558">
        <f t="shared" si="66"/>
        <v>6510.25</v>
      </c>
      <c r="GJ42" s="558">
        <f t="shared" si="66"/>
        <v>4096.96</v>
      </c>
      <c r="GK42" s="558">
        <f t="shared" si="66"/>
        <v>1592.3</v>
      </c>
      <c r="GL42" s="558">
        <f t="shared" si="66"/>
        <v>-1003.74</v>
      </c>
      <c r="GM42" s="558" t="str">
        <f t="shared" si="66"/>
        <v>.</v>
      </c>
      <c r="GN42" s="558" t="str">
        <f t="shared" si="66"/>
        <v>.</v>
      </c>
      <c r="GO42" s="558" t="str">
        <f t="shared" si="66"/>
        <v>.</v>
      </c>
      <c r="GP42" s="558" t="str">
        <f t="shared" si="66"/>
        <v>.</v>
      </c>
      <c r="GQ42" s="558" t="str">
        <f t="shared" si="66"/>
        <v>.</v>
      </c>
      <c r="GR42" s="558" t="str">
        <f t="shared" si="66"/>
        <v>.</v>
      </c>
      <c r="GS42" s="558" t="str">
        <f t="shared" si="66"/>
        <v>.</v>
      </c>
      <c r="GT42" s="558" t="str">
        <f t="shared" si="66"/>
        <v>.</v>
      </c>
      <c r="GU42" s="558" t="str">
        <f t="shared" si="69"/>
        <v>.</v>
      </c>
      <c r="GV42" s="558" t="str">
        <f t="shared" si="69"/>
        <v>.</v>
      </c>
      <c r="GW42" s="558" t="str">
        <f t="shared" si="69"/>
        <v>.</v>
      </c>
      <c r="GX42" s="558" t="str">
        <f t="shared" si="69"/>
        <v>.</v>
      </c>
      <c r="GY42" s="558" t="str">
        <f t="shared" si="69"/>
        <v>.</v>
      </c>
      <c r="GZ42" s="558" t="str">
        <f t="shared" si="69"/>
        <v>.</v>
      </c>
      <c r="HA42" s="558" t="str">
        <f t="shared" si="69"/>
        <v>.</v>
      </c>
      <c r="HB42" s="558" t="str">
        <f t="shared" si="69"/>
        <v>.</v>
      </c>
      <c r="HC42" s="558" t="str">
        <f t="shared" si="69"/>
        <v>.</v>
      </c>
      <c r="HD42" s="558" t="str">
        <f t="shared" si="69"/>
        <v>.</v>
      </c>
      <c r="HE42" s="558" t="str">
        <f t="shared" si="69"/>
        <v>.</v>
      </c>
      <c r="HF42" s="558" t="str">
        <f t="shared" si="69"/>
        <v>.</v>
      </c>
      <c r="HG42" s="558" t="str">
        <f t="shared" si="69"/>
        <v>.</v>
      </c>
      <c r="HH42" s="558" t="str">
        <f t="shared" si="69"/>
        <v>.</v>
      </c>
      <c r="HI42" s="558" t="str">
        <f t="shared" si="69"/>
        <v>.</v>
      </c>
      <c r="HJ42" s="558" t="str">
        <f t="shared" si="69"/>
        <v>.</v>
      </c>
      <c r="HK42" s="558" t="str">
        <f t="shared" si="67"/>
        <v>.</v>
      </c>
      <c r="HL42" s="558" t="str">
        <f t="shared" si="67"/>
        <v>.</v>
      </c>
      <c r="HM42" s="558" t="str">
        <f t="shared" si="67"/>
        <v>.</v>
      </c>
      <c r="HN42" s="558" t="str">
        <f t="shared" si="67"/>
        <v>.</v>
      </c>
      <c r="HO42" s="558" t="str">
        <f t="shared" si="67"/>
        <v>.</v>
      </c>
      <c r="HP42" s="558" t="str">
        <f t="shared" si="64"/>
        <v>.</v>
      </c>
      <c r="HQ42" s="558" t="str">
        <f t="shared" si="64"/>
        <v>.</v>
      </c>
      <c r="HR42" s="558" t="str">
        <f t="shared" si="64"/>
        <v>.</v>
      </c>
      <c r="HS42" s="558" t="str">
        <f t="shared" si="64"/>
        <v>.</v>
      </c>
      <c r="HT42" s="558" t="str">
        <f t="shared" si="64"/>
        <v>.</v>
      </c>
      <c r="HU42" s="558" t="str">
        <f t="shared" si="64"/>
        <v>.</v>
      </c>
      <c r="HV42" s="558" t="str">
        <f t="shared" si="64"/>
        <v>.</v>
      </c>
      <c r="HW42" s="558" t="str">
        <f t="shared" si="64"/>
        <v>.</v>
      </c>
      <c r="HX42" s="558" t="str">
        <f t="shared" si="64"/>
        <v>.</v>
      </c>
      <c r="HY42" s="558" t="str">
        <f t="shared" si="64"/>
        <v>.</v>
      </c>
      <c r="HZ42" s="558" t="str">
        <f t="shared" si="64"/>
        <v>.</v>
      </c>
      <c r="IA42" s="558" t="str">
        <f t="shared" si="64"/>
        <v>.</v>
      </c>
      <c r="IB42" s="558" t="str">
        <f t="shared" si="64"/>
        <v>.</v>
      </c>
      <c r="IC42" s="558" t="str">
        <f t="shared" si="64"/>
        <v>.</v>
      </c>
      <c r="ID42" s="558" t="str">
        <f t="shared" si="64"/>
        <v>.</v>
      </c>
      <c r="IE42" s="558" t="str">
        <f t="shared" si="64"/>
        <v>.</v>
      </c>
      <c r="IF42" s="558" t="str">
        <f t="shared" si="64"/>
        <v>.</v>
      </c>
      <c r="IG42" s="558" t="str">
        <f t="shared" si="65"/>
        <v>.</v>
      </c>
      <c r="IH42" s="558" t="str">
        <f t="shared" si="65"/>
        <v>.</v>
      </c>
      <c r="II42" s="558" t="str">
        <f t="shared" si="65"/>
        <v>.</v>
      </c>
      <c r="IJ42" s="558" t="str">
        <f t="shared" si="65"/>
        <v>.</v>
      </c>
      <c r="IK42" s="558" t="str">
        <f t="shared" si="65"/>
        <v>.</v>
      </c>
      <c r="IL42" s="558" t="str">
        <f t="shared" si="65"/>
        <v>.</v>
      </c>
      <c r="IM42" s="558" t="str">
        <f t="shared" si="65"/>
        <v>.</v>
      </c>
      <c r="IN42" s="558" t="str">
        <f t="shared" si="65"/>
        <v>.</v>
      </c>
      <c r="IO42" s="558" t="str">
        <f t="shared" si="62"/>
        <v>.</v>
      </c>
      <c r="IP42" s="558" t="str">
        <f t="shared" si="62"/>
        <v>.</v>
      </c>
      <c r="IQ42" s="558" t="str">
        <f t="shared" si="62"/>
        <v>.</v>
      </c>
      <c r="IR42" s="558" t="str">
        <f t="shared" si="62"/>
        <v>.</v>
      </c>
      <c r="IS42" s="558" t="str">
        <f t="shared" si="62"/>
        <v>.</v>
      </c>
      <c r="IT42" s="558" t="str">
        <f t="shared" si="62"/>
        <v>.</v>
      </c>
      <c r="IU42" s="558" t="str">
        <f t="shared" si="62"/>
        <v>.</v>
      </c>
      <c r="IV42" s="558" t="str">
        <f t="shared" si="62"/>
        <v>.</v>
      </c>
      <c r="IW42" s="558" t="str">
        <f t="shared" si="62"/>
        <v>.</v>
      </c>
      <c r="IX42" s="558" t="str">
        <f t="shared" si="62"/>
        <v>.</v>
      </c>
      <c r="IY42" s="558" t="str">
        <f t="shared" si="62"/>
        <v>.</v>
      </c>
      <c r="IZ42" s="558" t="str">
        <f t="shared" si="62"/>
        <v>.</v>
      </c>
      <c r="JA42" s="558" t="str">
        <f t="shared" si="62"/>
        <v>.</v>
      </c>
      <c r="JB42" s="558" t="str">
        <f t="shared" si="62"/>
        <v>.</v>
      </c>
      <c r="JC42" s="558" t="str">
        <f t="shared" si="62"/>
        <v>.</v>
      </c>
      <c r="JD42" s="558" t="str">
        <f t="shared" si="62"/>
        <v>.</v>
      </c>
      <c r="JE42" s="558" t="str">
        <f t="shared" si="62"/>
        <v>.</v>
      </c>
      <c r="JF42" s="558" t="str">
        <f t="shared" si="62"/>
        <v>.</v>
      </c>
      <c r="JG42" s="558" t="str">
        <f t="shared" si="62"/>
        <v>.</v>
      </c>
      <c r="JH42" s="558" t="str">
        <f t="shared" si="70"/>
        <v>.</v>
      </c>
      <c r="JI42" s="558" t="str">
        <f t="shared" si="70"/>
        <v>.</v>
      </c>
      <c r="JJ42" s="558" t="str">
        <f t="shared" si="70"/>
        <v>.</v>
      </c>
      <c r="JK42" s="558" t="str">
        <f t="shared" si="70"/>
        <v>.</v>
      </c>
      <c r="JL42" s="558" t="str">
        <f t="shared" si="70"/>
        <v>.</v>
      </c>
    </row>
    <row r="43" spans="1:272" ht="10.199999999999999" x14ac:dyDescent="0.2">
      <c r="A43" s="534">
        <f xml:space="preserve"> Basis!A43</f>
        <v>43</v>
      </c>
      <c r="F43" s="536">
        <f xml:space="preserve"> ROUND(    IF( $A$15=BE_MF_,   AW43,   INDEX( qx!43:43, F$16 ) ),    F$17    )</f>
        <v>5.9999999999999995E-4</v>
      </c>
      <c r="G43" s="536">
        <f xml:space="preserve"> ROUND(    IF( $A$15=BE_MF_,   BB43,   INDEX( wx!43:43, G$16 ) ),    G$17    )</f>
        <v>2.6700000000000002E-2</v>
      </c>
      <c r="H43" s="537">
        <f xml:space="preserve"> ROUND(    IF( $A$15=BE_MF_,   BG43,   INDEX( Kx!43:43, H$16 ) ),    H$17    )</f>
        <v>2171.7399999999998</v>
      </c>
      <c r="I43" s="538">
        <f t="shared" si="57"/>
        <v>2171.7399999999998</v>
      </c>
      <c r="J43" s="539">
        <f t="shared" si="17"/>
        <v>1.0449999999999999</v>
      </c>
      <c r="K43" s="540">
        <f t="shared" si="58"/>
        <v>2</v>
      </c>
      <c r="L43" s="541">
        <f t="shared" si="71"/>
        <v>0</v>
      </c>
      <c r="M43" s="541">
        <f t="shared" si="71"/>
        <v>8.5999999999999993E-2</v>
      </c>
      <c r="O43" s="542" t="b">
        <f t="shared" si="59"/>
        <v>1</v>
      </c>
      <c r="P43" s="493">
        <f t="shared" si="19"/>
        <v>2.7300000000000001E-2</v>
      </c>
      <c r="Q43" s="493">
        <f t="shared" si="20"/>
        <v>0.97270000000000001</v>
      </c>
      <c r="R43" s="543">
        <f t="shared" si="21"/>
        <v>800857</v>
      </c>
      <c r="S43" s="544">
        <f t="shared" si="22"/>
        <v>0.97560975599999999</v>
      </c>
      <c r="T43" s="423">
        <f t="shared" si="23"/>
        <v>276967.46999999997</v>
      </c>
      <c r="U43" s="423">
        <f xml:space="preserve"> IF( $O43,    ROUND(  SUM( T43:T$120), U$17 ),  LEER  )</f>
        <v>5549490.9900000002</v>
      </c>
      <c r="V43" s="493">
        <f t="shared" si="24"/>
        <v>20.0366</v>
      </c>
      <c r="W43" s="493">
        <f t="shared" si="25"/>
        <v>289431.01</v>
      </c>
      <c r="X43" s="493">
        <f xml:space="preserve"> IF( $O43,    ROUND(  SUM( W43:W$120), X$17 ),  LEER  )</f>
        <v>12840439.57</v>
      </c>
      <c r="Y43" s="493">
        <f t="shared" si="26"/>
        <v>46.360799999999998</v>
      </c>
      <c r="Z43" s="493">
        <f t="shared" si="27"/>
        <v>2.3138000000000001</v>
      </c>
      <c r="AA43" s="493">
        <f t="shared" si="28"/>
        <v>1.0092000000000001</v>
      </c>
      <c r="AB43" s="493">
        <f t="shared" si="29"/>
        <v>2.3494000000000002</v>
      </c>
      <c r="AC43" s="545">
        <f t="shared" si="30"/>
        <v>0.38600000000000001</v>
      </c>
      <c r="AD43" s="493">
        <f t="shared" si="31"/>
        <v>2.3386</v>
      </c>
      <c r="AE43" s="493">
        <f t="shared" si="32"/>
        <v>2.9809999999999999</v>
      </c>
      <c r="AF43" s="493">
        <f t="shared" si="33"/>
        <v>2.9809999999999999</v>
      </c>
      <c r="AG43" s="493" t="str">
        <f t="shared" si="34"/>
        <v>.</v>
      </c>
      <c r="AH43" s="493" t="str">
        <f t="shared" si="35"/>
        <v>.</v>
      </c>
      <c r="AI43" s="423">
        <f t="shared" si="36"/>
        <v>2077.79</v>
      </c>
      <c r="AJ43" s="423">
        <f t="shared" si="37"/>
        <v>6193.89</v>
      </c>
      <c r="AK43" s="423">
        <f t="shared" si="38"/>
        <v>516.16</v>
      </c>
      <c r="AN43" s="423">
        <f t="shared" si="72"/>
        <v>19138.400000000001</v>
      </c>
      <c r="AO43" s="423">
        <f t="shared" si="72"/>
        <v>18214.169999999998</v>
      </c>
      <c r="AR43" s="546">
        <f xml:space="preserve"> ROUND(  INDEX( Kx!43:43, AR$16 ),  AR$17 )</f>
        <v>0.78759999999999997</v>
      </c>
      <c r="AS43" s="547">
        <f xml:space="preserve"> ROUND(  INDEX( qx!43:43, AS$16 ),  AS$17 )</f>
        <v>5.9999999999999995E-4</v>
      </c>
      <c r="AT43" s="547">
        <f xml:space="preserve"> ROUND(  INDEX( qx!43:43, AT$16 ),  AT$17 )</f>
        <v>5.0000000000000001E-4</v>
      </c>
      <c r="AU43" s="548" t="str">
        <f t="shared" si="40"/>
        <v>F</v>
      </c>
      <c r="AV43" s="542">
        <f t="shared" si="41"/>
        <v>0.71199999999999997</v>
      </c>
      <c r="AW43" s="542">
        <f t="shared" si="42"/>
        <v>5.9999999999999995E-4</v>
      </c>
      <c r="AX43" s="546">
        <f xml:space="preserve"> ROUND(  INDEX( wx!43:43, AX$16 ),  AX$17 )</f>
        <v>2.47E-2</v>
      </c>
      <c r="AY43" s="546">
        <f xml:space="preserve"> ROUND(  INDEX( wx!43:43, AY$16 ),  AY$17 )</f>
        <v>3.7600000000000001E-2</v>
      </c>
      <c r="AZ43" s="548" t="str">
        <f t="shared" si="43"/>
        <v>M</v>
      </c>
      <c r="BA43" s="542">
        <f t="shared" si="44"/>
        <v>0.84760000000000002</v>
      </c>
      <c r="BB43" s="542">
        <f t="shared" si="45"/>
        <v>2.6700000000000002E-2</v>
      </c>
      <c r="BC43" s="533">
        <f xml:space="preserve"> ROUND(  INDEX( Kx!43:43, BC$16 ),  BC$17 )</f>
        <v>1890.12</v>
      </c>
      <c r="BD43" s="533">
        <f xml:space="preserve"> ROUND(  INDEX( Kx!43:43, BD$16 ),  BD$17 )</f>
        <v>2867.95</v>
      </c>
      <c r="BE43" s="548" t="str">
        <f t="shared" si="60"/>
        <v>F</v>
      </c>
      <c r="BF43" s="542">
        <f t="shared" si="46"/>
        <v>0.71199999999999997</v>
      </c>
      <c r="BG43" s="420">
        <f t="shared" si="47"/>
        <v>2171.7399999999998</v>
      </c>
      <c r="BQ43" s="549"/>
      <c r="BR43" s="423"/>
      <c r="BS43" s="550"/>
      <c r="BT43" s="423"/>
      <c r="BU43" s="551"/>
      <c r="BV43" s="551"/>
      <c r="BW43" s="529"/>
      <c r="BX43" s="552"/>
      <c r="BY43" s="560"/>
      <c r="BZ43" s="559"/>
      <c r="CB43" s="423"/>
      <c r="CC43" s="423"/>
      <c r="CD43" s="423"/>
      <c r="CE43" s="423"/>
      <c r="CF43" s="553"/>
      <c r="CH43" s="423"/>
      <c r="CI43" s="423"/>
      <c r="CJ43" s="423"/>
      <c r="CK43" s="423"/>
      <c r="CL43" s="553"/>
      <c r="CN43" s="423"/>
      <c r="CO43" s="423"/>
      <c r="CP43" s="423"/>
      <c r="CQ43" s="423"/>
      <c r="CR43" s="553"/>
      <c r="EI43" s="553"/>
      <c r="EJ43" s="553"/>
      <c r="EK43" s="423"/>
      <c r="EL43" s="555"/>
      <c r="ES43" s="533"/>
      <c r="ET43" s="533"/>
      <c r="EU43" s="533"/>
      <c r="EV43" s="556"/>
      <c r="EY43" s="533"/>
      <c r="EZ43" s="533"/>
      <c r="FA43" s="556"/>
      <c r="FD43" s="556"/>
      <c r="FE43" s="556"/>
      <c r="FF43" s="556"/>
      <c r="FK43" s="557">
        <f t="shared" si="48"/>
        <v>43</v>
      </c>
      <c r="FL43" s="493">
        <f t="shared" si="49"/>
        <v>46.360799999999998</v>
      </c>
      <c r="FM43" s="493">
        <f t="shared" si="50"/>
        <v>20.0366</v>
      </c>
      <c r="FO43" s="427">
        <f t="shared" si="61"/>
        <v>587926.49000000011</v>
      </c>
      <c r="FP43" s="558">
        <f t="shared" si="68"/>
        <v>46353.14</v>
      </c>
      <c r="FQ43" s="558">
        <f t="shared" si="68"/>
        <v>44667.05</v>
      </c>
      <c r="FR43" s="558">
        <f t="shared" si="68"/>
        <v>42976.79</v>
      </c>
      <c r="FS43" s="558">
        <f t="shared" si="68"/>
        <v>41286.54</v>
      </c>
      <c r="FT43" s="558">
        <f t="shared" si="68"/>
        <v>39538</v>
      </c>
      <c r="FU43" s="558">
        <f t="shared" si="68"/>
        <v>37739.51</v>
      </c>
      <c r="FV43" s="558">
        <f t="shared" si="68"/>
        <v>35957.67</v>
      </c>
      <c r="FW43" s="558">
        <f t="shared" si="68"/>
        <v>34163.33</v>
      </c>
      <c r="FX43" s="558">
        <f t="shared" si="68"/>
        <v>32306.55</v>
      </c>
      <c r="FY43" s="558">
        <f t="shared" si="68"/>
        <v>30374.83</v>
      </c>
      <c r="FZ43" s="558">
        <f t="shared" si="68"/>
        <v>28430.63</v>
      </c>
      <c r="GA43" s="558">
        <f t="shared" si="68"/>
        <v>26457.279999999999</v>
      </c>
      <c r="GB43" s="558">
        <f t="shared" si="68"/>
        <v>24438.13</v>
      </c>
      <c r="GC43" s="558">
        <f t="shared" si="68"/>
        <v>22410.66</v>
      </c>
      <c r="GD43" s="558">
        <f t="shared" si="68"/>
        <v>20320.740000000002</v>
      </c>
      <c r="GE43" s="558">
        <f t="shared" si="68"/>
        <v>18214.169999999998</v>
      </c>
      <c r="GF43" s="558">
        <f t="shared" si="66"/>
        <v>16045.15</v>
      </c>
      <c r="GG43" s="558">
        <f t="shared" si="66"/>
        <v>13826.18</v>
      </c>
      <c r="GH43" s="558">
        <f t="shared" si="66"/>
        <v>11544.75</v>
      </c>
      <c r="GI43" s="558">
        <f t="shared" si="66"/>
        <v>9196.7099999999991</v>
      </c>
      <c r="GJ43" s="558">
        <f t="shared" si="66"/>
        <v>6777.9</v>
      </c>
      <c r="GK43" s="558">
        <f t="shared" si="66"/>
        <v>4267.5</v>
      </c>
      <c r="GL43" s="558">
        <f t="shared" si="66"/>
        <v>1665.51</v>
      </c>
      <c r="GM43" s="558">
        <f t="shared" si="66"/>
        <v>-1032.23</v>
      </c>
      <c r="GN43" s="558" t="str">
        <f t="shared" si="66"/>
        <v>.</v>
      </c>
      <c r="GO43" s="558" t="str">
        <f t="shared" si="66"/>
        <v>.</v>
      </c>
      <c r="GP43" s="558" t="str">
        <f t="shared" si="66"/>
        <v>.</v>
      </c>
      <c r="GQ43" s="558" t="str">
        <f t="shared" si="66"/>
        <v>.</v>
      </c>
      <c r="GR43" s="558" t="str">
        <f t="shared" si="66"/>
        <v>.</v>
      </c>
      <c r="GS43" s="558" t="str">
        <f t="shared" si="66"/>
        <v>.</v>
      </c>
      <c r="GT43" s="558" t="str">
        <f t="shared" si="66"/>
        <v>.</v>
      </c>
      <c r="GU43" s="558" t="str">
        <f t="shared" si="69"/>
        <v>.</v>
      </c>
      <c r="GV43" s="558" t="str">
        <f t="shared" si="69"/>
        <v>.</v>
      </c>
      <c r="GW43" s="558" t="str">
        <f t="shared" si="69"/>
        <v>.</v>
      </c>
      <c r="GX43" s="558" t="str">
        <f t="shared" si="69"/>
        <v>.</v>
      </c>
      <c r="GY43" s="558" t="str">
        <f t="shared" si="69"/>
        <v>.</v>
      </c>
      <c r="GZ43" s="558" t="str">
        <f t="shared" si="69"/>
        <v>.</v>
      </c>
      <c r="HA43" s="558" t="str">
        <f t="shared" si="69"/>
        <v>.</v>
      </c>
      <c r="HB43" s="558" t="str">
        <f t="shared" si="69"/>
        <v>.</v>
      </c>
      <c r="HC43" s="558" t="str">
        <f t="shared" si="69"/>
        <v>.</v>
      </c>
      <c r="HD43" s="558" t="str">
        <f t="shared" si="69"/>
        <v>.</v>
      </c>
      <c r="HE43" s="558" t="str">
        <f t="shared" si="69"/>
        <v>.</v>
      </c>
      <c r="HF43" s="558" t="str">
        <f t="shared" si="69"/>
        <v>.</v>
      </c>
      <c r="HG43" s="558" t="str">
        <f t="shared" si="69"/>
        <v>.</v>
      </c>
      <c r="HH43" s="558" t="str">
        <f t="shared" si="69"/>
        <v>.</v>
      </c>
      <c r="HI43" s="558" t="str">
        <f t="shared" si="69"/>
        <v>.</v>
      </c>
      <c r="HJ43" s="558" t="str">
        <f t="shared" si="69"/>
        <v>.</v>
      </c>
      <c r="HK43" s="558" t="str">
        <f t="shared" si="67"/>
        <v>.</v>
      </c>
      <c r="HL43" s="558" t="str">
        <f t="shared" si="67"/>
        <v>.</v>
      </c>
      <c r="HM43" s="558" t="str">
        <f t="shared" si="67"/>
        <v>.</v>
      </c>
      <c r="HN43" s="558" t="str">
        <f t="shared" si="67"/>
        <v>.</v>
      </c>
      <c r="HO43" s="558" t="str">
        <f t="shared" si="67"/>
        <v>.</v>
      </c>
      <c r="HP43" s="558" t="str">
        <f t="shared" si="64"/>
        <v>.</v>
      </c>
      <c r="HQ43" s="558" t="str">
        <f t="shared" si="64"/>
        <v>.</v>
      </c>
      <c r="HR43" s="558" t="str">
        <f t="shared" si="64"/>
        <v>.</v>
      </c>
      <c r="HS43" s="558" t="str">
        <f t="shared" si="64"/>
        <v>.</v>
      </c>
      <c r="HT43" s="558" t="str">
        <f t="shared" si="64"/>
        <v>.</v>
      </c>
      <c r="HU43" s="558" t="str">
        <f t="shared" si="64"/>
        <v>.</v>
      </c>
      <c r="HV43" s="558" t="str">
        <f t="shared" si="64"/>
        <v>.</v>
      </c>
      <c r="HW43" s="558" t="str">
        <f t="shared" si="64"/>
        <v>.</v>
      </c>
      <c r="HX43" s="558" t="str">
        <f t="shared" si="64"/>
        <v>.</v>
      </c>
      <c r="HY43" s="558" t="str">
        <f t="shared" si="64"/>
        <v>.</v>
      </c>
      <c r="HZ43" s="558" t="str">
        <f t="shared" si="64"/>
        <v>.</v>
      </c>
      <c r="IA43" s="558" t="str">
        <f t="shared" si="64"/>
        <v>.</v>
      </c>
      <c r="IB43" s="558" t="str">
        <f t="shared" si="64"/>
        <v>.</v>
      </c>
      <c r="IC43" s="558" t="str">
        <f t="shared" si="64"/>
        <v>.</v>
      </c>
      <c r="ID43" s="558" t="str">
        <f t="shared" si="64"/>
        <v>.</v>
      </c>
      <c r="IE43" s="558" t="str">
        <f t="shared" si="64"/>
        <v>.</v>
      </c>
      <c r="IF43" s="558" t="str">
        <f t="shared" si="64"/>
        <v>.</v>
      </c>
      <c r="IG43" s="558" t="str">
        <f t="shared" si="65"/>
        <v>.</v>
      </c>
      <c r="IH43" s="558" t="str">
        <f t="shared" si="65"/>
        <v>.</v>
      </c>
      <c r="II43" s="558" t="str">
        <f t="shared" si="65"/>
        <v>.</v>
      </c>
      <c r="IJ43" s="558" t="str">
        <f t="shared" si="65"/>
        <v>.</v>
      </c>
      <c r="IK43" s="558" t="str">
        <f t="shared" si="65"/>
        <v>.</v>
      </c>
      <c r="IL43" s="558" t="str">
        <f t="shared" si="65"/>
        <v>.</v>
      </c>
      <c r="IM43" s="558" t="str">
        <f t="shared" si="65"/>
        <v>.</v>
      </c>
      <c r="IN43" s="558" t="str">
        <f t="shared" si="65"/>
        <v>.</v>
      </c>
      <c r="IO43" s="558" t="str">
        <f t="shared" si="62"/>
        <v>.</v>
      </c>
      <c r="IP43" s="558" t="str">
        <f t="shared" si="62"/>
        <v>.</v>
      </c>
      <c r="IQ43" s="558" t="str">
        <f t="shared" ref="IQ43:IZ46" si="73" xml:space="preserve"> IF(  OR( IQ$18&gt;$FK43, $FK43&gt;$FP$12 ),  LEER,  ROUND( $FO$19 * ( $FL43 - IQ$15 * $FM43 ), IQ$17 )  )</f>
        <v>.</v>
      </c>
      <c r="IR43" s="558" t="str">
        <f t="shared" si="73"/>
        <v>.</v>
      </c>
      <c r="IS43" s="558" t="str">
        <f t="shared" si="73"/>
        <v>.</v>
      </c>
      <c r="IT43" s="558" t="str">
        <f t="shared" si="73"/>
        <v>.</v>
      </c>
      <c r="IU43" s="558" t="str">
        <f t="shared" si="73"/>
        <v>.</v>
      </c>
      <c r="IV43" s="558" t="str">
        <f t="shared" si="73"/>
        <v>.</v>
      </c>
      <c r="IW43" s="558" t="str">
        <f t="shared" si="73"/>
        <v>.</v>
      </c>
      <c r="IX43" s="558" t="str">
        <f t="shared" si="73"/>
        <v>.</v>
      </c>
      <c r="IY43" s="558" t="str">
        <f t="shared" si="73"/>
        <v>.</v>
      </c>
      <c r="IZ43" s="558" t="str">
        <f t="shared" si="73"/>
        <v>.</v>
      </c>
      <c r="JA43" s="558" t="str">
        <f t="shared" ref="JA43:JG46" si="74" xml:space="preserve"> IF(  OR( JA$18&gt;$FK43, $FK43&gt;$FP$12 ),  LEER,  ROUND( $FO$19 * ( $FL43 - JA$15 * $FM43 ), JA$17 )  )</f>
        <v>.</v>
      </c>
      <c r="JB43" s="558" t="str">
        <f t="shared" si="74"/>
        <v>.</v>
      </c>
      <c r="JC43" s="558" t="str">
        <f t="shared" si="74"/>
        <v>.</v>
      </c>
      <c r="JD43" s="558" t="str">
        <f t="shared" si="74"/>
        <v>.</v>
      </c>
      <c r="JE43" s="558" t="str">
        <f t="shared" si="74"/>
        <v>.</v>
      </c>
      <c r="JF43" s="558" t="str">
        <f t="shared" si="74"/>
        <v>.</v>
      </c>
      <c r="JG43" s="558" t="str">
        <f t="shared" si="74"/>
        <v>.</v>
      </c>
      <c r="JH43" s="558" t="str">
        <f t="shared" si="70"/>
        <v>.</v>
      </c>
      <c r="JI43" s="558" t="str">
        <f t="shared" si="70"/>
        <v>.</v>
      </c>
      <c r="JJ43" s="558" t="str">
        <f t="shared" si="70"/>
        <v>.</v>
      </c>
      <c r="JK43" s="558" t="str">
        <f t="shared" si="70"/>
        <v>.</v>
      </c>
      <c r="JL43" s="558" t="str">
        <f t="shared" si="70"/>
        <v>.</v>
      </c>
    </row>
    <row r="44" spans="1:272" ht="10.199999999999999" x14ac:dyDescent="0.2">
      <c r="A44" s="534">
        <f xml:space="preserve"> Basis!A44</f>
        <v>44</v>
      </c>
      <c r="F44" s="536">
        <f xml:space="preserve"> ROUND(    IF( $A$15=BE_MF_,   AW44,   INDEX( qx!44:44, F$16 ) ),    F$17    )</f>
        <v>5.9999999999999995E-4</v>
      </c>
      <c r="G44" s="536">
        <f xml:space="preserve"> ROUND(    IF( $A$15=BE_MF_,   BB44,   INDEX( wx!44:44, G$16 ) ),    G$17    )</f>
        <v>2.5600000000000001E-2</v>
      </c>
      <c r="H44" s="537">
        <f xml:space="preserve"> ROUND(    IF( $A$15=BE_MF_,   BG44,   INDEX( Kx!44:44, H$16 ) ),    H$17    )</f>
        <v>2215.85</v>
      </c>
      <c r="I44" s="538">
        <f t="shared" si="57"/>
        <v>2215.85</v>
      </c>
      <c r="J44" s="539">
        <f t="shared" si="17"/>
        <v>1.0660000000000001</v>
      </c>
      <c r="K44" s="540">
        <f t="shared" si="58"/>
        <v>2</v>
      </c>
      <c r="L44" s="541">
        <f t="shared" si="71"/>
        <v>0</v>
      </c>
      <c r="M44" s="541">
        <f t="shared" si="71"/>
        <v>8.5999999999999993E-2</v>
      </c>
      <c r="O44" s="542" t="b">
        <f t="shared" si="59"/>
        <v>1</v>
      </c>
      <c r="P44" s="493">
        <f t="shared" si="19"/>
        <v>2.6200000000000001E-2</v>
      </c>
      <c r="Q44" s="493">
        <f t="shared" si="20"/>
        <v>0.9738</v>
      </c>
      <c r="R44" s="543">
        <f t="shared" si="21"/>
        <v>778993</v>
      </c>
      <c r="S44" s="544">
        <f t="shared" si="22"/>
        <v>0.97560975599999999</v>
      </c>
      <c r="T44" s="423">
        <f t="shared" si="23"/>
        <v>262835.17</v>
      </c>
      <c r="U44" s="423">
        <f xml:space="preserve"> IF( $O44,    ROUND(  SUM( T44:T$120), U$17 ),  LEER  )</f>
        <v>5272523.5199999996</v>
      </c>
      <c r="V44" s="493">
        <f t="shared" si="24"/>
        <v>20.060199999999998</v>
      </c>
      <c r="W44" s="493">
        <f t="shared" si="25"/>
        <v>280182.28999999998</v>
      </c>
      <c r="X44" s="493">
        <f xml:space="preserve"> IF( $O44,    ROUND(  SUM( W44:W$120), X$17 ),  LEER  )</f>
        <v>12551008.560000001</v>
      </c>
      <c r="Y44" s="493">
        <f t="shared" si="26"/>
        <v>47.752400000000002</v>
      </c>
      <c r="Z44" s="493">
        <f t="shared" si="27"/>
        <v>2.3805000000000001</v>
      </c>
      <c r="AA44" s="493">
        <f t="shared" si="28"/>
        <v>1.0092000000000001</v>
      </c>
      <c r="AB44" s="493">
        <f t="shared" si="29"/>
        <v>2.3494000000000002</v>
      </c>
      <c r="AC44" s="545">
        <f t="shared" si="30"/>
        <v>0.38600000000000001</v>
      </c>
      <c r="AD44" s="493">
        <f t="shared" si="31"/>
        <v>2.4060000000000001</v>
      </c>
      <c r="AE44" s="493">
        <f t="shared" si="32"/>
        <v>3.0547</v>
      </c>
      <c r="AF44" s="493">
        <f t="shared" si="33"/>
        <v>3.0547</v>
      </c>
      <c r="AG44" s="493" t="str">
        <f t="shared" si="34"/>
        <v>.</v>
      </c>
      <c r="AH44" s="493" t="str">
        <f t="shared" si="35"/>
        <v>.</v>
      </c>
      <c r="AI44" s="423">
        <f t="shared" si="36"/>
        <v>2077.79</v>
      </c>
      <c r="AJ44" s="423">
        <f t="shared" si="37"/>
        <v>6347.03</v>
      </c>
      <c r="AK44" s="423">
        <f t="shared" si="38"/>
        <v>528.91999999999996</v>
      </c>
      <c r="AN44" s="423">
        <f t="shared" si="72"/>
        <v>21938.93</v>
      </c>
      <c r="AO44" s="423">
        <f t="shared" si="72"/>
        <v>21013.62</v>
      </c>
      <c r="AR44" s="546">
        <f xml:space="preserve"> ROUND(  INDEX( Kx!44:44, AR$16 ),  AR$17 )</f>
        <v>0.7873</v>
      </c>
      <c r="AS44" s="547">
        <f xml:space="preserve"> ROUND(  INDEX( qx!44:44, AS$16 ),  AS$17 )</f>
        <v>6.9999999999999999E-4</v>
      </c>
      <c r="AT44" s="547">
        <f xml:space="preserve"> ROUND(  INDEX( qx!44:44, AT$16 ),  AT$17 )</f>
        <v>5.0000000000000001E-4</v>
      </c>
      <c r="AU44" s="548" t="str">
        <f t="shared" si="40"/>
        <v>F</v>
      </c>
      <c r="AV44" s="542">
        <f t="shared" si="41"/>
        <v>0.71160000000000001</v>
      </c>
      <c r="AW44" s="542">
        <f t="shared" si="42"/>
        <v>5.9999999999999995E-4</v>
      </c>
      <c r="AX44" s="546">
        <f xml:space="preserve"> ROUND(  INDEX( wx!44:44, AX$16 ),  AX$17 )</f>
        <v>2.3800000000000002E-2</v>
      </c>
      <c r="AY44" s="546">
        <f xml:space="preserve"> ROUND(  INDEX( wx!44:44, AY$16 ),  AY$17 )</f>
        <v>3.5900000000000001E-2</v>
      </c>
      <c r="AZ44" s="548" t="str">
        <f t="shared" si="43"/>
        <v>M</v>
      </c>
      <c r="BA44" s="542">
        <f t="shared" si="44"/>
        <v>0.84740000000000004</v>
      </c>
      <c r="BB44" s="542">
        <f t="shared" si="45"/>
        <v>2.5600000000000001E-2</v>
      </c>
      <c r="BC44" s="533">
        <f xml:space="preserve"> ROUND(  INDEX( Kx!44:44, BC$16 ),  BC$17 )</f>
        <v>1956.93</v>
      </c>
      <c r="BD44" s="533">
        <f xml:space="preserve"> ROUND(  INDEX( Kx!44:44, BD$16 ),  BD$17 )</f>
        <v>2854.7</v>
      </c>
      <c r="BE44" s="548" t="str">
        <f t="shared" si="60"/>
        <v>F</v>
      </c>
      <c r="BF44" s="542">
        <f t="shared" si="46"/>
        <v>0.71160000000000001</v>
      </c>
      <c r="BG44" s="420">
        <f t="shared" si="47"/>
        <v>2215.85</v>
      </c>
      <c r="BQ44" s="549"/>
      <c r="BR44" s="423"/>
      <c r="BS44" s="550"/>
      <c r="BT44" s="423"/>
      <c r="BU44" s="551"/>
      <c r="BV44" s="551"/>
      <c r="BW44" s="529"/>
      <c r="BX44" s="552"/>
      <c r="BY44" s="560"/>
      <c r="BZ44" s="559"/>
      <c r="CB44" s="423"/>
      <c r="CC44" s="423"/>
      <c r="CD44" s="423"/>
      <c r="CE44" s="423"/>
      <c r="CF44" s="553"/>
      <c r="CH44" s="423"/>
      <c r="CI44" s="423"/>
      <c r="CJ44" s="423"/>
      <c r="CK44" s="423"/>
      <c r="CL44" s="553"/>
      <c r="CN44" s="423"/>
      <c r="CO44" s="423"/>
      <c r="CP44" s="423"/>
      <c r="CQ44" s="423"/>
      <c r="CR44" s="553"/>
      <c r="EI44" s="553"/>
      <c r="EJ44" s="553"/>
      <c r="EK44" s="423"/>
      <c r="EL44" s="555"/>
      <c r="ES44" s="533"/>
      <c r="ET44" s="533"/>
      <c r="EU44" s="533"/>
      <c r="EV44" s="556"/>
      <c r="EY44" s="533"/>
      <c r="EZ44" s="533"/>
      <c r="FA44" s="556"/>
      <c r="FD44" s="556"/>
      <c r="FE44" s="556"/>
      <c r="FF44" s="556"/>
      <c r="FK44" s="557">
        <f t="shared" si="48"/>
        <v>44</v>
      </c>
      <c r="FL44" s="493">
        <f t="shared" si="49"/>
        <v>47.752400000000002</v>
      </c>
      <c r="FM44" s="493">
        <f t="shared" si="50"/>
        <v>20.060199999999998</v>
      </c>
      <c r="FO44" s="427">
        <f t="shared" si="61"/>
        <v>654226.07000000007</v>
      </c>
      <c r="FP44" s="558">
        <f t="shared" si="68"/>
        <v>49185.73</v>
      </c>
      <c r="FQ44" s="558">
        <f t="shared" si="68"/>
        <v>47497.65</v>
      </c>
      <c r="FR44" s="558">
        <f t="shared" si="68"/>
        <v>45805.41</v>
      </c>
      <c r="FS44" s="558">
        <f t="shared" si="68"/>
        <v>44113.16</v>
      </c>
      <c r="FT44" s="558">
        <f t="shared" si="68"/>
        <v>42362.57</v>
      </c>
      <c r="FU44" s="558">
        <f t="shared" si="68"/>
        <v>40561.949999999997</v>
      </c>
      <c r="FV44" s="558">
        <f t="shared" si="68"/>
        <v>38778.01</v>
      </c>
      <c r="FW44" s="558">
        <f t="shared" si="68"/>
        <v>36981.56</v>
      </c>
      <c r="FX44" s="558">
        <f t="shared" si="68"/>
        <v>35122.6</v>
      </c>
      <c r="FY44" s="558">
        <f t="shared" si="68"/>
        <v>33188.6</v>
      </c>
      <c r="FZ44" s="558">
        <f t="shared" si="68"/>
        <v>31242.11</v>
      </c>
      <c r="GA44" s="558">
        <f t="shared" si="68"/>
        <v>29266.43</v>
      </c>
      <c r="GB44" s="558">
        <f t="shared" si="68"/>
        <v>27244.91</v>
      </c>
      <c r="GC44" s="558">
        <f t="shared" si="68"/>
        <v>25215.05</v>
      </c>
      <c r="GD44" s="558">
        <f t="shared" si="68"/>
        <v>23122.67</v>
      </c>
      <c r="GE44" s="558">
        <f t="shared" si="68"/>
        <v>21013.62</v>
      </c>
      <c r="GF44" s="558">
        <f t="shared" si="66"/>
        <v>18842.04</v>
      </c>
      <c r="GG44" s="558">
        <f t="shared" si="66"/>
        <v>16620.45</v>
      </c>
      <c r="GH44" s="558">
        <f t="shared" si="66"/>
        <v>14336.34</v>
      </c>
      <c r="GI44" s="558">
        <f t="shared" si="66"/>
        <v>11985.54</v>
      </c>
      <c r="GJ44" s="558">
        <f t="shared" si="66"/>
        <v>9563.8799999999992</v>
      </c>
      <c r="GK44" s="558">
        <f t="shared" si="66"/>
        <v>7050.52</v>
      </c>
      <c r="GL44" s="558">
        <f t="shared" si="66"/>
        <v>4445.47</v>
      </c>
      <c r="GM44" s="558">
        <f t="shared" si="66"/>
        <v>1744.55</v>
      </c>
      <c r="GN44" s="558">
        <f t="shared" si="66"/>
        <v>-1064.75</v>
      </c>
      <c r="GO44" s="558" t="str">
        <f t="shared" si="66"/>
        <v>.</v>
      </c>
      <c r="GP44" s="558" t="str">
        <f t="shared" si="66"/>
        <v>.</v>
      </c>
      <c r="GQ44" s="558" t="str">
        <f t="shared" si="66"/>
        <v>.</v>
      </c>
      <c r="GR44" s="558" t="str">
        <f t="shared" si="66"/>
        <v>.</v>
      </c>
      <c r="GS44" s="558" t="str">
        <f t="shared" si="66"/>
        <v>.</v>
      </c>
      <c r="GT44" s="558" t="str">
        <f t="shared" si="66"/>
        <v>.</v>
      </c>
      <c r="GU44" s="558" t="str">
        <f t="shared" si="69"/>
        <v>.</v>
      </c>
      <c r="GV44" s="558" t="str">
        <f t="shared" si="69"/>
        <v>.</v>
      </c>
      <c r="GW44" s="558" t="str">
        <f t="shared" si="69"/>
        <v>.</v>
      </c>
      <c r="GX44" s="558" t="str">
        <f t="shared" si="69"/>
        <v>.</v>
      </c>
      <c r="GY44" s="558" t="str">
        <f t="shared" si="69"/>
        <v>.</v>
      </c>
      <c r="GZ44" s="558" t="str">
        <f t="shared" si="69"/>
        <v>.</v>
      </c>
      <c r="HA44" s="558" t="str">
        <f t="shared" si="69"/>
        <v>.</v>
      </c>
      <c r="HB44" s="558" t="str">
        <f t="shared" si="69"/>
        <v>.</v>
      </c>
      <c r="HC44" s="558" t="str">
        <f t="shared" si="69"/>
        <v>.</v>
      </c>
      <c r="HD44" s="558" t="str">
        <f t="shared" si="69"/>
        <v>.</v>
      </c>
      <c r="HE44" s="558" t="str">
        <f t="shared" si="69"/>
        <v>.</v>
      </c>
      <c r="HF44" s="558" t="str">
        <f t="shared" si="69"/>
        <v>.</v>
      </c>
      <c r="HG44" s="558" t="str">
        <f t="shared" si="69"/>
        <v>.</v>
      </c>
      <c r="HH44" s="558" t="str">
        <f t="shared" si="69"/>
        <v>.</v>
      </c>
      <c r="HI44" s="558" t="str">
        <f t="shared" si="69"/>
        <v>.</v>
      </c>
      <c r="HJ44" s="558" t="str">
        <f t="shared" si="69"/>
        <v>.</v>
      </c>
      <c r="HK44" s="558" t="str">
        <f t="shared" si="67"/>
        <v>.</v>
      </c>
      <c r="HL44" s="558" t="str">
        <f t="shared" si="67"/>
        <v>.</v>
      </c>
      <c r="HM44" s="558" t="str">
        <f t="shared" si="67"/>
        <v>.</v>
      </c>
      <c r="HN44" s="558" t="str">
        <f t="shared" si="67"/>
        <v>.</v>
      </c>
      <c r="HO44" s="558" t="str">
        <f t="shared" si="67"/>
        <v>.</v>
      </c>
      <c r="HP44" s="558" t="str">
        <f t="shared" si="64"/>
        <v>.</v>
      </c>
      <c r="HQ44" s="558" t="str">
        <f t="shared" si="64"/>
        <v>.</v>
      </c>
      <c r="HR44" s="558" t="str">
        <f t="shared" si="64"/>
        <v>.</v>
      </c>
      <c r="HS44" s="558" t="str">
        <f t="shared" si="64"/>
        <v>.</v>
      </c>
      <c r="HT44" s="558" t="str">
        <f t="shared" si="64"/>
        <v>.</v>
      </c>
      <c r="HU44" s="558" t="str">
        <f t="shared" si="64"/>
        <v>.</v>
      </c>
      <c r="HV44" s="558" t="str">
        <f t="shared" si="64"/>
        <v>.</v>
      </c>
      <c r="HW44" s="558" t="str">
        <f t="shared" si="64"/>
        <v>.</v>
      </c>
      <c r="HX44" s="558" t="str">
        <f t="shared" si="64"/>
        <v>.</v>
      </c>
      <c r="HY44" s="558" t="str">
        <f t="shared" si="64"/>
        <v>.</v>
      </c>
      <c r="HZ44" s="558" t="str">
        <f t="shared" si="64"/>
        <v>.</v>
      </c>
      <c r="IA44" s="558" t="str">
        <f t="shared" si="64"/>
        <v>.</v>
      </c>
      <c r="IB44" s="558" t="str">
        <f t="shared" si="64"/>
        <v>.</v>
      </c>
      <c r="IC44" s="558" t="str">
        <f t="shared" si="64"/>
        <v>.</v>
      </c>
      <c r="ID44" s="558" t="str">
        <f t="shared" si="64"/>
        <v>.</v>
      </c>
      <c r="IE44" s="558" t="str">
        <f t="shared" si="64"/>
        <v>.</v>
      </c>
      <c r="IF44" s="558" t="str">
        <f t="shared" si="64"/>
        <v>.</v>
      </c>
      <c r="IG44" s="558" t="str">
        <f t="shared" si="65"/>
        <v>.</v>
      </c>
      <c r="IH44" s="558" t="str">
        <f t="shared" si="65"/>
        <v>.</v>
      </c>
      <c r="II44" s="558" t="str">
        <f t="shared" si="65"/>
        <v>.</v>
      </c>
      <c r="IJ44" s="558" t="str">
        <f t="shared" si="65"/>
        <v>.</v>
      </c>
      <c r="IK44" s="558" t="str">
        <f t="shared" si="65"/>
        <v>.</v>
      </c>
      <c r="IL44" s="558" t="str">
        <f t="shared" si="65"/>
        <v>.</v>
      </c>
      <c r="IM44" s="558" t="str">
        <f t="shared" si="65"/>
        <v>.</v>
      </c>
      <c r="IN44" s="558" t="str">
        <f t="shared" si="65"/>
        <v>.</v>
      </c>
      <c r="IO44" s="558" t="str">
        <f t="shared" ref="IO44:IP46" si="75" xml:space="preserve"> IF(  OR( IO$18&gt;$FK44, $FK44&gt;$FP$12 ),  LEER,  ROUND( $FO$19 * ( $FL44 - IO$15 * $FM44 ), IO$17 )  )</f>
        <v>.</v>
      </c>
      <c r="IP44" s="558" t="str">
        <f t="shared" si="75"/>
        <v>.</v>
      </c>
      <c r="IQ44" s="558" t="str">
        <f t="shared" si="73"/>
        <v>.</v>
      </c>
      <c r="IR44" s="558" t="str">
        <f t="shared" si="73"/>
        <v>.</v>
      </c>
      <c r="IS44" s="558" t="str">
        <f t="shared" si="73"/>
        <v>.</v>
      </c>
      <c r="IT44" s="558" t="str">
        <f t="shared" si="73"/>
        <v>.</v>
      </c>
      <c r="IU44" s="558" t="str">
        <f t="shared" si="73"/>
        <v>.</v>
      </c>
      <c r="IV44" s="558" t="str">
        <f t="shared" si="73"/>
        <v>.</v>
      </c>
      <c r="IW44" s="558" t="str">
        <f t="shared" si="73"/>
        <v>.</v>
      </c>
      <c r="IX44" s="558" t="str">
        <f t="shared" si="73"/>
        <v>.</v>
      </c>
      <c r="IY44" s="558" t="str">
        <f t="shared" si="73"/>
        <v>.</v>
      </c>
      <c r="IZ44" s="558" t="str">
        <f t="shared" si="73"/>
        <v>.</v>
      </c>
      <c r="JA44" s="558" t="str">
        <f t="shared" si="74"/>
        <v>.</v>
      </c>
      <c r="JB44" s="558" t="str">
        <f t="shared" si="74"/>
        <v>.</v>
      </c>
      <c r="JC44" s="558" t="str">
        <f t="shared" si="74"/>
        <v>.</v>
      </c>
      <c r="JD44" s="558" t="str">
        <f t="shared" si="74"/>
        <v>.</v>
      </c>
      <c r="JE44" s="558" t="str">
        <f t="shared" si="74"/>
        <v>.</v>
      </c>
      <c r="JF44" s="558" t="str">
        <f t="shared" si="74"/>
        <v>.</v>
      </c>
      <c r="JG44" s="558" t="str">
        <f t="shared" si="74"/>
        <v>.</v>
      </c>
      <c r="JH44" s="558" t="str">
        <f t="shared" si="70"/>
        <v>.</v>
      </c>
      <c r="JI44" s="558" t="str">
        <f t="shared" si="70"/>
        <v>.</v>
      </c>
      <c r="JJ44" s="558" t="str">
        <f t="shared" si="70"/>
        <v>.</v>
      </c>
      <c r="JK44" s="558" t="str">
        <f t="shared" si="70"/>
        <v>.</v>
      </c>
      <c r="JL44" s="558" t="str">
        <f t="shared" si="70"/>
        <v>.</v>
      </c>
    </row>
    <row r="45" spans="1:272" ht="10.199999999999999" x14ac:dyDescent="0.2">
      <c r="A45" s="534">
        <f xml:space="preserve"> Basis!A45</f>
        <v>45</v>
      </c>
      <c r="F45" s="536">
        <f xml:space="preserve"> ROUND(    IF( $A$15=BE_MF_,   AW45,   INDEX( qx!45:45, F$16 ) ),    F$17    )</f>
        <v>6.9999999999999999E-4</v>
      </c>
      <c r="G45" s="536">
        <f xml:space="preserve"> ROUND(    IF( $A$15=BE_MF_,   BB45,   INDEX( wx!45:45, G$16 ) ),    G$17    )</f>
        <v>2.5000000000000001E-2</v>
      </c>
      <c r="H45" s="537">
        <f xml:space="preserve"> ROUND(    IF( $A$15=BE_MF_,   BG45,   INDEX( Kx!45:45, H$16 ) ),    H$17    )</f>
        <v>2265.0100000000002</v>
      </c>
      <c r="I45" s="538">
        <f t="shared" si="57"/>
        <v>2265.0100000000002</v>
      </c>
      <c r="J45" s="539">
        <f t="shared" si="17"/>
        <v>1.0900000000000001</v>
      </c>
      <c r="K45" s="540">
        <f t="shared" si="58"/>
        <v>2</v>
      </c>
      <c r="L45" s="541">
        <f t="shared" si="71"/>
        <v>0</v>
      </c>
      <c r="M45" s="541">
        <f t="shared" si="71"/>
        <v>8.5999999999999993E-2</v>
      </c>
      <c r="O45" s="542" t="b">
        <f t="shared" si="59"/>
        <v>1</v>
      </c>
      <c r="P45" s="493">
        <f t="shared" si="19"/>
        <v>2.5700000000000001E-2</v>
      </c>
      <c r="Q45" s="493">
        <f t="shared" si="20"/>
        <v>0.97430000000000005</v>
      </c>
      <c r="R45" s="543">
        <f t="shared" si="21"/>
        <v>758583</v>
      </c>
      <c r="S45" s="544">
        <f t="shared" si="22"/>
        <v>0.97560975599999999</v>
      </c>
      <c r="T45" s="423">
        <f t="shared" si="23"/>
        <v>249706.11</v>
      </c>
      <c r="U45" s="423">
        <f xml:space="preserve"> IF( $O45,    ROUND(  SUM( T45:T$120), U$17 ),  LEER  )</f>
        <v>5009688.3499999996</v>
      </c>
      <c r="V45" s="493">
        <f t="shared" si="24"/>
        <v>20.0623</v>
      </c>
      <c r="W45" s="493">
        <f t="shared" si="25"/>
        <v>272179.65999999997</v>
      </c>
      <c r="X45" s="493">
        <f xml:space="preserve"> IF( $O45,    ROUND(  SUM( W45:W$120), X$17 ),  LEER  )</f>
        <v>12270826.27</v>
      </c>
      <c r="Y45" s="493">
        <f t="shared" si="26"/>
        <v>49.141100000000002</v>
      </c>
      <c r="Z45" s="493">
        <f t="shared" si="27"/>
        <v>2.4493999999999998</v>
      </c>
      <c r="AA45" s="493">
        <f t="shared" si="28"/>
        <v>1.0092000000000001</v>
      </c>
      <c r="AB45" s="493">
        <f t="shared" si="29"/>
        <v>2.3494000000000002</v>
      </c>
      <c r="AC45" s="545">
        <f t="shared" si="30"/>
        <v>0.38600000000000001</v>
      </c>
      <c r="AD45" s="493">
        <f t="shared" si="31"/>
        <v>2.4754999999999998</v>
      </c>
      <c r="AE45" s="493">
        <f t="shared" si="32"/>
        <v>3.1307</v>
      </c>
      <c r="AF45" s="493">
        <f t="shared" si="33"/>
        <v>3.1307</v>
      </c>
      <c r="AG45" s="493" t="str">
        <f t="shared" si="34"/>
        <v>.</v>
      </c>
      <c r="AH45" s="493" t="str">
        <f t="shared" si="35"/>
        <v>.</v>
      </c>
      <c r="AI45" s="423">
        <f t="shared" si="36"/>
        <v>2077.79</v>
      </c>
      <c r="AJ45" s="423">
        <f t="shared" si="37"/>
        <v>6504.94</v>
      </c>
      <c r="AK45" s="423">
        <f t="shared" si="38"/>
        <v>542.08000000000004</v>
      </c>
      <c r="AN45" s="423">
        <f t="shared" si="72"/>
        <v>24816.27</v>
      </c>
      <c r="AO45" s="423">
        <f t="shared" si="72"/>
        <v>23890.86</v>
      </c>
      <c r="AR45" s="546">
        <f xml:space="preserve"> ROUND(  INDEX( Kx!45:45, AR$16 ),  AR$17 )</f>
        <v>0.79200000000000004</v>
      </c>
      <c r="AS45" s="547">
        <f xml:space="preserve"> ROUND(  INDEX( qx!45:45, AS$16 ),  AS$17 )</f>
        <v>8.0000000000000004E-4</v>
      </c>
      <c r="AT45" s="547">
        <f xml:space="preserve"> ROUND(  INDEX( qx!45:45, AT$16 ),  AT$17 )</f>
        <v>5.9999999999999995E-4</v>
      </c>
      <c r="AU45" s="548" t="str">
        <f t="shared" si="40"/>
        <v>F</v>
      </c>
      <c r="AV45" s="542">
        <f t="shared" si="41"/>
        <v>0.71740000000000004</v>
      </c>
      <c r="AW45" s="542">
        <f t="shared" si="42"/>
        <v>6.9999999999999999E-4</v>
      </c>
      <c r="AX45" s="546">
        <f xml:space="preserve"> ROUND(  INDEX( wx!45:45, AX$16 ),  AX$17 )</f>
        <v>2.3300000000000001E-2</v>
      </c>
      <c r="AY45" s="546">
        <f xml:space="preserve"> ROUND(  INDEX( wx!45:45, AY$16 ),  AY$17 )</f>
        <v>3.4700000000000002E-2</v>
      </c>
      <c r="AZ45" s="548" t="str">
        <f t="shared" si="43"/>
        <v>M</v>
      </c>
      <c r="BA45" s="542">
        <f t="shared" si="44"/>
        <v>0.85099999999999998</v>
      </c>
      <c r="BB45" s="542">
        <f t="shared" si="45"/>
        <v>2.5000000000000001E-2</v>
      </c>
      <c r="BC45" s="533">
        <f xml:space="preserve"> ROUND(  INDEX( Kx!45:45, BC$16 ),  BC$17 )</f>
        <v>2029.37</v>
      </c>
      <c r="BD45" s="533">
        <f xml:space="preserve"> ROUND(  INDEX( Kx!45:45, BD$16 ),  BD$17 )</f>
        <v>2863.2</v>
      </c>
      <c r="BE45" s="548" t="str">
        <f t="shared" si="60"/>
        <v>F</v>
      </c>
      <c r="BF45" s="542">
        <f t="shared" si="46"/>
        <v>0.71740000000000004</v>
      </c>
      <c r="BG45" s="420">
        <f t="shared" si="47"/>
        <v>2265.0100000000002</v>
      </c>
      <c r="BQ45" s="549"/>
      <c r="BR45" s="423"/>
      <c r="BS45" s="550"/>
      <c r="BT45" s="423"/>
      <c r="BU45" s="551"/>
      <c r="BV45" s="551"/>
      <c r="BW45" s="529"/>
      <c r="BX45" s="552"/>
      <c r="BY45" s="560"/>
      <c r="BZ45" s="559"/>
      <c r="CB45" s="423"/>
      <c r="CC45" s="423"/>
      <c r="CD45" s="423"/>
      <c r="CE45" s="423"/>
      <c r="CF45" s="553"/>
      <c r="CH45" s="423"/>
      <c r="CI45" s="423"/>
      <c r="CJ45" s="423"/>
      <c r="CK45" s="423"/>
      <c r="CL45" s="553"/>
      <c r="CN45" s="423"/>
      <c r="CO45" s="423"/>
      <c r="CP45" s="423"/>
      <c r="CQ45" s="423"/>
      <c r="CR45" s="553"/>
      <c r="EI45" s="553"/>
      <c r="EJ45" s="553"/>
      <c r="EK45" s="423"/>
      <c r="EL45" s="555"/>
      <c r="ES45" s="533"/>
      <c r="ET45" s="533"/>
      <c r="EU45" s="533"/>
      <c r="EV45" s="556"/>
      <c r="EY45" s="533"/>
      <c r="EZ45" s="533"/>
      <c r="FA45" s="556"/>
      <c r="FD45" s="556"/>
      <c r="FE45" s="556"/>
      <c r="FF45" s="556"/>
      <c r="FK45" s="557">
        <f t="shared" si="48"/>
        <v>45</v>
      </c>
      <c r="FL45" s="493">
        <f t="shared" si="49"/>
        <v>49.141100000000002</v>
      </c>
      <c r="FM45" s="493">
        <f t="shared" si="50"/>
        <v>20.0623</v>
      </c>
      <c r="FO45" s="427">
        <f t="shared" si="61"/>
        <v>725083.62000000011</v>
      </c>
      <c r="FP45" s="558">
        <f t="shared" si="68"/>
        <v>52065.919999999998</v>
      </c>
      <c r="FQ45" s="558">
        <f t="shared" si="68"/>
        <v>50377.66</v>
      </c>
      <c r="FR45" s="558">
        <f t="shared" si="68"/>
        <v>48685.24</v>
      </c>
      <c r="FS45" s="558">
        <f t="shared" si="68"/>
        <v>46992.82</v>
      </c>
      <c r="FT45" s="558">
        <f t="shared" si="68"/>
        <v>45242.04</v>
      </c>
      <c r="FU45" s="558">
        <f t="shared" si="68"/>
        <v>43441.24</v>
      </c>
      <c r="FV45" s="558">
        <f t="shared" si="68"/>
        <v>41657.11</v>
      </c>
      <c r="FW45" s="558">
        <f t="shared" si="68"/>
        <v>39860.480000000003</v>
      </c>
      <c r="FX45" s="558">
        <f t="shared" si="68"/>
        <v>38001.31</v>
      </c>
      <c r="FY45" s="558">
        <f t="shared" si="68"/>
        <v>36067.120000000003</v>
      </c>
      <c r="FZ45" s="558">
        <f t="shared" si="68"/>
        <v>34120.42</v>
      </c>
      <c r="GA45" s="558">
        <f t="shared" si="68"/>
        <v>32144.54</v>
      </c>
      <c r="GB45" s="558">
        <f t="shared" si="68"/>
        <v>30122.799999999999</v>
      </c>
      <c r="GC45" s="558">
        <f t="shared" si="68"/>
        <v>28092.73</v>
      </c>
      <c r="GD45" s="558">
        <f t="shared" si="68"/>
        <v>26000.13</v>
      </c>
      <c r="GE45" s="558">
        <f t="shared" si="68"/>
        <v>23890.86</v>
      </c>
      <c r="GF45" s="558">
        <f t="shared" si="66"/>
        <v>21719.06</v>
      </c>
      <c r="GG45" s="558">
        <f t="shared" si="66"/>
        <v>19497.23</v>
      </c>
      <c r="GH45" s="558">
        <f t="shared" si="66"/>
        <v>17212.88</v>
      </c>
      <c r="GI45" s="558">
        <f t="shared" si="66"/>
        <v>14861.83</v>
      </c>
      <c r="GJ45" s="558">
        <f t="shared" si="66"/>
        <v>12439.92</v>
      </c>
      <c r="GK45" s="558">
        <f t="shared" si="66"/>
        <v>9926.2999999999993</v>
      </c>
      <c r="GL45" s="558">
        <f t="shared" si="66"/>
        <v>7320.97</v>
      </c>
      <c r="GM45" s="558">
        <f t="shared" si="66"/>
        <v>4619.7700000000004</v>
      </c>
      <c r="GN45" s="558">
        <f t="shared" si="66"/>
        <v>1810.18</v>
      </c>
      <c r="GO45" s="558">
        <f t="shared" si="66"/>
        <v>-1086.94</v>
      </c>
      <c r="GP45" s="558" t="str">
        <f t="shared" si="66"/>
        <v>.</v>
      </c>
      <c r="GQ45" s="558" t="str">
        <f t="shared" si="66"/>
        <v>.</v>
      </c>
      <c r="GR45" s="558" t="str">
        <f t="shared" si="66"/>
        <v>.</v>
      </c>
      <c r="GS45" s="558" t="str">
        <f t="shared" si="66"/>
        <v>.</v>
      </c>
      <c r="GT45" s="558" t="str">
        <f t="shared" si="66"/>
        <v>.</v>
      </c>
      <c r="GU45" s="558" t="str">
        <f t="shared" si="69"/>
        <v>.</v>
      </c>
      <c r="GV45" s="558" t="str">
        <f t="shared" si="69"/>
        <v>.</v>
      </c>
      <c r="GW45" s="558" t="str">
        <f t="shared" si="69"/>
        <v>.</v>
      </c>
      <c r="GX45" s="558" t="str">
        <f t="shared" si="69"/>
        <v>.</v>
      </c>
      <c r="GY45" s="558" t="str">
        <f t="shared" si="69"/>
        <v>.</v>
      </c>
      <c r="GZ45" s="558" t="str">
        <f t="shared" si="69"/>
        <v>.</v>
      </c>
      <c r="HA45" s="558" t="str">
        <f t="shared" si="69"/>
        <v>.</v>
      </c>
      <c r="HB45" s="558" t="str">
        <f t="shared" si="69"/>
        <v>.</v>
      </c>
      <c r="HC45" s="558" t="str">
        <f t="shared" si="69"/>
        <v>.</v>
      </c>
      <c r="HD45" s="558" t="str">
        <f t="shared" si="69"/>
        <v>.</v>
      </c>
      <c r="HE45" s="558" t="str">
        <f t="shared" si="69"/>
        <v>.</v>
      </c>
      <c r="HF45" s="558" t="str">
        <f t="shared" si="69"/>
        <v>.</v>
      </c>
      <c r="HG45" s="558" t="str">
        <f t="shared" si="69"/>
        <v>.</v>
      </c>
      <c r="HH45" s="558" t="str">
        <f t="shared" si="69"/>
        <v>.</v>
      </c>
      <c r="HI45" s="558" t="str">
        <f t="shared" si="69"/>
        <v>.</v>
      </c>
      <c r="HJ45" s="558" t="str">
        <f t="shared" si="69"/>
        <v>.</v>
      </c>
      <c r="HK45" s="558" t="str">
        <f t="shared" ref="HK45:HO50" si="76" xml:space="preserve"> IF(  OR( HK$18&gt;$FK45, $FK45&gt;$FP$12 ),  LEER,  ROUND( $FO$19 * ( $FL45 - HK$15 * $FM45 ), HK$17 )  )</f>
        <v>.</v>
      </c>
      <c r="HL45" s="558" t="str">
        <f t="shared" si="76"/>
        <v>.</v>
      </c>
      <c r="HM45" s="558" t="str">
        <f t="shared" si="76"/>
        <v>.</v>
      </c>
      <c r="HN45" s="558" t="str">
        <f t="shared" si="76"/>
        <v>.</v>
      </c>
      <c r="HO45" s="558" t="str">
        <f t="shared" si="76"/>
        <v>.</v>
      </c>
      <c r="HP45" s="558" t="str">
        <f t="shared" si="64"/>
        <v>.</v>
      </c>
      <c r="HQ45" s="558" t="str">
        <f t="shared" si="64"/>
        <v>.</v>
      </c>
      <c r="HR45" s="558" t="str">
        <f t="shared" si="64"/>
        <v>.</v>
      </c>
      <c r="HS45" s="558" t="str">
        <f t="shared" si="64"/>
        <v>.</v>
      </c>
      <c r="HT45" s="558" t="str">
        <f t="shared" si="64"/>
        <v>.</v>
      </c>
      <c r="HU45" s="558" t="str">
        <f t="shared" si="64"/>
        <v>.</v>
      </c>
      <c r="HV45" s="558" t="str">
        <f t="shared" si="64"/>
        <v>.</v>
      </c>
      <c r="HW45" s="558" t="str">
        <f t="shared" si="64"/>
        <v>.</v>
      </c>
      <c r="HX45" s="558" t="str">
        <f t="shared" si="64"/>
        <v>.</v>
      </c>
      <c r="HY45" s="558" t="str">
        <f t="shared" si="64"/>
        <v>.</v>
      </c>
      <c r="HZ45" s="558" t="str">
        <f t="shared" si="64"/>
        <v>.</v>
      </c>
      <c r="IA45" s="558" t="str">
        <f t="shared" si="64"/>
        <v>.</v>
      </c>
      <c r="IB45" s="558" t="str">
        <f t="shared" si="64"/>
        <v>.</v>
      </c>
      <c r="IC45" s="558" t="str">
        <f t="shared" si="64"/>
        <v>.</v>
      </c>
      <c r="ID45" s="558" t="str">
        <f t="shared" si="64"/>
        <v>.</v>
      </c>
      <c r="IE45" s="558" t="str">
        <f t="shared" si="64"/>
        <v>.</v>
      </c>
      <c r="IF45" s="558" t="str">
        <f t="shared" si="64"/>
        <v>.</v>
      </c>
      <c r="IG45" s="558" t="str">
        <f t="shared" si="65"/>
        <v>.</v>
      </c>
      <c r="IH45" s="558" t="str">
        <f t="shared" si="65"/>
        <v>.</v>
      </c>
      <c r="II45" s="558" t="str">
        <f t="shared" si="65"/>
        <v>.</v>
      </c>
      <c r="IJ45" s="558" t="str">
        <f t="shared" si="65"/>
        <v>.</v>
      </c>
      <c r="IK45" s="558" t="str">
        <f t="shared" si="65"/>
        <v>.</v>
      </c>
      <c r="IL45" s="558" t="str">
        <f t="shared" si="65"/>
        <v>.</v>
      </c>
      <c r="IM45" s="558" t="str">
        <f t="shared" si="65"/>
        <v>.</v>
      </c>
      <c r="IN45" s="558" t="str">
        <f t="shared" si="65"/>
        <v>.</v>
      </c>
      <c r="IO45" s="558" t="str">
        <f t="shared" si="75"/>
        <v>.</v>
      </c>
      <c r="IP45" s="558" t="str">
        <f t="shared" si="75"/>
        <v>.</v>
      </c>
      <c r="IQ45" s="558" t="str">
        <f t="shared" si="73"/>
        <v>.</v>
      </c>
      <c r="IR45" s="558" t="str">
        <f t="shared" si="73"/>
        <v>.</v>
      </c>
      <c r="IS45" s="558" t="str">
        <f t="shared" si="73"/>
        <v>.</v>
      </c>
      <c r="IT45" s="558" t="str">
        <f t="shared" si="73"/>
        <v>.</v>
      </c>
      <c r="IU45" s="558" t="str">
        <f t="shared" si="73"/>
        <v>.</v>
      </c>
      <c r="IV45" s="558" t="str">
        <f t="shared" si="73"/>
        <v>.</v>
      </c>
      <c r="IW45" s="558" t="str">
        <f t="shared" si="73"/>
        <v>.</v>
      </c>
      <c r="IX45" s="558" t="str">
        <f t="shared" si="73"/>
        <v>.</v>
      </c>
      <c r="IY45" s="558" t="str">
        <f t="shared" si="73"/>
        <v>.</v>
      </c>
      <c r="IZ45" s="558" t="str">
        <f t="shared" si="73"/>
        <v>.</v>
      </c>
      <c r="JA45" s="558" t="str">
        <f t="shared" si="74"/>
        <v>.</v>
      </c>
      <c r="JB45" s="558" t="str">
        <f t="shared" si="74"/>
        <v>.</v>
      </c>
      <c r="JC45" s="558" t="str">
        <f t="shared" si="74"/>
        <v>.</v>
      </c>
      <c r="JD45" s="558" t="str">
        <f t="shared" si="74"/>
        <v>.</v>
      </c>
      <c r="JE45" s="558" t="str">
        <f t="shared" si="74"/>
        <v>.</v>
      </c>
      <c r="JF45" s="558" t="str">
        <f t="shared" si="74"/>
        <v>.</v>
      </c>
      <c r="JG45" s="558" t="str">
        <f t="shared" si="74"/>
        <v>.</v>
      </c>
      <c r="JH45" s="558" t="str">
        <f t="shared" si="70"/>
        <v>.</v>
      </c>
      <c r="JI45" s="558" t="str">
        <f t="shared" si="70"/>
        <v>.</v>
      </c>
      <c r="JJ45" s="558" t="str">
        <f t="shared" si="70"/>
        <v>.</v>
      </c>
      <c r="JK45" s="558" t="str">
        <f t="shared" si="70"/>
        <v>.</v>
      </c>
      <c r="JL45" s="558" t="str">
        <f t="shared" si="70"/>
        <v>.</v>
      </c>
    </row>
    <row r="46" spans="1:272" ht="10.199999999999999" x14ac:dyDescent="0.2">
      <c r="A46" s="534">
        <f xml:space="preserve"> Basis!A46</f>
        <v>46</v>
      </c>
      <c r="F46" s="536">
        <f xml:space="preserve"> ROUND(    IF( $A$15=BE_MF_,   AW46,   INDEX( qx!46:46, F$16 ) ),    F$17    )</f>
        <v>8.0000000000000004E-4</v>
      </c>
      <c r="G46" s="536">
        <f xml:space="preserve"> ROUND(    IF( $A$15=BE_MF_,   BB46,   INDEX( wx!46:46, G$16 ) ),    G$17    )</f>
        <v>2.4199999999999999E-2</v>
      </c>
      <c r="H46" s="537">
        <f xml:space="preserve"> ROUND(    IF( $A$15=BE_MF_,   BG46,   INDEX( Kx!46:46, H$16 ) ),    H$17    )</f>
        <v>2333.6999999999998</v>
      </c>
      <c r="I46" s="538">
        <f t="shared" si="57"/>
        <v>2333.6999999999998</v>
      </c>
      <c r="J46" s="539">
        <f t="shared" si="17"/>
        <v>1.123</v>
      </c>
      <c r="K46" s="540">
        <f t="shared" si="58"/>
        <v>2</v>
      </c>
      <c r="L46" s="541">
        <f t="shared" si="71"/>
        <v>0</v>
      </c>
      <c r="M46" s="541">
        <f t="shared" si="71"/>
        <v>8.5999999999999993E-2</v>
      </c>
      <c r="O46" s="542" t="b">
        <f t="shared" si="59"/>
        <v>1</v>
      </c>
      <c r="P46" s="493">
        <f t="shared" si="19"/>
        <v>2.5000000000000001E-2</v>
      </c>
      <c r="Q46" s="493">
        <f t="shared" si="20"/>
        <v>0.97499999999999998</v>
      </c>
      <c r="R46" s="543">
        <f t="shared" si="21"/>
        <v>739087</v>
      </c>
      <c r="S46" s="544">
        <f t="shared" si="22"/>
        <v>0.97560975599999999</v>
      </c>
      <c r="T46" s="423">
        <f t="shared" si="23"/>
        <v>237354.65</v>
      </c>
      <c r="U46" s="423">
        <f xml:space="preserve"> IF( $O46,    ROUND(  SUM( T46:T$120), U$17 ),  LEER  )</f>
        <v>4759982.24</v>
      </c>
      <c r="V46" s="493">
        <f t="shared" si="24"/>
        <v>20.054300000000001</v>
      </c>
      <c r="W46" s="493">
        <f t="shared" si="25"/>
        <v>266549.27</v>
      </c>
      <c r="X46" s="493">
        <f xml:space="preserve"> IF( $O46,    ROUND(  SUM( W46:W$120), X$17 ),  LEER  )</f>
        <v>11998646.609999999</v>
      </c>
      <c r="Y46" s="493">
        <f t="shared" si="26"/>
        <v>50.551600000000001</v>
      </c>
      <c r="Z46" s="493">
        <f t="shared" si="27"/>
        <v>2.5207000000000002</v>
      </c>
      <c r="AA46" s="493">
        <f t="shared" si="28"/>
        <v>1.0092000000000001</v>
      </c>
      <c r="AB46" s="493">
        <f t="shared" si="29"/>
        <v>2.3494000000000002</v>
      </c>
      <c r="AC46" s="545">
        <f t="shared" si="30"/>
        <v>0.38600000000000001</v>
      </c>
      <c r="AD46" s="493">
        <f t="shared" si="31"/>
        <v>2.5474000000000001</v>
      </c>
      <c r="AE46" s="493">
        <f t="shared" si="32"/>
        <v>3.2094</v>
      </c>
      <c r="AF46" s="493">
        <f t="shared" si="33"/>
        <v>3.2094</v>
      </c>
      <c r="AG46" s="493" t="str">
        <f t="shared" si="34"/>
        <v>.</v>
      </c>
      <c r="AH46" s="493" t="str">
        <f t="shared" si="35"/>
        <v>.</v>
      </c>
      <c r="AI46" s="423">
        <f t="shared" si="36"/>
        <v>2077.79</v>
      </c>
      <c r="AJ46" s="423">
        <f t="shared" si="37"/>
        <v>6668.46</v>
      </c>
      <c r="AK46" s="423">
        <f t="shared" si="38"/>
        <v>555.71</v>
      </c>
      <c r="AN46" s="423">
        <f t="shared" si="72"/>
        <v>27777.81</v>
      </c>
      <c r="AO46" s="423">
        <f t="shared" si="72"/>
        <v>26852.77</v>
      </c>
      <c r="AR46" s="546">
        <f xml:space="preserve"> ROUND(  INDEX( Kx!46:46, AR$16 ),  AR$17 )</f>
        <v>0.78810000000000002</v>
      </c>
      <c r="AS46" s="547">
        <f xml:space="preserve"> ROUND(  INDEX( qx!46:46, AS$16 ),  AS$17 )</f>
        <v>8.9999999999999998E-4</v>
      </c>
      <c r="AT46" s="547">
        <f xml:space="preserve"> ROUND(  INDEX( qx!46:46, AT$16 ),  AT$17 )</f>
        <v>6.9999999999999999E-4</v>
      </c>
      <c r="AU46" s="548" t="str">
        <f t="shared" si="40"/>
        <v>F</v>
      </c>
      <c r="AV46" s="542">
        <f t="shared" si="41"/>
        <v>0.71260000000000001</v>
      </c>
      <c r="AW46" s="542">
        <f t="shared" si="42"/>
        <v>8.0000000000000004E-4</v>
      </c>
      <c r="AX46" s="546">
        <f xml:space="preserve"> ROUND(  INDEX( wx!46:46, AX$16 ),  AX$17 )</f>
        <v>2.2599999999999999E-2</v>
      </c>
      <c r="AY46" s="546">
        <f xml:space="preserve"> ROUND(  INDEX( wx!46:46, AY$16 ),  AY$17 )</f>
        <v>3.32E-2</v>
      </c>
      <c r="AZ46" s="548" t="str">
        <f t="shared" si="43"/>
        <v>M</v>
      </c>
      <c r="BA46" s="542">
        <f t="shared" si="44"/>
        <v>0.84799999999999998</v>
      </c>
      <c r="BB46" s="542">
        <f t="shared" si="45"/>
        <v>2.4199999999999999E-2</v>
      </c>
      <c r="BC46" s="533">
        <f xml:space="preserve"> ROUND(  INDEX( Kx!46:46, BC$16 ),  BC$17 )</f>
        <v>2107.65</v>
      </c>
      <c r="BD46" s="533">
        <f xml:space="preserve"> ROUND(  INDEX( Kx!46:46, BD$16 ),  BD$17 )</f>
        <v>2894.18</v>
      </c>
      <c r="BE46" s="548" t="str">
        <f t="shared" si="60"/>
        <v>F</v>
      </c>
      <c r="BF46" s="542">
        <f t="shared" si="46"/>
        <v>0.71260000000000001</v>
      </c>
      <c r="BG46" s="420">
        <f t="shared" si="47"/>
        <v>2333.6999999999998</v>
      </c>
      <c r="BQ46" s="549"/>
      <c r="BR46" s="423"/>
      <c r="BS46" s="550"/>
      <c r="BT46" s="423"/>
      <c r="BU46" s="551"/>
      <c r="BV46" s="551"/>
      <c r="BW46" s="529"/>
      <c r="BX46" s="552"/>
      <c r="BY46" s="560"/>
      <c r="BZ46" s="559"/>
      <c r="CB46" s="423"/>
      <c r="CC46" s="423"/>
      <c r="CD46" s="423"/>
      <c r="CE46" s="423"/>
      <c r="CF46" s="553"/>
      <c r="CH46" s="423"/>
      <c r="CI46" s="423"/>
      <c r="CJ46" s="423"/>
      <c r="CK46" s="423"/>
      <c r="CL46" s="553"/>
      <c r="CN46" s="423"/>
      <c r="CO46" s="423"/>
      <c r="CP46" s="423"/>
      <c r="CQ46" s="423"/>
      <c r="CR46" s="553"/>
      <c r="EI46" s="553"/>
      <c r="EJ46" s="553"/>
      <c r="EK46" s="423"/>
      <c r="EL46" s="555"/>
      <c r="ES46" s="533"/>
      <c r="ET46" s="533"/>
      <c r="EU46" s="533"/>
      <c r="EV46" s="556"/>
      <c r="EY46" s="533"/>
      <c r="EZ46" s="533"/>
      <c r="FA46" s="556"/>
      <c r="FD46" s="556"/>
      <c r="FE46" s="556"/>
      <c r="FF46" s="556"/>
      <c r="FK46" s="557">
        <f t="shared" si="48"/>
        <v>46</v>
      </c>
      <c r="FL46" s="493">
        <f t="shared" si="49"/>
        <v>50.551600000000001</v>
      </c>
      <c r="FM46" s="493">
        <f t="shared" si="50"/>
        <v>20.054300000000001</v>
      </c>
      <c r="FO46" s="427">
        <f t="shared" si="61"/>
        <v>800940.84999999986</v>
      </c>
      <c r="FP46" s="558">
        <f t="shared" si="68"/>
        <v>55016.59</v>
      </c>
      <c r="FQ46" s="558">
        <f t="shared" si="68"/>
        <v>53329.01</v>
      </c>
      <c r="FR46" s="558">
        <f t="shared" si="68"/>
        <v>51637.27</v>
      </c>
      <c r="FS46" s="558">
        <f t="shared" si="68"/>
        <v>49945.52</v>
      </c>
      <c r="FT46" s="558">
        <f t="shared" si="68"/>
        <v>48195.44</v>
      </c>
      <c r="FU46" s="558">
        <f t="shared" si="68"/>
        <v>46395.35</v>
      </c>
      <c r="FV46" s="558">
        <f t="shared" si="68"/>
        <v>44611.94</v>
      </c>
      <c r="FW46" s="558">
        <f t="shared" si="68"/>
        <v>42816.02</v>
      </c>
      <c r="FX46" s="558">
        <f t="shared" si="68"/>
        <v>40957.599999999999</v>
      </c>
      <c r="FY46" s="558">
        <f t="shared" si="68"/>
        <v>39024.17</v>
      </c>
      <c r="FZ46" s="558">
        <f t="shared" si="68"/>
        <v>37078.25</v>
      </c>
      <c r="GA46" s="558">
        <f t="shared" si="68"/>
        <v>35103.160000000003</v>
      </c>
      <c r="GB46" s="558">
        <f t="shared" si="68"/>
        <v>33082.230000000003</v>
      </c>
      <c r="GC46" s="558">
        <f t="shared" si="68"/>
        <v>31052.97</v>
      </c>
      <c r="GD46" s="558">
        <f t="shared" si="68"/>
        <v>28961.200000000001</v>
      </c>
      <c r="GE46" s="558">
        <f t="shared" si="68"/>
        <v>26852.77</v>
      </c>
      <c r="GF46" s="558">
        <f t="shared" si="66"/>
        <v>24681.83</v>
      </c>
      <c r="GG46" s="558">
        <f t="shared" si="66"/>
        <v>22460.9</v>
      </c>
      <c r="GH46" s="558">
        <f t="shared" si="66"/>
        <v>20177.46</v>
      </c>
      <c r="GI46" s="558">
        <f t="shared" si="66"/>
        <v>17827.349999999999</v>
      </c>
      <c r="GJ46" s="558">
        <f t="shared" si="66"/>
        <v>15406.4</v>
      </c>
      <c r="GK46" s="558">
        <f t="shared" si="66"/>
        <v>12893.78</v>
      </c>
      <c r="GL46" s="558">
        <f t="shared" si="66"/>
        <v>10289.49</v>
      </c>
      <c r="GM46" s="558">
        <f t="shared" si="66"/>
        <v>7589.36</v>
      </c>
      <c r="GN46" s="558">
        <f t="shared" si="66"/>
        <v>4780.8999999999996</v>
      </c>
      <c r="GO46" s="558">
        <f t="shared" si="66"/>
        <v>1884.93</v>
      </c>
      <c r="GP46" s="558">
        <f t="shared" si="66"/>
        <v>-1111.04</v>
      </c>
      <c r="GQ46" s="558" t="str">
        <f t="shared" si="66"/>
        <v>.</v>
      </c>
      <c r="GR46" s="558" t="str">
        <f t="shared" si="66"/>
        <v>.</v>
      </c>
      <c r="GS46" s="558" t="str">
        <f t="shared" si="66"/>
        <v>.</v>
      </c>
      <c r="GT46" s="558" t="str">
        <f t="shared" si="66"/>
        <v>.</v>
      </c>
      <c r="GU46" s="558" t="str">
        <f t="shared" si="69"/>
        <v>.</v>
      </c>
      <c r="GV46" s="558" t="str">
        <f t="shared" si="69"/>
        <v>.</v>
      </c>
      <c r="GW46" s="558" t="str">
        <f t="shared" si="69"/>
        <v>.</v>
      </c>
      <c r="GX46" s="558" t="str">
        <f t="shared" si="69"/>
        <v>.</v>
      </c>
      <c r="GY46" s="558" t="str">
        <f t="shared" si="69"/>
        <v>.</v>
      </c>
      <c r="GZ46" s="558" t="str">
        <f t="shared" si="69"/>
        <v>.</v>
      </c>
      <c r="HA46" s="558" t="str">
        <f t="shared" si="69"/>
        <v>.</v>
      </c>
      <c r="HB46" s="558" t="str">
        <f t="shared" si="69"/>
        <v>.</v>
      </c>
      <c r="HC46" s="558" t="str">
        <f t="shared" si="69"/>
        <v>.</v>
      </c>
      <c r="HD46" s="558" t="str">
        <f t="shared" si="69"/>
        <v>.</v>
      </c>
      <c r="HE46" s="558" t="str">
        <f t="shared" si="69"/>
        <v>.</v>
      </c>
      <c r="HF46" s="558" t="str">
        <f t="shared" si="69"/>
        <v>.</v>
      </c>
      <c r="HG46" s="558" t="str">
        <f t="shared" si="69"/>
        <v>.</v>
      </c>
      <c r="HH46" s="558" t="str">
        <f t="shared" si="69"/>
        <v>.</v>
      </c>
      <c r="HI46" s="558" t="str">
        <f t="shared" si="69"/>
        <v>.</v>
      </c>
      <c r="HJ46" s="558" t="str">
        <f t="shared" si="69"/>
        <v>.</v>
      </c>
      <c r="HK46" s="558" t="str">
        <f t="shared" si="76"/>
        <v>.</v>
      </c>
      <c r="HL46" s="558" t="str">
        <f t="shared" si="76"/>
        <v>.</v>
      </c>
      <c r="HM46" s="558" t="str">
        <f t="shared" si="76"/>
        <v>.</v>
      </c>
      <c r="HN46" s="558" t="str">
        <f t="shared" si="76"/>
        <v>.</v>
      </c>
      <c r="HO46" s="558" t="str">
        <f t="shared" si="76"/>
        <v>.</v>
      </c>
      <c r="HP46" s="558" t="str">
        <f t="shared" si="64"/>
        <v>.</v>
      </c>
      <c r="HQ46" s="558" t="str">
        <f t="shared" si="64"/>
        <v>.</v>
      </c>
      <c r="HR46" s="558" t="str">
        <f t="shared" si="64"/>
        <v>.</v>
      </c>
      <c r="HS46" s="558" t="str">
        <f t="shared" si="64"/>
        <v>.</v>
      </c>
      <c r="HT46" s="558" t="str">
        <f t="shared" si="64"/>
        <v>.</v>
      </c>
      <c r="HU46" s="558" t="str">
        <f t="shared" si="64"/>
        <v>.</v>
      </c>
      <c r="HV46" s="558" t="str">
        <f t="shared" si="64"/>
        <v>.</v>
      </c>
      <c r="HW46" s="558" t="str">
        <f t="shared" si="64"/>
        <v>.</v>
      </c>
      <c r="HX46" s="558" t="str">
        <f t="shared" si="64"/>
        <v>.</v>
      </c>
      <c r="HY46" s="558" t="str">
        <f t="shared" si="64"/>
        <v>.</v>
      </c>
      <c r="HZ46" s="558" t="str">
        <f t="shared" si="64"/>
        <v>.</v>
      </c>
      <c r="IA46" s="558" t="str">
        <f t="shared" si="64"/>
        <v>.</v>
      </c>
      <c r="IB46" s="558" t="str">
        <f t="shared" si="64"/>
        <v>.</v>
      </c>
      <c r="IC46" s="558" t="str">
        <f t="shared" si="64"/>
        <v>.</v>
      </c>
      <c r="ID46" s="558" t="str">
        <f t="shared" si="64"/>
        <v>.</v>
      </c>
      <c r="IE46" s="558" t="str">
        <f t="shared" si="64"/>
        <v>.</v>
      </c>
      <c r="IF46" s="558" t="str">
        <f t="shared" si="64"/>
        <v>.</v>
      </c>
      <c r="IG46" s="558" t="str">
        <f t="shared" si="65"/>
        <v>.</v>
      </c>
      <c r="IH46" s="558" t="str">
        <f t="shared" si="65"/>
        <v>.</v>
      </c>
      <c r="II46" s="558" t="str">
        <f t="shared" si="65"/>
        <v>.</v>
      </c>
      <c r="IJ46" s="558" t="str">
        <f t="shared" si="65"/>
        <v>.</v>
      </c>
      <c r="IK46" s="558" t="str">
        <f t="shared" si="65"/>
        <v>.</v>
      </c>
      <c r="IL46" s="558" t="str">
        <f t="shared" si="65"/>
        <v>.</v>
      </c>
      <c r="IM46" s="558" t="str">
        <f t="shared" si="65"/>
        <v>.</v>
      </c>
      <c r="IN46" s="558" t="str">
        <f t="shared" si="65"/>
        <v>.</v>
      </c>
      <c r="IO46" s="558" t="str">
        <f t="shared" si="75"/>
        <v>.</v>
      </c>
      <c r="IP46" s="558" t="str">
        <f t="shared" si="75"/>
        <v>.</v>
      </c>
      <c r="IQ46" s="558" t="str">
        <f t="shared" si="73"/>
        <v>.</v>
      </c>
      <c r="IR46" s="558" t="str">
        <f t="shared" si="73"/>
        <v>.</v>
      </c>
      <c r="IS46" s="558" t="str">
        <f t="shared" si="73"/>
        <v>.</v>
      </c>
      <c r="IT46" s="558" t="str">
        <f t="shared" si="73"/>
        <v>.</v>
      </c>
      <c r="IU46" s="558" t="str">
        <f t="shared" si="73"/>
        <v>.</v>
      </c>
      <c r="IV46" s="558" t="str">
        <f t="shared" si="73"/>
        <v>.</v>
      </c>
      <c r="IW46" s="558" t="str">
        <f t="shared" si="73"/>
        <v>.</v>
      </c>
      <c r="IX46" s="558" t="str">
        <f t="shared" si="73"/>
        <v>.</v>
      </c>
      <c r="IY46" s="558" t="str">
        <f t="shared" si="73"/>
        <v>.</v>
      </c>
      <c r="IZ46" s="558" t="str">
        <f t="shared" si="73"/>
        <v>.</v>
      </c>
      <c r="JA46" s="558" t="str">
        <f t="shared" si="74"/>
        <v>.</v>
      </c>
      <c r="JB46" s="558" t="str">
        <f t="shared" si="74"/>
        <v>.</v>
      </c>
      <c r="JC46" s="558" t="str">
        <f t="shared" si="74"/>
        <v>.</v>
      </c>
      <c r="JD46" s="558" t="str">
        <f t="shared" si="74"/>
        <v>.</v>
      </c>
      <c r="JE46" s="558" t="str">
        <f t="shared" si="74"/>
        <v>.</v>
      </c>
      <c r="JF46" s="558" t="str">
        <f t="shared" si="74"/>
        <v>.</v>
      </c>
      <c r="JG46" s="558" t="str">
        <f t="shared" si="74"/>
        <v>.</v>
      </c>
      <c r="JH46" s="558" t="str">
        <f t="shared" si="70"/>
        <v>.</v>
      </c>
      <c r="JI46" s="558" t="str">
        <f t="shared" si="70"/>
        <v>.</v>
      </c>
      <c r="JJ46" s="558" t="str">
        <f t="shared" si="70"/>
        <v>.</v>
      </c>
      <c r="JK46" s="558" t="str">
        <f t="shared" si="70"/>
        <v>.</v>
      </c>
      <c r="JL46" s="558" t="str">
        <f t="shared" si="70"/>
        <v>.</v>
      </c>
    </row>
    <row r="47" spans="1:272" ht="10.199999999999999" x14ac:dyDescent="0.2">
      <c r="A47" s="534">
        <f xml:space="preserve"> Basis!A47</f>
        <v>47</v>
      </c>
      <c r="F47" s="536">
        <f xml:space="preserve"> ROUND(    IF( $A$15=BE_MF_,   AW47,   INDEX( qx!47:47, F$16 ) ),    F$17    )</f>
        <v>8.9999999999999998E-4</v>
      </c>
      <c r="G47" s="536">
        <f xml:space="preserve"> ROUND(    IF( $A$15=BE_MF_,   BB47,   INDEX( wx!47:47, G$16 ) ),    G$17    )</f>
        <v>2.4E-2</v>
      </c>
      <c r="H47" s="537">
        <f xml:space="preserve"> ROUND(    IF( $A$15=BE_MF_,   BG47,   INDEX( Kx!47:47, H$16 ) ),    H$17    )</f>
        <v>2408.6999999999998</v>
      </c>
      <c r="I47" s="538">
        <f t="shared" si="57"/>
        <v>2408.6999999999998</v>
      </c>
      <c r="J47" s="539">
        <f t="shared" si="17"/>
        <v>1.159</v>
      </c>
      <c r="K47" s="540">
        <f t="shared" si="58"/>
        <v>2</v>
      </c>
      <c r="L47" s="541">
        <f t="shared" si="71"/>
        <v>0</v>
      </c>
      <c r="M47" s="541">
        <f t="shared" si="71"/>
        <v>8.5999999999999993E-2</v>
      </c>
      <c r="O47" s="542" t="b">
        <f t="shared" si="59"/>
        <v>1</v>
      </c>
      <c r="P47" s="493">
        <f t="shared" si="19"/>
        <v>2.4899999999999999E-2</v>
      </c>
      <c r="Q47" s="493">
        <f t="shared" si="20"/>
        <v>0.97509999999999997</v>
      </c>
      <c r="R47" s="543">
        <f t="shared" si="21"/>
        <v>720609</v>
      </c>
      <c r="S47" s="544">
        <f t="shared" si="22"/>
        <v>0.97560975599999999</v>
      </c>
      <c r="T47" s="423">
        <f t="shared" si="23"/>
        <v>225776.12</v>
      </c>
      <c r="U47" s="423">
        <f xml:space="preserve"> IF( $O47,    ROUND(  SUM( T47:T$120), U$17 ),  LEER  )</f>
        <v>4522627.59</v>
      </c>
      <c r="V47" s="493">
        <f t="shared" si="24"/>
        <v>20.031500000000001</v>
      </c>
      <c r="W47" s="493">
        <f t="shared" si="25"/>
        <v>261674.52</v>
      </c>
      <c r="X47" s="493">
        <f xml:space="preserve"> IF( $O47,    ROUND(  SUM( W47:W$120), X$17 ),  LEER  )</f>
        <v>11732097.34</v>
      </c>
      <c r="Y47" s="493">
        <f t="shared" si="26"/>
        <v>51.9634</v>
      </c>
      <c r="Z47" s="493">
        <f t="shared" si="27"/>
        <v>2.5941000000000001</v>
      </c>
      <c r="AA47" s="493">
        <f t="shared" si="28"/>
        <v>1.0092000000000001</v>
      </c>
      <c r="AB47" s="493">
        <f t="shared" si="29"/>
        <v>2.3494000000000002</v>
      </c>
      <c r="AC47" s="545">
        <f t="shared" si="30"/>
        <v>0.38600000000000001</v>
      </c>
      <c r="AD47" s="493">
        <f t="shared" si="31"/>
        <v>2.6215000000000002</v>
      </c>
      <c r="AE47" s="493">
        <f t="shared" si="32"/>
        <v>3.2905000000000002</v>
      </c>
      <c r="AF47" s="493">
        <f t="shared" si="33"/>
        <v>3.2905000000000002</v>
      </c>
      <c r="AG47" s="493" t="str">
        <f t="shared" si="34"/>
        <v>.</v>
      </c>
      <c r="AH47" s="493" t="str">
        <f t="shared" si="35"/>
        <v>.</v>
      </c>
      <c r="AI47" s="423">
        <f t="shared" si="36"/>
        <v>2077.79</v>
      </c>
      <c r="AJ47" s="423">
        <f t="shared" si="37"/>
        <v>6836.97</v>
      </c>
      <c r="AK47" s="423">
        <f t="shared" si="38"/>
        <v>569.75</v>
      </c>
      <c r="AN47" s="423">
        <f t="shared" si="72"/>
        <v>30799.07</v>
      </c>
      <c r="AO47" s="423">
        <f t="shared" si="72"/>
        <v>29875.08</v>
      </c>
      <c r="AR47" s="546">
        <f xml:space="preserve"> ROUND(  INDEX( Kx!47:47, AR$16 ),  AR$17 )</f>
        <v>0.78739999999999999</v>
      </c>
      <c r="AS47" s="547">
        <f xml:space="preserve"> ROUND(  INDEX( qx!47:47, AS$16 ),  AS$17 )</f>
        <v>1E-3</v>
      </c>
      <c r="AT47" s="547">
        <f xml:space="preserve"> ROUND(  INDEX( qx!47:47, AT$16 ),  AT$17 )</f>
        <v>6.9999999999999999E-4</v>
      </c>
      <c r="AU47" s="548" t="str">
        <f t="shared" si="40"/>
        <v>F</v>
      </c>
      <c r="AV47" s="542">
        <f t="shared" si="41"/>
        <v>0.7117</v>
      </c>
      <c r="AW47" s="542">
        <f t="shared" si="42"/>
        <v>8.9999999999999998E-4</v>
      </c>
      <c r="AX47" s="546">
        <f xml:space="preserve"> ROUND(  INDEX( wx!47:47, AX$16 ),  AX$17 )</f>
        <v>2.2499999999999999E-2</v>
      </c>
      <c r="AY47" s="546">
        <f xml:space="preserve"> ROUND(  INDEX( wx!47:47, AY$16 ),  AY$17 )</f>
        <v>3.2199999999999999E-2</v>
      </c>
      <c r="AZ47" s="548" t="str">
        <f t="shared" si="43"/>
        <v>M</v>
      </c>
      <c r="BA47" s="542">
        <f t="shared" si="44"/>
        <v>0.84750000000000003</v>
      </c>
      <c r="BB47" s="542">
        <f t="shared" si="45"/>
        <v>2.4E-2</v>
      </c>
      <c r="BC47" s="533">
        <f xml:space="preserve"> ROUND(  INDEX( Kx!47:47, BC$16 ),  BC$17 )</f>
        <v>2191.11</v>
      </c>
      <c r="BD47" s="533">
        <f xml:space="preserve"> ROUND(  INDEX( Kx!47:47, BD$16 ),  BD$17 )</f>
        <v>2945.83</v>
      </c>
      <c r="BE47" s="548" t="str">
        <f t="shared" si="60"/>
        <v>F</v>
      </c>
      <c r="BF47" s="542">
        <f t="shared" si="46"/>
        <v>0.7117</v>
      </c>
      <c r="BG47" s="420">
        <f t="shared" si="47"/>
        <v>2408.6999999999998</v>
      </c>
      <c r="BQ47" s="549"/>
      <c r="BR47" s="423"/>
      <c r="BS47" s="550"/>
      <c r="BT47" s="423"/>
      <c r="BU47" s="551"/>
      <c r="BV47" s="551"/>
      <c r="BW47" s="529"/>
      <c r="BX47" s="552"/>
      <c r="BY47" s="560"/>
      <c r="BZ47" s="559"/>
      <c r="CB47" s="423"/>
      <c r="CC47" s="423"/>
      <c r="CD47" s="423"/>
      <c r="CE47" s="423"/>
      <c r="CF47" s="553"/>
      <c r="CH47" s="423"/>
      <c r="CI47" s="423"/>
      <c r="CJ47" s="423"/>
      <c r="CK47" s="423"/>
      <c r="CL47" s="553"/>
      <c r="CN47" s="423"/>
      <c r="CO47" s="423"/>
      <c r="CP47" s="423"/>
      <c r="CQ47" s="423"/>
      <c r="CR47" s="553"/>
      <c r="EI47" s="553"/>
      <c r="EJ47" s="553"/>
      <c r="EK47" s="423"/>
      <c r="EL47" s="555"/>
      <c r="ES47" s="533"/>
      <c r="ET47" s="533"/>
      <c r="EU47" s="533"/>
      <c r="EV47" s="556"/>
      <c r="EY47" s="533"/>
      <c r="EZ47" s="533"/>
      <c r="FA47" s="556"/>
      <c r="FD47" s="556"/>
      <c r="FE47" s="556"/>
      <c r="FF47" s="556"/>
      <c r="FK47" s="557">
        <f t="shared" si="48"/>
        <v>47</v>
      </c>
      <c r="FL47" s="493">
        <f t="shared" si="49"/>
        <v>51.9634</v>
      </c>
      <c r="FM47" s="493">
        <f t="shared" si="50"/>
        <v>20.031500000000001</v>
      </c>
      <c r="FO47" s="427">
        <f t="shared" si="61"/>
        <v>881315.86999999988</v>
      </c>
      <c r="FP47" s="558">
        <f t="shared" si="68"/>
        <v>58006.879999999997</v>
      </c>
      <c r="FQ47" s="558">
        <f t="shared" si="68"/>
        <v>56321.22</v>
      </c>
      <c r="FR47" s="558">
        <f t="shared" si="68"/>
        <v>54631.4</v>
      </c>
      <c r="FS47" s="558">
        <f t="shared" si="68"/>
        <v>52941.58</v>
      </c>
      <c r="FT47" s="558">
        <f t="shared" si="68"/>
        <v>51193.49</v>
      </c>
      <c r="FU47" s="558">
        <f t="shared" si="68"/>
        <v>49395.45</v>
      </c>
      <c r="FV47" s="558">
        <f t="shared" si="68"/>
        <v>47614.06</v>
      </c>
      <c r="FW47" s="558">
        <f t="shared" si="68"/>
        <v>45820.18</v>
      </c>
      <c r="FX47" s="558">
        <f t="shared" si="68"/>
        <v>43963.87</v>
      </c>
      <c r="FY47" s="558">
        <f t="shared" si="68"/>
        <v>42032.65</v>
      </c>
      <c r="FZ47" s="558">
        <f t="shared" si="68"/>
        <v>40088.94</v>
      </c>
      <c r="GA47" s="558">
        <f t="shared" si="68"/>
        <v>38116.089999999997</v>
      </c>
      <c r="GB47" s="558">
        <f t="shared" si="68"/>
        <v>36097.46</v>
      </c>
      <c r="GC47" s="558">
        <f t="shared" si="68"/>
        <v>34070.5</v>
      </c>
      <c r="GD47" s="558">
        <f t="shared" si="68"/>
        <v>31981.119999999999</v>
      </c>
      <c r="GE47" s="558">
        <f t="shared" si="68"/>
        <v>29875.08</v>
      </c>
      <c r="GF47" s="558">
        <f t="shared" si="66"/>
        <v>27706.61</v>
      </c>
      <c r="GG47" s="558">
        <f t="shared" si="66"/>
        <v>25488.2</v>
      </c>
      <c r="GH47" s="558">
        <f t="shared" si="66"/>
        <v>23207.360000000001</v>
      </c>
      <c r="GI47" s="558">
        <f t="shared" si="66"/>
        <v>20859.919999999998</v>
      </c>
      <c r="GJ47" s="558">
        <f t="shared" si="66"/>
        <v>18441.72</v>
      </c>
      <c r="GK47" s="558">
        <f t="shared" si="66"/>
        <v>15931.96</v>
      </c>
      <c r="GL47" s="558">
        <f t="shared" si="66"/>
        <v>13330.63</v>
      </c>
      <c r="GM47" s="558">
        <f t="shared" si="66"/>
        <v>10633.58</v>
      </c>
      <c r="GN47" s="558">
        <f t="shared" si="66"/>
        <v>7828.3</v>
      </c>
      <c r="GO47" s="558">
        <f t="shared" si="66"/>
        <v>4935.63</v>
      </c>
      <c r="GP47" s="558">
        <f t="shared" si="66"/>
        <v>1943.06</v>
      </c>
      <c r="GQ47" s="558">
        <f t="shared" si="66"/>
        <v>-1141.07</v>
      </c>
      <c r="GR47" s="558" t="str">
        <f t="shared" si="66"/>
        <v>.</v>
      </c>
      <c r="GS47" s="558" t="str">
        <f t="shared" si="66"/>
        <v>.</v>
      </c>
      <c r="GT47" s="558" t="str">
        <f t="shared" si="66"/>
        <v>.</v>
      </c>
      <c r="GU47" s="558" t="str">
        <f t="shared" si="69"/>
        <v>.</v>
      </c>
      <c r="GV47" s="558" t="str">
        <f t="shared" si="69"/>
        <v>.</v>
      </c>
      <c r="GW47" s="558" t="str">
        <f t="shared" si="69"/>
        <v>.</v>
      </c>
      <c r="GX47" s="558" t="str">
        <f t="shared" si="69"/>
        <v>.</v>
      </c>
      <c r="GY47" s="558" t="str">
        <f t="shared" si="69"/>
        <v>.</v>
      </c>
      <c r="GZ47" s="558" t="str">
        <f t="shared" si="69"/>
        <v>.</v>
      </c>
      <c r="HA47" s="558" t="str">
        <f t="shared" si="69"/>
        <v>.</v>
      </c>
      <c r="HB47" s="558" t="str">
        <f t="shared" si="69"/>
        <v>.</v>
      </c>
      <c r="HC47" s="558" t="str">
        <f t="shared" si="69"/>
        <v>.</v>
      </c>
      <c r="HD47" s="558" t="str">
        <f t="shared" si="69"/>
        <v>.</v>
      </c>
      <c r="HE47" s="558" t="str">
        <f t="shared" si="69"/>
        <v>.</v>
      </c>
      <c r="HF47" s="558" t="str">
        <f t="shared" si="69"/>
        <v>.</v>
      </c>
      <c r="HG47" s="558" t="str">
        <f t="shared" si="69"/>
        <v>.</v>
      </c>
      <c r="HH47" s="558" t="str">
        <f t="shared" si="69"/>
        <v>.</v>
      </c>
      <c r="HI47" s="558" t="str">
        <f t="shared" si="69"/>
        <v>.</v>
      </c>
      <c r="HJ47" s="558" t="str">
        <f t="shared" si="69"/>
        <v>.</v>
      </c>
      <c r="HK47" s="558" t="str">
        <f t="shared" si="76"/>
        <v>.</v>
      </c>
      <c r="HL47" s="558" t="str">
        <f t="shared" si="76"/>
        <v>.</v>
      </c>
      <c r="HM47" s="558" t="str">
        <f t="shared" si="76"/>
        <v>.</v>
      </c>
      <c r="HN47" s="558" t="str">
        <f t="shared" si="76"/>
        <v>.</v>
      </c>
      <c r="HO47" s="558" t="str">
        <f t="shared" si="76"/>
        <v>.</v>
      </c>
      <c r="HP47" s="558" t="str">
        <f t="shared" si="64"/>
        <v>.</v>
      </c>
      <c r="HQ47" s="558" t="str">
        <f t="shared" si="64"/>
        <v>.</v>
      </c>
      <c r="HR47" s="558" t="str">
        <f t="shared" si="64"/>
        <v>.</v>
      </c>
      <c r="HS47" s="558" t="str">
        <f t="shared" si="64"/>
        <v>.</v>
      </c>
      <c r="HT47" s="558" t="str">
        <f t="shared" si="64"/>
        <v>.</v>
      </c>
      <c r="HU47" s="558" t="str">
        <f t="shared" si="64"/>
        <v>.</v>
      </c>
      <c r="HV47" s="558" t="str">
        <f t="shared" si="64"/>
        <v>.</v>
      </c>
      <c r="HW47" s="558" t="str">
        <f t="shared" si="64"/>
        <v>.</v>
      </c>
      <c r="HX47" s="558" t="str">
        <f t="shared" si="64"/>
        <v>.</v>
      </c>
      <c r="HY47" s="558" t="str">
        <f t="shared" si="64"/>
        <v>.</v>
      </c>
      <c r="HZ47" s="558" t="str">
        <f t="shared" si="64"/>
        <v>.</v>
      </c>
      <c r="IA47" s="558" t="str">
        <f t="shared" si="64"/>
        <v>.</v>
      </c>
      <c r="IB47" s="558" t="str">
        <f t="shared" si="64"/>
        <v>.</v>
      </c>
      <c r="IC47" s="558" t="str">
        <f t="shared" si="64"/>
        <v>.</v>
      </c>
      <c r="ID47" s="558" t="str">
        <f t="shared" si="64"/>
        <v>.</v>
      </c>
      <c r="IE47" s="558" t="str">
        <f t="shared" si="64"/>
        <v>.</v>
      </c>
      <c r="IF47" s="558" t="str">
        <f t="shared" si="64"/>
        <v>.</v>
      </c>
      <c r="IG47" s="558" t="str">
        <f t="shared" ref="IG47:JE61" si="77" xml:space="preserve"> IF(  OR( IG$18&gt;$FK47, $FK47&gt;$FP$12 ),  LEER,  ROUND( $FO$19 * ( $FL47 - IG$15 * $FM47 ), IG$17 )  )</f>
        <v>.</v>
      </c>
      <c r="IH47" s="558" t="str">
        <f t="shared" si="77"/>
        <v>.</v>
      </c>
      <c r="II47" s="558" t="str">
        <f t="shared" si="77"/>
        <v>.</v>
      </c>
      <c r="IJ47" s="558" t="str">
        <f t="shared" si="77"/>
        <v>.</v>
      </c>
      <c r="IK47" s="558" t="str">
        <f t="shared" si="77"/>
        <v>.</v>
      </c>
      <c r="IL47" s="558" t="str">
        <f t="shared" si="77"/>
        <v>.</v>
      </c>
      <c r="IM47" s="558" t="str">
        <f t="shared" si="77"/>
        <v>.</v>
      </c>
      <c r="IN47" s="558" t="str">
        <f t="shared" si="77"/>
        <v>.</v>
      </c>
      <c r="IO47" s="558" t="str">
        <f t="shared" si="77"/>
        <v>.</v>
      </c>
      <c r="IP47" s="558" t="str">
        <f t="shared" si="77"/>
        <v>.</v>
      </c>
      <c r="IQ47" s="558" t="str">
        <f t="shared" si="77"/>
        <v>.</v>
      </c>
      <c r="IR47" s="558" t="str">
        <f t="shared" si="77"/>
        <v>.</v>
      </c>
      <c r="IS47" s="558" t="str">
        <f t="shared" si="77"/>
        <v>.</v>
      </c>
      <c r="IT47" s="558" t="str">
        <f t="shared" si="77"/>
        <v>.</v>
      </c>
      <c r="IU47" s="558" t="str">
        <f t="shared" si="77"/>
        <v>.</v>
      </c>
      <c r="IV47" s="558" t="str">
        <f t="shared" si="77"/>
        <v>.</v>
      </c>
      <c r="IW47" s="558" t="str">
        <f t="shared" si="77"/>
        <v>.</v>
      </c>
      <c r="IX47" s="558" t="str">
        <f t="shared" si="77"/>
        <v>.</v>
      </c>
      <c r="IY47" s="558" t="str">
        <f t="shared" si="77"/>
        <v>.</v>
      </c>
      <c r="IZ47" s="558" t="str">
        <f t="shared" si="77"/>
        <v>.</v>
      </c>
      <c r="JA47" s="558" t="str">
        <f t="shared" si="77"/>
        <v>.</v>
      </c>
      <c r="JB47" s="558" t="str">
        <f t="shared" si="77"/>
        <v>.</v>
      </c>
      <c r="JC47" s="558" t="str">
        <f t="shared" si="77"/>
        <v>.</v>
      </c>
      <c r="JD47" s="558" t="str">
        <f t="shared" si="77"/>
        <v>.</v>
      </c>
      <c r="JE47" s="558" t="str">
        <f t="shared" si="77"/>
        <v>.</v>
      </c>
      <c r="JF47" s="558" t="str">
        <f t="shared" ref="JF47:JG60" si="78" xml:space="preserve"> IF(  OR( JF$18&gt;$FK47, $FK47&gt;$FP$12 ),  LEER,  ROUND( $FO$19 * ( $FL47 - JF$15 * $FM47 ), JF$17 )  )</f>
        <v>.</v>
      </c>
      <c r="JG47" s="558" t="str">
        <f t="shared" si="78"/>
        <v>.</v>
      </c>
      <c r="JH47" s="558" t="str">
        <f t="shared" si="70"/>
        <v>.</v>
      </c>
      <c r="JI47" s="558" t="str">
        <f t="shared" si="70"/>
        <v>.</v>
      </c>
      <c r="JJ47" s="558" t="str">
        <f t="shared" si="70"/>
        <v>.</v>
      </c>
      <c r="JK47" s="558" t="str">
        <f t="shared" si="70"/>
        <v>.</v>
      </c>
      <c r="JL47" s="558" t="str">
        <f t="shared" si="70"/>
        <v>.</v>
      </c>
    </row>
    <row r="48" spans="1:272" ht="10.199999999999999" x14ac:dyDescent="0.2">
      <c r="A48" s="534">
        <f xml:space="preserve"> Basis!A48</f>
        <v>48</v>
      </c>
      <c r="F48" s="536">
        <f xml:space="preserve"> ROUND(    IF( $A$15=BE_MF_,   AW48,   INDEX( qx!48:48, F$16 ) ),    F$17    )</f>
        <v>1E-3</v>
      </c>
      <c r="G48" s="536">
        <f xml:space="preserve"> ROUND(    IF( $A$15=BE_MF_,   BB48,   INDEX( wx!48:48, G$16 ) ),    G$17    )</f>
        <v>2.3800000000000002E-2</v>
      </c>
      <c r="H48" s="537">
        <f xml:space="preserve"> ROUND(    IF( $A$15=BE_MF_,   BG48,   INDEX( Kx!48:48, H$16 ) ),    H$17    )</f>
        <v>2494.83</v>
      </c>
      <c r="I48" s="538">
        <f t="shared" si="57"/>
        <v>2494.83</v>
      </c>
      <c r="J48" s="539">
        <f t="shared" si="17"/>
        <v>1.2010000000000001</v>
      </c>
      <c r="K48" s="540">
        <f t="shared" si="58"/>
        <v>2</v>
      </c>
      <c r="L48" s="541">
        <f t="shared" si="71"/>
        <v>0</v>
      </c>
      <c r="M48" s="541">
        <f t="shared" si="71"/>
        <v>8.5999999999999993E-2</v>
      </c>
      <c r="O48" s="542" t="b">
        <f t="shared" si="59"/>
        <v>1</v>
      </c>
      <c r="P48" s="493">
        <f t="shared" si="19"/>
        <v>2.4799999999999999E-2</v>
      </c>
      <c r="Q48" s="493">
        <f t="shared" si="20"/>
        <v>0.97519999999999996</v>
      </c>
      <c r="R48" s="543">
        <f t="shared" si="21"/>
        <v>702665</v>
      </c>
      <c r="S48" s="544">
        <f t="shared" si="22"/>
        <v>0.97560975599999999</v>
      </c>
      <c r="T48" s="423">
        <f t="shared" si="23"/>
        <v>214784.42</v>
      </c>
      <c r="U48" s="423">
        <f xml:space="preserve"> IF( $O48,    ROUND(  SUM( T48:T$120), U$17 ),  LEER  )</f>
        <v>4296851.47</v>
      </c>
      <c r="V48" s="493">
        <f t="shared" si="24"/>
        <v>20.005400000000002</v>
      </c>
      <c r="W48" s="493">
        <f t="shared" si="25"/>
        <v>257956.09</v>
      </c>
      <c r="X48" s="493">
        <f xml:space="preserve"> IF( $O48,    ROUND(  SUM( W48:W$120), X$17 ),  LEER  )</f>
        <v>11470422.82</v>
      </c>
      <c r="Y48" s="493">
        <f t="shared" si="26"/>
        <v>53.404400000000003</v>
      </c>
      <c r="Z48" s="493">
        <f t="shared" si="27"/>
        <v>2.6695000000000002</v>
      </c>
      <c r="AA48" s="493">
        <f t="shared" si="28"/>
        <v>1.0092000000000001</v>
      </c>
      <c r="AB48" s="493">
        <f t="shared" si="29"/>
        <v>2.3494000000000002</v>
      </c>
      <c r="AC48" s="545">
        <f t="shared" si="30"/>
        <v>0.38600000000000001</v>
      </c>
      <c r="AD48" s="493">
        <f t="shared" si="31"/>
        <v>2.6976</v>
      </c>
      <c r="AE48" s="493">
        <f t="shared" si="32"/>
        <v>3.3736999999999999</v>
      </c>
      <c r="AF48" s="493">
        <f t="shared" si="33"/>
        <v>3.3736999999999999</v>
      </c>
      <c r="AG48" s="493" t="str">
        <f t="shared" si="34"/>
        <v>.</v>
      </c>
      <c r="AH48" s="493" t="str">
        <f t="shared" si="35"/>
        <v>.</v>
      </c>
      <c r="AI48" s="423">
        <f t="shared" si="36"/>
        <v>2077.79</v>
      </c>
      <c r="AJ48" s="423">
        <f t="shared" si="37"/>
        <v>7009.84</v>
      </c>
      <c r="AK48" s="423">
        <f t="shared" si="38"/>
        <v>584.15</v>
      </c>
      <c r="AN48" s="423">
        <f t="shared" si="72"/>
        <v>33893.72</v>
      </c>
      <c r="AO48" s="423">
        <f t="shared" si="72"/>
        <v>32970.93</v>
      </c>
      <c r="AR48" s="546">
        <f xml:space="preserve"> ROUND(  INDEX( Kx!48:48, AR$16 ),  AR$17 )</f>
        <v>0.78659999999999997</v>
      </c>
      <c r="AS48" s="547">
        <f xml:space="preserve"> ROUND(  INDEX( qx!48:48, AS$16 ),  AS$17 )</f>
        <v>1.1000000000000001E-3</v>
      </c>
      <c r="AT48" s="547">
        <f xml:space="preserve"> ROUND(  INDEX( qx!48:48, AT$16 ),  AT$17 )</f>
        <v>8.0000000000000004E-4</v>
      </c>
      <c r="AU48" s="548" t="str">
        <f t="shared" si="40"/>
        <v>F</v>
      </c>
      <c r="AV48" s="542">
        <f t="shared" si="41"/>
        <v>0.71079999999999999</v>
      </c>
      <c r="AW48" s="542">
        <f t="shared" si="42"/>
        <v>1E-3</v>
      </c>
      <c r="AX48" s="546">
        <f xml:space="preserve"> ROUND(  INDEX( wx!48:48, AX$16 ),  AX$17 )</f>
        <v>2.2499999999999999E-2</v>
      </c>
      <c r="AY48" s="546">
        <f xml:space="preserve"> ROUND(  INDEX( wx!48:48, AY$16 ),  AY$17 )</f>
        <v>3.1300000000000001E-2</v>
      </c>
      <c r="AZ48" s="548" t="str">
        <f t="shared" si="43"/>
        <v>M</v>
      </c>
      <c r="BA48" s="542">
        <f t="shared" si="44"/>
        <v>0.8468</v>
      </c>
      <c r="BB48" s="542">
        <f t="shared" si="45"/>
        <v>2.3800000000000002E-2</v>
      </c>
      <c r="BC48" s="533">
        <f xml:space="preserve"> ROUND(  INDEX( Kx!48:48, BC$16 ),  BC$17 )</f>
        <v>2283.75</v>
      </c>
      <c r="BD48" s="533">
        <f xml:space="preserve"> ROUND(  INDEX( Kx!48:48, BD$16 ),  BD$17 )</f>
        <v>3013.64</v>
      </c>
      <c r="BE48" s="548" t="str">
        <f t="shared" si="60"/>
        <v>F</v>
      </c>
      <c r="BF48" s="542">
        <f t="shared" si="46"/>
        <v>0.71079999999999999</v>
      </c>
      <c r="BG48" s="420">
        <f t="shared" si="47"/>
        <v>2494.83</v>
      </c>
      <c r="BQ48" s="549"/>
      <c r="BR48" s="423"/>
      <c r="BS48" s="550"/>
      <c r="BT48" s="423"/>
      <c r="BU48" s="551"/>
      <c r="BV48" s="551"/>
      <c r="BW48" s="529"/>
      <c r="BX48" s="552"/>
      <c r="BY48" s="560"/>
      <c r="BZ48" s="559"/>
      <c r="CB48" s="423"/>
      <c r="CC48" s="423"/>
      <c r="CD48" s="423"/>
      <c r="CE48" s="423"/>
      <c r="CF48" s="553"/>
      <c r="CH48" s="423"/>
      <c r="CI48" s="423"/>
      <c r="CJ48" s="423"/>
      <c r="CK48" s="423"/>
      <c r="CL48" s="553"/>
      <c r="CN48" s="423"/>
      <c r="CO48" s="423"/>
      <c r="CP48" s="423"/>
      <c r="CQ48" s="423"/>
      <c r="CR48" s="553"/>
      <c r="EI48" s="553"/>
      <c r="EJ48" s="553"/>
      <c r="EK48" s="423"/>
      <c r="EL48" s="555"/>
      <c r="ES48" s="533"/>
      <c r="ET48" s="533"/>
      <c r="EU48" s="533"/>
      <c r="EV48" s="556"/>
      <c r="EY48" s="533"/>
      <c r="EZ48" s="533"/>
      <c r="FA48" s="556"/>
      <c r="FD48" s="556"/>
      <c r="FE48" s="556"/>
      <c r="FF48" s="556"/>
      <c r="FK48" s="557">
        <f t="shared" si="48"/>
        <v>48</v>
      </c>
      <c r="FL48" s="493">
        <f t="shared" si="49"/>
        <v>53.404400000000003</v>
      </c>
      <c r="FM48" s="493">
        <f t="shared" si="50"/>
        <v>20.005400000000002</v>
      </c>
      <c r="FO48" s="427">
        <f t="shared" si="61"/>
        <v>966773.14999999991</v>
      </c>
      <c r="FP48" s="558">
        <f t="shared" si="68"/>
        <v>61066.080000000002</v>
      </c>
      <c r="FQ48" s="558">
        <f t="shared" si="68"/>
        <v>59382.61</v>
      </c>
      <c r="FR48" s="558">
        <f t="shared" si="68"/>
        <v>57694.99</v>
      </c>
      <c r="FS48" s="558">
        <f t="shared" si="68"/>
        <v>56007.37</v>
      </c>
      <c r="FT48" s="558">
        <f t="shared" si="68"/>
        <v>54261.56</v>
      </c>
      <c r="FU48" s="558">
        <f t="shared" si="68"/>
        <v>52465.86</v>
      </c>
      <c r="FV48" s="558">
        <f t="shared" si="68"/>
        <v>50686.79</v>
      </c>
      <c r="FW48" s="558">
        <f t="shared" si="68"/>
        <v>48895.25</v>
      </c>
      <c r="FX48" s="558">
        <f t="shared" si="68"/>
        <v>47041.36</v>
      </c>
      <c r="FY48" s="558">
        <f t="shared" si="68"/>
        <v>45112.66</v>
      </c>
      <c r="FZ48" s="558">
        <f t="shared" si="68"/>
        <v>43171.48</v>
      </c>
      <c r="GA48" s="558">
        <f t="shared" si="68"/>
        <v>41201.199999999997</v>
      </c>
      <c r="GB48" s="558">
        <f t="shared" si="68"/>
        <v>39185.199999999997</v>
      </c>
      <c r="GC48" s="558">
        <f t="shared" si="68"/>
        <v>37160.879999999997</v>
      </c>
      <c r="GD48" s="558">
        <f t="shared" si="68"/>
        <v>35074.22</v>
      </c>
      <c r="GE48" s="558">
        <f t="shared" si="68"/>
        <v>32970.93</v>
      </c>
      <c r="GF48" s="558">
        <f t="shared" si="66"/>
        <v>30805.29</v>
      </c>
      <c r="GG48" s="558">
        <f t="shared" si="66"/>
        <v>28589.759999999998</v>
      </c>
      <c r="GH48" s="558">
        <f t="shared" si="66"/>
        <v>26311.89</v>
      </c>
      <c r="GI48" s="558">
        <f t="shared" si="66"/>
        <v>23967.51</v>
      </c>
      <c r="GJ48" s="558">
        <f t="shared" si="66"/>
        <v>21552.47</v>
      </c>
      <c r="GK48" s="558">
        <f t="shared" si="66"/>
        <v>19045.98</v>
      </c>
      <c r="GL48" s="558">
        <f t="shared" si="66"/>
        <v>16448.04</v>
      </c>
      <c r="GM48" s="558">
        <f t="shared" si="66"/>
        <v>13754.5</v>
      </c>
      <c r="GN48" s="558">
        <f t="shared" si="66"/>
        <v>10952.88</v>
      </c>
      <c r="GO48" s="558">
        <f t="shared" si="66"/>
        <v>8063.97</v>
      </c>
      <c r="GP48" s="558">
        <f t="shared" si="66"/>
        <v>5075.3</v>
      </c>
      <c r="GQ48" s="558">
        <f t="shared" si="66"/>
        <v>1995.19</v>
      </c>
      <c r="GR48" s="558">
        <f t="shared" si="66"/>
        <v>-1168.07</v>
      </c>
      <c r="GS48" s="558" t="str">
        <f t="shared" si="66"/>
        <v>.</v>
      </c>
      <c r="GT48" s="558" t="str">
        <f t="shared" si="66"/>
        <v>.</v>
      </c>
      <c r="GU48" s="558" t="str">
        <f t="shared" si="69"/>
        <v>.</v>
      </c>
      <c r="GV48" s="558" t="str">
        <f t="shared" si="69"/>
        <v>.</v>
      </c>
      <c r="GW48" s="558" t="str">
        <f t="shared" si="69"/>
        <v>.</v>
      </c>
      <c r="GX48" s="558" t="str">
        <f t="shared" si="69"/>
        <v>.</v>
      </c>
      <c r="GY48" s="558" t="str">
        <f t="shared" si="69"/>
        <v>.</v>
      </c>
      <c r="GZ48" s="558" t="str">
        <f t="shared" si="69"/>
        <v>.</v>
      </c>
      <c r="HA48" s="558" t="str">
        <f t="shared" si="69"/>
        <v>.</v>
      </c>
      <c r="HB48" s="558" t="str">
        <f t="shared" si="69"/>
        <v>.</v>
      </c>
      <c r="HC48" s="558" t="str">
        <f t="shared" si="69"/>
        <v>.</v>
      </c>
      <c r="HD48" s="558" t="str">
        <f t="shared" si="69"/>
        <v>.</v>
      </c>
      <c r="HE48" s="558" t="str">
        <f t="shared" si="69"/>
        <v>.</v>
      </c>
      <c r="HF48" s="558" t="str">
        <f t="shared" si="69"/>
        <v>.</v>
      </c>
      <c r="HG48" s="558" t="str">
        <f t="shared" si="69"/>
        <v>.</v>
      </c>
      <c r="HH48" s="558" t="str">
        <f t="shared" si="69"/>
        <v>.</v>
      </c>
      <c r="HI48" s="558" t="str">
        <f t="shared" si="69"/>
        <v>.</v>
      </c>
      <c r="HJ48" s="558" t="str">
        <f t="shared" si="69"/>
        <v>.</v>
      </c>
      <c r="HK48" s="558" t="str">
        <f t="shared" si="76"/>
        <v>.</v>
      </c>
      <c r="HL48" s="558" t="str">
        <f t="shared" si="76"/>
        <v>.</v>
      </c>
      <c r="HM48" s="558" t="str">
        <f t="shared" si="76"/>
        <v>.</v>
      </c>
      <c r="HN48" s="558" t="str">
        <f t="shared" si="76"/>
        <v>.</v>
      </c>
      <c r="HO48" s="558" t="str">
        <f t="shared" si="76"/>
        <v>.</v>
      </c>
      <c r="HP48" s="558" t="str">
        <f t="shared" si="64"/>
        <v>.</v>
      </c>
      <c r="HQ48" s="558" t="str">
        <f t="shared" si="64"/>
        <v>.</v>
      </c>
      <c r="HR48" s="558" t="str">
        <f t="shared" si="64"/>
        <v>.</v>
      </c>
      <c r="HS48" s="558" t="str">
        <f t="shared" si="64"/>
        <v>.</v>
      </c>
      <c r="HT48" s="558" t="str">
        <f t="shared" si="64"/>
        <v>.</v>
      </c>
      <c r="HU48" s="558" t="str">
        <f t="shared" si="64"/>
        <v>.</v>
      </c>
      <c r="HV48" s="558" t="str">
        <f t="shared" si="64"/>
        <v>.</v>
      </c>
      <c r="HW48" s="558" t="str">
        <f t="shared" si="64"/>
        <v>.</v>
      </c>
      <c r="HX48" s="558" t="str">
        <f t="shared" si="64"/>
        <v>.</v>
      </c>
      <c r="HY48" s="558" t="str">
        <f t="shared" si="64"/>
        <v>.</v>
      </c>
      <c r="HZ48" s="558" t="str">
        <f t="shared" si="64"/>
        <v>.</v>
      </c>
      <c r="IA48" s="558" t="str">
        <f t="shared" si="64"/>
        <v>.</v>
      </c>
      <c r="IB48" s="558" t="str">
        <f t="shared" si="64"/>
        <v>.</v>
      </c>
      <c r="IC48" s="558" t="str">
        <f t="shared" si="64"/>
        <v>.</v>
      </c>
      <c r="ID48" s="558" t="str">
        <f t="shared" si="64"/>
        <v>.</v>
      </c>
      <c r="IE48" s="558" t="str">
        <f t="shared" si="64"/>
        <v>.</v>
      </c>
      <c r="IF48" s="558" t="str">
        <f t="shared" ref="IF48:IN50" si="79" xml:space="preserve"> IF(  OR( IF$18&gt;$FK48, $FK48&gt;$FP$12 ),  LEER,  ROUND( $FO$19 * ( $FL48 - IF$15 * $FM48 ), IF$17 )  )</f>
        <v>.</v>
      </c>
      <c r="IG48" s="558" t="str">
        <f t="shared" si="79"/>
        <v>.</v>
      </c>
      <c r="IH48" s="558" t="str">
        <f t="shared" si="79"/>
        <v>.</v>
      </c>
      <c r="II48" s="558" t="str">
        <f t="shared" si="79"/>
        <v>.</v>
      </c>
      <c r="IJ48" s="558" t="str">
        <f t="shared" si="79"/>
        <v>.</v>
      </c>
      <c r="IK48" s="558" t="str">
        <f t="shared" si="79"/>
        <v>.</v>
      </c>
      <c r="IL48" s="558" t="str">
        <f t="shared" si="79"/>
        <v>.</v>
      </c>
      <c r="IM48" s="558" t="str">
        <f t="shared" si="79"/>
        <v>.</v>
      </c>
      <c r="IN48" s="558" t="str">
        <f t="shared" si="79"/>
        <v>.</v>
      </c>
      <c r="IO48" s="558" t="str">
        <f t="shared" si="77"/>
        <v>.</v>
      </c>
      <c r="IP48" s="558" t="str">
        <f t="shared" si="77"/>
        <v>.</v>
      </c>
      <c r="IQ48" s="558" t="str">
        <f t="shared" si="77"/>
        <v>.</v>
      </c>
      <c r="IR48" s="558" t="str">
        <f t="shared" si="77"/>
        <v>.</v>
      </c>
      <c r="IS48" s="558" t="str">
        <f t="shared" si="77"/>
        <v>.</v>
      </c>
      <c r="IT48" s="558" t="str">
        <f t="shared" si="77"/>
        <v>.</v>
      </c>
      <c r="IU48" s="558" t="str">
        <f t="shared" si="77"/>
        <v>.</v>
      </c>
      <c r="IV48" s="558" t="str">
        <f t="shared" si="77"/>
        <v>.</v>
      </c>
      <c r="IW48" s="558" t="str">
        <f t="shared" si="77"/>
        <v>.</v>
      </c>
      <c r="IX48" s="558" t="str">
        <f t="shared" si="77"/>
        <v>.</v>
      </c>
      <c r="IY48" s="558" t="str">
        <f t="shared" si="77"/>
        <v>.</v>
      </c>
      <c r="IZ48" s="558" t="str">
        <f t="shared" si="77"/>
        <v>.</v>
      </c>
      <c r="JA48" s="558" t="str">
        <f t="shared" si="77"/>
        <v>.</v>
      </c>
      <c r="JB48" s="558" t="str">
        <f t="shared" si="77"/>
        <v>.</v>
      </c>
      <c r="JC48" s="558" t="str">
        <f t="shared" si="77"/>
        <v>.</v>
      </c>
      <c r="JD48" s="558" t="str">
        <f t="shared" si="77"/>
        <v>.</v>
      </c>
      <c r="JE48" s="558" t="str">
        <f t="shared" si="77"/>
        <v>.</v>
      </c>
      <c r="JF48" s="558" t="str">
        <f t="shared" si="78"/>
        <v>.</v>
      </c>
      <c r="JG48" s="558" t="str">
        <f t="shared" si="78"/>
        <v>.</v>
      </c>
      <c r="JH48" s="558" t="str">
        <f t="shared" si="70"/>
        <v>.</v>
      </c>
      <c r="JI48" s="558" t="str">
        <f t="shared" si="70"/>
        <v>.</v>
      </c>
      <c r="JJ48" s="558" t="str">
        <f t="shared" si="70"/>
        <v>.</v>
      </c>
      <c r="JK48" s="558" t="str">
        <f t="shared" si="70"/>
        <v>.</v>
      </c>
      <c r="JL48" s="558" t="str">
        <f t="shared" si="70"/>
        <v>.</v>
      </c>
    </row>
    <row r="49" spans="1:272" ht="10.199999999999999" x14ac:dyDescent="0.2">
      <c r="A49" s="534">
        <f xml:space="preserve"> Basis!A49</f>
        <v>49</v>
      </c>
      <c r="F49" s="536">
        <f xml:space="preserve"> ROUND(    IF( $A$15=BE_MF_,   AW49,   INDEX( qx!49:49, F$16 ) ),    F$17    )</f>
        <v>1.1999999999999999E-3</v>
      </c>
      <c r="G49" s="536">
        <f xml:space="preserve"> ROUND(    IF( $A$15=BE_MF_,   BB49,   INDEX( wx!49:49, G$16 ) ),    G$17    )</f>
        <v>2.3800000000000002E-2</v>
      </c>
      <c r="H49" s="537">
        <f xml:space="preserve"> ROUND(    IF( $A$15=BE_MF_,   BG49,   INDEX( Kx!49:49, H$16 ) ),    H$17    )</f>
        <v>2593.89</v>
      </c>
      <c r="I49" s="538">
        <f t="shared" si="57"/>
        <v>2593.89</v>
      </c>
      <c r="J49" s="539">
        <f t="shared" si="17"/>
        <v>1.248</v>
      </c>
      <c r="K49" s="540">
        <f t="shared" si="58"/>
        <v>2</v>
      </c>
      <c r="L49" s="541">
        <f t="shared" si="71"/>
        <v>0</v>
      </c>
      <c r="M49" s="541">
        <f t="shared" si="71"/>
        <v>8.5999999999999993E-2</v>
      </c>
      <c r="O49" s="542" t="b">
        <f t="shared" si="59"/>
        <v>1</v>
      </c>
      <c r="P49" s="493">
        <f t="shared" si="19"/>
        <v>2.5000000000000001E-2</v>
      </c>
      <c r="Q49" s="493">
        <f t="shared" si="20"/>
        <v>0.97499999999999998</v>
      </c>
      <c r="R49" s="543">
        <f t="shared" si="21"/>
        <v>685238</v>
      </c>
      <c r="S49" s="544">
        <f t="shared" si="22"/>
        <v>0.97560975599999999</v>
      </c>
      <c r="T49" s="423">
        <f t="shared" si="23"/>
        <v>204348.77</v>
      </c>
      <c r="U49" s="423">
        <f xml:space="preserve"> IF( $O49,    ROUND(  SUM( T49:T$120), U$17 ),  LEER  )</f>
        <v>4082067.05</v>
      </c>
      <c r="V49" s="493">
        <f t="shared" si="24"/>
        <v>19.975999999999999</v>
      </c>
      <c r="W49" s="493">
        <f t="shared" si="25"/>
        <v>255027.26</v>
      </c>
      <c r="X49" s="493">
        <f xml:space="preserve"> IF( $O49,    ROUND(  SUM( W49:W$120), X$17 ),  LEER  )</f>
        <v>11212466.73</v>
      </c>
      <c r="Y49" s="493">
        <f t="shared" si="26"/>
        <v>54.869300000000003</v>
      </c>
      <c r="Z49" s="493">
        <f t="shared" si="27"/>
        <v>2.7467999999999999</v>
      </c>
      <c r="AA49" s="493">
        <f t="shared" si="28"/>
        <v>1.0092000000000001</v>
      </c>
      <c r="AB49" s="493">
        <f t="shared" si="29"/>
        <v>2.3494000000000002</v>
      </c>
      <c r="AC49" s="545">
        <f t="shared" si="30"/>
        <v>0.38600000000000001</v>
      </c>
      <c r="AD49" s="493">
        <f t="shared" si="31"/>
        <v>2.7755999999999998</v>
      </c>
      <c r="AE49" s="493">
        <f t="shared" si="32"/>
        <v>3.4590999999999998</v>
      </c>
      <c r="AF49" s="493">
        <f t="shared" si="33"/>
        <v>3.4590999999999998</v>
      </c>
      <c r="AG49" s="493" t="str">
        <f t="shared" si="34"/>
        <v>.</v>
      </c>
      <c r="AH49" s="493" t="str">
        <f t="shared" si="35"/>
        <v>.</v>
      </c>
      <c r="AI49" s="423">
        <f t="shared" si="36"/>
        <v>2077.79</v>
      </c>
      <c r="AJ49" s="423">
        <f t="shared" si="37"/>
        <v>7187.28</v>
      </c>
      <c r="AK49" s="423">
        <f t="shared" si="38"/>
        <v>598.94000000000005</v>
      </c>
      <c r="AN49" s="423">
        <f t="shared" si="72"/>
        <v>37050.730000000003</v>
      </c>
      <c r="AO49" s="423">
        <f t="shared" si="72"/>
        <v>36129.300000000003</v>
      </c>
      <c r="AR49" s="546">
        <f xml:space="preserve"> ROUND(  INDEX( Kx!49:49, AR$16 ),  AR$17 )</f>
        <v>0.78220000000000001</v>
      </c>
      <c r="AS49" s="547">
        <f xml:space="preserve"> ROUND(  INDEX( qx!49:49, AS$16 ),  AS$17 )</f>
        <v>1.2999999999999999E-3</v>
      </c>
      <c r="AT49" s="547">
        <f xml:space="preserve"> ROUND(  INDEX( qx!49:49, AT$16 ),  AT$17 )</f>
        <v>8.9999999999999998E-4</v>
      </c>
      <c r="AU49" s="548" t="str">
        <f t="shared" si="40"/>
        <v>F</v>
      </c>
      <c r="AV49" s="542">
        <f t="shared" si="41"/>
        <v>0.70540000000000003</v>
      </c>
      <c r="AW49" s="542">
        <f t="shared" si="42"/>
        <v>1.1999999999999999E-3</v>
      </c>
      <c r="AX49" s="546">
        <f xml:space="preserve"> ROUND(  INDEX( wx!49:49, AX$16 ),  AX$17 )</f>
        <v>2.2499999999999999E-2</v>
      </c>
      <c r="AY49" s="546">
        <f xml:space="preserve"> ROUND(  INDEX( wx!49:49, AY$16 ),  AY$17 )</f>
        <v>3.09E-2</v>
      </c>
      <c r="AZ49" s="548" t="str">
        <f t="shared" si="43"/>
        <v>M</v>
      </c>
      <c r="BA49" s="542">
        <f t="shared" si="44"/>
        <v>0.84340000000000004</v>
      </c>
      <c r="BB49" s="542">
        <f t="shared" si="45"/>
        <v>2.3800000000000002E-2</v>
      </c>
      <c r="BC49" s="533">
        <f xml:space="preserve"> ROUND(  INDEX( Kx!49:49, BC$16 ),  BC$17 )</f>
        <v>2385.41</v>
      </c>
      <c r="BD49" s="533">
        <f xml:space="preserve"> ROUND(  INDEX( Kx!49:49, BD$16 ),  BD$17 )</f>
        <v>3093.08</v>
      </c>
      <c r="BE49" s="548" t="str">
        <f t="shared" si="60"/>
        <v>F</v>
      </c>
      <c r="BF49" s="542">
        <f t="shared" si="46"/>
        <v>0.70540000000000003</v>
      </c>
      <c r="BG49" s="420">
        <f t="shared" si="47"/>
        <v>2593.89</v>
      </c>
      <c r="BQ49" s="549"/>
      <c r="BR49" s="423"/>
      <c r="BS49" s="550"/>
      <c r="BT49" s="423"/>
      <c r="BU49" s="551"/>
      <c r="BV49" s="551"/>
      <c r="BW49" s="529"/>
      <c r="BX49" s="552"/>
      <c r="BY49" s="560"/>
      <c r="BZ49" s="559"/>
      <c r="CB49" s="423"/>
      <c r="CC49" s="423"/>
      <c r="CD49" s="423"/>
      <c r="CE49" s="423"/>
      <c r="CF49" s="553"/>
      <c r="CH49" s="423"/>
      <c r="CI49" s="423"/>
      <c r="CJ49" s="423"/>
      <c r="CK49" s="423"/>
      <c r="CL49" s="553"/>
      <c r="CN49" s="423"/>
      <c r="CO49" s="423"/>
      <c r="CP49" s="423"/>
      <c r="CQ49" s="423"/>
      <c r="CR49" s="553"/>
      <c r="EI49" s="553"/>
      <c r="EJ49" s="553"/>
      <c r="EK49" s="423"/>
      <c r="EL49" s="555"/>
      <c r="ES49" s="533"/>
      <c r="ET49" s="533"/>
      <c r="EU49" s="533"/>
      <c r="EV49" s="556"/>
      <c r="EY49" s="533"/>
      <c r="EZ49" s="533"/>
      <c r="FA49" s="556"/>
      <c r="FD49" s="556"/>
      <c r="FE49" s="556"/>
      <c r="FF49" s="556"/>
      <c r="FK49" s="557">
        <f t="shared" si="48"/>
        <v>49</v>
      </c>
      <c r="FL49" s="493">
        <f t="shared" si="49"/>
        <v>54.869300000000003</v>
      </c>
      <c r="FM49" s="493">
        <f t="shared" si="50"/>
        <v>19.975999999999999</v>
      </c>
      <c r="FO49" s="427">
        <f t="shared" si="61"/>
        <v>1057153.3700000001</v>
      </c>
      <c r="FP49" s="558">
        <f t="shared" si="68"/>
        <v>64183.16</v>
      </c>
      <c r="FQ49" s="558">
        <f t="shared" si="68"/>
        <v>62502.17</v>
      </c>
      <c r="FR49" s="558">
        <f t="shared" si="68"/>
        <v>60817.03</v>
      </c>
      <c r="FS49" s="558">
        <f t="shared" si="68"/>
        <v>59131.89</v>
      </c>
      <c r="FT49" s="558">
        <f t="shared" si="68"/>
        <v>57388.639999999999</v>
      </c>
      <c r="FU49" s="558">
        <f t="shared" si="68"/>
        <v>55595.58</v>
      </c>
      <c r="FV49" s="558">
        <f t="shared" si="68"/>
        <v>53819.13</v>
      </c>
      <c r="FW49" s="558">
        <f t="shared" si="68"/>
        <v>52030.22</v>
      </c>
      <c r="FX49" s="558">
        <f t="shared" si="68"/>
        <v>50179.06</v>
      </c>
      <c r="FY49" s="558">
        <f t="shared" si="68"/>
        <v>48253.18</v>
      </c>
      <c r="FZ49" s="558">
        <f t="shared" si="68"/>
        <v>46314.86</v>
      </c>
      <c r="GA49" s="558">
        <f t="shared" si="68"/>
        <v>44347.48</v>
      </c>
      <c r="GB49" s="558">
        <f t="shared" si="68"/>
        <v>42334.44</v>
      </c>
      <c r="GC49" s="558">
        <f t="shared" si="68"/>
        <v>40313.1</v>
      </c>
      <c r="GD49" s="558">
        <f t="shared" si="68"/>
        <v>38229.5</v>
      </c>
      <c r="GE49" s="558">
        <f t="shared" si="68"/>
        <v>36129.300000000003</v>
      </c>
      <c r="GF49" s="558">
        <f t="shared" si="66"/>
        <v>33966.839999999997</v>
      </c>
      <c r="GG49" s="558">
        <f t="shared" si="66"/>
        <v>31754.58</v>
      </c>
      <c r="GH49" s="558">
        <f t="shared" si="66"/>
        <v>29480.05</v>
      </c>
      <c r="GI49" s="558">
        <f t="shared" si="66"/>
        <v>27139.119999999999</v>
      </c>
      <c r="GJ49" s="558">
        <f t="shared" si="66"/>
        <v>24727.62</v>
      </c>
      <c r="GK49" s="558">
        <f t="shared" si="66"/>
        <v>22224.81</v>
      </c>
      <c r="GL49" s="558">
        <f t="shared" si="66"/>
        <v>19630.689999999999</v>
      </c>
      <c r="GM49" s="558">
        <f t="shared" si="66"/>
        <v>16941.11</v>
      </c>
      <c r="GN49" s="558">
        <f t="shared" si="66"/>
        <v>14143.61</v>
      </c>
      <c r="GO49" s="558">
        <f t="shared" si="66"/>
        <v>11258.95</v>
      </c>
      <c r="GP49" s="558">
        <f t="shared" si="66"/>
        <v>8274.67</v>
      </c>
      <c r="GQ49" s="558">
        <f t="shared" si="66"/>
        <v>5199.08</v>
      </c>
      <c r="GR49" s="558">
        <f t="shared" si="66"/>
        <v>2040.48</v>
      </c>
      <c r="GS49" s="558">
        <f t="shared" si="66"/>
        <v>-1196.98</v>
      </c>
      <c r="GT49" s="558" t="str">
        <f t="shared" si="66"/>
        <v>.</v>
      </c>
      <c r="GU49" s="558" t="str">
        <f t="shared" si="69"/>
        <v>.</v>
      </c>
      <c r="GV49" s="558" t="str">
        <f t="shared" si="69"/>
        <v>.</v>
      </c>
      <c r="GW49" s="558" t="str">
        <f t="shared" si="69"/>
        <v>.</v>
      </c>
      <c r="GX49" s="558" t="str">
        <f t="shared" si="69"/>
        <v>.</v>
      </c>
      <c r="GY49" s="558" t="str">
        <f t="shared" si="69"/>
        <v>.</v>
      </c>
      <c r="GZ49" s="558" t="str">
        <f t="shared" si="69"/>
        <v>.</v>
      </c>
      <c r="HA49" s="558" t="str">
        <f t="shared" si="69"/>
        <v>.</v>
      </c>
      <c r="HB49" s="558" t="str">
        <f t="shared" si="69"/>
        <v>.</v>
      </c>
      <c r="HC49" s="558" t="str">
        <f t="shared" si="69"/>
        <v>.</v>
      </c>
      <c r="HD49" s="558" t="str">
        <f t="shared" si="69"/>
        <v>.</v>
      </c>
      <c r="HE49" s="558" t="str">
        <f t="shared" si="69"/>
        <v>.</v>
      </c>
      <c r="HF49" s="558" t="str">
        <f t="shared" si="69"/>
        <v>.</v>
      </c>
      <c r="HG49" s="558" t="str">
        <f t="shared" si="69"/>
        <v>.</v>
      </c>
      <c r="HH49" s="558" t="str">
        <f t="shared" si="69"/>
        <v>.</v>
      </c>
      <c r="HI49" s="558" t="str">
        <f t="shared" si="69"/>
        <v>.</v>
      </c>
      <c r="HJ49" s="558" t="str">
        <f t="shared" si="69"/>
        <v>.</v>
      </c>
      <c r="HK49" s="558" t="str">
        <f t="shared" si="76"/>
        <v>.</v>
      </c>
      <c r="HL49" s="558" t="str">
        <f t="shared" si="76"/>
        <v>.</v>
      </c>
      <c r="HM49" s="558" t="str">
        <f t="shared" si="76"/>
        <v>.</v>
      </c>
      <c r="HN49" s="558" t="str">
        <f t="shared" si="76"/>
        <v>.</v>
      </c>
      <c r="HO49" s="558" t="str">
        <f t="shared" si="76"/>
        <v>.</v>
      </c>
      <c r="HP49" s="558" t="str">
        <f t="shared" ref="HP49:IE50" si="80" xml:space="preserve"> IF(  OR( HP$18&gt;$FK49, $FK49&gt;$FP$12 ),  LEER,  ROUND( $FO$19 * ( $FL49 - HP$15 * $FM49 ), HP$17 )  )</f>
        <v>.</v>
      </c>
      <c r="HQ49" s="558" t="str">
        <f t="shared" si="80"/>
        <v>.</v>
      </c>
      <c r="HR49" s="558" t="str">
        <f t="shared" si="80"/>
        <v>.</v>
      </c>
      <c r="HS49" s="558" t="str">
        <f t="shared" si="80"/>
        <v>.</v>
      </c>
      <c r="HT49" s="558" t="str">
        <f t="shared" si="80"/>
        <v>.</v>
      </c>
      <c r="HU49" s="558" t="str">
        <f t="shared" si="80"/>
        <v>.</v>
      </c>
      <c r="HV49" s="558" t="str">
        <f t="shared" si="80"/>
        <v>.</v>
      </c>
      <c r="HW49" s="558" t="str">
        <f t="shared" si="80"/>
        <v>.</v>
      </c>
      <c r="HX49" s="558" t="str">
        <f t="shared" si="80"/>
        <v>.</v>
      </c>
      <c r="HY49" s="558" t="str">
        <f t="shared" si="80"/>
        <v>.</v>
      </c>
      <c r="HZ49" s="558" t="str">
        <f t="shared" si="80"/>
        <v>.</v>
      </c>
      <c r="IA49" s="558" t="str">
        <f t="shared" si="80"/>
        <v>.</v>
      </c>
      <c r="IB49" s="558" t="str">
        <f t="shared" si="80"/>
        <v>.</v>
      </c>
      <c r="IC49" s="558" t="str">
        <f t="shared" si="80"/>
        <v>.</v>
      </c>
      <c r="ID49" s="558" t="str">
        <f t="shared" si="80"/>
        <v>.</v>
      </c>
      <c r="IE49" s="558" t="str">
        <f t="shared" si="80"/>
        <v>.</v>
      </c>
      <c r="IF49" s="558" t="str">
        <f t="shared" si="79"/>
        <v>.</v>
      </c>
      <c r="IG49" s="558" t="str">
        <f t="shared" si="79"/>
        <v>.</v>
      </c>
      <c r="IH49" s="558" t="str">
        <f t="shared" si="79"/>
        <v>.</v>
      </c>
      <c r="II49" s="558" t="str">
        <f t="shared" si="79"/>
        <v>.</v>
      </c>
      <c r="IJ49" s="558" t="str">
        <f t="shared" si="79"/>
        <v>.</v>
      </c>
      <c r="IK49" s="558" t="str">
        <f t="shared" si="79"/>
        <v>.</v>
      </c>
      <c r="IL49" s="558" t="str">
        <f t="shared" si="79"/>
        <v>.</v>
      </c>
      <c r="IM49" s="558" t="str">
        <f t="shared" si="79"/>
        <v>.</v>
      </c>
      <c r="IN49" s="558" t="str">
        <f t="shared" si="79"/>
        <v>.</v>
      </c>
      <c r="IO49" s="558" t="str">
        <f t="shared" si="77"/>
        <v>.</v>
      </c>
      <c r="IP49" s="558" t="str">
        <f t="shared" si="77"/>
        <v>.</v>
      </c>
      <c r="IQ49" s="558" t="str">
        <f t="shared" si="77"/>
        <v>.</v>
      </c>
      <c r="IR49" s="558" t="str">
        <f t="shared" si="77"/>
        <v>.</v>
      </c>
      <c r="IS49" s="558" t="str">
        <f t="shared" si="77"/>
        <v>.</v>
      </c>
      <c r="IT49" s="558" t="str">
        <f t="shared" si="77"/>
        <v>.</v>
      </c>
      <c r="IU49" s="558" t="str">
        <f t="shared" si="77"/>
        <v>.</v>
      </c>
      <c r="IV49" s="558" t="str">
        <f t="shared" si="77"/>
        <v>.</v>
      </c>
      <c r="IW49" s="558" t="str">
        <f t="shared" si="77"/>
        <v>.</v>
      </c>
      <c r="IX49" s="558" t="str">
        <f t="shared" si="77"/>
        <v>.</v>
      </c>
      <c r="IY49" s="558" t="str">
        <f t="shared" si="77"/>
        <v>.</v>
      </c>
      <c r="IZ49" s="558" t="str">
        <f t="shared" si="77"/>
        <v>.</v>
      </c>
      <c r="JA49" s="558" t="str">
        <f t="shared" si="77"/>
        <v>.</v>
      </c>
      <c r="JB49" s="558" t="str">
        <f t="shared" si="77"/>
        <v>.</v>
      </c>
      <c r="JC49" s="558" t="str">
        <f t="shared" si="77"/>
        <v>.</v>
      </c>
      <c r="JD49" s="558" t="str">
        <f t="shared" si="77"/>
        <v>.</v>
      </c>
      <c r="JE49" s="558" t="str">
        <f t="shared" si="77"/>
        <v>.</v>
      </c>
      <c r="JF49" s="558" t="str">
        <f t="shared" si="78"/>
        <v>.</v>
      </c>
      <c r="JG49" s="558" t="str">
        <f t="shared" si="78"/>
        <v>.</v>
      </c>
      <c r="JH49" s="558" t="str">
        <f t="shared" si="70"/>
        <v>.</v>
      </c>
      <c r="JI49" s="558" t="str">
        <f t="shared" si="70"/>
        <v>.</v>
      </c>
      <c r="JJ49" s="558" t="str">
        <f t="shared" si="70"/>
        <v>.</v>
      </c>
      <c r="JK49" s="558" t="str">
        <f t="shared" si="70"/>
        <v>.</v>
      </c>
      <c r="JL49" s="558" t="str">
        <f t="shared" si="70"/>
        <v>.</v>
      </c>
    </row>
    <row r="50" spans="1:272" ht="10.199999999999999" x14ac:dyDescent="0.2">
      <c r="A50" s="534">
        <f xml:space="preserve"> Basis!A50</f>
        <v>50</v>
      </c>
      <c r="F50" s="536">
        <f xml:space="preserve"> ROUND(    IF( $A$15=BE_MF_,   AW50,   INDEX( qx!50:50, F$16 ) ),    F$17    )</f>
        <v>1.2999999999999999E-3</v>
      </c>
      <c r="G50" s="536">
        <f xml:space="preserve"> ROUND(    IF( $A$15=BE_MF_,   BB50,   INDEX( wx!50:50, G$16 ) ),    G$17    )</f>
        <v>2.3900000000000001E-2</v>
      </c>
      <c r="H50" s="537">
        <f xml:space="preserve"> ROUND(    IF( $A$15=BE_MF_,   BG50,   INDEX( Kx!50:50, H$16 ) ),    H$17    )</f>
        <v>2697.99</v>
      </c>
      <c r="I50" s="538">
        <f t="shared" si="57"/>
        <v>2697.99</v>
      </c>
      <c r="J50" s="539">
        <f t="shared" si="17"/>
        <v>1.298</v>
      </c>
      <c r="K50" s="540">
        <f t="shared" si="58"/>
        <v>2</v>
      </c>
      <c r="L50" s="541">
        <f t="shared" si="71"/>
        <v>0</v>
      </c>
      <c r="M50" s="541">
        <f t="shared" si="71"/>
        <v>8.5999999999999993E-2</v>
      </c>
      <c r="O50" s="542" t="b">
        <f t="shared" si="59"/>
        <v>1</v>
      </c>
      <c r="P50" s="493">
        <f t="shared" si="19"/>
        <v>2.52E-2</v>
      </c>
      <c r="Q50" s="493">
        <f t="shared" si="20"/>
        <v>0.9748</v>
      </c>
      <c r="R50" s="543">
        <f t="shared" si="21"/>
        <v>668107</v>
      </c>
      <c r="S50" s="544">
        <f t="shared" si="22"/>
        <v>0.97560975599999999</v>
      </c>
      <c r="T50" s="423">
        <f t="shared" si="23"/>
        <v>194380.52</v>
      </c>
      <c r="U50" s="423">
        <f xml:space="preserve"> IF( $O50,    ROUND(  SUM( T50:T$120), U$17 ),  LEER  )</f>
        <v>3877718.28</v>
      </c>
      <c r="V50" s="493">
        <f t="shared" si="24"/>
        <v>19.949100000000001</v>
      </c>
      <c r="W50" s="493">
        <f t="shared" si="25"/>
        <v>252305.91</v>
      </c>
      <c r="X50" s="493">
        <f xml:space="preserve"> IF( $O50,    ROUND(  SUM( W50:W$120), X$17 ),  LEER  )</f>
        <v>10957439.470000001</v>
      </c>
      <c r="Y50" s="493">
        <f t="shared" si="26"/>
        <v>56.371099999999998</v>
      </c>
      <c r="Z50" s="493">
        <f t="shared" si="27"/>
        <v>2.8256999999999999</v>
      </c>
      <c r="AA50" s="493">
        <f t="shared" si="28"/>
        <v>1.0092000000000001</v>
      </c>
      <c r="AB50" s="493">
        <f t="shared" si="29"/>
        <v>2.3494000000000002</v>
      </c>
      <c r="AC50" s="545">
        <f t="shared" si="30"/>
        <v>0.38600000000000001</v>
      </c>
      <c r="AD50" s="493">
        <f t="shared" si="31"/>
        <v>2.8552</v>
      </c>
      <c r="AE50" s="493">
        <f t="shared" si="32"/>
        <v>3.5461999999999998</v>
      </c>
      <c r="AF50" s="493">
        <f t="shared" si="33"/>
        <v>3.5461999999999998</v>
      </c>
      <c r="AG50" s="493" t="str">
        <f t="shared" si="34"/>
        <v>.</v>
      </c>
      <c r="AH50" s="493" t="str">
        <f t="shared" si="35"/>
        <v>.</v>
      </c>
      <c r="AI50" s="423">
        <f t="shared" si="36"/>
        <v>2077.79</v>
      </c>
      <c r="AJ50" s="423">
        <f t="shared" si="37"/>
        <v>7368.26</v>
      </c>
      <c r="AK50" s="423">
        <f t="shared" si="38"/>
        <v>614.02</v>
      </c>
      <c r="AN50" s="423">
        <f t="shared" si="72"/>
        <v>40274.79</v>
      </c>
      <c r="AO50" s="423">
        <f t="shared" si="72"/>
        <v>39354.6</v>
      </c>
      <c r="AR50" s="546">
        <f xml:space="preserve"> ROUND(  INDEX( Kx!50:50, AR$16 ),  AR$17 )</f>
        <v>0.78129999999999999</v>
      </c>
      <c r="AS50" s="547">
        <f xml:space="preserve"> ROUND(  INDEX( qx!50:50, AS$16 ),  AS$17 )</f>
        <v>1.4E-3</v>
      </c>
      <c r="AT50" s="547">
        <f xml:space="preserve"> ROUND(  INDEX( qx!50:50, AT$16 ),  AT$17 )</f>
        <v>1E-3</v>
      </c>
      <c r="AU50" s="548" t="str">
        <f t="shared" si="40"/>
        <v>F</v>
      </c>
      <c r="AV50" s="542">
        <f t="shared" si="41"/>
        <v>0.70430000000000004</v>
      </c>
      <c r="AW50" s="542">
        <f t="shared" si="42"/>
        <v>1.2999999999999999E-3</v>
      </c>
      <c r="AX50" s="546">
        <f xml:space="preserve"> ROUND(  INDEX( wx!50:50, AX$16 ),  AX$17 )</f>
        <v>2.2499999999999999E-2</v>
      </c>
      <c r="AY50" s="546">
        <f xml:space="preserve"> ROUND(  INDEX( wx!50:50, AY$16 ),  AY$17 )</f>
        <v>3.1099999999999999E-2</v>
      </c>
      <c r="AZ50" s="548" t="str">
        <f t="shared" si="43"/>
        <v>M</v>
      </c>
      <c r="BA50" s="542">
        <f t="shared" si="44"/>
        <v>0.8427</v>
      </c>
      <c r="BB50" s="542">
        <f t="shared" si="45"/>
        <v>2.3900000000000001E-2</v>
      </c>
      <c r="BC50" s="533">
        <f xml:space="preserve"> ROUND(  INDEX( Kx!50:50, BC$16 ),  BC$17 )</f>
        <v>2495.48</v>
      </c>
      <c r="BD50" s="533">
        <f xml:space="preserve"> ROUND(  INDEX( Kx!50:50, BD$16 ),  BD$17 )</f>
        <v>3180.32</v>
      </c>
      <c r="BE50" s="548" t="str">
        <f t="shared" si="60"/>
        <v>F</v>
      </c>
      <c r="BF50" s="542">
        <f t="shared" si="46"/>
        <v>0.70430000000000004</v>
      </c>
      <c r="BG50" s="420">
        <f t="shared" si="47"/>
        <v>2697.99</v>
      </c>
      <c r="BQ50" s="549"/>
      <c r="BR50" s="423"/>
      <c r="BS50" s="550"/>
      <c r="BT50" s="423"/>
      <c r="BU50" s="551"/>
      <c r="BV50" s="551"/>
      <c r="BW50" s="529"/>
      <c r="BX50" s="552"/>
      <c r="BY50" s="560"/>
      <c r="BZ50" s="559"/>
      <c r="CB50" s="423"/>
      <c r="CC50" s="423"/>
      <c r="CD50" s="423"/>
      <c r="CE50" s="423"/>
      <c r="CF50" s="553"/>
      <c r="CH50" s="423"/>
      <c r="CI50" s="423"/>
      <c r="CJ50" s="423"/>
      <c r="CK50" s="423"/>
      <c r="CL50" s="553"/>
      <c r="CN50" s="423"/>
      <c r="CO50" s="423"/>
      <c r="CP50" s="423"/>
      <c r="CQ50" s="423"/>
      <c r="CR50" s="553"/>
      <c r="EI50" s="553"/>
      <c r="EJ50" s="553"/>
      <c r="EK50" s="423"/>
      <c r="EL50" s="555"/>
      <c r="ES50" s="533"/>
      <c r="ET50" s="533"/>
      <c r="EU50" s="533"/>
      <c r="EV50" s="556"/>
      <c r="EY50" s="533"/>
      <c r="EZ50" s="533"/>
      <c r="FA50" s="556"/>
      <c r="FD50" s="556"/>
      <c r="FE50" s="556"/>
      <c r="FF50" s="556"/>
      <c r="FK50" s="557">
        <f t="shared" si="48"/>
        <v>50</v>
      </c>
      <c r="FL50" s="493">
        <f t="shared" si="49"/>
        <v>56.371099999999998</v>
      </c>
      <c r="FM50" s="493">
        <f t="shared" si="50"/>
        <v>19.949100000000001</v>
      </c>
      <c r="FO50" s="427">
        <f t="shared" si="61"/>
        <v>1152727.3799999999</v>
      </c>
      <c r="FP50" s="558">
        <f t="shared" si="68"/>
        <v>67370.679999999993</v>
      </c>
      <c r="FQ50" s="558">
        <f t="shared" si="68"/>
        <v>65691.95</v>
      </c>
      <c r="FR50" s="558">
        <f t="shared" si="68"/>
        <v>64009.08</v>
      </c>
      <c r="FS50" s="558">
        <f t="shared" si="68"/>
        <v>62326.21</v>
      </c>
      <c r="FT50" s="558">
        <f t="shared" si="68"/>
        <v>60585.31</v>
      </c>
      <c r="FU50" s="558">
        <f t="shared" si="68"/>
        <v>58794.67</v>
      </c>
      <c r="FV50" s="558">
        <f t="shared" si="68"/>
        <v>57020.6</v>
      </c>
      <c r="FW50" s="558">
        <f t="shared" si="68"/>
        <v>55234.11</v>
      </c>
      <c r="FX50" s="558">
        <f t="shared" si="68"/>
        <v>53385.440000000002</v>
      </c>
      <c r="FY50" s="558">
        <f t="shared" si="68"/>
        <v>51462.15</v>
      </c>
      <c r="FZ50" s="558">
        <f t="shared" si="68"/>
        <v>49526.44</v>
      </c>
      <c r="GA50" s="558">
        <f t="shared" si="68"/>
        <v>47561.7</v>
      </c>
      <c r="GB50" s="558">
        <f t="shared" si="68"/>
        <v>45551.38</v>
      </c>
      <c r="GC50" s="558">
        <f t="shared" si="68"/>
        <v>43532.76</v>
      </c>
      <c r="GD50" s="558">
        <f t="shared" si="68"/>
        <v>41451.97</v>
      </c>
      <c r="GE50" s="558">
        <f t="shared" si="68"/>
        <v>39354.6</v>
      </c>
      <c r="GF50" s="558">
        <f t="shared" si="66"/>
        <v>37195.050000000003</v>
      </c>
      <c r="GG50" s="558">
        <f t="shared" si="66"/>
        <v>34985.760000000002</v>
      </c>
      <c r="GH50" s="558">
        <f t="shared" si="66"/>
        <v>32714.3</v>
      </c>
      <c r="GI50" s="558">
        <f t="shared" si="66"/>
        <v>30376.52</v>
      </c>
      <c r="GJ50" s="558">
        <f t="shared" si="66"/>
        <v>27968.27</v>
      </c>
      <c r="GK50" s="558">
        <f t="shared" si="66"/>
        <v>25468.83</v>
      </c>
      <c r="GL50" s="558">
        <f t="shared" si="66"/>
        <v>22878.21</v>
      </c>
      <c r="GM50" s="558">
        <f t="shared" si="66"/>
        <v>20192.240000000002</v>
      </c>
      <c r="GN50" s="558">
        <f t="shared" si="66"/>
        <v>17398.509999999998</v>
      </c>
      <c r="GO50" s="558">
        <f t="shared" si="66"/>
        <v>14517.73</v>
      </c>
      <c r="GP50" s="558">
        <f t="shared" si="66"/>
        <v>11537.47</v>
      </c>
      <c r="GQ50" s="558">
        <f t="shared" si="66"/>
        <v>8466.0300000000007</v>
      </c>
      <c r="GR50" s="558">
        <f t="shared" si="66"/>
        <v>5311.68</v>
      </c>
      <c r="GS50" s="558">
        <f t="shared" si="66"/>
        <v>2078.58</v>
      </c>
      <c r="GT50" s="558">
        <f t="shared" si="66"/>
        <v>-1220.8499999999999</v>
      </c>
      <c r="GU50" s="558" t="str">
        <f t="shared" si="69"/>
        <v>.</v>
      </c>
      <c r="GV50" s="558" t="str">
        <f t="shared" si="69"/>
        <v>.</v>
      </c>
      <c r="GW50" s="558" t="str">
        <f t="shared" si="69"/>
        <v>.</v>
      </c>
      <c r="GX50" s="558" t="str">
        <f t="shared" si="69"/>
        <v>.</v>
      </c>
      <c r="GY50" s="558" t="str">
        <f t="shared" si="69"/>
        <v>.</v>
      </c>
      <c r="GZ50" s="558" t="str">
        <f t="shared" si="69"/>
        <v>.</v>
      </c>
      <c r="HA50" s="558" t="str">
        <f t="shared" si="69"/>
        <v>.</v>
      </c>
      <c r="HB50" s="558" t="str">
        <f t="shared" si="69"/>
        <v>.</v>
      </c>
      <c r="HC50" s="558" t="str">
        <f t="shared" si="69"/>
        <v>.</v>
      </c>
      <c r="HD50" s="558" t="str">
        <f t="shared" si="69"/>
        <v>.</v>
      </c>
      <c r="HE50" s="558" t="str">
        <f t="shared" si="69"/>
        <v>.</v>
      </c>
      <c r="HF50" s="558" t="str">
        <f t="shared" si="69"/>
        <v>.</v>
      </c>
      <c r="HG50" s="558" t="str">
        <f t="shared" si="69"/>
        <v>.</v>
      </c>
      <c r="HH50" s="558" t="str">
        <f t="shared" si="69"/>
        <v>.</v>
      </c>
      <c r="HI50" s="558" t="str">
        <f t="shared" si="69"/>
        <v>.</v>
      </c>
      <c r="HJ50" s="558" t="str">
        <f t="shared" si="69"/>
        <v>.</v>
      </c>
      <c r="HK50" s="558" t="str">
        <f t="shared" si="76"/>
        <v>.</v>
      </c>
      <c r="HL50" s="558" t="str">
        <f t="shared" si="76"/>
        <v>.</v>
      </c>
      <c r="HM50" s="558" t="str">
        <f t="shared" si="76"/>
        <v>.</v>
      </c>
      <c r="HN50" s="558" t="str">
        <f t="shared" si="76"/>
        <v>.</v>
      </c>
      <c r="HO50" s="558" t="str">
        <f t="shared" si="76"/>
        <v>.</v>
      </c>
      <c r="HP50" s="558" t="str">
        <f t="shared" si="80"/>
        <v>.</v>
      </c>
      <c r="HQ50" s="558" t="str">
        <f t="shared" si="80"/>
        <v>.</v>
      </c>
      <c r="HR50" s="558" t="str">
        <f t="shared" si="80"/>
        <v>.</v>
      </c>
      <c r="HS50" s="558" t="str">
        <f t="shared" si="80"/>
        <v>.</v>
      </c>
      <c r="HT50" s="558" t="str">
        <f t="shared" si="80"/>
        <v>.</v>
      </c>
      <c r="HU50" s="558" t="str">
        <f t="shared" si="80"/>
        <v>.</v>
      </c>
      <c r="HV50" s="558" t="str">
        <f t="shared" si="80"/>
        <v>.</v>
      </c>
      <c r="HW50" s="558" t="str">
        <f t="shared" si="80"/>
        <v>.</v>
      </c>
      <c r="HX50" s="558" t="str">
        <f t="shared" si="80"/>
        <v>.</v>
      </c>
      <c r="HY50" s="558" t="str">
        <f t="shared" si="80"/>
        <v>.</v>
      </c>
      <c r="HZ50" s="558" t="str">
        <f t="shared" si="80"/>
        <v>.</v>
      </c>
      <c r="IA50" s="558" t="str">
        <f t="shared" si="80"/>
        <v>.</v>
      </c>
      <c r="IB50" s="558" t="str">
        <f t="shared" si="80"/>
        <v>.</v>
      </c>
      <c r="IC50" s="558" t="str">
        <f t="shared" si="80"/>
        <v>.</v>
      </c>
      <c r="ID50" s="558" t="str">
        <f t="shared" si="80"/>
        <v>.</v>
      </c>
      <c r="IE50" s="558" t="str">
        <f t="shared" si="80"/>
        <v>.</v>
      </c>
      <c r="IF50" s="558" t="str">
        <f t="shared" si="79"/>
        <v>.</v>
      </c>
      <c r="IG50" s="558" t="str">
        <f t="shared" si="79"/>
        <v>.</v>
      </c>
      <c r="IH50" s="558" t="str">
        <f t="shared" si="79"/>
        <v>.</v>
      </c>
      <c r="II50" s="558" t="str">
        <f t="shared" si="79"/>
        <v>.</v>
      </c>
      <c r="IJ50" s="558" t="str">
        <f t="shared" si="79"/>
        <v>.</v>
      </c>
      <c r="IK50" s="558" t="str">
        <f t="shared" si="79"/>
        <v>.</v>
      </c>
      <c r="IL50" s="558" t="str">
        <f t="shared" si="79"/>
        <v>.</v>
      </c>
      <c r="IM50" s="558" t="str">
        <f t="shared" si="79"/>
        <v>.</v>
      </c>
      <c r="IN50" s="558" t="str">
        <f t="shared" si="79"/>
        <v>.</v>
      </c>
      <c r="IO50" s="558" t="str">
        <f t="shared" si="77"/>
        <v>.</v>
      </c>
      <c r="IP50" s="558" t="str">
        <f t="shared" si="77"/>
        <v>.</v>
      </c>
      <c r="IQ50" s="558" t="str">
        <f t="shared" si="77"/>
        <v>.</v>
      </c>
      <c r="IR50" s="558" t="str">
        <f t="shared" si="77"/>
        <v>.</v>
      </c>
      <c r="IS50" s="558" t="str">
        <f t="shared" si="77"/>
        <v>.</v>
      </c>
      <c r="IT50" s="558" t="str">
        <f t="shared" si="77"/>
        <v>.</v>
      </c>
      <c r="IU50" s="558" t="str">
        <f t="shared" si="77"/>
        <v>.</v>
      </c>
      <c r="IV50" s="558" t="str">
        <f t="shared" si="77"/>
        <v>.</v>
      </c>
      <c r="IW50" s="558" t="str">
        <f t="shared" si="77"/>
        <v>.</v>
      </c>
      <c r="IX50" s="558" t="str">
        <f t="shared" si="77"/>
        <v>.</v>
      </c>
      <c r="IY50" s="558" t="str">
        <f t="shared" si="77"/>
        <v>.</v>
      </c>
      <c r="IZ50" s="558" t="str">
        <f t="shared" si="77"/>
        <v>.</v>
      </c>
      <c r="JA50" s="558" t="str">
        <f t="shared" si="77"/>
        <v>.</v>
      </c>
      <c r="JB50" s="558" t="str">
        <f t="shared" si="77"/>
        <v>.</v>
      </c>
      <c r="JC50" s="558" t="str">
        <f t="shared" si="77"/>
        <v>.</v>
      </c>
      <c r="JD50" s="558" t="str">
        <f t="shared" si="77"/>
        <v>.</v>
      </c>
      <c r="JE50" s="558" t="str">
        <f t="shared" si="77"/>
        <v>.</v>
      </c>
      <c r="JF50" s="558" t="str">
        <f t="shared" si="78"/>
        <v>.</v>
      </c>
      <c r="JG50" s="558" t="str">
        <f t="shared" si="78"/>
        <v>.</v>
      </c>
      <c r="JH50" s="558" t="str">
        <f t="shared" si="70"/>
        <v>.</v>
      </c>
      <c r="JI50" s="558" t="str">
        <f t="shared" si="70"/>
        <v>.</v>
      </c>
      <c r="JJ50" s="558" t="str">
        <f t="shared" si="70"/>
        <v>.</v>
      </c>
      <c r="JK50" s="558" t="str">
        <f t="shared" si="70"/>
        <v>.</v>
      </c>
      <c r="JL50" s="558" t="str">
        <f t="shared" si="70"/>
        <v>.</v>
      </c>
    </row>
    <row r="51" spans="1:272" ht="10.199999999999999" x14ac:dyDescent="0.2">
      <c r="A51" s="534">
        <f xml:space="preserve"> Basis!A51</f>
        <v>51</v>
      </c>
      <c r="F51" s="536">
        <f xml:space="preserve"> ROUND(    IF( $A$15=BE_MF_,   AW51,   INDEX( qx!51:51, F$16 ) ),    F$17    )</f>
        <v>1.4E-3</v>
      </c>
      <c r="G51" s="536">
        <f xml:space="preserve"> ROUND(    IF( $A$15=BE_MF_,   BB51,   INDEX( wx!51:51, G$16 ) ),    G$17    )</f>
        <v>2.41E-2</v>
      </c>
      <c r="H51" s="537">
        <f xml:space="preserve"> ROUND(    IF( $A$15=BE_MF_,   BG51,   INDEX( Kx!51:51, H$16 ) ),    H$17    )</f>
        <v>2814.93</v>
      </c>
      <c r="I51" s="538">
        <f t="shared" si="57"/>
        <v>2814.93</v>
      </c>
      <c r="J51" s="539">
        <f t="shared" si="17"/>
        <v>1.355</v>
      </c>
      <c r="K51" s="540">
        <f t="shared" si="58"/>
        <v>2</v>
      </c>
      <c r="L51" s="541">
        <f t="shared" si="71"/>
        <v>0</v>
      </c>
      <c r="M51" s="541">
        <f t="shared" si="71"/>
        <v>8.5999999999999993E-2</v>
      </c>
      <c r="O51" s="542" t="b">
        <f t="shared" si="59"/>
        <v>1</v>
      </c>
      <c r="P51" s="493">
        <f t="shared" si="19"/>
        <v>2.5499999999999998E-2</v>
      </c>
      <c r="Q51" s="493">
        <f t="shared" si="20"/>
        <v>0.97450000000000003</v>
      </c>
      <c r="R51" s="543">
        <f t="shared" si="21"/>
        <v>651270</v>
      </c>
      <c r="S51" s="544">
        <f t="shared" si="22"/>
        <v>0.97560975599999999</v>
      </c>
      <c r="T51" s="423">
        <f t="shared" si="23"/>
        <v>184860.42</v>
      </c>
      <c r="U51" s="423">
        <f xml:space="preserve"> IF( $O51,    ROUND(  SUM( T51:T$120), U$17 ),  LEER  )</f>
        <v>3683337.76</v>
      </c>
      <c r="V51" s="493">
        <f t="shared" si="24"/>
        <v>19.925000000000001</v>
      </c>
      <c r="W51" s="493">
        <f t="shared" si="25"/>
        <v>250485.87</v>
      </c>
      <c r="X51" s="493">
        <f xml:space="preserve"> IF( $O51,    ROUND(  SUM( W51:W$120), X$17 ),  LEER  )</f>
        <v>10705133.560000001</v>
      </c>
      <c r="Y51" s="493">
        <f t="shared" si="26"/>
        <v>57.909300000000002</v>
      </c>
      <c r="Z51" s="493">
        <f t="shared" si="27"/>
        <v>2.9064000000000001</v>
      </c>
      <c r="AA51" s="493">
        <f t="shared" si="28"/>
        <v>1.0092000000000001</v>
      </c>
      <c r="AB51" s="493">
        <f t="shared" si="29"/>
        <v>2.3494000000000002</v>
      </c>
      <c r="AC51" s="545">
        <f t="shared" si="30"/>
        <v>0.38600000000000001</v>
      </c>
      <c r="AD51" s="493">
        <f t="shared" si="31"/>
        <v>2.9367000000000001</v>
      </c>
      <c r="AE51" s="493">
        <f t="shared" si="32"/>
        <v>3.6353</v>
      </c>
      <c r="AF51" s="493">
        <f t="shared" si="33"/>
        <v>3.6353</v>
      </c>
      <c r="AG51" s="493" t="str">
        <f t="shared" si="34"/>
        <v>.</v>
      </c>
      <c r="AH51" s="493" t="str">
        <f t="shared" si="35"/>
        <v>.</v>
      </c>
      <c r="AI51" s="423">
        <f t="shared" si="36"/>
        <v>2077.79</v>
      </c>
      <c r="AJ51" s="423">
        <f t="shared" si="37"/>
        <v>7553.39</v>
      </c>
      <c r="AK51" s="423">
        <f t="shared" si="38"/>
        <v>629.45000000000005</v>
      </c>
      <c r="AN51" s="423">
        <f t="shared" si="72"/>
        <v>43563.69</v>
      </c>
      <c r="AO51" s="423">
        <f t="shared" si="72"/>
        <v>42644.61</v>
      </c>
      <c r="AR51" s="546">
        <f xml:space="preserve"> ROUND(  INDEX( Kx!51:51, AR$16 ),  AR$17 )</f>
        <v>0.77590000000000003</v>
      </c>
      <c r="AS51" s="547">
        <f xml:space="preserve"> ROUND(  INDEX( qx!51:51, AS$16 ),  AS$17 )</f>
        <v>1.6000000000000001E-3</v>
      </c>
      <c r="AT51" s="547">
        <f xml:space="preserve"> ROUND(  INDEX( qx!51:51, AT$16 ),  AT$17 )</f>
        <v>1.1000000000000001E-3</v>
      </c>
      <c r="AU51" s="548" t="str">
        <f t="shared" si="40"/>
        <v>F</v>
      </c>
      <c r="AV51" s="542">
        <f t="shared" si="41"/>
        <v>0.69769999999999999</v>
      </c>
      <c r="AW51" s="542">
        <f t="shared" si="42"/>
        <v>1.4E-3</v>
      </c>
      <c r="AX51" s="546">
        <f xml:space="preserve"> ROUND(  INDEX( wx!51:51, AX$16 ),  AX$17 )</f>
        <v>2.2499999999999999E-2</v>
      </c>
      <c r="AY51" s="546">
        <f xml:space="preserve"> ROUND(  INDEX( wx!51:51, AY$16 ),  AY$17 )</f>
        <v>3.2399999999999998E-2</v>
      </c>
      <c r="AZ51" s="548" t="str">
        <f t="shared" si="43"/>
        <v>M</v>
      </c>
      <c r="BA51" s="542">
        <f t="shared" si="44"/>
        <v>0.83850000000000002</v>
      </c>
      <c r="BB51" s="542">
        <f t="shared" si="45"/>
        <v>2.41E-2</v>
      </c>
      <c r="BC51" s="533">
        <f xml:space="preserve"> ROUND(  INDEX( Kx!51:51, BC$16 ),  BC$17 )</f>
        <v>2616.38</v>
      </c>
      <c r="BD51" s="533">
        <f xml:space="preserve"> ROUND(  INDEX( Kx!51:51, BD$16 ),  BD$17 )</f>
        <v>3273.17</v>
      </c>
      <c r="BE51" s="548" t="str">
        <f t="shared" si="60"/>
        <v>F</v>
      </c>
      <c r="BF51" s="542">
        <f t="shared" si="46"/>
        <v>0.69769999999999999</v>
      </c>
      <c r="BG51" s="420">
        <f t="shared" si="47"/>
        <v>2814.93</v>
      </c>
      <c r="BQ51" s="549"/>
      <c r="BR51" s="423"/>
      <c r="BS51" s="550"/>
      <c r="BT51" s="423"/>
      <c r="BU51" s="551"/>
      <c r="BV51" s="551"/>
      <c r="BW51" s="529"/>
      <c r="BX51" s="552"/>
      <c r="BY51" s="560"/>
      <c r="BZ51" s="559"/>
      <c r="CB51" s="423"/>
      <c r="CC51" s="423"/>
      <c r="CD51" s="423"/>
      <c r="CE51" s="423"/>
      <c r="CF51" s="553"/>
      <c r="CH51" s="423"/>
      <c r="CI51" s="423"/>
      <c r="CJ51" s="423"/>
      <c r="CK51" s="423"/>
      <c r="CL51" s="553"/>
      <c r="CN51" s="423"/>
      <c r="CO51" s="423"/>
      <c r="CP51" s="423"/>
      <c r="CQ51" s="423"/>
      <c r="CR51" s="553"/>
      <c r="EI51" s="553"/>
      <c r="EJ51" s="553"/>
      <c r="EK51" s="423"/>
      <c r="EL51" s="555"/>
      <c r="ES51" s="533"/>
      <c r="ET51" s="533"/>
      <c r="EU51" s="533"/>
      <c r="EV51" s="556"/>
      <c r="EY51" s="533"/>
      <c r="EZ51" s="533"/>
      <c r="FA51" s="556"/>
      <c r="FD51" s="556"/>
      <c r="FE51" s="556"/>
      <c r="FF51" s="556"/>
      <c r="FK51" s="557">
        <f t="shared" si="48"/>
        <v>51</v>
      </c>
      <c r="FL51" s="493">
        <f t="shared" si="49"/>
        <v>57.909300000000002</v>
      </c>
      <c r="FM51" s="493">
        <f t="shared" si="50"/>
        <v>19.925000000000001</v>
      </c>
      <c r="FO51" s="427">
        <f t="shared" si="61"/>
        <v>1253543.1000000008</v>
      </c>
      <c r="FP51" s="558">
        <f t="shared" si="68"/>
        <v>70626.850000000006</v>
      </c>
      <c r="FQ51" s="558">
        <f t="shared" si="68"/>
        <v>68950.149999999994</v>
      </c>
      <c r="FR51" s="558">
        <f t="shared" si="68"/>
        <v>67269.31</v>
      </c>
      <c r="FS51" s="558">
        <f t="shared" si="68"/>
        <v>65588.47</v>
      </c>
      <c r="FT51" s="558">
        <f t="shared" si="68"/>
        <v>63849.67</v>
      </c>
      <c r="FU51" s="558">
        <f t="shared" si="68"/>
        <v>62061.19</v>
      </c>
      <c r="FV51" s="558">
        <f t="shared" si="68"/>
        <v>60289.27</v>
      </c>
      <c r="FW51" s="558">
        <f t="shared" si="68"/>
        <v>58504.94</v>
      </c>
      <c r="FX51" s="558">
        <f t="shared" si="68"/>
        <v>56658.5</v>
      </c>
      <c r="FY51" s="558">
        <f t="shared" si="68"/>
        <v>54737.54</v>
      </c>
      <c r="FZ51" s="558">
        <f t="shared" si="68"/>
        <v>52804.160000000003</v>
      </c>
      <c r="GA51" s="558">
        <f t="shared" si="68"/>
        <v>50841.8</v>
      </c>
      <c r="GB51" s="558">
        <f t="shared" si="68"/>
        <v>48833.9</v>
      </c>
      <c r="GC51" s="558">
        <f t="shared" si="68"/>
        <v>46817.73</v>
      </c>
      <c r="GD51" s="558">
        <f t="shared" si="68"/>
        <v>44739.45</v>
      </c>
      <c r="GE51" s="558">
        <f t="shared" ref="GE51:GT66" si="81" xml:space="preserve"> IF(  OR( GE$18&gt;$FK51, $FK51&gt;$FP$12 ),  LEER,  ROUND( $FO$19 * ( $FL51 - GE$15 * $FM51 ), GE$17 )  )</f>
        <v>42644.61</v>
      </c>
      <c r="GF51" s="558">
        <f t="shared" si="81"/>
        <v>40487.67</v>
      </c>
      <c r="GG51" s="558">
        <f t="shared" si="81"/>
        <v>38281.050000000003</v>
      </c>
      <c r="GH51" s="558">
        <f t="shared" si="81"/>
        <v>36012.33</v>
      </c>
      <c r="GI51" s="558">
        <f t="shared" si="81"/>
        <v>33677.379999999997</v>
      </c>
      <c r="GJ51" s="558">
        <f t="shared" si="81"/>
        <v>31272.04</v>
      </c>
      <c r="GK51" s="558">
        <f t="shared" si="81"/>
        <v>28775.62</v>
      </c>
      <c r="GL51" s="558">
        <f t="shared" si="81"/>
        <v>26188.12</v>
      </c>
      <c r="GM51" s="558">
        <f t="shared" si="81"/>
        <v>23505.4</v>
      </c>
      <c r="GN51" s="558">
        <f t="shared" si="81"/>
        <v>20715.05</v>
      </c>
      <c r="GO51" s="558">
        <f t="shared" si="81"/>
        <v>17837.75</v>
      </c>
      <c r="GP51" s="558">
        <f t="shared" si="81"/>
        <v>14861.09</v>
      </c>
      <c r="GQ51" s="558">
        <f t="shared" si="81"/>
        <v>11793.35</v>
      </c>
      <c r="GR51" s="558">
        <f t="shared" si="81"/>
        <v>8642.82</v>
      </c>
      <c r="GS51" s="558">
        <f t="shared" si="81"/>
        <v>5413.62</v>
      </c>
      <c r="GT51" s="558">
        <f t="shared" si="81"/>
        <v>2118.1799999999998</v>
      </c>
      <c r="GU51" s="558">
        <f t="shared" si="69"/>
        <v>-1255.9100000000001</v>
      </c>
      <c r="GV51" s="558" t="str">
        <f t="shared" si="69"/>
        <v>.</v>
      </c>
      <c r="GW51" s="558" t="str">
        <f t="shared" si="69"/>
        <v>.</v>
      </c>
      <c r="GX51" s="558" t="str">
        <f t="shared" si="69"/>
        <v>.</v>
      </c>
      <c r="GY51" s="558" t="str">
        <f t="shared" si="69"/>
        <v>.</v>
      </c>
      <c r="GZ51" s="558" t="str">
        <f t="shared" si="69"/>
        <v>.</v>
      </c>
      <c r="HA51" s="558" t="str">
        <f t="shared" si="69"/>
        <v>.</v>
      </c>
      <c r="HB51" s="558" t="str">
        <f t="shared" si="69"/>
        <v>.</v>
      </c>
      <c r="HC51" s="558" t="str">
        <f t="shared" si="69"/>
        <v>.</v>
      </c>
      <c r="HD51" s="558" t="str">
        <f t="shared" si="69"/>
        <v>.</v>
      </c>
      <c r="HE51" s="558" t="str">
        <f t="shared" si="69"/>
        <v>.</v>
      </c>
      <c r="HF51" s="558" t="str">
        <f t="shared" si="69"/>
        <v>.</v>
      </c>
      <c r="HG51" s="558" t="str">
        <f t="shared" si="69"/>
        <v>.</v>
      </c>
      <c r="HH51" s="558" t="str">
        <f t="shared" si="69"/>
        <v>.</v>
      </c>
      <c r="HI51" s="558" t="str">
        <f t="shared" si="69"/>
        <v>.</v>
      </c>
      <c r="HJ51" s="558" t="str">
        <f t="shared" ref="HJ51:IA65" si="82" xml:space="preserve"> IF(  OR( HJ$18&gt;$FK51, $FK51&gt;$FP$12 ),  LEER,  ROUND( $FO$19 * ( $FL51 - HJ$15 * $FM51 ), HJ$17 )  )</f>
        <v>.</v>
      </c>
      <c r="HK51" s="558" t="str">
        <f t="shared" si="82"/>
        <v>.</v>
      </c>
      <c r="HL51" s="558" t="str">
        <f t="shared" si="82"/>
        <v>.</v>
      </c>
      <c r="HM51" s="558" t="str">
        <f t="shared" si="82"/>
        <v>.</v>
      </c>
      <c r="HN51" s="558" t="str">
        <f t="shared" si="82"/>
        <v>.</v>
      </c>
      <c r="HO51" s="558" t="str">
        <f t="shared" si="82"/>
        <v>.</v>
      </c>
      <c r="HP51" s="558" t="str">
        <f t="shared" si="82"/>
        <v>.</v>
      </c>
      <c r="HQ51" s="558" t="str">
        <f t="shared" si="82"/>
        <v>.</v>
      </c>
      <c r="HR51" s="558" t="str">
        <f t="shared" si="82"/>
        <v>.</v>
      </c>
      <c r="HS51" s="558" t="str">
        <f t="shared" si="82"/>
        <v>.</v>
      </c>
      <c r="HT51" s="558" t="str">
        <f t="shared" si="82"/>
        <v>.</v>
      </c>
      <c r="HU51" s="558" t="str">
        <f t="shared" si="82"/>
        <v>.</v>
      </c>
      <c r="HV51" s="558" t="str">
        <f t="shared" si="82"/>
        <v>.</v>
      </c>
      <c r="HW51" s="558" t="str">
        <f t="shared" si="82"/>
        <v>.</v>
      </c>
      <c r="HX51" s="558" t="str">
        <f t="shared" si="82"/>
        <v>.</v>
      </c>
      <c r="HY51" s="558" t="str">
        <f t="shared" si="82"/>
        <v>.</v>
      </c>
      <c r="HZ51" s="558" t="str">
        <f t="shared" si="82"/>
        <v>.</v>
      </c>
      <c r="IA51" s="558" t="str">
        <f t="shared" si="82"/>
        <v>.</v>
      </c>
      <c r="IB51" s="558" t="str">
        <f t="shared" ref="IB51:IZ66" si="83" xml:space="preserve"> IF(  OR( IB$18&gt;$FK51, $FK51&gt;$FP$12 ),  LEER,  ROUND( $FO$19 * ( $FL51 - IB$15 * $FM51 ), IB$17 )  )</f>
        <v>.</v>
      </c>
      <c r="IC51" s="558" t="str">
        <f t="shared" si="83"/>
        <v>.</v>
      </c>
      <c r="ID51" s="558" t="str">
        <f t="shared" si="83"/>
        <v>.</v>
      </c>
      <c r="IE51" s="558" t="str">
        <f t="shared" si="83"/>
        <v>.</v>
      </c>
      <c r="IF51" s="558" t="str">
        <f t="shared" si="83"/>
        <v>.</v>
      </c>
      <c r="IG51" s="558" t="str">
        <f t="shared" si="83"/>
        <v>.</v>
      </c>
      <c r="IH51" s="558" t="str">
        <f t="shared" si="83"/>
        <v>.</v>
      </c>
      <c r="II51" s="558" t="str">
        <f t="shared" si="83"/>
        <v>.</v>
      </c>
      <c r="IJ51" s="558" t="str">
        <f t="shared" si="83"/>
        <v>.</v>
      </c>
      <c r="IK51" s="558" t="str">
        <f t="shared" si="83"/>
        <v>.</v>
      </c>
      <c r="IL51" s="558" t="str">
        <f t="shared" si="83"/>
        <v>.</v>
      </c>
      <c r="IM51" s="558" t="str">
        <f t="shared" si="83"/>
        <v>.</v>
      </c>
      <c r="IN51" s="558" t="str">
        <f t="shared" si="83"/>
        <v>.</v>
      </c>
      <c r="IO51" s="558" t="str">
        <f t="shared" si="77"/>
        <v>.</v>
      </c>
      <c r="IP51" s="558" t="str">
        <f t="shared" si="77"/>
        <v>.</v>
      </c>
      <c r="IQ51" s="558" t="str">
        <f t="shared" si="77"/>
        <v>.</v>
      </c>
      <c r="IR51" s="558" t="str">
        <f t="shared" si="77"/>
        <v>.</v>
      </c>
      <c r="IS51" s="558" t="str">
        <f t="shared" si="77"/>
        <v>.</v>
      </c>
      <c r="IT51" s="558" t="str">
        <f t="shared" si="77"/>
        <v>.</v>
      </c>
      <c r="IU51" s="558" t="str">
        <f t="shared" si="77"/>
        <v>.</v>
      </c>
      <c r="IV51" s="558" t="str">
        <f t="shared" si="77"/>
        <v>.</v>
      </c>
      <c r="IW51" s="558" t="str">
        <f t="shared" si="77"/>
        <v>.</v>
      </c>
      <c r="IX51" s="558" t="str">
        <f t="shared" si="77"/>
        <v>.</v>
      </c>
      <c r="IY51" s="558" t="str">
        <f t="shared" si="77"/>
        <v>.</v>
      </c>
      <c r="IZ51" s="558" t="str">
        <f t="shared" si="77"/>
        <v>.</v>
      </c>
      <c r="JA51" s="558" t="str">
        <f t="shared" si="77"/>
        <v>.</v>
      </c>
      <c r="JB51" s="558" t="str">
        <f t="shared" si="77"/>
        <v>.</v>
      </c>
      <c r="JC51" s="558" t="str">
        <f t="shared" si="77"/>
        <v>.</v>
      </c>
      <c r="JD51" s="558" t="str">
        <f t="shared" si="77"/>
        <v>.</v>
      </c>
      <c r="JE51" s="558" t="str">
        <f t="shared" si="77"/>
        <v>.</v>
      </c>
      <c r="JF51" s="558" t="str">
        <f t="shared" si="78"/>
        <v>.</v>
      </c>
      <c r="JG51" s="558" t="str">
        <f t="shared" si="78"/>
        <v>.</v>
      </c>
      <c r="JH51" s="558" t="str">
        <f t="shared" si="70"/>
        <v>.</v>
      </c>
      <c r="JI51" s="558" t="str">
        <f t="shared" si="70"/>
        <v>.</v>
      </c>
      <c r="JJ51" s="558" t="str">
        <f t="shared" si="70"/>
        <v>.</v>
      </c>
      <c r="JK51" s="558" t="str">
        <f t="shared" si="70"/>
        <v>.</v>
      </c>
      <c r="JL51" s="558" t="str">
        <f t="shared" si="70"/>
        <v>.</v>
      </c>
    </row>
    <row r="52" spans="1:272" ht="10.199999999999999" x14ac:dyDescent="0.2">
      <c r="A52" s="534">
        <f xml:space="preserve"> Basis!A52</f>
        <v>52</v>
      </c>
      <c r="F52" s="536">
        <f xml:space="preserve"> ROUND(    IF( $A$15=BE_MF_,   AW52,   INDEX( qx!52:52, F$16 ) ),    F$17    )</f>
        <v>1.6000000000000001E-3</v>
      </c>
      <c r="G52" s="536">
        <f xml:space="preserve"> ROUND(    IF( $A$15=BE_MF_,   BB52,   INDEX( wx!52:52, G$16 ) ),    G$17    )</f>
        <v>2.4500000000000001E-2</v>
      </c>
      <c r="H52" s="537">
        <f xml:space="preserve"> ROUND(    IF( $A$15=BE_MF_,   BG52,   INDEX( Kx!52:52, H$16 ) ),    H$17    )</f>
        <v>2940.89</v>
      </c>
      <c r="I52" s="538">
        <f t="shared" si="57"/>
        <v>2940.89</v>
      </c>
      <c r="J52" s="539">
        <f t="shared" ref="J52:J83" si="84" xml:space="preserve"> ROUND(  I52 / I$19,  J$17 )</f>
        <v>1.415</v>
      </c>
      <c r="K52" s="540">
        <f t="shared" si="58"/>
        <v>2</v>
      </c>
      <c r="L52" s="541">
        <f t="shared" si="71"/>
        <v>0</v>
      </c>
      <c r="M52" s="541">
        <f t="shared" si="71"/>
        <v>8.5999999999999993E-2</v>
      </c>
      <c r="O52" s="542" t="b">
        <f t="shared" si="59"/>
        <v>1</v>
      </c>
      <c r="P52" s="493">
        <f t="shared" ref="P52:P83" si="85" xml:space="preserve"> IF( $O52,   IF(  A52&gt;= $O$12, 1,  ROUND(  MIN( 1,  F52 + G52 ),  P$17  )  ), LEER )</f>
        <v>2.6100000000000002E-2</v>
      </c>
      <c r="Q52" s="493">
        <f t="shared" ref="Q52:Q83" si="86" xml:space="preserve"> IF( $O52,    ROUND( 1 - P52,  Q$17  ),  LEER  )</f>
        <v>0.97389999999999999</v>
      </c>
      <c r="R52" s="543">
        <f t="shared" ref="R52:R83" si="87" xml:space="preserve"> IF(  NOT($O52),  LEER,  IF( $A52=R$10,  R$12,  ROUNDDOWN(  R51 * Q51,  R$17 )  )  )</f>
        <v>634662</v>
      </c>
      <c r="S52" s="544">
        <f t="shared" ref="S52:S83" si="88" xml:space="preserve"> IF( $O52,    ROUND(  ( 1 / ( 1 + S$12 ) ), S$17 ),  LEER  )</f>
        <v>0.97560975599999999</v>
      </c>
      <c r="T52" s="423">
        <f t="shared" ref="T52:T83" si="89" xml:space="preserve"> IF( $O52,    ROUND( R52 * S52 ^ A52, T$17 ),  LEER  )</f>
        <v>175752.49</v>
      </c>
      <c r="U52" s="423">
        <f xml:space="preserve"> IF( $O52,    ROUND(  SUM( T52:T$120), U$17 ),  LEER  )</f>
        <v>3498477.34</v>
      </c>
      <c r="V52" s="493">
        <f t="shared" ref="V52:V83" si="90" xml:space="preserve"> IF( $O52,    IF( T52= 0, 1,  ROUND(  U52 / T52, V$17 )   ),  LEER  )</f>
        <v>19.9057</v>
      </c>
      <c r="W52" s="493">
        <f t="shared" ref="W52:W83" si="91" xml:space="preserve"> IF( $O52,    ROUND( J52 * T52, W$17 ),  LEER  )</f>
        <v>248689.77</v>
      </c>
      <c r="X52" s="493">
        <f xml:space="preserve"> IF( $O52,    ROUND(  SUM( W52:W$120), X$17 ),  LEER  )</f>
        <v>10454647.689999999</v>
      </c>
      <c r="Y52" s="493">
        <f t="shared" ref="Y52:Y83" si="92" xml:space="preserve"> IF( $O52,    IF( T52= 0, J52,  ROUND(  X52 / T52, Y$17 )   ),   LEER  )</f>
        <v>59.485100000000003</v>
      </c>
      <c r="Z52" s="493">
        <f t="shared" ref="Z52:Z83" si="93" xml:space="preserve"> IF( $O52,    IF( V52= 0, Y52,  ROUND( Y52 / V52, Z$17 )  ),   LEER  )</f>
        <v>2.9883000000000002</v>
      </c>
      <c r="AA52" s="493">
        <f t="shared" ref="AA52:AA83" si="94" xml:space="preserve"> IF( $O52,    ROUND( ( 12 * V52 * ( 1 - M52 ) ) / ( 12 * V52 * ( 1 - M52 ) - K52 ), AA$17 ),    LEER  )</f>
        <v>1.0092000000000001</v>
      </c>
      <c r="AB52" s="493">
        <f t="shared" ref="AB52:AB83" si="95" xml:space="preserve">  IF( $O52,    ROUND( INDEX( $Z$20:$Z$120, AB$16 ) / ( 1 - M52 - L52 - INDEX( $K$20:$K$120, AB$16 ) / ( 12 * INDEX( $V$20:$V$120, AB$16 ) ) ), AB$17 ),       LEER  )</f>
        <v>2.3494000000000002</v>
      </c>
      <c r="AC52" s="545">
        <f t="shared" ref="AC52:AC83" si="96" xml:space="preserve">  IF( NOT($O52),   LEER,   ROUND(  L52 * AB52  +  IF( $A52&lt;AC$12, AC$5, AC$6 ),  AC$17  )    )</f>
        <v>0.38600000000000001</v>
      </c>
      <c r="AD52" s="493">
        <f t="shared" ref="AD52:AD83" si="97" xml:space="preserve">  IF( $O52,   ROUND( AA52 * Z52 + ( AA52 - 1 ) * AC52, AD$17 ),       LEER  )</f>
        <v>3.0192999999999999</v>
      </c>
      <c r="AE52" s="493">
        <f t="shared" ref="AE52:AE83" si="98" xml:space="preserve">  IF( $O52,   ROUND( ( AD52 + AC52 ) / ( 1 - M52), AE$17 ),       LEER  )</f>
        <v>3.7256999999999998</v>
      </c>
      <c r="AF52" s="493">
        <f t="shared" ref="AF52:AF83" si="99" xml:space="preserve">  IF(  $O52,   IF(  OR( NOT( $AF$12), $A52=$M$12, AE52&gt;=AF51 ), AE52, MAX( AE52,AF51) ),  LEER  )</f>
        <v>3.7256999999999998</v>
      </c>
      <c r="AG52" s="493" t="str">
        <f t="shared" ref="AG52:AG83" si="100" xml:space="preserve">  IF(  $O52,   IF(  AE52=AF52,  LEER, Setzung ),    LEER  )</f>
        <v>.</v>
      </c>
      <c r="AH52" s="493" t="str">
        <f t="shared" ref="AH52:AH83" si="101" xml:space="preserve">  IF(  $O52,   IF( AND( K51&lt;&gt;0, AG52=Setzung), SetzungZillmerung, LEER ),    LEER  )</f>
        <v>.</v>
      </c>
      <c r="AI52" s="423">
        <f t="shared" ref="AI52:AI83" si="102" xml:space="preserve">  IF( $O52,    $J$19,  LEER  )</f>
        <v>2077.79</v>
      </c>
      <c r="AJ52" s="423">
        <f t="shared" ref="AJ52:AJ83" si="103" xml:space="preserve">  IF( $O52,    ROUND( AF52 * AI52, AJ$17 ),  LEER  )</f>
        <v>7741.22</v>
      </c>
      <c r="AK52" s="423">
        <f t="shared" ref="AK52:AK83" si="104" xml:space="preserve">  IF( $O52,    ROUND( AJ52 / 12, AK$17 ),  LEER  )</f>
        <v>645.1</v>
      </c>
      <c r="AN52" s="423">
        <f t="shared" si="72"/>
        <v>46912.22</v>
      </c>
      <c r="AO52" s="423">
        <f t="shared" si="72"/>
        <v>45994.03</v>
      </c>
      <c r="AR52" s="546">
        <f xml:space="preserve"> ROUND(  INDEX( Kx!52:52, AR$16 ),  AR$17 )</f>
        <v>0.77159999999999995</v>
      </c>
      <c r="AS52" s="547">
        <f xml:space="preserve"> ROUND(  INDEX( qx!52:52, AS$16 ),  AS$17 )</f>
        <v>1.8E-3</v>
      </c>
      <c r="AT52" s="547">
        <f xml:space="preserve"> ROUND(  INDEX( qx!52:52, AT$16 ),  AT$17 )</f>
        <v>1.2999999999999999E-3</v>
      </c>
      <c r="AU52" s="548" t="str">
        <f t="shared" ref="AU52:AU83" si="105" xml:space="preserve"> IF( AS52&lt;AT52, AS$13, AT$13 )</f>
        <v>F</v>
      </c>
      <c r="AV52" s="542">
        <f t="shared" ref="AV52:AV83" si="106" xml:space="preserve"> ROUND(     IF( AU52=BE_M_, ( $AR52 + $AR52 * AV$18 ) / ( 1 + $AR52 * AV$18 ),  ( $AR52 ) / ( 1 + ( 1 - $AR52 ) * AV$18 ) ),   AV$17 )</f>
        <v>0.6925</v>
      </c>
      <c r="AW52" s="542">
        <f t="shared" ref="AW52:AW83" si="107" xml:space="preserve"> ROUND( AV52 * AS52 + ( 1 - AV52) * AT52, AW$17 )</f>
        <v>1.6000000000000001E-3</v>
      </c>
      <c r="AX52" s="546">
        <f xml:space="preserve"> ROUND(  INDEX( wx!52:52, AX$16 ),  AX$17 )</f>
        <v>2.2499999999999999E-2</v>
      </c>
      <c r="AY52" s="546">
        <f xml:space="preserve"> ROUND(  INDEX( wx!52:52, AY$16 ),  AY$17 )</f>
        <v>3.4700000000000002E-2</v>
      </c>
      <c r="AZ52" s="548" t="str">
        <f t="shared" ref="AZ52:AZ83" si="108" xml:space="preserve"> IF( AX52&lt;AY52, AX$13, AY$13 )</f>
        <v>M</v>
      </c>
      <c r="BA52" s="542">
        <f t="shared" ref="BA52:BA83" si="109" xml:space="preserve"> ROUND(     IF( AZ52=BE_M_, ( $AR52 + $AR52 * BA$18 ) / ( 1 + $AR52 * BA$18 ),  ( $AR52 ) / ( 1 + ( 1 - $AR52 ) * BA$18 ) ),   BA$17 )</f>
        <v>0.83520000000000005</v>
      </c>
      <c r="BB52" s="542">
        <f t="shared" ref="BB52:BB83" si="110" xml:space="preserve"> ROUND( BA52 * AX52 + ( 1 - BA52) * AY52, BB$17 )</f>
        <v>2.4500000000000001E-2</v>
      </c>
      <c r="BC52" s="533">
        <f xml:space="preserve"> ROUND(  INDEX( Kx!52:52, BC$16 ),  BC$17 )</f>
        <v>2750.19</v>
      </c>
      <c r="BD52" s="533">
        <f xml:space="preserve"> ROUND(  INDEX( Kx!52:52, BD$16 ),  BD$17 )</f>
        <v>3370.36</v>
      </c>
      <c r="BE52" s="548" t="str">
        <f t="shared" si="60"/>
        <v>F</v>
      </c>
      <c r="BF52" s="542">
        <f t="shared" ref="BF52:BF83" si="111" xml:space="preserve"> ROUND(     IF( BE52=BE_M_, ( $AR52 + $AR52 * BF$18 ) / ( 1 + $AR52 * BF$18 ),  ( $AR52 ) / ( 1 + ( 1 - $AR52 ) * BF$18 ) ),   BF$17 )</f>
        <v>0.6925</v>
      </c>
      <c r="BG52" s="420">
        <f t="shared" ref="BG52:BG83" si="112" xml:space="preserve"> ROUND( BF52 * BC52 + ( 1 - BF52) * BD52, BG$17 )</f>
        <v>2940.89</v>
      </c>
      <c r="BQ52" s="549"/>
      <c r="BR52" s="423"/>
      <c r="BS52" s="550"/>
      <c r="BT52" s="423"/>
      <c r="BU52" s="551"/>
      <c r="BV52" s="551"/>
      <c r="BW52" s="529"/>
      <c r="BX52" s="552"/>
      <c r="BY52" s="560"/>
      <c r="BZ52" s="559"/>
      <c r="CB52" s="423"/>
      <c r="CC52" s="423"/>
      <c r="CD52" s="423"/>
      <c r="CE52" s="423"/>
      <c r="CF52" s="553"/>
      <c r="CH52" s="423"/>
      <c r="CI52" s="423"/>
      <c r="CJ52" s="423"/>
      <c r="CK52" s="423"/>
      <c r="CL52" s="553"/>
      <c r="CN52" s="423"/>
      <c r="CO52" s="423"/>
      <c r="CP52" s="423"/>
      <c r="CQ52" s="423"/>
      <c r="CR52" s="553"/>
      <c r="EI52" s="553"/>
      <c r="EJ52" s="553"/>
      <c r="EK52" s="423"/>
      <c r="EL52" s="555"/>
      <c r="ES52" s="533"/>
      <c r="ET52" s="533"/>
      <c r="EU52" s="533"/>
      <c r="EV52" s="556"/>
      <c r="EY52" s="533"/>
      <c r="EZ52" s="533"/>
      <c r="FA52" s="556"/>
      <c r="FD52" s="556"/>
      <c r="FE52" s="556"/>
      <c r="FF52" s="556"/>
      <c r="FK52" s="557">
        <f t="shared" ref="FK52:FK83" si="113" xml:space="preserve"> A52</f>
        <v>52</v>
      </c>
      <c r="FL52" s="493">
        <f t="shared" ref="FL52:FL83" si="114" xml:space="preserve"> Y52</f>
        <v>59.485100000000003</v>
      </c>
      <c r="FM52" s="493">
        <f t="shared" ref="FM52:FM83" si="115" xml:space="preserve"> V52</f>
        <v>19.9057</v>
      </c>
      <c r="FO52" s="427">
        <f t="shared" si="61"/>
        <v>1359551.97</v>
      </c>
      <c r="FP52" s="558">
        <f t="shared" ref="FP52:GE67" si="116" xml:space="preserve"> IF(  OR( FP$18&gt;$FK52, $FK52&gt;$FP$12 ),  LEER,  ROUND( $FO$19 * ( $FL52 - FP$15 * $FM52 ), FP$17 )  )</f>
        <v>73949.16</v>
      </c>
      <c r="FQ52" s="558">
        <f t="shared" si="116"/>
        <v>72274.09</v>
      </c>
      <c r="FR52" s="558">
        <f t="shared" si="116"/>
        <v>70594.880000000005</v>
      </c>
      <c r="FS52" s="558">
        <f t="shared" si="116"/>
        <v>68915.67</v>
      </c>
      <c r="FT52" s="558">
        <f t="shared" si="116"/>
        <v>67178.55</v>
      </c>
      <c r="FU52" s="558">
        <f t="shared" si="116"/>
        <v>65391.81</v>
      </c>
      <c r="FV52" s="558">
        <f t="shared" si="116"/>
        <v>63621.61</v>
      </c>
      <c r="FW52" s="558">
        <f t="shared" si="116"/>
        <v>61839</v>
      </c>
      <c r="FX52" s="558">
        <f t="shared" si="116"/>
        <v>59994.35</v>
      </c>
      <c r="FY52" s="558">
        <f t="shared" si="116"/>
        <v>58075.25</v>
      </c>
      <c r="FZ52" s="558">
        <f t="shared" si="116"/>
        <v>56143.74</v>
      </c>
      <c r="GA52" s="558">
        <f t="shared" si="116"/>
        <v>54183.29</v>
      </c>
      <c r="GB52" s="558">
        <f t="shared" si="116"/>
        <v>52177.33</v>
      </c>
      <c r="GC52" s="558">
        <f t="shared" si="116"/>
        <v>50163.11</v>
      </c>
      <c r="GD52" s="558">
        <f t="shared" si="116"/>
        <v>48086.84</v>
      </c>
      <c r="GE52" s="558">
        <f t="shared" si="116"/>
        <v>45994.03</v>
      </c>
      <c r="GF52" s="558">
        <f t="shared" si="81"/>
        <v>43839.18</v>
      </c>
      <c r="GG52" s="558">
        <f t="shared" si="81"/>
        <v>41634.699999999997</v>
      </c>
      <c r="GH52" s="558">
        <f t="shared" si="81"/>
        <v>39368.18</v>
      </c>
      <c r="GI52" s="558">
        <f t="shared" si="81"/>
        <v>37035.49</v>
      </c>
      <c r="GJ52" s="558">
        <f t="shared" si="81"/>
        <v>34632.480000000003</v>
      </c>
      <c r="GK52" s="558">
        <f t="shared" si="81"/>
        <v>32138.48</v>
      </c>
      <c r="GL52" s="558">
        <f t="shared" si="81"/>
        <v>29553.49</v>
      </c>
      <c r="GM52" s="558">
        <f t="shared" si="81"/>
        <v>26873.37</v>
      </c>
      <c r="GN52" s="558">
        <f t="shared" si="81"/>
        <v>24085.71</v>
      </c>
      <c r="GO52" s="558">
        <f t="shared" si="81"/>
        <v>21211.200000000001</v>
      </c>
      <c r="GP52" s="558">
        <f t="shared" si="81"/>
        <v>18237.43</v>
      </c>
      <c r="GQ52" s="558">
        <f t="shared" si="81"/>
        <v>15172.66</v>
      </c>
      <c r="GR52" s="558">
        <f t="shared" si="81"/>
        <v>12025.18</v>
      </c>
      <c r="GS52" s="558">
        <f t="shared" si="81"/>
        <v>8799.11</v>
      </c>
      <c r="GT52" s="558">
        <f t="shared" si="81"/>
        <v>5506.86</v>
      </c>
      <c r="GU52" s="558">
        <f t="shared" ref="GU52:HJ67" si="117" xml:space="preserve"> IF(  OR( GU$18&gt;$FK52, $FK52&gt;$FP$12 ),  LEER,  ROUND( $FO$19 * ( $FL52 - GU$15 * $FM52 ), GU$17 )  )</f>
        <v>2136.0300000000002</v>
      </c>
      <c r="GV52" s="558">
        <f t="shared" si="117"/>
        <v>-1280.29</v>
      </c>
      <c r="GW52" s="558" t="str">
        <f t="shared" si="117"/>
        <v>.</v>
      </c>
      <c r="GX52" s="558" t="str">
        <f t="shared" si="117"/>
        <v>.</v>
      </c>
      <c r="GY52" s="558" t="str">
        <f t="shared" si="117"/>
        <v>.</v>
      </c>
      <c r="GZ52" s="558" t="str">
        <f t="shared" si="117"/>
        <v>.</v>
      </c>
      <c r="HA52" s="558" t="str">
        <f t="shared" si="117"/>
        <v>.</v>
      </c>
      <c r="HB52" s="558" t="str">
        <f t="shared" si="117"/>
        <v>.</v>
      </c>
      <c r="HC52" s="558" t="str">
        <f t="shared" si="117"/>
        <v>.</v>
      </c>
      <c r="HD52" s="558" t="str">
        <f t="shared" si="117"/>
        <v>.</v>
      </c>
      <c r="HE52" s="558" t="str">
        <f t="shared" si="117"/>
        <v>.</v>
      </c>
      <c r="HF52" s="558" t="str">
        <f t="shared" si="117"/>
        <v>.</v>
      </c>
      <c r="HG52" s="558" t="str">
        <f t="shared" si="117"/>
        <v>.</v>
      </c>
      <c r="HH52" s="558" t="str">
        <f t="shared" si="117"/>
        <v>.</v>
      </c>
      <c r="HI52" s="558" t="str">
        <f t="shared" si="117"/>
        <v>.</v>
      </c>
      <c r="HJ52" s="558" t="str">
        <f t="shared" si="117"/>
        <v>.</v>
      </c>
      <c r="HK52" s="558" t="str">
        <f t="shared" si="82"/>
        <v>.</v>
      </c>
      <c r="HL52" s="558" t="str">
        <f t="shared" si="82"/>
        <v>.</v>
      </c>
      <c r="HM52" s="558" t="str">
        <f t="shared" si="82"/>
        <v>.</v>
      </c>
      <c r="HN52" s="558" t="str">
        <f t="shared" si="82"/>
        <v>.</v>
      </c>
      <c r="HO52" s="558" t="str">
        <f t="shared" si="82"/>
        <v>.</v>
      </c>
      <c r="HP52" s="558" t="str">
        <f t="shared" si="82"/>
        <v>.</v>
      </c>
      <c r="HQ52" s="558" t="str">
        <f t="shared" si="82"/>
        <v>.</v>
      </c>
      <c r="HR52" s="558" t="str">
        <f t="shared" si="82"/>
        <v>.</v>
      </c>
      <c r="HS52" s="558" t="str">
        <f t="shared" si="82"/>
        <v>.</v>
      </c>
      <c r="HT52" s="558" t="str">
        <f t="shared" si="82"/>
        <v>.</v>
      </c>
      <c r="HU52" s="558" t="str">
        <f t="shared" si="82"/>
        <v>.</v>
      </c>
      <c r="HV52" s="558" t="str">
        <f t="shared" si="82"/>
        <v>.</v>
      </c>
      <c r="HW52" s="558" t="str">
        <f t="shared" si="82"/>
        <v>.</v>
      </c>
      <c r="HX52" s="558" t="str">
        <f t="shared" si="82"/>
        <v>.</v>
      </c>
      <c r="HY52" s="558" t="str">
        <f t="shared" si="82"/>
        <v>.</v>
      </c>
      <c r="HZ52" s="558" t="str">
        <f t="shared" si="82"/>
        <v>.</v>
      </c>
      <c r="IA52" s="558" t="str">
        <f t="shared" si="82"/>
        <v>.</v>
      </c>
      <c r="IB52" s="558" t="str">
        <f t="shared" si="83"/>
        <v>.</v>
      </c>
      <c r="IC52" s="558" t="str">
        <f t="shared" si="83"/>
        <v>.</v>
      </c>
      <c r="ID52" s="558" t="str">
        <f t="shared" si="83"/>
        <v>.</v>
      </c>
      <c r="IE52" s="558" t="str">
        <f t="shared" si="83"/>
        <v>.</v>
      </c>
      <c r="IF52" s="558" t="str">
        <f t="shared" si="83"/>
        <v>.</v>
      </c>
      <c r="IG52" s="558" t="str">
        <f t="shared" si="83"/>
        <v>.</v>
      </c>
      <c r="IH52" s="558" t="str">
        <f t="shared" si="83"/>
        <v>.</v>
      </c>
      <c r="II52" s="558" t="str">
        <f t="shared" si="83"/>
        <v>.</v>
      </c>
      <c r="IJ52" s="558" t="str">
        <f t="shared" si="83"/>
        <v>.</v>
      </c>
      <c r="IK52" s="558" t="str">
        <f t="shared" si="83"/>
        <v>.</v>
      </c>
      <c r="IL52" s="558" t="str">
        <f t="shared" si="83"/>
        <v>.</v>
      </c>
      <c r="IM52" s="558" t="str">
        <f t="shared" si="83"/>
        <v>.</v>
      </c>
      <c r="IN52" s="558" t="str">
        <f t="shared" si="83"/>
        <v>.</v>
      </c>
      <c r="IO52" s="558" t="str">
        <f t="shared" si="77"/>
        <v>.</v>
      </c>
      <c r="IP52" s="558" t="str">
        <f t="shared" si="77"/>
        <v>.</v>
      </c>
      <c r="IQ52" s="558" t="str">
        <f t="shared" si="77"/>
        <v>.</v>
      </c>
      <c r="IR52" s="558" t="str">
        <f t="shared" si="77"/>
        <v>.</v>
      </c>
      <c r="IS52" s="558" t="str">
        <f t="shared" si="77"/>
        <v>.</v>
      </c>
      <c r="IT52" s="558" t="str">
        <f t="shared" si="77"/>
        <v>.</v>
      </c>
      <c r="IU52" s="558" t="str">
        <f t="shared" si="77"/>
        <v>.</v>
      </c>
      <c r="IV52" s="558" t="str">
        <f t="shared" si="77"/>
        <v>.</v>
      </c>
      <c r="IW52" s="558" t="str">
        <f t="shared" si="77"/>
        <v>.</v>
      </c>
      <c r="IX52" s="558" t="str">
        <f t="shared" si="77"/>
        <v>.</v>
      </c>
      <c r="IY52" s="558" t="str">
        <f t="shared" si="77"/>
        <v>.</v>
      </c>
      <c r="IZ52" s="558" t="str">
        <f t="shared" si="77"/>
        <v>.</v>
      </c>
      <c r="JA52" s="558" t="str">
        <f t="shared" si="77"/>
        <v>.</v>
      </c>
      <c r="JB52" s="558" t="str">
        <f t="shared" si="77"/>
        <v>.</v>
      </c>
      <c r="JC52" s="558" t="str">
        <f t="shared" si="77"/>
        <v>.</v>
      </c>
      <c r="JD52" s="558" t="str">
        <f t="shared" si="77"/>
        <v>.</v>
      </c>
      <c r="JE52" s="558" t="str">
        <f t="shared" si="77"/>
        <v>.</v>
      </c>
      <c r="JF52" s="558" t="str">
        <f t="shared" si="78"/>
        <v>.</v>
      </c>
      <c r="JG52" s="558" t="str">
        <f t="shared" si="78"/>
        <v>.</v>
      </c>
      <c r="JH52" s="558" t="str">
        <f xml:space="preserve"> IF(  OR( JH$18&gt;$FK52, $FK52&gt;$FP$12 ),  LEER,  ROUND( $FO$19 * ( $FL52 - JH$15 * $FM52 ), JH$17 )  )</f>
        <v>.</v>
      </c>
      <c r="JI52" s="558" t="str">
        <f xml:space="preserve"> IF(  OR( JI$18&gt;$FK52, $FK52&gt;$FP$12 ),  LEER,  ROUND( $FO$19 * ( $FL52 - JI$15 * $FM52 ), JI$17 )  )</f>
        <v>.</v>
      </c>
      <c r="JJ52" s="558" t="str">
        <f t="shared" ref="JH52:JL67" si="118" xml:space="preserve"> IF(  OR( JJ$18&gt;$FK52, $FK52&gt;$FP$12 ),  LEER,  ROUND( $FO$19 * ( $FL52 - JJ$15 * $FM52 ), JJ$17 )  )</f>
        <v>.</v>
      </c>
      <c r="JK52" s="558" t="str">
        <f t="shared" si="118"/>
        <v>.</v>
      </c>
      <c r="JL52" s="558" t="str">
        <f t="shared" si="118"/>
        <v>.</v>
      </c>
    </row>
    <row r="53" spans="1:272" ht="10.199999999999999" x14ac:dyDescent="0.2">
      <c r="A53" s="534">
        <f xml:space="preserve"> Basis!A53</f>
        <v>53</v>
      </c>
      <c r="F53" s="536">
        <f xml:space="preserve"> ROUND(    IF( $A$15=BE_MF_,   AW53,   INDEX( qx!53:53, F$16 ) ),    F$17    )</f>
        <v>1.9E-3</v>
      </c>
      <c r="G53" s="536">
        <f xml:space="preserve"> ROUND(    IF( $A$15=BE_MF_,   BB53,   INDEX( wx!53:53, G$16 ) ),    G$17    )</f>
        <v>2.4899999999999999E-2</v>
      </c>
      <c r="H53" s="537">
        <f xml:space="preserve"> ROUND(    IF( $A$15=BE_MF_,   BG53,   INDEX( Kx!53:53, H$16 ) ),    H$17    )</f>
        <v>3073.25</v>
      </c>
      <c r="I53" s="538">
        <f t="shared" si="57"/>
        <v>3073.25</v>
      </c>
      <c r="J53" s="539">
        <f t="shared" si="84"/>
        <v>1.4790000000000001</v>
      </c>
      <c r="K53" s="540">
        <f t="shared" ref="K53:K84" si="119" xml:space="preserve"> IF( $A53&lt;K$18,  K$15,  MAX( 0, K52-K$16 )   )</f>
        <v>2</v>
      </c>
      <c r="L53" s="541">
        <f t="shared" si="71"/>
        <v>0</v>
      </c>
      <c r="M53" s="541">
        <f t="shared" si="71"/>
        <v>8.5999999999999993E-2</v>
      </c>
      <c r="O53" s="542" t="b">
        <f t="shared" si="59"/>
        <v>1</v>
      </c>
      <c r="P53" s="493">
        <f t="shared" si="85"/>
        <v>2.6800000000000001E-2</v>
      </c>
      <c r="Q53" s="493">
        <f t="shared" si="86"/>
        <v>0.97319999999999995</v>
      </c>
      <c r="R53" s="543">
        <f t="shared" si="87"/>
        <v>618097</v>
      </c>
      <c r="S53" s="544">
        <f t="shared" si="88"/>
        <v>0.97560975599999999</v>
      </c>
      <c r="T53" s="423">
        <f t="shared" si="89"/>
        <v>166990.5</v>
      </c>
      <c r="U53" s="423">
        <f xml:space="preserve"> IF( $O53,    ROUND(  SUM( T53:T$120), U$17 ),  LEER  )</f>
        <v>3322724.85</v>
      </c>
      <c r="V53" s="493">
        <f t="shared" si="90"/>
        <v>19.8977</v>
      </c>
      <c r="W53" s="493">
        <f t="shared" si="91"/>
        <v>246978.95</v>
      </c>
      <c r="X53" s="493">
        <f xml:space="preserve"> IF( $O53,    ROUND(  SUM( W53:W$120), X$17 ),  LEER  )</f>
        <v>10205957.92</v>
      </c>
      <c r="Y53" s="493">
        <f t="shared" si="92"/>
        <v>61.116999999999997</v>
      </c>
      <c r="Z53" s="493">
        <f t="shared" si="93"/>
        <v>3.0716000000000001</v>
      </c>
      <c r="AA53" s="493">
        <f t="shared" si="94"/>
        <v>1.0092000000000001</v>
      </c>
      <c r="AB53" s="493">
        <f t="shared" si="95"/>
        <v>2.3494000000000002</v>
      </c>
      <c r="AC53" s="545">
        <f t="shared" si="96"/>
        <v>0.38600000000000001</v>
      </c>
      <c r="AD53" s="493">
        <f t="shared" si="97"/>
        <v>3.1034000000000002</v>
      </c>
      <c r="AE53" s="493">
        <f t="shared" si="98"/>
        <v>3.8176999999999999</v>
      </c>
      <c r="AF53" s="493">
        <f t="shared" si="99"/>
        <v>3.8176999999999999</v>
      </c>
      <c r="AG53" s="493" t="str">
        <f t="shared" si="100"/>
        <v>.</v>
      </c>
      <c r="AH53" s="493" t="str">
        <f t="shared" si="101"/>
        <v>.</v>
      </c>
      <c r="AI53" s="423">
        <f t="shared" si="102"/>
        <v>2077.79</v>
      </c>
      <c r="AJ53" s="423">
        <f t="shared" si="103"/>
        <v>7932.38</v>
      </c>
      <c r="AK53" s="423">
        <f t="shared" si="104"/>
        <v>661.03</v>
      </c>
      <c r="AN53" s="423">
        <f t="shared" si="72"/>
        <v>50333.79</v>
      </c>
      <c r="AO53" s="423">
        <f t="shared" si="72"/>
        <v>49415.97</v>
      </c>
      <c r="AR53" s="546">
        <f xml:space="preserve"> ROUND(  INDEX( Kx!53:53, AR$16 ),  AR$17 )</f>
        <v>0.76959999999999995</v>
      </c>
      <c r="AS53" s="547">
        <f xml:space="preserve"> ROUND(  INDEX( qx!53:53, AS$16 ),  AS$17 )</f>
        <v>2.0999999999999999E-3</v>
      </c>
      <c r="AT53" s="547">
        <f xml:space="preserve"> ROUND(  INDEX( qx!53:53, AT$16 ),  AT$17 )</f>
        <v>1.4E-3</v>
      </c>
      <c r="AU53" s="548" t="str">
        <f t="shared" si="105"/>
        <v>F</v>
      </c>
      <c r="AV53" s="542">
        <f t="shared" si="106"/>
        <v>0.69010000000000005</v>
      </c>
      <c r="AW53" s="542">
        <f t="shared" si="107"/>
        <v>1.9E-3</v>
      </c>
      <c r="AX53" s="546">
        <f xml:space="preserve"> ROUND(  INDEX( wx!53:53, AX$16 ),  AX$17 )</f>
        <v>2.2499999999999999E-2</v>
      </c>
      <c r="AY53" s="546">
        <f xml:space="preserve"> ROUND(  INDEX( wx!53:53, AY$16 ),  AY$17 )</f>
        <v>3.6700000000000003E-2</v>
      </c>
      <c r="AZ53" s="548" t="str">
        <f t="shared" si="108"/>
        <v>M</v>
      </c>
      <c r="BA53" s="542">
        <f t="shared" si="109"/>
        <v>0.83360000000000001</v>
      </c>
      <c r="BB53" s="542">
        <f t="shared" si="110"/>
        <v>2.4899999999999999E-2</v>
      </c>
      <c r="BC53" s="533">
        <f xml:space="preserve"> ROUND(  INDEX( Kx!53:53, BC$16 ),  BC$17 )</f>
        <v>2895.45</v>
      </c>
      <c r="BD53" s="533">
        <f xml:space="preserve"> ROUND(  INDEX( Kx!53:53, BD$16 ),  BD$17 )</f>
        <v>3469.18</v>
      </c>
      <c r="BE53" s="548" t="str">
        <f t="shared" si="60"/>
        <v>F</v>
      </c>
      <c r="BF53" s="542">
        <f t="shared" si="111"/>
        <v>0.69010000000000005</v>
      </c>
      <c r="BG53" s="420">
        <f t="shared" si="112"/>
        <v>3073.25</v>
      </c>
      <c r="BQ53" s="549"/>
      <c r="BR53" s="423"/>
      <c r="BS53" s="550"/>
      <c r="BT53" s="423"/>
      <c r="BU53" s="551"/>
      <c r="BV53" s="551"/>
      <c r="BW53" s="529"/>
      <c r="BX53" s="552"/>
      <c r="BY53" s="560"/>
      <c r="BZ53" s="559"/>
      <c r="CB53" s="423"/>
      <c r="CC53" s="423"/>
      <c r="CD53" s="423"/>
      <c r="CE53" s="423"/>
      <c r="CF53" s="553"/>
      <c r="CH53" s="423"/>
      <c r="CI53" s="423"/>
      <c r="CJ53" s="423"/>
      <c r="CK53" s="423"/>
      <c r="CL53" s="553"/>
      <c r="CN53" s="423"/>
      <c r="CO53" s="423"/>
      <c r="CP53" s="423"/>
      <c r="CQ53" s="423"/>
      <c r="CR53" s="553"/>
      <c r="EI53" s="553"/>
      <c r="EJ53" s="553"/>
      <c r="EK53" s="423"/>
      <c r="EL53" s="555"/>
      <c r="ES53" s="533"/>
      <c r="ET53" s="533"/>
      <c r="EU53" s="533"/>
      <c r="EV53" s="556"/>
      <c r="EY53" s="533"/>
      <c r="EZ53" s="533"/>
      <c r="FA53" s="556"/>
      <c r="FD53" s="556"/>
      <c r="FE53" s="556"/>
      <c r="FF53" s="556"/>
      <c r="FK53" s="557">
        <f t="shared" si="113"/>
        <v>53</v>
      </c>
      <c r="FL53" s="493">
        <f t="shared" si="114"/>
        <v>61.116999999999997</v>
      </c>
      <c r="FM53" s="493">
        <f t="shared" si="115"/>
        <v>19.8977</v>
      </c>
      <c r="FO53" s="427">
        <f t="shared" si="61"/>
        <v>1471223.06</v>
      </c>
      <c r="FP53" s="558">
        <f t="shared" si="116"/>
        <v>77359.86</v>
      </c>
      <c r="FQ53" s="558">
        <f t="shared" si="116"/>
        <v>75685.460000000006</v>
      </c>
      <c r="FR53" s="558">
        <f t="shared" si="116"/>
        <v>74006.929999999993</v>
      </c>
      <c r="FS53" s="558">
        <f t="shared" si="116"/>
        <v>72328.39</v>
      </c>
      <c r="FT53" s="558">
        <f t="shared" si="116"/>
        <v>70591.97</v>
      </c>
      <c r="FU53" s="558">
        <f t="shared" si="116"/>
        <v>68805.95</v>
      </c>
      <c r="FV53" s="558">
        <f t="shared" si="116"/>
        <v>67036.460000000006</v>
      </c>
      <c r="FW53" s="558">
        <f t="shared" si="116"/>
        <v>65254.559999999998</v>
      </c>
      <c r="FX53" s="558">
        <f t="shared" si="116"/>
        <v>63410.65</v>
      </c>
      <c r="FY53" s="558">
        <f t="shared" si="116"/>
        <v>61492.33</v>
      </c>
      <c r="FZ53" s="558">
        <f t="shared" si="116"/>
        <v>59561.599999999999</v>
      </c>
      <c r="GA53" s="558">
        <f t="shared" si="116"/>
        <v>57601.93</v>
      </c>
      <c r="GB53" s="558">
        <f t="shared" si="116"/>
        <v>55596.78</v>
      </c>
      <c r="GC53" s="558">
        <f t="shared" si="116"/>
        <v>53583.37</v>
      </c>
      <c r="GD53" s="558">
        <f t="shared" si="116"/>
        <v>51507.93</v>
      </c>
      <c r="GE53" s="558">
        <f t="shared" si="116"/>
        <v>49415.97</v>
      </c>
      <c r="GF53" s="558">
        <f t="shared" si="81"/>
        <v>47261.98</v>
      </c>
      <c r="GG53" s="558">
        <f t="shared" si="81"/>
        <v>45058.39</v>
      </c>
      <c r="GH53" s="558">
        <f t="shared" si="81"/>
        <v>42792.78</v>
      </c>
      <c r="GI53" s="558">
        <f t="shared" si="81"/>
        <v>40461.019999999997</v>
      </c>
      <c r="GJ53" s="558">
        <f t="shared" si="81"/>
        <v>38058.980000000003</v>
      </c>
      <c r="GK53" s="558">
        <f t="shared" si="81"/>
        <v>35565.980000000003</v>
      </c>
      <c r="GL53" s="558">
        <f t="shared" si="81"/>
        <v>32982.03</v>
      </c>
      <c r="GM53" s="558">
        <f t="shared" si="81"/>
        <v>30302.99</v>
      </c>
      <c r="GN53" s="558">
        <f t="shared" si="81"/>
        <v>27516.45</v>
      </c>
      <c r="GO53" s="558">
        <f t="shared" si="81"/>
        <v>24643.1</v>
      </c>
      <c r="GP53" s="558">
        <f t="shared" si="81"/>
        <v>21670.52</v>
      </c>
      <c r="GQ53" s="558">
        <f t="shared" si="81"/>
        <v>18606.98</v>
      </c>
      <c r="GR53" s="558">
        <f t="shared" si="81"/>
        <v>15460.76</v>
      </c>
      <c r="GS53" s="558">
        <f t="shared" si="81"/>
        <v>12235.99</v>
      </c>
      <c r="GT53" s="558">
        <f t="shared" si="81"/>
        <v>8945.07</v>
      </c>
      <c r="GU53" s="558">
        <f t="shared" si="117"/>
        <v>5575.59</v>
      </c>
      <c r="GV53" s="558">
        <f t="shared" si="117"/>
        <v>2160.64</v>
      </c>
      <c r="GW53" s="558">
        <f t="shared" si="117"/>
        <v>-1316.33</v>
      </c>
      <c r="GX53" s="558" t="str">
        <f t="shared" si="117"/>
        <v>.</v>
      </c>
      <c r="GY53" s="558" t="str">
        <f t="shared" si="117"/>
        <v>.</v>
      </c>
      <c r="GZ53" s="558" t="str">
        <f t="shared" si="117"/>
        <v>.</v>
      </c>
      <c r="HA53" s="558" t="str">
        <f t="shared" si="117"/>
        <v>.</v>
      </c>
      <c r="HB53" s="558" t="str">
        <f t="shared" si="117"/>
        <v>.</v>
      </c>
      <c r="HC53" s="558" t="str">
        <f t="shared" si="117"/>
        <v>.</v>
      </c>
      <c r="HD53" s="558" t="str">
        <f t="shared" si="117"/>
        <v>.</v>
      </c>
      <c r="HE53" s="558" t="str">
        <f t="shared" si="117"/>
        <v>.</v>
      </c>
      <c r="HF53" s="558" t="str">
        <f t="shared" si="117"/>
        <v>.</v>
      </c>
      <c r="HG53" s="558" t="str">
        <f t="shared" si="117"/>
        <v>.</v>
      </c>
      <c r="HH53" s="558" t="str">
        <f t="shared" si="117"/>
        <v>.</v>
      </c>
      <c r="HI53" s="558" t="str">
        <f t="shared" si="117"/>
        <v>.</v>
      </c>
      <c r="HJ53" s="558" t="str">
        <f t="shared" si="117"/>
        <v>.</v>
      </c>
      <c r="HK53" s="558" t="str">
        <f t="shared" si="82"/>
        <v>.</v>
      </c>
      <c r="HL53" s="558" t="str">
        <f t="shared" si="82"/>
        <v>.</v>
      </c>
      <c r="HM53" s="558" t="str">
        <f t="shared" si="82"/>
        <v>.</v>
      </c>
      <c r="HN53" s="558" t="str">
        <f t="shared" si="82"/>
        <v>.</v>
      </c>
      <c r="HO53" s="558" t="str">
        <f t="shared" si="82"/>
        <v>.</v>
      </c>
      <c r="HP53" s="558" t="str">
        <f t="shared" si="82"/>
        <v>.</v>
      </c>
      <c r="HQ53" s="558" t="str">
        <f t="shared" si="82"/>
        <v>.</v>
      </c>
      <c r="HR53" s="558" t="str">
        <f t="shared" si="82"/>
        <v>.</v>
      </c>
      <c r="HS53" s="558" t="str">
        <f t="shared" si="82"/>
        <v>.</v>
      </c>
      <c r="HT53" s="558" t="str">
        <f t="shared" si="82"/>
        <v>.</v>
      </c>
      <c r="HU53" s="558" t="str">
        <f t="shared" si="82"/>
        <v>.</v>
      </c>
      <c r="HV53" s="558" t="str">
        <f t="shared" si="82"/>
        <v>.</v>
      </c>
      <c r="HW53" s="558" t="str">
        <f t="shared" si="82"/>
        <v>.</v>
      </c>
      <c r="HX53" s="558" t="str">
        <f t="shared" si="82"/>
        <v>.</v>
      </c>
      <c r="HY53" s="558" t="str">
        <f t="shared" si="82"/>
        <v>.</v>
      </c>
      <c r="HZ53" s="558" t="str">
        <f t="shared" si="82"/>
        <v>.</v>
      </c>
      <c r="IA53" s="558" t="str">
        <f t="shared" si="82"/>
        <v>.</v>
      </c>
      <c r="IB53" s="558" t="str">
        <f t="shared" si="83"/>
        <v>.</v>
      </c>
      <c r="IC53" s="558" t="str">
        <f t="shared" si="83"/>
        <v>.</v>
      </c>
      <c r="ID53" s="558" t="str">
        <f t="shared" si="83"/>
        <v>.</v>
      </c>
      <c r="IE53" s="558" t="str">
        <f t="shared" si="83"/>
        <v>.</v>
      </c>
      <c r="IF53" s="558" t="str">
        <f t="shared" si="83"/>
        <v>.</v>
      </c>
      <c r="IG53" s="558" t="str">
        <f t="shared" si="83"/>
        <v>.</v>
      </c>
      <c r="IH53" s="558" t="str">
        <f t="shared" si="83"/>
        <v>.</v>
      </c>
      <c r="II53" s="558" t="str">
        <f t="shared" si="83"/>
        <v>.</v>
      </c>
      <c r="IJ53" s="558" t="str">
        <f t="shared" si="83"/>
        <v>.</v>
      </c>
      <c r="IK53" s="558" t="str">
        <f t="shared" si="83"/>
        <v>.</v>
      </c>
      <c r="IL53" s="558" t="str">
        <f t="shared" si="83"/>
        <v>.</v>
      </c>
      <c r="IM53" s="558" t="str">
        <f t="shared" si="83"/>
        <v>.</v>
      </c>
      <c r="IN53" s="558" t="str">
        <f t="shared" si="83"/>
        <v>.</v>
      </c>
      <c r="IO53" s="558" t="str">
        <f t="shared" si="77"/>
        <v>.</v>
      </c>
      <c r="IP53" s="558" t="str">
        <f t="shared" si="77"/>
        <v>.</v>
      </c>
      <c r="IQ53" s="558" t="str">
        <f t="shared" si="77"/>
        <v>.</v>
      </c>
      <c r="IR53" s="558" t="str">
        <f t="shared" si="77"/>
        <v>.</v>
      </c>
      <c r="IS53" s="558" t="str">
        <f t="shared" si="77"/>
        <v>.</v>
      </c>
      <c r="IT53" s="558" t="str">
        <f t="shared" si="77"/>
        <v>.</v>
      </c>
      <c r="IU53" s="558" t="str">
        <f t="shared" si="77"/>
        <v>.</v>
      </c>
      <c r="IV53" s="558" t="str">
        <f t="shared" si="77"/>
        <v>.</v>
      </c>
      <c r="IW53" s="558" t="str">
        <f t="shared" si="77"/>
        <v>.</v>
      </c>
      <c r="IX53" s="558" t="str">
        <f t="shared" si="77"/>
        <v>.</v>
      </c>
      <c r="IY53" s="558" t="str">
        <f t="shared" si="77"/>
        <v>.</v>
      </c>
      <c r="IZ53" s="558" t="str">
        <f t="shared" si="77"/>
        <v>.</v>
      </c>
      <c r="JA53" s="558" t="str">
        <f t="shared" si="77"/>
        <v>.</v>
      </c>
      <c r="JB53" s="558" t="str">
        <f t="shared" si="77"/>
        <v>.</v>
      </c>
      <c r="JC53" s="558" t="str">
        <f t="shared" si="77"/>
        <v>.</v>
      </c>
      <c r="JD53" s="558" t="str">
        <f t="shared" si="77"/>
        <v>.</v>
      </c>
      <c r="JE53" s="558" t="str">
        <f t="shared" si="77"/>
        <v>.</v>
      </c>
      <c r="JF53" s="558" t="str">
        <f t="shared" si="78"/>
        <v>.</v>
      </c>
      <c r="JG53" s="558" t="str">
        <f t="shared" si="78"/>
        <v>.</v>
      </c>
      <c r="JH53" s="558" t="str">
        <f t="shared" si="118"/>
        <v>.</v>
      </c>
      <c r="JI53" s="558" t="str">
        <f t="shared" si="118"/>
        <v>.</v>
      </c>
      <c r="JJ53" s="558" t="str">
        <f t="shared" si="118"/>
        <v>.</v>
      </c>
      <c r="JK53" s="558" t="str">
        <f t="shared" si="118"/>
        <v>.</v>
      </c>
      <c r="JL53" s="558" t="str">
        <f t="shared" si="118"/>
        <v>.</v>
      </c>
    </row>
    <row r="54" spans="1:272" ht="10.199999999999999" x14ac:dyDescent="0.2">
      <c r="A54" s="534">
        <f xml:space="preserve"> Basis!A54</f>
        <v>54</v>
      </c>
      <c r="F54" s="536">
        <f xml:space="preserve"> ROUND(    IF( $A$15=BE_MF_,   AW54,   INDEX( qx!54:54, F$16 ) ),    F$17    )</f>
        <v>2E-3</v>
      </c>
      <c r="G54" s="536">
        <f xml:space="preserve"> ROUND(    IF( $A$15=BE_MF_,   BB54,   INDEX( wx!54:54, G$16 ) ),    G$17    )</f>
        <v>2.47E-2</v>
      </c>
      <c r="H54" s="537">
        <f xml:space="preserve"> ROUND(    IF( $A$15=BE_MF_,   BG54,   INDEX( Kx!54:54, H$16 ) ),    H$17    )</f>
        <v>3215.49</v>
      </c>
      <c r="I54" s="538">
        <f t="shared" si="57"/>
        <v>3215.49</v>
      </c>
      <c r="J54" s="539">
        <f t="shared" si="84"/>
        <v>1.548</v>
      </c>
      <c r="K54" s="540">
        <f t="shared" si="119"/>
        <v>2</v>
      </c>
      <c r="L54" s="541">
        <f t="shared" si="71"/>
        <v>0</v>
      </c>
      <c r="M54" s="541">
        <f t="shared" si="71"/>
        <v>8.5999999999999993E-2</v>
      </c>
      <c r="O54" s="542" t="b">
        <f t="shared" si="59"/>
        <v>1</v>
      </c>
      <c r="P54" s="493">
        <f t="shared" si="85"/>
        <v>2.6700000000000002E-2</v>
      </c>
      <c r="Q54" s="493">
        <f t="shared" si="86"/>
        <v>0.97330000000000005</v>
      </c>
      <c r="R54" s="543">
        <f t="shared" si="87"/>
        <v>601532</v>
      </c>
      <c r="S54" s="544">
        <f t="shared" si="88"/>
        <v>0.97560975599999999</v>
      </c>
      <c r="T54" s="423">
        <f t="shared" si="89"/>
        <v>158551.37</v>
      </c>
      <c r="U54" s="423">
        <f xml:space="preserve"> IF( $O54,    ROUND(  SUM( T54:T$120), U$17 ),  LEER  )</f>
        <v>3155734.35</v>
      </c>
      <c r="V54" s="493">
        <f t="shared" si="90"/>
        <v>19.903500000000001</v>
      </c>
      <c r="W54" s="493">
        <f t="shared" si="91"/>
        <v>245437.52</v>
      </c>
      <c r="X54" s="493">
        <f xml:space="preserve"> IF( $O54,    ROUND(  SUM( W54:W$120), X$17 ),  LEER  )</f>
        <v>9958978.9700000007</v>
      </c>
      <c r="Y54" s="493">
        <f t="shared" si="92"/>
        <v>62.8123</v>
      </c>
      <c r="Z54" s="493">
        <f t="shared" si="93"/>
        <v>3.1558000000000002</v>
      </c>
      <c r="AA54" s="493">
        <f t="shared" si="94"/>
        <v>1.0092000000000001</v>
      </c>
      <c r="AB54" s="493">
        <f t="shared" si="95"/>
        <v>2.3494000000000002</v>
      </c>
      <c r="AC54" s="545">
        <f t="shared" si="96"/>
        <v>0.38600000000000001</v>
      </c>
      <c r="AD54" s="493">
        <f t="shared" si="97"/>
        <v>3.1884000000000001</v>
      </c>
      <c r="AE54" s="493">
        <f t="shared" si="98"/>
        <v>3.9106999999999998</v>
      </c>
      <c r="AF54" s="493">
        <f t="shared" si="99"/>
        <v>3.9106999999999998</v>
      </c>
      <c r="AG54" s="493" t="str">
        <f t="shared" si="100"/>
        <v>.</v>
      </c>
      <c r="AH54" s="493" t="str">
        <f t="shared" si="101"/>
        <v>.</v>
      </c>
      <c r="AI54" s="423">
        <f t="shared" si="102"/>
        <v>2077.79</v>
      </c>
      <c r="AJ54" s="423">
        <f t="shared" si="103"/>
        <v>8125.61</v>
      </c>
      <c r="AK54" s="423">
        <f t="shared" si="104"/>
        <v>677.13</v>
      </c>
      <c r="AN54" s="423">
        <f t="shared" si="72"/>
        <v>53833.919999999998</v>
      </c>
      <c r="AO54" s="423">
        <f t="shared" si="72"/>
        <v>52915.83</v>
      </c>
      <c r="AR54" s="546">
        <f xml:space="preserve"> ROUND(  INDEX( Kx!54:54, AR$16 ),  AR$17 )</f>
        <v>0.76570000000000005</v>
      </c>
      <c r="AS54" s="547">
        <f xml:space="preserve"> ROUND(  INDEX( qx!54:54, AS$16 ),  AS$17 )</f>
        <v>2.3E-3</v>
      </c>
      <c r="AT54" s="547">
        <f xml:space="preserve"> ROUND(  INDEX( qx!54:54, AT$16 ),  AT$17 )</f>
        <v>1.5E-3</v>
      </c>
      <c r="AU54" s="548" t="str">
        <f t="shared" si="105"/>
        <v>F</v>
      </c>
      <c r="AV54" s="542">
        <f t="shared" si="106"/>
        <v>0.68540000000000001</v>
      </c>
      <c r="AW54" s="542">
        <f t="shared" si="107"/>
        <v>2E-3</v>
      </c>
      <c r="AX54" s="546">
        <f xml:space="preserve"> ROUND(  INDEX( wx!54:54, AX$16 ),  AX$17 )</f>
        <v>2.2499999999999999E-2</v>
      </c>
      <c r="AY54" s="546">
        <f xml:space="preserve"> ROUND(  INDEX( wx!54:54, AY$16 ),  AY$17 )</f>
        <v>3.5200000000000002E-2</v>
      </c>
      <c r="AZ54" s="548" t="str">
        <f t="shared" si="108"/>
        <v>M</v>
      </c>
      <c r="BA54" s="542">
        <f t="shared" si="109"/>
        <v>0.8306</v>
      </c>
      <c r="BB54" s="542">
        <f t="shared" si="110"/>
        <v>2.47E-2</v>
      </c>
      <c r="BC54" s="533">
        <f xml:space="preserve"> ROUND(  INDEX( Kx!54:54, BC$16 ),  BC$17 )</f>
        <v>3053.57</v>
      </c>
      <c r="BD54" s="533">
        <f xml:space="preserve"> ROUND(  INDEX( Kx!54:54, BD$16 ),  BD$17 )</f>
        <v>3568.25</v>
      </c>
      <c r="BE54" s="548" t="str">
        <f t="shared" si="60"/>
        <v>F</v>
      </c>
      <c r="BF54" s="542">
        <f t="shared" si="111"/>
        <v>0.68540000000000001</v>
      </c>
      <c r="BG54" s="420">
        <f t="shared" si="112"/>
        <v>3215.49</v>
      </c>
      <c r="BQ54" s="549"/>
      <c r="BR54" s="423"/>
      <c r="BS54" s="550"/>
      <c r="BT54" s="423"/>
      <c r="BU54" s="551"/>
      <c r="BV54" s="551"/>
      <c r="BW54" s="529"/>
      <c r="BX54" s="552"/>
      <c r="BY54" s="560"/>
      <c r="BZ54" s="559"/>
      <c r="CB54" s="423"/>
      <c r="CC54" s="423"/>
      <c r="CD54" s="423"/>
      <c r="CE54" s="423"/>
      <c r="CF54" s="553"/>
      <c r="CH54" s="423"/>
      <c r="CI54" s="423"/>
      <c r="CJ54" s="423"/>
      <c r="CK54" s="423"/>
      <c r="CL54" s="553"/>
      <c r="CN54" s="423"/>
      <c r="CO54" s="423"/>
      <c r="CP54" s="423"/>
      <c r="CQ54" s="423"/>
      <c r="CR54" s="553"/>
      <c r="EI54" s="553"/>
      <c r="EJ54" s="553"/>
      <c r="EK54" s="423"/>
      <c r="EL54" s="555"/>
      <c r="ES54" s="533"/>
      <c r="ET54" s="533"/>
      <c r="EU54" s="533"/>
      <c r="EV54" s="556"/>
      <c r="EY54" s="533"/>
      <c r="EZ54" s="533"/>
      <c r="FA54" s="556"/>
      <c r="FD54" s="556"/>
      <c r="FE54" s="556"/>
      <c r="FF54" s="556"/>
      <c r="FK54" s="557">
        <f t="shared" si="113"/>
        <v>54</v>
      </c>
      <c r="FL54" s="493">
        <f t="shared" si="114"/>
        <v>62.8123</v>
      </c>
      <c r="FM54" s="493">
        <f t="shared" si="115"/>
        <v>19.903500000000001</v>
      </c>
      <c r="FO54" s="427">
        <f t="shared" si="61"/>
        <v>1588811.12</v>
      </c>
      <c r="FP54" s="558">
        <f t="shared" si="116"/>
        <v>80867.87</v>
      </c>
      <c r="FQ54" s="558">
        <f t="shared" si="116"/>
        <v>79192.990000000005</v>
      </c>
      <c r="FR54" s="558">
        <f t="shared" si="116"/>
        <v>77513.960000000006</v>
      </c>
      <c r="FS54" s="558">
        <f t="shared" si="116"/>
        <v>75834.94</v>
      </c>
      <c r="FT54" s="558">
        <f t="shared" si="116"/>
        <v>74098.009999999995</v>
      </c>
      <c r="FU54" s="558">
        <f t="shared" si="116"/>
        <v>72311.460000000006</v>
      </c>
      <c r="FV54" s="558">
        <f t="shared" si="116"/>
        <v>70541.460000000006</v>
      </c>
      <c r="FW54" s="558">
        <f t="shared" si="116"/>
        <v>68759.039999999994</v>
      </c>
      <c r="FX54" s="558">
        <f t="shared" si="116"/>
        <v>66914.600000000006</v>
      </c>
      <c r="FY54" s="558">
        <f t="shared" si="116"/>
        <v>64995.71</v>
      </c>
      <c r="FZ54" s="558">
        <f t="shared" si="116"/>
        <v>63064.42</v>
      </c>
      <c r="GA54" s="558">
        <f t="shared" si="116"/>
        <v>61104.18</v>
      </c>
      <c r="GB54" s="558">
        <f t="shared" si="116"/>
        <v>59098.45</v>
      </c>
      <c r="GC54" s="558">
        <f t="shared" si="116"/>
        <v>57084.45</v>
      </c>
      <c r="GD54" s="558">
        <f t="shared" si="116"/>
        <v>55008.41</v>
      </c>
      <c r="GE54" s="558">
        <f t="shared" si="116"/>
        <v>52915.83</v>
      </c>
      <c r="GF54" s="558">
        <f t="shared" si="81"/>
        <v>50761.22</v>
      </c>
      <c r="GG54" s="558">
        <f t="shared" si="81"/>
        <v>48556.98</v>
      </c>
      <c r="GH54" s="558">
        <f t="shared" si="81"/>
        <v>46290.71</v>
      </c>
      <c r="GI54" s="558">
        <f t="shared" si="81"/>
        <v>43958.28</v>
      </c>
      <c r="GJ54" s="558">
        <f t="shared" si="81"/>
        <v>41555.53</v>
      </c>
      <c r="GK54" s="558">
        <f t="shared" si="81"/>
        <v>39061.81</v>
      </c>
      <c r="GL54" s="558">
        <f t="shared" si="81"/>
        <v>36477.1</v>
      </c>
      <c r="GM54" s="558">
        <f t="shared" si="81"/>
        <v>33797.279999999999</v>
      </c>
      <c r="GN54" s="558">
        <f t="shared" si="81"/>
        <v>31009.93</v>
      </c>
      <c r="GO54" s="558">
        <f t="shared" si="81"/>
        <v>28135.74</v>
      </c>
      <c r="GP54" s="558">
        <f t="shared" si="81"/>
        <v>25162.29</v>
      </c>
      <c r="GQ54" s="558">
        <f t="shared" si="81"/>
        <v>22097.87</v>
      </c>
      <c r="GR54" s="558">
        <f t="shared" si="81"/>
        <v>18950.73</v>
      </c>
      <c r="GS54" s="558">
        <f t="shared" si="81"/>
        <v>15725.02</v>
      </c>
      <c r="GT54" s="558">
        <f t="shared" si="81"/>
        <v>12433.14</v>
      </c>
      <c r="GU54" s="558">
        <f t="shared" si="117"/>
        <v>9062.68</v>
      </c>
      <c r="GV54" s="558">
        <f t="shared" si="117"/>
        <v>5646.73</v>
      </c>
      <c r="GW54" s="558">
        <f t="shared" si="117"/>
        <v>2168.75</v>
      </c>
      <c r="GX54" s="558">
        <f t="shared" si="117"/>
        <v>-1346.45</v>
      </c>
      <c r="GY54" s="558" t="str">
        <f t="shared" si="117"/>
        <v>.</v>
      </c>
      <c r="GZ54" s="558" t="str">
        <f t="shared" si="117"/>
        <v>.</v>
      </c>
      <c r="HA54" s="558" t="str">
        <f t="shared" si="117"/>
        <v>.</v>
      </c>
      <c r="HB54" s="558" t="str">
        <f t="shared" si="117"/>
        <v>.</v>
      </c>
      <c r="HC54" s="558" t="str">
        <f t="shared" si="117"/>
        <v>.</v>
      </c>
      <c r="HD54" s="558" t="str">
        <f t="shared" si="117"/>
        <v>.</v>
      </c>
      <c r="HE54" s="558" t="str">
        <f t="shared" si="117"/>
        <v>.</v>
      </c>
      <c r="HF54" s="558" t="str">
        <f t="shared" si="117"/>
        <v>.</v>
      </c>
      <c r="HG54" s="558" t="str">
        <f t="shared" si="117"/>
        <v>.</v>
      </c>
      <c r="HH54" s="558" t="str">
        <f t="shared" si="117"/>
        <v>.</v>
      </c>
      <c r="HI54" s="558" t="str">
        <f t="shared" si="117"/>
        <v>.</v>
      </c>
      <c r="HJ54" s="558" t="str">
        <f t="shared" si="117"/>
        <v>.</v>
      </c>
      <c r="HK54" s="558" t="str">
        <f t="shared" si="82"/>
        <v>.</v>
      </c>
      <c r="HL54" s="558" t="str">
        <f t="shared" si="82"/>
        <v>.</v>
      </c>
      <c r="HM54" s="558" t="str">
        <f t="shared" si="82"/>
        <v>.</v>
      </c>
      <c r="HN54" s="558" t="str">
        <f t="shared" si="82"/>
        <v>.</v>
      </c>
      <c r="HO54" s="558" t="str">
        <f t="shared" si="82"/>
        <v>.</v>
      </c>
      <c r="HP54" s="558" t="str">
        <f t="shared" si="82"/>
        <v>.</v>
      </c>
      <c r="HQ54" s="558" t="str">
        <f t="shared" si="82"/>
        <v>.</v>
      </c>
      <c r="HR54" s="558" t="str">
        <f t="shared" si="82"/>
        <v>.</v>
      </c>
      <c r="HS54" s="558" t="str">
        <f t="shared" si="82"/>
        <v>.</v>
      </c>
      <c r="HT54" s="558" t="str">
        <f t="shared" si="82"/>
        <v>.</v>
      </c>
      <c r="HU54" s="558" t="str">
        <f t="shared" si="82"/>
        <v>.</v>
      </c>
      <c r="HV54" s="558" t="str">
        <f t="shared" si="82"/>
        <v>.</v>
      </c>
      <c r="HW54" s="558" t="str">
        <f t="shared" si="82"/>
        <v>.</v>
      </c>
      <c r="HX54" s="558" t="str">
        <f t="shared" si="82"/>
        <v>.</v>
      </c>
      <c r="HY54" s="558" t="str">
        <f t="shared" si="82"/>
        <v>.</v>
      </c>
      <c r="HZ54" s="558" t="str">
        <f t="shared" si="82"/>
        <v>.</v>
      </c>
      <c r="IA54" s="558" t="str">
        <f t="shared" si="82"/>
        <v>.</v>
      </c>
      <c r="IB54" s="558" t="str">
        <f t="shared" si="83"/>
        <v>.</v>
      </c>
      <c r="IC54" s="558" t="str">
        <f t="shared" si="83"/>
        <v>.</v>
      </c>
      <c r="ID54" s="558" t="str">
        <f t="shared" si="83"/>
        <v>.</v>
      </c>
      <c r="IE54" s="558" t="str">
        <f t="shared" si="83"/>
        <v>.</v>
      </c>
      <c r="IF54" s="558" t="str">
        <f t="shared" si="83"/>
        <v>.</v>
      </c>
      <c r="IG54" s="558" t="str">
        <f t="shared" si="83"/>
        <v>.</v>
      </c>
      <c r="IH54" s="558" t="str">
        <f t="shared" si="83"/>
        <v>.</v>
      </c>
      <c r="II54" s="558" t="str">
        <f t="shared" si="83"/>
        <v>.</v>
      </c>
      <c r="IJ54" s="558" t="str">
        <f t="shared" si="83"/>
        <v>.</v>
      </c>
      <c r="IK54" s="558" t="str">
        <f t="shared" si="83"/>
        <v>.</v>
      </c>
      <c r="IL54" s="558" t="str">
        <f t="shared" si="83"/>
        <v>.</v>
      </c>
      <c r="IM54" s="558" t="str">
        <f t="shared" si="83"/>
        <v>.</v>
      </c>
      <c r="IN54" s="558" t="str">
        <f t="shared" si="83"/>
        <v>.</v>
      </c>
      <c r="IO54" s="558" t="str">
        <f t="shared" si="77"/>
        <v>.</v>
      </c>
      <c r="IP54" s="558" t="str">
        <f t="shared" si="77"/>
        <v>.</v>
      </c>
      <c r="IQ54" s="558" t="str">
        <f t="shared" si="77"/>
        <v>.</v>
      </c>
      <c r="IR54" s="558" t="str">
        <f t="shared" si="77"/>
        <v>.</v>
      </c>
      <c r="IS54" s="558" t="str">
        <f t="shared" si="77"/>
        <v>.</v>
      </c>
      <c r="IT54" s="558" t="str">
        <f t="shared" si="77"/>
        <v>.</v>
      </c>
      <c r="IU54" s="558" t="str">
        <f t="shared" si="77"/>
        <v>.</v>
      </c>
      <c r="IV54" s="558" t="str">
        <f t="shared" si="77"/>
        <v>.</v>
      </c>
      <c r="IW54" s="558" t="str">
        <f t="shared" si="77"/>
        <v>.</v>
      </c>
      <c r="IX54" s="558" t="str">
        <f t="shared" si="77"/>
        <v>.</v>
      </c>
      <c r="IY54" s="558" t="str">
        <f t="shared" si="77"/>
        <v>.</v>
      </c>
      <c r="IZ54" s="558" t="str">
        <f t="shared" si="77"/>
        <v>.</v>
      </c>
      <c r="JA54" s="558" t="str">
        <f t="shared" si="77"/>
        <v>.</v>
      </c>
      <c r="JB54" s="558" t="str">
        <f t="shared" si="77"/>
        <v>.</v>
      </c>
      <c r="JC54" s="558" t="str">
        <f t="shared" si="77"/>
        <v>.</v>
      </c>
      <c r="JD54" s="558" t="str">
        <f t="shared" si="77"/>
        <v>.</v>
      </c>
      <c r="JE54" s="558" t="str">
        <f t="shared" si="77"/>
        <v>.</v>
      </c>
      <c r="JF54" s="558" t="str">
        <f t="shared" si="78"/>
        <v>.</v>
      </c>
      <c r="JG54" s="558" t="str">
        <f t="shared" si="78"/>
        <v>.</v>
      </c>
      <c r="JH54" s="558" t="str">
        <f t="shared" si="118"/>
        <v>.</v>
      </c>
      <c r="JI54" s="558" t="str">
        <f t="shared" si="118"/>
        <v>.</v>
      </c>
      <c r="JJ54" s="558" t="str">
        <f t="shared" si="118"/>
        <v>.</v>
      </c>
      <c r="JK54" s="558" t="str">
        <f t="shared" si="118"/>
        <v>.</v>
      </c>
      <c r="JL54" s="558" t="str">
        <f t="shared" si="118"/>
        <v>.</v>
      </c>
    </row>
    <row r="55" spans="1:272" ht="10.199999999999999" x14ac:dyDescent="0.2">
      <c r="A55" s="534">
        <f xml:space="preserve"> Basis!A55</f>
        <v>55</v>
      </c>
      <c r="F55" s="536">
        <f xml:space="preserve"> ROUND(    IF( $A$15=BE_MF_,   AW55,   INDEX( qx!55:55, F$16 ) ),    F$17    )</f>
        <v>2.3E-3</v>
      </c>
      <c r="G55" s="536">
        <f xml:space="preserve"> ROUND(    IF( $A$15=BE_MF_,   BB55,   INDEX( wx!55:55, G$16 ) ),    G$17    )</f>
        <v>2.18E-2</v>
      </c>
      <c r="H55" s="537">
        <f xml:space="preserve"> ROUND(    IF( $A$15=BE_MF_,   BG55,   INDEX( Kx!55:55, H$16 ) ),    H$17    )</f>
        <v>3361.74</v>
      </c>
      <c r="I55" s="538">
        <f t="shared" si="57"/>
        <v>3361.74</v>
      </c>
      <c r="J55" s="539">
        <f t="shared" si="84"/>
        <v>1.6180000000000001</v>
      </c>
      <c r="K55" s="540">
        <f t="shared" si="119"/>
        <v>2</v>
      </c>
      <c r="L55" s="541">
        <f t="shared" si="71"/>
        <v>0</v>
      </c>
      <c r="M55" s="541">
        <f t="shared" si="71"/>
        <v>8.5999999999999993E-2</v>
      </c>
      <c r="O55" s="542" t="b">
        <f t="shared" si="59"/>
        <v>1</v>
      </c>
      <c r="P55" s="493">
        <f t="shared" si="85"/>
        <v>2.41E-2</v>
      </c>
      <c r="Q55" s="493">
        <f t="shared" si="86"/>
        <v>0.97589999999999999</v>
      </c>
      <c r="R55" s="543">
        <f t="shared" si="87"/>
        <v>585471</v>
      </c>
      <c r="S55" s="544">
        <f t="shared" si="88"/>
        <v>0.97560975599999999</v>
      </c>
      <c r="T55" s="423">
        <f t="shared" si="89"/>
        <v>150554.17000000001</v>
      </c>
      <c r="U55" s="423">
        <f xml:space="preserve"> IF( $O55,    ROUND(  SUM( T55:T$120), U$17 ),  LEER  )</f>
        <v>2997182.98</v>
      </c>
      <c r="V55" s="493">
        <f t="shared" si="90"/>
        <v>19.907699999999998</v>
      </c>
      <c r="W55" s="493">
        <f t="shared" si="91"/>
        <v>243596.65</v>
      </c>
      <c r="X55" s="493">
        <f xml:space="preserve"> IF( $O55,    ROUND(  SUM( W55:W$120), X$17 ),  LEER  )</f>
        <v>9713541.4499999993</v>
      </c>
      <c r="Y55" s="493">
        <f t="shared" si="92"/>
        <v>64.518600000000006</v>
      </c>
      <c r="Z55" s="493">
        <f t="shared" si="93"/>
        <v>3.2408999999999999</v>
      </c>
      <c r="AA55" s="493">
        <f t="shared" si="94"/>
        <v>1.0092000000000001</v>
      </c>
      <c r="AB55" s="493">
        <f t="shared" si="95"/>
        <v>2.3494000000000002</v>
      </c>
      <c r="AC55" s="545">
        <f t="shared" si="96"/>
        <v>0.38600000000000001</v>
      </c>
      <c r="AD55" s="493">
        <f t="shared" si="97"/>
        <v>3.2743000000000002</v>
      </c>
      <c r="AE55" s="493">
        <f t="shared" si="98"/>
        <v>4.0046999999999997</v>
      </c>
      <c r="AF55" s="493">
        <f t="shared" si="99"/>
        <v>4.0046999999999997</v>
      </c>
      <c r="AG55" s="493" t="str">
        <f t="shared" si="100"/>
        <v>.</v>
      </c>
      <c r="AH55" s="493" t="str">
        <f t="shared" si="101"/>
        <v>.</v>
      </c>
      <c r="AI55" s="423">
        <f t="shared" si="102"/>
        <v>2077.79</v>
      </c>
      <c r="AJ55" s="423">
        <f t="shared" si="103"/>
        <v>8320.93</v>
      </c>
      <c r="AK55" s="423">
        <f t="shared" si="104"/>
        <v>693.41</v>
      </c>
      <c r="AN55" s="423">
        <f t="shared" si="72"/>
        <v>57363.07</v>
      </c>
      <c r="AO55" s="423">
        <f t="shared" si="72"/>
        <v>56444.79</v>
      </c>
      <c r="AR55" s="546">
        <f xml:space="preserve"> ROUND(  INDEX( Kx!55:55, AR$16 ),  AR$17 )</f>
        <v>0.76249999999999996</v>
      </c>
      <c r="AS55" s="547">
        <f xml:space="preserve"> ROUND(  INDEX( qx!55:55, AS$16 ),  AS$17 )</f>
        <v>2.5999999999999999E-3</v>
      </c>
      <c r="AT55" s="547">
        <f xml:space="preserve"> ROUND(  INDEX( qx!55:55, AT$16 ),  AT$17 )</f>
        <v>1.6999999999999999E-3</v>
      </c>
      <c r="AU55" s="548" t="str">
        <f t="shared" si="105"/>
        <v>F</v>
      </c>
      <c r="AV55" s="542">
        <f t="shared" si="106"/>
        <v>0.68159999999999998</v>
      </c>
      <c r="AW55" s="542">
        <f t="shared" si="107"/>
        <v>2.3E-3</v>
      </c>
      <c r="AX55" s="546">
        <f xml:space="preserve"> ROUND(  INDEX( wx!55:55, AX$16 ),  AX$17 )</f>
        <v>2.0500000000000001E-2</v>
      </c>
      <c r="AY55" s="546">
        <f xml:space="preserve"> ROUND(  INDEX( wx!55:55, AY$16 ),  AY$17 )</f>
        <v>2.8000000000000001E-2</v>
      </c>
      <c r="AZ55" s="548" t="str">
        <f t="shared" si="108"/>
        <v>M</v>
      </c>
      <c r="BA55" s="542">
        <f t="shared" si="109"/>
        <v>0.82809999999999995</v>
      </c>
      <c r="BB55" s="542">
        <f t="shared" si="110"/>
        <v>2.18E-2</v>
      </c>
      <c r="BC55" s="533">
        <f xml:space="preserve"> ROUND(  INDEX( Kx!55:55, BC$16 ),  BC$17 )</f>
        <v>3218.87</v>
      </c>
      <c r="BD55" s="533">
        <f xml:space="preserve"> ROUND(  INDEX( Kx!55:55, BD$16 ),  BD$17 )</f>
        <v>3667.58</v>
      </c>
      <c r="BE55" s="548" t="str">
        <f t="shared" si="60"/>
        <v>F</v>
      </c>
      <c r="BF55" s="542">
        <f t="shared" si="111"/>
        <v>0.68159999999999998</v>
      </c>
      <c r="BG55" s="420">
        <f t="shared" si="112"/>
        <v>3361.74</v>
      </c>
      <c r="BQ55" s="549"/>
      <c r="BR55" s="423"/>
      <c r="BS55" s="550"/>
      <c r="BT55" s="423"/>
      <c r="BU55" s="551"/>
      <c r="BV55" s="551"/>
      <c r="BW55" s="529"/>
      <c r="BX55" s="552"/>
      <c r="BY55" s="560"/>
      <c r="BZ55" s="559"/>
      <c r="CB55" s="423"/>
      <c r="CC55" s="423"/>
      <c r="CD55" s="423"/>
      <c r="CE55" s="423"/>
      <c r="CF55" s="553"/>
      <c r="CH55" s="423"/>
      <c r="CI55" s="423"/>
      <c r="CJ55" s="423"/>
      <c r="CK55" s="423"/>
      <c r="CL55" s="553"/>
      <c r="CN55" s="423"/>
      <c r="CO55" s="423"/>
      <c r="CP55" s="423"/>
      <c r="CQ55" s="423"/>
      <c r="CR55" s="553"/>
      <c r="EI55" s="553"/>
      <c r="EJ55" s="553"/>
      <c r="EK55" s="423"/>
      <c r="EL55" s="555"/>
      <c r="ES55" s="533"/>
      <c r="ET55" s="533"/>
      <c r="EU55" s="533"/>
      <c r="EV55" s="556"/>
      <c r="EY55" s="533"/>
      <c r="EZ55" s="533"/>
      <c r="FA55" s="556"/>
      <c r="FD55" s="556"/>
      <c r="FE55" s="556"/>
      <c r="FF55" s="556"/>
      <c r="FK55" s="557">
        <f t="shared" si="113"/>
        <v>55</v>
      </c>
      <c r="FL55" s="493">
        <f t="shared" si="114"/>
        <v>64.518600000000006</v>
      </c>
      <c r="FM55" s="493">
        <f t="shared" si="115"/>
        <v>19.907699999999998</v>
      </c>
      <c r="FO55" s="427">
        <f t="shared" si="61"/>
        <v>1710887.02</v>
      </c>
      <c r="FP55" s="558">
        <f t="shared" si="116"/>
        <v>84402.73</v>
      </c>
      <c r="FQ55" s="558">
        <f t="shared" si="116"/>
        <v>82727.490000000005</v>
      </c>
      <c r="FR55" s="558">
        <f t="shared" si="116"/>
        <v>81048.11</v>
      </c>
      <c r="FS55" s="558">
        <f t="shared" si="116"/>
        <v>79368.73</v>
      </c>
      <c r="FT55" s="558">
        <f t="shared" si="116"/>
        <v>77631.44</v>
      </c>
      <c r="FU55" s="558">
        <f t="shared" si="116"/>
        <v>75844.52</v>
      </c>
      <c r="FV55" s="558">
        <f t="shared" si="116"/>
        <v>74074.14</v>
      </c>
      <c r="FW55" s="558">
        <f t="shared" si="116"/>
        <v>72291.350000000006</v>
      </c>
      <c r="FX55" s="558">
        <f t="shared" si="116"/>
        <v>70446.509999999995</v>
      </c>
      <c r="FY55" s="558">
        <f t="shared" si="116"/>
        <v>68527.22</v>
      </c>
      <c r="FZ55" s="558">
        <f t="shared" si="116"/>
        <v>66595.520000000004</v>
      </c>
      <c r="GA55" s="558">
        <f t="shared" si="116"/>
        <v>64634.87</v>
      </c>
      <c r="GB55" s="558">
        <f t="shared" si="116"/>
        <v>62628.71</v>
      </c>
      <c r="GC55" s="558">
        <f t="shared" si="116"/>
        <v>60614.28</v>
      </c>
      <c r="GD55" s="558">
        <f t="shared" si="116"/>
        <v>58537.81</v>
      </c>
      <c r="GE55" s="558">
        <f t="shared" si="116"/>
        <v>56444.79</v>
      </c>
      <c r="GF55" s="558">
        <f t="shared" si="81"/>
        <v>54289.73</v>
      </c>
      <c r="GG55" s="558">
        <f t="shared" si="81"/>
        <v>52085.02</v>
      </c>
      <c r="GH55" s="558">
        <f t="shared" si="81"/>
        <v>49818.28</v>
      </c>
      <c r="GI55" s="558">
        <f t="shared" si="81"/>
        <v>47485.34</v>
      </c>
      <c r="GJ55" s="558">
        <f t="shared" si="81"/>
        <v>45082.09</v>
      </c>
      <c r="GK55" s="558">
        <f t="shared" si="81"/>
        <v>42587.839999999997</v>
      </c>
      <c r="GL55" s="558">
        <f t="shared" si="81"/>
        <v>40002.589999999997</v>
      </c>
      <c r="GM55" s="558">
        <f t="shared" si="81"/>
        <v>37322.199999999997</v>
      </c>
      <c r="GN55" s="558">
        <f t="shared" si="81"/>
        <v>34534.269999999997</v>
      </c>
      <c r="GO55" s="558">
        <f t="shared" si="81"/>
        <v>31659.47</v>
      </c>
      <c r="GP55" s="558">
        <f t="shared" si="81"/>
        <v>28685.4</v>
      </c>
      <c r="GQ55" s="558">
        <f t="shared" si="81"/>
        <v>25620.32</v>
      </c>
      <c r="GR55" s="558">
        <f t="shared" si="81"/>
        <v>22472.52</v>
      </c>
      <c r="GS55" s="558">
        <f t="shared" si="81"/>
        <v>19246.13</v>
      </c>
      <c r="GT55" s="558">
        <f t="shared" si="81"/>
        <v>15953.55</v>
      </c>
      <c r="GU55" s="558">
        <f t="shared" si="117"/>
        <v>12582.38</v>
      </c>
      <c r="GV55" s="558">
        <f t="shared" si="117"/>
        <v>9165.7199999999993</v>
      </c>
      <c r="GW55" s="558">
        <f t="shared" si="117"/>
        <v>5687</v>
      </c>
      <c r="GX55" s="558">
        <f t="shared" si="117"/>
        <v>2171.06</v>
      </c>
      <c r="GY55" s="558">
        <f t="shared" si="117"/>
        <v>-1382.11</v>
      </c>
      <c r="GZ55" s="558" t="str">
        <f t="shared" si="117"/>
        <v>.</v>
      </c>
      <c r="HA55" s="558" t="str">
        <f t="shared" si="117"/>
        <v>.</v>
      </c>
      <c r="HB55" s="558" t="str">
        <f t="shared" si="117"/>
        <v>.</v>
      </c>
      <c r="HC55" s="558" t="str">
        <f t="shared" si="117"/>
        <v>.</v>
      </c>
      <c r="HD55" s="558" t="str">
        <f t="shared" si="117"/>
        <v>.</v>
      </c>
      <c r="HE55" s="558" t="str">
        <f t="shared" si="117"/>
        <v>.</v>
      </c>
      <c r="HF55" s="558" t="str">
        <f t="shared" si="117"/>
        <v>.</v>
      </c>
      <c r="HG55" s="558" t="str">
        <f t="shared" si="117"/>
        <v>.</v>
      </c>
      <c r="HH55" s="558" t="str">
        <f t="shared" si="117"/>
        <v>.</v>
      </c>
      <c r="HI55" s="558" t="str">
        <f t="shared" si="117"/>
        <v>.</v>
      </c>
      <c r="HJ55" s="558" t="str">
        <f t="shared" si="117"/>
        <v>.</v>
      </c>
      <c r="HK55" s="558" t="str">
        <f t="shared" si="82"/>
        <v>.</v>
      </c>
      <c r="HL55" s="558" t="str">
        <f t="shared" si="82"/>
        <v>.</v>
      </c>
      <c r="HM55" s="558" t="str">
        <f t="shared" si="82"/>
        <v>.</v>
      </c>
      <c r="HN55" s="558" t="str">
        <f t="shared" si="82"/>
        <v>.</v>
      </c>
      <c r="HO55" s="558" t="str">
        <f t="shared" si="82"/>
        <v>.</v>
      </c>
      <c r="HP55" s="558" t="str">
        <f t="shared" si="82"/>
        <v>.</v>
      </c>
      <c r="HQ55" s="558" t="str">
        <f t="shared" si="82"/>
        <v>.</v>
      </c>
      <c r="HR55" s="558" t="str">
        <f t="shared" si="82"/>
        <v>.</v>
      </c>
      <c r="HS55" s="558" t="str">
        <f t="shared" si="82"/>
        <v>.</v>
      </c>
      <c r="HT55" s="558" t="str">
        <f t="shared" si="82"/>
        <v>.</v>
      </c>
      <c r="HU55" s="558" t="str">
        <f t="shared" si="82"/>
        <v>.</v>
      </c>
      <c r="HV55" s="558" t="str">
        <f t="shared" si="82"/>
        <v>.</v>
      </c>
      <c r="HW55" s="558" t="str">
        <f t="shared" si="82"/>
        <v>.</v>
      </c>
      <c r="HX55" s="558" t="str">
        <f t="shared" si="82"/>
        <v>.</v>
      </c>
      <c r="HY55" s="558" t="str">
        <f t="shared" si="82"/>
        <v>.</v>
      </c>
      <c r="HZ55" s="558" t="str">
        <f t="shared" si="82"/>
        <v>.</v>
      </c>
      <c r="IA55" s="558" t="str">
        <f t="shared" si="82"/>
        <v>.</v>
      </c>
      <c r="IB55" s="558" t="str">
        <f t="shared" si="83"/>
        <v>.</v>
      </c>
      <c r="IC55" s="558" t="str">
        <f t="shared" si="83"/>
        <v>.</v>
      </c>
      <c r="ID55" s="558" t="str">
        <f t="shared" si="83"/>
        <v>.</v>
      </c>
      <c r="IE55" s="558" t="str">
        <f t="shared" si="83"/>
        <v>.</v>
      </c>
      <c r="IF55" s="558" t="str">
        <f t="shared" si="83"/>
        <v>.</v>
      </c>
      <c r="IG55" s="558" t="str">
        <f t="shared" si="83"/>
        <v>.</v>
      </c>
      <c r="IH55" s="558" t="str">
        <f t="shared" si="83"/>
        <v>.</v>
      </c>
      <c r="II55" s="558" t="str">
        <f t="shared" si="83"/>
        <v>.</v>
      </c>
      <c r="IJ55" s="558" t="str">
        <f t="shared" si="83"/>
        <v>.</v>
      </c>
      <c r="IK55" s="558" t="str">
        <f t="shared" si="83"/>
        <v>.</v>
      </c>
      <c r="IL55" s="558" t="str">
        <f t="shared" si="83"/>
        <v>.</v>
      </c>
      <c r="IM55" s="558" t="str">
        <f t="shared" si="83"/>
        <v>.</v>
      </c>
      <c r="IN55" s="558" t="str">
        <f t="shared" si="83"/>
        <v>.</v>
      </c>
      <c r="IO55" s="558" t="str">
        <f t="shared" si="77"/>
        <v>.</v>
      </c>
      <c r="IP55" s="558" t="str">
        <f t="shared" si="77"/>
        <v>.</v>
      </c>
      <c r="IQ55" s="558" t="str">
        <f t="shared" si="77"/>
        <v>.</v>
      </c>
      <c r="IR55" s="558" t="str">
        <f t="shared" si="77"/>
        <v>.</v>
      </c>
      <c r="IS55" s="558" t="str">
        <f t="shared" si="77"/>
        <v>.</v>
      </c>
      <c r="IT55" s="558" t="str">
        <f t="shared" si="77"/>
        <v>.</v>
      </c>
      <c r="IU55" s="558" t="str">
        <f t="shared" si="77"/>
        <v>.</v>
      </c>
      <c r="IV55" s="558" t="str">
        <f t="shared" si="77"/>
        <v>.</v>
      </c>
      <c r="IW55" s="558" t="str">
        <f t="shared" si="77"/>
        <v>.</v>
      </c>
      <c r="IX55" s="558" t="str">
        <f t="shared" si="77"/>
        <v>.</v>
      </c>
      <c r="IY55" s="558" t="str">
        <f t="shared" si="77"/>
        <v>.</v>
      </c>
      <c r="IZ55" s="558" t="str">
        <f t="shared" si="77"/>
        <v>.</v>
      </c>
      <c r="JA55" s="558" t="str">
        <f t="shared" si="77"/>
        <v>.</v>
      </c>
      <c r="JB55" s="558" t="str">
        <f t="shared" si="77"/>
        <v>.</v>
      </c>
      <c r="JC55" s="558" t="str">
        <f t="shared" si="77"/>
        <v>.</v>
      </c>
      <c r="JD55" s="558" t="str">
        <f t="shared" si="77"/>
        <v>.</v>
      </c>
      <c r="JE55" s="558" t="str">
        <f t="shared" si="77"/>
        <v>.</v>
      </c>
      <c r="JF55" s="558" t="str">
        <f t="shared" si="78"/>
        <v>.</v>
      </c>
      <c r="JG55" s="558" t="str">
        <f t="shared" si="78"/>
        <v>.</v>
      </c>
      <c r="JH55" s="558" t="str">
        <f t="shared" si="118"/>
        <v>.</v>
      </c>
      <c r="JI55" s="558" t="str">
        <f t="shared" si="118"/>
        <v>.</v>
      </c>
      <c r="JJ55" s="558" t="str">
        <f t="shared" si="118"/>
        <v>.</v>
      </c>
      <c r="JK55" s="558" t="str">
        <f t="shared" si="118"/>
        <v>.</v>
      </c>
      <c r="JL55" s="558" t="str">
        <f t="shared" si="118"/>
        <v>.</v>
      </c>
    </row>
    <row r="56" spans="1:272" ht="10.199999999999999" x14ac:dyDescent="0.2">
      <c r="A56" s="534">
        <f xml:space="preserve"> Basis!A56</f>
        <v>56</v>
      </c>
      <c r="F56" s="536">
        <f xml:space="preserve"> ROUND(    IF( $A$15=BE_MF_,   AW56,   INDEX( qx!56:56, F$16 ) ),    F$17    )</f>
        <v>2.5999999999999999E-3</v>
      </c>
      <c r="G56" s="536">
        <f xml:space="preserve"> ROUND(    IF( $A$15=BE_MF_,   BB56,   INDEX( wx!56:56, G$16 ) ),    G$17    )</f>
        <v>1.72E-2</v>
      </c>
      <c r="H56" s="537">
        <f xml:space="preserve"> ROUND(    IF( $A$15=BE_MF_,   BG56,   INDEX( Kx!56:56, H$16 ) ),    H$17    )</f>
        <v>3512.84</v>
      </c>
      <c r="I56" s="538">
        <f t="shared" si="57"/>
        <v>3512.84</v>
      </c>
      <c r="J56" s="539">
        <f t="shared" si="84"/>
        <v>1.6910000000000001</v>
      </c>
      <c r="K56" s="540">
        <f t="shared" si="119"/>
        <v>2</v>
      </c>
      <c r="L56" s="541">
        <f t="shared" si="71"/>
        <v>0</v>
      </c>
      <c r="M56" s="541">
        <f t="shared" si="71"/>
        <v>8.5999999999999993E-2</v>
      </c>
      <c r="O56" s="542" t="b">
        <f t="shared" si="59"/>
        <v>1</v>
      </c>
      <c r="P56" s="493">
        <f t="shared" si="85"/>
        <v>1.9800000000000002E-2</v>
      </c>
      <c r="Q56" s="493">
        <f t="shared" si="86"/>
        <v>0.98019999999999996</v>
      </c>
      <c r="R56" s="543">
        <f t="shared" si="87"/>
        <v>571361</v>
      </c>
      <c r="S56" s="544">
        <f t="shared" si="88"/>
        <v>0.97560975599999999</v>
      </c>
      <c r="T56" s="423">
        <f t="shared" si="89"/>
        <v>143342.22</v>
      </c>
      <c r="U56" s="423">
        <f xml:space="preserve"> IF( $O56,    ROUND(  SUM( T56:T$120), U$17 ),  LEER  )</f>
        <v>2846628.81</v>
      </c>
      <c r="V56" s="493">
        <f t="shared" si="90"/>
        <v>19.859000000000002</v>
      </c>
      <c r="W56" s="493">
        <f t="shared" si="91"/>
        <v>242391.69</v>
      </c>
      <c r="X56" s="493">
        <f xml:space="preserve"> IF( $O56,    ROUND(  SUM( W56:W$120), X$17 ),  LEER  )</f>
        <v>9469944.8000000007</v>
      </c>
      <c r="Y56" s="493">
        <f t="shared" si="92"/>
        <v>66.065299999999993</v>
      </c>
      <c r="Z56" s="493">
        <f t="shared" si="93"/>
        <v>3.3267000000000002</v>
      </c>
      <c r="AA56" s="493">
        <f t="shared" si="94"/>
        <v>1.0093000000000001</v>
      </c>
      <c r="AB56" s="493">
        <f t="shared" si="95"/>
        <v>2.3494000000000002</v>
      </c>
      <c r="AC56" s="545">
        <f t="shared" si="96"/>
        <v>0.38600000000000001</v>
      </c>
      <c r="AD56" s="493">
        <f t="shared" si="97"/>
        <v>3.3612000000000002</v>
      </c>
      <c r="AE56" s="493">
        <f t="shared" si="98"/>
        <v>4.0998000000000001</v>
      </c>
      <c r="AF56" s="493">
        <f t="shared" si="99"/>
        <v>4.0998000000000001</v>
      </c>
      <c r="AG56" s="493" t="str">
        <f t="shared" si="100"/>
        <v>.</v>
      </c>
      <c r="AH56" s="493" t="str">
        <f t="shared" si="101"/>
        <v>.</v>
      </c>
      <c r="AI56" s="423">
        <f t="shared" si="102"/>
        <v>2077.79</v>
      </c>
      <c r="AJ56" s="423">
        <f t="shared" si="103"/>
        <v>8518.52</v>
      </c>
      <c r="AK56" s="423">
        <f t="shared" si="104"/>
        <v>709.88</v>
      </c>
      <c r="AN56" s="423">
        <f t="shared" si="72"/>
        <v>60764.4</v>
      </c>
      <c r="AO56" s="423">
        <f t="shared" si="72"/>
        <v>59848.37</v>
      </c>
      <c r="AR56" s="546">
        <f xml:space="preserve"> ROUND(  INDEX( Kx!56:56, AR$16 ),  AR$17 )</f>
        <v>0.76419999999999999</v>
      </c>
      <c r="AS56" s="547">
        <f xml:space="preserve"> ROUND(  INDEX( qx!56:56, AS$16 ),  AS$17 )</f>
        <v>2.8999999999999998E-3</v>
      </c>
      <c r="AT56" s="547">
        <f xml:space="preserve"> ROUND(  INDEX( qx!56:56, AT$16 ),  AT$17 )</f>
        <v>1.8E-3</v>
      </c>
      <c r="AU56" s="548" t="str">
        <f t="shared" si="105"/>
        <v>F</v>
      </c>
      <c r="AV56" s="542">
        <f t="shared" si="106"/>
        <v>0.68359999999999999</v>
      </c>
      <c r="AW56" s="542">
        <f t="shared" si="107"/>
        <v>2.5999999999999999E-3</v>
      </c>
      <c r="AX56" s="546">
        <f xml:space="preserve"> ROUND(  INDEX( wx!56:56, AX$16 ),  AX$17 )</f>
        <v>1.7100000000000001E-2</v>
      </c>
      <c r="AY56" s="546">
        <f xml:space="preserve"> ROUND(  INDEX( wx!56:56, AY$16 ),  AY$17 )</f>
        <v>1.7899999999999999E-2</v>
      </c>
      <c r="AZ56" s="548" t="str">
        <f t="shared" si="108"/>
        <v>M</v>
      </c>
      <c r="BA56" s="542">
        <f t="shared" si="109"/>
        <v>0.82940000000000003</v>
      </c>
      <c r="BB56" s="542">
        <f t="shared" si="110"/>
        <v>1.72E-2</v>
      </c>
      <c r="BC56" s="533">
        <f xml:space="preserve"> ROUND(  INDEX( Kx!56:56, BC$16 ),  BC$17 )</f>
        <v>3394.01</v>
      </c>
      <c r="BD56" s="533">
        <f xml:space="preserve"> ROUND(  INDEX( Kx!56:56, BD$16 ),  BD$17 )</f>
        <v>3769.57</v>
      </c>
      <c r="BE56" s="548" t="str">
        <f t="shared" si="60"/>
        <v>F</v>
      </c>
      <c r="BF56" s="542">
        <f t="shared" si="111"/>
        <v>0.68359999999999999</v>
      </c>
      <c r="BG56" s="420">
        <f t="shared" si="112"/>
        <v>3512.84</v>
      </c>
      <c r="BQ56" s="549"/>
      <c r="BR56" s="423"/>
      <c r="BS56" s="550"/>
      <c r="BT56" s="423"/>
      <c r="BU56" s="551"/>
      <c r="BV56" s="551"/>
      <c r="BW56" s="529"/>
      <c r="BX56" s="552"/>
      <c r="BY56" s="560"/>
      <c r="BZ56" s="559"/>
      <c r="CB56" s="423"/>
      <c r="CC56" s="423"/>
      <c r="CD56" s="423"/>
      <c r="CE56" s="423"/>
      <c r="CF56" s="553"/>
      <c r="CH56" s="423"/>
      <c r="CI56" s="423"/>
      <c r="CJ56" s="423"/>
      <c r="CK56" s="423"/>
      <c r="CL56" s="553"/>
      <c r="CN56" s="423"/>
      <c r="CO56" s="423"/>
      <c r="CP56" s="423"/>
      <c r="CQ56" s="423"/>
      <c r="CR56" s="553"/>
      <c r="EI56" s="553"/>
      <c r="EJ56" s="553"/>
      <c r="EK56" s="423"/>
      <c r="EL56" s="555"/>
      <c r="ES56" s="533"/>
      <c r="ET56" s="533"/>
      <c r="EU56" s="533"/>
      <c r="EV56" s="556"/>
      <c r="EY56" s="533"/>
      <c r="EZ56" s="533"/>
      <c r="FA56" s="556"/>
      <c r="FD56" s="556"/>
      <c r="FE56" s="556"/>
      <c r="FF56" s="556"/>
      <c r="FK56" s="557">
        <f t="shared" si="113"/>
        <v>56</v>
      </c>
      <c r="FL56" s="493">
        <f t="shared" si="114"/>
        <v>66.065299999999993</v>
      </c>
      <c r="FM56" s="493">
        <f t="shared" si="115"/>
        <v>19.859000000000002</v>
      </c>
      <c r="FO56" s="427">
        <f t="shared" si="61"/>
        <v>1832778.6099999999</v>
      </c>
      <c r="FP56" s="558">
        <f t="shared" si="116"/>
        <v>87737.919999999998</v>
      </c>
      <c r="FQ56" s="558">
        <f t="shared" si="116"/>
        <v>86066.77</v>
      </c>
      <c r="FR56" s="558">
        <f t="shared" si="116"/>
        <v>84391.5</v>
      </c>
      <c r="FS56" s="558">
        <f t="shared" si="116"/>
        <v>82716.23</v>
      </c>
      <c r="FT56" s="558">
        <f t="shared" si="116"/>
        <v>80983.19</v>
      </c>
      <c r="FU56" s="558">
        <f t="shared" si="116"/>
        <v>79200.639999999999</v>
      </c>
      <c r="FV56" s="558">
        <f t="shared" si="116"/>
        <v>77434.59</v>
      </c>
      <c r="FW56" s="558">
        <f t="shared" si="116"/>
        <v>75656.160000000003</v>
      </c>
      <c r="FX56" s="558">
        <f t="shared" si="116"/>
        <v>73815.839999999997</v>
      </c>
      <c r="FY56" s="558">
        <f t="shared" si="116"/>
        <v>71901.240000000005</v>
      </c>
      <c r="FZ56" s="558">
        <f t="shared" si="116"/>
        <v>69974.27</v>
      </c>
      <c r="GA56" s="558">
        <f t="shared" si="116"/>
        <v>68018.41</v>
      </c>
      <c r="GB56" s="558">
        <f t="shared" si="116"/>
        <v>66017.16</v>
      </c>
      <c r="GC56" s="558">
        <f t="shared" si="116"/>
        <v>64007.66</v>
      </c>
      <c r="GD56" s="558">
        <f t="shared" si="116"/>
        <v>61936.27</v>
      </c>
      <c r="GE56" s="558">
        <f t="shared" si="116"/>
        <v>59848.37</v>
      </c>
      <c r="GF56" s="558">
        <f t="shared" si="81"/>
        <v>57698.58</v>
      </c>
      <c r="GG56" s="558">
        <f t="shared" si="81"/>
        <v>55499.27</v>
      </c>
      <c r="GH56" s="558">
        <f t="shared" si="81"/>
        <v>53238.06</v>
      </c>
      <c r="GI56" s="558">
        <f t="shared" si="81"/>
        <v>50910.84</v>
      </c>
      <c r="GJ56" s="558">
        <f t="shared" si="81"/>
        <v>48513.47</v>
      </c>
      <c r="GK56" s="558">
        <f t="shared" si="81"/>
        <v>46025.32</v>
      </c>
      <c r="GL56" s="558">
        <f t="shared" si="81"/>
        <v>43446.39</v>
      </c>
      <c r="GM56" s="558">
        <f t="shared" si="81"/>
        <v>40772.559999999998</v>
      </c>
      <c r="GN56" s="558">
        <f t="shared" si="81"/>
        <v>37991.449999999997</v>
      </c>
      <c r="GO56" s="558">
        <f t="shared" si="81"/>
        <v>35123.68</v>
      </c>
      <c r="GP56" s="558">
        <f t="shared" si="81"/>
        <v>32156.880000000001</v>
      </c>
      <c r="GQ56" s="558">
        <f t="shared" si="81"/>
        <v>29099.31</v>
      </c>
      <c r="GR56" s="558">
        <f t="shared" si="81"/>
        <v>25959.21</v>
      </c>
      <c r="GS56" s="558">
        <f t="shared" si="81"/>
        <v>22740.7</v>
      </c>
      <c r="GT56" s="558">
        <f t="shared" si="81"/>
        <v>19456.18</v>
      </c>
      <c r="GU56" s="558">
        <f t="shared" si="117"/>
        <v>16093.26</v>
      </c>
      <c r="GV56" s="558">
        <f t="shared" si="117"/>
        <v>12684.95</v>
      </c>
      <c r="GW56" s="558">
        <f t="shared" si="117"/>
        <v>9214.75</v>
      </c>
      <c r="GX56" s="558">
        <f t="shared" si="117"/>
        <v>5707.41</v>
      </c>
      <c r="GY56" s="558">
        <f t="shared" si="117"/>
        <v>2162.9299999999998</v>
      </c>
      <c r="GZ56" s="558">
        <f t="shared" si="117"/>
        <v>-1422.81</v>
      </c>
      <c r="HA56" s="558" t="str">
        <f t="shared" si="117"/>
        <v>.</v>
      </c>
      <c r="HB56" s="558" t="str">
        <f t="shared" si="117"/>
        <v>.</v>
      </c>
      <c r="HC56" s="558" t="str">
        <f t="shared" si="117"/>
        <v>.</v>
      </c>
      <c r="HD56" s="558" t="str">
        <f t="shared" si="117"/>
        <v>.</v>
      </c>
      <c r="HE56" s="558" t="str">
        <f t="shared" si="117"/>
        <v>.</v>
      </c>
      <c r="HF56" s="558" t="str">
        <f t="shared" si="117"/>
        <v>.</v>
      </c>
      <c r="HG56" s="558" t="str">
        <f t="shared" si="117"/>
        <v>.</v>
      </c>
      <c r="HH56" s="558" t="str">
        <f t="shared" si="117"/>
        <v>.</v>
      </c>
      <c r="HI56" s="558" t="str">
        <f t="shared" si="117"/>
        <v>.</v>
      </c>
      <c r="HJ56" s="558" t="str">
        <f t="shared" si="117"/>
        <v>.</v>
      </c>
      <c r="HK56" s="558" t="str">
        <f t="shared" si="82"/>
        <v>.</v>
      </c>
      <c r="HL56" s="558" t="str">
        <f t="shared" si="82"/>
        <v>.</v>
      </c>
      <c r="HM56" s="558" t="str">
        <f t="shared" si="82"/>
        <v>.</v>
      </c>
      <c r="HN56" s="558" t="str">
        <f t="shared" si="82"/>
        <v>.</v>
      </c>
      <c r="HO56" s="558" t="str">
        <f t="shared" si="82"/>
        <v>.</v>
      </c>
      <c r="HP56" s="558" t="str">
        <f t="shared" si="82"/>
        <v>.</v>
      </c>
      <c r="HQ56" s="558" t="str">
        <f t="shared" si="82"/>
        <v>.</v>
      </c>
      <c r="HR56" s="558" t="str">
        <f t="shared" si="82"/>
        <v>.</v>
      </c>
      <c r="HS56" s="558" t="str">
        <f t="shared" si="82"/>
        <v>.</v>
      </c>
      <c r="HT56" s="558" t="str">
        <f t="shared" si="82"/>
        <v>.</v>
      </c>
      <c r="HU56" s="558" t="str">
        <f t="shared" si="82"/>
        <v>.</v>
      </c>
      <c r="HV56" s="558" t="str">
        <f t="shared" si="82"/>
        <v>.</v>
      </c>
      <c r="HW56" s="558" t="str">
        <f t="shared" si="82"/>
        <v>.</v>
      </c>
      <c r="HX56" s="558" t="str">
        <f t="shared" si="82"/>
        <v>.</v>
      </c>
      <c r="HY56" s="558" t="str">
        <f t="shared" si="82"/>
        <v>.</v>
      </c>
      <c r="HZ56" s="558" t="str">
        <f t="shared" si="82"/>
        <v>.</v>
      </c>
      <c r="IA56" s="558" t="str">
        <f t="shared" si="82"/>
        <v>.</v>
      </c>
      <c r="IB56" s="558" t="str">
        <f t="shared" si="83"/>
        <v>.</v>
      </c>
      <c r="IC56" s="558" t="str">
        <f t="shared" si="83"/>
        <v>.</v>
      </c>
      <c r="ID56" s="558" t="str">
        <f t="shared" si="83"/>
        <v>.</v>
      </c>
      <c r="IE56" s="558" t="str">
        <f t="shared" si="83"/>
        <v>.</v>
      </c>
      <c r="IF56" s="558" t="str">
        <f t="shared" si="83"/>
        <v>.</v>
      </c>
      <c r="IG56" s="558" t="str">
        <f t="shared" si="83"/>
        <v>.</v>
      </c>
      <c r="IH56" s="558" t="str">
        <f t="shared" si="83"/>
        <v>.</v>
      </c>
      <c r="II56" s="558" t="str">
        <f t="shared" si="83"/>
        <v>.</v>
      </c>
      <c r="IJ56" s="558" t="str">
        <f t="shared" si="83"/>
        <v>.</v>
      </c>
      <c r="IK56" s="558" t="str">
        <f t="shared" si="83"/>
        <v>.</v>
      </c>
      <c r="IL56" s="558" t="str">
        <f t="shared" si="83"/>
        <v>.</v>
      </c>
      <c r="IM56" s="558" t="str">
        <f t="shared" si="83"/>
        <v>.</v>
      </c>
      <c r="IN56" s="558" t="str">
        <f t="shared" si="83"/>
        <v>.</v>
      </c>
      <c r="IO56" s="558" t="str">
        <f t="shared" si="77"/>
        <v>.</v>
      </c>
      <c r="IP56" s="558" t="str">
        <f t="shared" si="77"/>
        <v>.</v>
      </c>
      <c r="IQ56" s="558" t="str">
        <f t="shared" si="77"/>
        <v>.</v>
      </c>
      <c r="IR56" s="558" t="str">
        <f t="shared" si="77"/>
        <v>.</v>
      </c>
      <c r="IS56" s="558" t="str">
        <f t="shared" si="77"/>
        <v>.</v>
      </c>
      <c r="IT56" s="558" t="str">
        <f t="shared" si="77"/>
        <v>.</v>
      </c>
      <c r="IU56" s="558" t="str">
        <f t="shared" si="77"/>
        <v>.</v>
      </c>
      <c r="IV56" s="558" t="str">
        <f t="shared" si="77"/>
        <v>.</v>
      </c>
      <c r="IW56" s="558" t="str">
        <f t="shared" si="77"/>
        <v>.</v>
      </c>
      <c r="IX56" s="558" t="str">
        <f t="shared" si="77"/>
        <v>.</v>
      </c>
      <c r="IY56" s="558" t="str">
        <f t="shared" si="77"/>
        <v>.</v>
      </c>
      <c r="IZ56" s="558" t="str">
        <f t="shared" si="77"/>
        <v>.</v>
      </c>
      <c r="JA56" s="558" t="str">
        <f t="shared" si="77"/>
        <v>.</v>
      </c>
      <c r="JB56" s="558" t="str">
        <f t="shared" si="77"/>
        <v>.</v>
      </c>
      <c r="JC56" s="558" t="str">
        <f t="shared" si="77"/>
        <v>.</v>
      </c>
      <c r="JD56" s="558" t="str">
        <f t="shared" si="77"/>
        <v>.</v>
      </c>
      <c r="JE56" s="558" t="str">
        <f t="shared" si="77"/>
        <v>.</v>
      </c>
      <c r="JF56" s="558" t="str">
        <f t="shared" si="78"/>
        <v>.</v>
      </c>
      <c r="JG56" s="558" t="str">
        <f t="shared" si="78"/>
        <v>.</v>
      </c>
      <c r="JH56" s="558" t="str">
        <f t="shared" si="118"/>
        <v>.</v>
      </c>
      <c r="JI56" s="558" t="str">
        <f t="shared" si="118"/>
        <v>.</v>
      </c>
      <c r="JJ56" s="558" t="str">
        <f t="shared" si="118"/>
        <v>.</v>
      </c>
      <c r="JK56" s="558" t="str">
        <f t="shared" si="118"/>
        <v>.</v>
      </c>
      <c r="JL56" s="558" t="str">
        <f t="shared" si="118"/>
        <v>.</v>
      </c>
    </row>
    <row r="57" spans="1:272" ht="10.199999999999999" x14ac:dyDescent="0.2">
      <c r="A57" s="534">
        <f xml:space="preserve"> Basis!A57</f>
        <v>57</v>
      </c>
      <c r="F57" s="536">
        <f xml:space="preserve"> ROUND(    IF( $A$15=BE_MF_,   AW57,   INDEX( qx!57:57, F$16 ) ),    F$17    )</f>
        <v>2.8E-3</v>
      </c>
      <c r="G57" s="536">
        <f xml:space="preserve"> ROUND(    IF( $A$15=BE_MF_,   BB57,   INDEX( wx!57:57, G$16 ) ),    G$17    )</f>
        <v>1.2699999999999999E-2</v>
      </c>
      <c r="H57" s="537">
        <f xml:space="preserve"> ROUND(    IF( $A$15=BE_MF_,   BG57,   INDEX( Kx!57:57, H$16 ) ),    H$17    )</f>
        <v>3677.97</v>
      </c>
      <c r="I57" s="538">
        <f t="shared" si="57"/>
        <v>3677.97</v>
      </c>
      <c r="J57" s="539">
        <f t="shared" si="84"/>
        <v>1.77</v>
      </c>
      <c r="K57" s="540">
        <f t="shared" si="119"/>
        <v>2</v>
      </c>
      <c r="L57" s="541">
        <f t="shared" si="71"/>
        <v>0</v>
      </c>
      <c r="M57" s="541">
        <f t="shared" si="71"/>
        <v>8.5999999999999993E-2</v>
      </c>
      <c r="O57" s="542" t="b">
        <f t="shared" si="59"/>
        <v>1</v>
      </c>
      <c r="P57" s="493">
        <f t="shared" si="85"/>
        <v>1.55E-2</v>
      </c>
      <c r="Q57" s="493">
        <f t="shared" si="86"/>
        <v>0.98450000000000004</v>
      </c>
      <c r="R57" s="543">
        <f t="shared" si="87"/>
        <v>560048</v>
      </c>
      <c r="S57" s="544">
        <f t="shared" si="88"/>
        <v>0.97560975599999999</v>
      </c>
      <c r="T57" s="423">
        <f t="shared" si="89"/>
        <v>137077.1</v>
      </c>
      <c r="U57" s="423">
        <f xml:space="preserve"> IF( $O57,    ROUND(  SUM( T57:T$120), U$17 ),  LEER  )</f>
        <v>2703286.59</v>
      </c>
      <c r="V57" s="493">
        <f t="shared" si="90"/>
        <v>19.7209</v>
      </c>
      <c r="W57" s="493">
        <f t="shared" si="91"/>
        <v>242626.47</v>
      </c>
      <c r="X57" s="493">
        <f xml:space="preserve"> IF( $O57,    ROUND(  SUM( W57:W$120), X$17 ),  LEER  )</f>
        <v>9227553.1099999994</v>
      </c>
      <c r="Y57" s="493">
        <f t="shared" si="92"/>
        <v>67.316500000000005</v>
      </c>
      <c r="Z57" s="493">
        <f t="shared" si="93"/>
        <v>3.4135</v>
      </c>
      <c r="AA57" s="493">
        <f t="shared" si="94"/>
        <v>1.0093000000000001</v>
      </c>
      <c r="AB57" s="493">
        <f t="shared" si="95"/>
        <v>2.3494000000000002</v>
      </c>
      <c r="AC57" s="545">
        <f t="shared" si="96"/>
        <v>0.38600000000000001</v>
      </c>
      <c r="AD57" s="493">
        <f t="shared" si="97"/>
        <v>3.4487999999999999</v>
      </c>
      <c r="AE57" s="493">
        <f t="shared" si="98"/>
        <v>4.1955999999999998</v>
      </c>
      <c r="AF57" s="493">
        <f t="shared" si="99"/>
        <v>4.1955999999999998</v>
      </c>
      <c r="AG57" s="493" t="str">
        <f t="shared" si="100"/>
        <v>.</v>
      </c>
      <c r="AH57" s="493" t="str">
        <f t="shared" si="101"/>
        <v>.</v>
      </c>
      <c r="AI57" s="423">
        <f t="shared" si="102"/>
        <v>2077.79</v>
      </c>
      <c r="AJ57" s="423">
        <f t="shared" si="103"/>
        <v>8717.58</v>
      </c>
      <c r="AK57" s="423">
        <f t="shared" si="104"/>
        <v>726.47</v>
      </c>
      <c r="AN57" s="423">
        <f t="shared" si="72"/>
        <v>63896.160000000003</v>
      </c>
      <c r="AO57" s="423">
        <f t="shared" si="72"/>
        <v>62986.49</v>
      </c>
      <c r="AR57" s="546">
        <f xml:space="preserve"> ROUND(  INDEX( Kx!57:57, AR$16 ),  AR$17 )</f>
        <v>0.75439999999999996</v>
      </c>
      <c r="AS57" s="547">
        <f xml:space="preserve"> ROUND(  INDEX( qx!57:57, AS$16 ),  AS$17 )</f>
        <v>3.2000000000000002E-3</v>
      </c>
      <c r="AT57" s="547">
        <f xml:space="preserve"> ROUND(  INDEX( qx!57:57, AT$16 ),  AT$17 )</f>
        <v>2E-3</v>
      </c>
      <c r="AU57" s="548" t="str">
        <f t="shared" si="105"/>
        <v>F</v>
      </c>
      <c r="AV57" s="542">
        <f t="shared" si="106"/>
        <v>0.67190000000000005</v>
      </c>
      <c r="AW57" s="542">
        <f t="shared" si="107"/>
        <v>2.8E-3</v>
      </c>
      <c r="AX57" s="546">
        <f xml:space="preserve"> ROUND(  INDEX( wx!57:57, AX$16 ),  AX$17 )</f>
        <v>1.38E-2</v>
      </c>
      <c r="AY57" s="546">
        <f xml:space="preserve"> ROUND(  INDEX( wx!57:57, AY$16 ),  AY$17 )</f>
        <v>1.0500000000000001E-2</v>
      </c>
      <c r="AZ57" s="548" t="str">
        <f t="shared" si="108"/>
        <v>F</v>
      </c>
      <c r="BA57" s="542">
        <f t="shared" si="109"/>
        <v>0.67190000000000005</v>
      </c>
      <c r="BB57" s="542">
        <f t="shared" si="110"/>
        <v>1.2699999999999999E-2</v>
      </c>
      <c r="BC57" s="533">
        <f xml:space="preserve"> ROUND(  INDEX( Kx!57:57, BC$16 ),  BC$17 )</f>
        <v>3581.28</v>
      </c>
      <c r="BD57" s="533">
        <f xml:space="preserve"> ROUND(  INDEX( Kx!57:57, BD$16 ),  BD$17 )</f>
        <v>3875.97</v>
      </c>
      <c r="BE57" s="548" t="str">
        <f t="shared" si="60"/>
        <v>F</v>
      </c>
      <c r="BF57" s="542">
        <f t="shared" si="111"/>
        <v>0.67190000000000005</v>
      </c>
      <c r="BG57" s="420">
        <f t="shared" si="112"/>
        <v>3677.97</v>
      </c>
      <c r="BQ57" s="549"/>
      <c r="BR57" s="423"/>
      <c r="BS57" s="550"/>
      <c r="BT57" s="423"/>
      <c r="BU57" s="551"/>
      <c r="BV57" s="551"/>
      <c r="BW57" s="529"/>
      <c r="BX57" s="552"/>
      <c r="BY57" s="560"/>
      <c r="BZ57" s="559"/>
      <c r="CB57" s="423"/>
      <c r="CC57" s="423"/>
      <c r="CD57" s="423"/>
      <c r="CE57" s="423"/>
      <c r="CF57" s="553"/>
      <c r="CH57" s="423"/>
      <c r="CI57" s="423"/>
      <c r="CJ57" s="423"/>
      <c r="CK57" s="423"/>
      <c r="CL57" s="553"/>
      <c r="CN57" s="423"/>
      <c r="CO57" s="423"/>
      <c r="CP57" s="423"/>
      <c r="CQ57" s="423"/>
      <c r="CR57" s="553"/>
      <c r="EI57" s="553"/>
      <c r="EJ57" s="553"/>
      <c r="EK57" s="423"/>
      <c r="EL57" s="555"/>
      <c r="ES57" s="533"/>
      <c r="ET57" s="533"/>
      <c r="EU57" s="533"/>
      <c r="EV57" s="556"/>
      <c r="EY57" s="533"/>
      <c r="EZ57" s="533"/>
      <c r="FA57" s="556"/>
      <c r="FD57" s="556"/>
      <c r="FE57" s="556"/>
      <c r="FF57" s="556"/>
      <c r="FK57" s="557">
        <f t="shared" si="113"/>
        <v>57</v>
      </c>
      <c r="FL57" s="493">
        <f t="shared" si="114"/>
        <v>67.316500000000005</v>
      </c>
      <c r="FM57" s="493">
        <f t="shared" si="115"/>
        <v>19.7209</v>
      </c>
      <c r="FO57" s="427">
        <f t="shared" si="61"/>
        <v>1950094.73</v>
      </c>
      <c r="FP57" s="558">
        <f t="shared" si="116"/>
        <v>90682.09</v>
      </c>
      <c r="FQ57" s="558">
        <f t="shared" si="116"/>
        <v>89022.57</v>
      </c>
      <c r="FR57" s="558">
        <f t="shared" si="116"/>
        <v>87358.95</v>
      </c>
      <c r="FS57" s="558">
        <f t="shared" si="116"/>
        <v>85695.33</v>
      </c>
      <c r="FT57" s="558">
        <f t="shared" si="116"/>
        <v>83974.34</v>
      </c>
      <c r="FU57" s="558">
        <f t="shared" si="116"/>
        <v>82204.179999999993</v>
      </c>
      <c r="FV57" s="558">
        <f t="shared" si="116"/>
        <v>80450.41</v>
      </c>
      <c r="FW57" s="558">
        <f t="shared" si="116"/>
        <v>78684.350000000006</v>
      </c>
      <c r="FX57" s="558">
        <f t="shared" si="116"/>
        <v>76856.83</v>
      </c>
      <c r="FY57" s="558">
        <f t="shared" si="116"/>
        <v>74955.55</v>
      </c>
      <c r="FZ57" s="558">
        <f t="shared" si="116"/>
        <v>73041.97</v>
      </c>
      <c r="GA57" s="558">
        <f t="shared" si="116"/>
        <v>71099.72</v>
      </c>
      <c r="GB57" s="558">
        <f t="shared" si="116"/>
        <v>69112.39</v>
      </c>
      <c r="GC57" s="558">
        <f t="shared" si="116"/>
        <v>67116.86</v>
      </c>
      <c r="GD57" s="558">
        <f t="shared" si="116"/>
        <v>65059.87</v>
      </c>
      <c r="GE57" s="558">
        <f t="shared" si="116"/>
        <v>62986.49</v>
      </c>
      <c r="GF57" s="558">
        <f t="shared" si="81"/>
        <v>60851.65</v>
      </c>
      <c r="GG57" s="558">
        <f t="shared" si="81"/>
        <v>58667.63</v>
      </c>
      <c r="GH57" s="558">
        <f t="shared" si="81"/>
        <v>56422.15</v>
      </c>
      <c r="GI57" s="558">
        <f t="shared" si="81"/>
        <v>54111.11</v>
      </c>
      <c r="GJ57" s="558">
        <f t="shared" si="81"/>
        <v>51730.41</v>
      </c>
      <c r="GK57" s="558">
        <f t="shared" si="81"/>
        <v>49259.57</v>
      </c>
      <c r="GL57" s="558">
        <f t="shared" si="81"/>
        <v>46698.57</v>
      </c>
      <c r="GM57" s="558">
        <f t="shared" si="81"/>
        <v>44043.34</v>
      </c>
      <c r="GN57" s="558">
        <f t="shared" si="81"/>
        <v>41281.56</v>
      </c>
      <c r="GO57" s="558">
        <f t="shared" si="81"/>
        <v>38433.74</v>
      </c>
      <c r="GP57" s="558">
        <f t="shared" si="81"/>
        <v>35487.57</v>
      </c>
      <c r="GQ57" s="558">
        <f t="shared" si="81"/>
        <v>32451.26</v>
      </c>
      <c r="GR57" s="558">
        <f t="shared" si="81"/>
        <v>29332.99</v>
      </c>
      <c r="GS57" s="558">
        <f t="shared" si="81"/>
        <v>26136.87</v>
      </c>
      <c r="GT57" s="558">
        <f t="shared" si="81"/>
        <v>22875.19</v>
      </c>
      <c r="GU57" s="558">
        <f t="shared" si="117"/>
        <v>19535.66</v>
      </c>
      <c r="GV57" s="558">
        <f t="shared" si="117"/>
        <v>16151.05</v>
      </c>
      <c r="GW57" s="558">
        <f t="shared" si="117"/>
        <v>12704.98</v>
      </c>
      <c r="GX57" s="558">
        <f t="shared" si="117"/>
        <v>9222.0300000000007</v>
      </c>
      <c r="GY57" s="558">
        <f t="shared" si="117"/>
        <v>5702.2</v>
      </c>
      <c r="GZ57" s="558">
        <f t="shared" si="117"/>
        <v>2141.39</v>
      </c>
      <c r="HA57" s="558">
        <f t="shared" si="117"/>
        <v>-1448.09</v>
      </c>
      <c r="HB57" s="558" t="str">
        <f t="shared" si="117"/>
        <v>.</v>
      </c>
      <c r="HC57" s="558" t="str">
        <f t="shared" si="117"/>
        <v>.</v>
      </c>
      <c r="HD57" s="558" t="str">
        <f t="shared" si="117"/>
        <v>.</v>
      </c>
      <c r="HE57" s="558" t="str">
        <f t="shared" si="117"/>
        <v>.</v>
      </c>
      <c r="HF57" s="558" t="str">
        <f t="shared" si="117"/>
        <v>.</v>
      </c>
      <c r="HG57" s="558" t="str">
        <f t="shared" si="117"/>
        <v>.</v>
      </c>
      <c r="HH57" s="558" t="str">
        <f t="shared" si="117"/>
        <v>.</v>
      </c>
      <c r="HI57" s="558" t="str">
        <f t="shared" si="117"/>
        <v>.</v>
      </c>
      <c r="HJ57" s="558" t="str">
        <f t="shared" si="117"/>
        <v>.</v>
      </c>
      <c r="HK57" s="558" t="str">
        <f t="shared" si="82"/>
        <v>.</v>
      </c>
      <c r="HL57" s="558" t="str">
        <f t="shared" si="82"/>
        <v>.</v>
      </c>
      <c r="HM57" s="558" t="str">
        <f t="shared" si="82"/>
        <v>.</v>
      </c>
      <c r="HN57" s="558" t="str">
        <f t="shared" si="82"/>
        <v>.</v>
      </c>
      <c r="HO57" s="558" t="str">
        <f t="shared" si="82"/>
        <v>.</v>
      </c>
      <c r="HP57" s="558" t="str">
        <f t="shared" si="82"/>
        <v>.</v>
      </c>
      <c r="HQ57" s="558" t="str">
        <f t="shared" si="82"/>
        <v>.</v>
      </c>
      <c r="HR57" s="558" t="str">
        <f t="shared" si="82"/>
        <v>.</v>
      </c>
      <c r="HS57" s="558" t="str">
        <f t="shared" si="82"/>
        <v>.</v>
      </c>
      <c r="HT57" s="558" t="str">
        <f t="shared" si="82"/>
        <v>.</v>
      </c>
      <c r="HU57" s="558" t="str">
        <f t="shared" si="82"/>
        <v>.</v>
      </c>
      <c r="HV57" s="558" t="str">
        <f t="shared" si="82"/>
        <v>.</v>
      </c>
      <c r="HW57" s="558" t="str">
        <f t="shared" si="82"/>
        <v>.</v>
      </c>
      <c r="HX57" s="558" t="str">
        <f t="shared" si="82"/>
        <v>.</v>
      </c>
      <c r="HY57" s="558" t="str">
        <f t="shared" si="82"/>
        <v>.</v>
      </c>
      <c r="HZ57" s="558" t="str">
        <f t="shared" si="82"/>
        <v>.</v>
      </c>
      <c r="IA57" s="558" t="str">
        <f t="shared" si="82"/>
        <v>.</v>
      </c>
      <c r="IB57" s="558" t="str">
        <f t="shared" si="83"/>
        <v>.</v>
      </c>
      <c r="IC57" s="558" t="str">
        <f t="shared" si="83"/>
        <v>.</v>
      </c>
      <c r="ID57" s="558" t="str">
        <f t="shared" si="83"/>
        <v>.</v>
      </c>
      <c r="IE57" s="558" t="str">
        <f t="shared" si="83"/>
        <v>.</v>
      </c>
      <c r="IF57" s="558" t="str">
        <f t="shared" si="83"/>
        <v>.</v>
      </c>
      <c r="IG57" s="558" t="str">
        <f t="shared" si="83"/>
        <v>.</v>
      </c>
      <c r="IH57" s="558" t="str">
        <f t="shared" si="83"/>
        <v>.</v>
      </c>
      <c r="II57" s="558" t="str">
        <f t="shared" si="83"/>
        <v>.</v>
      </c>
      <c r="IJ57" s="558" t="str">
        <f t="shared" si="83"/>
        <v>.</v>
      </c>
      <c r="IK57" s="558" t="str">
        <f t="shared" si="83"/>
        <v>.</v>
      </c>
      <c r="IL57" s="558" t="str">
        <f t="shared" si="83"/>
        <v>.</v>
      </c>
      <c r="IM57" s="558" t="str">
        <f t="shared" si="83"/>
        <v>.</v>
      </c>
      <c r="IN57" s="558" t="str">
        <f t="shared" si="83"/>
        <v>.</v>
      </c>
      <c r="IO57" s="558" t="str">
        <f t="shared" si="77"/>
        <v>.</v>
      </c>
      <c r="IP57" s="558" t="str">
        <f t="shared" si="77"/>
        <v>.</v>
      </c>
      <c r="IQ57" s="558" t="str">
        <f t="shared" si="77"/>
        <v>.</v>
      </c>
      <c r="IR57" s="558" t="str">
        <f t="shared" si="77"/>
        <v>.</v>
      </c>
      <c r="IS57" s="558" t="str">
        <f t="shared" si="77"/>
        <v>.</v>
      </c>
      <c r="IT57" s="558" t="str">
        <f t="shared" si="77"/>
        <v>.</v>
      </c>
      <c r="IU57" s="558" t="str">
        <f t="shared" si="77"/>
        <v>.</v>
      </c>
      <c r="IV57" s="558" t="str">
        <f t="shared" si="77"/>
        <v>.</v>
      </c>
      <c r="IW57" s="558" t="str">
        <f t="shared" si="77"/>
        <v>.</v>
      </c>
      <c r="IX57" s="558" t="str">
        <f t="shared" si="77"/>
        <v>.</v>
      </c>
      <c r="IY57" s="558" t="str">
        <f t="shared" si="77"/>
        <v>.</v>
      </c>
      <c r="IZ57" s="558" t="str">
        <f t="shared" si="77"/>
        <v>.</v>
      </c>
      <c r="JA57" s="558" t="str">
        <f t="shared" si="77"/>
        <v>.</v>
      </c>
      <c r="JB57" s="558" t="str">
        <f t="shared" si="77"/>
        <v>.</v>
      </c>
      <c r="JC57" s="558" t="str">
        <f t="shared" si="77"/>
        <v>.</v>
      </c>
      <c r="JD57" s="558" t="str">
        <f t="shared" si="77"/>
        <v>.</v>
      </c>
      <c r="JE57" s="558" t="str">
        <f t="shared" si="77"/>
        <v>.</v>
      </c>
      <c r="JF57" s="558" t="str">
        <f t="shared" si="78"/>
        <v>.</v>
      </c>
      <c r="JG57" s="558" t="str">
        <f t="shared" si="78"/>
        <v>.</v>
      </c>
      <c r="JH57" s="558" t="str">
        <f t="shared" si="118"/>
        <v>.</v>
      </c>
      <c r="JI57" s="558" t="str">
        <f t="shared" si="118"/>
        <v>.</v>
      </c>
      <c r="JJ57" s="558" t="str">
        <f t="shared" si="118"/>
        <v>.</v>
      </c>
      <c r="JK57" s="558" t="str">
        <f t="shared" si="118"/>
        <v>.</v>
      </c>
      <c r="JL57" s="558" t="str">
        <f t="shared" si="118"/>
        <v>.</v>
      </c>
    </row>
    <row r="58" spans="1:272" ht="10.199999999999999" x14ac:dyDescent="0.2">
      <c r="A58" s="534">
        <f xml:space="preserve"> Basis!A58</f>
        <v>58</v>
      </c>
      <c r="F58" s="536">
        <f xml:space="preserve"> ROUND(    IF( $A$15=BE_MF_,   AW58,   INDEX( qx!58:58, F$16 ) ),    F$17    )</f>
        <v>3.0999999999999999E-3</v>
      </c>
      <c r="G58" s="536">
        <f xml:space="preserve"> ROUND(    IF( $A$15=BE_MF_,   BB58,   INDEX( wx!58:58, G$16 ) ),    G$17    )</f>
        <v>9.7999999999999997E-3</v>
      </c>
      <c r="H58" s="537">
        <f xml:space="preserve"> ROUND(    IF( $A$15=BE_MF_,   BG58,   INDEX( Kx!58:58, H$16 ) ),    H$17    )</f>
        <v>3853.38</v>
      </c>
      <c r="I58" s="538">
        <f t="shared" si="57"/>
        <v>3853.38</v>
      </c>
      <c r="J58" s="539">
        <f t="shared" si="84"/>
        <v>1.855</v>
      </c>
      <c r="K58" s="540">
        <f t="shared" si="119"/>
        <v>2</v>
      </c>
      <c r="L58" s="541">
        <f t="shared" si="71"/>
        <v>0</v>
      </c>
      <c r="M58" s="541">
        <f t="shared" si="71"/>
        <v>8.5999999999999993E-2</v>
      </c>
      <c r="O58" s="542" t="b">
        <f t="shared" si="59"/>
        <v>1</v>
      </c>
      <c r="P58" s="493">
        <f t="shared" si="85"/>
        <v>1.29E-2</v>
      </c>
      <c r="Q58" s="493">
        <f t="shared" si="86"/>
        <v>0.98709999999999998</v>
      </c>
      <c r="R58" s="543">
        <f t="shared" si="87"/>
        <v>551367</v>
      </c>
      <c r="S58" s="544">
        <f t="shared" si="88"/>
        <v>0.97560975599999999</v>
      </c>
      <c r="T58" s="423">
        <f t="shared" si="89"/>
        <v>131660.82999999999</v>
      </c>
      <c r="U58" s="423">
        <f xml:space="preserve"> IF( $O58,    ROUND(  SUM( T58:T$120), U$17 ),  LEER  )</f>
        <v>2566209.4900000002</v>
      </c>
      <c r="V58" s="493">
        <f t="shared" si="90"/>
        <v>19.491099999999999</v>
      </c>
      <c r="W58" s="493">
        <f t="shared" si="91"/>
        <v>244230.84</v>
      </c>
      <c r="X58" s="493">
        <f xml:space="preserve"> IF( $O58,    ROUND(  SUM( W58:W$120), X$17 ),  LEER  )</f>
        <v>8984926.6400000006</v>
      </c>
      <c r="Y58" s="493">
        <f t="shared" si="92"/>
        <v>68.242999999999995</v>
      </c>
      <c r="Z58" s="493">
        <f t="shared" si="93"/>
        <v>3.5011999999999999</v>
      </c>
      <c r="AA58" s="493">
        <f t="shared" si="94"/>
        <v>1.0094000000000001</v>
      </c>
      <c r="AB58" s="493">
        <f t="shared" si="95"/>
        <v>2.3494000000000002</v>
      </c>
      <c r="AC58" s="545">
        <f t="shared" si="96"/>
        <v>0.38600000000000001</v>
      </c>
      <c r="AD58" s="493">
        <f t="shared" si="97"/>
        <v>3.5377000000000001</v>
      </c>
      <c r="AE58" s="493">
        <f t="shared" si="98"/>
        <v>4.2929000000000004</v>
      </c>
      <c r="AF58" s="493">
        <f t="shared" si="99"/>
        <v>4.2929000000000004</v>
      </c>
      <c r="AG58" s="493" t="str">
        <f t="shared" si="100"/>
        <v>.</v>
      </c>
      <c r="AH58" s="493" t="str">
        <f t="shared" si="101"/>
        <v>.</v>
      </c>
      <c r="AI58" s="423">
        <f t="shared" si="102"/>
        <v>2077.79</v>
      </c>
      <c r="AJ58" s="423">
        <f t="shared" si="103"/>
        <v>8919.74</v>
      </c>
      <c r="AK58" s="423">
        <f t="shared" si="104"/>
        <v>743.31</v>
      </c>
      <c r="AN58" s="423">
        <f t="shared" si="72"/>
        <v>66706.52</v>
      </c>
      <c r="AO58" s="423">
        <f t="shared" si="72"/>
        <v>65807.45</v>
      </c>
      <c r="AR58" s="546">
        <f xml:space="preserve"> ROUND(  INDEX( Kx!58:58, AR$16 ),  AR$17 )</f>
        <v>0.74909999999999999</v>
      </c>
      <c r="AS58" s="547">
        <f xml:space="preserve"> ROUND(  INDEX( qx!58:58, AS$16 ),  AS$17 )</f>
        <v>3.5999999999999999E-3</v>
      </c>
      <c r="AT58" s="547">
        <f xml:space="preserve"> ROUND(  INDEX( qx!58:58, AT$16 ),  AT$17 )</f>
        <v>2.2000000000000001E-3</v>
      </c>
      <c r="AU58" s="548" t="str">
        <f t="shared" si="105"/>
        <v>F</v>
      </c>
      <c r="AV58" s="542">
        <f t="shared" si="106"/>
        <v>0.66559999999999997</v>
      </c>
      <c r="AW58" s="542">
        <f t="shared" si="107"/>
        <v>3.0999999999999999E-3</v>
      </c>
      <c r="AX58" s="546">
        <f xml:space="preserve"> ROUND(  INDEX( wx!58:58, AX$16 ),  AX$17 )</f>
        <v>1.11E-2</v>
      </c>
      <c r="AY58" s="546">
        <f xml:space="preserve"> ROUND(  INDEX( wx!58:58, AY$16 ),  AY$17 )</f>
        <v>7.3000000000000001E-3</v>
      </c>
      <c r="AZ58" s="548" t="str">
        <f t="shared" si="108"/>
        <v>F</v>
      </c>
      <c r="BA58" s="542">
        <f t="shared" si="109"/>
        <v>0.66559999999999997</v>
      </c>
      <c r="BB58" s="542">
        <f t="shared" si="110"/>
        <v>9.7999999999999997E-3</v>
      </c>
      <c r="BC58" s="533">
        <f xml:space="preserve"> ROUND(  INDEX( Kx!58:58, BC$16 ),  BC$17 )</f>
        <v>3785.66</v>
      </c>
      <c r="BD58" s="533">
        <f xml:space="preserve"> ROUND(  INDEX( Kx!58:58, BD$16 ),  BD$17 )</f>
        <v>3988.18</v>
      </c>
      <c r="BE58" s="548" t="str">
        <f t="shared" si="60"/>
        <v>F</v>
      </c>
      <c r="BF58" s="542">
        <f t="shared" si="111"/>
        <v>0.66559999999999997</v>
      </c>
      <c r="BG58" s="420">
        <f t="shared" si="112"/>
        <v>3853.38</v>
      </c>
      <c r="BQ58" s="549"/>
      <c r="BR58" s="423"/>
      <c r="BS58" s="550"/>
      <c r="BT58" s="423"/>
      <c r="BU58" s="551"/>
      <c r="BV58" s="551"/>
      <c r="BW58" s="529"/>
      <c r="BX58" s="552"/>
      <c r="BY58" s="560"/>
      <c r="BZ58" s="559"/>
      <c r="CB58" s="423"/>
      <c r="CC58" s="423"/>
      <c r="CD58" s="423"/>
      <c r="CE58" s="423"/>
      <c r="CF58" s="553"/>
      <c r="CH58" s="423"/>
      <c r="CI58" s="423"/>
      <c r="CJ58" s="423"/>
      <c r="CK58" s="423"/>
      <c r="CL58" s="553"/>
      <c r="CN58" s="423"/>
      <c r="CO58" s="423"/>
      <c r="CP58" s="423"/>
      <c r="CQ58" s="423"/>
      <c r="CR58" s="553"/>
      <c r="EI58" s="553"/>
      <c r="EJ58" s="553"/>
      <c r="EK58" s="423"/>
      <c r="EL58" s="555"/>
      <c r="ES58" s="533"/>
      <c r="ET58" s="533"/>
      <c r="EU58" s="533"/>
      <c r="EV58" s="556"/>
      <c r="EY58" s="533"/>
      <c r="EZ58" s="533"/>
      <c r="FA58" s="556"/>
      <c r="FD58" s="556"/>
      <c r="FE58" s="556"/>
      <c r="FF58" s="556"/>
      <c r="FK58" s="557">
        <f t="shared" si="113"/>
        <v>58</v>
      </c>
      <c r="FL58" s="493">
        <f t="shared" si="114"/>
        <v>68.242999999999995</v>
      </c>
      <c r="FM58" s="493">
        <f t="shared" si="115"/>
        <v>19.491099999999999</v>
      </c>
      <c r="FO58" s="427">
        <f t="shared" si="61"/>
        <v>2060981.31</v>
      </c>
      <c r="FP58" s="558">
        <f t="shared" si="116"/>
        <v>93180.33</v>
      </c>
      <c r="FQ58" s="558">
        <f t="shared" si="116"/>
        <v>91540.14</v>
      </c>
      <c r="FR58" s="558">
        <f t="shared" si="116"/>
        <v>89895.91</v>
      </c>
      <c r="FS58" s="558">
        <f t="shared" si="116"/>
        <v>88251.67</v>
      </c>
      <c r="FT58" s="558">
        <f t="shared" si="116"/>
        <v>86550.74</v>
      </c>
      <c r="FU58" s="558">
        <f t="shared" si="116"/>
        <v>84801.21</v>
      </c>
      <c r="FV58" s="558">
        <f t="shared" si="116"/>
        <v>83067.87</v>
      </c>
      <c r="FW58" s="558">
        <f t="shared" si="116"/>
        <v>81322.39</v>
      </c>
      <c r="FX58" s="558">
        <f t="shared" si="116"/>
        <v>79516.160000000003</v>
      </c>
      <c r="FY58" s="558">
        <f t="shared" si="116"/>
        <v>77637.039999999994</v>
      </c>
      <c r="FZ58" s="558">
        <f t="shared" si="116"/>
        <v>75745.759999999995</v>
      </c>
      <c r="GA58" s="558">
        <f t="shared" si="116"/>
        <v>73826.14</v>
      </c>
      <c r="GB58" s="558">
        <f t="shared" si="116"/>
        <v>71861.960000000006</v>
      </c>
      <c r="GC58" s="558">
        <f t="shared" si="116"/>
        <v>69889.69</v>
      </c>
      <c r="GD58" s="558">
        <f t="shared" si="116"/>
        <v>67856.67</v>
      </c>
      <c r="GE58" s="558">
        <f t="shared" si="116"/>
        <v>65807.45</v>
      </c>
      <c r="GF58" s="558">
        <f t="shared" si="81"/>
        <v>63697.48</v>
      </c>
      <c r="GG58" s="558">
        <f t="shared" si="81"/>
        <v>61538.92</v>
      </c>
      <c r="GH58" s="558">
        <f t="shared" si="81"/>
        <v>59319.61</v>
      </c>
      <c r="GI58" s="558">
        <f t="shared" si="81"/>
        <v>57035.5</v>
      </c>
      <c r="GJ58" s="558">
        <f t="shared" si="81"/>
        <v>54682.54</v>
      </c>
      <c r="GK58" s="558">
        <f t="shared" si="81"/>
        <v>52240.480000000003</v>
      </c>
      <c r="GL58" s="558">
        <f t="shared" si="81"/>
        <v>49709.33</v>
      </c>
      <c r="GM58" s="558">
        <f t="shared" si="81"/>
        <v>47085.04</v>
      </c>
      <c r="GN58" s="558">
        <f t="shared" si="81"/>
        <v>44355.44</v>
      </c>
      <c r="GO58" s="558">
        <f t="shared" si="81"/>
        <v>41540.800000000003</v>
      </c>
      <c r="GP58" s="558">
        <f t="shared" si="81"/>
        <v>38628.97</v>
      </c>
      <c r="GQ58" s="558">
        <f t="shared" si="81"/>
        <v>35628.03</v>
      </c>
      <c r="GR58" s="558">
        <f t="shared" si="81"/>
        <v>32546.1</v>
      </c>
      <c r="GS58" s="558">
        <f t="shared" si="81"/>
        <v>29387.23</v>
      </c>
      <c r="GT58" s="558">
        <f t="shared" si="81"/>
        <v>26163.56</v>
      </c>
      <c r="GU58" s="558">
        <f t="shared" si="117"/>
        <v>22862.93</v>
      </c>
      <c r="GV58" s="558">
        <f t="shared" si="117"/>
        <v>19517.77</v>
      </c>
      <c r="GW58" s="558">
        <f t="shared" si="117"/>
        <v>16111.85</v>
      </c>
      <c r="GX58" s="558">
        <f t="shared" si="117"/>
        <v>12669.48</v>
      </c>
      <c r="GY58" s="558">
        <f t="shared" si="117"/>
        <v>9190.67</v>
      </c>
      <c r="GZ58" s="558">
        <f t="shared" si="117"/>
        <v>5671.36</v>
      </c>
      <c r="HA58" s="558">
        <f t="shared" si="117"/>
        <v>2123.6999999999998</v>
      </c>
      <c r="HB58" s="558">
        <f t="shared" si="117"/>
        <v>-1476.61</v>
      </c>
      <c r="HC58" s="558" t="str">
        <f t="shared" si="117"/>
        <v>.</v>
      </c>
      <c r="HD58" s="558" t="str">
        <f t="shared" si="117"/>
        <v>.</v>
      </c>
      <c r="HE58" s="558" t="str">
        <f t="shared" si="117"/>
        <v>.</v>
      </c>
      <c r="HF58" s="558" t="str">
        <f t="shared" si="117"/>
        <v>.</v>
      </c>
      <c r="HG58" s="558" t="str">
        <f t="shared" si="117"/>
        <v>.</v>
      </c>
      <c r="HH58" s="558" t="str">
        <f t="shared" si="117"/>
        <v>.</v>
      </c>
      <c r="HI58" s="558" t="str">
        <f t="shared" si="117"/>
        <v>.</v>
      </c>
      <c r="HJ58" s="558" t="str">
        <f t="shared" si="117"/>
        <v>.</v>
      </c>
      <c r="HK58" s="558" t="str">
        <f t="shared" si="82"/>
        <v>.</v>
      </c>
      <c r="HL58" s="558" t="str">
        <f t="shared" si="82"/>
        <v>.</v>
      </c>
      <c r="HM58" s="558" t="str">
        <f t="shared" si="82"/>
        <v>.</v>
      </c>
      <c r="HN58" s="558" t="str">
        <f t="shared" si="82"/>
        <v>.</v>
      </c>
      <c r="HO58" s="558" t="str">
        <f t="shared" si="82"/>
        <v>.</v>
      </c>
      <c r="HP58" s="558" t="str">
        <f t="shared" si="82"/>
        <v>.</v>
      </c>
      <c r="HQ58" s="558" t="str">
        <f t="shared" si="82"/>
        <v>.</v>
      </c>
      <c r="HR58" s="558" t="str">
        <f t="shared" si="82"/>
        <v>.</v>
      </c>
      <c r="HS58" s="558" t="str">
        <f t="shared" si="82"/>
        <v>.</v>
      </c>
      <c r="HT58" s="558" t="str">
        <f t="shared" si="82"/>
        <v>.</v>
      </c>
      <c r="HU58" s="558" t="str">
        <f t="shared" si="82"/>
        <v>.</v>
      </c>
      <c r="HV58" s="558" t="str">
        <f t="shared" si="82"/>
        <v>.</v>
      </c>
      <c r="HW58" s="558" t="str">
        <f t="shared" si="82"/>
        <v>.</v>
      </c>
      <c r="HX58" s="558" t="str">
        <f t="shared" si="82"/>
        <v>.</v>
      </c>
      <c r="HY58" s="558" t="str">
        <f t="shared" si="82"/>
        <v>.</v>
      </c>
      <c r="HZ58" s="558" t="str">
        <f t="shared" si="82"/>
        <v>.</v>
      </c>
      <c r="IA58" s="558" t="str">
        <f t="shared" si="82"/>
        <v>.</v>
      </c>
      <c r="IB58" s="558" t="str">
        <f t="shared" si="83"/>
        <v>.</v>
      </c>
      <c r="IC58" s="558" t="str">
        <f t="shared" si="83"/>
        <v>.</v>
      </c>
      <c r="ID58" s="558" t="str">
        <f t="shared" si="83"/>
        <v>.</v>
      </c>
      <c r="IE58" s="558" t="str">
        <f t="shared" si="83"/>
        <v>.</v>
      </c>
      <c r="IF58" s="558" t="str">
        <f t="shared" si="83"/>
        <v>.</v>
      </c>
      <c r="IG58" s="558" t="str">
        <f t="shared" si="83"/>
        <v>.</v>
      </c>
      <c r="IH58" s="558" t="str">
        <f t="shared" si="83"/>
        <v>.</v>
      </c>
      <c r="II58" s="558" t="str">
        <f t="shared" si="83"/>
        <v>.</v>
      </c>
      <c r="IJ58" s="558" t="str">
        <f t="shared" si="83"/>
        <v>.</v>
      </c>
      <c r="IK58" s="558" t="str">
        <f t="shared" si="83"/>
        <v>.</v>
      </c>
      <c r="IL58" s="558" t="str">
        <f t="shared" si="83"/>
        <v>.</v>
      </c>
      <c r="IM58" s="558" t="str">
        <f t="shared" si="83"/>
        <v>.</v>
      </c>
      <c r="IN58" s="558" t="str">
        <f t="shared" si="83"/>
        <v>.</v>
      </c>
      <c r="IO58" s="558" t="str">
        <f t="shared" si="77"/>
        <v>.</v>
      </c>
      <c r="IP58" s="558" t="str">
        <f t="shared" si="77"/>
        <v>.</v>
      </c>
      <c r="IQ58" s="558" t="str">
        <f t="shared" si="77"/>
        <v>.</v>
      </c>
      <c r="IR58" s="558" t="str">
        <f t="shared" si="77"/>
        <v>.</v>
      </c>
      <c r="IS58" s="558" t="str">
        <f t="shared" si="77"/>
        <v>.</v>
      </c>
      <c r="IT58" s="558" t="str">
        <f t="shared" si="77"/>
        <v>.</v>
      </c>
      <c r="IU58" s="558" t="str">
        <f t="shared" si="77"/>
        <v>.</v>
      </c>
      <c r="IV58" s="558" t="str">
        <f t="shared" si="77"/>
        <v>.</v>
      </c>
      <c r="IW58" s="558" t="str">
        <f t="shared" si="77"/>
        <v>.</v>
      </c>
      <c r="IX58" s="558" t="str">
        <f t="shared" si="77"/>
        <v>.</v>
      </c>
      <c r="IY58" s="558" t="str">
        <f t="shared" si="77"/>
        <v>.</v>
      </c>
      <c r="IZ58" s="558" t="str">
        <f t="shared" si="77"/>
        <v>.</v>
      </c>
      <c r="JA58" s="558" t="str">
        <f t="shared" si="77"/>
        <v>.</v>
      </c>
      <c r="JB58" s="558" t="str">
        <f t="shared" si="77"/>
        <v>.</v>
      </c>
      <c r="JC58" s="558" t="str">
        <f t="shared" si="77"/>
        <v>.</v>
      </c>
      <c r="JD58" s="558" t="str">
        <f t="shared" si="77"/>
        <v>.</v>
      </c>
      <c r="JE58" s="558" t="str">
        <f t="shared" si="77"/>
        <v>.</v>
      </c>
      <c r="JF58" s="558" t="str">
        <f t="shared" si="78"/>
        <v>.</v>
      </c>
      <c r="JG58" s="558" t="str">
        <f t="shared" si="78"/>
        <v>.</v>
      </c>
      <c r="JH58" s="558" t="str">
        <f t="shared" si="118"/>
        <v>.</v>
      </c>
      <c r="JI58" s="558" t="str">
        <f t="shared" si="118"/>
        <v>.</v>
      </c>
      <c r="JJ58" s="558" t="str">
        <f t="shared" si="118"/>
        <v>.</v>
      </c>
      <c r="JK58" s="558" t="str">
        <f t="shared" si="118"/>
        <v>.</v>
      </c>
      <c r="JL58" s="558" t="str">
        <f t="shared" si="118"/>
        <v>.</v>
      </c>
    </row>
    <row r="59" spans="1:272" ht="10.199999999999999" x14ac:dyDescent="0.2">
      <c r="A59" s="534">
        <f xml:space="preserve"> Basis!A59</f>
        <v>59</v>
      </c>
      <c r="F59" s="536">
        <f xml:space="preserve"> ROUND(    IF( $A$15=BE_MF_,   AW59,   INDEX( qx!59:59, F$16 ) ),    F$17    )</f>
        <v>3.3999999999999998E-3</v>
      </c>
      <c r="G59" s="536">
        <f xml:space="preserve"> ROUND(    IF( $A$15=BE_MF_,   BB59,   INDEX( wx!59:59, G$16 ) ),    G$17    )</f>
        <v>8.3999999999999995E-3</v>
      </c>
      <c r="H59" s="537">
        <f xml:space="preserve"> ROUND(    IF( $A$15=BE_MF_,   BG59,   INDEX( Kx!59:59, H$16 ) ),    H$17    )</f>
        <v>4042.14</v>
      </c>
      <c r="I59" s="538">
        <f t="shared" si="57"/>
        <v>4042.14</v>
      </c>
      <c r="J59" s="539">
        <f t="shared" si="84"/>
        <v>1.9450000000000001</v>
      </c>
      <c r="K59" s="540">
        <f t="shared" si="119"/>
        <v>2</v>
      </c>
      <c r="L59" s="541">
        <f t="shared" si="71"/>
        <v>0</v>
      </c>
      <c r="M59" s="541">
        <f t="shared" si="71"/>
        <v>8.5999999999999993E-2</v>
      </c>
      <c r="O59" s="542" t="b">
        <f t="shared" si="59"/>
        <v>1</v>
      </c>
      <c r="P59" s="493">
        <f t="shared" si="85"/>
        <v>1.18E-2</v>
      </c>
      <c r="Q59" s="493">
        <f t="shared" si="86"/>
        <v>0.98819999999999997</v>
      </c>
      <c r="R59" s="543">
        <f t="shared" si="87"/>
        <v>544254</v>
      </c>
      <c r="S59" s="544">
        <f t="shared" si="88"/>
        <v>0.97560975599999999</v>
      </c>
      <c r="T59" s="423">
        <f t="shared" si="89"/>
        <v>126792.5</v>
      </c>
      <c r="U59" s="423">
        <f xml:space="preserve"> IF( $O59,    ROUND(  SUM( T59:T$120), U$17 ),  LEER  )</f>
        <v>2434548.66</v>
      </c>
      <c r="V59" s="493">
        <f t="shared" si="90"/>
        <v>19.201000000000001</v>
      </c>
      <c r="W59" s="493">
        <f t="shared" si="91"/>
        <v>246611.41</v>
      </c>
      <c r="X59" s="493">
        <f xml:space="preserve"> IF( $O59,    ROUND(  SUM( W59:W$120), X$17 ),  LEER  )</f>
        <v>8740695.8000000007</v>
      </c>
      <c r="Y59" s="493">
        <f t="shared" si="92"/>
        <v>68.936999999999998</v>
      </c>
      <c r="Z59" s="493">
        <f t="shared" si="93"/>
        <v>3.5903</v>
      </c>
      <c r="AA59" s="493">
        <f t="shared" si="94"/>
        <v>1.0096000000000001</v>
      </c>
      <c r="AB59" s="493">
        <f t="shared" si="95"/>
        <v>2.3494000000000002</v>
      </c>
      <c r="AC59" s="545">
        <f t="shared" si="96"/>
        <v>0.38600000000000001</v>
      </c>
      <c r="AD59" s="493">
        <f t="shared" si="97"/>
        <v>3.6284999999999998</v>
      </c>
      <c r="AE59" s="493">
        <f t="shared" si="98"/>
        <v>4.3921999999999999</v>
      </c>
      <c r="AF59" s="493">
        <f t="shared" si="99"/>
        <v>4.3921999999999999</v>
      </c>
      <c r="AG59" s="493" t="str">
        <f t="shared" si="100"/>
        <v>.</v>
      </c>
      <c r="AH59" s="493" t="str">
        <f t="shared" si="101"/>
        <v>.</v>
      </c>
      <c r="AI59" s="423">
        <f t="shared" si="102"/>
        <v>2077.79</v>
      </c>
      <c r="AJ59" s="423">
        <f t="shared" si="103"/>
        <v>9126.07</v>
      </c>
      <c r="AK59" s="423">
        <f t="shared" si="104"/>
        <v>760.51</v>
      </c>
      <c r="AN59" s="423">
        <f t="shared" si="72"/>
        <v>69266.09</v>
      </c>
      <c r="AO59" s="423">
        <f t="shared" si="72"/>
        <v>68380.41</v>
      </c>
      <c r="AR59" s="546">
        <f xml:space="preserve"> ROUND(  INDEX( Kx!59:59, AR$16 ),  AR$17 )</f>
        <v>0.74019999999999997</v>
      </c>
      <c r="AS59" s="547">
        <f xml:space="preserve"> ROUND(  INDEX( qx!59:59, AS$16 ),  AS$17 )</f>
        <v>3.8999999999999998E-3</v>
      </c>
      <c r="AT59" s="547">
        <f xml:space="preserve"> ROUND(  INDEX( qx!59:59, AT$16 ),  AT$17 )</f>
        <v>2.3999999999999998E-3</v>
      </c>
      <c r="AU59" s="548" t="str">
        <f t="shared" si="105"/>
        <v>F</v>
      </c>
      <c r="AV59" s="542">
        <f t="shared" si="106"/>
        <v>0.65510000000000002</v>
      </c>
      <c r="AW59" s="542">
        <f t="shared" si="107"/>
        <v>3.3999999999999998E-3</v>
      </c>
      <c r="AX59" s="546">
        <f xml:space="preserve"> ROUND(  INDEX( wx!59:59, AX$16 ),  AX$17 )</f>
        <v>9.1000000000000004E-3</v>
      </c>
      <c r="AY59" s="546">
        <f xml:space="preserve"> ROUND(  INDEX( wx!59:59, AY$16 ),  AY$17 )</f>
        <v>7.0000000000000001E-3</v>
      </c>
      <c r="AZ59" s="548" t="str">
        <f t="shared" si="108"/>
        <v>F</v>
      </c>
      <c r="BA59" s="542">
        <f t="shared" si="109"/>
        <v>0.65510000000000002</v>
      </c>
      <c r="BB59" s="542">
        <f t="shared" si="110"/>
        <v>8.3999999999999995E-3</v>
      </c>
      <c r="BC59" s="533">
        <f xml:space="preserve"> ROUND(  INDEX( Kx!59:59, BC$16 ),  BC$17 )</f>
        <v>4007.19</v>
      </c>
      <c r="BD59" s="533">
        <f xml:space="preserve"> ROUND(  INDEX( Kx!59:59, BD$16 ),  BD$17 )</f>
        <v>4108.5200000000004</v>
      </c>
      <c r="BE59" s="548" t="str">
        <f t="shared" si="60"/>
        <v>F</v>
      </c>
      <c r="BF59" s="542">
        <f t="shared" si="111"/>
        <v>0.65510000000000002</v>
      </c>
      <c r="BG59" s="420">
        <f t="shared" si="112"/>
        <v>4042.14</v>
      </c>
      <c r="BQ59" s="549"/>
      <c r="BR59" s="423"/>
      <c r="BS59" s="550"/>
      <c r="BT59" s="423"/>
      <c r="BU59" s="551"/>
      <c r="BV59" s="551"/>
      <c r="BW59" s="529"/>
      <c r="BX59" s="552"/>
      <c r="BY59" s="560"/>
      <c r="BZ59" s="559"/>
      <c r="CB59" s="423"/>
      <c r="CC59" s="423"/>
      <c r="CD59" s="423"/>
      <c r="CE59" s="423"/>
      <c r="CF59" s="553"/>
      <c r="CH59" s="423"/>
      <c r="CI59" s="423"/>
      <c r="CJ59" s="423"/>
      <c r="CK59" s="423"/>
      <c r="CL59" s="553"/>
      <c r="CN59" s="423"/>
      <c r="CO59" s="423"/>
      <c r="CP59" s="423"/>
      <c r="CQ59" s="423"/>
      <c r="CR59" s="553"/>
      <c r="EI59" s="553"/>
      <c r="EJ59" s="553"/>
      <c r="EK59" s="423"/>
      <c r="EL59" s="555"/>
      <c r="ES59" s="533"/>
      <c r="ET59" s="533"/>
      <c r="EU59" s="533"/>
      <c r="EV59" s="556"/>
      <c r="EY59" s="533"/>
      <c r="EZ59" s="533"/>
      <c r="FA59" s="556"/>
      <c r="FD59" s="556"/>
      <c r="FE59" s="556"/>
      <c r="FF59" s="556"/>
      <c r="FK59" s="557">
        <f t="shared" si="113"/>
        <v>59</v>
      </c>
      <c r="FL59" s="493">
        <f t="shared" si="114"/>
        <v>68.936999999999998</v>
      </c>
      <c r="FM59" s="493">
        <f t="shared" si="115"/>
        <v>19.201000000000001</v>
      </c>
      <c r="FO59" s="427">
        <f t="shared" si="61"/>
        <v>2167325.8199999989</v>
      </c>
      <c r="FP59" s="558">
        <f t="shared" si="116"/>
        <v>95345.88</v>
      </c>
      <c r="FQ59" s="558">
        <f t="shared" si="116"/>
        <v>93730.1</v>
      </c>
      <c r="FR59" s="558">
        <f t="shared" si="116"/>
        <v>92110.34</v>
      </c>
      <c r="FS59" s="558">
        <f t="shared" si="116"/>
        <v>90490.58</v>
      </c>
      <c r="FT59" s="558">
        <f t="shared" si="116"/>
        <v>88814.96</v>
      </c>
      <c r="FU59" s="558">
        <f t="shared" si="116"/>
        <v>87091.47</v>
      </c>
      <c r="FV59" s="558">
        <f t="shared" si="116"/>
        <v>85383.93</v>
      </c>
      <c r="FW59" s="558">
        <f t="shared" si="116"/>
        <v>83664.429999999993</v>
      </c>
      <c r="FX59" s="558">
        <f t="shared" si="116"/>
        <v>81885.09</v>
      </c>
      <c r="FY59" s="558">
        <f t="shared" si="116"/>
        <v>80033.929999999993</v>
      </c>
      <c r="FZ59" s="558">
        <f t="shared" si="116"/>
        <v>78170.8</v>
      </c>
      <c r="GA59" s="558">
        <f t="shared" si="116"/>
        <v>76279.75</v>
      </c>
      <c r="GB59" s="558">
        <f t="shared" si="116"/>
        <v>74344.81</v>
      </c>
      <c r="GC59" s="558">
        <f t="shared" si="116"/>
        <v>72401.89</v>
      </c>
      <c r="GD59" s="558">
        <f t="shared" si="116"/>
        <v>70399.13</v>
      </c>
      <c r="GE59" s="558">
        <f t="shared" si="116"/>
        <v>68380.41</v>
      </c>
      <c r="GF59" s="558">
        <f t="shared" si="81"/>
        <v>66301.850000000006</v>
      </c>
      <c r="GG59" s="558">
        <f t="shared" si="81"/>
        <v>64175.41</v>
      </c>
      <c r="GH59" s="558">
        <f t="shared" si="81"/>
        <v>61989.13</v>
      </c>
      <c r="GI59" s="558">
        <f t="shared" si="81"/>
        <v>59739.01</v>
      </c>
      <c r="GJ59" s="558">
        <f t="shared" si="81"/>
        <v>57421.08</v>
      </c>
      <c r="GK59" s="558">
        <f t="shared" si="81"/>
        <v>55015.37</v>
      </c>
      <c r="GL59" s="558">
        <f t="shared" si="81"/>
        <v>52521.89</v>
      </c>
      <c r="GM59" s="558">
        <f t="shared" si="81"/>
        <v>49936.65</v>
      </c>
      <c r="GN59" s="558">
        <f t="shared" si="81"/>
        <v>47247.69</v>
      </c>
      <c r="GO59" s="558">
        <f t="shared" si="81"/>
        <v>44474.94</v>
      </c>
      <c r="GP59" s="558">
        <f t="shared" si="81"/>
        <v>41606.44</v>
      </c>
      <c r="GQ59" s="558">
        <f t="shared" si="81"/>
        <v>38650.17</v>
      </c>
      <c r="GR59" s="558">
        <f t="shared" si="81"/>
        <v>35614.120000000003</v>
      </c>
      <c r="GS59" s="558">
        <f t="shared" si="81"/>
        <v>32502.25</v>
      </c>
      <c r="GT59" s="558">
        <f t="shared" si="81"/>
        <v>29326.560000000001</v>
      </c>
      <c r="GU59" s="558">
        <f t="shared" si="117"/>
        <v>26075.07</v>
      </c>
      <c r="GV59" s="558">
        <f t="shared" si="117"/>
        <v>22779.69</v>
      </c>
      <c r="GW59" s="558">
        <f t="shared" si="117"/>
        <v>19424.46</v>
      </c>
      <c r="GX59" s="558">
        <f t="shared" si="117"/>
        <v>16033.33</v>
      </c>
      <c r="GY59" s="558">
        <f t="shared" si="117"/>
        <v>12606.3</v>
      </c>
      <c r="GZ59" s="558">
        <f t="shared" si="117"/>
        <v>9139.36</v>
      </c>
      <c r="HA59" s="558">
        <f t="shared" si="117"/>
        <v>5644.51</v>
      </c>
      <c r="HB59" s="558">
        <f t="shared" si="117"/>
        <v>2097.7800000000002</v>
      </c>
      <c r="HC59" s="558">
        <f t="shared" si="117"/>
        <v>-1524.74</v>
      </c>
      <c r="HD59" s="558" t="str">
        <f t="shared" si="117"/>
        <v>.</v>
      </c>
      <c r="HE59" s="558" t="str">
        <f t="shared" si="117"/>
        <v>.</v>
      </c>
      <c r="HF59" s="558" t="str">
        <f t="shared" si="117"/>
        <v>.</v>
      </c>
      <c r="HG59" s="558" t="str">
        <f t="shared" si="117"/>
        <v>.</v>
      </c>
      <c r="HH59" s="558" t="str">
        <f t="shared" si="117"/>
        <v>.</v>
      </c>
      <c r="HI59" s="558" t="str">
        <f t="shared" si="117"/>
        <v>.</v>
      </c>
      <c r="HJ59" s="558" t="str">
        <f t="shared" si="117"/>
        <v>.</v>
      </c>
      <c r="HK59" s="558" t="str">
        <f t="shared" si="82"/>
        <v>.</v>
      </c>
      <c r="HL59" s="558" t="str">
        <f t="shared" si="82"/>
        <v>.</v>
      </c>
      <c r="HM59" s="558" t="str">
        <f t="shared" si="82"/>
        <v>.</v>
      </c>
      <c r="HN59" s="558" t="str">
        <f t="shared" si="82"/>
        <v>.</v>
      </c>
      <c r="HO59" s="558" t="str">
        <f t="shared" si="82"/>
        <v>.</v>
      </c>
      <c r="HP59" s="558" t="str">
        <f t="shared" si="82"/>
        <v>.</v>
      </c>
      <c r="HQ59" s="558" t="str">
        <f t="shared" si="82"/>
        <v>.</v>
      </c>
      <c r="HR59" s="558" t="str">
        <f t="shared" si="82"/>
        <v>.</v>
      </c>
      <c r="HS59" s="558" t="str">
        <f t="shared" si="82"/>
        <v>.</v>
      </c>
      <c r="HT59" s="558" t="str">
        <f t="shared" si="82"/>
        <v>.</v>
      </c>
      <c r="HU59" s="558" t="str">
        <f t="shared" si="82"/>
        <v>.</v>
      </c>
      <c r="HV59" s="558" t="str">
        <f t="shared" si="82"/>
        <v>.</v>
      </c>
      <c r="HW59" s="558" t="str">
        <f t="shared" si="82"/>
        <v>.</v>
      </c>
      <c r="HX59" s="558" t="str">
        <f t="shared" si="82"/>
        <v>.</v>
      </c>
      <c r="HY59" s="558" t="str">
        <f t="shared" si="82"/>
        <v>.</v>
      </c>
      <c r="HZ59" s="558" t="str">
        <f t="shared" si="82"/>
        <v>.</v>
      </c>
      <c r="IA59" s="558" t="str">
        <f t="shared" si="82"/>
        <v>.</v>
      </c>
      <c r="IB59" s="558" t="str">
        <f t="shared" si="83"/>
        <v>.</v>
      </c>
      <c r="IC59" s="558" t="str">
        <f t="shared" si="83"/>
        <v>.</v>
      </c>
      <c r="ID59" s="558" t="str">
        <f t="shared" si="83"/>
        <v>.</v>
      </c>
      <c r="IE59" s="558" t="str">
        <f t="shared" si="83"/>
        <v>.</v>
      </c>
      <c r="IF59" s="558" t="str">
        <f t="shared" si="83"/>
        <v>.</v>
      </c>
      <c r="IG59" s="558" t="str">
        <f t="shared" si="83"/>
        <v>.</v>
      </c>
      <c r="IH59" s="558" t="str">
        <f t="shared" si="83"/>
        <v>.</v>
      </c>
      <c r="II59" s="558" t="str">
        <f t="shared" si="83"/>
        <v>.</v>
      </c>
      <c r="IJ59" s="558" t="str">
        <f t="shared" si="83"/>
        <v>.</v>
      </c>
      <c r="IK59" s="558" t="str">
        <f t="shared" si="83"/>
        <v>.</v>
      </c>
      <c r="IL59" s="558" t="str">
        <f t="shared" si="83"/>
        <v>.</v>
      </c>
      <c r="IM59" s="558" t="str">
        <f t="shared" si="83"/>
        <v>.</v>
      </c>
      <c r="IN59" s="558" t="str">
        <f t="shared" si="83"/>
        <v>.</v>
      </c>
      <c r="IO59" s="558" t="str">
        <f t="shared" si="77"/>
        <v>.</v>
      </c>
      <c r="IP59" s="558" t="str">
        <f t="shared" si="77"/>
        <v>.</v>
      </c>
      <c r="IQ59" s="558" t="str">
        <f t="shared" si="77"/>
        <v>.</v>
      </c>
      <c r="IR59" s="558" t="str">
        <f t="shared" si="77"/>
        <v>.</v>
      </c>
      <c r="IS59" s="558" t="str">
        <f t="shared" si="77"/>
        <v>.</v>
      </c>
      <c r="IT59" s="558" t="str">
        <f t="shared" si="77"/>
        <v>.</v>
      </c>
      <c r="IU59" s="558" t="str">
        <f t="shared" si="77"/>
        <v>.</v>
      </c>
      <c r="IV59" s="558" t="str">
        <f t="shared" si="77"/>
        <v>.</v>
      </c>
      <c r="IW59" s="558" t="str">
        <f t="shared" si="77"/>
        <v>.</v>
      </c>
      <c r="IX59" s="558" t="str">
        <f t="shared" si="77"/>
        <v>.</v>
      </c>
      <c r="IY59" s="558" t="str">
        <f t="shared" si="77"/>
        <v>.</v>
      </c>
      <c r="IZ59" s="558" t="str">
        <f t="shared" si="77"/>
        <v>.</v>
      </c>
      <c r="JA59" s="558" t="str">
        <f t="shared" si="77"/>
        <v>.</v>
      </c>
      <c r="JB59" s="558" t="str">
        <f t="shared" si="77"/>
        <v>.</v>
      </c>
      <c r="JC59" s="558" t="str">
        <f t="shared" si="77"/>
        <v>.</v>
      </c>
      <c r="JD59" s="558" t="str">
        <f t="shared" si="77"/>
        <v>.</v>
      </c>
      <c r="JE59" s="558" t="str">
        <f t="shared" si="77"/>
        <v>.</v>
      </c>
      <c r="JF59" s="558" t="str">
        <f t="shared" si="78"/>
        <v>.</v>
      </c>
      <c r="JG59" s="558" t="str">
        <f t="shared" si="78"/>
        <v>.</v>
      </c>
      <c r="JH59" s="558" t="str">
        <f t="shared" si="118"/>
        <v>.</v>
      </c>
      <c r="JI59" s="558" t="str">
        <f t="shared" si="118"/>
        <v>.</v>
      </c>
      <c r="JJ59" s="558" t="str">
        <f t="shared" si="118"/>
        <v>.</v>
      </c>
      <c r="JK59" s="558" t="str">
        <f t="shared" si="118"/>
        <v>.</v>
      </c>
      <c r="JL59" s="558" t="str">
        <f t="shared" si="118"/>
        <v>.</v>
      </c>
    </row>
    <row r="60" spans="1:272" ht="10.199999999999999" x14ac:dyDescent="0.2">
      <c r="A60" s="534">
        <f xml:space="preserve"> Basis!A60</f>
        <v>60</v>
      </c>
      <c r="F60" s="536">
        <f xml:space="preserve"> ROUND(    IF( $A$15=BE_MF_,   AW60,   INDEX( qx!60:60, F$16 ) ),    F$17    )</f>
        <v>3.7000000000000002E-3</v>
      </c>
      <c r="G60" s="536">
        <f xml:space="preserve"> ROUND(    IF( $A$15=BE_MF_,   BB60,   INDEX( wx!60:60, G$16 ) ),    G$17    )</f>
        <v>7.7000000000000002E-3</v>
      </c>
      <c r="H60" s="537">
        <f xml:space="preserve"> ROUND(    IF( $A$15=BE_MF_,   BG60,   INDEX( Kx!60:60, H$16 ) ),    H$17    )</f>
        <v>4241.26</v>
      </c>
      <c r="I60" s="538">
        <f t="shared" si="57"/>
        <v>4241.26</v>
      </c>
      <c r="J60" s="539">
        <f t="shared" si="84"/>
        <v>2.0409999999999999</v>
      </c>
      <c r="K60" s="540">
        <f t="shared" si="119"/>
        <v>2</v>
      </c>
      <c r="L60" s="541">
        <f t="shared" si="71"/>
        <v>0</v>
      </c>
      <c r="M60" s="541">
        <f t="shared" si="71"/>
        <v>8.5999999999999993E-2</v>
      </c>
      <c r="O60" s="542" t="b">
        <f t="shared" si="59"/>
        <v>1</v>
      </c>
      <c r="P60" s="493">
        <f t="shared" si="85"/>
        <v>1.14E-2</v>
      </c>
      <c r="Q60" s="493">
        <f t="shared" si="86"/>
        <v>0.98860000000000003</v>
      </c>
      <c r="R60" s="543">
        <f t="shared" si="87"/>
        <v>537831</v>
      </c>
      <c r="S60" s="544">
        <f t="shared" si="88"/>
        <v>0.97560975599999999</v>
      </c>
      <c r="T60" s="423">
        <f t="shared" si="89"/>
        <v>122240.16</v>
      </c>
      <c r="U60" s="423">
        <f xml:space="preserve"> IF( $O60,    ROUND(  SUM( T60:T$120), U$17 ),  LEER  )</f>
        <v>2307756.16</v>
      </c>
      <c r="V60" s="493">
        <f t="shared" si="90"/>
        <v>18.878900000000002</v>
      </c>
      <c r="W60" s="493">
        <f t="shared" si="91"/>
        <v>249492.17</v>
      </c>
      <c r="X60" s="493">
        <f xml:space="preserve"> IF( $O60,    ROUND(  SUM( W60:W$120), X$17 ),  LEER  )</f>
        <v>8494084.3900000006</v>
      </c>
      <c r="Y60" s="493">
        <f t="shared" si="92"/>
        <v>69.486900000000006</v>
      </c>
      <c r="Z60" s="493">
        <f t="shared" si="93"/>
        <v>3.6806999999999999</v>
      </c>
      <c r="AA60" s="493">
        <f t="shared" si="94"/>
        <v>1.0098</v>
      </c>
      <c r="AB60" s="493">
        <f t="shared" si="95"/>
        <v>2.3494000000000002</v>
      </c>
      <c r="AC60" s="545">
        <f t="shared" si="96"/>
        <v>0.38600000000000001</v>
      </c>
      <c r="AD60" s="493">
        <f t="shared" si="97"/>
        <v>3.7206000000000001</v>
      </c>
      <c r="AE60" s="493">
        <f t="shared" si="98"/>
        <v>4.4930000000000003</v>
      </c>
      <c r="AF60" s="493">
        <f t="shared" si="99"/>
        <v>4.4930000000000003</v>
      </c>
      <c r="AG60" s="493" t="str">
        <f t="shared" si="100"/>
        <v>.</v>
      </c>
      <c r="AH60" s="493" t="str">
        <f t="shared" si="101"/>
        <v>.</v>
      </c>
      <c r="AI60" s="423">
        <f t="shared" si="102"/>
        <v>2077.79</v>
      </c>
      <c r="AJ60" s="423">
        <f t="shared" si="103"/>
        <v>9335.51</v>
      </c>
      <c r="AK60" s="423">
        <f t="shared" si="104"/>
        <v>777.96</v>
      </c>
      <c r="AN60" s="423">
        <f t="shared" ref="AN60:AO79" si="120" xml:space="preserve">  IF( AND( $A60&lt;=$O$12, $A60&gt;=AN$12),    ROUND( AN$19 * ( SUM($Y60) - SUM(AN$8) * SUM($V60) ), AN$17 ),  LEER  )</f>
        <v>71649.539999999994</v>
      </c>
      <c r="AO60" s="423">
        <f t="shared" si="120"/>
        <v>70778.710000000006</v>
      </c>
      <c r="AR60" s="546">
        <f xml:space="preserve"> ROUND(  INDEX( Kx!60:60, AR$16 ),  AR$17 )</f>
        <v>0.74009999999999998</v>
      </c>
      <c r="AS60" s="547">
        <f xml:space="preserve"> ROUND(  INDEX( qx!60:60, AS$16 ),  AS$17 )</f>
        <v>4.1999999999999997E-3</v>
      </c>
      <c r="AT60" s="547">
        <f xml:space="preserve"> ROUND(  INDEX( qx!60:60, AT$16 ),  AT$17 )</f>
        <v>2.7000000000000001E-3</v>
      </c>
      <c r="AU60" s="548" t="str">
        <f t="shared" si="105"/>
        <v>F</v>
      </c>
      <c r="AV60" s="542">
        <f t="shared" si="106"/>
        <v>0.65500000000000003</v>
      </c>
      <c r="AW60" s="542">
        <f t="shared" si="107"/>
        <v>3.7000000000000002E-3</v>
      </c>
      <c r="AX60" s="546">
        <f xml:space="preserve"> ROUND(  INDEX( wx!60:60, AX$16 ),  AX$17 )</f>
        <v>7.7999999999999996E-3</v>
      </c>
      <c r="AY60" s="546">
        <f xml:space="preserve"> ROUND(  INDEX( wx!60:60, AY$16 ),  AY$17 )</f>
        <v>7.4999999999999997E-3</v>
      </c>
      <c r="AZ60" s="548" t="str">
        <f t="shared" si="108"/>
        <v>F</v>
      </c>
      <c r="BA60" s="542">
        <f t="shared" si="109"/>
        <v>0.65500000000000003</v>
      </c>
      <c r="BB60" s="542">
        <f t="shared" si="110"/>
        <v>7.7000000000000002E-3</v>
      </c>
      <c r="BC60" s="533">
        <f xml:space="preserve"> ROUND(  INDEX( Kx!60:60, BC$16 ),  BC$17 )</f>
        <v>4241.84</v>
      </c>
      <c r="BD60" s="533">
        <f xml:space="preserve"> ROUND(  INDEX( Kx!60:60, BD$16 ),  BD$17 )</f>
        <v>4238.78</v>
      </c>
      <c r="BE60" s="548" t="str">
        <f t="shared" si="60"/>
        <v>M</v>
      </c>
      <c r="BF60" s="542">
        <f t="shared" si="111"/>
        <v>0.81030000000000002</v>
      </c>
      <c r="BG60" s="420">
        <f t="shared" si="112"/>
        <v>4241.26</v>
      </c>
      <c r="BQ60" s="549"/>
      <c r="BR60" s="423"/>
      <c r="BS60" s="550"/>
      <c r="BT60" s="423"/>
      <c r="BU60" s="551"/>
      <c r="BV60" s="551"/>
      <c r="BW60" s="529"/>
      <c r="BX60" s="552"/>
      <c r="BY60" s="560"/>
      <c r="BZ60" s="559"/>
      <c r="CB60" s="423"/>
      <c r="CC60" s="423"/>
      <c r="CD60" s="423"/>
      <c r="CE60" s="423"/>
      <c r="CF60" s="553"/>
      <c r="CH60" s="423"/>
      <c r="CI60" s="423"/>
      <c r="CJ60" s="423"/>
      <c r="CK60" s="423"/>
      <c r="CL60" s="553"/>
      <c r="CN60" s="423"/>
      <c r="CO60" s="423"/>
      <c r="CP60" s="423"/>
      <c r="CQ60" s="423"/>
      <c r="CR60" s="553"/>
      <c r="EI60" s="553"/>
      <c r="EJ60" s="553"/>
      <c r="EK60" s="423"/>
      <c r="EL60" s="555"/>
      <c r="ES60" s="533"/>
      <c r="ET60" s="533"/>
      <c r="EU60" s="533"/>
      <c r="EV60" s="556"/>
      <c r="EY60" s="533"/>
      <c r="EZ60" s="533"/>
      <c r="FA60" s="556"/>
      <c r="FD60" s="556"/>
      <c r="FE60" s="556"/>
      <c r="FF60" s="556"/>
      <c r="FK60" s="557">
        <f t="shared" si="113"/>
        <v>60</v>
      </c>
      <c r="FL60" s="493">
        <f t="shared" si="114"/>
        <v>69.486900000000006</v>
      </c>
      <c r="FM60" s="493">
        <f t="shared" si="115"/>
        <v>18.878900000000002</v>
      </c>
      <c r="FO60" s="427">
        <f t="shared" si="61"/>
        <v>2271217.8500000006</v>
      </c>
      <c r="FP60" s="558">
        <f t="shared" si="116"/>
        <v>97291.83</v>
      </c>
      <c r="FQ60" s="558">
        <f t="shared" si="116"/>
        <v>95703.16</v>
      </c>
      <c r="FR60" s="558">
        <f t="shared" si="116"/>
        <v>94110.57</v>
      </c>
      <c r="FS60" s="558">
        <f t="shared" si="116"/>
        <v>92517.98</v>
      </c>
      <c r="FT60" s="558">
        <f t="shared" si="116"/>
        <v>90870.47</v>
      </c>
      <c r="FU60" s="558">
        <f t="shared" si="116"/>
        <v>89175.89</v>
      </c>
      <c r="FV60" s="558">
        <f t="shared" si="116"/>
        <v>87497</v>
      </c>
      <c r="FW60" s="558">
        <f t="shared" si="116"/>
        <v>85806.34</v>
      </c>
      <c r="FX60" s="558">
        <f t="shared" si="116"/>
        <v>84056.84</v>
      </c>
      <c r="FY60" s="558">
        <f t="shared" si="116"/>
        <v>82236.740000000005</v>
      </c>
      <c r="FZ60" s="558">
        <f t="shared" si="116"/>
        <v>80404.87</v>
      </c>
      <c r="GA60" s="558">
        <f t="shared" si="116"/>
        <v>78545.539999999994</v>
      </c>
      <c r="GB60" s="558">
        <f t="shared" si="116"/>
        <v>76643.06</v>
      </c>
      <c r="GC60" s="558">
        <f t="shared" si="116"/>
        <v>74732.73</v>
      </c>
      <c r="GD60" s="558">
        <f t="shared" si="116"/>
        <v>72763.570000000007</v>
      </c>
      <c r="GE60" s="558">
        <f t="shared" si="116"/>
        <v>70778.710000000006</v>
      </c>
      <c r="GF60" s="558">
        <f t="shared" si="81"/>
        <v>68735.02</v>
      </c>
      <c r="GG60" s="558">
        <f t="shared" si="81"/>
        <v>66644.25</v>
      </c>
      <c r="GH60" s="558">
        <f t="shared" si="81"/>
        <v>64494.64</v>
      </c>
      <c r="GI60" s="558">
        <f t="shared" si="81"/>
        <v>62282.28</v>
      </c>
      <c r="GJ60" s="558">
        <f t="shared" si="81"/>
        <v>60003.22</v>
      </c>
      <c r="GK60" s="558">
        <f t="shared" si="81"/>
        <v>57637.87</v>
      </c>
      <c r="GL60" s="558">
        <f t="shared" si="81"/>
        <v>55186.22</v>
      </c>
      <c r="GM60" s="558">
        <f t="shared" si="81"/>
        <v>52644.35</v>
      </c>
      <c r="GN60" s="558">
        <f t="shared" si="81"/>
        <v>50000.49</v>
      </c>
      <c r="GO60" s="558">
        <f t="shared" si="81"/>
        <v>47274.26</v>
      </c>
      <c r="GP60" s="558">
        <f t="shared" si="81"/>
        <v>44453.88</v>
      </c>
      <c r="GQ60" s="558">
        <f t="shared" si="81"/>
        <v>41547.21</v>
      </c>
      <c r="GR60" s="558">
        <f t="shared" si="81"/>
        <v>38562.080000000002</v>
      </c>
      <c r="GS60" s="558">
        <f t="shared" si="81"/>
        <v>35502.42</v>
      </c>
      <c r="GT60" s="558">
        <f t="shared" si="81"/>
        <v>32380</v>
      </c>
      <c r="GU60" s="558">
        <f t="shared" si="117"/>
        <v>29183.05</v>
      </c>
      <c r="GV60" s="558">
        <f t="shared" si="117"/>
        <v>25942.95</v>
      </c>
      <c r="GW60" s="558">
        <f t="shared" si="117"/>
        <v>22644.01</v>
      </c>
      <c r="GX60" s="558">
        <f t="shared" si="117"/>
        <v>19309.77</v>
      </c>
      <c r="GY60" s="558">
        <f t="shared" si="117"/>
        <v>15940.22</v>
      </c>
      <c r="GZ60" s="558">
        <f t="shared" si="117"/>
        <v>12531.45</v>
      </c>
      <c r="HA60" s="558">
        <f t="shared" si="117"/>
        <v>9095.2099999999991</v>
      </c>
      <c r="HB60" s="558">
        <f t="shared" si="117"/>
        <v>5607.99</v>
      </c>
      <c r="HC60" s="558">
        <f t="shared" si="117"/>
        <v>2046.23</v>
      </c>
      <c r="HD60" s="558">
        <f t="shared" si="117"/>
        <v>-1566.52</v>
      </c>
      <c r="HE60" s="558" t="str">
        <f t="shared" si="117"/>
        <v>.</v>
      </c>
      <c r="HF60" s="558" t="str">
        <f t="shared" si="117"/>
        <v>.</v>
      </c>
      <c r="HG60" s="558" t="str">
        <f t="shared" si="117"/>
        <v>.</v>
      </c>
      <c r="HH60" s="558" t="str">
        <f t="shared" si="117"/>
        <v>.</v>
      </c>
      <c r="HI60" s="558" t="str">
        <f t="shared" si="117"/>
        <v>.</v>
      </c>
      <c r="HJ60" s="558" t="str">
        <f t="shared" si="117"/>
        <v>.</v>
      </c>
      <c r="HK60" s="558" t="str">
        <f t="shared" si="82"/>
        <v>.</v>
      </c>
      <c r="HL60" s="558" t="str">
        <f t="shared" si="82"/>
        <v>.</v>
      </c>
      <c r="HM60" s="558" t="str">
        <f t="shared" si="82"/>
        <v>.</v>
      </c>
      <c r="HN60" s="558" t="str">
        <f t="shared" si="82"/>
        <v>.</v>
      </c>
      <c r="HO60" s="558" t="str">
        <f t="shared" si="82"/>
        <v>.</v>
      </c>
      <c r="HP60" s="558" t="str">
        <f t="shared" si="82"/>
        <v>.</v>
      </c>
      <c r="HQ60" s="558" t="str">
        <f t="shared" si="82"/>
        <v>.</v>
      </c>
      <c r="HR60" s="558" t="str">
        <f t="shared" si="82"/>
        <v>.</v>
      </c>
      <c r="HS60" s="558" t="str">
        <f t="shared" si="82"/>
        <v>.</v>
      </c>
      <c r="HT60" s="558" t="str">
        <f t="shared" si="82"/>
        <v>.</v>
      </c>
      <c r="HU60" s="558" t="str">
        <f t="shared" si="82"/>
        <v>.</v>
      </c>
      <c r="HV60" s="558" t="str">
        <f t="shared" si="82"/>
        <v>.</v>
      </c>
      <c r="HW60" s="558" t="str">
        <f t="shared" si="82"/>
        <v>.</v>
      </c>
      <c r="HX60" s="558" t="str">
        <f t="shared" si="82"/>
        <v>.</v>
      </c>
      <c r="HY60" s="558" t="str">
        <f t="shared" si="82"/>
        <v>.</v>
      </c>
      <c r="HZ60" s="558" t="str">
        <f t="shared" si="82"/>
        <v>.</v>
      </c>
      <c r="IA60" s="558" t="str">
        <f t="shared" si="82"/>
        <v>.</v>
      </c>
      <c r="IB60" s="558" t="str">
        <f t="shared" si="83"/>
        <v>.</v>
      </c>
      <c r="IC60" s="558" t="str">
        <f t="shared" si="83"/>
        <v>.</v>
      </c>
      <c r="ID60" s="558" t="str">
        <f t="shared" si="83"/>
        <v>.</v>
      </c>
      <c r="IE60" s="558" t="str">
        <f t="shared" si="83"/>
        <v>.</v>
      </c>
      <c r="IF60" s="558" t="str">
        <f t="shared" si="83"/>
        <v>.</v>
      </c>
      <c r="IG60" s="558" t="str">
        <f t="shared" si="83"/>
        <v>.</v>
      </c>
      <c r="IH60" s="558" t="str">
        <f t="shared" si="83"/>
        <v>.</v>
      </c>
      <c r="II60" s="558" t="str">
        <f t="shared" si="83"/>
        <v>.</v>
      </c>
      <c r="IJ60" s="558" t="str">
        <f t="shared" si="83"/>
        <v>.</v>
      </c>
      <c r="IK60" s="558" t="str">
        <f t="shared" si="83"/>
        <v>.</v>
      </c>
      <c r="IL60" s="558" t="str">
        <f t="shared" si="83"/>
        <v>.</v>
      </c>
      <c r="IM60" s="558" t="str">
        <f t="shared" si="83"/>
        <v>.</v>
      </c>
      <c r="IN60" s="558" t="str">
        <f t="shared" si="83"/>
        <v>.</v>
      </c>
      <c r="IO60" s="558" t="str">
        <f t="shared" si="77"/>
        <v>.</v>
      </c>
      <c r="IP60" s="558" t="str">
        <f t="shared" si="77"/>
        <v>.</v>
      </c>
      <c r="IQ60" s="558" t="str">
        <f t="shared" si="77"/>
        <v>.</v>
      </c>
      <c r="IR60" s="558" t="str">
        <f t="shared" si="77"/>
        <v>.</v>
      </c>
      <c r="IS60" s="558" t="str">
        <f t="shared" si="77"/>
        <v>.</v>
      </c>
      <c r="IT60" s="558" t="str">
        <f t="shared" si="77"/>
        <v>.</v>
      </c>
      <c r="IU60" s="558" t="str">
        <f t="shared" si="77"/>
        <v>.</v>
      </c>
      <c r="IV60" s="558" t="str">
        <f t="shared" si="77"/>
        <v>.</v>
      </c>
      <c r="IW60" s="558" t="str">
        <f t="shared" si="77"/>
        <v>.</v>
      </c>
      <c r="IX60" s="558" t="str">
        <f t="shared" si="77"/>
        <v>.</v>
      </c>
      <c r="IY60" s="558" t="str">
        <f t="shared" si="77"/>
        <v>.</v>
      </c>
      <c r="IZ60" s="558" t="str">
        <f t="shared" si="77"/>
        <v>.</v>
      </c>
      <c r="JA60" s="558" t="str">
        <f t="shared" si="77"/>
        <v>.</v>
      </c>
      <c r="JB60" s="558" t="str">
        <f t="shared" si="77"/>
        <v>.</v>
      </c>
      <c r="JC60" s="558" t="str">
        <f t="shared" si="77"/>
        <v>.</v>
      </c>
      <c r="JD60" s="558" t="str">
        <f t="shared" si="77"/>
        <v>.</v>
      </c>
      <c r="JE60" s="558" t="str">
        <f t="shared" si="77"/>
        <v>.</v>
      </c>
      <c r="JF60" s="558" t="str">
        <f t="shared" si="78"/>
        <v>.</v>
      </c>
      <c r="JG60" s="558" t="str">
        <f t="shared" si="78"/>
        <v>.</v>
      </c>
      <c r="JH60" s="558" t="str">
        <f t="shared" si="118"/>
        <v>.</v>
      </c>
      <c r="JI60" s="558" t="str">
        <f t="shared" si="118"/>
        <v>.</v>
      </c>
      <c r="JJ60" s="558" t="str">
        <f t="shared" si="118"/>
        <v>.</v>
      </c>
      <c r="JK60" s="558" t="str">
        <f t="shared" si="118"/>
        <v>.</v>
      </c>
      <c r="JL60" s="558" t="str">
        <f t="shared" si="118"/>
        <v>.</v>
      </c>
    </row>
    <row r="61" spans="1:272" ht="10.199999999999999" x14ac:dyDescent="0.2">
      <c r="A61" s="534">
        <f xml:space="preserve"> Basis!A61</f>
        <v>61</v>
      </c>
      <c r="F61" s="536">
        <f xml:space="preserve"> ROUND(    IF( $A$15=BE_MF_,   AW61,   INDEX( qx!61:61, F$16 ) ),    F$17    )</f>
        <v>4.0000000000000001E-3</v>
      </c>
      <c r="G61" s="536">
        <f xml:space="preserve"> ROUND(    IF( $A$15=BE_MF_,   BB61,   INDEX( wx!61:61, G$16 ) ),    G$17    )</f>
        <v>7.1999999999999998E-3</v>
      </c>
      <c r="H61" s="537">
        <f xml:space="preserve"> ROUND(    IF( $A$15=BE_MF_,   BG61,   INDEX( Kx!61:61, H$16 ) ),    H$17    )</f>
        <v>4467.4399999999996</v>
      </c>
      <c r="I61" s="538">
        <f t="shared" si="57"/>
        <v>4467.4399999999996</v>
      </c>
      <c r="J61" s="539">
        <f t="shared" si="84"/>
        <v>2.15</v>
      </c>
      <c r="K61" s="540">
        <f t="shared" si="119"/>
        <v>2</v>
      </c>
      <c r="L61" s="541">
        <f t="shared" si="71"/>
        <v>0</v>
      </c>
      <c r="M61" s="541">
        <f t="shared" si="71"/>
        <v>8.5999999999999993E-2</v>
      </c>
      <c r="O61" s="542" t="b">
        <f t="shared" si="59"/>
        <v>1</v>
      </c>
      <c r="P61" s="493">
        <f t="shared" si="85"/>
        <v>1.12E-2</v>
      </c>
      <c r="Q61" s="493">
        <f t="shared" si="86"/>
        <v>0.98880000000000001</v>
      </c>
      <c r="R61" s="543">
        <f t="shared" si="87"/>
        <v>531699</v>
      </c>
      <c r="S61" s="544">
        <f t="shared" si="88"/>
        <v>0.97560975599999999</v>
      </c>
      <c r="T61" s="423">
        <f t="shared" si="89"/>
        <v>117898.98</v>
      </c>
      <c r="U61" s="423">
        <f xml:space="preserve"> IF( $O61,    ROUND(  SUM( T61:T$120), U$17 ),  LEER  )</f>
        <v>2185516</v>
      </c>
      <c r="V61" s="493">
        <f t="shared" si="90"/>
        <v>18.537199999999999</v>
      </c>
      <c r="W61" s="493">
        <f t="shared" si="91"/>
        <v>253482.81</v>
      </c>
      <c r="X61" s="493">
        <f xml:space="preserve"> IF( $O61,    ROUND(  SUM( W61:W$120), X$17 ),  LEER  )</f>
        <v>8244592.2199999997</v>
      </c>
      <c r="Y61" s="493">
        <f t="shared" si="92"/>
        <v>69.929299999999998</v>
      </c>
      <c r="Z61" s="493">
        <f t="shared" si="93"/>
        <v>3.7724000000000002</v>
      </c>
      <c r="AA61" s="493">
        <f t="shared" si="94"/>
        <v>1.0099</v>
      </c>
      <c r="AB61" s="493">
        <f t="shared" si="95"/>
        <v>2.3494000000000002</v>
      </c>
      <c r="AC61" s="545">
        <f t="shared" si="96"/>
        <v>0.38600000000000001</v>
      </c>
      <c r="AD61" s="493">
        <f t="shared" si="97"/>
        <v>3.8136000000000001</v>
      </c>
      <c r="AE61" s="493">
        <f t="shared" si="98"/>
        <v>4.5946999999999996</v>
      </c>
      <c r="AF61" s="493">
        <f t="shared" si="99"/>
        <v>4.5946999999999996</v>
      </c>
      <c r="AG61" s="493" t="str">
        <f t="shared" si="100"/>
        <v>.</v>
      </c>
      <c r="AH61" s="493" t="str">
        <f t="shared" si="101"/>
        <v>.</v>
      </c>
      <c r="AI61" s="423">
        <f t="shared" si="102"/>
        <v>2077.79</v>
      </c>
      <c r="AJ61" s="423">
        <f t="shared" si="103"/>
        <v>9546.82</v>
      </c>
      <c r="AK61" s="423">
        <f t="shared" si="104"/>
        <v>795.57</v>
      </c>
      <c r="AN61" s="423">
        <f t="shared" si="120"/>
        <v>73885.13</v>
      </c>
      <c r="AO61" s="423">
        <f t="shared" si="120"/>
        <v>73030.06</v>
      </c>
      <c r="AR61" s="546">
        <f xml:space="preserve"> ROUND(  INDEX( Kx!61:61, AR$16 ),  AR$17 )</f>
        <v>0.73860000000000003</v>
      </c>
      <c r="AS61" s="547">
        <f xml:space="preserve"> ROUND(  INDEX( qx!61:61, AS$16 ),  AS$17 )</f>
        <v>4.5999999999999999E-3</v>
      </c>
      <c r="AT61" s="547">
        <f xml:space="preserve"> ROUND(  INDEX( qx!61:61, AT$16 ),  AT$17 )</f>
        <v>2.8999999999999998E-3</v>
      </c>
      <c r="AU61" s="548" t="str">
        <f t="shared" si="105"/>
        <v>F</v>
      </c>
      <c r="AV61" s="542">
        <f t="shared" si="106"/>
        <v>0.6532</v>
      </c>
      <c r="AW61" s="542">
        <f t="shared" si="107"/>
        <v>4.0000000000000001E-3</v>
      </c>
      <c r="AX61" s="546">
        <f xml:space="preserve"> ROUND(  INDEX( wx!61:61, AX$16 ),  AX$17 )</f>
        <v>7.0000000000000001E-3</v>
      </c>
      <c r="AY61" s="546">
        <f xml:space="preserve"> ROUND(  INDEX( wx!61:61, AY$16 ),  AY$17 )</f>
        <v>7.9000000000000008E-3</v>
      </c>
      <c r="AZ61" s="548" t="str">
        <f t="shared" si="108"/>
        <v>M</v>
      </c>
      <c r="BA61" s="542">
        <f t="shared" si="109"/>
        <v>0.80910000000000004</v>
      </c>
      <c r="BB61" s="542">
        <f t="shared" si="110"/>
        <v>7.1999999999999998E-3</v>
      </c>
      <c r="BC61" s="533">
        <f xml:space="preserve"> ROUND(  INDEX( Kx!61:61, BC$16 ),  BC$17 )</f>
        <v>4487.8599999999997</v>
      </c>
      <c r="BD61" s="533">
        <f xml:space="preserve"> ROUND(  INDEX( Kx!61:61, BD$16 ),  BD$17 )</f>
        <v>4380.8900000000003</v>
      </c>
      <c r="BE61" s="548" t="str">
        <f t="shared" si="60"/>
        <v>M</v>
      </c>
      <c r="BF61" s="542">
        <f t="shared" si="111"/>
        <v>0.80910000000000004</v>
      </c>
      <c r="BG61" s="420">
        <f t="shared" si="112"/>
        <v>4467.4399999999996</v>
      </c>
      <c r="BQ61" s="549"/>
      <c r="BR61" s="423"/>
      <c r="BS61" s="550"/>
      <c r="BT61" s="423"/>
      <c r="BU61" s="551"/>
      <c r="BV61" s="551"/>
      <c r="BW61" s="529"/>
      <c r="BX61" s="552"/>
      <c r="BY61" s="560"/>
      <c r="BZ61" s="559"/>
      <c r="CB61" s="423"/>
      <c r="CC61" s="423"/>
      <c r="CD61" s="423"/>
      <c r="CE61" s="423"/>
      <c r="CF61" s="553"/>
      <c r="CH61" s="423"/>
      <c r="CI61" s="423"/>
      <c r="CJ61" s="423"/>
      <c r="CK61" s="423"/>
      <c r="CL61" s="553"/>
      <c r="CN61" s="423"/>
      <c r="CO61" s="423"/>
      <c r="CP61" s="423"/>
      <c r="CQ61" s="423"/>
      <c r="CR61" s="553"/>
      <c r="EI61" s="553"/>
      <c r="EJ61" s="553"/>
      <c r="EK61" s="423"/>
      <c r="EL61" s="555"/>
      <c r="ES61" s="533"/>
      <c r="ET61" s="533"/>
      <c r="EU61" s="533"/>
      <c r="EV61" s="556"/>
      <c r="EY61" s="533"/>
      <c r="EZ61" s="533"/>
      <c r="FA61" s="556"/>
      <c r="FD61" s="556"/>
      <c r="FE61" s="556"/>
      <c r="FF61" s="556"/>
      <c r="FK61" s="557">
        <f t="shared" si="113"/>
        <v>61</v>
      </c>
      <c r="FL61" s="493">
        <f t="shared" si="114"/>
        <v>69.929299999999998</v>
      </c>
      <c r="FM61" s="493">
        <f t="shared" si="115"/>
        <v>18.537199999999999</v>
      </c>
      <c r="FO61" s="427">
        <f t="shared" si="61"/>
        <v>2373351.0199999996</v>
      </c>
      <c r="FP61" s="558">
        <f t="shared" si="116"/>
        <v>99063.3</v>
      </c>
      <c r="FQ61" s="558">
        <f t="shared" si="116"/>
        <v>97503.39</v>
      </c>
      <c r="FR61" s="558">
        <f t="shared" si="116"/>
        <v>95939.62</v>
      </c>
      <c r="FS61" s="558">
        <f t="shared" si="116"/>
        <v>94375.86</v>
      </c>
      <c r="FT61" s="558">
        <f t="shared" si="116"/>
        <v>92758.17</v>
      </c>
      <c r="FU61" s="558">
        <f t="shared" si="116"/>
        <v>91094.26</v>
      </c>
      <c r="FV61" s="558">
        <f t="shared" si="116"/>
        <v>89445.759999999995</v>
      </c>
      <c r="FW61" s="558">
        <f t="shared" si="116"/>
        <v>87785.7</v>
      </c>
      <c r="FX61" s="558">
        <f t="shared" si="116"/>
        <v>86067.87</v>
      </c>
      <c r="FY61" s="558">
        <f t="shared" si="116"/>
        <v>84280.71</v>
      </c>
      <c r="FZ61" s="558">
        <f t="shared" si="116"/>
        <v>82481.990000000005</v>
      </c>
      <c r="GA61" s="558">
        <f t="shared" si="116"/>
        <v>80656.31</v>
      </c>
      <c r="GB61" s="558">
        <f t="shared" si="116"/>
        <v>78788.27</v>
      </c>
      <c r="GC61" s="558">
        <f t="shared" si="116"/>
        <v>76912.52</v>
      </c>
      <c r="GD61" s="558">
        <f t="shared" si="116"/>
        <v>74978.990000000005</v>
      </c>
      <c r="GE61" s="558">
        <f t="shared" si="116"/>
        <v>73030.06</v>
      </c>
      <c r="GF61" s="558">
        <f t="shared" si="81"/>
        <v>71023.360000000001</v>
      </c>
      <c r="GG61" s="558">
        <f t="shared" si="81"/>
        <v>68970.429999999993</v>
      </c>
      <c r="GH61" s="558">
        <f t="shared" si="81"/>
        <v>66859.73</v>
      </c>
      <c r="GI61" s="558">
        <f t="shared" si="81"/>
        <v>64687.41</v>
      </c>
      <c r="GJ61" s="558">
        <f t="shared" si="81"/>
        <v>62449.599999999999</v>
      </c>
      <c r="GK61" s="558">
        <f t="shared" si="81"/>
        <v>60127.07</v>
      </c>
      <c r="GL61" s="558">
        <f t="shared" si="81"/>
        <v>57719.79</v>
      </c>
      <c r="GM61" s="558">
        <f t="shared" si="81"/>
        <v>55223.93</v>
      </c>
      <c r="GN61" s="558">
        <f t="shared" si="81"/>
        <v>52627.92</v>
      </c>
      <c r="GO61" s="558">
        <f t="shared" si="81"/>
        <v>49951.03</v>
      </c>
      <c r="GP61" s="558">
        <f t="shared" si="81"/>
        <v>47181.7</v>
      </c>
      <c r="GQ61" s="558">
        <f t="shared" si="81"/>
        <v>44327.63</v>
      </c>
      <c r="GR61" s="558">
        <f t="shared" si="81"/>
        <v>41396.54</v>
      </c>
      <c r="GS61" s="558">
        <f t="shared" si="81"/>
        <v>38392.26</v>
      </c>
      <c r="GT61" s="558">
        <f t="shared" si="81"/>
        <v>35326.35</v>
      </c>
      <c r="GU61" s="558">
        <f t="shared" si="117"/>
        <v>32187.26</v>
      </c>
      <c r="GV61" s="558">
        <f t="shared" si="117"/>
        <v>29005.81</v>
      </c>
      <c r="GW61" s="558">
        <f t="shared" si="117"/>
        <v>25766.58</v>
      </c>
      <c r="GX61" s="558">
        <f t="shared" si="117"/>
        <v>22492.68</v>
      </c>
      <c r="GY61" s="558">
        <f t="shared" si="117"/>
        <v>19184.12</v>
      </c>
      <c r="GZ61" s="558">
        <f t="shared" si="117"/>
        <v>15837.05</v>
      </c>
      <c r="HA61" s="558">
        <f t="shared" si="117"/>
        <v>12463.01</v>
      </c>
      <c r="HB61" s="558">
        <f t="shared" si="117"/>
        <v>9038.9</v>
      </c>
      <c r="HC61" s="558">
        <f t="shared" si="117"/>
        <v>5541.61</v>
      </c>
      <c r="HD61" s="558">
        <f t="shared" si="117"/>
        <v>1994.25</v>
      </c>
      <c r="HE61" s="558">
        <f t="shared" si="117"/>
        <v>-1587.78</v>
      </c>
      <c r="HF61" s="558" t="str">
        <f t="shared" si="117"/>
        <v>.</v>
      </c>
      <c r="HG61" s="558" t="str">
        <f t="shared" si="117"/>
        <v>.</v>
      </c>
      <c r="HH61" s="558" t="str">
        <f t="shared" si="117"/>
        <v>.</v>
      </c>
      <c r="HI61" s="558" t="str">
        <f t="shared" si="117"/>
        <v>.</v>
      </c>
      <c r="HJ61" s="558" t="str">
        <f t="shared" si="117"/>
        <v>.</v>
      </c>
      <c r="HK61" s="558" t="str">
        <f t="shared" si="82"/>
        <v>.</v>
      </c>
      <c r="HL61" s="558" t="str">
        <f t="shared" si="82"/>
        <v>.</v>
      </c>
      <c r="HM61" s="558" t="str">
        <f t="shared" si="82"/>
        <v>.</v>
      </c>
      <c r="HN61" s="558" t="str">
        <f t="shared" si="82"/>
        <v>.</v>
      </c>
      <c r="HO61" s="558" t="str">
        <f t="shared" si="82"/>
        <v>.</v>
      </c>
      <c r="HP61" s="558" t="str">
        <f t="shared" si="82"/>
        <v>.</v>
      </c>
      <c r="HQ61" s="558" t="str">
        <f t="shared" si="82"/>
        <v>.</v>
      </c>
      <c r="HR61" s="558" t="str">
        <f t="shared" si="82"/>
        <v>.</v>
      </c>
      <c r="HS61" s="558" t="str">
        <f t="shared" si="82"/>
        <v>.</v>
      </c>
      <c r="HT61" s="558" t="str">
        <f t="shared" si="82"/>
        <v>.</v>
      </c>
      <c r="HU61" s="558" t="str">
        <f t="shared" si="82"/>
        <v>.</v>
      </c>
      <c r="HV61" s="558" t="str">
        <f t="shared" si="82"/>
        <v>.</v>
      </c>
      <c r="HW61" s="558" t="str">
        <f t="shared" si="82"/>
        <v>.</v>
      </c>
      <c r="HX61" s="558" t="str">
        <f t="shared" si="82"/>
        <v>.</v>
      </c>
      <c r="HY61" s="558" t="str">
        <f t="shared" si="82"/>
        <v>.</v>
      </c>
      <c r="HZ61" s="558" t="str">
        <f t="shared" si="82"/>
        <v>.</v>
      </c>
      <c r="IA61" s="558" t="str">
        <f t="shared" si="82"/>
        <v>.</v>
      </c>
      <c r="IB61" s="558" t="str">
        <f t="shared" si="83"/>
        <v>.</v>
      </c>
      <c r="IC61" s="558" t="str">
        <f t="shared" si="83"/>
        <v>.</v>
      </c>
      <c r="ID61" s="558" t="str">
        <f t="shared" si="83"/>
        <v>.</v>
      </c>
      <c r="IE61" s="558" t="str">
        <f t="shared" si="83"/>
        <v>.</v>
      </c>
      <c r="IF61" s="558" t="str">
        <f t="shared" si="83"/>
        <v>.</v>
      </c>
      <c r="IG61" s="558" t="str">
        <f t="shared" si="83"/>
        <v>.</v>
      </c>
      <c r="IH61" s="558" t="str">
        <f t="shared" si="83"/>
        <v>.</v>
      </c>
      <c r="II61" s="558" t="str">
        <f t="shared" si="83"/>
        <v>.</v>
      </c>
      <c r="IJ61" s="558" t="str">
        <f t="shared" si="83"/>
        <v>.</v>
      </c>
      <c r="IK61" s="558" t="str">
        <f t="shared" si="83"/>
        <v>.</v>
      </c>
      <c r="IL61" s="558" t="str">
        <f t="shared" si="83"/>
        <v>.</v>
      </c>
      <c r="IM61" s="558" t="str">
        <f t="shared" si="83"/>
        <v>.</v>
      </c>
      <c r="IN61" s="558" t="str">
        <f t="shared" si="83"/>
        <v>.</v>
      </c>
      <c r="IO61" s="558" t="str">
        <f t="shared" si="77"/>
        <v>.</v>
      </c>
      <c r="IP61" s="558" t="str">
        <f t="shared" si="77"/>
        <v>.</v>
      </c>
      <c r="IQ61" s="558" t="str">
        <f t="shared" si="77"/>
        <v>.</v>
      </c>
      <c r="IR61" s="558" t="str">
        <f t="shared" si="77"/>
        <v>.</v>
      </c>
      <c r="IS61" s="558" t="str">
        <f t="shared" si="77"/>
        <v>.</v>
      </c>
      <c r="IT61" s="558" t="str">
        <f t="shared" si="77"/>
        <v>.</v>
      </c>
      <c r="IU61" s="558" t="str">
        <f t="shared" si="77"/>
        <v>.</v>
      </c>
      <c r="IV61" s="558" t="str">
        <f t="shared" si="77"/>
        <v>.</v>
      </c>
      <c r="IW61" s="558" t="str">
        <f t="shared" si="77"/>
        <v>.</v>
      </c>
      <c r="IX61" s="558" t="str">
        <f t="shared" ref="IW61:JL76" si="121" xml:space="preserve"> IF(  OR( IX$18&gt;$FK61, $FK61&gt;$FP$12 ),  LEER,  ROUND( $FO$19 * ( $FL61 - IX$15 * $FM61 ), IX$17 )  )</f>
        <v>.</v>
      </c>
      <c r="IY61" s="558" t="str">
        <f t="shared" si="121"/>
        <v>.</v>
      </c>
      <c r="IZ61" s="558" t="str">
        <f t="shared" si="121"/>
        <v>.</v>
      </c>
      <c r="JA61" s="558" t="str">
        <f t="shared" si="121"/>
        <v>.</v>
      </c>
      <c r="JB61" s="558" t="str">
        <f t="shared" si="121"/>
        <v>.</v>
      </c>
      <c r="JC61" s="558" t="str">
        <f t="shared" si="121"/>
        <v>.</v>
      </c>
      <c r="JD61" s="558" t="str">
        <f t="shared" si="121"/>
        <v>.</v>
      </c>
      <c r="JE61" s="558" t="str">
        <f t="shared" si="121"/>
        <v>.</v>
      </c>
      <c r="JF61" s="558" t="str">
        <f t="shared" si="121"/>
        <v>.</v>
      </c>
      <c r="JG61" s="558" t="str">
        <f t="shared" si="121"/>
        <v>.</v>
      </c>
      <c r="JH61" s="558" t="str">
        <f t="shared" si="118"/>
        <v>.</v>
      </c>
      <c r="JI61" s="558" t="str">
        <f t="shared" si="118"/>
        <v>.</v>
      </c>
      <c r="JJ61" s="558" t="str">
        <f t="shared" si="118"/>
        <v>.</v>
      </c>
      <c r="JK61" s="558" t="str">
        <f t="shared" si="118"/>
        <v>.</v>
      </c>
      <c r="JL61" s="558" t="str">
        <f t="shared" si="118"/>
        <v>.</v>
      </c>
    </row>
    <row r="62" spans="1:272" ht="10.199999999999999" x14ac:dyDescent="0.2">
      <c r="A62" s="534">
        <f xml:space="preserve"> Basis!A62</f>
        <v>62</v>
      </c>
      <c r="F62" s="536">
        <f xml:space="preserve"> ROUND(    IF( $A$15=BE_MF_,   AW62,   INDEX( qx!62:62, F$16 ) ),    F$17    )</f>
        <v>4.4000000000000003E-3</v>
      </c>
      <c r="G62" s="536">
        <f xml:space="preserve"> ROUND(    IF( $A$15=BE_MF_,   BB62,   INDEX( wx!62:62, G$16 ) ),    G$17    )</f>
        <v>6.7000000000000002E-3</v>
      </c>
      <c r="H62" s="537">
        <f xml:space="preserve"> ROUND(    IF( $A$15=BE_MF_,   BG62,   INDEX( Kx!62:62, H$16 ) ),    H$17    )</f>
        <v>4706.04</v>
      </c>
      <c r="I62" s="538">
        <f t="shared" si="57"/>
        <v>4706.04</v>
      </c>
      <c r="J62" s="539">
        <f t="shared" si="84"/>
        <v>2.2650000000000001</v>
      </c>
      <c r="K62" s="540">
        <f t="shared" si="119"/>
        <v>2</v>
      </c>
      <c r="L62" s="541">
        <f t="shared" si="71"/>
        <v>0</v>
      </c>
      <c r="M62" s="541">
        <f t="shared" si="71"/>
        <v>8.5999999999999993E-2</v>
      </c>
      <c r="O62" s="542" t="b">
        <f t="shared" si="59"/>
        <v>1</v>
      </c>
      <c r="P62" s="493">
        <f t="shared" si="85"/>
        <v>1.11E-2</v>
      </c>
      <c r="Q62" s="493">
        <f t="shared" si="86"/>
        <v>0.9889</v>
      </c>
      <c r="R62" s="543">
        <f t="shared" si="87"/>
        <v>525743</v>
      </c>
      <c r="S62" s="544">
        <f t="shared" si="88"/>
        <v>0.97560975599999999</v>
      </c>
      <c r="T62" s="423">
        <f t="shared" si="89"/>
        <v>113734.92</v>
      </c>
      <c r="U62" s="423">
        <f xml:space="preserve"> IF( $O62,    ROUND(  SUM( T62:T$120), U$17 ),  LEER  )</f>
        <v>2067617.02</v>
      </c>
      <c r="V62" s="493">
        <f t="shared" si="90"/>
        <v>18.179300000000001</v>
      </c>
      <c r="W62" s="493">
        <f t="shared" si="91"/>
        <v>257609.59</v>
      </c>
      <c r="X62" s="493">
        <f xml:space="preserve"> IF( $O62,    ROUND(  SUM( W62:W$120), X$17 ),  LEER  )</f>
        <v>7991109.4100000001</v>
      </c>
      <c r="Y62" s="493">
        <f t="shared" si="92"/>
        <v>70.260800000000003</v>
      </c>
      <c r="Z62" s="493">
        <f t="shared" si="93"/>
        <v>3.8649</v>
      </c>
      <c r="AA62" s="493">
        <f t="shared" si="94"/>
        <v>1.0101</v>
      </c>
      <c r="AB62" s="493">
        <f t="shared" si="95"/>
        <v>2.3494000000000002</v>
      </c>
      <c r="AC62" s="545">
        <f t="shared" si="96"/>
        <v>0.38600000000000001</v>
      </c>
      <c r="AD62" s="493">
        <f t="shared" si="97"/>
        <v>3.9077999999999999</v>
      </c>
      <c r="AE62" s="493">
        <f t="shared" si="98"/>
        <v>4.6978</v>
      </c>
      <c r="AF62" s="493">
        <f t="shared" si="99"/>
        <v>4.6978</v>
      </c>
      <c r="AG62" s="493" t="str">
        <f t="shared" si="100"/>
        <v>.</v>
      </c>
      <c r="AH62" s="493" t="str">
        <f t="shared" si="101"/>
        <v>.</v>
      </c>
      <c r="AI62" s="423">
        <f t="shared" si="102"/>
        <v>2077.79</v>
      </c>
      <c r="AJ62" s="423">
        <f t="shared" si="103"/>
        <v>9761.0400000000009</v>
      </c>
      <c r="AK62" s="423">
        <f t="shared" si="104"/>
        <v>813.42</v>
      </c>
      <c r="AN62" s="423">
        <f t="shared" si="120"/>
        <v>75952.7</v>
      </c>
      <c r="AO62" s="423">
        <f t="shared" si="120"/>
        <v>75114.14</v>
      </c>
      <c r="AR62" s="546">
        <f xml:space="preserve"> ROUND(  INDEX( Kx!62:62, AR$16 ),  AR$17 )</f>
        <v>0.73860000000000003</v>
      </c>
      <c r="AS62" s="547">
        <f xml:space="preserve"> ROUND(  INDEX( qx!62:62, AS$16 ),  AS$17 )</f>
        <v>5.0000000000000001E-3</v>
      </c>
      <c r="AT62" s="547">
        <f xml:space="preserve"> ROUND(  INDEX( qx!62:62, AT$16 ),  AT$17 )</f>
        <v>3.2000000000000002E-3</v>
      </c>
      <c r="AU62" s="548" t="str">
        <f t="shared" si="105"/>
        <v>F</v>
      </c>
      <c r="AV62" s="542">
        <f t="shared" si="106"/>
        <v>0.6532</v>
      </c>
      <c r="AW62" s="542">
        <f t="shared" si="107"/>
        <v>4.4000000000000003E-3</v>
      </c>
      <c r="AX62" s="546">
        <f xml:space="preserve"> ROUND(  INDEX( wx!62:62, AX$16 ),  AX$17 )</f>
        <v>6.4999999999999997E-3</v>
      </c>
      <c r="AY62" s="546">
        <f xml:space="preserve"> ROUND(  INDEX( wx!62:62, AY$16 ),  AY$17 )</f>
        <v>7.6E-3</v>
      </c>
      <c r="AZ62" s="548" t="str">
        <f t="shared" si="108"/>
        <v>M</v>
      </c>
      <c r="BA62" s="542">
        <f t="shared" si="109"/>
        <v>0.80910000000000004</v>
      </c>
      <c r="BB62" s="542">
        <f t="shared" si="110"/>
        <v>6.7000000000000002E-3</v>
      </c>
      <c r="BC62" s="533">
        <f xml:space="preserve"> ROUND(  INDEX( Kx!62:62, BC$16 ),  BC$17 )</f>
        <v>4746.25</v>
      </c>
      <c r="BD62" s="533">
        <f xml:space="preserve"> ROUND(  INDEX( Kx!62:62, BD$16 ),  BD$17 )</f>
        <v>4535.6400000000003</v>
      </c>
      <c r="BE62" s="548" t="str">
        <f t="shared" si="60"/>
        <v>M</v>
      </c>
      <c r="BF62" s="542">
        <f t="shared" si="111"/>
        <v>0.80910000000000004</v>
      </c>
      <c r="BG62" s="420">
        <f t="shared" si="112"/>
        <v>4706.04</v>
      </c>
      <c r="BQ62" s="549"/>
      <c r="BR62" s="423"/>
      <c r="BS62" s="550"/>
      <c r="BT62" s="423"/>
      <c r="BU62" s="551"/>
      <c r="BV62" s="551"/>
      <c r="BW62" s="529"/>
      <c r="BX62" s="552"/>
      <c r="BY62" s="560"/>
      <c r="BZ62" s="559"/>
      <c r="CB62" s="423"/>
      <c r="CC62" s="423"/>
      <c r="CD62" s="423"/>
      <c r="CE62" s="423"/>
      <c r="CF62" s="553"/>
      <c r="CH62" s="423"/>
      <c r="CI62" s="423"/>
      <c r="CJ62" s="423"/>
      <c r="CK62" s="423"/>
      <c r="CL62" s="553"/>
      <c r="CN62" s="423"/>
      <c r="CO62" s="423"/>
      <c r="CP62" s="423"/>
      <c r="CQ62" s="423"/>
      <c r="CR62" s="553"/>
      <c r="EI62" s="553"/>
      <c r="EJ62" s="553"/>
      <c r="EK62" s="423"/>
      <c r="EL62" s="555"/>
      <c r="ES62" s="533"/>
      <c r="ET62" s="533"/>
      <c r="EU62" s="533"/>
      <c r="EV62" s="556"/>
      <c r="EY62" s="533"/>
      <c r="EZ62" s="533"/>
      <c r="FA62" s="556"/>
      <c r="FD62" s="556"/>
      <c r="FE62" s="556"/>
      <c r="FF62" s="556"/>
      <c r="FK62" s="557">
        <f t="shared" si="113"/>
        <v>62</v>
      </c>
      <c r="FL62" s="493">
        <f t="shared" si="114"/>
        <v>70.260800000000003</v>
      </c>
      <c r="FM62" s="493">
        <f t="shared" si="115"/>
        <v>18.179300000000001</v>
      </c>
      <c r="FO62" s="427">
        <f t="shared" si="61"/>
        <v>2472658.62</v>
      </c>
      <c r="FP62" s="558">
        <f t="shared" si="116"/>
        <v>100644.76</v>
      </c>
      <c r="FQ62" s="558">
        <f t="shared" si="116"/>
        <v>99114.96</v>
      </c>
      <c r="FR62" s="558">
        <f t="shared" si="116"/>
        <v>97581.39</v>
      </c>
      <c r="FS62" s="558">
        <f t="shared" si="116"/>
        <v>96047.81</v>
      </c>
      <c r="FT62" s="558">
        <f t="shared" si="116"/>
        <v>94461.36</v>
      </c>
      <c r="FU62" s="558">
        <f t="shared" si="116"/>
        <v>92829.57</v>
      </c>
      <c r="FV62" s="558">
        <f t="shared" si="116"/>
        <v>91212.9</v>
      </c>
      <c r="FW62" s="558">
        <f t="shared" si="116"/>
        <v>89584.89</v>
      </c>
      <c r="FX62" s="558">
        <f t="shared" si="116"/>
        <v>87900.23</v>
      </c>
      <c r="FY62" s="558">
        <f t="shared" si="116"/>
        <v>86147.57</v>
      </c>
      <c r="FZ62" s="558">
        <f t="shared" si="116"/>
        <v>84383.58</v>
      </c>
      <c r="GA62" s="558">
        <f t="shared" si="116"/>
        <v>82593.149999999994</v>
      </c>
      <c r="GB62" s="558">
        <f t="shared" si="116"/>
        <v>80761.17</v>
      </c>
      <c r="GC62" s="558">
        <f t="shared" si="116"/>
        <v>78921.64</v>
      </c>
      <c r="GD62" s="558">
        <f t="shared" si="116"/>
        <v>77025.45</v>
      </c>
      <c r="GE62" s="558">
        <f t="shared" si="116"/>
        <v>75114.14</v>
      </c>
      <c r="GF62" s="558">
        <f t="shared" si="81"/>
        <v>73146.179999999993</v>
      </c>
      <c r="GG62" s="558">
        <f t="shared" si="81"/>
        <v>71132.89</v>
      </c>
      <c r="GH62" s="558">
        <f t="shared" si="81"/>
        <v>69062.95</v>
      </c>
      <c r="GI62" s="558">
        <f t="shared" si="81"/>
        <v>66932.56</v>
      </c>
      <c r="GJ62" s="558">
        <f t="shared" si="81"/>
        <v>64737.96</v>
      </c>
      <c r="GK62" s="558">
        <f t="shared" si="81"/>
        <v>62460.27</v>
      </c>
      <c r="GL62" s="558">
        <f t="shared" si="81"/>
        <v>60099.47</v>
      </c>
      <c r="GM62" s="558">
        <f t="shared" si="81"/>
        <v>57651.79</v>
      </c>
      <c r="GN62" s="558">
        <f t="shared" si="81"/>
        <v>55105.91</v>
      </c>
      <c r="GO62" s="558">
        <f t="shared" si="81"/>
        <v>52480.7</v>
      </c>
      <c r="GP62" s="558">
        <f t="shared" si="81"/>
        <v>49764.84</v>
      </c>
      <c r="GQ62" s="558">
        <f t="shared" si="81"/>
        <v>46965.88</v>
      </c>
      <c r="GR62" s="558">
        <f t="shared" si="81"/>
        <v>44091.37</v>
      </c>
      <c r="GS62" s="558">
        <f t="shared" si="81"/>
        <v>41145.089999999997</v>
      </c>
      <c r="GT62" s="558">
        <f t="shared" si="81"/>
        <v>38138.379999999997</v>
      </c>
      <c r="GU62" s="558">
        <f t="shared" si="117"/>
        <v>35059.9</v>
      </c>
      <c r="GV62" s="558">
        <f t="shared" si="117"/>
        <v>31939.87</v>
      </c>
      <c r="GW62" s="558">
        <f t="shared" si="117"/>
        <v>28763.18</v>
      </c>
      <c r="GX62" s="558">
        <f t="shared" si="117"/>
        <v>25552.49</v>
      </c>
      <c r="GY62" s="558">
        <f t="shared" si="117"/>
        <v>22307.81</v>
      </c>
      <c r="GZ62" s="558">
        <f t="shared" si="117"/>
        <v>19025.36</v>
      </c>
      <c r="HA62" s="558">
        <f t="shared" si="117"/>
        <v>15716.47</v>
      </c>
      <c r="HB62" s="558">
        <f t="shared" si="117"/>
        <v>12358.47</v>
      </c>
      <c r="HC62" s="558">
        <f t="shared" si="117"/>
        <v>8928.7000000000007</v>
      </c>
      <c r="HD62" s="558">
        <f t="shared" si="117"/>
        <v>5449.83</v>
      </c>
      <c r="HE62" s="558">
        <f t="shared" si="117"/>
        <v>1936.96</v>
      </c>
      <c r="HF62" s="558">
        <f t="shared" si="117"/>
        <v>-1621.23</v>
      </c>
      <c r="HG62" s="558" t="str">
        <f t="shared" si="117"/>
        <v>.</v>
      </c>
      <c r="HH62" s="558" t="str">
        <f t="shared" si="117"/>
        <v>.</v>
      </c>
      <c r="HI62" s="558" t="str">
        <f t="shared" si="117"/>
        <v>.</v>
      </c>
      <c r="HJ62" s="558" t="str">
        <f t="shared" si="117"/>
        <v>.</v>
      </c>
      <c r="HK62" s="558" t="str">
        <f t="shared" si="82"/>
        <v>.</v>
      </c>
      <c r="HL62" s="558" t="str">
        <f t="shared" si="82"/>
        <v>.</v>
      </c>
      <c r="HM62" s="558" t="str">
        <f t="shared" si="82"/>
        <v>.</v>
      </c>
      <c r="HN62" s="558" t="str">
        <f t="shared" si="82"/>
        <v>.</v>
      </c>
      <c r="HO62" s="558" t="str">
        <f t="shared" si="82"/>
        <v>.</v>
      </c>
      <c r="HP62" s="558" t="str">
        <f t="shared" si="82"/>
        <v>.</v>
      </c>
      <c r="HQ62" s="558" t="str">
        <f t="shared" si="82"/>
        <v>.</v>
      </c>
      <c r="HR62" s="558" t="str">
        <f t="shared" si="82"/>
        <v>.</v>
      </c>
      <c r="HS62" s="558" t="str">
        <f t="shared" si="82"/>
        <v>.</v>
      </c>
      <c r="HT62" s="558" t="str">
        <f t="shared" si="82"/>
        <v>.</v>
      </c>
      <c r="HU62" s="558" t="str">
        <f t="shared" si="82"/>
        <v>.</v>
      </c>
      <c r="HV62" s="558" t="str">
        <f t="shared" si="82"/>
        <v>.</v>
      </c>
      <c r="HW62" s="558" t="str">
        <f t="shared" si="82"/>
        <v>.</v>
      </c>
      <c r="HX62" s="558" t="str">
        <f t="shared" si="82"/>
        <v>.</v>
      </c>
      <c r="HY62" s="558" t="str">
        <f t="shared" si="82"/>
        <v>.</v>
      </c>
      <c r="HZ62" s="558" t="str">
        <f t="shared" si="82"/>
        <v>.</v>
      </c>
      <c r="IA62" s="558" t="str">
        <f t="shared" si="82"/>
        <v>.</v>
      </c>
      <c r="IB62" s="558" t="str">
        <f t="shared" si="83"/>
        <v>.</v>
      </c>
      <c r="IC62" s="558" t="str">
        <f t="shared" si="83"/>
        <v>.</v>
      </c>
      <c r="ID62" s="558" t="str">
        <f t="shared" si="83"/>
        <v>.</v>
      </c>
      <c r="IE62" s="558" t="str">
        <f t="shared" si="83"/>
        <v>.</v>
      </c>
      <c r="IF62" s="558" t="str">
        <f t="shared" si="83"/>
        <v>.</v>
      </c>
      <c r="IG62" s="558" t="str">
        <f t="shared" si="83"/>
        <v>.</v>
      </c>
      <c r="IH62" s="558" t="str">
        <f t="shared" si="83"/>
        <v>.</v>
      </c>
      <c r="II62" s="558" t="str">
        <f t="shared" si="83"/>
        <v>.</v>
      </c>
      <c r="IJ62" s="558" t="str">
        <f t="shared" si="83"/>
        <v>.</v>
      </c>
      <c r="IK62" s="558" t="str">
        <f t="shared" si="83"/>
        <v>.</v>
      </c>
      <c r="IL62" s="558" t="str">
        <f t="shared" si="83"/>
        <v>.</v>
      </c>
      <c r="IM62" s="558" t="str">
        <f t="shared" si="83"/>
        <v>.</v>
      </c>
      <c r="IN62" s="558" t="str">
        <f t="shared" si="83"/>
        <v>.</v>
      </c>
      <c r="IO62" s="558" t="str">
        <f t="shared" si="83"/>
        <v>.</v>
      </c>
      <c r="IP62" s="558" t="str">
        <f t="shared" si="83"/>
        <v>.</v>
      </c>
      <c r="IQ62" s="558" t="str">
        <f t="shared" si="83"/>
        <v>.</v>
      </c>
      <c r="IR62" s="558" t="str">
        <f t="shared" si="83"/>
        <v>.</v>
      </c>
      <c r="IS62" s="558" t="str">
        <f t="shared" si="83"/>
        <v>.</v>
      </c>
      <c r="IT62" s="558" t="str">
        <f t="shared" si="83"/>
        <v>.</v>
      </c>
      <c r="IU62" s="558" t="str">
        <f t="shared" si="83"/>
        <v>.</v>
      </c>
      <c r="IV62" s="558" t="str">
        <f t="shared" si="83"/>
        <v>.</v>
      </c>
      <c r="IW62" s="558" t="str">
        <f t="shared" si="83"/>
        <v>.</v>
      </c>
      <c r="IX62" s="558" t="str">
        <f t="shared" si="83"/>
        <v>.</v>
      </c>
      <c r="IY62" s="558" t="str">
        <f t="shared" si="83"/>
        <v>.</v>
      </c>
      <c r="IZ62" s="558" t="str">
        <f t="shared" si="83"/>
        <v>.</v>
      </c>
      <c r="JA62" s="558" t="str">
        <f t="shared" si="121"/>
        <v>.</v>
      </c>
      <c r="JB62" s="558" t="str">
        <f t="shared" si="121"/>
        <v>.</v>
      </c>
      <c r="JC62" s="558" t="str">
        <f t="shared" si="121"/>
        <v>.</v>
      </c>
      <c r="JD62" s="558" t="str">
        <f t="shared" si="121"/>
        <v>.</v>
      </c>
      <c r="JE62" s="558" t="str">
        <f t="shared" si="121"/>
        <v>.</v>
      </c>
      <c r="JF62" s="558" t="str">
        <f t="shared" si="121"/>
        <v>.</v>
      </c>
      <c r="JG62" s="558" t="str">
        <f t="shared" si="121"/>
        <v>.</v>
      </c>
      <c r="JH62" s="558" t="str">
        <f t="shared" si="118"/>
        <v>.</v>
      </c>
      <c r="JI62" s="558" t="str">
        <f t="shared" si="118"/>
        <v>.</v>
      </c>
      <c r="JJ62" s="558" t="str">
        <f t="shared" si="118"/>
        <v>.</v>
      </c>
      <c r="JK62" s="558" t="str">
        <f t="shared" si="118"/>
        <v>.</v>
      </c>
      <c r="JL62" s="558" t="str">
        <f t="shared" si="118"/>
        <v>.</v>
      </c>
    </row>
    <row r="63" spans="1:272" ht="10.199999999999999" x14ac:dyDescent="0.2">
      <c r="A63" s="534">
        <f xml:space="preserve"> Basis!A63</f>
        <v>63</v>
      </c>
      <c r="F63" s="536">
        <f xml:space="preserve"> ROUND(    IF( $A$15=BE_MF_,   AW63,   INDEX( qx!63:63, F$16 ) ),    F$17    )</f>
        <v>4.7000000000000002E-3</v>
      </c>
      <c r="G63" s="536">
        <f xml:space="preserve"> ROUND(    IF( $A$15=BE_MF_,   BB63,   INDEX( wx!63:63, G$16 ) ),    G$17    )</f>
        <v>6.4000000000000003E-3</v>
      </c>
      <c r="H63" s="537">
        <f xml:space="preserve"> ROUND(    IF( $A$15=BE_MF_,   BG63,   INDEX( Kx!63:63, H$16 ) ),    H$17    )</f>
        <v>4955.95</v>
      </c>
      <c r="I63" s="538">
        <f t="shared" si="57"/>
        <v>4955.95</v>
      </c>
      <c r="J63" s="539">
        <f t="shared" si="84"/>
        <v>2.3849999999999998</v>
      </c>
      <c r="K63" s="540">
        <f t="shared" si="119"/>
        <v>2</v>
      </c>
      <c r="L63" s="541">
        <f t="shared" si="71"/>
        <v>0</v>
      </c>
      <c r="M63" s="541">
        <f t="shared" si="71"/>
        <v>8.5999999999999993E-2</v>
      </c>
      <c r="O63" s="542" t="b">
        <f t="shared" si="59"/>
        <v>1</v>
      </c>
      <c r="P63" s="493">
        <f t="shared" si="85"/>
        <v>1.11E-2</v>
      </c>
      <c r="Q63" s="493">
        <f t="shared" si="86"/>
        <v>0.9889</v>
      </c>
      <c r="R63" s="543">
        <f t="shared" si="87"/>
        <v>519907</v>
      </c>
      <c r="S63" s="544">
        <f t="shared" si="88"/>
        <v>0.97560975599999999</v>
      </c>
      <c r="T63" s="423">
        <f t="shared" si="89"/>
        <v>109729.18</v>
      </c>
      <c r="U63" s="423">
        <f xml:space="preserve"> IF( $O63,    ROUND(  SUM( T63:T$120), U$17 ),  LEER  )</f>
        <v>1953882.1</v>
      </c>
      <c r="V63" s="493">
        <f t="shared" si="90"/>
        <v>17.8064</v>
      </c>
      <c r="W63" s="493">
        <f t="shared" si="91"/>
        <v>261704.09</v>
      </c>
      <c r="X63" s="493">
        <f xml:space="preserve"> IF( $O63,    ROUND(  SUM( W63:W$120), X$17 ),  LEER  )</f>
        <v>7733499.8200000003</v>
      </c>
      <c r="Y63" s="493">
        <f t="shared" si="92"/>
        <v>70.478099999999998</v>
      </c>
      <c r="Z63" s="493">
        <f t="shared" si="93"/>
        <v>3.9580000000000002</v>
      </c>
      <c r="AA63" s="493">
        <f t="shared" si="94"/>
        <v>1.0103</v>
      </c>
      <c r="AB63" s="493">
        <f t="shared" si="95"/>
        <v>2.3494000000000002</v>
      </c>
      <c r="AC63" s="545">
        <f t="shared" si="96"/>
        <v>0.38600000000000001</v>
      </c>
      <c r="AD63" s="493">
        <f t="shared" si="97"/>
        <v>4.0026999999999999</v>
      </c>
      <c r="AE63" s="493">
        <f t="shared" si="98"/>
        <v>4.8015999999999996</v>
      </c>
      <c r="AF63" s="493">
        <f t="shared" si="99"/>
        <v>4.8015999999999996</v>
      </c>
      <c r="AG63" s="493" t="str">
        <f t="shared" si="100"/>
        <v>.</v>
      </c>
      <c r="AH63" s="493" t="str">
        <f t="shared" si="101"/>
        <v>.</v>
      </c>
      <c r="AI63" s="423">
        <f t="shared" si="102"/>
        <v>2077.79</v>
      </c>
      <c r="AJ63" s="423">
        <f t="shared" si="103"/>
        <v>9976.7199999999993</v>
      </c>
      <c r="AK63" s="423">
        <f t="shared" si="104"/>
        <v>831.39</v>
      </c>
      <c r="AN63" s="423">
        <f t="shared" si="120"/>
        <v>77840.77</v>
      </c>
      <c r="AO63" s="423">
        <f t="shared" si="120"/>
        <v>77019.42</v>
      </c>
      <c r="AR63" s="546">
        <f xml:space="preserve"> ROUND(  INDEX( Kx!63:63, AR$16 ),  AR$17 )</f>
        <v>0.7298</v>
      </c>
      <c r="AS63" s="547">
        <f xml:space="preserve"> ROUND(  INDEX( qx!63:63, AS$16 ),  AS$17 )</f>
        <v>5.4000000000000003E-3</v>
      </c>
      <c r="AT63" s="547">
        <f xml:space="preserve"> ROUND(  INDEX( qx!63:63, AT$16 ),  AT$17 )</f>
        <v>3.5000000000000001E-3</v>
      </c>
      <c r="AU63" s="548" t="str">
        <f t="shared" si="105"/>
        <v>F</v>
      </c>
      <c r="AV63" s="542">
        <f t="shared" si="106"/>
        <v>0.64290000000000003</v>
      </c>
      <c r="AW63" s="542">
        <f t="shared" si="107"/>
        <v>4.7000000000000002E-3</v>
      </c>
      <c r="AX63" s="546">
        <f xml:space="preserve"> ROUND(  INDEX( wx!63:63, AX$16 ),  AX$17 )</f>
        <v>6.1999999999999998E-3</v>
      </c>
      <c r="AY63" s="546">
        <f xml:space="preserve"> ROUND(  INDEX( wx!63:63, AY$16 ),  AY$17 )</f>
        <v>7.0000000000000001E-3</v>
      </c>
      <c r="AZ63" s="548" t="str">
        <f t="shared" si="108"/>
        <v>M</v>
      </c>
      <c r="BA63" s="542">
        <f t="shared" si="109"/>
        <v>0.80200000000000005</v>
      </c>
      <c r="BB63" s="542">
        <f t="shared" si="110"/>
        <v>6.4000000000000003E-3</v>
      </c>
      <c r="BC63" s="533">
        <f xml:space="preserve"> ROUND(  INDEX( Kx!63:63, BC$16 ),  BC$17 )</f>
        <v>5018.3599999999997</v>
      </c>
      <c r="BD63" s="533">
        <f xml:space="preserve"> ROUND(  INDEX( Kx!63:63, BD$16 ),  BD$17 )</f>
        <v>4703.16</v>
      </c>
      <c r="BE63" s="548" t="str">
        <f t="shared" si="60"/>
        <v>M</v>
      </c>
      <c r="BF63" s="542">
        <f t="shared" si="111"/>
        <v>0.80200000000000005</v>
      </c>
      <c r="BG63" s="420">
        <f t="shared" si="112"/>
        <v>4955.95</v>
      </c>
      <c r="BQ63" s="549"/>
      <c r="BR63" s="423"/>
      <c r="BS63" s="550"/>
      <c r="BT63" s="423"/>
      <c r="BU63" s="551"/>
      <c r="BV63" s="551"/>
      <c r="BW63" s="529"/>
      <c r="BX63" s="552"/>
      <c r="BY63" s="560"/>
      <c r="BZ63" s="559"/>
      <c r="CB63" s="423"/>
      <c r="CC63" s="423"/>
      <c r="CD63" s="423"/>
      <c r="CE63" s="423"/>
      <c r="CF63" s="553"/>
      <c r="CH63" s="423"/>
      <c r="CI63" s="423"/>
      <c r="CJ63" s="423"/>
      <c r="CK63" s="423"/>
      <c r="CL63" s="553"/>
      <c r="CN63" s="423"/>
      <c r="CO63" s="423"/>
      <c r="CP63" s="423"/>
      <c r="CQ63" s="423"/>
      <c r="CR63" s="553"/>
      <c r="EI63" s="553"/>
      <c r="EJ63" s="553"/>
      <c r="EK63" s="423"/>
      <c r="EL63" s="555"/>
      <c r="ES63" s="533"/>
      <c r="ET63" s="533"/>
      <c r="EU63" s="533"/>
      <c r="EV63" s="556"/>
      <c r="EY63" s="533"/>
      <c r="EZ63" s="533"/>
      <c r="FA63" s="556"/>
      <c r="FD63" s="556"/>
      <c r="FE63" s="556"/>
      <c r="FF63" s="556"/>
      <c r="FK63" s="557">
        <f t="shared" si="113"/>
        <v>63</v>
      </c>
      <c r="FL63" s="493">
        <f t="shared" si="114"/>
        <v>70.478099999999998</v>
      </c>
      <c r="FM63" s="493">
        <f t="shared" si="115"/>
        <v>17.8064</v>
      </c>
      <c r="FO63" s="427">
        <f t="shared" si="61"/>
        <v>2568465.37</v>
      </c>
      <c r="FP63" s="558">
        <f t="shared" si="116"/>
        <v>102026.34</v>
      </c>
      <c r="FQ63" s="558">
        <f t="shared" si="116"/>
        <v>100527.92</v>
      </c>
      <c r="FR63" s="558">
        <f t="shared" si="116"/>
        <v>99025.81</v>
      </c>
      <c r="FS63" s="558">
        <f t="shared" si="116"/>
        <v>97523.69</v>
      </c>
      <c r="FT63" s="558">
        <f t="shared" si="116"/>
        <v>95969.77</v>
      </c>
      <c r="FU63" s="558">
        <f t="shared" si="116"/>
        <v>94371.46</v>
      </c>
      <c r="FV63" s="558">
        <f t="shared" si="116"/>
        <v>92787.95</v>
      </c>
      <c r="FW63" s="558">
        <f t="shared" si="116"/>
        <v>91193.34</v>
      </c>
      <c r="FX63" s="558">
        <f t="shared" si="116"/>
        <v>89543.23</v>
      </c>
      <c r="FY63" s="558">
        <f t="shared" si="116"/>
        <v>87826.52</v>
      </c>
      <c r="FZ63" s="558">
        <f t="shared" si="116"/>
        <v>86098.72</v>
      </c>
      <c r="GA63" s="558">
        <f t="shared" si="116"/>
        <v>84345.02</v>
      </c>
      <c r="GB63" s="558">
        <f t="shared" si="116"/>
        <v>82550.61</v>
      </c>
      <c r="GC63" s="558">
        <f t="shared" si="116"/>
        <v>80748.81</v>
      </c>
      <c r="GD63" s="558">
        <f t="shared" si="116"/>
        <v>78891.520000000004</v>
      </c>
      <c r="GE63" s="558">
        <f t="shared" si="116"/>
        <v>77019.42</v>
      </c>
      <c r="GF63" s="558">
        <f t="shared" si="81"/>
        <v>75091.83</v>
      </c>
      <c r="GG63" s="558">
        <f t="shared" si="81"/>
        <v>73119.83</v>
      </c>
      <c r="GH63" s="558">
        <f t="shared" si="81"/>
        <v>71092.350000000006</v>
      </c>
      <c r="GI63" s="558">
        <f t="shared" si="81"/>
        <v>69005.66</v>
      </c>
      <c r="GJ63" s="558">
        <f t="shared" si="81"/>
        <v>66856.08</v>
      </c>
      <c r="GK63" s="558">
        <f t="shared" si="81"/>
        <v>64625.1</v>
      </c>
      <c r="GL63" s="558">
        <f t="shared" si="81"/>
        <v>62312.73</v>
      </c>
      <c r="GM63" s="558">
        <f t="shared" si="81"/>
        <v>59915.26</v>
      </c>
      <c r="GN63" s="558">
        <f t="shared" si="81"/>
        <v>57421.599999999999</v>
      </c>
      <c r="GO63" s="558">
        <f t="shared" si="81"/>
        <v>54850.239999999998</v>
      </c>
      <c r="GP63" s="558">
        <f t="shared" si="81"/>
        <v>52190.09</v>
      </c>
      <c r="GQ63" s="558">
        <f t="shared" si="81"/>
        <v>49448.54</v>
      </c>
      <c r="GR63" s="558">
        <f t="shared" si="81"/>
        <v>46632.99</v>
      </c>
      <c r="GS63" s="558">
        <f t="shared" si="81"/>
        <v>43747.15</v>
      </c>
      <c r="GT63" s="558">
        <f t="shared" si="81"/>
        <v>40802.120000000003</v>
      </c>
      <c r="GU63" s="558">
        <f t="shared" si="117"/>
        <v>37786.78</v>
      </c>
      <c r="GV63" s="558">
        <f t="shared" si="117"/>
        <v>34730.75</v>
      </c>
      <c r="GW63" s="558">
        <f t="shared" si="117"/>
        <v>31619.22</v>
      </c>
      <c r="GX63" s="558">
        <f t="shared" si="117"/>
        <v>28474.400000000001</v>
      </c>
      <c r="GY63" s="558">
        <f t="shared" si="117"/>
        <v>25296.27</v>
      </c>
      <c r="GZ63" s="558">
        <f t="shared" si="117"/>
        <v>22081.15</v>
      </c>
      <c r="HA63" s="558">
        <f t="shared" si="117"/>
        <v>18840.13</v>
      </c>
      <c r="HB63" s="558">
        <f t="shared" si="117"/>
        <v>15551.01</v>
      </c>
      <c r="HC63" s="558">
        <f t="shared" si="117"/>
        <v>12191.59</v>
      </c>
      <c r="HD63" s="558">
        <f t="shared" si="117"/>
        <v>8784.08</v>
      </c>
      <c r="HE63" s="558">
        <f t="shared" si="117"/>
        <v>5343.27</v>
      </c>
      <c r="HF63" s="558">
        <f t="shared" si="117"/>
        <v>1858.06</v>
      </c>
      <c r="HG63" s="558">
        <f t="shared" si="117"/>
        <v>-1653.04</v>
      </c>
      <c r="HH63" s="558" t="str">
        <f t="shared" si="117"/>
        <v>.</v>
      </c>
      <c r="HI63" s="558" t="str">
        <f t="shared" si="117"/>
        <v>.</v>
      </c>
      <c r="HJ63" s="558" t="str">
        <f t="shared" si="117"/>
        <v>.</v>
      </c>
      <c r="HK63" s="558" t="str">
        <f t="shared" si="82"/>
        <v>.</v>
      </c>
      <c r="HL63" s="558" t="str">
        <f t="shared" si="82"/>
        <v>.</v>
      </c>
      <c r="HM63" s="558" t="str">
        <f t="shared" si="82"/>
        <v>.</v>
      </c>
      <c r="HN63" s="558" t="str">
        <f t="shared" si="82"/>
        <v>.</v>
      </c>
      <c r="HO63" s="558" t="str">
        <f t="shared" si="82"/>
        <v>.</v>
      </c>
      <c r="HP63" s="558" t="str">
        <f t="shared" si="82"/>
        <v>.</v>
      </c>
      <c r="HQ63" s="558" t="str">
        <f t="shared" si="82"/>
        <v>.</v>
      </c>
      <c r="HR63" s="558" t="str">
        <f t="shared" si="82"/>
        <v>.</v>
      </c>
      <c r="HS63" s="558" t="str">
        <f t="shared" si="82"/>
        <v>.</v>
      </c>
      <c r="HT63" s="558" t="str">
        <f t="shared" si="82"/>
        <v>.</v>
      </c>
      <c r="HU63" s="558" t="str">
        <f t="shared" si="82"/>
        <v>.</v>
      </c>
      <c r="HV63" s="558" t="str">
        <f t="shared" si="82"/>
        <v>.</v>
      </c>
      <c r="HW63" s="558" t="str">
        <f t="shared" si="82"/>
        <v>.</v>
      </c>
      <c r="HX63" s="558" t="str">
        <f t="shared" si="82"/>
        <v>.</v>
      </c>
      <c r="HY63" s="558" t="str">
        <f t="shared" si="82"/>
        <v>.</v>
      </c>
      <c r="HZ63" s="558" t="str">
        <f t="shared" si="82"/>
        <v>.</v>
      </c>
      <c r="IA63" s="558" t="str">
        <f t="shared" si="82"/>
        <v>.</v>
      </c>
      <c r="IB63" s="558" t="str">
        <f t="shared" si="83"/>
        <v>.</v>
      </c>
      <c r="IC63" s="558" t="str">
        <f t="shared" si="83"/>
        <v>.</v>
      </c>
      <c r="ID63" s="558" t="str">
        <f t="shared" si="83"/>
        <v>.</v>
      </c>
      <c r="IE63" s="558" t="str">
        <f t="shared" si="83"/>
        <v>.</v>
      </c>
      <c r="IF63" s="558" t="str">
        <f t="shared" si="83"/>
        <v>.</v>
      </c>
      <c r="IG63" s="558" t="str">
        <f t="shared" si="83"/>
        <v>.</v>
      </c>
      <c r="IH63" s="558" t="str">
        <f t="shared" si="83"/>
        <v>.</v>
      </c>
      <c r="II63" s="558" t="str">
        <f t="shared" si="83"/>
        <v>.</v>
      </c>
      <c r="IJ63" s="558" t="str">
        <f t="shared" si="83"/>
        <v>.</v>
      </c>
      <c r="IK63" s="558" t="str">
        <f t="shared" si="83"/>
        <v>.</v>
      </c>
      <c r="IL63" s="558" t="str">
        <f t="shared" si="83"/>
        <v>.</v>
      </c>
      <c r="IM63" s="558" t="str">
        <f t="shared" si="83"/>
        <v>.</v>
      </c>
      <c r="IN63" s="558" t="str">
        <f t="shared" si="83"/>
        <v>.</v>
      </c>
      <c r="IO63" s="558" t="str">
        <f t="shared" si="83"/>
        <v>.</v>
      </c>
      <c r="IP63" s="558" t="str">
        <f t="shared" si="83"/>
        <v>.</v>
      </c>
      <c r="IQ63" s="558" t="str">
        <f t="shared" si="83"/>
        <v>.</v>
      </c>
      <c r="IR63" s="558" t="str">
        <f t="shared" si="83"/>
        <v>.</v>
      </c>
      <c r="IS63" s="558" t="str">
        <f t="shared" si="83"/>
        <v>.</v>
      </c>
      <c r="IT63" s="558" t="str">
        <f t="shared" si="83"/>
        <v>.</v>
      </c>
      <c r="IU63" s="558" t="str">
        <f t="shared" si="83"/>
        <v>.</v>
      </c>
      <c r="IV63" s="558" t="str">
        <f t="shared" si="83"/>
        <v>.</v>
      </c>
      <c r="IW63" s="558" t="str">
        <f t="shared" si="121"/>
        <v>.</v>
      </c>
      <c r="IX63" s="558" t="str">
        <f t="shared" si="121"/>
        <v>.</v>
      </c>
      <c r="IY63" s="558" t="str">
        <f t="shared" si="121"/>
        <v>.</v>
      </c>
      <c r="IZ63" s="558" t="str">
        <f t="shared" si="121"/>
        <v>.</v>
      </c>
      <c r="JA63" s="558" t="str">
        <f t="shared" si="121"/>
        <v>.</v>
      </c>
      <c r="JB63" s="558" t="str">
        <f t="shared" si="121"/>
        <v>.</v>
      </c>
      <c r="JC63" s="558" t="str">
        <f t="shared" si="121"/>
        <v>.</v>
      </c>
      <c r="JD63" s="558" t="str">
        <f t="shared" si="121"/>
        <v>.</v>
      </c>
      <c r="JE63" s="558" t="str">
        <f t="shared" si="121"/>
        <v>.</v>
      </c>
      <c r="JF63" s="558" t="str">
        <f t="shared" si="121"/>
        <v>.</v>
      </c>
      <c r="JG63" s="558" t="str">
        <f t="shared" si="121"/>
        <v>.</v>
      </c>
      <c r="JH63" s="558" t="str">
        <f t="shared" si="118"/>
        <v>.</v>
      </c>
      <c r="JI63" s="558" t="str">
        <f t="shared" si="118"/>
        <v>.</v>
      </c>
      <c r="JJ63" s="558" t="str">
        <f t="shared" si="118"/>
        <v>.</v>
      </c>
      <c r="JK63" s="558" t="str">
        <f t="shared" si="118"/>
        <v>.</v>
      </c>
      <c r="JL63" s="558" t="str">
        <f t="shared" si="118"/>
        <v>.</v>
      </c>
    </row>
    <row r="64" spans="1:272" ht="10.199999999999999" x14ac:dyDescent="0.2">
      <c r="A64" s="534">
        <f xml:space="preserve"> Basis!A64</f>
        <v>64</v>
      </c>
      <c r="F64" s="536">
        <f xml:space="preserve"> ROUND(    IF( $A$15=BE_MF_,   AW64,   INDEX( qx!64:64, F$16 ) ),    F$17    )</f>
        <v>5.1000000000000004E-3</v>
      </c>
      <c r="G64" s="536">
        <f xml:space="preserve"> ROUND(    IF( $A$15=BE_MF_,   BB64,   INDEX( wx!64:64, G$16 ) ),    G$17    )</f>
        <v>5.8999999999999999E-3</v>
      </c>
      <c r="H64" s="537">
        <f xml:space="preserve"> ROUND(    IF( $A$15=BE_MF_,   BG64,   INDEX( Kx!64:64, H$16 ) ),    H$17    )</f>
        <v>5222.17</v>
      </c>
      <c r="I64" s="538">
        <f t="shared" si="57"/>
        <v>5222.17</v>
      </c>
      <c r="J64" s="539">
        <f t="shared" si="84"/>
        <v>2.5129999999999999</v>
      </c>
      <c r="K64" s="540">
        <f t="shared" si="119"/>
        <v>2</v>
      </c>
      <c r="L64" s="541">
        <f t="shared" si="71"/>
        <v>0</v>
      </c>
      <c r="M64" s="541">
        <f t="shared" si="71"/>
        <v>8.5999999999999993E-2</v>
      </c>
      <c r="O64" s="542" t="b">
        <f t="shared" si="59"/>
        <v>1</v>
      </c>
      <c r="P64" s="493">
        <f t="shared" si="85"/>
        <v>1.0999999999999999E-2</v>
      </c>
      <c r="Q64" s="493">
        <f t="shared" si="86"/>
        <v>0.98899999999999999</v>
      </c>
      <c r="R64" s="543">
        <f t="shared" si="87"/>
        <v>514136</v>
      </c>
      <c r="S64" s="544">
        <f t="shared" si="88"/>
        <v>0.97560975599999999</v>
      </c>
      <c r="T64" s="423">
        <f t="shared" si="89"/>
        <v>105864.57</v>
      </c>
      <c r="U64" s="423">
        <f xml:space="preserve"> IF( $O64,    ROUND(  SUM( T64:T$120), U$17 ),  LEER  )</f>
        <v>1844152.92</v>
      </c>
      <c r="V64" s="493">
        <f t="shared" si="90"/>
        <v>17.419899999999998</v>
      </c>
      <c r="W64" s="493">
        <f t="shared" si="91"/>
        <v>266037.65999999997</v>
      </c>
      <c r="X64" s="493">
        <f xml:space="preserve"> IF( $O64,    ROUND(  SUM( W64:W$120), X$17 ),  LEER  )</f>
        <v>7471795.7300000004</v>
      </c>
      <c r="Y64" s="493">
        <f t="shared" si="92"/>
        <v>70.578800000000001</v>
      </c>
      <c r="Z64" s="493">
        <f t="shared" si="93"/>
        <v>4.0515999999999996</v>
      </c>
      <c r="AA64" s="493">
        <f t="shared" si="94"/>
        <v>1.0105999999999999</v>
      </c>
      <c r="AB64" s="493">
        <f t="shared" si="95"/>
        <v>2.3494000000000002</v>
      </c>
      <c r="AC64" s="545">
        <f t="shared" si="96"/>
        <v>0.38600000000000001</v>
      </c>
      <c r="AD64" s="493">
        <f t="shared" si="97"/>
        <v>4.0986000000000002</v>
      </c>
      <c r="AE64" s="493">
        <f t="shared" si="98"/>
        <v>4.9066000000000001</v>
      </c>
      <c r="AF64" s="493">
        <f t="shared" si="99"/>
        <v>4.9066000000000001</v>
      </c>
      <c r="AG64" s="493" t="str">
        <f t="shared" si="100"/>
        <v>.</v>
      </c>
      <c r="AH64" s="493" t="str">
        <f t="shared" si="101"/>
        <v>.</v>
      </c>
      <c r="AI64" s="423">
        <f t="shared" si="102"/>
        <v>2077.79</v>
      </c>
      <c r="AJ64" s="423">
        <f t="shared" si="103"/>
        <v>10194.879999999999</v>
      </c>
      <c r="AK64" s="423">
        <f t="shared" si="104"/>
        <v>849.57</v>
      </c>
      <c r="AN64" s="423">
        <f t="shared" si="120"/>
        <v>79538.97</v>
      </c>
      <c r="AO64" s="423">
        <f t="shared" si="120"/>
        <v>78735.45</v>
      </c>
      <c r="AR64" s="546">
        <f xml:space="preserve"> ROUND(  INDEX( Kx!64:64, AR$16 ),  AR$17 )</f>
        <v>0.72729999999999995</v>
      </c>
      <c r="AS64" s="547">
        <f xml:space="preserve"> ROUND(  INDEX( qx!64:64, AS$16 ),  AS$17 )</f>
        <v>5.8999999999999999E-3</v>
      </c>
      <c r="AT64" s="547">
        <f xml:space="preserve"> ROUND(  INDEX( qx!64:64, AT$16 ),  AT$17 )</f>
        <v>3.8E-3</v>
      </c>
      <c r="AU64" s="548" t="str">
        <f t="shared" si="105"/>
        <v>F</v>
      </c>
      <c r="AV64" s="542">
        <f t="shared" si="106"/>
        <v>0.64</v>
      </c>
      <c r="AW64" s="542">
        <f t="shared" si="107"/>
        <v>5.1000000000000004E-3</v>
      </c>
      <c r="AX64" s="546">
        <f xml:space="preserve"> ROUND(  INDEX( wx!64:64, AX$16 ),  AX$17 )</f>
        <v>5.8999999999999999E-3</v>
      </c>
      <c r="AY64" s="546">
        <f xml:space="preserve"> ROUND(  INDEX( wx!64:64, AY$16 ),  AY$17 )</f>
        <v>5.7999999999999996E-3</v>
      </c>
      <c r="AZ64" s="548" t="str">
        <f t="shared" si="108"/>
        <v>F</v>
      </c>
      <c r="BA64" s="542">
        <f t="shared" si="109"/>
        <v>0.64</v>
      </c>
      <c r="BB64" s="542">
        <f t="shared" si="110"/>
        <v>5.8999999999999999E-3</v>
      </c>
      <c r="BC64" s="533">
        <f xml:space="preserve"> ROUND(  INDEX( Kx!64:64, BC$16 ),  BC$17 )</f>
        <v>5306.13</v>
      </c>
      <c r="BD64" s="533">
        <f xml:space="preserve"> ROUND(  INDEX( Kx!64:64, BD$16 ),  BD$17 )</f>
        <v>4886.3500000000004</v>
      </c>
      <c r="BE64" s="548" t="str">
        <f t="shared" si="60"/>
        <v>M</v>
      </c>
      <c r="BF64" s="542">
        <f t="shared" si="111"/>
        <v>0.8</v>
      </c>
      <c r="BG64" s="420">
        <f t="shared" si="112"/>
        <v>5222.17</v>
      </c>
      <c r="BQ64" s="549"/>
      <c r="BR64" s="423"/>
      <c r="BS64" s="550"/>
      <c r="BT64" s="423"/>
      <c r="BU64" s="551"/>
      <c r="BV64" s="551"/>
      <c r="BW64" s="529"/>
      <c r="BX64" s="552"/>
      <c r="BY64" s="560"/>
      <c r="BZ64" s="559"/>
      <c r="CB64" s="423"/>
      <c r="CC64" s="423"/>
      <c r="CD64" s="423"/>
      <c r="CE64" s="423"/>
      <c r="CF64" s="553"/>
      <c r="CH64" s="423"/>
      <c r="CI64" s="423"/>
      <c r="CJ64" s="423"/>
      <c r="CK64" s="423"/>
      <c r="CL64" s="553"/>
      <c r="CN64" s="423"/>
      <c r="CO64" s="423"/>
      <c r="CP64" s="423"/>
      <c r="CQ64" s="423"/>
      <c r="CR64" s="553"/>
      <c r="EI64" s="553"/>
      <c r="EJ64" s="553"/>
      <c r="EK64" s="423"/>
      <c r="EL64" s="555"/>
      <c r="ES64" s="533"/>
      <c r="ET64" s="533"/>
      <c r="EU64" s="533"/>
      <c r="EV64" s="556"/>
      <c r="EY64" s="533"/>
      <c r="EZ64" s="533"/>
      <c r="FA64" s="556"/>
      <c r="FD64" s="556"/>
      <c r="FE64" s="556"/>
      <c r="FF64" s="556"/>
      <c r="FK64" s="557">
        <f t="shared" si="113"/>
        <v>64</v>
      </c>
      <c r="FL64" s="493">
        <f t="shared" si="114"/>
        <v>70.578800000000001</v>
      </c>
      <c r="FM64" s="493">
        <f t="shared" si="115"/>
        <v>17.419899999999998</v>
      </c>
      <c r="FO64" s="427">
        <f t="shared" si="61"/>
        <v>2660077.1399999992</v>
      </c>
      <c r="FP64" s="558">
        <f t="shared" si="116"/>
        <v>103199.57</v>
      </c>
      <c r="FQ64" s="558">
        <f t="shared" si="116"/>
        <v>101733.68</v>
      </c>
      <c r="FR64" s="558">
        <f t="shared" si="116"/>
        <v>100264.17</v>
      </c>
      <c r="FS64" s="558">
        <f t="shared" si="116"/>
        <v>98794.66</v>
      </c>
      <c r="FT64" s="558">
        <f t="shared" si="116"/>
        <v>97274.47</v>
      </c>
      <c r="FU64" s="558">
        <f t="shared" si="116"/>
        <v>95710.85</v>
      </c>
      <c r="FV64" s="558">
        <f t="shared" si="116"/>
        <v>94161.71</v>
      </c>
      <c r="FW64" s="558">
        <f t="shared" si="116"/>
        <v>92601.71</v>
      </c>
      <c r="FX64" s="558">
        <f t="shared" si="116"/>
        <v>90987.42</v>
      </c>
      <c r="FY64" s="558">
        <f t="shared" si="116"/>
        <v>89307.97</v>
      </c>
      <c r="FZ64" s="558">
        <f t="shared" si="116"/>
        <v>87617.67</v>
      </c>
      <c r="GA64" s="558">
        <f t="shared" si="116"/>
        <v>85902.03</v>
      </c>
      <c r="GB64" s="558">
        <f t="shared" si="116"/>
        <v>84146.58</v>
      </c>
      <c r="GC64" s="558">
        <f t="shared" si="116"/>
        <v>82383.89</v>
      </c>
      <c r="GD64" s="558">
        <f t="shared" si="116"/>
        <v>80566.91</v>
      </c>
      <c r="GE64" s="558">
        <f t="shared" si="116"/>
        <v>78735.45</v>
      </c>
      <c r="GF64" s="558">
        <f t="shared" si="81"/>
        <v>76849.69</v>
      </c>
      <c r="GG64" s="558">
        <f t="shared" si="81"/>
        <v>74920.5</v>
      </c>
      <c r="GH64" s="558">
        <f t="shared" si="81"/>
        <v>72937.02</v>
      </c>
      <c r="GI64" s="558">
        <f t="shared" si="81"/>
        <v>70895.63</v>
      </c>
      <c r="GJ64" s="558">
        <f t="shared" si="81"/>
        <v>68792.710000000006</v>
      </c>
      <c r="GK64" s="558">
        <f t="shared" si="81"/>
        <v>66610.16</v>
      </c>
      <c r="GL64" s="558">
        <f t="shared" si="81"/>
        <v>64347.97</v>
      </c>
      <c r="GM64" s="558">
        <f t="shared" si="81"/>
        <v>62002.55</v>
      </c>
      <c r="GN64" s="558">
        <f t="shared" si="81"/>
        <v>59563.01</v>
      </c>
      <c r="GO64" s="558">
        <f t="shared" si="81"/>
        <v>57047.46</v>
      </c>
      <c r="GP64" s="558">
        <f t="shared" si="81"/>
        <v>54445.05</v>
      </c>
      <c r="GQ64" s="558">
        <f t="shared" si="81"/>
        <v>51763.01</v>
      </c>
      <c r="GR64" s="558">
        <f t="shared" si="81"/>
        <v>49008.58</v>
      </c>
      <c r="GS64" s="558">
        <f t="shared" si="81"/>
        <v>46185.38</v>
      </c>
      <c r="GT64" s="558">
        <f t="shared" si="81"/>
        <v>43304.26</v>
      </c>
      <c r="GU64" s="558">
        <f t="shared" si="117"/>
        <v>40354.379999999997</v>
      </c>
      <c r="GV64" s="558">
        <f t="shared" si="117"/>
        <v>37364.68</v>
      </c>
      <c r="GW64" s="558">
        <f t="shared" si="117"/>
        <v>34320.69</v>
      </c>
      <c r="GX64" s="558">
        <f t="shared" si="117"/>
        <v>31244.12</v>
      </c>
      <c r="GY64" s="558">
        <f t="shared" si="117"/>
        <v>28134.98</v>
      </c>
      <c r="GZ64" s="558">
        <f t="shared" si="117"/>
        <v>24989.65</v>
      </c>
      <c r="HA64" s="558">
        <f t="shared" si="117"/>
        <v>21818.97</v>
      </c>
      <c r="HB64" s="558">
        <f t="shared" si="117"/>
        <v>18601.25</v>
      </c>
      <c r="HC64" s="558">
        <f t="shared" si="117"/>
        <v>15314.75</v>
      </c>
      <c r="HD64" s="558">
        <f t="shared" si="117"/>
        <v>11981.2</v>
      </c>
      <c r="HE64" s="558">
        <f t="shared" si="117"/>
        <v>8615.08</v>
      </c>
      <c r="HF64" s="558">
        <f t="shared" si="117"/>
        <v>5205.5200000000004</v>
      </c>
      <c r="HG64" s="558">
        <f t="shared" si="117"/>
        <v>1770.62</v>
      </c>
      <c r="HH64" s="558">
        <f t="shared" si="117"/>
        <v>-1700.47</v>
      </c>
      <c r="HI64" s="558" t="str">
        <f t="shared" si="117"/>
        <v>.</v>
      </c>
      <c r="HJ64" s="558" t="str">
        <f t="shared" si="117"/>
        <v>.</v>
      </c>
      <c r="HK64" s="558" t="str">
        <f t="shared" si="82"/>
        <v>.</v>
      </c>
      <c r="HL64" s="558" t="str">
        <f t="shared" si="82"/>
        <v>.</v>
      </c>
      <c r="HM64" s="558" t="str">
        <f t="shared" si="82"/>
        <v>.</v>
      </c>
      <c r="HN64" s="558" t="str">
        <f t="shared" si="82"/>
        <v>.</v>
      </c>
      <c r="HO64" s="558" t="str">
        <f t="shared" si="82"/>
        <v>.</v>
      </c>
      <c r="HP64" s="558" t="str">
        <f t="shared" si="82"/>
        <v>.</v>
      </c>
      <c r="HQ64" s="558" t="str">
        <f t="shared" si="82"/>
        <v>.</v>
      </c>
      <c r="HR64" s="558" t="str">
        <f t="shared" si="82"/>
        <v>.</v>
      </c>
      <c r="HS64" s="558" t="str">
        <f t="shared" si="82"/>
        <v>.</v>
      </c>
      <c r="HT64" s="558" t="str">
        <f t="shared" si="82"/>
        <v>.</v>
      </c>
      <c r="HU64" s="558" t="str">
        <f t="shared" si="82"/>
        <v>.</v>
      </c>
      <c r="HV64" s="558" t="str">
        <f t="shared" si="82"/>
        <v>.</v>
      </c>
      <c r="HW64" s="558" t="str">
        <f t="shared" si="82"/>
        <v>.</v>
      </c>
      <c r="HX64" s="558" t="str">
        <f t="shared" si="82"/>
        <v>.</v>
      </c>
      <c r="HY64" s="558" t="str">
        <f t="shared" si="82"/>
        <v>.</v>
      </c>
      <c r="HZ64" s="558" t="str">
        <f t="shared" si="82"/>
        <v>.</v>
      </c>
      <c r="IA64" s="558" t="str">
        <f t="shared" si="82"/>
        <v>.</v>
      </c>
      <c r="IB64" s="558" t="str">
        <f t="shared" si="83"/>
        <v>.</v>
      </c>
      <c r="IC64" s="558" t="str">
        <f t="shared" si="83"/>
        <v>.</v>
      </c>
      <c r="ID64" s="558" t="str">
        <f t="shared" si="83"/>
        <v>.</v>
      </c>
      <c r="IE64" s="558" t="str">
        <f t="shared" si="83"/>
        <v>.</v>
      </c>
      <c r="IF64" s="558" t="str">
        <f t="shared" si="83"/>
        <v>.</v>
      </c>
      <c r="IG64" s="558" t="str">
        <f t="shared" si="83"/>
        <v>.</v>
      </c>
      <c r="IH64" s="558" t="str">
        <f t="shared" si="83"/>
        <v>.</v>
      </c>
      <c r="II64" s="558" t="str">
        <f t="shared" si="83"/>
        <v>.</v>
      </c>
      <c r="IJ64" s="558" t="str">
        <f t="shared" si="83"/>
        <v>.</v>
      </c>
      <c r="IK64" s="558" t="str">
        <f t="shared" si="83"/>
        <v>.</v>
      </c>
      <c r="IL64" s="558" t="str">
        <f t="shared" si="83"/>
        <v>.</v>
      </c>
      <c r="IM64" s="558" t="str">
        <f t="shared" si="83"/>
        <v>.</v>
      </c>
      <c r="IN64" s="558" t="str">
        <f t="shared" si="83"/>
        <v>.</v>
      </c>
      <c r="IO64" s="558" t="str">
        <f t="shared" si="83"/>
        <v>.</v>
      </c>
      <c r="IP64" s="558" t="str">
        <f t="shared" si="83"/>
        <v>.</v>
      </c>
      <c r="IQ64" s="558" t="str">
        <f t="shared" si="83"/>
        <v>.</v>
      </c>
      <c r="IR64" s="558" t="str">
        <f t="shared" si="83"/>
        <v>.</v>
      </c>
      <c r="IS64" s="558" t="str">
        <f t="shared" si="83"/>
        <v>.</v>
      </c>
      <c r="IT64" s="558" t="str">
        <f t="shared" si="83"/>
        <v>.</v>
      </c>
      <c r="IU64" s="558" t="str">
        <f t="shared" si="83"/>
        <v>.</v>
      </c>
      <c r="IV64" s="558" t="str">
        <f t="shared" si="83"/>
        <v>.</v>
      </c>
      <c r="IW64" s="558" t="str">
        <f t="shared" si="121"/>
        <v>.</v>
      </c>
      <c r="IX64" s="558" t="str">
        <f t="shared" si="121"/>
        <v>.</v>
      </c>
      <c r="IY64" s="558" t="str">
        <f t="shared" si="121"/>
        <v>.</v>
      </c>
      <c r="IZ64" s="558" t="str">
        <f t="shared" si="121"/>
        <v>.</v>
      </c>
      <c r="JA64" s="558" t="str">
        <f t="shared" si="121"/>
        <v>.</v>
      </c>
      <c r="JB64" s="558" t="str">
        <f t="shared" si="121"/>
        <v>.</v>
      </c>
      <c r="JC64" s="558" t="str">
        <f t="shared" si="121"/>
        <v>.</v>
      </c>
      <c r="JD64" s="558" t="str">
        <f t="shared" si="121"/>
        <v>.</v>
      </c>
      <c r="JE64" s="558" t="str">
        <f t="shared" si="121"/>
        <v>.</v>
      </c>
      <c r="JF64" s="558" t="str">
        <f t="shared" si="121"/>
        <v>.</v>
      </c>
      <c r="JG64" s="558" t="str">
        <f t="shared" si="121"/>
        <v>.</v>
      </c>
      <c r="JH64" s="558" t="str">
        <f t="shared" si="118"/>
        <v>.</v>
      </c>
      <c r="JI64" s="558" t="str">
        <f t="shared" si="118"/>
        <v>.</v>
      </c>
      <c r="JJ64" s="558" t="str">
        <f t="shared" si="118"/>
        <v>.</v>
      </c>
      <c r="JK64" s="558" t="str">
        <f t="shared" si="118"/>
        <v>.</v>
      </c>
      <c r="JL64" s="558" t="str">
        <f t="shared" si="118"/>
        <v>.</v>
      </c>
    </row>
    <row r="65" spans="1:272" ht="10.199999999999999" x14ac:dyDescent="0.2">
      <c r="A65" s="534">
        <f xml:space="preserve"> Basis!A65</f>
        <v>65</v>
      </c>
      <c r="F65" s="536">
        <f xml:space="preserve"> ROUND(    IF( $A$15=BE_MF_,   AW65,   INDEX( qx!65:65, F$16 ) ),    F$17    )</f>
        <v>5.5999999999999999E-3</v>
      </c>
      <c r="G65" s="536">
        <f xml:space="preserve"> ROUND(    IF( $A$15=BE_MF_,   BB65,   INDEX( wx!65:65, G$16 ) ),    G$17    )</f>
        <v>5.3E-3</v>
      </c>
      <c r="H65" s="537">
        <f xml:space="preserve"> ROUND(    IF( $A$15=BE_MF_,   BG65,   INDEX( Kx!65:65, H$16 ) ),    H$17    )</f>
        <v>5505.39</v>
      </c>
      <c r="I65" s="538">
        <f t="shared" si="57"/>
        <v>5505.39</v>
      </c>
      <c r="J65" s="539">
        <f t="shared" si="84"/>
        <v>2.65</v>
      </c>
      <c r="K65" s="540">
        <f t="shared" si="119"/>
        <v>2</v>
      </c>
      <c r="L65" s="541">
        <f t="shared" si="71"/>
        <v>0</v>
      </c>
      <c r="M65" s="541">
        <f t="shared" si="71"/>
        <v>8.5999999999999993E-2</v>
      </c>
      <c r="O65" s="542" t="b">
        <f t="shared" si="59"/>
        <v>1</v>
      </c>
      <c r="P65" s="493">
        <f t="shared" si="85"/>
        <v>1.09E-2</v>
      </c>
      <c r="Q65" s="493">
        <f t="shared" si="86"/>
        <v>0.98909999999999998</v>
      </c>
      <c r="R65" s="543">
        <f t="shared" si="87"/>
        <v>508480</v>
      </c>
      <c r="S65" s="544">
        <f t="shared" si="88"/>
        <v>0.97560975599999999</v>
      </c>
      <c r="T65" s="423">
        <f t="shared" si="89"/>
        <v>102146.3</v>
      </c>
      <c r="U65" s="423">
        <f xml:space="preserve"> IF( $O65,    ROUND(  SUM( T65:T$120), U$17 ),  LEER  )</f>
        <v>1738288.35</v>
      </c>
      <c r="V65" s="493">
        <f t="shared" si="90"/>
        <v>17.017600000000002</v>
      </c>
      <c r="W65" s="493">
        <f t="shared" si="91"/>
        <v>270687.7</v>
      </c>
      <c r="X65" s="493">
        <f xml:space="preserve"> IF( $O65,    ROUND(  SUM( W65:W$120), X$17 ),  LEER  )</f>
        <v>7205758.0700000003</v>
      </c>
      <c r="Y65" s="493">
        <f t="shared" si="92"/>
        <v>70.543499999999995</v>
      </c>
      <c r="Z65" s="493">
        <f t="shared" si="93"/>
        <v>4.1452999999999998</v>
      </c>
      <c r="AA65" s="493">
        <f t="shared" si="94"/>
        <v>1.0107999999999999</v>
      </c>
      <c r="AB65" s="493">
        <f t="shared" si="95"/>
        <v>2.3494000000000002</v>
      </c>
      <c r="AC65" s="545">
        <f t="shared" si="96"/>
        <v>0.32679999999999998</v>
      </c>
      <c r="AD65" s="493">
        <f t="shared" si="97"/>
        <v>4.1936</v>
      </c>
      <c r="AE65" s="493">
        <f t="shared" si="98"/>
        <v>4.9457000000000004</v>
      </c>
      <c r="AF65" s="493">
        <f t="shared" si="99"/>
        <v>4.9457000000000004</v>
      </c>
      <c r="AG65" s="493" t="str">
        <f t="shared" si="100"/>
        <v>.</v>
      </c>
      <c r="AH65" s="493" t="str">
        <f t="shared" si="101"/>
        <v>.</v>
      </c>
      <c r="AI65" s="423">
        <f t="shared" si="102"/>
        <v>2077.79</v>
      </c>
      <c r="AJ65" s="423">
        <f t="shared" si="103"/>
        <v>10276.129999999999</v>
      </c>
      <c r="AK65" s="423">
        <f t="shared" si="104"/>
        <v>856.34</v>
      </c>
      <c r="AN65" s="423">
        <f t="shared" si="120"/>
        <v>81015.460000000006</v>
      </c>
      <c r="AO65" s="423">
        <f t="shared" si="120"/>
        <v>80230.490000000005</v>
      </c>
      <c r="AR65" s="546">
        <f xml:space="preserve"> ROUND(  INDEX( Kx!65:65, AR$16 ),  AR$17 )</f>
        <v>0.72950000000000004</v>
      </c>
      <c r="AS65" s="547">
        <f xml:space="preserve"> ROUND(  INDEX( qx!65:65, AS$16 ),  AS$17 )</f>
        <v>6.4000000000000003E-3</v>
      </c>
      <c r="AT65" s="547">
        <f xml:space="preserve"> ROUND(  INDEX( qx!65:65, AT$16 ),  AT$17 )</f>
        <v>4.1000000000000003E-3</v>
      </c>
      <c r="AU65" s="548" t="str">
        <f t="shared" si="105"/>
        <v>F</v>
      </c>
      <c r="AV65" s="542">
        <f t="shared" si="106"/>
        <v>0.64259999999999995</v>
      </c>
      <c r="AW65" s="542">
        <f t="shared" si="107"/>
        <v>5.5999999999999999E-3</v>
      </c>
      <c r="AX65" s="546">
        <f xml:space="preserve"> ROUND(  INDEX( wx!65:65, AX$16 ),  AX$17 )</f>
        <v>5.5999999999999999E-3</v>
      </c>
      <c r="AY65" s="546">
        <f xml:space="preserve"> ROUND(  INDEX( wx!65:65, AY$16 ),  AY$17 )</f>
        <v>4.7999999999999996E-3</v>
      </c>
      <c r="AZ65" s="548" t="str">
        <f t="shared" si="108"/>
        <v>F</v>
      </c>
      <c r="BA65" s="542">
        <f t="shared" si="109"/>
        <v>0.64259999999999995</v>
      </c>
      <c r="BB65" s="542">
        <f t="shared" si="110"/>
        <v>5.3E-3</v>
      </c>
      <c r="BC65" s="533">
        <f xml:space="preserve"> ROUND(  INDEX( Kx!65:65, BC$16 ),  BC$17 )</f>
        <v>5608.68</v>
      </c>
      <c r="BD65" s="533">
        <f xml:space="preserve"> ROUND(  INDEX( Kx!65:65, BD$16 ),  BD$17 )</f>
        <v>5087.53</v>
      </c>
      <c r="BE65" s="548" t="str">
        <f t="shared" si="60"/>
        <v>M</v>
      </c>
      <c r="BF65" s="542">
        <f t="shared" si="111"/>
        <v>0.80179999999999996</v>
      </c>
      <c r="BG65" s="420">
        <f t="shared" si="112"/>
        <v>5505.39</v>
      </c>
      <c r="BQ65" s="549"/>
      <c r="BR65" s="423"/>
      <c r="BS65" s="550"/>
      <c r="BT65" s="423"/>
      <c r="BU65" s="551"/>
      <c r="BV65" s="551"/>
      <c r="BW65" s="529"/>
      <c r="BX65" s="552"/>
      <c r="BY65" s="560"/>
      <c r="BZ65" s="559"/>
      <c r="CB65" s="423"/>
      <c r="CC65" s="423"/>
      <c r="CD65" s="423"/>
      <c r="CE65" s="423"/>
      <c r="CF65" s="553"/>
      <c r="CH65" s="423"/>
      <c r="CI65" s="423"/>
      <c r="CJ65" s="423"/>
      <c r="CK65" s="423"/>
      <c r="CL65" s="553"/>
      <c r="CN65" s="423"/>
      <c r="CO65" s="423"/>
      <c r="CP65" s="423"/>
      <c r="CQ65" s="423"/>
      <c r="CR65" s="553"/>
      <c r="EI65" s="553"/>
      <c r="EJ65" s="553"/>
      <c r="EK65" s="423"/>
      <c r="EL65" s="555"/>
      <c r="ES65" s="533"/>
      <c r="ET65" s="533"/>
      <c r="EU65" s="533"/>
      <c r="EV65" s="556"/>
      <c r="EY65" s="533"/>
      <c r="EZ65" s="533"/>
      <c r="FA65" s="556"/>
      <c r="FD65" s="556"/>
      <c r="FE65" s="556"/>
      <c r="FF65" s="556"/>
      <c r="FK65" s="557">
        <f t="shared" si="113"/>
        <v>65</v>
      </c>
      <c r="FL65" s="493">
        <f t="shared" si="114"/>
        <v>70.543499999999995</v>
      </c>
      <c r="FM65" s="493">
        <f t="shared" si="115"/>
        <v>17.017600000000002</v>
      </c>
      <c r="FO65" s="427">
        <f t="shared" si="61"/>
        <v>2746039.8600000003</v>
      </c>
      <c r="FP65" s="558">
        <f t="shared" si="116"/>
        <v>104129.64</v>
      </c>
      <c r="FQ65" s="558">
        <f t="shared" si="116"/>
        <v>102697.60000000001</v>
      </c>
      <c r="FR65" s="558">
        <f t="shared" si="116"/>
        <v>101262.02</v>
      </c>
      <c r="FS65" s="558">
        <f t="shared" si="116"/>
        <v>99826.45</v>
      </c>
      <c r="FT65" s="558">
        <f t="shared" si="116"/>
        <v>98341.37</v>
      </c>
      <c r="FU65" s="558">
        <f t="shared" si="116"/>
        <v>96813.86</v>
      </c>
      <c r="FV65" s="558">
        <f t="shared" si="116"/>
        <v>95300.49</v>
      </c>
      <c r="FW65" s="558">
        <f t="shared" si="116"/>
        <v>93776.52</v>
      </c>
      <c r="FX65" s="558">
        <f t="shared" si="116"/>
        <v>92199.51</v>
      </c>
      <c r="FY65" s="558">
        <f t="shared" si="116"/>
        <v>90558.85</v>
      </c>
      <c r="FZ65" s="558">
        <f t="shared" si="116"/>
        <v>88907.59</v>
      </c>
      <c r="GA65" s="558">
        <f t="shared" si="116"/>
        <v>87231.57</v>
      </c>
      <c r="GB65" s="558">
        <f t="shared" si="116"/>
        <v>85516.66</v>
      </c>
      <c r="GC65" s="558">
        <f t="shared" si="116"/>
        <v>83794.679999999993</v>
      </c>
      <c r="GD65" s="558">
        <f t="shared" si="116"/>
        <v>82019.649999999994</v>
      </c>
      <c r="GE65" s="558">
        <f t="shared" si="116"/>
        <v>80230.490000000005</v>
      </c>
      <c r="GF65" s="558">
        <f t="shared" si="81"/>
        <v>78388.28</v>
      </c>
      <c r="GG65" s="558">
        <f t="shared" si="81"/>
        <v>76503.649999999994</v>
      </c>
      <c r="GH65" s="558">
        <f t="shared" si="81"/>
        <v>74565.98</v>
      </c>
      <c r="GI65" s="558">
        <f t="shared" si="81"/>
        <v>72571.73</v>
      </c>
      <c r="GJ65" s="558">
        <f t="shared" si="81"/>
        <v>70517.37</v>
      </c>
      <c r="GK65" s="558">
        <f t="shared" si="81"/>
        <v>68385.22</v>
      </c>
      <c r="GL65" s="558">
        <f t="shared" si="81"/>
        <v>66175.289999999994</v>
      </c>
      <c r="GM65" s="558">
        <f t="shared" si="81"/>
        <v>63884.02</v>
      </c>
      <c r="GN65" s="558">
        <f t="shared" si="81"/>
        <v>61500.83</v>
      </c>
      <c r="GO65" s="558">
        <f t="shared" si="81"/>
        <v>59043.38</v>
      </c>
      <c r="GP65" s="558">
        <f t="shared" si="81"/>
        <v>56501.06</v>
      </c>
      <c r="GQ65" s="558">
        <f t="shared" si="81"/>
        <v>53880.959999999999</v>
      </c>
      <c r="GR65" s="558">
        <f t="shared" si="81"/>
        <v>51190.14</v>
      </c>
      <c r="GS65" s="558">
        <f t="shared" si="81"/>
        <v>48432.14</v>
      </c>
      <c r="GT65" s="558">
        <f t="shared" si="81"/>
        <v>45617.56</v>
      </c>
      <c r="GU65" s="558">
        <f t="shared" si="117"/>
        <v>42735.81</v>
      </c>
      <c r="GV65" s="558">
        <f t="shared" si="117"/>
        <v>39815.15</v>
      </c>
      <c r="GW65" s="558">
        <f t="shared" si="117"/>
        <v>36841.46</v>
      </c>
      <c r="GX65" s="558">
        <f t="shared" si="117"/>
        <v>33835.949999999997</v>
      </c>
      <c r="GY65" s="558">
        <f t="shared" si="117"/>
        <v>30798.61</v>
      </c>
      <c r="GZ65" s="558">
        <f t="shared" si="117"/>
        <v>27725.91</v>
      </c>
      <c r="HA65" s="558">
        <f t="shared" si="117"/>
        <v>24628.46</v>
      </c>
      <c r="HB65" s="558">
        <f t="shared" si="117"/>
        <v>21485.05</v>
      </c>
      <c r="HC65" s="558">
        <f t="shared" si="117"/>
        <v>18274.45</v>
      </c>
      <c r="HD65" s="558">
        <f t="shared" si="117"/>
        <v>15017.89</v>
      </c>
      <c r="HE65" s="558">
        <f t="shared" si="117"/>
        <v>11729.5</v>
      </c>
      <c r="HF65" s="558">
        <f t="shared" si="117"/>
        <v>8398.68</v>
      </c>
      <c r="HG65" s="558">
        <f t="shared" si="117"/>
        <v>5043.1099999999997</v>
      </c>
      <c r="HH65" s="558">
        <f t="shared" si="117"/>
        <v>1652.19</v>
      </c>
      <c r="HI65" s="558">
        <f t="shared" si="117"/>
        <v>-1706.92</v>
      </c>
      <c r="HJ65" s="558" t="str">
        <f t="shared" si="117"/>
        <v>.</v>
      </c>
      <c r="HK65" s="558" t="str">
        <f t="shared" si="82"/>
        <v>.</v>
      </c>
      <c r="HL65" s="558" t="str">
        <f t="shared" si="82"/>
        <v>.</v>
      </c>
      <c r="HM65" s="558" t="str">
        <f t="shared" si="82"/>
        <v>.</v>
      </c>
      <c r="HN65" s="558" t="str">
        <f t="shared" si="82"/>
        <v>.</v>
      </c>
      <c r="HO65" s="558" t="str">
        <f t="shared" si="82"/>
        <v>.</v>
      </c>
      <c r="HP65" s="558" t="str">
        <f t="shared" si="82"/>
        <v>.</v>
      </c>
      <c r="HQ65" s="558" t="str">
        <f t="shared" si="82"/>
        <v>.</v>
      </c>
      <c r="HR65" s="558" t="str">
        <f t="shared" si="82"/>
        <v>.</v>
      </c>
      <c r="HS65" s="558" t="str">
        <f t="shared" si="82"/>
        <v>.</v>
      </c>
      <c r="HT65" s="558" t="str">
        <f t="shared" si="82"/>
        <v>.</v>
      </c>
      <c r="HU65" s="558" t="str">
        <f t="shared" si="82"/>
        <v>.</v>
      </c>
      <c r="HV65" s="558" t="str">
        <f t="shared" si="82"/>
        <v>.</v>
      </c>
      <c r="HW65" s="558" t="str">
        <f t="shared" si="82"/>
        <v>.</v>
      </c>
      <c r="HX65" s="558" t="str">
        <f t="shared" si="82"/>
        <v>.</v>
      </c>
      <c r="HY65" s="558" t="str">
        <f t="shared" si="82"/>
        <v>.</v>
      </c>
      <c r="HZ65" s="558" t="str">
        <f t="shared" si="82"/>
        <v>.</v>
      </c>
      <c r="IA65" s="558" t="str">
        <f t="shared" ref="IA65:IR80" si="122" xml:space="preserve"> IF(  OR( IA$18&gt;$FK65, $FK65&gt;$FP$12 ),  LEER,  ROUND( $FO$19 * ( $FL65 - IA$15 * $FM65 ), IA$17 )  )</f>
        <v>.</v>
      </c>
      <c r="IB65" s="558" t="str">
        <f t="shared" si="122"/>
        <v>.</v>
      </c>
      <c r="IC65" s="558" t="str">
        <f t="shared" si="122"/>
        <v>.</v>
      </c>
      <c r="ID65" s="558" t="str">
        <f t="shared" si="83"/>
        <v>.</v>
      </c>
      <c r="IE65" s="558" t="str">
        <f t="shared" si="83"/>
        <v>.</v>
      </c>
      <c r="IF65" s="558" t="str">
        <f t="shared" si="83"/>
        <v>.</v>
      </c>
      <c r="IG65" s="558" t="str">
        <f t="shared" si="83"/>
        <v>.</v>
      </c>
      <c r="IH65" s="558" t="str">
        <f t="shared" si="83"/>
        <v>.</v>
      </c>
      <c r="II65" s="558" t="str">
        <f t="shared" si="83"/>
        <v>.</v>
      </c>
      <c r="IJ65" s="558" t="str">
        <f t="shared" si="83"/>
        <v>.</v>
      </c>
      <c r="IK65" s="558" t="str">
        <f t="shared" si="83"/>
        <v>.</v>
      </c>
      <c r="IL65" s="558" t="str">
        <f t="shared" si="83"/>
        <v>.</v>
      </c>
      <c r="IM65" s="558" t="str">
        <f t="shared" si="83"/>
        <v>.</v>
      </c>
      <c r="IN65" s="558" t="str">
        <f t="shared" si="83"/>
        <v>.</v>
      </c>
      <c r="IO65" s="558" t="str">
        <f t="shared" si="83"/>
        <v>.</v>
      </c>
      <c r="IP65" s="558" t="str">
        <f t="shared" si="83"/>
        <v>.</v>
      </c>
      <c r="IQ65" s="558" t="str">
        <f t="shared" si="83"/>
        <v>.</v>
      </c>
      <c r="IR65" s="558" t="str">
        <f t="shared" si="83"/>
        <v>.</v>
      </c>
      <c r="IS65" s="558" t="str">
        <f t="shared" si="83"/>
        <v>.</v>
      </c>
      <c r="IT65" s="558" t="str">
        <f t="shared" si="83"/>
        <v>.</v>
      </c>
      <c r="IU65" s="558" t="str">
        <f t="shared" si="83"/>
        <v>.</v>
      </c>
      <c r="IV65" s="558" t="str">
        <f t="shared" si="83"/>
        <v>.</v>
      </c>
      <c r="IW65" s="558" t="str">
        <f t="shared" si="83"/>
        <v>.</v>
      </c>
      <c r="IX65" s="558" t="str">
        <f t="shared" si="83"/>
        <v>.</v>
      </c>
      <c r="IY65" s="558" t="str">
        <f t="shared" si="83"/>
        <v>.</v>
      </c>
      <c r="IZ65" s="558" t="str">
        <f t="shared" si="83"/>
        <v>.</v>
      </c>
      <c r="JA65" s="558" t="str">
        <f t="shared" si="121"/>
        <v>.</v>
      </c>
      <c r="JB65" s="558" t="str">
        <f t="shared" si="121"/>
        <v>.</v>
      </c>
      <c r="JC65" s="558" t="str">
        <f t="shared" si="121"/>
        <v>.</v>
      </c>
      <c r="JD65" s="558" t="str">
        <f t="shared" si="121"/>
        <v>.</v>
      </c>
      <c r="JE65" s="558" t="str">
        <f t="shared" si="121"/>
        <v>.</v>
      </c>
      <c r="JF65" s="558" t="str">
        <f t="shared" si="121"/>
        <v>.</v>
      </c>
      <c r="JG65" s="558" t="str">
        <f t="shared" si="121"/>
        <v>.</v>
      </c>
      <c r="JH65" s="558" t="str">
        <f t="shared" si="118"/>
        <v>.</v>
      </c>
      <c r="JI65" s="558" t="str">
        <f t="shared" si="118"/>
        <v>.</v>
      </c>
      <c r="JJ65" s="558" t="str">
        <f t="shared" si="118"/>
        <v>.</v>
      </c>
      <c r="JK65" s="558" t="str">
        <f t="shared" si="118"/>
        <v>.</v>
      </c>
      <c r="JL65" s="558" t="str">
        <f t="shared" si="118"/>
        <v>.</v>
      </c>
    </row>
    <row r="66" spans="1:272" ht="10.199999999999999" x14ac:dyDescent="0.2">
      <c r="A66" s="534">
        <f xml:space="preserve"> Basis!A66</f>
        <v>66</v>
      </c>
      <c r="F66" s="536">
        <f xml:space="preserve"> ROUND(    IF( $A$15=BE_MF_,   AW66,   INDEX( qx!66:66, F$16 ) ),    F$17    )</f>
        <v>6.1000000000000004E-3</v>
      </c>
      <c r="G66" s="536">
        <f xml:space="preserve"> ROUND(    IF( $A$15=BE_MF_,   BB66,   INDEX( wx!66:66, G$16 ) ),    G$17    )</f>
        <v>4.7000000000000002E-3</v>
      </c>
      <c r="H66" s="537">
        <f xml:space="preserve"> ROUND(    IF( $A$15=BE_MF_,   BG66,   INDEX( Kx!66:66, H$16 ) ),    H$17    )</f>
        <v>5798.42</v>
      </c>
      <c r="I66" s="538">
        <f t="shared" si="57"/>
        <v>5798.42</v>
      </c>
      <c r="J66" s="539">
        <f t="shared" si="84"/>
        <v>2.7909999999999999</v>
      </c>
      <c r="K66" s="540">
        <f t="shared" si="119"/>
        <v>2</v>
      </c>
      <c r="L66" s="541">
        <f t="shared" si="71"/>
        <v>0</v>
      </c>
      <c r="M66" s="541">
        <f t="shared" si="71"/>
        <v>8.5999999999999993E-2</v>
      </c>
      <c r="O66" s="542" t="b">
        <f t="shared" si="59"/>
        <v>1</v>
      </c>
      <c r="P66" s="493">
        <f t="shared" si="85"/>
        <v>1.0800000000000001E-2</v>
      </c>
      <c r="Q66" s="493">
        <f t="shared" si="86"/>
        <v>0.98919999999999997</v>
      </c>
      <c r="R66" s="543">
        <f t="shared" si="87"/>
        <v>502937</v>
      </c>
      <c r="S66" s="544">
        <f t="shared" si="88"/>
        <v>0.97560975599999999</v>
      </c>
      <c r="T66" s="423">
        <f t="shared" si="89"/>
        <v>98568.57</v>
      </c>
      <c r="U66" s="423">
        <f xml:space="preserve"> IF( $O66,    ROUND(  SUM( T66:T$120), U$17 ),  LEER  )</f>
        <v>1636142.05</v>
      </c>
      <c r="V66" s="493">
        <f t="shared" si="90"/>
        <v>16.599</v>
      </c>
      <c r="W66" s="493">
        <f t="shared" si="91"/>
        <v>275104.88</v>
      </c>
      <c r="X66" s="493">
        <f xml:space="preserve"> IF( $O66,    ROUND(  SUM( W66:W$120), X$17 ),  LEER  )</f>
        <v>6935070.3700000001</v>
      </c>
      <c r="Y66" s="493">
        <f t="shared" si="92"/>
        <v>70.357799999999997</v>
      </c>
      <c r="Z66" s="493">
        <f t="shared" si="93"/>
        <v>4.2386999999999997</v>
      </c>
      <c r="AA66" s="493">
        <f t="shared" si="94"/>
        <v>1.0111000000000001</v>
      </c>
      <c r="AB66" s="493">
        <f t="shared" si="95"/>
        <v>2.3494000000000002</v>
      </c>
      <c r="AC66" s="545">
        <f t="shared" si="96"/>
        <v>0.32679999999999998</v>
      </c>
      <c r="AD66" s="493">
        <f t="shared" si="97"/>
        <v>4.2893999999999997</v>
      </c>
      <c r="AE66" s="493">
        <f t="shared" si="98"/>
        <v>5.0505000000000004</v>
      </c>
      <c r="AF66" s="493">
        <f t="shared" si="99"/>
        <v>5.0505000000000004</v>
      </c>
      <c r="AG66" s="493" t="str">
        <f t="shared" si="100"/>
        <v>.</v>
      </c>
      <c r="AH66" s="493" t="str">
        <f t="shared" si="101"/>
        <v>.</v>
      </c>
      <c r="AI66" s="423">
        <f t="shared" si="102"/>
        <v>2077.79</v>
      </c>
      <c r="AJ66" s="423">
        <f t="shared" si="103"/>
        <v>10493.88</v>
      </c>
      <c r="AK66" s="423">
        <f t="shared" si="104"/>
        <v>874.49</v>
      </c>
      <c r="AN66" s="423">
        <f t="shared" si="120"/>
        <v>82242.240000000005</v>
      </c>
      <c r="AO66" s="423">
        <f t="shared" si="120"/>
        <v>81476.58</v>
      </c>
      <c r="AR66" s="546">
        <f xml:space="preserve"> ROUND(  INDEX( Kx!66:66, AR$16 ),  AR$17 )</f>
        <v>0.72860000000000003</v>
      </c>
      <c r="AS66" s="547">
        <f xml:space="preserve"> ROUND(  INDEX( qx!66:66, AS$16 ),  AS$17 )</f>
        <v>7.0000000000000001E-3</v>
      </c>
      <c r="AT66" s="547">
        <f xml:space="preserve"> ROUND(  INDEX( qx!66:66, AT$16 ),  AT$17 )</f>
        <v>4.4000000000000003E-3</v>
      </c>
      <c r="AU66" s="548" t="str">
        <f t="shared" si="105"/>
        <v>F</v>
      </c>
      <c r="AV66" s="542">
        <f t="shared" si="106"/>
        <v>0.64149999999999996</v>
      </c>
      <c r="AW66" s="542">
        <f t="shared" si="107"/>
        <v>6.1000000000000004E-3</v>
      </c>
      <c r="AX66" s="546">
        <f xml:space="preserve"> ROUND(  INDEX( wx!66:66, AX$16 ),  AX$17 )</f>
        <v>5.1000000000000004E-3</v>
      </c>
      <c r="AY66" s="546">
        <f xml:space="preserve"> ROUND(  INDEX( wx!66:66, AY$16 ),  AY$17 )</f>
        <v>4.0000000000000001E-3</v>
      </c>
      <c r="AZ66" s="548" t="str">
        <f t="shared" si="108"/>
        <v>F</v>
      </c>
      <c r="BA66" s="542">
        <f t="shared" si="109"/>
        <v>0.64149999999999996</v>
      </c>
      <c r="BB66" s="542">
        <f t="shared" si="110"/>
        <v>4.7000000000000002E-3</v>
      </c>
      <c r="BC66" s="533">
        <f xml:space="preserve"> ROUND(  INDEX( Kx!66:66, BC$16 ),  BC$17 )</f>
        <v>5922.4</v>
      </c>
      <c r="BD66" s="533">
        <f xml:space="preserve"> ROUND(  INDEX( Kx!66:66, BD$16 ),  BD$17 )</f>
        <v>5299.05</v>
      </c>
      <c r="BE66" s="548" t="str">
        <f t="shared" si="60"/>
        <v>M</v>
      </c>
      <c r="BF66" s="542">
        <f t="shared" si="111"/>
        <v>0.80110000000000003</v>
      </c>
      <c r="BG66" s="420">
        <f t="shared" si="112"/>
        <v>5798.42</v>
      </c>
      <c r="BQ66" s="549"/>
      <c r="BR66" s="423"/>
      <c r="BS66" s="550"/>
      <c r="BT66" s="423"/>
      <c r="BU66" s="551"/>
      <c r="BV66" s="551"/>
      <c r="BW66" s="529"/>
      <c r="BX66" s="552"/>
      <c r="BY66" s="560"/>
      <c r="BZ66" s="559"/>
      <c r="CB66" s="423"/>
      <c r="CC66" s="423"/>
      <c r="CD66" s="423"/>
      <c r="CE66" s="423"/>
      <c r="CF66" s="553"/>
      <c r="CH66" s="423"/>
      <c r="CI66" s="423"/>
      <c r="CJ66" s="423"/>
      <c r="CK66" s="423"/>
      <c r="CL66" s="553"/>
      <c r="CN66" s="423"/>
      <c r="CO66" s="423"/>
      <c r="CP66" s="423"/>
      <c r="CQ66" s="423"/>
      <c r="CR66" s="553"/>
      <c r="EI66" s="553"/>
      <c r="EJ66" s="553"/>
      <c r="EK66" s="423"/>
      <c r="EL66" s="555"/>
      <c r="ES66" s="533"/>
      <c r="ET66" s="533"/>
      <c r="EU66" s="533"/>
      <c r="EV66" s="556"/>
      <c r="EY66" s="533"/>
      <c r="EZ66" s="533"/>
      <c r="FA66" s="556"/>
      <c r="FD66" s="556"/>
      <c r="FE66" s="556"/>
      <c r="FF66" s="556"/>
      <c r="FK66" s="557">
        <f t="shared" si="113"/>
        <v>66</v>
      </c>
      <c r="FL66" s="493">
        <f t="shared" si="114"/>
        <v>70.357799999999997</v>
      </c>
      <c r="FM66" s="493">
        <f t="shared" si="115"/>
        <v>16.599</v>
      </c>
      <c r="FO66" s="427">
        <f t="shared" si="61"/>
        <v>2824845.0499999993</v>
      </c>
      <c r="FP66" s="558">
        <f t="shared" si="116"/>
        <v>104787.85</v>
      </c>
      <c r="FQ66" s="558">
        <f t="shared" si="116"/>
        <v>103391.03999999999</v>
      </c>
      <c r="FR66" s="558">
        <f t="shared" si="116"/>
        <v>101990.78</v>
      </c>
      <c r="FS66" s="558">
        <f t="shared" si="116"/>
        <v>100590.51</v>
      </c>
      <c r="FT66" s="558">
        <f t="shared" si="116"/>
        <v>99141.97</v>
      </c>
      <c r="FU66" s="558">
        <f t="shared" si="116"/>
        <v>97652.03</v>
      </c>
      <c r="FV66" s="558">
        <f t="shared" si="116"/>
        <v>96175.89</v>
      </c>
      <c r="FW66" s="558">
        <f t="shared" si="116"/>
        <v>94689.41</v>
      </c>
      <c r="FX66" s="558">
        <f t="shared" si="116"/>
        <v>93151.19</v>
      </c>
      <c r="FY66" s="558">
        <f t="shared" si="116"/>
        <v>91550.89</v>
      </c>
      <c r="FZ66" s="558">
        <f t="shared" si="116"/>
        <v>89940.24</v>
      </c>
      <c r="GA66" s="558">
        <f t="shared" si="116"/>
        <v>88305.45</v>
      </c>
      <c r="GB66" s="558">
        <f t="shared" si="116"/>
        <v>86632.72</v>
      </c>
      <c r="GC66" s="558">
        <f t="shared" si="116"/>
        <v>84953.09</v>
      </c>
      <c r="GD66" s="558">
        <f t="shared" si="116"/>
        <v>83221.73</v>
      </c>
      <c r="GE66" s="558">
        <f t="shared" si="116"/>
        <v>81476.58</v>
      </c>
      <c r="GF66" s="558">
        <f t="shared" si="81"/>
        <v>79679.69</v>
      </c>
      <c r="GG66" s="558">
        <f t="shared" si="81"/>
        <v>77841.41</v>
      </c>
      <c r="GH66" s="558">
        <f t="shared" si="81"/>
        <v>75951.399999999994</v>
      </c>
      <c r="GI66" s="558">
        <f t="shared" si="81"/>
        <v>74006.210000000006</v>
      </c>
      <c r="GJ66" s="558">
        <f t="shared" si="81"/>
        <v>72002.39</v>
      </c>
      <c r="GK66" s="558">
        <f t="shared" si="81"/>
        <v>69922.69</v>
      </c>
      <c r="GL66" s="558">
        <f t="shared" si="81"/>
        <v>67767.11</v>
      </c>
      <c r="GM66" s="558">
        <f t="shared" si="81"/>
        <v>65532.21</v>
      </c>
      <c r="GN66" s="558">
        <f t="shared" si="81"/>
        <v>63207.63</v>
      </c>
      <c r="GO66" s="558">
        <f t="shared" si="81"/>
        <v>60810.63</v>
      </c>
      <c r="GP66" s="558">
        <f t="shared" si="81"/>
        <v>58330.85</v>
      </c>
      <c r="GQ66" s="558">
        <f t="shared" si="81"/>
        <v>55775.199999999997</v>
      </c>
      <c r="GR66" s="558">
        <f t="shared" si="81"/>
        <v>53150.57</v>
      </c>
      <c r="GS66" s="558">
        <f t="shared" si="81"/>
        <v>50460.41</v>
      </c>
      <c r="GT66" s="558">
        <f t="shared" si="81"/>
        <v>47715.07</v>
      </c>
      <c r="GU66" s="558">
        <f t="shared" si="117"/>
        <v>44904.19</v>
      </c>
      <c r="GV66" s="558">
        <f t="shared" si="117"/>
        <v>42055.38</v>
      </c>
      <c r="GW66" s="558">
        <f t="shared" si="117"/>
        <v>39154.839999999997</v>
      </c>
      <c r="GX66" s="558">
        <f t="shared" si="117"/>
        <v>36223.25</v>
      </c>
      <c r="GY66" s="558">
        <f t="shared" si="117"/>
        <v>33260.629999999997</v>
      </c>
      <c r="GZ66" s="558">
        <f t="shared" si="117"/>
        <v>30263.51</v>
      </c>
      <c r="HA66" s="558">
        <f t="shared" si="117"/>
        <v>27242.26</v>
      </c>
      <c r="HB66" s="558">
        <f t="shared" si="117"/>
        <v>24176.16</v>
      </c>
      <c r="HC66" s="558">
        <f t="shared" si="117"/>
        <v>21044.54</v>
      </c>
      <c r="HD66" s="558">
        <f t="shared" si="117"/>
        <v>17868.080000000002</v>
      </c>
      <c r="HE66" s="558">
        <f t="shared" si="117"/>
        <v>14660.58</v>
      </c>
      <c r="HF66" s="558">
        <f t="shared" si="117"/>
        <v>11411.7</v>
      </c>
      <c r="HG66" s="558">
        <f t="shared" si="117"/>
        <v>8138.67</v>
      </c>
      <c r="HH66" s="558">
        <f t="shared" si="117"/>
        <v>4831.1499999999996</v>
      </c>
      <c r="HI66" s="558">
        <f t="shared" si="117"/>
        <v>1554.67</v>
      </c>
      <c r="HJ66" s="558">
        <f t="shared" si="117"/>
        <v>-1749.4</v>
      </c>
      <c r="HK66" s="558" t="str">
        <f t="shared" ref="HK66:HZ81" si="123" xml:space="preserve"> IF(  OR( HK$18&gt;$FK66, $FK66&gt;$FP$12 ),  LEER,  ROUND( $FO$19 * ( $FL66 - HK$15 * $FM66 ), HK$17 )  )</f>
        <v>.</v>
      </c>
      <c r="HL66" s="558" t="str">
        <f t="shared" si="123"/>
        <v>.</v>
      </c>
      <c r="HM66" s="558" t="str">
        <f t="shared" si="123"/>
        <v>.</v>
      </c>
      <c r="HN66" s="558" t="str">
        <f t="shared" si="123"/>
        <v>.</v>
      </c>
      <c r="HO66" s="558" t="str">
        <f t="shared" si="123"/>
        <v>.</v>
      </c>
      <c r="HP66" s="558" t="str">
        <f t="shared" si="123"/>
        <v>.</v>
      </c>
      <c r="HQ66" s="558" t="str">
        <f t="shared" si="123"/>
        <v>.</v>
      </c>
      <c r="HR66" s="558" t="str">
        <f t="shared" si="123"/>
        <v>.</v>
      </c>
      <c r="HS66" s="558" t="str">
        <f t="shared" si="123"/>
        <v>.</v>
      </c>
      <c r="HT66" s="558" t="str">
        <f t="shared" si="123"/>
        <v>.</v>
      </c>
      <c r="HU66" s="558" t="str">
        <f t="shared" si="123"/>
        <v>.</v>
      </c>
      <c r="HV66" s="558" t="str">
        <f t="shared" si="123"/>
        <v>.</v>
      </c>
      <c r="HW66" s="558" t="str">
        <f t="shared" si="123"/>
        <v>.</v>
      </c>
      <c r="HX66" s="558" t="str">
        <f t="shared" si="123"/>
        <v>.</v>
      </c>
      <c r="HY66" s="558" t="str">
        <f t="shared" si="123"/>
        <v>.</v>
      </c>
      <c r="HZ66" s="558" t="str">
        <f t="shared" si="123"/>
        <v>.</v>
      </c>
      <c r="IA66" s="558" t="str">
        <f t="shared" si="122"/>
        <v>.</v>
      </c>
      <c r="IB66" s="558" t="str">
        <f t="shared" si="122"/>
        <v>.</v>
      </c>
      <c r="IC66" s="558" t="str">
        <f t="shared" si="122"/>
        <v>.</v>
      </c>
      <c r="ID66" s="558" t="str">
        <f t="shared" si="122"/>
        <v>.</v>
      </c>
      <c r="IE66" s="558" t="str">
        <f t="shared" si="122"/>
        <v>.</v>
      </c>
      <c r="IF66" s="558" t="str">
        <f t="shared" si="122"/>
        <v>.</v>
      </c>
      <c r="IG66" s="558" t="str">
        <f t="shared" si="83"/>
        <v>.</v>
      </c>
      <c r="IH66" s="558" t="str">
        <f t="shared" si="83"/>
        <v>.</v>
      </c>
      <c r="II66" s="558" t="str">
        <f t="shared" si="83"/>
        <v>.</v>
      </c>
      <c r="IJ66" s="558" t="str">
        <f t="shared" si="83"/>
        <v>.</v>
      </c>
      <c r="IK66" s="558" t="str">
        <f t="shared" si="83"/>
        <v>.</v>
      </c>
      <c r="IL66" s="558" t="str">
        <f t="shared" si="83"/>
        <v>.</v>
      </c>
      <c r="IM66" s="558" t="str">
        <f t="shared" si="83"/>
        <v>.</v>
      </c>
      <c r="IN66" s="558" t="str">
        <f t="shared" si="83"/>
        <v>.</v>
      </c>
      <c r="IO66" s="558" t="str">
        <f t="shared" si="83"/>
        <v>.</v>
      </c>
      <c r="IP66" s="558" t="str">
        <f t="shared" si="83"/>
        <v>.</v>
      </c>
      <c r="IQ66" s="558" t="str">
        <f t="shared" si="83"/>
        <v>.</v>
      </c>
      <c r="IR66" s="558" t="str">
        <f t="shared" si="83"/>
        <v>.</v>
      </c>
      <c r="IS66" s="558" t="str">
        <f t="shared" si="83"/>
        <v>.</v>
      </c>
      <c r="IT66" s="558" t="str">
        <f t="shared" si="83"/>
        <v>.</v>
      </c>
      <c r="IU66" s="558" t="str">
        <f t="shared" si="83"/>
        <v>.</v>
      </c>
      <c r="IV66" s="558" t="str">
        <f t="shared" si="83"/>
        <v>.</v>
      </c>
      <c r="IW66" s="558" t="str">
        <f t="shared" si="83"/>
        <v>.</v>
      </c>
      <c r="IX66" s="558" t="str">
        <f t="shared" si="83"/>
        <v>.</v>
      </c>
      <c r="IY66" s="558" t="str">
        <f t="shared" si="83"/>
        <v>.</v>
      </c>
      <c r="IZ66" s="558" t="str">
        <f t="shared" si="83"/>
        <v>.</v>
      </c>
      <c r="JA66" s="558" t="str">
        <f t="shared" si="121"/>
        <v>.</v>
      </c>
      <c r="JB66" s="558" t="str">
        <f t="shared" si="121"/>
        <v>.</v>
      </c>
      <c r="JC66" s="558" t="str">
        <f t="shared" si="121"/>
        <v>.</v>
      </c>
      <c r="JD66" s="558" t="str">
        <f t="shared" si="121"/>
        <v>.</v>
      </c>
      <c r="JE66" s="558" t="str">
        <f t="shared" si="121"/>
        <v>.</v>
      </c>
      <c r="JF66" s="558" t="str">
        <f t="shared" si="121"/>
        <v>.</v>
      </c>
      <c r="JG66" s="558" t="str">
        <f t="shared" si="121"/>
        <v>.</v>
      </c>
      <c r="JH66" s="558" t="str">
        <f t="shared" si="118"/>
        <v>.</v>
      </c>
      <c r="JI66" s="558" t="str">
        <f t="shared" si="118"/>
        <v>.</v>
      </c>
      <c r="JJ66" s="558" t="str">
        <f t="shared" si="118"/>
        <v>.</v>
      </c>
      <c r="JK66" s="558" t="str">
        <f t="shared" si="118"/>
        <v>.</v>
      </c>
      <c r="JL66" s="558" t="str">
        <f t="shared" si="118"/>
        <v>.</v>
      </c>
    </row>
    <row r="67" spans="1:272" ht="10.199999999999999" x14ac:dyDescent="0.2">
      <c r="A67" s="534">
        <f xml:space="preserve"> Basis!A67</f>
        <v>67</v>
      </c>
      <c r="F67" s="536">
        <f xml:space="preserve"> ROUND(    IF( $A$15=BE_MF_,   AW67,   INDEX( qx!67:67, F$16 ) ),    F$17    )</f>
        <v>6.7000000000000002E-3</v>
      </c>
      <c r="G67" s="536">
        <f xml:space="preserve"> ROUND(    IF( $A$15=BE_MF_,   BB67,   INDEX( wx!67:67, G$16 ) ),    G$17    )</f>
        <v>4.1000000000000003E-3</v>
      </c>
      <c r="H67" s="537">
        <f xml:space="preserve"> ROUND(    IF( $A$15=BE_MF_,   BG67,   INDEX( Kx!67:67, H$16 ) ),    H$17    )</f>
        <v>6101.4</v>
      </c>
      <c r="I67" s="538">
        <f t="shared" si="57"/>
        <v>6101.4</v>
      </c>
      <c r="J67" s="539">
        <f t="shared" si="84"/>
        <v>2.9359999999999999</v>
      </c>
      <c r="K67" s="540">
        <f t="shared" si="119"/>
        <v>2</v>
      </c>
      <c r="L67" s="541">
        <f t="shared" si="71"/>
        <v>0</v>
      </c>
      <c r="M67" s="541">
        <f t="shared" si="71"/>
        <v>8.5999999999999993E-2</v>
      </c>
      <c r="O67" s="542" t="b">
        <f t="shared" si="59"/>
        <v>1</v>
      </c>
      <c r="P67" s="493">
        <f t="shared" si="85"/>
        <v>1.0800000000000001E-2</v>
      </c>
      <c r="Q67" s="493">
        <f t="shared" si="86"/>
        <v>0.98919999999999997</v>
      </c>
      <c r="R67" s="543">
        <f t="shared" si="87"/>
        <v>497505</v>
      </c>
      <c r="S67" s="544">
        <f t="shared" si="88"/>
        <v>0.97560975599999999</v>
      </c>
      <c r="T67" s="423">
        <f t="shared" si="89"/>
        <v>95125.83</v>
      </c>
      <c r="U67" s="423">
        <f xml:space="preserve"> IF( $O67,    ROUND(  SUM( T67:T$120), U$17 ),  LEER  )</f>
        <v>1537573.48</v>
      </c>
      <c r="V67" s="493">
        <f t="shared" si="90"/>
        <v>16.163599999999999</v>
      </c>
      <c r="W67" s="493">
        <f t="shared" si="91"/>
        <v>279289.44</v>
      </c>
      <c r="X67" s="493">
        <f xml:space="preserve"> IF( $O67,    ROUND(  SUM( W67:W$120), X$17 ),  LEER  )</f>
        <v>6659965.4900000002</v>
      </c>
      <c r="Y67" s="493">
        <f t="shared" si="92"/>
        <v>70.012200000000007</v>
      </c>
      <c r="Z67" s="493">
        <f t="shared" si="93"/>
        <v>4.3315000000000001</v>
      </c>
      <c r="AA67" s="493">
        <f t="shared" si="94"/>
        <v>1.0114000000000001</v>
      </c>
      <c r="AB67" s="493">
        <f t="shared" si="95"/>
        <v>2.3494000000000002</v>
      </c>
      <c r="AC67" s="545">
        <f t="shared" si="96"/>
        <v>0.32679999999999998</v>
      </c>
      <c r="AD67" s="493">
        <f t="shared" si="97"/>
        <v>4.3845999999999998</v>
      </c>
      <c r="AE67" s="493">
        <f t="shared" si="98"/>
        <v>5.1547000000000001</v>
      </c>
      <c r="AF67" s="493">
        <f t="shared" si="99"/>
        <v>5.1547000000000001</v>
      </c>
      <c r="AG67" s="493" t="str">
        <f t="shared" si="100"/>
        <v>.</v>
      </c>
      <c r="AH67" s="493" t="str">
        <f t="shared" si="101"/>
        <v>.</v>
      </c>
      <c r="AI67" s="423">
        <f t="shared" si="102"/>
        <v>2077.79</v>
      </c>
      <c r="AJ67" s="423">
        <f t="shared" si="103"/>
        <v>10710.38</v>
      </c>
      <c r="AK67" s="423">
        <f t="shared" si="104"/>
        <v>892.53</v>
      </c>
      <c r="AN67" s="423">
        <f t="shared" si="120"/>
        <v>83201.5</v>
      </c>
      <c r="AO67" s="423">
        <f t="shared" si="120"/>
        <v>82455.929999999993</v>
      </c>
      <c r="AR67" s="546">
        <f xml:space="preserve"> ROUND(  INDEX( Kx!67:67, AR$16 ),  AR$17 )</f>
        <v>0.7288</v>
      </c>
      <c r="AS67" s="547">
        <f xml:space="preserve"> ROUND(  INDEX( qx!67:67, AS$16 ),  AS$17 )</f>
        <v>7.7000000000000002E-3</v>
      </c>
      <c r="AT67" s="547">
        <f xml:space="preserve"> ROUND(  INDEX( qx!67:67, AT$16 ),  AT$17 )</f>
        <v>4.7999999999999996E-3</v>
      </c>
      <c r="AU67" s="548" t="str">
        <f t="shared" si="105"/>
        <v>F</v>
      </c>
      <c r="AV67" s="542">
        <f t="shared" si="106"/>
        <v>0.64180000000000004</v>
      </c>
      <c r="AW67" s="542">
        <f t="shared" si="107"/>
        <v>6.7000000000000002E-3</v>
      </c>
      <c r="AX67" s="546">
        <f xml:space="preserve"> ROUND(  INDEX( wx!67:67, AX$16 ),  AX$17 )</f>
        <v>4.5999999999999999E-3</v>
      </c>
      <c r="AY67" s="546">
        <f xml:space="preserve"> ROUND(  INDEX( wx!67:67, AY$16 ),  AY$17 )</f>
        <v>3.3E-3</v>
      </c>
      <c r="AZ67" s="548" t="str">
        <f t="shared" si="108"/>
        <v>F</v>
      </c>
      <c r="BA67" s="542">
        <f t="shared" si="109"/>
        <v>0.64180000000000004</v>
      </c>
      <c r="BB67" s="542">
        <f t="shared" si="110"/>
        <v>4.1000000000000003E-3</v>
      </c>
      <c r="BC67" s="533">
        <f xml:space="preserve"> ROUND(  INDEX( Kx!67:67, BC$16 ),  BC$17 )</f>
        <v>6242.11</v>
      </c>
      <c r="BD67" s="533">
        <f xml:space="preserve"> ROUND(  INDEX( Kx!67:67, BD$16 ),  BD$17 )</f>
        <v>5534.32</v>
      </c>
      <c r="BE67" s="548" t="str">
        <f t="shared" si="60"/>
        <v>M</v>
      </c>
      <c r="BF67" s="542">
        <f t="shared" si="111"/>
        <v>0.80120000000000002</v>
      </c>
      <c r="BG67" s="420">
        <f t="shared" si="112"/>
        <v>6101.4</v>
      </c>
      <c r="BQ67" s="549"/>
      <c r="BR67" s="423"/>
      <c r="BS67" s="550"/>
      <c r="BT67" s="423"/>
      <c r="BU67" s="551"/>
      <c r="BV67" s="551"/>
      <c r="BW67" s="529"/>
      <c r="BX67" s="552"/>
      <c r="BY67" s="560"/>
      <c r="BZ67" s="559"/>
      <c r="CB67" s="423"/>
      <c r="CC67" s="423"/>
      <c r="CD67" s="423"/>
      <c r="CE67" s="423"/>
      <c r="CF67" s="553"/>
      <c r="CH67" s="423"/>
      <c r="CI67" s="423"/>
      <c r="CJ67" s="423"/>
      <c r="CK67" s="423"/>
      <c r="CL67" s="553"/>
      <c r="CN67" s="423"/>
      <c r="CO67" s="423"/>
      <c r="CP67" s="423"/>
      <c r="CQ67" s="423"/>
      <c r="CR67" s="553"/>
      <c r="EI67" s="553"/>
      <c r="EJ67" s="553"/>
      <c r="EK67" s="423"/>
      <c r="EL67" s="555"/>
      <c r="ES67" s="533"/>
      <c r="ET67" s="533"/>
      <c r="EU67" s="533"/>
      <c r="EV67" s="556"/>
      <c r="EY67" s="533"/>
      <c r="EZ67" s="533"/>
      <c r="FA67" s="556"/>
      <c r="FD67" s="556"/>
      <c r="FE67" s="556"/>
      <c r="FF67" s="556"/>
      <c r="FK67" s="557">
        <f t="shared" si="113"/>
        <v>67</v>
      </c>
      <c r="FL67" s="493">
        <f t="shared" si="114"/>
        <v>70.012200000000007</v>
      </c>
      <c r="FM67" s="493">
        <f t="shared" si="115"/>
        <v>16.163599999999999</v>
      </c>
      <c r="FO67" s="427">
        <f t="shared" si="61"/>
        <v>2895440.0900000003</v>
      </c>
      <c r="FP67" s="558">
        <f t="shared" si="116"/>
        <v>105155.74</v>
      </c>
      <c r="FQ67" s="558">
        <f t="shared" si="116"/>
        <v>103795.56</v>
      </c>
      <c r="FR67" s="558">
        <f t="shared" si="116"/>
        <v>102432.03</v>
      </c>
      <c r="FS67" s="558">
        <f t="shared" si="116"/>
        <v>101068.49</v>
      </c>
      <c r="FT67" s="558">
        <f t="shared" si="116"/>
        <v>99657.94</v>
      </c>
      <c r="FU67" s="558">
        <f t="shared" si="116"/>
        <v>98207.09</v>
      </c>
      <c r="FV67" s="558">
        <f t="shared" si="116"/>
        <v>96769.67</v>
      </c>
      <c r="FW67" s="558">
        <f t="shared" si="116"/>
        <v>95322.17</v>
      </c>
      <c r="FX67" s="558">
        <f t="shared" si="116"/>
        <v>93824.3</v>
      </c>
      <c r="FY67" s="558">
        <f t="shared" si="116"/>
        <v>92265.98</v>
      </c>
      <c r="FZ67" s="558">
        <f t="shared" si="116"/>
        <v>90697.58</v>
      </c>
      <c r="GA67" s="558">
        <f t="shared" si="116"/>
        <v>89105.67</v>
      </c>
      <c r="GB67" s="558">
        <f t="shared" si="116"/>
        <v>87476.82</v>
      </c>
      <c r="GC67" s="558">
        <f t="shared" si="116"/>
        <v>85841.25</v>
      </c>
      <c r="GD67" s="558">
        <f t="shared" si="116"/>
        <v>84155.31</v>
      </c>
      <c r="GE67" s="558">
        <f t="shared" ref="GE67:GT82" si="124" xml:space="preserve"> IF(  OR( GE$18&gt;$FK67, $FK67&gt;$FP$12 ),  LEER,  ROUND( $FO$19 * ( $FL67 - GE$15 * $FM67 ), GE$17 )  )</f>
        <v>82455.929999999993</v>
      </c>
      <c r="GF67" s="558">
        <f t="shared" si="124"/>
        <v>80706.17</v>
      </c>
      <c r="GG67" s="558">
        <f t="shared" si="124"/>
        <v>78916.11</v>
      </c>
      <c r="GH67" s="558">
        <f t="shared" si="124"/>
        <v>77075.679999999993</v>
      </c>
      <c r="GI67" s="558">
        <f t="shared" si="124"/>
        <v>75181.509999999995</v>
      </c>
      <c r="GJ67" s="558">
        <f t="shared" si="124"/>
        <v>73230.25</v>
      </c>
      <c r="GK67" s="558">
        <f t="shared" si="124"/>
        <v>71205.100000000006</v>
      </c>
      <c r="GL67" s="558">
        <f t="shared" si="124"/>
        <v>69106.06</v>
      </c>
      <c r="GM67" s="558">
        <f t="shared" si="124"/>
        <v>66929.78</v>
      </c>
      <c r="GN67" s="558">
        <f t="shared" si="124"/>
        <v>64666.18</v>
      </c>
      <c r="GO67" s="558">
        <f t="shared" si="124"/>
        <v>62332.05</v>
      </c>
      <c r="GP67" s="558">
        <f t="shared" si="124"/>
        <v>59917.32</v>
      </c>
      <c r="GQ67" s="558">
        <f t="shared" si="124"/>
        <v>57428.71</v>
      </c>
      <c r="GR67" s="558">
        <f t="shared" si="124"/>
        <v>54872.92</v>
      </c>
      <c r="GS67" s="558">
        <f t="shared" si="124"/>
        <v>52253.33</v>
      </c>
      <c r="GT67" s="558">
        <f t="shared" si="124"/>
        <v>49579.99</v>
      </c>
      <c r="GU67" s="558">
        <f t="shared" si="117"/>
        <v>46842.85</v>
      </c>
      <c r="GV67" s="558">
        <f t="shared" si="117"/>
        <v>44068.77</v>
      </c>
      <c r="GW67" s="558">
        <f t="shared" si="117"/>
        <v>41244.31</v>
      </c>
      <c r="GX67" s="558">
        <f t="shared" si="117"/>
        <v>38389.620000000003</v>
      </c>
      <c r="GY67" s="558">
        <f t="shared" si="117"/>
        <v>35504.699999999997</v>
      </c>
      <c r="GZ67" s="558">
        <f t="shared" si="117"/>
        <v>32586.2</v>
      </c>
      <c r="HA67" s="558">
        <f t="shared" si="117"/>
        <v>29644.2</v>
      </c>
      <c r="HB67" s="558">
        <f t="shared" si="117"/>
        <v>26658.53</v>
      </c>
      <c r="HC67" s="558">
        <f t="shared" si="117"/>
        <v>23609.05</v>
      </c>
      <c r="HD67" s="558">
        <f t="shared" si="117"/>
        <v>20515.91</v>
      </c>
      <c r="HE67" s="558">
        <f t="shared" si="117"/>
        <v>17392.55</v>
      </c>
      <c r="HF67" s="558">
        <f t="shared" si="117"/>
        <v>14228.88</v>
      </c>
      <c r="HG67" s="558">
        <f t="shared" si="117"/>
        <v>11041.7</v>
      </c>
      <c r="HH67" s="558">
        <f t="shared" si="117"/>
        <v>7820.95</v>
      </c>
      <c r="HI67" s="558">
        <f t="shared" si="117"/>
        <v>4630.41</v>
      </c>
      <c r="HJ67" s="558">
        <f xml:space="preserve"> IF(  OR( HJ$18&gt;$FK67, $FK67&gt;$FP$12 ),  LEER,  ROUND( $FO$19 * ( $FL67 - HJ$15 * $FM67 ), HJ$17 )  )</f>
        <v>1413.01</v>
      </c>
      <c r="HK67" s="558">
        <f xml:space="preserve"> IF(  OR( HK$18&gt;$FK67, $FK67&gt;$FP$12 ),  LEER,  ROUND( $FO$19 * ( $FL67 - HK$15 * $FM67 ), HK$17 )  )</f>
        <v>-1784.24</v>
      </c>
      <c r="HL67" s="558" t="str">
        <f t="shared" si="123"/>
        <v>.</v>
      </c>
      <c r="HM67" s="558" t="str">
        <f t="shared" si="123"/>
        <v>.</v>
      </c>
      <c r="HN67" s="558" t="str">
        <f t="shared" si="123"/>
        <v>.</v>
      </c>
      <c r="HO67" s="558" t="str">
        <f t="shared" si="123"/>
        <v>.</v>
      </c>
      <c r="HP67" s="558" t="str">
        <f t="shared" si="123"/>
        <v>.</v>
      </c>
      <c r="HQ67" s="558" t="str">
        <f t="shared" si="123"/>
        <v>.</v>
      </c>
      <c r="HR67" s="558" t="str">
        <f t="shared" si="123"/>
        <v>.</v>
      </c>
      <c r="HS67" s="558" t="str">
        <f t="shared" si="123"/>
        <v>.</v>
      </c>
      <c r="HT67" s="558" t="str">
        <f t="shared" si="123"/>
        <v>.</v>
      </c>
      <c r="HU67" s="558" t="str">
        <f t="shared" si="123"/>
        <v>.</v>
      </c>
      <c r="HV67" s="558" t="str">
        <f t="shared" si="123"/>
        <v>.</v>
      </c>
      <c r="HW67" s="558" t="str">
        <f t="shared" si="123"/>
        <v>.</v>
      </c>
      <c r="HX67" s="558" t="str">
        <f t="shared" si="123"/>
        <v>.</v>
      </c>
      <c r="HY67" s="558" t="str">
        <f t="shared" si="123"/>
        <v>.</v>
      </c>
      <c r="HZ67" s="558" t="str">
        <f t="shared" si="123"/>
        <v>.</v>
      </c>
      <c r="IA67" s="558" t="str">
        <f t="shared" si="122"/>
        <v>.</v>
      </c>
      <c r="IB67" s="558" t="str">
        <f t="shared" si="122"/>
        <v>.</v>
      </c>
      <c r="IC67" s="558" t="str">
        <f t="shared" si="122"/>
        <v>.</v>
      </c>
      <c r="ID67" s="558" t="str">
        <f t="shared" si="122"/>
        <v>.</v>
      </c>
      <c r="IE67" s="558" t="str">
        <f t="shared" si="122"/>
        <v>.</v>
      </c>
      <c r="IF67" s="558" t="str">
        <f t="shared" si="122"/>
        <v>.</v>
      </c>
      <c r="IG67" s="558" t="str">
        <f t="shared" si="122"/>
        <v>.</v>
      </c>
      <c r="IH67" s="558" t="str">
        <f t="shared" si="122"/>
        <v>.</v>
      </c>
      <c r="II67" s="558" t="str">
        <f t="shared" si="122"/>
        <v>.</v>
      </c>
      <c r="IJ67" s="558" t="str">
        <f t="shared" si="122"/>
        <v>.</v>
      </c>
      <c r="IK67" s="558" t="str">
        <f t="shared" si="122"/>
        <v>.</v>
      </c>
      <c r="IL67" s="558" t="str">
        <f t="shared" si="122"/>
        <v>.</v>
      </c>
      <c r="IM67" s="558" t="str">
        <f t="shared" si="122"/>
        <v>.</v>
      </c>
      <c r="IN67" s="558" t="str">
        <f t="shared" si="122"/>
        <v>.</v>
      </c>
      <c r="IO67" s="558" t="str">
        <f t="shared" si="122"/>
        <v>.</v>
      </c>
      <c r="IP67" s="558" t="str">
        <f t="shared" si="122"/>
        <v>.</v>
      </c>
      <c r="IQ67" s="558" t="str">
        <f t="shared" si="122"/>
        <v>.</v>
      </c>
      <c r="IR67" s="558" t="str">
        <f t="shared" si="122"/>
        <v>.</v>
      </c>
      <c r="IS67" s="558" t="str">
        <f t="shared" ref="IS67:JL82" si="125" xml:space="preserve"> IF(  OR( IS$18&gt;$FK67, $FK67&gt;$FP$12 ),  LEER,  ROUND( $FO$19 * ( $FL67 - IS$15 * $FM67 ), IS$17 )  )</f>
        <v>.</v>
      </c>
      <c r="IT67" s="558" t="str">
        <f t="shared" si="125"/>
        <v>.</v>
      </c>
      <c r="IU67" s="558" t="str">
        <f t="shared" si="125"/>
        <v>.</v>
      </c>
      <c r="IV67" s="558" t="str">
        <f t="shared" si="125"/>
        <v>.</v>
      </c>
      <c r="IW67" s="558" t="str">
        <f t="shared" si="125"/>
        <v>.</v>
      </c>
      <c r="IX67" s="558" t="str">
        <f t="shared" si="125"/>
        <v>.</v>
      </c>
      <c r="IY67" s="558" t="str">
        <f t="shared" si="125"/>
        <v>.</v>
      </c>
      <c r="IZ67" s="558" t="str">
        <f t="shared" si="125"/>
        <v>.</v>
      </c>
      <c r="JA67" s="558" t="str">
        <f t="shared" si="125"/>
        <v>.</v>
      </c>
      <c r="JB67" s="558" t="str">
        <f t="shared" si="125"/>
        <v>.</v>
      </c>
      <c r="JC67" s="558" t="str">
        <f t="shared" si="121"/>
        <v>.</v>
      </c>
      <c r="JD67" s="558" t="str">
        <f t="shared" si="121"/>
        <v>.</v>
      </c>
      <c r="JE67" s="558" t="str">
        <f t="shared" si="121"/>
        <v>.</v>
      </c>
      <c r="JF67" s="558" t="str">
        <f t="shared" si="121"/>
        <v>.</v>
      </c>
      <c r="JG67" s="558" t="str">
        <f t="shared" si="121"/>
        <v>.</v>
      </c>
      <c r="JH67" s="558" t="str">
        <f t="shared" si="118"/>
        <v>.</v>
      </c>
      <c r="JI67" s="558" t="str">
        <f t="shared" si="118"/>
        <v>.</v>
      </c>
      <c r="JJ67" s="558" t="str">
        <f t="shared" si="118"/>
        <v>.</v>
      </c>
      <c r="JK67" s="558" t="str">
        <f t="shared" si="118"/>
        <v>.</v>
      </c>
      <c r="JL67" s="558" t="str">
        <f t="shared" si="118"/>
        <v>.</v>
      </c>
    </row>
    <row r="68" spans="1:272" ht="10.199999999999999" x14ac:dyDescent="0.2">
      <c r="A68" s="534">
        <f xml:space="preserve"> Basis!A68</f>
        <v>68</v>
      </c>
      <c r="F68" s="536">
        <f xml:space="preserve"> ROUND(    IF( $A$15=BE_MF_,   AW68,   INDEX( qx!68:68, F$16 ) ),    F$17    )</f>
        <v>7.1999999999999998E-3</v>
      </c>
      <c r="G68" s="536">
        <f xml:space="preserve"> ROUND(    IF( $A$15=BE_MF_,   BB68,   INDEX( wx!68:68, G$16 ) ),    G$17    )</f>
        <v>3.7000000000000002E-3</v>
      </c>
      <c r="H68" s="537">
        <f xml:space="preserve"> ROUND(    IF( $A$15=BE_MF_,   BG68,   INDEX( Kx!68:68, H$16 ) ),    H$17    )</f>
        <v>6404.98</v>
      </c>
      <c r="I68" s="538">
        <f t="shared" si="57"/>
        <v>6404.98</v>
      </c>
      <c r="J68" s="539">
        <f t="shared" si="84"/>
        <v>3.0830000000000002</v>
      </c>
      <c r="K68" s="540">
        <f t="shared" si="119"/>
        <v>2</v>
      </c>
      <c r="L68" s="541">
        <f t="shared" si="71"/>
        <v>0</v>
      </c>
      <c r="M68" s="541">
        <f t="shared" si="71"/>
        <v>8.5999999999999993E-2</v>
      </c>
      <c r="O68" s="542" t="b">
        <f t="shared" si="59"/>
        <v>1</v>
      </c>
      <c r="P68" s="493">
        <f t="shared" si="85"/>
        <v>1.09E-2</v>
      </c>
      <c r="Q68" s="493">
        <f t="shared" si="86"/>
        <v>0.98909999999999998</v>
      </c>
      <c r="R68" s="543">
        <f t="shared" si="87"/>
        <v>492131</v>
      </c>
      <c r="S68" s="544">
        <f t="shared" si="88"/>
        <v>0.97560975599999999</v>
      </c>
      <c r="T68" s="423">
        <f t="shared" si="89"/>
        <v>91803.21</v>
      </c>
      <c r="U68" s="423">
        <f xml:space="preserve"> IF( $O68,    ROUND(  SUM( T68:T$120), U$17 ),  LEER  )</f>
        <v>1442447.65</v>
      </c>
      <c r="V68" s="493">
        <f t="shared" si="90"/>
        <v>15.712400000000001</v>
      </c>
      <c r="W68" s="493">
        <f t="shared" si="91"/>
        <v>283029.3</v>
      </c>
      <c r="X68" s="493">
        <f xml:space="preserve"> IF( $O68,    ROUND(  SUM( W68:W$120), X$17 ),  LEER  )</f>
        <v>6380676.0499999998</v>
      </c>
      <c r="Y68" s="493">
        <f t="shared" si="92"/>
        <v>69.503799999999998</v>
      </c>
      <c r="Z68" s="493">
        <f t="shared" si="93"/>
        <v>4.4234999999999998</v>
      </c>
      <c r="AA68" s="493">
        <f t="shared" si="94"/>
        <v>1.0117</v>
      </c>
      <c r="AB68" s="493">
        <f t="shared" si="95"/>
        <v>2.3494000000000002</v>
      </c>
      <c r="AC68" s="545">
        <f t="shared" si="96"/>
        <v>0.32679999999999998</v>
      </c>
      <c r="AD68" s="493">
        <f t="shared" si="97"/>
        <v>4.4790999999999999</v>
      </c>
      <c r="AE68" s="493">
        <f t="shared" si="98"/>
        <v>5.2580999999999998</v>
      </c>
      <c r="AF68" s="493">
        <f t="shared" si="99"/>
        <v>5.2580999999999998</v>
      </c>
      <c r="AG68" s="493" t="str">
        <f t="shared" si="100"/>
        <v>.</v>
      </c>
      <c r="AH68" s="493" t="str">
        <f t="shared" si="101"/>
        <v>.</v>
      </c>
      <c r="AI68" s="423">
        <f t="shared" si="102"/>
        <v>2077.79</v>
      </c>
      <c r="AJ68" s="423">
        <f t="shared" si="103"/>
        <v>10925.23</v>
      </c>
      <c r="AK68" s="423">
        <f t="shared" si="104"/>
        <v>910.44</v>
      </c>
      <c r="AN68" s="423">
        <f t="shared" si="120"/>
        <v>83883.37</v>
      </c>
      <c r="AO68" s="423">
        <f t="shared" si="120"/>
        <v>83158.61</v>
      </c>
      <c r="AR68" s="546">
        <f xml:space="preserve"> ROUND(  INDEX( Kx!68:68, AR$16 ),  AR$17 )</f>
        <v>0.72399999999999998</v>
      </c>
      <c r="AS68" s="547">
        <f xml:space="preserve"> ROUND(  INDEX( qx!68:68, AS$16 ),  AS$17 )</f>
        <v>8.3999999999999995E-3</v>
      </c>
      <c r="AT68" s="547">
        <f xml:space="preserve"> ROUND(  INDEX( qx!68:68, AT$16 ),  AT$17 )</f>
        <v>5.1000000000000004E-3</v>
      </c>
      <c r="AU68" s="548" t="str">
        <f t="shared" si="105"/>
        <v>F</v>
      </c>
      <c r="AV68" s="542">
        <f t="shared" si="106"/>
        <v>0.63619999999999999</v>
      </c>
      <c r="AW68" s="542">
        <f t="shared" si="107"/>
        <v>7.1999999999999998E-3</v>
      </c>
      <c r="AX68" s="546">
        <f xml:space="preserve"> ROUND(  INDEX( wx!68:68, AX$16 ),  AX$17 )</f>
        <v>4.1999999999999997E-3</v>
      </c>
      <c r="AY68" s="546">
        <f xml:space="preserve"> ROUND(  INDEX( wx!68:68, AY$16 ),  AY$17 )</f>
        <v>2.8999999999999998E-3</v>
      </c>
      <c r="AZ68" s="548" t="str">
        <f t="shared" si="108"/>
        <v>F</v>
      </c>
      <c r="BA68" s="542">
        <f t="shared" si="109"/>
        <v>0.63619999999999999</v>
      </c>
      <c r="BB68" s="542">
        <f t="shared" si="110"/>
        <v>3.7000000000000002E-3</v>
      </c>
      <c r="BC68" s="533">
        <f xml:space="preserve"> ROUND(  INDEX( Kx!68:68, BC$16 ),  BC$17 )</f>
        <v>6564.2</v>
      </c>
      <c r="BD68" s="533">
        <f xml:space="preserve"> ROUND(  INDEX( Kx!68:68, BD$16 ),  BD$17 )</f>
        <v>5778.3</v>
      </c>
      <c r="BE68" s="548" t="str">
        <f t="shared" si="60"/>
        <v>M</v>
      </c>
      <c r="BF68" s="542">
        <f t="shared" si="111"/>
        <v>0.7974</v>
      </c>
      <c r="BG68" s="420">
        <f t="shared" si="112"/>
        <v>6404.98</v>
      </c>
      <c r="BQ68" s="549"/>
      <c r="BR68" s="423"/>
      <c r="BS68" s="550"/>
      <c r="BT68" s="423"/>
      <c r="BU68" s="551"/>
      <c r="BV68" s="551"/>
      <c r="BW68" s="529"/>
      <c r="BX68" s="552"/>
      <c r="BY68" s="560"/>
      <c r="BZ68" s="559"/>
      <c r="CB68" s="423"/>
      <c r="CC68" s="423"/>
      <c r="CD68" s="423"/>
      <c r="CE68" s="423"/>
      <c r="CF68" s="553"/>
      <c r="CH68" s="423"/>
      <c r="CI68" s="423"/>
      <c r="CJ68" s="423"/>
      <c r="CK68" s="423"/>
      <c r="CL68" s="553"/>
      <c r="CN68" s="423"/>
      <c r="CO68" s="423"/>
      <c r="CP68" s="423"/>
      <c r="CQ68" s="423"/>
      <c r="CR68" s="553"/>
      <c r="EI68" s="553"/>
      <c r="EJ68" s="553"/>
      <c r="EK68" s="423"/>
      <c r="EL68" s="555"/>
      <c r="ES68" s="533"/>
      <c r="ET68" s="533"/>
      <c r="EU68" s="533"/>
      <c r="EV68" s="556"/>
      <c r="EY68" s="533"/>
      <c r="EZ68" s="533"/>
      <c r="FA68" s="556"/>
      <c r="FD68" s="556"/>
      <c r="FE68" s="556"/>
      <c r="FF68" s="556"/>
      <c r="FK68" s="557">
        <f t="shared" si="113"/>
        <v>68</v>
      </c>
      <c r="FL68" s="493">
        <f t="shared" si="114"/>
        <v>69.503799999999998</v>
      </c>
      <c r="FM68" s="493">
        <f t="shared" si="115"/>
        <v>15.712400000000001</v>
      </c>
      <c r="FO68" s="427">
        <f t="shared" si="61"/>
        <v>2957011.28</v>
      </c>
      <c r="FP68" s="558">
        <f t="shared" ref="FP68:GE83" si="126" xml:space="preserve"> IF(  OR( FP$18&gt;$FK68, $FK68&gt;$FP$12 ),  LEER,  ROUND( $FO$19 * ( $FL68 - FP$15 * $FM68 ), FP$17 )  )</f>
        <v>105224.76</v>
      </c>
      <c r="FQ68" s="558">
        <f t="shared" si="126"/>
        <v>103902.55</v>
      </c>
      <c r="FR68" s="558">
        <f t="shared" si="126"/>
        <v>102577.08</v>
      </c>
      <c r="FS68" s="558">
        <f t="shared" si="126"/>
        <v>101251.61</v>
      </c>
      <c r="FT68" s="558">
        <f t="shared" si="126"/>
        <v>99880.44</v>
      </c>
      <c r="FU68" s="558">
        <f t="shared" si="126"/>
        <v>98470.080000000002</v>
      </c>
      <c r="FV68" s="558">
        <f t="shared" si="126"/>
        <v>97072.79</v>
      </c>
      <c r="FW68" s="558">
        <f t="shared" si="126"/>
        <v>95665.7</v>
      </c>
      <c r="FX68" s="558">
        <f t="shared" si="126"/>
        <v>94209.64</v>
      </c>
      <c r="FY68" s="558">
        <f t="shared" si="126"/>
        <v>92694.82</v>
      </c>
      <c r="FZ68" s="558">
        <f t="shared" si="126"/>
        <v>91170.2</v>
      </c>
      <c r="GA68" s="558">
        <f t="shared" si="126"/>
        <v>89622.73</v>
      </c>
      <c r="GB68" s="558">
        <f t="shared" si="126"/>
        <v>88039.34</v>
      </c>
      <c r="GC68" s="558">
        <f t="shared" si="126"/>
        <v>86449.43</v>
      </c>
      <c r="GD68" s="558">
        <f t="shared" si="126"/>
        <v>84810.55</v>
      </c>
      <c r="GE68" s="558">
        <f t="shared" si="126"/>
        <v>83158.61</v>
      </c>
      <c r="GF68" s="558">
        <f t="shared" si="124"/>
        <v>81457.7</v>
      </c>
      <c r="GG68" s="558">
        <f t="shared" si="124"/>
        <v>79717.61</v>
      </c>
      <c r="GH68" s="558">
        <f t="shared" si="124"/>
        <v>77928.55</v>
      </c>
      <c r="GI68" s="558">
        <f t="shared" si="124"/>
        <v>76087.25</v>
      </c>
      <c r="GJ68" s="558">
        <f t="shared" si="124"/>
        <v>74190.460000000006</v>
      </c>
      <c r="GK68" s="558">
        <f t="shared" si="124"/>
        <v>72221.84</v>
      </c>
      <c r="GL68" s="558">
        <f t="shared" si="124"/>
        <v>70181.399999999994</v>
      </c>
      <c r="GM68" s="558">
        <f t="shared" si="124"/>
        <v>68065.87</v>
      </c>
      <c r="GN68" s="558">
        <f t="shared" si="124"/>
        <v>65865.460000000006</v>
      </c>
      <c r="GO68" s="558">
        <f t="shared" si="124"/>
        <v>63596.480000000003</v>
      </c>
      <c r="GP68" s="558">
        <f t="shared" si="124"/>
        <v>61249.16</v>
      </c>
      <c r="GQ68" s="558">
        <f t="shared" si="124"/>
        <v>58830.01</v>
      </c>
      <c r="GR68" s="558">
        <f t="shared" si="124"/>
        <v>56345.57</v>
      </c>
      <c r="GS68" s="558">
        <f t="shared" si="124"/>
        <v>53799.1</v>
      </c>
      <c r="GT68" s="558">
        <f t="shared" si="124"/>
        <v>51200.39</v>
      </c>
      <c r="GU68" s="558">
        <f t="shared" ref="GU68:HJ83" si="127" xml:space="preserve"> IF(  OR( GU$18&gt;$FK68, $FK68&gt;$FP$12 ),  LEER,  ROUND( $FO$19 * ( $FL68 - GU$15 * $FM68 ), GU$17 )  )</f>
        <v>48539.66</v>
      </c>
      <c r="GV68" s="558">
        <f t="shared" si="127"/>
        <v>45843.01</v>
      </c>
      <c r="GW68" s="558">
        <f t="shared" si="127"/>
        <v>43097.39</v>
      </c>
      <c r="GX68" s="558">
        <f t="shared" si="127"/>
        <v>40322.39</v>
      </c>
      <c r="GY68" s="558">
        <f t="shared" si="127"/>
        <v>37518.01</v>
      </c>
      <c r="GZ68" s="558">
        <f t="shared" si="127"/>
        <v>34680.980000000003</v>
      </c>
      <c r="HA68" s="558">
        <f t="shared" si="127"/>
        <v>31821.09</v>
      </c>
      <c r="HB68" s="558">
        <f t="shared" si="127"/>
        <v>28918.77</v>
      </c>
      <c r="HC68" s="558">
        <f t="shared" si="127"/>
        <v>25954.42</v>
      </c>
      <c r="HD68" s="558">
        <f t="shared" si="127"/>
        <v>22947.62</v>
      </c>
      <c r="HE68" s="558">
        <f t="shared" si="127"/>
        <v>19911.439999999999</v>
      </c>
      <c r="HF68" s="558">
        <f t="shared" si="127"/>
        <v>16836.09</v>
      </c>
      <c r="HG68" s="558">
        <f t="shared" si="127"/>
        <v>13737.88</v>
      </c>
      <c r="HH68" s="558">
        <f t="shared" si="127"/>
        <v>10607.03</v>
      </c>
      <c r="HI68" s="558">
        <f t="shared" si="127"/>
        <v>7505.56</v>
      </c>
      <c r="HJ68" s="558">
        <f t="shared" si="127"/>
        <v>4377.97</v>
      </c>
      <c r="HK68" s="558">
        <f t="shared" ref="HK68:HO82" si="128" xml:space="preserve"> IF(  OR( HK$18&gt;$FK68, $FK68&gt;$FP$12 ),  LEER,  ROUND( $FO$19 * ( $FL68 - HK$15 * $FM68 ), HK$17 )  )</f>
        <v>1269.97</v>
      </c>
      <c r="HL68" s="558">
        <f t="shared" si="128"/>
        <v>-1815.18</v>
      </c>
      <c r="HM68" s="558" t="str">
        <f t="shared" si="128"/>
        <v>.</v>
      </c>
      <c r="HN68" s="558" t="str">
        <f t="shared" si="128"/>
        <v>.</v>
      </c>
      <c r="HO68" s="558" t="str">
        <f t="shared" si="128"/>
        <v>.</v>
      </c>
      <c r="HP68" s="558" t="str">
        <f t="shared" si="123"/>
        <v>.</v>
      </c>
      <c r="HQ68" s="558" t="str">
        <f t="shared" si="123"/>
        <v>.</v>
      </c>
      <c r="HR68" s="558" t="str">
        <f t="shared" si="123"/>
        <v>.</v>
      </c>
      <c r="HS68" s="558" t="str">
        <f t="shared" si="123"/>
        <v>.</v>
      </c>
      <c r="HT68" s="558" t="str">
        <f t="shared" si="123"/>
        <v>.</v>
      </c>
      <c r="HU68" s="558" t="str">
        <f t="shared" si="123"/>
        <v>.</v>
      </c>
      <c r="HV68" s="558" t="str">
        <f t="shared" si="123"/>
        <v>.</v>
      </c>
      <c r="HW68" s="558" t="str">
        <f t="shared" si="123"/>
        <v>.</v>
      </c>
      <c r="HX68" s="558" t="str">
        <f t="shared" si="123"/>
        <v>.</v>
      </c>
      <c r="HY68" s="558" t="str">
        <f t="shared" si="123"/>
        <v>.</v>
      </c>
      <c r="HZ68" s="558" t="str">
        <f t="shared" si="123"/>
        <v>.</v>
      </c>
      <c r="IA68" s="558" t="str">
        <f t="shared" si="122"/>
        <v>.</v>
      </c>
      <c r="IB68" s="558" t="str">
        <f t="shared" si="122"/>
        <v>.</v>
      </c>
      <c r="IC68" s="558" t="str">
        <f t="shared" si="122"/>
        <v>.</v>
      </c>
      <c r="ID68" s="558" t="str">
        <f t="shared" si="122"/>
        <v>.</v>
      </c>
      <c r="IE68" s="558" t="str">
        <f t="shared" si="122"/>
        <v>.</v>
      </c>
      <c r="IF68" s="558" t="str">
        <f t="shared" si="122"/>
        <v>.</v>
      </c>
      <c r="IG68" s="558" t="str">
        <f t="shared" si="122"/>
        <v>.</v>
      </c>
      <c r="IH68" s="558" t="str">
        <f t="shared" si="122"/>
        <v>.</v>
      </c>
      <c r="II68" s="558" t="str">
        <f t="shared" si="122"/>
        <v>.</v>
      </c>
      <c r="IJ68" s="558" t="str">
        <f t="shared" si="122"/>
        <v>.</v>
      </c>
      <c r="IK68" s="558" t="str">
        <f t="shared" si="122"/>
        <v>.</v>
      </c>
      <c r="IL68" s="558" t="str">
        <f t="shared" si="122"/>
        <v>.</v>
      </c>
      <c r="IM68" s="558" t="str">
        <f t="shared" si="122"/>
        <v>.</v>
      </c>
      <c r="IN68" s="558" t="str">
        <f t="shared" si="122"/>
        <v>.</v>
      </c>
      <c r="IO68" s="558" t="str">
        <f t="shared" si="122"/>
        <v>.</v>
      </c>
      <c r="IP68" s="558" t="str">
        <f t="shared" si="122"/>
        <v>.</v>
      </c>
      <c r="IQ68" s="558" t="str">
        <f t="shared" si="122"/>
        <v>.</v>
      </c>
      <c r="IR68" s="558" t="str">
        <f t="shared" si="122"/>
        <v>.</v>
      </c>
      <c r="IS68" s="558" t="str">
        <f t="shared" si="125"/>
        <v>.</v>
      </c>
      <c r="IT68" s="558" t="str">
        <f t="shared" si="125"/>
        <v>.</v>
      </c>
      <c r="IU68" s="558" t="str">
        <f t="shared" si="125"/>
        <v>.</v>
      </c>
      <c r="IV68" s="558" t="str">
        <f t="shared" si="125"/>
        <v>.</v>
      </c>
      <c r="IW68" s="558" t="str">
        <f t="shared" si="125"/>
        <v>.</v>
      </c>
      <c r="IX68" s="558" t="str">
        <f t="shared" si="125"/>
        <v>.</v>
      </c>
      <c r="IY68" s="558" t="str">
        <f t="shared" si="125"/>
        <v>.</v>
      </c>
      <c r="IZ68" s="558" t="str">
        <f t="shared" si="125"/>
        <v>.</v>
      </c>
      <c r="JA68" s="558" t="str">
        <f t="shared" si="125"/>
        <v>.</v>
      </c>
      <c r="JB68" s="558" t="str">
        <f t="shared" si="125"/>
        <v>.</v>
      </c>
      <c r="JC68" s="558" t="str">
        <f t="shared" si="121"/>
        <v>.</v>
      </c>
      <c r="JD68" s="558" t="str">
        <f t="shared" si="121"/>
        <v>.</v>
      </c>
      <c r="JE68" s="558" t="str">
        <f t="shared" si="121"/>
        <v>.</v>
      </c>
      <c r="JF68" s="558" t="str">
        <f t="shared" si="121"/>
        <v>.</v>
      </c>
      <c r="JG68" s="558" t="str">
        <f t="shared" si="121"/>
        <v>.</v>
      </c>
      <c r="JH68" s="558" t="str">
        <f t="shared" si="121"/>
        <v>.</v>
      </c>
      <c r="JI68" s="558" t="str">
        <f t="shared" si="121"/>
        <v>.</v>
      </c>
      <c r="JJ68" s="558" t="str">
        <f t="shared" si="121"/>
        <v>.</v>
      </c>
      <c r="JK68" s="558" t="str">
        <f t="shared" si="121"/>
        <v>.</v>
      </c>
      <c r="JL68" s="558" t="str">
        <f t="shared" si="121"/>
        <v>.</v>
      </c>
    </row>
    <row r="69" spans="1:272" ht="10.199999999999999" x14ac:dyDescent="0.2">
      <c r="A69" s="534">
        <f xml:space="preserve"> Basis!A69</f>
        <v>69</v>
      </c>
      <c r="F69" s="536">
        <f xml:space="preserve"> ROUND(    IF( $A$15=BE_MF_,   AW69,   INDEX( qx!69:69, F$16 ) ),    F$17    )</f>
        <v>7.9000000000000008E-3</v>
      </c>
      <c r="G69" s="536">
        <f xml:space="preserve"> ROUND(    IF( $A$15=BE_MF_,   BB69,   INDEX( wx!69:69, G$16 ) ),    G$17    )</f>
        <v>3.3E-3</v>
      </c>
      <c r="H69" s="537">
        <f xml:space="preserve"> ROUND(    IF( $A$15=BE_MF_,   BG69,   INDEX( Kx!69:69, H$16 ) ),    H$17    )</f>
        <v>6711.93</v>
      </c>
      <c r="I69" s="538">
        <f t="shared" si="57"/>
        <v>6711.93</v>
      </c>
      <c r="J69" s="539">
        <f t="shared" si="84"/>
        <v>3.23</v>
      </c>
      <c r="K69" s="540">
        <f t="shared" si="119"/>
        <v>2</v>
      </c>
      <c r="L69" s="541">
        <f t="shared" si="71"/>
        <v>0</v>
      </c>
      <c r="M69" s="541">
        <f t="shared" si="71"/>
        <v>8.5999999999999993E-2</v>
      </c>
      <c r="O69" s="542" t="b">
        <f t="shared" si="59"/>
        <v>1</v>
      </c>
      <c r="P69" s="493">
        <f t="shared" si="85"/>
        <v>1.12E-2</v>
      </c>
      <c r="Q69" s="493">
        <f t="shared" si="86"/>
        <v>0.98880000000000001</v>
      </c>
      <c r="R69" s="543">
        <f t="shared" si="87"/>
        <v>486766</v>
      </c>
      <c r="S69" s="544">
        <f t="shared" si="88"/>
        <v>0.97560975599999999</v>
      </c>
      <c r="T69" s="423">
        <f t="shared" si="89"/>
        <v>88587.72</v>
      </c>
      <c r="U69" s="423">
        <f xml:space="preserve"> IF( $O69,    ROUND(  SUM( T69:T$120), U$17 ),  LEER  )</f>
        <v>1350644.44</v>
      </c>
      <c r="V69" s="493">
        <f t="shared" si="90"/>
        <v>15.2464</v>
      </c>
      <c r="W69" s="493">
        <f t="shared" si="91"/>
        <v>286138.34000000003</v>
      </c>
      <c r="X69" s="493">
        <f xml:space="preserve"> IF( $O69,    ROUND(  SUM( W69:W$120), X$17 ),  LEER  )</f>
        <v>6097646.75</v>
      </c>
      <c r="Y69" s="493">
        <f t="shared" si="92"/>
        <v>68.831699999999998</v>
      </c>
      <c r="Z69" s="493">
        <f t="shared" si="93"/>
        <v>4.5145999999999997</v>
      </c>
      <c r="AA69" s="493">
        <f t="shared" si="94"/>
        <v>1.0121</v>
      </c>
      <c r="AB69" s="493">
        <f t="shared" si="95"/>
        <v>2.3494000000000002</v>
      </c>
      <c r="AC69" s="545">
        <f t="shared" si="96"/>
        <v>0.32679999999999998</v>
      </c>
      <c r="AD69" s="493">
        <f t="shared" si="97"/>
        <v>4.5731999999999999</v>
      </c>
      <c r="AE69" s="493">
        <f t="shared" si="98"/>
        <v>5.3611000000000004</v>
      </c>
      <c r="AF69" s="493">
        <f t="shared" si="99"/>
        <v>5.3611000000000004</v>
      </c>
      <c r="AG69" s="493" t="str">
        <f t="shared" si="100"/>
        <v>.</v>
      </c>
      <c r="AH69" s="493" t="str">
        <f t="shared" si="101"/>
        <v>.</v>
      </c>
      <c r="AI69" s="423">
        <f t="shared" si="102"/>
        <v>2077.79</v>
      </c>
      <c r="AJ69" s="423">
        <f t="shared" si="103"/>
        <v>11139.24</v>
      </c>
      <c r="AK69" s="423">
        <f t="shared" si="104"/>
        <v>928.27</v>
      </c>
      <c r="AN69" s="423">
        <f t="shared" si="120"/>
        <v>84282.12</v>
      </c>
      <c r="AO69" s="423">
        <f t="shared" si="120"/>
        <v>83578.850000000006</v>
      </c>
      <c r="AR69" s="546">
        <f xml:space="preserve"> ROUND(  INDEX( Kx!69:69, AR$16 ),  AR$17 )</f>
        <v>0.71760000000000002</v>
      </c>
      <c r="AS69" s="547">
        <f xml:space="preserve"> ROUND(  INDEX( qx!69:69, AS$16 ),  AS$17 )</f>
        <v>9.1999999999999998E-3</v>
      </c>
      <c r="AT69" s="547">
        <f xml:space="preserve"> ROUND(  INDEX( qx!69:69, AT$16 ),  AT$17 )</f>
        <v>5.5999999999999999E-3</v>
      </c>
      <c r="AU69" s="548" t="str">
        <f t="shared" si="105"/>
        <v>F</v>
      </c>
      <c r="AV69" s="542">
        <f t="shared" si="106"/>
        <v>0.62880000000000003</v>
      </c>
      <c r="AW69" s="542">
        <f t="shared" si="107"/>
        <v>7.9000000000000008E-3</v>
      </c>
      <c r="AX69" s="546">
        <f xml:space="preserve"> ROUND(  INDEX( wx!69:69, AX$16 ),  AX$17 )</f>
        <v>3.8E-3</v>
      </c>
      <c r="AY69" s="546">
        <f xml:space="preserve"> ROUND(  INDEX( wx!69:69, AY$16 ),  AY$17 )</f>
        <v>2.5000000000000001E-3</v>
      </c>
      <c r="AZ69" s="548" t="str">
        <f t="shared" si="108"/>
        <v>F</v>
      </c>
      <c r="BA69" s="542">
        <f t="shared" si="109"/>
        <v>0.62880000000000003</v>
      </c>
      <c r="BB69" s="542">
        <f t="shared" si="110"/>
        <v>3.3E-3</v>
      </c>
      <c r="BC69" s="533">
        <f xml:space="preserve"> ROUND(  INDEX( Kx!69:69, BC$16 ),  BC$17 )</f>
        <v>6889.55</v>
      </c>
      <c r="BD69" s="533">
        <f xml:space="preserve"> ROUND(  INDEX( Kx!69:69, BD$16 ),  BD$17 )</f>
        <v>6034.78</v>
      </c>
      <c r="BE69" s="548" t="str">
        <f t="shared" si="60"/>
        <v>M</v>
      </c>
      <c r="BF69" s="542">
        <f t="shared" si="111"/>
        <v>0.79220000000000002</v>
      </c>
      <c r="BG69" s="420">
        <f t="shared" si="112"/>
        <v>6711.93</v>
      </c>
      <c r="BQ69" s="549"/>
      <c r="BR69" s="423"/>
      <c r="BS69" s="550"/>
      <c r="BT69" s="423"/>
      <c r="BU69" s="551"/>
      <c r="BV69" s="551"/>
      <c r="BW69" s="529"/>
      <c r="BX69" s="552"/>
      <c r="BY69" s="560"/>
      <c r="BZ69" s="559"/>
      <c r="CB69" s="423"/>
      <c r="CC69" s="423"/>
      <c r="CD69" s="423"/>
      <c r="CE69" s="423"/>
      <c r="CF69" s="553"/>
      <c r="CH69" s="423"/>
      <c r="CI69" s="423"/>
      <c r="CJ69" s="423"/>
      <c r="CK69" s="423"/>
      <c r="CL69" s="553"/>
      <c r="CN69" s="423"/>
      <c r="CO69" s="423"/>
      <c r="CP69" s="423"/>
      <c r="CQ69" s="423"/>
      <c r="CR69" s="553"/>
      <c r="EI69" s="553"/>
      <c r="EJ69" s="553"/>
      <c r="EK69" s="423"/>
      <c r="EL69" s="555"/>
      <c r="ES69" s="533"/>
      <c r="ET69" s="533"/>
      <c r="EU69" s="533"/>
      <c r="EV69" s="556"/>
      <c r="EY69" s="533"/>
      <c r="EZ69" s="533"/>
      <c r="FA69" s="556"/>
      <c r="FD69" s="556"/>
      <c r="FE69" s="556"/>
      <c r="FF69" s="556"/>
      <c r="FK69" s="557">
        <f t="shared" si="113"/>
        <v>69</v>
      </c>
      <c r="FL69" s="493">
        <f t="shared" si="114"/>
        <v>68.831699999999998</v>
      </c>
      <c r="FM69" s="493">
        <f t="shared" si="115"/>
        <v>15.2464</v>
      </c>
      <c r="FO69" s="427">
        <f t="shared" si="61"/>
        <v>3008898.2199999997</v>
      </c>
      <c r="FP69" s="558">
        <f t="shared" si="126"/>
        <v>104990.57</v>
      </c>
      <c r="FQ69" s="558">
        <f t="shared" si="126"/>
        <v>103707.57</v>
      </c>
      <c r="FR69" s="558">
        <f t="shared" si="126"/>
        <v>102421.41</v>
      </c>
      <c r="FS69" s="558">
        <f t="shared" si="126"/>
        <v>101135.25</v>
      </c>
      <c r="FT69" s="558">
        <f t="shared" si="126"/>
        <v>99804.74</v>
      </c>
      <c r="FU69" s="558">
        <f t="shared" si="126"/>
        <v>98436.22</v>
      </c>
      <c r="FV69" s="558">
        <f t="shared" si="126"/>
        <v>97080.36</v>
      </c>
      <c r="FW69" s="558">
        <f t="shared" si="126"/>
        <v>95715.01</v>
      </c>
      <c r="FX69" s="558">
        <f t="shared" si="126"/>
        <v>94302.13</v>
      </c>
      <c r="FY69" s="558">
        <f t="shared" si="126"/>
        <v>92832.24</v>
      </c>
      <c r="FZ69" s="558">
        <f t="shared" si="126"/>
        <v>91352.83</v>
      </c>
      <c r="GA69" s="558">
        <f t="shared" si="126"/>
        <v>89851.26</v>
      </c>
      <c r="GB69" s="558">
        <f t="shared" si="126"/>
        <v>88314.84</v>
      </c>
      <c r="GC69" s="558">
        <f t="shared" si="126"/>
        <v>86772.08</v>
      </c>
      <c r="GD69" s="558">
        <f t="shared" si="126"/>
        <v>85181.8</v>
      </c>
      <c r="GE69" s="558">
        <f t="shared" si="126"/>
        <v>83578.850000000006</v>
      </c>
      <c r="GF69" s="558">
        <f t="shared" si="124"/>
        <v>81928.39</v>
      </c>
      <c r="GG69" s="558">
        <f t="shared" si="124"/>
        <v>80239.91</v>
      </c>
      <c r="GH69" s="558">
        <f t="shared" si="124"/>
        <v>78503.91</v>
      </c>
      <c r="GI69" s="558">
        <f t="shared" si="124"/>
        <v>76717.22</v>
      </c>
      <c r="GJ69" s="558">
        <f t="shared" si="124"/>
        <v>74876.679999999993</v>
      </c>
      <c r="GK69" s="558">
        <f t="shared" si="124"/>
        <v>72966.45</v>
      </c>
      <c r="GL69" s="558">
        <f t="shared" si="124"/>
        <v>70986.52</v>
      </c>
      <c r="GM69" s="558">
        <f t="shared" si="124"/>
        <v>68933.740000000005</v>
      </c>
      <c r="GN69" s="558">
        <f t="shared" si="124"/>
        <v>66798.58</v>
      </c>
      <c r="GO69" s="558">
        <f t="shared" si="124"/>
        <v>64596.91</v>
      </c>
      <c r="GP69" s="558">
        <f t="shared" si="124"/>
        <v>62319.199999999997</v>
      </c>
      <c r="GQ69" s="558">
        <f t="shared" si="124"/>
        <v>59971.8</v>
      </c>
      <c r="GR69" s="558">
        <f t="shared" si="124"/>
        <v>57561.04</v>
      </c>
      <c r="GS69" s="558">
        <f t="shared" si="124"/>
        <v>55090.09</v>
      </c>
      <c r="GT69" s="558">
        <f t="shared" si="124"/>
        <v>52568.46</v>
      </c>
      <c r="GU69" s="558">
        <f t="shared" si="127"/>
        <v>49986.63</v>
      </c>
      <c r="GV69" s="558">
        <f t="shared" si="127"/>
        <v>47369.96</v>
      </c>
      <c r="GW69" s="558">
        <f t="shared" si="127"/>
        <v>44705.78</v>
      </c>
      <c r="GX69" s="558">
        <f t="shared" si="127"/>
        <v>42013.08</v>
      </c>
      <c r="GY69" s="558">
        <f t="shared" si="127"/>
        <v>39291.870000000003</v>
      </c>
      <c r="GZ69" s="558">
        <f t="shared" si="127"/>
        <v>36538.980000000003</v>
      </c>
      <c r="HA69" s="558">
        <f t="shared" si="127"/>
        <v>33763.910000000003</v>
      </c>
      <c r="HB69" s="558">
        <f t="shared" si="127"/>
        <v>30947.67</v>
      </c>
      <c r="HC69" s="558">
        <f t="shared" si="127"/>
        <v>28071.23</v>
      </c>
      <c r="HD69" s="558">
        <f t="shared" si="127"/>
        <v>25153.61</v>
      </c>
      <c r="HE69" s="558">
        <f t="shared" si="127"/>
        <v>22207.48</v>
      </c>
      <c r="HF69" s="558">
        <f t="shared" si="127"/>
        <v>19223.34</v>
      </c>
      <c r="HG69" s="558">
        <f t="shared" si="127"/>
        <v>16217.02</v>
      </c>
      <c r="HH69" s="558">
        <f t="shared" si="127"/>
        <v>13179.02</v>
      </c>
      <c r="HI69" s="558">
        <f t="shared" si="127"/>
        <v>10169.530000000001</v>
      </c>
      <c r="HJ69" s="558">
        <f t="shared" si="127"/>
        <v>7134.7</v>
      </c>
      <c r="HK69" s="558">
        <f t="shared" si="128"/>
        <v>4118.87</v>
      </c>
      <c r="HL69" s="558">
        <f t="shared" si="128"/>
        <v>1125.23</v>
      </c>
      <c r="HM69" s="558">
        <f t="shared" si="128"/>
        <v>-1855.75</v>
      </c>
      <c r="HN69" s="558" t="str">
        <f t="shared" si="128"/>
        <v>.</v>
      </c>
      <c r="HO69" s="558" t="str">
        <f t="shared" si="128"/>
        <v>.</v>
      </c>
      <c r="HP69" s="558" t="str">
        <f t="shared" si="123"/>
        <v>.</v>
      </c>
      <c r="HQ69" s="558" t="str">
        <f t="shared" si="123"/>
        <v>.</v>
      </c>
      <c r="HR69" s="558" t="str">
        <f t="shared" si="123"/>
        <v>.</v>
      </c>
      <c r="HS69" s="558" t="str">
        <f t="shared" si="123"/>
        <v>.</v>
      </c>
      <c r="HT69" s="558" t="str">
        <f t="shared" si="123"/>
        <v>.</v>
      </c>
      <c r="HU69" s="558" t="str">
        <f t="shared" si="123"/>
        <v>.</v>
      </c>
      <c r="HV69" s="558" t="str">
        <f t="shared" si="123"/>
        <v>.</v>
      </c>
      <c r="HW69" s="558" t="str">
        <f t="shared" si="123"/>
        <v>.</v>
      </c>
      <c r="HX69" s="558" t="str">
        <f t="shared" si="123"/>
        <v>.</v>
      </c>
      <c r="HY69" s="558" t="str">
        <f t="shared" si="123"/>
        <v>.</v>
      </c>
      <c r="HZ69" s="558" t="str">
        <f t="shared" si="123"/>
        <v>.</v>
      </c>
      <c r="IA69" s="558" t="str">
        <f t="shared" si="122"/>
        <v>.</v>
      </c>
      <c r="IB69" s="558" t="str">
        <f t="shared" si="122"/>
        <v>.</v>
      </c>
      <c r="IC69" s="558" t="str">
        <f t="shared" si="122"/>
        <v>.</v>
      </c>
      <c r="ID69" s="558" t="str">
        <f t="shared" si="122"/>
        <v>.</v>
      </c>
      <c r="IE69" s="558" t="str">
        <f t="shared" si="122"/>
        <v>.</v>
      </c>
      <c r="IF69" s="558" t="str">
        <f t="shared" si="122"/>
        <v>.</v>
      </c>
      <c r="IG69" s="558" t="str">
        <f t="shared" si="122"/>
        <v>.</v>
      </c>
      <c r="IH69" s="558" t="str">
        <f t="shared" si="122"/>
        <v>.</v>
      </c>
      <c r="II69" s="558" t="str">
        <f t="shared" si="122"/>
        <v>.</v>
      </c>
      <c r="IJ69" s="558" t="str">
        <f t="shared" si="122"/>
        <v>.</v>
      </c>
      <c r="IK69" s="558" t="str">
        <f t="shared" si="122"/>
        <v>.</v>
      </c>
      <c r="IL69" s="558" t="str">
        <f t="shared" si="122"/>
        <v>.</v>
      </c>
      <c r="IM69" s="558" t="str">
        <f t="shared" si="122"/>
        <v>.</v>
      </c>
      <c r="IN69" s="558" t="str">
        <f t="shared" si="122"/>
        <v>.</v>
      </c>
      <c r="IO69" s="558" t="str">
        <f t="shared" si="122"/>
        <v>.</v>
      </c>
      <c r="IP69" s="558" t="str">
        <f t="shared" si="122"/>
        <v>.</v>
      </c>
      <c r="IQ69" s="558" t="str">
        <f t="shared" si="122"/>
        <v>.</v>
      </c>
      <c r="IR69" s="558" t="str">
        <f t="shared" si="122"/>
        <v>.</v>
      </c>
      <c r="IS69" s="558" t="str">
        <f t="shared" si="125"/>
        <v>.</v>
      </c>
      <c r="IT69" s="558" t="str">
        <f t="shared" si="125"/>
        <v>.</v>
      </c>
      <c r="IU69" s="558" t="str">
        <f t="shared" si="125"/>
        <v>.</v>
      </c>
      <c r="IV69" s="558" t="str">
        <f t="shared" si="125"/>
        <v>.</v>
      </c>
      <c r="IW69" s="558" t="str">
        <f t="shared" si="125"/>
        <v>.</v>
      </c>
      <c r="IX69" s="558" t="str">
        <f t="shared" si="125"/>
        <v>.</v>
      </c>
      <c r="IY69" s="558" t="str">
        <f t="shared" si="125"/>
        <v>.</v>
      </c>
      <c r="IZ69" s="558" t="str">
        <f t="shared" si="125"/>
        <v>.</v>
      </c>
      <c r="JA69" s="558" t="str">
        <f t="shared" si="125"/>
        <v>.</v>
      </c>
      <c r="JB69" s="558" t="str">
        <f t="shared" si="125"/>
        <v>.</v>
      </c>
      <c r="JC69" s="558" t="str">
        <f t="shared" si="121"/>
        <v>.</v>
      </c>
      <c r="JD69" s="558" t="str">
        <f t="shared" si="121"/>
        <v>.</v>
      </c>
      <c r="JE69" s="558" t="str">
        <f t="shared" si="121"/>
        <v>.</v>
      </c>
      <c r="JF69" s="558" t="str">
        <f t="shared" si="121"/>
        <v>.</v>
      </c>
      <c r="JG69" s="558" t="str">
        <f t="shared" si="121"/>
        <v>.</v>
      </c>
      <c r="JH69" s="558" t="str">
        <f t="shared" si="121"/>
        <v>.</v>
      </c>
      <c r="JI69" s="558" t="str">
        <f t="shared" si="121"/>
        <v>.</v>
      </c>
      <c r="JJ69" s="558" t="str">
        <f t="shared" si="121"/>
        <v>.</v>
      </c>
      <c r="JK69" s="558" t="str">
        <f t="shared" si="121"/>
        <v>.</v>
      </c>
      <c r="JL69" s="558" t="str">
        <f t="shared" si="121"/>
        <v>.</v>
      </c>
    </row>
    <row r="70" spans="1:272" ht="10.199999999999999" x14ac:dyDescent="0.2">
      <c r="A70" s="534">
        <f xml:space="preserve"> Basis!A70</f>
        <v>70</v>
      </c>
      <c r="F70" s="536">
        <f xml:space="preserve"> ROUND(    IF( $A$15=BE_MF_,   AW70,   INDEX( qx!70:70, F$16 ) ),    F$17    )</f>
        <v>8.6E-3</v>
      </c>
      <c r="G70" s="536">
        <f xml:space="preserve"> ROUND(    IF( $A$15=BE_MF_,   BB70,   INDEX( wx!70:70, G$16 ) ),    G$17    )</f>
        <v>3.0000000000000001E-3</v>
      </c>
      <c r="H70" s="537">
        <f xml:space="preserve"> ROUND(    IF( $A$15=BE_MF_,   BG70,   INDEX( Kx!70:70, H$16 ) ),    H$17    )</f>
        <v>7024.79</v>
      </c>
      <c r="I70" s="538">
        <f t="shared" si="57"/>
        <v>7024.79</v>
      </c>
      <c r="J70" s="539">
        <f t="shared" si="84"/>
        <v>3.3809999999999998</v>
      </c>
      <c r="K70" s="540">
        <f t="shared" si="119"/>
        <v>1.5</v>
      </c>
      <c r="L70" s="541">
        <f t="shared" si="71"/>
        <v>0</v>
      </c>
      <c r="M70" s="541">
        <f t="shared" si="71"/>
        <v>8.5999999999999993E-2</v>
      </c>
      <c r="O70" s="542" t="b">
        <f t="shared" si="59"/>
        <v>1</v>
      </c>
      <c r="P70" s="493">
        <f t="shared" si="85"/>
        <v>1.1599999999999999E-2</v>
      </c>
      <c r="Q70" s="493">
        <f t="shared" si="86"/>
        <v>0.98839999999999995</v>
      </c>
      <c r="R70" s="543">
        <f t="shared" si="87"/>
        <v>481314</v>
      </c>
      <c r="S70" s="544">
        <f t="shared" si="88"/>
        <v>0.97560975599999999</v>
      </c>
      <c r="T70" s="423">
        <f t="shared" si="89"/>
        <v>85459.02</v>
      </c>
      <c r="U70" s="423">
        <f xml:space="preserve"> IF( $O70,    ROUND(  SUM( T70:T$120), U$17 ),  LEER  )</f>
        <v>1262056.72</v>
      </c>
      <c r="V70" s="493">
        <f t="shared" si="90"/>
        <v>14.768000000000001</v>
      </c>
      <c r="W70" s="493">
        <f t="shared" si="91"/>
        <v>288936.95</v>
      </c>
      <c r="X70" s="493">
        <f xml:space="preserve"> IF( $O70,    ROUND(  SUM( W70:W$120), X$17 ),  LEER  )</f>
        <v>5811508.4100000001</v>
      </c>
      <c r="Y70" s="493">
        <f t="shared" si="92"/>
        <v>68.003500000000003</v>
      </c>
      <c r="Z70" s="493">
        <f t="shared" si="93"/>
        <v>4.6048</v>
      </c>
      <c r="AA70" s="493">
        <f t="shared" si="94"/>
        <v>1.0093000000000001</v>
      </c>
      <c r="AB70" s="493">
        <f t="shared" si="95"/>
        <v>2.3494000000000002</v>
      </c>
      <c r="AC70" s="545">
        <f t="shared" si="96"/>
        <v>0.32679999999999998</v>
      </c>
      <c r="AD70" s="493">
        <f t="shared" si="97"/>
        <v>4.6506999999999996</v>
      </c>
      <c r="AE70" s="493">
        <f t="shared" si="98"/>
        <v>5.4458000000000002</v>
      </c>
      <c r="AF70" s="493">
        <f t="shared" si="99"/>
        <v>5.4458000000000002</v>
      </c>
      <c r="AG70" s="493" t="str">
        <f t="shared" si="100"/>
        <v>.</v>
      </c>
      <c r="AH70" s="493" t="str">
        <f t="shared" si="101"/>
        <v>.</v>
      </c>
      <c r="AI70" s="423">
        <f t="shared" si="102"/>
        <v>2077.79</v>
      </c>
      <c r="AJ70" s="423">
        <f t="shared" si="103"/>
        <v>11315.23</v>
      </c>
      <c r="AK70" s="423">
        <f t="shared" si="104"/>
        <v>942.94</v>
      </c>
      <c r="AN70" s="423">
        <f t="shared" si="120"/>
        <v>84404.3</v>
      </c>
      <c r="AO70" s="423">
        <f t="shared" si="120"/>
        <v>83723.100000000006</v>
      </c>
      <c r="AR70" s="546">
        <f xml:space="preserve"> ROUND(  INDEX( Kx!70:70, AR$16 ),  AR$17 )</f>
        <v>0.71040000000000003</v>
      </c>
      <c r="AS70" s="547">
        <f xml:space="preserve"> ROUND(  INDEX( qx!70:70, AS$16 ),  AS$17 )</f>
        <v>1.01E-2</v>
      </c>
      <c r="AT70" s="547">
        <f xml:space="preserve"> ROUND(  INDEX( qx!70:70, AT$16 ),  AT$17 )</f>
        <v>6.1000000000000004E-3</v>
      </c>
      <c r="AU70" s="548" t="str">
        <f t="shared" si="105"/>
        <v>F</v>
      </c>
      <c r="AV70" s="542">
        <f t="shared" si="106"/>
        <v>0.62050000000000005</v>
      </c>
      <c r="AW70" s="542">
        <f t="shared" si="107"/>
        <v>8.6E-3</v>
      </c>
      <c r="AX70" s="546">
        <f xml:space="preserve"> ROUND(  INDEX( wx!70:70, AX$16 ),  AX$17 )</f>
        <v>3.5000000000000001E-3</v>
      </c>
      <c r="AY70" s="546">
        <f xml:space="preserve"> ROUND(  INDEX( wx!70:70, AY$16 ),  AY$17 )</f>
        <v>2.3E-3</v>
      </c>
      <c r="AZ70" s="548" t="str">
        <f t="shared" si="108"/>
        <v>F</v>
      </c>
      <c r="BA70" s="542">
        <f t="shared" si="109"/>
        <v>0.62050000000000005</v>
      </c>
      <c r="BB70" s="542">
        <f t="shared" si="110"/>
        <v>3.0000000000000001E-3</v>
      </c>
      <c r="BC70" s="533">
        <f xml:space="preserve"> ROUND(  INDEX( Kx!70:70, BC$16 ),  BC$17 )</f>
        <v>7220.62</v>
      </c>
      <c r="BD70" s="533">
        <f xml:space="preserve"> ROUND(  INDEX( Kx!70:70, BD$16 ),  BD$17 )</f>
        <v>6304.25</v>
      </c>
      <c r="BE70" s="548" t="str">
        <f t="shared" si="60"/>
        <v>M</v>
      </c>
      <c r="BF70" s="542">
        <f t="shared" si="111"/>
        <v>0.7863</v>
      </c>
      <c r="BG70" s="420">
        <f t="shared" si="112"/>
        <v>7024.79</v>
      </c>
      <c r="BQ70" s="549"/>
      <c r="BR70" s="423"/>
      <c r="BS70" s="550"/>
      <c r="BT70" s="423"/>
      <c r="BU70" s="551"/>
      <c r="BV70" s="551"/>
      <c r="BW70" s="529"/>
      <c r="BX70" s="552"/>
      <c r="BY70" s="560"/>
      <c r="BZ70" s="559"/>
      <c r="CB70" s="423"/>
      <c r="CC70" s="423"/>
      <c r="CD70" s="423"/>
      <c r="CE70" s="423"/>
      <c r="CF70" s="553"/>
      <c r="CH70" s="423"/>
      <c r="CI70" s="423"/>
      <c r="CJ70" s="423"/>
      <c r="CK70" s="423"/>
      <c r="CL70" s="553"/>
      <c r="CN70" s="423"/>
      <c r="CO70" s="423"/>
      <c r="CP70" s="423"/>
      <c r="CQ70" s="423"/>
      <c r="CR70" s="553"/>
      <c r="EI70" s="553"/>
      <c r="EJ70" s="553"/>
      <c r="EK70" s="423"/>
      <c r="EL70" s="555"/>
      <c r="ES70" s="533"/>
      <c r="ET70" s="533"/>
      <c r="EU70" s="533"/>
      <c r="EV70" s="556"/>
      <c r="EY70" s="533"/>
      <c r="EZ70" s="533"/>
      <c r="FA70" s="556"/>
      <c r="FD70" s="556"/>
      <c r="FE70" s="556"/>
      <c r="FF70" s="556"/>
      <c r="FK70" s="557">
        <f t="shared" si="113"/>
        <v>70</v>
      </c>
      <c r="FL70" s="493">
        <f t="shared" si="114"/>
        <v>68.003500000000003</v>
      </c>
      <c r="FM70" s="493">
        <f t="shared" si="115"/>
        <v>14.768000000000001</v>
      </c>
      <c r="FO70" s="427">
        <f t="shared" si="61"/>
        <v>3051415.1199999996</v>
      </c>
      <c r="FP70" s="558">
        <f t="shared" si="126"/>
        <v>104462.96</v>
      </c>
      <c r="FQ70" s="558">
        <f t="shared" si="126"/>
        <v>103220.22</v>
      </c>
      <c r="FR70" s="558">
        <f t="shared" si="126"/>
        <v>101974.42</v>
      </c>
      <c r="FS70" s="558">
        <f t="shared" si="126"/>
        <v>100728.61</v>
      </c>
      <c r="FT70" s="558">
        <f t="shared" si="126"/>
        <v>99439.85</v>
      </c>
      <c r="FU70" s="558">
        <f t="shared" si="126"/>
        <v>98114.27</v>
      </c>
      <c r="FV70" s="558">
        <f t="shared" si="126"/>
        <v>96800.960000000006</v>
      </c>
      <c r="FW70" s="558">
        <f t="shared" si="126"/>
        <v>95478.44</v>
      </c>
      <c r="FX70" s="558">
        <f t="shared" si="126"/>
        <v>94109.9</v>
      </c>
      <c r="FY70" s="558">
        <f t="shared" si="126"/>
        <v>92686.13</v>
      </c>
      <c r="FZ70" s="558">
        <f t="shared" si="126"/>
        <v>91253.15</v>
      </c>
      <c r="GA70" s="558">
        <f t="shared" si="126"/>
        <v>89798.69</v>
      </c>
      <c r="GB70" s="558">
        <f t="shared" si="126"/>
        <v>88310.47</v>
      </c>
      <c r="GC70" s="558">
        <f t="shared" si="126"/>
        <v>86816.13</v>
      </c>
      <c r="GD70" s="558">
        <f t="shared" si="126"/>
        <v>85275.75</v>
      </c>
      <c r="GE70" s="558">
        <f t="shared" si="126"/>
        <v>83723.100000000006</v>
      </c>
      <c r="GF70" s="558">
        <f t="shared" si="124"/>
        <v>82124.42</v>
      </c>
      <c r="GG70" s="558">
        <f t="shared" si="124"/>
        <v>80488.92</v>
      </c>
      <c r="GH70" s="558">
        <f t="shared" si="124"/>
        <v>78807.39</v>
      </c>
      <c r="GI70" s="558">
        <f t="shared" si="124"/>
        <v>77076.77</v>
      </c>
      <c r="GJ70" s="558">
        <f t="shared" si="124"/>
        <v>75293.98</v>
      </c>
      <c r="GK70" s="558">
        <f t="shared" si="124"/>
        <v>73443.69</v>
      </c>
      <c r="GL70" s="558">
        <f t="shared" si="124"/>
        <v>71525.89</v>
      </c>
      <c r="GM70" s="558">
        <f t="shared" si="124"/>
        <v>69537.509999999995</v>
      </c>
      <c r="GN70" s="558">
        <f t="shared" si="124"/>
        <v>67469.36</v>
      </c>
      <c r="GO70" s="558">
        <f t="shared" si="124"/>
        <v>65336.76</v>
      </c>
      <c r="GP70" s="558">
        <f t="shared" si="124"/>
        <v>63130.53</v>
      </c>
      <c r="GQ70" s="558">
        <f t="shared" si="124"/>
        <v>60856.78</v>
      </c>
      <c r="GR70" s="558">
        <f t="shared" si="124"/>
        <v>58521.67</v>
      </c>
      <c r="GS70" s="558">
        <f t="shared" si="124"/>
        <v>56128.25</v>
      </c>
      <c r="GT70" s="558">
        <f t="shared" si="124"/>
        <v>53685.74</v>
      </c>
      <c r="GU70" s="558">
        <f t="shared" si="127"/>
        <v>51184.93</v>
      </c>
      <c r="GV70" s="558">
        <f t="shared" si="127"/>
        <v>48650.37</v>
      </c>
      <c r="GW70" s="558">
        <f t="shared" si="127"/>
        <v>46069.78</v>
      </c>
      <c r="GX70" s="558">
        <f t="shared" si="127"/>
        <v>43461.57</v>
      </c>
      <c r="GY70" s="558">
        <f t="shared" si="127"/>
        <v>40825.74</v>
      </c>
      <c r="GZ70" s="558">
        <f t="shared" si="127"/>
        <v>38159.230000000003</v>
      </c>
      <c r="HA70" s="558">
        <f t="shared" si="127"/>
        <v>35471.24</v>
      </c>
      <c r="HB70" s="558">
        <f t="shared" si="127"/>
        <v>32743.37</v>
      </c>
      <c r="HC70" s="558">
        <f t="shared" si="127"/>
        <v>29957.19</v>
      </c>
      <c r="HD70" s="558">
        <f t="shared" si="127"/>
        <v>27131.119999999999</v>
      </c>
      <c r="HE70" s="558">
        <f t="shared" si="127"/>
        <v>24277.43</v>
      </c>
      <c r="HF70" s="558">
        <f t="shared" si="127"/>
        <v>21386.92</v>
      </c>
      <c r="HG70" s="558">
        <f t="shared" si="127"/>
        <v>18474.93</v>
      </c>
      <c r="HH70" s="558">
        <f t="shared" si="127"/>
        <v>15532.26</v>
      </c>
      <c r="HI70" s="558">
        <f t="shared" si="127"/>
        <v>12617.2</v>
      </c>
      <c r="HJ70" s="558">
        <f t="shared" si="127"/>
        <v>9677.6</v>
      </c>
      <c r="HK70" s="558">
        <f t="shared" si="128"/>
        <v>6756.41</v>
      </c>
      <c r="HL70" s="558">
        <f t="shared" si="128"/>
        <v>3856.69</v>
      </c>
      <c r="HM70" s="558">
        <f t="shared" si="128"/>
        <v>969.25</v>
      </c>
      <c r="HN70" s="558">
        <f t="shared" si="128"/>
        <v>-1408.82</v>
      </c>
      <c r="HO70" s="558" t="str">
        <f t="shared" si="128"/>
        <v>.</v>
      </c>
      <c r="HP70" s="558" t="str">
        <f t="shared" si="123"/>
        <v>.</v>
      </c>
      <c r="HQ70" s="558" t="str">
        <f t="shared" si="123"/>
        <v>.</v>
      </c>
      <c r="HR70" s="558" t="str">
        <f t="shared" si="123"/>
        <v>.</v>
      </c>
      <c r="HS70" s="558" t="str">
        <f t="shared" si="123"/>
        <v>.</v>
      </c>
      <c r="HT70" s="558" t="str">
        <f t="shared" si="123"/>
        <v>.</v>
      </c>
      <c r="HU70" s="558" t="str">
        <f t="shared" si="123"/>
        <v>.</v>
      </c>
      <c r="HV70" s="558" t="str">
        <f t="shared" si="123"/>
        <v>.</v>
      </c>
      <c r="HW70" s="558" t="str">
        <f t="shared" si="123"/>
        <v>.</v>
      </c>
      <c r="HX70" s="558" t="str">
        <f t="shared" si="123"/>
        <v>.</v>
      </c>
      <c r="HY70" s="558" t="str">
        <f t="shared" si="123"/>
        <v>.</v>
      </c>
      <c r="HZ70" s="558" t="str">
        <f t="shared" si="123"/>
        <v>.</v>
      </c>
      <c r="IA70" s="558" t="str">
        <f t="shared" si="122"/>
        <v>.</v>
      </c>
      <c r="IB70" s="558" t="str">
        <f t="shared" si="122"/>
        <v>.</v>
      </c>
      <c r="IC70" s="558" t="str">
        <f t="shared" si="122"/>
        <v>.</v>
      </c>
      <c r="ID70" s="558" t="str">
        <f t="shared" si="122"/>
        <v>.</v>
      </c>
      <c r="IE70" s="558" t="str">
        <f t="shared" si="122"/>
        <v>.</v>
      </c>
      <c r="IF70" s="558" t="str">
        <f t="shared" si="122"/>
        <v>.</v>
      </c>
      <c r="IG70" s="558" t="str">
        <f t="shared" si="122"/>
        <v>.</v>
      </c>
      <c r="IH70" s="558" t="str">
        <f t="shared" si="122"/>
        <v>.</v>
      </c>
      <c r="II70" s="558" t="str">
        <f t="shared" si="122"/>
        <v>.</v>
      </c>
      <c r="IJ70" s="558" t="str">
        <f t="shared" si="122"/>
        <v>.</v>
      </c>
      <c r="IK70" s="558" t="str">
        <f t="shared" si="122"/>
        <v>.</v>
      </c>
      <c r="IL70" s="558" t="str">
        <f t="shared" si="122"/>
        <v>.</v>
      </c>
      <c r="IM70" s="558" t="str">
        <f t="shared" si="122"/>
        <v>.</v>
      </c>
      <c r="IN70" s="558" t="str">
        <f t="shared" si="122"/>
        <v>.</v>
      </c>
      <c r="IO70" s="558" t="str">
        <f t="shared" si="122"/>
        <v>.</v>
      </c>
      <c r="IP70" s="558" t="str">
        <f t="shared" si="122"/>
        <v>.</v>
      </c>
      <c r="IQ70" s="558" t="str">
        <f t="shared" si="122"/>
        <v>.</v>
      </c>
      <c r="IR70" s="558" t="str">
        <f t="shared" si="122"/>
        <v>.</v>
      </c>
      <c r="IS70" s="558" t="str">
        <f t="shared" si="125"/>
        <v>.</v>
      </c>
      <c r="IT70" s="558" t="str">
        <f t="shared" si="125"/>
        <v>.</v>
      </c>
      <c r="IU70" s="558" t="str">
        <f t="shared" si="125"/>
        <v>.</v>
      </c>
      <c r="IV70" s="558" t="str">
        <f t="shared" si="125"/>
        <v>.</v>
      </c>
      <c r="IW70" s="558" t="str">
        <f t="shared" si="125"/>
        <v>.</v>
      </c>
      <c r="IX70" s="558" t="str">
        <f t="shared" si="125"/>
        <v>.</v>
      </c>
      <c r="IY70" s="558" t="str">
        <f t="shared" si="125"/>
        <v>.</v>
      </c>
      <c r="IZ70" s="558" t="str">
        <f t="shared" si="125"/>
        <v>.</v>
      </c>
      <c r="JA70" s="558" t="str">
        <f t="shared" si="125"/>
        <v>.</v>
      </c>
      <c r="JB70" s="558" t="str">
        <f t="shared" si="125"/>
        <v>.</v>
      </c>
      <c r="JC70" s="558" t="str">
        <f t="shared" si="121"/>
        <v>.</v>
      </c>
      <c r="JD70" s="558" t="str">
        <f t="shared" si="121"/>
        <v>.</v>
      </c>
      <c r="JE70" s="558" t="str">
        <f t="shared" si="121"/>
        <v>.</v>
      </c>
      <c r="JF70" s="558" t="str">
        <f t="shared" si="121"/>
        <v>.</v>
      </c>
      <c r="JG70" s="558" t="str">
        <f t="shared" si="121"/>
        <v>.</v>
      </c>
      <c r="JH70" s="558" t="str">
        <f t="shared" si="121"/>
        <v>.</v>
      </c>
      <c r="JI70" s="558" t="str">
        <f t="shared" si="121"/>
        <v>.</v>
      </c>
      <c r="JJ70" s="558" t="str">
        <f t="shared" si="121"/>
        <v>.</v>
      </c>
      <c r="JK70" s="558" t="str">
        <f t="shared" si="121"/>
        <v>.</v>
      </c>
      <c r="JL70" s="558" t="str">
        <f t="shared" si="121"/>
        <v>.</v>
      </c>
    </row>
    <row r="71" spans="1:272" ht="10.199999999999999" x14ac:dyDescent="0.2">
      <c r="A71" s="534">
        <f xml:space="preserve"> Basis!A71</f>
        <v>71</v>
      </c>
      <c r="F71" s="536">
        <f xml:space="preserve"> ROUND(    IF( $A$15=BE_MF_,   AW71,   INDEX( qx!71:71, F$16 ) ),    F$17    )</f>
        <v>9.4000000000000004E-3</v>
      </c>
      <c r="G71" s="536">
        <f xml:space="preserve"> ROUND(    IF( $A$15=BE_MF_,   BB71,   INDEX( wx!71:71, G$16 ) ),    G$17    )</f>
        <v>2.8E-3</v>
      </c>
      <c r="H71" s="537">
        <f xml:space="preserve"> ROUND(    IF( $A$15=BE_MF_,   BG71,   INDEX( Kx!71:71, H$16 ) ),    H$17    )</f>
        <v>7349.56</v>
      </c>
      <c r="I71" s="538">
        <f t="shared" si="57"/>
        <v>7349.56</v>
      </c>
      <c r="J71" s="539">
        <f t="shared" si="84"/>
        <v>3.5369999999999999</v>
      </c>
      <c r="K71" s="540">
        <f t="shared" si="119"/>
        <v>1</v>
      </c>
      <c r="L71" s="541">
        <f t="shared" si="71"/>
        <v>0</v>
      </c>
      <c r="M71" s="541">
        <f t="shared" si="71"/>
        <v>8.5999999999999993E-2</v>
      </c>
      <c r="O71" s="542" t="b">
        <f t="shared" si="59"/>
        <v>1</v>
      </c>
      <c r="P71" s="493">
        <f t="shared" si="85"/>
        <v>1.2200000000000001E-2</v>
      </c>
      <c r="Q71" s="493">
        <f t="shared" si="86"/>
        <v>0.98780000000000001</v>
      </c>
      <c r="R71" s="543">
        <f t="shared" si="87"/>
        <v>475730</v>
      </c>
      <c r="S71" s="544">
        <f t="shared" si="88"/>
        <v>0.97560975599999999</v>
      </c>
      <c r="T71" s="423">
        <f t="shared" si="89"/>
        <v>82407.38</v>
      </c>
      <c r="U71" s="423">
        <f xml:space="preserve"> IF( $O71,    ROUND(  SUM( T71:T$120), U$17 ),  LEER  )</f>
        <v>1176597.7</v>
      </c>
      <c r="V71" s="493">
        <f t="shared" si="90"/>
        <v>14.277799999999999</v>
      </c>
      <c r="W71" s="493">
        <f t="shared" si="91"/>
        <v>291474.90000000002</v>
      </c>
      <c r="X71" s="493">
        <f xml:space="preserve"> IF( $O71,    ROUND(  SUM( W71:W$120), X$17 ),  LEER  )</f>
        <v>5522571.46</v>
      </c>
      <c r="Y71" s="493">
        <f t="shared" si="92"/>
        <v>67.015500000000003</v>
      </c>
      <c r="Z71" s="493">
        <f t="shared" si="93"/>
        <v>4.6936999999999998</v>
      </c>
      <c r="AA71" s="493">
        <f t="shared" si="94"/>
        <v>1.0064</v>
      </c>
      <c r="AB71" s="493">
        <f t="shared" si="95"/>
        <v>2.3494000000000002</v>
      </c>
      <c r="AC71" s="545">
        <f t="shared" si="96"/>
        <v>0.32679999999999998</v>
      </c>
      <c r="AD71" s="493">
        <f t="shared" si="97"/>
        <v>4.7257999999999996</v>
      </c>
      <c r="AE71" s="493">
        <f t="shared" si="98"/>
        <v>5.5279999999999996</v>
      </c>
      <c r="AF71" s="493">
        <f t="shared" si="99"/>
        <v>5.5279999999999996</v>
      </c>
      <c r="AG71" s="493" t="str">
        <f t="shared" si="100"/>
        <v>.</v>
      </c>
      <c r="AH71" s="493" t="str">
        <f t="shared" si="101"/>
        <v>.</v>
      </c>
      <c r="AI71" s="423">
        <f t="shared" si="102"/>
        <v>2077.79</v>
      </c>
      <c r="AJ71" s="423">
        <f t="shared" si="103"/>
        <v>11486.02</v>
      </c>
      <c r="AK71" s="423">
        <f t="shared" si="104"/>
        <v>957.17</v>
      </c>
      <c r="AN71" s="423">
        <f t="shared" si="120"/>
        <v>84239.9</v>
      </c>
      <c r="AO71" s="423">
        <f t="shared" si="120"/>
        <v>83581.31</v>
      </c>
      <c r="AR71" s="546">
        <f xml:space="preserve"> ROUND(  INDEX( Kx!71:71, AR$16 ),  AR$17 )</f>
        <v>0.70979999999999999</v>
      </c>
      <c r="AS71" s="547">
        <f xml:space="preserve"> ROUND(  INDEX( qx!71:71, AS$16 ),  AS$17 )</f>
        <v>1.11E-2</v>
      </c>
      <c r="AT71" s="547">
        <f xml:space="preserve"> ROUND(  INDEX( qx!71:71, AT$16 ),  AT$17 )</f>
        <v>6.7000000000000002E-3</v>
      </c>
      <c r="AU71" s="548" t="str">
        <f t="shared" si="105"/>
        <v>F</v>
      </c>
      <c r="AV71" s="542">
        <f t="shared" si="106"/>
        <v>0.61990000000000001</v>
      </c>
      <c r="AW71" s="542">
        <f t="shared" si="107"/>
        <v>9.4000000000000004E-3</v>
      </c>
      <c r="AX71" s="546">
        <f xml:space="preserve"> ROUND(  INDEX( wx!71:71, AX$16 ),  AX$17 )</f>
        <v>3.2000000000000002E-3</v>
      </c>
      <c r="AY71" s="546">
        <f xml:space="preserve"> ROUND(  INDEX( wx!71:71, AY$16 ),  AY$17 )</f>
        <v>2.2000000000000001E-3</v>
      </c>
      <c r="AZ71" s="548" t="str">
        <f t="shared" si="108"/>
        <v>F</v>
      </c>
      <c r="BA71" s="542">
        <f t="shared" si="109"/>
        <v>0.61990000000000001</v>
      </c>
      <c r="BB71" s="542">
        <f t="shared" si="110"/>
        <v>2.8E-3</v>
      </c>
      <c r="BC71" s="533">
        <f xml:space="preserve"> ROUND(  INDEX( Kx!71:71, BC$16 ),  BC$17 )</f>
        <v>7558.22</v>
      </c>
      <c r="BD71" s="533">
        <f xml:space="preserve"> ROUND(  INDEX( Kx!71:71, BD$16 ),  BD$17 )</f>
        <v>6584.07</v>
      </c>
      <c r="BE71" s="548" t="str">
        <f t="shared" si="60"/>
        <v>M</v>
      </c>
      <c r="BF71" s="542">
        <f t="shared" si="111"/>
        <v>0.78580000000000005</v>
      </c>
      <c r="BG71" s="420">
        <f t="shared" si="112"/>
        <v>7349.56</v>
      </c>
      <c r="BQ71" s="549"/>
      <c r="BR71" s="423"/>
      <c r="BS71" s="550"/>
      <c r="BT71" s="423"/>
      <c r="BU71" s="551"/>
      <c r="BV71" s="551"/>
      <c r="BW71" s="529"/>
      <c r="BX71" s="552"/>
      <c r="BY71" s="560"/>
      <c r="BZ71" s="559"/>
      <c r="CB71" s="423"/>
      <c r="CC71" s="423"/>
      <c r="CD71" s="423"/>
      <c r="CE71" s="423"/>
      <c r="CF71" s="553"/>
      <c r="CH71" s="423"/>
      <c r="CI71" s="423"/>
      <c r="CJ71" s="423"/>
      <c r="CK71" s="423"/>
      <c r="CL71" s="553"/>
      <c r="CN71" s="423"/>
      <c r="CO71" s="423"/>
      <c r="CP71" s="423"/>
      <c r="CQ71" s="423"/>
      <c r="CR71" s="553"/>
      <c r="EI71" s="553"/>
      <c r="EJ71" s="553"/>
      <c r="EK71" s="423"/>
      <c r="EL71" s="555"/>
      <c r="ES71" s="533"/>
      <c r="ET71" s="533"/>
      <c r="EU71" s="533"/>
      <c r="EV71" s="556"/>
      <c r="EY71" s="533"/>
      <c r="EZ71" s="533"/>
      <c r="FA71" s="556"/>
      <c r="FD71" s="556"/>
      <c r="FE71" s="556"/>
      <c r="FF71" s="556"/>
      <c r="FK71" s="557">
        <f t="shared" si="113"/>
        <v>71</v>
      </c>
      <c r="FL71" s="493">
        <f t="shared" si="114"/>
        <v>67.015500000000003</v>
      </c>
      <c r="FM71" s="493">
        <f t="shared" si="115"/>
        <v>14.277799999999999</v>
      </c>
      <c r="FO71" s="427">
        <f t="shared" si="61"/>
        <v>3083676.36</v>
      </c>
      <c r="FP71" s="558">
        <f t="shared" si="126"/>
        <v>103632.75</v>
      </c>
      <c r="FQ71" s="558">
        <f t="shared" si="126"/>
        <v>102431.26</v>
      </c>
      <c r="FR71" s="558">
        <f t="shared" si="126"/>
        <v>101226.81</v>
      </c>
      <c r="FS71" s="558">
        <f t="shared" si="126"/>
        <v>100022.36</v>
      </c>
      <c r="FT71" s="558">
        <f t="shared" si="126"/>
        <v>98776.38</v>
      </c>
      <c r="FU71" s="558">
        <f t="shared" si="126"/>
        <v>97494.79</v>
      </c>
      <c r="FV71" s="558">
        <f t="shared" si="126"/>
        <v>96225.08</v>
      </c>
      <c r="FW71" s="558">
        <f t="shared" si="126"/>
        <v>94946.46</v>
      </c>
      <c r="FX71" s="558">
        <f t="shared" si="126"/>
        <v>93623.35</v>
      </c>
      <c r="FY71" s="558">
        <f t="shared" si="126"/>
        <v>92246.83</v>
      </c>
      <c r="FZ71" s="558">
        <f t="shared" si="126"/>
        <v>90861.42</v>
      </c>
      <c r="GA71" s="558">
        <f t="shared" si="126"/>
        <v>89455.23</v>
      </c>
      <c r="GB71" s="558">
        <f t="shared" si="126"/>
        <v>88016.42</v>
      </c>
      <c r="GC71" s="558">
        <f t="shared" si="126"/>
        <v>86571.67</v>
      </c>
      <c r="GD71" s="558">
        <f t="shared" si="126"/>
        <v>85082.43</v>
      </c>
      <c r="GE71" s="558">
        <f t="shared" si="126"/>
        <v>83581.31</v>
      </c>
      <c r="GF71" s="558">
        <f t="shared" si="124"/>
        <v>82035.7</v>
      </c>
      <c r="GG71" s="558">
        <f t="shared" si="124"/>
        <v>80454.490000000005</v>
      </c>
      <c r="GH71" s="558">
        <f t="shared" si="124"/>
        <v>78828.78</v>
      </c>
      <c r="GI71" s="558">
        <f t="shared" si="124"/>
        <v>77155.600000000006</v>
      </c>
      <c r="GJ71" s="558">
        <f t="shared" si="124"/>
        <v>75431.990000000005</v>
      </c>
      <c r="GK71" s="558">
        <f t="shared" si="124"/>
        <v>73643.11</v>
      </c>
      <c r="GL71" s="558">
        <f t="shared" si="124"/>
        <v>71788.97</v>
      </c>
      <c r="GM71" s="558">
        <f t="shared" si="124"/>
        <v>69866.600000000006</v>
      </c>
      <c r="GN71" s="558">
        <f t="shared" si="124"/>
        <v>67867.09</v>
      </c>
      <c r="GO71" s="558">
        <f t="shared" si="124"/>
        <v>65805.279999999999</v>
      </c>
      <c r="GP71" s="558">
        <f t="shared" si="124"/>
        <v>63672.28</v>
      </c>
      <c r="GQ71" s="558">
        <f t="shared" si="124"/>
        <v>61474.01</v>
      </c>
      <c r="GR71" s="558">
        <f t="shared" si="124"/>
        <v>59216.41</v>
      </c>
      <c r="GS71" s="558">
        <f t="shared" si="124"/>
        <v>56902.44</v>
      </c>
      <c r="GT71" s="558">
        <f t="shared" si="124"/>
        <v>54541</v>
      </c>
      <c r="GU71" s="558">
        <f t="shared" si="127"/>
        <v>52123.199999999997</v>
      </c>
      <c r="GV71" s="558">
        <f t="shared" si="127"/>
        <v>49672.77</v>
      </c>
      <c r="GW71" s="558">
        <f t="shared" si="127"/>
        <v>47177.83</v>
      </c>
      <c r="GX71" s="558">
        <f t="shared" si="127"/>
        <v>44656.2</v>
      </c>
      <c r="GY71" s="558">
        <f t="shared" si="127"/>
        <v>42107.87</v>
      </c>
      <c r="GZ71" s="558">
        <f t="shared" si="127"/>
        <v>39529.870000000003</v>
      </c>
      <c r="HA71" s="558">
        <f t="shared" si="127"/>
        <v>36931.1</v>
      </c>
      <c r="HB71" s="558">
        <f t="shared" si="127"/>
        <v>34293.769999999997</v>
      </c>
      <c r="HC71" s="558">
        <f t="shared" si="127"/>
        <v>31600.07</v>
      </c>
      <c r="HD71" s="558">
        <f t="shared" si="127"/>
        <v>28867.81</v>
      </c>
      <c r="HE71" s="558">
        <f t="shared" si="127"/>
        <v>26108.85</v>
      </c>
      <c r="HF71" s="558">
        <f t="shared" si="127"/>
        <v>23314.29</v>
      </c>
      <c r="HG71" s="558">
        <f t="shared" si="127"/>
        <v>20498.96</v>
      </c>
      <c r="HH71" s="558">
        <f t="shared" si="127"/>
        <v>17653.96</v>
      </c>
      <c r="HI71" s="558">
        <f t="shared" si="127"/>
        <v>14835.67</v>
      </c>
      <c r="HJ71" s="558">
        <f t="shared" si="127"/>
        <v>11993.64</v>
      </c>
      <c r="HK71" s="558">
        <f t="shared" si="128"/>
        <v>9169.41</v>
      </c>
      <c r="HL71" s="558">
        <f t="shared" si="128"/>
        <v>6365.95</v>
      </c>
      <c r="HM71" s="558">
        <f t="shared" si="128"/>
        <v>3574.35</v>
      </c>
      <c r="HN71" s="558">
        <f t="shared" si="128"/>
        <v>1275.21</v>
      </c>
      <c r="HO71" s="558">
        <f t="shared" si="128"/>
        <v>-952.72</v>
      </c>
      <c r="HP71" s="558" t="str">
        <f t="shared" si="123"/>
        <v>.</v>
      </c>
      <c r="HQ71" s="558" t="str">
        <f t="shared" si="123"/>
        <v>.</v>
      </c>
      <c r="HR71" s="558" t="str">
        <f t="shared" si="123"/>
        <v>.</v>
      </c>
      <c r="HS71" s="558" t="str">
        <f t="shared" si="123"/>
        <v>.</v>
      </c>
      <c r="HT71" s="558" t="str">
        <f t="shared" si="123"/>
        <v>.</v>
      </c>
      <c r="HU71" s="558" t="str">
        <f t="shared" si="123"/>
        <v>.</v>
      </c>
      <c r="HV71" s="558" t="str">
        <f t="shared" si="123"/>
        <v>.</v>
      </c>
      <c r="HW71" s="558" t="str">
        <f t="shared" si="123"/>
        <v>.</v>
      </c>
      <c r="HX71" s="558" t="str">
        <f t="shared" si="123"/>
        <v>.</v>
      </c>
      <c r="HY71" s="558" t="str">
        <f t="shared" si="123"/>
        <v>.</v>
      </c>
      <c r="HZ71" s="558" t="str">
        <f t="shared" si="123"/>
        <v>.</v>
      </c>
      <c r="IA71" s="558" t="str">
        <f t="shared" si="122"/>
        <v>.</v>
      </c>
      <c r="IB71" s="558" t="str">
        <f t="shared" si="122"/>
        <v>.</v>
      </c>
      <c r="IC71" s="558" t="str">
        <f t="shared" si="122"/>
        <v>.</v>
      </c>
      <c r="ID71" s="558" t="str">
        <f t="shared" si="122"/>
        <v>.</v>
      </c>
      <c r="IE71" s="558" t="str">
        <f t="shared" si="122"/>
        <v>.</v>
      </c>
      <c r="IF71" s="558" t="str">
        <f t="shared" si="122"/>
        <v>.</v>
      </c>
      <c r="IG71" s="558" t="str">
        <f t="shared" si="122"/>
        <v>.</v>
      </c>
      <c r="IH71" s="558" t="str">
        <f t="shared" si="122"/>
        <v>.</v>
      </c>
      <c r="II71" s="558" t="str">
        <f t="shared" si="122"/>
        <v>.</v>
      </c>
      <c r="IJ71" s="558" t="str">
        <f t="shared" si="122"/>
        <v>.</v>
      </c>
      <c r="IK71" s="558" t="str">
        <f t="shared" si="122"/>
        <v>.</v>
      </c>
      <c r="IL71" s="558" t="str">
        <f t="shared" si="122"/>
        <v>.</v>
      </c>
      <c r="IM71" s="558" t="str">
        <f t="shared" si="122"/>
        <v>.</v>
      </c>
      <c r="IN71" s="558" t="str">
        <f t="shared" si="122"/>
        <v>.</v>
      </c>
      <c r="IO71" s="558" t="str">
        <f t="shared" si="122"/>
        <v>.</v>
      </c>
      <c r="IP71" s="558" t="str">
        <f t="shared" si="122"/>
        <v>.</v>
      </c>
      <c r="IQ71" s="558" t="str">
        <f t="shared" si="122"/>
        <v>.</v>
      </c>
      <c r="IR71" s="558" t="str">
        <f t="shared" si="122"/>
        <v>.</v>
      </c>
      <c r="IS71" s="558" t="str">
        <f t="shared" si="125"/>
        <v>.</v>
      </c>
      <c r="IT71" s="558" t="str">
        <f t="shared" si="125"/>
        <v>.</v>
      </c>
      <c r="IU71" s="558" t="str">
        <f t="shared" si="125"/>
        <v>.</v>
      </c>
      <c r="IV71" s="558" t="str">
        <f t="shared" si="125"/>
        <v>.</v>
      </c>
      <c r="IW71" s="558" t="str">
        <f t="shared" si="125"/>
        <v>.</v>
      </c>
      <c r="IX71" s="558" t="str">
        <f t="shared" si="125"/>
        <v>.</v>
      </c>
      <c r="IY71" s="558" t="str">
        <f t="shared" si="125"/>
        <v>.</v>
      </c>
      <c r="IZ71" s="558" t="str">
        <f t="shared" si="125"/>
        <v>.</v>
      </c>
      <c r="JA71" s="558" t="str">
        <f t="shared" si="125"/>
        <v>.</v>
      </c>
      <c r="JB71" s="558" t="str">
        <f t="shared" si="125"/>
        <v>.</v>
      </c>
      <c r="JC71" s="558" t="str">
        <f t="shared" si="121"/>
        <v>.</v>
      </c>
      <c r="JD71" s="558" t="str">
        <f t="shared" si="121"/>
        <v>.</v>
      </c>
      <c r="JE71" s="558" t="str">
        <f t="shared" si="121"/>
        <v>.</v>
      </c>
      <c r="JF71" s="558" t="str">
        <f t="shared" si="121"/>
        <v>.</v>
      </c>
      <c r="JG71" s="558" t="str">
        <f t="shared" si="121"/>
        <v>.</v>
      </c>
      <c r="JH71" s="558" t="str">
        <f t="shared" si="121"/>
        <v>.</v>
      </c>
      <c r="JI71" s="558" t="str">
        <f t="shared" si="121"/>
        <v>.</v>
      </c>
      <c r="JJ71" s="558" t="str">
        <f t="shared" si="121"/>
        <v>.</v>
      </c>
      <c r="JK71" s="558" t="str">
        <f t="shared" si="121"/>
        <v>.</v>
      </c>
      <c r="JL71" s="558" t="str">
        <f t="shared" si="121"/>
        <v>.</v>
      </c>
    </row>
    <row r="72" spans="1:272" ht="10.199999999999999" x14ac:dyDescent="0.2">
      <c r="A72" s="534">
        <f xml:space="preserve"> Basis!A72</f>
        <v>72</v>
      </c>
      <c r="F72" s="536">
        <f xml:space="preserve"> ROUND(    IF( $A$15=BE_MF_,   AW72,   INDEX( qx!72:72, F$16 ) ),    F$17    )</f>
        <v>1.04E-2</v>
      </c>
      <c r="G72" s="536">
        <f xml:space="preserve"> ROUND(    IF( $A$15=BE_MF_,   BB72,   INDEX( wx!72:72, G$16 ) ),    G$17    )</f>
        <v>2.7000000000000001E-3</v>
      </c>
      <c r="H72" s="537">
        <f xml:space="preserve"> ROUND(    IF( $A$15=BE_MF_,   BG72,   INDEX( Kx!72:72, H$16 ) ),    H$17    )</f>
        <v>7677.94</v>
      </c>
      <c r="I72" s="538">
        <f t="shared" si="57"/>
        <v>7677.94</v>
      </c>
      <c r="J72" s="539">
        <f t="shared" si="84"/>
        <v>3.6949999999999998</v>
      </c>
      <c r="K72" s="540">
        <f t="shared" si="119"/>
        <v>0.5</v>
      </c>
      <c r="L72" s="541">
        <f t="shared" si="71"/>
        <v>0</v>
      </c>
      <c r="M72" s="541">
        <f t="shared" si="71"/>
        <v>8.5999999999999993E-2</v>
      </c>
      <c r="O72" s="542" t="b">
        <f t="shared" si="59"/>
        <v>1</v>
      </c>
      <c r="P72" s="493">
        <f t="shared" si="85"/>
        <v>1.3100000000000001E-2</v>
      </c>
      <c r="Q72" s="493">
        <f t="shared" si="86"/>
        <v>0.9869</v>
      </c>
      <c r="R72" s="543">
        <f t="shared" si="87"/>
        <v>469926</v>
      </c>
      <c r="S72" s="544">
        <f t="shared" si="88"/>
        <v>0.97560975599999999</v>
      </c>
      <c r="T72" s="423">
        <f t="shared" si="89"/>
        <v>79416.58</v>
      </c>
      <c r="U72" s="423">
        <f xml:space="preserve"> IF( $O72,    ROUND(  SUM( T72:T$120), U$17 ),  LEER  )</f>
        <v>1094190.32</v>
      </c>
      <c r="V72" s="493">
        <f t="shared" si="90"/>
        <v>13.777900000000001</v>
      </c>
      <c r="W72" s="493">
        <f t="shared" si="91"/>
        <v>293444.26</v>
      </c>
      <c r="X72" s="493">
        <f xml:space="preserve"> IF( $O72,    ROUND(  SUM( W72:W$120), X$17 ),  LEER  )</f>
        <v>5231096.5599999996</v>
      </c>
      <c r="Y72" s="493">
        <f t="shared" si="92"/>
        <v>65.869100000000003</v>
      </c>
      <c r="Z72" s="493">
        <f t="shared" si="93"/>
        <v>4.7808000000000002</v>
      </c>
      <c r="AA72" s="493">
        <f t="shared" si="94"/>
        <v>1.0033000000000001</v>
      </c>
      <c r="AB72" s="493">
        <f t="shared" si="95"/>
        <v>2.3494000000000002</v>
      </c>
      <c r="AC72" s="545">
        <f t="shared" si="96"/>
        <v>0.32679999999999998</v>
      </c>
      <c r="AD72" s="493">
        <f t="shared" si="97"/>
        <v>4.7976999999999999</v>
      </c>
      <c r="AE72" s="493">
        <f t="shared" si="98"/>
        <v>5.6067</v>
      </c>
      <c r="AF72" s="493">
        <f t="shared" si="99"/>
        <v>5.6067</v>
      </c>
      <c r="AG72" s="493" t="str">
        <f t="shared" si="100"/>
        <v>.</v>
      </c>
      <c r="AH72" s="493" t="str">
        <f t="shared" si="101"/>
        <v>.</v>
      </c>
      <c r="AI72" s="423">
        <f t="shared" si="102"/>
        <v>2077.79</v>
      </c>
      <c r="AJ72" s="423">
        <f t="shared" si="103"/>
        <v>11649.55</v>
      </c>
      <c r="AK72" s="423">
        <f t="shared" si="104"/>
        <v>970.8</v>
      </c>
      <c r="AN72" s="423">
        <f t="shared" si="120"/>
        <v>83783.759999999995</v>
      </c>
      <c r="AO72" s="423">
        <f t="shared" si="120"/>
        <v>83148.22</v>
      </c>
      <c r="AR72" s="546">
        <f xml:space="preserve"> ROUND(  INDEX( Kx!72:72, AR$16 ),  AR$17 )</f>
        <v>0.70579999999999998</v>
      </c>
      <c r="AS72" s="547">
        <f xml:space="preserve"> ROUND(  INDEX( qx!72:72, AS$16 ),  AS$17 )</f>
        <v>1.23E-2</v>
      </c>
      <c r="AT72" s="547">
        <f xml:space="preserve"> ROUND(  INDEX( qx!72:72, AT$16 ),  AT$17 )</f>
        <v>7.4000000000000003E-3</v>
      </c>
      <c r="AU72" s="548" t="str">
        <f t="shared" si="105"/>
        <v>F</v>
      </c>
      <c r="AV72" s="542">
        <f t="shared" si="106"/>
        <v>0.61529999999999996</v>
      </c>
      <c r="AW72" s="542">
        <f t="shared" si="107"/>
        <v>1.04E-2</v>
      </c>
      <c r="AX72" s="546">
        <f xml:space="preserve"> ROUND(  INDEX( wx!72:72, AX$16 ),  AX$17 )</f>
        <v>3.0999999999999999E-3</v>
      </c>
      <c r="AY72" s="546">
        <f xml:space="preserve"> ROUND(  INDEX( wx!72:72, AY$16 ),  AY$17 )</f>
        <v>2.0999999999999999E-3</v>
      </c>
      <c r="AZ72" s="548" t="str">
        <f t="shared" si="108"/>
        <v>F</v>
      </c>
      <c r="BA72" s="542">
        <f t="shared" si="109"/>
        <v>0.61529999999999996</v>
      </c>
      <c r="BB72" s="542">
        <f t="shared" si="110"/>
        <v>2.7000000000000001E-3</v>
      </c>
      <c r="BC72" s="533">
        <f xml:space="preserve"> ROUND(  INDEX( Kx!72:72, BC$16 ),  BC$17 )</f>
        <v>7900.91</v>
      </c>
      <c r="BD72" s="533">
        <f xml:space="preserve"> ROUND(  INDEX( Kx!72:72, BD$16 ),  BD$17 )</f>
        <v>6875.78</v>
      </c>
      <c r="BE72" s="548" t="str">
        <f t="shared" si="60"/>
        <v>M</v>
      </c>
      <c r="BF72" s="542">
        <f t="shared" si="111"/>
        <v>0.78249999999999997</v>
      </c>
      <c r="BG72" s="420">
        <f t="shared" si="112"/>
        <v>7677.94</v>
      </c>
      <c r="BQ72" s="549"/>
      <c r="BR72" s="423"/>
      <c r="BS72" s="550"/>
      <c r="BT72" s="423"/>
      <c r="BU72" s="551"/>
      <c r="BV72" s="551"/>
      <c r="BW72" s="529"/>
      <c r="BX72" s="552"/>
      <c r="BY72" s="560"/>
      <c r="BZ72" s="559"/>
      <c r="CB72" s="423"/>
      <c r="CC72" s="423"/>
      <c r="CD72" s="423"/>
      <c r="CE72" s="423"/>
      <c r="CF72" s="553"/>
      <c r="CH72" s="423"/>
      <c r="CI72" s="423"/>
      <c r="CJ72" s="423"/>
      <c r="CK72" s="423"/>
      <c r="CL72" s="553"/>
      <c r="CN72" s="423"/>
      <c r="CO72" s="423"/>
      <c r="CP72" s="423"/>
      <c r="CQ72" s="423"/>
      <c r="CR72" s="553"/>
      <c r="EI72" s="553"/>
      <c r="EJ72" s="553"/>
      <c r="EK72" s="423"/>
      <c r="EL72" s="555"/>
      <c r="ES72" s="533"/>
      <c r="ET72" s="533"/>
      <c r="EU72" s="533"/>
      <c r="EV72" s="556"/>
      <c r="EY72" s="533"/>
      <c r="EZ72" s="533"/>
      <c r="FA72" s="556"/>
      <c r="FD72" s="556"/>
      <c r="FE72" s="556"/>
      <c r="FF72" s="556"/>
      <c r="FK72" s="557">
        <f t="shared" si="113"/>
        <v>72</v>
      </c>
      <c r="FL72" s="493">
        <f t="shared" si="114"/>
        <v>65.869100000000003</v>
      </c>
      <c r="FM72" s="493">
        <f t="shared" si="115"/>
        <v>13.777900000000001</v>
      </c>
      <c r="FO72" s="427">
        <f t="shared" si="61"/>
        <v>3104876.26</v>
      </c>
      <c r="FP72" s="558">
        <f t="shared" si="126"/>
        <v>102497.61</v>
      </c>
      <c r="FQ72" s="558">
        <f t="shared" si="126"/>
        <v>101338.19</v>
      </c>
      <c r="FR72" s="558">
        <f t="shared" si="126"/>
        <v>100175.91</v>
      </c>
      <c r="FS72" s="558">
        <f t="shared" si="126"/>
        <v>99013.63</v>
      </c>
      <c r="FT72" s="558">
        <f t="shared" si="126"/>
        <v>97811.27</v>
      </c>
      <c r="FU72" s="558">
        <f t="shared" si="126"/>
        <v>96574.56</v>
      </c>
      <c r="FV72" s="558">
        <f t="shared" si="126"/>
        <v>95349.3</v>
      </c>
      <c r="FW72" s="558">
        <f t="shared" si="126"/>
        <v>94115.45</v>
      </c>
      <c r="FX72" s="558">
        <f t="shared" si="126"/>
        <v>92838.66</v>
      </c>
      <c r="FY72" s="558">
        <f t="shared" si="126"/>
        <v>91510.34</v>
      </c>
      <c r="FZ72" s="558">
        <f t="shared" si="126"/>
        <v>90173.43</v>
      </c>
      <c r="GA72" s="558">
        <f t="shared" si="126"/>
        <v>88816.49</v>
      </c>
      <c r="GB72" s="558">
        <f t="shared" si="126"/>
        <v>87428.05</v>
      </c>
      <c r="GC72" s="558">
        <f t="shared" si="126"/>
        <v>86033.88</v>
      </c>
      <c r="GD72" s="558">
        <f t="shared" si="126"/>
        <v>84596.78</v>
      </c>
      <c r="GE72" s="558">
        <f t="shared" si="126"/>
        <v>83148.22</v>
      </c>
      <c r="GF72" s="558">
        <f t="shared" si="124"/>
        <v>81656.73</v>
      </c>
      <c r="GG72" s="558">
        <f t="shared" si="124"/>
        <v>80130.880000000005</v>
      </c>
      <c r="GH72" s="558">
        <f t="shared" si="124"/>
        <v>78562.080000000002</v>
      </c>
      <c r="GI72" s="558">
        <f t="shared" si="124"/>
        <v>76947.490000000005</v>
      </c>
      <c r="GJ72" s="558">
        <f t="shared" si="124"/>
        <v>75284.23</v>
      </c>
      <c r="GK72" s="558">
        <f t="shared" si="124"/>
        <v>73557.98</v>
      </c>
      <c r="GL72" s="558">
        <f t="shared" si="124"/>
        <v>71768.759999999995</v>
      </c>
      <c r="GM72" s="558">
        <f t="shared" si="124"/>
        <v>69913.69</v>
      </c>
      <c r="GN72" s="558">
        <f t="shared" si="124"/>
        <v>67984.19</v>
      </c>
      <c r="GO72" s="558">
        <f t="shared" si="124"/>
        <v>65994.58</v>
      </c>
      <c r="GP72" s="558">
        <f t="shared" si="124"/>
        <v>63936.25</v>
      </c>
      <c r="GQ72" s="558">
        <f t="shared" si="124"/>
        <v>61814.95</v>
      </c>
      <c r="GR72" s="558">
        <f t="shared" si="124"/>
        <v>59636.39</v>
      </c>
      <c r="GS72" s="558">
        <f t="shared" si="124"/>
        <v>57403.44</v>
      </c>
      <c r="GT72" s="558">
        <f t="shared" si="124"/>
        <v>55124.68</v>
      </c>
      <c r="GU72" s="558">
        <f t="shared" si="127"/>
        <v>52791.53</v>
      </c>
      <c r="GV72" s="558">
        <f t="shared" si="127"/>
        <v>50426.9</v>
      </c>
      <c r="GW72" s="558">
        <f t="shared" si="127"/>
        <v>48019.32</v>
      </c>
      <c r="GX72" s="558">
        <f t="shared" si="127"/>
        <v>45585.97</v>
      </c>
      <c r="GY72" s="558">
        <f t="shared" si="127"/>
        <v>43126.86</v>
      </c>
      <c r="GZ72" s="558">
        <f t="shared" si="127"/>
        <v>40639.129999999997</v>
      </c>
      <c r="HA72" s="558">
        <f t="shared" si="127"/>
        <v>38131.35</v>
      </c>
      <c r="HB72" s="558">
        <f t="shared" si="127"/>
        <v>35586.36</v>
      </c>
      <c r="HC72" s="558">
        <f t="shared" si="127"/>
        <v>32986.97</v>
      </c>
      <c r="HD72" s="558">
        <f t="shared" si="127"/>
        <v>30350.37</v>
      </c>
      <c r="HE72" s="558">
        <f t="shared" si="127"/>
        <v>27688.01</v>
      </c>
      <c r="HF72" s="558">
        <f t="shared" si="127"/>
        <v>24991.29</v>
      </c>
      <c r="HG72" s="558">
        <f t="shared" si="127"/>
        <v>22274.53</v>
      </c>
      <c r="HH72" s="558">
        <f t="shared" si="127"/>
        <v>19529.150000000001</v>
      </c>
      <c r="HI72" s="558">
        <f t="shared" si="127"/>
        <v>16809.53</v>
      </c>
      <c r="HJ72" s="558">
        <f t="shared" si="127"/>
        <v>14067</v>
      </c>
      <c r="HK72" s="558">
        <f t="shared" si="128"/>
        <v>11341.66</v>
      </c>
      <c r="HL72" s="558">
        <f t="shared" si="128"/>
        <v>8636.35</v>
      </c>
      <c r="HM72" s="558">
        <f t="shared" si="128"/>
        <v>5942.5</v>
      </c>
      <c r="HN72" s="558">
        <f t="shared" si="128"/>
        <v>3723.86</v>
      </c>
      <c r="HO72" s="558">
        <f t="shared" si="128"/>
        <v>1573.93</v>
      </c>
      <c r="HP72" s="558">
        <f t="shared" si="123"/>
        <v>-484.4</v>
      </c>
      <c r="HQ72" s="558" t="str">
        <f t="shared" si="123"/>
        <v>.</v>
      </c>
      <c r="HR72" s="558" t="str">
        <f t="shared" si="123"/>
        <v>.</v>
      </c>
      <c r="HS72" s="558" t="str">
        <f t="shared" si="123"/>
        <v>.</v>
      </c>
      <c r="HT72" s="558" t="str">
        <f t="shared" si="123"/>
        <v>.</v>
      </c>
      <c r="HU72" s="558" t="str">
        <f t="shared" si="123"/>
        <v>.</v>
      </c>
      <c r="HV72" s="558" t="str">
        <f t="shared" si="123"/>
        <v>.</v>
      </c>
      <c r="HW72" s="558" t="str">
        <f t="shared" si="123"/>
        <v>.</v>
      </c>
      <c r="HX72" s="558" t="str">
        <f t="shared" si="123"/>
        <v>.</v>
      </c>
      <c r="HY72" s="558" t="str">
        <f t="shared" si="123"/>
        <v>.</v>
      </c>
      <c r="HZ72" s="558" t="str">
        <f t="shared" si="123"/>
        <v>.</v>
      </c>
      <c r="IA72" s="558" t="str">
        <f t="shared" si="122"/>
        <v>.</v>
      </c>
      <c r="IB72" s="558" t="str">
        <f t="shared" si="122"/>
        <v>.</v>
      </c>
      <c r="IC72" s="558" t="str">
        <f t="shared" si="122"/>
        <v>.</v>
      </c>
      <c r="ID72" s="558" t="str">
        <f t="shared" si="122"/>
        <v>.</v>
      </c>
      <c r="IE72" s="558" t="str">
        <f t="shared" si="122"/>
        <v>.</v>
      </c>
      <c r="IF72" s="558" t="str">
        <f t="shared" si="122"/>
        <v>.</v>
      </c>
      <c r="IG72" s="558" t="str">
        <f t="shared" si="122"/>
        <v>.</v>
      </c>
      <c r="IH72" s="558" t="str">
        <f t="shared" si="122"/>
        <v>.</v>
      </c>
      <c r="II72" s="558" t="str">
        <f t="shared" si="122"/>
        <v>.</v>
      </c>
      <c r="IJ72" s="558" t="str">
        <f t="shared" si="122"/>
        <v>.</v>
      </c>
      <c r="IK72" s="558" t="str">
        <f t="shared" si="122"/>
        <v>.</v>
      </c>
      <c r="IL72" s="558" t="str">
        <f t="shared" si="122"/>
        <v>.</v>
      </c>
      <c r="IM72" s="558" t="str">
        <f t="shared" si="122"/>
        <v>.</v>
      </c>
      <c r="IN72" s="558" t="str">
        <f t="shared" si="122"/>
        <v>.</v>
      </c>
      <c r="IO72" s="558" t="str">
        <f t="shared" si="122"/>
        <v>.</v>
      </c>
      <c r="IP72" s="558" t="str">
        <f t="shared" si="122"/>
        <v>.</v>
      </c>
      <c r="IQ72" s="558" t="str">
        <f t="shared" si="122"/>
        <v>.</v>
      </c>
      <c r="IR72" s="558" t="str">
        <f t="shared" si="122"/>
        <v>.</v>
      </c>
      <c r="IS72" s="558" t="str">
        <f t="shared" si="125"/>
        <v>.</v>
      </c>
      <c r="IT72" s="558" t="str">
        <f t="shared" si="125"/>
        <v>.</v>
      </c>
      <c r="IU72" s="558" t="str">
        <f t="shared" si="125"/>
        <v>.</v>
      </c>
      <c r="IV72" s="558" t="str">
        <f t="shared" si="125"/>
        <v>.</v>
      </c>
      <c r="IW72" s="558" t="str">
        <f t="shared" si="125"/>
        <v>.</v>
      </c>
      <c r="IX72" s="558" t="str">
        <f t="shared" si="125"/>
        <v>.</v>
      </c>
      <c r="IY72" s="558" t="str">
        <f t="shared" si="125"/>
        <v>.</v>
      </c>
      <c r="IZ72" s="558" t="str">
        <f t="shared" si="125"/>
        <v>.</v>
      </c>
      <c r="JA72" s="558" t="str">
        <f t="shared" si="125"/>
        <v>.</v>
      </c>
      <c r="JB72" s="558" t="str">
        <f t="shared" si="125"/>
        <v>.</v>
      </c>
      <c r="JC72" s="558" t="str">
        <f t="shared" si="121"/>
        <v>.</v>
      </c>
      <c r="JD72" s="558" t="str">
        <f t="shared" si="121"/>
        <v>.</v>
      </c>
      <c r="JE72" s="558" t="str">
        <f t="shared" si="121"/>
        <v>.</v>
      </c>
      <c r="JF72" s="558" t="str">
        <f t="shared" si="121"/>
        <v>.</v>
      </c>
      <c r="JG72" s="558" t="str">
        <f t="shared" si="121"/>
        <v>.</v>
      </c>
      <c r="JH72" s="558" t="str">
        <f t="shared" si="121"/>
        <v>.</v>
      </c>
      <c r="JI72" s="558" t="str">
        <f t="shared" si="121"/>
        <v>.</v>
      </c>
      <c r="JJ72" s="558" t="str">
        <f t="shared" si="121"/>
        <v>.</v>
      </c>
      <c r="JK72" s="558" t="str">
        <f t="shared" si="121"/>
        <v>.</v>
      </c>
      <c r="JL72" s="558" t="str">
        <f t="shared" si="121"/>
        <v>.</v>
      </c>
    </row>
    <row r="73" spans="1:272" ht="10.199999999999999" x14ac:dyDescent="0.2">
      <c r="A73" s="534">
        <f xml:space="preserve"> Basis!A73</f>
        <v>73</v>
      </c>
      <c r="F73" s="536">
        <f xml:space="preserve"> ROUND(    IF( $A$15=BE_MF_,   AW73,   INDEX( qx!73:73, F$16 ) ),    F$17    )</f>
        <v>1.1599999999999999E-2</v>
      </c>
      <c r="G73" s="536">
        <f xml:space="preserve"> ROUND(    IF( $A$15=BE_MF_,   BB73,   INDEX( wx!73:73, G$16 ) ),    G$17    )</f>
        <v>2.5999999999999999E-3</v>
      </c>
      <c r="H73" s="537">
        <f xml:space="preserve"> ROUND(    IF( $A$15=BE_MF_,   BG73,   INDEX( Kx!73:73, H$16 ) ),    H$17    )</f>
        <v>8011.86</v>
      </c>
      <c r="I73" s="538">
        <f t="shared" si="57"/>
        <v>8011.86</v>
      </c>
      <c r="J73" s="539">
        <f t="shared" si="84"/>
        <v>3.8559999999999999</v>
      </c>
      <c r="K73" s="540">
        <f t="shared" si="119"/>
        <v>0</v>
      </c>
      <c r="L73" s="541">
        <f t="shared" si="71"/>
        <v>0</v>
      </c>
      <c r="M73" s="541">
        <f t="shared" si="71"/>
        <v>8.5999999999999993E-2</v>
      </c>
      <c r="O73" s="542" t="b">
        <f t="shared" si="59"/>
        <v>1</v>
      </c>
      <c r="P73" s="493">
        <f t="shared" si="85"/>
        <v>1.4200000000000001E-2</v>
      </c>
      <c r="Q73" s="493">
        <f t="shared" si="86"/>
        <v>0.98580000000000001</v>
      </c>
      <c r="R73" s="543">
        <f t="shared" si="87"/>
        <v>463769</v>
      </c>
      <c r="S73" s="544">
        <f t="shared" si="88"/>
        <v>0.97560975599999999</v>
      </c>
      <c r="T73" s="423">
        <f t="shared" si="89"/>
        <v>76464.44</v>
      </c>
      <c r="U73" s="423">
        <f xml:space="preserve"> IF( $O73,    ROUND(  SUM( T73:T$120), U$17 ),  LEER  )</f>
        <v>1014773.74</v>
      </c>
      <c r="V73" s="493">
        <f t="shared" si="90"/>
        <v>13.2712</v>
      </c>
      <c r="W73" s="493">
        <f t="shared" si="91"/>
        <v>294846.88</v>
      </c>
      <c r="X73" s="493">
        <f xml:space="preserve"> IF( $O73,    ROUND(  SUM( W73:W$120), X$17 ),  LEER  )</f>
        <v>4937652.3</v>
      </c>
      <c r="Y73" s="493">
        <f t="shared" si="92"/>
        <v>64.5745</v>
      </c>
      <c r="Z73" s="493">
        <f t="shared" si="93"/>
        <v>4.8658000000000001</v>
      </c>
      <c r="AA73" s="493">
        <f t="shared" si="94"/>
        <v>1</v>
      </c>
      <c r="AB73" s="493">
        <f t="shared" si="95"/>
        <v>2.3494000000000002</v>
      </c>
      <c r="AC73" s="545">
        <f t="shared" si="96"/>
        <v>0.32679999999999998</v>
      </c>
      <c r="AD73" s="493">
        <f t="shared" si="97"/>
        <v>4.8658000000000001</v>
      </c>
      <c r="AE73" s="493">
        <f t="shared" si="98"/>
        <v>5.6811999999999996</v>
      </c>
      <c r="AF73" s="493">
        <f t="shared" si="99"/>
        <v>5.6811999999999996</v>
      </c>
      <c r="AG73" s="493" t="str">
        <f t="shared" si="100"/>
        <v>.</v>
      </c>
      <c r="AH73" s="493" t="str">
        <f t="shared" si="101"/>
        <v>.</v>
      </c>
      <c r="AI73" s="423">
        <f t="shared" si="102"/>
        <v>2077.79</v>
      </c>
      <c r="AJ73" s="423">
        <f t="shared" si="103"/>
        <v>11804.34</v>
      </c>
      <c r="AK73" s="423">
        <f t="shared" si="104"/>
        <v>983.7</v>
      </c>
      <c r="AN73" s="423">
        <f t="shared" si="120"/>
        <v>83045.88</v>
      </c>
      <c r="AO73" s="423">
        <f t="shared" si="120"/>
        <v>82433.72</v>
      </c>
      <c r="AR73" s="546">
        <f xml:space="preserve"> ROUND(  INDEX( Kx!73:73, AR$16 ),  AR$17 )</f>
        <v>0.70169999999999999</v>
      </c>
      <c r="AS73" s="547">
        <f xml:space="preserve"> ROUND(  INDEX( qx!73:73, AS$16 ),  AS$17 )</f>
        <v>1.37E-2</v>
      </c>
      <c r="AT73" s="547">
        <f xml:space="preserve"> ROUND(  INDEX( qx!73:73, AT$16 ),  AT$17 )</f>
        <v>8.2000000000000007E-3</v>
      </c>
      <c r="AU73" s="548" t="str">
        <f t="shared" si="105"/>
        <v>F</v>
      </c>
      <c r="AV73" s="542">
        <f t="shared" si="106"/>
        <v>0.61060000000000003</v>
      </c>
      <c r="AW73" s="542">
        <f t="shared" si="107"/>
        <v>1.1599999999999999E-2</v>
      </c>
      <c r="AX73" s="546">
        <f xml:space="preserve"> ROUND(  INDEX( wx!73:73, AX$16 ),  AX$17 )</f>
        <v>3.0000000000000001E-3</v>
      </c>
      <c r="AY73" s="546">
        <f xml:space="preserve"> ROUND(  INDEX( wx!73:73, AY$16 ),  AY$17 )</f>
        <v>2.0999999999999999E-3</v>
      </c>
      <c r="AZ73" s="548" t="str">
        <f t="shared" si="108"/>
        <v>F</v>
      </c>
      <c r="BA73" s="542">
        <f t="shared" si="109"/>
        <v>0.61060000000000003</v>
      </c>
      <c r="BB73" s="542">
        <f t="shared" si="110"/>
        <v>2.5999999999999999E-3</v>
      </c>
      <c r="BC73" s="533">
        <f xml:space="preserve"> ROUND(  INDEX( Kx!73:73, BC$16 ),  BC$17 )</f>
        <v>8249.5</v>
      </c>
      <c r="BD73" s="533">
        <f xml:space="preserve"> ROUND(  INDEX( Kx!73:73, BD$16 ),  BD$17 )</f>
        <v>7173.22</v>
      </c>
      <c r="BE73" s="548" t="str">
        <f t="shared" si="60"/>
        <v>M</v>
      </c>
      <c r="BF73" s="542">
        <f t="shared" si="111"/>
        <v>0.7792</v>
      </c>
      <c r="BG73" s="420">
        <f t="shared" si="112"/>
        <v>8011.86</v>
      </c>
      <c r="BQ73" s="549"/>
      <c r="BR73" s="423"/>
      <c r="BS73" s="550"/>
      <c r="BT73" s="423"/>
      <c r="BU73" s="551"/>
      <c r="BV73" s="551"/>
      <c r="BW73" s="529"/>
      <c r="BX73" s="552"/>
      <c r="BY73" s="560"/>
      <c r="BZ73" s="559"/>
      <c r="CB73" s="423"/>
      <c r="CC73" s="423"/>
      <c r="CD73" s="423"/>
      <c r="CE73" s="423"/>
      <c r="CF73" s="553"/>
      <c r="CH73" s="423"/>
      <c r="CI73" s="423"/>
      <c r="CJ73" s="423"/>
      <c r="CK73" s="423"/>
      <c r="CL73" s="553"/>
      <c r="CN73" s="423"/>
      <c r="CO73" s="423"/>
      <c r="CP73" s="423"/>
      <c r="CQ73" s="423"/>
      <c r="CR73" s="553"/>
      <c r="EI73" s="553"/>
      <c r="EJ73" s="553"/>
      <c r="EK73" s="423"/>
      <c r="EL73" s="555"/>
      <c r="ES73" s="533"/>
      <c r="ET73" s="533"/>
      <c r="EU73" s="533"/>
      <c r="EV73" s="556"/>
      <c r="EY73" s="533"/>
      <c r="EZ73" s="533"/>
      <c r="FA73" s="556"/>
      <c r="FD73" s="556"/>
      <c r="FE73" s="556"/>
      <c r="FF73" s="556"/>
      <c r="FK73" s="557">
        <f t="shared" si="113"/>
        <v>73</v>
      </c>
      <c r="FL73" s="493">
        <f t="shared" si="114"/>
        <v>64.5745</v>
      </c>
      <c r="FM73" s="493">
        <f t="shared" si="115"/>
        <v>13.2712</v>
      </c>
      <c r="FO73" s="427">
        <f t="shared" si="61"/>
        <v>3114888.2599999993</v>
      </c>
      <c r="FP73" s="558">
        <f t="shared" si="126"/>
        <v>101071.5</v>
      </c>
      <c r="FQ73" s="558">
        <f t="shared" si="126"/>
        <v>99954.72</v>
      </c>
      <c r="FR73" s="558">
        <f t="shared" si="126"/>
        <v>98835.19</v>
      </c>
      <c r="FS73" s="558">
        <f t="shared" si="126"/>
        <v>97715.65</v>
      </c>
      <c r="FT73" s="558">
        <f t="shared" si="126"/>
        <v>96557.51</v>
      </c>
      <c r="FU73" s="558">
        <f t="shared" si="126"/>
        <v>95366.28</v>
      </c>
      <c r="FV73" s="558">
        <f t="shared" si="126"/>
        <v>94186.08</v>
      </c>
      <c r="FW73" s="558">
        <f t="shared" si="126"/>
        <v>92997.61</v>
      </c>
      <c r="FX73" s="558">
        <f t="shared" si="126"/>
        <v>91767.77</v>
      </c>
      <c r="FY73" s="558">
        <f t="shared" si="126"/>
        <v>90488.31</v>
      </c>
      <c r="FZ73" s="558">
        <f t="shared" si="126"/>
        <v>89200.56</v>
      </c>
      <c r="GA73" s="558">
        <f t="shared" si="126"/>
        <v>87893.52</v>
      </c>
      <c r="GB73" s="558">
        <f t="shared" si="126"/>
        <v>86556.14</v>
      </c>
      <c r="GC73" s="558">
        <f t="shared" si="126"/>
        <v>85213.25</v>
      </c>
      <c r="GD73" s="558">
        <f t="shared" si="126"/>
        <v>83829</v>
      </c>
      <c r="GE73" s="558">
        <f t="shared" si="126"/>
        <v>82433.72</v>
      </c>
      <c r="GF73" s="558">
        <f t="shared" si="124"/>
        <v>80997.070000000007</v>
      </c>
      <c r="GG73" s="558">
        <f t="shared" si="124"/>
        <v>79527.34</v>
      </c>
      <c r="GH73" s="558">
        <f t="shared" si="124"/>
        <v>78016.240000000005</v>
      </c>
      <c r="GI73" s="558">
        <f t="shared" si="124"/>
        <v>76461.02</v>
      </c>
      <c r="GJ73" s="558">
        <f t="shared" si="124"/>
        <v>74858.929999999993</v>
      </c>
      <c r="GK73" s="558">
        <f t="shared" si="124"/>
        <v>73196.17</v>
      </c>
      <c r="GL73" s="558">
        <f t="shared" si="124"/>
        <v>71472.75</v>
      </c>
      <c r="GM73" s="558">
        <f t="shared" si="124"/>
        <v>69685.899999999994</v>
      </c>
      <c r="GN73" s="558">
        <f t="shared" si="124"/>
        <v>67827.360000000001</v>
      </c>
      <c r="GO73" s="558">
        <f t="shared" si="124"/>
        <v>65910.92</v>
      </c>
      <c r="GP73" s="558">
        <f t="shared" si="124"/>
        <v>63928.29</v>
      </c>
      <c r="GQ73" s="558">
        <f t="shared" si="124"/>
        <v>61885</v>
      </c>
      <c r="GR73" s="558">
        <f t="shared" si="124"/>
        <v>59786.559999999998</v>
      </c>
      <c r="GS73" s="558">
        <f t="shared" si="124"/>
        <v>57635.73</v>
      </c>
      <c r="GT73" s="558">
        <f t="shared" si="124"/>
        <v>55440.78</v>
      </c>
      <c r="GU73" s="558">
        <f t="shared" si="127"/>
        <v>53193.43</v>
      </c>
      <c r="GV73" s="558">
        <f t="shared" si="127"/>
        <v>50915.76</v>
      </c>
      <c r="GW73" s="558">
        <f t="shared" si="127"/>
        <v>48596.72</v>
      </c>
      <c r="GX73" s="558">
        <f t="shared" si="127"/>
        <v>46252.86</v>
      </c>
      <c r="GY73" s="558">
        <f t="shared" si="127"/>
        <v>43884.19</v>
      </c>
      <c r="GZ73" s="558">
        <f t="shared" si="127"/>
        <v>41487.94</v>
      </c>
      <c r="HA73" s="558">
        <f t="shared" si="127"/>
        <v>39072.400000000001</v>
      </c>
      <c r="HB73" s="558">
        <f t="shared" si="127"/>
        <v>36621</v>
      </c>
      <c r="HC73" s="558">
        <f t="shared" si="127"/>
        <v>34117.21</v>
      </c>
      <c r="HD73" s="558">
        <f t="shared" si="127"/>
        <v>31577.57</v>
      </c>
      <c r="HE73" s="558">
        <f t="shared" si="127"/>
        <v>29013.119999999999</v>
      </c>
      <c r="HF73" s="558">
        <f t="shared" si="127"/>
        <v>26415.58</v>
      </c>
      <c r="HG73" s="558">
        <f t="shared" si="127"/>
        <v>23798.73</v>
      </c>
      <c r="HH73" s="558">
        <f t="shared" si="127"/>
        <v>21154.31</v>
      </c>
      <c r="HI73" s="558">
        <f t="shared" si="127"/>
        <v>18534.71</v>
      </c>
      <c r="HJ73" s="558">
        <f t="shared" si="127"/>
        <v>15893.05</v>
      </c>
      <c r="HK73" s="558">
        <f t="shared" si="128"/>
        <v>13267.93</v>
      </c>
      <c r="HL73" s="558">
        <f t="shared" si="128"/>
        <v>10662.11</v>
      </c>
      <c r="HM73" s="558">
        <f t="shared" si="128"/>
        <v>8067.33</v>
      </c>
      <c r="HN73" s="558">
        <f t="shared" si="128"/>
        <v>5930.28</v>
      </c>
      <c r="HO73" s="558">
        <f t="shared" si="128"/>
        <v>3859.42</v>
      </c>
      <c r="HP73" s="558">
        <f t="shared" si="123"/>
        <v>1876.79</v>
      </c>
      <c r="HQ73" s="558">
        <f t="shared" si="123"/>
        <v>-1.05</v>
      </c>
      <c r="HR73" s="558" t="str">
        <f t="shared" si="123"/>
        <v>.</v>
      </c>
      <c r="HS73" s="558" t="str">
        <f t="shared" si="123"/>
        <v>.</v>
      </c>
      <c r="HT73" s="558" t="str">
        <f t="shared" si="123"/>
        <v>.</v>
      </c>
      <c r="HU73" s="558" t="str">
        <f t="shared" si="123"/>
        <v>.</v>
      </c>
      <c r="HV73" s="558" t="str">
        <f t="shared" si="123"/>
        <v>.</v>
      </c>
      <c r="HW73" s="558" t="str">
        <f t="shared" si="123"/>
        <v>.</v>
      </c>
      <c r="HX73" s="558" t="str">
        <f t="shared" si="123"/>
        <v>.</v>
      </c>
      <c r="HY73" s="558" t="str">
        <f t="shared" si="123"/>
        <v>.</v>
      </c>
      <c r="HZ73" s="558" t="str">
        <f t="shared" si="123"/>
        <v>.</v>
      </c>
      <c r="IA73" s="558" t="str">
        <f t="shared" si="122"/>
        <v>.</v>
      </c>
      <c r="IB73" s="558" t="str">
        <f t="shared" si="122"/>
        <v>.</v>
      </c>
      <c r="IC73" s="558" t="str">
        <f t="shared" si="122"/>
        <v>.</v>
      </c>
      <c r="ID73" s="558" t="str">
        <f t="shared" si="122"/>
        <v>.</v>
      </c>
      <c r="IE73" s="558" t="str">
        <f t="shared" si="122"/>
        <v>.</v>
      </c>
      <c r="IF73" s="558" t="str">
        <f t="shared" si="122"/>
        <v>.</v>
      </c>
      <c r="IG73" s="558" t="str">
        <f t="shared" si="122"/>
        <v>.</v>
      </c>
      <c r="IH73" s="558" t="str">
        <f t="shared" si="122"/>
        <v>.</v>
      </c>
      <c r="II73" s="558" t="str">
        <f t="shared" si="122"/>
        <v>.</v>
      </c>
      <c r="IJ73" s="558" t="str">
        <f t="shared" si="122"/>
        <v>.</v>
      </c>
      <c r="IK73" s="558" t="str">
        <f t="shared" si="122"/>
        <v>.</v>
      </c>
      <c r="IL73" s="558" t="str">
        <f t="shared" si="122"/>
        <v>.</v>
      </c>
      <c r="IM73" s="558" t="str">
        <f t="shared" si="122"/>
        <v>.</v>
      </c>
      <c r="IN73" s="558" t="str">
        <f t="shared" si="122"/>
        <v>.</v>
      </c>
      <c r="IO73" s="558" t="str">
        <f t="shared" si="122"/>
        <v>.</v>
      </c>
      <c r="IP73" s="558" t="str">
        <f t="shared" si="122"/>
        <v>.</v>
      </c>
      <c r="IQ73" s="558" t="str">
        <f t="shared" si="122"/>
        <v>.</v>
      </c>
      <c r="IR73" s="558" t="str">
        <f t="shared" si="122"/>
        <v>.</v>
      </c>
      <c r="IS73" s="558" t="str">
        <f t="shared" si="125"/>
        <v>.</v>
      </c>
      <c r="IT73" s="558" t="str">
        <f t="shared" si="125"/>
        <v>.</v>
      </c>
      <c r="IU73" s="558" t="str">
        <f t="shared" si="125"/>
        <v>.</v>
      </c>
      <c r="IV73" s="558" t="str">
        <f t="shared" si="125"/>
        <v>.</v>
      </c>
      <c r="IW73" s="558" t="str">
        <f t="shared" si="125"/>
        <v>.</v>
      </c>
      <c r="IX73" s="558" t="str">
        <f t="shared" si="125"/>
        <v>.</v>
      </c>
      <c r="IY73" s="558" t="str">
        <f t="shared" si="125"/>
        <v>.</v>
      </c>
      <c r="IZ73" s="558" t="str">
        <f t="shared" si="125"/>
        <v>.</v>
      </c>
      <c r="JA73" s="558" t="str">
        <f t="shared" si="125"/>
        <v>.</v>
      </c>
      <c r="JB73" s="558" t="str">
        <f t="shared" si="125"/>
        <v>.</v>
      </c>
      <c r="JC73" s="558" t="str">
        <f t="shared" si="121"/>
        <v>.</v>
      </c>
      <c r="JD73" s="558" t="str">
        <f t="shared" si="121"/>
        <v>.</v>
      </c>
      <c r="JE73" s="558" t="str">
        <f t="shared" si="121"/>
        <v>.</v>
      </c>
      <c r="JF73" s="558" t="str">
        <f t="shared" si="121"/>
        <v>.</v>
      </c>
      <c r="JG73" s="558" t="str">
        <f t="shared" si="121"/>
        <v>.</v>
      </c>
      <c r="JH73" s="558" t="str">
        <f t="shared" si="121"/>
        <v>.</v>
      </c>
      <c r="JI73" s="558" t="str">
        <f t="shared" si="121"/>
        <v>.</v>
      </c>
      <c r="JJ73" s="558" t="str">
        <f t="shared" si="121"/>
        <v>.</v>
      </c>
      <c r="JK73" s="558" t="str">
        <f t="shared" si="121"/>
        <v>.</v>
      </c>
      <c r="JL73" s="558" t="str">
        <f t="shared" si="121"/>
        <v>.</v>
      </c>
    </row>
    <row r="74" spans="1:272" ht="10.199999999999999" x14ac:dyDescent="0.2">
      <c r="A74" s="534">
        <f xml:space="preserve"> Basis!A74</f>
        <v>74</v>
      </c>
      <c r="F74" s="536">
        <f xml:space="preserve"> ROUND(    IF( $A$15=BE_MF_,   AW74,   INDEX( qx!74:74, F$16 ) ),    F$17    )</f>
        <v>1.29E-2</v>
      </c>
      <c r="G74" s="536">
        <f xml:space="preserve"> ROUND(    IF( $A$15=BE_MF_,   BB74,   INDEX( wx!74:74, G$16 ) ),    G$17    )</f>
        <v>2.5000000000000001E-3</v>
      </c>
      <c r="H74" s="537">
        <f xml:space="preserve"> ROUND(    IF( $A$15=BE_MF_,   BG74,   INDEX( Kx!74:74, H$16 ) ),    H$17    )</f>
        <v>8350.9699999999993</v>
      </c>
      <c r="I74" s="538">
        <f t="shared" si="57"/>
        <v>8350.9699999999993</v>
      </c>
      <c r="J74" s="539">
        <f t="shared" si="84"/>
        <v>4.0190000000000001</v>
      </c>
      <c r="K74" s="540">
        <f t="shared" si="119"/>
        <v>0</v>
      </c>
      <c r="L74" s="541">
        <f t="shared" si="71"/>
        <v>0</v>
      </c>
      <c r="M74" s="541">
        <f t="shared" si="71"/>
        <v>8.5999999999999993E-2</v>
      </c>
      <c r="O74" s="542" t="b">
        <f t="shared" si="59"/>
        <v>1</v>
      </c>
      <c r="P74" s="493">
        <f t="shared" si="85"/>
        <v>1.54E-2</v>
      </c>
      <c r="Q74" s="493">
        <f t="shared" si="86"/>
        <v>0.98460000000000003</v>
      </c>
      <c r="R74" s="543">
        <f t="shared" si="87"/>
        <v>457183</v>
      </c>
      <c r="S74" s="544">
        <f t="shared" si="88"/>
        <v>0.97560975599999999</v>
      </c>
      <c r="T74" s="423">
        <f t="shared" si="89"/>
        <v>73540.070000000007</v>
      </c>
      <c r="U74" s="423">
        <f xml:space="preserve"> IF( $O74,    ROUND(  SUM( T74:T$120), U$17 ),  LEER  )</f>
        <v>938309.3</v>
      </c>
      <c r="V74" s="493">
        <f t="shared" si="90"/>
        <v>12.7592</v>
      </c>
      <c r="W74" s="493">
        <f t="shared" si="91"/>
        <v>295557.53999999998</v>
      </c>
      <c r="X74" s="493">
        <f xml:space="preserve"> IF( $O74,    ROUND(  SUM( W74:W$120), X$17 ),  LEER  )</f>
        <v>4642805.42</v>
      </c>
      <c r="Y74" s="493">
        <f t="shared" si="92"/>
        <v>63.133000000000003</v>
      </c>
      <c r="Z74" s="493">
        <f t="shared" si="93"/>
        <v>4.9480000000000004</v>
      </c>
      <c r="AA74" s="493">
        <f t="shared" si="94"/>
        <v>1</v>
      </c>
      <c r="AB74" s="493">
        <f t="shared" si="95"/>
        <v>2.3494000000000002</v>
      </c>
      <c r="AC74" s="545">
        <f t="shared" si="96"/>
        <v>0.32679999999999998</v>
      </c>
      <c r="AD74" s="493">
        <f t="shared" si="97"/>
        <v>4.9480000000000004</v>
      </c>
      <c r="AE74" s="493">
        <f t="shared" si="98"/>
        <v>5.7710999999999997</v>
      </c>
      <c r="AF74" s="493">
        <f t="shared" si="99"/>
        <v>5.7710999999999997</v>
      </c>
      <c r="AG74" s="493" t="str">
        <f t="shared" si="100"/>
        <v>.</v>
      </c>
      <c r="AH74" s="493" t="str">
        <f t="shared" si="101"/>
        <v>.</v>
      </c>
      <c r="AI74" s="423">
        <f t="shared" si="102"/>
        <v>2077.79</v>
      </c>
      <c r="AJ74" s="423">
        <f t="shared" si="103"/>
        <v>11991.13</v>
      </c>
      <c r="AK74" s="423">
        <f t="shared" si="104"/>
        <v>999.26</v>
      </c>
      <c r="AN74" s="423">
        <f t="shared" si="120"/>
        <v>82023.19</v>
      </c>
      <c r="AO74" s="423">
        <f t="shared" si="120"/>
        <v>81434.64</v>
      </c>
      <c r="AR74" s="546">
        <f xml:space="preserve"> ROUND(  INDEX( Kx!74:74, AR$16 ),  AR$17 )</f>
        <v>0.69969999999999999</v>
      </c>
      <c r="AS74" s="547">
        <f xml:space="preserve"> ROUND(  INDEX( qx!74:74, AS$16 ),  AS$17 )</f>
        <v>1.5299999999999999E-2</v>
      </c>
      <c r="AT74" s="547">
        <f xml:space="preserve"> ROUND(  INDEX( qx!74:74, AT$16 ),  AT$17 )</f>
        <v>9.1999999999999998E-3</v>
      </c>
      <c r="AU74" s="548" t="str">
        <f t="shared" si="105"/>
        <v>F</v>
      </c>
      <c r="AV74" s="542">
        <f t="shared" si="106"/>
        <v>0.60840000000000005</v>
      </c>
      <c r="AW74" s="542">
        <f t="shared" si="107"/>
        <v>1.29E-2</v>
      </c>
      <c r="AX74" s="546">
        <f xml:space="preserve"> ROUND(  INDEX( wx!74:74, AX$16 ),  AX$17 )</f>
        <v>2.7000000000000001E-3</v>
      </c>
      <c r="AY74" s="546">
        <f xml:space="preserve"> ROUND(  INDEX( wx!74:74, AY$16 ),  AY$17 )</f>
        <v>2.0999999999999999E-3</v>
      </c>
      <c r="AZ74" s="548" t="str">
        <f t="shared" si="108"/>
        <v>F</v>
      </c>
      <c r="BA74" s="542">
        <f t="shared" si="109"/>
        <v>0.60840000000000005</v>
      </c>
      <c r="BB74" s="542">
        <f t="shared" si="110"/>
        <v>2.5000000000000001E-3</v>
      </c>
      <c r="BC74" s="533">
        <f xml:space="preserve"> ROUND(  INDEX( Kx!74:74, BC$16 ),  BC$17 )</f>
        <v>8601.9699999999993</v>
      </c>
      <c r="BD74" s="533">
        <f xml:space="preserve"> ROUND(  INDEX( Kx!74:74, BD$16 ),  BD$17 )</f>
        <v>7473.87</v>
      </c>
      <c r="BE74" s="548" t="str">
        <f t="shared" si="60"/>
        <v>M</v>
      </c>
      <c r="BF74" s="542">
        <f t="shared" si="111"/>
        <v>0.77749999999999997</v>
      </c>
      <c r="BG74" s="420">
        <f t="shared" si="112"/>
        <v>8350.9699999999993</v>
      </c>
      <c r="BQ74" s="549"/>
      <c r="BR74" s="423"/>
      <c r="BS74" s="550"/>
      <c r="BT74" s="423"/>
      <c r="BU74" s="551"/>
      <c r="BV74" s="551"/>
      <c r="BW74" s="529"/>
      <c r="BX74" s="552"/>
      <c r="BY74" s="560"/>
      <c r="BZ74" s="559"/>
      <c r="CB74" s="423"/>
      <c r="CC74" s="423"/>
      <c r="CD74" s="423"/>
      <c r="CE74" s="423"/>
      <c r="CF74" s="553"/>
      <c r="CH74" s="423"/>
      <c r="CI74" s="423"/>
      <c r="CJ74" s="423"/>
      <c r="CK74" s="423"/>
      <c r="CL74" s="553"/>
      <c r="CN74" s="423"/>
      <c r="CO74" s="423"/>
      <c r="CP74" s="423"/>
      <c r="CQ74" s="423"/>
      <c r="CR74" s="553"/>
      <c r="EI74" s="553"/>
      <c r="EJ74" s="553"/>
      <c r="EK74" s="423"/>
      <c r="EL74" s="555"/>
      <c r="ES74" s="533"/>
      <c r="ET74" s="533"/>
      <c r="EU74" s="533"/>
      <c r="EV74" s="556"/>
      <c r="EY74" s="533"/>
      <c r="EZ74" s="533"/>
      <c r="FA74" s="556"/>
      <c r="FD74" s="556"/>
      <c r="FE74" s="556"/>
      <c r="FF74" s="556"/>
      <c r="FK74" s="557">
        <f t="shared" si="113"/>
        <v>74</v>
      </c>
      <c r="FL74" s="493">
        <f t="shared" si="114"/>
        <v>63.133000000000003</v>
      </c>
      <c r="FM74" s="493">
        <f t="shared" si="115"/>
        <v>12.7592</v>
      </c>
      <c r="FO74" s="427">
        <f t="shared" si="61"/>
        <v>3112502.4299999997</v>
      </c>
      <c r="FP74" s="558">
        <f t="shared" si="126"/>
        <v>99353.39</v>
      </c>
      <c r="FQ74" s="558">
        <f t="shared" si="126"/>
        <v>98279.69</v>
      </c>
      <c r="FR74" s="558">
        <f t="shared" si="126"/>
        <v>97203.35</v>
      </c>
      <c r="FS74" s="558">
        <f t="shared" si="126"/>
        <v>96127</v>
      </c>
      <c r="FT74" s="558">
        <f t="shared" si="126"/>
        <v>95013.55</v>
      </c>
      <c r="FU74" s="558">
        <f t="shared" si="126"/>
        <v>93868.27</v>
      </c>
      <c r="FV74" s="558">
        <f t="shared" si="126"/>
        <v>92733.6</v>
      </c>
      <c r="FW74" s="558">
        <f t="shared" si="126"/>
        <v>91590.98</v>
      </c>
      <c r="FX74" s="558">
        <f t="shared" si="126"/>
        <v>90408.6</v>
      </c>
      <c r="FY74" s="558">
        <f t="shared" si="126"/>
        <v>89178.49</v>
      </c>
      <c r="FZ74" s="558">
        <f t="shared" si="126"/>
        <v>87940.43</v>
      </c>
      <c r="GA74" s="558">
        <f t="shared" si="126"/>
        <v>86683.81</v>
      </c>
      <c r="GB74" s="558">
        <f t="shared" si="126"/>
        <v>85398.03</v>
      </c>
      <c r="GC74" s="558">
        <f t="shared" si="126"/>
        <v>84106.95</v>
      </c>
      <c r="GD74" s="558">
        <f t="shared" si="126"/>
        <v>82776.100000000006</v>
      </c>
      <c r="GE74" s="558">
        <f t="shared" si="126"/>
        <v>81434.64</v>
      </c>
      <c r="GF74" s="558">
        <f t="shared" si="124"/>
        <v>80053.42</v>
      </c>
      <c r="GG74" s="558">
        <f t="shared" si="124"/>
        <v>78640.39</v>
      </c>
      <c r="GH74" s="558">
        <f t="shared" si="124"/>
        <v>77187.59</v>
      </c>
      <c r="GI74" s="558">
        <f t="shared" si="124"/>
        <v>75692.37</v>
      </c>
      <c r="GJ74" s="558">
        <f t="shared" si="124"/>
        <v>74152.09</v>
      </c>
      <c r="GK74" s="558">
        <f t="shared" si="124"/>
        <v>72553.48</v>
      </c>
      <c r="GL74" s="558">
        <f t="shared" si="124"/>
        <v>70896.539999999994</v>
      </c>
      <c r="GM74" s="558">
        <f t="shared" si="124"/>
        <v>69178.64</v>
      </c>
      <c r="GN74" s="558">
        <f t="shared" si="124"/>
        <v>67391.8</v>
      </c>
      <c r="GO74" s="558">
        <f t="shared" si="124"/>
        <v>65549.289999999994</v>
      </c>
      <c r="GP74" s="558">
        <f t="shared" si="124"/>
        <v>63643.15</v>
      </c>
      <c r="GQ74" s="558">
        <f t="shared" si="124"/>
        <v>61678.69</v>
      </c>
      <c r="GR74" s="558">
        <f t="shared" si="124"/>
        <v>59661.21</v>
      </c>
      <c r="GS74" s="558">
        <f t="shared" si="124"/>
        <v>57593.36</v>
      </c>
      <c r="GT74" s="558">
        <f t="shared" si="124"/>
        <v>55483.09</v>
      </c>
      <c r="GU74" s="558">
        <f t="shared" si="127"/>
        <v>53322.44</v>
      </c>
      <c r="GV74" s="558">
        <f t="shared" si="127"/>
        <v>51132.639999999999</v>
      </c>
      <c r="GW74" s="558">
        <f t="shared" si="127"/>
        <v>48903.07</v>
      </c>
      <c r="GX74" s="558">
        <f t="shared" si="127"/>
        <v>46649.64</v>
      </c>
      <c r="GY74" s="558">
        <f t="shared" si="127"/>
        <v>44372.35</v>
      </c>
      <c r="GZ74" s="558">
        <f t="shared" si="127"/>
        <v>42068.55</v>
      </c>
      <c r="HA74" s="558">
        <f t="shared" si="127"/>
        <v>39746.19</v>
      </c>
      <c r="HB74" s="558">
        <f t="shared" si="127"/>
        <v>37389.370000000003</v>
      </c>
      <c r="HC74" s="558">
        <f t="shared" si="127"/>
        <v>34982.18</v>
      </c>
      <c r="HD74" s="558">
        <f t="shared" si="127"/>
        <v>32540.52</v>
      </c>
      <c r="HE74" s="558">
        <f t="shared" si="127"/>
        <v>30075</v>
      </c>
      <c r="HF74" s="558">
        <f t="shared" si="127"/>
        <v>27577.67</v>
      </c>
      <c r="HG74" s="558">
        <f t="shared" si="127"/>
        <v>25061.78</v>
      </c>
      <c r="HH74" s="558">
        <f t="shared" si="127"/>
        <v>22519.38</v>
      </c>
      <c r="HI74" s="558">
        <f t="shared" si="127"/>
        <v>20000.849999999999</v>
      </c>
      <c r="HJ74" s="558">
        <f t="shared" si="127"/>
        <v>17461.099999999999</v>
      </c>
      <c r="HK74" s="558">
        <f t="shared" si="128"/>
        <v>14937.26</v>
      </c>
      <c r="HL74" s="558">
        <f t="shared" si="128"/>
        <v>12431.97</v>
      </c>
      <c r="HM74" s="558">
        <f t="shared" si="128"/>
        <v>9937.2900000000009</v>
      </c>
      <c r="HN74" s="558">
        <f t="shared" si="128"/>
        <v>7882.7</v>
      </c>
      <c r="HO74" s="558">
        <f t="shared" si="128"/>
        <v>5891.72</v>
      </c>
      <c r="HP74" s="558">
        <f t="shared" si="123"/>
        <v>3985.59</v>
      </c>
      <c r="HQ74" s="558">
        <f t="shared" si="123"/>
        <v>2180.19</v>
      </c>
      <c r="HR74" s="558">
        <f t="shared" si="123"/>
        <v>0.99</v>
      </c>
      <c r="HS74" s="558" t="str">
        <f t="shared" si="123"/>
        <v>.</v>
      </c>
      <c r="HT74" s="558" t="str">
        <f t="shared" si="123"/>
        <v>.</v>
      </c>
      <c r="HU74" s="558" t="str">
        <f t="shared" si="123"/>
        <v>.</v>
      </c>
      <c r="HV74" s="558" t="str">
        <f t="shared" si="123"/>
        <v>.</v>
      </c>
      <c r="HW74" s="558" t="str">
        <f t="shared" si="123"/>
        <v>.</v>
      </c>
      <c r="HX74" s="558" t="str">
        <f t="shared" si="123"/>
        <v>.</v>
      </c>
      <c r="HY74" s="558" t="str">
        <f t="shared" si="123"/>
        <v>.</v>
      </c>
      <c r="HZ74" s="558" t="str">
        <f t="shared" si="123"/>
        <v>.</v>
      </c>
      <c r="IA74" s="558" t="str">
        <f t="shared" si="122"/>
        <v>.</v>
      </c>
      <c r="IB74" s="558" t="str">
        <f t="shared" si="122"/>
        <v>.</v>
      </c>
      <c r="IC74" s="558" t="str">
        <f t="shared" si="122"/>
        <v>.</v>
      </c>
      <c r="ID74" s="558" t="str">
        <f t="shared" si="122"/>
        <v>.</v>
      </c>
      <c r="IE74" s="558" t="str">
        <f t="shared" si="122"/>
        <v>.</v>
      </c>
      <c r="IF74" s="558" t="str">
        <f t="shared" si="122"/>
        <v>.</v>
      </c>
      <c r="IG74" s="558" t="str">
        <f t="shared" si="122"/>
        <v>.</v>
      </c>
      <c r="IH74" s="558" t="str">
        <f t="shared" si="122"/>
        <v>.</v>
      </c>
      <c r="II74" s="558" t="str">
        <f t="shared" si="122"/>
        <v>.</v>
      </c>
      <c r="IJ74" s="558" t="str">
        <f t="shared" si="122"/>
        <v>.</v>
      </c>
      <c r="IK74" s="558" t="str">
        <f t="shared" si="122"/>
        <v>.</v>
      </c>
      <c r="IL74" s="558" t="str">
        <f t="shared" si="122"/>
        <v>.</v>
      </c>
      <c r="IM74" s="558" t="str">
        <f t="shared" si="122"/>
        <v>.</v>
      </c>
      <c r="IN74" s="558" t="str">
        <f t="shared" si="122"/>
        <v>.</v>
      </c>
      <c r="IO74" s="558" t="str">
        <f t="shared" si="122"/>
        <v>.</v>
      </c>
      <c r="IP74" s="558" t="str">
        <f t="shared" si="122"/>
        <v>.</v>
      </c>
      <c r="IQ74" s="558" t="str">
        <f t="shared" si="122"/>
        <v>.</v>
      </c>
      <c r="IR74" s="558" t="str">
        <f t="shared" si="122"/>
        <v>.</v>
      </c>
      <c r="IS74" s="558" t="str">
        <f t="shared" si="125"/>
        <v>.</v>
      </c>
      <c r="IT74" s="558" t="str">
        <f t="shared" si="125"/>
        <v>.</v>
      </c>
      <c r="IU74" s="558" t="str">
        <f t="shared" si="125"/>
        <v>.</v>
      </c>
      <c r="IV74" s="558" t="str">
        <f t="shared" si="125"/>
        <v>.</v>
      </c>
      <c r="IW74" s="558" t="str">
        <f t="shared" si="125"/>
        <v>.</v>
      </c>
      <c r="IX74" s="558" t="str">
        <f t="shared" si="125"/>
        <v>.</v>
      </c>
      <c r="IY74" s="558" t="str">
        <f t="shared" si="125"/>
        <v>.</v>
      </c>
      <c r="IZ74" s="558" t="str">
        <f t="shared" si="125"/>
        <v>.</v>
      </c>
      <c r="JA74" s="558" t="str">
        <f t="shared" si="125"/>
        <v>.</v>
      </c>
      <c r="JB74" s="558" t="str">
        <f t="shared" si="125"/>
        <v>.</v>
      </c>
      <c r="JC74" s="558" t="str">
        <f t="shared" si="121"/>
        <v>.</v>
      </c>
      <c r="JD74" s="558" t="str">
        <f t="shared" si="121"/>
        <v>.</v>
      </c>
      <c r="JE74" s="558" t="str">
        <f t="shared" si="121"/>
        <v>.</v>
      </c>
      <c r="JF74" s="558" t="str">
        <f t="shared" si="121"/>
        <v>.</v>
      </c>
      <c r="JG74" s="558" t="str">
        <f t="shared" si="121"/>
        <v>.</v>
      </c>
      <c r="JH74" s="558" t="str">
        <f t="shared" si="121"/>
        <v>.</v>
      </c>
      <c r="JI74" s="558" t="str">
        <f t="shared" si="121"/>
        <v>.</v>
      </c>
      <c r="JJ74" s="558" t="str">
        <f t="shared" si="121"/>
        <v>.</v>
      </c>
      <c r="JK74" s="558" t="str">
        <f t="shared" si="121"/>
        <v>.</v>
      </c>
      <c r="JL74" s="558" t="str">
        <f t="shared" si="121"/>
        <v>.</v>
      </c>
    </row>
    <row r="75" spans="1:272" ht="10.199999999999999" x14ac:dyDescent="0.2">
      <c r="A75" s="534">
        <f xml:space="preserve"> Basis!A75</f>
        <v>75</v>
      </c>
      <c r="F75" s="536">
        <f xml:space="preserve"> ROUND(    IF( $A$15=BE_MF_,   AW75,   INDEX( qx!75:75, F$16 ) ),    F$17    )</f>
        <v>1.46E-2</v>
      </c>
      <c r="G75" s="536">
        <f xml:space="preserve"> ROUND(    IF( $A$15=BE_MF_,   BB75,   INDEX( wx!75:75, G$16 ) ),    G$17    )</f>
        <v>2.3E-3</v>
      </c>
      <c r="H75" s="537">
        <f xml:space="preserve"> ROUND(    IF( $A$15=BE_MF_,   BG75,   INDEX( Kx!75:75, H$16 ) ),    H$17    )</f>
        <v>8688.0400000000009</v>
      </c>
      <c r="I75" s="538">
        <f t="shared" si="57"/>
        <v>8688.0400000000009</v>
      </c>
      <c r="J75" s="539">
        <f t="shared" si="84"/>
        <v>4.181</v>
      </c>
      <c r="K75" s="540">
        <f t="shared" si="119"/>
        <v>0</v>
      </c>
      <c r="L75" s="541">
        <f t="shared" si="71"/>
        <v>0</v>
      </c>
      <c r="M75" s="541">
        <f t="shared" si="71"/>
        <v>8.5999999999999993E-2</v>
      </c>
      <c r="O75" s="542" t="b">
        <f t="shared" si="59"/>
        <v>1</v>
      </c>
      <c r="P75" s="493">
        <f t="shared" si="85"/>
        <v>1.6899999999999998E-2</v>
      </c>
      <c r="Q75" s="493">
        <f t="shared" si="86"/>
        <v>0.98309999999999997</v>
      </c>
      <c r="R75" s="543">
        <f t="shared" si="87"/>
        <v>450142</v>
      </c>
      <c r="S75" s="544">
        <f t="shared" si="88"/>
        <v>0.97560975599999999</v>
      </c>
      <c r="T75" s="423">
        <f t="shared" si="89"/>
        <v>70641.45</v>
      </c>
      <c r="U75" s="423">
        <f xml:space="preserve"> IF( $O75,    ROUND(  SUM( T75:T$120), U$17 ),  LEER  )</f>
        <v>864769.23</v>
      </c>
      <c r="V75" s="493">
        <f t="shared" si="90"/>
        <v>12.2417</v>
      </c>
      <c r="W75" s="493">
        <f t="shared" si="91"/>
        <v>295351.90000000002</v>
      </c>
      <c r="X75" s="493">
        <f xml:space="preserve"> IF( $O75,    ROUND(  SUM( W75:W$120), X$17 ),  LEER  )</f>
        <v>4347247.88</v>
      </c>
      <c r="Y75" s="493">
        <f t="shared" si="92"/>
        <v>61.5396</v>
      </c>
      <c r="Z75" s="493">
        <f t="shared" si="93"/>
        <v>5.0270000000000001</v>
      </c>
      <c r="AA75" s="493">
        <f t="shared" si="94"/>
        <v>1</v>
      </c>
      <c r="AB75" s="493">
        <f t="shared" si="95"/>
        <v>2.3494000000000002</v>
      </c>
      <c r="AC75" s="545">
        <f t="shared" si="96"/>
        <v>0.32679999999999998</v>
      </c>
      <c r="AD75" s="493">
        <f t="shared" si="97"/>
        <v>5.0270000000000001</v>
      </c>
      <c r="AE75" s="493">
        <f t="shared" si="98"/>
        <v>5.8574999999999999</v>
      </c>
      <c r="AF75" s="493">
        <f t="shared" si="99"/>
        <v>5.8574999999999999</v>
      </c>
      <c r="AG75" s="493" t="str">
        <f t="shared" si="100"/>
        <v>.</v>
      </c>
      <c r="AH75" s="493" t="str">
        <f t="shared" si="101"/>
        <v>.</v>
      </c>
      <c r="AI75" s="423">
        <f t="shared" si="102"/>
        <v>2077.79</v>
      </c>
      <c r="AJ75" s="423">
        <f t="shared" si="103"/>
        <v>12170.65</v>
      </c>
      <c r="AK75" s="423">
        <f t="shared" si="104"/>
        <v>1014.22</v>
      </c>
      <c r="AN75" s="423">
        <f t="shared" si="120"/>
        <v>80706.070000000007</v>
      </c>
      <c r="AO75" s="423">
        <f t="shared" si="120"/>
        <v>80141.399999999994</v>
      </c>
      <c r="AR75" s="546">
        <f xml:space="preserve"> ROUND(  INDEX( Kx!75:75, AR$16 ),  AR$17 )</f>
        <v>0.69520000000000004</v>
      </c>
      <c r="AS75" s="547">
        <f xml:space="preserve"> ROUND(  INDEX( qx!75:75, AS$16 ),  AS$17 )</f>
        <v>1.7299999999999999E-2</v>
      </c>
      <c r="AT75" s="547">
        <f xml:space="preserve"> ROUND(  INDEX( qx!75:75, AT$16 ),  AT$17 )</f>
        <v>1.04E-2</v>
      </c>
      <c r="AU75" s="548" t="str">
        <f t="shared" si="105"/>
        <v>F</v>
      </c>
      <c r="AV75" s="542">
        <f t="shared" si="106"/>
        <v>0.60329999999999995</v>
      </c>
      <c r="AW75" s="542">
        <f t="shared" si="107"/>
        <v>1.46E-2</v>
      </c>
      <c r="AX75" s="546">
        <f xml:space="preserve"> ROUND(  INDEX( wx!75:75, AX$16 ),  AX$17 )</f>
        <v>2.3999999999999998E-3</v>
      </c>
      <c r="AY75" s="546">
        <f xml:space="preserve"> ROUND(  INDEX( wx!75:75, AY$16 ),  AY$17 )</f>
        <v>2.0999999999999999E-3</v>
      </c>
      <c r="AZ75" s="548" t="str">
        <f t="shared" si="108"/>
        <v>F</v>
      </c>
      <c r="BA75" s="542">
        <f t="shared" si="109"/>
        <v>0.60329999999999995</v>
      </c>
      <c r="BB75" s="542">
        <f t="shared" si="110"/>
        <v>2.3E-3</v>
      </c>
      <c r="BC75" s="533">
        <f xml:space="preserve"> ROUND(  INDEX( Kx!75:75, BC$16 ),  BC$17 )</f>
        <v>8956.01</v>
      </c>
      <c r="BD75" s="533">
        <f xml:space="preserve"> ROUND(  INDEX( Kx!75:75, BD$16 ),  BD$17 )</f>
        <v>7771.37</v>
      </c>
      <c r="BE75" s="548" t="str">
        <f t="shared" si="60"/>
        <v>M</v>
      </c>
      <c r="BF75" s="542">
        <f t="shared" si="111"/>
        <v>0.77380000000000004</v>
      </c>
      <c r="BG75" s="420">
        <f t="shared" si="112"/>
        <v>8688.0400000000009</v>
      </c>
      <c r="BQ75" s="549"/>
      <c r="BR75" s="423"/>
      <c r="BS75" s="550"/>
      <c r="BT75" s="423"/>
      <c r="BU75" s="551"/>
      <c r="BV75" s="551"/>
      <c r="BW75" s="529"/>
      <c r="BX75" s="552"/>
      <c r="BY75" s="560"/>
      <c r="BZ75" s="559"/>
      <c r="CB75" s="423"/>
      <c r="CC75" s="423"/>
      <c r="CD75" s="423"/>
      <c r="CE75" s="423"/>
      <c r="CF75" s="553"/>
      <c r="CH75" s="423"/>
      <c r="CI75" s="423"/>
      <c r="CJ75" s="423"/>
      <c r="CK75" s="423"/>
      <c r="CL75" s="553"/>
      <c r="CN75" s="423"/>
      <c r="CO75" s="423"/>
      <c r="CP75" s="423"/>
      <c r="CQ75" s="423"/>
      <c r="CR75" s="553"/>
      <c r="EI75" s="553"/>
      <c r="EJ75" s="553"/>
      <c r="EK75" s="423"/>
      <c r="EL75" s="555"/>
      <c r="ES75" s="533"/>
      <c r="ET75" s="533"/>
      <c r="EU75" s="533"/>
      <c r="EV75" s="556"/>
      <c r="EY75" s="533"/>
      <c r="EZ75" s="533"/>
      <c r="FA75" s="556"/>
      <c r="FD75" s="556"/>
      <c r="FE75" s="556"/>
      <c r="FF75" s="556"/>
      <c r="FK75" s="557">
        <f t="shared" si="113"/>
        <v>75</v>
      </c>
      <c r="FL75" s="493">
        <f t="shared" si="114"/>
        <v>61.5396</v>
      </c>
      <c r="FM75" s="493">
        <f t="shared" si="115"/>
        <v>12.2417</v>
      </c>
      <c r="FO75" s="427">
        <f t="shared" si="61"/>
        <v>3096794.9099999997</v>
      </c>
      <c r="FP75" s="558">
        <f t="shared" si="126"/>
        <v>97333.37</v>
      </c>
      <c r="FQ75" s="558">
        <f t="shared" si="126"/>
        <v>96303.23</v>
      </c>
      <c r="FR75" s="558">
        <f t="shared" si="126"/>
        <v>95270.54</v>
      </c>
      <c r="FS75" s="558">
        <f t="shared" si="126"/>
        <v>94237.85</v>
      </c>
      <c r="FT75" s="558">
        <f t="shared" si="126"/>
        <v>93169.55</v>
      </c>
      <c r="FU75" s="558">
        <f t="shared" si="126"/>
        <v>92070.73</v>
      </c>
      <c r="FV75" s="558">
        <f t="shared" si="126"/>
        <v>90982.080000000002</v>
      </c>
      <c r="FW75" s="558">
        <f t="shared" si="126"/>
        <v>89885.81</v>
      </c>
      <c r="FX75" s="558">
        <f t="shared" si="126"/>
        <v>88751.37</v>
      </c>
      <c r="FY75" s="558">
        <f t="shared" si="126"/>
        <v>87571.16</v>
      </c>
      <c r="FZ75" s="558">
        <f t="shared" si="126"/>
        <v>86383.31</v>
      </c>
      <c r="GA75" s="558">
        <f t="shared" si="126"/>
        <v>85177.66</v>
      </c>
      <c r="GB75" s="558">
        <f t="shared" si="126"/>
        <v>83944.03</v>
      </c>
      <c r="GC75" s="558">
        <f t="shared" si="126"/>
        <v>82705.31</v>
      </c>
      <c r="GD75" s="558">
        <f t="shared" si="126"/>
        <v>81428.44</v>
      </c>
      <c r="GE75" s="558">
        <f t="shared" si="126"/>
        <v>80141.399999999994</v>
      </c>
      <c r="GF75" s="558">
        <f t="shared" si="124"/>
        <v>78816.2</v>
      </c>
      <c r="GG75" s="558">
        <f t="shared" si="124"/>
        <v>77460.47</v>
      </c>
      <c r="GH75" s="558">
        <f t="shared" si="124"/>
        <v>76066.600000000006</v>
      </c>
      <c r="GI75" s="558">
        <f t="shared" si="124"/>
        <v>74632.03</v>
      </c>
      <c r="GJ75" s="558">
        <f t="shared" si="124"/>
        <v>73154.210000000006</v>
      </c>
      <c r="GK75" s="558">
        <f t="shared" si="124"/>
        <v>71620.44</v>
      </c>
      <c r="GL75" s="558">
        <f t="shared" si="124"/>
        <v>70030.710000000006</v>
      </c>
      <c r="GM75" s="558">
        <f t="shared" si="124"/>
        <v>68382.48</v>
      </c>
      <c r="GN75" s="558">
        <f t="shared" si="124"/>
        <v>66668.11</v>
      </c>
      <c r="GO75" s="558">
        <f t="shared" si="124"/>
        <v>64900.34</v>
      </c>
      <c r="GP75" s="558">
        <f t="shared" si="124"/>
        <v>63071.51</v>
      </c>
      <c r="GQ75" s="558">
        <f t="shared" si="124"/>
        <v>61186.73</v>
      </c>
      <c r="GR75" s="558">
        <f t="shared" si="124"/>
        <v>59251.07</v>
      </c>
      <c r="GS75" s="558">
        <f t="shared" si="124"/>
        <v>57267.09</v>
      </c>
      <c r="GT75" s="558">
        <f t="shared" si="124"/>
        <v>55242.41</v>
      </c>
      <c r="GU75" s="558">
        <f t="shared" si="127"/>
        <v>53169.4</v>
      </c>
      <c r="GV75" s="558">
        <f t="shared" si="127"/>
        <v>51068.41</v>
      </c>
      <c r="GW75" s="558">
        <f t="shared" si="127"/>
        <v>48929.27</v>
      </c>
      <c r="GX75" s="558">
        <f t="shared" si="127"/>
        <v>46767.24</v>
      </c>
      <c r="GY75" s="558">
        <f t="shared" si="127"/>
        <v>44582.31</v>
      </c>
      <c r="GZ75" s="558">
        <f t="shared" si="127"/>
        <v>42371.95</v>
      </c>
      <c r="HA75" s="558">
        <f t="shared" si="127"/>
        <v>40143.79</v>
      </c>
      <c r="HB75" s="558">
        <f t="shared" si="127"/>
        <v>37882.550000000003</v>
      </c>
      <c r="HC75" s="558">
        <f t="shared" si="127"/>
        <v>35572.99</v>
      </c>
      <c r="HD75" s="558">
        <f t="shared" si="127"/>
        <v>33230.370000000003</v>
      </c>
      <c r="HE75" s="558">
        <f t="shared" si="127"/>
        <v>30864.85</v>
      </c>
      <c r="HF75" s="558">
        <f t="shared" si="127"/>
        <v>28468.81</v>
      </c>
      <c r="HG75" s="558">
        <f t="shared" si="127"/>
        <v>26054.959999999999</v>
      </c>
      <c r="HH75" s="558">
        <f t="shared" si="127"/>
        <v>23615.68</v>
      </c>
      <c r="HI75" s="558">
        <f t="shared" si="127"/>
        <v>21199.29</v>
      </c>
      <c r="HJ75" s="558">
        <f t="shared" si="127"/>
        <v>18762.55</v>
      </c>
      <c r="HK75" s="558">
        <f t="shared" si="128"/>
        <v>16341.07</v>
      </c>
      <c r="HL75" s="558">
        <f t="shared" si="128"/>
        <v>13937.4</v>
      </c>
      <c r="HM75" s="558">
        <f t="shared" si="128"/>
        <v>11543.91</v>
      </c>
      <c r="HN75" s="558">
        <f t="shared" si="128"/>
        <v>9572.64</v>
      </c>
      <c r="HO75" s="558">
        <f t="shared" si="128"/>
        <v>7662.42</v>
      </c>
      <c r="HP75" s="558">
        <f t="shared" si="123"/>
        <v>5833.59</v>
      </c>
      <c r="HQ75" s="558">
        <f t="shared" si="123"/>
        <v>4101.42</v>
      </c>
      <c r="HR75" s="558">
        <f t="shared" si="123"/>
        <v>2010.61</v>
      </c>
      <c r="HS75" s="558">
        <f t="shared" si="123"/>
        <v>1.19</v>
      </c>
      <c r="HT75" s="558" t="str">
        <f t="shared" si="123"/>
        <v>.</v>
      </c>
      <c r="HU75" s="558" t="str">
        <f t="shared" si="123"/>
        <v>.</v>
      </c>
      <c r="HV75" s="558" t="str">
        <f t="shared" si="123"/>
        <v>.</v>
      </c>
      <c r="HW75" s="558" t="str">
        <f t="shared" si="123"/>
        <v>.</v>
      </c>
      <c r="HX75" s="558" t="str">
        <f t="shared" si="123"/>
        <v>.</v>
      </c>
      <c r="HY75" s="558" t="str">
        <f t="shared" si="123"/>
        <v>.</v>
      </c>
      <c r="HZ75" s="558" t="str">
        <f t="shared" si="123"/>
        <v>.</v>
      </c>
      <c r="IA75" s="558" t="str">
        <f t="shared" si="122"/>
        <v>.</v>
      </c>
      <c r="IB75" s="558" t="str">
        <f t="shared" si="122"/>
        <v>.</v>
      </c>
      <c r="IC75" s="558" t="str">
        <f t="shared" si="122"/>
        <v>.</v>
      </c>
      <c r="ID75" s="558" t="str">
        <f t="shared" si="122"/>
        <v>.</v>
      </c>
      <c r="IE75" s="558" t="str">
        <f t="shared" si="122"/>
        <v>.</v>
      </c>
      <c r="IF75" s="558" t="str">
        <f t="shared" si="122"/>
        <v>.</v>
      </c>
      <c r="IG75" s="558" t="str">
        <f t="shared" si="122"/>
        <v>.</v>
      </c>
      <c r="IH75" s="558" t="str">
        <f t="shared" si="122"/>
        <v>.</v>
      </c>
      <c r="II75" s="558" t="str">
        <f t="shared" si="122"/>
        <v>.</v>
      </c>
      <c r="IJ75" s="558" t="str">
        <f t="shared" si="122"/>
        <v>.</v>
      </c>
      <c r="IK75" s="558" t="str">
        <f t="shared" si="122"/>
        <v>.</v>
      </c>
      <c r="IL75" s="558" t="str">
        <f t="shared" si="122"/>
        <v>.</v>
      </c>
      <c r="IM75" s="558" t="str">
        <f t="shared" si="122"/>
        <v>.</v>
      </c>
      <c r="IN75" s="558" t="str">
        <f t="shared" si="122"/>
        <v>.</v>
      </c>
      <c r="IO75" s="558" t="str">
        <f t="shared" si="122"/>
        <v>.</v>
      </c>
      <c r="IP75" s="558" t="str">
        <f t="shared" si="122"/>
        <v>.</v>
      </c>
      <c r="IQ75" s="558" t="str">
        <f t="shared" si="122"/>
        <v>.</v>
      </c>
      <c r="IR75" s="558" t="str">
        <f t="shared" si="122"/>
        <v>.</v>
      </c>
      <c r="IS75" s="558" t="str">
        <f t="shared" si="125"/>
        <v>.</v>
      </c>
      <c r="IT75" s="558" t="str">
        <f t="shared" si="125"/>
        <v>.</v>
      </c>
      <c r="IU75" s="558" t="str">
        <f t="shared" si="125"/>
        <v>.</v>
      </c>
      <c r="IV75" s="558" t="str">
        <f t="shared" si="125"/>
        <v>.</v>
      </c>
      <c r="IW75" s="558" t="str">
        <f t="shared" si="125"/>
        <v>.</v>
      </c>
      <c r="IX75" s="558" t="str">
        <f t="shared" si="125"/>
        <v>.</v>
      </c>
      <c r="IY75" s="558" t="str">
        <f t="shared" si="125"/>
        <v>.</v>
      </c>
      <c r="IZ75" s="558" t="str">
        <f t="shared" si="125"/>
        <v>.</v>
      </c>
      <c r="JA75" s="558" t="str">
        <f t="shared" si="125"/>
        <v>.</v>
      </c>
      <c r="JB75" s="558" t="str">
        <f t="shared" si="125"/>
        <v>.</v>
      </c>
      <c r="JC75" s="558" t="str">
        <f t="shared" si="121"/>
        <v>.</v>
      </c>
      <c r="JD75" s="558" t="str">
        <f t="shared" si="121"/>
        <v>.</v>
      </c>
      <c r="JE75" s="558" t="str">
        <f t="shared" si="121"/>
        <v>.</v>
      </c>
      <c r="JF75" s="558" t="str">
        <f t="shared" si="121"/>
        <v>.</v>
      </c>
      <c r="JG75" s="558" t="str">
        <f t="shared" si="121"/>
        <v>.</v>
      </c>
      <c r="JH75" s="558" t="str">
        <f t="shared" si="121"/>
        <v>.</v>
      </c>
      <c r="JI75" s="558" t="str">
        <f t="shared" si="121"/>
        <v>.</v>
      </c>
      <c r="JJ75" s="558" t="str">
        <f t="shared" si="121"/>
        <v>.</v>
      </c>
      <c r="JK75" s="558" t="str">
        <f t="shared" si="121"/>
        <v>.</v>
      </c>
      <c r="JL75" s="558" t="str">
        <f t="shared" si="121"/>
        <v>.</v>
      </c>
    </row>
    <row r="76" spans="1:272" ht="10.199999999999999" x14ac:dyDescent="0.2">
      <c r="A76" s="534">
        <f xml:space="preserve"> Basis!A76</f>
        <v>76</v>
      </c>
      <c r="F76" s="536">
        <f xml:space="preserve"> ROUND(    IF( $A$15=BE_MF_,   AW76,   INDEX( qx!76:76, F$16 ) ),    F$17    )</f>
        <v>1.6500000000000001E-2</v>
      </c>
      <c r="G76" s="536">
        <f xml:space="preserve"> ROUND(    IF( $A$15=BE_MF_,   BB76,   INDEX( wx!76:76, G$16 ) ),    G$17    )</f>
        <v>2.2000000000000001E-3</v>
      </c>
      <c r="H76" s="537">
        <f xml:space="preserve"> ROUND(    IF( $A$15=BE_MF_,   BG76,   INDEX( Kx!76:76, H$16 ) ),    H$17    )</f>
        <v>9062.2800000000007</v>
      </c>
      <c r="I76" s="538">
        <f t="shared" si="57"/>
        <v>9062.2800000000007</v>
      </c>
      <c r="J76" s="539">
        <f t="shared" si="84"/>
        <v>4.3609999999999998</v>
      </c>
      <c r="K76" s="540">
        <f t="shared" si="119"/>
        <v>0</v>
      </c>
      <c r="L76" s="541">
        <f t="shared" si="71"/>
        <v>0</v>
      </c>
      <c r="M76" s="541">
        <f t="shared" si="71"/>
        <v>8.5999999999999993E-2</v>
      </c>
      <c r="O76" s="542" t="b">
        <f t="shared" si="59"/>
        <v>1</v>
      </c>
      <c r="P76" s="493">
        <f t="shared" si="85"/>
        <v>1.8700000000000001E-2</v>
      </c>
      <c r="Q76" s="493">
        <f t="shared" si="86"/>
        <v>0.98129999999999995</v>
      </c>
      <c r="R76" s="543">
        <f t="shared" si="87"/>
        <v>442534</v>
      </c>
      <c r="S76" s="544">
        <f t="shared" si="88"/>
        <v>0.97560975599999999</v>
      </c>
      <c r="T76" s="423">
        <f t="shared" si="89"/>
        <v>67753.679999999993</v>
      </c>
      <c r="U76" s="423">
        <f xml:space="preserve"> IF( $O76,    ROUND(  SUM( T76:T$120), U$17 ),  LEER  )</f>
        <v>794127.78</v>
      </c>
      <c r="V76" s="493">
        <f t="shared" si="90"/>
        <v>11.720800000000001</v>
      </c>
      <c r="W76" s="493">
        <f t="shared" si="91"/>
        <v>295473.8</v>
      </c>
      <c r="X76" s="493">
        <f xml:space="preserve"> IF( $O76,    ROUND(  SUM( W76:W$120), X$17 ),  LEER  )</f>
        <v>4051895.98</v>
      </c>
      <c r="Y76" s="493">
        <f t="shared" si="92"/>
        <v>59.8033</v>
      </c>
      <c r="Z76" s="493">
        <f t="shared" si="93"/>
        <v>5.1022999999999996</v>
      </c>
      <c r="AA76" s="493">
        <f t="shared" si="94"/>
        <v>1</v>
      </c>
      <c r="AB76" s="493">
        <f t="shared" si="95"/>
        <v>2.3494000000000002</v>
      </c>
      <c r="AC76" s="545">
        <f t="shared" si="96"/>
        <v>0.32679999999999998</v>
      </c>
      <c r="AD76" s="493">
        <f t="shared" si="97"/>
        <v>5.1022999999999996</v>
      </c>
      <c r="AE76" s="493">
        <f t="shared" si="98"/>
        <v>5.9398999999999997</v>
      </c>
      <c r="AF76" s="493">
        <f t="shared" si="99"/>
        <v>5.9398999999999997</v>
      </c>
      <c r="AG76" s="493" t="str">
        <f t="shared" si="100"/>
        <v>.</v>
      </c>
      <c r="AH76" s="493" t="str">
        <f t="shared" si="101"/>
        <v>.</v>
      </c>
      <c r="AI76" s="423">
        <f t="shared" si="102"/>
        <v>2077.79</v>
      </c>
      <c r="AJ76" s="423">
        <f t="shared" si="103"/>
        <v>12341.86</v>
      </c>
      <c r="AK76" s="423">
        <f t="shared" si="104"/>
        <v>1028.49</v>
      </c>
      <c r="AN76" s="423">
        <f t="shared" si="120"/>
        <v>79105.13</v>
      </c>
      <c r="AO76" s="423">
        <f t="shared" si="120"/>
        <v>78564.490000000005</v>
      </c>
      <c r="AR76" s="546">
        <f xml:space="preserve"> ROUND(  INDEX( Kx!76:76, AR$16 ),  AR$17 )</f>
        <v>0.6986</v>
      </c>
      <c r="AS76" s="547">
        <f xml:space="preserve"> ROUND(  INDEX( qx!76:76, AS$16 ),  AS$17 )</f>
        <v>1.9599999999999999E-2</v>
      </c>
      <c r="AT76" s="547">
        <f xml:space="preserve"> ROUND(  INDEX( qx!76:76, AT$16 ),  AT$17 )</f>
        <v>1.18E-2</v>
      </c>
      <c r="AU76" s="548" t="str">
        <f t="shared" si="105"/>
        <v>F</v>
      </c>
      <c r="AV76" s="542">
        <f t="shared" si="106"/>
        <v>0.60709999999999997</v>
      </c>
      <c r="AW76" s="542">
        <f t="shared" si="107"/>
        <v>1.6500000000000001E-2</v>
      </c>
      <c r="AX76" s="546">
        <f xml:space="preserve"> ROUND(  INDEX( wx!76:76, AX$16 ),  AX$17 )</f>
        <v>2.2000000000000001E-3</v>
      </c>
      <c r="AY76" s="546">
        <f xml:space="preserve"> ROUND(  INDEX( wx!76:76, AY$16 ),  AY$17 )</f>
        <v>2.0999999999999999E-3</v>
      </c>
      <c r="AZ76" s="548" t="str">
        <f t="shared" si="108"/>
        <v>F</v>
      </c>
      <c r="BA76" s="542">
        <f t="shared" si="109"/>
        <v>0.60709999999999997</v>
      </c>
      <c r="BB76" s="542">
        <f t="shared" si="110"/>
        <v>2.2000000000000001E-3</v>
      </c>
      <c r="BC76" s="533">
        <f xml:space="preserve"> ROUND(  INDEX( Kx!76:76, BC$16 ),  BC$17 )</f>
        <v>9348.7000000000007</v>
      </c>
      <c r="BD76" s="533">
        <f xml:space="preserve"> ROUND(  INDEX( Kx!76:76, BD$16 ),  BD$17 )</f>
        <v>8066.61</v>
      </c>
      <c r="BE76" s="548" t="str">
        <f t="shared" si="60"/>
        <v>M</v>
      </c>
      <c r="BF76" s="542">
        <f t="shared" si="111"/>
        <v>0.77659999999999996</v>
      </c>
      <c r="BG76" s="420">
        <f t="shared" si="112"/>
        <v>9062.2800000000007</v>
      </c>
      <c r="BQ76" s="549"/>
      <c r="BR76" s="423"/>
      <c r="BS76" s="550"/>
      <c r="BT76" s="423"/>
      <c r="BU76" s="551"/>
      <c r="BV76" s="551"/>
      <c r="BW76" s="529"/>
      <c r="BX76" s="552"/>
      <c r="BY76" s="560"/>
      <c r="BZ76" s="559"/>
      <c r="CB76" s="423"/>
      <c r="CC76" s="423"/>
      <c r="CD76" s="423"/>
      <c r="CE76" s="423"/>
      <c r="CF76" s="553"/>
      <c r="CH76" s="423"/>
      <c r="CI76" s="423"/>
      <c r="CJ76" s="423"/>
      <c r="CK76" s="423"/>
      <c r="CL76" s="553"/>
      <c r="CN76" s="423"/>
      <c r="CO76" s="423"/>
      <c r="CP76" s="423"/>
      <c r="CQ76" s="423"/>
      <c r="CR76" s="553"/>
      <c r="EI76" s="553"/>
      <c r="EJ76" s="553"/>
      <c r="EK76" s="423"/>
      <c r="EL76" s="555"/>
      <c r="ES76" s="533"/>
      <c r="ET76" s="533"/>
      <c r="EU76" s="533"/>
      <c r="EV76" s="556"/>
      <c r="EY76" s="533"/>
      <c r="EZ76" s="533"/>
      <c r="FA76" s="556"/>
      <c r="FD76" s="556"/>
      <c r="FE76" s="556"/>
      <c r="FF76" s="556"/>
      <c r="FK76" s="557">
        <f t="shared" si="113"/>
        <v>76</v>
      </c>
      <c r="FL76" s="493">
        <f t="shared" si="114"/>
        <v>59.8033</v>
      </c>
      <c r="FM76" s="493">
        <f t="shared" si="115"/>
        <v>11.720800000000001</v>
      </c>
      <c r="FO76" s="427">
        <f t="shared" si="61"/>
        <v>3067682.6500000008</v>
      </c>
      <c r="FP76" s="558">
        <f t="shared" si="126"/>
        <v>95024.92</v>
      </c>
      <c r="FQ76" s="558">
        <f t="shared" si="126"/>
        <v>94038.61</v>
      </c>
      <c r="FR76" s="558">
        <f t="shared" si="126"/>
        <v>93049.87</v>
      </c>
      <c r="FS76" s="558">
        <f t="shared" si="126"/>
        <v>92061.119999999995</v>
      </c>
      <c r="FT76" s="558">
        <f t="shared" si="126"/>
        <v>91038.28</v>
      </c>
      <c r="FU76" s="558">
        <f t="shared" si="126"/>
        <v>89986.21</v>
      </c>
      <c r="FV76" s="558">
        <f t="shared" si="126"/>
        <v>88943.89</v>
      </c>
      <c r="FW76" s="558">
        <f t="shared" si="126"/>
        <v>87894.26</v>
      </c>
      <c r="FX76" s="558">
        <f t="shared" si="126"/>
        <v>86808.1</v>
      </c>
      <c r="FY76" s="558">
        <f t="shared" si="126"/>
        <v>85678.1</v>
      </c>
      <c r="FZ76" s="558">
        <f t="shared" si="126"/>
        <v>84540.800000000003</v>
      </c>
      <c r="GA76" s="558">
        <f t="shared" si="126"/>
        <v>83386.45</v>
      </c>
      <c r="GB76" s="558">
        <f t="shared" si="126"/>
        <v>82205.31</v>
      </c>
      <c r="GC76" s="558">
        <f t="shared" si="126"/>
        <v>81019.31</v>
      </c>
      <c r="GD76" s="558">
        <f t="shared" si="126"/>
        <v>79796.77</v>
      </c>
      <c r="GE76" s="558">
        <f t="shared" si="126"/>
        <v>78564.490000000005</v>
      </c>
      <c r="GF76" s="558">
        <f t="shared" si="124"/>
        <v>77295.679999999993</v>
      </c>
      <c r="GG76" s="558">
        <f t="shared" si="124"/>
        <v>75997.64</v>
      </c>
      <c r="GH76" s="558">
        <f t="shared" si="124"/>
        <v>74663.08</v>
      </c>
      <c r="GI76" s="558">
        <f t="shared" si="124"/>
        <v>73289.55</v>
      </c>
      <c r="GJ76" s="558">
        <f t="shared" si="124"/>
        <v>71874.62</v>
      </c>
      <c r="GK76" s="558">
        <f t="shared" si="124"/>
        <v>70406.11</v>
      </c>
      <c r="GL76" s="558">
        <f t="shared" si="124"/>
        <v>68884.03</v>
      </c>
      <c r="GM76" s="558">
        <f t="shared" si="124"/>
        <v>67305.929999999993</v>
      </c>
      <c r="GN76" s="558">
        <f t="shared" si="124"/>
        <v>65664.509999999995</v>
      </c>
      <c r="GO76" s="558">
        <f t="shared" si="124"/>
        <v>63971.95</v>
      </c>
      <c r="GP76" s="558">
        <f t="shared" si="124"/>
        <v>62220.95</v>
      </c>
      <c r="GQ76" s="558">
        <f t="shared" si="124"/>
        <v>60416.36</v>
      </c>
      <c r="GR76" s="558">
        <f t="shared" si="124"/>
        <v>58563.07</v>
      </c>
      <c r="GS76" s="558">
        <f t="shared" si="124"/>
        <v>56663.51</v>
      </c>
      <c r="GT76" s="558">
        <f t="shared" si="124"/>
        <v>54724.98</v>
      </c>
      <c r="GU76" s="558">
        <f t="shared" si="127"/>
        <v>52740.18</v>
      </c>
      <c r="GV76" s="558">
        <f t="shared" si="127"/>
        <v>50728.6</v>
      </c>
      <c r="GW76" s="558">
        <f t="shared" si="127"/>
        <v>48680.480000000003</v>
      </c>
      <c r="GX76" s="558">
        <f t="shared" si="127"/>
        <v>46610.44</v>
      </c>
      <c r="GY76" s="558">
        <f t="shared" si="127"/>
        <v>44518.49</v>
      </c>
      <c r="GZ76" s="558">
        <f t="shared" si="127"/>
        <v>42402.18</v>
      </c>
      <c r="HA76" s="558">
        <f t="shared" si="127"/>
        <v>40268.83</v>
      </c>
      <c r="HB76" s="558">
        <f t="shared" si="127"/>
        <v>38103.81</v>
      </c>
      <c r="HC76" s="558">
        <f t="shared" si="127"/>
        <v>35892.53</v>
      </c>
      <c r="HD76" s="558">
        <f t="shared" si="127"/>
        <v>33649.58</v>
      </c>
      <c r="HE76" s="558">
        <f t="shared" si="127"/>
        <v>31384.720000000001</v>
      </c>
      <c r="HF76" s="558">
        <f t="shared" si="127"/>
        <v>29090.63</v>
      </c>
      <c r="HG76" s="558">
        <f t="shared" si="127"/>
        <v>26779.5</v>
      </c>
      <c r="HH76" s="558">
        <f t="shared" si="127"/>
        <v>24444.01</v>
      </c>
      <c r="HI76" s="558">
        <f t="shared" si="127"/>
        <v>22130.44</v>
      </c>
      <c r="HJ76" s="558">
        <f t="shared" si="127"/>
        <v>19797.39</v>
      </c>
      <c r="HK76" s="558">
        <f t="shared" si="128"/>
        <v>17478.95</v>
      </c>
      <c r="HL76" s="558">
        <f t="shared" si="128"/>
        <v>15177.56</v>
      </c>
      <c r="HM76" s="558">
        <f t="shared" si="128"/>
        <v>12885.91</v>
      </c>
      <c r="HN76" s="558">
        <f t="shared" si="128"/>
        <v>10998.52</v>
      </c>
      <c r="HO76" s="558">
        <f t="shared" si="128"/>
        <v>9169.59</v>
      </c>
      <c r="HP76" s="558">
        <f t="shared" si="123"/>
        <v>7418.58</v>
      </c>
      <c r="HQ76" s="558">
        <f t="shared" si="123"/>
        <v>5760.11</v>
      </c>
      <c r="HR76" s="558">
        <f t="shared" si="123"/>
        <v>3758.27</v>
      </c>
      <c r="HS76" s="558">
        <f t="shared" si="123"/>
        <v>1834.35</v>
      </c>
      <c r="HT76" s="558">
        <f t="shared" si="123"/>
        <v>0.54</v>
      </c>
      <c r="HU76" s="558" t="str">
        <f t="shared" si="123"/>
        <v>.</v>
      </c>
      <c r="HV76" s="558" t="str">
        <f t="shared" si="123"/>
        <v>.</v>
      </c>
      <c r="HW76" s="558" t="str">
        <f t="shared" si="123"/>
        <v>.</v>
      </c>
      <c r="HX76" s="558" t="str">
        <f t="shared" si="123"/>
        <v>.</v>
      </c>
      <c r="HY76" s="558" t="str">
        <f t="shared" si="123"/>
        <v>.</v>
      </c>
      <c r="HZ76" s="558" t="str">
        <f t="shared" si="123"/>
        <v>.</v>
      </c>
      <c r="IA76" s="558" t="str">
        <f t="shared" si="122"/>
        <v>.</v>
      </c>
      <c r="IB76" s="558" t="str">
        <f t="shared" si="122"/>
        <v>.</v>
      </c>
      <c r="IC76" s="558" t="str">
        <f t="shared" si="122"/>
        <v>.</v>
      </c>
      <c r="ID76" s="558" t="str">
        <f t="shared" si="122"/>
        <v>.</v>
      </c>
      <c r="IE76" s="558" t="str">
        <f t="shared" si="122"/>
        <v>.</v>
      </c>
      <c r="IF76" s="558" t="str">
        <f t="shared" si="122"/>
        <v>.</v>
      </c>
      <c r="IG76" s="558" t="str">
        <f t="shared" si="122"/>
        <v>.</v>
      </c>
      <c r="IH76" s="558" t="str">
        <f t="shared" si="122"/>
        <v>.</v>
      </c>
      <c r="II76" s="558" t="str">
        <f t="shared" si="122"/>
        <v>.</v>
      </c>
      <c r="IJ76" s="558" t="str">
        <f t="shared" si="122"/>
        <v>.</v>
      </c>
      <c r="IK76" s="558" t="str">
        <f t="shared" si="122"/>
        <v>.</v>
      </c>
      <c r="IL76" s="558" t="str">
        <f t="shared" si="122"/>
        <v>.</v>
      </c>
      <c r="IM76" s="558" t="str">
        <f t="shared" si="122"/>
        <v>.</v>
      </c>
      <c r="IN76" s="558" t="str">
        <f t="shared" si="122"/>
        <v>.</v>
      </c>
      <c r="IO76" s="558" t="str">
        <f t="shared" si="122"/>
        <v>.</v>
      </c>
      <c r="IP76" s="558" t="str">
        <f t="shared" si="122"/>
        <v>.</v>
      </c>
      <c r="IQ76" s="558" t="str">
        <f t="shared" si="122"/>
        <v>.</v>
      </c>
      <c r="IR76" s="558" t="str">
        <f t="shared" si="122"/>
        <v>.</v>
      </c>
      <c r="IS76" s="558" t="str">
        <f t="shared" si="125"/>
        <v>.</v>
      </c>
      <c r="IT76" s="558" t="str">
        <f t="shared" si="125"/>
        <v>.</v>
      </c>
      <c r="IU76" s="558" t="str">
        <f t="shared" si="125"/>
        <v>.</v>
      </c>
      <c r="IV76" s="558" t="str">
        <f t="shared" si="125"/>
        <v>.</v>
      </c>
      <c r="IW76" s="558" t="str">
        <f t="shared" si="125"/>
        <v>.</v>
      </c>
      <c r="IX76" s="558" t="str">
        <f t="shared" si="125"/>
        <v>.</v>
      </c>
      <c r="IY76" s="558" t="str">
        <f t="shared" si="125"/>
        <v>.</v>
      </c>
      <c r="IZ76" s="558" t="str">
        <f t="shared" si="125"/>
        <v>.</v>
      </c>
      <c r="JA76" s="558" t="str">
        <f t="shared" si="125"/>
        <v>.</v>
      </c>
      <c r="JB76" s="558" t="str">
        <f t="shared" si="125"/>
        <v>.</v>
      </c>
      <c r="JC76" s="558" t="str">
        <f t="shared" si="125"/>
        <v>.</v>
      </c>
      <c r="JD76" s="558" t="str">
        <f t="shared" si="125"/>
        <v>.</v>
      </c>
      <c r="JE76" s="558" t="str">
        <f t="shared" si="125"/>
        <v>.</v>
      </c>
      <c r="JF76" s="558" t="str">
        <f t="shared" si="125"/>
        <v>.</v>
      </c>
      <c r="JG76" s="558" t="str">
        <f t="shared" si="125"/>
        <v>.</v>
      </c>
      <c r="JH76" s="558" t="str">
        <f t="shared" si="121"/>
        <v>.</v>
      </c>
      <c r="JI76" s="558" t="str">
        <f t="shared" si="121"/>
        <v>.</v>
      </c>
      <c r="JJ76" s="558" t="str">
        <f t="shared" si="121"/>
        <v>.</v>
      </c>
      <c r="JK76" s="558" t="str">
        <f t="shared" si="121"/>
        <v>.</v>
      </c>
      <c r="JL76" s="558" t="str">
        <f t="shared" si="121"/>
        <v>.</v>
      </c>
    </row>
    <row r="77" spans="1:272" ht="10.199999999999999" x14ac:dyDescent="0.2">
      <c r="A77" s="534">
        <f xml:space="preserve"> Basis!A77</f>
        <v>77</v>
      </c>
      <c r="F77" s="536">
        <f xml:space="preserve"> ROUND(    IF( $A$15=BE_MF_,   AW77,   INDEX( qx!77:77, F$16 ) ),    F$17    )</f>
        <v>1.8700000000000001E-2</v>
      </c>
      <c r="G77" s="536">
        <f xml:space="preserve"> ROUND(    IF( $A$15=BE_MF_,   BB77,   INDEX( wx!77:77, G$16 ) ),    G$17    )</f>
        <v>2E-3</v>
      </c>
      <c r="H77" s="537">
        <f xml:space="preserve"> ROUND(    IF( $A$15=BE_MF_,   BG77,   INDEX( Kx!77:77, H$16 ) ),    H$17    )</f>
        <v>9394.36</v>
      </c>
      <c r="I77" s="538">
        <f t="shared" si="57"/>
        <v>9394.36</v>
      </c>
      <c r="J77" s="539">
        <f t="shared" si="84"/>
        <v>4.5209999999999999</v>
      </c>
      <c r="K77" s="540">
        <f t="shared" si="119"/>
        <v>0</v>
      </c>
      <c r="L77" s="541">
        <f t="shared" si="71"/>
        <v>0</v>
      </c>
      <c r="M77" s="541">
        <f t="shared" si="71"/>
        <v>8.5999999999999993E-2</v>
      </c>
      <c r="O77" s="542" t="b">
        <f t="shared" si="59"/>
        <v>1</v>
      </c>
      <c r="P77" s="493">
        <f t="shared" si="85"/>
        <v>2.07E-2</v>
      </c>
      <c r="Q77" s="493">
        <f t="shared" si="86"/>
        <v>0.97929999999999995</v>
      </c>
      <c r="R77" s="543">
        <f t="shared" si="87"/>
        <v>434258</v>
      </c>
      <c r="S77" s="544">
        <f t="shared" si="88"/>
        <v>0.97560975599999999</v>
      </c>
      <c r="T77" s="423">
        <f t="shared" si="89"/>
        <v>64864.97</v>
      </c>
      <c r="U77" s="423">
        <f xml:space="preserve"> IF( $O77,    ROUND(  SUM( T77:T$120), U$17 ),  LEER  )</f>
        <v>726374.1</v>
      </c>
      <c r="V77" s="493">
        <f t="shared" si="90"/>
        <v>11.1982</v>
      </c>
      <c r="W77" s="493">
        <f t="shared" si="91"/>
        <v>293254.53000000003</v>
      </c>
      <c r="X77" s="493">
        <f xml:space="preserve"> IF( $O77,    ROUND(  SUM( W77:W$120), X$17 ),  LEER  )</f>
        <v>3756422.18</v>
      </c>
      <c r="Y77" s="493">
        <f t="shared" si="92"/>
        <v>57.9114</v>
      </c>
      <c r="Z77" s="493">
        <f t="shared" si="93"/>
        <v>5.1715</v>
      </c>
      <c r="AA77" s="493">
        <f t="shared" si="94"/>
        <v>1</v>
      </c>
      <c r="AB77" s="493">
        <f t="shared" si="95"/>
        <v>2.3494000000000002</v>
      </c>
      <c r="AC77" s="545">
        <f t="shared" si="96"/>
        <v>0.32679999999999998</v>
      </c>
      <c r="AD77" s="493">
        <f t="shared" si="97"/>
        <v>5.1715</v>
      </c>
      <c r="AE77" s="493">
        <f t="shared" si="98"/>
        <v>6.0156000000000001</v>
      </c>
      <c r="AF77" s="493">
        <f t="shared" si="99"/>
        <v>6.0156000000000001</v>
      </c>
      <c r="AG77" s="493" t="str">
        <f t="shared" si="100"/>
        <v>.</v>
      </c>
      <c r="AH77" s="493" t="str">
        <f t="shared" si="101"/>
        <v>.</v>
      </c>
      <c r="AI77" s="423">
        <f t="shared" si="102"/>
        <v>2077.79</v>
      </c>
      <c r="AJ77" s="423">
        <f t="shared" si="103"/>
        <v>12499.15</v>
      </c>
      <c r="AK77" s="423">
        <f t="shared" si="104"/>
        <v>1041.5999999999999</v>
      </c>
      <c r="AN77" s="423">
        <f t="shared" si="120"/>
        <v>77187.44</v>
      </c>
      <c r="AO77" s="423">
        <f t="shared" si="120"/>
        <v>76670.899999999994</v>
      </c>
      <c r="AR77" s="546">
        <f xml:space="preserve"> ROUND(  INDEX( Kx!77:77, AR$16 ),  AR$17 )</f>
        <v>0.68430000000000002</v>
      </c>
      <c r="AS77" s="547">
        <f xml:space="preserve"> ROUND(  INDEX( qx!77:77, AS$16 ),  AS$17 )</f>
        <v>2.23E-2</v>
      </c>
      <c r="AT77" s="547">
        <f xml:space="preserve"> ROUND(  INDEX( qx!77:77, AT$16 ),  AT$17 )</f>
        <v>1.3599999999999999E-2</v>
      </c>
      <c r="AU77" s="548" t="str">
        <f t="shared" si="105"/>
        <v>F</v>
      </c>
      <c r="AV77" s="542">
        <f t="shared" si="106"/>
        <v>0.59099999999999997</v>
      </c>
      <c r="AW77" s="542">
        <f t="shared" si="107"/>
        <v>1.8700000000000001E-2</v>
      </c>
      <c r="AX77" s="546">
        <f xml:space="preserve"> ROUND(  INDEX( wx!77:77, AX$16 ),  AX$17 )</f>
        <v>2E-3</v>
      </c>
      <c r="AY77" s="546">
        <f xml:space="preserve"> ROUND(  INDEX( wx!77:77, AY$16 ),  AY$17 )</f>
        <v>2.0999999999999999E-3</v>
      </c>
      <c r="AZ77" s="548" t="str">
        <f t="shared" si="108"/>
        <v>M</v>
      </c>
      <c r="BA77" s="542">
        <f t="shared" si="109"/>
        <v>0.76480000000000004</v>
      </c>
      <c r="BB77" s="542">
        <f t="shared" si="110"/>
        <v>2E-3</v>
      </c>
      <c r="BC77" s="533">
        <f xml:space="preserve"> ROUND(  INDEX( Kx!77:77, BC$16 ),  BC$17 )</f>
        <v>9712.2099999999991</v>
      </c>
      <c r="BD77" s="533">
        <f xml:space="preserve"> ROUND(  INDEX( Kx!77:77, BD$16 ),  BD$17 )</f>
        <v>8360.7999999999993</v>
      </c>
      <c r="BE77" s="548" t="str">
        <f t="shared" si="60"/>
        <v>M</v>
      </c>
      <c r="BF77" s="542">
        <f t="shared" si="111"/>
        <v>0.76480000000000004</v>
      </c>
      <c r="BG77" s="420">
        <f t="shared" si="112"/>
        <v>9394.36</v>
      </c>
      <c r="BQ77" s="549"/>
      <c r="BR77" s="423"/>
      <c r="BS77" s="550"/>
      <c r="BT77" s="423"/>
      <c r="BU77" s="551"/>
      <c r="BV77" s="551"/>
      <c r="BW77" s="529"/>
      <c r="BX77" s="552"/>
      <c r="BY77" s="560"/>
      <c r="BZ77" s="559"/>
      <c r="CB77" s="423"/>
      <c r="CC77" s="423"/>
      <c r="CD77" s="423"/>
      <c r="CE77" s="423"/>
      <c r="CF77" s="553"/>
      <c r="CH77" s="423"/>
      <c r="CI77" s="423"/>
      <c r="CJ77" s="423"/>
      <c r="CK77" s="423"/>
      <c r="CL77" s="553"/>
      <c r="CN77" s="423"/>
      <c r="CO77" s="423"/>
      <c r="CP77" s="423"/>
      <c r="CQ77" s="423"/>
      <c r="CR77" s="553"/>
      <c r="EI77" s="553"/>
      <c r="EJ77" s="553"/>
      <c r="EK77" s="423"/>
      <c r="EL77" s="555"/>
      <c r="ES77" s="533"/>
      <c r="ET77" s="533"/>
      <c r="EU77" s="533"/>
      <c r="EV77" s="556"/>
      <c r="EY77" s="533"/>
      <c r="EZ77" s="533"/>
      <c r="FA77" s="556"/>
      <c r="FD77" s="556"/>
      <c r="FE77" s="556"/>
      <c r="FF77" s="556"/>
      <c r="FK77" s="557">
        <f t="shared" si="113"/>
        <v>77</v>
      </c>
      <c r="FL77" s="493">
        <f t="shared" si="114"/>
        <v>57.9114</v>
      </c>
      <c r="FM77" s="493">
        <f t="shared" si="115"/>
        <v>11.1982</v>
      </c>
      <c r="FO77" s="427">
        <f t="shared" si="61"/>
        <v>3022638.4099999992</v>
      </c>
      <c r="FP77" s="558">
        <f t="shared" si="126"/>
        <v>92397.41</v>
      </c>
      <c r="FQ77" s="558">
        <f t="shared" si="126"/>
        <v>91455.08</v>
      </c>
      <c r="FR77" s="558">
        <f t="shared" si="126"/>
        <v>90510.42</v>
      </c>
      <c r="FS77" s="558">
        <f t="shared" si="126"/>
        <v>89565.759999999995</v>
      </c>
      <c r="FT77" s="558">
        <f t="shared" si="126"/>
        <v>88588.52</v>
      </c>
      <c r="FU77" s="558">
        <f t="shared" si="126"/>
        <v>87583.360000000001</v>
      </c>
      <c r="FV77" s="558">
        <f t="shared" si="126"/>
        <v>86587.51</v>
      </c>
      <c r="FW77" s="558">
        <f t="shared" si="126"/>
        <v>85584.68</v>
      </c>
      <c r="FX77" s="558">
        <f t="shared" si="126"/>
        <v>84546.95</v>
      </c>
      <c r="FY77" s="558">
        <f t="shared" si="126"/>
        <v>83467.34</v>
      </c>
      <c r="FZ77" s="558">
        <f t="shared" si="126"/>
        <v>82380.75</v>
      </c>
      <c r="GA77" s="558">
        <f t="shared" si="126"/>
        <v>81277.87</v>
      </c>
      <c r="GB77" s="558">
        <f t="shared" si="126"/>
        <v>80149.399999999994</v>
      </c>
      <c r="GC77" s="558">
        <f t="shared" si="126"/>
        <v>79016.27</v>
      </c>
      <c r="GD77" s="558">
        <f t="shared" si="126"/>
        <v>77848.240000000005</v>
      </c>
      <c r="GE77" s="558">
        <f t="shared" si="126"/>
        <v>76670.899999999994</v>
      </c>
      <c r="GF77" s="558">
        <f t="shared" si="124"/>
        <v>75458.67</v>
      </c>
      <c r="GG77" s="558">
        <f t="shared" si="124"/>
        <v>74218.509999999995</v>
      </c>
      <c r="GH77" s="558">
        <f t="shared" si="124"/>
        <v>72943.45</v>
      </c>
      <c r="GI77" s="558">
        <f t="shared" si="124"/>
        <v>71631.16</v>
      </c>
      <c r="GJ77" s="558">
        <f t="shared" si="124"/>
        <v>70279.320000000007</v>
      </c>
      <c r="GK77" s="558">
        <f t="shared" si="124"/>
        <v>68876.289999999994</v>
      </c>
      <c r="GL77" s="558">
        <f t="shared" si="124"/>
        <v>67422.070000000007</v>
      </c>
      <c r="GM77" s="558">
        <f t="shared" si="124"/>
        <v>65914.33</v>
      </c>
      <c r="GN77" s="558">
        <f t="shared" si="124"/>
        <v>64346.1</v>
      </c>
      <c r="GO77" s="558">
        <f t="shared" si="124"/>
        <v>62729.01</v>
      </c>
      <c r="GP77" s="558">
        <f t="shared" si="124"/>
        <v>61056.08</v>
      </c>
      <c r="GQ77" s="558">
        <f t="shared" si="124"/>
        <v>59331.96</v>
      </c>
      <c r="GR77" s="558">
        <f t="shared" si="124"/>
        <v>57561.3</v>
      </c>
      <c r="GS77" s="558">
        <f t="shared" si="124"/>
        <v>55746.43</v>
      </c>
      <c r="GT77" s="558">
        <f t="shared" si="124"/>
        <v>53894.34</v>
      </c>
      <c r="GU77" s="558">
        <f t="shared" si="127"/>
        <v>51998.04</v>
      </c>
      <c r="GV77" s="558">
        <f t="shared" si="127"/>
        <v>50076.14</v>
      </c>
      <c r="GW77" s="558">
        <f t="shared" si="127"/>
        <v>48119.34</v>
      </c>
      <c r="GX77" s="558">
        <f t="shared" si="127"/>
        <v>46141.61</v>
      </c>
      <c r="GY77" s="558">
        <f t="shared" si="127"/>
        <v>44142.93</v>
      </c>
      <c r="GZ77" s="558">
        <f t="shared" si="127"/>
        <v>42120.98</v>
      </c>
      <c r="HA77" s="558">
        <f t="shared" si="127"/>
        <v>40082.75</v>
      </c>
      <c r="HB77" s="558">
        <f t="shared" si="127"/>
        <v>38014.26</v>
      </c>
      <c r="HC77" s="558">
        <f t="shared" si="127"/>
        <v>35901.58</v>
      </c>
      <c r="HD77" s="558">
        <f t="shared" si="127"/>
        <v>33758.639999999999</v>
      </c>
      <c r="HE77" s="558">
        <f t="shared" si="127"/>
        <v>31594.76</v>
      </c>
      <c r="HF77" s="558">
        <f t="shared" si="127"/>
        <v>29402.959999999999</v>
      </c>
      <c r="HG77" s="558">
        <f t="shared" si="127"/>
        <v>27194.87</v>
      </c>
      <c r="HH77" s="558">
        <f t="shared" si="127"/>
        <v>24963.52</v>
      </c>
      <c r="HI77" s="558">
        <f t="shared" si="127"/>
        <v>22753.11</v>
      </c>
      <c r="HJ77" s="558">
        <f t="shared" si="127"/>
        <v>20524.080000000002</v>
      </c>
      <c r="HK77" s="558">
        <f t="shared" si="128"/>
        <v>18309.009999999998</v>
      </c>
      <c r="HL77" s="558">
        <f t="shared" si="128"/>
        <v>16110.23</v>
      </c>
      <c r="HM77" s="558">
        <f t="shared" si="128"/>
        <v>13920.76</v>
      </c>
      <c r="HN77" s="558">
        <f t="shared" si="128"/>
        <v>12117.53</v>
      </c>
      <c r="HO77" s="558">
        <f t="shared" si="128"/>
        <v>10370.14</v>
      </c>
      <c r="HP77" s="558">
        <f t="shared" si="123"/>
        <v>8697.2000000000007</v>
      </c>
      <c r="HQ77" s="558">
        <f t="shared" si="123"/>
        <v>7112.69</v>
      </c>
      <c r="HR77" s="558">
        <f t="shared" si="123"/>
        <v>5200.1000000000004</v>
      </c>
      <c r="HS77" s="558">
        <f t="shared" si="123"/>
        <v>3361.97</v>
      </c>
      <c r="HT77" s="558">
        <f t="shared" si="123"/>
        <v>1609.92</v>
      </c>
      <c r="HU77" s="558">
        <f t="shared" si="123"/>
        <v>-0.19</v>
      </c>
      <c r="HV77" s="558" t="str">
        <f t="shared" si="123"/>
        <v>.</v>
      </c>
      <c r="HW77" s="558" t="str">
        <f t="shared" si="123"/>
        <v>.</v>
      </c>
      <c r="HX77" s="558" t="str">
        <f t="shared" si="123"/>
        <v>.</v>
      </c>
      <c r="HY77" s="558" t="str">
        <f t="shared" si="123"/>
        <v>.</v>
      </c>
      <c r="HZ77" s="558" t="str">
        <f t="shared" si="123"/>
        <v>.</v>
      </c>
      <c r="IA77" s="558" t="str">
        <f t="shared" si="122"/>
        <v>.</v>
      </c>
      <c r="IB77" s="558" t="str">
        <f t="shared" si="122"/>
        <v>.</v>
      </c>
      <c r="IC77" s="558" t="str">
        <f t="shared" si="122"/>
        <v>.</v>
      </c>
      <c r="ID77" s="558" t="str">
        <f t="shared" si="122"/>
        <v>.</v>
      </c>
      <c r="IE77" s="558" t="str">
        <f t="shared" si="122"/>
        <v>.</v>
      </c>
      <c r="IF77" s="558" t="str">
        <f t="shared" si="122"/>
        <v>.</v>
      </c>
      <c r="IG77" s="558" t="str">
        <f t="shared" si="122"/>
        <v>.</v>
      </c>
      <c r="IH77" s="558" t="str">
        <f t="shared" si="122"/>
        <v>.</v>
      </c>
      <c r="II77" s="558" t="str">
        <f t="shared" si="122"/>
        <v>.</v>
      </c>
      <c r="IJ77" s="558" t="str">
        <f t="shared" si="122"/>
        <v>.</v>
      </c>
      <c r="IK77" s="558" t="str">
        <f t="shared" si="122"/>
        <v>.</v>
      </c>
      <c r="IL77" s="558" t="str">
        <f t="shared" si="122"/>
        <v>.</v>
      </c>
      <c r="IM77" s="558" t="str">
        <f t="shared" si="122"/>
        <v>.</v>
      </c>
      <c r="IN77" s="558" t="str">
        <f t="shared" si="122"/>
        <v>.</v>
      </c>
      <c r="IO77" s="558" t="str">
        <f t="shared" si="122"/>
        <v>.</v>
      </c>
      <c r="IP77" s="558" t="str">
        <f t="shared" si="122"/>
        <v>.</v>
      </c>
      <c r="IQ77" s="558" t="str">
        <f t="shared" si="122"/>
        <v>.</v>
      </c>
      <c r="IR77" s="558" t="str">
        <f t="shared" si="122"/>
        <v>.</v>
      </c>
      <c r="IS77" s="558" t="str">
        <f t="shared" si="125"/>
        <v>.</v>
      </c>
      <c r="IT77" s="558" t="str">
        <f t="shared" si="125"/>
        <v>.</v>
      </c>
      <c r="IU77" s="558" t="str">
        <f t="shared" si="125"/>
        <v>.</v>
      </c>
      <c r="IV77" s="558" t="str">
        <f t="shared" si="125"/>
        <v>.</v>
      </c>
      <c r="IW77" s="558" t="str">
        <f t="shared" si="125"/>
        <v>.</v>
      </c>
      <c r="IX77" s="558" t="str">
        <f t="shared" si="125"/>
        <v>.</v>
      </c>
      <c r="IY77" s="558" t="str">
        <f t="shared" si="125"/>
        <v>.</v>
      </c>
      <c r="IZ77" s="558" t="str">
        <f t="shared" si="125"/>
        <v>.</v>
      </c>
      <c r="JA77" s="558" t="str">
        <f t="shared" si="125"/>
        <v>.</v>
      </c>
      <c r="JB77" s="558" t="str">
        <f t="shared" si="125"/>
        <v>.</v>
      </c>
      <c r="JC77" s="558" t="str">
        <f t="shared" si="125"/>
        <v>.</v>
      </c>
      <c r="JD77" s="558" t="str">
        <f t="shared" si="125"/>
        <v>.</v>
      </c>
      <c r="JE77" s="558" t="str">
        <f t="shared" si="125"/>
        <v>.</v>
      </c>
      <c r="JF77" s="558" t="str">
        <f t="shared" si="125"/>
        <v>.</v>
      </c>
      <c r="JG77" s="558" t="str">
        <f t="shared" si="125"/>
        <v>.</v>
      </c>
      <c r="JH77" s="558" t="str">
        <f t="shared" si="125"/>
        <v>.</v>
      </c>
      <c r="JI77" s="558" t="str">
        <f t="shared" si="125"/>
        <v>.</v>
      </c>
      <c r="JJ77" s="558" t="str">
        <f t="shared" si="125"/>
        <v>.</v>
      </c>
      <c r="JK77" s="558" t="str">
        <f t="shared" si="125"/>
        <v>.</v>
      </c>
      <c r="JL77" s="558" t="str">
        <f t="shared" si="125"/>
        <v>.</v>
      </c>
    </row>
    <row r="78" spans="1:272" ht="10.199999999999999" x14ac:dyDescent="0.2">
      <c r="A78" s="534">
        <f xml:space="preserve"> Basis!A78</f>
        <v>78</v>
      </c>
      <c r="F78" s="536">
        <f xml:space="preserve"> ROUND(    IF( $A$15=BE_MF_,   AW78,   INDEX( qx!78:78, F$16 ) ),    F$17    )</f>
        <v>2.1299999999999999E-2</v>
      </c>
      <c r="G78" s="536">
        <f xml:space="preserve"> ROUND(    IF( $A$15=BE_MF_,   BB78,   INDEX( wx!78:78, G$16 ) ),    G$17    )</f>
        <v>1.9E-3</v>
      </c>
      <c r="H78" s="537">
        <f xml:space="preserve"> ROUND(    IF( $A$15=BE_MF_,   BG78,   INDEX( Kx!78:78, H$16 ) ),    H$17    )</f>
        <v>9713.98</v>
      </c>
      <c r="I78" s="538">
        <f t="shared" si="57"/>
        <v>9713.98</v>
      </c>
      <c r="J78" s="539">
        <f t="shared" si="84"/>
        <v>4.6749999999999998</v>
      </c>
      <c r="K78" s="540">
        <f t="shared" si="119"/>
        <v>0</v>
      </c>
      <c r="L78" s="541">
        <f t="shared" si="71"/>
        <v>0</v>
      </c>
      <c r="M78" s="541">
        <f t="shared" si="71"/>
        <v>8.5999999999999993E-2</v>
      </c>
      <c r="O78" s="542" t="b">
        <f t="shared" si="59"/>
        <v>1</v>
      </c>
      <c r="P78" s="493">
        <f t="shared" si="85"/>
        <v>2.3199999999999998E-2</v>
      </c>
      <c r="Q78" s="493">
        <f t="shared" si="86"/>
        <v>0.9768</v>
      </c>
      <c r="R78" s="543">
        <f t="shared" si="87"/>
        <v>425268</v>
      </c>
      <c r="S78" s="544">
        <f t="shared" si="88"/>
        <v>0.97560975599999999</v>
      </c>
      <c r="T78" s="423">
        <f t="shared" si="89"/>
        <v>61972.81</v>
      </c>
      <c r="U78" s="423">
        <f xml:space="preserve"> IF( $O78,    ROUND(  SUM( T78:T$120), U$17 ),  LEER  )</f>
        <v>661509.13</v>
      </c>
      <c r="V78" s="493">
        <f t="shared" si="90"/>
        <v>10.674200000000001</v>
      </c>
      <c r="W78" s="493">
        <f t="shared" si="91"/>
        <v>289722.89</v>
      </c>
      <c r="X78" s="493">
        <f xml:space="preserve"> IF( $O78,    ROUND(  SUM( W78:W$120), X$17 ),  LEER  )</f>
        <v>3463167.65</v>
      </c>
      <c r="Y78" s="493">
        <f t="shared" si="92"/>
        <v>55.881999999999998</v>
      </c>
      <c r="Z78" s="493">
        <f t="shared" si="93"/>
        <v>5.2351999999999999</v>
      </c>
      <c r="AA78" s="493">
        <f t="shared" si="94"/>
        <v>1</v>
      </c>
      <c r="AB78" s="493">
        <f t="shared" si="95"/>
        <v>2.3494000000000002</v>
      </c>
      <c r="AC78" s="545">
        <f t="shared" si="96"/>
        <v>0.32679999999999998</v>
      </c>
      <c r="AD78" s="493">
        <f t="shared" si="97"/>
        <v>5.2351999999999999</v>
      </c>
      <c r="AE78" s="493">
        <f t="shared" si="98"/>
        <v>6.0853000000000002</v>
      </c>
      <c r="AF78" s="493">
        <f t="shared" si="99"/>
        <v>6.0853000000000002</v>
      </c>
      <c r="AG78" s="493" t="str">
        <f t="shared" si="100"/>
        <v>.</v>
      </c>
      <c r="AH78" s="493" t="str">
        <f t="shared" si="101"/>
        <v>.</v>
      </c>
      <c r="AI78" s="423">
        <f t="shared" si="102"/>
        <v>2077.79</v>
      </c>
      <c r="AJ78" s="423">
        <f t="shared" si="103"/>
        <v>12643.98</v>
      </c>
      <c r="AK78" s="423">
        <f t="shared" si="104"/>
        <v>1053.67</v>
      </c>
      <c r="AN78" s="423">
        <f t="shared" si="120"/>
        <v>74989.45</v>
      </c>
      <c r="AO78" s="423">
        <f t="shared" si="120"/>
        <v>74497.08</v>
      </c>
      <c r="AR78" s="546">
        <f xml:space="preserve"> ROUND(  INDEX( Kx!78:78, AR$16 ),  AR$17 )</f>
        <v>0.66959999999999997</v>
      </c>
      <c r="AS78" s="547">
        <f xml:space="preserve"> ROUND(  INDEX( qx!78:78, AS$16 ),  AS$17 )</f>
        <v>2.5399999999999999E-2</v>
      </c>
      <c r="AT78" s="547">
        <f xml:space="preserve"> ROUND(  INDEX( qx!78:78, AT$16 ),  AT$17 )</f>
        <v>1.5699999999999999E-2</v>
      </c>
      <c r="AU78" s="548" t="str">
        <f t="shared" si="105"/>
        <v>F</v>
      </c>
      <c r="AV78" s="542">
        <f t="shared" si="106"/>
        <v>0.57469999999999999</v>
      </c>
      <c r="AW78" s="542">
        <f t="shared" si="107"/>
        <v>2.1299999999999999E-2</v>
      </c>
      <c r="AX78" s="546">
        <f xml:space="preserve"> ROUND(  INDEX( wx!78:78, AX$16 ),  AX$17 )</f>
        <v>1.9E-3</v>
      </c>
      <c r="AY78" s="546">
        <f xml:space="preserve"> ROUND(  INDEX( wx!78:78, AY$16 ),  AY$17 )</f>
        <v>2.0999999999999999E-3</v>
      </c>
      <c r="AZ78" s="548" t="str">
        <f t="shared" si="108"/>
        <v>M</v>
      </c>
      <c r="BA78" s="542">
        <f t="shared" si="109"/>
        <v>0.75249999999999995</v>
      </c>
      <c r="BB78" s="542">
        <f t="shared" si="110"/>
        <v>1.9E-3</v>
      </c>
      <c r="BC78" s="533">
        <f xml:space="preserve"> ROUND(  INDEX( Kx!78:78, BC$16 ),  BC$17 )</f>
        <v>10064.959999999999</v>
      </c>
      <c r="BD78" s="533">
        <f xml:space="preserve"> ROUND(  INDEX( Kx!78:78, BD$16 ),  BD$17 )</f>
        <v>8646.84</v>
      </c>
      <c r="BE78" s="548" t="str">
        <f t="shared" si="60"/>
        <v>M</v>
      </c>
      <c r="BF78" s="542">
        <f t="shared" si="111"/>
        <v>0.75249999999999995</v>
      </c>
      <c r="BG78" s="420">
        <f t="shared" si="112"/>
        <v>9713.98</v>
      </c>
      <c r="BQ78" s="549"/>
      <c r="BR78" s="423"/>
      <c r="BS78" s="550"/>
      <c r="BT78" s="423"/>
      <c r="BU78" s="551"/>
      <c r="BV78" s="551"/>
      <c r="BW78" s="529"/>
      <c r="BX78" s="552"/>
      <c r="BY78" s="560"/>
      <c r="BZ78" s="559"/>
      <c r="CB78" s="423"/>
      <c r="CC78" s="423"/>
      <c r="CD78" s="423"/>
      <c r="CE78" s="423"/>
      <c r="CF78" s="553"/>
      <c r="CH78" s="423"/>
      <c r="CI78" s="423"/>
      <c r="CJ78" s="423"/>
      <c r="CK78" s="423"/>
      <c r="CL78" s="553"/>
      <c r="CN78" s="423"/>
      <c r="CO78" s="423"/>
      <c r="CP78" s="423"/>
      <c r="CQ78" s="423"/>
      <c r="CR78" s="553"/>
      <c r="EI78" s="553"/>
      <c r="EJ78" s="553"/>
      <c r="EK78" s="423"/>
      <c r="EL78" s="555"/>
      <c r="ES78" s="533"/>
      <c r="ET78" s="533"/>
      <c r="EU78" s="533"/>
      <c r="EV78" s="556"/>
      <c r="EY78" s="533"/>
      <c r="EZ78" s="533"/>
      <c r="FA78" s="556"/>
      <c r="FD78" s="556"/>
      <c r="FE78" s="556"/>
      <c r="FF78" s="556"/>
      <c r="FK78" s="557">
        <f t="shared" si="113"/>
        <v>78</v>
      </c>
      <c r="FL78" s="493">
        <f t="shared" si="114"/>
        <v>55.881999999999998</v>
      </c>
      <c r="FM78" s="493">
        <f t="shared" si="115"/>
        <v>10.674200000000001</v>
      </c>
      <c r="FO78" s="427">
        <f t="shared" si="61"/>
        <v>2963203.9200000009</v>
      </c>
      <c r="FP78" s="558">
        <f t="shared" si="126"/>
        <v>89487.69</v>
      </c>
      <c r="FQ78" s="558">
        <f t="shared" si="126"/>
        <v>88589.45</v>
      </c>
      <c r="FR78" s="558">
        <f t="shared" si="126"/>
        <v>87689</v>
      </c>
      <c r="FS78" s="558">
        <f t="shared" si="126"/>
        <v>86788.54</v>
      </c>
      <c r="FT78" s="558">
        <f t="shared" si="126"/>
        <v>85857.03</v>
      </c>
      <c r="FU78" s="558">
        <f t="shared" si="126"/>
        <v>84898.91</v>
      </c>
      <c r="FV78" s="558">
        <f t="shared" si="126"/>
        <v>83949.66</v>
      </c>
      <c r="FW78" s="558">
        <f t="shared" si="126"/>
        <v>82993.759999999995</v>
      </c>
      <c r="FX78" s="558">
        <f t="shared" si="126"/>
        <v>82004.59</v>
      </c>
      <c r="FY78" s="558">
        <f t="shared" si="126"/>
        <v>80975.490000000005</v>
      </c>
      <c r="FZ78" s="558">
        <f t="shared" si="126"/>
        <v>79939.740000000005</v>
      </c>
      <c r="GA78" s="558">
        <f t="shared" si="126"/>
        <v>78888.47</v>
      </c>
      <c r="GB78" s="558">
        <f t="shared" si="126"/>
        <v>77812.800000000003</v>
      </c>
      <c r="GC78" s="558">
        <f t="shared" si="126"/>
        <v>76732.7</v>
      </c>
      <c r="GD78" s="558">
        <f t="shared" si="126"/>
        <v>75619.320000000007</v>
      </c>
      <c r="GE78" s="558">
        <f t="shared" si="126"/>
        <v>74497.08</v>
      </c>
      <c r="GF78" s="558">
        <f t="shared" si="124"/>
        <v>73341.570000000007</v>
      </c>
      <c r="GG78" s="558">
        <f t="shared" si="124"/>
        <v>72159.44</v>
      </c>
      <c r="GH78" s="558">
        <f t="shared" si="124"/>
        <v>70944.039999999994</v>
      </c>
      <c r="GI78" s="558">
        <f t="shared" si="124"/>
        <v>69693.16</v>
      </c>
      <c r="GJ78" s="558">
        <f t="shared" si="124"/>
        <v>68404.58</v>
      </c>
      <c r="GK78" s="558">
        <f t="shared" si="124"/>
        <v>67067.199999999997</v>
      </c>
      <c r="GL78" s="558">
        <f t="shared" si="124"/>
        <v>65681.03</v>
      </c>
      <c r="GM78" s="558">
        <f t="shared" si="124"/>
        <v>64243.85</v>
      </c>
      <c r="GN78" s="558">
        <f t="shared" si="124"/>
        <v>62749</v>
      </c>
      <c r="GO78" s="558">
        <f t="shared" si="124"/>
        <v>61207.58</v>
      </c>
      <c r="GP78" s="558">
        <f t="shared" si="124"/>
        <v>59612.92</v>
      </c>
      <c r="GQ78" s="558">
        <f t="shared" si="124"/>
        <v>57969.48</v>
      </c>
      <c r="GR78" s="558">
        <f t="shared" si="124"/>
        <v>56281.68</v>
      </c>
      <c r="GS78" s="558">
        <f t="shared" si="124"/>
        <v>54551.73</v>
      </c>
      <c r="GT78" s="558">
        <f t="shared" si="124"/>
        <v>52786.31</v>
      </c>
      <c r="GU78" s="558">
        <f t="shared" si="127"/>
        <v>50978.74</v>
      </c>
      <c r="GV78" s="558">
        <f t="shared" si="127"/>
        <v>49146.77</v>
      </c>
      <c r="GW78" s="558">
        <f t="shared" si="127"/>
        <v>47281.54</v>
      </c>
      <c r="GX78" s="558">
        <f t="shared" si="127"/>
        <v>45396.35</v>
      </c>
      <c r="GY78" s="558">
        <f t="shared" si="127"/>
        <v>43491.19</v>
      </c>
      <c r="GZ78" s="558">
        <f t="shared" si="127"/>
        <v>41563.86</v>
      </c>
      <c r="HA78" s="558">
        <f t="shared" si="127"/>
        <v>39621</v>
      </c>
      <c r="HB78" s="558">
        <f t="shared" si="127"/>
        <v>37649.31</v>
      </c>
      <c r="HC78" s="558">
        <f t="shared" si="127"/>
        <v>35635.480000000003</v>
      </c>
      <c r="HD78" s="558">
        <f t="shared" si="127"/>
        <v>33592.82</v>
      </c>
      <c r="HE78" s="558">
        <f t="shared" si="127"/>
        <v>31530.19</v>
      </c>
      <c r="HF78" s="558">
        <f t="shared" si="127"/>
        <v>29440.959999999999</v>
      </c>
      <c r="HG78" s="558">
        <f t="shared" si="127"/>
        <v>27336.19</v>
      </c>
      <c r="HH78" s="558">
        <f t="shared" si="127"/>
        <v>25209.25</v>
      </c>
      <c r="HI78" s="558">
        <f t="shared" si="127"/>
        <v>23102.27</v>
      </c>
      <c r="HJ78" s="558">
        <f t="shared" si="127"/>
        <v>20977.55</v>
      </c>
      <c r="HK78" s="558">
        <f t="shared" si="128"/>
        <v>18866.13</v>
      </c>
      <c r="HL78" s="558">
        <f t="shared" si="128"/>
        <v>16770.240000000002</v>
      </c>
      <c r="HM78" s="558">
        <f t="shared" si="128"/>
        <v>14683.22</v>
      </c>
      <c r="HN78" s="558">
        <f t="shared" si="128"/>
        <v>12964.37</v>
      </c>
      <c r="HO78" s="558">
        <f t="shared" si="128"/>
        <v>11298.74</v>
      </c>
      <c r="HP78" s="558">
        <f t="shared" si="123"/>
        <v>9704.09</v>
      </c>
      <c r="HQ78" s="558">
        <f t="shared" si="123"/>
        <v>8193.7199999999993</v>
      </c>
      <c r="HR78" s="558">
        <f t="shared" si="123"/>
        <v>6370.63</v>
      </c>
      <c r="HS78" s="558">
        <f t="shared" si="123"/>
        <v>4618.5</v>
      </c>
      <c r="HT78" s="558">
        <f t="shared" si="123"/>
        <v>2948.44</v>
      </c>
      <c r="HU78" s="558">
        <f t="shared" si="123"/>
        <v>1413.68</v>
      </c>
      <c r="HV78" s="558">
        <f t="shared" si="123"/>
        <v>0.89</v>
      </c>
      <c r="HW78" s="558" t="str">
        <f t="shared" si="123"/>
        <v>.</v>
      </c>
      <c r="HX78" s="558" t="str">
        <f t="shared" si="123"/>
        <v>.</v>
      </c>
      <c r="HY78" s="558" t="str">
        <f t="shared" si="123"/>
        <v>.</v>
      </c>
      <c r="HZ78" s="558" t="str">
        <f t="shared" si="123"/>
        <v>.</v>
      </c>
      <c r="IA78" s="558" t="str">
        <f t="shared" si="122"/>
        <v>.</v>
      </c>
      <c r="IB78" s="558" t="str">
        <f t="shared" si="122"/>
        <v>.</v>
      </c>
      <c r="IC78" s="558" t="str">
        <f t="shared" si="122"/>
        <v>.</v>
      </c>
      <c r="ID78" s="558" t="str">
        <f t="shared" si="122"/>
        <v>.</v>
      </c>
      <c r="IE78" s="558" t="str">
        <f t="shared" si="122"/>
        <v>.</v>
      </c>
      <c r="IF78" s="558" t="str">
        <f t="shared" si="122"/>
        <v>.</v>
      </c>
      <c r="IG78" s="558" t="str">
        <f t="shared" si="122"/>
        <v>.</v>
      </c>
      <c r="IH78" s="558" t="str">
        <f t="shared" si="122"/>
        <v>.</v>
      </c>
      <c r="II78" s="558" t="str">
        <f t="shared" si="122"/>
        <v>.</v>
      </c>
      <c r="IJ78" s="558" t="str">
        <f t="shared" si="122"/>
        <v>.</v>
      </c>
      <c r="IK78" s="558" t="str">
        <f t="shared" si="122"/>
        <v>.</v>
      </c>
      <c r="IL78" s="558" t="str">
        <f t="shared" si="122"/>
        <v>.</v>
      </c>
      <c r="IM78" s="558" t="str">
        <f t="shared" si="122"/>
        <v>.</v>
      </c>
      <c r="IN78" s="558" t="str">
        <f t="shared" si="122"/>
        <v>.</v>
      </c>
      <c r="IO78" s="558" t="str">
        <f t="shared" si="122"/>
        <v>.</v>
      </c>
      <c r="IP78" s="558" t="str">
        <f t="shared" si="122"/>
        <v>.</v>
      </c>
      <c r="IQ78" s="558" t="str">
        <f t="shared" si="122"/>
        <v>.</v>
      </c>
      <c r="IR78" s="558" t="str">
        <f t="shared" si="122"/>
        <v>.</v>
      </c>
      <c r="IS78" s="558" t="str">
        <f t="shared" si="125"/>
        <v>.</v>
      </c>
      <c r="IT78" s="558" t="str">
        <f t="shared" si="125"/>
        <v>.</v>
      </c>
      <c r="IU78" s="558" t="str">
        <f t="shared" si="125"/>
        <v>.</v>
      </c>
      <c r="IV78" s="558" t="str">
        <f t="shared" si="125"/>
        <v>.</v>
      </c>
      <c r="IW78" s="558" t="str">
        <f t="shared" si="125"/>
        <v>.</v>
      </c>
      <c r="IX78" s="558" t="str">
        <f t="shared" si="125"/>
        <v>.</v>
      </c>
      <c r="IY78" s="558" t="str">
        <f t="shared" si="125"/>
        <v>.</v>
      </c>
      <c r="IZ78" s="558" t="str">
        <f t="shared" si="125"/>
        <v>.</v>
      </c>
      <c r="JA78" s="558" t="str">
        <f t="shared" si="125"/>
        <v>.</v>
      </c>
      <c r="JB78" s="558" t="str">
        <f t="shared" si="125"/>
        <v>.</v>
      </c>
      <c r="JC78" s="558" t="str">
        <f t="shared" si="125"/>
        <v>.</v>
      </c>
      <c r="JD78" s="558" t="str">
        <f t="shared" si="125"/>
        <v>.</v>
      </c>
      <c r="JE78" s="558" t="str">
        <f t="shared" si="125"/>
        <v>.</v>
      </c>
      <c r="JF78" s="558" t="str">
        <f t="shared" si="125"/>
        <v>.</v>
      </c>
      <c r="JG78" s="558" t="str">
        <f t="shared" si="125"/>
        <v>.</v>
      </c>
      <c r="JH78" s="558" t="str">
        <f t="shared" si="125"/>
        <v>.</v>
      </c>
      <c r="JI78" s="558" t="str">
        <f t="shared" si="125"/>
        <v>.</v>
      </c>
      <c r="JJ78" s="558" t="str">
        <f t="shared" si="125"/>
        <v>.</v>
      </c>
      <c r="JK78" s="558" t="str">
        <f t="shared" si="125"/>
        <v>.</v>
      </c>
      <c r="JL78" s="558" t="str">
        <f t="shared" si="125"/>
        <v>.</v>
      </c>
    </row>
    <row r="79" spans="1:272" ht="10.199999999999999" x14ac:dyDescent="0.2">
      <c r="A79" s="534">
        <f xml:space="preserve"> Basis!A79</f>
        <v>79</v>
      </c>
      <c r="F79" s="536">
        <f xml:space="preserve"> ROUND(    IF( $A$15=BE_MF_,   AW79,   INDEX( qx!79:79, F$16 ) ),    F$17    )</f>
        <v>2.47E-2</v>
      </c>
      <c r="G79" s="536">
        <f xml:space="preserve"> ROUND(    IF( $A$15=BE_MF_,   BB79,   INDEX( wx!79:79, G$16 ) ),    G$17    )</f>
        <v>1.8E-3</v>
      </c>
      <c r="H79" s="537">
        <f xml:space="preserve"> ROUND(    IF( $A$15=BE_MF_,   BG79,   INDEX( Kx!79:79, H$16 ) ),    H$17    )</f>
        <v>10036.23</v>
      </c>
      <c r="I79" s="538">
        <f t="shared" si="57"/>
        <v>10036.23</v>
      </c>
      <c r="J79" s="539">
        <f t="shared" si="84"/>
        <v>4.83</v>
      </c>
      <c r="K79" s="540">
        <f t="shared" si="119"/>
        <v>0</v>
      </c>
      <c r="L79" s="541">
        <f t="shared" si="71"/>
        <v>0</v>
      </c>
      <c r="M79" s="541">
        <f t="shared" si="71"/>
        <v>8.5999999999999993E-2</v>
      </c>
      <c r="O79" s="542" t="b">
        <f t="shared" si="59"/>
        <v>1</v>
      </c>
      <c r="P79" s="493">
        <f t="shared" si="85"/>
        <v>2.6499999999999999E-2</v>
      </c>
      <c r="Q79" s="493">
        <f t="shared" si="86"/>
        <v>0.97350000000000003</v>
      </c>
      <c r="R79" s="543">
        <f t="shared" si="87"/>
        <v>415401</v>
      </c>
      <c r="S79" s="544">
        <f t="shared" si="88"/>
        <v>0.97560975599999999</v>
      </c>
      <c r="T79" s="423">
        <f t="shared" si="89"/>
        <v>59058.47</v>
      </c>
      <c r="U79" s="423">
        <f xml:space="preserve"> IF( $O79,    ROUND(  SUM( T79:T$120), U$17 ),  LEER  )</f>
        <v>599536.31999999995</v>
      </c>
      <c r="V79" s="493">
        <f t="shared" si="90"/>
        <v>10.1516</v>
      </c>
      <c r="W79" s="493">
        <f t="shared" si="91"/>
        <v>285252.40999999997</v>
      </c>
      <c r="X79" s="493">
        <f xml:space="preserve"> IF( $O79,    ROUND(  SUM( W79:W$120), X$17 ),  LEER  )</f>
        <v>3173444.76</v>
      </c>
      <c r="Y79" s="493">
        <f t="shared" si="92"/>
        <v>53.733899999999998</v>
      </c>
      <c r="Z79" s="493">
        <f t="shared" si="93"/>
        <v>5.2930999999999999</v>
      </c>
      <c r="AA79" s="493">
        <f t="shared" si="94"/>
        <v>1</v>
      </c>
      <c r="AB79" s="493">
        <f t="shared" si="95"/>
        <v>2.3494000000000002</v>
      </c>
      <c r="AC79" s="545">
        <f t="shared" si="96"/>
        <v>0.32679999999999998</v>
      </c>
      <c r="AD79" s="493">
        <f t="shared" si="97"/>
        <v>5.2930999999999999</v>
      </c>
      <c r="AE79" s="493">
        <f t="shared" si="98"/>
        <v>6.1486999999999998</v>
      </c>
      <c r="AF79" s="493">
        <f t="shared" si="99"/>
        <v>6.1486999999999998</v>
      </c>
      <c r="AG79" s="493" t="str">
        <f t="shared" si="100"/>
        <v>.</v>
      </c>
      <c r="AH79" s="493" t="str">
        <f t="shared" si="101"/>
        <v>.</v>
      </c>
      <c r="AI79" s="423">
        <f t="shared" si="102"/>
        <v>2077.79</v>
      </c>
      <c r="AJ79" s="423">
        <f t="shared" si="103"/>
        <v>12775.71</v>
      </c>
      <c r="AK79" s="423">
        <f t="shared" si="104"/>
        <v>1064.6400000000001</v>
      </c>
      <c r="AN79" s="423">
        <f t="shared" si="120"/>
        <v>72539.429999999993</v>
      </c>
      <c r="AO79" s="423">
        <f t="shared" si="120"/>
        <v>72071.17</v>
      </c>
      <c r="AR79" s="546">
        <f xml:space="preserve"> ROUND(  INDEX( Kx!79:79, AR$16 ),  AR$17 )</f>
        <v>0.67149999999999999</v>
      </c>
      <c r="AS79" s="547">
        <f xml:space="preserve"> ROUND(  INDEX( qx!79:79, AS$16 ),  AS$17 )</f>
        <v>2.93E-2</v>
      </c>
      <c r="AT79" s="547">
        <f xml:space="preserve"> ROUND(  INDEX( qx!79:79, AT$16 ),  AT$17 )</f>
        <v>1.84E-2</v>
      </c>
      <c r="AU79" s="548" t="str">
        <f t="shared" si="105"/>
        <v>F</v>
      </c>
      <c r="AV79" s="542">
        <f t="shared" si="106"/>
        <v>0.57679999999999998</v>
      </c>
      <c r="AW79" s="542">
        <f t="shared" si="107"/>
        <v>2.47E-2</v>
      </c>
      <c r="AX79" s="546">
        <f xml:space="preserve"> ROUND(  INDEX( wx!79:79, AX$16 ),  AX$17 )</f>
        <v>1.6999999999999999E-3</v>
      </c>
      <c r="AY79" s="546">
        <f xml:space="preserve"> ROUND(  INDEX( wx!79:79, AY$16 ),  AY$17 )</f>
        <v>2.0999999999999999E-3</v>
      </c>
      <c r="AZ79" s="548" t="str">
        <f t="shared" si="108"/>
        <v>M</v>
      </c>
      <c r="BA79" s="542">
        <f t="shared" si="109"/>
        <v>0.75409999999999999</v>
      </c>
      <c r="BB79" s="542">
        <f t="shared" si="110"/>
        <v>1.8E-3</v>
      </c>
      <c r="BC79" s="533">
        <f xml:space="preserve"> ROUND(  INDEX( Kx!79:79, BC$16 ),  BC$17 )</f>
        <v>10401.56</v>
      </c>
      <c r="BD79" s="533">
        <f xml:space="preserve"> ROUND(  INDEX( Kx!79:79, BD$16 ),  BD$17 )</f>
        <v>8915.89</v>
      </c>
      <c r="BE79" s="548" t="str">
        <f t="shared" si="60"/>
        <v>M</v>
      </c>
      <c r="BF79" s="542">
        <f t="shared" si="111"/>
        <v>0.75409999999999999</v>
      </c>
      <c r="BG79" s="420">
        <f t="shared" si="112"/>
        <v>10036.23</v>
      </c>
      <c r="BQ79" s="549"/>
      <c r="BR79" s="423"/>
      <c r="BS79" s="550"/>
      <c r="BT79" s="423"/>
      <c r="BU79" s="551"/>
      <c r="BV79" s="551"/>
      <c r="BW79" s="529"/>
      <c r="BX79" s="552"/>
      <c r="BY79" s="560"/>
      <c r="BZ79" s="559"/>
      <c r="CB79" s="423"/>
      <c r="CC79" s="423"/>
      <c r="CD79" s="423"/>
      <c r="CE79" s="423"/>
      <c r="CF79" s="553"/>
      <c r="CH79" s="423"/>
      <c r="CI79" s="423"/>
      <c r="CJ79" s="423"/>
      <c r="CK79" s="423"/>
      <c r="CL79" s="553"/>
      <c r="CN79" s="423"/>
      <c r="CO79" s="423"/>
      <c r="CP79" s="423"/>
      <c r="CQ79" s="423"/>
      <c r="CR79" s="553"/>
      <c r="EI79" s="553"/>
      <c r="EJ79" s="553"/>
      <c r="EK79" s="423"/>
      <c r="EL79" s="555"/>
      <c r="ES79" s="533"/>
      <c r="ET79" s="533"/>
      <c r="EU79" s="533"/>
      <c r="EV79" s="556"/>
      <c r="EY79" s="533"/>
      <c r="EZ79" s="533"/>
      <c r="FA79" s="556"/>
      <c r="FD79" s="556"/>
      <c r="FE79" s="556"/>
      <c r="FF79" s="556"/>
      <c r="FK79" s="557">
        <f t="shared" si="113"/>
        <v>79</v>
      </c>
      <c r="FL79" s="493">
        <f t="shared" si="114"/>
        <v>53.733899999999998</v>
      </c>
      <c r="FM79" s="493">
        <f t="shared" si="115"/>
        <v>10.1516</v>
      </c>
      <c r="FO79" s="427">
        <f t="shared" si="61"/>
        <v>2890191.5300000017</v>
      </c>
      <c r="FP79" s="558">
        <f t="shared" si="126"/>
        <v>86327.85</v>
      </c>
      <c r="FQ79" s="558">
        <f t="shared" si="126"/>
        <v>85473.59</v>
      </c>
      <c r="FR79" s="558">
        <f t="shared" si="126"/>
        <v>84617.22</v>
      </c>
      <c r="FS79" s="558">
        <f t="shared" si="126"/>
        <v>83760.850000000006</v>
      </c>
      <c r="FT79" s="558">
        <f t="shared" si="126"/>
        <v>82874.94</v>
      </c>
      <c r="FU79" s="558">
        <f t="shared" si="126"/>
        <v>81963.73</v>
      </c>
      <c r="FV79" s="558">
        <f t="shared" si="126"/>
        <v>81060.960000000006</v>
      </c>
      <c r="FW79" s="558">
        <f t="shared" si="126"/>
        <v>80151.850000000006</v>
      </c>
      <c r="FX79" s="558">
        <f t="shared" si="126"/>
        <v>79211.11</v>
      </c>
      <c r="FY79" s="558">
        <f t="shared" si="126"/>
        <v>78232.399999999994</v>
      </c>
      <c r="FZ79" s="558">
        <f t="shared" si="126"/>
        <v>77247.360000000001</v>
      </c>
      <c r="GA79" s="558">
        <f t="shared" si="126"/>
        <v>76247.56</v>
      </c>
      <c r="GB79" s="558">
        <f t="shared" si="126"/>
        <v>75224.55</v>
      </c>
      <c r="GC79" s="558">
        <f t="shared" si="126"/>
        <v>74197.33</v>
      </c>
      <c r="GD79" s="558">
        <f t="shared" si="126"/>
        <v>73138.47</v>
      </c>
      <c r="GE79" s="558">
        <f t="shared" si="126"/>
        <v>72071.17</v>
      </c>
      <c r="GF79" s="558">
        <f t="shared" si="124"/>
        <v>70972.23</v>
      </c>
      <c r="GG79" s="558">
        <f t="shared" si="124"/>
        <v>69847.97</v>
      </c>
      <c r="GH79" s="558">
        <f t="shared" si="124"/>
        <v>68692.08</v>
      </c>
      <c r="GI79" s="558">
        <f t="shared" si="124"/>
        <v>67502.44</v>
      </c>
      <c r="GJ79" s="558">
        <f t="shared" si="124"/>
        <v>66276.95</v>
      </c>
      <c r="GK79" s="558">
        <f t="shared" si="124"/>
        <v>65005.05</v>
      </c>
      <c r="GL79" s="558">
        <f t="shared" si="124"/>
        <v>63686.74</v>
      </c>
      <c r="GM79" s="558">
        <f t="shared" si="124"/>
        <v>62319.92</v>
      </c>
      <c r="GN79" s="558">
        <f t="shared" si="124"/>
        <v>60898.26</v>
      </c>
      <c r="GO79" s="558">
        <f t="shared" si="124"/>
        <v>59432.3</v>
      </c>
      <c r="GP79" s="558">
        <f t="shared" si="124"/>
        <v>57915.72</v>
      </c>
      <c r="GQ79" s="558">
        <f t="shared" si="124"/>
        <v>56352.74</v>
      </c>
      <c r="GR79" s="558">
        <f t="shared" si="124"/>
        <v>54747.57</v>
      </c>
      <c r="GS79" s="558">
        <f t="shared" si="124"/>
        <v>53102.33</v>
      </c>
      <c r="GT79" s="558">
        <f t="shared" si="124"/>
        <v>51423.33</v>
      </c>
      <c r="GU79" s="558">
        <f t="shared" si="127"/>
        <v>49704.26</v>
      </c>
      <c r="GV79" s="558">
        <f t="shared" si="127"/>
        <v>47961.99</v>
      </c>
      <c r="GW79" s="558">
        <f t="shared" si="127"/>
        <v>46188.08</v>
      </c>
      <c r="GX79" s="558">
        <f t="shared" si="127"/>
        <v>44395.18</v>
      </c>
      <c r="GY79" s="558">
        <f t="shared" si="127"/>
        <v>42583.3</v>
      </c>
      <c r="GZ79" s="558">
        <f t="shared" si="127"/>
        <v>40750.33</v>
      </c>
      <c r="HA79" s="558">
        <f t="shared" si="127"/>
        <v>38902.589999999997</v>
      </c>
      <c r="HB79" s="558">
        <f t="shared" si="127"/>
        <v>37027.43</v>
      </c>
      <c r="HC79" s="558">
        <f t="shared" si="127"/>
        <v>35112.199999999997</v>
      </c>
      <c r="HD79" s="558">
        <f t="shared" si="127"/>
        <v>33169.54</v>
      </c>
      <c r="HE79" s="558">
        <f t="shared" si="127"/>
        <v>31207.9</v>
      </c>
      <c r="HF79" s="558">
        <f t="shared" si="127"/>
        <v>29220.95</v>
      </c>
      <c r="HG79" s="558">
        <f t="shared" si="127"/>
        <v>27219.24</v>
      </c>
      <c r="HH79" s="558">
        <f t="shared" si="127"/>
        <v>25196.43</v>
      </c>
      <c r="HI79" s="558">
        <f t="shared" si="127"/>
        <v>23192.6</v>
      </c>
      <c r="HJ79" s="558">
        <f t="shared" si="127"/>
        <v>21171.91</v>
      </c>
      <c r="HK79" s="558">
        <f t="shared" si="128"/>
        <v>19163.86</v>
      </c>
      <c r="HL79" s="558">
        <f t="shared" si="128"/>
        <v>17170.580000000002</v>
      </c>
      <c r="HM79" s="558">
        <f t="shared" si="128"/>
        <v>15185.74</v>
      </c>
      <c r="HN79" s="558">
        <f t="shared" si="128"/>
        <v>13551.04</v>
      </c>
      <c r="HO79" s="558">
        <f t="shared" si="128"/>
        <v>11966.97</v>
      </c>
      <c r="HP79" s="558">
        <f t="shared" si="123"/>
        <v>10450.39</v>
      </c>
      <c r="HQ79" s="558">
        <f t="shared" si="123"/>
        <v>9013.9599999999991</v>
      </c>
      <c r="HR79" s="558">
        <f t="shared" si="123"/>
        <v>7280.13</v>
      </c>
      <c r="HS79" s="558">
        <f t="shared" si="123"/>
        <v>5613.79</v>
      </c>
      <c r="HT79" s="558">
        <f t="shared" si="123"/>
        <v>4025.49</v>
      </c>
      <c r="HU79" s="558">
        <f t="shared" si="123"/>
        <v>2565.86</v>
      </c>
      <c r="HV79" s="558">
        <f t="shared" si="123"/>
        <v>1222.25</v>
      </c>
      <c r="HW79" s="558">
        <f t="shared" si="123"/>
        <v>0.97</v>
      </c>
      <c r="HX79" s="558" t="str">
        <f t="shared" si="123"/>
        <v>.</v>
      </c>
      <c r="HY79" s="558" t="str">
        <f t="shared" si="123"/>
        <v>.</v>
      </c>
      <c r="HZ79" s="558" t="str">
        <f t="shared" si="123"/>
        <v>.</v>
      </c>
      <c r="IA79" s="558" t="str">
        <f t="shared" si="122"/>
        <v>.</v>
      </c>
      <c r="IB79" s="558" t="str">
        <f t="shared" si="122"/>
        <v>.</v>
      </c>
      <c r="IC79" s="558" t="str">
        <f t="shared" si="122"/>
        <v>.</v>
      </c>
      <c r="ID79" s="558" t="str">
        <f t="shared" si="122"/>
        <v>.</v>
      </c>
      <c r="IE79" s="558" t="str">
        <f t="shared" si="122"/>
        <v>.</v>
      </c>
      <c r="IF79" s="558" t="str">
        <f t="shared" si="122"/>
        <v>.</v>
      </c>
      <c r="IG79" s="558" t="str">
        <f t="shared" si="122"/>
        <v>.</v>
      </c>
      <c r="IH79" s="558" t="str">
        <f t="shared" si="122"/>
        <v>.</v>
      </c>
      <c r="II79" s="558" t="str">
        <f t="shared" si="122"/>
        <v>.</v>
      </c>
      <c r="IJ79" s="558" t="str">
        <f t="shared" si="122"/>
        <v>.</v>
      </c>
      <c r="IK79" s="558" t="str">
        <f t="shared" si="122"/>
        <v>.</v>
      </c>
      <c r="IL79" s="558" t="str">
        <f t="shared" si="122"/>
        <v>.</v>
      </c>
      <c r="IM79" s="558" t="str">
        <f t="shared" si="122"/>
        <v>.</v>
      </c>
      <c r="IN79" s="558" t="str">
        <f t="shared" si="122"/>
        <v>.</v>
      </c>
      <c r="IO79" s="558" t="str">
        <f t="shared" si="122"/>
        <v>.</v>
      </c>
      <c r="IP79" s="558" t="str">
        <f t="shared" si="122"/>
        <v>.</v>
      </c>
      <c r="IQ79" s="558" t="str">
        <f t="shared" si="122"/>
        <v>.</v>
      </c>
      <c r="IR79" s="558" t="str">
        <f t="shared" si="122"/>
        <v>.</v>
      </c>
      <c r="IS79" s="558" t="str">
        <f t="shared" si="125"/>
        <v>.</v>
      </c>
      <c r="IT79" s="558" t="str">
        <f t="shared" si="125"/>
        <v>.</v>
      </c>
      <c r="IU79" s="558" t="str">
        <f t="shared" si="125"/>
        <v>.</v>
      </c>
      <c r="IV79" s="558" t="str">
        <f t="shared" si="125"/>
        <v>.</v>
      </c>
      <c r="IW79" s="558" t="str">
        <f t="shared" si="125"/>
        <v>.</v>
      </c>
      <c r="IX79" s="558" t="str">
        <f t="shared" si="125"/>
        <v>.</v>
      </c>
      <c r="IY79" s="558" t="str">
        <f t="shared" si="125"/>
        <v>.</v>
      </c>
      <c r="IZ79" s="558" t="str">
        <f t="shared" si="125"/>
        <v>.</v>
      </c>
      <c r="JA79" s="558" t="str">
        <f t="shared" si="125"/>
        <v>.</v>
      </c>
      <c r="JB79" s="558" t="str">
        <f t="shared" si="125"/>
        <v>.</v>
      </c>
      <c r="JC79" s="558" t="str">
        <f t="shared" si="125"/>
        <v>.</v>
      </c>
      <c r="JD79" s="558" t="str">
        <f t="shared" si="125"/>
        <v>.</v>
      </c>
      <c r="JE79" s="558" t="str">
        <f t="shared" si="125"/>
        <v>.</v>
      </c>
      <c r="JF79" s="558" t="str">
        <f t="shared" si="125"/>
        <v>.</v>
      </c>
      <c r="JG79" s="558" t="str">
        <f t="shared" si="125"/>
        <v>.</v>
      </c>
      <c r="JH79" s="558" t="str">
        <f t="shared" si="125"/>
        <v>.</v>
      </c>
      <c r="JI79" s="558" t="str">
        <f t="shared" si="125"/>
        <v>.</v>
      </c>
      <c r="JJ79" s="558" t="str">
        <f t="shared" si="125"/>
        <v>.</v>
      </c>
      <c r="JK79" s="558" t="str">
        <f t="shared" si="125"/>
        <v>.</v>
      </c>
      <c r="JL79" s="558" t="str">
        <f t="shared" si="125"/>
        <v>.</v>
      </c>
    </row>
    <row r="80" spans="1:272" ht="10.199999999999999" x14ac:dyDescent="0.2">
      <c r="A80" s="534">
        <f xml:space="preserve"> Basis!A80</f>
        <v>80</v>
      </c>
      <c r="F80" s="536">
        <f xml:space="preserve"> ROUND(    IF( $A$15=BE_MF_,   AW80,   INDEX( qx!80:80, F$16 ) ),    F$17    )</f>
        <v>2.8299999999999999E-2</v>
      </c>
      <c r="G80" s="536">
        <f xml:space="preserve"> ROUND(    IF( $A$15=BE_MF_,   BB80,   INDEX( wx!80:80, G$16 ) ),    G$17    )</f>
        <v>1.6999999999999999E-3</v>
      </c>
      <c r="H80" s="537">
        <f xml:space="preserve"> ROUND(    IF( $A$15=BE_MF_,   BG80,   INDEX( Kx!80:80, H$16 ) ),    H$17    )</f>
        <v>10301.86</v>
      </c>
      <c r="I80" s="538">
        <f t="shared" si="57"/>
        <v>10301.86</v>
      </c>
      <c r="J80" s="539">
        <f t="shared" si="84"/>
        <v>4.9580000000000002</v>
      </c>
      <c r="K80" s="540">
        <f t="shared" si="119"/>
        <v>0</v>
      </c>
      <c r="L80" s="541">
        <f t="shared" si="71"/>
        <v>0</v>
      </c>
      <c r="M80" s="541">
        <f t="shared" si="71"/>
        <v>8.5999999999999993E-2</v>
      </c>
      <c r="O80" s="542" t="b">
        <f t="shared" si="59"/>
        <v>1</v>
      </c>
      <c r="P80" s="493">
        <f t="shared" si="85"/>
        <v>0.03</v>
      </c>
      <c r="Q80" s="493">
        <f t="shared" si="86"/>
        <v>0.97</v>
      </c>
      <c r="R80" s="543">
        <f t="shared" si="87"/>
        <v>404392</v>
      </c>
      <c r="S80" s="544">
        <f t="shared" si="88"/>
        <v>0.97560975599999999</v>
      </c>
      <c r="T80" s="423">
        <f t="shared" si="89"/>
        <v>56091.02</v>
      </c>
      <c r="U80" s="423">
        <f xml:space="preserve"> IF( $O80,    ROUND(  SUM( T80:T$120), U$17 ),  LEER  )</f>
        <v>540477.85</v>
      </c>
      <c r="V80" s="493">
        <f t="shared" si="90"/>
        <v>9.6356999999999999</v>
      </c>
      <c r="W80" s="493">
        <f t="shared" si="91"/>
        <v>278099.28000000003</v>
      </c>
      <c r="X80" s="493">
        <f xml:space="preserve"> IF( $O80,    ROUND(  SUM( W80:W$120), X$17 ),  LEER  )</f>
        <v>2888192.35</v>
      </c>
      <c r="Y80" s="493">
        <f t="shared" si="92"/>
        <v>51.491199999999999</v>
      </c>
      <c r="Z80" s="493">
        <f t="shared" si="93"/>
        <v>5.3437999999999999</v>
      </c>
      <c r="AA80" s="493">
        <f t="shared" si="94"/>
        <v>1</v>
      </c>
      <c r="AB80" s="493">
        <f t="shared" si="95"/>
        <v>2.3494000000000002</v>
      </c>
      <c r="AC80" s="545">
        <f t="shared" si="96"/>
        <v>0.32679999999999998</v>
      </c>
      <c r="AD80" s="493">
        <f t="shared" si="97"/>
        <v>5.3437999999999999</v>
      </c>
      <c r="AE80" s="493">
        <f t="shared" si="98"/>
        <v>6.2042000000000002</v>
      </c>
      <c r="AF80" s="493">
        <f t="shared" si="99"/>
        <v>6.2042000000000002</v>
      </c>
      <c r="AG80" s="493" t="str">
        <f t="shared" si="100"/>
        <v>.</v>
      </c>
      <c r="AH80" s="493" t="str">
        <f t="shared" si="101"/>
        <v>.</v>
      </c>
      <c r="AI80" s="423">
        <f t="shared" si="102"/>
        <v>2077.79</v>
      </c>
      <c r="AJ80" s="423">
        <f t="shared" si="103"/>
        <v>12891.02</v>
      </c>
      <c r="AK80" s="423">
        <f t="shared" si="104"/>
        <v>1074.25</v>
      </c>
      <c r="AN80" s="423">
        <f t="shared" ref="AN80:AO99" si="129" xml:space="preserve">  IF( AND( $A80&lt;=$O$12, $A80&gt;=AN$12),    ROUND( AN$19 * ( SUM($Y80) - SUM(AN$8) * SUM($V80) ), AN$17 ),  LEER  )</f>
        <v>69867.039999999994</v>
      </c>
      <c r="AO80" s="423">
        <f t="shared" si="129"/>
        <v>69422.570000000007</v>
      </c>
      <c r="AR80" s="546">
        <f xml:space="preserve"> ROUND(  INDEX( Kx!80:80, AR$16 ),  AR$17 )</f>
        <v>0.64510000000000001</v>
      </c>
      <c r="AS80" s="547">
        <f xml:space="preserve"> ROUND(  INDEX( qx!80:80, AS$16 ),  AS$17 )</f>
        <v>3.3799999999999997E-2</v>
      </c>
      <c r="AT80" s="547">
        <f xml:space="preserve"> ROUND(  INDEX( qx!80:80, AT$16 ),  AT$17 )</f>
        <v>2.1600000000000001E-2</v>
      </c>
      <c r="AU80" s="548" t="str">
        <f t="shared" si="105"/>
        <v>F</v>
      </c>
      <c r="AV80" s="542">
        <f t="shared" si="106"/>
        <v>0.54790000000000005</v>
      </c>
      <c r="AW80" s="542">
        <f t="shared" si="107"/>
        <v>2.8299999999999999E-2</v>
      </c>
      <c r="AX80" s="546">
        <f xml:space="preserve"> ROUND(  INDEX( wx!80:80, AX$16 ),  AX$17 )</f>
        <v>1.6000000000000001E-3</v>
      </c>
      <c r="AY80" s="546">
        <f xml:space="preserve"> ROUND(  INDEX( wx!80:80, AY$16 ),  AY$17 )</f>
        <v>2.0999999999999999E-3</v>
      </c>
      <c r="AZ80" s="548" t="str">
        <f t="shared" si="108"/>
        <v>M</v>
      </c>
      <c r="BA80" s="542">
        <f t="shared" si="109"/>
        <v>0.73170000000000002</v>
      </c>
      <c r="BB80" s="542">
        <f t="shared" si="110"/>
        <v>1.6999999999999999E-3</v>
      </c>
      <c r="BC80" s="533">
        <f xml:space="preserve"> ROUND(  INDEX( Kx!80:80, BC$16 ),  BC$17 )</f>
        <v>10718.26</v>
      </c>
      <c r="BD80" s="533">
        <f xml:space="preserve"> ROUND(  INDEX( Kx!80:80, BD$16 ),  BD$17 )</f>
        <v>9166.27</v>
      </c>
      <c r="BE80" s="548" t="str">
        <f t="shared" si="60"/>
        <v>M</v>
      </c>
      <c r="BF80" s="542">
        <f t="shared" si="111"/>
        <v>0.73170000000000002</v>
      </c>
      <c r="BG80" s="420">
        <f t="shared" si="112"/>
        <v>10301.86</v>
      </c>
      <c r="BQ80" s="549"/>
      <c r="BR80" s="423"/>
      <c r="BS80" s="550"/>
      <c r="BT80" s="423"/>
      <c r="BU80" s="551"/>
      <c r="BV80" s="551"/>
      <c r="BW80" s="529"/>
      <c r="BX80" s="552"/>
      <c r="BY80" s="560"/>
      <c r="BZ80" s="559"/>
      <c r="CB80" s="423"/>
      <c r="CC80" s="423"/>
      <c r="CD80" s="423"/>
      <c r="CE80" s="423"/>
      <c r="CF80" s="553"/>
      <c r="CH80" s="423"/>
      <c r="CI80" s="423"/>
      <c r="CJ80" s="423"/>
      <c r="CK80" s="423"/>
      <c r="CL80" s="553"/>
      <c r="CN80" s="423"/>
      <c r="CO80" s="423"/>
      <c r="CP80" s="423"/>
      <c r="CQ80" s="423"/>
      <c r="CR80" s="553"/>
      <c r="EI80" s="553"/>
      <c r="EJ80" s="553"/>
      <c r="EK80" s="423"/>
      <c r="EL80" s="555"/>
      <c r="ES80" s="533"/>
      <c r="ET80" s="533"/>
      <c r="EU80" s="533"/>
      <c r="EV80" s="556"/>
      <c r="EY80" s="533"/>
      <c r="EZ80" s="533"/>
      <c r="FA80" s="556"/>
      <c r="FD80" s="556"/>
      <c r="FE80" s="556"/>
      <c r="FF80" s="556"/>
      <c r="FK80" s="557">
        <f t="shared" si="113"/>
        <v>80</v>
      </c>
      <c r="FL80" s="493">
        <f t="shared" si="114"/>
        <v>51.491199999999999</v>
      </c>
      <c r="FM80" s="493">
        <f t="shared" si="115"/>
        <v>9.6356999999999999</v>
      </c>
      <c r="FO80" s="427">
        <f t="shared" si="61"/>
        <v>2804155.0000000005</v>
      </c>
      <c r="FP80" s="558">
        <f t="shared" si="126"/>
        <v>82954.740000000005</v>
      </c>
      <c r="FQ80" s="558">
        <f t="shared" si="126"/>
        <v>82143.89</v>
      </c>
      <c r="FR80" s="558">
        <f t="shared" si="126"/>
        <v>81331.039999999994</v>
      </c>
      <c r="FS80" s="558">
        <f t="shared" si="126"/>
        <v>80518.19</v>
      </c>
      <c r="FT80" s="558">
        <f t="shared" si="126"/>
        <v>79677.31</v>
      </c>
      <c r="FU80" s="558">
        <f t="shared" si="126"/>
        <v>78812.399999999994</v>
      </c>
      <c r="FV80" s="558">
        <f t="shared" si="126"/>
        <v>77955.5</v>
      </c>
      <c r="FW80" s="558">
        <f t="shared" si="126"/>
        <v>77092.600000000006</v>
      </c>
      <c r="FX80" s="558">
        <f t="shared" si="126"/>
        <v>76199.67</v>
      </c>
      <c r="FY80" s="558">
        <f t="shared" si="126"/>
        <v>75270.69</v>
      </c>
      <c r="FZ80" s="558">
        <f t="shared" si="126"/>
        <v>74335.710000000006</v>
      </c>
      <c r="GA80" s="558">
        <f t="shared" si="126"/>
        <v>73386.720000000001</v>
      </c>
      <c r="GB80" s="558">
        <f t="shared" si="126"/>
        <v>72415.7</v>
      </c>
      <c r="GC80" s="558">
        <f t="shared" si="126"/>
        <v>71440.679999999993</v>
      </c>
      <c r="GD80" s="558">
        <f t="shared" si="126"/>
        <v>70435.63</v>
      </c>
      <c r="GE80" s="558">
        <f t="shared" si="126"/>
        <v>69422.570000000007</v>
      </c>
      <c r="GF80" s="558">
        <f t="shared" si="124"/>
        <v>68379.48</v>
      </c>
      <c r="GG80" s="558">
        <f t="shared" si="124"/>
        <v>67312.36</v>
      </c>
      <c r="GH80" s="558">
        <f t="shared" si="124"/>
        <v>66215.210000000006</v>
      </c>
      <c r="GI80" s="558">
        <f t="shared" si="124"/>
        <v>65086.03</v>
      </c>
      <c r="GJ80" s="558">
        <f t="shared" si="124"/>
        <v>63922.81</v>
      </c>
      <c r="GK80" s="558">
        <f t="shared" si="124"/>
        <v>62715.55</v>
      </c>
      <c r="GL80" s="558">
        <f t="shared" si="124"/>
        <v>61464.24</v>
      </c>
      <c r="GM80" s="558">
        <f t="shared" si="124"/>
        <v>60166.879999999997</v>
      </c>
      <c r="GN80" s="558">
        <f t="shared" si="124"/>
        <v>58817.47</v>
      </c>
      <c r="GO80" s="558">
        <f t="shared" si="124"/>
        <v>57426.01</v>
      </c>
      <c r="GP80" s="558">
        <f t="shared" si="124"/>
        <v>55986.5</v>
      </c>
      <c r="GQ80" s="558">
        <f t="shared" si="124"/>
        <v>54502.95</v>
      </c>
      <c r="GR80" s="558">
        <f t="shared" si="124"/>
        <v>52979.360000000001</v>
      </c>
      <c r="GS80" s="558">
        <f t="shared" si="124"/>
        <v>51417.72</v>
      </c>
      <c r="GT80" s="558">
        <f t="shared" si="124"/>
        <v>49824.05</v>
      </c>
      <c r="GU80" s="558">
        <f t="shared" si="127"/>
        <v>48192.34</v>
      </c>
      <c r="GV80" s="558">
        <f t="shared" si="127"/>
        <v>46538.61</v>
      </c>
      <c r="GW80" s="558">
        <f t="shared" si="127"/>
        <v>44854.85</v>
      </c>
      <c r="GX80" s="558">
        <f t="shared" si="127"/>
        <v>43153.07</v>
      </c>
      <c r="GY80" s="558">
        <f t="shared" si="127"/>
        <v>41433.269999999997</v>
      </c>
      <c r="GZ80" s="558">
        <f t="shared" si="127"/>
        <v>39693.449999999997</v>
      </c>
      <c r="HA80" s="558">
        <f t="shared" si="127"/>
        <v>37939.61</v>
      </c>
      <c r="HB80" s="558">
        <f t="shared" si="127"/>
        <v>36159.75</v>
      </c>
      <c r="HC80" s="558">
        <f t="shared" si="127"/>
        <v>34341.839999999997</v>
      </c>
      <c r="HD80" s="558">
        <f t="shared" si="127"/>
        <v>32497.91</v>
      </c>
      <c r="HE80" s="558">
        <f t="shared" si="127"/>
        <v>30635.96</v>
      </c>
      <c r="HF80" s="558">
        <f t="shared" si="127"/>
        <v>28749.99</v>
      </c>
      <c r="HG80" s="558">
        <f t="shared" si="127"/>
        <v>26850</v>
      </c>
      <c r="HH80" s="558">
        <f t="shared" si="127"/>
        <v>24929.99</v>
      </c>
      <c r="HI80" s="558">
        <f t="shared" si="127"/>
        <v>23028</v>
      </c>
      <c r="HJ80" s="558">
        <f t="shared" si="127"/>
        <v>21109.99</v>
      </c>
      <c r="HK80" s="558">
        <f t="shared" si="128"/>
        <v>19203.990000000002</v>
      </c>
      <c r="HL80" s="558">
        <f t="shared" si="128"/>
        <v>17312.009999999998</v>
      </c>
      <c r="HM80" s="558">
        <f t="shared" si="128"/>
        <v>15428.04</v>
      </c>
      <c r="HN80" s="558">
        <f t="shared" si="128"/>
        <v>13876.42</v>
      </c>
      <c r="HO80" s="558">
        <f t="shared" si="128"/>
        <v>12372.84</v>
      </c>
      <c r="HP80" s="558">
        <f t="shared" si="123"/>
        <v>10933.34</v>
      </c>
      <c r="HQ80" s="558">
        <f t="shared" si="123"/>
        <v>9569.91</v>
      </c>
      <c r="HR80" s="558">
        <f t="shared" si="123"/>
        <v>7924.18</v>
      </c>
      <c r="HS80" s="558">
        <f t="shared" si="123"/>
        <v>6342.53</v>
      </c>
      <c r="HT80" s="558">
        <f t="shared" si="123"/>
        <v>4834.95</v>
      </c>
      <c r="HU80" s="558">
        <f t="shared" si="123"/>
        <v>3449.5</v>
      </c>
      <c r="HV80" s="558">
        <f t="shared" si="123"/>
        <v>2174.16</v>
      </c>
      <c r="HW80" s="558">
        <f t="shared" si="123"/>
        <v>1014.95</v>
      </c>
      <c r="HX80" s="558">
        <f t="shared" si="123"/>
        <v>-0.11</v>
      </c>
      <c r="HY80" s="558" t="str">
        <f t="shared" si="123"/>
        <v>.</v>
      </c>
      <c r="HZ80" s="558" t="str">
        <f t="shared" si="123"/>
        <v>.</v>
      </c>
      <c r="IA80" s="558" t="str">
        <f t="shared" si="122"/>
        <v>.</v>
      </c>
      <c r="IB80" s="558" t="str">
        <f t="shared" si="122"/>
        <v>.</v>
      </c>
      <c r="IC80" s="558" t="str">
        <f t="shared" si="122"/>
        <v>.</v>
      </c>
      <c r="ID80" s="558" t="str">
        <f t="shared" si="122"/>
        <v>.</v>
      </c>
      <c r="IE80" s="558" t="str">
        <f t="shared" si="122"/>
        <v>.</v>
      </c>
      <c r="IF80" s="558" t="str">
        <f t="shared" si="122"/>
        <v>.</v>
      </c>
      <c r="IG80" s="558" t="str">
        <f t="shared" si="122"/>
        <v>.</v>
      </c>
      <c r="IH80" s="558" t="str">
        <f t="shared" si="122"/>
        <v>.</v>
      </c>
      <c r="II80" s="558" t="str">
        <f t="shared" si="122"/>
        <v>.</v>
      </c>
      <c r="IJ80" s="558" t="str">
        <f t="shared" si="122"/>
        <v>.</v>
      </c>
      <c r="IK80" s="558" t="str">
        <f t="shared" si="122"/>
        <v>.</v>
      </c>
      <c r="IL80" s="558" t="str">
        <f t="shared" si="122"/>
        <v>.</v>
      </c>
      <c r="IM80" s="558" t="str">
        <f t="shared" ref="IM80:JK94" si="130" xml:space="preserve"> IF(  OR( IM$18&gt;$FK80, $FK80&gt;$FP$12 ),  LEER,  ROUND( $FO$19 * ( $FL80 - IM$15 * $FM80 ), IM$17 )  )</f>
        <v>.</v>
      </c>
      <c r="IN80" s="558" t="str">
        <f t="shared" si="130"/>
        <v>.</v>
      </c>
      <c r="IO80" s="558" t="str">
        <f t="shared" si="130"/>
        <v>.</v>
      </c>
      <c r="IP80" s="558" t="str">
        <f t="shared" si="130"/>
        <v>.</v>
      </c>
      <c r="IQ80" s="558" t="str">
        <f t="shared" si="130"/>
        <v>.</v>
      </c>
      <c r="IR80" s="558" t="str">
        <f t="shared" si="130"/>
        <v>.</v>
      </c>
      <c r="IS80" s="558" t="str">
        <f t="shared" si="130"/>
        <v>.</v>
      </c>
      <c r="IT80" s="558" t="str">
        <f t="shared" si="130"/>
        <v>.</v>
      </c>
      <c r="IU80" s="558" t="str">
        <f t="shared" si="130"/>
        <v>.</v>
      </c>
      <c r="IV80" s="558" t="str">
        <f t="shared" si="130"/>
        <v>.</v>
      </c>
      <c r="IW80" s="558" t="str">
        <f t="shared" si="130"/>
        <v>.</v>
      </c>
      <c r="IX80" s="558" t="str">
        <f t="shared" si="130"/>
        <v>.</v>
      </c>
      <c r="IY80" s="558" t="str">
        <f t="shared" si="130"/>
        <v>.</v>
      </c>
      <c r="IZ80" s="558" t="str">
        <f t="shared" si="130"/>
        <v>.</v>
      </c>
      <c r="JA80" s="558" t="str">
        <f t="shared" si="130"/>
        <v>.</v>
      </c>
      <c r="JB80" s="558" t="str">
        <f t="shared" si="130"/>
        <v>.</v>
      </c>
      <c r="JC80" s="558" t="str">
        <f t="shared" si="130"/>
        <v>.</v>
      </c>
      <c r="JD80" s="558" t="str">
        <f t="shared" si="130"/>
        <v>.</v>
      </c>
      <c r="JE80" s="558" t="str">
        <f t="shared" si="130"/>
        <v>.</v>
      </c>
      <c r="JF80" s="558" t="str">
        <f t="shared" si="125"/>
        <v>.</v>
      </c>
      <c r="JG80" s="558" t="str">
        <f t="shared" si="125"/>
        <v>.</v>
      </c>
      <c r="JH80" s="558" t="str">
        <f t="shared" si="125"/>
        <v>.</v>
      </c>
      <c r="JI80" s="558" t="str">
        <f t="shared" si="125"/>
        <v>.</v>
      </c>
      <c r="JJ80" s="558" t="str">
        <f t="shared" si="125"/>
        <v>.</v>
      </c>
      <c r="JK80" s="558" t="str">
        <f t="shared" si="125"/>
        <v>.</v>
      </c>
      <c r="JL80" s="558" t="str">
        <f t="shared" si="125"/>
        <v>.</v>
      </c>
    </row>
    <row r="81" spans="1:272" ht="10.199999999999999" x14ac:dyDescent="0.2">
      <c r="A81" s="534">
        <f xml:space="preserve"> Basis!A81</f>
        <v>81</v>
      </c>
      <c r="F81" s="536">
        <f xml:space="preserve"> ROUND(    IF( $A$15=BE_MF_,   AW81,   INDEX( qx!81:81, F$16 ) ),    F$17    )</f>
        <v>3.3000000000000002E-2</v>
      </c>
      <c r="G81" s="536">
        <f xml:space="preserve"> ROUND(    IF( $A$15=BE_MF_,   BB81,   INDEX( wx!81:81, G$16 ) ),    G$17    )</f>
        <v>1.6999999999999999E-3</v>
      </c>
      <c r="H81" s="537">
        <f xml:space="preserve"> ROUND(    IF( $A$15=BE_MF_,   BG81,   INDEX( Kx!81:81, H$16 ) ),    H$17    )</f>
        <v>10583.86</v>
      </c>
      <c r="I81" s="538">
        <f t="shared" si="57"/>
        <v>10583.86</v>
      </c>
      <c r="J81" s="539">
        <f t="shared" si="84"/>
        <v>5.0940000000000003</v>
      </c>
      <c r="K81" s="540">
        <f t="shared" si="119"/>
        <v>0</v>
      </c>
      <c r="L81" s="541">
        <f t="shared" si="71"/>
        <v>0</v>
      </c>
      <c r="M81" s="541">
        <f t="shared" si="71"/>
        <v>8.5999999999999993E-2</v>
      </c>
      <c r="O81" s="542" t="b">
        <f t="shared" si="59"/>
        <v>1</v>
      </c>
      <c r="P81" s="493">
        <f t="shared" si="85"/>
        <v>3.4700000000000002E-2</v>
      </c>
      <c r="Q81" s="493">
        <f t="shared" si="86"/>
        <v>0.96530000000000005</v>
      </c>
      <c r="R81" s="543">
        <f t="shared" si="87"/>
        <v>392260</v>
      </c>
      <c r="S81" s="544">
        <f t="shared" si="88"/>
        <v>0.97560975599999999</v>
      </c>
      <c r="T81" s="423">
        <f t="shared" si="89"/>
        <v>53081.22</v>
      </c>
      <c r="U81" s="423">
        <f xml:space="preserve"> IF( $O81,    ROUND(  SUM( T81:T$120), U$17 ),  LEER  )</f>
        <v>484386.83</v>
      </c>
      <c r="V81" s="493">
        <f t="shared" si="90"/>
        <v>9.1254000000000008</v>
      </c>
      <c r="W81" s="493">
        <f t="shared" si="91"/>
        <v>270395.73</v>
      </c>
      <c r="X81" s="493">
        <f xml:space="preserve"> IF( $O81,    ROUND(  SUM( W81:W$120), X$17 ),  LEER  )</f>
        <v>2610093.0699999998</v>
      </c>
      <c r="Y81" s="493">
        <f t="shared" si="92"/>
        <v>49.171700000000001</v>
      </c>
      <c r="Z81" s="493">
        <f t="shared" si="93"/>
        <v>5.3883999999999999</v>
      </c>
      <c r="AA81" s="493">
        <f t="shared" si="94"/>
        <v>1</v>
      </c>
      <c r="AB81" s="493">
        <f t="shared" si="95"/>
        <v>2.3494000000000002</v>
      </c>
      <c r="AC81" s="545">
        <f t="shared" si="96"/>
        <v>0.32679999999999998</v>
      </c>
      <c r="AD81" s="493">
        <f t="shared" si="97"/>
        <v>5.3883999999999999</v>
      </c>
      <c r="AE81" s="493">
        <f t="shared" si="98"/>
        <v>6.2530000000000001</v>
      </c>
      <c r="AF81" s="493">
        <f t="shared" si="99"/>
        <v>6.2530000000000001</v>
      </c>
      <c r="AG81" s="493" t="str">
        <f t="shared" si="100"/>
        <v>.</v>
      </c>
      <c r="AH81" s="493" t="str">
        <f t="shared" si="101"/>
        <v>.</v>
      </c>
      <c r="AI81" s="423">
        <f t="shared" si="102"/>
        <v>2077.79</v>
      </c>
      <c r="AJ81" s="423">
        <f t="shared" si="103"/>
        <v>12992.42</v>
      </c>
      <c r="AK81" s="423">
        <f t="shared" si="104"/>
        <v>1082.7</v>
      </c>
      <c r="AN81" s="423">
        <f t="shared" si="129"/>
        <v>67013.5</v>
      </c>
      <c r="AO81" s="423">
        <f t="shared" si="129"/>
        <v>66592.570000000007</v>
      </c>
      <c r="AR81" s="546">
        <f xml:space="preserve"> ROUND(  INDEX( Kx!81:81, AR$16 ),  AR$17 )</f>
        <v>0.6482</v>
      </c>
      <c r="AS81" s="547">
        <f xml:space="preserve"> ROUND(  INDEX( qx!81:81, AS$16 ),  AS$17 )</f>
        <v>3.9100000000000003E-2</v>
      </c>
      <c r="AT81" s="547">
        <f xml:space="preserve"> ROUND(  INDEX( qx!81:81, AT$16 ),  AT$17 )</f>
        <v>2.5399999999999999E-2</v>
      </c>
      <c r="AU81" s="548" t="str">
        <f t="shared" si="105"/>
        <v>F</v>
      </c>
      <c r="AV81" s="542">
        <f t="shared" si="106"/>
        <v>0.55120000000000002</v>
      </c>
      <c r="AW81" s="542">
        <f t="shared" si="107"/>
        <v>3.3000000000000002E-2</v>
      </c>
      <c r="AX81" s="546">
        <f xml:space="preserve"> ROUND(  INDEX( wx!81:81, AX$16 ),  AX$17 )</f>
        <v>1.5E-3</v>
      </c>
      <c r="AY81" s="546">
        <f xml:space="preserve"> ROUND(  INDEX( wx!81:81, AY$16 ),  AY$17 )</f>
        <v>2.0999999999999999E-3</v>
      </c>
      <c r="AZ81" s="548" t="str">
        <f t="shared" si="108"/>
        <v>M</v>
      </c>
      <c r="BA81" s="542">
        <f t="shared" si="109"/>
        <v>0.73429999999999995</v>
      </c>
      <c r="BB81" s="542">
        <f t="shared" si="110"/>
        <v>1.6999999999999999E-3</v>
      </c>
      <c r="BC81" s="533">
        <f xml:space="preserve"> ROUND(  INDEX( Kx!81:81, BC$16 ),  BC$17 )</f>
        <v>11012.77</v>
      </c>
      <c r="BD81" s="533">
        <f xml:space="preserve"> ROUND(  INDEX( Kx!81:81, BD$16 ),  BD$17 )</f>
        <v>9398.51</v>
      </c>
      <c r="BE81" s="548" t="str">
        <f t="shared" si="60"/>
        <v>M</v>
      </c>
      <c r="BF81" s="542">
        <f t="shared" si="111"/>
        <v>0.73429999999999995</v>
      </c>
      <c r="BG81" s="420">
        <f t="shared" si="112"/>
        <v>10583.86</v>
      </c>
      <c r="BQ81" s="549"/>
      <c r="BR81" s="423"/>
      <c r="BS81" s="550"/>
      <c r="BT81" s="423"/>
      <c r="BU81" s="551"/>
      <c r="BV81" s="551"/>
      <c r="BW81" s="529"/>
      <c r="BX81" s="552"/>
      <c r="BY81" s="560"/>
      <c r="BZ81" s="559"/>
      <c r="CB81" s="423"/>
      <c r="CC81" s="423"/>
      <c r="CD81" s="423"/>
      <c r="CE81" s="423"/>
      <c r="CF81" s="553"/>
      <c r="CH81" s="423"/>
      <c r="CI81" s="423"/>
      <c r="CJ81" s="423"/>
      <c r="CK81" s="423"/>
      <c r="CL81" s="553"/>
      <c r="CN81" s="423"/>
      <c r="CO81" s="423"/>
      <c r="CP81" s="423"/>
      <c r="CQ81" s="423"/>
      <c r="CR81" s="553"/>
      <c r="EI81" s="553"/>
      <c r="EJ81" s="553"/>
      <c r="EK81" s="423"/>
      <c r="EL81" s="555"/>
      <c r="ES81" s="533"/>
      <c r="ET81" s="533"/>
      <c r="EU81" s="533"/>
      <c r="EV81" s="556"/>
      <c r="EY81" s="533"/>
      <c r="EZ81" s="533"/>
      <c r="FA81" s="556"/>
      <c r="FD81" s="556"/>
      <c r="FE81" s="556"/>
      <c r="FF81" s="556"/>
      <c r="FK81" s="557">
        <f t="shared" si="113"/>
        <v>81</v>
      </c>
      <c r="FL81" s="493">
        <f t="shared" si="114"/>
        <v>49.171700000000001</v>
      </c>
      <c r="FM81" s="493">
        <f t="shared" si="115"/>
        <v>9.1254000000000008</v>
      </c>
      <c r="FO81" s="427">
        <f t="shared" si="61"/>
        <v>2707290.6000000006</v>
      </c>
      <c r="FP81" s="558">
        <f t="shared" si="126"/>
        <v>79408.08</v>
      </c>
      <c r="FQ81" s="558">
        <f t="shared" si="126"/>
        <v>78640.179999999993</v>
      </c>
      <c r="FR81" s="558">
        <f t="shared" si="126"/>
        <v>77870.37</v>
      </c>
      <c r="FS81" s="558">
        <f t="shared" si="126"/>
        <v>77100.570000000007</v>
      </c>
      <c r="FT81" s="558">
        <f t="shared" si="126"/>
        <v>76304.22</v>
      </c>
      <c r="FU81" s="558">
        <f t="shared" si="126"/>
        <v>75485.119999999995</v>
      </c>
      <c r="FV81" s="558">
        <f t="shared" si="126"/>
        <v>74673.61</v>
      </c>
      <c r="FW81" s="558">
        <f t="shared" si="126"/>
        <v>73856.399999999994</v>
      </c>
      <c r="FX81" s="558">
        <f t="shared" si="126"/>
        <v>73010.759999999995</v>
      </c>
      <c r="FY81" s="558">
        <f t="shared" si="126"/>
        <v>72130.98</v>
      </c>
      <c r="FZ81" s="558">
        <f t="shared" si="126"/>
        <v>71245.52</v>
      </c>
      <c r="GA81" s="558">
        <f t="shared" si="126"/>
        <v>70346.78</v>
      </c>
      <c r="GB81" s="558">
        <f t="shared" si="126"/>
        <v>69427.19</v>
      </c>
      <c r="GC81" s="558">
        <f t="shared" si="126"/>
        <v>68503.81</v>
      </c>
      <c r="GD81" s="558">
        <f t="shared" si="126"/>
        <v>67551.98</v>
      </c>
      <c r="GE81" s="558">
        <f t="shared" si="126"/>
        <v>66592.570000000007</v>
      </c>
      <c r="GF81" s="558">
        <f t="shared" si="124"/>
        <v>65604.72</v>
      </c>
      <c r="GG81" s="558">
        <f t="shared" si="124"/>
        <v>64594.12</v>
      </c>
      <c r="GH81" s="558">
        <f t="shared" si="124"/>
        <v>63555.07</v>
      </c>
      <c r="GI81" s="558">
        <f t="shared" si="124"/>
        <v>62485.69</v>
      </c>
      <c r="GJ81" s="558">
        <f t="shared" si="124"/>
        <v>61384.08</v>
      </c>
      <c r="GK81" s="558">
        <f t="shared" si="124"/>
        <v>60240.75</v>
      </c>
      <c r="GL81" s="558">
        <f t="shared" si="124"/>
        <v>59055.71</v>
      </c>
      <c r="GM81" s="558">
        <f t="shared" si="124"/>
        <v>57827.06</v>
      </c>
      <c r="GN81" s="558">
        <f t="shared" si="124"/>
        <v>56549.11</v>
      </c>
      <c r="GO81" s="558">
        <f t="shared" si="124"/>
        <v>55231.34</v>
      </c>
      <c r="GP81" s="558">
        <f t="shared" si="124"/>
        <v>53868.07</v>
      </c>
      <c r="GQ81" s="558">
        <f t="shared" si="124"/>
        <v>52463.08</v>
      </c>
      <c r="GR81" s="558">
        <f t="shared" si="124"/>
        <v>51020.18</v>
      </c>
      <c r="GS81" s="558">
        <f t="shared" si="124"/>
        <v>49541.25</v>
      </c>
      <c r="GT81" s="558">
        <f t="shared" si="124"/>
        <v>48031.98</v>
      </c>
      <c r="GU81" s="558">
        <f t="shared" si="127"/>
        <v>46486.68</v>
      </c>
      <c r="GV81" s="558">
        <f t="shared" si="127"/>
        <v>44920.53</v>
      </c>
      <c r="GW81" s="558">
        <f t="shared" si="127"/>
        <v>43325.94</v>
      </c>
      <c r="GX81" s="558">
        <f t="shared" si="127"/>
        <v>41714.28</v>
      </c>
      <c r="GY81" s="558">
        <f t="shared" si="127"/>
        <v>40085.56</v>
      </c>
      <c r="GZ81" s="558">
        <f t="shared" si="127"/>
        <v>38437.879999999997</v>
      </c>
      <c r="HA81" s="558">
        <f t="shared" si="127"/>
        <v>36776.93</v>
      </c>
      <c r="HB81" s="558">
        <f t="shared" si="127"/>
        <v>35091.32</v>
      </c>
      <c r="HC81" s="558">
        <f t="shared" si="127"/>
        <v>33369.69</v>
      </c>
      <c r="HD81" s="558">
        <f t="shared" si="127"/>
        <v>31623.42</v>
      </c>
      <c r="HE81" s="558">
        <f t="shared" si="127"/>
        <v>29860.080000000002</v>
      </c>
      <c r="HF81" s="558">
        <f t="shared" si="127"/>
        <v>28073.98</v>
      </c>
      <c r="HG81" s="558">
        <f t="shared" si="127"/>
        <v>26274.61</v>
      </c>
      <c r="HH81" s="558">
        <f t="shared" si="127"/>
        <v>24456.29</v>
      </c>
      <c r="HI81" s="558">
        <f t="shared" si="127"/>
        <v>22655.02</v>
      </c>
      <c r="HJ81" s="558">
        <f t="shared" si="127"/>
        <v>20838.59</v>
      </c>
      <c r="HK81" s="558">
        <f t="shared" si="128"/>
        <v>19033.54</v>
      </c>
      <c r="HL81" s="558">
        <f t="shared" si="128"/>
        <v>17241.75</v>
      </c>
      <c r="HM81" s="558">
        <f t="shared" si="128"/>
        <v>15457.55</v>
      </c>
      <c r="HN81" s="558">
        <f t="shared" si="128"/>
        <v>13988.1</v>
      </c>
      <c r="HO81" s="558">
        <f t="shared" si="128"/>
        <v>12564.16</v>
      </c>
      <c r="HP81" s="558">
        <f t="shared" ref="HP81:HY82" si="131" xml:space="preserve"> IF(  OR( HP$18&gt;$FK81, $FK81&gt;$FP$12 ),  LEER,  ROUND( $FO$19 * ( $FL81 - HP$15 * $FM81 ), HP$17 )  )</f>
        <v>11200.88</v>
      </c>
      <c r="HQ81" s="558">
        <f t="shared" si="131"/>
        <v>9909.66</v>
      </c>
      <c r="HR81" s="558">
        <f t="shared" si="131"/>
        <v>8351.1</v>
      </c>
      <c r="HS81" s="558">
        <f t="shared" si="131"/>
        <v>6853.2</v>
      </c>
      <c r="HT81" s="558">
        <f t="shared" si="131"/>
        <v>5425.47</v>
      </c>
      <c r="HU81" s="558">
        <f t="shared" si="131"/>
        <v>4113.3900000000003</v>
      </c>
      <c r="HV81" s="558">
        <f t="shared" si="131"/>
        <v>2905.59</v>
      </c>
      <c r="HW81" s="558">
        <f t="shared" si="131"/>
        <v>1807.77</v>
      </c>
      <c r="HX81" s="558">
        <f t="shared" si="131"/>
        <v>846.47</v>
      </c>
      <c r="HY81" s="558">
        <f t="shared" si="131"/>
        <v>0.82</v>
      </c>
      <c r="HZ81" s="558" t="str">
        <f t="shared" si="123"/>
        <v>.</v>
      </c>
      <c r="IA81" s="558" t="str">
        <f t="shared" ref="IA81:IR96" si="132" xml:space="preserve"> IF(  OR( IA$18&gt;$FK81, $FK81&gt;$FP$12 ),  LEER,  ROUND( $FO$19 * ( $FL81 - IA$15 * $FM81 ), IA$17 )  )</f>
        <v>.</v>
      </c>
      <c r="IB81" s="558" t="str">
        <f t="shared" si="132"/>
        <v>.</v>
      </c>
      <c r="IC81" s="558" t="str">
        <f t="shared" si="132"/>
        <v>.</v>
      </c>
      <c r="ID81" s="558" t="str">
        <f t="shared" si="132"/>
        <v>.</v>
      </c>
      <c r="IE81" s="558" t="str">
        <f t="shared" si="132"/>
        <v>.</v>
      </c>
      <c r="IF81" s="558" t="str">
        <f t="shared" si="132"/>
        <v>.</v>
      </c>
      <c r="IG81" s="558" t="str">
        <f t="shared" si="132"/>
        <v>.</v>
      </c>
      <c r="IH81" s="558" t="str">
        <f t="shared" si="132"/>
        <v>.</v>
      </c>
      <c r="II81" s="558" t="str">
        <f t="shared" si="132"/>
        <v>.</v>
      </c>
      <c r="IJ81" s="558" t="str">
        <f t="shared" si="132"/>
        <v>.</v>
      </c>
      <c r="IK81" s="558" t="str">
        <f t="shared" si="132"/>
        <v>.</v>
      </c>
      <c r="IL81" s="558" t="str">
        <f t="shared" si="132"/>
        <v>.</v>
      </c>
      <c r="IM81" s="558" t="str">
        <f t="shared" si="132"/>
        <v>.</v>
      </c>
      <c r="IN81" s="558" t="str">
        <f t="shared" si="132"/>
        <v>.</v>
      </c>
      <c r="IO81" s="558" t="str">
        <f t="shared" si="130"/>
        <v>.</v>
      </c>
      <c r="IP81" s="558" t="str">
        <f t="shared" si="130"/>
        <v>.</v>
      </c>
      <c r="IQ81" s="558" t="str">
        <f t="shared" si="130"/>
        <v>.</v>
      </c>
      <c r="IR81" s="558" t="str">
        <f t="shared" si="130"/>
        <v>.</v>
      </c>
      <c r="IS81" s="558" t="str">
        <f t="shared" si="130"/>
        <v>.</v>
      </c>
      <c r="IT81" s="558" t="str">
        <f t="shared" si="130"/>
        <v>.</v>
      </c>
      <c r="IU81" s="558" t="str">
        <f t="shared" si="130"/>
        <v>.</v>
      </c>
      <c r="IV81" s="558" t="str">
        <f t="shared" si="130"/>
        <v>.</v>
      </c>
      <c r="IW81" s="558" t="str">
        <f t="shared" si="130"/>
        <v>.</v>
      </c>
      <c r="IX81" s="558" t="str">
        <f t="shared" si="130"/>
        <v>.</v>
      </c>
      <c r="IY81" s="558" t="str">
        <f t="shared" si="130"/>
        <v>.</v>
      </c>
      <c r="IZ81" s="558" t="str">
        <f t="shared" si="130"/>
        <v>.</v>
      </c>
      <c r="JA81" s="558" t="str">
        <f t="shared" si="130"/>
        <v>.</v>
      </c>
      <c r="JB81" s="558" t="str">
        <f t="shared" si="130"/>
        <v>.</v>
      </c>
      <c r="JC81" s="558" t="str">
        <f t="shared" si="130"/>
        <v>.</v>
      </c>
      <c r="JD81" s="558" t="str">
        <f t="shared" si="130"/>
        <v>.</v>
      </c>
      <c r="JE81" s="558" t="str">
        <f t="shared" si="130"/>
        <v>.</v>
      </c>
      <c r="JF81" s="558" t="str">
        <f t="shared" si="125"/>
        <v>.</v>
      </c>
      <c r="JG81" s="558" t="str">
        <f t="shared" si="125"/>
        <v>.</v>
      </c>
      <c r="JH81" s="558" t="str">
        <f t="shared" si="125"/>
        <v>.</v>
      </c>
      <c r="JI81" s="558" t="str">
        <f t="shared" si="125"/>
        <v>.</v>
      </c>
      <c r="JJ81" s="558" t="str">
        <f t="shared" si="125"/>
        <v>.</v>
      </c>
      <c r="JK81" s="558" t="str">
        <f t="shared" si="125"/>
        <v>.</v>
      </c>
      <c r="JL81" s="558" t="str">
        <f t="shared" si="125"/>
        <v>.</v>
      </c>
    </row>
    <row r="82" spans="1:272" ht="10.199999999999999" x14ac:dyDescent="0.2">
      <c r="A82" s="534">
        <f xml:space="preserve"> Basis!A82</f>
        <v>82</v>
      </c>
      <c r="F82" s="536">
        <f xml:space="preserve"> ROUND(    IF( $A$15=BE_MF_,   AW82,   INDEX( qx!82:82, F$16 ) ),    F$17    )</f>
        <v>3.7999999999999999E-2</v>
      </c>
      <c r="G82" s="536">
        <f xml:space="preserve"> ROUND(    IF( $A$15=BE_MF_,   BB82,   INDEX( wx!82:82, G$16 ) ),    G$17    )</f>
        <v>1.6000000000000001E-3</v>
      </c>
      <c r="H82" s="537">
        <f xml:space="preserve"> ROUND(    IF( $A$15=BE_MF_,   BG82,   INDEX( Kx!82:82, H$16 ) ),    H$17    )</f>
        <v>10809.2</v>
      </c>
      <c r="I82" s="538">
        <f t="shared" si="57"/>
        <v>10809.2</v>
      </c>
      <c r="J82" s="539">
        <f t="shared" si="84"/>
        <v>5.202</v>
      </c>
      <c r="K82" s="540">
        <f t="shared" si="119"/>
        <v>0</v>
      </c>
      <c r="L82" s="541">
        <f t="shared" si="71"/>
        <v>0</v>
      </c>
      <c r="M82" s="541">
        <f t="shared" si="71"/>
        <v>8.5999999999999993E-2</v>
      </c>
      <c r="O82" s="542" t="b">
        <f t="shared" si="59"/>
        <v>1</v>
      </c>
      <c r="P82" s="493">
        <f t="shared" si="85"/>
        <v>3.9600000000000003E-2</v>
      </c>
      <c r="Q82" s="493">
        <f t="shared" si="86"/>
        <v>0.96040000000000003</v>
      </c>
      <c r="R82" s="543">
        <f t="shared" si="87"/>
        <v>378648</v>
      </c>
      <c r="S82" s="544">
        <f t="shared" si="88"/>
        <v>0.97560975599999999</v>
      </c>
      <c r="T82" s="423">
        <f t="shared" si="89"/>
        <v>49989.49</v>
      </c>
      <c r="U82" s="423">
        <f xml:space="preserve"> IF( $O82,    ROUND(  SUM( T82:T$120), U$17 ),  LEER  )</f>
        <v>431305.61</v>
      </c>
      <c r="V82" s="493">
        <f t="shared" si="90"/>
        <v>8.6279000000000003</v>
      </c>
      <c r="W82" s="493">
        <f t="shared" si="91"/>
        <v>260045.33</v>
      </c>
      <c r="X82" s="493">
        <f xml:space="preserve"> IF( $O82,    ROUND(  SUM( W82:W$120), X$17 ),  LEER  )</f>
        <v>2339697.34</v>
      </c>
      <c r="Y82" s="493">
        <f t="shared" si="92"/>
        <v>46.803800000000003</v>
      </c>
      <c r="Z82" s="493">
        <f t="shared" si="93"/>
        <v>5.4246999999999996</v>
      </c>
      <c r="AA82" s="493">
        <f t="shared" si="94"/>
        <v>1</v>
      </c>
      <c r="AB82" s="493">
        <f t="shared" si="95"/>
        <v>2.3494000000000002</v>
      </c>
      <c r="AC82" s="545">
        <f t="shared" si="96"/>
        <v>0.32679999999999998</v>
      </c>
      <c r="AD82" s="493">
        <f t="shared" si="97"/>
        <v>5.4246999999999996</v>
      </c>
      <c r="AE82" s="493">
        <f t="shared" si="98"/>
        <v>6.2927</v>
      </c>
      <c r="AF82" s="493">
        <f t="shared" si="99"/>
        <v>6.2927</v>
      </c>
      <c r="AG82" s="493" t="str">
        <f t="shared" si="100"/>
        <v>.</v>
      </c>
      <c r="AH82" s="493" t="str">
        <f t="shared" si="101"/>
        <v>.</v>
      </c>
      <c r="AI82" s="423">
        <f t="shared" si="102"/>
        <v>2077.79</v>
      </c>
      <c r="AJ82" s="423">
        <f t="shared" si="103"/>
        <v>13074.91</v>
      </c>
      <c r="AK82" s="423">
        <f t="shared" si="104"/>
        <v>1089.58</v>
      </c>
      <c r="AN82" s="423">
        <f t="shared" si="129"/>
        <v>64010.080000000002</v>
      </c>
      <c r="AO82" s="423">
        <f t="shared" si="129"/>
        <v>63612.1</v>
      </c>
      <c r="AR82" s="546">
        <f xml:space="preserve"> ROUND(  INDEX( Kx!82:82, AR$16 ),  AR$17 )</f>
        <v>0.62949999999999995</v>
      </c>
      <c r="AS82" s="547">
        <f xml:space="preserve"> ROUND(  INDEX( qx!82:82, AS$16 ),  AS$17 )</f>
        <v>4.5100000000000001E-2</v>
      </c>
      <c r="AT82" s="547">
        <f xml:space="preserve"> ROUND(  INDEX( qx!82:82, AT$16 ),  AT$17 )</f>
        <v>0.03</v>
      </c>
      <c r="AU82" s="548" t="str">
        <f t="shared" si="105"/>
        <v>F</v>
      </c>
      <c r="AV82" s="542">
        <f t="shared" si="106"/>
        <v>0.53110000000000002</v>
      </c>
      <c r="AW82" s="542">
        <f t="shared" si="107"/>
        <v>3.7999999999999999E-2</v>
      </c>
      <c r="AX82" s="546">
        <f xml:space="preserve"> ROUND(  INDEX( wx!82:82, AX$16 ),  AX$17 )</f>
        <v>1.4E-3</v>
      </c>
      <c r="AY82" s="546">
        <f xml:space="preserve"> ROUND(  INDEX( wx!82:82, AY$16 ),  AY$17 )</f>
        <v>2.0999999999999999E-3</v>
      </c>
      <c r="AZ82" s="548" t="str">
        <f t="shared" si="108"/>
        <v>M</v>
      </c>
      <c r="BA82" s="542">
        <f t="shared" si="109"/>
        <v>0.71819999999999995</v>
      </c>
      <c r="BB82" s="542">
        <f t="shared" si="110"/>
        <v>1.6000000000000001E-3</v>
      </c>
      <c r="BC82" s="533">
        <f xml:space="preserve"> ROUND(  INDEX( Kx!82:82, BC$16 ),  BC$17 )</f>
        <v>11280.84</v>
      </c>
      <c r="BD82" s="533">
        <f xml:space="preserve"> ROUND(  INDEX( Kx!82:82, BD$16 ),  BD$17 )</f>
        <v>9607.18</v>
      </c>
      <c r="BE82" s="548" t="str">
        <f t="shared" si="60"/>
        <v>M</v>
      </c>
      <c r="BF82" s="542">
        <f t="shared" si="111"/>
        <v>0.71819999999999995</v>
      </c>
      <c r="BG82" s="420">
        <f t="shared" si="112"/>
        <v>10809.2</v>
      </c>
      <c r="BQ82" s="549"/>
      <c r="BR82" s="423"/>
      <c r="BS82" s="550"/>
      <c r="BT82" s="423"/>
      <c r="BU82" s="551"/>
      <c r="BV82" s="551"/>
      <c r="BW82" s="529"/>
      <c r="BX82" s="552"/>
      <c r="BY82" s="560"/>
      <c r="BZ82" s="559"/>
      <c r="CB82" s="423"/>
      <c r="CC82" s="423"/>
      <c r="CD82" s="423"/>
      <c r="CE82" s="423"/>
      <c r="CF82" s="553"/>
      <c r="CH82" s="423"/>
      <c r="CI82" s="423"/>
      <c r="CJ82" s="423"/>
      <c r="CK82" s="423"/>
      <c r="CL82" s="553"/>
      <c r="CN82" s="423"/>
      <c r="CO82" s="423"/>
      <c r="CP82" s="423"/>
      <c r="CQ82" s="423"/>
      <c r="CR82" s="553"/>
      <c r="EI82" s="553"/>
      <c r="EJ82" s="553"/>
      <c r="EK82" s="423"/>
      <c r="EL82" s="555"/>
      <c r="ES82" s="533"/>
      <c r="ET82" s="533"/>
      <c r="EU82" s="533"/>
      <c r="EV82" s="556"/>
      <c r="EY82" s="533"/>
      <c r="EZ82" s="533"/>
      <c r="FA82" s="556"/>
      <c r="FD82" s="556"/>
      <c r="FE82" s="556"/>
      <c r="FF82" s="556"/>
      <c r="FK82" s="557">
        <f t="shared" si="113"/>
        <v>82</v>
      </c>
      <c r="FL82" s="493">
        <f t="shared" si="114"/>
        <v>46.803800000000003</v>
      </c>
      <c r="FM82" s="493">
        <f t="shared" si="115"/>
        <v>8.6279000000000003</v>
      </c>
      <c r="FO82" s="427">
        <f t="shared" si="61"/>
        <v>2599996.4900000002</v>
      </c>
      <c r="FP82" s="558">
        <f t="shared" si="126"/>
        <v>75728.94</v>
      </c>
      <c r="FQ82" s="558">
        <f t="shared" si="126"/>
        <v>75002.899999999994</v>
      </c>
      <c r="FR82" s="558">
        <f t="shared" si="126"/>
        <v>74275.06</v>
      </c>
      <c r="FS82" s="558">
        <f t="shared" si="126"/>
        <v>73547.23</v>
      </c>
      <c r="FT82" s="558">
        <f t="shared" si="126"/>
        <v>72794.3</v>
      </c>
      <c r="FU82" s="558">
        <f t="shared" si="126"/>
        <v>72019.850000000006</v>
      </c>
      <c r="FV82" s="558">
        <f t="shared" si="126"/>
        <v>71252.58</v>
      </c>
      <c r="FW82" s="558">
        <f t="shared" si="126"/>
        <v>70479.92</v>
      </c>
      <c r="FX82" s="558">
        <f t="shared" si="126"/>
        <v>69680.38</v>
      </c>
      <c r="FY82" s="558">
        <f t="shared" si="126"/>
        <v>68848.570000000007</v>
      </c>
      <c r="FZ82" s="558">
        <f t="shared" si="126"/>
        <v>68011.38</v>
      </c>
      <c r="GA82" s="558">
        <f t="shared" si="126"/>
        <v>67161.64</v>
      </c>
      <c r="GB82" s="558">
        <f t="shared" si="126"/>
        <v>66292.19</v>
      </c>
      <c r="GC82" s="558">
        <f t="shared" si="126"/>
        <v>65419.14</v>
      </c>
      <c r="GD82" s="558">
        <f t="shared" si="126"/>
        <v>64519.21</v>
      </c>
      <c r="GE82" s="558">
        <f t="shared" si="126"/>
        <v>63612.1</v>
      </c>
      <c r="GF82" s="558">
        <f t="shared" si="124"/>
        <v>62678.11</v>
      </c>
      <c r="GG82" s="558">
        <f t="shared" si="124"/>
        <v>61722.6</v>
      </c>
      <c r="GH82" s="558">
        <f t="shared" si="124"/>
        <v>60740.2</v>
      </c>
      <c r="GI82" s="558">
        <f t="shared" si="124"/>
        <v>59729.120000000003</v>
      </c>
      <c r="GJ82" s="558">
        <f t="shared" si="124"/>
        <v>58687.57</v>
      </c>
      <c r="GK82" s="558">
        <f t="shared" si="124"/>
        <v>57606.57</v>
      </c>
      <c r="GL82" s="558">
        <f t="shared" si="124"/>
        <v>56486.14</v>
      </c>
      <c r="GM82" s="558">
        <f t="shared" si="124"/>
        <v>55324.47</v>
      </c>
      <c r="GN82" s="558">
        <f t="shared" si="124"/>
        <v>54116.19</v>
      </c>
      <c r="GO82" s="558">
        <f t="shared" si="124"/>
        <v>52870.27</v>
      </c>
      <c r="GP82" s="558">
        <f t="shared" si="124"/>
        <v>51581.32</v>
      </c>
      <c r="GQ82" s="558">
        <f t="shared" si="124"/>
        <v>50252.93</v>
      </c>
      <c r="GR82" s="558">
        <f t="shared" si="124"/>
        <v>48888.69</v>
      </c>
      <c r="GS82" s="558">
        <f t="shared" si="124"/>
        <v>47490.39</v>
      </c>
      <c r="GT82" s="558">
        <f t="shared" si="124"/>
        <v>46063.4</v>
      </c>
      <c r="GU82" s="558">
        <f t="shared" si="127"/>
        <v>44602.35</v>
      </c>
      <c r="GV82" s="558">
        <f t="shared" si="127"/>
        <v>43121.58</v>
      </c>
      <c r="GW82" s="558">
        <f t="shared" si="127"/>
        <v>41613.93</v>
      </c>
      <c r="GX82" s="558">
        <f t="shared" si="127"/>
        <v>40090.129999999997</v>
      </c>
      <c r="GY82" s="558">
        <f t="shared" si="127"/>
        <v>38550.21</v>
      </c>
      <c r="GZ82" s="558">
        <f t="shared" si="127"/>
        <v>36992.36</v>
      </c>
      <c r="HA82" s="558">
        <f t="shared" si="127"/>
        <v>35421.949999999997</v>
      </c>
      <c r="HB82" s="558">
        <f t="shared" si="127"/>
        <v>33828.25</v>
      </c>
      <c r="HC82" s="558">
        <f t="shared" si="127"/>
        <v>32200.48</v>
      </c>
      <c r="HD82" s="558">
        <f t="shared" si="127"/>
        <v>30549.4</v>
      </c>
      <c r="HE82" s="558">
        <f t="shared" si="127"/>
        <v>28882.2</v>
      </c>
      <c r="HF82" s="558">
        <f t="shared" si="127"/>
        <v>27193.48</v>
      </c>
      <c r="HG82" s="558">
        <f t="shared" si="127"/>
        <v>25492.21</v>
      </c>
      <c r="HH82" s="558">
        <f t="shared" si="127"/>
        <v>23773.01</v>
      </c>
      <c r="HI82" s="558">
        <f t="shared" si="127"/>
        <v>22069.95</v>
      </c>
      <c r="HJ82" s="558">
        <f t="shared" si="127"/>
        <v>20352.55</v>
      </c>
      <c r="HK82" s="558">
        <f t="shared" si="128"/>
        <v>18645.900000000001</v>
      </c>
      <c r="HL82" s="558">
        <f t="shared" si="128"/>
        <v>16951.8</v>
      </c>
      <c r="HM82" s="558">
        <f t="shared" si="128"/>
        <v>15264.87</v>
      </c>
      <c r="HN82" s="558">
        <f t="shared" si="128"/>
        <v>13875.53</v>
      </c>
      <c r="HO82" s="558">
        <f t="shared" si="128"/>
        <v>12529.22</v>
      </c>
      <c r="HP82" s="558">
        <f t="shared" si="131"/>
        <v>11240.27</v>
      </c>
      <c r="HQ82" s="558">
        <f t="shared" si="131"/>
        <v>10019.44</v>
      </c>
      <c r="HR82" s="558">
        <f t="shared" si="131"/>
        <v>8545.85</v>
      </c>
      <c r="HS82" s="558">
        <f t="shared" si="131"/>
        <v>7129.62</v>
      </c>
      <c r="HT82" s="558">
        <f t="shared" si="131"/>
        <v>5779.72</v>
      </c>
      <c r="HU82" s="558">
        <f t="shared" si="131"/>
        <v>4539.17</v>
      </c>
      <c r="HV82" s="558">
        <f t="shared" si="131"/>
        <v>3397.22</v>
      </c>
      <c r="HW82" s="558">
        <f t="shared" si="131"/>
        <v>2359.25</v>
      </c>
      <c r="HX82" s="558">
        <f t="shared" si="131"/>
        <v>1450.36</v>
      </c>
      <c r="HY82" s="558">
        <f t="shared" si="131"/>
        <v>650.80999999999995</v>
      </c>
      <c r="HZ82" s="558">
        <f t="shared" ref="HZ82:IB97" si="133" xml:space="preserve"> IF(  OR( HZ$18&gt;$FK82, $FK82&gt;$FP$12 ),  LEER,  ROUND( $FO$19 * ( $FL82 - HZ$15 * $FM82 ), HZ$17 )  )</f>
        <v>0.06</v>
      </c>
      <c r="IA82" s="558" t="str">
        <f t="shared" si="133"/>
        <v>.</v>
      </c>
      <c r="IB82" s="558" t="str">
        <f t="shared" si="133"/>
        <v>.</v>
      </c>
      <c r="IC82" s="558" t="str">
        <f t="shared" si="132"/>
        <v>.</v>
      </c>
      <c r="ID82" s="558" t="str">
        <f t="shared" si="132"/>
        <v>.</v>
      </c>
      <c r="IE82" s="558" t="str">
        <f t="shared" si="132"/>
        <v>.</v>
      </c>
      <c r="IF82" s="558" t="str">
        <f t="shared" si="132"/>
        <v>.</v>
      </c>
      <c r="IG82" s="558" t="str">
        <f t="shared" si="132"/>
        <v>.</v>
      </c>
      <c r="IH82" s="558" t="str">
        <f t="shared" si="132"/>
        <v>.</v>
      </c>
      <c r="II82" s="558" t="str">
        <f t="shared" si="132"/>
        <v>.</v>
      </c>
      <c r="IJ82" s="558" t="str">
        <f t="shared" si="132"/>
        <v>.</v>
      </c>
      <c r="IK82" s="558" t="str">
        <f t="shared" si="132"/>
        <v>.</v>
      </c>
      <c r="IL82" s="558" t="str">
        <f t="shared" si="132"/>
        <v>.</v>
      </c>
      <c r="IM82" s="558" t="str">
        <f t="shared" si="132"/>
        <v>.</v>
      </c>
      <c r="IN82" s="558" t="str">
        <f t="shared" si="132"/>
        <v>.</v>
      </c>
      <c r="IO82" s="558" t="str">
        <f t="shared" si="130"/>
        <v>.</v>
      </c>
      <c r="IP82" s="558" t="str">
        <f t="shared" si="130"/>
        <v>.</v>
      </c>
      <c r="IQ82" s="558" t="str">
        <f t="shared" si="130"/>
        <v>.</v>
      </c>
      <c r="IR82" s="558" t="str">
        <f t="shared" si="130"/>
        <v>.</v>
      </c>
      <c r="IS82" s="558" t="str">
        <f t="shared" si="130"/>
        <v>.</v>
      </c>
      <c r="IT82" s="558" t="str">
        <f t="shared" si="130"/>
        <v>.</v>
      </c>
      <c r="IU82" s="558" t="str">
        <f t="shared" si="130"/>
        <v>.</v>
      </c>
      <c r="IV82" s="558" t="str">
        <f t="shared" si="130"/>
        <v>.</v>
      </c>
      <c r="IW82" s="558" t="str">
        <f t="shared" si="130"/>
        <v>.</v>
      </c>
      <c r="IX82" s="558" t="str">
        <f t="shared" si="130"/>
        <v>.</v>
      </c>
      <c r="IY82" s="558" t="str">
        <f t="shared" si="130"/>
        <v>.</v>
      </c>
      <c r="IZ82" s="558" t="str">
        <f t="shared" si="130"/>
        <v>.</v>
      </c>
      <c r="JA82" s="558" t="str">
        <f t="shared" si="130"/>
        <v>.</v>
      </c>
      <c r="JB82" s="558" t="str">
        <f t="shared" si="130"/>
        <v>.</v>
      </c>
      <c r="JC82" s="558" t="str">
        <f t="shared" si="130"/>
        <v>.</v>
      </c>
      <c r="JD82" s="558" t="str">
        <f t="shared" si="130"/>
        <v>.</v>
      </c>
      <c r="JE82" s="558" t="str">
        <f t="shared" si="130"/>
        <v>.</v>
      </c>
      <c r="JF82" s="558" t="str">
        <f t="shared" si="125"/>
        <v>.</v>
      </c>
      <c r="JG82" s="558" t="str">
        <f t="shared" si="125"/>
        <v>.</v>
      </c>
      <c r="JH82" s="558" t="str">
        <f t="shared" si="125"/>
        <v>.</v>
      </c>
      <c r="JI82" s="558" t="str">
        <f t="shared" si="125"/>
        <v>.</v>
      </c>
      <c r="JJ82" s="558" t="str">
        <f t="shared" si="125"/>
        <v>.</v>
      </c>
      <c r="JK82" s="558" t="str">
        <f t="shared" si="125"/>
        <v>.</v>
      </c>
      <c r="JL82" s="558" t="str">
        <f t="shared" si="125"/>
        <v>.</v>
      </c>
    </row>
    <row r="83" spans="1:272" ht="10.199999999999999" x14ac:dyDescent="0.2">
      <c r="A83" s="534">
        <f xml:space="preserve"> Basis!A83</f>
        <v>83</v>
      </c>
      <c r="F83" s="536">
        <f xml:space="preserve"> ROUND(    IF( $A$15=BE_MF_,   AW83,   INDEX( qx!83:83, F$16 ) ),    F$17    )</f>
        <v>4.3999999999999997E-2</v>
      </c>
      <c r="G83" s="536">
        <f xml:space="preserve"> ROUND(    IF( $A$15=BE_MF_,   BB83,   INDEX( wx!83:83, G$16 ) ),    G$17    )</f>
        <v>1.5E-3</v>
      </c>
      <c r="H83" s="537">
        <f xml:space="preserve"> ROUND(    IF( $A$15=BE_MF_,   BG83,   INDEX( Kx!83:83, H$16 ) ),    H$17    )</f>
        <v>11008.65</v>
      </c>
      <c r="I83" s="538">
        <f t="shared" si="57"/>
        <v>11008.65</v>
      </c>
      <c r="J83" s="539">
        <f t="shared" si="84"/>
        <v>5.298</v>
      </c>
      <c r="K83" s="540">
        <f t="shared" si="119"/>
        <v>0</v>
      </c>
      <c r="L83" s="541">
        <f t="shared" si="71"/>
        <v>0</v>
      </c>
      <c r="M83" s="541">
        <f t="shared" si="71"/>
        <v>8.5999999999999993E-2</v>
      </c>
      <c r="O83" s="542" t="b">
        <f t="shared" si="59"/>
        <v>1</v>
      </c>
      <c r="P83" s="493">
        <f t="shared" si="85"/>
        <v>4.5499999999999999E-2</v>
      </c>
      <c r="Q83" s="493">
        <f t="shared" si="86"/>
        <v>0.95450000000000002</v>
      </c>
      <c r="R83" s="543">
        <f t="shared" si="87"/>
        <v>363653</v>
      </c>
      <c r="S83" s="544">
        <f t="shared" si="88"/>
        <v>0.97560975599999999</v>
      </c>
      <c r="T83" s="423">
        <f t="shared" si="89"/>
        <v>46838.86</v>
      </c>
      <c r="U83" s="423">
        <f xml:space="preserve"> IF( $O83,    ROUND(  SUM( T83:T$120), U$17 ),  LEER  )</f>
        <v>381316.12</v>
      </c>
      <c r="V83" s="493">
        <f t="shared" si="90"/>
        <v>8.141</v>
      </c>
      <c r="W83" s="493">
        <f t="shared" si="91"/>
        <v>248152.28</v>
      </c>
      <c r="X83" s="493">
        <f xml:space="preserve"> IF( $O83,    ROUND(  SUM( W83:W$120), X$17 ),  LEER  )</f>
        <v>2079652.01</v>
      </c>
      <c r="Y83" s="493">
        <f t="shared" si="92"/>
        <v>44.400100000000002</v>
      </c>
      <c r="Z83" s="493">
        <f t="shared" si="93"/>
        <v>5.4539</v>
      </c>
      <c r="AA83" s="493">
        <f t="shared" si="94"/>
        <v>1</v>
      </c>
      <c r="AB83" s="493">
        <f t="shared" si="95"/>
        <v>2.3494000000000002</v>
      </c>
      <c r="AC83" s="545">
        <f t="shared" si="96"/>
        <v>0.32679999999999998</v>
      </c>
      <c r="AD83" s="493">
        <f t="shared" si="97"/>
        <v>5.4539</v>
      </c>
      <c r="AE83" s="493">
        <f t="shared" si="98"/>
        <v>6.3246000000000002</v>
      </c>
      <c r="AF83" s="493">
        <f t="shared" si="99"/>
        <v>6.3246000000000002</v>
      </c>
      <c r="AG83" s="493" t="str">
        <f t="shared" si="100"/>
        <v>.</v>
      </c>
      <c r="AH83" s="493" t="str">
        <f t="shared" si="101"/>
        <v>.</v>
      </c>
      <c r="AI83" s="423">
        <f t="shared" si="102"/>
        <v>2077.79</v>
      </c>
      <c r="AJ83" s="423">
        <f t="shared" si="103"/>
        <v>13141.19</v>
      </c>
      <c r="AK83" s="423">
        <f t="shared" si="104"/>
        <v>1095.0999999999999</v>
      </c>
      <c r="AN83" s="423">
        <f t="shared" si="129"/>
        <v>60891.45</v>
      </c>
      <c r="AO83" s="423">
        <f t="shared" si="129"/>
        <v>60515.93</v>
      </c>
      <c r="AR83" s="546">
        <f xml:space="preserve"> ROUND(  INDEX( Kx!83:83, AR$16 ),  AR$17 )</f>
        <v>0.61509999999999998</v>
      </c>
      <c r="AS83" s="547">
        <f xml:space="preserve"> ROUND(  INDEX( qx!83:83, AS$16 ),  AS$17 )</f>
        <v>5.21E-2</v>
      </c>
      <c r="AT83" s="547">
        <f xml:space="preserve"> ROUND(  INDEX( qx!83:83, AT$16 ),  AT$17 )</f>
        <v>3.5400000000000001E-2</v>
      </c>
      <c r="AU83" s="548" t="str">
        <f t="shared" si="105"/>
        <v>F</v>
      </c>
      <c r="AV83" s="542">
        <f t="shared" si="106"/>
        <v>0.51580000000000004</v>
      </c>
      <c r="AW83" s="542">
        <f t="shared" si="107"/>
        <v>4.3999999999999997E-2</v>
      </c>
      <c r="AX83" s="546">
        <f xml:space="preserve"> ROUND(  INDEX( wx!83:83, AX$16 ),  AX$17 )</f>
        <v>1.2999999999999999E-3</v>
      </c>
      <c r="AY83" s="546">
        <f xml:space="preserve"> ROUND(  INDEX( wx!83:83, AY$16 ),  AY$17 )</f>
        <v>2.0999999999999999E-3</v>
      </c>
      <c r="AZ83" s="548" t="str">
        <f t="shared" si="108"/>
        <v>M</v>
      </c>
      <c r="BA83" s="542">
        <f t="shared" si="109"/>
        <v>0.7056</v>
      </c>
      <c r="BB83" s="542">
        <f t="shared" si="110"/>
        <v>1.5E-3</v>
      </c>
      <c r="BC83" s="533">
        <f xml:space="preserve"> ROUND(  INDEX( Kx!83:83, BC$16 ),  BC$17 )</f>
        <v>11518.7</v>
      </c>
      <c r="BD83" s="533">
        <f xml:space="preserve"> ROUND(  INDEX( Kx!83:83, BD$16 ),  BD$17 )</f>
        <v>9786.2099999999991</v>
      </c>
      <c r="BE83" s="548" t="str">
        <f t="shared" si="60"/>
        <v>M</v>
      </c>
      <c r="BF83" s="542">
        <f t="shared" si="111"/>
        <v>0.7056</v>
      </c>
      <c r="BG83" s="420">
        <f t="shared" si="112"/>
        <v>11008.65</v>
      </c>
      <c r="BQ83" s="549"/>
      <c r="BR83" s="423"/>
      <c r="BS83" s="550"/>
      <c r="BT83" s="423"/>
      <c r="BU83" s="551"/>
      <c r="BV83" s="551"/>
      <c r="BW83" s="529"/>
      <c r="BX83" s="552"/>
      <c r="BY83" s="560"/>
      <c r="BZ83" s="559"/>
      <c r="CB83" s="423"/>
      <c r="CC83" s="423"/>
      <c r="CD83" s="423"/>
      <c r="CE83" s="423"/>
      <c r="CF83" s="553"/>
      <c r="CH83" s="423"/>
      <c r="CI83" s="423"/>
      <c r="CJ83" s="423"/>
      <c r="CK83" s="423"/>
      <c r="CL83" s="553"/>
      <c r="CN83" s="423"/>
      <c r="CO83" s="423"/>
      <c r="CP83" s="423"/>
      <c r="CQ83" s="423"/>
      <c r="CR83" s="553"/>
      <c r="EI83" s="553"/>
      <c r="EJ83" s="553"/>
      <c r="EK83" s="423"/>
      <c r="EL83" s="555"/>
      <c r="ES83" s="533"/>
      <c r="ET83" s="533"/>
      <c r="EU83" s="533"/>
      <c r="EV83" s="556"/>
      <c r="EY83" s="533"/>
      <c r="EZ83" s="533"/>
      <c r="FA83" s="556"/>
      <c r="FD83" s="556"/>
      <c r="FE83" s="556"/>
      <c r="FF83" s="556"/>
      <c r="FK83" s="557">
        <f t="shared" si="113"/>
        <v>83</v>
      </c>
      <c r="FL83" s="493">
        <f t="shared" si="114"/>
        <v>44.400100000000002</v>
      </c>
      <c r="FM83" s="493">
        <f t="shared" si="115"/>
        <v>8.141</v>
      </c>
      <c r="FO83" s="427">
        <f t="shared" si="61"/>
        <v>2484370.67</v>
      </c>
      <c r="FP83" s="558">
        <f t="shared" si="126"/>
        <v>71948.97</v>
      </c>
      <c r="FQ83" s="558">
        <f t="shared" si="126"/>
        <v>71263.899999999994</v>
      </c>
      <c r="FR83" s="558">
        <f t="shared" si="126"/>
        <v>70577.14</v>
      </c>
      <c r="FS83" s="558">
        <f t="shared" si="126"/>
        <v>69890.38</v>
      </c>
      <c r="FT83" s="558">
        <f t="shared" si="126"/>
        <v>69179.94</v>
      </c>
      <c r="FU83" s="558">
        <f t="shared" si="126"/>
        <v>68449.2</v>
      </c>
      <c r="FV83" s="558">
        <f t="shared" si="126"/>
        <v>67725.22</v>
      </c>
      <c r="FW83" s="558">
        <f t="shared" si="126"/>
        <v>66996.179999999993</v>
      </c>
      <c r="FX83" s="558">
        <f t="shared" si="126"/>
        <v>66241.75</v>
      </c>
      <c r="FY83" s="558">
        <f t="shared" si="126"/>
        <v>65456.88</v>
      </c>
      <c r="FZ83" s="558">
        <f t="shared" si="126"/>
        <v>64666.94</v>
      </c>
      <c r="GA83" s="558">
        <f t="shared" si="126"/>
        <v>63865.16</v>
      </c>
      <c r="GB83" s="558">
        <f t="shared" si="126"/>
        <v>63044.76</v>
      </c>
      <c r="GC83" s="558">
        <f t="shared" si="126"/>
        <v>62220.99</v>
      </c>
      <c r="GD83" s="558">
        <f t="shared" si="126"/>
        <v>61371.839999999997</v>
      </c>
      <c r="GE83" s="558">
        <f t="shared" ref="GE83:GT98" si="134" xml:space="preserve"> IF(  OR( GE$18&gt;$FK83, $FK83&gt;$FP$12 ),  LEER,  ROUND( $FO$19 * ( $FL83 - GE$15 * $FM83 ), GE$17 )  )</f>
        <v>60515.93</v>
      </c>
      <c r="GF83" s="558">
        <f t="shared" si="134"/>
        <v>59634.64</v>
      </c>
      <c r="GG83" s="558">
        <f t="shared" si="134"/>
        <v>58733.06</v>
      </c>
      <c r="GH83" s="558">
        <f t="shared" si="134"/>
        <v>57806.1</v>
      </c>
      <c r="GI83" s="558">
        <f t="shared" si="134"/>
        <v>56852.08</v>
      </c>
      <c r="GJ83" s="558">
        <f t="shared" si="134"/>
        <v>55869.3</v>
      </c>
      <c r="GK83" s="558">
        <f t="shared" si="134"/>
        <v>54849.31</v>
      </c>
      <c r="GL83" s="558">
        <f t="shared" si="134"/>
        <v>53792.1</v>
      </c>
      <c r="GM83" s="558">
        <f t="shared" si="134"/>
        <v>52695.99</v>
      </c>
      <c r="GN83" s="558">
        <f t="shared" si="134"/>
        <v>51555.9</v>
      </c>
      <c r="GO83" s="558">
        <f t="shared" si="134"/>
        <v>50380.29</v>
      </c>
      <c r="GP83" s="558">
        <f t="shared" si="134"/>
        <v>49164.08</v>
      </c>
      <c r="GQ83" s="558">
        <f t="shared" si="134"/>
        <v>47910.66</v>
      </c>
      <c r="GR83" s="558">
        <f t="shared" si="134"/>
        <v>46623.4</v>
      </c>
      <c r="GS83" s="558">
        <f t="shared" si="134"/>
        <v>45304.01</v>
      </c>
      <c r="GT83" s="558">
        <f t="shared" si="134"/>
        <v>43957.55</v>
      </c>
      <c r="GU83" s="558">
        <f t="shared" si="127"/>
        <v>42578.96</v>
      </c>
      <c r="GV83" s="558">
        <f t="shared" si="127"/>
        <v>41181.75</v>
      </c>
      <c r="GW83" s="558">
        <f t="shared" si="127"/>
        <v>39759.18</v>
      </c>
      <c r="GX83" s="558">
        <f t="shared" si="127"/>
        <v>38321.379999999997</v>
      </c>
      <c r="GY83" s="558">
        <f t="shared" si="127"/>
        <v>36868.36</v>
      </c>
      <c r="GZ83" s="558">
        <f t="shared" si="127"/>
        <v>35398.42</v>
      </c>
      <c r="HA83" s="558">
        <f t="shared" si="127"/>
        <v>33916.639999999999</v>
      </c>
      <c r="HB83" s="558">
        <f t="shared" si="127"/>
        <v>32412.87</v>
      </c>
      <c r="HC83" s="558">
        <f t="shared" si="127"/>
        <v>30876.959999999999</v>
      </c>
      <c r="HD83" s="558">
        <f t="shared" si="127"/>
        <v>29319.06</v>
      </c>
      <c r="HE83" s="558">
        <f t="shared" si="127"/>
        <v>27745.94</v>
      </c>
      <c r="HF83" s="558">
        <f t="shared" si="127"/>
        <v>26152.52</v>
      </c>
      <c r="HG83" s="558">
        <f t="shared" si="127"/>
        <v>24547.26</v>
      </c>
      <c r="HH83" s="558">
        <f t="shared" si="127"/>
        <v>22925.08</v>
      </c>
      <c r="HI83" s="558">
        <f t="shared" si="127"/>
        <v>21318.13</v>
      </c>
      <c r="HJ83" s="558">
        <f t="shared" ref="HJ83:HY98" si="135" xml:space="preserve"> IF(  OR( HJ$18&gt;$FK83, $FK83&gt;$FP$12 ),  LEER,  ROUND( $FO$19 * ( $FL83 - HJ$15 * $FM83 ), HJ$17 )  )</f>
        <v>19697.650000000001</v>
      </c>
      <c r="HK83" s="558">
        <f t="shared" si="135"/>
        <v>18087.310000000001</v>
      </c>
      <c r="HL83" s="558">
        <f t="shared" si="135"/>
        <v>16488.82</v>
      </c>
      <c r="HM83" s="558">
        <f t="shared" si="135"/>
        <v>14897.09</v>
      </c>
      <c r="HN83" s="558">
        <f t="shared" si="135"/>
        <v>13586.15</v>
      </c>
      <c r="HO83" s="558">
        <f t="shared" si="135"/>
        <v>12315.81</v>
      </c>
      <c r="HP83" s="558">
        <f t="shared" si="135"/>
        <v>11099.6</v>
      </c>
      <c r="HQ83" s="558">
        <f t="shared" si="135"/>
        <v>9947.67</v>
      </c>
      <c r="HR83" s="558">
        <f t="shared" si="135"/>
        <v>8557.24</v>
      </c>
      <c r="HS83" s="558">
        <f t="shared" si="135"/>
        <v>7220.93</v>
      </c>
      <c r="HT83" s="558">
        <f t="shared" si="135"/>
        <v>5947.21</v>
      </c>
      <c r="HU83" s="558">
        <f t="shared" si="135"/>
        <v>4776.67</v>
      </c>
      <c r="HV83" s="558">
        <f t="shared" si="135"/>
        <v>3699.17</v>
      </c>
      <c r="HW83" s="558">
        <f t="shared" si="135"/>
        <v>2719.77</v>
      </c>
      <c r="HX83" s="558">
        <f t="shared" si="135"/>
        <v>1862.17</v>
      </c>
      <c r="HY83" s="558">
        <f t="shared" si="135"/>
        <v>1107.74</v>
      </c>
      <c r="HZ83" s="558">
        <f t="shared" si="133"/>
        <v>493.72</v>
      </c>
      <c r="IA83" s="558">
        <f t="shared" si="133"/>
        <v>-0.21</v>
      </c>
      <c r="IB83" s="558" t="str">
        <f t="shared" si="133"/>
        <v>.</v>
      </c>
      <c r="IC83" s="558" t="str">
        <f t="shared" si="132"/>
        <v>.</v>
      </c>
      <c r="ID83" s="558" t="str">
        <f t="shared" si="132"/>
        <v>.</v>
      </c>
      <c r="IE83" s="558" t="str">
        <f t="shared" si="132"/>
        <v>.</v>
      </c>
      <c r="IF83" s="558" t="str">
        <f t="shared" si="132"/>
        <v>.</v>
      </c>
      <c r="IG83" s="558" t="str">
        <f t="shared" si="132"/>
        <v>.</v>
      </c>
      <c r="IH83" s="558" t="str">
        <f t="shared" si="132"/>
        <v>.</v>
      </c>
      <c r="II83" s="558" t="str">
        <f t="shared" si="132"/>
        <v>.</v>
      </c>
      <c r="IJ83" s="558" t="str">
        <f t="shared" si="132"/>
        <v>.</v>
      </c>
      <c r="IK83" s="558" t="str">
        <f t="shared" si="132"/>
        <v>.</v>
      </c>
      <c r="IL83" s="558" t="str">
        <f t="shared" si="132"/>
        <v>.</v>
      </c>
      <c r="IM83" s="558" t="str">
        <f t="shared" si="132"/>
        <v>.</v>
      </c>
      <c r="IN83" s="558" t="str">
        <f t="shared" si="132"/>
        <v>.</v>
      </c>
      <c r="IO83" s="558" t="str">
        <f t="shared" si="130"/>
        <v>.</v>
      </c>
      <c r="IP83" s="558" t="str">
        <f t="shared" si="130"/>
        <v>.</v>
      </c>
      <c r="IQ83" s="558" t="str">
        <f t="shared" si="130"/>
        <v>.</v>
      </c>
      <c r="IR83" s="558" t="str">
        <f t="shared" si="130"/>
        <v>.</v>
      </c>
      <c r="IS83" s="558" t="str">
        <f t="shared" si="130"/>
        <v>.</v>
      </c>
      <c r="IT83" s="558" t="str">
        <f t="shared" si="130"/>
        <v>.</v>
      </c>
      <c r="IU83" s="558" t="str">
        <f t="shared" si="130"/>
        <v>.</v>
      </c>
      <c r="IV83" s="558" t="str">
        <f t="shared" si="130"/>
        <v>.</v>
      </c>
      <c r="IW83" s="558" t="str">
        <f t="shared" si="130"/>
        <v>.</v>
      </c>
      <c r="IX83" s="558" t="str">
        <f t="shared" si="130"/>
        <v>.</v>
      </c>
      <c r="IY83" s="558" t="str">
        <f t="shared" si="130"/>
        <v>.</v>
      </c>
      <c r="IZ83" s="558" t="str">
        <f t="shared" si="130"/>
        <v>.</v>
      </c>
      <c r="JA83" s="558" t="str">
        <f t="shared" si="130"/>
        <v>.</v>
      </c>
      <c r="JB83" s="558" t="str">
        <f t="shared" si="130"/>
        <v>.</v>
      </c>
      <c r="JC83" s="558" t="str">
        <f t="shared" si="130"/>
        <v>.</v>
      </c>
      <c r="JD83" s="558" t="str">
        <f t="shared" si="130"/>
        <v>.</v>
      </c>
      <c r="JE83" s="558" t="str">
        <f t="shared" si="130"/>
        <v>.</v>
      </c>
      <c r="JF83" s="558" t="str">
        <f t="shared" si="130"/>
        <v>.</v>
      </c>
      <c r="JG83" s="558" t="str">
        <f t="shared" si="130"/>
        <v>.</v>
      </c>
      <c r="JH83" s="558" t="str">
        <f t="shared" si="130"/>
        <v>.</v>
      </c>
      <c r="JI83" s="558" t="str">
        <f t="shared" si="130"/>
        <v>.</v>
      </c>
      <c r="JJ83" s="558" t="str">
        <f t="shared" si="130"/>
        <v>.</v>
      </c>
      <c r="JK83" s="558" t="str">
        <f t="shared" si="130"/>
        <v>.</v>
      </c>
      <c r="JL83" s="558" t="str">
        <f t="shared" ref="JH83:JL93" si="136" xml:space="preserve"> IF(  OR( JL$18&gt;$FK83, $FK83&gt;$FP$12 ),  LEER,  ROUND( $FO$19 * ( $FL83 - JL$15 * $FM83 ), JL$17 )  )</f>
        <v>.</v>
      </c>
    </row>
    <row r="84" spans="1:272" ht="10.199999999999999" x14ac:dyDescent="0.2">
      <c r="A84" s="534">
        <f xml:space="preserve"> Basis!A84</f>
        <v>84</v>
      </c>
      <c r="F84" s="536">
        <f xml:space="preserve"> ROUND(    IF( $A$15=BE_MF_,   AW84,   INDEX( qx!84:84, F$16 ) ),    F$17    )</f>
        <v>5.0900000000000001E-2</v>
      </c>
      <c r="G84" s="536">
        <f xml:space="preserve"> ROUND(    IF( $A$15=BE_MF_,   BB84,   INDEX( wx!84:84, G$16 ) ),    G$17    )</f>
        <v>1.5E-3</v>
      </c>
      <c r="H84" s="537">
        <f xml:space="preserve"> ROUND(    IF( $A$15=BE_MF_,   BG84,   INDEX( Kx!84:84, H$16 ) ),    H$17    )</f>
        <v>11175.87</v>
      </c>
      <c r="I84" s="538">
        <f t="shared" si="57"/>
        <v>11175.87</v>
      </c>
      <c r="J84" s="539">
        <f t="shared" ref="J84:J115" si="137" xml:space="preserve"> ROUND(  I84 / I$19,  J$17 )</f>
        <v>5.3789999999999996</v>
      </c>
      <c r="K84" s="540">
        <f t="shared" si="119"/>
        <v>0</v>
      </c>
      <c r="L84" s="541">
        <f t="shared" si="71"/>
        <v>0</v>
      </c>
      <c r="M84" s="541">
        <f t="shared" si="71"/>
        <v>8.5999999999999993E-2</v>
      </c>
      <c r="O84" s="542" t="b">
        <f t="shared" si="59"/>
        <v>1</v>
      </c>
      <c r="P84" s="493">
        <f t="shared" ref="P84:P120" si="138" xml:space="preserve"> IF( $O84,   IF(  A84&gt;= $O$12, 1,  ROUND(  MIN( 1,  F84 + G84 ),  P$17  )  ), LEER )</f>
        <v>5.2400000000000002E-2</v>
      </c>
      <c r="Q84" s="493">
        <f t="shared" ref="Q84:Q115" si="139" xml:space="preserve"> IF( $O84,    ROUND( 1 - P84,  Q$17  ),  LEER  )</f>
        <v>0.9476</v>
      </c>
      <c r="R84" s="543">
        <f t="shared" ref="R84:R120" si="140" xml:space="preserve"> IF(  NOT($O84),  LEER,  IF( $A84=R$10,  R$12,  ROUNDDOWN(  R83 * Q83,  R$17 )  )  )</f>
        <v>347106</v>
      </c>
      <c r="S84" s="544">
        <f t="shared" ref="S84:S120" si="141" xml:space="preserve"> IF( $O84,    ROUND(  ( 1 / ( 1 + S$12 ) ), S$17 ),  LEER  )</f>
        <v>0.97560975599999999</v>
      </c>
      <c r="T84" s="423">
        <f t="shared" ref="T84:T115" si="142" xml:space="preserve"> IF( $O84,    ROUND( R84 * S84 ^ A84, T$17 ),  LEER  )</f>
        <v>43617.16</v>
      </c>
      <c r="U84" s="423">
        <f xml:space="preserve"> IF( $O84,    ROUND(  SUM( T84:T$120), U$17 ),  LEER  )</f>
        <v>334477.26</v>
      </c>
      <c r="V84" s="493">
        <f t="shared" ref="V84:V115" si="143" xml:space="preserve"> IF( $O84,    IF( T84= 0, 1,  ROUND(  U84 / T84, V$17 )   ),  LEER  )</f>
        <v>7.6684999999999999</v>
      </c>
      <c r="W84" s="493">
        <f t="shared" ref="W84:W120" si="144" xml:space="preserve"> IF( $O84,    ROUND( J84 * T84, W$17 ),  LEER  )</f>
        <v>234616.7</v>
      </c>
      <c r="X84" s="493">
        <f xml:space="preserve"> IF( $O84,    ROUND(  SUM( W84:W$120), X$17 ),  LEER  )</f>
        <v>1831499.73</v>
      </c>
      <c r="Y84" s="493">
        <f t="shared" ref="Y84:Y115" si="145" xml:space="preserve"> IF( $O84,    IF( T84= 0, J84,  ROUND(  X84 / T84, Y$17 )   ),   LEER  )</f>
        <v>41.990299999999998</v>
      </c>
      <c r="Z84" s="493">
        <f t="shared" ref="Z84:Z115" si="146" xml:space="preserve"> IF( $O84,    IF( V84= 0, Y84,  ROUND( Y84 / V84, Z$17 )  ),   LEER  )</f>
        <v>5.4756999999999998</v>
      </c>
      <c r="AA84" s="493">
        <f t="shared" ref="AA84:AA120" si="147" xml:space="preserve"> IF( $O84,    ROUND( ( 12 * V84 * ( 1 - M84 ) ) / ( 12 * V84 * ( 1 - M84 ) - K84 ), AA$17 ),    LEER  )</f>
        <v>1</v>
      </c>
      <c r="AB84" s="493">
        <f t="shared" ref="AB84:AB120" si="148" xml:space="preserve">  IF( $O84,    ROUND( INDEX( $Z$20:$Z$120, AB$16 ) / ( 1 - M84 - L84 - INDEX( $K$20:$K$120, AB$16 ) / ( 12 * INDEX( $V$20:$V$120, AB$16 ) ) ), AB$17 ),       LEER  )</f>
        <v>2.3494000000000002</v>
      </c>
      <c r="AC84" s="545">
        <f t="shared" ref="AC84:AC115" si="149" xml:space="preserve">  IF( NOT($O84),   LEER,   ROUND(  L84 * AB84  +  IF( $A84&lt;AC$12, AC$5, AC$6 ),  AC$17  )    )</f>
        <v>0.32679999999999998</v>
      </c>
      <c r="AD84" s="493">
        <f t="shared" ref="AD84:AD115" si="150" xml:space="preserve">  IF( $O84,   ROUND( AA84 * Z84 + ( AA84 - 1 ) * AC84, AD$17 ),       LEER  )</f>
        <v>5.4756999999999998</v>
      </c>
      <c r="AE84" s="493">
        <f t="shared" ref="AE84:AE115" si="151" xml:space="preserve">  IF( $O84,   ROUND( ( AD84 + AC84 ) / ( 1 - M84), AE$17 ),       LEER  )</f>
        <v>6.3484999999999996</v>
      </c>
      <c r="AF84" s="493">
        <f t="shared" ref="AF84:AF115" si="152" xml:space="preserve">  IF(  $O84,   IF(  OR( NOT( $AF$12), $A84=$M$12, AE84&gt;=AF83 ), AE84, MAX( AE84,AF83) ),  LEER  )</f>
        <v>6.3484999999999996</v>
      </c>
      <c r="AG84" s="493" t="str">
        <f t="shared" ref="AG84:AG115" si="153" xml:space="preserve">  IF(  $O84,   IF(  AE84=AF84,  LEER, Setzung ),    LEER  )</f>
        <v>.</v>
      </c>
      <c r="AH84" s="493" t="str">
        <f t="shared" ref="AH84:AH115" si="154" xml:space="preserve">  IF(  $O84,   IF( AND( K83&lt;&gt;0, AG84=Setzung), SetzungZillmerung, LEER ),    LEER  )</f>
        <v>.</v>
      </c>
      <c r="AI84" s="423">
        <f t="shared" ref="AI84:AI120" si="155" xml:space="preserve">  IF( $O84,    $J$19,  LEER  )</f>
        <v>2077.79</v>
      </c>
      <c r="AJ84" s="423">
        <f t="shared" ref="AJ84:AJ115" si="156" xml:space="preserve">  IF( $O84,    ROUND( AF84 * AI84, AJ$17 ),  LEER  )</f>
        <v>13190.85</v>
      </c>
      <c r="AK84" s="423">
        <f t="shared" ref="AK84:AK115" si="157" xml:space="preserve">  IF( $O84,    ROUND( AJ84 / 12, AK$17 ),  LEER  )</f>
        <v>1099.24</v>
      </c>
      <c r="AN84" s="423">
        <f t="shared" si="129"/>
        <v>57704.66</v>
      </c>
      <c r="AO84" s="423">
        <f t="shared" si="129"/>
        <v>57350.94</v>
      </c>
      <c r="AR84" s="546">
        <f xml:space="preserve"> ROUND(  INDEX( Kx!84:84, AR$16 ),  AR$17 )</f>
        <v>0.60209999999999997</v>
      </c>
      <c r="AS84" s="547">
        <f xml:space="preserve"> ROUND(  INDEX( qx!84:84, AS$16 ),  AS$17 )</f>
        <v>6.0100000000000001E-2</v>
      </c>
      <c r="AT84" s="547">
        <f xml:space="preserve"> ROUND(  INDEX( qx!84:84, AT$16 ),  AT$17 )</f>
        <v>4.1700000000000001E-2</v>
      </c>
      <c r="AU84" s="548" t="str">
        <f t="shared" ref="AU84:AU115" si="158" xml:space="preserve"> IF( AS84&lt;AT84, AS$13, AT$13 )</f>
        <v>F</v>
      </c>
      <c r="AV84" s="542">
        <f t="shared" ref="AV84:AV115" si="159" xml:space="preserve"> ROUND(     IF( AU84=BE_M_, ( $AR84 + $AR84 * AV$18 ) / ( 1 + $AR84 * AV$18 ),  ( $AR84 ) / ( 1 + ( 1 - $AR84 ) * AV$18 ) ),   AV$17 )</f>
        <v>0.50219999999999998</v>
      </c>
      <c r="AW84" s="542">
        <f t="shared" ref="AW84:AW115" si="160" xml:space="preserve"> ROUND( AV84 * AS84 + ( 1 - AV84) * AT84, AW$17 )</f>
        <v>5.0900000000000001E-2</v>
      </c>
      <c r="AX84" s="546">
        <f xml:space="preserve"> ROUND(  INDEX( wx!84:84, AX$16 ),  AX$17 )</f>
        <v>1.1999999999999999E-3</v>
      </c>
      <c r="AY84" s="546">
        <f xml:space="preserve"> ROUND(  INDEX( wx!84:84, AY$16 ),  AY$17 )</f>
        <v>2.0999999999999999E-3</v>
      </c>
      <c r="AZ84" s="548" t="str">
        <f t="shared" ref="AZ84:AZ115" si="161" xml:space="preserve"> IF( AX84&lt;AY84, AX$13, AY$13 )</f>
        <v>M</v>
      </c>
      <c r="BA84" s="542">
        <f t="shared" ref="BA84:BA115" si="162" xml:space="preserve"> ROUND(     IF( AZ84=BE_M_, ( $AR84 + $AR84 * BA$18 ) / ( 1 + $AR84 * BA$18 ),  ( $AR84 ) / ( 1 + ( 1 - $AR84 ) * BA$18 ) ),   BA$17 )</f>
        <v>0.69420000000000004</v>
      </c>
      <c r="BB84" s="542">
        <f t="shared" ref="BB84:BB115" si="163" xml:space="preserve"> ROUND( BA84 * AX84 + ( 1 - BA84) * AY84, BB$17 )</f>
        <v>1.5E-3</v>
      </c>
      <c r="BC84" s="533">
        <f xml:space="preserve"> ROUND(  INDEX( Kx!84:84, BC$16 ),  BC$17 )</f>
        <v>11725.22</v>
      </c>
      <c r="BD84" s="533">
        <f xml:space="preserve"> ROUND(  INDEX( Kx!84:84, BD$16 ),  BD$17 )</f>
        <v>9928.7900000000009</v>
      </c>
      <c r="BE84" s="548" t="str">
        <f t="shared" si="60"/>
        <v>M</v>
      </c>
      <c r="BF84" s="542">
        <f t="shared" ref="BF84:BF115" si="164" xml:space="preserve"> ROUND(     IF( BE84=BE_M_, ( $AR84 + $AR84 * BF$18 ) / ( 1 + $AR84 * BF$18 ),  ( $AR84 ) / ( 1 + ( 1 - $AR84 ) * BF$18 ) ),   BF$17 )</f>
        <v>0.69420000000000004</v>
      </c>
      <c r="BG84" s="420">
        <f t="shared" ref="BG84:BG115" si="165" xml:space="preserve"> ROUND( BF84 * BC84 + ( 1 - BF84) * BD84, BG$17 )</f>
        <v>11175.87</v>
      </c>
      <c r="BQ84" s="549"/>
      <c r="BR84" s="423"/>
      <c r="BS84" s="550"/>
      <c r="BT84" s="423"/>
      <c r="BU84" s="551"/>
      <c r="BV84" s="551"/>
      <c r="BW84" s="529"/>
      <c r="BX84" s="552"/>
      <c r="BY84" s="560"/>
      <c r="BZ84" s="559"/>
      <c r="CB84" s="423"/>
      <c r="CC84" s="423"/>
      <c r="CD84" s="423"/>
      <c r="CE84" s="423"/>
      <c r="CF84" s="553"/>
      <c r="CH84" s="423"/>
      <c r="CI84" s="423"/>
      <c r="CJ84" s="423"/>
      <c r="CK84" s="423"/>
      <c r="CL84" s="553"/>
      <c r="CN84" s="423"/>
      <c r="CO84" s="423"/>
      <c r="CP84" s="423"/>
      <c r="CQ84" s="423"/>
      <c r="CR84" s="553"/>
      <c r="EI84" s="553"/>
      <c r="EJ84" s="553"/>
      <c r="EK84" s="423"/>
      <c r="EL84" s="555"/>
      <c r="ES84" s="533"/>
      <c r="ET84" s="533"/>
      <c r="EU84" s="533"/>
      <c r="EV84" s="556"/>
      <c r="EY84" s="533"/>
      <c r="EZ84" s="533"/>
      <c r="FA84" s="556"/>
      <c r="FD84" s="556"/>
      <c r="FE84" s="556"/>
      <c r="FF84" s="556"/>
      <c r="FK84" s="557">
        <f t="shared" ref="FK84:FK120" si="166" xml:space="preserve"> A84</f>
        <v>84</v>
      </c>
      <c r="FL84" s="493">
        <f t="shared" ref="FL84:FL120" si="167" xml:space="preserve"> Y84</f>
        <v>41.990299999999998</v>
      </c>
      <c r="FM84" s="493">
        <f t="shared" ref="FM84:FM120" si="168" xml:space="preserve"> V84</f>
        <v>7.6684999999999999</v>
      </c>
      <c r="FO84" s="427">
        <f t="shared" si="61"/>
        <v>2362407.6100000008</v>
      </c>
      <c r="FP84" s="558">
        <f t="shared" ref="FP84:GE99" si="169" xml:space="preserve"> IF(  OR( FP$18&gt;$FK84, $FK84&gt;$FP$12 ),  LEER,  ROUND( $FO$19 * ( $FL84 - FP$15 * $FM84 ), FP$17 )  )</f>
        <v>68120.41</v>
      </c>
      <c r="FQ84" s="558">
        <f t="shared" si="169"/>
        <v>67475.100000000006</v>
      </c>
      <c r="FR84" s="558">
        <f t="shared" si="169"/>
        <v>66828.2</v>
      </c>
      <c r="FS84" s="558">
        <f t="shared" si="169"/>
        <v>66181.3</v>
      </c>
      <c r="FT84" s="558">
        <f t="shared" si="169"/>
        <v>65512.09</v>
      </c>
      <c r="FU84" s="558">
        <f t="shared" si="169"/>
        <v>64823.76</v>
      </c>
      <c r="FV84" s="558">
        <f t="shared" si="169"/>
        <v>64141.81</v>
      </c>
      <c r="FW84" s="558">
        <f t="shared" si="169"/>
        <v>63455.07</v>
      </c>
      <c r="FX84" s="558">
        <f t="shared" si="169"/>
        <v>62744.44</v>
      </c>
      <c r="FY84" s="558">
        <f t="shared" si="169"/>
        <v>62005.120000000003</v>
      </c>
      <c r="FZ84" s="558">
        <f t="shared" si="169"/>
        <v>61261.03</v>
      </c>
      <c r="GA84" s="558">
        <f t="shared" si="169"/>
        <v>60505.78</v>
      </c>
      <c r="GB84" s="558">
        <f t="shared" si="169"/>
        <v>59733</v>
      </c>
      <c r="GC84" s="558">
        <f t="shared" si="169"/>
        <v>58957.04</v>
      </c>
      <c r="GD84" s="558">
        <f t="shared" si="169"/>
        <v>58157.17</v>
      </c>
      <c r="GE84" s="558">
        <f t="shared" si="169"/>
        <v>57350.94</v>
      </c>
      <c r="GF84" s="558">
        <f t="shared" si="134"/>
        <v>56520.800000000003</v>
      </c>
      <c r="GG84" s="558">
        <f t="shared" si="134"/>
        <v>55671.54</v>
      </c>
      <c r="GH84" s="558">
        <f t="shared" si="134"/>
        <v>54798.39</v>
      </c>
      <c r="GI84" s="558">
        <f t="shared" si="134"/>
        <v>53899.74</v>
      </c>
      <c r="GJ84" s="558">
        <f t="shared" si="134"/>
        <v>52974</v>
      </c>
      <c r="GK84" s="558">
        <f t="shared" si="134"/>
        <v>52013.2</v>
      </c>
      <c r="GL84" s="558">
        <f t="shared" si="134"/>
        <v>51017.36</v>
      </c>
      <c r="GM84" s="558">
        <f t="shared" si="134"/>
        <v>49984.87</v>
      </c>
      <c r="GN84" s="558">
        <f t="shared" si="134"/>
        <v>48910.95</v>
      </c>
      <c r="GO84" s="558">
        <f t="shared" si="134"/>
        <v>47803.57</v>
      </c>
      <c r="GP84" s="558">
        <f t="shared" si="134"/>
        <v>46657.94</v>
      </c>
      <c r="GQ84" s="558">
        <f t="shared" si="134"/>
        <v>45477.27</v>
      </c>
      <c r="GR84" s="558">
        <f t="shared" si="134"/>
        <v>44264.73</v>
      </c>
      <c r="GS84" s="558">
        <f t="shared" si="134"/>
        <v>43021.91</v>
      </c>
      <c r="GT84" s="558">
        <f t="shared" si="134"/>
        <v>41753.599999999999</v>
      </c>
      <c r="GU84" s="558">
        <f t="shared" ref="GU84:HJ99" si="170" xml:space="preserve"> IF(  OR( GU$18&gt;$FK84, $FK84&gt;$FP$12 ),  LEER,  ROUND( $FO$19 * ( $FL84 - GU$15 * $FM84 ), GU$17 )  )</f>
        <v>40455.019999999997</v>
      </c>
      <c r="GV84" s="558">
        <f t="shared" si="170"/>
        <v>39138.910000000003</v>
      </c>
      <c r="GW84" s="558">
        <f t="shared" si="170"/>
        <v>37798.9</v>
      </c>
      <c r="GX84" s="558">
        <f t="shared" si="170"/>
        <v>36444.550000000003</v>
      </c>
      <c r="GY84" s="558">
        <f t="shared" si="170"/>
        <v>35075.86</v>
      </c>
      <c r="GZ84" s="558">
        <f t="shared" si="170"/>
        <v>33691.24</v>
      </c>
      <c r="HA84" s="558">
        <f t="shared" si="170"/>
        <v>32295.46</v>
      </c>
      <c r="HB84" s="558">
        <f t="shared" si="170"/>
        <v>30878.97</v>
      </c>
      <c r="HC84" s="558">
        <f t="shared" si="170"/>
        <v>29432.2</v>
      </c>
      <c r="HD84" s="558">
        <f t="shared" si="170"/>
        <v>27964.720000000001</v>
      </c>
      <c r="HE84" s="558">
        <f t="shared" si="170"/>
        <v>26482.91</v>
      </c>
      <c r="HF84" s="558">
        <f t="shared" si="170"/>
        <v>24981.97</v>
      </c>
      <c r="HG84" s="558">
        <f t="shared" si="170"/>
        <v>23469.87</v>
      </c>
      <c r="HH84" s="558">
        <f t="shared" si="170"/>
        <v>21941.85</v>
      </c>
      <c r="HI84" s="558">
        <f t="shared" si="170"/>
        <v>20428.16</v>
      </c>
      <c r="HJ84" s="558">
        <f t="shared" si="170"/>
        <v>18901.73</v>
      </c>
      <c r="HK84" s="558">
        <f t="shared" si="135"/>
        <v>17384.86</v>
      </c>
      <c r="HL84" s="558">
        <f t="shared" si="135"/>
        <v>15879.14</v>
      </c>
      <c r="HM84" s="558">
        <f t="shared" si="135"/>
        <v>14379.79</v>
      </c>
      <c r="HN84" s="558">
        <f t="shared" si="135"/>
        <v>13144.95</v>
      </c>
      <c r="HO84" s="558">
        <f t="shared" si="135"/>
        <v>11948.34</v>
      </c>
      <c r="HP84" s="558">
        <f t="shared" si="135"/>
        <v>10802.72</v>
      </c>
      <c r="HQ84" s="558">
        <f t="shared" si="135"/>
        <v>9717.64</v>
      </c>
      <c r="HR84" s="558">
        <f t="shared" si="135"/>
        <v>8407.91</v>
      </c>
      <c r="HS84" s="558">
        <f t="shared" si="135"/>
        <v>7149.16</v>
      </c>
      <c r="HT84" s="558">
        <f t="shared" si="135"/>
        <v>5949.36</v>
      </c>
      <c r="HU84" s="558">
        <f t="shared" si="135"/>
        <v>4846.76</v>
      </c>
      <c r="HV84" s="558">
        <f t="shared" si="135"/>
        <v>3831.8</v>
      </c>
      <c r="HW84" s="558">
        <f t="shared" si="135"/>
        <v>2909.24</v>
      </c>
      <c r="HX84" s="558">
        <f t="shared" si="135"/>
        <v>2101.41</v>
      </c>
      <c r="HY84" s="558">
        <f t="shared" si="135"/>
        <v>1390.78</v>
      </c>
      <c r="HZ84" s="558">
        <f t="shared" si="133"/>
        <v>812.39</v>
      </c>
      <c r="IA84" s="558">
        <f t="shared" si="133"/>
        <v>347.13</v>
      </c>
      <c r="IB84" s="558">
        <f t="shared" si="133"/>
        <v>-0.22</v>
      </c>
      <c r="IC84" s="558" t="str">
        <f t="shared" si="132"/>
        <v>.</v>
      </c>
      <c r="ID84" s="558" t="str">
        <f t="shared" si="132"/>
        <v>.</v>
      </c>
      <c r="IE84" s="558" t="str">
        <f t="shared" si="132"/>
        <v>.</v>
      </c>
      <c r="IF84" s="558" t="str">
        <f t="shared" si="132"/>
        <v>.</v>
      </c>
      <c r="IG84" s="558" t="str">
        <f t="shared" si="132"/>
        <v>.</v>
      </c>
      <c r="IH84" s="558" t="str">
        <f t="shared" si="132"/>
        <v>.</v>
      </c>
      <c r="II84" s="558" t="str">
        <f t="shared" si="132"/>
        <v>.</v>
      </c>
      <c r="IJ84" s="558" t="str">
        <f t="shared" si="132"/>
        <v>.</v>
      </c>
      <c r="IK84" s="558" t="str">
        <f t="shared" si="132"/>
        <v>.</v>
      </c>
      <c r="IL84" s="558" t="str">
        <f t="shared" si="132"/>
        <v>.</v>
      </c>
      <c r="IM84" s="558" t="str">
        <f t="shared" si="132"/>
        <v>.</v>
      </c>
      <c r="IN84" s="558" t="str">
        <f t="shared" si="132"/>
        <v>.</v>
      </c>
      <c r="IO84" s="558" t="str">
        <f t="shared" si="130"/>
        <v>.</v>
      </c>
      <c r="IP84" s="558" t="str">
        <f t="shared" si="130"/>
        <v>.</v>
      </c>
      <c r="IQ84" s="558" t="str">
        <f t="shared" si="130"/>
        <v>.</v>
      </c>
      <c r="IR84" s="558" t="str">
        <f t="shared" si="130"/>
        <v>.</v>
      </c>
      <c r="IS84" s="558" t="str">
        <f t="shared" si="130"/>
        <v>.</v>
      </c>
      <c r="IT84" s="558" t="str">
        <f t="shared" si="130"/>
        <v>.</v>
      </c>
      <c r="IU84" s="558" t="str">
        <f t="shared" si="130"/>
        <v>.</v>
      </c>
      <c r="IV84" s="558" t="str">
        <f t="shared" si="130"/>
        <v>.</v>
      </c>
      <c r="IW84" s="558" t="str">
        <f t="shared" si="130"/>
        <v>.</v>
      </c>
      <c r="IX84" s="558" t="str">
        <f t="shared" si="130"/>
        <v>.</v>
      </c>
      <c r="IY84" s="558" t="str">
        <f t="shared" si="130"/>
        <v>.</v>
      </c>
      <c r="IZ84" s="558" t="str">
        <f t="shared" si="130"/>
        <v>.</v>
      </c>
      <c r="JA84" s="558" t="str">
        <f t="shared" si="130"/>
        <v>.</v>
      </c>
      <c r="JB84" s="558" t="str">
        <f t="shared" si="130"/>
        <v>.</v>
      </c>
      <c r="JC84" s="558" t="str">
        <f t="shared" si="130"/>
        <v>.</v>
      </c>
      <c r="JD84" s="558" t="str">
        <f t="shared" si="130"/>
        <v>.</v>
      </c>
      <c r="JE84" s="558" t="str">
        <f t="shared" si="130"/>
        <v>.</v>
      </c>
      <c r="JF84" s="558" t="str">
        <f t="shared" si="130"/>
        <v>.</v>
      </c>
      <c r="JG84" s="558" t="str">
        <f t="shared" si="130"/>
        <v>.</v>
      </c>
      <c r="JH84" s="558" t="str">
        <f t="shared" si="136"/>
        <v>.</v>
      </c>
      <c r="JI84" s="558" t="str">
        <f t="shared" si="136"/>
        <v>.</v>
      </c>
      <c r="JJ84" s="558" t="str">
        <f t="shared" si="136"/>
        <v>.</v>
      </c>
      <c r="JK84" s="558" t="str">
        <f t="shared" si="136"/>
        <v>.</v>
      </c>
      <c r="JL84" s="558" t="str">
        <f t="shared" si="136"/>
        <v>.</v>
      </c>
    </row>
    <row r="85" spans="1:272" ht="10.199999999999999" x14ac:dyDescent="0.2">
      <c r="A85" s="534">
        <f xml:space="preserve"> Basis!A85</f>
        <v>85</v>
      </c>
      <c r="F85" s="536">
        <f xml:space="preserve"> ROUND(    IF( $A$15=BE_MF_,   AW85,   INDEX( qx!85:85, F$16 ) ),    F$17    )</f>
        <v>5.8700000000000002E-2</v>
      </c>
      <c r="G85" s="536">
        <f xml:space="preserve"> ROUND(    IF( $A$15=BE_MF_,   BB85,   INDEX( wx!85:85, G$16 ) ),    G$17    )</f>
        <v>1.4E-3</v>
      </c>
      <c r="H85" s="537">
        <f xml:space="preserve"> ROUND(    IF( $A$15=BE_MF_,   BG85,   INDEX( Kx!85:85, H$16 ) ),    H$17    )</f>
        <v>11283.49</v>
      </c>
      <c r="I85" s="538">
        <f t="shared" ref="I85:I120" si="171" xml:space="preserve"> IF( $A85&gt;$H$12, MAX( H85, I84 ), H85 )</f>
        <v>11283.49</v>
      </c>
      <c r="J85" s="539">
        <f t="shared" si="137"/>
        <v>5.431</v>
      </c>
      <c r="K85" s="540">
        <f t="shared" ref="K85:K120" si="172" xml:space="preserve"> IF( $A85&lt;K$18,  K$15,  MAX( 0, K84-K$16 )   )</f>
        <v>0</v>
      </c>
      <c r="L85" s="541">
        <f t="shared" si="71"/>
        <v>0</v>
      </c>
      <c r="M85" s="541">
        <f t="shared" si="71"/>
        <v>8.5999999999999993E-2</v>
      </c>
      <c r="O85" s="542" t="b">
        <f t="shared" ref="O85:O120" si="173" xml:space="preserve"> AND( O$10&lt;=$A85, $A85&lt;=$O$12 )</f>
        <v>1</v>
      </c>
      <c r="P85" s="493">
        <f t="shared" si="138"/>
        <v>6.0100000000000001E-2</v>
      </c>
      <c r="Q85" s="493">
        <f t="shared" si="139"/>
        <v>0.93989999999999996</v>
      </c>
      <c r="R85" s="543">
        <f t="shared" si="140"/>
        <v>328917</v>
      </c>
      <c r="S85" s="544">
        <f t="shared" si="141"/>
        <v>0.97560975599999999</v>
      </c>
      <c r="T85" s="423">
        <f t="shared" si="142"/>
        <v>40323.46</v>
      </c>
      <c r="U85" s="423">
        <f xml:space="preserve"> IF( $O85,    ROUND(  SUM( T85:T$120), U$17 ),  LEER  )</f>
        <v>290860.09999999998</v>
      </c>
      <c r="V85" s="493">
        <f t="shared" si="143"/>
        <v>7.2131999999999996</v>
      </c>
      <c r="W85" s="493">
        <f t="shared" si="144"/>
        <v>218996.71</v>
      </c>
      <c r="X85" s="493">
        <f xml:space="preserve"> IF( $O85,    ROUND(  SUM( W85:W$120), X$17 ),  LEER  )</f>
        <v>1596883.03</v>
      </c>
      <c r="Y85" s="493">
        <f t="shared" si="145"/>
        <v>39.601799999999997</v>
      </c>
      <c r="Z85" s="493">
        <f t="shared" si="146"/>
        <v>5.4901999999999997</v>
      </c>
      <c r="AA85" s="493">
        <f t="shared" si="147"/>
        <v>1</v>
      </c>
      <c r="AB85" s="493">
        <f t="shared" si="148"/>
        <v>2.3494000000000002</v>
      </c>
      <c r="AC85" s="545">
        <f t="shared" si="149"/>
        <v>0.32679999999999998</v>
      </c>
      <c r="AD85" s="493">
        <f t="shared" si="150"/>
        <v>5.4901999999999997</v>
      </c>
      <c r="AE85" s="493">
        <f t="shared" si="151"/>
        <v>6.3643000000000001</v>
      </c>
      <c r="AF85" s="493">
        <f t="shared" si="152"/>
        <v>6.3643000000000001</v>
      </c>
      <c r="AG85" s="493" t="str">
        <f t="shared" si="153"/>
        <v>.</v>
      </c>
      <c r="AH85" s="493" t="str">
        <f t="shared" si="154"/>
        <v>.</v>
      </c>
      <c r="AI85" s="423">
        <f t="shared" si="155"/>
        <v>2077.79</v>
      </c>
      <c r="AJ85" s="423">
        <f t="shared" si="156"/>
        <v>13223.68</v>
      </c>
      <c r="AK85" s="423">
        <f t="shared" si="157"/>
        <v>1101.97</v>
      </c>
      <c r="AN85" s="423">
        <f t="shared" si="129"/>
        <v>54495.87</v>
      </c>
      <c r="AO85" s="423">
        <f t="shared" si="129"/>
        <v>54163.15</v>
      </c>
      <c r="AR85" s="546">
        <f xml:space="preserve"> ROUND(  INDEX( Kx!85:85, AR$16 ),  AR$17 )</f>
        <v>0.57469999999999999</v>
      </c>
      <c r="AS85" s="547">
        <f xml:space="preserve"> ROUND(  INDEX( qx!85:85, AS$16 ),  AS$17 )</f>
        <v>6.9199999999999998E-2</v>
      </c>
      <c r="AT85" s="547">
        <f xml:space="preserve"> ROUND(  INDEX( qx!85:85, AT$16 ),  AT$17 )</f>
        <v>4.9200000000000001E-2</v>
      </c>
      <c r="AU85" s="548" t="str">
        <f t="shared" si="158"/>
        <v>F</v>
      </c>
      <c r="AV85" s="542">
        <f t="shared" si="159"/>
        <v>0.47389999999999999</v>
      </c>
      <c r="AW85" s="542">
        <f t="shared" si="160"/>
        <v>5.8700000000000002E-2</v>
      </c>
      <c r="AX85" s="546">
        <f xml:space="preserve"> ROUND(  INDEX( wx!85:85, AX$16 ),  AX$17 )</f>
        <v>1.1000000000000001E-3</v>
      </c>
      <c r="AY85" s="546">
        <f xml:space="preserve"> ROUND(  INDEX( wx!85:85, AY$16 ),  AY$17 )</f>
        <v>2.0999999999999999E-3</v>
      </c>
      <c r="AZ85" s="548" t="str">
        <f t="shared" si="161"/>
        <v>M</v>
      </c>
      <c r="BA85" s="542">
        <f t="shared" si="162"/>
        <v>0.66959999999999997</v>
      </c>
      <c r="BB85" s="542">
        <f t="shared" si="163"/>
        <v>1.4E-3</v>
      </c>
      <c r="BC85" s="533">
        <f xml:space="preserve"> ROUND(  INDEX( Kx!85:85, BC$16 ),  BC$17 )</f>
        <v>11901.02</v>
      </c>
      <c r="BD85" s="533">
        <f xml:space="preserve"> ROUND(  INDEX( Kx!85:85, BD$16 ),  BD$17 )</f>
        <v>10031.99</v>
      </c>
      <c r="BE85" s="548" t="str">
        <f t="shared" ref="BE85:BE120" si="174" xml:space="preserve"> IF( BC85&gt;BD85, BC$18, BD$18 )</f>
        <v>M</v>
      </c>
      <c r="BF85" s="542">
        <f t="shared" si="164"/>
        <v>0.66959999999999997</v>
      </c>
      <c r="BG85" s="420">
        <f t="shared" si="165"/>
        <v>11283.49</v>
      </c>
      <c r="BQ85" s="549"/>
      <c r="BR85" s="423"/>
      <c r="BS85" s="550"/>
      <c r="BT85" s="423"/>
      <c r="BU85" s="551"/>
      <c r="BV85" s="551"/>
      <c r="BW85" s="529"/>
      <c r="BX85" s="552"/>
      <c r="BY85" s="560"/>
      <c r="BZ85" s="559"/>
      <c r="CB85" s="423"/>
      <c r="CC85" s="423"/>
      <c r="CD85" s="423"/>
      <c r="CE85" s="423"/>
      <c r="CF85" s="553"/>
      <c r="CH85" s="423"/>
      <c r="CI85" s="423"/>
      <c r="CJ85" s="423"/>
      <c r="CK85" s="423"/>
      <c r="CL85" s="553"/>
      <c r="CN85" s="423"/>
      <c r="CO85" s="423"/>
      <c r="CP85" s="423"/>
      <c r="CQ85" s="423"/>
      <c r="CR85" s="553"/>
      <c r="EI85" s="553"/>
      <c r="EJ85" s="553"/>
      <c r="EK85" s="423"/>
      <c r="EL85" s="555"/>
      <c r="ES85" s="533"/>
      <c r="ET85" s="533"/>
      <c r="EU85" s="533"/>
      <c r="EV85" s="556"/>
      <c r="EY85" s="533"/>
      <c r="EZ85" s="533"/>
      <c r="FA85" s="556"/>
      <c r="FD85" s="556"/>
      <c r="FE85" s="556"/>
      <c r="FF85" s="556"/>
      <c r="FK85" s="557">
        <f t="shared" si="166"/>
        <v>85</v>
      </c>
      <c r="FL85" s="493">
        <f t="shared" si="167"/>
        <v>39.601799999999997</v>
      </c>
      <c r="FM85" s="493">
        <f t="shared" si="168"/>
        <v>7.2131999999999996</v>
      </c>
      <c r="FO85" s="427">
        <f t="shared" ref="FO85:FO120" si="175" xml:space="preserve"> SUM( FP85:JL85 )</f>
        <v>2236268.91</v>
      </c>
      <c r="FP85" s="558">
        <f t="shared" si="169"/>
        <v>64293.21</v>
      </c>
      <c r="FQ85" s="558">
        <f t="shared" si="169"/>
        <v>63686.22</v>
      </c>
      <c r="FR85" s="558">
        <f t="shared" si="169"/>
        <v>63077.72</v>
      </c>
      <c r="FS85" s="558">
        <f t="shared" si="169"/>
        <v>62469.23</v>
      </c>
      <c r="FT85" s="558">
        <f t="shared" si="169"/>
        <v>61839.76</v>
      </c>
      <c r="FU85" s="558">
        <f t="shared" si="169"/>
        <v>61192.29</v>
      </c>
      <c r="FV85" s="558">
        <f t="shared" si="169"/>
        <v>60550.83</v>
      </c>
      <c r="FW85" s="558">
        <f t="shared" si="169"/>
        <v>59904.87</v>
      </c>
      <c r="FX85" s="558">
        <f t="shared" si="169"/>
        <v>59236.42</v>
      </c>
      <c r="FY85" s="558">
        <f t="shared" si="169"/>
        <v>58541</v>
      </c>
      <c r="FZ85" s="558">
        <f t="shared" si="169"/>
        <v>57841.09</v>
      </c>
      <c r="GA85" s="558">
        <f t="shared" si="169"/>
        <v>57130.68</v>
      </c>
      <c r="GB85" s="558">
        <f t="shared" si="169"/>
        <v>56403.78</v>
      </c>
      <c r="GC85" s="558">
        <f t="shared" si="169"/>
        <v>55673.89</v>
      </c>
      <c r="GD85" s="558">
        <f t="shared" si="169"/>
        <v>54921.52</v>
      </c>
      <c r="GE85" s="558">
        <f t="shared" si="169"/>
        <v>54163.15</v>
      </c>
      <c r="GF85" s="558">
        <f t="shared" si="134"/>
        <v>53382.3</v>
      </c>
      <c r="GG85" s="558">
        <f t="shared" si="134"/>
        <v>52583.47</v>
      </c>
      <c r="GH85" s="558">
        <f t="shared" si="134"/>
        <v>51762.15</v>
      </c>
      <c r="GI85" s="558">
        <f t="shared" si="134"/>
        <v>50916.85</v>
      </c>
      <c r="GJ85" s="558">
        <f t="shared" si="134"/>
        <v>50046.080000000002</v>
      </c>
      <c r="GK85" s="558">
        <f t="shared" si="134"/>
        <v>49142.33</v>
      </c>
      <c r="GL85" s="558">
        <f t="shared" si="134"/>
        <v>48205.61</v>
      </c>
      <c r="GM85" s="558">
        <f t="shared" si="134"/>
        <v>47234.42</v>
      </c>
      <c r="GN85" s="558">
        <f t="shared" si="134"/>
        <v>46224.26</v>
      </c>
      <c r="GO85" s="558">
        <f t="shared" si="134"/>
        <v>45182.63</v>
      </c>
      <c r="GP85" s="558">
        <f t="shared" si="134"/>
        <v>44105.03</v>
      </c>
      <c r="GQ85" s="558">
        <f t="shared" si="134"/>
        <v>42994.45</v>
      </c>
      <c r="GR85" s="558">
        <f t="shared" si="134"/>
        <v>41853.9</v>
      </c>
      <c r="GS85" s="558">
        <f t="shared" si="134"/>
        <v>40684.879999999997</v>
      </c>
      <c r="GT85" s="558">
        <f t="shared" si="134"/>
        <v>39491.870000000003</v>
      </c>
      <c r="GU85" s="558">
        <f t="shared" si="170"/>
        <v>38270.39</v>
      </c>
      <c r="GV85" s="558">
        <f t="shared" si="170"/>
        <v>37032.42</v>
      </c>
      <c r="GW85" s="558">
        <f t="shared" si="170"/>
        <v>35771.97</v>
      </c>
      <c r="GX85" s="558">
        <f t="shared" si="170"/>
        <v>34498.03</v>
      </c>
      <c r="GY85" s="558">
        <f t="shared" si="170"/>
        <v>33210.6</v>
      </c>
      <c r="GZ85" s="558">
        <f t="shared" si="170"/>
        <v>31908.19</v>
      </c>
      <c r="HA85" s="558">
        <f t="shared" si="170"/>
        <v>30595.279999999999</v>
      </c>
      <c r="HB85" s="558">
        <f t="shared" si="170"/>
        <v>29262.89</v>
      </c>
      <c r="HC85" s="558">
        <f t="shared" si="170"/>
        <v>27902.03</v>
      </c>
      <c r="HD85" s="558">
        <f t="shared" si="170"/>
        <v>26521.68</v>
      </c>
      <c r="HE85" s="558">
        <f t="shared" si="170"/>
        <v>25127.84</v>
      </c>
      <c r="HF85" s="558">
        <f t="shared" si="170"/>
        <v>23716.01</v>
      </c>
      <c r="HG85" s="558">
        <f t="shared" si="170"/>
        <v>22293.7</v>
      </c>
      <c r="HH85" s="558">
        <f t="shared" si="170"/>
        <v>20856.400000000001</v>
      </c>
      <c r="HI85" s="558">
        <f t="shared" si="170"/>
        <v>19432.580000000002</v>
      </c>
      <c r="HJ85" s="558">
        <f t="shared" si="170"/>
        <v>17996.78</v>
      </c>
      <c r="HK85" s="558">
        <f t="shared" si="135"/>
        <v>16569.97</v>
      </c>
      <c r="HL85" s="558">
        <f t="shared" si="135"/>
        <v>15153.65</v>
      </c>
      <c r="HM85" s="558">
        <f t="shared" si="135"/>
        <v>13743.32</v>
      </c>
      <c r="HN85" s="558">
        <f t="shared" si="135"/>
        <v>12581.79</v>
      </c>
      <c r="HO85" s="558">
        <f t="shared" si="135"/>
        <v>11456.23</v>
      </c>
      <c r="HP85" s="558">
        <f t="shared" si="135"/>
        <v>10378.620000000001</v>
      </c>
      <c r="HQ85" s="558">
        <f t="shared" si="135"/>
        <v>9357.9699999999993</v>
      </c>
      <c r="HR85" s="558">
        <f t="shared" si="135"/>
        <v>8126</v>
      </c>
      <c r="HS85" s="558">
        <f t="shared" si="135"/>
        <v>6941.99</v>
      </c>
      <c r="HT85" s="558">
        <f t="shared" si="135"/>
        <v>5813.43</v>
      </c>
      <c r="HU85" s="558">
        <f t="shared" si="135"/>
        <v>4776.29</v>
      </c>
      <c r="HV85" s="558">
        <f t="shared" si="135"/>
        <v>3821.59</v>
      </c>
      <c r="HW85" s="558">
        <f t="shared" si="135"/>
        <v>2953.81</v>
      </c>
      <c r="HX85" s="558">
        <f t="shared" si="135"/>
        <v>2193.94</v>
      </c>
      <c r="HY85" s="558">
        <f t="shared" si="135"/>
        <v>1525.5</v>
      </c>
      <c r="HZ85" s="558">
        <f t="shared" si="133"/>
        <v>981.45</v>
      </c>
      <c r="IA85" s="558">
        <f t="shared" si="133"/>
        <v>543.82000000000005</v>
      </c>
      <c r="IB85" s="558">
        <f t="shared" si="133"/>
        <v>217.09</v>
      </c>
      <c r="IC85" s="558">
        <f t="shared" si="132"/>
        <v>-0.23</v>
      </c>
      <c r="ID85" s="558" t="str">
        <f t="shared" si="132"/>
        <v>.</v>
      </c>
      <c r="IE85" s="558" t="str">
        <f t="shared" si="132"/>
        <v>.</v>
      </c>
      <c r="IF85" s="558" t="str">
        <f t="shared" si="132"/>
        <v>.</v>
      </c>
      <c r="IG85" s="558" t="str">
        <f t="shared" si="132"/>
        <v>.</v>
      </c>
      <c r="IH85" s="558" t="str">
        <f t="shared" si="132"/>
        <v>.</v>
      </c>
      <c r="II85" s="558" t="str">
        <f t="shared" si="132"/>
        <v>.</v>
      </c>
      <c r="IJ85" s="558" t="str">
        <f t="shared" si="132"/>
        <v>.</v>
      </c>
      <c r="IK85" s="558" t="str">
        <f t="shared" si="132"/>
        <v>.</v>
      </c>
      <c r="IL85" s="558" t="str">
        <f t="shared" si="132"/>
        <v>.</v>
      </c>
      <c r="IM85" s="558" t="str">
        <f t="shared" si="132"/>
        <v>.</v>
      </c>
      <c r="IN85" s="558" t="str">
        <f t="shared" si="132"/>
        <v>.</v>
      </c>
      <c r="IO85" s="558" t="str">
        <f t="shared" si="130"/>
        <v>.</v>
      </c>
      <c r="IP85" s="558" t="str">
        <f t="shared" si="130"/>
        <v>.</v>
      </c>
      <c r="IQ85" s="558" t="str">
        <f t="shared" si="130"/>
        <v>.</v>
      </c>
      <c r="IR85" s="558" t="str">
        <f t="shared" si="130"/>
        <v>.</v>
      </c>
      <c r="IS85" s="558" t="str">
        <f t="shared" si="130"/>
        <v>.</v>
      </c>
      <c r="IT85" s="558" t="str">
        <f t="shared" si="130"/>
        <v>.</v>
      </c>
      <c r="IU85" s="558" t="str">
        <f t="shared" si="130"/>
        <v>.</v>
      </c>
      <c r="IV85" s="558" t="str">
        <f t="shared" si="130"/>
        <v>.</v>
      </c>
      <c r="IW85" s="558" t="str">
        <f t="shared" si="130"/>
        <v>.</v>
      </c>
      <c r="IX85" s="558" t="str">
        <f t="shared" si="130"/>
        <v>.</v>
      </c>
      <c r="IY85" s="558" t="str">
        <f t="shared" si="130"/>
        <v>.</v>
      </c>
      <c r="IZ85" s="558" t="str">
        <f t="shared" si="130"/>
        <v>.</v>
      </c>
      <c r="JA85" s="558" t="str">
        <f t="shared" si="130"/>
        <v>.</v>
      </c>
      <c r="JB85" s="558" t="str">
        <f t="shared" si="130"/>
        <v>.</v>
      </c>
      <c r="JC85" s="558" t="str">
        <f t="shared" si="130"/>
        <v>.</v>
      </c>
      <c r="JD85" s="558" t="str">
        <f t="shared" si="130"/>
        <v>.</v>
      </c>
      <c r="JE85" s="558" t="str">
        <f t="shared" si="130"/>
        <v>.</v>
      </c>
      <c r="JF85" s="558" t="str">
        <f t="shared" si="130"/>
        <v>.</v>
      </c>
      <c r="JG85" s="558" t="str">
        <f t="shared" si="130"/>
        <v>.</v>
      </c>
      <c r="JH85" s="558" t="str">
        <f t="shared" si="136"/>
        <v>.</v>
      </c>
      <c r="JI85" s="558" t="str">
        <f t="shared" si="136"/>
        <v>.</v>
      </c>
      <c r="JJ85" s="558" t="str">
        <f t="shared" si="136"/>
        <v>.</v>
      </c>
      <c r="JK85" s="558" t="str">
        <f t="shared" si="136"/>
        <v>.</v>
      </c>
      <c r="JL85" s="558" t="str">
        <f t="shared" si="136"/>
        <v>.</v>
      </c>
    </row>
    <row r="86" spans="1:272" ht="10.199999999999999" x14ac:dyDescent="0.2">
      <c r="A86" s="534">
        <f xml:space="preserve"> Basis!A86</f>
        <v>86</v>
      </c>
      <c r="F86" s="536">
        <f xml:space="preserve"> ROUND(    IF( $A$15=BE_MF_,   AW86,   INDEX( qx!86:86, F$16 ) ),    F$17    )</f>
        <v>6.7400000000000002E-2</v>
      </c>
      <c r="G86" s="536">
        <f xml:space="preserve"> ROUND(    IF( $A$15=BE_MF_,   BB86,   INDEX( wx!86:86, G$16 ) ),    G$17    )</f>
        <v>1.5E-3</v>
      </c>
      <c r="H86" s="537">
        <f xml:space="preserve"> ROUND(    IF( $A$15=BE_MF_,   BG86,   INDEX( Kx!86:86, H$16 ) ),    H$17    )</f>
        <v>11347.26</v>
      </c>
      <c r="I86" s="538">
        <f t="shared" si="171"/>
        <v>11347.26</v>
      </c>
      <c r="J86" s="539">
        <f t="shared" si="137"/>
        <v>5.4610000000000003</v>
      </c>
      <c r="K86" s="540">
        <f t="shared" si="172"/>
        <v>0</v>
      </c>
      <c r="L86" s="541">
        <f t="shared" si="71"/>
        <v>0</v>
      </c>
      <c r="M86" s="541">
        <f t="shared" si="71"/>
        <v>8.5999999999999993E-2</v>
      </c>
      <c r="O86" s="542" t="b">
        <f t="shared" si="173"/>
        <v>1</v>
      </c>
      <c r="P86" s="493">
        <f t="shared" si="138"/>
        <v>6.8900000000000003E-2</v>
      </c>
      <c r="Q86" s="493">
        <f t="shared" si="139"/>
        <v>0.93110000000000004</v>
      </c>
      <c r="R86" s="543">
        <f t="shared" si="140"/>
        <v>309149</v>
      </c>
      <c r="S86" s="544">
        <f t="shared" si="141"/>
        <v>0.97560975599999999</v>
      </c>
      <c r="T86" s="423">
        <f t="shared" si="142"/>
        <v>36975.620000000003</v>
      </c>
      <c r="U86" s="423">
        <f xml:space="preserve"> IF( $O86,    ROUND(  SUM( T86:T$120), U$17 ),  LEER  )</f>
        <v>250536.64</v>
      </c>
      <c r="V86" s="493">
        <f t="shared" si="143"/>
        <v>6.7756999999999996</v>
      </c>
      <c r="W86" s="493">
        <f t="shared" si="144"/>
        <v>201923.86</v>
      </c>
      <c r="X86" s="493">
        <f xml:space="preserve"> IF( $O86,    ROUND(  SUM( W86:W$120), X$17 ),  LEER  )</f>
        <v>1377886.32</v>
      </c>
      <c r="Y86" s="493">
        <f t="shared" si="145"/>
        <v>37.264699999999998</v>
      </c>
      <c r="Z86" s="493">
        <f t="shared" si="146"/>
        <v>5.4997999999999996</v>
      </c>
      <c r="AA86" s="493">
        <f t="shared" si="147"/>
        <v>1</v>
      </c>
      <c r="AB86" s="493">
        <f t="shared" si="148"/>
        <v>2.3494000000000002</v>
      </c>
      <c r="AC86" s="545">
        <f t="shared" si="149"/>
        <v>0.32679999999999998</v>
      </c>
      <c r="AD86" s="493">
        <f t="shared" si="150"/>
        <v>5.4997999999999996</v>
      </c>
      <c r="AE86" s="493">
        <f t="shared" si="151"/>
        <v>6.3747999999999996</v>
      </c>
      <c r="AF86" s="493">
        <f t="shared" si="152"/>
        <v>6.3747999999999996</v>
      </c>
      <c r="AG86" s="493" t="str">
        <f t="shared" si="153"/>
        <v>.</v>
      </c>
      <c r="AH86" s="493" t="str">
        <f t="shared" si="154"/>
        <v>.</v>
      </c>
      <c r="AI86" s="423">
        <f t="shared" si="155"/>
        <v>2077.79</v>
      </c>
      <c r="AJ86" s="423">
        <f t="shared" si="156"/>
        <v>13245.5</v>
      </c>
      <c r="AK86" s="423">
        <f t="shared" si="157"/>
        <v>1103.79</v>
      </c>
      <c r="AN86" s="423">
        <f t="shared" si="129"/>
        <v>51325.31</v>
      </c>
      <c r="AO86" s="423">
        <f t="shared" si="129"/>
        <v>51012.77</v>
      </c>
      <c r="AR86" s="546">
        <f xml:space="preserve"> ROUND(  INDEX( Kx!86:86, AR$16 ),  AR$17 )</f>
        <v>0.54579999999999995</v>
      </c>
      <c r="AS86" s="547">
        <f xml:space="preserve"> ROUND(  INDEX( qx!86:86, AS$16 ),  AS$17 )</f>
        <v>7.9500000000000001E-2</v>
      </c>
      <c r="AT86" s="547">
        <f xml:space="preserve"> ROUND(  INDEX( qx!86:86, AT$16 ),  AT$17 )</f>
        <v>5.7700000000000001E-2</v>
      </c>
      <c r="AU86" s="548" t="str">
        <f t="shared" si="158"/>
        <v>F</v>
      </c>
      <c r="AV86" s="542">
        <f t="shared" si="159"/>
        <v>0.44479999999999997</v>
      </c>
      <c r="AW86" s="542">
        <f t="shared" si="160"/>
        <v>6.7400000000000002E-2</v>
      </c>
      <c r="AX86" s="546">
        <f xml:space="preserve"> ROUND(  INDEX( wx!86:86, AX$16 ),  AX$17 )</f>
        <v>1.1000000000000001E-3</v>
      </c>
      <c r="AY86" s="546">
        <f xml:space="preserve"> ROUND(  INDEX( wx!86:86, AY$16 ),  AY$17 )</f>
        <v>2.0999999999999999E-3</v>
      </c>
      <c r="AZ86" s="548" t="str">
        <f t="shared" si="161"/>
        <v>M</v>
      </c>
      <c r="BA86" s="542">
        <f t="shared" si="162"/>
        <v>0.64319999999999999</v>
      </c>
      <c r="BB86" s="542">
        <f t="shared" si="163"/>
        <v>1.5E-3</v>
      </c>
      <c r="BC86" s="533">
        <f xml:space="preserve"> ROUND(  INDEX( Kx!86:86, BC$16 ),  BC$17 )</f>
        <v>12046.14</v>
      </c>
      <c r="BD86" s="533">
        <f xml:space="preserve"> ROUND(  INDEX( Kx!86:86, BD$16 ),  BD$17 )</f>
        <v>10087.4</v>
      </c>
      <c r="BE86" s="548" t="str">
        <f t="shared" si="174"/>
        <v>M</v>
      </c>
      <c r="BF86" s="542">
        <f t="shared" si="164"/>
        <v>0.64319999999999999</v>
      </c>
      <c r="BG86" s="420">
        <f t="shared" si="165"/>
        <v>11347.26</v>
      </c>
      <c r="BQ86" s="549"/>
      <c r="BR86" s="423"/>
      <c r="BS86" s="550"/>
      <c r="BT86" s="423"/>
      <c r="BU86" s="551"/>
      <c r="BV86" s="551"/>
      <c r="BW86" s="529"/>
      <c r="BX86" s="552"/>
      <c r="BY86" s="560"/>
      <c r="BZ86" s="559"/>
      <c r="CB86" s="423"/>
      <c r="CC86" s="423"/>
      <c r="CD86" s="423"/>
      <c r="CE86" s="423"/>
      <c r="CF86" s="553"/>
      <c r="CH86" s="423"/>
      <c r="CI86" s="423"/>
      <c r="CJ86" s="423"/>
      <c r="CK86" s="423"/>
      <c r="CL86" s="553"/>
      <c r="CN86" s="423"/>
      <c r="CO86" s="423"/>
      <c r="CP86" s="423"/>
      <c r="CQ86" s="423"/>
      <c r="CR86" s="553"/>
      <c r="EI86" s="553"/>
      <c r="EJ86" s="553"/>
      <c r="EK86" s="423"/>
      <c r="EL86" s="555"/>
      <c r="ES86" s="533"/>
      <c r="ET86" s="533"/>
      <c r="EU86" s="533"/>
      <c r="EV86" s="556"/>
      <c r="EY86" s="533"/>
      <c r="EZ86" s="533"/>
      <c r="FA86" s="556"/>
      <c r="FD86" s="556"/>
      <c r="FE86" s="556"/>
      <c r="FF86" s="556"/>
      <c r="FK86" s="557">
        <f t="shared" si="166"/>
        <v>86</v>
      </c>
      <c r="FL86" s="493">
        <f t="shared" si="167"/>
        <v>37.264699999999998</v>
      </c>
      <c r="FM86" s="493">
        <f t="shared" si="168"/>
        <v>6.7756999999999996</v>
      </c>
      <c r="FO86" s="427">
        <f t="shared" si="175"/>
        <v>2109526.4900000002</v>
      </c>
      <c r="FP86" s="558">
        <f t="shared" si="169"/>
        <v>60528.41</v>
      </c>
      <c r="FQ86" s="558">
        <f t="shared" si="169"/>
        <v>59958.23</v>
      </c>
      <c r="FR86" s="558">
        <f t="shared" si="169"/>
        <v>59386.65</v>
      </c>
      <c r="FS86" s="558">
        <f t="shared" si="169"/>
        <v>58815.06</v>
      </c>
      <c r="FT86" s="558">
        <f t="shared" si="169"/>
        <v>58223.76</v>
      </c>
      <c r="FU86" s="558">
        <f t="shared" si="169"/>
        <v>57615.57</v>
      </c>
      <c r="FV86" s="558">
        <f t="shared" si="169"/>
        <v>57013.01</v>
      </c>
      <c r="FW86" s="558">
        <f t="shared" si="169"/>
        <v>56406.23</v>
      </c>
      <c r="FX86" s="558">
        <f t="shared" si="169"/>
        <v>55778.33</v>
      </c>
      <c r="FY86" s="558">
        <f t="shared" si="169"/>
        <v>55125.09</v>
      </c>
      <c r="FZ86" s="558">
        <f t="shared" si="169"/>
        <v>54467.63</v>
      </c>
      <c r="GA86" s="558">
        <f t="shared" si="169"/>
        <v>53800.31</v>
      </c>
      <c r="GB86" s="558">
        <f t="shared" si="169"/>
        <v>53117.5</v>
      </c>
      <c r="GC86" s="558">
        <f t="shared" si="169"/>
        <v>52431.88</v>
      </c>
      <c r="GD86" s="558">
        <f t="shared" si="169"/>
        <v>51725.14</v>
      </c>
      <c r="GE86" s="558">
        <f t="shared" si="169"/>
        <v>51012.77</v>
      </c>
      <c r="GF86" s="558">
        <f t="shared" si="134"/>
        <v>50279.28</v>
      </c>
      <c r="GG86" s="558">
        <f t="shared" si="134"/>
        <v>49528.89</v>
      </c>
      <c r="GH86" s="558">
        <f t="shared" si="134"/>
        <v>48757.39</v>
      </c>
      <c r="GI86" s="558">
        <f t="shared" si="134"/>
        <v>47963.37</v>
      </c>
      <c r="GJ86" s="558">
        <f t="shared" si="134"/>
        <v>47145.41</v>
      </c>
      <c r="GK86" s="558">
        <f t="shared" si="134"/>
        <v>46296.47</v>
      </c>
      <c r="GL86" s="558">
        <f t="shared" si="134"/>
        <v>45416.57</v>
      </c>
      <c r="GM86" s="558">
        <f t="shared" si="134"/>
        <v>44504.28</v>
      </c>
      <c r="GN86" s="558">
        <f t="shared" si="134"/>
        <v>43555.39</v>
      </c>
      <c r="GO86" s="558">
        <f t="shared" si="134"/>
        <v>42576.94</v>
      </c>
      <c r="GP86" s="558">
        <f t="shared" si="134"/>
        <v>41564.699999999997</v>
      </c>
      <c r="GQ86" s="558">
        <f t="shared" si="134"/>
        <v>40521.480000000003</v>
      </c>
      <c r="GR86" s="558">
        <f t="shared" si="134"/>
        <v>39450.11</v>
      </c>
      <c r="GS86" s="558">
        <f t="shared" si="134"/>
        <v>38351.99</v>
      </c>
      <c r="GT86" s="558">
        <f t="shared" si="134"/>
        <v>37231.339999999997</v>
      </c>
      <c r="GU86" s="558">
        <f t="shared" si="170"/>
        <v>36083.94</v>
      </c>
      <c r="GV86" s="558">
        <f t="shared" si="170"/>
        <v>34921.06</v>
      </c>
      <c r="GW86" s="558">
        <f t="shared" si="170"/>
        <v>33737.06</v>
      </c>
      <c r="GX86" s="558">
        <f t="shared" si="170"/>
        <v>32540.39</v>
      </c>
      <c r="GY86" s="558">
        <f t="shared" si="170"/>
        <v>31331.05</v>
      </c>
      <c r="GZ86" s="558">
        <f t="shared" si="170"/>
        <v>30107.63</v>
      </c>
      <c r="HA86" s="558">
        <f t="shared" si="170"/>
        <v>28874.35</v>
      </c>
      <c r="HB86" s="558">
        <f t="shared" si="170"/>
        <v>27622.78</v>
      </c>
      <c r="HC86" s="558">
        <f t="shared" si="170"/>
        <v>26344.45</v>
      </c>
      <c r="HD86" s="558">
        <f t="shared" si="170"/>
        <v>25047.82</v>
      </c>
      <c r="HE86" s="558">
        <f t="shared" si="170"/>
        <v>23738.52</v>
      </c>
      <c r="HF86" s="558">
        <f t="shared" si="170"/>
        <v>22412.33</v>
      </c>
      <c r="HG86" s="558">
        <f t="shared" si="170"/>
        <v>21076.28</v>
      </c>
      <c r="HH86" s="558">
        <f t="shared" si="170"/>
        <v>19726.16</v>
      </c>
      <c r="HI86" s="558">
        <f t="shared" si="170"/>
        <v>18388.7</v>
      </c>
      <c r="HJ86" s="558">
        <f t="shared" si="170"/>
        <v>17039.98</v>
      </c>
      <c r="HK86" s="558">
        <f t="shared" si="135"/>
        <v>15699.71</v>
      </c>
      <c r="HL86" s="558">
        <f t="shared" si="135"/>
        <v>14369.29</v>
      </c>
      <c r="HM86" s="558">
        <f t="shared" si="135"/>
        <v>13044.51</v>
      </c>
      <c r="HN86" s="558">
        <f t="shared" si="135"/>
        <v>11953.43</v>
      </c>
      <c r="HO86" s="558">
        <f t="shared" si="135"/>
        <v>10896.13</v>
      </c>
      <c r="HP86" s="558">
        <f t="shared" si="135"/>
        <v>9883.89</v>
      </c>
      <c r="HQ86" s="558">
        <f t="shared" si="135"/>
        <v>8925.14</v>
      </c>
      <c r="HR86" s="558">
        <f t="shared" si="135"/>
        <v>7767.89</v>
      </c>
      <c r="HS86" s="558">
        <f t="shared" si="135"/>
        <v>6655.69</v>
      </c>
      <c r="HT86" s="558">
        <f t="shared" si="135"/>
        <v>5595.58</v>
      </c>
      <c r="HU86" s="558">
        <f t="shared" si="135"/>
        <v>4621.3500000000004</v>
      </c>
      <c r="HV86" s="558">
        <f t="shared" si="135"/>
        <v>3724.55</v>
      </c>
      <c r="HW86" s="558">
        <f t="shared" si="135"/>
        <v>2909.41</v>
      </c>
      <c r="HX86" s="558">
        <f t="shared" si="135"/>
        <v>2195.63</v>
      </c>
      <c r="HY86" s="558">
        <f t="shared" si="135"/>
        <v>1567.73</v>
      </c>
      <c r="HZ86" s="558">
        <f t="shared" si="133"/>
        <v>1056.68</v>
      </c>
      <c r="IA86" s="558">
        <f t="shared" si="133"/>
        <v>645.59</v>
      </c>
      <c r="IB86" s="558">
        <f t="shared" si="133"/>
        <v>338.68</v>
      </c>
      <c r="IC86" s="558">
        <f t="shared" si="132"/>
        <v>134.54</v>
      </c>
      <c r="ID86" s="558">
        <f t="shared" si="132"/>
        <v>-0.61</v>
      </c>
      <c r="IE86" s="558" t="str">
        <f t="shared" si="132"/>
        <v>.</v>
      </c>
      <c r="IF86" s="558" t="str">
        <f t="shared" si="132"/>
        <v>.</v>
      </c>
      <c r="IG86" s="558" t="str">
        <f t="shared" si="132"/>
        <v>.</v>
      </c>
      <c r="IH86" s="558" t="str">
        <f t="shared" si="132"/>
        <v>.</v>
      </c>
      <c r="II86" s="558" t="str">
        <f t="shared" si="132"/>
        <v>.</v>
      </c>
      <c r="IJ86" s="558" t="str">
        <f t="shared" si="132"/>
        <v>.</v>
      </c>
      <c r="IK86" s="558" t="str">
        <f t="shared" si="132"/>
        <v>.</v>
      </c>
      <c r="IL86" s="558" t="str">
        <f t="shared" si="132"/>
        <v>.</v>
      </c>
      <c r="IM86" s="558" t="str">
        <f t="shared" si="132"/>
        <v>.</v>
      </c>
      <c r="IN86" s="558" t="str">
        <f t="shared" si="132"/>
        <v>.</v>
      </c>
      <c r="IO86" s="558" t="str">
        <f t="shared" si="130"/>
        <v>.</v>
      </c>
      <c r="IP86" s="558" t="str">
        <f t="shared" si="130"/>
        <v>.</v>
      </c>
      <c r="IQ86" s="558" t="str">
        <f t="shared" si="130"/>
        <v>.</v>
      </c>
      <c r="IR86" s="558" t="str">
        <f t="shared" si="130"/>
        <v>.</v>
      </c>
      <c r="IS86" s="558" t="str">
        <f t="shared" si="130"/>
        <v>.</v>
      </c>
      <c r="IT86" s="558" t="str">
        <f t="shared" si="130"/>
        <v>.</v>
      </c>
      <c r="IU86" s="558" t="str">
        <f t="shared" si="130"/>
        <v>.</v>
      </c>
      <c r="IV86" s="558" t="str">
        <f t="shared" si="130"/>
        <v>.</v>
      </c>
      <c r="IW86" s="558" t="str">
        <f t="shared" si="130"/>
        <v>.</v>
      </c>
      <c r="IX86" s="558" t="str">
        <f t="shared" si="130"/>
        <v>.</v>
      </c>
      <c r="IY86" s="558" t="str">
        <f t="shared" si="130"/>
        <v>.</v>
      </c>
      <c r="IZ86" s="558" t="str">
        <f t="shared" si="130"/>
        <v>.</v>
      </c>
      <c r="JA86" s="558" t="str">
        <f t="shared" si="130"/>
        <v>.</v>
      </c>
      <c r="JB86" s="558" t="str">
        <f t="shared" si="130"/>
        <v>.</v>
      </c>
      <c r="JC86" s="558" t="str">
        <f t="shared" si="130"/>
        <v>.</v>
      </c>
      <c r="JD86" s="558" t="str">
        <f t="shared" si="130"/>
        <v>.</v>
      </c>
      <c r="JE86" s="558" t="str">
        <f t="shared" si="130"/>
        <v>.</v>
      </c>
      <c r="JF86" s="558" t="str">
        <f t="shared" si="130"/>
        <v>.</v>
      </c>
      <c r="JG86" s="558" t="str">
        <f t="shared" si="130"/>
        <v>.</v>
      </c>
      <c r="JH86" s="558" t="str">
        <f t="shared" si="136"/>
        <v>.</v>
      </c>
      <c r="JI86" s="558" t="str">
        <f t="shared" si="136"/>
        <v>.</v>
      </c>
      <c r="JJ86" s="558" t="str">
        <f t="shared" si="136"/>
        <v>.</v>
      </c>
      <c r="JK86" s="558" t="str">
        <f t="shared" si="136"/>
        <v>.</v>
      </c>
      <c r="JL86" s="558" t="str">
        <f t="shared" si="136"/>
        <v>.</v>
      </c>
    </row>
    <row r="87" spans="1:272" ht="10.199999999999999" x14ac:dyDescent="0.2">
      <c r="A87" s="534">
        <f xml:space="preserve"> Basis!A87</f>
        <v>87</v>
      </c>
      <c r="F87" s="536">
        <f xml:space="preserve"> ROUND(    IF( $A$15=BE_MF_,   AW87,   INDEX( qx!87:87, F$16 ) ),    F$17    )</f>
        <v>7.8E-2</v>
      </c>
      <c r="G87" s="536">
        <f xml:space="preserve"> ROUND(    IF( $A$15=BE_MF_,   BB87,   INDEX( wx!87:87, G$16 ) ),    G$17    )</f>
        <v>1.4E-3</v>
      </c>
      <c r="H87" s="537">
        <f xml:space="preserve"> ROUND(    IF( $A$15=BE_MF_,   BG87,   INDEX( Kx!87:87, H$16 ) ),    H$17    )</f>
        <v>11437.67</v>
      </c>
      <c r="I87" s="538">
        <f t="shared" si="171"/>
        <v>11437.67</v>
      </c>
      <c r="J87" s="539">
        <f t="shared" si="137"/>
        <v>5.5049999999999999</v>
      </c>
      <c r="K87" s="540">
        <f t="shared" si="172"/>
        <v>0</v>
      </c>
      <c r="L87" s="541">
        <f t="shared" si="71"/>
        <v>0</v>
      </c>
      <c r="M87" s="541">
        <f t="shared" si="71"/>
        <v>8.5999999999999993E-2</v>
      </c>
      <c r="O87" s="542" t="b">
        <f t="shared" si="173"/>
        <v>1</v>
      </c>
      <c r="P87" s="493">
        <f t="shared" si="138"/>
        <v>7.9399999999999998E-2</v>
      </c>
      <c r="Q87" s="493">
        <f t="shared" si="139"/>
        <v>0.92059999999999997</v>
      </c>
      <c r="R87" s="543">
        <f t="shared" si="140"/>
        <v>287848</v>
      </c>
      <c r="S87" s="544">
        <f t="shared" si="141"/>
        <v>0.97560975599999999</v>
      </c>
      <c r="T87" s="423">
        <f t="shared" si="142"/>
        <v>33588.21</v>
      </c>
      <c r="U87" s="423">
        <f xml:space="preserve"> IF( $O87,    ROUND(  SUM( T87:T$120), U$17 ),  LEER  )</f>
        <v>213561.02</v>
      </c>
      <c r="V87" s="493">
        <f t="shared" si="143"/>
        <v>6.3582000000000001</v>
      </c>
      <c r="W87" s="493">
        <f t="shared" si="144"/>
        <v>184903.1</v>
      </c>
      <c r="X87" s="493">
        <f xml:space="preserve"> IF( $O87,    ROUND(  SUM( W87:W$120), X$17 ),  LEER  )</f>
        <v>1175962.46</v>
      </c>
      <c r="Y87" s="493">
        <f t="shared" si="145"/>
        <v>35.011200000000002</v>
      </c>
      <c r="Z87" s="493">
        <f t="shared" si="146"/>
        <v>5.5065</v>
      </c>
      <c r="AA87" s="493">
        <f t="shared" si="147"/>
        <v>1</v>
      </c>
      <c r="AB87" s="493">
        <f t="shared" si="148"/>
        <v>2.3494000000000002</v>
      </c>
      <c r="AC87" s="545">
        <f t="shared" si="149"/>
        <v>0.32679999999999998</v>
      </c>
      <c r="AD87" s="493">
        <f t="shared" si="150"/>
        <v>5.5065</v>
      </c>
      <c r="AE87" s="493">
        <f t="shared" si="151"/>
        <v>6.3822000000000001</v>
      </c>
      <c r="AF87" s="493">
        <f t="shared" si="152"/>
        <v>6.3822000000000001</v>
      </c>
      <c r="AG87" s="493" t="str">
        <f t="shared" si="153"/>
        <v>.</v>
      </c>
      <c r="AH87" s="493" t="str">
        <f t="shared" si="154"/>
        <v>.</v>
      </c>
      <c r="AI87" s="423">
        <f t="shared" si="155"/>
        <v>2077.79</v>
      </c>
      <c r="AJ87" s="423">
        <f t="shared" si="156"/>
        <v>13260.87</v>
      </c>
      <c r="AK87" s="423">
        <f t="shared" si="157"/>
        <v>1105.07</v>
      </c>
      <c r="AN87" s="423">
        <f t="shared" si="129"/>
        <v>48251.4</v>
      </c>
      <c r="AO87" s="423">
        <f t="shared" si="129"/>
        <v>47958.11</v>
      </c>
      <c r="AR87" s="546">
        <f xml:space="preserve"> ROUND(  INDEX( Kx!87:87, AR$16 ),  AR$17 )</f>
        <v>0.54530000000000001</v>
      </c>
      <c r="AS87" s="547">
        <f xml:space="preserve"> ROUND(  INDEX( qx!87:87, AS$16 ),  AS$17 )</f>
        <v>9.11E-2</v>
      </c>
      <c r="AT87" s="547">
        <f xml:space="preserve"> ROUND(  INDEX( qx!87:87, AT$16 ),  AT$17 )</f>
        <v>6.7599999999999993E-2</v>
      </c>
      <c r="AU87" s="548" t="str">
        <f t="shared" si="158"/>
        <v>F</v>
      </c>
      <c r="AV87" s="542">
        <f t="shared" si="159"/>
        <v>0.44429999999999997</v>
      </c>
      <c r="AW87" s="542">
        <f t="shared" si="160"/>
        <v>7.8E-2</v>
      </c>
      <c r="AX87" s="546">
        <f xml:space="preserve"> ROUND(  INDEX( wx!87:87, AX$16 ),  AX$17 )</f>
        <v>1E-3</v>
      </c>
      <c r="AY87" s="546">
        <f xml:space="preserve"> ROUND(  INDEX( wx!87:87, AY$16 ),  AY$17 )</f>
        <v>2.0999999999999999E-3</v>
      </c>
      <c r="AZ87" s="548" t="str">
        <f t="shared" si="161"/>
        <v>M</v>
      </c>
      <c r="BA87" s="542">
        <f t="shared" si="162"/>
        <v>0.64270000000000005</v>
      </c>
      <c r="BB87" s="542">
        <f t="shared" si="163"/>
        <v>1.4E-3</v>
      </c>
      <c r="BC87" s="533">
        <f xml:space="preserve"> ROUND(  INDEX( Kx!87:87, BC$16 ),  BC$17 )</f>
        <v>12169.91</v>
      </c>
      <c r="BD87" s="533">
        <f xml:space="preserve"> ROUND(  INDEX( Kx!87:87, BD$16 ),  BD$17 )</f>
        <v>10120.549999999999</v>
      </c>
      <c r="BE87" s="548" t="str">
        <f t="shared" si="174"/>
        <v>M</v>
      </c>
      <c r="BF87" s="542">
        <f t="shared" si="164"/>
        <v>0.64270000000000005</v>
      </c>
      <c r="BG87" s="420">
        <f t="shared" si="165"/>
        <v>11437.67</v>
      </c>
      <c r="BQ87" s="549"/>
      <c r="BR87" s="423"/>
      <c r="BS87" s="550"/>
      <c r="BT87" s="423"/>
      <c r="BU87" s="551"/>
      <c r="BV87" s="551"/>
      <c r="BW87" s="529"/>
      <c r="BX87" s="552"/>
      <c r="BY87" s="560"/>
      <c r="BZ87" s="559"/>
      <c r="CB87" s="423"/>
      <c r="CC87" s="423"/>
      <c r="CD87" s="423"/>
      <c r="CE87" s="423"/>
      <c r="CF87" s="553"/>
      <c r="CH87" s="423"/>
      <c r="CI87" s="423"/>
      <c r="CJ87" s="423"/>
      <c r="CK87" s="423"/>
      <c r="CL87" s="553"/>
      <c r="CN87" s="423"/>
      <c r="CO87" s="423"/>
      <c r="CP87" s="423"/>
      <c r="CQ87" s="423"/>
      <c r="CR87" s="553"/>
      <c r="EI87" s="553"/>
      <c r="EJ87" s="553"/>
      <c r="EK87" s="423"/>
      <c r="EL87" s="555"/>
      <c r="ES87" s="533"/>
      <c r="ET87" s="533"/>
      <c r="EU87" s="533"/>
      <c r="EV87" s="556"/>
      <c r="EY87" s="533"/>
      <c r="EZ87" s="533"/>
      <c r="FA87" s="556"/>
      <c r="FD87" s="556"/>
      <c r="FE87" s="556"/>
      <c r="FF87" s="556"/>
      <c r="FK87" s="557">
        <f t="shared" si="166"/>
        <v>87</v>
      </c>
      <c r="FL87" s="493">
        <f t="shared" si="167"/>
        <v>35.011200000000002</v>
      </c>
      <c r="FM87" s="493">
        <f t="shared" si="168"/>
        <v>6.3582000000000001</v>
      </c>
      <c r="FO87" s="427">
        <f t="shared" si="175"/>
        <v>1985479.9499999995</v>
      </c>
      <c r="FP87" s="558">
        <f t="shared" si="169"/>
        <v>56887.43</v>
      </c>
      <c r="FQ87" s="558">
        <f t="shared" si="169"/>
        <v>56352.39</v>
      </c>
      <c r="FR87" s="558">
        <f t="shared" si="169"/>
        <v>55816.02</v>
      </c>
      <c r="FS87" s="558">
        <f t="shared" si="169"/>
        <v>55279.65</v>
      </c>
      <c r="FT87" s="558">
        <f t="shared" si="169"/>
        <v>54724.79</v>
      </c>
      <c r="FU87" s="558">
        <f t="shared" si="169"/>
        <v>54154.07</v>
      </c>
      <c r="FV87" s="558">
        <f t="shared" si="169"/>
        <v>53588.639999999999</v>
      </c>
      <c r="FW87" s="558">
        <f t="shared" si="169"/>
        <v>53019.25</v>
      </c>
      <c r="FX87" s="558">
        <f t="shared" si="169"/>
        <v>52430.04</v>
      </c>
      <c r="FY87" s="558">
        <f t="shared" si="169"/>
        <v>51817.05</v>
      </c>
      <c r="FZ87" s="558">
        <f t="shared" si="169"/>
        <v>51200.09</v>
      </c>
      <c r="GA87" s="558">
        <f t="shared" si="169"/>
        <v>50573.89</v>
      </c>
      <c r="GB87" s="558">
        <f t="shared" si="169"/>
        <v>49933.16</v>
      </c>
      <c r="GC87" s="558">
        <f t="shared" si="169"/>
        <v>49289.78</v>
      </c>
      <c r="GD87" s="558">
        <f t="shared" si="169"/>
        <v>48626.59</v>
      </c>
      <c r="GE87" s="558">
        <f t="shared" si="169"/>
        <v>47958.11</v>
      </c>
      <c r="GF87" s="558">
        <f t="shared" si="134"/>
        <v>47269.82</v>
      </c>
      <c r="GG87" s="558">
        <f t="shared" si="134"/>
        <v>46565.67</v>
      </c>
      <c r="GH87" s="558">
        <f t="shared" si="134"/>
        <v>45841.71</v>
      </c>
      <c r="GI87" s="558">
        <f t="shared" si="134"/>
        <v>45096.61</v>
      </c>
      <c r="GJ87" s="558">
        <f t="shared" si="134"/>
        <v>44329.05</v>
      </c>
      <c r="GK87" s="558">
        <f t="shared" si="134"/>
        <v>43532.43</v>
      </c>
      <c r="GL87" s="558">
        <f t="shared" si="134"/>
        <v>42706.74</v>
      </c>
      <c r="GM87" s="558">
        <f t="shared" si="134"/>
        <v>41850.67</v>
      </c>
      <c r="GN87" s="558">
        <f t="shared" si="134"/>
        <v>40960.239999999998</v>
      </c>
      <c r="GO87" s="558">
        <f t="shared" si="134"/>
        <v>40042.080000000002</v>
      </c>
      <c r="GP87" s="558">
        <f t="shared" si="134"/>
        <v>39092.21</v>
      </c>
      <c r="GQ87" s="558">
        <f t="shared" si="134"/>
        <v>38113.269999999997</v>
      </c>
      <c r="GR87" s="558">
        <f t="shared" si="134"/>
        <v>37107.919999999998</v>
      </c>
      <c r="GS87" s="558">
        <f t="shared" si="134"/>
        <v>36077.46</v>
      </c>
      <c r="GT87" s="558">
        <f t="shared" si="134"/>
        <v>35025.86</v>
      </c>
      <c r="GU87" s="558">
        <f t="shared" si="170"/>
        <v>33949.160000000003</v>
      </c>
      <c r="GV87" s="558">
        <f t="shared" si="170"/>
        <v>32857.94</v>
      </c>
      <c r="GW87" s="558">
        <f t="shared" si="170"/>
        <v>31746.89</v>
      </c>
      <c r="GX87" s="558">
        <f t="shared" si="170"/>
        <v>30623.95</v>
      </c>
      <c r="GY87" s="558">
        <f t="shared" si="170"/>
        <v>29489.13</v>
      </c>
      <c r="GZ87" s="558">
        <f t="shared" si="170"/>
        <v>28341.09</v>
      </c>
      <c r="HA87" s="558">
        <f t="shared" si="170"/>
        <v>27183.81</v>
      </c>
      <c r="HB87" s="558">
        <f t="shared" si="170"/>
        <v>26009.35</v>
      </c>
      <c r="HC87" s="558">
        <f t="shared" si="170"/>
        <v>24809.79</v>
      </c>
      <c r="HD87" s="558">
        <f t="shared" si="170"/>
        <v>23593.06</v>
      </c>
      <c r="HE87" s="558">
        <f t="shared" si="170"/>
        <v>22364.43</v>
      </c>
      <c r="HF87" s="558">
        <f t="shared" si="170"/>
        <v>21119.96</v>
      </c>
      <c r="HG87" s="558">
        <f t="shared" si="170"/>
        <v>19866.23</v>
      </c>
      <c r="HH87" s="558">
        <f t="shared" si="170"/>
        <v>18599.3</v>
      </c>
      <c r="HI87" s="558">
        <f t="shared" si="170"/>
        <v>17344.25</v>
      </c>
      <c r="HJ87" s="558">
        <f t="shared" si="170"/>
        <v>16078.64</v>
      </c>
      <c r="HK87" s="558">
        <f t="shared" si="135"/>
        <v>14820.95</v>
      </c>
      <c r="HL87" s="558">
        <f t="shared" si="135"/>
        <v>13572.51</v>
      </c>
      <c r="HM87" s="558">
        <f t="shared" si="135"/>
        <v>12329.36</v>
      </c>
      <c r="HN87" s="558">
        <f t="shared" si="135"/>
        <v>11305.5</v>
      </c>
      <c r="HO87" s="558">
        <f t="shared" si="135"/>
        <v>10313.36</v>
      </c>
      <c r="HP87" s="558">
        <f t="shared" si="135"/>
        <v>9363.49</v>
      </c>
      <c r="HQ87" s="558">
        <f t="shared" si="135"/>
        <v>8463.82</v>
      </c>
      <c r="HR87" s="558">
        <f t="shared" si="135"/>
        <v>7377.87</v>
      </c>
      <c r="HS87" s="558">
        <f t="shared" si="135"/>
        <v>6334.2</v>
      </c>
      <c r="HT87" s="558">
        <f t="shared" si="135"/>
        <v>5339.41</v>
      </c>
      <c r="HU87" s="558">
        <f t="shared" si="135"/>
        <v>4425.21</v>
      </c>
      <c r="HV87" s="558">
        <f t="shared" si="135"/>
        <v>3583.67</v>
      </c>
      <c r="HW87" s="558">
        <f t="shared" si="135"/>
        <v>2818.75</v>
      </c>
      <c r="HX87" s="558">
        <f t="shared" si="135"/>
        <v>2148.96</v>
      </c>
      <c r="HY87" s="558">
        <f t="shared" si="135"/>
        <v>1559.75</v>
      </c>
      <c r="HZ87" s="558">
        <f t="shared" si="133"/>
        <v>1080.19</v>
      </c>
      <c r="IA87" s="558">
        <f t="shared" si="133"/>
        <v>694.42</v>
      </c>
      <c r="IB87" s="558">
        <f t="shared" si="133"/>
        <v>406.42</v>
      </c>
      <c r="IC87" s="558">
        <f t="shared" si="132"/>
        <v>214.87</v>
      </c>
      <c r="ID87" s="558">
        <f t="shared" si="132"/>
        <v>88.04</v>
      </c>
      <c r="IE87" s="558">
        <f t="shared" si="132"/>
        <v>-0.47</v>
      </c>
      <c r="IF87" s="558" t="str">
        <f t="shared" si="132"/>
        <v>.</v>
      </c>
      <c r="IG87" s="558" t="str">
        <f t="shared" si="132"/>
        <v>.</v>
      </c>
      <c r="IH87" s="558" t="str">
        <f t="shared" si="132"/>
        <v>.</v>
      </c>
      <c r="II87" s="558" t="str">
        <f t="shared" si="132"/>
        <v>.</v>
      </c>
      <c r="IJ87" s="558" t="str">
        <f t="shared" si="132"/>
        <v>.</v>
      </c>
      <c r="IK87" s="558" t="str">
        <f t="shared" si="132"/>
        <v>.</v>
      </c>
      <c r="IL87" s="558" t="str">
        <f t="shared" si="132"/>
        <v>.</v>
      </c>
      <c r="IM87" s="558" t="str">
        <f t="shared" si="132"/>
        <v>.</v>
      </c>
      <c r="IN87" s="558" t="str">
        <f t="shared" si="132"/>
        <v>.</v>
      </c>
      <c r="IO87" s="558" t="str">
        <f t="shared" si="130"/>
        <v>.</v>
      </c>
      <c r="IP87" s="558" t="str">
        <f t="shared" si="130"/>
        <v>.</v>
      </c>
      <c r="IQ87" s="558" t="str">
        <f t="shared" si="130"/>
        <v>.</v>
      </c>
      <c r="IR87" s="558" t="str">
        <f t="shared" si="130"/>
        <v>.</v>
      </c>
      <c r="IS87" s="558" t="str">
        <f t="shared" si="130"/>
        <v>.</v>
      </c>
      <c r="IT87" s="558" t="str">
        <f t="shared" si="130"/>
        <v>.</v>
      </c>
      <c r="IU87" s="558" t="str">
        <f t="shared" si="130"/>
        <v>.</v>
      </c>
      <c r="IV87" s="558" t="str">
        <f t="shared" si="130"/>
        <v>.</v>
      </c>
      <c r="IW87" s="558" t="str">
        <f t="shared" si="130"/>
        <v>.</v>
      </c>
      <c r="IX87" s="558" t="str">
        <f t="shared" si="130"/>
        <v>.</v>
      </c>
      <c r="IY87" s="558" t="str">
        <f t="shared" si="130"/>
        <v>.</v>
      </c>
      <c r="IZ87" s="558" t="str">
        <f t="shared" si="130"/>
        <v>.</v>
      </c>
      <c r="JA87" s="558" t="str">
        <f t="shared" si="130"/>
        <v>.</v>
      </c>
      <c r="JB87" s="558" t="str">
        <f t="shared" si="130"/>
        <v>.</v>
      </c>
      <c r="JC87" s="558" t="str">
        <f t="shared" si="130"/>
        <v>.</v>
      </c>
      <c r="JD87" s="558" t="str">
        <f t="shared" si="130"/>
        <v>.</v>
      </c>
      <c r="JE87" s="558" t="str">
        <f t="shared" si="130"/>
        <v>.</v>
      </c>
      <c r="JF87" s="558" t="str">
        <f t="shared" si="130"/>
        <v>.</v>
      </c>
      <c r="JG87" s="558" t="str">
        <f t="shared" si="130"/>
        <v>.</v>
      </c>
      <c r="JH87" s="558" t="str">
        <f t="shared" si="136"/>
        <v>.</v>
      </c>
      <c r="JI87" s="558" t="str">
        <f t="shared" si="136"/>
        <v>.</v>
      </c>
      <c r="JJ87" s="558" t="str">
        <f t="shared" si="136"/>
        <v>.</v>
      </c>
      <c r="JK87" s="558" t="str">
        <f t="shared" si="136"/>
        <v>.</v>
      </c>
      <c r="JL87" s="558" t="str">
        <f t="shared" si="136"/>
        <v>.</v>
      </c>
    </row>
    <row r="88" spans="1:272" ht="10.199999999999999" x14ac:dyDescent="0.2">
      <c r="A88" s="534">
        <f xml:space="preserve"> Basis!A88</f>
        <v>88</v>
      </c>
      <c r="F88" s="536">
        <f xml:space="preserve"> ROUND(    IF( $A$15=BE_MF_,   AW88,   INDEX( qx!88:88, F$16 ) ),    F$17    )</f>
        <v>8.8599999999999998E-2</v>
      </c>
      <c r="G88" s="536">
        <f xml:space="preserve"> ROUND(    IF( $A$15=BE_MF_,   BB88,   INDEX( wx!88:88, G$16 ) ),    G$17    )</f>
        <v>1.4E-3</v>
      </c>
      <c r="H88" s="537">
        <f xml:space="preserve"> ROUND(    IF( $A$15=BE_MF_,   BG88,   INDEX( Kx!88:88, H$16 ) ),    H$17    )</f>
        <v>11400.96</v>
      </c>
      <c r="I88" s="538">
        <f t="shared" si="171"/>
        <v>11437.67</v>
      </c>
      <c r="J88" s="539">
        <f t="shared" si="137"/>
        <v>5.5049999999999999</v>
      </c>
      <c r="K88" s="540">
        <f t="shared" si="172"/>
        <v>0</v>
      </c>
      <c r="L88" s="541">
        <f t="shared" si="71"/>
        <v>0</v>
      </c>
      <c r="M88" s="541">
        <f t="shared" si="71"/>
        <v>8.5999999999999993E-2</v>
      </c>
      <c r="O88" s="542" t="b">
        <f t="shared" si="173"/>
        <v>1</v>
      </c>
      <c r="P88" s="493">
        <f t="shared" si="138"/>
        <v>0.09</v>
      </c>
      <c r="Q88" s="493">
        <f t="shared" si="139"/>
        <v>0.91</v>
      </c>
      <c r="R88" s="543">
        <f t="shared" si="140"/>
        <v>264992</v>
      </c>
      <c r="S88" s="544">
        <f t="shared" si="141"/>
        <v>0.97560975599999999</v>
      </c>
      <c r="T88" s="423">
        <f t="shared" si="142"/>
        <v>30167.03</v>
      </c>
      <c r="U88" s="423">
        <f xml:space="preserve"> IF( $O88,    ROUND(  SUM( T88:T$120), U$17 ),  LEER  )</f>
        <v>179972.81</v>
      </c>
      <c r="V88" s="493">
        <f t="shared" si="143"/>
        <v>5.9659000000000004</v>
      </c>
      <c r="W88" s="493">
        <f t="shared" si="144"/>
        <v>166069.5</v>
      </c>
      <c r="X88" s="493">
        <f xml:space="preserve"> IF( $O88,    ROUND(  SUM( W88:W$120), X$17 ),  LEER  )</f>
        <v>991059.36</v>
      </c>
      <c r="Y88" s="493">
        <f t="shared" si="145"/>
        <v>32.852400000000003</v>
      </c>
      <c r="Z88" s="493">
        <f t="shared" si="146"/>
        <v>5.5067000000000004</v>
      </c>
      <c r="AA88" s="493">
        <f t="shared" si="147"/>
        <v>1</v>
      </c>
      <c r="AB88" s="493">
        <f t="shared" si="148"/>
        <v>2.3494000000000002</v>
      </c>
      <c r="AC88" s="545">
        <f t="shared" si="149"/>
        <v>0.32679999999999998</v>
      </c>
      <c r="AD88" s="493">
        <f t="shared" si="150"/>
        <v>5.5067000000000004</v>
      </c>
      <c r="AE88" s="493">
        <f t="shared" si="151"/>
        <v>6.3823999999999996</v>
      </c>
      <c r="AF88" s="493">
        <f t="shared" si="152"/>
        <v>6.3823999999999996</v>
      </c>
      <c r="AG88" s="493" t="str">
        <f t="shared" si="153"/>
        <v>.</v>
      </c>
      <c r="AH88" s="493" t="str">
        <f t="shared" si="154"/>
        <v>.</v>
      </c>
      <c r="AI88" s="423">
        <f t="shared" si="155"/>
        <v>2077.79</v>
      </c>
      <c r="AJ88" s="423">
        <f t="shared" si="156"/>
        <v>13261.29</v>
      </c>
      <c r="AK88" s="423">
        <f t="shared" si="157"/>
        <v>1105.1099999999999</v>
      </c>
      <c r="AN88" s="423">
        <f t="shared" si="129"/>
        <v>45277.17</v>
      </c>
      <c r="AO88" s="423">
        <f t="shared" si="129"/>
        <v>45001.98</v>
      </c>
      <c r="AR88" s="546">
        <f xml:space="preserve"> ROUND(  INDEX( Kx!88:88, AR$16 ),  AR$17 )</f>
        <v>0.49080000000000001</v>
      </c>
      <c r="AS88" s="547">
        <f xml:space="preserve"> ROUND(  INDEX( qx!88:88, AS$16 ),  AS$17 )</f>
        <v>0.1041</v>
      </c>
      <c r="AT88" s="547">
        <f xml:space="preserve"> ROUND(  INDEX( qx!88:88, AT$16 ),  AT$17 )</f>
        <v>7.8700000000000006E-2</v>
      </c>
      <c r="AU88" s="548" t="str">
        <f t="shared" si="158"/>
        <v>F</v>
      </c>
      <c r="AV88" s="542">
        <f t="shared" si="159"/>
        <v>0.39119999999999999</v>
      </c>
      <c r="AW88" s="542">
        <f t="shared" si="160"/>
        <v>8.8599999999999998E-2</v>
      </c>
      <c r="AX88" s="546">
        <f xml:space="preserve"> ROUND(  INDEX( wx!88:88, AX$16 ),  AX$17 )</f>
        <v>8.9999999999999998E-4</v>
      </c>
      <c r="AY88" s="546">
        <f xml:space="preserve"> ROUND(  INDEX( wx!88:88, AY$16 ),  AY$17 )</f>
        <v>2.0999999999999999E-3</v>
      </c>
      <c r="AZ88" s="548" t="str">
        <f t="shared" si="161"/>
        <v>M</v>
      </c>
      <c r="BA88" s="542">
        <f t="shared" si="162"/>
        <v>0.59109999999999996</v>
      </c>
      <c r="BB88" s="542">
        <f t="shared" si="163"/>
        <v>1.4E-3</v>
      </c>
      <c r="BC88" s="533">
        <f xml:space="preserve"> ROUND(  INDEX( Kx!88:88, BC$16 ),  BC$17 )</f>
        <v>12277.72</v>
      </c>
      <c r="BD88" s="533">
        <f xml:space="preserve"> ROUND(  INDEX( Kx!88:88, BD$16 ),  BD$17 )</f>
        <v>10133.52</v>
      </c>
      <c r="BE88" s="548" t="str">
        <f t="shared" si="174"/>
        <v>M</v>
      </c>
      <c r="BF88" s="542">
        <f t="shared" si="164"/>
        <v>0.59109999999999996</v>
      </c>
      <c r="BG88" s="420">
        <f t="shared" si="165"/>
        <v>11400.96</v>
      </c>
      <c r="BQ88" s="549"/>
      <c r="BR88" s="423"/>
      <c r="BS88" s="550"/>
      <c r="BT88" s="423"/>
      <c r="BU88" s="551"/>
      <c r="BV88" s="551"/>
      <c r="BW88" s="529"/>
      <c r="BX88" s="552"/>
      <c r="BY88" s="560"/>
      <c r="BZ88" s="559"/>
      <c r="CB88" s="423"/>
      <c r="CC88" s="423"/>
      <c r="CD88" s="423"/>
      <c r="CE88" s="423"/>
      <c r="CF88" s="553"/>
      <c r="CH88" s="423"/>
      <c r="CI88" s="423"/>
      <c r="CJ88" s="423"/>
      <c r="CK88" s="423"/>
      <c r="CL88" s="553"/>
      <c r="CN88" s="423"/>
      <c r="CO88" s="423"/>
      <c r="CP88" s="423"/>
      <c r="CQ88" s="423"/>
      <c r="CR88" s="553"/>
      <c r="EI88" s="553"/>
      <c r="EJ88" s="553"/>
      <c r="EK88" s="423"/>
      <c r="EL88" s="555"/>
      <c r="ES88" s="533"/>
      <c r="ET88" s="533"/>
      <c r="EU88" s="533"/>
      <c r="EV88" s="556"/>
      <c r="EY88" s="533"/>
      <c r="EZ88" s="533"/>
      <c r="FA88" s="556"/>
      <c r="FD88" s="556"/>
      <c r="FE88" s="556"/>
      <c r="FF88" s="556"/>
      <c r="FK88" s="557">
        <f t="shared" si="166"/>
        <v>88</v>
      </c>
      <c r="FL88" s="493">
        <f t="shared" si="167"/>
        <v>32.852400000000003</v>
      </c>
      <c r="FM88" s="493">
        <f t="shared" si="168"/>
        <v>5.9659000000000004</v>
      </c>
      <c r="FO88" s="427">
        <f t="shared" si="175"/>
        <v>1863171.9299999997</v>
      </c>
      <c r="FP88" s="558">
        <f t="shared" si="169"/>
        <v>53380.37</v>
      </c>
      <c r="FQ88" s="558">
        <f t="shared" si="169"/>
        <v>52878.33</v>
      </c>
      <c r="FR88" s="558">
        <f t="shared" si="169"/>
        <v>52375.06</v>
      </c>
      <c r="FS88" s="558">
        <f t="shared" si="169"/>
        <v>51871.79</v>
      </c>
      <c r="FT88" s="558">
        <f t="shared" si="169"/>
        <v>51351.16</v>
      </c>
      <c r="FU88" s="558">
        <f t="shared" si="169"/>
        <v>50815.66</v>
      </c>
      <c r="FV88" s="558">
        <f t="shared" si="169"/>
        <v>50285.11</v>
      </c>
      <c r="FW88" s="558">
        <f t="shared" si="169"/>
        <v>49750.85</v>
      </c>
      <c r="FX88" s="558">
        <f t="shared" si="169"/>
        <v>49197.99</v>
      </c>
      <c r="FY88" s="558">
        <f t="shared" si="169"/>
        <v>48622.82</v>
      </c>
      <c r="FZ88" s="558">
        <f t="shared" si="169"/>
        <v>48043.94</v>
      </c>
      <c r="GA88" s="558">
        <f t="shared" si="169"/>
        <v>47456.37</v>
      </c>
      <c r="GB88" s="558">
        <f t="shared" si="169"/>
        <v>46855.17</v>
      </c>
      <c r="GC88" s="558">
        <f t="shared" si="169"/>
        <v>46251.49</v>
      </c>
      <c r="GD88" s="558">
        <f t="shared" si="169"/>
        <v>45629.22</v>
      </c>
      <c r="GE88" s="558">
        <f t="shared" si="169"/>
        <v>45001.98</v>
      </c>
      <c r="GF88" s="558">
        <f t="shared" si="134"/>
        <v>44356.160000000003</v>
      </c>
      <c r="GG88" s="558">
        <f t="shared" si="134"/>
        <v>43695.46</v>
      </c>
      <c r="GH88" s="558">
        <f t="shared" si="134"/>
        <v>43016.160000000003</v>
      </c>
      <c r="GI88" s="558">
        <f t="shared" si="134"/>
        <v>42317.04</v>
      </c>
      <c r="GJ88" s="558">
        <f t="shared" si="134"/>
        <v>41596.83</v>
      </c>
      <c r="GK88" s="558">
        <f t="shared" si="134"/>
        <v>40849.360000000001</v>
      </c>
      <c r="GL88" s="558">
        <f t="shared" si="134"/>
        <v>40074.620000000003</v>
      </c>
      <c r="GM88" s="558">
        <f t="shared" si="134"/>
        <v>39271.370000000003</v>
      </c>
      <c r="GN88" s="558">
        <f t="shared" si="134"/>
        <v>38435.879999999997</v>
      </c>
      <c r="GO88" s="558">
        <f t="shared" si="134"/>
        <v>37574.370000000003</v>
      </c>
      <c r="GP88" s="558">
        <f t="shared" si="134"/>
        <v>36683.1</v>
      </c>
      <c r="GQ88" s="558">
        <f t="shared" si="134"/>
        <v>35764.57</v>
      </c>
      <c r="GR88" s="558">
        <f t="shared" si="134"/>
        <v>34821.24</v>
      </c>
      <c r="GS88" s="558">
        <f t="shared" si="134"/>
        <v>33854.36</v>
      </c>
      <c r="GT88" s="558">
        <f t="shared" si="134"/>
        <v>32867.65</v>
      </c>
      <c r="GU88" s="558">
        <f t="shared" si="170"/>
        <v>31857.39</v>
      </c>
      <c r="GV88" s="558">
        <f t="shared" si="170"/>
        <v>30833.49</v>
      </c>
      <c r="GW88" s="558">
        <f t="shared" si="170"/>
        <v>29790.99</v>
      </c>
      <c r="GX88" s="558">
        <f t="shared" si="170"/>
        <v>28737.34</v>
      </c>
      <c r="GY88" s="558">
        <f t="shared" si="170"/>
        <v>27672.53</v>
      </c>
      <c r="GZ88" s="558">
        <f t="shared" si="170"/>
        <v>26595.33</v>
      </c>
      <c r="HA88" s="558">
        <f t="shared" si="170"/>
        <v>25509.45</v>
      </c>
      <c r="HB88" s="558">
        <f t="shared" si="170"/>
        <v>24407.46</v>
      </c>
      <c r="HC88" s="558">
        <f t="shared" si="170"/>
        <v>23281.91</v>
      </c>
      <c r="HD88" s="558">
        <f t="shared" si="170"/>
        <v>22140.25</v>
      </c>
      <c r="HE88" s="558">
        <f t="shared" si="170"/>
        <v>20987.43</v>
      </c>
      <c r="HF88" s="558">
        <f t="shared" si="170"/>
        <v>19819.740000000002</v>
      </c>
      <c r="HG88" s="558">
        <f t="shared" si="170"/>
        <v>18643.37</v>
      </c>
      <c r="HH88" s="558">
        <f t="shared" si="170"/>
        <v>17454.599999999999</v>
      </c>
      <c r="HI88" s="558">
        <f t="shared" si="170"/>
        <v>16276.99</v>
      </c>
      <c r="HJ88" s="558">
        <f t="shared" si="170"/>
        <v>15089.47</v>
      </c>
      <c r="HK88" s="558">
        <f t="shared" si="135"/>
        <v>13909.38</v>
      </c>
      <c r="HL88" s="558">
        <f t="shared" si="135"/>
        <v>12737.97</v>
      </c>
      <c r="HM88" s="558">
        <f t="shared" si="135"/>
        <v>11571.52</v>
      </c>
      <c r="HN88" s="558">
        <f t="shared" si="135"/>
        <v>10610.83</v>
      </c>
      <c r="HO88" s="558">
        <f t="shared" si="135"/>
        <v>9679.9</v>
      </c>
      <c r="HP88" s="558">
        <f t="shared" si="135"/>
        <v>8788.64</v>
      </c>
      <c r="HQ88" s="558">
        <f t="shared" si="135"/>
        <v>7944.48</v>
      </c>
      <c r="HR88" s="558">
        <f t="shared" si="135"/>
        <v>6925.54</v>
      </c>
      <c r="HS88" s="558">
        <f t="shared" si="135"/>
        <v>5946.26</v>
      </c>
      <c r="HT88" s="558">
        <f t="shared" si="135"/>
        <v>5012.8500000000004</v>
      </c>
      <c r="HU88" s="558">
        <f t="shared" si="135"/>
        <v>4155.0600000000004</v>
      </c>
      <c r="HV88" s="558">
        <f t="shared" si="135"/>
        <v>3365.44</v>
      </c>
      <c r="HW88" s="558">
        <f t="shared" si="135"/>
        <v>2647.72</v>
      </c>
      <c r="HX88" s="558">
        <f t="shared" si="135"/>
        <v>2019.25</v>
      </c>
      <c r="HY88" s="558">
        <f t="shared" si="135"/>
        <v>1466.39</v>
      </c>
      <c r="HZ88" s="558">
        <f t="shared" si="133"/>
        <v>1016.42</v>
      </c>
      <c r="IA88" s="558">
        <f t="shared" si="133"/>
        <v>654.46</v>
      </c>
      <c r="IB88" s="558">
        <f t="shared" si="133"/>
        <v>384.23</v>
      </c>
      <c r="IC88" s="558">
        <f t="shared" si="132"/>
        <v>204.49</v>
      </c>
      <c r="ID88" s="558">
        <f t="shared" si="132"/>
        <v>85.49</v>
      </c>
      <c r="IE88" s="558">
        <f t="shared" si="132"/>
        <v>2.4300000000000002</v>
      </c>
      <c r="IF88" s="558">
        <f t="shared" si="132"/>
        <v>-0.04</v>
      </c>
      <c r="IG88" s="558" t="str">
        <f t="shared" si="132"/>
        <v>.</v>
      </c>
      <c r="IH88" s="558" t="str">
        <f t="shared" si="132"/>
        <v>.</v>
      </c>
      <c r="II88" s="558" t="str">
        <f t="shared" si="132"/>
        <v>.</v>
      </c>
      <c r="IJ88" s="558" t="str">
        <f t="shared" si="132"/>
        <v>.</v>
      </c>
      <c r="IK88" s="558" t="str">
        <f t="shared" si="132"/>
        <v>.</v>
      </c>
      <c r="IL88" s="558" t="str">
        <f t="shared" si="132"/>
        <v>.</v>
      </c>
      <c r="IM88" s="558" t="str">
        <f t="shared" si="132"/>
        <v>.</v>
      </c>
      <c r="IN88" s="558" t="str">
        <f t="shared" si="132"/>
        <v>.</v>
      </c>
      <c r="IO88" s="558" t="str">
        <f t="shared" si="130"/>
        <v>.</v>
      </c>
      <c r="IP88" s="558" t="str">
        <f t="shared" si="130"/>
        <v>.</v>
      </c>
      <c r="IQ88" s="558" t="str">
        <f t="shared" si="130"/>
        <v>.</v>
      </c>
      <c r="IR88" s="558" t="str">
        <f t="shared" si="130"/>
        <v>.</v>
      </c>
      <c r="IS88" s="558" t="str">
        <f t="shared" si="130"/>
        <v>.</v>
      </c>
      <c r="IT88" s="558" t="str">
        <f t="shared" si="130"/>
        <v>.</v>
      </c>
      <c r="IU88" s="558" t="str">
        <f t="shared" si="130"/>
        <v>.</v>
      </c>
      <c r="IV88" s="558" t="str">
        <f t="shared" si="130"/>
        <v>.</v>
      </c>
      <c r="IW88" s="558" t="str">
        <f t="shared" si="130"/>
        <v>.</v>
      </c>
      <c r="IX88" s="558" t="str">
        <f t="shared" si="130"/>
        <v>.</v>
      </c>
      <c r="IY88" s="558" t="str">
        <f t="shared" si="130"/>
        <v>.</v>
      </c>
      <c r="IZ88" s="558" t="str">
        <f t="shared" si="130"/>
        <v>.</v>
      </c>
      <c r="JA88" s="558" t="str">
        <f t="shared" si="130"/>
        <v>.</v>
      </c>
      <c r="JB88" s="558" t="str">
        <f t="shared" si="130"/>
        <v>.</v>
      </c>
      <c r="JC88" s="558" t="str">
        <f t="shared" si="130"/>
        <v>.</v>
      </c>
      <c r="JD88" s="558" t="str">
        <f t="shared" si="130"/>
        <v>.</v>
      </c>
      <c r="JE88" s="558" t="str">
        <f t="shared" si="130"/>
        <v>.</v>
      </c>
      <c r="JF88" s="558" t="str">
        <f t="shared" si="130"/>
        <v>.</v>
      </c>
      <c r="JG88" s="558" t="str">
        <f t="shared" si="130"/>
        <v>.</v>
      </c>
      <c r="JH88" s="558" t="str">
        <f t="shared" si="136"/>
        <v>.</v>
      </c>
      <c r="JI88" s="558" t="str">
        <f t="shared" si="136"/>
        <v>.</v>
      </c>
      <c r="JJ88" s="558" t="str">
        <f t="shared" si="136"/>
        <v>.</v>
      </c>
      <c r="JK88" s="558" t="str">
        <f t="shared" si="136"/>
        <v>.</v>
      </c>
      <c r="JL88" s="558" t="str">
        <f t="shared" si="136"/>
        <v>.</v>
      </c>
    </row>
    <row r="89" spans="1:272" ht="10.199999999999999" x14ac:dyDescent="0.2">
      <c r="A89" s="534">
        <f xml:space="preserve"> Basis!A89</f>
        <v>89</v>
      </c>
      <c r="F89" s="536">
        <f xml:space="preserve"> ROUND(    IF( $A$15=BE_MF_,   AW89,   INDEX( qx!89:89, F$16 ) ),    F$17    )</f>
        <v>0.1014</v>
      </c>
      <c r="G89" s="536">
        <f xml:space="preserve"> ROUND(    IF( $A$15=BE_MF_,   BB89,   INDEX( wx!89:89, G$16 ) ),    G$17    )</f>
        <v>1.4E-3</v>
      </c>
      <c r="H89" s="537">
        <f xml:space="preserve"> ROUND(    IF( $A$15=BE_MF_,   BG89,   INDEX( Kx!89:89, H$16 ) ),    H$17    )</f>
        <v>11417.02</v>
      </c>
      <c r="I89" s="538">
        <f t="shared" si="171"/>
        <v>11437.67</v>
      </c>
      <c r="J89" s="539">
        <f t="shared" si="137"/>
        <v>5.5049999999999999</v>
      </c>
      <c r="K89" s="540">
        <f t="shared" si="172"/>
        <v>0</v>
      </c>
      <c r="L89" s="541">
        <f t="shared" si="71"/>
        <v>0</v>
      </c>
      <c r="M89" s="541">
        <f t="shared" si="71"/>
        <v>8.5999999999999993E-2</v>
      </c>
      <c r="O89" s="542" t="b">
        <f t="shared" si="173"/>
        <v>1</v>
      </c>
      <c r="P89" s="493">
        <f t="shared" si="138"/>
        <v>0.1028</v>
      </c>
      <c r="Q89" s="493">
        <f t="shared" si="139"/>
        <v>0.8972</v>
      </c>
      <c r="R89" s="543">
        <f t="shared" si="140"/>
        <v>241142</v>
      </c>
      <c r="S89" s="544">
        <f t="shared" si="141"/>
        <v>0.97560975599999999</v>
      </c>
      <c r="T89" s="423">
        <f t="shared" si="142"/>
        <v>26782.36</v>
      </c>
      <c r="U89" s="423">
        <f xml:space="preserve"> IF( $O89,    ROUND(  SUM( T89:T$120), U$17 ),  LEER  )</f>
        <v>149805.78</v>
      </c>
      <c r="V89" s="493">
        <f t="shared" si="143"/>
        <v>5.5933999999999999</v>
      </c>
      <c r="W89" s="493">
        <f t="shared" si="144"/>
        <v>147436.89000000001</v>
      </c>
      <c r="X89" s="493">
        <f xml:space="preserve"> IF( $O89,    ROUND(  SUM( W89:W$120), X$17 ),  LEER  )</f>
        <v>824989.86</v>
      </c>
      <c r="Y89" s="493">
        <f t="shared" si="145"/>
        <v>30.8035</v>
      </c>
      <c r="Z89" s="493">
        <f t="shared" si="146"/>
        <v>5.5071000000000003</v>
      </c>
      <c r="AA89" s="493">
        <f t="shared" si="147"/>
        <v>1</v>
      </c>
      <c r="AB89" s="493">
        <f t="shared" si="148"/>
        <v>2.3494000000000002</v>
      </c>
      <c r="AC89" s="545">
        <f t="shared" si="149"/>
        <v>0.32679999999999998</v>
      </c>
      <c r="AD89" s="493">
        <f t="shared" si="150"/>
        <v>5.5071000000000003</v>
      </c>
      <c r="AE89" s="493">
        <f t="shared" si="151"/>
        <v>6.3827999999999996</v>
      </c>
      <c r="AF89" s="493">
        <f t="shared" si="152"/>
        <v>6.3827999999999996</v>
      </c>
      <c r="AG89" s="493" t="str">
        <f t="shared" si="153"/>
        <v>.</v>
      </c>
      <c r="AH89" s="493" t="str">
        <f t="shared" si="154"/>
        <v>.</v>
      </c>
      <c r="AI89" s="423">
        <f t="shared" si="155"/>
        <v>2077.79</v>
      </c>
      <c r="AJ89" s="423">
        <f t="shared" si="156"/>
        <v>13262.12</v>
      </c>
      <c r="AK89" s="423">
        <f t="shared" si="157"/>
        <v>1105.18</v>
      </c>
      <c r="AN89" s="423">
        <f t="shared" si="129"/>
        <v>42455.02</v>
      </c>
      <c r="AO89" s="423">
        <f t="shared" si="129"/>
        <v>42197.01</v>
      </c>
      <c r="AR89" s="546">
        <f xml:space="preserve"> ROUND(  INDEX( Kx!89:89, AR$16 ),  AR$17 )</f>
        <v>0.46949999999999997</v>
      </c>
      <c r="AS89" s="547">
        <f xml:space="preserve"> ROUND(  INDEX( qx!89:89, AS$16 ),  AS$17 )</f>
        <v>0.1186</v>
      </c>
      <c r="AT89" s="547">
        <f xml:space="preserve"> ROUND(  INDEX( qx!89:89, AT$16 ),  AT$17 )</f>
        <v>9.1200000000000003E-2</v>
      </c>
      <c r="AU89" s="548" t="str">
        <f t="shared" si="158"/>
        <v>F</v>
      </c>
      <c r="AV89" s="542">
        <f t="shared" si="159"/>
        <v>0.37109999999999999</v>
      </c>
      <c r="AW89" s="542">
        <f t="shared" si="160"/>
        <v>0.1014</v>
      </c>
      <c r="AX89" s="546">
        <f xml:space="preserve"> ROUND(  INDEX( wx!89:89, AX$16 ),  AX$17 )</f>
        <v>8.9999999999999998E-4</v>
      </c>
      <c r="AY89" s="546">
        <f xml:space="preserve"> ROUND(  INDEX( wx!89:89, AY$16 ),  AY$17 )</f>
        <v>2.0999999999999999E-3</v>
      </c>
      <c r="AZ89" s="548" t="str">
        <f t="shared" si="161"/>
        <v>M</v>
      </c>
      <c r="BA89" s="542">
        <f t="shared" si="162"/>
        <v>0.57040000000000002</v>
      </c>
      <c r="BB89" s="542">
        <f t="shared" si="163"/>
        <v>1.4E-3</v>
      </c>
      <c r="BC89" s="533">
        <f xml:space="preserve"> ROUND(  INDEX( Kx!89:89, BC$16 ),  BC$17 )</f>
        <v>12375.44</v>
      </c>
      <c r="BD89" s="533">
        <f xml:space="preserve"> ROUND(  INDEX( Kx!89:89, BD$16 ),  BD$17 )</f>
        <v>10144.49</v>
      </c>
      <c r="BE89" s="548" t="str">
        <f t="shared" si="174"/>
        <v>M</v>
      </c>
      <c r="BF89" s="542">
        <f t="shared" si="164"/>
        <v>0.57040000000000002</v>
      </c>
      <c r="BG89" s="420">
        <f t="shared" si="165"/>
        <v>11417.02</v>
      </c>
      <c r="BQ89" s="549"/>
      <c r="BR89" s="423"/>
      <c r="BS89" s="550"/>
      <c r="BT89" s="423"/>
      <c r="BU89" s="551"/>
      <c r="BV89" s="551"/>
      <c r="BW89" s="529"/>
      <c r="BX89" s="552"/>
      <c r="BY89" s="560"/>
      <c r="BZ89" s="559"/>
      <c r="CB89" s="423"/>
      <c r="CC89" s="423"/>
      <c r="CD89" s="423"/>
      <c r="CE89" s="423"/>
      <c r="CF89" s="553"/>
      <c r="CH89" s="423"/>
      <c r="CI89" s="423"/>
      <c r="CJ89" s="423"/>
      <c r="CK89" s="423"/>
      <c r="CL89" s="553"/>
      <c r="CN89" s="423"/>
      <c r="CO89" s="423"/>
      <c r="CP89" s="423"/>
      <c r="CQ89" s="423"/>
      <c r="CR89" s="553"/>
      <c r="EI89" s="553"/>
      <c r="EJ89" s="553"/>
      <c r="EK89" s="423"/>
      <c r="EL89" s="555"/>
      <c r="ES89" s="533"/>
      <c r="ET89" s="533"/>
      <c r="EU89" s="533"/>
      <c r="EV89" s="556"/>
      <c r="EY89" s="533"/>
      <c r="EZ89" s="533"/>
      <c r="FA89" s="556"/>
      <c r="FD89" s="556"/>
      <c r="FE89" s="556"/>
      <c r="FF89" s="556"/>
      <c r="FK89" s="557">
        <f t="shared" si="166"/>
        <v>89</v>
      </c>
      <c r="FL89" s="493">
        <f t="shared" si="167"/>
        <v>30.8035</v>
      </c>
      <c r="FM89" s="493">
        <f t="shared" si="168"/>
        <v>5.5933999999999999</v>
      </c>
      <c r="FO89" s="427">
        <f t="shared" si="175"/>
        <v>1747175.0999999999</v>
      </c>
      <c r="FP89" s="558">
        <f t="shared" si="169"/>
        <v>50052.26</v>
      </c>
      <c r="FQ89" s="558">
        <f t="shared" si="169"/>
        <v>49581.58</v>
      </c>
      <c r="FR89" s="558">
        <f t="shared" si="169"/>
        <v>49109.73</v>
      </c>
      <c r="FS89" s="558">
        <f t="shared" si="169"/>
        <v>48637.88</v>
      </c>
      <c r="FT89" s="558">
        <f t="shared" si="169"/>
        <v>48149.760000000002</v>
      </c>
      <c r="FU89" s="558">
        <f t="shared" si="169"/>
        <v>47647.69</v>
      </c>
      <c r="FV89" s="558">
        <f t="shared" si="169"/>
        <v>47150.27</v>
      </c>
      <c r="FW89" s="558">
        <f t="shared" si="169"/>
        <v>46649.37</v>
      </c>
      <c r="FX89" s="558">
        <f t="shared" si="169"/>
        <v>46131.03</v>
      </c>
      <c r="FY89" s="558">
        <f t="shared" si="169"/>
        <v>45591.77</v>
      </c>
      <c r="FZ89" s="558">
        <f t="shared" si="169"/>
        <v>45049.03</v>
      </c>
      <c r="GA89" s="558">
        <f t="shared" si="169"/>
        <v>44498.15</v>
      </c>
      <c r="GB89" s="558">
        <f t="shared" si="169"/>
        <v>43934.49</v>
      </c>
      <c r="GC89" s="558">
        <f t="shared" si="169"/>
        <v>43368.5</v>
      </c>
      <c r="GD89" s="558">
        <f t="shared" si="169"/>
        <v>42785.08</v>
      </c>
      <c r="GE89" s="558">
        <f t="shared" si="169"/>
        <v>42197.01</v>
      </c>
      <c r="GF89" s="558">
        <f t="shared" si="134"/>
        <v>41591.51</v>
      </c>
      <c r="GG89" s="558">
        <f t="shared" si="134"/>
        <v>40972.06</v>
      </c>
      <c r="GH89" s="558">
        <f t="shared" si="134"/>
        <v>40335.18</v>
      </c>
      <c r="GI89" s="558">
        <f t="shared" si="134"/>
        <v>39679.71</v>
      </c>
      <c r="GJ89" s="558">
        <f t="shared" si="134"/>
        <v>39004.47</v>
      </c>
      <c r="GK89" s="558">
        <f t="shared" si="134"/>
        <v>38303.67</v>
      </c>
      <c r="GL89" s="558">
        <f t="shared" si="134"/>
        <v>37577.300000000003</v>
      </c>
      <c r="GM89" s="558">
        <f t="shared" si="134"/>
        <v>36824.199999999997</v>
      </c>
      <c r="GN89" s="558">
        <f t="shared" si="134"/>
        <v>36040.89</v>
      </c>
      <c r="GO89" s="558">
        <f t="shared" si="134"/>
        <v>35233.160000000003</v>
      </c>
      <c r="GP89" s="558">
        <f t="shared" si="134"/>
        <v>34397.550000000003</v>
      </c>
      <c r="GQ89" s="558">
        <f t="shared" si="134"/>
        <v>33536.370000000003</v>
      </c>
      <c r="GR89" s="558">
        <f t="shared" si="134"/>
        <v>32651.94</v>
      </c>
      <c r="GS89" s="558">
        <f t="shared" si="134"/>
        <v>31745.43</v>
      </c>
      <c r="GT89" s="558">
        <f t="shared" si="134"/>
        <v>30820.33</v>
      </c>
      <c r="GU89" s="558">
        <f t="shared" si="170"/>
        <v>29873.14</v>
      </c>
      <c r="GV89" s="558">
        <f t="shared" si="170"/>
        <v>28913.17</v>
      </c>
      <c r="GW89" s="558">
        <f t="shared" si="170"/>
        <v>27935.77</v>
      </c>
      <c r="GX89" s="558">
        <f t="shared" si="170"/>
        <v>26947.9</v>
      </c>
      <c r="GY89" s="558">
        <f t="shared" si="170"/>
        <v>25949.58</v>
      </c>
      <c r="GZ89" s="558">
        <f t="shared" si="170"/>
        <v>24939.64</v>
      </c>
      <c r="HA89" s="558">
        <f t="shared" si="170"/>
        <v>23921.56</v>
      </c>
      <c r="HB89" s="558">
        <f t="shared" si="170"/>
        <v>22888.37</v>
      </c>
      <c r="HC89" s="558">
        <f t="shared" si="170"/>
        <v>21833.1</v>
      </c>
      <c r="HD89" s="558">
        <f t="shared" si="170"/>
        <v>20762.72</v>
      </c>
      <c r="HE89" s="558">
        <f t="shared" si="170"/>
        <v>19681.89</v>
      </c>
      <c r="HF89" s="558">
        <f t="shared" si="170"/>
        <v>18587.099999999999</v>
      </c>
      <c r="HG89" s="558">
        <f t="shared" si="170"/>
        <v>17484.18</v>
      </c>
      <c r="HH89" s="558">
        <f t="shared" si="170"/>
        <v>16369.64</v>
      </c>
      <c r="HI89" s="558">
        <f t="shared" si="170"/>
        <v>15265.56</v>
      </c>
      <c r="HJ89" s="558">
        <f t="shared" si="170"/>
        <v>14152.18</v>
      </c>
      <c r="HK89" s="558">
        <f t="shared" si="135"/>
        <v>13045.78</v>
      </c>
      <c r="HL89" s="558">
        <f t="shared" si="135"/>
        <v>11947.5</v>
      </c>
      <c r="HM89" s="558">
        <f t="shared" si="135"/>
        <v>10853.88</v>
      </c>
      <c r="HN89" s="558">
        <f t="shared" si="135"/>
        <v>9953.18</v>
      </c>
      <c r="HO89" s="558">
        <f t="shared" si="135"/>
        <v>9080.3799999999992</v>
      </c>
      <c r="HP89" s="558">
        <f t="shared" si="135"/>
        <v>8244.76</v>
      </c>
      <c r="HQ89" s="558">
        <f t="shared" si="135"/>
        <v>7453.31</v>
      </c>
      <c r="HR89" s="558">
        <f t="shared" si="135"/>
        <v>6497.99</v>
      </c>
      <c r="HS89" s="558">
        <f t="shared" si="135"/>
        <v>5579.86</v>
      </c>
      <c r="HT89" s="558">
        <f t="shared" si="135"/>
        <v>4704.7299999999996</v>
      </c>
      <c r="HU89" s="558">
        <f t="shared" si="135"/>
        <v>3900.49</v>
      </c>
      <c r="HV89" s="558">
        <f t="shared" si="135"/>
        <v>3160.18</v>
      </c>
      <c r="HW89" s="558">
        <f t="shared" si="135"/>
        <v>2487.27</v>
      </c>
      <c r="HX89" s="558">
        <f t="shared" si="135"/>
        <v>1898.04</v>
      </c>
      <c r="HY89" s="558">
        <f t="shared" si="135"/>
        <v>1379.7</v>
      </c>
      <c r="HZ89" s="558">
        <f t="shared" si="133"/>
        <v>957.83</v>
      </c>
      <c r="IA89" s="558">
        <f t="shared" si="133"/>
        <v>618.47</v>
      </c>
      <c r="IB89" s="558">
        <f t="shared" si="133"/>
        <v>365.11</v>
      </c>
      <c r="IC89" s="558">
        <f t="shared" si="132"/>
        <v>196.59</v>
      </c>
      <c r="ID89" s="558">
        <f t="shared" si="132"/>
        <v>85.02</v>
      </c>
      <c r="IE89" s="558">
        <f t="shared" si="132"/>
        <v>7.15</v>
      </c>
      <c r="IF89" s="558">
        <f t="shared" si="132"/>
        <v>4.83</v>
      </c>
      <c r="IG89" s="558">
        <f t="shared" si="132"/>
        <v>0.18</v>
      </c>
      <c r="IH89" s="558" t="str">
        <f t="shared" si="132"/>
        <v>.</v>
      </c>
      <c r="II89" s="558" t="str">
        <f t="shared" si="132"/>
        <v>.</v>
      </c>
      <c r="IJ89" s="558" t="str">
        <f t="shared" si="132"/>
        <v>.</v>
      </c>
      <c r="IK89" s="558" t="str">
        <f t="shared" si="132"/>
        <v>.</v>
      </c>
      <c r="IL89" s="558" t="str">
        <f t="shared" si="132"/>
        <v>.</v>
      </c>
      <c r="IM89" s="558" t="str">
        <f t="shared" si="132"/>
        <v>.</v>
      </c>
      <c r="IN89" s="558" t="str">
        <f t="shared" si="132"/>
        <v>.</v>
      </c>
      <c r="IO89" s="558" t="str">
        <f t="shared" si="130"/>
        <v>.</v>
      </c>
      <c r="IP89" s="558" t="str">
        <f t="shared" si="130"/>
        <v>.</v>
      </c>
      <c r="IQ89" s="558" t="str">
        <f t="shared" si="130"/>
        <v>.</v>
      </c>
      <c r="IR89" s="558" t="str">
        <f t="shared" si="130"/>
        <v>.</v>
      </c>
      <c r="IS89" s="558" t="str">
        <f t="shared" si="130"/>
        <v>.</v>
      </c>
      <c r="IT89" s="558" t="str">
        <f t="shared" si="130"/>
        <v>.</v>
      </c>
      <c r="IU89" s="558" t="str">
        <f t="shared" si="130"/>
        <v>.</v>
      </c>
      <c r="IV89" s="558" t="str">
        <f t="shared" si="130"/>
        <v>.</v>
      </c>
      <c r="IW89" s="558" t="str">
        <f t="shared" si="130"/>
        <v>.</v>
      </c>
      <c r="IX89" s="558" t="str">
        <f t="shared" si="130"/>
        <v>.</v>
      </c>
      <c r="IY89" s="558" t="str">
        <f t="shared" si="130"/>
        <v>.</v>
      </c>
      <c r="IZ89" s="558" t="str">
        <f t="shared" si="130"/>
        <v>.</v>
      </c>
      <c r="JA89" s="558" t="str">
        <f t="shared" si="130"/>
        <v>.</v>
      </c>
      <c r="JB89" s="558" t="str">
        <f t="shared" si="130"/>
        <v>.</v>
      </c>
      <c r="JC89" s="558" t="str">
        <f t="shared" si="130"/>
        <v>.</v>
      </c>
      <c r="JD89" s="558" t="str">
        <f t="shared" si="130"/>
        <v>.</v>
      </c>
      <c r="JE89" s="558" t="str">
        <f t="shared" si="130"/>
        <v>.</v>
      </c>
      <c r="JF89" s="558" t="str">
        <f t="shared" si="130"/>
        <v>.</v>
      </c>
      <c r="JG89" s="558" t="str">
        <f t="shared" si="130"/>
        <v>.</v>
      </c>
      <c r="JH89" s="558" t="str">
        <f t="shared" si="136"/>
        <v>.</v>
      </c>
      <c r="JI89" s="558" t="str">
        <f t="shared" si="136"/>
        <v>.</v>
      </c>
      <c r="JJ89" s="558" t="str">
        <f t="shared" si="136"/>
        <v>.</v>
      </c>
      <c r="JK89" s="558" t="str">
        <f t="shared" si="136"/>
        <v>.</v>
      </c>
      <c r="JL89" s="558" t="str">
        <f t="shared" si="136"/>
        <v>.</v>
      </c>
    </row>
    <row r="90" spans="1:272" ht="10.199999999999999" x14ac:dyDescent="0.2">
      <c r="A90" s="534">
        <f xml:space="preserve"> Basis!A90</f>
        <v>90</v>
      </c>
      <c r="F90" s="536">
        <f xml:space="preserve"> ROUND(    IF( $A$15=BE_MF_,   AW90,   INDEX( qx!90:90, F$16 ) ),    F$17    )</f>
        <v>0.11559999999999999</v>
      </c>
      <c r="G90" s="536">
        <f xml:space="preserve"> ROUND(    IF( $A$15=BE_MF_,   BB90,   INDEX( wx!90:90, G$16 ) ),    G$17    )</f>
        <v>1.4E-3</v>
      </c>
      <c r="H90" s="537">
        <f xml:space="preserve"> ROUND(    IF( $A$15=BE_MF_,   BG90,   INDEX( Kx!90:90, H$16 ) ),    H$17    )</f>
        <v>11433.23</v>
      </c>
      <c r="I90" s="538">
        <f t="shared" si="171"/>
        <v>11437.67</v>
      </c>
      <c r="J90" s="539">
        <f t="shared" si="137"/>
        <v>5.5049999999999999</v>
      </c>
      <c r="K90" s="540">
        <f t="shared" si="172"/>
        <v>0</v>
      </c>
      <c r="L90" s="541">
        <f t="shared" si="71"/>
        <v>0</v>
      </c>
      <c r="M90" s="541">
        <f t="shared" si="71"/>
        <v>8.5999999999999993E-2</v>
      </c>
      <c r="O90" s="542" t="b">
        <f t="shared" si="173"/>
        <v>1</v>
      </c>
      <c r="P90" s="493">
        <f t="shared" si="138"/>
        <v>0.11700000000000001</v>
      </c>
      <c r="Q90" s="493">
        <f t="shared" si="139"/>
        <v>0.88300000000000001</v>
      </c>
      <c r="R90" s="543">
        <f t="shared" si="140"/>
        <v>216352</v>
      </c>
      <c r="S90" s="544">
        <f t="shared" si="141"/>
        <v>0.97560975599999999</v>
      </c>
      <c r="T90" s="423">
        <f t="shared" si="142"/>
        <v>23442.99</v>
      </c>
      <c r="U90" s="423">
        <f xml:space="preserve"> IF( $O90,    ROUND(  SUM( T90:T$120), U$17 ),  LEER  )</f>
        <v>123023.42</v>
      </c>
      <c r="V90" s="493">
        <f t="shared" si="143"/>
        <v>5.2477999999999998</v>
      </c>
      <c r="W90" s="493">
        <f t="shared" si="144"/>
        <v>129053.66</v>
      </c>
      <c r="X90" s="493">
        <f xml:space="preserve"> IF( $O90,    ROUND(  SUM( W90:W$120), X$17 ),  LEER  )</f>
        <v>677552.97</v>
      </c>
      <c r="Y90" s="493">
        <f t="shared" si="145"/>
        <v>28.902200000000001</v>
      </c>
      <c r="Z90" s="493">
        <f t="shared" si="146"/>
        <v>5.5075000000000003</v>
      </c>
      <c r="AA90" s="493">
        <f t="shared" si="147"/>
        <v>1</v>
      </c>
      <c r="AB90" s="493">
        <f t="shared" si="148"/>
        <v>2.3494000000000002</v>
      </c>
      <c r="AC90" s="545">
        <f t="shared" si="149"/>
        <v>0.32679999999999998</v>
      </c>
      <c r="AD90" s="493">
        <f t="shared" si="150"/>
        <v>5.5075000000000003</v>
      </c>
      <c r="AE90" s="493">
        <f t="shared" si="151"/>
        <v>6.3833000000000002</v>
      </c>
      <c r="AF90" s="493">
        <f t="shared" si="152"/>
        <v>6.3833000000000002</v>
      </c>
      <c r="AG90" s="493" t="str">
        <f t="shared" si="153"/>
        <v>.</v>
      </c>
      <c r="AH90" s="493" t="str">
        <f t="shared" si="154"/>
        <v>.</v>
      </c>
      <c r="AI90" s="423">
        <f t="shared" si="155"/>
        <v>2077.79</v>
      </c>
      <c r="AJ90" s="423">
        <f t="shared" si="156"/>
        <v>13263.16</v>
      </c>
      <c r="AK90" s="423">
        <f t="shared" si="157"/>
        <v>1105.26</v>
      </c>
      <c r="AN90" s="423">
        <f t="shared" si="129"/>
        <v>39835.919999999998</v>
      </c>
      <c r="AO90" s="423">
        <f t="shared" si="129"/>
        <v>39593.85</v>
      </c>
      <c r="AR90" s="546">
        <f xml:space="preserve"> ROUND(  INDEX( Kx!90:90, AR$16 ),  AR$17 )</f>
        <v>0.45229999999999998</v>
      </c>
      <c r="AS90" s="547">
        <f xml:space="preserve"> ROUND(  INDEX( qx!90:90, AS$16 ),  AS$17 )</f>
        <v>0.1346</v>
      </c>
      <c r="AT90" s="547">
        <f xml:space="preserve"> ROUND(  INDEX( qx!90:90, AT$16 ),  AT$17 )</f>
        <v>0.1051</v>
      </c>
      <c r="AU90" s="548" t="str">
        <f t="shared" si="158"/>
        <v>F</v>
      </c>
      <c r="AV90" s="542">
        <f t="shared" si="159"/>
        <v>0.35510000000000003</v>
      </c>
      <c r="AW90" s="542">
        <f t="shared" si="160"/>
        <v>0.11559999999999999</v>
      </c>
      <c r="AX90" s="546">
        <f xml:space="preserve"> ROUND(  INDEX( wx!90:90, AX$16 ),  AX$17 )</f>
        <v>8.0000000000000004E-4</v>
      </c>
      <c r="AY90" s="546">
        <f xml:space="preserve"> ROUND(  INDEX( wx!90:90, AY$16 ),  AY$17 )</f>
        <v>2.0999999999999999E-3</v>
      </c>
      <c r="AZ90" s="548" t="str">
        <f t="shared" si="161"/>
        <v>M</v>
      </c>
      <c r="BA90" s="542">
        <f t="shared" si="162"/>
        <v>0.55330000000000001</v>
      </c>
      <c r="BB90" s="542">
        <f t="shared" si="163"/>
        <v>1.4E-3</v>
      </c>
      <c r="BC90" s="533">
        <f xml:space="preserve"> ROUND(  INDEX( Kx!90:90, BC$16 ),  BC$17 )</f>
        <v>12466.24</v>
      </c>
      <c r="BD90" s="533">
        <f xml:space="preserve"> ROUND(  INDEX( Kx!90:90, BD$16 ),  BD$17 )</f>
        <v>10153.700000000001</v>
      </c>
      <c r="BE90" s="548" t="str">
        <f t="shared" si="174"/>
        <v>M</v>
      </c>
      <c r="BF90" s="542">
        <f t="shared" si="164"/>
        <v>0.55330000000000001</v>
      </c>
      <c r="BG90" s="420">
        <f t="shared" si="165"/>
        <v>11433.23</v>
      </c>
      <c r="BQ90" s="549"/>
      <c r="BR90" s="423"/>
      <c r="BS90" s="550"/>
      <c r="BT90" s="423"/>
      <c r="BU90" s="551"/>
      <c r="BV90" s="551"/>
      <c r="BW90" s="529"/>
      <c r="BX90" s="552"/>
      <c r="BY90" s="560"/>
      <c r="BZ90" s="559"/>
      <c r="CB90" s="423"/>
      <c r="CC90" s="423"/>
      <c r="CD90" s="423"/>
      <c r="CE90" s="423"/>
      <c r="CF90" s="553"/>
      <c r="CH90" s="423"/>
      <c r="CI90" s="423"/>
      <c r="CJ90" s="423"/>
      <c r="CK90" s="423"/>
      <c r="CL90" s="553"/>
      <c r="CN90" s="423"/>
      <c r="CO90" s="423"/>
      <c r="CP90" s="423"/>
      <c r="CQ90" s="423"/>
      <c r="CR90" s="553"/>
      <c r="EI90" s="553"/>
      <c r="EJ90" s="553"/>
      <c r="EK90" s="423"/>
      <c r="EL90" s="555"/>
      <c r="ES90" s="533"/>
      <c r="ET90" s="533"/>
      <c r="EU90" s="533"/>
      <c r="EV90" s="556"/>
      <c r="EY90" s="533"/>
      <c r="EZ90" s="533"/>
      <c r="FA90" s="556"/>
      <c r="FD90" s="556"/>
      <c r="FE90" s="556"/>
      <c r="FF90" s="556"/>
      <c r="FK90" s="557">
        <f t="shared" si="166"/>
        <v>90</v>
      </c>
      <c r="FL90" s="493">
        <f t="shared" si="167"/>
        <v>28.902200000000001</v>
      </c>
      <c r="FM90" s="493">
        <f t="shared" si="168"/>
        <v>5.2477999999999998</v>
      </c>
      <c r="FO90" s="427">
        <f t="shared" si="175"/>
        <v>1639507.0400000003</v>
      </c>
      <c r="FP90" s="558">
        <f t="shared" si="169"/>
        <v>46963.75</v>
      </c>
      <c r="FQ90" s="558">
        <f t="shared" si="169"/>
        <v>46522.14</v>
      </c>
      <c r="FR90" s="558">
        <f t="shared" si="169"/>
        <v>46079.45</v>
      </c>
      <c r="FS90" s="558">
        <f t="shared" si="169"/>
        <v>45636.75</v>
      </c>
      <c r="FT90" s="558">
        <f t="shared" si="169"/>
        <v>45178.79</v>
      </c>
      <c r="FU90" s="558">
        <f t="shared" si="169"/>
        <v>44707.75</v>
      </c>
      <c r="FV90" s="558">
        <f t="shared" si="169"/>
        <v>44241.06</v>
      </c>
      <c r="FW90" s="558">
        <f t="shared" si="169"/>
        <v>43771.11</v>
      </c>
      <c r="FX90" s="558">
        <f t="shared" si="169"/>
        <v>43284.800000000003</v>
      </c>
      <c r="FY90" s="558">
        <f t="shared" si="169"/>
        <v>42778.86</v>
      </c>
      <c r="FZ90" s="558">
        <f t="shared" si="169"/>
        <v>42269.65</v>
      </c>
      <c r="GA90" s="558">
        <f t="shared" si="169"/>
        <v>41752.81</v>
      </c>
      <c r="GB90" s="558">
        <f t="shared" si="169"/>
        <v>41223.97</v>
      </c>
      <c r="GC90" s="558">
        <f t="shared" si="169"/>
        <v>40692.959999999999</v>
      </c>
      <c r="GD90" s="558">
        <f t="shared" si="169"/>
        <v>40145.589999999997</v>
      </c>
      <c r="GE90" s="558">
        <f t="shared" si="169"/>
        <v>39593.85</v>
      </c>
      <c r="GF90" s="558">
        <f t="shared" si="134"/>
        <v>39025.760000000002</v>
      </c>
      <c r="GG90" s="558">
        <f t="shared" si="134"/>
        <v>38444.589999999997</v>
      </c>
      <c r="GH90" s="558">
        <f t="shared" si="134"/>
        <v>37847.06</v>
      </c>
      <c r="GI90" s="558">
        <f t="shared" si="134"/>
        <v>37232.080000000002</v>
      </c>
      <c r="GJ90" s="558">
        <f t="shared" si="134"/>
        <v>36598.57</v>
      </c>
      <c r="GK90" s="558">
        <f t="shared" si="134"/>
        <v>35941.07</v>
      </c>
      <c r="GL90" s="558">
        <f t="shared" si="134"/>
        <v>35259.58</v>
      </c>
      <c r="GM90" s="558">
        <f t="shared" si="134"/>
        <v>34553.01</v>
      </c>
      <c r="GN90" s="558">
        <f t="shared" si="134"/>
        <v>33818.1</v>
      </c>
      <c r="GO90" s="558">
        <f t="shared" si="134"/>
        <v>33060.28</v>
      </c>
      <c r="GP90" s="558">
        <f t="shared" si="134"/>
        <v>32276.29</v>
      </c>
      <c r="GQ90" s="558">
        <f t="shared" si="134"/>
        <v>31468.32</v>
      </c>
      <c r="GR90" s="558">
        <f t="shared" si="134"/>
        <v>30638.54</v>
      </c>
      <c r="GS90" s="558">
        <f t="shared" si="134"/>
        <v>29788.04</v>
      </c>
      <c r="GT90" s="558">
        <f t="shared" si="134"/>
        <v>28920.1</v>
      </c>
      <c r="GU90" s="558">
        <f t="shared" si="170"/>
        <v>28031.439999999999</v>
      </c>
      <c r="GV90" s="558">
        <f t="shared" si="170"/>
        <v>27130.78</v>
      </c>
      <c r="GW90" s="558">
        <f t="shared" si="170"/>
        <v>26213.77</v>
      </c>
      <c r="GX90" s="558">
        <f t="shared" si="170"/>
        <v>25286.94</v>
      </c>
      <c r="GY90" s="558">
        <f t="shared" si="170"/>
        <v>24350.3</v>
      </c>
      <c r="GZ90" s="558">
        <f t="shared" si="170"/>
        <v>23402.76</v>
      </c>
      <c r="HA90" s="558">
        <f t="shared" si="170"/>
        <v>22447.59</v>
      </c>
      <c r="HB90" s="558">
        <f t="shared" si="170"/>
        <v>21478.240000000002</v>
      </c>
      <c r="HC90" s="558">
        <f t="shared" si="170"/>
        <v>20488.169999999998</v>
      </c>
      <c r="HD90" s="558">
        <f t="shared" si="170"/>
        <v>19483.93</v>
      </c>
      <c r="HE90" s="558">
        <f t="shared" si="170"/>
        <v>18469.87</v>
      </c>
      <c r="HF90" s="558">
        <f t="shared" si="170"/>
        <v>17442.73</v>
      </c>
      <c r="HG90" s="558">
        <f t="shared" si="170"/>
        <v>16407.96</v>
      </c>
      <c r="HH90" s="558">
        <f t="shared" si="170"/>
        <v>15362.28</v>
      </c>
      <c r="HI90" s="558">
        <f t="shared" si="170"/>
        <v>14326.42</v>
      </c>
      <c r="HJ90" s="558">
        <f t="shared" si="170"/>
        <v>13281.83</v>
      </c>
      <c r="HK90" s="558">
        <f t="shared" si="135"/>
        <v>12243.79</v>
      </c>
      <c r="HL90" s="558">
        <f t="shared" si="135"/>
        <v>11213.37</v>
      </c>
      <c r="HM90" s="558">
        <f t="shared" si="135"/>
        <v>10187.32</v>
      </c>
      <c r="HN90" s="558">
        <f t="shared" si="135"/>
        <v>9342.2800000000007</v>
      </c>
      <c r="HO90" s="558">
        <f t="shared" si="135"/>
        <v>8523.4</v>
      </c>
      <c r="HP90" s="558">
        <f t="shared" si="135"/>
        <v>7739.41</v>
      </c>
      <c r="HQ90" s="558">
        <f t="shared" si="135"/>
        <v>6996.86</v>
      </c>
      <c r="HR90" s="558">
        <f t="shared" si="135"/>
        <v>6100.57</v>
      </c>
      <c r="HS90" s="558">
        <f t="shared" si="135"/>
        <v>5239.17</v>
      </c>
      <c r="HT90" s="558">
        <f t="shared" si="135"/>
        <v>4418.1099999999997</v>
      </c>
      <c r="HU90" s="558">
        <f t="shared" si="135"/>
        <v>3663.56</v>
      </c>
      <c r="HV90" s="558">
        <f t="shared" si="135"/>
        <v>2968.99</v>
      </c>
      <c r="HW90" s="558">
        <f t="shared" si="135"/>
        <v>2337.66</v>
      </c>
      <c r="HX90" s="558">
        <f t="shared" si="135"/>
        <v>1784.83</v>
      </c>
      <c r="HY90" s="558">
        <f t="shared" si="135"/>
        <v>1298.52</v>
      </c>
      <c r="HZ90" s="558">
        <f t="shared" si="133"/>
        <v>902.72</v>
      </c>
      <c r="IA90" s="558">
        <f t="shared" si="133"/>
        <v>584.32000000000005</v>
      </c>
      <c r="IB90" s="558">
        <f t="shared" si="133"/>
        <v>346.62</v>
      </c>
      <c r="IC90" s="558">
        <f t="shared" si="132"/>
        <v>188.51</v>
      </c>
      <c r="ID90" s="558">
        <f t="shared" si="132"/>
        <v>83.84</v>
      </c>
      <c r="IE90" s="558">
        <f t="shared" si="132"/>
        <v>10.78</v>
      </c>
      <c r="IF90" s="558">
        <f t="shared" si="132"/>
        <v>8.6</v>
      </c>
      <c r="IG90" s="558">
        <f t="shared" si="132"/>
        <v>4.24</v>
      </c>
      <c r="IH90" s="558">
        <f t="shared" si="132"/>
        <v>-0.12</v>
      </c>
      <c r="II90" s="558" t="str">
        <f t="shared" si="132"/>
        <v>.</v>
      </c>
      <c r="IJ90" s="558" t="str">
        <f t="shared" si="132"/>
        <v>.</v>
      </c>
      <c r="IK90" s="558" t="str">
        <f t="shared" si="132"/>
        <v>.</v>
      </c>
      <c r="IL90" s="558" t="str">
        <f t="shared" si="132"/>
        <v>.</v>
      </c>
      <c r="IM90" s="558" t="str">
        <f t="shared" si="132"/>
        <v>.</v>
      </c>
      <c r="IN90" s="558" t="str">
        <f t="shared" si="132"/>
        <v>.</v>
      </c>
      <c r="IO90" s="558" t="str">
        <f t="shared" si="130"/>
        <v>.</v>
      </c>
      <c r="IP90" s="558" t="str">
        <f t="shared" si="130"/>
        <v>.</v>
      </c>
      <c r="IQ90" s="558" t="str">
        <f t="shared" si="130"/>
        <v>.</v>
      </c>
      <c r="IR90" s="558" t="str">
        <f t="shared" si="130"/>
        <v>.</v>
      </c>
      <c r="IS90" s="558" t="str">
        <f t="shared" si="130"/>
        <v>.</v>
      </c>
      <c r="IT90" s="558" t="str">
        <f t="shared" si="130"/>
        <v>.</v>
      </c>
      <c r="IU90" s="558" t="str">
        <f t="shared" si="130"/>
        <v>.</v>
      </c>
      <c r="IV90" s="558" t="str">
        <f t="shared" si="130"/>
        <v>.</v>
      </c>
      <c r="IW90" s="558" t="str">
        <f t="shared" si="130"/>
        <v>.</v>
      </c>
      <c r="IX90" s="558" t="str">
        <f t="shared" si="130"/>
        <v>.</v>
      </c>
      <c r="IY90" s="558" t="str">
        <f t="shared" si="130"/>
        <v>.</v>
      </c>
      <c r="IZ90" s="558" t="str">
        <f t="shared" si="130"/>
        <v>.</v>
      </c>
      <c r="JA90" s="558" t="str">
        <f t="shared" si="130"/>
        <v>.</v>
      </c>
      <c r="JB90" s="558" t="str">
        <f t="shared" si="130"/>
        <v>.</v>
      </c>
      <c r="JC90" s="558" t="str">
        <f t="shared" si="130"/>
        <v>.</v>
      </c>
      <c r="JD90" s="558" t="str">
        <f t="shared" si="130"/>
        <v>.</v>
      </c>
      <c r="JE90" s="558" t="str">
        <f t="shared" si="130"/>
        <v>.</v>
      </c>
      <c r="JF90" s="558" t="str">
        <f t="shared" si="130"/>
        <v>.</v>
      </c>
      <c r="JG90" s="558" t="str">
        <f t="shared" si="130"/>
        <v>.</v>
      </c>
      <c r="JH90" s="558" t="str">
        <f t="shared" si="136"/>
        <v>.</v>
      </c>
      <c r="JI90" s="558" t="str">
        <f t="shared" si="136"/>
        <v>.</v>
      </c>
      <c r="JJ90" s="558" t="str">
        <f t="shared" si="136"/>
        <v>.</v>
      </c>
      <c r="JK90" s="558" t="str">
        <f t="shared" si="136"/>
        <v>.</v>
      </c>
      <c r="JL90" s="558" t="str">
        <f t="shared" si="136"/>
        <v>.</v>
      </c>
    </row>
    <row r="91" spans="1:272" ht="10.199999999999999" x14ac:dyDescent="0.2">
      <c r="A91" s="534">
        <f xml:space="preserve"> Basis!A91</f>
        <v>91</v>
      </c>
      <c r="F91" s="536">
        <f xml:space="preserve"> ROUND(    IF( $A$15=BE_MF_,   AW91,   INDEX( qx!91:91, F$16 ) ),    F$17    )</f>
        <v>0.12909999999999999</v>
      </c>
      <c r="G91" s="536">
        <f xml:space="preserve"> ROUND(    IF( $A$15=BE_MF_,   BB91,   INDEX( wx!91:91, G$16 ) ),    G$17    )</f>
        <v>1.5E-3</v>
      </c>
      <c r="H91" s="537">
        <f xml:space="preserve"> ROUND(    IF( $A$15=BE_MF_,   BG91,   INDEX( Kx!91:91, H$16 ) ),    H$17    )</f>
        <v>11314.39</v>
      </c>
      <c r="I91" s="538">
        <f t="shared" si="171"/>
        <v>11437.67</v>
      </c>
      <c r="J91" s="539">
        <f t="shared" si="137"/>
        <v>5.5049999999999999</v>
      </c>
      <c r="K91" s="540">
        <f t="shared" si="172"/>
        <v>0</v>
      </c>
      <c r="L91" s="541">
        <f t="shared" si="71"/>
        <v>0</v>
      </c>
      <c r="M91" s="541">
        <f t="shared" si="71"/>
        <v>8.5999999999999993E-2</v>
      </c>
      <c r="O91" s="542" t="b">
        <f t="shared" si="173"/>
        <v>1</v>
      </c>
      <c r="P91" s="493">
        <f t="shared" si="138"/>
        <v>0.13059999999999999</v>
      </c>
      <c r="Q91" s="493">
        <f t="shared" si="139"/>
        <v>0.86939999999999995</v>
      </c>
      <c r="R91" s="543">
        <f t="shared" si="140"/>
        <v>191038</v>
      </c>
      <c r="S91" s="544">
        <f t="shared" si="141"/>
        <v>0.97560975599999999</v>
      </c>
      <c r="T91" s="423">
        <f t="shared" si="142"/>
        <v>20195.189999999999</v>
      </c>
      <c r="U91" s="423">
        <f xml:space="preserve"> IF( $O91,    ROUND(  SUM( T91:T$120), U$17 ),  LEER  )</f>
        <v>99580.43</v>
      </c>
      <c r="V91" s="493">
        <f t="shared" si="143"/>
        <v>4.9309000000000003</v>
      </c>
      <c r="W91" s="493">
        <f t="shared" si="144"/>
        <v>111174.52</v>
      </c>
      <c r="X91" s="493">
        <f xml:space="preserve"> IF( $O91,    ROUND(  SUM( W91:W$120), X$17 ),  LEER  )</f>
        <v>548499.31000000006</v>
      </c>
      <c r="Y91" s="493">
        <f t="shared" si="145"/>
        <v>27.1599</v>
      </c>
      <c r="Z91" s="493">
        <f t="shared" si="146"/>
        <v>5.5080999999999998</v>
      </c>
      <c r="AA91" s="493">
        <f t="shared" si="147"/>
        <v>1</v>
      </c>
      <c r="AB91" s="493">
        <f t="shared" si="148"/>
        <v>2.3494000000000002</v>
      </c>
      <c r="AC91" s="545">
        <f t="shared" si="149"/>
        <v>0.32679999999999998</v>
      </c>
      <c r="AD91" s="493">
        <f t="shared" si="150"/>
        <v>5.5080999999999998</v>
      </c>
      <c r="AE91" s="493">
        <f t="shared" si="151"/>
        <v>6.3838999999999997</v>
      </c>
      <c r="AF91" s="493">
        <f t="shared" si="152"/>
        <v>6.3838999999999997</v>
      </c>
      <c r="AG91" s="493" t="str">
        <f t="shared" si="153"/>
        <v>.</v>
      </c>
      <c r="AH91" s="493" t="str">
        <f t="shared" si="154"/>
        <v>.</v>
      </c>
      <c r="AI91" s="423">
        <f t="shared" si="155"/>
        <v>2077.79</v>
      </c>
      <c r="AJ91" s="423">
        <f t="shared" si="156"/>
        <v>13264.4</v>
      </c>
      <c r="AK91" s="423">
        <f t="shared" si="157"/>
        <v>1105.3699999999999</v>
      </c>
      <c r="AN91" s="423">
        <f t="shared" si="129"/>
        <v>37436.620000000003</v>
      </c>
      <c r="AO91" s="423">
        <f t="shared" si="129"/>
        <v>37209.17</v>
      </c>
      <c r="AR91" s="546">
        <f xml:space="preserve"> ROUND(  INDEX( Kx!91:91, AR$16 ),  AR$17 )</f>
        <v>0.38300000000000001</v>
      </c>
      <c r="AS91" s="547">
        <f xml:space="preserve"> ROUND(  INDEX( qx!91:91, AS$16 ),  AS$17 )</f>
        <v>0.15210000000000001</v>
      </c>
      <c r="AT91" s="547">
        <f xml:space="preserve"> ROUND(  INDEX( qx!91:91, AT$16 ),  AT$17 )</f>
        <v>0.1196</v>
      </c>
      <c r="AU91" s="548" t="str">
        <f t="shared" si="158"/>
        <v>F</v>
      </c>
      <c r="AV91" s="542">
        <f t="shared" si="159"/>
        <v>0.29270000000000002</v>
      </c>
      <c r="AW91" s="542">
        <f t="shared" si="160"/>
        <v>0.12909999999999999</v>
      </c>
      <c r="AX91" s="546">
        <f xml:space="preserve"> ROUND(  INDEX( wx!91:91, AX$16 ),  AX$17 )</f>
        <v>8.0000000000000004E-4</v>
      </c>
      <c r="AY91" s="546">
        <f xml:space="preserve"> ROUND(  INDEX( wx!91:91, AY$16 ),  AY$17 )</f>
        <v>2.0999999999999999E-3</v>
      </c>
      <c r="AZ91" s="548" t="str">
        <f t="shared" si="161"/>
        <v>M</v>
      </c>
      <c r="BA91" s="542">
        <f t="shared" si="162"/>
        <v>0.48220000000000002</v>
      </c>
      <c r="BB91" s="542">
        <f t="shared" si="163"/>
        <v>1.5E-3</v>
      </c>
      <c r="BC91" s="533">
        <f xml:space="preserve"> ROUND(  INDEX( Kx!91:91, BC$16 ),  BC$17 )</f>
        <v>12551.78</v>
      </c>
      <c r="BD91" s="533">
        <f xml:space="preserve"> ROUND(  INDEX( Kx!91:91, BD$16 ),  BD$17 )</f>
        <v>10162.08</v>
      </c>
      <c r="BE91" s="548" t="str">
        <f t="shared" si="174"/>
        <v>M</v>
      </c>
      <c r="BF91" s="542">
        <f t="shared" si="164"/>
        <v>0.48220000000000002</v>
      </c>
      <c r="BG91" s="420">
        <f t="shared" si="165"/>
        <v>11314.39</v>
      </c>
      <c r="BQ91" s="549"/>
      <c r="BR91" s="423"/>
      <c r="BS91" s="550"/>
      <c r="BT91" s="423"/>
      <c r="BU91" s="551"/>
      <c r="BV91" s="551"/>
      <c r="BW91" s="529"/>
      <c r="BX91" s="552"/>
      <c r="BY91" s="560"/>
      <c r="BZ91" s="559"/>
      <c r="CB91" s="423"/>
      <c r="CC91" s="423"/>
      <c r="CD91" s="423"/>
      <c r="CE91" s="423"/>
      <c r="CF91" s="553"/>
      <c r="CH91" s="423"/>
      <c r="CI91" s="423"/>
      <c r="CJ91" s="423"/>
      <c r="CK91" s="423"/>
      <c r="CL91" s="553"/>
      <c r="CN91" s="423"/>
      <c r="CO91" s="423"/>
      <c r="CP91" s="423"/>
      <c r="CQ91" s="423"/>
      <c r="CR91" s="553"/>
      <c r="EI91" s="553"/>
      <c r="EJ91" s="553"/>
      <c r="EK91" s="423"/>
      <c r="EL91" s="555"/>
      <c r="ES91" s="533"/>
      <c r="ET91" s="533"/>
      <c r="EU91" s="533"/>
      <c r="EV91" s="556"/>
      <c r="EY91" s="533"/>
      <c r="EZ91" s="533"/>
      <c r="FA91" s="556"/>
      <c r="FD91" s="556"/>
      <c r="FE91" s="556"/>
      <c r="FF91" s="556"/>
      <c r="FK91" s="557">
        <f t="shared" si="166"/>
        <v>91</v>
      </c>
      <c r="FL91" s="493">
        <f t="shared" si="167"/>
        <v>27.1599</v>
      </c>
      <c r="FM91" s="493">
        <f t="shared" si="168"/>
        <v>4.9309000000000003</v>
      </c>
      <c r="FO91" s="427">
        <f t="shared" si="175"/>
        <v>1540947.8499999999</v>
      </c>
      <c r="FP91" s="558">
        <f t="shared" si="169"/>
        <v>44134.02</v>
      </c>
      <c r="FQ91" s="558">
        <f t="shared" si="169"/>
        <v>43719.08</v>
      </c>
      <c r="FR91" s="558">
        <f t="shared" si="169"/>
        <v>43303.12</v>
      </c>
      <c r="FS91" s="558">
        <f t="shared" si="169"/>
        <v>42887.16</v>
      </c>
      <c r="FT91" s="558">
        <f t="shared" si="169"/>
        <v>42456.85</v>
      </c>
      <c r="FU91" s="558">
        <f t="shared" si="169"/>
        <v>42014.25</v>
      </c>
      <c r="FV91" s="558">
        <f t="shared" si="169"/>
        <v>41575.75</v>
      </c>
      <c r="FW91" s="558">
        <f t="shared" si="169"/>
        <v>41134.18</v>
      </c>
      <c r="FX91" s="558">
        <f t="shared" si="169"/>
        <v>40677.230000000003</v>
      </c>
      <c r="FY91" s="558">
        <f t="shared" si="169"/>
        <v>40201.85</v>
      </c>
      <c r="FZ91" s="558">
        <f t="shared" si="169"/>
        <v>39723.39</v>
      </c>
      <c r="GA91" s="558">
        <f t="shared" si="169"/>
        <v>39237.760000000002</v>
      </c>
      <c r="GB91" s="558">
        <f t="shared" si="169"/>
        <v>38740.86</v>
      </c>
      <c r="GC91" s="558">
        <f t="shared" si="169"/>
        <v>38241.910000000003</v>
      </c>
      <c r="GD91" s="558">
        <f t="shared" si="169"/>
        <v>37727.589999999997</v>
      </c>
      <c r="GE91" s="558">
        <f t="shared" si="169"/>
        <v>37209.17</v>
      </c>
      <c r="GF91" s="558">
        <f t="shared" si="134"/>
        <v>36675.39</v>
      </c>
      <c r="GG91" s="558">
        <f t="shared" si="134"/>
        <v>36129.31</v>
      </c>
      <c r="GH91" s="558">
        <f t="shared" si="134"/>
        <v>35567.86</v>
      </c>
      <c r="GI91" s="558">
        <f t="shared" si="134"/>
        <v>34990.019999999997</v>
      </c>
      <c r="GJ91" s="558">
        <f t="shared" si="134"/>
        <v>34394.769999999997</v>
      </c>
      <c r="GK91" s="558">
        <f t="shared" si="134"/>
        <v>33776.97</v>
      </c>
      <c r="GL91" s="558">
        <f t="shared" si="134"/>
        <v>33136.639999999999</v>
      </c>
      <c r="GM91" s="558">
        <f t="shared" si="134"/>
        <v>32472.74</v>
      </c>
      <c r="GN91" s="558">
        <f t="shared" si="134"/>
        <v>31782.2</v>
      </c>
      <c r="GO91" s="558">
        <f t="shared" si="134"/>
        <v>31070.14</v>
      </c>
      <c r="GP91" s="558">
        <f t="shared" si="134"/>
        <v>30333.5</v>
      </c>
      <c r="GQ91" s="558">
        <f t="shared" si="134"/>
        <v>29574.32</v>
      </c>
      <c r="GR91" s="558">
        <f t="shared" si="134"/>
        <v>28794.65</v>
      </c>
      <c r="GS91" s="558">
        <f t="shared" si="134"/>
        <v>27995.51</v>
      </c>
      <c r="GT91" s="558">
        <f t="shared" si="134"/>
        <v>27179.97</v>
      </c>
      <c r="GU91" s="558">
        <f t="shared" si="170"/>
        <v>26344.98</v>
      </c>
      <c r="GV91" s="558">
        <f t="shared" si="170"/>
        <v>25498.71</v>
      </c>
      <c r="GW91" s="558">
        <f t="shared" si="170"/>
        <v>24637.07</v>
      </c>
      <c r="GX91" s="558">
        <f t="shared" si="170"/>
        <v>23766.22</v>
      </c>
      <c r="GY91" s="558">
        <f t="shared" si="170"/>
        <v>22886.14</v>
      </c>
      <c r="GZ91" s="558">
        <f t="shared" si="170"/>
        <v>21995.82</v>
      </c>
      <c r="HA91" s="558">
        <f t="shared" si="170"/>
        <v>21098.32</v>
      </c>
      <c r="HB91" s="558">
        <f t="shared" si="170"/>
        <v>20187.509999999998</v>
      </c>
      <c r="HC91" s="558">
        <f t="shared" si="170"/>
        <v>19257.23</v>
      </c>
      <c r="HD91" s="558">
        <f t="shared" si="170"/>
        <v>18313.63</v>
      </c>
      <c r="HE91" s="558">
        <f t="shared" si="170"/>
        <v>17360.810000000001</v>
      </c>
      <c r="HF91" s="558">
        <f t="shared" si="170"/>
        <v>16395.689999999999</v>
      </c>
      <c r="HG91" s="558">
        <f t="shared" si="170"/>
        <v>15423.41</v>
      </c>
      <c r="HH91" s="558">
        <f t="shared" si="170"/>
        <v>14440.88</v>
      </c>
      <c r="HI91" s="558">
        <f t="shared" si="170"/>
        <v>13467.57</v>
      </c>
      <c r="HJ91" s="558">
        <f t="shared" si="170"/>
        <v>12486.06</v>
      </c>
      <c r="HK91" s="558">
        <f t="shared" si="135"/>
        <v>11510.7</v>
      </c>
      <c r="HL91" s="558">
        <f t="shared" si="135"/>
        <v>10542.51</v>
      </c>
      <c r="HM91" s="558">
        <f t="shared" si="135"/>
        <v>9578.42</v>
      </c>
      <c r="HN91" s="558">
        <f t="shared" si="135"/>
        <v>8784.4</v>
      </c>
      <c r="HO91" s="558">
        <f t="shared" si="135"/>
        <v>8014.98</v>
      </c>
      <c r="HP91" s="558">
        <f t="shared" si="135"/>
        <v>7278.33</v>
      </c>
      <c r="HQ91" s="558">
        <f t="shared" si="135"/>
        <v>6580.62</v>
      </c>
      <c r="HR91" s="558">
        <f t="shared" si="135"/>
        <v>5738.45</v>
      </c>
      <c r="HS91" s="558">
        <f t="shared" si="135"/>
        <v>4929.07</v>
      </c>
      <c r="HT91" s="558">
        <f t="shared" si="135"/>
        <v>4157.59</v>
      </c>
      <c r="HU91" s="558">
        <f t="shared" si="135"/>
        <v>3448.61</v>
      </c>
      <c r="HV91" s="558">
        <f t="shared" si="135"/>
        <v>2795.98</v>
      </c>
      <c r="HW91" s="558">
        <f t="shared" si="135"/>
        <v>2202.7800000000002</v>
      </c>
      <c r="HX91" s="558">
        <f t="shared" si="135"/>
        <v>1683.34</v>
      </c>
      <c r="HY91" s="558">
        <f t="shared" si="135"/>
        <v>1226.3900000000001</v>
      </c>
      <c r="HZ91" s="558">
        <f t="shared" si="133"/>
        <v>854.48</v>
      </c>
      <c r="IA91" s="558">
        <f t="shared" si="133"/>
        <v>555.32000000000005</v>
      </c>
      <c r="IB91" s="558">
        <f t="shared" si="133"/>
        <v>331.97</v>
      </c>
      <c r="IC91" s="558">
        <f t="shared" si="132"/>
        <v>183.41</v>
      </c>
      <c r="ID91" s="558">
        <f t="shared" si="132"/>
        <v>85.06</v>
      </c>
      <c r="IE91" s="558">
        <f t="shared" si="132"/>
        <v>16.41</v>
      </c>
      <c r="IF91" s="558">
        <f t="shared" si="132"/>
        <v>14.36</v>
      </c>
      <c r="IG91" s="558">
        <f t="shared" si="132"/>
        <v>10.27</v>
      </c>
      <c r="IH91" s="558">
        <f t="shared" si="132"/>
        <v>6.17</v>
      </c>
      <c r="II91" s="558">
        <f t="shared" si="132"/>
        <v>0.02</v>
      </c>
      <c r="IJ91" s="558" t="str">
        <f t="shared" si="132"/>
        <v>.</v>
      </c>
      <c r="IK91" s="558" t="str">
        <f t="shared" si="132"/>
        <v>.</v>
      </c>
      <c r="IL91" s="558" t="str">
        <f t="shared" si="132"/>
        <v>.</v>
      </c>
      <c r="IM91" s="558" t="str">
        <f t="shared" si="132"/>
        <v>.</v>
      </c>
      <c r="IN91" s="558" t="str">
        <f t="shared" si="132"/>
        <v>.</v>
      </c>
      <c r="IO91" s="558" t="str">
        <f t="shared" si="132"/>
        <v>.</v>
      </c>
      <c r="IP91" s="558" t="str">
        <f t="shared" si="132"/>
        <v>.</v>
      </c>
      <c r="IQ91" s="558" t="str">
        <f t="shared" si="132"/>
        <v>.</v>
      </c>
      <c r="IR91" s="558" t="str">
        <f t="shared" si="132"/>
        <v>.</v>
      </c>
      <c r="IS91" s="558" t="str">
        <f t="shared" si="130"/>
        <v>.</v>
      </c>
      <c r="IT91" s="558" t="str">
        <f t="shared" si="130"/>
        <v>.</v>
      </c>
      <c r="IU91" s="558" t="str">
        <f t="shared" si="130"/>
        <v>.</v>
      </c>
      <c r="IV91" s="558" t="str">
        <f t="shared" si="130"/>
        <v>.</v>
      </c>
      <c r="IW91" s="558" t="str">
        <f t="shared" si="130"/>
        <v>.</v>
      </c>
      <c r="IX91" s="558" t="str">
        <f t="shared" si="130"/>
        <v>.</v>
      </c>
      <c r="IY91" s="558" t="str">
        <f t="shared" si="130"/>
        <v>.</v>
      </c>
      <c r="IZ91" s="558" t="str">
        <f t="shared" si="130"/>
        <v>.</v>
      </c>
      <c r="JA91" s="558" t="str">
        <f t="shared" si="130"/>
        <v>.</v>
      </c>
      <c r="JB91" s="558" t="str">
        <f t="shared" si="130"/>
        <v>.</v>
      </c>
      <c r="JC91" s="558" t="str">
        <f t="shared" si="130"/>
        <v>.</v>
      </c>
      <c r="JD91" s="558" t="str">
        <f t="shared" si="130"/>
        <v>.</v>
      </c>
      <c r="JE91" s="558" t="str">
        <f t="shared" si="130"/>
        <v>.</v>
      </c>
      <c r="JF91" s="558" t="str">
        <f t="shared" si="130"/>
        <v>.</v>
      </c>
      <c r="JG91" s="558" t="str">
        <f t="shared" si="130"/>
        <v>.</v>
      </c>
      <c r="JH91" s="558" t="str">
        <f t="shared" si="136"/>
        <v>.</v>
      </c>
      <c r="JI91" s="558" t="str">
        <f t="shared" si="136"/>
        <v>.</v>
      </c>
      <c r="JJ91" s="558" t="str">
        <f t="shared" si="136"/>
        <v>.</v>
      </c>
      <c r="JK91" s="558" t="str">
        <f t="shared" si="136"/>
        <v>.</v>
      </c>
      <c r="JL91" s="558" t="str">
        <f t="shared" si="136"/>
        <v>.</v>
      </c>
    </row>
    <row r="92" spans="1:272" ht="10.199999999999999" x14ac:dyDescent="0.2">
      <c r="A92" s="534">
        <f xml:space="preserve"> Basis!A92</f>
        <v>92</v>
      </c>
      <c r="F92" s="536">
        <f xml:space="preserve"> ROUND(    IF( $A$15=BE_MF_,   AW92,   INDEX( qx!92:92, F$16 ) ),    F$17    )</f>
        <v>0.14510000000000001</v>
      </c>
      <c r="G92" s="536">
        <f xml:space="preserve"> ROUND(    IF( $A$15=BE_MF_,   BB92,   INDEX( wx!92:92, G$16 ) ),    G$17    )</f>
        <v>1.4E-3</v>
      </c>
      <c r="H92" s="537">
        <f xml:space="preserve"> ROUND(    IF( $A$15=BE_MF_,   BG92,   INDEX( Kx!92:92, H$16 ) ),    H$17    )</f>
        <v>11317.65</v>
      </c>
      <c r="I92" s="538">
        <f t="shared" si="171"/>
        <v>11437.67</v>
      </c>
      <c r="J92" s="539">
        <f t="shared" si="137"/>
        <v>5.5049999999999999</v>
      </c>
      <c r="K92" s="540">
        <f t="shared" si="172"/>
        <v>0</v>
      </c>
      <c r="L92" s="541">
        <f t="shared" si="71"/>
        <v>0</v>
      </c>
      <c r="M92" s="541">
        <f t="shared" si="71"/>
        <v>8.5999999999999993E-2</v>
      </c>
      <c r="O92" s="542" t="b">
        <f t="shared" si="173"/>
        <v>1</v>
      </c>
      <c r="P92" s="493">
        <f t="shared" si="138"/>
        <v>0.14649999999999999</v>
      </c>
      <c r="Q92" s="493">
        <f t="shared" si="139"/>
        <v>0.85350000000000004</v>
      </c>
      <c r="R92" s="543">
        <f t="shared" si="140"/>
        <v>166088</v>
      </c>
      <c r="S92" s="544">
        <f t="shared" si="141"/>
        <v>0.97560975599999999</v>
      </c>
      <c r="T92" s="423">
        <f t="shared" si="142"/>
        <v>17129.419999999998</v>
      </c>
      <c r="U92" s="423">
        <f xml:space="preserve"> IF( $O92,    ROUND(  SUM( T92:T$120), U$17 ),  LEER  )</f>
        <v>79385.240000000005</v>
      </c>
      <c r="V92" s="493">
        <f t="shared" si="143"/>
        <v>4.6344000000000003</v>
      </c>
      <c r="W92" s="493">
        <f t="shared" si="144"/>
        <v>94297.46</v>
      </c>
      <c r="X92" s="493">
        <f xml:space="preserve"> IF( $O92,    ROUND(  SUM( W92:W$120), X$17 ),  LEER  )</f>
        <v>437324.79</v>
      </c>
      <c r="Y92" s="493">
        <f t="shared" si="145"/>
        <v>25.5306</v>
      </c>
      <c r="Z92" s="493">
        <f t="shared" si="146"/>
        <v>5.5088999999999997</v>
      </c>
      <c r="AA92" s="493">
        <f t="shared" si="147"/>
        <v>1</v>
      </c>
      <c r="AB92" s="493">
        <f t="shared" si="148"/>
        <v>2.3494000000000002</v>
      </c>
      <c r="AC92" s="545">
        <f t="shared" si="149"/>
        <v>0.32679999999999998</v>
      </c>
      <c r="AD92" s="493">
        <f t="shared" si="150"/>
        <v>5.5088999999999997</v>
      </c>
      <c r="AE92" s="493">
        <f t="shared" si="151"/>
        <v>6.3848000000000003</v>
      </c>
      <c r="AF92" s="493">
        <f t="shared" si="152"/>
        <v>6.3848000000000003</v>
      </c>
      <c r="AG92" s="493" t="str">
        <f t="shared" si="153"/>
        <v>.</v>
      </c>
      <c r="AH92" s="493" t="str">
        <f t="shared" si="154"/>
        <v>.</v>
      </c>
      <c r="AI92" s="423">
        <f t="shared" si="155"/>
        <v>2077.79</v>
      </c>
      <c r="AJ92" s="423">
        <f t="shared" si="156"/>
        <v>13266.27</v>
      </c>
      <c r="AK92" s="423">
        <f t="shared" si="157"/>
        <v>1105.52</v>
      </c>
      <c r="AN92" s="423">
        <f t="shared" si="129"/>
        <v>35193.519999999997</v>
      </c>
      <c r="AO92" s="423">
        <f t="shared" si="129"/>
        <v>34979.75</v>
      </c>
      <c r="AR92" s="546">
        <f xml:space="preserve"> ROUND(  INDEX( Kx!92:92, AR$16 ),  AR$17 )</f>
        <v>0.36759999999999998</v>
      </c>
      <c r="AS92" s="547">
        <f xml:space="preserve"> ROUND(  INDEX( qx!92:92, AS$16 ),  AS$17 )</f>
        <v>0.17100000000000001</v>
      </c>
      <c r="AT92" s="547">
        <f xml:space="preserve"> ROUND(  INDEX( qx!92:92, AT$16 ),  AT$17 )</f>
        <v>0.1351</v>
      </c>
      <c r="AU92" s="548" t="str">
        <f t="shared" si="158"/>
        <v>F</v>
      </c>
      <c r="AV92" s="542">
        <f t="shared" si="159"/>
        <v>0.27929999999999999</v>
      </c>
      <c r="AW92" s="542">
        <f t="shared" si="160"/>
        <v>0.14510000000000001</v>
      </c>
      <c r="AX92" s="546">
        <f xml:space="preserve"> ROUND(  INDEX( wx!92:92, AX$16 ),  AX$17 )</f>
        <v>6.9999999999999999E-4</v>
      </c>
      <c r="AY92" s="546">
        <f xml:space="preserve"> ROUND(  INDEX( wx!92:92, AY$16 ),  AY$17 )</f>
        <v>2.0999999999999999E-3</v>
      </c>
      <c r="AZ92" s="548" t="str">
        <f t="shared" si="161"/>
        <v>M</v>
      </c>
      <c r="BA92" s="542">
        <f t="shared" si="162"/>
        <v>0.46579999999999999</v>
      </c>
      <c r="BB92" s="542">
        <f t="shared" si="163"/>
        <v>1.4E-3</v>
      </c>
      <c r="BC92" s="533">
        <f xml:space="preserve"> ROUND(  INDEX( Kx!92:92, BC$16 ),  BC$17 )</f>
        <v>12633.61</v>
      </c>
      <c r="BD92" s="533">
        <f xml:space="preserve"> ROUND(  INDEX( Kx!92:92, BD$16 ),  BD$17 )</f>
        <v>10170.18</v>
      </c>
      <c r="BE92" s="548" t="str">
        <f t="shared" si="174"/>
        <v>M</v>
      </c>
      <c r="BF92" s="542">
        <f t="shared" si="164"/>
        <v>0.46579999999999999</v>
      </c>
      <c r="BG92" s="420">
        <f t="shared" si="165"/>
        <v>11317.65</v>
      </c>
      <c r="BQ92" s="549"/>
      <c r="BR92" s="423"/>
      <c r="BS92" s="550"/>
      <c r="BT92" s="423"/>
      <c r="BU92" s="551"/>
      <c r="BV92" s="551"/>
      <c r="BW92" s="529"/>
      <c r="BX92" s="552"/>
      <c r="BY92" s="560"/>
      <c r="BZ92" s="559"/>
      <c r="CB92" s="423"/>
      <c r="CC92" s="423"/>
      <c r="CD92" s="423"/>
      <c r="CE92" s="423"/>
      <c r="CF92" s="553"/>
      <c r="CH92" s="423"/>
      <c r="CI92" s="423"/>
      <c r="CJ92" s="423"/>
      <c r="CK92" s="423"/>
      <c r="CL92" s="553"/>
      <c r="CN92" s="423"/>
      <c r="CO92" s="423"/>
      <c r="CP92" s="423"/>
      <c r="CQ92" s="423"/>
      <c r="CR92" s="553"/>
      <c r="EI92" s="553"/>
      <c r="EJ92" s="553"/>
      <c r="EK92" s="423"/>
      <c r="EL92" s="555"/>
      <c r="ES92" s="533"/>
      <c r="ET92" s="533"/>
      <c r="EU92" s="533"/>
      <c r="EV92" s="556"/>
      <c r="EY92" s="533"/>
      <c r="EZ92" s="533"/>
      <c r="FA92" s="556"/>
      <c r="FD92" s="556"/>
      <c r="FE92" s="556"/>
      <c r="FF92" s="556"/>
      <c r="FK92" s="557">
        <f t="shared" si="166"/>
        <v>92</v>
      </c>
      <c r="FL92" s="493">
        <f t="shared" si="167"/>
        <v>25.5306</v>
      </c>
      <c r="FM92" s="493">
        <f t="shared" si="168"/>
        <v>4.6344000000000003</v>
      </c>
      <c r="FO92" s="427">
        <f t="shared" si="175"/>
        <v>1448865.6099999996</v>
      </c>
      <c r="FP92" s="558">
        <f t="shared" si="169"/>
        <v>41488.199999999997</v>
      </c>
      <c r="FQ92" s="558">
        <f t="shared" si="169"/>
        <v>41098.21</v>
      </c>
      <c r="FR92" s="558">
        <f t="shared" si="169"/>
        <v>40707.26</v>
      </c>
      <c r="FS92" s="558">
        <f t="shared" si="169"/>
        <v>40316.31</v>
      </c>
      <c r="FT92" s="558">
        <f t="shared" si="169"/>
        <v>39911.879999999997</v>
      </c>
      <c r="FU92" s="558">
        <f t="shared" si="169"/>
        <v>39495.9</v>
      </c>
      <c r="FV92" s="558">
        <f t="shared" si="169"/>
        <v>39083.760000000002</v>
      </c>
      <c r="FW92" s="558">
        <f t="shared" si="169"/>
        <v>38668.74</v>
      </c>
      <c r="FX92" s="558">
        <f t="shared" si="169"/>
        <v>38239.269999999997</v>
      </c>
      <c r="FY92" s="558">
        <f t="shared" si="169"/>
        <v>37792.47</v>
      </c>
      <c r="FZ92" s="558">
        <f t="shared" si="169"/>
        <v>37342.78</v>
      </c>
      <c r="GA92" s="558">
        <f t="shared" si="169"/>
        <v>36886.35</v>
      </c>
      <c r="GB92" s="558">
        <f t="shared" si="169"/>
        <v>36419.33</v>
      </c>
      <c r="GC92" s="558">
        <f t="shared" si="169"/>
        <v>35950.39</v>
      </c>
      <c r="GD92" s="558">
        <f t="shared" si="169"/>
        <v>35466.99</v>
      </c>
      <c r="GE92" s="558">
        <f t="shared" si="169"/>
        <v>34979.75</v>
      </c>
      <c r="GF92" s="558">
        <f t="shared" si="134"/>
        <v>34478.06</v>
      </c>
      <c r="GG92" s="558">
        <f t="shared" si="134"/>
        <v>33964.82</v>
      </c>
      <c r="GH92" s="558">
        <f t="shared" si="134"/>
        <v>33437.14</v>
      </c>
      <c r="GI92" s="558">
        <f t="shared" si="134"/>
        <v>32894.04</v>
      </c>
      <c r="GJ92" s="558">
        <f t="shared" si="134"/>
        <v>32334.58</v>
      </c>
      <c r="GK92" s="558">
        <f t="shared" si="134"/>
        <v>31753.93</v>
      </c>
      <c r="GL92" s="558">
        <f t="shared" si="134"/>
        <v>31152.1</v>
      </c>
      <c r="GM92" s="558">
        <f t="shared" si="134"/>
        <v>30528.12</v>
      </c>
      <c r="GN92" s="558">
        <f t="shared" si="134"/>
        <v>29879.11</v>
      </c>
      <c r="GO92" s="558">
        <f t="shared" si="134"/>
        <v>29209.87</v>
      </c>
      <c r="GP92" s="558">
        <f t="shared" si="134"/>
        <v>28517.52</v>
      </c>
      <c r="GQ92" s="558">
        <f t="shared" si="134"/>
        <v>27803.99</v>
      </c>
      <c r="GR92" s="558">
        <f t="shared" si="134"/>
        <v>27071.200000000001</v>
      </c>
      <c r="GS92" s="558">
        <f t="shared" si="134"/>
        <v>26320.11</v>
      </c>
      <c r="GT92" s="558">
        <f t="shared" si="134"/>
        <v>25553.62</v>
      </c>
      <c r="GU92" s="558">
        <f t="shared" si="170"/>
        <v>24768.83</v>
      </c>
      <c r="GV92" s="558">
        <f t="shared" si="170"/>
        <v>23973.45</v>
      </c>
      <c r="GW92" s="558">
        <f t="shared" si="170"/>
        <v>23163.62</v>
      </c>
      <c r="GX92" s="558">
        <f t="shared" si="170"/>
        <v>22345.13</v>
      </c>
      <c r="GY92" s="558">
        <f t="shared" si="170"/>
        <v>21517.98</v>
      </c>
      <c r="GZ92" s="558">
        <f t="shared" si="170"/>
        <v>20681.189999999999</v>
      </c>
      <c r="HA92" s="558">
        <f t="shared" si="170"/>
        <v>19837.66</v>
      </c>
      <c r="HB92" s="558">
        <f t="shared" si="170"/>
        <v>18981.62</v>
      </c>
      <c r="HC92" s="558">
        <f t="shared" si="170"/>
        <v>18107.27</v>
      </c>
      <c r="HD92" s="558">
        <f t="shared" si="170"/>
        <v>17220.41</v>
      </c>
      <c r="HE92" s="558">
        <f t="shared" si="170"/>
        <v>16324.89</v>
      </c>
      <c r="HF92" s="558">
        <f t="shared" si="170"/>
        <v>15417.81</v>
      </c>
      <c r="HG92" s="558">
        <f t="shared" si="170"/>
        <v>14503.99</v>
      </c>
      <c r="HH92" s="558">
        <f t="shared" si="170"/>
        <v>13580.54</v>
      </c>
      <c r="HI92" s="558">
        <f t="shared" si="170"/>
        <v>12665.75</v>
      </c>
      <c r="HJ92" s="558">
        <f t="shared" si="170"/>
        <v>11743.26</v>
      </c>
      <c r="HK92" s="558">
        <f t="shared" si="135"/>
        <v>10826.55</v>
      </c>
      <c r="HL92" s="558">
        <f t="shared" si="135"/>
        <v>9916.58</v>
      </c>
      <c r="HM92" s="558">
        <f t="shared" si="135"/>
        <v>9010.4599999999991</v>
      </c>
      <c r="HN92" s="558">
        <f t="shared" si="135"/>
        <v>8264.19</v>
      </c>
      <c r="HO92" s="558">
        <f t="shared" si="135"/>
        <v>7541.03</v>
      </c>
      <c r="HP92" s="558">
        <f t="shared" si="135"/>
        <v>6848.68</v>
      </c>
      <c r="HQ92" s="558">
        <f t="shared" si="135"/>
        <v>6192.93</v>
      </c>
      <c r="HR92" s="558">
        <f t="shared" si="135"/>
        <v>5401.4</v>
      </c>
      <c r="HS92" s="558">
        <f t="shared" si="135"/>
        <v>4640.68</v>
      </c>
      <c r="HT92" s="558">
        <f t="shared" si="135"/>
        <v>3915.6</v>
      </c>
      <c r="HU92" s="558">
        <f t="shared" si="135"/>
        <v>3249.25</v>
      </c>
      <c r="HV92" s="558">
        <f t="shared" si="135"/>
        <v>2635.86</v>
      </c>
      <c r="HW92" s="558">
        <f t="shared" si="135"/>
        <v>2078.3200000000002</v>
      </c>
      <c r="HX92" s="558">
        <f t="shared" si="135"/>
        <v>1590.12</v>
      </c>
      <c r="HY92" s="558">
        <f t="shared" si="135"/>
        <v>1160.6500000000001</v>
      </c>
      <c r="HZ92" s="558">
        <f t="shared" si="133"/>
        <v>811.11</v>
      </c>
      <c r="IA92" s="558">
        <f t="shared" si="133"/>
        <v>529.92999999999995</v>
      </c>
      <c r="IB92" s="558">
        <f t="shared" si="133"/>
        <v>320.01</v>
      </c>
      <c r="IC92" s="558">
        <f t="shared" si="132"/>
        <v>180.39</v>
      </c>
      <c r="ID92" s="558">
        <f t="shared" si="132"/>
        <v>87.95</v>
      </c>
      <c r="IE92" s="558">
        <f t="shared" si="132"/>
        <v>23.43</v>
      </c>
      <c r="IF92" s="558">
        <f t="shared" si="132"/>
        <v>21.5</v>
      </c>
      <c r="IG92" s="558">
        <f t="shared" si="132"/>
        <v>17.649999999999999</v>
      </c>
      <c r="IH92" s="558">
        <f t="shared" si="132"/>
        <v>13.8</v>
      </c>
      <c r="II92" s="558">
        <f t="shared" si="132"/>
        <v>8.02</v>
      </c>
      <c r="IJ92" s="558">
        <f t="shared" si="132"/>
        <v>0.32</v>
      </c>
      <c r="IK92" s="558" t="str">
        <f t="shared" si="132"/>
        <v>.</v>
      </c>
      <c r="IL92" s="558" t="str">
        <f t="shared" si="132"/>
        <v>.</v>
      </c>
      <c r="IM92" s="558" t="str">
        <f t="shared" si="132"/>
        <v>.</v>
      </c>
      <c r="IN92" s="558" t="str">
        <f t="shared" si="132"/>
        <v>.</v>
      </c>
      <c r="IO92" s="558" t="str">
        <f t="shared" si="132"/>
        <v>.</v>
      </c>
      <c r="IP92" s="558" t="str">
        <f t="shared" si="132"/>
        <v>.</v>
      </c>
      <c r="IQ92" s="558" t="str">
        <f t="shared" si="132"/>
        <v>.</v>
      </c>
      <c r="IR92" s="558" t="str">
        <f t="shared" si="132"/>
        <v>.</v>
      </c>
      <c r="IS92" s="558" t="str">
        <f t="shared" si="130"/>
        <v>.</v>
      </c>
      <c r="IT92" s="558" t="str">
        <f t="shared" si="130"/>
        <v>.</v>
      </c>
      <c r="IU92" s="558" t="str">
        <f t="shared" si="130"/>
        <v>.</v>
      </c>
      <c r="IV92" s="558" t="str">
        <f t="shared" si="130"/>
        <v>.</v>
      </c>
      <c r="IW92" s="558" t="str">
        <f t="shared" si="130"/>
        <v>.</v>
      </c>
      <c r="IX92" s="558" t="str">
        <f t="shared" si="130"/>
        <v>.</v>
      </c>
      <c r="IY92" s="558" t="str">
        <f t="shared" si="130"/>
        <v>.</v>
      </c>
      <c r="IZ92" s="558" t="str">
        <f t="shared" si="130"/>
        <v>.</v>
      </c>
      <c r="JA92" s="558" t="str">
        <f t="shared" si="130"/>
        <v>.</v>
      </c>
      <c r="JB92" s="558" t="str">
        <f t="shared" si="130"/>
        <v>.</v>
      </c>
      <c r="JC92" s="558" t="str">
        <f t="shared" si="130"/>
        <v>.</v>
      </c>
      <c r="JD92" s="558" t="str">
        <f t="shared" si="130"/>
        <v>.</v>
      </c>
      <c r="JE92" s="558" t="str">
        <f t="shared" si="130"/>
        <v>.</v>
      </c>
      <c r="JF92" s="558" t="str">
        <f t="shared" si="130"/>
        <v>.</v>
      </c>
      <c r="JG92" s="558" t="str">
        <f t="shared" si="130"/>
        <v>.</v>
      </c>
      <c r="JH92" s="558" t="str">
        <f t="shared" si="136"/>
        <v>.</v>
      </c>
      <c r="JI92" s="558" t="str">
        <f t="shared" si="136"/>
        <v>.</v>
      </c>
      <c r="JJ92" s="558" t="str">
        <f t="shared" si="136"/>
        <v>.</v>
      </c>
      <c r="JK92" s="558" t="str">
        <f t="shared" si="136"/>
        <v>.</v>
      </c>
      <c r="JL92" s="558" t="str">
        <f t="shared" si="136"/>
        <v>.</v>
      </c>
    </row>
    <row r="93" spans="1:272" ht="10.199999999999999" x14ac:dyDescent="0.2">
      <c r="A93" s="534">
        <f xml:space="preserve"> Basis!A93</f>
        <v>93</v>
      </c>
      <c r="F93" s="536">
        <f xml:space="preserve"> ROUND(    IF( $A$15=BE_MF_,   AW93,   INDEX( qx!93:93, F$16 ) ),    F$17    )</f>
        <v>0.16289999999999999</v>
      </c>
      <c r="G93" s="536">
        <f xml:space="preserve"> ROUND(    IF( $A$15=BE_MF_,   BB93,   INDEX( wx!93:93, G$16 ) ),    G$17    )</f>
        <v>1.4E-3</v>
      </c>
      <c r="H93" s="537">
        <f xml:space="preserve"> ROUND(    IF( $A$15=BE_MF_,   BG93,   INDEX( Kx!93:93, H$16 ) ),    H$17    )</f>
        <v>11366.2</v>
      </c>
      <c r="I93" s="538">
        <f t="shared" si="171"/>
        <v>11437.67</v>
      </c>
      <c r="J93" s="539">
        <f t="shared" si="137"/>
        <v>5.5049999999999999</v>
      </c>
      <c r="K93" s="540">
        <f t="shared" si="172"/>
        <v>0</v>
      </c>
      <c r="L93" s="541">
        <f t="shared" si="71"/>
        <v>0</v>
      </c>
      <c r="M93" s="541">
        <f t="shared" si="71"/>
        <v>8.5999999999999993E-2</v>
      </c>
      <c r="O93" s="542" t="b">
        <f t="shared" si="173"/>
        <v>1</v>
      </c>
      <c r="P93" s="493">
        <f t="shared" si="138"/>
        <v>0.1643</v>
      </c>
      <c r="Q93" s="493">
        <f t="shared" si="139"/>
        <v>0.8357</v>
      </c>
      <c r="R93" s="543">
        <f t="shared" si="140"/>
        <v>141756</v>
      </c>
      <c r="S93" s="544">
        <f t="shared" si="141"/>
        <v>0.97560975599999999</v>
      </c>
      <c r="T93" s="423">
        <f t="shared" si="142"/>
        <v>14263.36</v>
      </c>
      <c r="U93" s="423">
        <f xml:space="preserve"> IF( $O93,    ROUND(  SUM( T93:T$120), U$17 ),  LEER  )</f>
        <v>62255.82</v>
      </c>
      <c r="V93" s="493">
        <f t="shared" si="143"/>
        <v>4.3647</v>
      </c>
      <c r="W93" s="493">
        <f t="shared" si="144"/>
        <v>78519.8</v>
      </c>
      <c r="X93" s="493">
        <f xml:space="preserve"> IF( $O93,    ROUND(  SUM( W93:W$120), X$17 ),  LEER  )</f>
        <v>343027.33</v>
      </c>
      <c r="Y93" s="493">
        <f t="shared" si="145"/>
        <v>24.049499999999998</v>
      </c>
      <c r="Z93" s="493">
        <f t="shared" si="146"/>
        <v>5.51</v>
      </c>
      <c r="AA93" s="493">
        <f t="shared" si="147"/>
        <v>1</v>
      </c>
      <c r="AB93" s="493">
        <f t="shared" si="148"/>
        <v>2.3494000000000002</v>
      </c>
      <c r="AC93" s="545">
        <f t="shared" si="149"/>
        <v>0.32679999999999998</v>
      </c>
      <c r="AD93" s="493">
        <f t="shared" si="150"/>
        <v>5.51</v>
      </c>
      <c r="AE93" s="493">
        <f t="shared" si="151"/>
        <v>6.3860000000000001</v>
      </c>
      <c r="AF93" s="493">
        <f t="shared" si="152"/>
        <v>6.3860000000000001</v>
      </c>
      <c r="AG93" s="493" t="str">
        <f t="shared" si="153"/>
        <v>.</v>
      </c>
      <c r="AH93" s="493" t="str">
        <f t="shared" si="154"/>
        <v>.</v>
      </c>
      <c r="AI93" s="423">
        <f t="shared" si="155"/>
        <v>2077.79</v>
      </c>
      <c r="AJ93" s="423">
        <f t="shared" si="156"/>
        <v>13268.77</v>
      </c>
      <c r="AK93" s="423">
        <f t="shared" si="157"/>
        <v>1105.73</v>
      </c>
      <c r="AN93" s="423">
        <f t="shared" si="129"/>
        <v>33155.11</v>
      </c>
      <c r="AO93" s="423">
        <f t="shared" si="129"/>
        <v>32953.78</v>
      </c>
      <c r="AR93" s="546">
        <f xml:space="preserve"> ROUND(  INDEX( Kx!93:93, AR$16 ),  AR$17 )</f>
        <v>0.37009999999999998</v>
      </c>
      <c r="AS93" s="547">
        <f xml:space="preserve"> ROUND(  INDEX( qx!93:93, AS$16 ),  AS$17 )</f>
        <v>0.19109999999999999</v>
      </c>
      <c r="AT93" s="547">
        <f xml:space="preserve"> ROUND(  INDEX( qx!93:93, AT$16 ),  AT$17 )</f>
        <v>0.15179999999999999</v>
      </c>
      <c r="AU93" s="548" t="str">
        <f t="shared" si="158"/>
        <v>F</v>
      </c>
      <c r="AV93" s="542">
        <f t="shared" si="159"/>
        <v>0.28149999999999997</v>
      </c>
      <c r="AW93" s="542">
        <f t="shared" si="160"/>
        <v>0.16289999999999999</v>
      </c>
      <c r="AX93" s="546">
        <f xml:space="preserve"> ROUND(  INDEX( wx!93:93, AX$16 ),  AX$17 )</f>
        <v>5.9999999999999995E-4</v>
      </c>
      <c r="AY93" s="546">
        <f xml:space="preserve"> ROUND(  INDEX( wx!93:93, AY$16 ),  AY$17 )</f>
        <v>2.0999999999999999E-3</v>
      </c>
      <c r="AZ93" s="548" t="str">
        <f t="shared" si="161"/>
        <v>M</v>
      </c>
      <c r="BA93" s="542">
        <f t="shared" si="162"/>
        <v>0.46850000000000003</v>
      </c>
      <c r="BB93" s="542">
        <f t="shared" si="163"/>
        <v>1.4E-3</v>
      </c>
      <c r="BC93" s="533">
        <f xml:space="preserve"> ROUND(  INDEX( Kx!93:93, BC$16 ),  BC$17 )</f>
        <v>12713.37</v>
      </c>
      <c r="BD93" s="533">
        <f xml:space="preserve"> ROUND(  INDEX( Kx!93:93, BD$16 ),  BD$17 )</f>
        <v>10178.709999999999</v>
      </c>
      <c r="BE93" s="548" t="str">
        <f t="shared" si="174"/>
        <v>M</v>
      </c>
      <c r="BF93" s="542">
        <f t="shared" si="164"/>
        <v>0.46850000000000003</v>
      </c>
      <c r="BG93" s="420">
        <f t="shared" si="165"/>
        <v>11366.2</v>
      </c>
      <c r="BQ93" s="549"/>
      <c r="BR93" s="423"/>
      <c r="BS93" s="550"/>
      <c r="BT93" s="423"/>
      <c r="BU93" s="551"/>
      <c r="BV93" s="551"/>
      <c r="BW93" s="529"/>
      <c r="BX93" s="552"/>
      <c r="BY93" s="560"/>
      <c r="BZ93" s="559"/>
      <c r="CB93" s="423"/>
      <c r="CC93" s="423"/>
      <c r="CD93" s="423"/>
      <c r="CE93" s="423"/>
      <c r="CF93" s="553"/>
      <c r="CH93" s="423"/>
      <c r="CI93" s="423"/>
      <c r="CJ93" s="423"/>
      <c r="CK93" s="423"/>
      <c r="CL93" s="553"/>
      <c r="CN93" s="423"/>
      <c r="CO93" s="423"/>
      <c r="CP93" s="423"/>
      <c r="CQ93" s="423"/>
      <c r="CR93" s="553"/>
      <c r="EI93" s="553"/>
      <c r="EJ93" s="553"/>
      <c r="EK93" s="423"/>
      <c r="EL93" s="555"/>
      <c r="ES93" s="533"/>
      <c r="ET93" s="533"/>
      <c r="EU93" s="533"/>
      <c r="EV93" s="556"/>
      <c r="EY93" s="533"/>
      <c r="EZ93" s="533"/>
      <c r="FA93" s="556"/>
      <c r="FD93" s="556"/>
      <c r="FE93" s="556"/>
      <c r="FF93" s="556"/>
      <c r="FK93" s="557">
        <f t="shared" si="166"/>
        <v>93</v>
      </c>
      <c r="FL93" s="493">
        <f t="shared" si="167"/>
        <v>24.049499999999998</v>
      </c>
      <c r="FM93" s="493">
        <f t="shared" si="168"/>
        <v>4.3647</v>
      </c>
      <c r="FO93" s="427">
        <f t="shared" si="175"/>
        <v>1365255.3499999999</v>
      </c>
      <c r="FP93" s="558">
        <f t="shared" si="169"/>
        <v>39083.47</v>
      </c>
      <c r="FQ93" s="558">
        <f t="shared" si="169"/>
        <v>38716.18</v>
      </c>
      <c r="FR93" s="558">
        <f t="shared" si="169"/>
        <v>38347.980000000003</v>
      </c>
      <c r="FS93" s="558">
        <f t="shared" si="169"/>
        <v>37979.78</v>
      </c>
      <c r="FT93" s="558">
        <f t="shared" si="169"/>
        <v>37598.879999999997</v>
      </c>
      <c r="FU93" s="558">
        <f t="shared" si="169"/>
        <v>37207.11</v>
      </c>
      <c r="FV93" s="558">
        <f t="shared" si="169"/>
        <v>36818.959999999999</v>
      </c>
      <c r="FW93" s="558">
        <f t="shared" si="169"/>
        <v>36428.080000000002</v>
      </c>
      <c r="FX93" s="558">
        <f t="shared" si="169"/>
        <v>36023.61</v>
      </c>
      <c r="FY93" s="558">
        <f t="shared" si="169"/>
        <v>35602.81</v>
      </c>
      <c r="FZ93" s="558">
        <f t="shared" si="169"/>
        <v>35179.29</v>
      </c>
      <c r="GA93" s="558">
        <f t="shared" si="169"/>
        <v>34749.43</v>
      </c>
      <c r="GB93" s="558">
        <f t="shared" si="169"/>
        <v>34309.58</v>
      </c>
      <c r="GC93" s="558">
        <f t="shared" si="169"/>
        <v>33867.93</v>
      </c>
      <c r="GD93" s="558">
        <f t="shared" si="169"/>
        <v>33412.67</v>
      </c>
      <c r="GE93" s="558">
        <f t="shared" si="169"/>
        <v>32953.78</v>
      </c>
      <c r="GF93" s="558">
        <f t="shared" si="134"/>
        <v>32481.29</v>
      </c>
      <c r="GG93" s="558">
        <f t="shared" si="134"/>
        <v>31997.91</v>
      </c>
      <c r="GH93" s="558">
        <f t="shared" si="134"/>
        <v>31500.93</v>
      </c>
      <c r="GI93" s="558">
        <f t="shared" si="134"/>
        <v>30989.45</v>
      </c>
      <c r="GJ93" s="558">
        <f t="shared" si="134"/>
        <v>30462.54</v>
      </c>
      <c r="GK93" s="558">
        <f t="shared" si="134"/>
        <v>29915.69</v>
      </c>
      <c r="GL93" s="558">
        <f t="shared" si="134"/>
        <v>29348.880000000001</v>
      </c>
      <c r="GM93" s="558">
        <f t="shared" si="134"/>
        <v>28761.21</v>
      </c>
      <c r="GN93" s="558">
        <f t="shared" si="134"/>
        <v>28149.96</v>
      </c>
      <c r="GO93" s="558">
        <f t="shared" si="134"/>
        <v>27519.67</v>
      </c>
      <c r="GP93" s="558">
        <f t="shared" si="134"/>
        <v>26867.62</v>
      </c>
      <c r="GQ93" s="558">
        <f t="shared" si="134"/>
        <v>26195.61</v>
      </c>
      <c r="GR93" s="558">
        <f t="shared" si="134"/>
        <v>25505.47</v>
      </c>
      <c r="GS93" s="558">
        <f t="shared" si="134"/>
        <v>24798.09</v>
      </c>
      <c r="GT93" s="558">
        <f t="shared" si="134"/>
        <v>24076.2</v>
      </c>
      <c r="GU93" s="558">
        <f t="shared" si="170"/>
        <v>23337.08</v>
      </c>
      <c r="GV93" s="558">
        <f t="shared" si="170"/>
        <v>22587.99</v>
      </c>
      <c r="GW93" s="558">
        <f t="shared" si="170"/>
        <v>21825.29</v>
      </c>
      <c r="GX93" s="558">
        <f t="shared" si="170"/>
        <v>21054.43</v>
      </c>
      <c r="GY93" s="558">
        <f t="shared" si="170"/>
        <v>20275.41</v>
      </c>
      <c r="GZ93" s="558">
        <f t="shared" si="170"/>
        <v>19487.32</v>
      </c>
      <c r="HA93" s="558">
        <f t="shared" si="170"/>
        <v>18692.88</v>
      </c>
      <c r="HB93" s="558">
        <f t="shared" si="170"/>
        <v>17886.66</v>
      </c>
      <c r="HC93" s="558">
        <f t="shared" si="170"/>
        <v>17063.2</v>
      </c>
      <c r="HD93" s="558">
        <f t="shared" si="170"/>
        <v>16227.95</v>
      </c>
      <c r="HE93" s="558">
        <f t="shared" si="170"/>
        <v>15384.54</v>
      </c>
      <c r="HF93" s="558">
        <f t="shared" si="170"/>
        <v>14530.25</v>
      </c>
      <c r="HG93" s="558">
        <f t="shared" si="170"/>
        <v>13669.6</v>
      </c>
      <c r="HH93" s="558">
        <f t="shared" si="170"/>
        <v>12799.89</v>
      </c>
      <c r="HI93" s="558">
        <f t="shared" si="170"/>
        <v>11938.35</v>
      </c>
      <c r="HJ93" s="558">
        <f t="shared" si="170"/>
        <v>11069.54</v>
      </c>
      <c r="HK93" s="558">
        <f t="shared" si="135"/>
        <v>10206.18</v>
      </c>
      <c r="HL93" s="558">
        <f t="shared" si="135"/>
        <v>9349.17</v>
      </c>
      <c r="HM93" s="558">
        <f t="shared" si="135"/>
        <v>8495.7800000000007</v>
      </c>
      <c r="HN93" s="558">
        <f t="shared" si="135"/>
        <v>7792.94</v>
      </c>
      <c r="HO93" s="558">
        <f t="shared" si="135"/>
        <v>7111.86</v>
      </c>
      <c r="HP93" s="558">
        <f t="shared" si="135"/>
        <v>6459.81</v>
      </c>
      <c r="HQ93" s="558">
        <f t="shared" si="135"/>
        <v>5842.21</v>
      </c>
      <c r="HR93" s="558">
        <f t="shared" si="135"/>
        <v>5096.74</v>
      </c>
      <c r="HS93" s="558">
        <f t="shared" si="135"/>
        <v>4380.3</v>
      </c>
      <c r="HT93" s="558">
        <f t="shared" si="135"/>
        <v>3697.41</v>
      </c>
      <c r="HU93" s="558">
        <f t="shared" si="135"/>
        <v>3069.84</v>
      </c>
      <c r="HV93" s="558">
        <f t="shared" si="135"/>
        <v>2492.15</v>
      </c>
      <c r="HW93" s="558">
        <f t="shared" si="135"/>
        <v>1967.06</v>
      </c>
      <c r="HX93" s="558">
        <f t="shared" si="135"/>
        <v>1507.26</v>
      </c>
      <c r="HY93" s="558">
        <f t="shared" si="135"/>
        <v>1102.79</v>
      </c>
      <c r="HZ93" s="558">
        <f t="shared" si="133"/>
        <v>773.59</v>
      </c>
      <c r="IA93" s="558">
        <f t="shared" si="133"/>
        <v>508.77</v>
      </c>
      <c r="IB93" s="558">
        <f t="shared" si="133"/>
        <v>311.07</v>
      </c>
      <c r="IC93" s="558">
        <f t="shared" si="132"/>
        <v>179.57</v>
      </c>
      <c r="ID93" s="558">
        <f t="shared" si="132"/>
        <v>92.51</v>
      </c>
      <c r="IE93" s="558">
        <f t="shared" si="132"/>
        <v>31.75</v>
      </c>
      <c r="IF93" s="558">
        <f t="shared" si="132"/>
        <v>29.93</v>
      </c>
      <c r="IG93" s="558">
        <f t="shared" si="132"/>
        <v>26.31</v>
      </c>
      <c r="IH93" s="558">
        <f t="shared" si="132"/>
        <v>22.68</v>
      </c>
      <c r="II93" s="558">
        <f t="shared" si="132"/>
        <v>17.239999999999998</v>
      </c>
      <c r="IJ93" s="558">
        <f t="shared" si="132"/>
        <v>9.98</v>
      </c>
      <c r="IK93" s="558">
        <f t="shared" si="132"/>
        <v>0.01</v>
      </c>
      <c r="IL93" s="558" t="str">
        <f t="shared" si="132"/>
        <v>.</v>
      </c>
      <c r="IM93" s="558" t="str">
        <f t="shared" si="132"/>
        <v>.</v>
      </c>
      <c r="IN93" s="558" t="str">
        <f t="shared" si="132"/>
        <v>.</v>
      </c>
      <c r="IO93" s="558" t="str">
        <f t="shared" si="132"/>
        <v>.</v>
      </c>
      <c r="IP93" s="558" t="str">
        <f t="shared" si="132"/>
        <v>.</v>
      </c>
      <c r="IQ93" s="558" t="str">
        <f t="shared" si="132"/>
        <v>.</v>
      </c>
      <c r="IR93" s="558" t="str">
        <f t="shared" si="132"/>
        <v>.</v>
      </c>
      <c r="IS93" s="558" t="str">
        <f t="shared" si="130"/>
        <v>.</v>
      </c>
      <c r="IT93" s="558" t="str">
        <f t="shared" si="130"/>
        <v>.</v>
      </c>
      <c r="IU93" s="558" t="str">
        <f t="shared" si="130"/>
        <v>.</v>
      </c>
      <c r="IV93" s="558" t="str">
        <f t="shared" si="130"/>
        <v>.</v>
      </c>
      <c r="IW93" s="558" t="str">
        <f t="shared" si="130"/>
        <v>.</v>
      </c>
      <c r="IX93" s="558" t="str">
        <f t="shared" si="130"/>
        <v>.</v>
      </c>
      <c r="IY93" s="558" t="str">
        <f t="shared" si="130"/>
        <v>.</v>
      </c>
      <c r="IZ93" s="558" t="str">
        <f t="shared" si="130"/>
        <v>.</v>
      </c>
      <c r="JA93" s="558" t="str">
        <f t="shared" si="130"/>
        <v>.</v>
      </c>
      <c r="JB93" s="558" t="str">
        <f t="shared" si="130"/>
        <v>.</v>
      </c>
      <c r="JC93" s="558" t="str">
        <f t="shared" si="130"/>
        <v>.</v>
      </c>
      <c r="JD93" s="558" t="str">
        <f t="shared" si="130"/>
        <v>.</v>
      </c>
      <c r="JE93" s="558" t="str">
        <f t="shared" si="130"/>
        <v>.</v>
      </c>
      <c r="JF93" s="558" t="str">
        <f t="shared" si="130"/>
        <v>.</v>
      </c>
      <c r="JG93" s="558" t="str">
        <f t="shared" si="130"/>
        <v>.</v>
      </c>
      <c r="JH93" s="558" t="str">
        <f t="shared" si="136"/>
        <v>.</v>
      </c>
      <c r="JI93" s="558" t="str">
        <f t="shared" si="136"/>
        <v>.</v>
      </c>
      <c r="JJ93" s="558" t="str">
        <f t="shared" si="136"/>
        <v>.</v>
      </c>
      <c r="JK93" s="558" t="str">
        <f t="shared" si="136"/>
        <v>.</v>
      </c>
      <c r="JL93" s="558" t="str">
        <f t="shared" si="136"/>
        <v>.</v>
      </c>
    </row>
    <row r="94" spans="1:272" ht="10.199999999999999" x14ac:dyDescent="0.2">
      <c r="A94" s="534">
        <f xml:space="preserve"> Basis!A94</f>
        <v>94</v>
      </c>
      <c r="F94" s="536">
        <f xml:space="preserve"> ROUND(    IF( $A$15=BE_MF_,   AW94,   INDEX( qx!94:94, F$16 ) ),    F$17    )</f>
        <v>0.18</v>
      </c>
      <c r="G94" s="536">
        <f xml:space="preserve"> ROUND(    IF( $A$15=BE_MF_,   BB94,   INDEX( wx!94:94, G$16 ) ),    G$17    )</f>
        <v>1.5E-3</v>
      </c>
      <c r="H94" s="537">
        <f xml:space="preserve"> ROUND(    IF( $A$15=BE_MF_,   BG94,   INDEX( Kx!94:94, H$16 ) ),    H$17    )</f>
        <v>11291.78</v>
      </c>
      <c r="I94" s="538">
        <f t="shared" si="171"/>
        <v>11437.67</v>
      </c>
      <c r="J94" s="539">
        <f t="shared" si="137"/>
        <v>5.5049999999999999</v>
      </c>
      <c r="K94" s="540">
        <f t="shared" si="172"/>
        <v>0</v>
      </c>
      <c r="L94" s="541">
        <f t="shared" si="71"/>
        <v>0</v>
      </c>
      <c r="M94" s="541">
        <f t="shared" si="71"/>
        <v>8.5999999999999993E-2</v>
      </c>
      <c r="O94" s="542" t="b">
        <f t="shared" si="173"/>
        <v>1</v>
      </c>
      <c r="P94" s="493">
        <f t="shared" si="138"/>
        <v>0.18149999999999999</v>
      </c>
      <c r="Q94" s="493">
        <f t="shared" si="139"/>
        <v>0.81850000000000001</v>
      </c>
      <c r="R94" s="543">
        <f t="shared" si="140"/>
        <v>118465</v>
      </c>
      <c r="S94" s="544">
        <f t="shared" si="141"/>
        <v>0.97560975599999999</v>
      </c>
      <c r="T94" s="423">
        <f t="shared" si="142"/>
        <v>11629.12</v>
      </c>
      <c r="U94" s="423">
        <f xml:space="preserve"> IF( $O94,    ROUND(  SUM( T94:T$120), U$17 ),  LEER  )</f>
        <v>47992.46</v>
      </c>
      <c r="V94" s="493">
        <f t="shared" si="143"/>
        <v>4.1269</v>
      </c>
      <c r="W94" s="493">
        <f t="shared" si="144"/>
        <v>64018.31</v>
      </c>
      <c r="X94" s="493">
        <f xml:space="preserve"> IF( $O94,    ROUND(  SUM( W94:W$120), X$17 ),  LEER  )</f>
        <v>264507.53000000003</v>
      </c>
      <c r="Y94" s="493">
        <f t="shared" si="145"/>
        <v>22.7453</v>
      </c>
      <c r="Z94" s="493">
        <f t="shared" si="146"/>
        <v>5.5114999999999998</v>
      </c>
      <c r="AA94" s="493">
        <f t="shared" si="147"/>
        <v>1</v>
      </c>
      <c r="AB94" s="493">
        <f t="shared" si="148"/>
        <v>2.3494000000000002</v>
      </c>
      <c r="AC94" s="545">
        <f t="shared" si="149"/>
        <v>0.32679999999999998</v>
      </c>
      <c r="AD94" s="493">
        <f t="shared" si="150"/>
        <v>5.5114999999999998</v>
      </c>
      <c r="AE94" s="493">
        <f t="shared" si="151"/>
        <v>6.3875999999999999</v>
      </c>
      <c r="AF94" s="493">
        <f t="shared" si="152"/>
        <v>6.3875999999999999</v>
      </c>
      <c r="AG94" s="493" t="str">
        <f t="shared" si="153"/>
        <v>.</v>
      </c>
      <c r="AH94" s="493" t="str">
        <f t="shared" si="154"/>
        <v>.</v>
      </c>
      <c r="AI94" s="423">
        <f t="shared" si="155"/>
        <v>2077.79</v>
      </c>
      <c r="AJ94" s="423">
        <f t="shared" si="156"/>
        <v>13272.09</v>
      </c>
      <c r="AK94" s="423">
        <f t="shared" si="157"/>
        <v>1106.01</v>
      </c>
      <c r="AN94" s="423">
        <f t="shared" si="129"/>
        <v>31361.360000000001</v>
      </c>
      <c r="AO94" s="423">
        <f t="shared" si="129"/>
        <v>31171</v>
      </c>
      <c r="AR94" s="546">
        <f xml:space="preserve"> ROUND(  INDEX( Kx!94:94, AR$16 ),  AR$17 )</f>
        <v>0.3291</v>
      </c>
      <c r="AS94" s="547">
        <f xml:space="preserve"> ROUND(  INDEX( qx!94:94, AS$16 ),  AS$17 )</f>
        <v>0.2114</v>
      </c>
      <c r="AT94" s="547">
        <f xml:space="preserve"> ROUND(  INDEX( qx!94:94, AT$16 ),  AT$17 )</f>
        <v>0.16969999999999999</v>
      </c>
      <c r="AU94" s="548" t="str">
        <f t="shared" si="158"/>
        <v>F</v>
      </c>
      <c r="AV94" s="542">
        <f t="shared" si="159"/>
        <v>0.24640000000000001</v>
      </c>
      <c r="AW94" s="542">
        <f t="shared" si="160"/>
        <v>0.18</v>
      </c>
      <c r="AX94" s="546">
        <f xml:space="preserve"> ROUND(  INDEX( wx!94:94, AX$16 ),  AX$17 )</f>
        <v>5.9999999999999995E-4</v>
      </c>
      <c r="AY94" s="546">
        <f xml:space="preserve"> ROUND(  INDEX( wx!94:94, AY$16 ),  AY$17 )</f>
        <v>2.0999999999999999E-3</v>
      </c>
      <c r="AZ94" s="548" t="str">
        <f t="shared" si="161"/>
        <v>M</v>
      </c>
      <c r="BA94" s="542">
        <f t="shared" si="162"/>
        <v>0.4239</v>
      </c>
      <c r="BB94" s="542">
        <f t="shared" si="163"/>
        <v>1.5E-3</v>
      </c>
      <c r="BC94" s="533">
        <f xml:space="preserve"> ROUND(  INDEX( Kx!94:94, BC$16 ),  BC$17 )</f>
        <v>12792.07</v>
      </c>
      <c r="BD94" s="533">
        <f xml:space="preserve"> ROUND(  INDEX( Kx!94:94, BD$16 ),  BD$17 )</f>
        <v>10187.86</v>
      </c>
      <c r="BE94" s="548" t="str">
        <f t="shared" si="174"/>
        <v>M</v>
      </c>
      <c r="BF94" s="542">
        <f t="shared" si="164"/>
        <v>0.4239</v>
      </c>
      <c r="BG94" s="420">
        <f t="shared" si="165"/>
        <v>11291.78</v>
      </c>
      <c r="BQ94" s="549"/>
      <c r="BR94" s="423"/>
      <c r="BS94" s="550"/>
      <c r="BT94" s="423"/>
      <c r="BU94" s="551"/>
      <c r="BV94" s="551"/>
      <c r="BW94" s="529"/>
      <c r="BX94" s="552"/>
      <c r="BY94" s="560"/>
      <c r="BZ94" s="559"/>
      <c r="CB94" s="423"/>
      <c r="CC94" s="423"/>
      <c r="CD94" s="423"/>
      <c r="CE94" s="423"/>
      <c r="CF94" s="553"/>
      <c r="CH94" s="423"/>
      <c r="CI94" s="423"/>
      <c r="CJ94" s="423"/>
      <c r="CK94" s="423"/>
      <c r="CL94" s="553"/>
      <c r="CN94" s="423"/>
      <c r="CO94" s="423"/>
      <c r="CP94" s="423"/>
      <c r="CQ94" s="423"/>
      <c r="CR94" s="553"/>
      <c r="EI94" s="553"/>
      <c r="EJ94" s="553"/>
      <c r="EK94" s="423"/>
      <c r="EL94" s="555"/>
      <c r="ES94" s="533"/>
      <c r="ET94" s="533"/>
      <c r="EU94" s="533"/>
      <c r="EV94" s="556"/>
      <c r="EY94" s="533"/>
      <c r="EZ94" s="533"/>
      <c r="FA94" s="556"/>
      <c r="FD94" s="556"/>
      <c r="FE94" s="556"/>
      <c r="FF94" s="556"/>
      <c r="FK94" s="557">
        <f t="shared" si="166"/>
        <v>94</v>
      </c>
      <c r="FL94" s="493">
        <f t="shared" si="167"/>
        <v>22.7453</v>
      </c>
      <c r="FM94" s="493">
        <f t="shared" si="168"/>
        <v>4.1269</v>
      </c>
      <c r="FO94" s="427">
        <f t="shared" si="175"/>
        <v>1291807.0499999998</v>
      </c>
      <c r="FP94" s="558">
        <f t="shared" si="169"/>
        <v>36966.730000000003</v>
      </c>
      <c r="FQ94" s="558">
        <f t="shared" si="169"/>
        <v>36619.449999999997</v>
      </c>
      <c r="FR94" s="558">
        <f t="shared" si="169"/>
        <v>36271.31</v>
      </c>
      <c r="FS94" s="558">
        <f t="shared" si="169"/>
        <v>35923.17</v>
      </c>
      <c r="FT94" s="558">
        <f t="shared" si="169"/>
        <v>35563.03</v>
      </c>
      <c r="FU94" s="558">
        <f t="shared" si="169"/>
        <v>35192.6</v>
      </c>
      <c r="FV94" s="558">
        <f t="shared" si="169"/>
        <v>34825.589999999997</v>
      </c>
      <c r="FW94" s="558">
        <f t="shared" si="169"/>
        <v>34456.019999999997</v>
      </c>
      <c r="FX94" s="558">
        <f t="shared" si="169"/>
        <v>34073.58</v>
      </c>
      <c r="FY94" s="558">
        <f t="shared" si="169"/>
        <v>33675.71</v>
      </c>
      <c r="FZ94" s="558">
        <f t="shared" si="169"/>
        <v>33275.26</v>
      </c>
      <c r="GA94" s="558">
        <f t="shared" si="169"/>
        <v>32868.82</v>
      </c>
      <c r="GB94" s="558">
        <f t="shared" si="169"/>
        <v>32452.94</v>
      </c>
      <c r="GC94" s="558">
        <f t="shared" si="169"/>
        <v>32035.34</v>
      </c>
      <c r="GD94" s="558">
        <f t="shared" si="169"/>
        <v>31604.89</v>
      </c>
      <c r="GE94" s="558">
        <f t="shared" si="169"/>
        <v>31171</v>
      </c>
      <c r="GF94" s="558">
        <f t="shared" si="134"/>
        <v>30724.25</v>
      </c>
      <c r="GG94" s="558">
        <f t="shared" si="134"/>
        <v>30267.21</v>
      </c>
      <c r="GH94" s="558">
        <f t="shared" si="134"/>
        <v>29797.31</v>
      </c>
      <c r="GI94" s="558">
        <f t="shared" si="134"/>
        <v>29313.69</v>
      </c>
      <c r="GJ94" s="558">
        <f t="shared" si="134"/>
        <v>28815.49</v>
      </c>
      <c r="GK94" s="558">
        <f t="shared" si="134"/>
        <v>28298.43</v>
      </c>
      <c r="GL94" s="558">
        <f t="shared" si="134"/>
        <v>27762.5</v>
      </c>
      <c r="GM94" s="558">
        <f t="shared" si="134"/>
        <v>27206.86</v>
      </c>
      <c r="GN94" s="558">
        <f t="shared" si="134"/>
        <v>26628.91</v>
      </c>
      <c r="GO94" s="558">
        <f t="shared" si="134"/>
        <v>26032.959999999999</v>
      </c>
      <c r="GP94" s="558">
        <f t="shared" si="134"/>
        <v>25416.43</v>
      </c>
      <c r="GQ94" s="558">
        <f t="shared" si="134"/>
        <v>24781.040000000001</v>
      </c>
      <c r="GR94" s="558">
        <f t="shared" si="134"/>
        <v>24128.49</v>
      </c>
      <c r="GS94" s="558">
        <f t="shared" si="134"/>
        <v>23459.65</v>
      </c>
      <c r="GT94" s="558">
        <f t="shared" si="134"/>
        <v>22777.1</v>
      </c>
      <c r="GU94" s="558">
        <f t="shared" si="170"/>
        <v>22078.25</v>
      </c>
      <c r="GV94" s="558">
        <f t="shared" si="170"/>
        <v>21369.97</v>
      </c>
      <c r="GW94" s="558">
        <f t="shared" si="170"/>
        <v>20648.82</v>
      </c>
      <c r="GX94" s="558">
        <f t="shared" si="170"/>
        <v>19919.96</v>
      </c>
      <c r="GY94" s="558">
        <f t="shared" si="170"/>
        <v>19183.39</v>
      </c>
      <c r="GZ94" s="558">
        <f t="shared" si="170"/>
        <v>18438.23</v>
      </c>
      <c r="HA94" s="558">
        <f t="shared" si="170"/>
        <v>17687.080000000002</v>
      </c>
      <c r="HB94" s="558">
        <f t="shared" si="170"/>
        <v>16924.78</v>
      </c>
      <c r="HC94" s="558">
        <f t="shared" si="170"/>
        <v>16146.18</v>
      </c>
      <c r="HD94" s="558">
        <f t="shared" si="170"/>
        <v>15356.44</v>
      </c>
      <c r="HE94" s="558">
        <f t="shared" si="170"/>
        <v>14558.98</v>
      </c>
      <c r="HF94" s="558">
        <f t="shared" si="170"/>
        <v>13751.23</v>
      </c>
      <c r="HG94" s="558">
        <f t="shared" si="170"/>
        <v>12937.48</v>
      </c>
      <c r="HH94" s="558">
        <f t="shared" si="170"/>
        <v>12115.15</v>
      </c>
      <c r="HI94" s="558">
        <f t="shared" si="170"/>
        <v>11300.54</v>
      </c>
      <c r="HJ94" s="558">
        <f t="shared" si="170"/>
        <v>10479.07</v>
      </c>
      <c r="HK94" s="558">
        <f t="shared" si="135"/>
        <v>9662.75</v>
      </c>
      <c r="HL94" s="558">
        <f t="shared" si="135"/>
        <v>8852.43</v>
      </c>
      <c r="HM94" s="558">
        <f t="shared" si="135"/>
        <v>8045.54</v>
      </c>
      <c r="HN94" s="558">
        <f t="shared" si="135"/>
        <v>7380.99</v>
      </c>
      <c r="HO94" s="558">
        <f t="shared" si="135"/>
        <v>6737.02</v>
      </c>
      <c r="HP94" s="558">
        <f t="shared" si="135"/>
        <v>6120.49</v>
      </c>
      <c r="HQ94" s="558">
        <f t="shared" si="135"/>
        <v>5536.54</v>
      </c>
      <c r="HR94" s="558">
        <f t="shared" si="135"/>
        <v>4831.6899999999996</v>
      </c>
      <c r="HS94" s="558">
        <f t="shared" si="135"/>
        <v>4154.28</v>
      </c>
      <c r="HT94" s="558">
        <f t="shared" si="135"/>
        <v>3508.59</v>
      </c>
      <c r="HU94" s="558">
        <f t="shared" si="135"/>
        <v>2915.22</v>
      </c>
      <c r="HV94" s="558">
        <f t="shared" si="135"/>
        <v>2369</v>
      </c>
      <c r="HW94" s="558">
        <f t="shared" si="135"/>
        <v>1872.52</v>
      </c>
      <c r="HX94" s="558">
        <f t="shared" si="135"/>
        <v>1437.77</v>
      </c>
      <c r="HY94" s="558">
        <f t="shared" si="135"/>
        <v>1055.33</v>
      </c>
      <c r="HZ94" s="558">
        <f t="shared" si="133"/>
        <v>744.07</v>
      </c>
      <c r="IA94" s="558">
        <f t="shared" si="133"/>
        <v>493.68</v>
      </c>
      <c r="IB94" s="558">
        <f t="shared" si="133"/>
        <v>306.75</v>
      </c>
      <c r="IC94" s="558">
        <f t="shared" si="132"/>
        <v>182.42</v>
      </c>
      <c r="ID94" s="558">
        <f t="shared" si="132"/>
        <v>100.1</v>
      </c>
      <c r="IE94" s="558">
        <f t="shared" si="132"/>
        <v>42.65</v>
      </c>
      <c r="IF94" s="558">
        <f t="shared" si="132"/>
        <v>40.93</v>
      </c>
      <c r="IG94" s="558">
        <f t="shared" si="132"/>
        <v>37.5</v>
      </c>
      <c r="IH94" s="558">
        <f t="shared" si="132"/>
        <v>34.07</v>
      </c>
      <c r="II94" s="558">
        <f t="shared" si="132"/>
        <v>28.93</v>
      </c>
      <c r="IJ94" s="558">
        <f t="shared" si="132"/>
        <v>22.07</v>
      </c>
      <c r="IK94" s="558">
        <f t="shared" si="132"/>
        <v>12.64</v>
      </c>
      <c r="IL94" s="558">
        <f t="shared" si="132"/>
        <v>-0.23</v>
      </c>
      <c r="IM94" s="558" t="str">
        <f t="shared" si="132"/>
        <v>.</v>
      </c>
      <c r="IN94" s="558" t="str">
        <f t="shared" si="132"/>
        <v>.</v>
      </c>
      <c r="IO94" s="558" t="str">
        <f t="shared" si="132"/>
        <v>.</v>
      </c>
      <c r="IP94" s="558" t="str">
        <f t="shared" si="132"/>
        <v>.</v>
      </c>
      <c r="IQ94" s="558" t="str">
        <f t="shared" si="132"/>
        <v>.</v>
      </c>
      <c r="IR94" s="558" t="str">
        <f t="shared" si="132"/>
        <v>.</v>
      </c>
      <c r="IS94" s="558" t="str">
        <f t="shared" si="130"/>
        <v>.</v>
      </c>
      <c r="IT94" s="558" t="str">
        <f t="shared" ref="IT94:JC96" si="176" xml:space="preserve"> IF(  OR( IT$18&gt;$FK94, $FK94&gt;$FP$12 ),  LEER,  ROUND( $FO$19 * ( $FL94 - IT$15 * $FM94 ), IT$17 )  )</f>
        <v>.</v>
      </c>
      <c r="IU94" s="558" t="str">
        <f t="shared" si="176"/>
        <v>.</v>
      </c>
      <c r="IV94" s="558" t="str">
        <f t="shared" si="176"/>
        <v>.</v>
      </c>
      <c r="IW94" s="558" t="str">
        <f t="shared" si="176"/>
        <v>.</v>
      </c>
      <c r="IX94" s="558" t="str">
        <f t="shared" si="176"/>
        <v>.</v>
      </c>
      <c r="IY94" s="558" t="str">
        <f t="shared" si="176"/>
        <v>.</v>
      </c>
      <c r="IZ94" s="558" t="str">
        <f t="shared" si="176"/>
        <v>.</v>
      </c>
      <c r="JA94" s="558" t="str">
        <f t="shared" si="176"/>
        <v>.</v>
      </c>
      <c r="JB94" s="558" t="str">
        <f t="shared" si="176"/>
        <v>.</v>
      </c>
      <c r="JC94" s="558" t="str">
        <f t="shared" si="176"/>
        <v>.</v>
      </c>
      <c r="JD94" s="558" t="str">
        <f t="shared" ref="JD94:JL96" si="177" xml:space="preserve"> IF(  OR( JD$18&gt;$FK94, $FK94&gt;$FP$12 ),  LEER,  ROUND( $FO$19 * ( $FL94 - JD$15 * $FM94 ), JD$17 )  )</f>
        <v>.</v>
      </c>
      <c r="JE94" s="558" t="str">
        <f t="shared" si="177"/>
        <v>.</v>
      </c>
      <c r="JF94" s="558" t="str">
        <f t="shared" si="177"/>
        <v>.</v>
      </c>
      <c r="JG94" s="558" t="str">
        <f t="shared" si="177"/>
        <v>.</v>
      </c>
      <c r="JH94" s="558" t="str">
        <f t="shared" si="177"/>
        <v>.</v>
      </c>
      <c r="JI94" s="558" t="str">
        <f t="shared" si="177"/>
        <v>.</v>
      </c>
      <c r="JJ94" s="558" t="str">
        <f t="shared" si="177"/>
        <v>.</v>
      </c>
      <c r="JK94" s="558" t="str">
        <f t="shared" si="177"/>
        <v>.</v>
      </c>
      <c r="JL94" s="558" t="str">
        <f t="shared" si="177"/>
        <v>.</v>
      </c>
    </row>
    <row r="95" spans="1:272" ht="10.199999999999999" x14ac:dyDescent="0.2">
      <c r="A95" s="534">
        <f xml:space="preserve"> Basis!A95</f>
        <v>95</v>
      </c>
      <c r="F95" s="536">
        <f xml:space="preserve"> ROUND(    IF( $A$15=BE_MF_,   AW95,   INDEX( qx!95:95, F$16 ) ),    F$17    )</f>
        <v>0.1993</v>
      </c>
      <c r="G95" s="536">
        <f xml:space="preserve"> ROUND(    IF( $A$15=BE_MF_,   BB95,   INDEX( wx!95:95, G$16 ) ),    G$17    )</f>
        <v>1.4E-3</v>
      </c>
      <c r="H95" s="537">
        <f xml:space="preserve"> ROUND(    IF( $A$15=BE_MF_,   BG95,   INDEX( Kx!95:95, H$16 ) ),    H$17    )</f>
        <v>11333.73</v>
      </c>
      <c r="I95" s="538">
        <f t="shared" si="171"/>
        <v>11437.67</v>
      </c>
      <c r="J95" s="539">
        <f t="shared" si="137"/>
        <v>5.5049999999999999</v>
      </c>
      <c r="K95" s="540">
        <f t="shared" si="172"/>
        <v>0</v>
      </c>
      <c r="L95" s="541">
        <f t="shared" si="71"/>
        <v>0</v>
      </c>
      <c r="M95" s="541">
        <f t="shared" si="71"/>
        <v>8.5999999999999993E-2</v>
      </c>
      <c r="O95" s="542" t="b">
        <f t="shared" si="173"/>
        <v>1</v>
      </c>
      <c r="P95" s="493">
        <f t="shared" si="138"/>
        <v>0.20069999999999999</v>
      </c>
      <c r="Q95" s="493">
        <f t="shared" si="139"/>
        <v>0.79930000000000001</v>
      </c>
      <c r="R95" s="543">
        <f t="shared" si="140"/>
        <v>96963</v>
      </c>
      <c r="S95" s="544">
        <f t="shared" si="141"/>
        <v>0.97560975599999999</v>
      </c>
      <c r="T95" s="423">
        <f t="shared" si="142"/>
        <v>9286.2199999999993</v>
      </c>
      <c r="U95" s="423">
        <f xml:space="preserve"> IF( $O95,    ROUND(  SUM( T95:T$120), U$17 ),  LEER  )</f>
        <v>36363.339999999997</v>
      </c>
      <c r="V95" s="493">
        <f t="shared" si="143"/>
        <v>3.9157999999999999</v>
      </c>
      <c r="W95" s="493">
        <f t="shared" si="144"/>
        <v>51120.639999999999</v>
      </c>
      <c r="X95" s="493">
        <f xml:space="preserve"> IF( $O95,    ROUND(  SUM( W95:W$120), X$17 ),  LEER  )</f>
        <v>200489.22</v>
      </c>
      <c r="Y95" s="493">
        <f t="shared" si="145"/>
        <v>21.59</v>
      </c>
      <c r="Z95" s="493">
        <f t="shared" si="146"/>
        <v>5.5136000000000003</v>
      </c>
      <c r="AA95" s="493">
        <f t="shared" si="147"/>
        <v>1</v>
      </c>
      <c r="AB95" s="493">
        <f t="shared" si="148"/>
        <v>2.3494000000000002</v>
      </c>
      <c r="AC95" s="545">
        <f t="shared" si="149"/>
        <v>0.32679999999999998</v>
      </c>
      <c r="AD95" s="493">
        <f t="shared" si="150"/>
        <v>5.5136000000000003</v>
      </c>
      <c r="AE95" s="493">
        <f t="shared" si="151"/>
        <v>6.3898999999999999</v>
      </c>
      <c r="AF95" s="493">
        <f t="shared" si="152"/>
        <v>6.3898999999999999</v>
      </c>
      <c r="AG95" s="493" t="str">
        <f t="shared" si="153"/>
        <v>.</v>
      </c>
      <c r="AH95" s="493" t="str">
        <f t="shared" si="154"/>
        <v>.</v>
      </c>
      <c r="AI95" s="423">
        <f t="shared" si="155"/>
        <v>2077.79</v>
      </c>
      <c r="AJ95" s="423">
        <f t="shared" si="156"/>
        <v>13276.87</v>
      </c>
      <c r="AK95" s="423">
        <f t="shared" si="157"/>
        <v>1106.4100000000001</v>
      </c>
      <c r="AN95" s="423">
        <f t="shared" si="129"/>
        <v>29774.14</v>
      </c>
      <c r="AO95" s="423">
        <f t="shared" si="129"/>
        <v>29593.52</v>
      </c>
      <c r="AR95" s="546">
        <f xml:space="preserve"> ROUND(  INDEX( Kx!95:95, AR$16 ),  AR$17 )</f>
        <v>0.3301</v>
      </c>
      <c r="AS95" s="547">
        <f xml:space="preserve"> ROUND(  INDEX( qx!95:95, AS$16 ),  AS$17 )</f>
        <v>0.23200000000000001</v>
      </c>
      <c r="AT95" s="547">
        <f xml:space="preserve"> ROUND(  INDEX( qx!95:95, AT$16 ),  AT$17 )</f>
        <v>0.1885</v>
      </c>
      <c r="AU95" s="548" t="str">
        <f t="shared" si="158"/>
        <v>F</v>
      </c>
      <c r="AV95" s="542">
        <f t="shared" si="159"/>
        <v>0.24729999999999999</v>
      </c>
      <c r="AW95" s="542">
        <f t="shared" si="160"/>
        <v>0.1993</v>
      </c>
      <c r="AX95" s="546">
        <f xml:space="preserve"> ROUND(  INDEX( wx!95:95, AX$16 ),  AX$17 )</f>
        <v>5.0000000000000001E-4</v>
      </c>
      <c r="AY95" s="546">
        <f xml:space="preserve"> ROUND(  INDEX( wx!95:95, AY$16 ),  AY$17 )</f>
        <v>2.0999999999999999E-3</v>
      </c>
      <c r="AZ95" s="548" t="str">
        <f t="shared" si="161"/>
        <v>M</v>
      </c>
      <c r="BA95" s="542">
        <f t="shared" si="162"/>
        <v>0.42499999999999999</v>
      </c>
      <c r="BB95" s="542">
        <f t="shared" si="163"/>
        <v>1.4E-3</v>
      </c>
      <c r="BC95" s="533">
        <f xml:space="preserve"> ROUND(  INDEX( Kx!95:95, BC$16 ),  BC$17 )</f>
        <v>12870.62</v>
      </c>
      <c r="BD95" s="533">
        <f xml:space="preserve"> ROUND(  INDEX( Kx!95:95, BD$16 ),  BD$17 )</f>
        <v>10197.76</v>
      </c>
      <c r="BE95" s="548" t="str">
        <f t="shared" si="174"/>
        <v>M</v>
      </c>
      <c r="BF95" s="542">
        <f t="shared" si="164"/>
        <v>0.42499999999999999</v>
      </c>
      <c r="BG95" s="420">
        <f t="shared" si="165"/>
        <v>11333.73</v>
      </c>
      <c r="BQ95" s="549"/>
      <c r="BR95" s="423"/>
      <c r="BS95" s="550"/>
      <c r="BT95" s="423"/>
      <c r="BU95" s="551"/>
      <c r="BV95" s="551"/>
      <c r="BW95" s="529"/>
      <c r="BX95" s="552"/>
      <c r="BY95" s="560"/>
      <c r="BZ95" s="559"/>
      <c r="CB95" s="423"/>
      <c r="CC95" s="423"/>
      <c r="CD95" s="423"/>
      <c r="CE95" s="423"/>
      <c r="CF95" s="553"/>
      <c r="CH95" s="423"/>
      <c r="CI95" s="423"/>
      <c r="CJ95" s="423"/>
      <c r="CK95" s="423"/>
      <c r="CL95" s="553"/>
      <c r="CN95" s="423"/>
      <c r="CO95" s="423"/>
      <c r="CP95" s="423"/>
      <c r="CQ95" s="423"/>
      <c r="CR95" s="553"/>
      <c r="EI95" s="553"/>
      <c r="EJ95" s="553"/>
      <c r="EK95" s="423"/>
      <c r="EL95" s="555"/>
      <c r="ES95" s="533"/>
      <c r="ET95" s="533"/>
      <c r="EU95" s="533"/>
      <c r="EV95" s="556"/>
      <c r="EY95" s="533"/>
      <c r="EZ95" s="533"/>
      <c r="FA95" s="556"/>
      <c r="FD95" s="556"/>
      <c r="FE95" s="556"/>
      <c r="FF95" s="556"/>
      <c r="FK95" s="557">
        <f t="shared" si="166"/>
        <v>95</v>
      </c>
      <c r="FL95" s="493">
        <f t="shared" si="167"/>
        <v>21.59</v>
      </c>
      <c r="FM95" s="493">
        <f t="shared" si="168"/>
        <v>3.9157999999999999</v>
      </c>
      <c r="FO95" s="427">
        <f t="shared" si="175"/>
        <v>1227001.4799999997</v>
      </c>
      <c r="FP95" s="558">
        <f t="shared" si="169"/>
        <v>35092.78</v>
      </c>
      <c r="FQ95" s="558">
        <f t="shared" si="169"/>
        <v>34763.26</v>
      </c>
      <c r="FR95" s="558">
        <f t="shared" si="169"/>
        <v>34432.93</v>
      </c>
      <c r="FS95" s="558">
        <f t="shared" si="169"/>
        <v>34102.6</v>
      </c>
      <c r="FT95" s="558">
        <f t="shared" si="169"/>
        <v>33760.879999999997</v>
      </c>
      <c r="FU95" s="558">
        <f t="shared" si="169"/>
        <v>33409.4</v>
      </c>
      <c r="FV95" s="558">
        <f t="shared" si="169"/>
        <v>33061.17</v>
      </c>
      <c r="FW95" s="558">
        <f t="shared" si="169"/>
        <v>32710.5</v>
      </c>
      <c r="FX95" s="558">
        <f t="shared" si="169"/>
        <v>32347.62</v>
      </c>
      <c r="FY95" s="558">
        <f t="shared" si="169"/>
        <v>31970.1</v>
      </c>
      <c r="FZ95" s="558">
        <f t="shared" si="169"/>
        <v>31590.14</v>
      </c>
      <c r="GA95" s="558">
        <f t="shared" si="169"/>
        <v>31204.48</v>
      </c>
      <c r="GB95" s="558">
        <f t="shared" si="169"/>
        <v>30809.88</v>
      </c>
      <c r="GC95" s="558">
        <f t="shared" si="169"/>
        <v>30413.65</v>
      </c>
      <c r="GD95" s="558">
        <f t="shared" si="169"/>
        <v>30005.21</v>
      </c>
      <c r="GE95" s="558">
        <f t="shared" si="169"/>
        <v>29593.52</v>
      </c>
      <c r="GF95" s="558">
        <f t="shared" si="134"/>
        <v>29169.62</v>
      </c>
      <c r="GG95" s="558">
        <f t="shared" si="134"/>
        <v>28735.96</v>
      </c>
      <c r="GH95" s="558">
        <f t="shared" si="134"/>
        <v>28290.09</v>
      </c>
      <c r="GI95" s="558">
        <f t="shared" si="134"/>
        <v>27831.21</v>
      </c>
      <c r="GJ95" s="558">
        <f t="shared" si="134"/>
        <v>27358.5</v>
      </c>
      <c r="GK95" s="558">
        <f t="shared" si="134"/>
        <v>26867.88</v>
      </c>
      <c r="GL95" s="558">
        <f t="shared" si="134"/>
        <v>26359.37</v>
      </c>
      <c r="GM95" s="558">
        <f t="shared" si="134"/>
        <v>25832.15</v>
      </c>
      <c r="GN95" s="558">
        <f t="shared" si="134"/>
        <v>25283.759999999998</v>
      </c>
      <c r="GO95" s="558">
        <f t="shared" si="134"/>
        <v>24718.3</v>
      </c>
      <c r="GP95" s="558">
        <f t="shared" si="134"/>
        <v>24133.3</v>
      </c>
      <c r="GQ95" s="558">
        <f t="shared" si="134"/>
        <v>23530.41</v>
      </c>
      <c r="GR95" s="558">
        <f t="shared" si="134"/>
        <v>22911.25</v>
      </c>
      <c r="GS95" s="558">
        <f t="shared" si="134"/>
        <v>22276.62</v>
      </c>
      <c r="GT95" s="558">
        <f t="shared" si="134"/>
        <v>21628.98</v>
      </c>
      <c r="GU95" s="558">
        <f t="shared" si="170"/>
        <v>20965.88</v>
      </c>
      <c r="GV95" s="558">
        <f t="shared" si="170"/>
        <v>20293.830000000002</v>
      </c>
      <c r="GW95" s="558">
        <f t="shared" si="170"/>
        <v>19609.57</v>
      </c>
      <c r="GX95" s="558">
        <f t="shared" si="170"/>
        <v>18917.990000000002</v>
      </c>
      <c r="GY95" s="558">
        <f t="shared" si="170"/>
        <v>18219.09</v>
      </c>
      <c r="GZ95" s="558">
        <f t="shared" si="170"/>
        <v>17512.060000000001</v>
      </c>
      <c r="HA95" s="558">
        <f t="shared" si="170"/>
        <v>16799.32</v>
      </c>
      <c r="HB95" s="558">
        <f t="shared" si="170"/>
        <v>16076.02</v>
      </c>
      <c r="HC95" s="558">
        <f t="shared" si="170"/>
        <v>15337.25</v>
      </c>
      <c r="HD95" s="558">
        <f t="shared" si="170"/>
        <v>14587.9</v>
      </c>
      <c r="HE95" s="558">
        <f t="shared" si="170"/>
        <v>13831.24</v>
      </c>
      <c r="HF95" s="558">
        <f t="shared" si="170"/>
        <v>13064.8</v>
      </c>
      <c r="HG95" s="558">
        <f t="shared" si="170"/>
        <v>12292.68</v>
      </c>
      <c r="HH95" s="558">
        <f t="shared" si="170"/>
        <v>11512.42</v>
      </c>
      <c r="HI95" s="558">
        <f t="shared" si="170"/>
        <v>10739.48</v>
      </c>
      <c r="HJ95" s="558">
        <f t="shared" si="170"/>
        <v>9960.0300000000007</v>
      </c>
      <c r="HK95" s="558">
        <f t="shared" si="135"/>
        <v>9185.4599999999991</v>
      </c>
      <c r="HL95" s="558">
        <f t="shared" si="135"/>
        <v>8416.59</v>
      </c>
      <c r="HM95" s="558">
        <f t="shared" si="135"/>
        <v>7650.97</v>
      </c>
      <c r="HN95" s="558">
        <f t="shared" si="135"/>
        <v>7020.41</v>
      </c>
      <c r="HO95" s="558">
        <f t="shared" si="135"/>
        <v>6409.38</v>
      </c>
      <c r="HP95" s="558">
        <f t="shared" si="135"/>
        <v>5824.39</v>
      </c>
      <c r="HQ95" s="558">
        <f t="shared" si="135"/>
        <v>5270.32</v>
      </c>
      <c r="HR95" s="558">
        <f t="shared" si="135"/>
        <v>4601.5200000000004</v>
      </c>
      <c r="HS95" s="558">
        <f t="shared" si="135"/>
        <v>3958.76</v>
      </c>
      <c r="HT95" s="558">
        <f t="shared" si="135"/>
        <v>3346.1</v>
      </c>
      <c r="HU95" s="558">
        <f t="shared" si="135"/>
        <v>2783.08</v>
      </c>
      <c r="HV95" s="558">
        <f t="shared" si="135"/>
        <v>2264.8000000000002</v>
      </c>
      <c r="HW95" s="558">
        <f t="shared" si="135"/>
        <v>1793.71</v>
      </c>
      <c r="HX95" s="558">
        <f t="shared" si="135"/>
        <v>1381.21</v>
      </c>
      <c r="HY95" s="558">
        <f t="shared" si="135"/>
        <v>1018.33</v>
      </c>
      <c r="HZ95" s="558">
        <f t="shared" si="133"/>
        <v>722.99</v>
      </c>
      <c r="IA95" s="558">
        <f t="shared" si="133"/>
        <v>485.41</v>
      </c>
      <c r="IB95" s="558">
        <f t="shared" si="133"/>
        <v>308.04000000000002</v>
      </c>
      <c r="IC95" s="558">
        <f t="shared" si="132"/>
        <v>190.07</v>
      </c>
      <c r="ID95" s="558">
        <f t="shared" si="132"/>
        <v>111.96</v>
      </c>
      <c r="IE95" s="558">
        <f t="shared" si="132"/>
        <v>57.45</v>
      </c>
      <c r="IF95" s="558">
        <f t="shared" si="132"/>
        <v>55.82</v>
      </c>
      <c r="IG95" s="558">
        <f t="shared" si="132"/>
        <v>52.56</v>
      </c>
      <c r="IH95" s="558">
        <f t="shared" si="132"/>
        <v>49.31</v>
      </c>
      <c r="II95" s="558">
        <f t="shared" si="132"/>
        <v>44.43</v>
      </c>
      <c r="IJ95" s="558">
        <f t="shared" si="132"/>
        <v>37.92</v>
      </c>
      <c r="IK95" s="558">
        <f t="shared" si="132"/>
        <v>28.97</v>
      </c>
      <c r="IL95" s="558">
        <f t="shared" si="132"/>
        <v>16.760000000000002</v>
      </c>
      <c r="IM95" s="558">
        <f t="shared" si="132"/>
        <v>-0.32</v>
      </c>
      <c r="IN95" s="558" t="str">
        <f t="shared" si="132"/>
        <v>.</v>
      </c>
      <c r="IO95" s="558" t="str">
        <f t="shared" si="132"/>
        <v>.</v>
      </c>
      <c r="IP95" s="558" t="str">
        <f t="shared" si="132"/>
        <v>.</v>
      </c>
      <c r="IQ95" s="558" t="str">
        <f t="shared" si="132"/>
        <v>.</v>
      </c>
      <c r="IR95" s="558" t="str">
        <f t="shared" si="132"/>
        <v>.</v>
      </c>
      <c r="IS95" s="558" t="str">
        <f xml:space="preserve"> IF(  OR( IS$18&gt;$FK95, $FK95&gt;$FP$12 ),  LEER,  ROUND( $FO$19 * ( $FL95 - IS$15 * $FM95 ), IS$17 )  )</f>
        <v>.</v>
      </c>
      <c r="IT95" s="558" t="str">
        <f t="shared" si="176"/>
        <v>.</v>
      </c>
      <c r="IU95" s="558" t="str">
        <f t="shared" si="176"/>
        <v>.</v>
      </c>
      <c r="IV95" s="558" t="str">
        <f t="shared" si="176"/>
        <v>.</v>
      </c>
      <c r="IW95" s="558" t="str">
        <f t="shared" si="176"/>
        <v>.</v>
      </c>
      <c r="IX95" s="558" t="str">
        <f t="shared" si="176"/>
        <v>.</v>
      </c>
      <c r="IY95" s="558" t="str">
        <f t="shared" si="176"/>
        <v>.</v>
      </c>
      <c r="IZ95" s="558" t="str">
        <f t="shared" si="176"/>
        <v>.</v>
      </c>
      <c r="JA95" s="558" t="str">
        <f t="shared" si="176"/>
        <v>.</v>
      </c>
      <c r="JB95" s="558" t="str">
        <f t="shared" si="176"/>
        <v>.</v>
      </c>
      <c r="JC95" s="558" t="str">
        <f t="shared" si="176"/>
        <v>.</v>
      </c>
      <c r="JD95" s="558" t="str">
        <f t="shared" si="177"/>
        <v>.</v>
      </c>
      <c r="JE95" s="558" t="str">
        <f t="shared" si="177"/>
        <v>.</v>
      </c>
      <c r="JF95" s="558" t="str">
        <f t="shared" si="177"/>
        <v>.</v>
      </c>
      <c r="JG95" s="558" t="str">
        <f t="shared" si="177"/>
        <v>.</v>
      </c>
      <c r="JH95" s="558" t="str">
        <f t="shared" si="177"/>
        <v>.</v>
      </c>
      <c r="JI95" s="558" t="str">
        <f t="shared" si="177"/>
        <v>.</v>
      </c>
      <c r="JJ95" s="558" t="str">
        <f t="shared" si="177"/>
        <v>.</v>
      </c>
      <c r="JK95" s="558" t="str">
        <f t="shared" si="177"/>
        <v>.</v>
      </c>
      <c r="JL95" s="558" t="str">
        <f t="shared" si="177"/>
        <v>.</v>
      </c>
    </row>
    <row r="96" spans="1:272" ht="10.199999999999999" x14ac:dyDescent="0.2">
      <c r="A96" s="534">
        <f xml:space="preserve"> Basis!A96</f>
        <v>96</v>
      </c>
      <c r="F96" s="536">
        <f xml:space="preserve"> ROUND(    IF( $A$15=BE_MF_,   AW96,   INDEX( qx!96:96, F$16 ) ),    F$17    )</f>
        <v>0.21709999999999999</v>
      </c>
      <c r="G96" s="536">
        <f xml:space="preserve"> ROUND(    IF( $A$15=BE_MF_,   BB96,   INDEX( wx!96:96, G$16 ) ),    G$17    )</f>
        <v>1.4E-3</v>
      </c>
      <c r="H96" s="537">
        <f xml:space="preserve"> ROUND(    IF( $A$15=BE_MF_,   BG96,   INDEX( Kx!96:96, H$16 ) ),    H$17    )</f>
        <v>11397.07</v>
      </c>
      <c r="I96" s="538">
        <f t="shared" si="171"/>
        <v>11437.67</v>
      </c>
      <c r="J96" s="539">
        <f t="shared" si="137"/>
        <v>5.5049999999999999</v>
      </c>
      <c r="K96" s="540">
        <f t="shared" si="172"/>
        <v>0</v>
      </c>
      <c r="L96" s="541">
        <f t="shared" si="71"/>
        <v>0</v>
      </c>
      <c r="M96" s="541">
        <f t="shared" si="71"/>
        <v>8.5999999999999993E-2</v>
      </c>
      <c r="O96" s="542" t="b">
        <f t="shared" si="173"/>
        <v>1</v>
      </c>
      <c r="P96" s="493">
        <f t="shared" si="138"/>
        <v>0.2185</v>
      </c>
      <c r="Q96" s="493">
        <f t="shared" si="139"/>
        <v>0.78149999999999997</v>
      </c>
      <c r="R96" s="543">
        <f t="shared" si="140"/>
        <v>77502</v>
      </c>
      <c r="S96" s="544">
        <f t="shared" si="141"/>
        <v>0.97560975599999999</v>
      </c>
      <c r="T96" s="423">
        <f t="shared" si="142"/>
        <v>7241.39</v>
      </c>
      <c r="U96" s="423">
        <f xml:space="preserve"> IF( $O96,    ROUND(  SUM( T96:T$120), U$17 ),  LEER  )</f>
        <v>27077.119999999999</v>
      </c>
      <c r="V96" s="493">
        <f t="shared" si="143"/>
        <v>3.7391999999999999</v>
      </c>
      <c r="W96" s="493">
        <f t="shared" si="144"/>
        <v>39863.85</v>
      </c>
      <c r="X96" s="493">
        <f xml:space="preserve"> IF( $O96,    ROUND(  SUM( W96:W$120), X$17 ),  LEER  )</f>
        <v>149368.57999999999</v>
      </c>
      <c r="Y96" s="493">
        <f t="shared" si="145"/>
        <v>20.627099999999999</v>
      </c>
      <c r="Z96" s="493">
        <f t="shared" si="146"/>
        <v>5.5164</v>
      </c>
      <c r="AA96" s="493">
        <f t="shared" si="147"/>
        <v>1</v>
      </c>
      <c r="AB96" s="493">
        <f t="shared" si="148"/>
        <v>2.3494000000000002</v>
      </c>
      <c r="AC96" s="545">
        <f t="shared" si="149"/>
        <v>0.32679999999999998</v>
      </c>
      <c r="AD96" s="493">
        <f t="shared" si="150"/>
        <v>5.5164</v>
      </c>
      <c r="AE96" s="493">
        <f t="shared" si="151"/>
        <v>6.3929999999999998</v>
      </c>
      <c r="AF96" s="493">
        <f t="shared" si="152"/>
        <v>6.3929999999999998</v>
      </c>
      <c r="AG96" s="493" t="str">
        <f t="shared" si="153"/>
        <v>.</v>
      </c>
      <c r="AH96" s="493" t="str">
        <f t="shared" si="154"/>
        <v>.</v>
      </c>
      <c r="AI96" s="423">
        <f t="shared" si="155"/>
        <v>2077.79</v>
      </c>
      <c r="AJ96" s="423">
        <f t="shared" si="156"/>
        <v>13283.31</v>
      </c>
      <c r="AK96" s="423">
        <f t="shared" si="157"/>
        <v>1106.94</v>
      </c>
      <c r="AN96" s="423">
        <f t="shared" si="129"/>
        <v>28453.77</v>
      </c>
      <c r="AO96" s="423">
        <f t="shared" si="129"/>
        <v>28281.3</v>
      </c>
      <c r="AR96" s="546">
        <f xml:space="preserve"> ROUND(  INDEX( Kx!96:96, AR$16 ),  AR$17 )</f>
        <v>0.33800000000000002</v>
      </c>
      <c r="AS96" s="547">
        <f xml:space="preserve"> ROUND(  INDEX( qx!96:96, AS$16 ),  AS$17 )</f>
        <v>0.24329999999999999</v>
      </c>
      <c r="AT96" s="547">
        <f xml:space="preserve"> ROUND(  INDEX( qx!96:96, AT$16 ),  AT$17 )</f>
        <v>0.2082</v>
      </c>
      <c r="AU96" s="548" t="str">
        <f t="shared" si="158"/>
        <v>F</v>
      </c>
      <c r="AV96" s="542">
        <f t="shared" si="159"/>
        <v>0.25390000000000001</v>
      </c>
      <c r="AW96" s="542">
        <f t="shared" si="160"/>
        <v>0.21709999999999999</v>
      </c>
      <c r="AX96" s="546">
        <f xml:space="preserve"> ROUND(  INDEX( wx!96:96, AX$16 ),  AX$17 )</f>
        <v>5.0000000000000001E-4</v>
      </c>
      <c r="AY96" s="546">
        <f xml:space="preserve"> ROUND(  INDEX( wx!96:96, AY$16 ),  AY$17 )</f>
        <v>2.0999999999999999E-3</v>
      </c>
      <c r="AZ96" s="548" t="str">
        <f t="shared" si="161"/>
        <v>M</v>
      </c>
      <c r="BA96" s="542">
        <f t="shared" si="162"/>
        <v>0.43369999999999997</v>
      </c>
      <c r="BB96" s="542">
        <f t="shared" si="163"/>
        <v>1.4E-3</v>
      </c>
      <c r="BC96" s="533">
        <f xml:space="preserve"> ROUND(  INDEX( Kx!96:96, BC$16 ),  BC$17 )</f>
        <v>12949.09</v>
      </c>
      <c r="BD96" s="533">
        <f xml:space="preserve"> ROUND(  INDEX( Kx!96:96, BD$16 ),  BD$17 )</f>
        <v>10208.450000000001</v>
      </c>
      <c r="BE96" s="548" t="str">
        <f t="shared" si="174"/>
        <v>M</v>
      </c>
      <c r="BF96" s="542">
        <f t="shared" si="164"/>
        <v>0.43369999999999997</v>
      </c>
      <c r="BG96" s="420">
        <f t="shared" si="165"/>
        <v>11397.07</v>
      </c>
      <c r="BQ96" s="549"/>
      <c r="BR96" s="423"/>
      <c r="BS96" s="550"/>
      <c r="BT96" s="423"/>
      <c r="BU96" s="551"/>
      <c r="BV96" s="551"/>
      <c r="BW96" s="529"/>
      <c r="BX96" s="552"/>
      <c r="BY96" s="560"/>
      <c r="BZ96" s="559"/>
      <c r="CB96" s="423"/>
      <c r="CC96" s="423"/>
      <c r="CD96" s="423"/>
      <c r="CE96" s="423"/>
      <c r="CF96" s="553"/>
      <c r="CH96" s="423"/>
      <c r="CI96" s="423"/>
      <c r="CJ96" s="423"/>
      <c r="CK96" s="423"/>
      <c r="CL96" s="553"/>
      <c r="CN96" s="423"/>
      <c r="CO96" s="423"/>
      <c r="CP96" s="423"/>
      <c r="CQ96" s="423"/>
      <c r="CR96" s="553"/>
      <c r="EI96" s="553"/>
      <c r="EJ96" s="553"/>
      <c r="EK96" s="423"/>
      <c r="EL96" s="555"/>
      <c r="ES96" s="533"/>
      <c r="ET96" s="533"/>
      <c r="EU96" s="533"/>
      <c r="EV96" s="556"/>
      <c r="EY96" s="533"/>
      <c r="EZ96" s="533"/>
      <c r="FA96" s="556"/>
      <c r="FD96" s="556"/>
      <c r="FE96" s="556"/>
      <c r="FF96" s="556"/>
      <c r="FK96" s="557">
        <f t="shared" si="166"/>
        <v>96</v>
      </c>
      <c r="FL96" s="493">
        <f t="shared" si="167"/>
        <v>20.627099999999999</v>
      </c>
      <c r="FM96" s="493">
        <f t="shared" si="168"/>
        <v>3.7391999999999999</v>
      </c>
      <c r="FO96" s="427">
        <f t="shared" si="175"/>
        <v>1173369.5000000005</v>
      </c>
      <c r="FP96" s="558">
        <f t="shared" si="169"/>
        <v>33532.550000000003</v>
      </c>
      <c r="FQ96" s="558">
        <f t="shared" si="169"/>
        <v>33217.89</v>
      </c>
      <c r="FR96" s="558">
        <f t="shared" si="169"/>
        <v>32902.46</v>
      </c>
      <c r="FS96" s="558">
        <f t="shared" si="169"/>
        <v>32587.03</v>
      </c>
      <c r="FT96" s="558">
        <f t="shared" si="169"/>
        <v>32260.720000000001</v>
      </c>
      <c r="FU96" s="558">
        <f t="shared" si="169"/>
        <v>31925.09</v>
      </c>
      <c r="FV96" s="558">
        <f t="shared" si="169"/>
        <v>31592.560000000001</v>
      </c>
      <c r="FW96" s="558">
        <f t="shared" si="169"/>
        <v>31257.7</v>
      </c>
      <c r="FX96" s="558">
        <f t="shared" si="169"/>
        <v>30911.200000000001</v>
      </c>
      <c r="FY96" s="558">
        <f t="shared" si="169"/>
        <v>30550.7</v>
      </c>
      <c r="FZ96" s="558">
        <f t="shared" si="169"/>
        <v>30187.88</v>
      </c>
      <c r="GA96" s="558">
        <f t="shared" si="169"/>
        <v>29819.61</v>
      </c>
      <c r="GB96" s="558">
        <f t="shared" si="169"/>
        <v>29442.799999999999</v>
      </c>
      <c r="GC96" s="558">
        <f t="shared" si="169"/>
        <v>29064.44</v>
      </c>
      <c r="GD96" s="558">
        <f t="shared" si="169"/>
        <v>28674.42</v>
      </c>
      <c r="GE96" s="558">
        <f t="shared" si="169"/>
        <v>28281.3</v>
      </c>
      <c r="GF96" s="558">
        <f t="shared" si="134"/>
        <v>27876.52</v>
      </c>
      <c r="GG96" s="558">
        <f t="shared" si="134"/>
        <v>27462.42</v>
      </c>
      <c r="GH96" s="558">
        <f t="shared" si="134"/>
        <v>27036.66</v>
      </c>
      <c r="GI96" s="558">
        <f t="shared" si="134"/>
        <v>26598.47</v>
      </c>
      <c r="GJ96" s="558">
        <f t="shared" si="134"/>
        <v>26147.08</v>
      </c>
      <c r="GK96" s="558">
        <f t="shared" si="134"/>
        <v>25678.59</v>
      </c>
      <c r="GL96" s="558">
        <f t="shared" si="134"/>
        <v>25193.01</v>
      </c>
      <c r="GM96" s="558">
        <f t="shared" si="134"/>
        <v>24689.56</v>
      </c>
      <c r="GN96" s="558">
        <f t="shared" si="134"/>
        <v>24165.91</v>
      </c>
      <c r="GO96" s="558">
        <f t="shared" si="134"/>
        <v>23625.95</v>
      </c>
      <c r="GP96" s="558">
        <f t="shared" si="134"/>
        <v>23067.34</v>
      </c>
      <c r="GQ96" s="558">
        <f t="shared" si="134"/>
        <v>22491.63</v>
      </c>
      <c r="GR96" s="558">
        <f t="shared" si="134"/>
        <v>21900.39</v>
      </c>
      <c r="GS96" s="558">
        <f t="shared" si="134"/>
        <v>21294.39</v>
      </c>
      <c r="GT96" s="558">
        <f t="shared" si="134"/>
        <v>20675.96</v>
      </c>
      <c r="GU96" s="558">
        <f t="shared" si="170"/>
        <v>20042.759999999998</v>
      </c>
      <c r="GV96" s="558">
        <f t="shared" si="170"/>
        <v>19401.02</v>
      </c>
      <c r="GW96" s="558">
        <f t="shared" si="170"/>
        <v>18747.62</v>
      </c>
      <c r="GX96" s="558">
        <f t="shared" si="170"/>
        <v>18087.23</v>
      </c>
      <c r="GY96" s="558">
        <f t="shared" si="170"/>
        <v>17419.849999999999</v>
      </c>
      <c r="GZ96" s="558">
        <f t="shared" si="170"/>
        <v>16744.7</v>
      </c>
      <c r="HA96" s="558">
        <f t="shared" si="170"/>
        <v>16064.12</v>
      </c>
      <c r="HB96" s="558">
        <f t="shared" si="170"/>
        <v>15373.43</v>
      </c>
      <c r="HC96" s="558">
        <f t="shared" si="170"/>
        <v>14667.98</v>
      </c>
      <c r="HD96" s="558">
        <f t="shared" si="170"/>
        <v>13952.43</v>
      </c>
      <c r="HE96" s="558">
        <f t="shared" si="170"/>
        <v>13229.89</v>
      </c>
      <c r="HF96" s="558">
        <f t="shared" si="170"/>
        <v>12498.02</v>
      </c>
      <c r="HG96" s="558">
        <f t="shared" si="170"/>
        <v>11760.72</v>
      </c>
      <c r="HH96" s="558">
        <f t="shared" si="170"/>
        <v>11015.64</v>
      </c>
      <c r="HI96" s="558">
        <f t="shared" si="170"/>
        <v>10277.56</v>
      </c>
      <c r="HJ96" s="558">
        <f t="shared" si="170"/>
        <v>9533.27</v>
      </c>
      <c r="HK96" s="558">
        <f t="shared" si="135"/>
        <v>8793.6299999999992</v>
      </c>
      <c r="HL96" s="558">
        <f t="shared" si="135"/>
        <v>8059.43</v>
      </c>
      <c r="HM96" s="558">
        <f t="shared" si="135"/>
        <v>7328.35</v>
      </c>
      <c r="HN96" s="558">
        <f t="shared" si="135"/>
        <v>6726.23</v>
      </c>
      <c r="HO96" s="558">
        <f t="shared" si="135"/>
        <v>6142.75</v>
      </c>
      <c r="HP96" s="558">
        <f t="shared" si="135"/>
        <v>5584.14</v>
      </c>
      <c r="HQ96" s="558">
        <f t="shared" si="135"/>
        <v>5055.0600000000004</v>
      </c>
      <c r="HR96" s="558">
        <f t="shared" si="135"/>
        <v>4416.42</v>
      </c>
      <c r="HS96" s="558">
        <f t="shared" si="135"/>
        <v>3802.65</v>
      </c>
      <c r="HT96" s="558">
        <f t="shared" si="135"/>
        <v>3217.62</v>
      </c>
      <c r="HU96" s="558">
        <f t="shared" si="135"/>
        <v>2679.99</v>
      </c>
      <c r="HV96" s="558">
        <f t="shared" si="135"/>
        <v>2185.09</v>
      </c>
      <c r="HW96" s="558">
        <f t="shared" si="135"/>
        <v>1735.25</v>
      </c>
      <c r="HX96" s="558">
        <f t="shared" si="135"/>
        <v>1341.34</v>
      </c>
      <c r="HY96" s="558">
        <f t="shared" si="135"/>
        <v>994.83</v>
      </c>
      <c r="HZ96" s="558">
        <f t="shared" si="133"/>
        <v>712.81</v>
      </c>
      <c r="IA96" s="558">
        <f t="shared" si="133"/>
        <v>485.95</v>
      </c>
      <c r="IB96" s="558">
        <f t="shared" si="133"/>
        <v>316.58</v>
      </c>
      <c r="IC96" s="558">
        <f t="shared" si="132"/>
        <v>203.92</v>
      </c>
      <c r="ID96" s="558">
        <f t="shared" si="132"/>
        <v>129.34</v>
      </c>
      <c r="IE96" s="558">
        <f t="shared" si="132"/>
        <v>77.28</v>
      </c>
      <c r="IF96" s="558">
        <f t="shared" si="132"/>
        <v>75.73</v>
      </c>
      <c r="IG96" s="558">
        <f t="shared" si="132"/>
        <v>72.62</v>
      </c>
      <c r="IH96" s="558">
        <f t="shared" si="132"/>
        <v>69.510000000000005</v>
      </c>
      <c r="II96" s="558">
        <f t="shared" si="132"/>
        <v>64.849999999999994</v>
      </c>
      <c r="IJ96" s="558">
        <f t="shared" si="132"/>
        <v>58.64</v>
      </c>
      <c r="IK96" s="558">
        <f t="shared" si="132"/>
        <v>50.09</v>
      </c>
      <c r="IL96" s="558">
        <f t="shared" si="132"/>
        <v>38.44</v>
      </c>
      <c r="IM96" s="558">
        <f t="shared" si="132"/>
        <v>22.12</v>
      </c>
      <c r="IN96" s="558">
        <f t="shared" si="132"/>
        <v>0.37</v>
      </c>
      <c r="IO96" s="558" t="str">
        <f t="shared" si="132"/>
        <v>.</v>
      </c>
      <c r="IP96" s="558" t="str">
        <f t="shared" si="132"/>
        <v>.</v>
      </c>
      <c r="IQ96" s="558" t="str">
        <f t="shared" si="132"/>
        <v>.</v>
      </c>
      <c r="IR96" s="558" t="str">
        <f t="shared" si="132"/>
        <v>.</v>
      </c>
      <c r="IS96" s="558" t="str">
        <f xml:space="preserve"> IF(  OR( IS$18&gt;$FK96, $FK96&gt;$FP$12 ),  LEER,  ROUND( $FO$19 * ( $FL96 - IS$15 * $FM96 ), IS$17 )  )</f>
        <v>.</v>
      </c>
      <c r="IT96" s="558" t="str">
        <f t="shared" si="176"/>
        <v>.</v>
      </c>
      <c r="IU96" s="558" t="str">
        <f t="shared" si="176"/>
        <v>.</v>
      </c>
      <c r="IV96" s="558" t="str">
        <f t="shared" si="176"/>
        <v>.</v>
      </c>
      <c r="IW96" s="558" t="str">
        <f t="shared" si="176"/>
        <v>.</v>
      </c>
      <c r="IX96" s="558" t="str">
        <f t="shared" si="176"/>
        <v>.</v>
      </c>
      <c r="IY96" s="558" t="str">
        <f t="shared" si="176"/>
        <v>.</v>
      </c>
      <c r="IZ96" s="558" t="str">
        <f t="shared" si="176"/>
        <v>.</v>
      </c>
      <c r="JA96" s="558" t="str">
        <f t="shared" si="176"/>
        <v>.</v>
      </c>
      <c r="JB96" s="558" t="str">
        <f t="shared" si="176"/>
        <v>.</v>
      </c>
      <c r="JC96" s="558" t="str">
        <f t="shared" si="176"/>
        <v>.</v>
      </c>
      <c r="JD96" s="558" t="str">
        <f t="shared" si="177"/>
        <v>.</v>
      </c>
      <c r="JE96" s="558" t="str">
        <f t="shared" si="177"/>
        <v>.</v>
      </c>
      <c r="JF96" s="558" t="str">
        <f t="shared" si="177"/>
        <v>.</v>
      </c>
      <c r="JG96" s="558" t="str">
        <f t="shared" si="177"/>
        <v>.</v>
      </c>
      <c r="JH96" s="558" t="str">
        <f t="shared" si="177"/>
        <v>.</v>
      </c>
      <c r="JI96" s="558" t="str">
        <f t="shared" si="177"/>
        <v>.</v>
      </c>
      <c r="JJ96" s="558" t="str">
        <f t="shared" si="177"/>
        <v>.</v>
      </c>
      <c r="JK96" s="558" t="str">
        <f t="shared" si="177"/>
        <v>.</v>
      </c>
      <c r="JL96" s="558" t="str">
        <f t="shared" si="177"/>
        <v>.</v>
      </c>
    </row>
    <row r="97" spans="1:272" ht="10.199999999999999" x14ac:dyDescent="0.2">
      <c r="A97" s="534">
        <f xml:space="preserve"> Basis!A97</f>
        <v>97</v>
      </c>
      <c r="F97" s="536">
        <f xml:space="preserve"> ROUND(    IF( $A$15=BE_MF_,   AW97,   INDEX( qx!97:97, F$16 ) ),    F$17    )</f>
        <v>0.23449999999999999</v>
      </c>
      <c r="G97" s="536">
        <f xml:space="preserve"> ROUND(    IF( $A$15=BE_MF_,   BB97,   INDEX( wx!97:97, G$16 ) ),    G$17    )</f>
        <v>1.2999999999999999E-3</v>
      </c>
      <c r="H97" s="537">
        <f xml:space="preserve"> ROUND(    IF( $A$15=BE_MF_,   BG97,   INDEX( Kx!97:97, H$16 ) ),    H$17    )</f>
        <v>11469.4</v>
      </c>
      <c r="I97" s="538">
        <f t="shared" si="171"/>
        <v>11469.4</v>
      </c>
      <c r="J97" s="539">
        <f t="shared" si="137"/>
        <v>5.52</v>
      </c>
      <c r="K97" s="540">
        <f t="shared" si="172"/>
        <v>0</v>
      </c>
      <c r="L97" s="541">
        <f t="shared" si="71"/>
        <v>0</v>
      </c>
      <c r="M97" s="541">
        <f t="shared" si="71"/>
        <v>8.5999999999999993E-2</v>
      </c>
      <c r="O97" s="542" t="b">
        <f t="shared" si="173"/>
        <v>1</v>
      </c>
      <c r="P97" s="493">
        <f t="shared" si="138"/>
        <v>0.23580000000000001</v>
      </c>
      <c r="Q97" s="493">
        <f t="shared" si="139"/>
        <v>0.76419999999999999</v>
      </c>
      <c r="R97" s="543">
        <f t="shared" si="140"/>
        <v>60567</v>
      </c>
      <c r="S97" s="544">
        <f t="shared" si="141"/>
        <v>0.97560975599999999</v>
      </c>
      <c r="T97" s="423">
        <f t="shared" si="142"/>
        <v>5521.04</v>
      </c>
      <c r="U97" s="423">
        <f xml:space="preserve"> IF( $O97,    ROUND(  SUM( T97:T$120), U$17 ),  LEER  )</f>
        <v>19835.73</v>
      </c>
      <c r="V97" s="493">
        <f t="shared" si="143"/>
        <v>3.5928</v>
      </c>
      <c r="W97" s="493">
        <f t="shared" si="144"/>
        <v>30476.14</v>
      </c>
      <c r="X97" s="493">
        <f xml:space="preserve"> IF( $O97,    ROUND(  SUM( W97:W$120), X$17 ),  LEER  )</f>
        <v>109504.73</v>
      </c>
      <c r="Y97" s="493">
        <f t="shared" si="145"/>
        <v>19.834099999999999</v>
      </c>
      <c r="Z97" s="493">
        <f t="shared" si="146"/>
        <v>5.5205000000000002</v>
      </c>
      <c r="AA97" s="493">
        <f t="shared" si="147"/>
        <v>1</v>
      </c>
      <c r="AB97" s="493">
        <f t="shared" si="148"/>
        <v>2.3494000000000002</v>
      </c>
      <c r="AC97" s="545">
        <f t="shared" si="149"/>
        <v>0.32679999999999998</v>
      </c>
      <c r="AD97" s="493">
        <f t="shared" si="150"/>
        <v>5.5205000000000002</v>
      </c>
      <c r="AE97" s="493">
        <f t="shared" si="151"/>
        <v>6.3975</v>
      </c>
      <c r="AF97" s="493">
        <f t="shared" si="152"/>
        <v>6.3975</v>
      </c>
      <c r="AG97" s="493" t="str">
        <f t="shared" si="153"/>
        <v>.</v>
      </c>
      <c r="AH97" s="493" t="str">
        <f t="shared" si="154"/>
        <v>.</v>
      </c>
      <c r="AI97" s="423">
        <f t="shared" si="155"/>
        <v>2077.79</v>
      </c>
      <c r="AJ97" s="423">
        <f t="shared" si="156"/>
        <v>13292.66</v>
      </c>
      <c r="AK97" s="423">
        <f t="shared" si="157"/>
        <v>1107.72</v>
      </c>
      <c r="AN97" s="423">
        <f t="shared" si="129"/>
        <v>27370.080000000002</v>
      </c>
      <c r="AO97" s="423">
        <f t="shared" si="129"/>
        <v>27204.36</v>
      </c>
      <c r="AR97" s="546">
        <f xml:space="preserve"> ROUND(  INDEX( Kx!97:97, AR$16 ),  AR$17 )</f>
        <v>0.3483</v>
      </c>
      <c r="AS97" s="547">
        <f xml:space="preserve"> ROUND(  INDEX( qx!97:97, AS$16 ),  AS$17 )</f>
        <v>0.25130000000000002</v>
      </c>
      <c r="AT97" s="547">
        <f xml:space="preserve"> ROUND(  INDEX( qx!97:97, AT$16 ),  AT$17 )</f>
        <v>0.22850000000000001</v>
      </c>
      <c r="AU97" s="548" t="str">
        <f t="shared" si="158"/>
        <v>F</v>
      </c>
      <c r="AV97" s="542">
        <f t="shared" si="159"/>
        <v>0.26269999999999999</v>
      </c>
      <c r="AW97" s="542">
        <f t="shared" si="160"/>
        <v>0.23449999999999999</v>
      </c>
      <c r="AX97" s="546">
        <f xml:space="preserve"> ROUND(  INDEX( wx!97:97, AX$16 ),  AX$17 )</f>
        <v>4.0000000000000002E-4</v>
      </c>
      <c r="AY97" s="546">
        <f xml:space="preserve"> ROUND(  INDEX( wx!97:97, AY$16 ),  AY$17 )</f>
        <v>2.0999999999999999E-3</v>
      </c>
      <c r="AZ97" s="548" t="str">
        <f t="shared" si="161"/>
        <v>M</v>
      </c>
      <c r="BA97" s="542">
        <f t="shared" si="162"/>
        <v>0.44500000000000001</v>
      </c>
      <c r="BB97" s="542">
        <f t="shared" si="163"/>
        <v>1.2999999999999999E-3</v>
      </c>
      <c r="BC97" s="533">
        <f xml:space="preserve"> ROUND(  INDEX( Kx!97:97, BC$16 ),  BC$17 )</f>
        <v>13027.51</v>
      </c>
      <c r="BD97" s="533">
        <f xml:space="preserve"> ROUND(  INDEX( Kx!97:97, BD$16 ),  BD$17 )</f>
        <v>10220.1</v>
      </c>
      <c r="BE97" s="548" t="str">
        <f t="shared" si="174"/>
        <v>M</v>
      </c>
      <c r="BF97" s="542">
        <f t="shared" si="164"/>
        <v>0.44500000000000001</v>
      </c>
      <c r="BG97" s="420">
        <f t="shared" si="165"/>
        <v>11469.4</v>
      </c>
      <c r="BQ97" s="549"/>
      <c r="BR97" s="423"/>
      <c r="BS97" s="550"/>
      <c r="BT97" s="423"/>
      <c r="BU97" s="551"/>
      <c r="BV97" s="551"/>
      <c r="BW97" s="529"/>
      <c r="BX97" s="552"/>
      <c r="BY97" s="560"/>
      <c r="BZ97" s="559"/>
      <c r="CB97" s="423"/>
      <c r="CC97" s="423"/>
      <c r="CD97" s="423"/>
      <c r="CE97" s="423"/>
      <c r="CF97" s="553"/>
      <c r="CH97" s="423"/>
      <c r="CI97" s="423"/>
      <c r="CJ97" s="423"/>
      <c r="CK97" s="423"/>
      <c r="CL97" s="553"/>
      <c r="CN97" s="423"/>
      <c r="CO97" s="423"/>
      <c r="CP97" s="423"/>
      <c r="CQ97" s="423"/>
      <c r="CR97" s="553"/>
      <c r="EI97" s="553"/>
      <c r="EJ97" s="553"/>
      <c r="EK97" s="423"/>
      <c r="EL97" s="555"/>
      <c r="ES97" s="533"/>
      <c r="ET97" s="533"/>
      <c r="EU97" s="533"/>
      <c r="EV97" s="556"/>
      <c r="EY97" s="533"/>
      <c r="EZ97" s="533"/>
      <c r="FA97" s="556"/>
      <c r="FD97" s="556"/>
      <c r="FE97" s="556"/>
      <c r="FF97" s="556"/>
      <c r="FK97" s="557">
        <f t="shared" si="166"/>
        <v>97</v>
      </c>
      <c r="FL97" s="493">
        <f t="shared" si="167"/>
        <v>19.834099999999999</v>
      </c>
      <c r="FM97" s="493">
        <f t="shared" si="168"/>
        <v>3.5928</v>
      </c>
      <c r="FO97" s="427">
        <f t="shared" si="175"/>
        <v>1129766.0400000003</v>
      </c>
      <c r="FP97" s="558">
        <f t="shared" si="169"/>
        <v>32250.01</v>
      </c>
      <c r="FQ97" s="558">
        <f t="shared" si="169"/>
        <v>31947.67</v>
      </c>
      <c r="FR97" s="558">
        <f t="shared" si="169"/>
        <v>31644.59</v>
      </c>
      <c r="FS97" s="558">
        <f t="shared" si="169"/>
        <v>31341.51</v>
      </c>
      <c r="FT97" s="558">
        <f t="shared" si="169"/>
        <v>31027.97</v>
      </c>
      <c r="FU97" s="558">
        <f t="shared" si="169"/>
        <v>30705.48</v>
      </c>
      <c r="FV97" s="558">
        <f t="shared" si="169"/>
        <v>30385.98</v>
      </c>
      <c r="FW97" s="558">
        <f t="shared" si="169"/>
        <v>30064.23</v>
      </c>
      <c r="FX97" s="558">
        <f t="shared" si="169"/>
        <v>29731.29</v>
      </c>
      <c r="FY97" s="558">
        <f t="shared" si="169"/>
        <v>29384.91</v>
      </c>
      <c r="FZ97" s="558">
        <f t="shared" si="169"/>
        <v>29036.29</v>
      </c>
      <c r="GA97" s="558">
        <f t="shared" si="169"/>
        <v>28682.44</v>
      </c>
      <c r="GB97" s="558">
        <f t="shared" si="169"/>
        <v>28320.39</v>
      </c>
      <c r="GC97" s="558">
        <f t="shared" si="169"/>
        <v>27956.84</v>
      </c>
      <c r="GD97" s="558">
        <f t="shared" si="169"/>
        <v>27582.09</v>
      </c>
      <c r="GE97" s="558">
        <f t="shared" si="169"/>
        <v>27204.36</v>
      </c>
      <c r="GF97" s="558">
        <f t="shared" si="134"/>
        <v>26815.43</v>
      </c>
      <c r="GG97" s="558">
        <f t="shared" si="134"/>
        <v>26417.54</v>
      </c>
      <c r="GH97" s="558">
        <f t="shared" si="134"/>
        <v>26008.45</v>
      </c>
      <c r="GI97" s="558">
        <f t="shared" si="134"/>
        <v>25587.42</v>
      </c>
      <c r="GJ97" s="558">
        <f t="shared" si="134"/>
        <v>25153.7</v>
      </c>
      <c r="GK97" s="558">
        <f t="shared" si="134"/>
        <v>24703.55</v>
      </c>
      <c r="GL97" s="558">
        <f t="shared" si="134"/>
        <v>24236.99</v>
      </c>
      <c r="GM97" s="558">
        <f t="shared" si="134"/>
        <v>23753.25</v>
      </c>
      <c r="GN97" s="558">
        <f t="shared" si="134"/>
        <v>23250.1</v>
      </c>
      <c r="GO97" s="558">
        <f t="shared" si="134"/>
        <v>22731.279999999999</v>
      </c>
      <c r="GP97" s="558">
        <f t="shared" si="134"/>
        <v>22194.54</v>
      </c>
      <c r="GQ97" s="558">
        <f t="shared" si="134"/>
        <v>21641.38</v>
      </c>
      <c r="GR97" s="558">
        <f t="shared" si="134"/>
        <v>21073.279999999999</v>
      </c>
      <c r="GS97" s="558">
        <f t="shared" si="134"/>
        <v>20491.009999999998</v>
      </c>
      <c r="GT97" s="558">
        <f t="shared" si="134"/>
        <v>19896.79</v>
      </c>
      <c r="GU97" s="558">
        <f t="shared" si="170"/>
        <v>19288.38</v>
      </c>
      <c r="GV97" s="558">
        <f t="shared" si="170"/>
        <v>18671.77</v>
      </c>
      <c r="GW97" s="558">
        <f t="shared" si="170"/>
        <v>18043.95</v>
      </c>
      <c r="GX97" s="558">
        <f t="shared" si="170"/>
        <v>17409.419999999998</v>
      </c>
      <c r="GY97" s="558">
        <f t="shared" si="170"/>
        <v>16768.169999999998</v>
      </c>
      <c r="GZ97" s="558">
        <f t="shared" si="170"/>
        <v>16119.45</v>
      </c>
      <c r="HA97" s="558">
        <f t="shared" si="170"/>
        <v>15465.51</v>
      </c>
      <c r="HB97" s="558">
        <f t="shared" si="170"/>
        <v>14801.87</v>
      </c>
      <c r="HC97" s="558">
        <f t="shared" si="170"/>
        <v>14124.04</v>
      </c>
      <c r="HD97" s="558">
        <f t="shared" si="170"/>
        <v>13436.5</v>
      </c>
      <c r="HE97" s="558">
        <f t="shared" si="170"/>
        <v>12742.25</v>
      </c>
      <c r="HF97" s="558">
        <f t="shared" si="170"/>
        <v>12039.04</v>
      </c>
      <c r="HG97" s="558">
        <f t="shared" si="170"/>
        <v>11330.6</v>
      </c>
      <c r="HH97" s="558">
        <f t="shared" si="170"/>
        <v>10614.7</v>
      </c>
      <c r="HI97" s="558">
        <f t="shared" si="170"/>
        <v>9905.52</v>
      </c>
      <c r="HJ97" s="558">
        <f t="shared" si="170"/>
        <v>9190.36</v>
      </c>
      <c r="HK97" s="558">
        <f t="shared" si="135"/>
        <v>8479.69</v>
      </c>
      <c r="HL97" s="558">
        <f t="shared" si="135"/>
        <v>7774.24</v>
      </c>
      <c r="HM97" s="558">
        <f t="shared" si="135"/>
        <v>7071.77</v>
      </c>
      <c r="HN97" s="558">
        <f t="shared" si="135"/>
        <v>6493.23</v>
      </c>
      <c r="HO97" s="558">
        <f t="shared" si="135"/>
        <v>5932.6</v>
      </c>
      <c r="HP97" s="558">
        <f t="shared" si="135"/>
        <v>5395.86</v>
      </c>
      <c r="HQ97" s="558">
        <f t="shared" si="135"/>
        <v>4887.49</v>
      </c>
      <c r="HR97" s="558">
        <f t="shared" si="135"/>
        <v>4273.8599999999997</v>
      </c>
      <c r="HS97" s="558">
        <f t="shared" si="135"/>
        <v>3684.12</v>
      </c>
      <c r="HT97" s="558">
        <f t="shared" si="135"/>
        <v>3122</v>
      </c>
      <c r="HU97" s="558">
        <f t="shared" si="135"/>
        <v>2605.41</v>
      </c>
      <c r="HV97" s="558">
        <f t="shared" si="135"/>
        <v>2129.89</v>
      </c>
      <c r="HW97" s="558">
        <f t="shared" si="135"/>
        <v>1697.66</v>
      </c>
      <c r="HX97" s="558">
        <f t="shared" si="135"/>
        <v>1319.18</v>
      </c>
      <c r="HY97" s="558">
        <f t="shared" si="135"/>
        <v>986.24</v>
      </c>
      <c r="HZ97" s="558">
        <f t="shared" si="133"/>
        <v>715.25</v>
      </c>
      <c r="IA97" s="558">
        <f t="shared" si="133"/>
        <v>497.27</v>
      </c>
      <c r="IB97" s="558">
        <f t="shared" si="133"/>
        <v>334.53</v>
      </c>
      <c r="IC97" s="558">
        <f t="shared" ref="IC97:IQ97" si="178" xml:space="preserve"> IF(  OR( IC$18&gt;$FK97, $FK97&gt;$FP$12 ),  LEER,  ROUND( $FO$19 * ( $FL97 - IC$15 * $FM97 ), IC$17 )  )</f>
        <v>226.29</v>
      </c>
      <c r="ID97" s="558">
        <f t="shared" si="178"/>
        <v>154.63</v>
      </c>
      <c r="IE97" s="558">
        <f t="shared" si="178"/>
        <v>104.61</v>
      </c>
      <c r="IF97" s="558">
        <f t="shared" si="178"/>
        <v>103.12</v>
      </c>
      <c r="IG97" s="558">
        <f t="shared" si="178"/>
        <v>100.13</v>
      </c>
      <c r="IH97" s="558">
        <f t="shared" si="178"/>
        <v>97.14</v>
      </c>
      <c r="II97" s="558">
        <f t="shared" si="178"/>
        <v>92.67</v>
      </c>
      <c r="IJ97" s="558">
        <f t="shared" si="178"/>
        <v>86.69</v>
      </c>
      <c r="IK97" s="558">
        <f t="shared" si="178"/>
        <v>78.48</v>
      </c>
      <c r="IL97" s="558">
        <f t="shared" si="178"/>
        <v>67.28</v>
      </c>
      <c r="IM97" s="558">
        <f t="shared" si="178"/>
        <v>51.61</v>
      </c>
      <c r="IN97" s="558">
        <f t="shared" si="178"/>
        <v>30.71</v>
      </c>
      <c r="IO97" s="558">
        <f t="shared" si="178"/>
        <v>0.1</v>
      </c>
      <c r="IP97" s="558" t="str">
        <f t="shared" si="178"/>
        <v>.</v>
      </c>
      <c r="IQ97" s="558" t="str">
        <f t="shared" si="178"/>
        <v>.</v>
      </c>
      <c r="IR97" s="558" t="str">
        <f t="shared" ref="IR97:JL112" si="179" xml:space="preserve"> IF(  OR( IR$18&gt;$FK97, $FK97&gt;$FP$12 ),  LEER,  ROUND( $FO$19 * ( $FL97 - IR$15 * $FM97 ), IR$17 )  )</f>
        <v>.</v>
      </c>
      <c r="IS97" s="558" t="str">
        <f t="shared" si="179"/>
        <v>.</v>
      </c>
      <c r="IT97" s="558" t="str">
        <f t="shared" si="179"/>
        <v>.</v>
      </c>
      <c r="IU97" s="558" t="str">
        <f t="shared" si="179"/>
        <v>.</v>
      </c>
      <c r="IV97" s="558" t="str">
        <f t="shared" si="179"/>
        <v>.</v>
      </c>
      <c r="IW97" s="558" t="str">
        <f t="shared" si="179"/>
        <v>.</v>
      </c>
      <c r="IX97" s="558" t="str">
        <f t="shared" si="179"/>
        <v>.</v>
      </c>
      <c r="IY97" s="558" t="str">
        <f t="shared" si="179"/>
        <v>.</v>
      </c>
      <c r="IZ97" s="558" t="str">
        <f t="shared" si="179"/>
        <v>.</v>
      </c>
      <c r="JA97" s="558" t="str">
        <f t="shared" si="179"/>
        <v>.</v>
      </c>
      <c r="JB97" s="558" t="str">
        <f t="shared" si="179"/>
        <v>.</v>
      </c>
      <c r="JC97" s="558" t="str">
        <f t="shared" si="179"/>
        <v>.</v>
      </c>
      <c r="JD97" s="558" t="str">
        <f t="shared" si="179"/>
        <v>.</v>
      </c>
      <c r="JE97" s="558" t="str">
        <f t="shared" si="179"/>
        <v>.</v>
      </c>
      <c r="JF97" s="558" t="str">
        <f t="shared" si="179"/>
        <v>.</v>
      </c>
      <c r="JG97" s="558" t="str">
        <f t="shared" si="179"/>
        <v>.</v>
      </c>
      <c r="JH97" s="558" t="str">
        <f t="shared" ref="JH97:JL99" si="180" xml:space="preserve"> IF(  OR( JH$18&gt;$FK97, $FK97&gt;$FP$12 ),  LEER,  ROUND( $FO$19 * ( $FL97 - JH$15 * $FM97 ), JH$17 )  )</f>
        <v>.</v>
      </c>
      <c r="JI97" s="558" t="str">
        <f t="shared" si="180"/>
        <v>.</v>
      </c>
      <c r="JJ97" s="558" t="str">
        <f t="shared" si="180"/>
        <v>.</v>
      </c>
      <c r="JK97" s="558" t="str">
        <f t="shared" si="180"/>
        <v>.</v>
      </c>
      <c r="JL97" s="558" t="str">
        <f t="shared" si="180"/>
        <v>.</v>
      </c>
    </row>
    <row r="98" spans="1:272" ht="10.199999999999999" x14ac:dyDescent="0.2">
      <c r="A98" s="534">
        <f xml:space="preserve"> Basis!A98</f>
        <v>98</v>
      </c>
      <c r="F98" s="536">
        <f xml:space="preserve"> ROUND(    IF( $A$15=BE_MF_,   AW98,   INDEX( qx!98:98, F$16 ) ),    F$17    )</f>
        <v>0.251</v>
      </c>
      <c r="G98" s="536">
        <f xml:space="preserve"> ROUND(    IF( $A$15=BE_MF_,   BB98,   INDEX( wx!98:98, G$16 ) ),    G$17    )</f>
        <v>1.5E-3</v>
      </c>
      <c r="H98" s="537">
        <f xml:space="preserve"> ROUND(    IF( $A$15=BE_MF_,   BG98,   INDEX( Kx!98:98, H$16 ) ),    H$17    )</f>
        <v>11210.02</v>
      </c>
      <c r="I98" s="538">
        <f t="shared" si="171"/>
        <v>11469.4</v>
      </c>
      <c r="J98" s="539">
        <f t="shared" si="137"/>
        <v>5.52</v>
      </c>
      <c r="K98" s="540">
        <f t="shared" si="172"/>
        <v>0</v>
      </c>
      <c r="L98" s="541">
        <f t="shared" si="71"/>
        <v>0</v>
      </c>
      <c r="M98" s="541">
        <f t="shared" si="71"/>
        <v>8.5999999999999993E-2</v>
      </c>
      <c r="O98" s="542" t="b">
        <f t="shared" si="173"/>
        <v>1</v>
      </c>
      <c r="P98" s="493">
        <f t="shared" si="138"/>
        <v>0.2525</v>
      </c>
      <c r="Q98" s="493">
        <f t="shared" si="139"/>
        <v>0.74750000000000005</v>
      </c>
      <c r="R98" s="543">
        <f t="shared" si="140"/>
        <v>46285</v>
      </c>
      <c r="S98" s="544">
        <f t="shared" si="141"/>
        <v>0.97560975599999999</v>
      </c>
      <c r="T98" s="423">
        <f t="shared" si="142"/>
        <v>4116.25</v>
      </c>
      <c r="U98" s="423">
        <f xml:space="preserve"> IF( $O98,    ROUND(  SUM( T98:T$120), U$17 ),  LEER  )</f>
        <v>14314.69</v>
      </c>
      <c r="V98" s="493">
        <f t="shared" si="143"/>
        <v>3.4775999999999998</v>
      </c>
      <c r="W98" s="493">
        <f t="shared" si="144"/>
        <v>22721.7</v>
      </c>
      <c r="X98" s="493">
        <f xml:space="preserve"> IF( $O98,    ROUND(  SUM( W98:W$120), X$17 ),  LEER  )</f>
        <v>79028.59</v>
      </c>
      <c r="Y98" s="493">
        <f t="shared" si="145"/>
        <v>19.199200000000001</v>
      </c>
      <c r="Z98" s="493">
        <f t="shared" si="146"/>
        <v>5.5208000000000004</v>
      </c>
      <c r="AA98" s="493">
        <f t="shared" si="147"/>
        <v>1</v>
      </c>
      <c r="AB98" s="493">
        <f t="shared" si="148"/>
        <v>2.3494000000000002</v>
      </c>
      <c r="AC98" s="545">
        <f t="shared" si="149"/>
        <v>0.32679999999999998</v>
      </c>
      <c r="AD98" s="493">
        <f t="shared" si="150"/>
        <v>5.5208000000000004</v>
      </c>
      <c r="AE98" s="493">
        <f t="shared" si="151"/>
        <v>6.3978000000000002</v>
      </c>
      <c r="AF98" s="493">
        <f t="shared" si="152"/>
        <v>6.3978000000000002</v>
      </c>
      <c r="AG98" s="493" t="str">
        <f t="shared" si="153"/>
        <v>.</v>
      </c>
      <c r="AH98" s="493" t="str">
        <f t="shared" si="154"/>
        <v>.</v>
      </c>
      <c r="AI98" s="423">
        <f t="shared" si="155"/>
        <v>2077.79</v>
      </c>
      <c r="AJ98" s="423">
        <f t="shared" si="156"/>
        <v>13293.28</v>
      </c>
      <c r="AK98" s="423">
        <f t="shared" si="157"/>
        <v>1107.77</v>
      </c>
      <c r="AN98" s="423">
        <f t="shared" si="129"/>
        <v>26494.69</v>
      </c>
      <c r="AO98" s="423">
        <f t="shared" si="129"/>
        <v>26334.28</v>
      </c>
      <c r="AR98" s="546">
        <f xml:space="preserve"> ROUND(  INDEX( Kx!98:98, AR$16 ),  AR$17 )</f>
        <v>0.25580000000000003</v>
      </c>
      <c r="AS98" s="547">
        <f xml:space="preserve"> ROUND(  INDEX( qx!98:98, AS$16 ),  AS$17 )</f>
        <v>0.25900000000000001</v>
      </c>
      <c r="AT98" s="547">
        <f xml:space="preserve"> ROUND(  INDEX( qx!98:98, AT$16 ),  AT$17 )</f>
        <v>0.2492</v>
      </c>
      <c r="AU98" s="548" t="str">
        <f t="shared" si="158"/>
        <v>F</v>
      </c>
      <c r="AV98" s="542">
        <f t="shared" si="159"/>
        <v>0.18640000000000001</v>
      </c>
      <c r="AW98" s="542">
        <f t="shared" si="160"/>
        <v>0.251</v>
      </c>
      <c r="AX98" s="546">
        <f xml:space="preserve"> ROUND(  INDEX( wx!98:98, AX$16 ),  AX$17 )</f>
        <v>2.9999999999999997E-4</v>
      </c>
      <c r="AY98" s="546">
        <f xml:space="preserve"> ROUND(  INDEX( wx!98:98, AY$16 ),  AY$17 )</f>
        <v>2.0999999999999999E-3</v>
      </c>
      <c r="AZ98" s="548" t="str">
        <f t="shared" si="161"/>
        <v>M</v>
      </c>
      <c r="BA98" s="542">
        <f t="shared" si="162"/>
        <v>0.3402</v>
      </c>
      <c r="BB98" s="542">
        <f t="shared" si="163"/>
        <v>1.5E-3</v>
      </c>
      <c r="BC98" s="533">
        <f xml:space="preserve"> ROUND(  INDEX( Kx!98:98, BC$16 ),  BC$17 )</f>
        <v>13105.98</v>
      </c>
      <c r="BD98" s="533">
        <f xml:space="preserve"> ROUND(  INDEX( Kx!98:98, BD$16 ),  BD$17 )</f>
        <v>10232.450000000001</v>
      </c>
      <c r="BE98" s="548" t="str">
        <f t="shared" si="174"/>
        <v>M</v>
      </c>
      <c r="BF98" s="542">
        <f t="shared" si="164"/>
        <v>0.3402</v>
      </c>
      <c r="BG98" s="420">
        <f t="shared" si="165"/>
        <v>11210.02</v>
      </c>
      <c r="BQ98" s="549"/>
      <c r="BR98" s="423"/>
      <c r="BS98" s="550"/>
      <c r="BT98" s="423"/>
      <c r="BU98" s="551"/>
      <c r="BV98" s="551"/>
      <c r="BW98" s="529"/>
      <c r="BX98" s="552"/>
      <c r="BY98" s="560"/>
      <c r="BZ98" s="559"/>
      <c r="CB98" s="423"/>
      <c r="CC98" s="423"/>
      <c r="CD98" s="423"/>
      <c r="CE98" s="423"/>
      <c r="CF98" s="553"/>
      <c r="CH98" s="423"/>
      <c r="CI98" s="423"/>
      <c r="CJ98" s="423"/>
      <c r="CK98" s="423"/>
      <c r="CL98" s="553"/>
      <c r="CN98" s="423"/>
      <c r="CO98" s="423"/>
      <c r="CP98" s="423"/>
      <c r="CQ98" s="423"/>
      <c r="CR98" s="553"/>
      <c r="EI98" s="553"/>
      <c r="EJ98" s="553"/>
      <c r="EK98" s="423"/>
      <c r="EL98" s="555"/>
      <c r="ES98" s="533"/>
      <c r="ET98" s="533"/>
      <c r="EU98" s="533"/>
      <c r="EV98" s="556"/>
      <c r="EY98" s="533"/>
      <c r="EZ98" s="533"/>
      <c r="FA98" s="556"/>
      <c r="FD98" s="556"/>
      <c r="FE98" s="556"/>
      <c r="FF98" s="556"/>
      <c r="FK98" s="557">
        <f t="shared" si="166"/>
        <v>98</v>
      </c>
      <c r="FL98" s="493">
        <f t="shared" si="167"/>
        <v>19.199200000000001</v>
      </c>
      <c r="FM98" s="493">
        <f t="shared" si="168"/>
        <v>3.4775999999999998</v>
      </c>
      <c r="FO98" s="427">
        <f t="shared" si="175"/>
        <v>1093713.5300000003</v>
      </c>
      <c r="FP98" s="558">
        <f t="shared" si="169"/>
        <v>31218.15</v>
      </c>
      <c r="FQ98" s="558">
        <f t="shared" si="169"/>
        <v>30925.51</v>
      </c>
      <c r="FR98" s="558">
        <f t="shared" si="169"/>
        <v>30632.14</v>
      </c>
      <c r="FS98" s="558">
        <f t="shared" si="169"/>
        <v>30338.78</v>
      </c>
      <c r="FT98" s="558">
        <f t="shared" si="169"/>
        <v>30035.3</v>
      </c>
      <c r="FU98" s="558">
        <f t="shared" si="169"/>
        <v>29723.15</v>
      </c>
      <c r="FV98" s="558">
        <f t="shared" si="169"/>
        <v>29413.89</v>
      </c>
      <c r="FW98" s="558">
        <f t="shared" si="169"/>
        <v>29102.46</v>
      </c>
      <c r="FX98" s="558">
        <f t="shared" si="169"/>
        <v>28780.19</v>
      </c>
      <c r="FY98" s="558">
        <f t="shared" si="169"/>
        <v>28444.92</v>
      </c>
      <c r="FZ98" s="558">
        <f t="shared" si="169"/>
        <v>28107.47</v>
      </c>
      <c r="GA98" s="558">
        <f t="shared" si="169"/>
        <v>27764.98</v>
      </c>
      <c r="GB98" s="558">
        <f t="shared" si="169"/>
        <v>27414.53</v>
      </c>
      <c r="GC98" s="558">
        <f t="shared" si="169"/>
        <v>27062.639999999999</v>
      </c>
      <c r="GD98" s="558">
        <f t="shared" si="169"/>
        <v>26699.9</v>
      </c>
      <c r="GE98" s="558">
        <f t="shared" si="169"/>
        <v>26334.28</v>
      </c>
      <c r="GF98" s="558">
        <f t="shared" si="134"/>
        <v>25957.82</v>
      </c>
      <c r="GG98" s="558">
        <f t="shared" si="134"/>
        <v>25572.69</v>
      </c>
      <c r="GH98" s="558">
        <f t="shared" si="134"/>
        <v>25176.720000000001</v>
      </c>
      <c r="GI98" s="558">
        <f t="shared" si="134"/>
        <v>24769.19</v>
      </c>
      <c r="GJ98" s="558">
        <f t="shared" si="134"/>
        <v>24349.38</v>
      </c>
      <c r="GK98" s="558">
        <f t="shared" si="134"/>
        <v>23913.67</v>
      </c>
      <c r="GL98" s="558">
        <f t="shared" si="134"/>
        <v>23462.06</v>
      </c>
      <c r="GM98" s="558">
        <f t="shared" si="134"/>
        <v>22993.83</v>
      </c>
      <c r="GN98" s="558">
        <f t="shared" si="134"/>
        <v>22506.82</v>
      </c>
      <c r="GO98" s="558">
        <f t="shared" si="134"/>
        <v>22004.63</v>
      </c>
      <c r="GP98" s="558">
        <f t="shared" si="134"/>
        <v>21485.1</v>
      </c>
      <c r="GQ98" s="558">
        <f t="shared" si="134"/>
        <v>20949.669999999998</v>
      </c>
      <c r="GR98" s="558">
        <f t="shared" si="134"/>
        <v>20399.8</v>
      </c>
      <c r="GS98" s="558">
        <f t="shared" si="134"/>
        <v>19836.189999999999</v>
      </c>
      <c r="GT98" s="558">
        <f t="shared" si="134"/>
        <v>19261.02</v>
      </c>
      <c r="GU98" s="558">
        <f t="shared" si="170"/>
        <v>18672.13</v>
      </c>
      <c r="GV98" s="558">
        <f t="shared" si="170"/>
        <v>18075.28</v>
      </c>
      <c r="GW98" s="558">
        <f t="shared" si="170"/>
        <v>17467.599999999999</v>
      </c>
      <c r="GX98" s="558">
        <f t="shared" si="170"/>
        <v>16853.41</v>
      </c>
      <c r="GY98" s="558">
        <f t="shared" si="170"/>
        <v>16232.72</v>
      </c>
      <c r="GZ98" s="558">
        <f t="shared" si="170"/>
        <v>15604.81</v>
      </c>
      <c r="HA98" s="558">
        <f t="shared" si="170"/>
        <v>14971.83</v>
      </c>
      <c r="HB98" s="558">
        <f t="shared" si="170"/>
        <v>14329.47</v>
      </c>
      <c r="HC98" s="558">
        <f t="shared" si="170"/>
        <v>13673.37</v>
      </c>
      <c r="HD98" s="558">
        <f t="shared" si="170"/>
        <v>13007.88</v>
      </c>
      <c r="HE98" s="558">
        <f t="shared" si="170"/>
        <v>12335.89</v>
      </c>
      <c r="HF98" s="558">
        <f t="shared" si="170"/>
        <v>11655.23</v>
      </c>
      <c r="HG98" s="558">
        <f t="shared" si="170"/>
        <v>10969.51</v>
      </c>
      <c r="HH98" s="558">
        <f t="shared" si="170"/>
        <v>10276.56</v>
      </c>
      <c r="HI98" s="558">
        <f t="shared" si="170"/>
        <v>9590.1200000000008</v>
      </c>
      <c r="HJ98" s="558">
        <f t="shared" si="170"/>
        <v>8897.89</v>
      </c>
      <c r="HK98" s="558">
        <f t="shared" si="135"/>
        <v>8210</v>
      </c>
      <c r="HL98" s="558">
        <f t="shared" si="135"/>
        <v>7527.17</v>
      </c>
      <c r="HM98" s="558">
        <f t="shared" si="135"/>
        <v>6847.23</v>
      </c>
      <c r="HN98" s="558">
        <f t="shared" si="135"/>
        <v>6287.24</v>
      </c>
      <c r="HO98" s="558">
        <f t="shared" si="135"/>
        <v>5744.59</v>
      </c>
      <c r="HP98" s="558">
        <f t="shared" si="135"/>
        <v>5225.0600000000004</v>
      </c>
      <c r="HQ98" s="558">
        <f t="shared" si="135"/>
        <v>4732.99</v>
      </c>
      <c r="HR98" s="558">
        <f t="shared" si="135"/>
        <v>4139.03</v>
      </c>
      <c r="HS98" s="558">
        <f t="shared" si="135"/>
        <v>3568.2</v>
      </c>
      <c r="HT98" s="558">
        <f t="shared" si="135"/>
        <v>3024.1</v>
      </c>
      <c r="HU98" s="558">
        <f t="shared" si="135"/>
        <v>2524.08</v>
      </c>
      <c r="HV98" s="558">
        <f t="shared" si="135"/>
        <v>2063.8000000000002</v>
      </c>
      <c r="HW98" s="558">
        <f t="shared" si="135"/>
        <v>1645.43</v>
      </c>
      <c r="HX98" s="558">
        <f t="shared" si="135"/>
        <v>1279.0899999999999</v>
      </c>
      <c r="HY98" s="558">
        <f t="shared" si="135"/>
        <v>956.82</v>
      </c>
      <c r="HZ98" s="558">
        <f t="shared" ref="HZ98:IX108" si="181" xml:space="preserve"> IF(  OR( HZ$18&gt;$FK98, $FK98&gt;$FP$12 ),  LEER,  ROUND( $FO$19 * ( $FL98 - HZ$15 * $FM98 ), HZ$17 )  )</f>
        <v>694.53</v>
      </c>
      <c r="IA98" s="558">
        <f t="shared" si="181"/>
        <v>483.54</v>
      </c>
      <c r="IB98" s="558">
        <f t="shared" si="181"/>
        <v>326.02</v>
      </c>
      <c r="IC98" s="558">
        <f t="shared" si="181"/>
        <v>221.24</v>
      </c>
      <c r="ID98" s="558">
        <f t="shared" si="181"/>
        <v>151.88</v>
      </c>
      <c r="IE98" s="558">
        <f t="shared" si="181"/>
        <v>103.46</v>
      </c>
      <c r="IF98" s="558">
        <f t="shared" si="181"/>
        <v>102.02</v>
      </c>
      <c r="IG98" s="558">
        <f t="shared" si="181"/>
        <v>99.13</v>
      </c>
      <c r="IH98" s="558">
        <f t="shared" si="181"/>
        <v>96.24</v>
      </c>
      <c r="II98" s="558">
        <f t="shared" si="181"/>
        <v>91.9</v>
      </c>
      <c r="IJ98" s="558">
        <f t="shared" si="181"/>
        <v>86.12</v>
      </c>
      <c r="IK98" s="558">
        <f t="shared" si="181"/>
        <v>78.17</v>
      </c>
      <c r="IL98" s="558">
        <f t="shared" si="181"/>
        <v>67.34</v>
      </c>
      <c r="IM98" s="558">
        <f t="shared" si="181"/>
        <v>52.16</v>
      </c>
      <c r="IN98" s="558">
        <f t="shared" si="181"/>
        <v>31.93</v>
      </c>
      <c r="IO98" s="558">
        <f t="shared" si="181"/>
        <v>2.2999999999999998</v>
      </c>
      <c r="IP98" s="558">
        <f t="shared" si="181"/>
        <v>0.14000000000000001</v>
      </c>
      <c r="IQ98" s="558" t="str">
        <f t="shared" si="181"/>
        <v>.</v>
      </c>
      <c r="IR98" s="558" t="str">
        <f t="shared" si="181"/>
        <v>.</v>
      </c>
      <c r="IS98" s="558" t="str">
        <f t="shared" si="181"/>
        <v>.</v>
      </c>
      <c r="IT98" s="558" t="str">
        <f t="shared" si="181"/>
        <v>.</v>
      </c>
      <c r="IU98" s="558" t="str">
        <f t="shared" si="181"/>
        <v>.</v>
      </c>
      <c r="IV98" s="558" t="str">
        <f t="shared" si="181"/>
        <v>.</v>
      </c>
      <c r="IW98" s="558" t="str">
        <f t="shared" si="181"/>
        <v>.</v>
      </c>
      <c r="IX98" s="558" t="str">
        <f t="shared" si="181"/>
        <v>.</v>
      </c>
      <c r="IY98" s="558" t="str">
        <f t="shared" si="179"/>
        <v>.</v>
      </c>
      <c r="IZ98" s="558" t="str">
        <f t="shared" si="179"/>
        <v>.</v>
      </c>
      <c r="JA98" s="558" t="str">
        <f t="shared" si="179"/>
        <v>.</v>
      </c>
      <c r="JB98" s="558" t="str">
        <f t="shared" si="179"/>
        <v>.</v>
      </c>
      <c r="JC98" s="558" t="str">
        <f t="shared" si="179"/>
        <v>.</v>
      </c>
      <c r="JD98" s="558" t="str">
        <f t="shared" si="179"/>
        <v>.</v>
      </c>
      <c r="JE98" s="558" t="str">
        <f t="shared" si="179"/>
        <v>.</v>
      </c>
      <c r="JF98" s="558" t="str">
        <f t="shared" si="179"/>
        <v>.</v>
      </c>
      <c r="JG98" s="558" t="str">
        <f t="shared" si="179"/>
        <v>.</v>
      </c>
      <c r="JH98" s="558" t="str">
        <f t="shared" si="180"/>
        <v>.</v>
      </c>
      <c r="JI98" s="558" t="str">
        <f t="shared" si="180"/>
        <v>.</v>
      </c>
      <c r="JJ98" s="558" t="str">
        <f t="shared" si="180"/>
        <v>.</v>
      </c>
      <c r="JK98" s="558" t="str">
        <f t="shared" si="180"/>
        <v>.</v>
      </c>
      <c r="JL98" s="558" t="str">
        <f t="shared" si="180"/>
        <v>.</v>
      </c>
    </row>
    <row r="99" spans="1:272" ht="10.199999999999999" x14ac:dyDescent="0.2">
      <c r="A99" s="534">
        <f xml:space="preserve"> Basis!A99</f>
        <v>99</v>
      </c>
      <c r="F99" s="536">
        <f xml:space="preserve"> ROUND(    IF( $A$15=BE_MF_,   AW99,   INDEX( qx!99:99, F$16 ) ),    F$17    )</f>
        <v>0.2601</v>
      </c>
      <c r="G99" s="536">
        <f xml:space="preserve"> ROUND(    IF( $A$15=BE_MF_,   BB99,   INDEX( wx!99:99, G$16 ) ),    G$17    )</f>
        <v>1.4E-3</v>
      </c>
      <c r="H99" s="537">
        <f xml:space="preserve"> ROUND(    IF( $A$15=BE_MF_,   BG99,   INDEX( Kx!99:99, H$16 ) ),    H$17    )</f>
        <v>11313.29</v>
      </c>
      <c r="I99" s="538">
        <f t="shared" si="171"/>
        <v>11469.4</v>
      </c>
      <c r="J99" s="539">
        <f t="shared" si="137"/>
        <v>5.52</v>
      </c>
      <c r="K99" s="540">
        <f t="shared" si="172"/>
        <v>0</v>
      </c>
      <c r="L99" s="541">
        <f t="shared" si="71"/>
        <v>0</v>
      </c>
      <c r="M99" s="541">
        <f t="shared" si="71"/>
        <v>8.5999999999999993E-2</v>
      </c>
      <c r="O99" s="542" t="b">
        <f t="shared" si="173"/>
        <v>1</v>
      </c>
      <c r="P99" s="493">
        <f t="shared" si="138"/>
        <v>0.26150000000000001</v>
      </c>
      <c r="Q99" s="493">
        <f t="shared" si="139"/>
        <v>0.73850000000000005</v>
      </c>
      <c r="R99" s="543">
        <f t="shared" si="140"/>
        <v>34598</v>
      </c>
      <c r="S99" s="544">
        <f t="shared" si="141"/>
        <v>0.97560975599999999</v>
      </c>
      <c r="T99" s="423">
        <f t="shared" si="142"/>
        <v>3001.85</v>
      </c>
      <c r="U99" s="423">
        <f xml:space="preserve"> IF( $O99,    ROUND(  SUM( T99:T$120), U$17 ),  LEER  )</f>
        <v>10198.44</v>
      </c>
      <c r="V99" s="493">
        <f t="shared" si="143"/>
        <v>3.3974000000000002</v>
      </c>
      <c r="W99" s="493">
        <f t="shared" si="144"/>
        <v>16570.21</v>
      </c>
      <c r="X99" s="493">
        <f xml:space="preserve"> IF( $O99,    ROUND(  SUM( W99:W$120), X$17 ),  LEER  )</f>
        <v>56306.89</v>
      </c>
      <c r="Y99" s="493">
        <f t="shared" si="145"/>
        <v>18.757400000000001</v>
      </c>
      <c r="Z99" s="493">
        <f t="shared" si="146"/>
        <v>5.5210999999999997</v>
      </c>
      <c r="AA99" s="493">
        <f t="shared" si="147"/>
        <v>1</v>
      </c>
      <c r="AB99" s="493">
        <f t="shared" si="148"/>
        <v>2.3494000000000002</v>
      </c>
      <c r="AC99" s="545">
        <f t="shared" si="149"/>
        <v>0.32679999999999998</v>
      </c>
      <c r="AD99" s="493">
        <f t="shared" si="150"/>
        <v>5.5210999999999997</v>
      </c>
      <c r="AE99" s="493">
        <f t="shared" si="151"/>
        <v>6.3981000000000003</v>
      </c>
      <c r="AF99" s="493">
        <f t="shared" si="152"/>
        <v>6.3981000000000003</v>
      </c>
      <c r="AG99" s="493" t="str">
        <f t="shared" si="153"/>
        <v>.</v>
      </c>
      <c r="AH99" s="493" t="str">
        <f t="shared" si="154"/>
        <v>.</v>
      </c>
      <c r="AI99" s="423">
        <f t="shared" si="155"/>
        <v>2077.79</v>
      </c>
      <c r="AJ99" s="423">
        <f t="shared" si="156"/>
        <v>13293.91</v>
      </c>
      <c r="AK99" s="423">
        <f t="shared" si="157"/>
        <v>1107.83</v>
      </c>
      <c r="AN99" s="423">
        <f t="shared" si="129"/>
        <v>25885.69</v>
      </c>
      <c r="AO99" s="423">
        <f t="shared" si="129"/>
        <v>25728.98</v>
      </c>
      <c r="AR99" s="546">
        <f xml:space="preserve"> ROUND(  INDEX( Kx!99:99, AR$16 ),  AR$17 )</f>
        <v>0.27560000000000001</v>
      </c>
      <c r="AS99" s="547">
        <f xml:space="preserve"> ROUND(  INDEX( qx!99:99, AS$16 ),  AS$17 )</f>
        <v>0.26619999999999999</v>
      </c>
      <c r="AT99" s="547">
        <f xml:space="preserve"> ROUND(  INDEX( qx!99:99, AT$16 ),  AT$17 )</f>
        <v>0.25850000000000001</v>
      </c>
      <c r="AU99" s="548" t="str">
        <f t="shared" si="158"/>
        <v>F</v>
      </c>
      <c r="AV99" s="542">
        <f t="shared" si="159"/>
        <v>0.20230000000000001</v>
      </c>
      <c r="AW99" s="542">
        <f t="shared" si="160"/>
        <v>0.2601</v>
      </c>
      <c r="AX99" s="546">
        <f xml:space="preserve"> ROUND(  INDEX( wx!99:99, AX$16 ),  AX$17 )</f>
        <v>2.9999999999999997E-4</v>
      </c>
      <c r="AY99" s="546">
        <f xml:space="preserve"> ROUND(  INDEX( wx!99:99, AY$16 ),  AY$17 )</f>
        <v>2.0999999999999999E-3</v>
      </c>
      <c r="AZ99" s="548" t="str">
        <f t="shared" si="161"/>
        <v>M</v>
      </c>
      <c r="BA99" s="542">
        <f t="shared" si="162"/>
        <v>0.36330000000000001</v>
      </c>
      <c r="BB99" s="542">
        <f t="shared" si="163"/>
        <v>1.4E-3</v>
      </c>
      <c r="BC99" s="533">
        <f xml:space="preserve"> ROUND(  INDEX( Kx!99:99, BC$16 ),  BC$17 )</f>
        <v>13184.7</v>
      </c>
      <c r="BD99" s="533">
        <f xml:space="preserve"> ROUND(  INDEX( Kx!99:99, BD$16 ),  BD$17 )</f>
        <v>10245.459999999999</v>
      </c>
      <c r="BE99" s="548" t="str">
        <f t="shared" si="174"/>
        <v>M</v>
      </c>
      <c r="BF99" s="542">
        <f t="shared" si="164"/>
        <v>0.36330000000000001</v>
      </c>
      <c r="BG99" s="420">
        <f t="shared" si="165"/>
        <v>11313.29</v>
      </c>
      <c r="BQ99" s="549"/>
      <c r="BR99" s="423"/>
      <c r="BS99" s="550"/>
      <c r="BT99" s="423"/>
      <c r="BU99" s="551"/>
      <c r="BV99" s="551"/>
      <c r="BW99" s="529"/>
      <c r="BX99" s="552"/>
      <c r="BY99" s="560"/>
      <c r="BZ99" s="559"/>
      <c r="CB99" s="423"/>
      <c r="CC99" s="423"/>
      <c r="CD99" s="423"/>
      <c r="CE99" s="423"/>
      <c r="CF99" s="553"/>
      <c r="CH99" s="423"/>
      <c r="CI99" s="423"/>
      <c r="CJ99" s="423"/>
      <c r="CK99" s="423"/>
      <c r="CL99" s="553"/>
      <c r="CN99" s="423"/>
      <c r="CO99" s="423"/>
      <c r="CP99" s="423"/>
      <c r="CQ99" s="423"/>
      <c r="CR99" s="553"/>
      <c r="EI99" s="553"/>
      <c r="EJ99" s="553"/>
      <c r="EK99" s="423"/>
      <c r="EL99" s="555"/>
      <c r="ES99" s="533"/>
      <c r="ET99" s="533"/>
      <c r="EU99" s="533"/>
      <c r="EV99" s="556"/>
      <c r="EY99" s="533"/>
      <c r="EZ99" s="533"/>
      <c r="FA99" s="556"/>
      <c r="FD99" s="556"/>
      <c r="FE99" s="556"/>
      <c r="FF99" s="556"/>
      <c r="FK99" s="557">
        <f t="shared" si="166"/>
        <v>99</v>
      </c>
      <c r="FL99" s="493">
        <f t="shared" si="167"/>
        <v>18.757400000000001</v>
      </c>
      <c r="FM99" s="493">
        <f t="shared" si="168"/>
        <v>3.3974000000000002</v>
      </c>
      <c r="FO99" s="427">
        <f t="shared" si="175"/>
        <v>1068649.6199999994</v>
      </c>
      <c r="FP99" s="558">
        <f t="shared" si="169"/>
        <v>30500.21</v>
      </c>
      <c r="FQ99" s="558">
        <f t="shared" si="169"/>
        <v>30214.32</v>
      </c>
      <c r="FR99" s="558">
        <f t="shared" si="169"/>
        <v>29927.72</v>
      </c>
      <c r="FS99" s="558">
        <f t="shared" si="169"/>
        <v>29641.119999999999</v>
      </c>
      <c r="FT99" s="558">
        <f t="shared" si="169"/>
        <v>29344.639999999999</v>
      </c>
      <c r="FU99" s="558">
        <f t="shared" si="169"/>
        <v>29039.69</v>
      </c>
      <c r="FV99" s="558">
        <f t="shared" si="169"/>
        <v>28737.56</v>
      </c>
      <c r="FW99" s="558">
        <f t="shared" si="169"/>
        <v>28433.31</v>
      </c>
      <c r="FX99" s="558">
        <f t="shared" si="169"/>
        <v>28118.48</v>
      </c>
      <c r="FY99" s="558">
        <f t="shared" si="169"/>
        <v>27790.94</v>
      </c>
      <c r="FZ99" s="558">
        <f t="shared" si="169"/>
        <v>27461.279999999999</v>
      </c>
      <c r="GA99" s="558">
        <f t="shared" si="169"/>
        <v>27126.68</v>
      </c>
      <c r="GB99" s="558">
        <f t="shared" si="169"/>
        <v>26784.31</v>
      </c>
      <c r="GC99" s="558">
        <f t="shared" si="169"/>
        <v>26440.53</v>
      </c>
      <c r="GD99" s="558">
        <f t="shared" si="169"/>
        <v>26086.17</v>
      </c>
      <c r="GE99" s="558">
        <f t="shared" ref="GE99:GT114" si="182" xml:space="preserve"> IF(  OR( GE$18&gt;$FK99, $FK99&gt;$FP$12 ),  LEER,  ROUND( $FO$19 * ( $FL99 - GE$15 * $FM99 ), GE$17 )  )</f>
        <v>25728.98</v>
      </c>
      <c r="GF99" s="558">
        <f t="shared" si="182"/>
        <v>25361.200000000001</v>
      </c>
      <c r="GG99" s="558">
        <f t="shared" si="182"/>
        <v>24984.95</v>
      </c>
      <c r="GH99" s="558">
        <f t="shared" si="182"/>
        <v>24598.11</v>
      </c>
      <c r="GI99" s="558">
        <f t="shared" si="182"/>
        <v>24199.98</v>
      </c>
      <c r="GJ99" s="558">
        <f t="shared" si="182"/>
        <v>23789.85</v>
      </c>
      <c r="GK99" s="558">
        <f t="shared" si="182"/>
        <v>23364.19</v>
      </c>
      <c r="GL99" s="558">
        <f t="shared" si="182"/>
        <v>22922.99</v>
      </c>
      <c r="GM99" s="558">
        <f t="shared" si="182"/>
        <v>22465.56</v>
      </c>
      <c r="GN99" s="558">
        <f t="shared" si="182"/>
        <v>21989.78</v>
      </c>
      <c r="GO99" s="558">
        <f t="shared" si="182"/>
        <v>21499.18</v>
      </c>
      <c r="GP99" s="558">
        <f t="shared" si="182"/>
        <v>20991.63</v>
      </c>
      <c r="GQ99" s="558">
        <f t="shared" si="182"/>
        <v>20468.55</v>
      </c>
      <c r="GR99" s="558">
        <f t="shared" si="182"/>
        <v>19931.349999999999</v>
      </c>
      <c r="GS99" s="558">
        <f t="shared" si="182"/>
        <v>19380.75</v>
      </c>
      <c r="GT99" s="558">
        <f t="shared" si="182"/>
        <v>18818.84</v>
      </c>
      <c r="GU99" s="558">
        <f t="shared" si="170"/>
        <v>18243.53</v>
      </c>
      <c r="GV99" s="558">
        <f t="shared" si="170"/>
        <v>17660.45</v>
      </c>
      <c r="GW99" s="558">
        <f t="shared" si="170"/>
        <v>17066.78</v>
      </c>
      <c r="GX99" s="558">
        <f t="shared" si="170"/>
        <v>16466.759999999998</v>
      </c>
      <c r="GY99" s="558">
        <f t="shared" si="170"/>
        <v>15860.38</v>
      </c>
      <c r="GZ99" s="558">
        <f t="shared" si="170"/>
        <v>15246.95</v>
      </c>
      <c r="HA99" s="558">
        <f t="shared" si="170"/>
        <v>14628.57</v>
      </c>
      <c r="HB99" s="558">
        <f t="shared" si="170"/>
        <v>14001.02</v>
      </c>
      <c r="HC99" s="558">
        <f t="shared" si="170"/>
        <v>13360.05</v>
      </c>
      <c r="HD99" s="558">
        <f t="shared" si="170"/>
        <v>12709.91</v>
      </c>
      <c r="HE99" s="558">
        <f t="shared" si="170"/>
        <v>12053.42</v>
      </c>
      <c r="HF99" s="558">
        <f t="shared" si="170"/>
        <v>11388.45</v>
      </c>
      <c r="HG99" s="558">
        <f t="shared" si="170"/>
        <v>10718.54</v>
      </c>
      <c r="HH99" s="558">
        <f t="shared" si="170"/>
        <v>10041.58</v>
      </c>
      <c r="HI99" s="558">
        <f t="shared" si="170"/>
        <v>9370.9599999999991</v>
      </c>
      <c r="HJ99" s="558">
        <f t="shared" ref="HJ99:HY114" si="183" xml:space="preserve"> IF(  OR( HJ$18&gt;$FK99, $FK99&gt;$FP$12 ),  LEER,  ROUND( $FO$19 * ( $FL99 - HJ$15 * $FM99 ), HJ$17 )  )</f>
        <v>8694.7000000000007</v>
      </c>
      <c r="HK99" s="558">
        <f t="shared" si="183"/>
        <v>8022.68</v>
      </c>
      <c r="HL99" s="558">
        <f t="shared" si="183"/>
        <v>7355.6</v>
      </c>
      <c r="HM99" s="558">
        <f t="shared" si="183"/>
        <v>6691.34</v>
      </c>
      <c r="HN99" s="558">
        <f t="shared" si="183"/>
        <v>6144.26</v>
      </c>
      <c r="HO99" s="558">
        <f t="shared" si="183"/>
        <v>5614.12</v>
      </c>
      <c r="HP99" s="558">
        <f t="shared" si="183"/>
        <v>5106.57</v>
      </c>
      <c r="HQ99" s="558">
        <f t="shared" si="183"/>
        <v>4625.8500000000004</v>
      </c>
      <c r="HR99" s="558">
        <f t="shared" si="183"/>
        <v>4045.59</v>
      </c>
      <c r="HS99" s="558">
        <f t="shared" si="183"/>
        <v>3487.92</v>
      </c>
      <c r="HT99" s="558">
        <f t="shared" si="183"/>
        <v>2956.38</v>
      </c>
      <c r="HU99" s="558">
        <f t="shared" si="183"/>
        <v>2467.89</v>
      </c>
      <c r="HV99" s="558">
        <f t="shared" si="183"/>
        <v>2018.22</v>
      </c>
      <c r="HW99" s="558">
        <f t="shared" si="183"/>
        <v>1609.5</v>
      </c>
      <c r="HX99" s="558">
        <f t="shared" si="183"/>
        <v>1251.6099999999999</v>
      </c>
      <c r="HY99" s="558">
        <f t="shared" si="183"/>
        <v>936.77</v>
      </c>
      <c r="HZ99" s="558">
        <f t="shared" si="181"/>
        <v>680.53</v>
      </c>
      <c r="IA99" s="558">
        <f t="shared" si="181"/>
        <v>474.4</v>
      </c>
      <c r="IB99" s="558">
        <f t="shared" si="181"/>
        <v>320.51</v>
      </c>
      <c r="IC99" s="558">
        <f t="shared" si="181"/>
        <v>218.16</v>
      </c>
      <c r="ID99" s="558">
        <f t="shared" si="181"/>
        <v>150.38999999999999</v>
      </c>
      <c r="IE99" s="558">
        <f t="shared" si="181"/>
        <v>103.09</v>
      </c>
      <c r="IF99" s="558">
        <f t="shared" si="181"/>
        <v>101.68</v>
      </c>
      <c r="IG99" s="558">
        <f t="shared" si="181"/>
        <v>98.86</v>
      </c>
      <c r="IH99" s="558">
        <f t="shared" si="181"/>
        <v>96.03</v>
      </c>
      <c r="II99" s="558">
        <f t="shared" si="181"/>
        <v>91.8</v>
      </c>
      <c r="IJ99" s="558">
        <f t="shared" si="181"/>
        <v>86.15</v>
      </c>
      <c r="IK99" s="558">
        <f t="shared" si="181"/>
        <v>78.39</v>
      </c>
      <c r="IL99" s="558">
        <f t="shared" si="181"/>
        <v>67.8</v>
      </c>
      <c r="IM99" s="558">
        <f t="shared" si="181"/>
        <v>52.97</v>
      </c>
      <c r="IN99" s="558">
        <f t="shared" si="181"/>
        <v>33.21</v>
      </c>
      <c r="IO99" s="558">
        <f t="shared" si="181"/>
        <v>4.2699999999999996</v>
      </c>
      <c r="IP99" s="558">
        <f t="shared" si="181"/>
        <v>2.15</v>
      </c>
      <c r="IQ99" s="558">
        <f t="shared" si="181"/>
        <v>0.03</v>
      </c>
      <c r="IR99" s="558" t="str">
        <f t="shared" si="181"/>
        <v>.</v>
      </c>
      <c r="IS99" s="558" t="str">
        <f t="shared" si="181"/>
        <v>.</v>
      </c>
      <c r="IT99" s="558" t="str">
        <f t="shared" si="181"/>
        <v>.</v>
      </c>
      <c r="IU99" s="558" t="str">
        <f t="shared" si="181"/>
        <v>.</v>
      </c>
      <c r="IV99" s="558" t="str">
        <f t="shared" si="181"/>
        <v>.</v>
      </c>
      <c r="IW99" s="558" t="str">
        <f t="shared" si="181"/>
        <v>.</v>
      </c>
      <c r="IX99" s="558" t="str">
        <f t="shared" si="181"/>
        <v>.</v>
      </c>
      <c r="IY99" s="558" t="str">
        <f t="shared" si="179"/>
        <v>.</v>
      </c>
      <c r="IZ99" s="558" t="str">
        <f t="shared" si="179"/>
        <v>.</v>
      </c>
      <c r="JA99" s="558" t="str">
        <f t="shared" si="179"/>
        <v>.</v>
      </c>
      <c r="JB99" s="558" t="str">
        <f t="shared" si="179"/>
        <v>.</v>
      </c>
      <c r="JC99" s="558" t="str">
        <f t="shared" si="179"/>
        <v>.</v>
      </c>
      <c r="JD99" s="558" t="str">
        <f t="shared" si="179"/>
        <v>.</v>
      </c>
      <c r="JE99" s="558" t="str">
        <f t="shared" si="179"/>
        <v>.</v>
      </c>
      <c r="JF99" s="558" t="str">
        <f t="shared" si="179"/>
        <v>.</v>
      </c>
      <c r="JG99" s="558" t="str">
        <f t="shared" si="179"/>
        <v>.</v>
      </c>
      <c r="JH99" s="558" t="str">
        <f t="shared" si="180"/>
        <v>.</v>
      </c>
      <c r="JI99" s="558" t="str">
        <f t="shared" si="180"/>
        <v>.</v>
      </c>
      <c r="JJ99" s="558" t="str">
        <f t="shared" si="180"/>
        <v>.</v>
      </c>
      <c r="JK99" s="558" t="str">
        <f t="shared" si="180"/>
        <v>.</v>
      </c>
      <c r="JL99" s="558" t="str">
        <f t="shared" si="180"/>
        <v>.</v>
      </c>
    </row>
    <row r="100" spans="1:272" ht="10.199999999999999" x14ac:dyDescent="0.2">
      <c r="A100" s="534">
        <f xml:space="preserve"> Basis!A100</f>
        <v>100</v>
      </c>
      <c r="F100" s="536">
        <f xml:space="preserve"> ROUND(    IF( $A$15=BE_MF_,   AW100,   INDEX( qx!100:100, F$16 ) ),    F$17    )</f>
        <v>0.26479999999999998</v>
      </c>
      <c r="G100" s="536">
        <f xml:space="preserve"> ROUND(    IF( $A$15=BE_MF_,   BB100,   INDEX( wx!100:100, G$16 ) ),    G$17    )</f>
        <v>1.5E-3</v>
      </c>
      <c r="H100" s="537">
        <f xml:space="preserve"> ROUND(    IF( $A$15=BE_MF_,   BG100,   INDEX( Kx!100:100, H$16 ) ),    H$17    )</f>
        <v>11249.37</v>
      </c>
      <c r="I100" s="538">
        <f t="shared" si="171"/>
        <v>11469.4</v>
      </c>
      <c r="J100" s="539">
        <f t="shared" si="137"/>
        <v>5.52</v>
      </c>
      <c r="K100" s="540">
        <f t="shared" si="172"/>
        <v>0</v>
      </c>
      <c r="L100" s="541">
        <f t="shared" si="71"/>
        <v>0</v>
      </c>
      <c r="M100" s="541">
        <f t="shared" si="71"/>
        <v>8.5999999999999993E-2</v>
      </c>
      <c r="O100" s="542" t="b">
        <f t="shared" si="173"/>
        <v>1</v>
      </c>
      <c r="P100" s="493">
        <f t="shared" si="138"/>
        <v>0.26629999999999998</v>
      </c>
      <c r="Q100" s="493">
        <f t="shared" si="139"/>
        <v>0.73370000000000002</v>
      </c>
      <c r="R100" s="543">
        <f t="shared" si="140"/>
        <v>25550</v>
      </c>
      <c r="S100" s="544">
        <f t="shared" si="141"/>
        <v>0.97560975599999999</v>
      </c>
      <c r="T100" s="423">
        <f t="shared" si="142"/>
        <v>2162.7399999999998</v>
      </c>
      <c r="U100" s="423">
        <f xml:space="preserve"> IF( $O100,    ROUND(  SUM( T100:T$120), U$17 ),  LEER  )</f>
        <v>7196.59</v>
      </c>
      <c r="V100" s="493">
        <f t="shared" si="143"/>
        <v>3.3275000000000001</v>
      </c>
      <c r="W100" s="493">
        <f t="shared" si="144"/>
        <v>11938.32</v>
      </c>
      <c r="X100" s="493">
        <f xml:space="preserve"> IF( $O100,    ROUND(  SUM( W100:W$120), X$17 ),  LEER  )</f>
        <v>39736.68</v>
      </c>
      <c r="Y100" s="493">
        <f t="shared" si="145"/>
        <v>18.3733</v>
      </c>
      <c r="Z100" s="493">
        <f t="shared" si="146"/>
        <v>5.5217000000000001</v>
      </c>
      <c r="AA100" s="493">
        <f t="shared" si="147"/>
        <v>1</v>
      </c>
      <c r="AB100" s="493">
        <f t="shared" si="148"/>
        <v>2.3494000000000002</v>
      </c>
      <c r="AC100" s="545">
        <f t="shared" si="149"/>
        <v>0.32679999999999998</v>
      </c>
      <c r="AD100" s="493">
        <f t="shared" si="150"/>
        <v>5.5217000000000001</v>
      </c>
      <c r="AE100" s="493">
        <f t="shared" si="151"/>
        <v>6.3987999999999996</v>
      </c>
      <c r="AF100" s="493">
        <f t="shared" si="152"/>
        <v>6.3987999999999996</v>
      </c>
      <c r="AG100" s="493" t="str">
        <f t="shared" si="153"/>
        <v>.</v>
      </c>
      <c r="AH100" s="493" t="str">
        <f t="shared" si="154"/>
        <v>.</v>
      </c>
      <c r="AI100" s="423">
        <f t="shared" si="155"/>
        <v>2077.79</v>
      </c>
      <c r="AJ100" s="423">
        <f t="shared" si="156"/>
        <v>13295.36</v>
      </c>
      <c r="AK100" s="423">
        <f t="shared" si="157"/>
        <v>1107.95</v>
      </c>
      <c r="AN100" s="423">
        <f t="shared" ref="AN100:AO120" si="184" xml:space="preserve">  IF( AND( $A100&lt;=$O$12, $A100&gt;=AN$12),    ROUND( AN$19 * ( SUM($Y100) - SUM(AN$8) * SUM($V100) ), AN$17 ),  LEER  )</f>
        <v>25356.9</v>
      </c>
      <c r="AO100" s="423">
        <f t="shared" si="184"/>
        <v>25203.41</v>
      </c>
      <c r="AR100" s="546">
        <f xml:space="preserve"> ROUND(  INDEX( Kx!100:100, AR$16 ),  AR$17 )</f>
        <v>0.24679999999999999</v>
      </c>
      <c r="AS100" s="547">
        <f xml:space="preserve"> ROUND(  INDEX( qx!100:100, AS$16 ),  AS$17 )</f>
        <v>0.27300000000000002</v>
      </c>
      <c r="AT100" s="547">
        <f xml:space="preserve"> ROUND(  INDEX( qx!100:100, AT$16 ),  AT$17 )</f>
        <v>0.26300000000000001</v>
      </c>
      <c r="AU100" s="548" t="str">
        <f t="shared" si="158"/>
        <v>F</v>
      </c>
      <c r="AV100" s="542">
        <f t="shared" si="159"/>
        <v>0.17929999999999999</v>
      </c>
      <c r="AW100" s="542">
        <f t="shared" si="160"/>
        <v>0.26479999999999998</v>
      </c>
      <c r="AX100" s="546">
        <f xml:space="preserve"> ROUND(  INDEX( wx!100:100, AX$16 ),  AX$17 )</f>
        <v>2.0000000000000001E-4</v>
      </c>
      <c r="AY100" s="546">
        <f xml:space="preserve"> ROUND(  INDEX( wx!100:100, AY$16 ),  AY$17 )</f>
        <v>2.0999999999999999E-3</v>
      </c>
      <c r="AZ100" s="548" t="str">
        <f t="shared" si="161"/>
        <v>M</v>
      </c>
      <c r="BA100" s="542">
        <f t="shared" si="162"/>
        <v>0.32950000000000002</v>
      </c>
      <c r="BB100" s="542">
        <f t="shared" si="163"/>
        <v>1.5E-3</v>
      </c>
      <c r="BC100" s="533">
        <f xml:space="preserve"> ROUND(  INDEX( Kx!100:100, BC$16 ),  BC$17 )</f>
        <v>13263.95</v>
      </c>
      <c r="BD100" s="533">
        <f xml:space="preserve"> ROUND(  INDEX( Kx!100:100, BD$16 ),  BD$17 )</f>
        <v>10259.35</v>
      </c>
      <c r="BE100" s="548" t="str">
        <f t="shared" si="174"/>
        <v>M</v>
      </c>
      <c r="BF100" s="542">
        <f t="shared" si="164"/>
        <v>0.32950000000000002</v>
      </c>
      <c r="BG100" s="420">
        <f t="shared" si="165"/>
        <v>11249.37</v>
      </c>
      <c r="BQ100" s="549"/>
      <c r="BR100" s="423"/>
      <c r="BS100" s="550"/>
      <c r="BT100" s="423"/>
      <c r="BU100" s="551"/>
      <c r="BV100" s="551"/>
      <c r="BW100" s="529"/>
      <c r="BX100" s="552"/>
      <c r="BY100" s="560"/>
      <c r="BZ100" s="559"/>
      <c r="CB100" s="423"/>
      <c r="CC100" s="423"/>
      <c r="CD100" s="423"/>
      <c r="CE100" s="423"/>
      <c r="CF100" s="553"/>
      <c r="CH100" s="423"/>
      <c r="CI100" s="423"/>
      <c r="CJ100" s="423"/>
      <c r="CK100" s="423"/>
      <c r="CL100" s="553"/>
      <c r="CN100" s="423"/>
      <c r="CO100" s="423"/>
      <c r="CP100" s="423"/>
      <c r="CQ100" s="423"/>
      <c r="CR100" s="553"/>
      <c r="EI100" s="553"/>
      <c r="EJ100" s="553"/>
      <c r="EK100" s="423"/>
      <c r="EL100" s="555"/>
      <c r="ES100" s="533"/>
      <c r="ET100" s="533"/>
      <c r="EU100" s="533"/>
      <c r="EV100" s="556"/>
      <c r="EY100" s="533"/>
      <c r="EZ100" s="533"/>
      <c r="FA100" s="556"/>
      <c r="FD100" s="556"/>
      <c r="FE100" s="556"/>
      <c r="FF100" s="556"/>
      <c r="FK100" s="557">
        <f t="shared" si="166"/>
        <v>100</v>
      </c>
      <c r="FL100" s="493">
        <f t="shared" si="167"/>
        <v>18.3733</v>
      </c>
      <c r="FM100" s="493">
        <f t="shared" si="168"/>
        <v>3.3275000000000001</v>
      </c>
      <c r="FO100" s="427">
        <f t="shared" si="175"/>
        <v>1046965.73</v>
      </c>
      <c r="FP100" s="558">
        <f t="shared" ref="FP100:GE115" si="185" xml:space="preserve"> IF(  OR( FP$18&gt;$FK100, $FK100&gt;$FP$12 ),  LEER,  ROUND( $FO$19 * ( $FL100 - FP$15 * $FM100 ), FP$17 )  )</f>
        <v>29876.48</v>
      </c>
      <c r="FQ100" s="558">
        <f t="shared" si="185"/>
        <v>29596.47</v>
      </c>
      <c r="FR100" s="558">
        <f t="shared" si="185"/>
        <v>29315.77</v>
      </c>
      <c r="FS100" s="558">
        <f t="shared" si="185"/>
        <v>29035.06</v>
      </c>
      <c r="FT100" s="558">
        <f t="shared" si="185"/>
        <v>28744.68</v>
      </c>
      <c r="FU100" s="558">
        <f t="shared" si="185"/>
        <v>28446</v>
      </c>
      <c r="FV100" s="558">
        <f t="shared" si="185"/>
        <v>28150.09</v>
      </c>
      <c r="FW100" s="558">
        <f t="shared" si="185"/>
        <v>27852.1</v>
      </c>
      <c r="FX100" s="558">
        <f t="shared" si="185"/>
        <v>27543.75</v>
      </c>
      <c r="FY100" s="558">
        <f t="shared" si="185"/>
        <v>27222.94</v>
      </c>
      <c r="FZ100" s="558">
        <f t="shared" si="185"/>
        <v>26900.07</v>
      </c>
      <c r="GA100" s="558">
        <f t="shared" si="185"/>
        <v>26572.35</v>
      </c>
      <c r="GB100" s="558">
        <f t="shared" si="185"/>
        <v>26237.03</v>
      </c>
      <c r="GC100" s="558">
        <f t="shared" si="185"/>
        <v>25900.33</v>
      </c>
      <c r="GD100" s="558">
        <f t="shared" si="185"/>
        <v>25553.25</v>
      </c>
      <c r="GE100" s="558">
        <f t="shared" si="185"/>
        <v>25203.41</v>
      </c>
      <c r="GF100" s="558">
        <f t="shared" si="182"/>
        <v>24843.200000000001</v>
      </c>
      <c r="GG100" s="558">
        <f t="shared" si="182"/>
        <v>24474.69</v>
      </c>
      <c r="GH100" s="558">
        <f t="shared" si="182"/>
        <v>24095.81</v>
      </c>
      <c r="GI100" s="558">
        <f t="shared" si="182"/>
        <v>23705.87</v>
      </c>
      <c r="GJ100" s="558">
        <f t="shared" si="182"/>
        <v>23304.18</v>
      </c>
      <c r="GK100" s="558">
        <f t="shared" si="182"/>
        <v>22887.27</v>
      </c>
      <c r="GL100" s="558">
        <f t="shared" si="182"/>
        <v>22455.16</v>
      </c>
      <c r="GM100" s="558">
        <f t="shared" si="182"/>
        <v>22007.14</v>
      </c>
      <c r="GN100" s="558">
        <f t="shared" si="182"/>
        <v>21541.14</v>
      </c>
      <c r="GO100" s="558">
        <f t="shared" si="182"/>
        <v>21060.63</v>
      </c>
      <c r="GP100" s="558">
        <f t="shared" si="182"/>
        <v>20563.53</v>
      </c>
      <c r="GQ100" s="558">
        <f t="shared" si="182"/>
        <v>20051.21</v>
      </c>
      <c r="GR100" s="558">
        <f t="shared" si="182"/>
        <v>19525.07</v>
      </c>
      <c r="GS100" s="558">
        <f t="shared" si="182"/>
        <v>18985.79</v>
      </c>
      <c r="GT100" s="558">
        <f t="shared" si="182"/>
        <v>18435.45</v>
      </c>
      <c r="GU100" s="558">
        <f t="shared" ref="GU100:HJ115" si="186" xml:space="preserve"> IF(  OR( GU$18&gt;$FK100, $FK100&gt;$FP$12 ),  LEER,  ROUND( $FO$19 * ( $FL100 - GU$15 * $FM100 ), GU$17 )  )</f>
        <v>17871.97</v>
      </c>
      <c r="GV100" s="558">
        <f t="shared" si="186"/>
        <v>17300.88</v>
      </c>
      <c r="GW100" s="558">
        <f t="shared" si="186"/>
        <v>16719.43</v>
      </c>
      <c r="GX100" s="558">
        <f t="shared" si="186"/>
        <v>16131.75</v>
      </c>
      <c r="GY100" s="558">
        <f t="shared" si="186"/>
        <v>15537.85</v>
      </c>
      <c r="GZ100" s="558">
        <f t="shared" si="186"/>
        <v>14937.04</v>
      </c>
      <c r="HA100" s="558">
        <f t="shared" si="186"/>
        <v>14331.39</v>
      </c>
      <c r="HB100" s="558">
        <f t="shared" si="186"/>
        <v>13716.75</v>
      </c>
      <c r="HC100" s="558">
        <f t="shared" si="186"/>
        <v>13088.97</v>
      </c>
      <c r="HD100" s="558">
        <f t="shared" si="186"/>
        <v>12452.2</v>
      </c>
      <c r="HE100" s="558">
        <f t="shared" si="186"/>
        <v>11809.22</v>
      </c>
      <c r="HF100" s="558">
        <f t="shared" si="186"/>
        <v>11157.93</v>
      </c>
      <c r="HG100" s="558">
        <f t="shared" si="186"/>
        <v>10501.81</v>
      </c>
      <c r="HH100" s="558">
        <f t="shared" si="186"/>
        <v>9838.77</v>
      </c>
      <c r="HI100" s="558">
        <f t="shared" si="186"/>
        <v>9181.9500000000007</v>
      </c>
      <c r="HJ100" s="558">
        <f t="shared" si="186"/>
        <v>8519.61</v>
      </c>
      <c r="HK100" s="558">
        <f t="shared" si="183"/>
        <v>7861.41</v>
      </c>
      <c r="HL100" s="558">
        <f t="shared" si="183"/>
        <v>7208.05</v>
      </c>
      <c r="HM100" s="558">
        <f t="shared" si="183"/>
        <v>6557.46</v>
      </c>
      <c r="HN100" s="558">
        <f t="shared" si="183"/>
        <v>6021.63</v>
      </c>
      <c r="HO100" s="558">
        <f t="shared" si="183"/>
        <v>5502.4</v>
      </c>
      <c r="HP100" s="558">
        <f t="shared" si="183"/>
        <v>5005.3</v>
      </c>
      <c r="HQ100" s="558">
        <f t="shared" si="183"/>
        <v>4534.47</v>
      </c>
      <c r="HR100" s="558">
        <f t="shared" si="183"/>
        <v>3966.15</v>
      </c>
      <c r="HS100" s="558">
        <f t="shared" si="183"/>
        <v>3419.95</v>
      </c>
      <c r="HT100" s="558">
        <f t="shared" si="183"/>
        <v>2899.34</v>
      </c>
      <c r="HU100" s="558">
        <f t="shared" si="183"/>
        <v>2420.9</v>
      </c>
      <c r="HV100" s="558">
        <f t="shared" si="183"/>
        <v>1980.49</v>
      </c>
      <c r="HW100" s="558">
        <f t="shared" si="183"/>
        <v>1580.18</v>
      </c>
      <c r="HX100" s="558">
        <f t="shared" si="183"/>
        <v>1229.6500000000001</v>
      </c>
      <c r="HY100" s="558">
        <f t="shared" si="183"/>
        <v>921.29</v>
      </c>
      <c r="HZ100" s="558">
        <f t="shared" si="181"/>
        <v>670.32</v>
      </c>
      <c r="IA100" s="558">
        <f t="shared" si="181"/>
        <v>468.43</v>
      </c>
      <c r="IB100" s="558">
        <f t="shared" si="181"/>
        <v>317.70999999999998</v>
      </c>
      <c r="IC100" s="558">
        <f t="shared" si="181"/>
        <v>217.46</v>
      </c>
      <c r="ID100" s="558">
        <f t="shared" si="181"/>
        <v>151.09</v>
      </c>
      <c r="IE100" s="558">
        <f t="shared" si="181"/>
        <v>104.76</v>
      </c>
      <c r="IF100" s="558">
        <f t="shared" si="181"/>
        <v>103.38</v>
      </c>
      <c r="IG100" s="558">
        <f t="shared" si="181"/>
        <v>100.62</v>
      </c>
      <c r="IH100" s="558">
        <f t="shared" si="181"/>
        <v>97.85</v>
      </c>
      <c r="II100" s="558">
        <f t="shared" si="181"/>
        <v>93.7</v>
      </c>
      <c r="IJ100" s="558">
        <f t="shared" si="181"/>
        <v>88.17</v>
      </c>
      <c r="IK100" s="558">
        <f t="shared" si="181"/>
        <v>80.569999999999993</v>
      </c>
      <c r="IL100" s="558">
        <f t="shared" si="181"/>
        <v>70.2</v>
      </c>
      <c r="IM100" s="558">
        <f t="shared" si="181"/>
        <v>55.68</v>
      </c>
      <c r="IN100" s="558">
        <f t="shared" si="181"/>
        <v>36.32</v>
      </c>
      <c r="IO100" s="558">
        <f t="shared" si="181"/>
        <v>7.97</v>
      </c>
      <c r="IP100" s="558">
        <f t="shared" si="181"/>
        <v>5.9</v>
      </c>
      <c r="IQ100" s="558">
        <f t="shared" si="181"/>
        <v>3.82</v>
      </c>
      <c r="IR100" s="558">
        <f t="shared" si="181"/>
        <v>-0.33</v>
      </c>
      <c r="IS100" s="558" t="str">
        <f t="shared" si="181"/>
        <v>.</v>
      </c>
      <c r="IT100" s="558" t="str">
        <f t="shared" si="181"/>
        <v>.</v>
      </c>
      <c r="IU100" s="558" t="str">
        <f t="shared" si="181"/>
        <v>.</v>
      </c>
      <c r="IV100" s="558" t="str">
        <f t="shared" si="181"/>
        <v>.</v>
      </c>
      <c r="IW100" s="558" t="str">
        <f t="shared" si="181"/>
        <v>.</v>
      </c>
      <c r="IX100" s="558" t="str">
        <f t="shared" si="181"/>
        <v>.</v>
      </c>
      <c r="IY100" s="558" t="str">
        <f t="shared" si="179"/>
        <v>.</v>
      </c>
      <c r="IZ100" s="558" t="str">
        <f t="shared" si="179"/>
        <v>.</v>
      </c>
      <c r="JA100" s="558" t="str">
        <f t="shared" si="179"/>
        <v>.</v>
      </c>
      <c r="JB100" s="558" t="str">
        <f t="shared" si="179"/>
        <v>.</v>
      </c>
      <c r="JC100" s="558" t="str">
        <f t="shared" si="179"/>
        <v>.</v>
      </c>
      <c r="JD100" s="558" t="str">
        <f t="shared" si="179"/>
        <v>.</v>
      </c>
      <c r="JE100" s="558" t="str">
        <f t="shared" si="179"/>
        <v>.</v>
      </c>
      <c r="JF100" s="558" t="str">
        <f t="shared" si="179"/>
        <v>.</v>
      </c>
      <c r="JG100" s="558" t="str">
        <f t="shared" si="179"/>
        <v>.</v>
      </c>
      <c r="JH100" s="558" t="str">
        <f t="shared" si="179"/>
        <v>.</v>
      </c>
      <c r="JI100" s="558" t="str">
        <f t="shared" si="179"/>
        <v>.</v>
      </c>
      <c r="JJ100" s="558" t="str">
        <f t="shared" si="179"/>
        <v>.</v>
      </c>
      <c r="JK100" s="558" t="str">
        <f t="shared" si="179"/>
        <v>.</v>
      </c>
      <c r="JL100" s="558" t="str">
        <f t="shared" ref="JL100:JL109" si="187" xml:space="preserve"> IF(  OR( JL$18&gt;$FK100, $FK100&gt;$FP$12 ),  LEER,  ROUND( $FO$19 * ( $FL100 - JL$15 * $FM100 ), JL$17 )  )</f>
        <v>.</v>
      </c>
    </row>
    <row r="101" spans="1:272" ht="10.199999999999999" x14ac:dyDescent="0.2">
      <c r="A101" s="534">
        <f xml:space="preserve"> Basis!A101</f>
        <v>101</v>
      </c>
      <c r="F101" s="536">
        <f xml:space="preserve"> ROUND(    IF( $A$15=BE_MF_,   AW101,   INDEX( qx!101:101, F$16 ) ),    F$17    )</f>
        <v>0.27010000000000001</v>
      </c>
      <c r="G101" s="536">
        <f xml:space="preserve"> ROUND(    IF( $A$15=BE_MF_,   BB101,   INDEX( wx!101:101, G$16 ) ),    G$17    )</f>
        <v>1.4E-3</v>
      </c>
      <c r="H101" s="537">
        <f xml:space="preserve"> ROUND(    IF( $A$15=BE_MF_,   BG101,   INDEX( Kx!101:101, H$16 ) ),    H$17    )</f>
        <v>11283.21</v>
      </c>
      <c r="I101" s="538">
        <f t="shared" si="171"/>
        <v>11469.4</v>
      </c>
      <c r="J101" s="539">
        <f t="shared" si="137"/>
        <v>5.52</v>
      </c>
      <c r="K101" s="540">
        <f t="shared" si="172"/>
        <v>0</v>
      </c>
      <c r="L101" s="541">
        <f t="shared" si="71"/>
        <v>0</v>
      </c>
      <c r="M101" s="541">
        <f t="shared" si="71"/>
        <v>8.5999999999999993E-2</v>
      </c>
      <c r="O101" s="542" t="b">
        <f t="shared" si="173"/>
        <v>1</v>
      </c>
      <c r="P101" s="493">
        <f t="shared" si="138"/>
        <v>0.27150000000000002</v>
      </c>
      <c r="Q101" s="493">
        <f t="shared" si="139"/>
        <v>0.72850000000000004</v>
      </c>
      <c r="R101" s="543">
        <f t="shared" si="140"/>
        <v>18746</v>
      </c>
      <c r="S101" s="544">
        <f t="shared" si="141"/>
        <v>0.97560975599999999</v>
      </c>
      <c r="T101" s="423">
        <f t="shared" si="142"/>
        <v>1548.1</v>
      </c>
      <c r="U101" s="423">
        <f xml:space="preserve"> IF( $O101,    ROUND(  SUM( T101:T$120), U$17 ),  LEER  )</f>
        <v>5033.8500000000004</v>
      </c>
      <c r="V101" s="493">
        <f t="shared" si="143"/>
        <v>3.2515999999999998</v>
      </c>
      <c r="W101" s="493">
        <f t="shared" si="144"/>
        <v>8545.51</v>
      </c>
      <c r="X101" s="493">
        <f xml:space="preserve"> IF( $O101,    ROUND(  SUM( W101:W$120), X$17 ),  LEER  )</f>
        <v>27798.36</v>
      </c>
      <c r="Y101" s="493">
        <f t="shared" si="145"/>
        <v>17.956399999999999</v>
      </c>
      <c r="Z101" s="493">
        <f t="shared" si="146"/>
        <v>5.5223000000000004</v>
      </c>
      <c r="AA101" s="493">
        <f t="shared" si="147"/>
        <v>1</v>
      </c>
      <c r="AB101" s="493">
        <f t="shared" si="148"/>
        <v>2.3494000000000002</v>
      </c>
      <c r="AC101" s="545">
        <f t="shared" si="149"/>
        <v>0.32679999999999998</v>
      </c>
      <c r="AD101" s="493">
        <f t="shared" si="150"/>
        <v>5.5223000000000004</v>
      </c>
      <c r="AE101" s="493">
        <f t="shared" si="151"/>
        <v>6.3994999999999997</v>
      </c>
      <c r="AF101" s="493">
        <f t="shared" si="152"/>
        <v>6.3994999999999997</v>
      </c>
      <c r="AG101" s="493" t="str">
        <f t="shared" si="153"/>
        <v>.</v>
      </c>
      <c r="AH101" s="493" t="str">
        <f t="shared" si="154"/>
        <v>.</v>
      </c>
      <c r="AI101" s="423">
        <f t="shared" si="155"/>
        <v>2077.79</v>
      </c>
      <c r="AJ101" s="423">
        <f t="shared" si="156"/>
        <v>13296.82</v>
      </c>
      <c r="AK101" s="423">
        <f t="shared" si="157"/>
        <v>1108.07</v>
      </c>
      <c r="AN101" s="423">
        <f t="shared" si="184"/>
        <v>24783.07</v>
      </c>
      <c r="AO101" s="423">
        <f t="shared" si="184"/>
        <v>24633.08</v>
      </c>
      <c r="AR101" s="546">
        <f xml:space="preserve"> ROUND(  INDEX( Kx!101:101, AR$16 ),  AR$17 )</f>
        <v>0.24679999999999999</v>
      </c>
      <c r="AS101" s="547">
        <f xml:space="preserve"> ROUND(  INDEX( qx!101:101, AS$16 ),  AS$17 )</f>
        <v>0.27929999999999999</v>
      </c>
      <c r="AT101" s="547">
        <f xml:space="preserve"> ROUND(  INDEX( qx!101:101, AT$16 ),  AT$17 )</f>
        <v>0.2681</v>
      </c>
      <c r="AU101" s="548" t="str">
        <f t="shared" si="158"/>
        <v>F</v>
      </c>
      <c r="AV101" s="542">
        <f t="shared" si="159"/>
        <v>0.17929999999999999</v>
      </c>
      <c r="AW101" s="542">
        <f t="shared" si="160"/>
        <v>0.27010000000000001</v>
      </c>
      <c r="AX101" s="546">
        <f xml:space="preserve"> ROUND(  INDEX( wx!101:101, AX$16 ),  AX$17 )</f>
        <v>1E-4</v>
      </c>
      <c r="AY101" s="546">
        <f xml:space="preserve"> ROUND(  INDEX( wx!101:101, AY$16 ),  AY$17 )</f>
        <v>2.0999999999999999E-3</v>
      </c>
      <c r="AZ101" s="548" t="str">
        <f t="shared" si="161"/>
        <v>M</v>
      </c>
      <c r="BA101" s="542">
        <f t="shared" si="162"/>
        <v>0.32950000000000002</v>
      </c>
      <c r="BB101" s="542">
        <f t="shared" si="163"/>
        <v>1.4E-3</v>
      </c>
      <c r="BC101" s="533">
        <f xml:space="preserve"> ROUND(  INDEX( Kx!101:101, BC$16 ),  BC$17 )</f>
        <v>13342.32</v>
      </c>
      <c r="BD101" s="533">
        <f xml:space="preserve"> ROUND(  INDEX( Kx!101:101, BD$16 ),  BD$17 )</f>
        <v>10271.31</v>
      </c>
      <c r="BE101" s="548" t="str">
        <f t="shared" si="174"/>
        <v>M</v>
      </c>
      <c r="BF101" s="542">
        <f t="shared" si="164"/>
        <v>0.32950000000000002</v>
      </c>
      <c r="BG101" s="420">
        <f t="shared" si="165"/>
        <v>11283.21</v>
      </c>
      <c r="BQ101" s="549"/>
      <c r="BR101" s="423"/>
      <c r="BS101" s="550"/>
      <c r="BT101" s="423"/>
      <c r="BU101" s="551"/>
      <c r="BV101" s="551"/>
      <c r="BW101" s="529"/>
      <c r="BX101" s="552"/>
      <c r="BY101" s="560"/>
      <c r="BZ101" s="559"/>
      <c r="CB101" s="423"/>
      <c r="CC101" s="423"/>
      <c r="CD101" s="423"/>
      <c r="CE101" s="423"/>
      <c r="CF101" s="553"/>
      <c r="CH101" s="423"/>
      <c r="CI101" s="423"/>
      <c r="CJ101" s="423"/>
      <c r="CK101" s="423"/>
      <c r="CL101" s="553"/>
      <c r="CN101" s="423"/>
      <c r="CO101" s="423"/>
      <c r="CP101" s="423"/>
      <c r="CQ101" s="423"/>
      <c r="CR101" s="553"/>
      <c r="EI101" s="553"/>
      <c r="EJ101" s="553"/>
      <c r="EK101" s="423"/>
      <c r="EL101" s="555"/>
      <c r="ES101" s="533"/>
      <c r="ET101" s="533"/>
      <c r="EU101" s="533"/>
      <c r="EV101" s="556"/>
      <c r="EY101" s="533"/>
      <c r="EZ101" s="533"/>
      <c r="FA101" s="556"/>
      <c r="FD101" s="556"/>
      <c r="FE101" s="556"/>
      <c r="FF101" s="556"/>
      <c r="FK101" s="557">
        <f t="shared" si="166"/>
        <v>101</v>
      </c>
      <c r="FL101" s="493">
        <f t="shared" si="167"/>
        <v>17.956399999999999</v>
      </c>
      <c r="FM101" s="493">
        <f t="shared" si="168"/>
        <v>3.2515999999999998</v>
      </c>
      <c r="FO101" s="427">
        <f t="shared" si="175"/>
        <v>1023453.8699999998</v>
      </c>
      <c r="FP101" s="558">
        <f t="shared" si="185"/>
        <v>29199.56</v>
      </c>
      <c r="FQ101" s="558">
        <f t="shared" si="185"/>
        <v>28925.93</v>
      </c>
      <c r="FR101" s="558">
        <f t="shared" si="185"/>
        <v>28651.63</v>
      </c>
      <c r="FS101" s="558">
        <f t="shared" si="185"/>
        <v>28377.33</v>
      </c>
      <c r="FT101" s="558">
        <f t="shared" si="185"/>
        <v>28093.58</v>
      </c>
      <c r="FU101" s="558">
        <f t="shared" si="185"/>
        <v>27801.71</v>
      </c>
      <c r="FV101" s="558">
        <f t="shared" si="185"/>
        <v>27512.55</v>
      </c>
      <c r="FW101" s="558">
        <f t="shared" si="185"/>
        <v>27221.360000000001</v>
      </c>
      <c r="FX101" s="558">
        <f t="shared" si="185"/>
        <v>26920.03</v>
      </c>
      <c r="FY101" s="558">
        <f t="shared" si="185"/>
        <v>26606.55</v>
      </c>
      <c r="FZ101" s="558">
        <f t="shared" si="185"/>
        <v>26291.040000000001</v>
      </c>
      <c r="GA101" s="558">
        <f t="shared" si="185"/>
        <v>25970.799999999999</v>
      </c>
      <c r="GB101" s="558">
        <f t="shared" si="185"/>
        <v>25643.119999999999</v>
      </c>
      <c r="GC101" s="558">
        <f t="shared" si="185"/>
        <v>25314.1</v>
      </c>
      <c r="GD101" s="558">
        <f t="shared" si="185"/>
        <v>24974.94</v>
      </c>
      <c r="GE101" s="558">
        <f t="shared" si="185"/>
        <v>24633.08</v>
      </c>
      <c r="GF101" s="558">
        <f t="shared" si="182"/>
        <v>24281.08</v>
      </c>
      <c r="GG101" s="558">
        <f t="shared" si="182"/>
        <v>23920.98</v>
      </c>
      <c r="GH101" s="558">
        <f t="shared" si="182"/>
        <v>23550.75</v>
      </c>
      <c r="GI101" s="558">
        <f t="shared" si="182"/>
        <v>23169.7</v>
      </c>
      <c r="GJ101" s="558">
        <f t="shared" si="182"/>
        <v>22777.17</v>
      </c>
      <c r="GK101" s="558">
        <f t="shared" si="182"/>
        <v>22369.77</v>
      </c>
      <c r="GL101" s="558">
        <f t="shared" si="182"/>
        <v>21947.51</v>
      </c>
      <c r="GM101" s="558">
        <f t="shared" si="182"/>
        <v>21509.71</v>
      </c>
      <c r="GN101" s="558">
        <f t="shared" si="182"/>
        <v>21054.35</v>
      </c>
      <c r="GO101" s="558">
        <f t="shared" si="182"/>
        <v>20584.8</v>
      </c>
      <c r="GP101" s="558">
        <f t="shared" si="182"/>
        <v>20099.03</v>
      </c>
      <c r="GQ101" s="558">
        <f t="shared" si="182"/>
        <v>19598.400000000001</v>
      </c>
      <c r="GR101" s="558">
        <f t="shared" si="182"/>
        <v>19084.259999999998</v>
      </c>
      <c r="GS101" s="558">
        <f t="shared" si="182"/>
        <v>18557.28</v>
      </c>
      <c r="GT101" s="558">
        <f t="shared" si="182"/>
        <v>18019.490000000002</v>
      </c>
      <c r="GU101" s="558">
        <f t="shared" si="186"/>
        <v>17468.87</v>
      </c>
      <c r="GV101" s="558">
        <f t="shared" si="186"/>
        <v>16910.810000000001</v>
      </c>
      <c r="GW101" s="558">
        <f t="shared" si="186"/>
        <v>16342.62</v>
      </c>
      <c r="GX101" s="558">
        <f t="shared" si="186"/>
        <v>15768.35</v>
      </c>
      <c r="GY101" s="558">
        <f t="shared" si="186"/>
        <v>15187.99</v>
      </c>
      <c r="GZ101" s="558">
        <f t="shared" si="186"/>
        <v>14600.88</v>
      </c>
      <c r="HA101" s="558">
        <f t="shared" si="186"/>
        <v>14009.05</v>
      </c>
      <c r="HB101" s="558">
        <f t="shared" si="186"/>
        <v>13408.42</v>
      </c>
      <c r="HC101" s="558">
        <f t="shared" si="186"/>
        <v>12794.97</v>
      </c>
      <c r="HD101" s="558">
        <f t="shared" si="186"/>
        <v>12172.73</v>
      </c>
      <c r="HE101" s="558">
        <f t="shared" si="186"/>
        <v>11544.41</v>
      </c>
      <c r="HF101" s="558">
        <f t="shared" si="186"/>
        <v>10907.98</v>
      </c>
      <c r="HG101" s="558">
        <f t="shared" si="186"/>
        <v>10266.82</v>
      </c>
      <c r="HH101" s="558">
        <f t="shared" si="186"/>
        <v>9618.9</v>
      </c>
      <c r="HI101" s="558">
        <f t="shared" si="186"/>
        <v>8977.07</v>
      </c>
      <c r="HJ101" s="558">
        <f t="shared" si="186"/>
        <v>8329.83</v>
      </c>
      <c r="HK101" s="558">
        <f t="shared" si="183"/>
        <v>7686.65</v>
      </c>
      <c r="HL101" s="558">
        <f t="shared" si="183"/>
        <v>7048.19</v>
      </c>
      <c r="HM101" s="558">
        <f t="shared" si="183"/>
        <v>6412.44</v>
      </c>
      <c r="HN101" s="558">
        <f t="shared" si="183"/>
        <v>5888.84</v>
      </c>
      <c r="HO101" s="558">
        <f t="shared" si="183"/>
        <v>5381.45</v>
      </c>
      <c r="HP101" s="558">
        <f t="shared" si="183"/>
        <v>4895.6899999999996</v>
      </c>
      <c r="HQ101" s="558">
        <f t="shared" si="183"/>
        <v>4435.59</v>
      </c>
      <c r="HR101" s="558">
        <f t="shared" si="183"/>
        <v>3880.24</v>
      </c>
      <c r="HS101" s="558">
        <f t="shared" si="183"/>
        <v>3346.5</v>
      </c>
      <c r="HT101" s="558">
        <f t="shared" si="183"/>
        <v>2837.77</v>
      </c>
      <c r="HU101" s="558">
        <f t="shared" si="183"/>
        <v>2370.2399999999998</v>
      </c>
      <c r="HV101" s="558">
        <f t="shared" si="183"/>
        <v>1939.87</v>
      </c>
      <c r="HW101" s="558">
        <f t="shared" si="183"/>
        <v>1548.69</v>
      </c>
      <c r="HX101" s="558">
        <f t="shared" si="183"/>
        <v>1206.1600000000001</v>
      </c>
      <c r="HY101" s="558">
        <f t="shared" si="183"/>
        <v>904.83</v>
      </c>
      <c r="HZ101" s="558">
        <f t="shared" si="181"/>
        <v>659.59</v>
      </c>
      <c r="IA101" s="558">
        <f t="shared" si="181"/>
        <v>462.31</v>
      </c>
      <c r="IB101" s="558">
        <f t="shared" si="181"/>
        <v>315.02</v>
      </c>
      <c r="IC101" s="558">
        <f t="shared" si="181"/>
        <v>217.06</v>
      </c>
      <c r="ID101" s="558">
        <f t="shared" si="181"/>
        <v>152.19999999999999</v>
      </c>
      <c r="IE101" s="558">
        <f t="shared" si="181"/>
        <v>106.93</v>
      </c>
      <c r="IF101" s="558">
        <f t="shared" si="181"/>
        <v>105.58</v>
      </c>
      <c r="IG101" s="558">
        <f t="shared" si="181"/>
        <v>102.88</v>
      </c>
      <c r="IH101" s="558">
        <f t="shared" si="181"/>
        <v>100.18</v>
      </c>
      <c r="II101" s="558">
        <f t="shared" si="181"/>
        <v>96.12</v>
      </c>
      <c r="IJ101" s="558">
        <f t="shared" si="181"/>
        <v>90.72</v>
      </c>
      <c r="IK101" s="558">
        <f t="shared" si="181"/>
        <v>83.29</v>
      </c>
      <c r="IL101" s="558">
        <f t="shared" si="181"/>
        <v>73.150000000000006</v>
      </c>
      <c r="IM101" s="558">
        <f t="shared" si="181"/>
        <v>58.96</v>
      </c>
      <c r="IN101" s="558">
        <f t="shared" si="181"/>
        <v>40.049999999999997</v>
      </c>
      <c r="IO101" s="558">
        <f t="shared" si="181"/>
        <v>12.35</v>
      </c>
      <c r="IP101" s="558">
        <f t="shared" si="181"/>
        <v>10.32</v>
      </c>
      <c r="IQ101" s="558">
        <f t="shared" si="181"/>
        <v>8.2899999999999991</v>
      </c>
      <c r="IR101" s="558">
        <f t="shared" si="181"/>
        <v>4.24</v>
      </c>
      <c r="IS101" s="558">
        <f t="shared" si="181"/>
        <v>0.19</v>
      </c>
      <c r="IT101" s="558" t="str">
        <f t="shared" si="181"/>
        <v>.</v>
      </c>
      <c r="IU101" s="558" t="str">
        <f t="shared" si="181"/>
        <v>.</v>
      </c>
      <c r="IV101" s="558" t="str">
        <f t="shared" si="181"/>
        <v>.</v>
      </c>
      <c r="IW101" s="558" t="str">
        <f t="shared" si="181"/>
        <v>.</v>
      </c>
      <c r="IX101" s="558" t="str">
        <f t="shared" si="181"/>
        <v>.</v>
      </c>
      <c r="IY101" s="558" t="str">
        <f t="shared" si="179"/>
        <v>.</v>
      </c>
      <c r="IZ101" s="558" t="str">
        <f t="shared" si="179"/>
        <v>.</v>
      </c>
      <c r="JA101" s="558" t="str">
        <f t="shared" si="179"/>
        <v>.</v>
      </c>
      <c r="JB101" s="558" t="str">
        <f t="shared" si="179"/>
        <v>.</v>
      </c>
      <c r="JC101" s="558" t="str">
        <f t="shared" si="179"/>
        <v>.</v>
      </c>
      <c r="JD101" s="558" t="str">
        <f t="shared" si="179"/>
        <v>.</v>
      </c>
      <c r="JE101" s="558" t="str">
        <f t="shared" si="179"/>
        <v>.</v>
      </c>
      <c r="JF101" s="558" t="str">
        <f t="shared" si="179"/>
        <v>.</v>
      </c>
      <c r="JG101" s="558" t="str">
        <f t="shared" si="179"/>
        <v>.</v>
      </c>
      <c r="JH101" s="558" t="str">
        <f t="shared" si="179"/>
        <v>.</v>
      </c>
      <c r="JI101" s="558" t="str">
        <f t="shared" si="179"/>
        <v>.</v>
      </c>
      <c r="JJ101" s="558" t="str">
        <f t="shared" si="179"/>
        <v>.</v>
      </c>
      <c r="JK101" s="558" t="str">
        <f t="shared" si="179"/>
        <v>.</v>
      </c>
      <c r="JL101" s="558" t="str">
        <f t="shared" si="187"/>
        <v>.</v>
      </c>
    </row>
    <row r="102" spans="1:272" ht="10.199999999999999" x14ac:dyDescent="0.2">
      <c r="A102" s="534">
        <f xml:space="preserve"> Basis!A102</f>
        <v>102</v>
      </c>
      <c r="F102" s="536">
        <f xml:space="preserve"> ROUND(    IF( $A$15=BE_MF_,   AW102,   INDEX( qx!102:102, F$16 ) ),    F$17    )</f>
        <v>0.27510000000000001</v>
      </c>
      <c r="G102" s="536">
        <f xml:space="preserve"> ROUND(    IF( $A$15=BE_MF_,   BB102,   INDEX( wx!102:102, G$16 ) ),    G$17    )</f>
        <v>1.4E-3</v>
      </c>
      <c r="H102" s="537">
        <f xml:space="preserve"> ROUND(    IF( $A$15=BE_MF_,   BG102,   INDEX( Kx!102:102, H$16 ) ),    H$17    )</f>
        <v>11317.66</v>
      </c>
      <c r="I102" s="538">
        <f t="shared" si="171"/>
        <v>11469.4</v>
      </c>
      <c r="J102" s="539">
        <f t="shared" si="137"/>
        <v>5.52</v>
      </c>
      <c r="K102" s="540">
        <f t="shared" si="172"/>
        <v>0</v>
      </c>
      <c r="L102" s="541">
        <f t="shared" si="71"/>
        <v>0</v>
      </c>
      <c r="M102" s="541">
        <f t="shared" si="71"/>
        <v>8.5999999999999993E-2</v>
      </c>
      <c r="O102" s="542" t="b">
        <f t="shared" si="173"/>
        <v>1</v>
      </c>
      <c r="P102" s="493">
        <f t="shared" si="138"/>
        <v>0.27650000000000002</v>
      </c>
      <c r="Q102" s="493">
        <f t="shared" si="139"/>
        <v>0.72350000000000003</v>
      </c>
      <c r="R102" s="543">
        <f t="shared" si="140"/>
        <v>13656</v>
      </c>
      <c r="S102" s="544">
        <f t="shared" si="141"/>
        <v>0.97560975599999999</v>
      </c>
      <c r="T102" s="423">
        <f t="shared" si="142"/>
        <v>1100.24</v>
      </c>
      <c r="U102" s="423">
        <f xml:space="preserve"> IF( $O102,    ROUND(  SUM( T102:T$120), U$17 ),  LEER  )</f>
        <v>3485.75</v>
      </c>
      <c r="V102" s="493">
        <f t="shared" si="143"/>
        <v>3.1682000000000001</v>
      </c>
      <c r="W102" s="493">
        <f t="shared" si="144"/>
        <v>6073.32</v>
      </c>
      <c r="X102" s="493">
        <f xml:space="preserve"> IF( $O102,    ROUND(  SUM( W102:W$120), X$17 ),  LEER  )</f>
        <v>19252.849999999999</v>
      </c>
      <c r="Y102" s="493">
        <f t="shared" si="145"/>
        <v>17.498799999999999</v>
      </c>
      <c r="Z102" s="493">
        <f t="shared" si="146"/>
        <v>5.5232999999999999</v>
      </c>
      <c r="AA102" s="493">
        <f t="shared" si="147"/>
        <v>1</v>
      </c>
      <c r="AB102" s="493">
        <f t="shared" si="148"/>
        <v>2.3494000000000002</v>
      </c>
      <c r="AC102" s="545">
        <f t="shared" si="149"/>
        <v>0.32679999999999998</v>
      </c>
      <c r="AD102" s="493">
        <f t="shared" si="150"/>
        <v>5.5232999999999999</v>
      </c>
      <c r="AE102" s="493">
        <f t="shared" si="151"/>
        <v>6.4005000000000001</v>
      </c>
      <c r="AF102" s="493">
        <f t="shared" si="152"/>
        <v>6.4005000000000001</v>
      </c>
      <c r="AG102" s="493" t="str">
        <f t="shared" si="153"/>
        <v>.</v>
      </c>
      <c r="AH102" s="493" t="str">
        <f t="shared" si="154"/>
        <v>.</v>
      </c>
      <c r="AI102" s="423">
        <f t="shared" si="155"/>
        <v>2077.79</v>
      </c>
      <c r="AJ102" s="423">
        <f t="shared" si="156"/>
        <v>13298.89</v>
      </c>
      <c r="AK102" s="423">
        <f t="shared" si="157"/>
        <v>1108.24</v>
      </c>
      <c r="AN102" s="423">
        <f t="shared" si="184"/>
        <v>24153.56</v>
      </c>
      <c r="AO102" s="423">
        <f t="shared" si="184"/>
        <v>24007.42</v>
      </c>
      <c r="AR102" s="546">
        <f xml:space="preserve"> ROUND(  INDEX( Kx!102:102, AR$16 ),  AR$17 )</f>
        <v>0.24679999999999999</v>
      </c>
      <c r="AS102" s="547">
        <f xml:space="preserve"> ROUND(  INDEX( qx!102:102, AS$16 ),  AS$17 )</f>
        <v>0.28510000000000002</v>
      </c>
      <c r="AT102" s="547">
        <f xml:space="preserve"> ROUND(  INDEX( qx!102:102, AT$16 ),  AT$17 )</f>
        <v>0.27289999999999998</v>
      </c>
      <c r="AU102" s="548" t="str">
        <f t="shared" si="158"/>
        <v>F</v>
      </c>
      <c r="AV102" s="542">
        <f t="shared" si="159"/>
        <v>0.17929999999999999</v>
      </c>
      <c r="AW102" s="542">
        <f t="shared" si="160"/>
        <v>0.27510000000000001</v>
      </c>
      <c r="AX102" s="546">
        <f xml:space="preserve"> ROUND(  INDEX( wx!102:102, AX$16 ),  AX$17 )</f>
        <v>1E-4</v>
      </c>
      <c r="AY102" s="546">
        <f xml:space="preserve"> ROUND(  INDEX( wx!102:102, AY$16 ),  AY$17 )</f>
        <v>2.0999999999999999E-3</v>
      </c>
      <c r="AZ102" s="548" t="str">
        <f t="shared" si="161"/>
        <v>M</v>
      </c>
      <c r="BA102" s="542">
        <f t="shared" si="162"/>
        <v>0.32950000000000002</v>
      </c>
      <c r="BB102" s="542">
        <f t="shared" si="163"/>
        <v>1.4E-3</v>
      </c>
      <c r="BC102" s="533">
        <f xml:space="preserve"> ROUND(  INDEX( Kx!102:102, BC$16 ),  BC$17 )</f>
        <v>13421.01</v>
      </c>
      <c r="BD102" s="533">
        <f xml:space="preserve"> ROUND(  INDEX( Kx!102:102, BD$16 ),  BD$17 )</f>
        <v>10284.030000000001</v>
      </c>
      <c r="BE102" s="548" t="str">
        <f t="shared" si="174"/>
        <v>M</v>
      </c>
      <c r="BF102" s="542">
        <f t="shared" si="164"/>
        <v>0.32950000000000002</v>
      </c>
      <c r="BG102" s="420">
        <f t="shared" si="165"/>
        <v>11317.66</v>
      </c>
      <c r="BQ102" s="549"/>
      <c r="BR102" s="423"/>
      <c r="BS102" s="550"/>
      <c r="BT102" s="423"/>
      <c r="BU102" s="551"/>
      <c r="BV102" s="551"/>
      <c r="BW102" s="529"/>
      <c r="BX102" s="552"/>
      <c r="BY102" s="560"/>
      <c r="BZ102" s="559"/>
      <c r="CB102" s="423"/>
      <c r="CC102" s="423"/>
      <c r="CD102" s="423"/>
      <c r="CE102" s="423"/>
      <c r="CF102" s="553"/>
      <c r="CH102" s="423"/>
      <c r="CI102" s="423"/>
      <c r="CJ102" s="423"/>
      <c r="CK102" s="423"/>
      <c r="CL102" s="553"/>
      <c r="CN102" s="423"/>
      <c r="CO102" s="423"/>
      <c r="CP102" s="423"/>
      <c r="CQ102" s="423"/>
      <c r="CR102" s="553"/>
      <c r="EI102" s="553"/>
      <c r="EJ102" s="553"/>
      <c r="EK102" s="423"/>
      <c r="EL102" s="555"/>
      <c r="ES102" s="533"/>
      <c r="ET102" s="533"/>
      <c r="EU102" s="533"/>
      <c r="EV102" s="556"/>
      <c r="EY102" s="533"/>
      <c r="EZ102" s="533"/>
      <c r="FA102" s="556"/>
      <c r="FD102" s="556"/>
      <c r="FE102" s="556"/>
      <c r="FF102" s="556"/>
      <c r="FK102" s="557">
        <f t="shared" si="166"/>
        <v>102</v>
      </c>
      <c r="FL102" s="493">
        <f t="shared" si="167"/>
        <v>17.498799999999999</v>
      </c>
      <c r="FM102" s="493">
        <f t="shared" si="168"/>
        <v>3.1682000000000001</v>
      </c>
      <c r="FO102" s="427">
        <f t="shared" si="175"/>
        <v>997707.74999999988</v>
      </c>
      <c r="FP102" s="558">
        <f t="shared" si="185"/>
        <v>28456.77</v>
      </c>
      <c r="FQ102" s="558">
        <f t="shared" si="185"/>
        <v>28190.17</v>
      </c>
      <c r="FR102" s="558">
        <f t="shared" si="185"/>
        <v>27922.9</v>
      </c>
      <c r="FS102" s="558">
        <f t="shared" si="185"/>
        <v>27655.64</v>
      </c>
      <c r="FT102" s="558">
        <f t="shared" si="185"/>
        <v>27379.16</v>
      </c>
      <c r="FU102" s="558">
        <f t="shared" si="185"/>
        <v>27094.78</v>
      </c>
      <c r="FV102" s="558">
        <f t="shared" si="185"/>
        <v>26813.03</v>
      </c>
      <c r="FW102" s="558">
        <f t="shared" si="185"/>
        <v>26529.31</v>
      </c>
      <c r="FX102" s="558">
        <f t="shared" si="185"/>
        <v>26235.72</v>
      </c>
      <c r="FY102" s="558">
        <f t="shared" si="185"/>
        <v>25930.27</v>
      </c>
      <c r="FZ102" s="558">
        <f t="shared" si="185"/>
        <v>25622.85</v>
      </c>
      <c r="GA102" s="558">
        <f t="shared" si="185"/>
        <v>25310.83</v>
      </c>
      <c r="GB102" s="558">
        <f t="shared" si="185"/>
        <v>24991.56</v>
      </c>
      <c r="GC102" s="558">
        <f t="shared" si="185"/>
        <v>24670.97</v>
      </c>
      <c r="GD102" s="558">
        <f t="shared" si="185"/>
        <v>24340.51</v>
      </c>
      <c r="GE102" s="558">
        <f t="shared" si="185"/>
        <v>24007.42</v>
      </c>
      <c r="GF102" s="558">
        <f t="shared" si="182"/>
        <v>23664.46</v>
      </c>
      <c r="GG102" s="558">
        <f t="shared" si="182"/>
        <v>23313.59</v>
      </c>
      <c r="GH102" s="558">
        <f t="shared" si="182"/>
        <v>22952.85</v>
      </c>
      <c r="GI102" s="558">
        <f t="shared" si="182"/>
        <v>22581.58</v>
      </c>
      <c r="GJ102" s="558">
        <f t="shared" si="182"/>
        <v>22199.11</v>
      </c>
      <c r="GK102" s="558">
        <f t="shared" si="182"/>
        <v>21802.17</v>
      </c>
      <c r="GL102" s="558">
        <f t="shared" si="182"/>
        <v>21390.74</v>
      </c>
      <c r="GM102" s="558">
        <f t="shared" si="182"/>
        <v>20964.169999999998</v>
      </c>
      <c r="GN102" s="558">
        <f t="shared" si="182"/>
        <v>20520.48</v>
      </c>
      <c r="GO102" s="558">
        <f t="shared" si="182"/>
        <v>20062.98</v>
      </c>
      <c r="GP102" s="558">
        <f t="shared" si="182"/>
        <v>19589.669999999998</v>
      </c>
      <c r="GQ102" s="558">
        <f t="shared" si="182"/>
        <v>19101.88</v>
      </c>
      <c r="GR102" s="558">
        <f t="shared" si="182"/>
        <v>18600.919999999998</v>
      </c>
      <c r="GS102" s="558">
        <f t="shared" si="182"/>
        <v>18087.46</v>
      </c>
      <c r="GT102" s="558">
        <f t="shared" si="182"/>
        <v>17563.47</v>
      </c>
      <c r="GU102" s="558">
        <f t="shared" si="186"/>
        <v>17026.96</v>
      </c>
      <c r="GV102" s="558">
        <f t="shared" si="186"/>
        <v>16483.22</v>
      </c>
      <c r="GW102" s="558">
        <f t="shared" si="186"/>
        <v>15929.6</v>
      </c>
      <c r="GX102" s="558">
        <f t="shared" si="186"/>
        <v>15370.06</v>
      </c>
      <c r="GY102" s="558">
        <f t="shared" si="186"/>
        <v>14804.59</v>
      </c>
      <c r="GZ102" s="558">
        <f t="shared" si="186"/>
        <v>14232.54</v>
      </c>
      <c r="HA102" s="558">
        <f t="shared" si="186"/>
        <v>13655.88</v>
      </c>
      <c r="HB102" s="558">
        <f t="shared" si="186"/>
        <v>13070.67</v>
      </c>
      <c r="HC102" s="558">
        <f t="shared" si="186"/>
        <v>12472.94</v>
      </c>
      <c r="HD102" s="558">
        <f t="shared" si="186"/>
        <v>11866.66</v>
      </c>
      <c r="HE102" s="558">
        <f t="shared" si="186"/>
        <v>11254.46</v>
      </c>
      <c r="HF102" s="558">
        <f t="shared" si="186"/>
        <v>10634.35</v>
      </c>
      <c r="HG102" s="558">
        <f t="shared" si="186"/>
        <v>10009.64</v>
      </c>
      <c r="HH102" s="558">
        <f t="shared" si="186"/>
        <v>9378.35</v>
      </c>
      <c r="HI102" s="558">
        <f t="shared" si="186"/>
        <v>8752.9699999999993</v>
      </c>
      <c r="HJ102" s="558">
        <f t="shared" si="186"/>
        <v>8122.34</v>
      </c>
      <c r="HK102" s="558">
        <f t="shared" si="183"/>
        <v>7495.65</v>
      </c>
      <c r="HL102" s="558">
        <f t="shared" si="183"/>
        <v>6873.57</v>
      </c>
      <c r="HM102" s="558">
        <f t="shared" si="183"/>
        <v>6254.12</v>
      </c>
      <c r="HN102" s="558">
        <f t="shared" si="183"/>
        <v>5743.95</v>
      </c>
      <c r="HO102" s="558">
        <f t="shared" si="183"/>
        <v>5249.58</v>
      </c>
      <c r="HP102" s="558">
        <f t="shared" si="183"/>
        <v>4776.2700000000004</v>
      </c>
      <c r="HQ102" s="558">
        <f t="shared" si="183"/>
        <v>4327.9799999999996</v>
      </c>
      <c r="HR102" s="558">
        <f t="shared" si="183"/>
        <v>3786.87</v>
      </c>
      <c r="HS102" s="558">
        <f t="shared" si="183"/>
        <v>3266.82</v>
      </c>
      <c r="HT102" s="558">
        <f t="shared" si="183"/>
        <v>2771.13</v>
      </c>
      <c r="HU102" s="558">
        <f t="shared" si="183"/>
        <v>2315.6</v>
      </c>
      <c r="HV102" s="558">
        <f t="shared" si="183"/>
        <v>1896.27</v>
      </c>
      <c r="HW102" s="558">
        <f t="shared" si="183"/>
        <v>1515.13</v>
      </c>
      <c r="HX102" s="558">
        <f t="shared" si="183"/>
        <v>1181.3699999999999</v>
      </c>
      <c r="HY102" s="558">
        <f t="shared" si="183"/>
        <v>887.78</v>
      </c>
      <c r="HZ102" s="558">
        <f t="shared" si="181"/>
        <v>648.82000000000005</v>
      </c>
      <c r="IA102" s="558">
        <f t="shared" si="181"/>
        <v>456.6</v>
      </c>
      <c r="IB102" s="558">
        <f t="shared" si="181"/>
        <v>313.10000000000002</v>
      </c>
      <c r="IC102" s="558">
        <f t="shared" si="181"/>
        <v>217.65</v>
      </c>
      <c r="ID102" s="558">
        <f t="shared" si="181"/>
        <v>154.44999999999999</v>
      </c>
      <c r="IE102" s="558">
        <f t="shared" si="181"/>
        <v>110.34</v>
      </c>
      <c r="IF102" s="558">
        <f t="shared" si="181"/>
        <v>109.03</v>
      </c>
      <c r="IG102" s="558">
        <f t="shared" si="181"/>
        <v>106.39</v>
      </c>
      <c r="IH102" s="558">
        <f t="shared" si="181"/>
        <v>103.76</v>
      </c>
      <c r="II102" s="558">
        <f t="shared" si="181"/>
        <v>99.81</v>
      </c>
      <c r="IJ102" s="558">
        <f t="shared" si="181"/>
        <v>94.55</v>
      </c>
      <c r="IK102" s="558">
        <f t="shared" si="181"/>
        <v>87.3</v>
      </c>
      <c r="IL102" s="558">
        <f t="shared" si="181"/>
        <v>77.430000000000007</v>
      </c>
      <c r="IM102" s="558">
        <f t="shared" si="181"/>
        <v>63.61</v>
      </c>
      <c r="IN102" s="558">
        <f t="shared" si="181"/>
        <v>45.17</v>
      </c>
      <c r="IO102" s="558">
        <f t="shared" si="181"/>
        <v>18.18</v>
      </c>
      <c r="IP102" s="558">
        <f t="shared" si="181"/>
        <v>16.21</v>
      </c>
      <c r="IQ102" s="558">
        <f t="shared" si="181"/>
        <v>14.23</v>
      </c>
      <c r="IR102" s="558">
        <f t="shared" si="181"/>
        <v>10.29</v>
      </c>
      <c r="IS102" s="558">
        <f t="shared" si="181"/>
        <v>6.34</v>
      </c>
      <c r="IT102" s="558">
        <f t="shared" si="181"/>
        <v>-0.25</v>
      </c>
      <c r="IU102" s="558" t="str">
        <f t="shared" si="181"/>
        <v>.</v>
      </c>
      <c r="IV102" s="558" t="str">
        <f t="shared" si="181"/>
        <v>.</v>
      </c>
      <c r="IW102" s="558" t="str">
        <f t="shared" si="181"/>
        <v>.</v>
      </c>
      <c r="IX102" s="558" t="str">
        <f t="shared" si="181"/>
        <v>.</v>
      </c>
      <c r="IY102" s="558" t="str">
        <f t="shared" si="179"/>
        <v>.</v>
      </c>
      <c r="IZ102" s="558" t="str">
        <f t="shared" si="179"/>
        <v>.</v>
      </c>
      <c r="JA102" s="558" t="str">
        <f t="shared" si="179"/>
        <v>.</v>
      </c>
      <c r="JB102" s="558" t="str">
        <f t="shared" si="179"/>
        <v>.</v>
      </c>
      <c r="JC102" s="558" t="str">
        <f t="shared" si="179"/>
        <v>.</v>
      </c>
      <c r="JD102" s="558" t="str">
        <f t="shared" si="179"/>
        <v>.</v>
      </c>
      <c r="JE102" s="558" t="str">
        <f t="shared" si="179"/>
        <v>.</v>
      </c>
      <c r="JF102" s="558" t="str">
        <f t="shared" si="179"/>
        <v>.</v>
      </c>
      <c r="JG102" s="558" t="str">
        <f t="shared" si="179"/>
        <v>.</v>
      </c>
      <c r="JH102" s="558" t="str">
        <f t="shared" ref="JH102:JK105" si="188" xml:space="preserve"> IF(  OR( JH$18&gt;$FK102, $FK102&gt;$FP$12 ),  LEER,  ROUND( $FO$19 * ( $FL102 - JH$15 * $FM102 ), JH$17 )  )</f>
        <v>.</v>
      </c>
      <c r="JI102" s="558" t="str">
        <f t="shared" si="188"/>
        <v>.</v>
      </c>
      <c r="JJ102" s="558" t="str">
        <f t="shared" si="188"/>
        <v>.</v>
      </c>
      <c r="JK102" s="558" t="str">
        <f t="shared" si="188"/>
        <v>.</v>
      </c>
      <c r="JL102" s="558" t="str">
        <f t="shared" si="187"/>
        <v>.</v>
      </c>
    </row>
    <row r="103" spans="1:272" ht="10.199999999999999" x14ac:dyDescent="0.2">
      <c r="A103" s="534">
        <f xml:space="preserve"> Basis!A103</f>
        <v>103</v>
      </c>
      <c r="F103" s="536">
        <f xml:space="preserve"> ROUND(    IF( $A$15=BE_MF_,   AW103,   INDEX( qx!103:103, F$16 ) ),    F$17    )</f>
        <v>0.28170000000000001</v>
      </c>
      <c r="G103" s="536">
        <f xml:space="preserve"> ROUND(    IF( $A$15=BE_MF_,   BB103,   INDEX( wx!103:103, G$16 ) ),    G$17    )</f>
        <v>1.4E-3</v>
      </c>
      <c r="H103" s="537">
        <f xml:space="preserve"> ROUND(    IF( $A$15=BE_MF_,   BG103,   INDEX( Kx!103:103, H$16 ) ),    H$17    )</f>
        <v>11352.12</v>
      </c>
      <c r="I103" s="538">
        <f t="shared" si="171"/>
        <v>11469.4</v>
      </c>
      <c r="J103" s="539">
        <f t="shared" si="137"/>
        <v>5.52</v>
      </c>
      <c r="K103" s="540">
        <f t="shared" si="172"/>
        <v>0</v>
      </c>
      <c r="L103" s="541">
        <f t="shared" si="71"/>
        <v>0</v>
      </c>
      <c r="M103" s="541">
        <f t="shared" si="71"/>
        <v>8.5999999999999993E-2</v>
      </c>
      <c r="O103" s="542" t="b">
        <f t="shared" si="173"/>
        <v>1</v>
      </c>
      <c r="P103" s="493">
        <f t="shared" si="138"/>
        <v>0.28310000000000002</v>
      </c>
      <c r="Q103" s="493">
        <f t="shared" si="139"/>
        <v>0.71689999999999998</v>
      </c>
      <c r="R103" s="543">
        <f t="shared" si="140"/>
        <v>9880</v>
      </c>
      <c r="S103" s="544">
        <f t="shared" si="141"/>
        <v>0.97560975599999999</v>
      </c>
      <c r="T103" s="423">
        <f t="shared" si="142"/>
        <v>776.6</v>
      </c>
      <c r="U103" s="423">
        <f xml:space="preserve"> IF( $O103,    ROUND(  SUM( T103:T$120), U$17 ),  LEER  )</f>
        <v>2385.5100000000002</v>
      </c>
      <c r="V103" s="493">
        <f t="shared" si="143"/>
        <v>3.0716999999999999</v>
      </c>
      <c r="W103" s="493">
        <f t="shared" si="144"/>
        <v>4286.83</v>
      </c>
      <c r="X103" s="493">
        <f xml:space="preserve"> IF( $O103,    ROUND(  SUM( W103:W$120), X$17 ),  LEER  )</f>
        <v>13179.53</v>
      </c>
      <c r="Y103" s="493">
        <f t="shared" si="145"/>
        <v>16.970800000000001</v>
      </c>
      <c r="Z103" s="493">
        <f t="shared" si="146"/>
        <v>5.5248999999999997</v>
      </c>
      <c r="AA103" s="493">
        <f t="shared" si="147"/>
        <v>1</v>
      </c>
      <c r="AB103" s="493">
        <f t="shared" si="148"/>
        <v>2.3494000000000002</v>
      </c>
      <c r="AC103" s="545">
        <f t="shared" si="149"/>
        <v>0.32679999999999998</v>
      </c>
      <c r="AD103" s="493">
        <f t="shared" si="150"/>
        <v>5.5248999999999997</v>
      </c>
      <c r="AE103" s="493">
        <f t="shared" si="151"/>
        <v>6.4023000000000003</v>
      </c>
      <c r="AF103" s="493">
        <f t="shared" si="152"/>
        <v>6.4023000000000003</v>
      </c>
      <c r="AG103" s="493" t="str">
        <f t="shared" si="153"/>
        <v>.</v>
      </c>
      <c r="AH103" s="493" t="str">
        <f t="shared" si="154"/>
        <v>.</v>
      </c>
      <c r="AI103" s="423">
        <f t="shared" si="155"/>
        <v>2077.79</v>
      </c>
      <c r="AJ103" s="423">
        <f t="shared" si="156"/>
        <v>13302.63</v>
      </c>
      <c r="AK103" s="423">
        <f t="shared" si="157"/>
        <v>1108.55</v>
      </c>
      <c r="AN103" s="423">
        <f t="shared" si="184"/>
        <v>23428.25</v>
      </c>
      <c r="AO103" s="423">
        <f t="shared" si="184"/>
        <v>23286.560000000001</v>
      </c>
      <c r="AR103" s="546">
        <f xml:space="preserve"> ROUND(  INDEX( Kx!103:103, AR$16 ),  AR$17 )</f>
        <v>0.24679999999999999</v>
      </c>
      <c r="AS103" s="547">
        <f xml:space="preserve"> ROUND(  INDEX( qx!103:103, AS$16 ),  AS$17 )</f>
        <v>0.29220000000000002</v>
      </c>
      <c r="AT103" s="547">
        <f xml:space="preserve"> ROUND(  INDEX( qx!103:103, AT$16 ),  AT$17 )</f>
        <v>0.27939999999999998</v>
      </c>
      <c r="AU103" s="548" t="str">
        <f t="shared" si="158"/>
        <v>F</v>
      </c>
      <c r="AV103" s="542">
        <f t="shared" si="159"/>
        <v>0.17929999999999999</v>
      </c>
      <c r="AW103" s="542">
        <f t="shared" si="160"/>
        <v>0.28170000000000001</v>
      </c>
      <c r="AX103" s="546">
        <f xml:space="preserve"> ROUND(  INDEX( wx!103:103, AX$16 ),  AX$17 )</f>
        <v>0</v>
      </c>
      <c r="AY103" s="546">
        <f xml:space="preserve"> ROUND(  INDEX( wx!103:103, AY$16 ),  AY$17 )</f>
        <v>2.0999999999999999E-3</v>
      </c>
      <c r="AZ103" s="548" t="str">
        <f t="shared" si="161"/>
        <v>M</v>
      </c>
      <c r="BA103" s="542">
        <f t="shared" si="162"/>
        <v>0.32950000000000002</v>
      </c>
      <c r="BB103" s="542">
        <f t="shared" si="163"/>
        <v>1.4E-3</v>
      </c>
      <c r="BC103" s="533">
        <f xml:space="preserve"> ROUND(  INDEX( Kx!103:103, BC$16 ),  BC$17 )</f>
        <v>13499.7</v>
      </c>
      <c r="BD103" s="533">
        <f xml:space="preserve"> ROUND(  INDEX( Kx!103:103, BD$16 ),  BD$17 )</f>
        <v>10296.75</v>
      </c>
      <c r="BE103" s="548" t="str">
        <f t="shared" si="174"/>
        <v>M</v>
      </c>
      <c r="BF103" s="542">
        <f t="shared" si="164"/>
        <v>0.32950000000000002</v>
      </c>
      <c r="BG103" s="420">
        <f t="shared" si="165"/>
        <v>11352.12</v>
      </c>
      <c r="BQ103" s="549"/>
      <c r="BR103" s="423"/>
      <c r="BS103" s="550"/>
      <c r="BT103" s="423"/>
      <c r="BU103" s="551"/>
      <c r="BV103" s="551"/>
      <c r="BW103" s="529"/>
      <c r="BX103" s="552"/>
      <c r="BY103" s="560"/>
      <c r="BZ103" s="559"/>
      <c r="CB103" s="423"/>
      <c r="CC103" s="423"/>
      <c r="CD103" s="423"/>
      <c r="CE103" s="423"/>
      <c r="CF103" s="553"/>
      <c r="CH103" s="423"/>
      <c r="CI103" s="423"/>
      <c r="CJ103" s="423"/>
      <c r="CK103" s="423"/>
      <c r="CL103" s="553"/>
      <c r="CN103" s="423"/>
      <c r="CO103" s="423"/>
      <c r="CP103" s="423"/>
      <c r="CQ103" s="423"/>
      <c r="CR103" s="553"/>
      <c r="EI103" s="553"/>
      <c r="EJ103" s="553"/>
      <c r="EK103" s="423"/>
      <c r="EL103" s="555"/>
      <c r="ES103" s="533"/>
      <c r="ET103" s="533"/>
      <c r="EU103" s="533"/>
      <c r="EV103" s="556"/>
      <c r="EY103" s="533"/>
      <c r="EZ103" s="533"/>
      <c r="FA103" s="556"/>
      <c r="FD103" s="556"/>
      <c r="FE103" s="556"/>
      <c r="FF103" s="556"/>
      <c r="FK103" s="557">
        <f t="shared" si="166"/>
        <v>103</v>
      </c>
      <c r="FL103" s="493">
        <f t="shared" si="167"/>
        <v>16.970800000000001</v>
      </c>
      <c r="FM103" s="493">
        <f t="shared" si="168"/>
        <v>3.0716999999999999</v>
      </c>
      <c r="FO103" s="427">
        <f t="shared" si="175"/>
        <v>968180.02000000014</v>
      </c>
      <c r="FP103" s="558">
        <f t="shared" si="185"/>
        <v>27600.39</v>
      </c>
      <c r="FQ103" s="558">
        <f t="shared" si="185"/>
        <v>27341.9</v>
      </c>
      <c r="FR103" s="558">
        <f t="shared" si="185"/>
        <v>27082.78</v>
      </c>
      <c r="FS103" s="558">
        <f t="shared" si="185"/>
        <v>26823.66</v>
      </c>
      <c r="FT103" s="558">
        <f t="shared" si="185"/>
        <v>26555.599999999999</v>
      </c>
      <c r="FU103" s="558">
        <f t="shared" si="185"/>
        <v>26279.88</v>
      </c>
      <c r="FV103" s="558">
        <f t="shared" si="185"/>
        <v>26006.720000000001</v>
      </c>
      <c r="FW103" s="558">
        <f t="shared" si="185"/>
        <v>25731.64</v>
      </c>
      <c r="FX103" s="558">
        <f t="shared" si="185"/>
        <v>25446.98</v>
      </c>
      <c r="FY103" s="558">
        <f t="shared" si="185"/>
        <v>25150.84</v>
      </c>
      <c r="FZ103" s="558">
        <f t="shared" si="185"/>
        <v>24852.79</v>
      </c>
      <c r="GA103" s="558">
        <f t="shared" si="185"/>
        <v>24550.26</v>
      </c>
      <c r="GB103" s="558">
        <f t="shared" si="185"/>
        <v>24240.720000000001</v>
      </c>
      <c r="GC103" s="558">
        <f t="shared" si="185"/>
        <v>23929.9</v>
      </c>
      <c r="GD103" s="558">
        <f t="shared" si="185"/>
        <v>23609.51</v>
      </c>
      <c r="GE103" s="558">
        <f t="shared" si="185"/>
        <v>23286.560000000001</v>
      </c>
      <c r="GF103" s="558">
        <f t="shared" si="182"/>
        <v>22954.04</v>
      </c>
      <c r="GG103" s="558">
        <f t="shared" si="182"/>
        <v>22613.86</v>
      </c>
      <c r="GH103" s="558">
        <f t="shared" si="182"/>
        <v>22264.11</v>
      </c>
      <c r="GI103" s="558">
        <f t="shared" si="182"/>
        <v>21904.14</v>
      </c>
      <c r="GJ103" s="558">
        <f t="shared" si="182"/>
        <v>21533.33</v>
      </c>
      <c r="GK103" s="558">
        <f t="shared" si="182"/>
        <v>21148.47</v>
      </c>
      <c r="GL103" s="558">
        <f t="shared" si="182"/>
        <v>20749.580000000002</v>
      </c>
      <c r="GM103" s="558">
        <f t="shared" si="182"/>
        <v>20336</v>
      </c>
      <c r="GN103" s="558">
        <f t="shared" si="182"/>
        <v>19905.830000000002</v>
      </c>
      <c r="GO103" s="558">
        <f t="shared" si="182"/>
        <v>19462.259999999998</v>
      </c>
      <c r="GP103" s="558">
        <f t="shared" si="182"/>
        <v>19003.37</v>
      </c>
      <c r="GQ103" s="558">
        <f t="shared" si="182"/>
        <v>18530.43</v>
      </c>
      <c r="GR103" s="558">
        <f t="shared" si="182"/>
        <v>18044.740000000002</v>
      </c>
      <c r="GS103" s="558">
        <f t="shared" si="182"/>
        <v>17546.91</v>
      </c>
      <c r="GT103" s="558">
        <f t="shared" si="182"/>
        <v>17038.88</v>
      </c>
      <c r="GU103" s="558">
        <f t="shared" si="186"/>
        <v>16518.72</v>
      </c>
      <c r="GV103" s="558">
        <f t="shared" si="186"/>
        <v>15991.54</v>
      </c>
      <c r="GW103" s="558">
        <f t="shared" si="186"/>
        <v>15454.78</v>
      </c>
      <c r="GX103" s="558">
        <f t="shared" si="186"/>
        <v>14912.28</v>
      </c>
      <c r="GY103" s="558">
        <f t="shared" si="186"/>
        <v>14364.04</v>
      </c>
      <c r="GZ103" s="558">
        <f t="shared" si="186"/>
        <v>13809.41</v>
      </c>
      <c r="HA103" s="558">
        <f t="shared" si="186"/>
        <v>13250.32</v>
      </c>
      <c r="HB103" s="558">
        <f t="shared" si="186"/>
        <v>12682.93</v>
      </c>
      <c r="HC103" s="558">
        <f t="shared" si="186"/>
        <v>12103.41</v>
      </c>
      <c r="HD103" s="558">
        <f t="shared" si="186"/>
        <v>11515.6</v>
      </c>
      <c r="HE103" s="558">
        <f t="shared" si="186"/>
        <v>10922.04</v>
      </c>
      <c r="HF103" s="558">
        <f t="shared" si="186"/>
        <v>10320.82</v>
      </c>
      <c r="HG103" s="558">
        <f t="shared" si="186"/>
        <v>9715.14</v>
      </c>
      <c r="HH103" s="558">
        <f t="shared" si="186"/>
        <v>9103.07</v>
      </c>
      <c r="HI103" s="558">
        <f t="shared" si="186"/>
        <v>8496.75</v>
      </c>
      <c r="HJ103" s="558">
        <f t="shared" si="186"/>
        <v>7885.32</v>
      </c>
      <c r="HK103" s="558">
        <f t="shared" si="183"/>
        <v>7277.72</v>
      </c>
      <c r="HL103" s="558">
        <f t="shared" si="183"/>
        <v>6674.59</v>
      </c>
      <c r="HM103" s="558">
        <f t="shared" si="183"/>
        <v>6074.01</v>
      </c>
      <c r="HN103" s="558">
        <f t="shared" si="183"/>
        <v>5579.37</v>
      </c>
      <c r="HO103" s="558">
        <f t="shared" si="183"/>
        <v>5100.0600000000004</v>
      </c>
      <c r="HP103" s="558">
        <f t="shared" si="183"/>
        <v>4641.17</v>
      </c>
      <c r="HQ103" s="558">
        <f t="shared" si="183"/>
        <v>4206.53</v>
      </c>
      <c r="HR103" s="558">
        <f t="shared" si="183"/>
        <v>3681.9</v>
      </c>
      <c r="HS103" s="558">
        <f t="shared" si="183"/>
        <v>3177.7</v>
      </c>
      <c r="HT103" s="558">
        <f t="shared" si="183"/>
        <v>2697.11</v>
      </c>
      <c r="HU103" s="558">
        <f t="shared" si="183"/>
        <v>2255.4499999999998</v>
      </c>
      <c r="HV103" s="558">
        <f t="shared" si="183"/>
        <v>1848.89</v>
      </c>
      <c r="HW103" s="558">
        <f t="shared" si="183"/>
        <v>1479.35</v>
      </c>
      <c r="HX103" s="558">
        <f t="shared" si="183"/>
        <v>1155.77</v>
      </c>
      <c r="HY103" s="558">
        <f t="shared" si="183"/>
        <v>871.12</v>
      </c>
      <c r="HZ103" s="558">
        <f t="shared" si="181"/>
        <v>639.44000000000005</v>
      </c>
      <c r="IA103" s="558">
        <f t="shared" si="181"/>
        <v>453.07</v>
      </c>
      <c r="IB103" s="558">
        <f t="shared" si="181"/>
        <v>313.94</v>
      </c>
      <c r="IC103" s="558">
        <f t="shared" si="181"/>
        <v>221.39</v>
      </c>
      <c r="ID103" s="558">
        <f t="shared" si="181"/>
        <v>160.12</v>
      </c>
      <c r="IE103" s="558">
        <f t="shared" si="181"/>
        <v>117.36</v>
      </c>
      <c r="IF103" s="558">
        <f t="shared" si="181"/>
        <v>116.09</v>
      </c>
      <c r="IG103" s="558">
        <f t="shared" si="181"/>
        <v>113.53</v>
      </c>
      <c r="IH103" s="558">
        <f t="shared" si="181"/>
        <v>110.98</v>
      </c>
      <c r="II103" s="558">
        <f t="shared" si="181"/>
        <v>107.15</v>
      </c>
      <c r="IJ103" s="558">
        <f t="shared" si="181"/>
        <v>102.04</v>
      </c>
      <c r="IK103" s="558">
        <f t="shared" si="181"/>
        <v>95.02</v>
      </c>
      <c r="IL103" s="558">
        <f t="shared" si="181"/>
        <v>85.45</v>
      </c>
      <c r="IM103" s="558">
        <f t="shared" si="181"/>
        <v>72.05</v>
      </c>
      <c r="IN103" s="558">
        <f t="shared" si="181"/>
        <v>54.18</v>
      </c>
      <c r="IO103" s="558">
        <f t="shared" si="181"/>
        <v>28.01</v>
      </c>
      <c r="IP103" s="558">
        <f t="shared" si="181"/>
        <v>26.09</v>
      </c>
      <c r="IQ103" s="558">
        <f t="shared" si="181"/>
        <v>24.18</v>
      </c>
      <c r="IR103" s="558">
        <f t="shared" si="181"/>
        <v>20.350000000000001</v>
      </c>
      <c r="IS103" s="558">
        <f t="shared" si="181"/>
        <v>16.52</v>
      </c>
      <c r="IT103" s="558">
        <f t="shared" si="181"/>
        <v>10.14</v>
      </c>
      <c r="IU103" s="558">
        <f t="shared" si="181"/>
        <v>-7.0000000000000007E-2</v>
      </c>
      <c r="IV103" s="558" t="str">
        <f t="shared" si="181"/>
        <v>.</v>
      </c>
      <c r="IW103" s="558" t="str">
        <f t="shared" si="181"/>
        <v>.</v>
      </c>
      <c r="IX103" s="558" t="str">
        <f t="shared" si="181"/>
        <v>.</v>
      </c>
      <c r="IY103" s="558" t="str">
        <f t="shared" si="179"/>
        <v>.</v>
      </c>
      <c r="IZ103" s="558" t="str">
        <f t="shared" si="179"/>
        <v>.</v>
      </c>
      <c r="JA103" s="558" t="str">
        <f t="shared" si="179"/>
        <v>.</v>
      </c>
      <c r="JB103" s="558" t="str">
        <f t="shared" si="179"/>
        <v>.</v>
      </c>
      <c r="JC103" s="558" t="str">
        <f t="shared" si="179"/>
        <v>.</v>
      </c>
      <c r="JD103" s="558" t="str">
        <f t="shared" si="179"/>
        <v>.</v>
      </c>
      <c r="JE103" s="558" t="str">
        <f t="shared" si="179"/>
        <v>.</v>
      </c>
      <c r="JF103" s="558" t="str">
        <f t="shared" si="179"/>
        <v>.</v>
      </c>
      <c r="JG103" s="558" t="str">
        <f t="shared" si="179"/>
        <v>.</v>
      </c>
      <c r="JH103" s="558" t="str">
        <f t="shared" si="188"/>
        <v>.</v>
      </c>
      <c r="JI103" s="558" t="str">
        <f t="shared" si="188"/>
        <v>.</v>
      </c>
      <c r="JJ103" s="558" t="str">
        <f t="shared" si="188"/>
        <v>.</v>
      </c>
      <c r="JK103" s="558" t="str">
        <f t="shared" si="188"/>
        <v>.</v>
      </c>
      <c r="JL103" s="558" t="str">
        <f t="shared" si="187"/>
        <v>.</v>
      </c>
    </row>
    <row r="104" spans="1:272" ht="10.199999999999999" x14ac:dyDescent="0.2">
      <c r="A104" s="534">
        <f xml:space="preserve"> Basis!A104</f>
        <v>104</v>
      </c>
      <c r="F104" s="536">
        <f xml:space="preserve"> ROUND(    IF( $A$15=BE_MF_,   AW104,   INDEX( qx!104:104, F$16 ) ),    F$17    )</f>
        <v>0.28749999999999998</v>
      </c>
      <c r="G104" s="536">
        <f xml:space="preserve"> ROUND(    IF( $A$15=BE_MF_,   BB104,   INDEX( wx!104:104, G$16 ) ),    G$17    )</f>
        <v>1.4E-3</v>
      </c>
      <c r="H104" s="537">
        <f xml:space="preserve"> ROUND(    IF( $A$15=BE_MF_,   BG104,   INDEX( Kx!104:104, H$16 ) ),    H$17    )</f>
        <v>11386.57</v>
      </c>
      <c r="I104" s="538">
        <f t="shared" si="171"/>
        <v>11469.4</v>
      </c>
      <c r="J104" s="539">
        <f t="shared" si="137"/>
        <v>5.52</v>
      </c>
      <c r="K104" s="540">
        <f t="shared" si="172"/>
        <v>0</v>
      </c>
      <c r="L104" s="541">
        <f t="shared" ref="L104:M120" si="189" xml:space="preserve"> ROUND(  IF( $A104&lt;L$12, L$15, L$16 ),  L$17  )</f>
        <v>0</v>
      </c>
      <c r="M104" s="541">
        <f t="shared" si="189"/>
        <v>8.5999999999999993E-2</v>
      </c>
      <c r="O104" s="542" t="b">
        <f t="shared" si="173"/>
        <v>1</v>
      </c>
      <c r="P104" s="493">
        <f t="shared" si="138"/>
        <v>0.28889999999999999</v>
      </c>
      <c r="Q104" s="493">
        <f t="shared" si="139"/>
        <v>0.71109999999999995</v>
      </c>
      <c r="R104" s="543">
        <f t="shared" si="140"/>
        <v>7082</v>
      </c>
      <c r="S104" s="544">
        <f t="shared" si="141"/>
        <v>0.97560975599999999</v>
      </c>
      <c r="T104" s="423">
        <f t="shared" si="142"/>
        <v>543.09</v>
      </c>
      <c r="U104" s="423">
        <f xml:space="preserve"> IF( $O104,    ROUND(  SUM( T104:T$120), U$17 ),  LEER  )</f>
        <v>1608.91</v>
      </c>
      <c r="V104" s="493">
        <f t="shared" si="143"/>
        <v>2.9624999999999999</v>
      </c>
      <c r="W104" s="493">
        <f t="shared" si="144"/>
        <v>2997.86</v>
      </c>
      <c r="X104" s="493">
        <f xml:space="preserve"> IF( $O104,    ROUND(  SUM( W104:W$120), X$17 ),  LEER  )</f>
        <v>8892.7000000000007</v>
      </c>
      <c r="Y104" s="493">
        <f t="shared" si="145"/>
        <v>16.374300000000002</v>
      </c>
      <c r="Z104" s="493">
        <f t="shared" si="146"/>
        <v>5.5271999999999997</v>
      </c>
      <c r="AA104" s="493">
        <f t="shared" si="147"/>
        <v>1</v>
      </c>
      <c r="AB104" s="493">
        <f t="shared" si="148"/>
        <v>2.3494000000000002</v>
      </c>
      <c r="AC104" s="545">
        <f t="shared" si="149"/>
        <v>0.32679999999999998</v>
      </c>
      <c r="AD104" s="493">
        <f t="shared" si="150"/>
        <v>5.5271999999999997</v>
      </c>
      <c r="AE104" s="493">
        <f t="shared" si="151"/>
        <v>6.4047999999999998</v>
      </c>
      <c r="AF104" s="493">
        <f t="shared" si="152"/>
        <v>6.4047999999999998</v>
      </c>
      <c r="AG104" s="493" t="str">
        <f t="shared" si="153"/>
        <v>.</v>
      </c>
      <c r="AH104" s="493" t="str">
        <f t="shared" si="154"/>
        <v>.</v>
      </c>
      <c r="AI104" s="423">
        <f t="shared" si="155"/>
        <v>2077.79</v>
      </c>
      <c r="AJ104" s="423">
        <f t="shared" si="156"/>
        <v>13307.83</v>
      </c>
      <c r="AK104" s="423">
        <f t="shared" si="157"/>
        <v>1108.99</v>
      </c>
      <c r="AN104" s="423">
        <f t="shared" si="184"/>
        <v>22609.53</v>
      </c>
      <c r="AO104" s="423">
        <f t="shared" si="184"/>
        <v>22472.880000000001</v>
      </c>
      <c r="AR104" s="546">
        <f xml:space="preserve"> ROUND(  INDEX( Kx!104:104, AR$16 ),  AR$17 )</f>
        <v>0.24679999999999999</v>
      </c>
      <c r="AS104" s="547">
        <f xml:space="preserve"> ROUND(  INDEX( qx!104:104, AS$16 ),  AS$17 )</f>
        <v>0.29870000000000002</v>
      </c>
      <c r="AT104" s="547">
        <f xml:space="preserve"> ROUND(  INDEX( qx!104:104, AT$16 ),  AT$17 )</f>
        <v>0.28510000000000002</v>
      </c>
      <c r="AU104" s="548" t="str">
        <f t="shared" si="158"/>
        <v>F</v>
      </c>
      <c r="AV104" s="542">
        <f t="shared" si="159"/>
        <v>0.17929999999999999</v>
      </c>
      <c r="AW104" s="542">
        <f t="shared" si="160"/>
        <v>0.28749999999999998</v>
      </c>
      <c r="AX104" s="546">
        <f xml:space="preserve"> ROUND(  INDEX( wx!104:104, AX$16 ),  AX$17 )</f>
        <v>0</v>
      </c>
      <c r="AY104" s="546">
        <f xml:space="preserve"> ROUND(  INDEX( wx!104:104, AY$16 ),  AY$17 )</f>
        <v>2.0999999999999999E-3</v>
      </c>
      <c r="AZ104" s="548" t="str">
        <f t="shared" si="161"/>
        <v>M</v>
      </c>
      <c r="BA104" s="542">
        <f t="shared" si="162"/>
        <v>0.32950000000000002</v>
      </c>
      <c r="BB104" s="542">
        <f t="shared" si="163"/>
        <v>1.4E-3</v>
      </c>
      <c r="BC104" s="533">
        <f xml:space="preserve"> ROUND(  INDEX( Kx!104:104, BC$16 ),  BC$17 )</f>
        <v>13578.39</v>
      </c>
      <c r="BD104" s="533">
        <f xml:space="preserve"> ROUND(  INDEX( Kx!104:104, BD$16 ),  BD$17 )</f>
        <v>10309.459999999999</v>
      </c>
      <c r="BE104" s="548" t="str">
        <f t="shared" si="174"/>
        <v>M</v>
      </c>
      <c r="BF104" s="542">
        <f t="shared" si="164"/>
        <v>0.32950000000000002</v>
      </c>
      <c r="BG104" s="420">
        <f t="shared" si="165"/>
        <v>11386.57</v>
      </c>
      <c r="BQ104" s="549"/>
      <c r="BR104" s="423"/>
      <c r="BS104" s="550"/>
      <c r="BT104" s="423"/>
      <c r="BU104" s="551"/>
      <c r="BV104" s="551"/>
      <c r="BW104" s="529"/>
      <c r="BX104" s="552"/>
      <c r="BY104" s="560"/>
      <c r="BZ104" s="559"/>
      <c r="CB104" s="423"/>
      <c r="CC104" s="423"/>
      <c r="CD104" s="423"/>
      <c r="CE104" s="423"/>
      <c r="CF104" s="553"/>
      <c r="CH104" s="423"/>
      <c r="CI104" s="423"/>
      <c r="CJ104" s="423"/>
      <c r="CK104" s="423"/>
      <c r="CL104" s="553"/>
      <c r="CN104" s="423"/>
      <c r="CO104" s="423"/>
      <c r="CP104" s="423"/>
      <c r="CQ104" s="423"/>
      <c r="CR104" s="553"/>
      <c r="EI104" s="553"/>
      <c r="EJ104" s="553"/>
      <c r="EK104" s="423"/>
      <c r="EL104" s="555"/>
      <c r="ES104" s="533"/>
      <c r="ET104" s="533"/>
      <c r="EU104" s="533"/>
      <c r="EV104" s="556"/>
      <c r="EY104" s="533"/>
      <c r="EZ104" s="533"/>
      <c r="FA104" s="556"/>
      <c r="FD104" s="556"/>
      <c r="FE104" s="556"/>
      <c r="FF104" s="556"/>
      <c r="FK104" s="557">
        <f t="shared" si="166"/>
        <v>104</v>
      </c>
      <c r="FL104" s="493">
        <f t="shared" si="167"/>
        <v>16.374300000000002</v>
      </c>
      <c r="FM104" s="493">
        <f t="shared" si="168"/>
        <v>2.9624999999999999</v>
      </c>
      <c r="FO104" s="427">
        <f t="shared" si="175"/>
        <v>934950.77</v>
      </c>
      <c r="FP104" s="558">
        <f t="shared" si="185"/>
        <v>26633.35</v>
      </c>
      <c r="FQ104" s="558">
        <f t="shared" si="185"/>
        <v>26384.06</v>
      </c>
      <c r="FR104" s="558">
        <f t="shared" si="185"/>
        <v>26134.14</v>
      </c>
      <c r="FS104" s="558">
        <f t="shared" si="185"/>
        <v>25884.23</v>
      </c>
      <c r="FT104" s="558">
        <f t="shared" si="185"/>
        <v>25625.7</v>
      </c>
      <c r="FU104" s="558">
        <f t="shared" si="185"/>
        <v>25359.79</v>
      </c>
      <c r="FV104" s="558">
        <f t="shared" si="185"/>
        <v>25096.33</v>
      </c>
      <c r="FW104" s="558">
        <f t="shared" si="185"/>
        <v>24831.03</v>
      </c>
      <c r="FX104" s="558">
        <f t="shared" si="185"/>
        <v>24556.5</v>
      </c>
      <c r="FY104" s="558">
        <f t="shared" si="185"/>
        <v>24270.89</v>
      </c>
      <c r="FZ104" s="558">
        <f t="shared" si="185"/>
        <v>23983.43</v>
      </c>
      <c r="GA104" s="558">
        <f t="shared" si="185"/>
        <v>23691.66</v>
      </c>
      <c r="GB104" s="558">
        <f t="shared" si="185"/>
        <v>23393.119999999999</v>
      </c>
      <c r="GC104" s="558">
        <f t="shared" si="185"/>
        <v>23093.35</v>
      </c>
      <c r="GD104" s="558">
        <f t="shared" si="185"/>
        <v>22784.35</v>
      </c>
      <c r="GE104" s="558">
        <f t="shared" si="185"/>
        <v>22472.880000000001</v>
      </c>
      <c r="GF104" s="558">
        <f t="shared" si="182"/>
        <v>22152.18</v>
      </c>
      <c r="GG104" s="558">
        <f t="shared" si="182"/>
        <v>21824.1</v>
      </c>
      <c r="GH104" s="558">
        <f t="shared" si="182"/>
        <v>21486.78</v>
      </c>
      <c r="GI104" s="558">
        <f t="shared" si="182"/>
        <v>21139.61</v>
      </c>
      <c r="GJ104" s="558">
        <f t="shared" si="182"/>
        <v>20781.98</v>
      </c>
      <c r="GK104" s="558">
        <f t="shared" si="182"/>
        <v>20410.8</v>
      </c>
      <c r="GL104" s="558">
        <f t="shared" si="182"/>
        <v>20026.09</v>
      </c>
      <c r="GM104" s="558">
        <f t="shared" si="182"/>
        <v>19627.21</v>
      </c>
      <c r="GN104" s="558">
        <f t="shared" si="182"/>
        <v>19212.34</v>
      </c>
      <c r="GO104" s="558">
        <f t="shared" si="182"/>
        <v>18784.53</v>
      </c>
      <c r="GP104" s="558">
        <f t="shared" si="182"/>
        <v>18341.96</v>
      </c>
      <c r="GQ104" s="558">
        <f t="shared" si="182"/>
        <v>17885.84</v>
      </c>
      <c r="GR104" s="558">
        <f t="shared" si="182"/>
        <v>17417.41</v>
      </c>
      <c r="GS104" s="558">
        <f t="shared" si="182"/>
        <v>16937.28</v>
      </c>
      <c r="GT104" s="558">
        <f t="shared" si="182"/>
        <v>16447.310000000001</v>
      </c>
      <c r="GU104" s="558">
        <f t="shared" si="186"/>
        <v>15945.64</v>
      </c>
      <c r="GV104" s="558">
        <f t="shared" si="186"/>
        <v>15437.2</v>
      </c>
      <c r="GW104" s="558">
        <f t="shared" si="186"/>
        <v>14919.52</v>
      </c>
      <c r="GX104" s="558">
        <f t="shared" si="186"/>
        <v>14396.31</v>
      </c>
      <c r="GY104" s="558">
        <f t="shared" si="186"/>
        <v>13867.56</v>
      </c>
      <c r="GZ104" s="558">
        <f t="shared" si="186"/>
        <v>13332.65</v>
      </c>
      <c r="HA104" s="558">
        <f t="shared" si="186"/>
        <v>12793.43</v>
      </c>
      <c r="HB104" s="558">
        <f t="shared" si="186"/>
        <v>12246.21</v>
      </c>
      <c r="HC104" s="558">
        <f t="shared" si="186"/>
        <v>11687.3</v>
      </c>
      <c r="HD104" s="558">
        <f t="shared" si="186"/>
        <v>11120.38</v>
      </c>
      <c r="HE104" s="558">
        <f t="shared" si="186"/>
        <v>10547.92</v>
      </c>
      <c r="HF104" s="558">
        <f t="shared" si="186"/>
        <v>9968.08</v>
      </c>
      <c r="HG104" s="558">
        <f t="shared" si="186"/>
        <v>9383.93</v>
      </c>
      <c r="HH104" s="558">
        <f t="shared" si="186"/>
        <v>8793.6200000000008</v>
      </c>
      <c r="HI104" s="558">
        <f t="shared" si="186"/>
        <v>8208.85</v>
      </c>
      <c r="HJ104" s="558">
        <f t="shared" si="186"/>
        <v>7619.16</v>
      </c>
      <c r="HK104" s="558">
        <f t="shared" si="183"/>
        <v>7033.16</v>
      </c>
      <c r="HL104" s="558">
        <f t="shared" si="183"/>
        <v>6451.47</v>
      </c>
      <c r="HM104" s="558">
        <f t="shared" si="183"/>
        <v>5872.24</v>
      </c>
      <c r="HN104" s="558">
        <f t="shared" si="183"/>
        <v>5395.19</v>
      </c>
      <c r="HO104" s="558">
        <f t="shared" si="183"/>
        <v>4932.92</v>
      </c>
      <c r="HP104" s="558">
        <f t="shared" si="183"/>
        <v>4490.34</v>
      </c>
      <c r="HQ104" s="558">
        <f t="shared" si="183"/>
        <v>4071.15</v>
      </c>
      <c r="HR104" s="558">
        <f t="shared" si="183"/>
        <v>3565.18</v>
      </c>
      <c r="HS104" s="558">
        <f t="shared" si="183"/>
        <v>3078.9</v>
      </c>
      <c r="HT104" s="558">
        <f t="shared" si="183"/>
        <v>2615.39</v>
      </c>
      <c r="HU104" s="558">
        <f t="shared" si="183"/>
        <v>2189.4299999999998</v>
      </c>
      <c r="HV104" s="558">
        <f t="shared" si="183"/>
        <v>1797.33</v>
      </c>
      <c r="HW104" s="558">
        <f t="shared" si="183"/>
        <v>1440.93</v>
      </c>
      <c r="HX104" s="558">
        <f t="shared" si="183"/>
        <v>1128.8499999999999</v>
      </c>
      <c r="HY104" s="558">
        <f t="shared" si="183"/>
        <v>854.31</v>
      </c>
      <c r="HZ104" s="558">
        <f t="shared" si="181"/>
        <v>630.87</v>
      </c>
      <c r="IA104" s="558">
        <f t="shared" si="181"/>
        <v>451.13</v>
      </c>
      <c r="IB104" s="558">
        <f t="shared" si="181"/>
        <v>316.94</v>
      </c>
      <c r="IC104" s="558">
        <f t="shared" si="181"/>
        <v>227.69</v>
      </c>
      <c r="ID104" s="558">
        <f t="shared" si="181"/>
        <v>168.6</v>
      </c>
      <c r="IE104" s="558">
        <f t="shared" si="181"/>
        <v>127.36</v>
      </c>
      <c r="IF104" s="558">
        <f t="shared" si="181"/>
        <v>126.12</v>
      </c>
      <c r="IG104" s="558">
        <f t="shared" si="181"/>
        <v>123.66</v>
      </c>
      <c r="IH104" s="558">
        <f t="shared" si="181"/>
        <v>121.2</v>
      </c>
      <c r="II104" s="558">
        <f t="shared" si="181"/>
        <v>117.51</v>
      </c>
      <c r="IJ104" s="558">
        <f t="shared" si="181"/>
        <v>112.58</v>
      </c>
      <c r="IK104" s="558">
        <f t="shared" si="181"/>
        <v>105.81</v>
      </c>
      <c r="IL104" s="558">
        <f t="shared" si="181"/>
        <v>96.58</v>
      </c>
      <c r="IM104" s="558">
        <f t="shared" si="181"/>
        <v>83.65</v>
      </c>
      <c r="IN104" s="558">
        <f t="shared" si="181"/>
        <v>66.42</v>
      </c>
      <c r="IO104" s="558">
        <f t="shared" si="181"/>
        <v>41.18</v>
      </c>
      <c r="IP104" s="558">
        <f t="shared" si="181"/>
        <v>39.33</v>
      </c>
      <c r="IQ104" s="558">
        <f t="shared" si="181"/>
        <v>37.49</v>
      </c>
      <c r="IR104" s="558">
        <f t="shared" si="181"/>
        <v>33.79</v>
      </c>
      <c r="IS104" s="558">
        <f t="shared" si="181"/>
        <v>30.1</v>
      </c>
      <c r="IT104" s="558">
        <f t="shared" si="181"/>
        <v>23.94</v>
      </c>
      <c r="IU104" s="558">
        <f t="shared" si="181"/>
        <v>14.1</v>
      </c>
      <c r="IV104" s="558">
        <f t="shared" si="181"/>
        <v>-0.06</v>
      </c>
      <c r="IW104" s="558" t="str">
        <f t="shared" si="181"/>
        <v>.</v>
      </c>
      <c r="IX104" s="558" t="str">
        <f t="shared" si="181"/>
        <v>.</v>
      </c>
      <c r="IY104" s="558" t="str">
        <f t="shared" si="179"/>
        <v>.</v>
      </c>
      <c r="IZ104" s="558" t="str">
        <f t="shared" si="179"/>
        <v>.</v>
      </c>
      <c r="JA104" s="558" t="str">
        <f t="shared" si="179"/>
        <v>.</v>
      </c>
      <c r="JB104" s="558" t="str">
        <f t="shared" si="179"/>
        <v>.</v>
      </c>
      <c r="JC104" s="558" t="str">
        <f t="shared" si="179"/>
        <v>.</v>
      </c>
      <c r="JD104" s="558" t="str">
        <f t="shared" si="179"/>
        <v>.</v>
      </c>
      <c r="JE104" s="558" t="str">
        <f t="shared" si="179"/>
        <v>.</v>
      </c>
      <c r="JF104" s="558" t="str">
        <f t="shared" si="179"/>
        <v>.</v>
      </c>
      <c r="JG104" s="558" t="str">
        <f t="shared" si="179"/>
        <v>.</v>
      </c>
      <c r="JH104" s="558" t="str">
        <f t="shared" si="188"/>
        <v>.</v>
      </c>
      <c r="JI104" s="558" t="str">
        <f t="shared" si="188"/>
        <v>.</v>
      </c>
      <c r="JJ104" s="558" t="str">
        <f t="shared" si="188"/>
        <v>.</v>
      </c>
      <c r="JK104" s="558" t="str">
        <f t="shared" si="188"/>
        <v>.</v>
      </c>
      <c r="JL104" s="558" t="str">
        <f t="shared" si="187"/>
        <v>.</v>
      </c>
    </row>
    <row r="105" spans="1:272" ht="10.199999999999999" x14ac:dyDescent="0.2">
      <c r="A105" s="534">
        <f xml:space="preserve"> Basis!A105</f>
        <v>105</v>
      </c>
      <c r="F105" s="536">
        <f xml:space="preserve"> ROUND(    IF( $A$15=BE_MF_,   AW105,   INDEX( qx!105:105, F$16 ) ),    F$17    )</f>
        <v>0.29339999999999999</v>
      </c>
      <c r="G105" s="536">
        <f xml:space="preserve"> ROUND(    IF( $A$15=BE_MF_,   BB105,   INDEX( wx!105:105, G$16 ) ),    G$17    )</f>
        <v>1.4E-3</v>
      </c>
      <c r="H105" s="537">
        <f xml:space="preserve"> ROUND(    IF( $A$15=BE_MF_,   BG105,   INDEX( Kx!105:105, H$16 ) ),    H$17    )</f>
        <v>11421.03</v>
      </c>
      <c r="I105" s="538">
        <f t="shared" si="171"/>
        <v>11469.4</v>
      </c>
      <c r="J105" s="539">
        <f t="shared" si="137"/>
        <v>5.52</v>
      </c>
      <c r="K105" s="540">
        <f t="shared" si="172"/>
        <v>0</v>
      </c>
      <c r="L105" s="541">
        <f t="shared" si="189"/>
        <v>0</v>
      </c>
      <c r="M105" s="541">
        <f t="shared" si="189"/>
        <v>8.5999999999999993E-2</v>
      </c>
      <c r="O105" s="542" t="b">
        <f t="shared" si="173"/>
        <v>1</v>
      </c>
      <c r="P105" s="493">
        <f t="shared" si="138"/>
        <v>0.29480000000000001</v>
      </c>
      <c r="Q105" s="493">
        <f t="shared" si="139"/>
        <v>0.70520000000000005</v>
      </c>
      <c r="R105" s="543">
        <f t="shared" si="140"/>
        <v>5036</v>
      </c>
      <c r="S105" s="544">
        <f t="shared" si="141"/>
        <v>0.97560975599999999</v>
      </c>
      <c r="T105" s="423">
        <f t="shared" si="142"/>
        <v>376.77</v>
      </c>
      <c r="U105" s="423">
        <f xml:space="preserve"> IF( $O105,    ROUND(  SUM( T105:T$120), U$17 ),  LEER  )</f>
        <v>1065.82</v>
      </c>
      <c r="V105" s="493">
        <f t="shared" si="143"/>
        <v>2.8288000000000002</v>
      </c>
      <c r="W105" s="493">
        <f t="shared" si="144"/>
        <v>2079.77</v>
      </c>
      <c r="X105" s="493">
        <f xml:space="preserve"> IF( $O105,    ROUND(  SUM( W105:W$120), X$17 ),  LEER  )</f>
        <v>5894.84</v>
      </c>
      <c r="Y105" s="493">
        <f t="shared" si="145"/>
        <v>15.6457</v>
      </c>
      <c r="Z105" s="493">
        <f t="shared" si="146"/>
        <v>5.5308999999999999</v>
      </c>
      <c r="AA105" s="493">
        <f t="shared" si="147"/>
        <v>1</v>
      </c>
      <c r="AB105" s="493">
        <f t="shared" si="148"/>
        <v>2.3494000000000002</v>
      </c>
      <c r="AC105" s="545">
        <f t="shared" si="149"/>
        <v>0.32679999999999998</v>
      </c>
      <c r="AD105" s="493">
        <f t="shared" si="150"/>
        <v>5.5308999999999999</v>
      </c>
      <c r="AE105" s="493">
        <f t="shared" si="151"/>
        <v>6.4089</v>
      </c>
      <c r="AF105" s="493">
        <f t="shared" si="152"/>
        <v>6.4089</v>
      </c>
      <c r="AG105" s="493" t="str">
        <f t="shared" si="153"/>
        <v>.</v>
      </c>
      <c r="AH105" s="493" t="str">
        <f t="shared" si="154"/>
        <v>.</v>
      </c>
      <c r="AI105" s="423">
        <f t="shared" si="155"/>
        <v>2077.79</v>
      </c>
      <c r="AJ105" s="423">
        <f t="shared" si="156"/>
        <v>13316.35</v>
      </c>
      <c r="AK105" s="423">
        <f t="shared" si="157"/>
        <v>1109.7</v>
      </c>
      <c r="AN105" s="423">
        <f t="shared" si="184"/>
        <v>21610.720000000001</v>
      </c>
      <c r="AO105" s="423">
        <f t="shared" si="184"/>
        <v>21480.240000000002</v>
      </c>
      <c r="AR105" s="546">
        <f xml:space="preserve"> ROUND(  INDEX( Kx!105:105, AR$16 ),  AR$17 )</f>
        <v>0.24679999999999999</v>
      </c>
      <c r="AS105" s="547">
        <f xml:space="preserve"> ROUND(  INDEX( qx!105:105, AS$16 ),  AS$17 )</f>
        <v>0.30530000000000002</v>
      </c>
      <c r="AT105" s="547">
        <f xml:space="preserve"> ROUND(  INDEX( qx!105:105, AT$16 ),  AT$17 )</f>
        <v>0.2908</v>
      </c>
      <c r="AU105" s="548" t="str">
        <f t="shared" si="158"/>
        <v>F</v>
      </c>
      <c r="AV105" s="542">
        <f t="shared" si="159"/>
        <v>0.17929999999999999</v>
      </c>
      <c r="AW105" s="542">
        <f t="shared" si="160"/>
        <v>0.29339999999999999</v>
      </c>
      <c r="AX105" s="546">
        <f xml:space="preserve"> ROUND(  INDEX( wx!105:105, AX$16 ),  AX$17 )</f>
        <v>0</v>
      </c>
      <c r="AY105" s="546">
        <f xml:space="preserve"> ROUND(  INDEX( wx!105:105, AY$16 ),  AY$17 )</f>
        <v>2.0999999999999999E-3</v>
      </c>
      <c r="AZ105" s="548" t="str">
        <f t="shared" si="161"/>
        <v>M</v>
      </c>
      <c r="BA105" s="542">
        <f t="shared" si="162"/>
        <v>0.32950000000000002</v>
      </c>
      <c r="BB105" s="542">
        <f t="shared" si="163"/>
        <v>1.4E-3</v>
      </c>
      <c r="BC105" s="533">
        <f xml:space="preserve"> ROUND(  INDEX( Kx!105:105, BC$16 ),  BC$17 )</f>
        <v>13657.08</v>
      </c>
      <c r="BD105" s="533">
        <f xml:space="preserve"> ROUND(  INDEX( Kx!105:105, BD$16 ),  BD$17 )</f>
        <v>10322.18</v>
      </c>
      <c r="BE105" s="548" t="str">
        <f t="shared" si="174"/>
        <v>M</v>
      </c>
      <c r="BF105" s="542">
        <f t="shared" si="164"/>
        <v>0.32950000000000002</v>
      </c>
      <c r="BG105" s="420">
        <f t="shared" si="165"/>
        <v>11421.03</v>
      </c>
      <c r="BQ105" s="549"/>
      <c r="BR105" s="423"/>
      <c r="BS105" s="550"/>
      <c r="BT105" s="423"/>
      <c r="BU105" s="551"/>
      <c r="BV105" s="551"/>
      <c r="BW105" s="529"/>
      <c r="BX105" s="552"/>
      <c r="BY105" s="560"/>
      <c r="BZ105" s="559"/>
      <c r="CB105" s="423"/>
      <c r="CC105" s="423"/>
      <c r="CD105" s="423"/>
      <c r="CE105" s="423"/>
      <c r="CF105" s="553"/>
      <c r="CH105" s="423"/>
      <c r="CI105" s="423"/>
      <c r="CJ105" s="423"/>
      <c r="CK105" s="423"/>
      <c r="CL105" s="553"/>
      <c r="CN105" s="423"/>
      <c r="CO105" s="423"/>
      <c r="CP105" s="423"/>
      <c r="CQ105" s="423"/>
      <c r="CR105" s="553"/>
      <c r="EI105" s="553"/>
      <c r="EJ105" s="553"/>
      <c r="EK105" s="423"/>
      <c r="EL105" s="555"/>
      <c r="ES105" s="533"/>
      <c r="ET105" s="533"/>
      <c r="EU105" s="533"/>
      <c r="EV105" s="556"/>
      <c r="EY105" s="533"/>
      <c r="EZ105" s="533"/>
      <c r="FA105" s="556"/>
      <c r="FD105" s="556"/>
      <c r="FE105" s="556"/>
      <c r="FF105" s="556"/>
      <c r="FK105" s="557">
        <f t="shared" si="166"/>
        <v>105</v>
      </c>
      <c r="FL105" s="493">
        <f t="shared" si="167"/>
        <v>15.6457</v>
      </c>
      <c r="FM105" s="493">
        <f t="shared" si="168"/>
        <v>2.8288000000000002</v>
      </c>
      <c r="FO105" s="427">
        <f t="shared" si="175"/>
        <v>894589.64999999979</v>
      </c>
      <c r="FP105" s="558">
        <f t="shared" si="185"/>
        <v>25452.95</v>
      </c>
      <c r="FQ105" s="558">
        <f t="shared" si="185"/>
        <v>25214.9</v>
      </c>
      <c r="FR105" s="558">
        <f t="shared" si="185"/>
        <v>24976.27</v>
      </c>
      <c r="FS105" s="558">
        <f t="shared" si="185"/>
        <v>24737.63</v>
      </c>
      <c r="FT105" s="558">
        <f t="shared" si="185"/>
        <v>24490.77</v>
      </c>
      <c r="FU105" s="558">
        <f t="shared" si="185"/>
        <v>24236.86</v>
      </c>
      <c r="FV105" s="558">
        <f t="shared" si="185"/>
        <v>23985.3</v>
      </c>
      <c r="FW105" s="558">
        <f t="shared" si="185"/>
        <v>23731.97</v>
      </c>
      <c r="FX105" s="558">
        <f t="shared" si="185"/>
        <v>23469.83</v>
      </c>
      <c r="FY105" s="558">
        <f t="shared" si="185"/>
        <v>23197.1</v>
      </c>
      <c r="FZ105" s="558">
        <f t="shared" si="185"/>
        <v>22922.62</v>
      </c>
      <c r="GA105" s="558">
        <f t="shared" si="185"/>
        <v>22644.02</v>
      </c>
      <c r="GB105" s="558">
        <f t="shared" si="185"/>
        <v>22358.95</v>
      </c>
      <c r="GC105" s="558">
        <f t="shared" si="185"/>
        <v>22072.71</v>
      </c>
      <c r="GD105" s="558">
        <f t="shared" si="185"/>
        <v>21777.65</v>
      </c>
      <c r="GE105" s="558">
        <f t="shared" si="185"/>
        <v>21480.240000000002</v>
      </c>
      <c r="GF105" s="558">
        <f t="shared" si="182"/>
        <v>21174.01</v>
      </c>
      <c r="GG105" s="558">
        <f t="shared" si="182"/>
        <v>20860.740000000002</v>
      </c>
      <c r="GH105" s="558">
        <f t="shared" si="182"/>
        <v>20538.64</v>
      </c>
      <c r="GI105" s="558">
        <f t="shared" si="182"/>
        <v>20207.14</v>
      </c>
      <c r="GJ105" s="558">
        <f t="shared" si="182"/>
        <v>19865.650000000001</v>
      </c>
      <c r="GK105" s="558">
        <f t="shared" si="182"/>
        <v>19511.23</v>
      </c>
      <c r="GL105" s="558">
        <f t="shared" si="182"/>
        <v>19143.87</v>
      </c>
      <c r="GM105" s="558">
        <f t="shared" si="182"/>
        <v>18763</v>
      </c>
      <c r="GN105" s="558">
        <f t="shared" si="182"/>
        <v>18366.849999999999</v>
      </c>
      <c r="GO105" s="558">
        <f t="shared" si="182"/>
        <v>17958.349999999999</v>
      </c>
      <c r="GP105" s="558">
        <f t="shared" si="182"/>
        <v>17535.75</v>
      </c>
      <c r="GQ105" s="558">
        <f t="shared" si="182"/>
        <v>17100.21</v>
      </c>
      <c r="GR105" s="558">
        <f t="shared" si="182"/>
        <v>16652.919999999998</v>
      </c>
      <c r="GS105" s="558">
        <f t="shared" si="182"/>
        <v>16194.47</v>
      </c>
      <c r="GT105" s="558">
        <f t="shared" si="182"/>
        <v>15726.61</v>
      </c>
      <c r="GU105" s="558">
        <f t="shared" si="186"/>
        <v>15247.58</v>
      </c>
      <c r="GV105" s="558">
        <f t="shared" si="186"/>
        <v>14762.08</v>
      </c>
      <c r="GW105" s="558">
        <f t="shared" si="186"/>
        <v>14267.77</v>
      </c>
      <c r="GX105" s="558">
        <f t="shared" si="186"/>
        <v>13768.17</v>
      </c>
      <c r="GY105" s="558">
        <f t="shared" si="186"/>
        <v>13263.28</v>
      </c>
      <c r="GZ105" s="558">
        <f t="shared" si="186"/>
        <v>12752.51</v>
      </c>
      <c r="HA105" s="558">
        <f t="shared" si="186"/>
        <v>12237.63</v>
      </c>
      <c r="HB105" s="558">
        <f t="shared" si="186"/>
        <v>11715.11</v>
      </c>
      <c r="HC105" s="558">
        <f t="shared" si="186"/>
        <v>11181.42</v>
      </c>
      <c r="HD105" s="558">
        <f t="shared" si="186"/>
        <v>10640.09</v>
      </c>
      <c r="HE105" s="558">
        <f t="shared" si="186"/>
        <v>10093.459999999999</v>
      </c>
      <c r="HF105" s="558">
        <f t="shared" si="186"/>
        <v>9539.7900000000009</v>
      </c>
      <c r="HG105" s="558">
        <f t="shared" si="186"/>
        <v>8982</v>
      </c>
      <c r="HH105" s="558">
        <f t="shared" si="186"/>
        <v>8418.33</v>
      </c>
      <c r="HI105" s="558">
        <f t="shared" si="186"/>
        <v>7859.96</v>
      </c>
      <c r="HJ105" s="558">
        <f t="shared" si="186"/>
        <v>7296.88</v>
      </c>
      <c r="HK105" s="558">
        <f t="shared" si="183"/>
        <v>6737.32</v>
      </c>
      <c r="HL105" s="558">
        <f t="shared" si="183"/>
        <v>6181.89</v>
      </c>
      <c r="HM105" s="558">
        <f t="shared" si="183"/>
        <v>5628.8</v>
      </c>
      <c r="HN105" s="558">
        <f t="shared" si="183"/>
        <v>5173.28</v>
      </c>
      <c r="HO105" s="558">
        <f t="shared" si="183"/>
        <v>4731.87</v>
      </c>
      <c r="HP105" s="558">
        <f t="shared" si="183"/>
        <v>4309.2700000000004</v>
      </c>
      <c r="HQ105" s="558">
        <f t="shared" si="183"/>
        <v>3909</v>
      </c>
      <c r="HR105" s="558">
        <f t="shared" si="183"/>
        <v>3425.86</v>
      </c>
      <c r="HS105" s="558">
        <f t="shared" si="183"/>
        <v>2961.52</v>
      </c>
      <c r="HT105" s="558">
        <f t="shared" si="183"/>
        <v>2518.9299999999998</v>
      </c>
      <c r="HU105" s="558">
        <f t="shared" si="183"/>
        <v>2112.1999999999998</v>
      </c>
      <c r="HV105" s="558">
        <f t="shared" si="183"/>
        <v>1737.79</v>
      </c>
      <c r="HW105" s="558">
        <f t="shared" si="183"/>
        <v>1397.48</v>
      </c>
      <c r="HX105" s="558">
        <f t="shared" si="183"/>
        <v>1099.48</v>
      </c>
      <c r="HY105" s="558">
        <f t="shared" si="183"/>
        <v>837.34</v>
      </c>
      <c r="HZ105" s="558">
        <f t="shared" si="181"/>
        <v>623.98</v>
      </c>
      <c r="IA105" s="558">
        <f t="shared" si="181"/>
        <v>452.35</v>
      </c>
      <c r="IB105" s="558">
        <f t="shared" si="181"/>
        <v>324.22000000000003</v>
      </c>
      <c r="IC105" s="558">
        <f t="shared" si="181"/>
        <v>238.99</v>
      </c>
      <c r="ID105" s="558">
        <f t="shared" si="181"/>
        <v>182.57</v>
      </c>
      <c r="IE105" s="558">
        <f t="shared" si="181"/>
        <v>143.19</v>
      </c>
      <c r="IF105" s="558">
        <f t="shared" si="181"/>
        <v>142.01</v>
      </c>
      <c r="IG105" s="558">
        <f t="shared" si="181"/>
        <v>139.66</v>
      </c>
      <c r="IH105" s="558">
        <f t="shared" si="181"/>
        <v>137.31</v>
      </c>
      <c r="II105" s="558">
        <f t="shared" si="181"/>
        <v>133.78</v>
      </c>
      <c r="IJ105" s="558">
        <f t="shared" si="181"/>
        <v>129.08000000000001</v>
      </c>
      <c r="IK105" s="558">
        <f t="shared" si="181"/>
        <v>122.61</v>
      </c>
      <c r="IL105" s="558">
        <f t="shared" si="181"/>
        <v>113.8</v>
      </c>
      <c r="IM105" s="558">
        <f t="shared" si="181"/>
        <v>101.45</v>
      </c>
      <c r="IN105" s="558">
        <f t="shared" si="181"/>
        <v>85</v>
      </c>
      <c r="IO105" s="558">
        <f t="shared" si="181"/>
        <v>60.9</v>
      </c>
      <c r="IP105" s="558">
        <f t="shared" si="181"/>
        <v>59.14</v>
      </c>
      <c r="IQ105" s="558">
        <f t="shared" si="181"/>
        <v>57.37</v>
      </c>
      <c r="IR105" s="558">
        <f t="shared" si="181"/>
        <v>53.85</v>
      </c>
      <c r="IS105" s="558">
        <f t="shared" si="181"/>
        <v>50.32</v>
      </c>
      <c r="IT105" s="558">
        <f t="shared" si="181"/>
        <v>44.44</v>
      </c>
      <c r="IU105" s="558">
        <f t="shared" si="181"/>
        <v>35.04</v>
      </c>
      <c r="IV105" s="558">
        <f t="shared" si="181"/>
        <v>21.52</v>
      </c>
      <c r="IW105" s="558">
        <f t="shared" si="181"/>
        <v>-0.23</v>
      </c>
      <c r="IX105" s="558" t="str">
        <f t="shared" si="181"/>
        <v>.</v>
      </c>
      <c r="IY105" s="558" t="str">
        <f t="shared" si="179"/>
        <v>.</v>
      </c>
      <c r="IZ105" s="558" t="str">
        <f t="shared" si="179"/>
        <v>.</v>
      </c>
      <c r="JA105" s="558" t="str">
        <f t="shared" si="179"/>
        <v>.</v>
      </c>
      <c r="JB105" s="558" t="str">
        <f t="shared" si="179"/>
        <v>.</v>
      </c>
      <c r="JC105" s="558" t="str">
        <f t="shared" si="179"/>
        <v>.</v>
      </c>
      <c r="JD105" s="558" t="str">
        <f t="shared" si="179"/>
        <v>.</v>
      </c>
      <c r="JE105" s="558" t="str">
        <f t="shared" si="179"/>
        <v>.</v>
      </c>
      <c r="JF105" s="558" t="str">
        <f t="shared" si="179"/>
        <v>.</v>
      </c>
      <c r="JG105" s="558" t="str">
        <f t="shared" si="179"/>
        <v>.</v>
      </c>
      <c r="JH105" s="558" t="str">
        <f t="shared" si="188"/>
        <v>.</v>
      </c>
      <c r="JI105" s="558" t="str">
        <f t="shared" si="188"/>
        <v>.</v>
      </c>
      <c r="JJ105" s="558" t="str">
        <f t="shared" si="188"/>
        <v>.</v>
      </c>
      <c r="JK105" s="558" t="str">
        <f t="shared" si="188"/>
        <v>.</v>
      </c>
      <c r="JL105" s="558" t="str">
        <f t="shared" si="187"/>
        <v>.</v>
      </c>
    </row>
    <row r="106" spans="1:272" ht="10.199999999999999" x14ac:dyDescent="0.2">
      <c r="A106" s="534">
        <f xml:space="preserve"> Basis!A106</f>
        <v>106</v>
      </c>
      <c r="F106" s="536">
        <f xml:space="preserve"> ROUND(    IF( $A$15=BE_MF_,   AW106,   INDEX( qx!106:106, F$16 ) ),    F$17    )</f>
        <v>0.29920000000000002</v>
      </c>
      <c r="G106" s="536">
        <f xml:space="preserve"> ROUND(    IF( $A$15=BE_MF_,   BB106,   INDEX( wx!106:106, G$16 ) ),    G$17    )</f>
        <v>1.4E-3</v>
      </c>
      <c r="H106" s="537">
        <f xml:space="preserve"> ROUND(    IF( $A$15=BE_MF_,   BG106,   INDEX( Kx!106:106, H$16 ) ),    H$17    )</f>
        <v>11455.48</v>
      </c>
      <c r="I106" s="538">
        <f t="shared" si="171"/>
        <v>11469.4</v>
      </c>
      <c r="J106" s="539">
        <f t="shared" si="137"/>
        <v>5.52</v>
      </c>
      <c r="K106" s="540">
        <f t="shared" si="172"/>
        <v>0</v>
      </c>
      <c r="L106" s="541">
        <f t="shared" si="189"/>
        <v>0</v>
      </c>
      <c r="M106" s="541">
        <f t="shared" si="189"/>
        <v>8.5999999999999993E-2</v>
      </c>
      <c r="O106" s="542" t="b">
        <f t="shared" si="173"/>
        <v>1</v>
      </c>
      <c r="P106" s="493">
        <f t="shared" si="138"/>
        <v>0.30059999999999998</v>
      </c>
      <c r="Q106" s="493">
        <f t="shared" si="139"/>
        <v>0.69940000000000002</v>
      </c>
      <c r="R106" s="543">
        <f t="shared" si="140"/>
        <v>3551</v>
      </c>
      <c r="S106" s="544">
        <f t="shared" si="141"/>
        <v>0.97560975599999999</v>
      </c>
      <c r="T106" s="423">
        <f t="shared" si="142"/>
        <v>259.19</v>
      </c>
      <c r="U106" s="423">
        <f xml:space="preserve"> IF( $O106,    ROUND(  SUM( T106:T$120), U$17 ),  LEER  )</f>
        <v>689.05</v>
      </c>
      <c r="V106" s="493">
        <f t="shared" si="143"/>
        <v>2.6585000000000001</v>
      </c>
      <c r="W106" s="493">
        <f t="shared" si="144"/>
        <v>1430.73</v>
      </c>
      <c r="X106" s="493">
        <f xml:space="preserve"> IF( $O106,    ROUND(  SUM( W106:W$120), X$17 ),  LEER  )</f>
        <v>3815.07</v>
      </c>
      <c r="Y106" s="493">
        <f t="shared" si="145"/>
        <v>14.719200000000001</v>
      </c>
      <c r="Z106" s="493">
        <f t="shared" si="146"/>
        <v>5.5366999999999997</v>
      </c>
      <c r="AA106" s="493">
        <f t="shared" si="147"/>
        <v>1</v>
      </c>
      <c r="AB106" s="493">
        <f t="shared" si="148"/>
        <v>2.3494000000000002</v>
      </c>
      <c r="AC106" s="545">
        <f t="shared" si="149"/>
        <v>0.32679999999999998</v>
      </c>
      <c r="AD106" s="493">
        <f t="shared" si="150"/>
        <v>5.5366999999999997</v>
      </c>
      <c r="AE106" s="493">
        <f t="shared" si="151"/>
        <v>6.4151999999999996</v>
      </c>
      <c r="AF106" s="493">
        <f t="shared" si="152"/>
        <v>6.4151999999999996</v>
      </c>
      <c r="AG106" s="493" t="str">
        <f t="shared" si="153"/>
        <v>.</v>
      </c>
      <c r="AH106" s="493" t="str">
        <f t="shared" si="154"/>
        <v>.</v>
      </c>
      <c r="AI106" s="423">
        <f t="shared" si="155"/>
        <v>2077.79</v>
      </c>
      <c r="AJ106" s="423">
        <f t="shared" si="156"/>
        <v>13329.44</v>
      </c>
      <c r="AK106" s="423">
        <f t="shared" si="157"/>
        <v>1110.79</v>
      </c>
      <c r="AN106" s="423">
        <f t="shared" si="184"/>
        <v>20341.72</v>
      </c>
      <c r="AO106" s="423">
        <f t="shared" si="184"/>
        <v>20219.09</v>
      </c>
      <c r="AR106" s="546">
        <f xml:space="preserve"> ROUND(  INDEX( Kx!106:106, AR$16 ),  AR$17 )</f>
        <v>0.24679999999999999</v>
      </c>
      <c r="AS106" s="547">
        <f xml:space="preserve"> ROUND(  INDEX( qx!106:106, AS$16 ),  AS$17 )</f>
        <v>0.31180000000000002</v>
      </c>
      <c r="AT106" s="547">
        <f xml:space="preserve"> ROUND(  INDEX( qx!106:106, AT$16 ),  AT$17 )</f>
        <v>0.29649999999999999</v>
      </c>
      <c r="AU106" s="548" t="str">
        <f t="shared" si="158"/>
        <v>F</v>
      </c>
      <c r="AV106" s="542">
        <f t="shared" si="159"/>
        <v>0.17929999999999999</v>
      </c>
      <c r="AW106" s="542">
        <f t="shared" si="160"/>
        <v>0.29920000000000002</v>
      </c>
      <c r="AX106" s="546">
        <f xml:space="preserve"> ROUND(  INDEX( wx!106:106, AX$16 ),  AX$17 )</f>
        <v>0</v>
      </c>
      <c r="AY106" s="546">
        <f xml:space="preserve"> ROUND(  INDEX( wx!106:106, AY$16 ),  AY$17 )</f>
        <v>2.0999999999999999E-3</v>
      </c>
      <c r="AZ106" s="548" t="str">
        <f t="shared" si="161"/>
        <v>M</v>
      </c>
      <c r="BA106" s="542">
        <f t="shared" si="162"/>
        <v>0.32950000000000002</v>
      </c>
      <c r="BB106" s="542">
        <f t="shared" si="163"/>
        <v>1.4E-3</v>
      </c>
      <c r="BC106" s="533">
        <f xml:space="preserve"> ROUND(  INDEX( Kx!106:106, BC$16 ),  BC$17 )</f>
        <v>13735.77</v>
      </c>
      <c r="BD106" s="533">
        <f xml:space="preserve"> ROUND(  INDEX( Kx!106:106, BD$16 ),  BD$17 )</f>
        <v>10334.89</v>
      </c>
      <c r="BE106" s="548" t="str">
        <f t="shared" si="174"/>
        <v>M</v>
      </c>
      <c r="BF106" s="542">
        <f t="shared" si="164"/>
        <v>0.32950000000000002</v>
      </c>
      <c r="BG106" s="420">
        <f t="shared" si="165"/>
        <v>11455.48</v>
      </c>
      <c r="BQ106" s="549"/>
      <c r="BR106" s="423"/>
      <c r="BS106" s="550"/>
      <c r="BT106" s="423"/>
      <c r="BU106" s="551"/>
      <c r="BV106" s="551"/>
      <c r="BW106" s="529"/>
      <c r="BX106" s="552"/>
      <c r="BY106" s="560"/>
      <c r="BZ106" s="559"/>
      <c r="CB106" s="423"/>
      <c r="CC106" s="423"/>
      <c r="CD106" s="423"/>
      <c r="CE106" s="423"/>
      <c r="CF106" s="553"/>
      <c r="CH106" s="423"/>
      <c r="CI106" s="423"/>
      <c r="CJ106" s="423"/>
      <c r="CK106" s="423"/>
      <c r="CL106" s="553"/>
      <c r="CN106" s="423"/>
      <c r="CO106" s="423"/>
      <c r="CP106" s="423"/>
      <c r="CQ106" s="423"/>
      <c r="CR106" s="553"/>
      <c r="EI106" s="553"/>
      <c r="EJ106" s="553"/>
      <c r="EK106" s="423"/>
      <c r="EL106" s="555"/>
      <c r="ES106" s="533"/>
      <c r="ET106" s="533"/>
      <c r="EU106" s="533"/>
      <c r="EV106" s="556"/>
      <c r="EY106" s="533"/>
      <c r="EZ106" s="533"/>
      <c r="FA106" s="556"/>
      <c r="FD106" s="556"/>
      <c r="FE106" s="556"/>
      <c r="FF106" s="556"/>
      <c r="FK106" s="557">
        <f t="shared" si="166"/>
        <v>106</v>
      </c>
      <c r="FL106" s="493">
        <f t="shared" si="167"/>
        <v>14.719200000000001</v>
      </c>
      <c r="FM106" s="493">
        <f t="shared" si="168"/>
        <v>2.6585000000000001</v>
      </c>
      <c r="FO106" s="427">
        <f t="shared" si="175"/>
        <v>843485.94000000018</v>
      </c>
      <c r="FP106" s="558">
        <f t="shared" si="185"/>
        <v>23952.63</v>
      </c>
      <c r="FQ106" s="558">
        <f t="shared" si="185"/>
        <v>23728.92</v>
      </c>
      <c r="FR106" s="558">
        <f t="shared" si="185"/>
        <v>23504.65</v>
      </c>
      <c r="FS106" s="558">
        <f t="shared" si="185"/>
        <v>23280.38</v>
      </c>
      <c r="FT106" s="558">
        <f t="shared" si="185"/>
        <v>23048.38</v>
      </c>
      <c r="FU106" s="558">
        <f t="shared" si="185"/>
        <v>22809.759999999998</v>
      </c>
      <c r="FV106" s="558">
        <f t="shared" si="185"/>
        <v>22573.34</v>
      </c>
      <c r="FW106" s="558">
        <f t="shared" si="185"/>
        <v>22335.26</v>
      </c>
      <c r="FX106" s="558">
        <f t="shared" si="185"/>
        <v>22088.9</v>
      </c>
      <c r="FY106" s="558">
        <f t="shared" si="185"/>
        <v>21832.6</v>
      </c>
      <c r="FZ106" s="558">
        <f t="shared" si="185"/>
        <v>21574.63</v>
      </c>
      <c r="GA106" s="558">
        <f t="shared" si="185"/>
        <v>21312.81</v>
      </c>
      <c r="GB106" s="558">
        <f t="shared" si="185"/>
        <v>21044.9</v>
      </c>
      <c r="GC106" s="558">
        <f t="shared" si="185"/>
        <v>20775.89</v>
      </c>
      <c r="GD106" s="558">
        <f t="shared" si="185"/>
        <v>20498.599999999999</v>
      </c>
      <c r="GE106" s="558">
        <f t="shared" si="185"/>
        <v>20219.09</v>
      </c>
      <c r="GF106" s="558">
        <f t="shared" si="182"/>
        <v>19931.3</v>
      </c>
      <c r="GG106" s="558">
        <f t="shared" si="182"/>
        <v>19636.88</v>
      </c>
      <c r="GH106" s="558">
        <f t="shared" si="182"/>
        <v>19334.18</v>
      </c>
      <c r="GI106" s="558">
        <f t="shared" si="182"/>
        <v>19022.64</v>
      </c>
      <c r="GJ106" s="558">
        <f t="shared" si="182"/>
        <v>18701.7</v>
      </c>
      <c r="GK106" s="558">
        <f t="shared" si="182"/>
        <v>18368.62</v>
      </c>
      <c r="GL106" s="558">
        <f t="shared" si="182"/>
        <v>18023.38</v>
      </c>
      <c r="GM106" s="558">
        <f t="shared" si="182"/>
        <v>17665.439999999999</v>
      </c>
      <c r="GN106" s="558">
        <f t="shared" si="182"/>
        <v>17293.13</v>
      </c>
      <c r="GO106" s="558">
        <f t="shared" si="182"/>
        <v>16909.23</v>
      </c>
      <c r="GP106" s="558">
        <f t="shared" si="182"/>
        <v>16512.07</v>
      </c>
      <c r="GQ106" s="558">
        <f t="shared" si="182"/>
        <v>16102.75</v>
      </c>
      <c r="GR106" s="558">
        <f t="shared" si="182"/>
        <v>15682.39</v>
      </c>
      <c r="GS106" s="558">
        <f t="shared" si="182"/>
        <v>15251.53</v>
      </c>
      <c r="GT106" s="558">
        <f t="shared" si="182"/>
        <v>14811.84</v>
      </c>
      <c r="GU106" s="558">
        <f t="shared" si="186"/>
        <v>14361.65</v>
      </c>
      <c r="GV106" s="558">
        <f t="shared" si="186"/>
        <v>13905.38</v>
      </c>
      <c r="GW106" s="558">
        <f t="shared" si="186"/>
        <v>13440.83</v>
      </c>
      <c r="GX106" s="558">
        <f t="shared" si="186"/>
        <v>12971.31</v>
      </c>
      <c r="GY106" s="558">
        <f t="shared" si="186"/>
        <v>12496.81</v>
      </c>
      <c r="GZ106" s="558">
        <f t="shared" si="186"/>
        <v>12016.79</v>
      </c>
      <c r="HA106" s="558">
        <f t="shared" si="186"/>
        <v>11532.91</v>
      </c>
      <c r="HB106" s="558">
        <f t="shared" si="186"/>
        <v>11041.84</v>
      </c>
      <c r="HC106" s="558">
        <f t="shared" si="186"/>
        <v>10540.28</v>
      </c>
      <c r="HD106" s="558">
        <f t="shared" si="186"/>
        <v>10031.540000000001</v>
      </c>
      <c r="HE106" s="558">
        <f t="shared" si="186"/>
        <v>9517.82</v>
      </c>
      <c r="HF106" s="558">
        <f t="shared" si="186"/>
        <v>8997.48</v>
      </c>
      <c r="HG106" s="558">
        <f t="shared" si="186"/>
        <v>8473.27</v>
      </c>
      <c r="HH106" s="558">
        <f t="shared" si="186"/>
        <v>7943.54</v>
      </c>
      <c r="HI106" s="558">
        <f t="shared" si="186"/>
        <v>7418.78</v>
      </c>
      <c r="HJ106" s="558">
        <f t="shared" si="186"/>
        <v>6889.6</v>
      </c>
      <c r="HK106" s="558">
        <f t="shared" si="183"/>
        <v>6363.73</v>
      </c>
      <c r="HL106" s="558">
        <f t="shared" si="183"/>
        <v>5841.73</v>
      </c>
      <c r="HM106" s="558">
        <f t="shared" si="183"/>
        <v>5321.94</v>
      </c>
      <c r="HN106" s="558">
        <f t="shared" si="183"/>
        <v>4893.8500000000004</v>
      </c>
      <c r="HO106" s="558">
        <f t="shared" si="183"/>
        <v>4479.01</v>
      </c>
      <c r="HP106" s="558">
        <f t="shared" si="183"/>
        <v>4081.85</v>
      </c>
      <c r="HQ106" s="558">
        <f t="shared" si="183"/>
        <v>3705.68</v>
      </c>
      <c r="HR106" s="558">
        <f t="shared" si="183"/>
        <v>3251.62</v>
      </c>
      <c r="HS106" s="558">
        <f t="shared" si="183"/>
        <v>2815.24</v>
      </c>
      <c r="HT106" s="558">
        <f t="shared" si="183"/>
        <v>2399.3000000000002</v>
      </c>
      <c r="HU106" s="558">
        <f t="shared" si="183"/>
        <v>2017.05</v>
      </c>
      <c r="HV106" s="558">
        <f t="shared" si="183"/>
        <v>1665.18</v>
      </c>
      <c r="HW106" s="558">
        <f t="shared" si="183"/>
        <v>1345.36</v>
      </c>
      <c r="HX106" s="558">
        <f t="shared" si="183"/>
        <v>1065.3</v>
      </c>
      <c r="HY106" s="558">
        <f t="shared" si="183"/>
        <v>818.94</v>
      </c>
      <c r="HZ106" s="558">
        <f t="shared" si="181"/>
        <v>618.41999999999996</v>
      </c>
      <c r="IA106" s="558">
        <f t="shared" si="181"/>
        <v>457.13</v>
      </c>
      <c r="IB106" s="558">
        <f t="shared" si="181"/>
        <v>336.71</v>
      </c>
      <c r="IC106" s="558">
        <f t="shared" si="181"/>
        <v>256.61</v>
      </c>
      <c r="ID106" s="558">
        <f t="shared" si="181"/>
        <v>203.59</v>
      </c>
      <c r="IE106" s="558">
        <f t="shared" si="181"/>
        <v>166.58</v>
      </c>
      <c r="IF106" s="558">
        <f t="shared" si="181"/>
        <v>165.47</v>
      </c>
      <c r="IG106" s="558">
        <f t="shared" si="181"/>
        <v>163.26</v>
      </c>
      <c r="IH106" s="558">
        <f t="shared" si="181"/>
        <v>161.05000000000001</v>
      </c>
      <c r="II106" s="558">
        <f t="shared" si="181"/>
        <v>157.74</v>
      </c>
      <c r="IJ106" s="558">
        <f t="shared" si="181"/>
        <v>153.32</v>
      </c>
      <c r="IK106" s="558">
        <f t="shared" si="181"/>
        <v>147.24</v>
      </c>
      <c r="IL106" s="558">
        <f t="shared" si="181"/>
        <v>138.96</v>
      </c>
      <c r="IM106" s="558">
        <f t="shared" si="181"/>
        <v>127.36</v>
      </c>
      <c r="IN106" s="558">
        <f t="shared" si="181"/>
        <v>111.89</v>
      </c>
      <c r="IO106" s="558">
        <f t="shared" si="181"/>
        <v>89.24</v>
      </c>
      <c r="IP106" s="558">
        <f t="shared" si="181"/>
        <v>87.59</v>
      </c>
      <c r="IQ106" s="558">
        <f t="shared" si="181"/>
        <v>85.93</v>
      </c>
      <c r="IR106" s="558">
        <f t="shared" si="181"/>
        <v>82.61</v>
      </c>
      <c r="IS106" s="558">
        <f t="shared" si="181"/>
        <v>79.3</v>
      </c>
      <c r="IT106" s="558">
        <f t="shared" si="181"/>
        <v>73.78</v>
      </c>
      <c r="IU106" s="558">
        <f t="shared" si="181"/>
        <v>64.94</v>
      </c>
      <c r="IV106" s="558">
        <f t="shared" si="181"/>
        <v>52.23</v>
      </c>
      <c r="IW106" s="558">
        <f t="shared" si="181"/>
        <v>31.8</v>
      </c>
      <c r="IX106" s="558">
        <f t="shared" si="181"/>
        <v>-0.24</v>
      </c>
      <c r="IY106" s="558" t="str">
        <f t="shared" si="179"/>
        <v>.</v>
      </c>
      <c r="IZ106" s="558" t="str">
        <f t="shared" si="179"/>
        <v>.</v>
      </c>
      <c r="JA106" s="558" t="str">
        <f t="shared" si="179"/>
        <v>.</v>
      </c>
      <c r="JB106" s="558" t="str">
        <f t="shared" si="179"/>
        <v>.</v>
      </c>
      <c r="JC106" s="558" t="str">
        <f t="shared" si="179"/>
        <v>.</v>
      </c>
      <c r="JD106" s="558" t="str">
        <f t="shared" si="179"/>
        <v>.</v>
      </c>
      <c r="JE106" s="558" t="str">
        <f t="shared" si="179"/>
        <v>.</v>
      </c>
      <c r="JF106" s="558" t="str">
        <f t="shared" si="179"/>
        <v>.</v>
      </c>
      <c r="JG106" s="558" t="str">
        <f t="shared" si="179"/>
        <v>.</v>
      </c>
      <c r="JH106" s="558" t="str">
        <f t="shared" si="179"/>
        <v>.</v>
      </c>
      <c r="JI106" s="558" t="str">
        <f t="shared" si="179"/>
        <v>.</v>
      </c>
      <c r="JJ106" s="558" t="str">
        <f t="shared" si="179"/>
        <v>.</v>
      </c>
      <c r="JK106" s="558" t="str">
        <f t="shared" si="179"/>
        <v>.</v>
      </c>
      <c r="JL106" s="558" t="str">
        <f t="shared" si="187"/>
        <v>.</v>
      </c>
    </row>
    <row r="107" spans="1:272" ht="10.199999999999999" x14ac:dyDescent="0.2">
      <c r="A107" s="534">
        <f xml:space="preserve"> Basis!A107</f>
        <v>107</v>
      </c>
      <c r="F107" s="536">
        <f xml:space="preserve"> ROUND(    IF( $A$15=BE_MF_,   AW107,   INDEX( qx!107:107, F$16 ) ),    F$17    )</f>
        <v>0.30509999999999998</v>
      </c>
      <c r="G107" s="536">
        <f xml:space="preserve"> ROUND(    IF( $A$15=BE_MF_,   BB107,   INDEX( wx!107:107, G$16 ) ),    G$17    )</f>
        <v>1.4E-3</v>
      </c>
      <c r="H107" s="537">
        <f xml:space="preserve"> ROUND(    IF( $A$15=BE_MF_,   BG107,   INDEX( Kx!107:107, H$16 ) ),    H$17    )</f>
        <v>11489.93</v>
      </c>
      <c r="I107" s="538">
        <f t="shared" si="171"/>
        <v>11489.93</v>
      </c>
      <c r="J107" s="539">
        <f t="shared" si="137"/>
        <v>5.53</v>
      </c>
      <c r="K107" s="540">
        <f t="shared" si="172"/>
        <v>0</v>
      </c>
      <c r="L107" s="541">
        <f t="shared" si="189"/>
        <v>0</v>
      </c>
      <c r="M107" s="541">
        <f t="shared" si="189"/>
        <v>8.5999999999999993E-2</v>
      </c>
      <c r="O107" s="542" t="b">
        <f t="shared" si="173"/>
        <v>1</v>
      </c>
      <c r="P107" s="493">
        <f t="shared" si="138"/>
        <v>0.30649999999999999</v>
      </c>
      <c r="Q107" s="493">
        <f t="shared" si="139"/>
        <v>0.69350000000000001</v>
      </c>
      <c r="R107" s="543">
        <f t="shared" si="140"/>
        <v>2483</v>
      </c>
      <c r="S107" s="544">
        <f t="shared" si="141"/>
        <v>0.97560975599999999</v>
      </c>
      <c r="T107" s="423">
        <f t="shared" si="142"/>
        <v>176.82</v>
      </c>
      <c r="U107" s="423">
        <f xml:space="preserve"> IF( $O107,    ROUND(  SUM( T107:T$120), U$17 ),  LEER  )</f>
        <v>429.86</v>
      </c>
      <c r="V107" s="493">
        <f t="shared" si="143"/>
        <v>2.4310999999999998</v>
      </c>
      <c r="W107" s="493">
        <f t="shared" si="144"/>
        <v>977.81</v>
      </c>
      <c r="X107" s="493">
        <f xml:space="preserve"> IF( $O107,    ROUND(  SUM( W107:W$120), X$17 ),  LEER  )</f>
        <v>2384.34</v>
      </c>
      <c r="Y107" s="493">
        <f t="shared" si="145"/>
        <v>13.4846</v>
      </c>
      <c r="Z107" s="493">
        <f t="shared" si="146"/>
        <v>5.5467000000000004</v>
      </c>
      <c r="AA107" s="493">
        <f t="shared" si="147"/>
        <v>1</v>
      </c>
      <c r="AB107" s="493">
        <f t="shared" si="148"/>
        <v>2.3494000000000002</v>
      </c>
      <c r="AC107" s="545">
        <f t="shared" si="149"/>
        <v>0.32679999999999998</v>
      </c>
      <c r="AD107" s="493">
        <f t="shared" si="150"/>
        <v>5.5467000000000004</v>
      </c>
      <c r="AE107" s="493">
        <f t="shared" si="151"/>
        <v>6.4260999999999999</v>
      </c>
      <c r="AF107" s="493">
        <f t="shared" si="152"/>
        <v>6.4260999999999999</v>
      </c>
      <c r="AG107" s="493" t="str">
        <f t="shared" si="153"/>
        <v>.</v>
      </c>
      <c r="AH107" s="493" t="str">
        <f t="shared" si="154"/>
        <v>.</v>
      </c>
      <c r="AI107" s="423">
        <f t="shared" si="155"/>
        <v>2077.79</v>
      </c>
      <c r="AJ107" s="423">
        <f t="shared" si="156"/>
        <v>13352.09</v>
      </c>
      <c r="AK107" s="423">
        <f t="shared" si="157"/>
        <v>1112.67</v>
      </c>
      <c r="AN107" s="423">
        <f t="shared" si="184"/>
        <v>18652.52</v>
      </c>
      <c r="AO107" s="423">
        <f t="shared" si="184"/>
        <v>18540.38</v>
      </c>
      <c r="AR107" s="546">
        <f xml:space="preserve"> ROUND(  INDEX( Kx!107:107, AR$16 ),  AR$17 )</f>
        <v>0.24679999999999999</v>
      </c>
      <c r="AS107" s="547">
        <f xml:space="preserve"> ROUND(  INDEX( qx!107:107, AS$16 ),  AS$17 )</f>
        <v>0.31840000000000002</v>
      </c>
      <c r="AT107" s="547">
        <f xml:space="preserve"> ROUND(  INDEX( qx!107:107, AT$16 ),  AT$17 )</f>
        <v>0.30220000000000002</v>
      </c>
      <c r="AU107" s="548" t="str">
        <f t="shared" si="158"/>
        <v>F</v>
      </c>
      <c r="AV107" s="542">
        <f t="shared" si="159"/>
        <v>0.17929999999999999</v>
      </c>
      <c r="AW107" s="542">
        <f t="shared" si="160"/>
        <v>0.30509999999999998</v>
      </c>
      <c r="AX107" s="546">
        <f xml:space="preserve"> ROUND(  INDEX( wx!107:107, AX$16 ),  AX$17 )</f>
        <v>0</v>
      </c>
      <c r="AY107" s="546">
        <f xml:space="preserve"> ROUND(  INDEX( wx!107:107, AY$16 ),  AY$17 )</f>
        <v>2.0999999999999999E-3</v>
      </c>
      <c r="AZ107" s="548" t="str">
        <f t="shared" si="161"/>
        <v>M</v>
      </c>
      <c r="BA107" s="542">
        <f t="shared" si="162"/>
        <v>0.32950000000000002</v>
      </c>
      <c r="BB107" s="542">
        <f t="shared" si="163"/>
        <v>1.4E-3</v>
      </c>
      <c r="BC107" s="533">
        <f xml:space="preserve"> ROUND(  INDEX( Kx!107:107, BC$16 ),  BC$17 )</f>
        <v>13814.45</v>
      </c>
      <c r="BD107" s="533">
        <f xml:space="preserve"> ROUND(  INDEX( Kx!107:107, BD$16 ),  BD$17 )</f>
        <v>10347.61</v>
      </c>
      <c r="BE107" s="548" t="str">
        <f t="shared" si="174"/>
        <v>M</v>
      </c>
      <c r="BF107" s="542">
        <f t="shared" si="164"/>
        <v>0.32950000000000002</v>
      </c>
      <c r="BG107" s="420">
        <f t="shared" si="165"/>
        <v>11489.93</v>
      </c>
      <c r="BQ107" s="549"/>
      <c r="BR107" s="423"/>
      <c r="BS107" s="550"/>
      <c r="BT107" s="423"/>
      <c r="BU107" s="551"/>
      <c r="BV107" s="551"/>
      <c r="BW107" s="529"/>
      <c r="BX107" s="552"/>
      <c r="BY107" s="560"/>
      <c r="BZ107" s="559"/>
      <c r="CB107" s="423"/>
      <c r="CC107" s="423"/>
      <c r="CD107" s="423"/>
      <c r="CE107" s="423"/>
      <c r="CF107" s="553"/>
      <c r="CH107" s="423"/>
      <c r="CI107" s="423"/>
      <c r="CJ107" s="423"/>
      <c r="CK107" s="423"/>
      <c r="CL107" s="553"/>
      <c r="CN107" s="423"/>
      <c r="CO107" s="423"/>
      <c r="CP107" s="423"/>
      <c r="CQ107" s="423"/>
      <c r="CR107" s="553"/>
      <c r="EI107" s="553"/>
      <c r="EJ107" s="553"/>
      <c r="EK107" s="423"/>
      <c r="EL107" s="555"/>
      <c r="ES107" s="533"/>
      <c r="ET107" s="533"/>
      <c r="EU107" s="533"/>
      <c r="EV107" s="556"/>
      <c r="EY107" s="533"/>
      <c r="EZ107" s="533"/>
      <c r="FA107" s="556"/>
      <c r="FD107" s="556"/>
      <c r="FE107" s="556"/>
      <c r="FF107" s="556"/>
      <c r="FK107" s="557">
        <f t="shared" si="166"/>
        <v>107</v>
      </c>
      <c r="FL107" s="493">
        <f t="shared" si="167"/>
        <v>13.4846</v>
      </c>
      <c r="FM107" s="493">
        <f t="shared" si="168"/>
        <v>2.4310999999999998</v>
      </c>
      <c r="FO107" s="427">
        <f t="shared" si="175"/>
        <v>775753.97</v>
      </c>
      <c r="FP107" s="558">
        <f t="shared" si="185"/>
        <v>21954.57</v>
      </c>
      <c r="FQ107" s="558">
        <f t="shared" si="185"/>
        <v>21749.99</v>
      </c>
      <c r="FR107" s="558">
        <f t="shared" si="185"/>
        <v>21544.91</v>
      </c>
      <c r="FS107" s="558">
        <f t="shared" si="185"/>
        <v>21339.82</v>
      </c>
      <c r="FT107" s="558">
        <f t="shared" si="185"/>
        <v>21127.67</v>
      </c>
      <c r="FU107" s="558">
        <f t="shared" si="185"/>
        <v>20909.45</v>
      </c>
      <c r="FV107" s="558">
        <f t="shared" si="185"/>
        <v>20693.25</v>
      </c>
      <c r="FW107" s="558">
        <f t="shared" si="185"/>
        <v>20475.54</v>
      </c>
      <c r="FX107" s="558">
        <f t="shared" si="185"/>
        <v>20250.25</v>
      </c>
      <c r="FY107" s="558">
        <f t="shared" si="185"/>
        <v>20015.87</v>
      </c>
      <c r="FZ107" s="558">
        <f t="shared" si="185"/>
        <v>19779.98</v>
      </c>
      <c r="GA107" s="558">
        <f t="shared" si="185"/>
        <v>19540.54</v>
      </c>
      <c r="GB107" s="558">
        <f t="shared" si="185"/>
        <v>19295.560000000001</v>
      </c>
      <c r="GC107" s="558">
        <f t="shared" si="185"/>
        <v>19049.560000000001</v>
      </c>
      <c r="GD107" s="558">
        <f t="shared" si="185"/>
        <v>18795.98</v>
      </c>
      <c r="GE107" s="558">
        <f t="shared" si="185"/>
        <v>18540.38</v>
      </c>
      <c r="GF107" s="558">
        <f t="shared" si="182"/>
        <v>18277.21</v>
      </c>
      <c r="GG107" s="558">
        <f t="shared" si="182"/>
        <v>18007.98</v>
      </c>
      <c r="GH107" s="558">
        <f t="shared" si="182"/>
        <v>17731.16</v>
      </c>
      <c r="GI107" s="558">
        <f t="shared" si="182"/>
        <v>17446.27</v>
      </c>
      <c r="GJ107" s="558">
        <f t="shared" si="182"/>
        <v>17152.79</v>
      </c>
      <c r="GK107" s="558">
        <f t="shared" si="182"/>
        <v>16848.189999999999</v>
      </c>
      <c r="GL107" s="558">
        <f t="shared" si="182"/>
        <v>16532.490000000002</v>
      </c>
      <c r="GM107" s="558">
        <f t="shared" si="182"/>
        <v>16205.16</v>
      </c>
      <c r="GN107" s="558">
        <f t="shared" si="182"/>
        <v>15864.7</v>
      </c>
      <c r="GO107" s="558">
        <f t="shared" si="182"/>
        <v>15513.64</v>
      </c>
      <c r="GP107" s="558">
        <f t="shared" si="182"/>
        <v>15150.45</v>
      </c>
      <c r="GQ107" s="558">
        <f t="shared" si="182"/>
        <v>14776.14</v>
      </c>
      <c r="GR107" s="558">
        <f t="shared" si="182"/>
        <v>14391.74</v>
      </c>
      <c r="GS107" s="558">
        <f t="shared" si="182"/>
        <v>13997.74</v>
      </c>
      <c r="GT107" s="558">
        <f t="shared" si="182"/>
        <v>13595.65</v>
      </c>
      <c r="GU107" s="558">
        <f t="shared" si="186"/>
        <v>13183.97</v>
      </c>
      <c r="GV107" s="558">
        <f t="shared" si="186"/>
        <v>12766.73</v>
      </c>
      <c r="GW107" s="558">
        <f t="shared" si="186"/>
        <v>12341.92</v>
      </c>
      <c r="GX107" s="558">
        <f t="shared" si="186"/>
        <v>11912.55</v>
      </c>
      <c r="GY107" s="558">
        <f t="shared" si="186"/>
        <v>11478.65</v>
      </c>
      <c r="GZ107" s="558">
        <f t="shared" si="186"/>
        <v>11039.69</v>
      </c>
      <c r="HA107" s="558">
        <f t="shared" si="186"/>
        <v>10597.19</v>
      </c>
      <c r="HB107" s="558">
        <f t="shared" si="186"/>
        <v>10148.129999999999</v>
      </c>
      <c r="HC107" s="558">
        <f t="shared" si="186"/>
        <v>9689.4699999999993</v>
      </c>
      <c r="HD107" s="558">
        <f t="shared" si="186"/>
        <v>9224.24</v>
      </c>
      <c r="HE107" s="558">
        <f t="shared" si="186"/>
        <v>8754.4699999999993</v>
      </c>
      <c r="HF107" s="558">
        <f t="shared" si="186"/>
        <v>8278.64</v>
      </c>
      <c r="HG107" s="558">
        <f t="shared" si="186"/>
        <v>7799.27</v>
      </c>
      <c r="HH107" s="558">
        <f t="shared" si="186"/>
        <v>7314.85</v>
      </c>
      <c r="HI107" s="558">
        <f t="shared" si="186"/>
        <v>6834.97</v>
      </c>
      <c r="HJ107" s="558">
        <f t="shared" si="186"/>
        <v>6351.06</v>
      </c>
      <c r="HK107" s="558">
        <f t="shared" si="183"/>
        <v>5870.17</v>
      </c>
      <c r="HL107" s="558">
        <f t="shared" si="183"/>
        <v>5392.82</v>
      </c>
      <c r="HM107" s="558">
        <f t="shared" si="183"/>
        <v>4917.49</v>
      </c>
      <c r="HN107" s="558">
        <f t="shared" si="183"/>
        <v>4526.0200000000004</v>
      </c>
      <c r="HO107" s="558">
        <f t="shared" si="183"/>
        <v>4146.66</v>
      </c>
      <c r="HP107" s="558">
        <f t="shared" si="183"/>
        <v>3783.47</v>
      </c>
      <c r="HQ107" s="558">
        <f t="shared" si="183"/>
        <v>3439.48</v>
      </c>
      <c r="HR107" s="558">
        <f t="shared" si="183"/>
        <v>3024.26</v>
      </c>
      <c r="HS107" s="558">
        <f t="shared" si="183"/>
        <v>2625.21</v>
      </c>
      <c r="HT107" s="558">
        <f t="shared" si="183"/>
        <v>2244.84</v>
      </c>
      <c r="HU107" s="558">
        <f t="shared" si="183"/>
        <v>1895.29</v>
      </c>
      <c r="HV107" s="558">
        <f t="shared" si="183"/>
        <v>1573.52</v>
      </c>
      <c r="HW107" s="558">
        <f t="shared" si="183"/>
        <v>1281.05</v>
      </c>
      <c r="HX107" s="558">
        <f t="shared" si="183"/>
        <v>1024.95</v>
      </c>
      <c r="HY107" s="558">
        <f t="shared" si="183"/>
        <v>799.66</v>
      </c>
      <c r="HZ107" s="558">
        <f t="shared" si="181"/>
        <v>616.29999999999995</v>
      </c>
      <c r="IA107" s="558">
        <f t="shared" si="181"/>
        <v>468.8</v>
      </c>
      <c r="IB107" s="558">
        <f t="shared" si="181"/>
        <v>358.68</v>
      </c>
      <c r="IC107" s="558">
        <f t="shared" si="181"/>
        <v>285.44</v>
      </c>
      <c r="ID107" s="558">
        <f t="shared" si="181"/>
        <v>236.94</v>
      </c>
      <c r="IE107" s="558">
        <f t="shared" si="181"/>
        <v>203.1</v>
      </c>
      <c r="IF107" s="558">
        <f t="shared" si="181"/>
        <v>202.09</v>
      </c>
      <c r="IG107" s="558">
        <f t="shared" si="181"/>
        <v>200.07</v>
      </c>
      <c r="IH107" s="558">
        <f t="shared" si="181"/>
        <v>198.05</v>
      </c>
      <c r="II107" s="558">
        <f t="shared" si="181"/>
        <v>195.02</v>
      </c>
      <c r="IJ107" s="558">
        <f t="shared" si="181"/>
        <v>190.98</v>
      </c>
      <c r="IK107" s="558">
        <f t="shared" si="181"/>
        <v>185.42</v>
      </c>
      <c r="IL107" s="558">
        <f t="shared" si="181"/>
        <v>177.84</v>
      </c>
      <c r="IM107" s="558">
        <f t="shared" si="181"/>
        <v>167.24</v>
      </c>
      <c r="IN107" s="558">
        <f t="shared" si="181"/>
        <v>153.09</v>
      </c>
      <c r="IO107" s="558">
        <f t="shared" si="181"/>
        <v>132.38</v>
      </c>
      <c r="IP107" s="558">
        <f t="shared" si="181"/>
        <v>130.87</v>
      </c>
      <c r="IQ107" s="558">
        <f t="shared" si="181"/>
        <v>129.35</v>
      </c>
      <c r="IR107" s="558">
        <f t="shared" si="181"/>
        <v>126.32</v>
      </c>
      <c r="IS107" s="558">
        <f t="shared" si="181"/>
        <v>123.29</v>
      </c>
      <c r="IT107" s="558">
        <f t="shared" si="181"/>
        <v>118.24</v>
      </c>
      <c r="IU107" s="558">
        <f t="shared" si="181"/>
        <v>110.16</v>
      </c>
      <c r="IV107" s="558">
        <f t="shared" si="181"/>
        <v>98.54</v>
      </c>
      <c r="IW107" s="558">
        <f t="shared" si="181"/>
        <v>79.849999999999994</v>
      </c>
      <c r="IX107" s="558">
        <f t="shared" si="181"/>
        <v>50.55</v>
      </c>
      <c r="IY107" s="558">
        <f t="shared" si="179"/>
        <v>0.04</v>
      </c>
      <c r="IZ107" s="558" t="str">
        <f t="shared" si="179"/>
        <v>.</v>
      </c>
      <c r="JA107" s="558" t="str">
        <f t="shared" si="179"/>
        <v>.</v>
      </c>
      <c r="JB107" s="558" t="str">
        <f t="shared" si="179"/>
        <v>.</v>
      </c>
      <c r="JC107" s="558" t="str">
        <f t="shared" si="179"/>
        <v>.</v>
      </c>
      <c r="JD107" s="558" t="str">
        <f t="shared" si="179"/>
        <v>.</v>
      </c>
      <c r="JE107" s="558" t="str">
        <f t="shared" si="179"/>
        <v>.</v>
      </c>
      <c r="JF107" s="558" t="str">
        <f t="shared" si="179"/>
        <v>.</v>
      </c>
      <c r="JG107" s="558" t="str">
        <f t="shared" si="179"/>
        <v>.</v>
      </c>
      <c r="JH107" s="558" t="str">
        <f t="shared" ref="JH107:JK109" si="190" xml:space="preserve"> IF(  OR( JH$18&gt;$FK107, $FK107&gt;$FP$12 ),  LEER,  ROUND( $FO$19 * ( $FL107 - JH$15 * $FM107 ), JH$17 )  )</f>
        <v>.</v>
      </c>
      <c r="JI107" s="558" t="str">
        <f t="shared" si="190"/>
        <v>.</v>
      </c>
      <c r="JJ107" s="558" t="str">
        <f t="shared" si="190"/>
        <v>.</v>
      </c>
      <c r="JK107" s="558" t="str">
        <f t="shared" si="190"/>
        <v>.</v>
      </c>
      <c r="JL107" s="558" t="str">
        <f t="shared" si="187"/>
        <v>.</v>
      </c>
    </row>
    <row r="108" spans="1:272" ht="10.199999999999999" x14ac:dyDescent="0.2">
      <c r="A108" s="534">
        <f xml:space="preserve"> Basis!A108</f>
        <v>108</v>
      </c>
      <c r="F108" s="536">
        <f xml:space="preserve"> ROUND(    IF( $A$15=BE_MF_,   AW108,   INDEX( qx!108:108, F$16 ) ),    F$17    )</f>
        <v>0.31090000000000001</v>
      </c>
      <c r="G108" s="536">
        <f xml:space="preserve"> ROUND(    IF( $A$15=BE_MF_,   BB108,   INDEX( wx!108:108, G$16 ) ),    G$17    )</f>
        <v>1.4E-3</v>
      </c>
      <c r="H108" s="537">
        <f xml:space="preserve"> ROUND(    IF( $A$15=BE_MF_,   BG108,   INDEX( Kx!108:108, H$16 ) ),    H$17    )</f>
        <v>11524.39</v>
      </c>
      <c r="I108" s="538">
        <f t="shared" si="171"/>
        <v>11524.39</v>
      </c>
      <c r="J108" s="539">
        <f t="shared" si="137"/>
        <v>5.5460000000000003</v>
      </c>
      <c r="K108" s="540">
        <f t="shared" si="172"/>
        <v>0</v>
      </c>
      <c r="L108" s="541">
        <f t="shared" si="189"/>
        <v>0</v>
      </c>
      <c r="M108" s="541">
        <f t="shared" si="189"/>
        <v>8.5999999999999993E-2</v>
      </c>
      <c r="O108" s="542" t="b">
        <f t="shared" si="173"/>
        <v>1</v>
      </c>
      <c r="P108" s="493">
        <f t="shared" si="138"/>
        <v>0.31230000000000002</v>
      </c>
      <c r="Q108" s="493">
        <f t="shared" si="139"/>
        <v>0.68769999999999998</v>
      </c>
      <c r="R108" s="543">
        <f t="shared" si="140"/>
        <v>1721</v>
      </c>
      <c r="S108" s="544">
        <f t="shared" si="141"/>
        <v>0.97560975599999999</v>
      </c>
      <c r="T108" s="423">
        <f t="shared" si="142"/>
        <v>119.56</v>
      </c>
      <c r="U108" s="423">
        <f xml:space="preserve"> IF( $O108,    ROUND(  SUM( T108:T$120), U$17 ),  LEER  )</f>
        <v>253.04</v>
      </c>
      <c r="V108" s="493">
        <f t="shared" si="143"/>
        <v>2.1164000000000001</v>
      </c>
      <c r="W108" s="493">
        <f t="shared" si="144"/>
        <v>663.08</v>
      </c>
      <c r="X108" s="493">
        <f xml:space="preserve"> IF( $O108,    ROUND(  SUM( W108:W$120), X$17 ),  LEER  )</f>
        <v>1406.53</v>
      </c>
      <c r="Y108" s="493">
        <f t="shared" si="145"/>
        <v>11.764200000000001</v>
      </c>
      <c r="Z108" s="493">
        <f t="shared" si="146"/>
        <v>5.5586000000000002</v>
      </c>
      <c r="AA108" s="493">
        <f t="shared" si="147"/>
        <v>1</v>
      </c>
      <c r="AB108" s="493">
        <f t="shared" si="148"/>
        <v>2.3494000000000002</v>
      </c>
      <c r="AC108" s="545">
        <f t="shared" si="149"/>
        <v>0.32679999999999998</v>
      </c>
      <c r="AD108" s="493">
        <f t="shared" si="150"/>
        <v>5.5586000000000002</v>
      </c>
      <c r="AE108" s="493">
        <f t="shared" si="151"/>
        <v>6.4391999999999996</v>
      </c>
      <c r="AF108" s="493">
        <f t="shared" si="152"/>
        <v>6.4391999999999996</v>
      </c>
      <c r="AG108" s="493" t="str">
        <f t="shared" si="153"/>
        <v>.</v>
      </c>
      <c r="AH108" s="493" t="str">
        <f t="shared" si="154"/>
        <v>.</v>
      </c>
      <c r="AI108" s="423">
        <f t="shared" si="155"/>
        <v>2077.79</v>
      </c>
      <c r="AJ108" s="423">
        <f t="shared" si="156"/>
        <v>13379.31</v>
      </c>
      <c r="AK108" s="423">
        <f t="shared" si="157"/>
        <v>1114.94</v>
      </c>
      <c r="AN108" s="423">
        <f t="shared" si="184"/>
        <v>16290.25</v>
      </c>
      <c r="AO108" s="423">
        <f t="shared" si="184"/>
        <v>16192.63</v>
      </c>
      <c r="AR108" s="546">
        <f xml:space="preserve"> ROUND(  INDEX( Kx!108:108, AR$16 ),  AR$17 )</f>
        <v>0.24679999999999999</v>
      </c>
      <c r="AS108" s="547">
        <f xml:space="preserve"> ROUND(  INDEX( qx!108:108, AS$16 ),  AS$17 )</f>
        <v>0.32490000000000002</v>
      </c>
      <c r="AT108" s="547">
        <f xml:space="preserve"> ROUND(  INDEX( qx!108:108, AT$16 ),  AT$17 )</f>
        <v>0.30790000000000001</v>
      </c>
      <c r="AU108" s="548" t="str">
        <f t="shared" si="158"/>
        <v>F</v>
      </c>
      <c r="AV108" s="542">
        <f t="shared" si="159"/>
        <v>0.17929999999999999</v>
      </c>
      <c r="AW108" s="542">
        <f t="shared" si="160"/>
        <v>0.31090000000000001</v>
      </c>
      <c r="AX108" s="546">
        <f xml:space="preserve"> ROUND(  INDEX( wx!108:108, AX$16 ),  AX$17 )</f>
        <v>0</v>
      </c>
      <c r="AY108" s="546">
        <f xml:space="preserve"> ROUND(  INDEX( wx!108:108, AY$16 ),  AY$17 )</f>
        <v>2.0999999999999999E-3</v>
      </c>
      <c r="AZ108" s="548" t="str">
        <f t="shared" si="161"/>
        <v>M</v>
      </c>
      <c r="BA108" s="542">
        <f t="shared" si="162"/>
        <v>0.32950000000000002</v>
      </c>
      <c r="BB108" s="542">
        <f t="shared" si="163"/>
        <v>1.4E-3</v>
      </c>
      <c r="BC108" s="533">
        <f xml:space="preserve"> ROUND(  INDEX( Kx!108:108, BC$16 ),  BC$17 )</f>
        <v>13893.14</v>
      </c>
      <c r="BD108" s="533">
        <f xml:space="preserve"> ROUND(  INDEX( Kx!108:108, BD$16 ),  BD$17 )</f>
        <v>10360.33</v>
      </c>
      <c r="BE108" s="548" t="str">
        <f t="shared" si="174"/>
        <v>M</v>
      </c>
      <c r="BF108" s="542">
        <f t="shared" si="164"/>
        <v>0.32950000000000002</v>
      </c>
      <c r="BG108" s="420">
        <f t="shared" si="165"/>
        <v>11524.39</v>
      </c>
      <c r="BQ108" s="549"/>
      <c r="BR108" s="423"/>
      <c r="BS108" s="550"/>
      <c r="BT108" s="423"/>
      <c r="BU108" s="551"/>
      <c r="BV108" s="551"/>
      <c r="BW108" s="529"/>
      <c r="BX108" s="552"/>
      <c r="BY108" s="560"/>
      <c r="BZ108" s="559"/>
      <c r="CB108" s="423"/>
      <c r="CC108" s="423"/>
      <c r="CD108" s="423"/>
      <c r="CE108" s="423"/>
      <c r="CF108" s="553"/>
      <c r="CH108" s="423"/>
      <c r="CI108" s="423"/>
      <c r="CJ108" s="423"/>
      <c r="CK108" s="423"/>
      <c r="CL108" s="553"/>
      <c r="CN108" s="423"/>
      <c r="CO108" s="423"/>
      <c r="CP108" s="423"/>
      <c r="CQ108" s="423"/>
      <c r="CR108" s="553"/>
      <c r="EI108" s="553"/>
      <c r="EJ108" s="553"/>
      <c r="EK108" s="423"/>
      <c r="EL108" s="555"/>
      <c r="ES108" s="533"/>
      <c r="ET108" s="533"/>
      <c r="EU108" s="533"/>
      <c r="EV108" s="556"/>
      <c r="EY108" s="533"/>
      <c r="EZ108" s="533"/>
      <c r="FA108" s="556"/>
      <c r="FD108" s="556"/>
      <c r="FE108" s="556"/>
      <c r="FF108" s="556"/>
      <c r="FK108" s="557">
        <f t="shared" si="166"/>
        <v>108</v>
      </c>
      <c r="FL108" s="493">
        <f t="shared" si="167"/>
        <v>11.764200000000001</v>
      </c>
      <c r="FM108" s="493">
        <f t="shared" si="168"/>
        <v>2.1164000000000001</v>
      </c>
      <c r="FO108" s="427">
        <f t="shared" si="175"/>
        <v>679932.79000000027</v>
      </c>
      <c r="FP108" s="558">
        <f t="shared" si="185"/>
        <v>19164.86</v>
      </c>
      <c r="FQ108" s="558">
        <f t="shared" si="185"/>
        <v>18986.759999999998</v>
      </c>
      <c r="FR108" s="558">
        <f t="shared" si="185"/>
        <v>18808.22</v>
      </c>
      <c r="FS108" s="558">
        <f t="shared" si="185"/>
        <v>18629.689999999999</v>
      </c>
      <c r="FT108" s="558">
        <f t="shared" si="185"/>
        <v>18445</v>
      </c>
      <c r="FU108" s="558">
        <f t="shared" si="185"/>
        <v>18255.03</v>
      </c>
      <c r="FV108" s="558">
        <f t="shared" si="185"/>
        <v>18066.82</v>
      </c>
      <c r="FW108" s="558">
        <f t="shared" si="185"/>
        <v>17877.29</v>
      </c>
      <c r="FX108" s="558">
        <f t="shared" si="185"/>
        <v>17681.16</v>
      </c>
      <c r="FY108" s="558">
        <f t="shared" si="185"/>
        <v>17477.12</v>
      </c>
      <c r="FZ108" s="558">
        <f t="shared" si="185"/>
        <v>17271.759999999998</v>
      </c>
      <c r="GA108" s="558">
        <f t="shared" si="185"/>
        <v>17063.32</v>
      </c>
      <c r="GB108" s="558">
        <f t="shared" si="185"/>
        <v>16850.05</v>
      </c>
      <c r="GC108" s="558">
        <f t="shared" si="185"/>
        <v>16635.89</v>
      </c>
      <c r="GD108" s="558">
        <f t="shared" si="185"/>
        <v>16415.14</v>
      </c>
      <c r="GE108" s="558">
        <f t="shared" si="185"/>
        <v>16192.63</v>
      </c>
      <c r="GF108" s="558">
        <f t="shared" si="182"/>
        <v>15963.52</v>
      </c>
      <c r="GG108" s="558">
        <f t="shared" si="182"/>
        <v>15729.14</v>
      </c>
      <c r="GH108" s="558">
        <f t="shared" si="182"/>
        <v>15488.16</v>
      </c>
      <c r="GI108" s="558">
        <f t="shared" si="182"/>
        <v>15240.15</v>
      </c>
      <c r="GJ108" s="558">
        <f t="shared" si="182"/>
        <v>14984.65</v>
      </c>
      <c r="GK108" s="558">
        <f t="shared" si="182"/>
        <v>14719.49</v>
      </c>
      <c r="GL108" s="558">
        <f t="shared" si="182"/>
        <v>14444.65</v>
      </c>
      <c r="GM108" s="558">
        <f t="shared" si="182"/>
        <v>14159.7</v>
      </c>
      <c r="GN108" s="558">
        <f t="shared" si="182"/>
        <v>13863.31</v>
      </c>
      <c r="GO108" s="558">
        <f t="shared" si="182"/>
        <v>13557.69</v>
      </c>
      <c r="GP108" s="558">
        <f t="shared" si="182"/>
        <v>13241.51</v>
      </c>
      <c r="GQ108" s="558">
        <f t="shared" si="182"/>
        <v>12915.66</v>
      </c>
      <c r="GR108" s="558">
        <f t="shared" si="182"/>
        <v>12581.02</v>
      </c>
      <c r="GS108" s="558">
        <f t="shared" si="182"/>
        <v>12238.02</v>
      </c>
      <c r="GT108" s="558">
        <f t="shared" si="182"/>
        <v>11887.98</v>
      </c>
      <c r="GU108" s="558">
        <f t="shared" si="186"/>
        <v>11529.59</v>
      </c>
      <c r="GV108" s="558">
        <f t="shared" si="186"/>
        <v>11166.36</v>
      </c>
      <c r="GW108" s="558">
        <f t="shared" si="186"/>
        <v>10796.54</v>
      </c>
      <c r="GX108" s="558">
        <f t="shared" si="186"/>
        <v>10422.76</v>
      </c>
      <c r="GY108" s="558">
        <f t="shared" si="186"/>
        <v>10045.02</v>
      </c>
      <c r="GZ108" s="558">
        <f t="shared" si="186"/>
        <v>9662.8799999999992</v>
      </c>
      <c r="HA108" s="558">
        <f t="shared" si="186"/>
        <v>9277.66</v>
      </c>
      <c r="HB108" s="558">
        <f t="shared" si="186"/>
        <v>8886.73</v>
      </c>
      <c r="HC108" s="558">
        <f t="shared" si="186"/>
        <v>8487.4500000000007</v>
      </c>
      <c r="HD108" s="558">
        <f t="shared" si="186"/>
        <v>8082.44</v>
      </c>
      <c r="HE108" s="558">
        <f t="shared" si="186"/>
        <v>7673.48</v>
      </c>
      <c r="HF108" s="558">
        <f t="shared" si="186"/>
        <v>7259.24</v>
      </c>
      <c r="HG108" s="558">
        <f t="shared" si="186"/>
        <v>6841.93</v>
      </c>
      <c r="HH108" s="558">
        <f t="shared" si="186"/>
        <v>6420.21</v>
      </c>
      <c r="HI108" s="558">
        <f t="shared" si="186"/>
        <v>6002.45</v>
      </c>
      <c r="HJ108" s="558">
        <f t="shared" si="186"/>
        <v>5581.18</v>
      </c>
      <c r="HK108" s="558">
        <f t="shared" si="183"/>
        <v>5162.54</v>
      </c>
      <c r="HL108" s="558">
        <f t="shared" si="183"/>
        <v>4746.99</v>
      </c>
      <c r="HM108" s="558">
        <f t="shared" si="183"/>
        <v>4333.1899999999996</v>
      </c>
      <c r="HN108" s="558">
        <f t="shared" si="183"/>
        <v>3992.39</v>
      </c>
      <c r="HO108" s="558">
        <f t="shared" si="183"/>
        <v>3662.14</v>
      </c>
      <c r="HP108" s="558">
        <f t="shared" si="183"/>
        <v>3345.96</v>
      </c>
      <c r="HQ108" s="558">
        <f t="shared" si="183"/>
        <v>3046.5</v>
      </c>
      <c r="HR108" s="558">
        <f t="shared" si="183"/>
        <v>2685.03</v>
      </c>
      <c r="HS108" s="558">
        <f t="shared" si="183"/>
        <v>2337.63</v>
      </c>
      <c r="HT108" s="558">
        <f t="shared" si="183"/>
        <v>2006.51</v>
      </c>
      <c r="HU108" s="558">
        <f t="shared" si="183"/>
        <v>1702.2</v>
      </c>
      <c r="HV108" s="558">
        <f t="shared" si="183"/>
        <v>1422.09</v>
      </c>
      <c r="HW108" s="558">
        <f t="shared" si="183"/>
        <v>1167.48</v>
      </c>
      <c r="HX108" s="558">
        <f t="shared" si="183"/>
        <v>944.53</v>
      </c>
      <c r="HY108" s="558">
        <f t="shared" si="183"/>
        <v>748.4</v>
      </c>
      <c r="HZ108" s="558">
        <f t="shared" si="181"/>
        <v>588.77</v>
      </c>
      <c r="IA108" s="558">
        <f t="shared" si="181"/>
        <v>460.37</v>
      </c>
      <c r="IB108" s="558">
        <f t="shared" si="181"/>
        <v>364.5</v>
      </c>
      <c r="IC108" s="558">
        <f t="shared" si="181"/>
        <v>300.74</v>
      </c>
      <c r="ID108" s="558">
        <f t="shared" si="181"/>
        <v>258.52999999999997</v>
      </c>
      <c r="IE108" s="558">
        <f t="shared" ref="IE108:JA108" si="191" xml:space="preserve"> IF(  OR( IE$18&gt;$FK108, $FK108&gt;$FP$12 ),  LEER,  ROUND( $FO$19 * ( $FL108 - IE$15 * $FM108 ), IE$17 )  )</f>
        <v>229.06</v>
      </c>
      <c r="IF108" s="558">
        <f t="shared" si="191"/>
        <v>228.18</v>
      </c>
      <c r="IG108" s="558">
        <f t="shared" si="191"/>
        <v>226.42</v>
      </c>
      <c r="IH108" s="558">
        <f t="shared" si="191"/>
        <v>224.67</v>
      </c>
      <c r="II108" s="558">
        <f t="shared" si="191"/>
        <v>222.03</v>
      </c>
      <c r="IJ108" s="558">
        <f t="shared" si="191"/>
        <v>218.51</v>
      </c>
      <c r="IK108" s="558">
        <f t="shared" si="191"/>
        <v>213.67</v>
      </c>
      <c r="IL108" s="558">
        <f t="shared" si="191"/>
        <v>207.08</v>
      </c>
      <c r="IM108" s="558">
        <f t="shared" si="191"/>
        <v>197.84</v>
      </c>
      <c r="IN108" s="558">
        <f t="shared" si="191"/>
        <v>185.53</v>
      </c>
      <c r="IO108" s="558">
        <f t="shared" si="191"/>
        <v>167.5</v>
      </c>
      <c r="IP108" s="558">
        <f t="shared" si="191"/>
        <v>166.18</v>
      </c>
      <c r="IQ108" s="558">
        <f t="shared" si="191"/>
        <v>164.86</v>
      </c>
      <c r="IR108" s="558">
        <f t="shared" si="191"/>
        <v>162.22</v>
      </c>
      <c r="IS108" s="558">
        <f t="shared" si="191"/>
        <v>159.58000000000001</v>
      </c>
      <c r="IT108" s="558">
        <f t="shared" si="191"/>
        <v>155.19</v>
      </c>
      <c r="IU108" s="558">
        <f t="shared" si="191"/>
        <v>148.15</v>
      </c>
      <c r="IV108" s="558">
        <f t="shared" si="191"/>
        <v>138.04</v>
      </c>
      <c r="IW108" s="558">
        <f t="shared" si="191"/>
        <v>121.77</v>
      </c>
      <c r="IX108" s="558">
        <f t="shared" si="191"/>
        <v>96.26</v>
      </c>
      <c r="IY108" s="558">
        <f t="shared" si="191"/>
        <v>52.29</v>
      </c>
      <c r="IZ108" s="558">
        <f t="shared" si="191"/>
        <v>-0.04</v>
      </c>
      <c r="JA108" s="558" t="str">
        <f t="shared" si="191"/>
        <v>.</v>
      </c>
      <c r="JB108" s="558" t="str">
        <f t="shared" si="179"/>
        <v>.</v>
      </c>
      <c r="JC108" s="558" t="str">
        <f t="shared" si="179"/>
        <v>.</v>
      </c>
      <c r="JD108" s="558" t="str">
        <f t="shared" si="179"/>
        <v>.</v>
      </c>
      <c r="JE108" s="558" t="str">
        <f t="shared" si="179"/>
        <v>.</v>
      </c>
      <c r="JF108" s="558" t="str">
        <f t="shared" si="179"/>
        <v>.</v>
      </c>
      <c r="JG108" s="558" t="str">
        <f t="shared" si="179"/>
        <v>.</v>
      </c>
      <c r="JH108" s="558" t="str">
        <f t="shared" si="190"/>
        <v>.</v>
      </c>
      <c r="JI108" s="558" t="str">
        <f t="shared" si="190"/>
        <v>.</v>
      </c>
      <c r="JJ108" s="558" t="str">
        <f t="shared" si="190"/>
        <v>.</v>
      </c>
      <c r="JK108" s="558" t="str">
        <f t="shared" si="190"/>
        <v>.</v>
      </c>
      <c r="JL108" s="558" t="str">
        <f t="shared" si="187"/>
        <v>.</v>
      </c>
    </row>
    <row r="109" spans="1:272" ht="10.199999999999999" x14ac:dyDescent="0.2">
      <c r="A109" s="534">
        <f xml:space="preserve"> Basis!A109</f>
        <v>109</v>
      </c>
      <c r="F109" s="536">
        <f xml:space="preserve"> ROUND(    IF( $A$15=BE_MF_,   AW109,   INDEX( qx!109:109, F$16 ) ),    F$17    )</f>
        <v>0.31680000000000003</v>
      </c>
      <c r="G109" s="536">
        <f xml:space="preserve"> ROUND(    IF( $A$15=BE_MF_,   BB109,   INDEX( wx!109:109, G$16 ) ),    G$17    )</f>
        <v>1.4E-3</v>
      </c>
      <c r="H109" s="537">
        <f xml:space="preserve"> ROUND(    IF( $A$15=BE_MF_,   BG109,   INDEX( Kx!109:109, H$16 ) ),    H$17    )</f>
        <v>11558.84</v>
      </c>
      <c r="I109" s="538">
        <f t="shared" si="171"/>
        <v>11558.84</v>
      </c>
      <c r="J109" s="539">
        <f t="shared" si="137"/>
        <v>5.5629999999999997</v>
      </c>
      <c r="K109" s="540">
        <f t="shared" si="172"/>
        <v>0</v>
      </c>
      <c r="L109" s="541">
        <f t="shared" si="189"/>
        <v>0</v>
      </c>
      <c r="M109" s="541">
        <f t="shared" si="189"/>
        <v>8.5999999999999993E-2</v>
      </c>
      <c r="O109" s="542" t="b">
        <f t="shared" si="173"/>
        <v>1</v>
      </c>
      <c r="P109" s="493">
        <f t="shared" si="138"/>
        <v>0.31819999999999998</v>
      </c>
      <c r="Q109" s="493">
        <f t="shared" si="139"/>
        <v>0.68179999999999996</v>
      </c>
      <c r="R109" s="543">
        <f t="shared" si="140"/>
        <v>1183</v>
      </c>
      <c r="S109" s="544">
        <f t="shared" si="141"/>
        <v>0.97560975599999999</v>
      </c>
      <c r="T109" s="423">
        <f t="shared" si="142"/>
        <v>80.180000000000007</v>
      </c>
      <c r="U109" s="423">
        <f xml:space="preserve"> IF( $O109,    ROUND(  SUM( T109:T$120), U$17 ),  LEER  )</f>
        <v>133.47999999999999</v>
      </c>
      <c r="V109" s="493">
        <f t="shared" si="143"/>
        <v>1.6648000000000001</v>
      </c>
      <c r="W109" s="493">
        <f t="shared" si="144"/>
        <v>446.04</v>
      </c>
      <c r="X109" s="493">
        <f xml:space="preserve"> IF( $O109,    ROUND(  SUM( W109:W$120), X$17 ),  LEER  )</f>
        <v>743.45</v>
      </c>
      <c r="Y109" s="493">
        <f t="shared" si="145"/>
        <v>9.2722999999999995</v>
      </c>
      <c r="Z109" s="493">
        <f t="shared" si="146"/>
        <v>5.5696000000000003</v>
      </c>
      <c r="AA109" s="493">
        <f t="shared" si="147"/>
        <v>1</v>
      </c>
      <c r="AB109" s="493">
        <f t="shared" si="148"/>
        <v>2.3494000000000002</v>
      </c>
      <c r="AC109" s="545">
        <f t="shared" si="149"/>
        <v>0.32679999999999998</v>
      </c>
      <c r="AD109" s="493">
        <f t="shared" si="150"/>
        <v>5.5696000000000003</v>
      </c>
      <c r="AE109" s="493">
        <f t="shared" si="151"/>
        <v>6.4512</v>
      </c>
      <c r="AF109" s="493">
        <f t="shared" si="152"/>
        <v>6.4512</v>
      </c>
      <c r="AG109" s="493" t="str">
        <f t="shared" si="153"/>
        <v>.</v>
      </c>
      <c r="AH109" s="493" t="str">
        <f t="shared" si="154"/>
        <v>.</v>
      </c>
      <c r="AI109" s="423">
        <f t="shared" si="155"/>
        <v>2077.79</v>
      </c>
      <c r="AJ109" s="423">
        <f t="shared" si="156"/>
        <v>13404.24</v>
      </c>
      <c r="AK109" s="423">
        <f t="shared" si="157"/>
        <v>1117.02</v>
      </c>
      <c r="AN109" s="423">
        <f t="shared" si="184"/>
        <v>12852.37</v>
      </c>
      <c r="AO109" s="423">
        <f t="shared" si="184"/>
        <v>12775.57</v>
      </c>
      <c r="AR109" s="546">
        <f xml:space="preserve"> ROUND(  INDEX( Kx!109:109, AR$16 ),  AR$17 )</f>
        <v>0.24679999999999999</v>
      </c>
      <c r="AS109" s="547">
        <f xml:space="preserve"> ROUND(  INDEX( qx!109:109, AS$16 ),  AS$17 )</f>
        <v>0.33150000000000002</v>
      </c>
      <c r="AT109" s="547">
        <f xml:space="preserve"> ROUND(  INDEX( qx!109:109, AT$16 ),  AT$17 )</f>
        <v>0.31359999999999999</v>
      </c>
      <c r="AU109" s="548" t="str">
        <f t="shared" si="158"/>
        <v>F</v>
      </c>
      <c r="AV109" s="542">
        <f t="shared" si="159"/>
        <v>0.17929999999999999</v>
      </c>
      <c r="AW109" s="542">
        <f t="shared" si="160"/>
        <v>0.31680000000000003</v>
      </c>
      <c r="AX109" s="546">
        <f xml:space="preserve"> ROUND(  INDEX( wx!109:109, AX$16 ),  AX$17 )</f>
        <v>0</v>
      </c>
      <c r="AY109" s="546">
        <f xml:space="preserve"> ROUND(  INDEX( wx!109:109, AY$16 ),  AY$17 )</f>
        <v>2.0999999999999999E-3</v>
      </c>
      <c r="AZ109" s="548" t="str">
        <f t="shared" si="161"/>
        <v>M</v>
      </c>
      <c r="BA109" s="542">
        <f t="shared" si="162"/>
        <v>0.32950000000000002</v>
      </c>
      <c r="BB109" s="542">
        <f t="shared" si="163"/>
        <v>1.4E-3</v>
      </c>
      <c r="BC109" s="533">
        <f xml:space="preserve"> ROUND(  INDEX( Kx!109:109, BC$16 ),  BC$17 )</f>
        <v>13971.83</v>
      </c>
      <c r="BD109" s="533">
        <f xml:space="preserve"> ROUND(  INDEX( Kx!109:109, BD$16 ),  BD$17 )</f>
        <v>10373.040000000001</v>
      </c>
      <c r="BE109" s="548" t="str">
        <f t="shared" si="174"/>
        <v>M</v>
      </c>
      <c r="BF109" s="542">
        <f t="shared" si="164"/>
        <v>0.32950000000000002</v>
      </c>
      <c r="BG109" s="420">
        <f t="shared" si="165"/>
        <v>11558.84</v>
      </c>
      <c r="BQ109" s="549"/>
      <c r="BR109" s="423"/>
      <c r="BS109" s="550"/>
      <c r="BT109" s="423"/>
      <c r="BU109" s="551"/>
      <c r="BV109" s="551"/>
      <c r="BW109" s="529"/>
      <c r="BX109" s="552"/>
      <c r="BY109" s="560"/>
      <c r="BZ109" s="559"/>
      <c r="CB109" s="423"/>
      <c r="CC109" s="423"/>
      <c r="CD109" s="423"/>
      <c r="CE109" s="423"/>
      <c r="CF109" s="553"/>
      <c r="CH109" s="423"/>
      <c r="CI109" s="423"/>
      <c r="CJ109" s="423"/>
      <c r="CK109" s="423"/>
      <c r="CL109" s="553"/>
      <c r="CN109" s="423"/>
      <c r="CO109" s="423"/>
      <c r="CP109" s="423"/>
      <c r="CQ109" s="423"/>
      <c r="CR109" s="553"/>
      <c r="EI109" s="553"/>
      <c r="EJ109" s="553"/>
      <c r="EK109" s="423"/>
      <c r="EL109" s="555"/>
      <c r="ES109" s="533"/>
      <c r="ET109" s="533"/>
      <c r="EU109" s="533"/>
      <c r="EV109" s="556"/>
      <c r="EY109" s="533"/>
      <c r="EZ109" s="533"/>
      <c r="FA109" s="556"/>
      <c r="FD109" s="556"/>
      <c r="FE109" s="556"/>
      <c r="FF109" s="556"/>
      <c r="FK109" s="557">
        <f t="shared" si="166"/>
        <v>109</v>
      </c>
      <c r="FL109" s="493">
        <f t="shared" si="167"/>
        <v>9.2722999999999995</v>
      </c>
      <c r="FM109" s="493">
        <f t="shared" si="168"/>
        <v>1.6648000000000001</v>
      </c>
      <c r="FO109" s="427">
        <f t="shared" si="175"/>
        <v>538243.00000000023</v>
      </c>
      <c r="FP109" s="558">
        <f t="shared" si="185"/>
        <v>15113.58</v>
      </c>
      <c r="FQ109" s="558">
        <f t="shared" si="185"/>
        <v>14973.49</v>
      </c>
      <c r="FR109" s="558">
        <f t="shared" si="185"/>
        <v>14833.05</v>
      </c>
      <c r="FS109" s="558">
        <f t="shared" si="185"/>
        <v>14692.61</v>
      </c>
      <c r="FT109" s="558">
        <f t="shared" si="185"/>
        <v>14547.33</v>
      </c>
      <c r="FU109" s="558">
        <f t="shared" si="185"/>
        <v>14397.89</v>
      </c>
      <c r="FV109" s="558">
        <f t="shared" si="185"/>
        <v>14249.84</v>
      </c>
      <c r="FW109" s="558">
        <f t="shared" si="185"/>
        <v>14100.76</v>
      </c>
      <c r="FX109" s="558">
        <f t="shared" si="185"/>
        <v>13946.48</v>
      </c>
      <c r="FY109" s="558">
        <f t="shared" si="185"/>
        <v>13785.98</v>
      </c>
      <c r="FZ109" s="558">
        <f t="shared" si="185"/>
        <v>13624.44</v>
      </c>
      <c r="GA109" s="558">
        <f t="shared" si="185"/>
        <v>13460.48</v>
      </c>
      <c r="GB109" s="558">
        <f t="shared" si="185"/>
        <v>13292.71</v>
      </c>
      <c r="GC109" s="558">
        <f t="shared" si="185"/>
        <v>13124.25</v>
      </c>
      <c r="GD109" s="558">
        <f t="shared" si="185"/>
        <v>12950.6</v>
      </c>
      <c r="GE109" s="558">
        <f t="shared" si="185"/>
        <v>12775.57</v>
      </c>
      <c r="GF109" s="558">
        <f t="shared" si="182"/>
        <v>12595.35</v>
      </c>
      <c r="GG109" s="558">
        <f t="shared" si="182"/>
        <v>12410.98</v>
      </c>
      <c r="GH109" s="558">
        <f t="shared" si="182"/>
        <v>12221.43</v>
      </c>
      <c r="GI109" s="558">
        <f t="shared" si="182"/>
        <v>12026.33</v>
      </c>
      <c r="GJ109" s="558">
        <f t="shared" si="182"/>
        <v>11825.36</v>
      </c>
      <c r="GK109" s="558">
        <f t="shared" si="182"/>
        <v>11616.77</v>
      </c>
      <c r="GL109" s="558">
        <f t="shared" si="182"/>
        <v>11400.58</v>
      </c>
      <c r="GM109" s="558">
        <f t="shared" si="182"/>
        <v>11176.43</v>
      </c>
      <c r="GN109" s="558">
        <f t="shared" si="182"/>
        <v>10943.29</v>
      </c>
      <c r="GO109" s="558">
        <f t="shared" si="182"/>
        <v>10702.88</v>
      </c>
      <c r="GP109" s="558">
        <f t="shared" si="182"/>
        <v>10454.17</v>
      </c>
      <c r="GQ109" s="558">
        <f t="shared" si="182"/>
        <v>10197.85</v>
      </c>
      <c r="GR109" s="558">
        <f t="shared" si="182"/>
        <v>9934.61</v>
      </c>
      <c r="GS109" s="558">
        <f t="shared" si="182"/>
        <v>9664.7999999999993</v>
      </c>
      <c r="GT109" s="558">
        <f t="shared" si="182"/>
        <v>9389.4599999999991</v>
      </c>
      <c r="GU109" s="558">
        <f t="shared" si="186"/>
        <v>9107.5400000000009</v>
      </c>
      <c r="GV109" s="558">
        <f t="shared" si="186"/>
        <v>8821.82</v>
      </c>
      <c r="GW109" s="558">
        <f t="shared" si="186"/>
        <v>8530.91</v>
      </c>
      <c r="GX109" s="558">
        <f t="shared" si="186"/>
        <v>8236.8799999999992</v>
      </c>
      <c r="GY109" s="558">
        <f t="shared" si="186"/>
        <v>7939.75</v>
      </c>
      <c r="GZ109" s="558">
        <f t="shared" si="186"/>
        <v>7639.15</v>
      </c>
      <c r="HA109" s="558">
        <f t="shared" si="186"/>
        <v>7336.13</v>
      </c>
      <c r="HB109" s="558">
        <f t="shared" si="186"/>
        <v>7028.62</v>
      </c>
      <c r="HC109" s="558">
        <f t="shared" si="186"/>
        <v>6714.53</v>
      </c>
      <c r="HD109" s="558">
        <f t="shared" si="186"/>
        <v>6395.95</v>
      </c>
      <c r="HE109" s="558">
        <f t="shared" si="186"/>
        <v>6074.25</v>
      </c>
      <c r="HF109" s="558">
        <f t="shared" si="186"/>
        <v>5748.4</v>
      </c>
      <c r="HG109" s="558">
        <f t="shared" si="186"/>
        <v>5420.13</v>
      </c>
      <c r="HH109" s="558">
        <f t="shared" si="186"/>
        <v>5088.41</v>
      </c>
      <c r="HI109" s="558">
        <f t="shared" si="186"/>
        <v>4759.79</v>
      </c>
      <c r="HJ109" s="558">
        <f t="shared" si="186"/>
        <v>4428.41</v>
      </c>
      <c r="HK109" s="558">
        <f t="shared" si="183"/>
        <v>4099.1000000000004</v>
      </c>
      <c r="HL109" s="558">
        <f t="shared" si="183"/>
        <v>3772.22</v>
      </c>
      <c r="HM109" s="558">
        <f t="shared" si="183"/>
        <v>3446.71</v>
      </c>
      <c r="HN109" s="558">
        <f t="shared" si="183"/>
        <v>3178.63</v>
      </c>
      <c r="HO109" s="558">
        <f t="shared" si="183"/>
        <v>2918.85</v>
      </c>
      <c r="HP109" s="558">
        <f t="shared" si="183"/>
        <v>2670.15</v>
      </c>
      <c r="HQ109" s="558">
        <f t="shared" si="183"/>
        <v>2434.58</v>
      </c>
      <c r="HR109" s="558">
        <f t="shared" si="183"/>
        <v>2150.2399999999998</v>
      </c>
      <c r="HS109" s="558">
        <f t="shared" si="183"/>
        <v>1876.97</v>
      </c>
      <c r="HT109" s="558">
        <f t="shared" si="183"/>
        <v>1616.5</v>
      </c>
      <c r="HU109" s="558">
        <f t="shared" si="183"/>
        <v>1377.13</v>
      </c>
      <c r="HV109" s="558">
        <f t="shared" si="183"/>
        <v>1156.79</v>
      </c>
      <c r="HW109" s="558">
        <f t="shared" si="183"/>
        <v>956.5</v>
      </c>
      <c r="HX109" s="558">
        <f t="shared" si="183"/>
        <v>781.13</v>
      </c>
      <c r="HY109" s="558">
        <f t="shared" si="183"/>
        <v>626.85</v>
      </c>
      <c r="HZ109" s="558">
        <f t="shared" ref="HZ109:IQ120" si="192" xml:space="preserve"> IF(  OR( HZ$18&gt;$FK109, $FK109&gt;$FP$12 ),  LEER,  ROUND( $FO$19 * ( $FL109 - HZ$15 * $FM109 ), HZ$17 )  )</f>
        <v>501.29</v>
      </c>
      <c r="IA109" s="558">
        <f t="shared" si="192"/>
        <v>400.28</v>
      </c>
      <c r="IB109" s="558">
        <f t="shared" si="192"/>
        <v>324.87</v>
      </c>
      <c r="IC109" s="558">
        <f t="shared" si="192"/>
        <v>274.72000000000003</v>
      </c>
      <c r="ID109" s="558">
        <f t="shared" si="192"/>
        <v>241.51</v>
      </c>
      <c r="IE109" s="558">
        <f t="shared" si="192"/>
        <v>218.33</v>
      </c>
      <c r="IF109" s="558">
        <f t="shared" si="192"/>
        <v>217.64</v>
      </c>
      <c r="IG109" s="558">
        <f t="shared" si="192"/>
        <v>216.26</v>
      </c>
      <c r="IH109" s="558">
        <f t="shared" si="192"/>
        <v>214.87</v>
      </c>
      <c r="II109" s="558">
        <f t="shared" si="192"/>
        <v>212.8</v>
      </c>
      <c r="IJ109" s="558">
        <f t="shared" si="192"/>
        <v>210.03</v>
      </c>
      <c r="IK109" s="558">
        <f t="shared" si="192"/>
        <v>206.22</v>
      </c>
      <c r="IL109" s="558">
        <f t="shared" si="192"/>
        <v>201.04</v>
      </c>
      <c r="IM109" s="558">
        <f t="shared" si="192"/>
        <v>193.77</v>
      </c>
      <c r="IN109" s="558">
        <f t="shared" si="192"/>
        <v>184.09</v>
      </c>
      <c r="IO109" s="558">
        <f t="shared" si="192"/>
        <v>169.9</v>
      </c>
      <c r="IP109" s="558">
        <f t="shared" si="192"/>
        <v>168.87</v>
      </c>
      <c r="IQ109" s="558">
        <f t="shared" si="192"/>
        <v>167.83</v>
      </c>
      <c r="IR109" s="558">
        <f t="shared" ref="IR109:JC109" si="193" xml:space="preserve"> IF(  OR( IR$18&gt;$FK109, $FK109&gt;$FP$12 ),  LEER,  ROUND( $FO$19 * ( $FL109 - IR$15 * $FM109 ), IR$17 )  )</f>
        <v>165.75</v>
      </c>
      <c r="IS109" s="558">
        <f t="shared" si="193"/>
        <v>163.68</v>
      </c>
      <c r="IT109" s="558">
        <f t="shared" si="193"/>
        <v>160.22</v>
      </c>
      <c r="IU109" s="558">
        <f t="shared" si="193"/>
        <v>154.68</v>
      </c>
      <c r="IV109" s="558">
        <f t="shared" si="193"/>
        <v>146.72999999999999</v>
      </c>
      <c r="IW109" s="558">
        <f t="shared" si="193"/>
        <v>133.93</v>
      </c>
      <c r="IX109" s="558">
        <f t="shared" si="193"/>
        <v>113.87</v>
      </c>
      <c r="IY109" s="558">
        <f t="shared" si="193"/>
        <v>79.28</v>
      </c>
      <c r="IZ109" s="558">
        <f t="shared" si="193"/>
        <v>38.11</v>
      </c>
      <c r="JA109" s="558">
        <f t="shared" si="193"/>
        <v>0.06</v>
      </c>
      <c r="JB109" s="558" t="str">
        <f t="shared" si="193"/>
        <v>.</v>
      </c>
      <c r="JC109" s="558" t="str">
        <f t="shared" si="193"/>
        <v>.</v>
      </c>
      <c r="JD109" s="558" t="str">
        <f t="shared" si="179"/>
        <v>.</v>
      </c>
      <c r="JE109" s="558" t="str">
        <f t="shared" si="179"/>
        <v>.</v>
      </c>
      <c r="JF109" s="558" t="str">
        <f t="shared" si="179"/>
        <v>.</v>
      </c>
      <c r="JG109" s="558" t="str">
        <f t="shared" si="179"/>
        <v>.</v>
      </c>
      <c r="JH109" s="558" t="str">
        <f t="shared" si="190"/>
        <v>.</v>
      </c>
      <c r="JI109" s="558" t="str">
        <f t="shared" si="190"/>
        <v>.</v>
      </c>
      <c r="JJ109" s="558" t="str">
        <f t="shared" si="190"/>
        <v>.</v>
      </c>
      <c r="JK109" s="558" t="str">
        <f t="shared" si="190"/>
        <v>.</v>
      </c>
      <c r="JL109" s="558" t="str">
        <f t="shared" si="187"/>
        <v>.</v>
      </c>
    </row>
    <row r="110" spans="1:272" ht="10.199999999999999" x14ac:dyDescent="0.2">
      <c r="A110" s="534">
        <f xml:space="preserve"> Basis!A110</f>
        <v>110</v>
      </c>
      <c r="F110" s="536">
        <f xml:space="preserve"> ROUND(    IF( $A$15=BE_MF_,   AW110,   INDEX( qx!110:110, F$16 ) ),    F$17    )</f>
        <v>0.32269999999999999</v>
      </c>
      <c r="G110" s="536">
        <f xml:space="preserve"> ROUND(    IF( $A$15=BE_MF_,   BB110,   INDEX( wx!110:110, G$16 ) ),    G$17    )</f>
        <v>1.4E-3</v>
      </c>
      <c r="H110" s="537">
        <f xml:space="preserve"> ROUND(    IF( $A$15=BE_MF_,   BG110,   INDEX( Kx!110:110, H$16 ) ),    H$17    )</f>
        <v>11593.3</v>
      </c>
      <c r="I110" s="538">
        <f t="shared" si="171"/>
        <v>11593.3</v>
      </c>
      <c r="J110" s="539">
        <f t="shared" si="137"/>
        <v>5.58</v>
      </c>
      <c r="K110" s="540">
        <f t="shared" si="172"/>
        <v>0</v>
      </c>
      <c r="L110" s="541">
        <f t="shared" si="189"/>
        <v>0</v>
      </c>
      <c r="M110" s="541">
        <f t="shared" si="189"/>
        <v>8.5999999999999993E-2</v>
      </c>
      <c r="O110" s="542" t="b">
        <f t="shared" si="173"/>
        <v>1</v>
      </c>
      <c r="P110" s="493">
        <f t="shared" si="138"/>
        <v>1</v>
      </c>
      <c r="Q110" s="493">
        <f t="shared" si="139"/>
        <v>0</v>
      </c>
      <c r="R110" s="543">
        <f t="shared" si="140"/>
        <v>806</v>
      </c>
      <c r="S110" s="544">
        <f t="shared" si="141"/>
        <v>0.97560975599999999</v>
      </c>
      <c r="T110" s="423">
        <f t="shared" si="142"/>
        <v>53.3</v>
      </c>
      <c r="U110" s="423">
        <f xml:space="preserve"> IF( $O110,    ROUND(  SUM( T110:T$120), U$17 ),  LEER  )</f>
        <v>53.3</v>
      </c>
      <c r="V110" s="493">
        <f t="shared" si="143"/>
        <v>1</v>
      </c>
      <c r="W110" s="493">
        <f t="shared" si="144"/>
        <v>297.41000000000003</v>
      </c>
      <c r="X110" s="493">
        <f xml:space="preserve"> IF( $O110,    ROUND(  SUM( W110:W$120), X$17 ),  LEER  )</f>
        <v>297.41000000000003</v>
      </c>
      <c r="Y110" s="493">
        <f t="shared" si="145"/>
        <v>5.5799000000000003</v>
      </c>
      <c r="Z110" s="493">
        <f t="shared" si="146"/>
        <v>5.5799000000000003</v>
      </c>
      <c r="AA110" s="493">
        <f t="shared" si="147"/>
        <v>1</v>
      </c>
      <c r="AB110" s="493">
        <f t="shared" si="148"/>
        <v>2.3494000000000002</v>
      </c>
      <c r="AC110" s="545">
        <f t="shared" si="149"/>
        <v>0.32679999999999998</v>
      </c>
      <c r="AD110" s="493">
        <f t="shared" si="150"/>
        <v>5.5799000000000003</v>
      </c>
      <c r="AE110" s="493">
        <f t="shared" si="151"/>
        <v>6.4625000000000004</v>
      </c>
      <c r="AF110" s="493">
        <f t="shared" si="152"/>
        <v>6.4625000000000004</v>
      </c>
      <c r="AG110" s="493" t="str">
        <f t="shared" si="153"/>
        <v>.</v>
      </c>
      <c r="AH110" s="493" t="str">
        <f t="shared" si="154"/>
        <v>.</v>
      </c>
      <c r="AI110" s="423">
        <f t="shared" si="155"/>
        <v>2077.79</v>
      </c>
      <c r="AJ110" s="423">
        <f t="shared" si="156"/>
        <v>13427.72</v>
      </c>
      <c r="AK110" s="423">
        <f t="shared" si="157"/>
        <v>1118.98</v>
      </c>
      <c r="AN110" s="423">
        <f t="shared" si="184"/>
        <v>7741.43</v>
      </c>
      <c r="AO110" s="423">
        <f t="shared" si="184"/>
        <v>7695.3</v>
      </c>
      <c r="AR110" s="546">
        <f xml:space="preserve"> ROUND(  INDEX( Kx!110:110, AR$16 ),  AR$17 )</f>
        <v>0.24679999999999999</v>
      </c>
      <c r="AS110" s="547">
        <f xml:space="preserve"> ROUND(  INDEX( qx!110:110, AS$16 ),  AS$17 )</f>
        <v>0.33800000000000002</v>
      </c>
      <c r="AT110" s="547">
        <f xml:space="preserve"> ROUND(  INDEX( qx!110:110, AT$16 ),  AT$17 )</f>
        <v>0.31929999999999997</v>
      </c>
      <c r="AU110" s="548" t="str">
        <f t="shared" si="158"/>
        <v>F</v>
      </c>
      <c r="AV110" s="542">
        <f t="shared" si="159"/>
        <v>0.17929999999999999</v>
      </c>
      <c r="AW110" s="542">
        <f t="shared" si="160"/>
        <v>0.32269999999999999</v>
      </c>
      <c r="AX110" s="546">
        <f xml:space="preserve"> ROUND(  INDEX( wx!110:110, AX$16 ),  AX$17 )</f>
        <v>0</v>
      </c>
      <c r="AY110" s="546">
        <f xml:space="preserve"> ROUND(  INDEX( wx!110:110, AY$16 ),  AY$17 )</f>
        <v>2.0999999999999999E-3</v>
      </c>
      <c r="AZ110" s="548" t="str">
        <f t="shared" si="161"/>
        <v>M</v>
      </c>
      <c r="BA110" s="542">
        <f t="shared" si="162"/>
        <v>0.32950000000000002</v>
      </c>
      <c r="BB110" s="542">
        <f t="shared" si="163"/>
        <v>1.4E-3</v>
      </c>
      <c r="BC110" s="533">
        <f xml:space="preserve"> ROUND(  INDEX( Kx!110:110, BC$16 ),  BC$17 )</f>
        <v>14050.52</v>
      </c>
      <c r="BD110" s="533">
        <f xml:space="preserve"> ROUND(  INDEX( Kx!110:110, BD$16 ),  BD$17 )</f>
        <v>10385.76</v>
      </c>
      <c r="BE110" s="548" t="str">
        <f t="shared" si="174"/>
        <v>M</v>
      </c>
      <c r="BF110" s="542">
        <f t="shared" si="164"/>
        <v>0.32950000000000002</v>
      </c>
      <c r="BG110" s="420">
        <f t="shared" si="165"/>
        <v>11593.3</v>
      </c>
      <c r="BQ110" s="549"/>
      <c r="BR110" s="423"/>
      <c r="BS110" s="550"/>
      <c r="BT110" s="423"/>
      <c r="BU110" s="551"/>
      <c r="BV110" s="551"/>
      <c r="BW110" s="529"/>
      <c r="BX110" s="552"/>
      <c r="BY110" s="560"/>
      <c r="BZ110" s="559"/>
      <c r="CB110" s="423"/>
      <c r="CC110" s="423"/>
      <c r="CD110" s="423"/>
      <c r="CE110" s="423"/>
      <c r="CF110" s="553"/>
      <c r="CH110" s="423"/>
      <c r="CI110" s="423"/>
      <c r="CJ110" s="423"/>
      <c r="CK110" s="423"/>
      <c r="CL110" s="553"/>
      <c r="CN110" s="423"/>
      <c r="CO110" s="423"/>
      <c r="CP110" s="423"/>
      <c r="CQ110" s="423"/>
      <c r="CR110" s="553"/>
      <c r="EI110" s="553"/>
      <c r="EJ110" s="553"/>
      <c r="EK110" s="423"/>
      <c r="EL110" s="555"/>
      <c r="ES110" s="533"/>
      <c r="ET110" s="533"/>
      <c r="EU110" s="533"/>
      <c r="EV110" s="556"/>
      <c r="EY110" s="533"/>
      <c r="EZ110" s="533"/>
      <c r="FA110" s="556"/>
      <c r="FD110" s="556"/>
      <c r="FE110" s="556"/>
      <c r="FF110" s="556"/>
      <c r="FK110" s="557">
        <f t="shared" si="166"/>
        <v>110</v>
      </c>
      <c r="FL110" s="493">
        <f t="shared" si="167"/>
        <v>5.5799000000000003</v>
      </c>
      <c r="FM110" s="493">
        <f t="shared" si="168"/>
        <v>1</v>
      </c>
      <c r="FO110" s="427">
        <f t="shared" si="175"/>
        <v>325230.59000000008</v>
      </c>
      <c r="FP110" s="558">
        <f t="shared" si="185"/>
        <v>9099.68</v>
      </c>
      <c r="FQ110" s="558">
        <f t="shared" si="185"/>
        <v>9015.5300000000007</v>
      </c>
      <c r="FR110" s="558">
        <f t="shared" si="185"/>
        <v>8931.17</v>
      </c>
      <c r="FS110" s="558">
        <f t="shared" si="185"/>
        <v>8846.81</v>
      </c>
      <c r="FT110" s="558">
        <f t="shared" si="185"/>
        <v>8759.5499999999993</v>
      </c>
      <c r="FU110" s="558">
        <f t="shared" si="185"/>
        <v>8669.7900000000009</v>
      </c>
      <c r="FV110" s="558">
        <f t="shared" si="185"/>
        <v>8580.86</v>
      </c>
      <c r="FW110" s="558">
        <f t="shared" si="185"/>
        <v>8491.2999999999993</v>
      </c>
      <c r="FX110" s="558">
        <f t="shared" si="185"/>
        <v>8398.6299999999992</v>
      </c>
      <c r="FY110" s="558">
        <f t="shared" si="185"/>
        <v>8302.23</v>
      </c>
      <c r="FZ110" s="558">
        <f t="shared" si="185"/>
        <v>8205.19</v>
      </c>
      <c r="GA110" s="558">
        <f t="shared" si="185"/>
        <v>8106.71</v>
      </c>
      <c r="GB110" s="558">
        <f t="shared" si="185"/>
        <v>8005.93</v>
      </c>
      <c r="GC110" s="558">
        <f t="shared" si="185"/>
        <v>7904.74</v>
      </c>
      <c r="GD110" s="558">
        <f t="shared" si="185"/>
        <v>7800.44</v>
      </c>
      <c r="GE110" s="558">
        <f t="shared" si="185"/>
        <v>7695.3</v>
      </c>
      <c r="GF110" s="558">
        <f t="shared" si="182"/>
        <v>7587.05</v>
      </c>
      <c r="GG110" s="558">
        <f t="shared" si="182"/>
        <v>7476.3</v>
      </c>
      <c r="GH110" s="558">
        <f t="shared" si="182"/>
        <v>7362.44</v>
      </c>
      <c r="GI110" s="558">
        <f t="shared" si="182"/>
        <v>7245.25</v>
      </c>
      <c r="GJ110" s="558">
        <f t="shared" si="182"/>
        <v>7124.53</v>
      </c>
      <c r="GK110" s="558">
        <f t="shared" si="182"/>
        <v>6999.24</v>
      </c>
      <c r="GL110" s="558">
        <f t="shared" si="182"/>
        <v>6869.38</v>
      </c>
      <c r="GM110" s="558">
        <f t="shared" si="182"/>
        <v>6734.74</v>
      </c>
      <c r="GN110" s="558">
        <f t="shared" si="182"/>
        <v>6594.7</v>
      </c>
      <c r="GO110" s="558">
        <f t="shared" si="182"/>
        <v>6450.29</v>
      </c>
      <c r="GP110" s="558">
        <f t="shared" si="182"/>
        <v>6300.9</v>
      </c>
      <c r="GQ110" s="558">
        <f t="shared" si="182"/>
        <v>6146.93</v>
      </c>
      <c r="GR110" s="558">
        <f t="shared" si="182"/>
        <v>5988.81</v>
      </c>
      <c r="GS110" s="558">
        <f t="shared" si="182"/>
        <v>5826.75</v>
      </c>
      <c r="GT110" s="558">
        <f t="shared" si="182"/>
        <v>5661.35</v>
      </c>
      <c r="GU110" s="558">
        <f t="shared" si="186"/>
        <v>5492.01</v>
      </c>
      <c r="GV110" s="558">
        <f t="shared" si="186"/>
        <v>5320.39</v>
      </c>
      <c r="GW110" s="558">
        <f t="shared" si="186"/>
        <v>5145.6499999999996</v>
      </c>
      <c r="GX110" s="558">
        <f t="shared" si="186"/>
        <v>4969.03</v>
      </c>
      <c r="GY110" s="558">
        <f t="shared" si="186"/>
        <v>4790.55</v>
      </c>
      <c r="GZ110" s="558">
        <f t="shared" si="186"/>
        <v>4609.99</v>
      </c>
      <c r="HA110" s="558">
        <f t="shared" si="186"/>
        <v>4427.9799999999996</v>
      </c>
      <c r="HB110" s="558">
        <f t="shared" si="186"/>
        <v>4243.26</v>
      </c>
      <c r="HC110" s="558">
        <f t="shared" si="186"/>
        <v>4054.6</v>
      </c>
      <c r="HD110" s="558">
        <f t="shared" si="186"/>
        <v>3863.23</v>
      </c>
      <c r="HE110" s="558">
        <f t="shared" si="186"/>
        <v>3670</v>
      </c>
      <c r="HF110" s="558">
        <f t="shared" si="186"/>
        <v>3474.27</v>
      </c>
      <c r="HG110" s="558">
        <f t="shared" si="186"/>
        <v>3277.09</v>
      </c>
      <c r="HH110" s="558">
        <f t="shared" si="186"/>
        <v>3077.83</v>
      </c>
      <c r="HI110" s="558">
        <f t="shared" si="186"/>
        <v>2880.44</v>
      </c>
      <c r="HJ110" s="558">
        <f t="shared" si="186"/>
        <v>2681.39</v>
      </c>
      <c r="HK110" s="558">
        <f t="shared" si="183"/>
        <v>2483.58</v>
      </c>
      <c r="HL110" s="558">
        <f t="shared" si="183"/>
        <v>2287.23</v>
      </c>
      <c r="HM110" s="558">
        <f t="shared" si="183"/>
        <v>2091.71</v>
      </c>
      <c r="HN110" s="558">
        <f t="shared" si="183"/>
        <v>1930.68</v>
      </c>
      <c r="HO110" s="558">
        <f t="shared" si="183"/>
        <v>1774.64</v>
      </c>
      <c r="HP110" s="558">
        <f t="shared" si="183"/>
        <v>1625.25</v>
      </c>
      <c r="HQ110" s="558">
        <f t="shared" si="183"/>
        <v>1483.75</v>
      </c>
      <c r="HR110" s="558">
        <f t="shared" si="183"/>
        <v>1312.96</v>
      </c>
      <c r="HS110" s="558">
        <f t="shared" si="183"/>
        <v>1148.81</v>
      </c>
      <c r="HT110" s="558">
        <f t="shared" si="183"/>
        <v>992.35</v>
      </c>
      <c r="HU110" s="558">
        <f t="shared" si="183"/>
        <v>848.57</v>
      </c>
      <c r="HV110" s="558">
        <f t="shared" si="183"/>
        <v>716.21</v>
      </c>
      <c r="HW110" s="558">
        <f t="shared" si="183"/>
        <v>595.91</v>
      </c>
      <c r="HX110" s="558">
        <f t="shared" si="183"/>
        <v>490.57</v>
      </c>
      <c r="HY110" s="558">
        <f t="shared" si="183"/>
        <v>397.9</v>
      </c>
      <c r="HZ110" s="558">
        <f t="shared" si="192"/>
        <v>322.47000000000003</v>
      </c>
      <c r="IA110" s="558">
        <f t="shared" si="192"/>
        <v>261.8</v>
      </c>
      <c r="IB110" s="558">
        <f t="shared" si="192"/>
        <v>216.51</v>
      </c>
      <c r="IC110" s="558">
        <f t="shared" si="192"/>
        <v>186.38</v>
      </c>
      <c r="ID110" s="558">
        <f t="shared" si="192"/>
        <v>166.43</v>
      </c>
      <c r="IE110" s="558">
        <f t="shared" si="192"/>
        <v>152.51</v>
      </c>
      <c r="IF110" s="558">
        <f t="shared" si="192"/>
        <v>152.09</v>
      </c>
      <c r="IG110" s="558">
        <f t="shared" si="192"/>
        <v>151.26</v>
      </c>
      <c r="IH110" s="558">
        <f t="shared" si="192"/>
        <v>150.43</v>
      </c>
      <c r="II110" s="558">
        <f t="shared" si="192"/>
        <v>149.19</v>
      </c>
      <c r="IJ110" s="558">
        <f t="shared" si="192"/>
        <v>147.52000000000001</v>
      </c>
      <c r="IK110" s="558">
        <f t="shared" si="192"/>
        <v>145.24</v>
      </c>
      <c r="IL110" s="558">
        <f t="shared" si="192"/>
        <v>142.12</v>
      </c>
      <c r="IM110" s="558">
        <f t="shared" si="192"/>
        <v>137.76</v>
      </c>
      <c r="IN110" s="558">
        <f t="shared" si="192"/>
        <v>131.94</v>
      </c>
      <c r="IO110" s="558">
        <f t="shared" si="192"/>
        <v>123.42</v>
      </c>
      <c r="IP110" s="558">
        <f t="shared" si="192"/>
        <v>122.8</v>
      </c>
      <c r="IQ110" s="558">
        <f t="shared" si="192"/>
        <v>122.17</v>
      </c>
      <c r="IR110" s="558">
        <f t="shared" ref="IR110:IV120" si="194" xml:space="preserve"> IF(  OR( IR$18&gt;$FK110, $FK110&gt;$FP$12 ),  LEER,  ROUND( $FO$19 * ( $FL110 - IR$15 * $FM110 ), IR$17 )  )</f>
        <v>120.93</v>
      </c>
      <c r="IS110" s="558">
        <f t="shared" si="194"/>
        <v>119.68</v>
      </c>
      <c r="IT110" s="558">
        <f t="shared" si="194"/>
        <v>117.6</v>
      </c>
      <c r="IU110" s="558">
        <f t="shared" si="194"/>
        <v>114.28</v>
      </c>
      <c r="IV110" s="558">
        <f t="shared" si="194"/>
        <v>109.5</v>
      </c>
      <c r="IW110" s="558">
        <f t="shared" si="179"/>
        <v>101.81</v>
      </c>
      <c r="IX110" s="558">
        <f t="shared" si="179"/>
        <v>89.76</v>
      </c>
      <c r="IY110" s="558">
        <f t="shared" si="179"/>
        <v>68.98</v>
      </c>
      <c r="IZ110" s="558">
        <f t="shared" si="179"/>
        <v>44.26</v>
      </c>
      <c r="JA110" s="558">
        <f t="shared" si="179"/>
        <v>21.4</v>
      </c>
      <c r="JB110" s="558">
        <f t="shared" si="179"/>
        <v>0</v>
      </c>
      <c r="JC110" s="558" t="str">
        <f t="shared" si="179"/>
        <v>.</v>
      </c>
      <c r="JD110" s="558" t="str">
        <f t="shared" si="179"/>
        <v>.</v>
      </c>
      <c r="JE110" s="558" t="str">
        <f t="shared" si="179"/>
        <v>.</v>
      </c>
      <c r="JF110" s="558" t="str">
        <f t="shared" si="179"/>
        <v>.</v>
      </c>
      <c r="JG110" s="558" t="str">
        <f t="shared" si="179"/>
        <v>.</v>
      </c>
      <c r="JH110" s="558" t="str">
        <f t="shared" si="179"/>
        <v>.</v>
      </c>
      <c r="JI110" s="558" t="str">
        <f t="shared" si="179"/>
        <v>.</v>
      </c>
      <c r="JJ110" s="558" t="str">
        <f t="shared" si="179"/>
        <v>.</v>
      </c>
      <c r="JK110" s="558" t="str">
        <f t="shared" si="179"/>
        <v>.</v>
      </c>
      <c r="JL110" s="558" t="str">
        <f t="shared" si="179"/>
        <v>.</v>
      </c>
    </row>
    <row r="111" spans="1:272" ht="10.199999999999999" x14ac:dyDescent="0.2">
      <c r="A111" s="534">
        <f xml:space="preserve"> Basis!A111</f>
        <v>111</v>
      </c>
      <c r="F111" s="536">
        <f xml:space="preserve"> ROUND(    IF( $A$15=BE_MF_,   AW111,   INDEX( qx!111:111, F$16 ) ),    F$17    )</f>
        <v>0.32850000000000001</v>
      </c>
      <c r="G111" s="536">
        <f xml:space="preserve"> ROUND(    IF( $A$15=BE_MF_,   BB111,   INDEX( wx!111:111, G$16 ) ),    G$17    )</f>
        <v>1.4E-3</v>
      </c>
      <c r="H111" s="537">
        <f xml:space="preserve"> ROUND(    IF( $A$15=BE_MF_,   BG111,   INDEX( Kx!111:111, H$16 ) ),    H$17    )</f>
        <v>11627.75</v>
      </c>
      <c r="I111" s="538">
        <f t="shared" si="171"/>
        <v>11627.75</v>
      </c>
      <c r="J111" s="539">
        <f t="shared" si="137"/>
        <v>5.5960000000000001</v>
      </c>
      <c r="K111" s="540">
        <f t="shared" si="172"/>
        <v>0</v>
      </c>
      <c r="L111" s="541">
        <f t="shared" si="189"/>
        <v>0</v>
      </c>
      <c r="M111" s="541">
        <f t="shared" si="189"/>
        <v>8.5999999999999993E-2</v>
      </c>
      <c r="O111" s="542" t="b">
        <f t="shared" si="173"/>
        <v>0</v>
      </c>
      <c r="P111" s="493" t="str">
        <f t="shared" si="138"/>
        <v>.</v>
      </c>
      <c r="Q111" s="493" t="str">
        <f t="shared" si="139"/>
        <v>.</v>
      </c>
      <c r="R111" s="543" t="str">
        <f t="shared" si="140"/>
        <v>.</v>
      </c>
      <c r="S111" s="544" t="str">
        <f t="shared" si="141"/>
        <v>.</v>
      </c>
      <c r="T111" s="423" t="str">
        <f t="shared" si="142"/>
        <v>.</v>
      </c>
      <c r="U111" s="423" t="str">
        <f xml:space="preserve"> IF( $O111,    ROUND(  SUM( T111:T$120), U$17 ),  LEER  )</f>
        <v>.</v>
      </c>
      <c r="V111" s="493" t="str">
        <f t="shared" si="143"/>
        <v>.</v>
      </c>
      <c r="W111" s="493" t="str">
        <f t="shared" si="144"/>
        <v>.</v>
      </c>
      <c r="X111" s="493" t="str">
        <f xml:space="preserve"> IF( $O111,    ROUND(  SUM( W111:W$120), X$17 ),  LEER  )</f>
        <v>.</v>
      </c>
      <c r="Y111" s="493" t="str">
        <f t="shared" si="145"/>
        <v>.</v>
      </c>
      <c r="Z111" s="493" t="str">
        <f t="shared" si="146"/>
        <v>.</v>
      </c>
      <c r="AA111" s="493" t="str">
        <f t="shared" si="147"/>
        <v>.</v>
      </c>
      <c r="AB111" s="493" t="str">
        <f t="shared" si="148"/>
        <v>.</v>
      </c>
      <c r="AC111" s="545" t="str">
        <f t="shared" si="149"/>
        <v>.</v>
      </c>
      <c r="AD111" s="493" t="str">
        <f t="shared" si="150"/>
        <v>.</v>
      </c>
      <c r="AE111" s="493" t="str">
        <f t="shared" si="151"/>
        <v>.</v>
      </c>
      <c r="AF111" s="493" t="str">
        <f t="shared" si="152"/>
        <v>.</v>
      </c>
      <c r="AG111" s="493" t="str">
        <f t="shared" si="153"/>
        <v>.</v>
      </c>
      <c r="AH111" s="493" t="str">
        <f t="shared" si="154"/>
        <v>.</v>
      </c>
      <c r="AI111" s="423" t="str">
        <f t="shared" si="155"/>
        <v>.</v>
      </c>
      <c r="AJ111" s="423" t="str">
        <f t="shared" si="156"/>
        <v>.</v>
      </c>
      <c r="AK111" s="423" t="str">
        <f t="shared" si="157"/>
        <v>.</v>
      </c>
      <c r="AN111" s="423" t="str">
        <f t="shared" si="184"/>
        <v>.</v>
      </c>
      <c r="AO111" s="423" t="str">
        <f t="shared" si="184"/>
        <v>.</v>
      </c>
      <c r="AR111" s="546">
        <f xml:space="preserve"> ROUND(  INDEX( Kx!111:111, AR$16 ),  AR$17 )</f>
        <v>0.24679999999999999</v>
      </c>
      <c r="AS111" s="547">
        <f xml:space="preserve"> ROUND(  INDEX( qx!111:111, AS$16 ),  AS$17 )</f>
        <v>0.34460000000000002</v>
      </c>
      <c r="AT111" s="547">
        <f xml:space="preserve"> ROUND(  INDEX( qx!111:111, AT$16 ),  AT$17 )</f>
        <v>0.32500000000000001</v>
      </c>
      <c r="AU111" s="548" t="str">
        <f t="shared" si="158"/>
        <v>F</v>
      </c>
      <c r="AV111" s="542">
        <f t="shared" si="159"/>
        <v>0.17929999999999999</v>
      </c>
      <c r="AW111" s="542">
        <f t="shared" si="160"/>
        <v>0.32850000000000001</v>
      </c>
      <c r="AX111" s="546">
        <f xml:space="preserve"> ROUND(  INDEX( wx!111:111, AX$16 ),  AX$17 )</f>
        <v>0</v>
      </c>
      <c r="AY111" s="546">
        <f xml:space="preserve"> ROUND(  INDEX( wx!111:111, AY$16 ),  AY$17 )</f>
        <v>2.0999999999999999E-3</v>
      </c>
      <c r="AZ111" s="548" t="str">
        <f t="shared" si="161"/>
        <v>M</v>
      </c>
      <c r="BA111" s="542">
        <f t="shared" si="162"/>
        <v>0.32950000000000002</v>
      </c>
      <c r="BB111" s="542">
        <f t="shared" si="163"/>
        <v>1.4E-3</v>
      </c>
      <c r="BC111" s="533">
        <f xml:space="preserve"> ROUND(  INDEX( Kx!111:111, BC$16 ),  BC$17 )</f>
        <v>14129.21</v>
      </c>
      <c r="BD111" s="533">
        <f xml:space="preserve"> ROUND(  INDEX( Kx!111:111, BD$16 ),  BD$17 )</f>
        <v>10398.469999999999</v>
      </c>
      <c r="BE111" s="548" t="str">
        <f t="shared" si="174"/>
        <v>M</v>
      </c>
      <c r="BF111" s="542">
        <f t="shared" si="164"/>
        <v>0.32950000000000002</v>
      </c>
      <c r="BG111" s="420">
        <f t="shared" si="165"/>
        <v>11627.75</v>
      </c>
      <c r="BQ111" s="549"/>
      <c r="BR111" s="423"/>
      <c r="BS111" s="550"/>
      <c r="BT111" s="423"/>
      <c r="BU111" s="551"/>
      <c r="BV111" s="551"/>
      <c r="BW111" s="529"/>
      <c r="BX111" s="552"/>
      <c r="BY111" s="560"/>
      <c r="BZ111" s="559"/>
      <c r="CB111" s="423"/>
      <c r="CC111" s="423"/>
      <c r="CD111" s="423"/>
      <c r="CE111" s="423"/>
      <c r="CF111" s="553"/>
      <c r="CH111" s="423"/>
      <c r="CI111" s="423"/>
      <c r="CJ111" s="423"/>
      <c r="CK111" s="423"/>
      <c r="CL111" s="553"/>
      <c r="CN111" s="423"/>
      <c r="CO111" s="423"/>
      <c r="CP111" s="423"/>
      <c r="CQ111" s="423"/>
      <c r="CR111" s="553"/>
      <c r="EI111" s="553"/>
      <c r="EJ111" s="553"/>
      <c r="EK111" s="423"/>
      <c r="EL111" s="555"/>
      <c r="ES111" s="533"/>
      <c r="ET111" s="533"/>
      <c r="EU111" s="533"/>
      <c r="EV111" s="556"/>
      <c r="EY111" s="533"/>
      <c r="EZ111" s="533"/>
      <c r="FA111" s="556"/>
      <c r="FD111" s="556"/>
      <c r="FE111" s="556"/>
      <c r="FF111" s="556"/>
      <c r="FK111" s="557">
        <f t="shared" si="166"/>
        <v>111</v>
      </c>
      <c r="FL111" s="493" t="str">
        <f t="shared" si="167"/>
        <v>.</v>
      </c>
      <c r="FM111" s="493" t="str">
        <f t="shared" si="168"/>
        <v>.</v>
      </c>
      <c r="FO111" s="427">
        <f t="shared" si="175"/>
        <v>0</v>
      </c>
      <c r="FP111" s="558" t="str">
        <f t="shared" si="185"/>
        <v>.</v>
      </c>
      <c r="FQ111" s="558" t="str">
        <f t="shared" si="185"/>
        <v>.</v>
      </c>
      <c r="FR111" s="558" t="str">
        <f t="shared" si="185"/>
        <v>.</v>
      </c>
      <c r="FS111" s="558" t="str">
        <f t="shared" si="185"/>
        <v>.</v>
      </c>
      <c r="FT111" s="558" t="str">
        <f t="shared" si="185"/>
        <v>.</v>
      </c>
      <c r="FU111" s="558" t="str">
        <f t="shared" si="185"/>
        <v>.</v>
      </c>
      <c r="FV111" s="558" t="str">
        <f t="shared" si="185"/>
        <v>.</v>
      </c>
      <c r="FW111" s="558" t="str">
        <f t="shared" si="185"/>
        <v>.</v>
      </c>
      <c r="FX111" s="558" t="str">
        <f t="shared" si="185"/>
        <v>.</v>
      </c>
      <c r="FY111" s="558" t="str">
        <f t="shared" si="185"/>
        <v>.</v>
      </c>
      <c r="FZ111" s="558" t="str">
        <f t="shared" si="185"/>
        <v>.</v>
      </c>
      <c r="GA111" s="558" t="str">
        <f t="shared" si="185"/>
        <v>.</v>
      </c>
      <c r="GB111" s="558" t="str">
        <f t="shared" si="185"/>
        <v>.</v>
      </c>
      <c r="GC111" s="558" t="str">
        <f t="shared" si="185"/>
        <v>.</v>
      </c>
      <c r="GD111" s="558" t="str">
        <f t="shared" si="185"/>
        <v>.</v>
      </c>
      <c r="GE111" s="558" t="str">
        <f t="shared" si="185"/>
        <v>.</v>
      </c>
      <c r="GF111" s="558" t="str">
        <f t="shared" si="182"/>
        <v>.</v>
      </c>
      <c r="GG111" s="558" t="str">
        <f t="shared" si="182"/>
        <v>.</v>
      </c>
      <c r="GH111" s="558" t="str">
        <f t="shared" si="182"/>
        <v>.</v>
      </c>
      <c r="GI111" s="558" t="str">
        <f t="shared" si="182"/>
        <v>.</v>
      </c>
      <c r="GJ111" s="558" t="str">
        <f t="shared" si="182"/>
        <v>.</v>
      </c>
      <c r="GK111" s="558" t="str">
        <f t="shared" si="182"/>
        <v>.</v>
      </c>
      <c r="GL111" s="558" t="str">
        <f t="shared" si="182"/>
        <v>.</v>
      </c>
      <c r="GM111" s="558" t="str">
        <f t="shared" si="182"/>
        <v>.</v>
      </c>
      <c r="GN111" s="558" t="str">
        <f t="shared" si="182"/>
        <v>.</v>
      </c>
      <c r="GO111" s="558" t="str">
        <f t="shared" si="182"/>
        <v>.</v>
      </c>
      <c r="GP111" s="558" t="str">
        <f t="shared" si="182"/>
        <v>.</v>
      </c>
      <c r="GQ111" s="558" t="str">
        <f t="shared" si="182"/>
        <v>.</v>
      </c>
      <c r="GR111" s="558" t="str">
        <f t="shared" si="182"/>
        <v>.</v>
      </c>
      <c r="GS111" s="558" t="str">
        <f t="shared" si="182"/>
        <v>.</v>
      </c>
      <c r="GT111" s="558" t="str">
        <f t="shared" si="182"/>
        <v>.</v>
      </c>
      <c r="GU111" s="558" t="str">
        <f t="shared" si="186"/>
        <v>.</v>
      </c>
      <c r="GV111" s="558" t="str">
        <f t="shared" si="186"/>
        <v>.</v>
      </c>
      <c r="GW111" s="558" t="str">
        <f t="shared" si="186"/>
        <v>.</v>
      </c>
      <c r="GX111" s="558" t="str">
        <f t="shared" si="186"/>
        <v>.</v>
      </c>
      <c r="GY111" s="558" t="str">
        <f t="shared" si="186"/>
        <v>.</v>
      </c>
      <c r="GZ111" s="558" t="str">
        <f t="shared" si="186"/>
        <v>.</v>
      </c>
      <c r="HA111" s="558" t="str">
        <f t="shared" si="186"/>
        <v>.</v>
      </c>
      <c r="HB111" s="558" t="str">
        <f t="shared" si="186"/>
        <v>.</v>
      </c>
      <c r="HC111" s="558" t="str">
        <f t="shared" si="186"/>
        <v>.</v>
      </c>
      <c r="HD111" s="558" t="str">
        <f t="shared" si="186"/>
        <v>.</v>
      </c>
      <c r="HE111" s="558" t="str">
        <f t="shared" si="186"/>
        <v>.</v>
      </c>
      <c r="HF111" s="558" t="str">
        <f t="shared" si="186"/>
        <v>.</v>
      </c>
      <c r="HG111" s="558" t="str">
        <f t="shared" si="186"/>
        <v>.</v>
      </c>
      <c r="HH111" s="558" t="str">
        <f t="shared" si="186"/>
        <v>.</v>
      </c>
      <c r="HI111" s="558" t="str">
        <f t="shared" si="186"/>
        <v>.</v>
      </c>
      <c r="HJ111" s="558" t="str">
        <f t="shared" si="186"/>
        <v>.</v>
      </c>
      <c r="HK111" s="558" t="str">
        <f t="shared" si="183"/>
        <v>.</v>
      </c>
      <c r="HL111" s="558" t="str">
        <f t="shared" si="183"/>
        <v>.</v>
      </c>
      <c r="HM111" s="558" t="str">
        <f t="shared" si="183"/>
        <v>.</v>
      </c>
      <c r="HN111" s="558" t="str">
        <f t="shared" si="183"/>
        <v>.</v>
      </c>
      <c r="HO111" s="558" t="str">
        <f t="shared" si="183"/>
        <v>.</v>
      </c>
      <c r="HP111" s="558" t="str">
        <f t="shared" si="183"/>
        <v>.</v>
      </c>
      <c r="HQ111" s="558" t="str">
        <f t="shared" si="183"/>
        <v>.</v>
      </c>
      <c r="HR111" s="558" t="str">
        <f t="shared" si="183"/>
        <v>.</v>
      </c>
      <c r="HS111" s="558" t="str">
        <f t="shared" si="183"/>
        <v>.</v>
      </c>
      <c r="HT111" s="558" t="str">
        <f t="shared" si="183"/>
        <v>.</v>
      </c>
      <c r="HU111" s="558" t="str">
        <f t="shared" si="183"/>
        <v>.</v>
      </c>
      <c r="HV111" s="558" t="str">
        <f t="shared" si="183"/>
        <v>.</v>
      </c>
      <c r="HW111" s="558" t="str">
        <f t="shared" si="183"/>
        <v>.</v>
      </c>
      <c r="HX111" s="558" t="str">
        <f t="shared" si="183"/>
        <v>.</v>
      </c>
      <c r="HY111" s="558" t="str">
        <f t="shared" si="183"/>
        <v>.</v>
      </c>
      <c r="HZ111" s="558" t="str">
        <f t="shared" si="192"/>
        <v>.</v>
      </c>
      <c r="IA111" s="558" t="str">
        <f t="shared" si="192"/>
        <v>.</v>
      </c>
      <c r="IB111" s="558" t="str">
        <f t="shared" si="192"/>
        <v>.</v>
      </c>
      <c r="IC111" s="558" t="str">
        <f t="shared" si="192"/>
        <v>.</v>
      </c>
      <c r="ID111" s="558" t="str">
        <f t="shared" si="192"/>
        <v>.</v>
      </c>
      <c r="IE111" s="558" t="str">
        <f t="shared" si="192"/>
        <v>.</v>
      </c>
      <c r="IF111" s="558" t="str">
        <f t="shared" si="192"/>
        <v>.</v>
      </c>
      <c r="IG111" s="558" t="str">
        <f t="shared" si="192"/>
        <v>.</v>
      </c>
      <c r="IH111" s="558" t="str">
        <f t="shared" si="192"/>
        <v>.</v>
      </c>
      <c r="II111" s="558" t="str">
        <f t="shared" si="192"/>
        <v>.</v>
      </c>
      <c r="IJ111" s="558" t="str">
        <f t="shared" si="192"/>
        <v>.</v>
      </c>
      <c r="IK111" s="558" t="str">
        <f t="shared" si="192"/>
        <v>.</v>
      </c>
      <c r="IL111" s="558" t="str">
        <f t="shared" si="192"/>
        <v>.</v>
      </c>
      <c r="IM111" s="558" t="str">
        <f t="shared" si="192"/>
        <v>.</v>
      </c>
      <c r="IN111" s="558" t="str">
        <f t="shared" si="192"/>
        <v>.</v>
      </c>
      <c r="IO111" s="558" t="str">
        <f t="shared" si="192"/>
        <v>.</v>
      </c>
      <c r="IP111" s="558" t="str">
        <f t="shared" si="192"/>
        <v>.</v>
      </c>
      <c r="IQ111" s="558" t="str">
        <f t="shared" si="192"/>
        <v>.</v>
      </c>
      <c r="IR111" s="558" t="str">
        <f t="shared" si="194"/>
        <v>.</v>
      </c>
      <c r="IS111" s="558" t="str">
        <f t="shared" si="194"/>
        <v>.</v>
      </c>
      <c r="IT111" s="558" t="str">
        <f t="shared" si="194"/>
        <v>.</v>
      </c>
      <c r="IU111" s="558" t="str">
        <f t="shared" si="194"/>
        <v>.</v>
      </c>
      <c r="IV111" s="558" t="str">
        <f t="shared" si="194"/>
        <v>.</v>
      </c>
      <c r="IW111" s="558" t="str">
        <f t="shared" si="179"/>
        <v>.</v>
      </c>
      <c r="IX111" s="558" t="str">
        <f t="shared" si="179"/>
        <v>.</v>
      </c>
      <c r="IY111" s="558" t="str">
        <f t="shared" si="179"/>
        <v>.</v>
      </c>
      <c r="IZ111" s="558" t="str">
        <f t="shared" si="179"/>
        <v>.</v>
      </c>
      <c r="JA111" s="558" t="str">
        <f t="shared" si="179"/>
        <v>.</v>
      </c>
      <c r="JB111" s="558" t="str">
        <f t="shared" si="179"/>
        <v>.</v>
      </c>
      <c r="JC111" s="558" t="str">
        <f t="shared" si="179"/>
        <v>.</v>
      </c>
      <c r="JD111" s="558" t="str">
        <f t="shared" si="179"/>
        <v>.</v>
      </c>
      <c r="JE111" s="558" t="str">
        <f t="shared" si="179"/>
        <v>.</v>
      </c>
      <c r="JF111" s="558" t="str">
        <f t="shared" si="179"/>
        <v>.</v>
      </c>
      <c r="JG111" s="558" t="str">
        <f t="shared" si="179"/>
        <v>.</v>
      </c>
      <c r="JH111" s="558" t="str">
        <f t="shared" si="179"/>
        <v>.</v>
      </c>
      <c r="JI111" s="558" t="str">
        <f t="shared" si="179"/>
        <v>.</v>
      </c>
      <c r="JJ111" s="558" t="str">
        <f t="shared" si="179"/>
        <v>.</v>
      </c>
      <c r="JK111" s="558" t="str">
        <f t="shared" si="179"/>
        <v>.</v>
      </c>
      <c r="JL111" s="558" t="str">
        <f t="shared" si="179"/>
        <v>.</v>
      </c>
    </row>
    <row r="112" spans="1:272" ht="10.199999999999999" x14ac:dyDescent="0.2">
      <c r="A112" s="534">
        <f xml:space="preserve"> Basis!A112</f>
        <v>112</v>
      </c>
      <c r="F112" s="536">
        <f xml:space="preserve"> ROUND(    IF( $A$15=BE_MF_,   AW112,   INDEX( qx!112:112, F$16 ) ),    F$17    )</f>
        <v>0.33439999999999998</v>
      </c>
      <c r="G112" s="536">
        <f xml:space="preserve"> ROUND(    IF( $A$15=BE_MF_,   BB112,   INDEX( wx!112:112, G$16 ) ),    G$17    )</f>
        <v>1.4E-3</v>
      </c>
      <c r="H112" s="537">
        <f xml:space="preserve"> ROUND(    IF( $A$15=BE_MF_,   BG112,   INDEX( Kx!112:112, H$16 ) ),    H$17    )</f>
        <v>11662.21</v>
      </c>
      <c r="I112" s="538">
        <f t="shared" si="171"/>
        <v>11662.21</v>
      </c>
      <c r="J112" s="539">
        <f t="shared" si="137"/>
        <v>5.6130000000000004</v>
      </c>
      <c r="K112" s="540">
        <f t="shared" si="172"/>
        <v>0</v>
      </c>
      <c r="L112" s="541">
        <f t="shared" si="189"/>
        <v>0</v>
      </c>
      <c r="M112" s="541">
        <f t="shared" si="189"/>
        <v>8.5999999999999993E-2</v>
      </c>
      <c r="O112" s="542" t="b">
        <f t="shared" si="173"/>
        <v>0</v>
      </c>
      <c r="P112" s="493" t="str">
        <f t="shared" si="138"/>
        <v>.</v>
      </c>
      <c r="Q112" s="493" t="str">
        <f t="shared" si="139"/>
        <v>.</v>
      </c>
      <c r="R112" s="543" t="str">
        <f t="shared" si="140"/>
        <v>.</v>
      </c>
      <c r="S112" s="544" t="str">
        <f t="shared" si="141"/>
        <v>.</v>
      </c>
      <c r="T112" s="423" t="str">
        <f t="shared" si="142"/>
        <v>.</v>
      </c>
      <c r="U112" s="423" t="str">
        <f xml:space="preserve"> IF( $O112,    ROUND(  SUM( T112:T$120), U$17 ),  LEER  )</f>
        <v>.</v>
      </c>
      <c r="V112" s="493" t="str">
        <f t="shared" si="143"/>
        <v>.</v>
      </c>
      <c r="W112" s="493" t="str">
        <f t="shared" si="144"/>
        <v>.</v>
      </c>
      <c r="X112" s="493" t="str">
        <f xml:space="preserve"> IF( $O112,    ROUND(  SUM( W112:W$120), X$17 ),  LEER  )</f>
        <v>.</v>
      </c>
      <c r="Y112" s="493" t="str">
        <f t="shared" si="145"/>
        <v>.</v>
      </c>
      <c r="Z112" s="493" t="str">
        <f t="shared" si="146"/>
        <v>.</v>
      </c>
      <c r="AA112" s="493" t="str">
        <f t="shared" si="147"/>
        <v>.</v>
      </c>
      <c r="AB112" s="493" t="str">
        <f t="shared" si="148"/>
        <v>.</v>
      </c>
      <c r="AC112" s="545" t="str">
        <f t="shared" si="149"/>
        <v>.</v>
      </c>
      <c r="AD112" s="493" t="str">
        <f t="shared" si="150"/>
        <v>.</v>
      </c>
      <c r="AE112" s="493" t="str">
        <f t="shared" si="151"/>
        <v>.</v>
      </c>
      <c r="AF112" s="493" t="str">
        <f t="shared" si="152"/>
        <v>.</v>
      </c>
      <c r="AG112" s="493" t="str">
        <f t="shared" si="153"/>
        <v>.</v>
      </c>
      <c r="AH112" s="493" t="str">
        <f t="shared" si="154"/>
        <v>.</v>
      </c>
      <c r="AI112" s="423" t="str">
        <f t="shared" si="155"/>
        <v>.</v>
      </c>
      <c r="AJ112" s="423" t="str">
        <f t="shared" si="156"/>
        <v>.</v>
      </c>
      <c r="AK112" s="423" t="str">
        <f t="shared" si="157"/>
        <v>.</v>
      </c>
      <c r="AN112" s="423" t="str">
        <f t="shared" si="184"/>
        <v>.</v>
      </c>
      <c r="AO112" s="423" t="str">
        <f t="shared" si="184"/>
        <v>.</v>
      </c>
      <c r="AR112" s="546">
        <f xml:space="preserve"> ROUND(  INDEX( Kx!112:112, AR$16 ),  AR$17 )</f>
        <v>0.24679999999999999</v>
      </c>
      <c r="AS112" s="547">
        <f xml:space="preserve"> ROUND(  INDEX( qx!112:112, AS$16 ),  AS$17 )</f>
        <v>0.35110000000000002</v>
      </c>
      <c r="AT112" s="547">
        <f xml:space="preserve"> ROUND(  INDEX( qx!112:112, AT$16 ),  AT$17 )</f>
        <v>0.33069999999999999</v>
      </c>
      <c r="AU112" s="548" t="str">
        <f t="shared" si="158"/>
        <v>F</v>
      </c>
      <c r="AV112" s="542">
        <f t="shared" si="159"/>
        <v>0.17929999999999999</v>
      </c>
      <c r="AW112" s="542">
        <f t="shared" si="160"/>
        <v>0.33439999999999998</v>
      </c>
      <c r="AX112" s="546">
        <f xml:space="preserve"> ROUND(  INDEX( wx!112:112, AX$16 ),  AX$17 )</f>
        <v>0</v>
      </c>
      <c r="AY112" s="546">
        <f xml:space="preserve"> ROUND(  INDEX( wx!112:112, AY$16 ),  AY$17 )</f>
        <v>2.0999999999999999E-3</v>
      </c>
      <c r="AZ112" s="548" t="str">
        <f t="shared" si="161"/>
        <v>M</v>
      </c>
      <c r="BA112" s="542">
        <f t="shared" si="162"/>
        <v>0.32950000000000002</v>
      </c>
      <c r="BB112" s="542">
        <f t="shared" si="163"/>
        <v>1.4E-3</v>
      </c>
      <c r="BC112" s="533">
        <f xml:space="preserve"> ROUND(  INDEX( Kx!112:112, BC$16 ),  BC$17 )</f>
        <v>14207.9</v>
      </c>
      <c r="BD112" s="533">
        <f xml:space="preserve"> ROUND(  INDEX( Kx!112:112, BD$16 ),  BD$17 )</f>
        <v>10411.19</v>
      </c>
      <c r="BE112" s="548" t="str">
        <f t="shared" si="174"/>
        <v>M</v>
      </c>
      <c r="BF112" s="542">
        <f t="shared" si="164"/>
        <v>0.32950000000000002</v>
      </c>
      <c r="BG112" s="420">
        <f t="shared" si="165"/>
        <v>11662.21</v>
      </c>
      <c r="BQ112" s="549"/>
      <c r="BR112" s="423"/>
      <c r="BS112" s="550"/>
      <c r="BT112" s="423"/>
      <c r="BU112" s="551"/>
      <c r="BV112" s="551"/>
      <c r="BW112" s="529"/>
      <c r="BX112" s="552"/>
      <c r="BY112" s="560"/>
      <c r="BZ112" s="559"/>
      <c r="CB112" s="423"/>
      <c r="CC112" s="423"/>
      <c r="CD112" s="423"/>
      <c r="CE112" s="423"/>
      <c r="CF112" s="553"/>
      <c r="CH112" s="423"/>
      <c r="CI112" s="423"/>
      <c r="CJ112" s="423"/>
      <c r="CK112" s="423"/>
      <c r="CL112" s="553"/>
      <c r="CN112" s="423"/>
      <c r="CO112" s="423"/>
      <c r="CP112" s="423"/>
      <c r="CQ112" s="423"/>
      <c r="CR112" s="553"/>
      <c r="EI112" s="553"/>
      <c r="EJ112" s="553"/>
      <c r="EK112" s="423"/>
      <c r="EL112" s="555"/>
      <c r="ES112" s="533"/>
      <c r="ET112" s="533"/>
      <c r="EU112" s="533"/>
      <c r="EV112" s="556"/>
      <c r="EY112" s="533"/>
      <c r="EZ112" s="533"/>
      <c r="FA112" s="556"/>
      <c r="FD112" s="556"/>
      <c r="FE112" s="556"/>
      <c r="FF112" s="556"/>
      <c r="FK112" s="557">
        <f t="shared" si="166"/>
        <v>112</v>
      </c>
      <c r="FL112" s="493" t="str">
        <f t="shared" si="167"/>
        <v>.</v>
      </c>
      <c r="FM112" s="493" t="str">
        <f t="shared" si="168"/>
        <v>.</v>
      </c>
      <c r="FO112" s="427">
        <f t="shared" si="175"/>
        <v>0</v>
      </c>
      <c r="FP112" s="558" t="str">
        <f t="shared" si="185"/>
        <v>.</v>
      </c>
      <c r="FQ112" s="558" t="str">
        <f t="shared" si="185"/>
        <v>.</v>
      </c>
      <c r="FR112" s="558" t="str">
        <f t="shared" si="185"/>
        <v>.</v>
      </c>
      <c r="FS112" s="558" t="str">
        <f t="shared" si="185"/>
        <v>.</v>
      </c>
      <c r="FT112" s="558" t="str">
        <f t="shared" si="185"/>
        <v>.</v>
      </c>
      <c r="FU112" s="558" t="str">
        <f t="shared" si="185"/>
        <v>.</v>
      </c>
      <c r="FV112" s="558" t="str">
        <f t="shared" si="185"/>
        <v>.</v>
      </c>
      <c r="FW112" s="558" t="str">
        <f t="shared" si="185"/>
        <v>.</v>
      </c>
      <c r="FX112" s="558" t="str">
        <f t="shared" si="185"/>
        <v>.</v>
      </c>
      <c r="FY112" s="558" t="str">
        <f t="shared" si="185"/>
        <v>.</v>
      </c>
      <c r="FZ112" s="558" t="str">
        <f t="shared" si="185"/>
        <v>.</v>
      </c>
      <c r="GA112" s="558" t="str">
        <f t="shared" si="185"/>
        <v>.</v>
      </c>
      <c r="GB112" s="558" t="str">
        <f t="shared" si="185"/>
        <v>.</v>
      </c>
      <c r="GC112" s="558" t="str">
        <f t="shared" si="185"/>
        <v>.</v>
      </c>
      <c r="GD112" s="558" t="str">
        <f t="shared" si="185"/>
        <v>.</v>
      </c>
      <c r="GE112" s="558" t="str">
        <f t="shared" si="185"/>
        <v>.</v>
      </c>
      <c r="GF112" s="558" t="str">
        <f t="shared" si="182"/>
        <v>.</v>
      </c>
      <c r="GG112" s="558" t="str">
        <f t="shared" si="182"/>
        <v>.</v>
      </c>
      <c r="GH112" s="558" t="str">
        <f t="shared" si="182"/>
        <v>.</v>
      </c>
      <c r="GI112" s="558" t="str">
        <f t="shared" si="182"/>
        <v>.</v>
      </c>
      <c r="GJ112" s="558" t="str">
        <f t="shared" si="182"/>
        <v>.</v>
      </c>
      <c r="GK112" s="558" t="str">
        <f t="shared" si="182"/>
        <v>.</v>
      </c>
      <c r="GL112" s="558" t="str">
        <f t="shared" si="182"/>
        <v>.</v>
      </c>
      <c r="GM112" s="558" t="str">
        <f t="shared" si="182"/>
        <v>.</v>
      </c>
      <c r="GN112" s="558" t="str">
        <f t="shared" si="182"/>
        <v>.</v>
      </c>
      <c r="GO112" s="558" t="str">
        <f t="shared" si="182"/>
        <v>.</v>
      </c>
      <c r="GP112" s="558" t="str">
        <f t="shared" si="182"/>
        <v>.</v>
      </c>
      <c r="GQ112" s="558" t="str">
        <f t="shared" si="182"/>
        <v>.</v>
      </c>
      <c r="GR112" s="558" t="str">
        <f t="shared" si="182"/>
        <v>.</v>
      </c>
      <c r="GS112" s="558" t="str">
        <f t="shared" si="182"/>
        <v>.</v>
      </c>
      <c r="GT112" s="558" t="str">
        <f t="shared" si="182"/>
        <v>.</v>
      </c>
      <c r="GU112" s="558" t="str">
        <f t="shared" si="186"/>
        <v>.</v>
      </c>
      <c r="GV112" s="558" t="str">
        <f t="shared" si="186"/>
        <v>.</v>
      </c>
      <c r="GW112" s="558" t="str">
        <f t="shared" si="186"/>
        <v>.</v>
      </c>
      <c r="GX112" s="558" t="str">
        <f t="shared" si="186"/>
        <v>.</v>
      </c>
      <c r="GY112" s="558" t="str">
        <f t="shared" si="186"/>
        <v>.</v>
      </c>
      <c r="GZ112" s="558" t="str">
        <f t="shared" si="186"/>
        <v>.</v>
      </c>
      <c r="HA112" s="558" t="str">
        <f t="shared" si="186"/>
        <v>.</v>
      </c>
      <c r="HB112" s="558" t="str">
        <f t="shared" si="186"/>
        <v>.</v>
      </c>
      <c r="HC112" s="558" t="str">
        <f t="shared" si="186"/>
        <v>.</v>
      </c>
      <c r="HD112" s="558" t="str">
        <f t="shared" si="186"/>
        <v>.</v>
      </c>
      <c r="HE112" s="558" t="str">
        <f t="shared" si="186"/>
        <v>.</v>
      </c>
      <c r="HF112" s="558" t="str">
        <f t="shared" si="186"/>
        <v>.</v>
      </c>
      <c r="HG112" s="558" t="str">
        <f t="shared" si="186"/>
        <v>.</v>
      </c>
      <c r="HH112" s="558" t="str">
        <f t="shared" si="186"/>
        <v>.</v>
      </c>
      <c r="HI112" s="558" t="str">
        <f t="shared" si="186"/>
        <v>.</v>
      </c>
      <c r="HJ112" s="558" t="str">
        <f t="shared" si="186"/>
        <v>.</v>
      </c>
      <c r="HK112" s="558" t="str">
        <f t="shared" si="183"/>
        <v>.</v>
      </c>
      <c r="HL112" s="558" t="str">
        <f t="shared" si="183"/>
        <v>.</v>
      </c>
      <c r="HM112" s="558" t="str">
        <f t="shared" si="183"/>
        <v>.</v>
      </c>
      <c r="HN112" s="558" t="str">
        <f t="shared" si="183"/>
        <v>.</v>
      </c>
      <c r="HO112" s="558" t="str">
        <f t="shared" si="183"/>
        <v>.</v>
      </c>
      <c r="HP112" s="558" t="str">
        <f t="shared" si="183"/>
        <v>.</v>
      </c>
      <c r="HQ112" s="558" t="str">
        <f t="shared" si="183"/>
        <v>.</v>
      </c>
      <c r="HR112" s="558" t="str">
        <f t="shared" si="183"/>
        <v>.</v>
      </c>
      <c r="HS112" s="558" t="str">
        <f t="shared" si="183"/>
        <v>.</v>
      </c>
      <c r="HT112" s="558" t="str">
        <f t="shared" si="183"/>
        <v>.</v>
      </c>
      <c r="HU112" s="558" t="str">
        <f t="shared" si="183"/>
        <v>.</v>
      </c>
      <c r="HV112" s="558" t="str">
        <f t="shared" si="183"/>
        <v>.</v>
      </c>
      <c r="HW112" s="558" t="str">
        <f t="shared" si="183"/>
        <v>.</v>
      </c>
      <c r="HX112" s="558" t="str">
        <f t="shared" si="183"/>
        <v>.</v>
      </c>
      <c r="HY112" s="558" t="str">
        <f t="shared" si="183"/>
        <v>.</v>
      </c>
      <c r="HZ112" s="558" t="str">
        <f t="shared" si="192"/>
        <v>.</v>
      </c>
      <c r="IA112" s="558" t="str">
        <f t="shared" si="192"/>
        <v>.</v>
      </c>
      <c r="IB112" s="558" t="str">
        <f t="shared" si="192"/>
        <v>.</v>
      </c>
      <c r="IC112" s="558" t="str">
        <f t="shared" si="192"/>
        <v>.</v>
      </c>
      <c r="ID112" s="558" t="str">
        <f t="shared" si="192"/>
        <v>.</v>
      </c>
      <c r="IE112" s="558" t="str">
        <f t="shared" si="192"/>
        <v>.</v>
      </c>
      <c r="IF112" s="558" t="str">
        <f t="shared" si="192"/>
        <v>.</v>
      </c>
      <c r="IG112" s="558" t="str">
        <f t="shared" si="192"/>
        <v>.</v>
      </c>
      <c r="IH112" s="558" t="str">
        <f t="shared" si="192"/>
        <v>.</v>
      </c>
      <c r="II112" s="558" t="str">
        <f t="shared" si="192"/>
        <v>.</v>
      </c>
      <c r="IJ112" s="558" t="str">
        <f t="shared" si="192"/>
        <v>.</v>
      </c>
      <c r="IK112" s="558" t="str">
        <f t="shared" si="192"/>
        <v>.</v>
      </c>
      <c r="IL112" s="558" t="str">
        <f t="shared" si="192"/>
        <v>.</v>
      </c>
      <c r="IM112" s="558" t="str">
        <f t="shared" si="192"/>
        <v>.</v>
      </c>
      <c r="IN112" s="558" t="str">
        <f t="shared" si="192"/>
        <v>.</v>
      </c>
      <c r="IO112" s="558" t="str">
        <f t="shared" si="192"/>
        <v>.</v>
      </c>
      <c r="IP112" s="558" t="str">
        <f t="shared" si="192"/>
        <v>.</v>
      </c>
      <c r="IQ112" s="558" t="str">
        <f t="shared" si="192"/>
        <v>.</v>
      </c>
      <c r="IR112" s="558" t="str">
        <f t="shared" si="194"/>
        <v>.</v>
      </c>
      <c r="IS112" s="558" t="str">
        <f t="shared" si="194"/>
        <v>.</v>
      </c>
      <c r="IT112" s="558" t="str">
        <f t="shared" si="194"/>
        <v>.</v>
      </c>
      <c r="IU112" s="558" t="str">
        <f t="shared" si="194"/>
        <v>.</v>
      </c>
      <c r="IV112" s="558" t="str">
        <f t="shared" si="194"/>
        <v>.</v>
      </c>
      <c r="IW112" s="558" t="str">
        <f t="shared" si="179"/>
        <v>.</v>
      </c>
      <c r="IX112" s="558" t="str">
        <f t="shared" si="179"/>
        <v>.</v>
      </c>
      <c r="IY112" s="558" t="str">
        <f t="shared" si="179"/>
        <v>.</v>
      </c>
      <c r="IZ112" s="558" t="str">
        <f t="shared" si="179"/>
        <v>.</v>
      </c>
      <c r="JA112" s="558" t="str">
        <f t="shared" si="179"/>
        <v>.</v>
      </c>
      <c r="JB112" s="558" t="str">
        <f t="shared" si="179"/>
        <v>.</v>
      </c>
      <c r="JC112" s="558" t="str">
        <f t="shared" si="179"/>
        <v>.</v>
      </c>
      <c r="JD112" s="558" t="str">
        <f t="shared" si="179"/>
        <v>.</v>
      </c>
      <c r="JE112" s="558" t="str">
        <f t="shared" si="179"/>
        <v>.</v>
      </c>
      <c r="JF112" s="558" t="str">
        <f t="shared" si="179"/>
        <v>.</v>
      </c>
      <c r="JG112" s="558" t="str">
        <f t="shared" si="179"/>
        <v>.</v>
      </c>
      <c r="JH112" s="558" t="str">
        <f t="shared" si="179"/>
        <v>.</v>
      </c>
      <c r="JI112" s="558" t="str">
        <f t="shared" si="179"/>
        <v>.</v>
      </c>
      <c r="JJ112" s="558" t="str">
        <f t="shared" si="179"/>
        <v>.</v>
      </c>
      <c r="JK112" s="558" t="str">
        <f t="shared" si="179"/>
        <v>.</v>
      </c>
      <c r="JL112" s="558" t="str">
        <f t="shared" si="179"/>
        <v>.</v>
      </c>
    </row>
    <row r="113" spans="1:272" ht="10.199999999999999" x14ac:dyDescent="0.2">
      <c r="A113" s="534">
        <f xml:space="preserve"> Basis!A113</f>
        <v>113</v>
      </c>
      <c r="F113" s="536">
        <f xml:space="preserve"> ROUND(    IF( $A$15=BE_MF_,   AW113,   INDEX( qx!113:113, F$16 ) ),    F$17    )</f>
        <v>0.3402</v>
      </c>
      <c r="G113" s="536">
        <f xml:space="preserve"> ROUND(    IF( $A$15=BE_MF_,   BB113,   INDEX( wx!113:113, G$16 ) ),    G$17    )</f>
        <v>1.4E-3</v>
      </c>
      <c r="H113" s="537">
        <f xml:space="preserve"> ROUND(    IF( $A$15=BE_MF_,   BG113,   INDEX( Kx!113:113, H$16 ) ),    H$17    )</f>
        <v>11696.66</v>
      </c>
      <c r="I113" s="538">
        <f t="shared" si="171"/>
        <v>11696.66</v>
      </c>
      <c r="J113" s="539">
        <f t="shared" si="137"/>
        <v>5.6289999999999996</v>
      </c>
      <c r="K113" s="540">
        <f t="shared" si="172"/>
        <v>0</v>
      </c>
      <c r="L113" s="541">
        <f t="shared" si="189"/>
        <v>0</v>
      </c>
      <c r="M113" s="541">
        <f t="shared" si="189"/>
        <v>8.5999999999999993E-2</v>
      </c>
      <c r="O113" s="542" t="b">
        <f t="shared" si="173"/>
        <v>0</v>
      </c>
      <c r="P113" s="493" t="str">
        <f t="shared" si="138"/>
        <v>.</v>
      </c>
      <c r="Q113" s="493" t="str">
        <f t="shared" si="139"/>
        <v>.</v>
      </c>
      <c r="R113" s="543" t="str">
        <f t="shared" si="140"/>
        <v>.</v>
      </c>
      <c r="S113" s="544" t="str">
        <f t="shared" si="141"/>
        <v>.</v>
      </c>
      <c r="T113" s="423" t="str">
        <f t="shared" si="142"/>
        <v>.</v>
      </c>
      <c r="U113" s="423" t="str">
        <f xml:space="preserve"> IF( $O113,    ROUND(  SUM( T113:T$120), U$17 ),  LEER  )</f>
        <v>.</v>
      </c>
      <c r="V113" s="493" t="str">
        <f t="shared" si="143"/>
        <v>.</v>
      </c>
      <c r="W113" s="493" t="str">
        <f t="shared" si="144"/>
        <v>.</v>
      </c>
      <c r="X113" s="493" t="str">
        <f xml:space="preserve"> IF( $O113,    ROUND(  SUM( W113:W$120), X$17 ),  LEER  )</f>
        <v>.</v>
      </c>
      <c r="Y113" s="493" t="str">
        <f t="shared" si="145"/>
        <v>.</v>
      </c>
      <c r="Z113" s="493" t="str">
        <f t="shared" si="146"/>
        <v>.</v>
      </c>
      <c r="AA113" s="493" t="str">
        <f t="shared" si="147"/>
        <v>.</v>
      </c>
      <c r="AB113" s="493" t="str">
        <f t="shared" si="148"/>
        <v>.</v>
      </c>
      <c r="AC113" s="545" t="str">
        <f t="shared" si="149"/>
        <v>.</v>
      </c>
      <c r="AD113" s="493" t="str">
        <f t="shared" si="150"/>
        <v>.</v>
      </c>
      <c r="AE113" s="493" t="str">
        <f t="shared" si="151"/>
        <v>.</v>
      </c>
      <c r="AF113" s="493" t="str">
        <f t="shared" si="152"/>
        <v>.</v>
      </c>
      <c r="AG113" s="493" t="str">
        <f t="shared" si="153"/>
        <v>.</v>
      </c>
      <c r="AH113" s="493" t="str">
        <f t="shared" si="154"/>
        <v>.</v>
      </c>
      <c r="AI113" s="423" t="str">
        <f t="shared" si="155"/>
        <v>.</v>
      </c>
      <c r="AJ113" s="423" t="str">
        <f t="shared" si="156"/>
        <v>.</v>
      </c>
      <c r="AK113" s="423" t="str">
        <f t="shared" si="157"/>
        <v>.</v>
      </c>
      <c r="AN113" s="423" t="str">
        <f t="shared" si="184"/>
        <v>.</v>
      </c>
      <c r="AO113" s="423" t="str">
        <f t="shared" si="184"/>
        <v>.</v>
      </c>
      <c r="AR113" s="546">
        <f xml:space="preserve"> ROUND(  INDEX( Kx!113:113, AR$16 ),  AR$17 )</f>
        <v>0.24679999999999999</v>
      </c>
      <c r="AS113" s="547">
        <f xml:space="preserve"> ROUND(  INDEX( qx!113:113, AS$16 ),  AS$17 )</f>
        <v>0.35770000000000002</v>
      </c>
      <c r="AT113" s="547">
        <f xml:space="preserve"> ROUND(  INDEX( qx!113:113, AT$16 ),  AT$17 )</f>
        <v>0.33639999999999998</v>
      </c>
      <c r="AU113" s="548" t="str">
        <f t="shared" si="158"/>
        <v>F</v>
      </c>
      <c r="AV113" s="542">
        <f t="shared" si="159"/>
        <v>0.17929999999999999</v>
      </c>
      <c r="AW113" s="542">
        <f t="shared" si="160"/>
        <v>0.3402</v>
      </c>
      <c r="AX113" s="546">
        <f xml:space="preserve"> ROUND(  INDEX( wx!113:113, AX$16 ),  AX$17 )</f>
        <v>0</v>
      </c>
      <c r="AY113" s="546">
        <f xml:space="preserve"> ROUND(  INDEX( wx!113:113, AY$16 ),  AY$17 )</f>
        <v>2.0999999999999999E-3</v>
      </c>
      <c r="AZ113" s="548" t="str">
        <f t="shared" si="161"/>
        <v>M</v>
      </c>
      <c r="BA113" s="542">
        <f t="shared" si="162"/>
        <v>0.32950000000000002</v>
      </c>
      <c r="BB113" s="542">
        <f t="shared" si="163"/>
        <v>1.4E-3</v>
      </c>
      <c r="BC113" s="533">
        <f xml:space="preserve"> ROUND(  INDEX( Kx!113:113, BC$16 ),  BC$17 )</f>
        <v>14286.59</v>
      </c>
      <c r="BD113" s="533">
        <f xml:space="preserve"> ROUND(  INDEX( Kx!113:113, BD$16 ),  BD$17 )</f>
        <v>10423.91</v>
      </c>
      <c r="BE113" s="548" t="str">
        <f t="shared" si="174"/>
        <v>M</v>
      </c>
      <c r="BF113" s="542">
        <f t="shared" si="164"/>
        <v>0.32950000000000002</v>
      </c>
      <c r="BG113" s="420">
        <f t="shared" si="165"/>
        <v>11696.66</v>
      </c>
      <c r="BQ113" s="549"/>
      <c r="BR113" s="423"/>
      <c r="BS113" s="550"/>
      <c r="BT113" s="423"/>
      <c r="BU113" s="551"/>
      <c r="BV113" s="551"/>
      <c r="BW113" s="529"/>
      <c r="BX113" s="552"/>
      <c r="BY113" s="560"/>
      <c r="BZ113" s="559"/>
      <c r="CB113" s="423"/>
      <c r="CC113" s="423"/>
      <c r="CD113" s="423"/>
      <c r="CE113" s="423"/>
      <c r="CF113" s="553"/>
      <c r="CH113" s="423"/>
      <c r="CI113" s="423"/>
      <c r="CJ113" s="423"/>
      <c r="CK113" s="423"/>
      <c r="CL113" s="553"/>
      <c r="CN113" s="423"/>
      <c r="CO113" s="423"/>
      <c r="CP113" s="423"/>
      <c r="CQ113" s="423"/>
      <c r="CR113" s="553"/>
      <c r="EI113" s="553"/>
      <c r="EJ113" s="553"/>
      <c r="EK113" s="423"/>
      <c r="EL113" s="555"/>
      <c r="ES113" s="533"/>
      <c r="ET113" s="533"/>
      <c r="EU113" s="533"/>
      <c r="EV113" s="556"/>
      <c r="EY113" s="533"/>
      <c r="EZ113" s="533"/>
      <c r="FA113" s="556"/>
      <c r="FD113" s="556"/>
      <c r="FE113" s="556"/>
      <c r="FF113" s="556"/>
      <c r="FK113" s="557">
        <f t="shared" si="166"/>
        <v>113</v>
      </c>
      <c r="FL113" s="493" t="str">
        <f t="shared" si="167"/>
        <v>.</v>
      </c>
      <c r="FM113" s="493" t="str">
        <f t="shared" si="168"/>
        <v>.</v>
      </c>
      <c r="FO113" s="427">
        <f t="shared" si="175"/>
        <v>0</v>
      </c>
      <c r="FP113" s="558" t="str">
        <f t="shared" si="185"/>
        <v>.</v>
      </c>
      <c r="FQ113" s="558" t="str">
        <f t="shared" si="185"/>
        <v>.</v>
      </c>
      <c r="FR113" s="558" t="str">
        <f t="shared" si="185"/>
        <v>.</v>
      </c>
      <c r="FS113" s="558" t="str">
        <f t="shared" si="185"/>
        <v>.</v>
      </c>
      <c r="FT113" s="558" t="str">
        <f t="shared" si="185"/>
        <v>.</v>
      </c>
      <c r="FU113" s="558" t="str">
        <f t="shared" si="185"/>
        <v>.</v>
      </c>
      <c r="FV113" s="558" t="str">
        <f t="shared" si="185"/>
        <v>.</v>
      </c>
      <c r="FW113" s="558" t="str">
        <f t="shared" si="185"/>
        <v>.</v>
      </c>
      <c r="FX113" s="558" t="str">
        <f t="shared" si="185"/>
        <v>.</v>
      </c>
      <c r="FY113" s="558" t="str">
        <f t="shared" si="185"/>
        <v>.</v>
      </c>
      <c r="FZ113" s="558" t="str">
        <f t="shared" si="185"/>
        <v>.</v>
      </c>
      <c r="GA113" s="558" t="str">
        <f t="shared" si="185"/>
        <v>.</v>
      </c>
      <c r="GB113" s="558" t="str">
        <f t="shared" si="185"/>
        <v>.</v>
      </c>
      <c r="GC113" s="558" t="str">
        <f t="shared" si="185"/>
        <v>.</v>
      </c>
      <c r="GD113" s="558" t="str">
        <f t="shared" si="185"/>
        <v>.</v>
      </c>
      <c r="GE113" s="558" t="str">
        <f t="shared" si="185"/>
        <v>.</v>
      </c>
      <c r="GF113" s="558" t="str">
        <f t="shared" si="182"/>
        <v>.</v>
      </c>
      <c r="GG113" s="558" t="str">
        <f t="shared" si="182"/>
        <v>.</v>
      </c>
      <c r="GH113" s="558" t="str">
        <f t="shared" si="182"/>
        <v>.</v>
      </c>
      <c r="GI113" s="558" t="str">
        <f t="shared" si="182"/>
        <v>.</v>
      </c>
      <c r="GJ113" s="558" t="str">
        <f t="shared" si="182"/>
        <v>.</v>
      </c>
      <c r="GK113" s="558" t="str">
        <f t="shared" si="182"/>
        <v>.</v>
      </c>
      <c r="GL113" s="558" t="str">
        <f t="shared" si="182"/>
        <v>.</v>
      </c>
      <c r="GM113" s="558" t="str">
        <f t="shared" si="182"/>
        <v>.</v>
      </c>
      <c r="GN113" s="558" t="str">
        <f t="shared" si="182"/>
        <v>.</v>
      </c>
      <c r="GO113" s="558" t="str">
        <f t="shared" si="182"/>
        <v>.</v>
      </c>
      <c r="GP113" s="558" t="str">
        <f t="shared" si="182"/>
        <v>.</v>
      </c>
      <c r="GQ113" s="558" t="str">
        <f t="shared" si="182"/>
        <v>.</v>
      </c>
      <c r="GR113" s="558" t="str">
        <f t="shared" si="182"/>
        <v>.</v>
      </c>
      <c r="GS113" s="558" t="str">
        <f t="shared" si="182"/>
        <v>.</v>
      </c>
      <c r="GT113" s="558" t="str">
        <f t="shared" si="182"/>
        <v>.</v>
      </c>
      <c r="GU113" s="558" t="str">
        <f t="shared" si="186"/>
        <v>.</v>
      </c>
      <c r="GV113" s="558" t="str">
        <f t="shared" si="186"/>
        <v>.</v>
      </c>
      <c r="GW113" s="558" t="str">
        <f t="shared" si="186"/>
        <v>.</v>
      </c>
      <c r="GX113" s="558" t="str">
        <f t="shared" si="186"/>
        <v>.</v>
      </c>
      <c r="GY113" s="558" t="str">
        <f t="shared" si="186"/>
        <v>.</v>
      </c>
      <c r="GZ113" s="558" t="str">
        <f t="shared" si="186"/>
        <v>.</v>
      </c>
      <c r="HA113" s="558" t="str">
        <f t="shared" si="186"/>
        <v>.</v>
      </c>
      <c r="HB113" s="558" t="str">
        <f t="shared" si="186"/>
        <v>.</v>
      </c>
      <c r="HC113" s="558" t="str">
        <f t="shared" si="186"/>
        <v>.</v>
      </c>
      <c r="HD113" s="558" t="str">
        <f t="shared" si="186"/>
        <v>.</v>
      </c>
      <c r="HE113" s="558" t="str">
        <f t="shared" si="186"/>
        <v>.</v>
      </c>
      <c r="HF113" s="558" t="str">
        <f t="shared" si="186"/>
        <v>.</v>
      </c>
      <c r="HG113" s="558" t="str">
        <f t="shared" si="186"/>
        <v>.</v>
      </c>
      <c r="HH113" s="558" t="str">
        <f t="shared" si="186"/>
        <v>.</v>
      </c>
      <c r="HI113" s="558" t="str">
        <f t="shared" si="186"/>
        <v>.</v>
      </c>
      <c r="HJ113" s="558" t="str">
        <f t="shared" si="186"/>
        <v>.</v>
      </c>
      <c r="HK113" s="558" t="str">
        <f t="shared" si="183"/>
        <v>.</v>
      </c>
      <c r="HL113" s="558" t="str">
        <f t="shared" si="183"/>
        <v>.</v>
      </c>
      <c r="HM113" s="558" t="str">
        <f t="shared" si="183"/>
        <v>.</v>
      </c>
      <c r="HN113" s="558" t="str">
        <f t="shared" si="183"/>
        <v>.</v>
      </c>
      <c r="HO113" s="558" t="str">
        <f t="shared" si="183"/>
        <v>.</v>
      </c>
      <c r="HP113" s="558" t="str">
        <f t="shared" si="183"/>
        <v>.</v>
      </c>
      <c r="HQ113" s="558" t="str">
        <f t="shared" si="183"/>
        <v>.</v>
      </c>
      <c r="HR113" s="558" t="str">
        <f t="shared" si="183"/>
        <v>.</v>
      </c>
      <c r="HS113" s="558" t="str">
        <f t="shared" si="183"/>
        <v>.</v>
      </c>
      <c r="HT113" s="558" t="str">
        <f t="shared" si="183"/>
        <v>.</v>
      </c>
      <c r="HU113" s="558" t="str">
        <f t="shared" si="183"/>
        <v>.</v>
      </c>
      <c r="HV113" s="558" t="str">
        <f t="shared" si="183"/>
        <v>.</v>
      </c>
      <c r="HW113" s="558" t="str">
        <f t="shared" si="183"/>
        <v>.</v>
      </c>
      <c r="HX113" s="558" t="str">
        <f t="shared" si="183"/>
        <v>.</v>
      </c>
      <c r="HY113" s="558" t="str">
        <f t="shared" si="183"/>
        <v>.</v>
      </c>
      <c r="HZ113" s="558" t="str">
        <f t="shared" si="192"/>
        <v>.</v>
      </c>
      <c r="IA113" s="558" t="str">
        <f t="shared" si="192"/>
        <v>.</v>
      </c>
      <c r="IB113" s="558" t="str">
        <f t="shared" si="192"/>
        <v>.</v>
      </c>
      <c r="IC113" s="558" t="str">
        <f t="shared" si="192"/>
        <v>.</v>
      </c>
      <c r="ID113" s="558" t="str">
        <f t="shared" si="192"/>
        <v>.</v>
      </c>
      <c r="IE113" s="558" t="str">
        <f t="shared" si="192"/>
        <v>.</v>
      </c>
      <c r="IF113" s="558" t="str">
        <f t="shared" si="192"/>
        <v>.</v>
      </c>
      <c r="IG113" s="558" t="str">
        <f t="shared" si="192"/>
        <v>.</v>
      </c>
      <c r="IH113" s="558" t="str">
        <f t="shared" si="192"/>
        <v>.</v>
      </c>
      <c r="II113" s="558" t="str">
        <f t="shared" si="192"/>
        <v>.</v>
      </c>
      <c r="IJ113" s="558" t="str">
        <f t="shared" si="192"/>
        <v>.</v>
      </c>
      <c r="IK113" s="558" t="str">
        <f t="shared" si="192"/>
        <v>.</v>
      </c>
      <c r="IL113" s="558" t="str">
        <f t="shared" si="192"/>
        <v>.</v>
      </c>
      <c r="IM113" s="558" t="str">
        <f t="shared" si="192"/>
        <v>.</v>
      </c>
      <c r="IN113" s="558" t="str">
        <f t="shared" si="192"/>
        <v>.</v>
      </c>
      <c r="IO113" s="558" t="str">
        <f t="shared" si="192"/>
        <v>.</v>
      </c>
      <c r="IP113" s="558" t="str">
        <f t="shared" si="192"/>
        <v>.</v>
      </c>
      <c r="IQ113" s="558" t="str">
        <f t="shared" si="192"/>
        <v>.</v>
      </c>
      <c r="IR113" s="558" t="str">
        <f t="shared" si="194"/>
        <v>.</v>
      </c>
      <c r="IS113" s="558" t="str">
        <f t="shared" si="194"/>
        <v>.</v>
      </c>
      <c r="IT113" s="558" t="str">
        <f t="shared" si="194"/>
        <v>.</v>
      </c>
      <c r="IU113" s="558" t="str">
        <f t="shared" si="194"/>
        <v>.</v>
      </c>
      <c r="IV113" s="558" t="str">
        <f t="shared" si="194"/>
        <v>.</v>
      </c>
      <c r="IW113" s="558" t="str">
        <f t="shared" ref="IW113:JL120" si="195" xml:space="preserve"> IF(  OR( IW$18&gt;$FK113, $FK113&gt;$FP$12 ),  LEER,  ROUND( $FO$19 * ( $FL113 - IW$15 * $FM113 ), IW$17 )  )</f>
        <v>.</v>
      </c>
      <c r="IX113" s="558" t="str">
        <f t="shared" si="195"/>
        <v>.</v>
      </c>
      <c r="IY113" s="558" t="str">
        <f t="shared" si="195"/>
        <v>.</v>
      </c>
      <c r="IZ113" s="558" t="str">
        <f t="shared" si="195"/>
        <v>.</v>
      </c>
      <c r="JA113" s="558" t="str">
        <f t="shared" si="195"/>
        <v>.</v>
      </c>
      <c r="JB113" s="558" t="str">
        <f t="shared" si="195"/>
        <v>.</v>
      </c>
      <c r="JC113" s="558" t="str">
        <f t="shared" si="195"/>
        <v>.</v>
      </c>
      <c r="JD113" s="558" t="str">
        <f t="shared" si="195"/>
        <v>.</v>
      </c>
      <c r="JE113" s="558" t="str">
        <f t="shared" si="195"/>
        <v>.</v>
      </c>
      <c r="JF113" s="558" t="str">
        <f t="shared" si="195"/>
        <v>.</v>
      </c>
      <c r="JG113" s="558" t="str">
        <f t="shared" si="195"/>
        <v>.</v>
      </c>
      <c r="JH113" s="558" t="str">
        <f t="shared" si="195"/>
        <v>.</v>
      </c>
      <c r="JI113" s="558" t="str">
        <f t="shared" si="195"/>
        <v>.</v>
      </c>
      <c r="JJ113" s="558" t="str">
        <f t="shared" si="195"/>
        <v>.</v>
      </c>
      <c r="JK113" s="558" t="str">
        <f t="shared" si="195"/>
        <v>.</v>
      </c>
      <c r="JL113" s="558" t="str">
        <f t="shared" si="195"/>
        <v>.</v>
      </c>
    </row>
    <row r="114" spans="1:272" ht="10.199999999999999" x14ac:dyDescent="0.2">
      <c r="A114" s="534">
        <f xml:space="preserve"> Basis!A114</f>
        <v>114</v>
      </c>
      <c r="F114" s="536">
        <f xml:space="preserve"> ROUND(    IF( $A$15=BE_MF_,   AW114,   INDEX( qx!114:114, F$16 ) ),    F$17    )</f>
        <v>0.34610000000000002</v>
      </c>
      <c r="G114" s="536">
        <f xml:space="preserve"> ROUND(    IF( $A$15=BE_MF_,   BB114,   INDEX( wx!114:114, G$16 ) ),    G$17    )</f>
        <v>1.4E-3</v>
      </c>
      <c r="H114" s="537">
        <f xml:space="preserve"> ROUND(    IF( $A$15=BE_MF_,   BG114,   INDEX( Kx!114:114, H$16 ) ),    H$17    )</f>
        <v>11731.11</v>
      </c>
      <c r="I114" s="538">
        <f t="shared" si="171"/>
        <v>11731.11</v>
      </c>
      <c r="J114" s="539">
        <f t="shared" si="137"/>
        <v>5.6459999999999999</v>
      </c>
      <c r="K114" s="540">
        <f t="shared" si="172"/>
        <v>0</v>
      </c>
      <c r="L114" s="541">
        <f t="shared" si="189"/>
        <v>0</v>
      </c>
      <c r="M114" s="541">
        <f t="shared" si="189"/>
        <v>8.5999999999999993E-2</v>
      </c>
      <c r="O114" s="542" t="b">
        <f t="shared" si="173"/>
        <v>0</v>
      </c>
      <c r="P114" s="493" t="str">
        <f t="shared" si="138"/>
        <v>.</v>
      </c>
      <c r="Q114" s="493" t="str">
        <f t="shared" si="139"/>
        <v>.</v>
      </c>
      <c r="R114" s="543" t="str">
        <f t="shared" si="140"/>
        <v>.</v>
      </c>
      <c r="S114" s="544" t="str">
        <f t="shared" si="141"/>
        <v>.</v>
      </c>
      <c r="T114" s="423" t="str">
        <f t="shared" si="142"/>
        <v>.</v>
      </c>
      <c r="U114" s="423" t="str">
        <f xml:space="preserve"> IF( $O114,    ROUND(  SUM( T114:T$120), U$17 ),  LEER  )</f>
        <v>.</v>
      </c>
      <c r="V114" s="493" t="str">
        <f t="shared" si="143"/>
        <v>.</v>
      </c>
      <c r="W114" s="493" t="str">
        <f t="shared" si="144"/>
        <v>.</v>
      </c>
      <c r="X114" s="493" t="str">
        <f xml:space="preserve"> IF( $O114,    ROUND(  SUM( W114:W$120), X$17 ),  LEER  )</f>
        <v>.</v>
      </c>
      <c r="Y114" s="493" t="str">
        <f t="shared" si="145"/>
        <v>.</v>
      </c>
      <c r="Z114" s="493" t="str">
        <f t="shared" si="146"/>
        <v>.</v>
      </c>
      <c r="AA114" s="493" t="str">
        <f t="shared" si="147"/>
        <v>.</v>
      </c>
      <c r="AB114" s="493" t="str">
        <f t="shared" si="148"/>
        <v>.</v>
      </c>
      <c r="AC114" s="545" t="str">
        <f t="shared" si="149"/>
        <v>.</v>
      </c>
      <c r="AD114" s="493" t="str">
        <f t="shared" si="150"/>
        <v>.</v>
      </c>
      <c r="AE114" s="493" t="str">
        <f t="shared" si="151"/>
        <v>.</v>
      </c>
      <c r="AF114" s="493" t="str">
        <f t="shared" si="152"/>
        <v>.</v>
      </c>
      <c r="AG114" s="493" t="str">
        <f t="shared" si="153"/>
        <v>.</v>
      </c>
      <c r="AH114" s="493" t="str">
        <f t="shared" si="154"/>
        <v>.</v>
      </c>
      <c r="AI114" s="423" t="str">
        <f t="shared" si="155"/>
        <v>.</v>
      </c>
      <c r="AJ114" s="423" t="str">
        <f t="shared" si="156"/>
        <v>.</v>
      </c>
      <c r="AK114" s="423" t="str">
        <f t="shared" si="157"/>
        <v>.</v>
      </c>
      <c r="AN114" s="423" t="str">
        <f t="shared" si="184"/>
        <v>.</v>
      </c>
      <c r="AO114" s="423" t="str">
        <f t="shared" si="184"/>
        <v>.</v>
      </c>
      <c r="AR114" s="546">
        <f xml:space="preserve"> ROUND(  INDEX( Kx!114:114, AR$16 ),  AR$17 )</f>
        <v>0.24679999999999999</v>
      </c>
      <c r="AS114" s="547">
        <f xml:space="preserve"> ROUND(  INDEX( qx!114:114, AS$16 ),  AS$17 )</f>
        <v>0.36420000000000002</v>
      </c>
      <c r="AT114" s="547">
        <f xml:space="preserve"> ROUND(  INDEX( qx!114:114, AT$16 ),  AT$17 )</f>
        <v>0.34210000000000002</v>
      </c>
      <c r="AU114" s="548" t="str">
        <f t="shared" si="158"/>
        <v>F</v>
      </c>
      <c r="AV114" s="542">
        <f t="shared" si="159"/>
        <v>0.17929999999999999</v>
      </c>
      <c r="AW114" s="542">
        <f t="shared" si="160"/>
        <v>0.34610000000000002</v>
      </c>
      <c r="AX114" s="546">
        <f xml:space="preserve"> ROUND(  INDEX( wx!114:114, AX$16 ),  AX$17 )</f>
        <v>0</v>
      </c>
      <c r="AY114" s="546">
        <f xml:space="preserve"> ROUND(  INDEX( wx!114:114, AY$16 ),  AY$17 )</f>
        <v>2.0999999999999999E-3</v>
      </c>
      <c r="AZ114" s="548" t="str">
        <f t="shared" si="161"/>
        <v>M</v>
      </c>
      <c r="BA114" s="542">
        <f t="shared" si="162"/>
        <v>0.32950000000000002</v>
      </c>
      <c r="BB114" s="542">
        <f t="shared" si="163"/>
        <v>1.4E-3</v>
      </c>
      <c r="BC114" s="533">
        <f xml:space="preserve"> ROUND(  INDEX( Kx!114:114, BC$16 ),  BC$17 )</f>
        <v>14365.28</v>
      </c>
      <c r="BD114" s="533">
        <f xml:space="preserve"> ROUND(  INDEX( Kx!114:114, BD$16 ),  BD$17 )</f>
        <v>10436.620000000001</v>
      </c>
      <c r="BE114" s="548" t="str">
        <f t="shared" si="174"/>
        <v>M</v>
      </c>
      <c r="BF114" s="542">
        <f t="shared" si="164"/>
        <v>0.32950000000000002</v>
      </c>
      <c r="BG114" s="420">
        <f t="shared" si="165"/>
        <v>11731.11</v>
      </c>
      <c r="BQ114" s="549"/>
      <c r="BR114" s="423"/>
      <c r="BS114" s="550"/>
      <c r="BT114" s="423"/>
      <c r="BU114" s="551"/>
      <c r="BV114" s="551"/>
      <c r="BW114" s="529"/>
      <c r="BX114" s="552"/>
      <c r="BY114" s="560"/>
      <c r="BZ114" s="559"/>
      <c r="CB114" s="423"/>
      <c r="CC114" s="423"/>
      <c r="CD114" s="423"/>
      <c r="CE114" s="423"/>
      <c r="CF114" s="553"/>
      <c r="CH114" s="423"/>
      <c r="CI114" s="423"/>
      <c r="CJ114" s="423"/>
      <c r="CK114" s="423"/>
      <c r="CL114" s="553"/>
      <c r="CN114" s="423"/>
      <c r="CO114" s="423"/>
      <c r="CP114" s="423"/>
      <c r="CQ114" s="423"/>
      <c r="CR114" s="553"/>
      <c r="EI114" s="553"/>
      <c r="EJ114" s="553"/>
      <c r="EK114" s="423"/>
      <c r="EL114" s="555"/>
      <c r="ES114" s="533"/>
      <c r="ET114" s="533"/>
      <c r="EU114" s="533"/>
      <c r="EV114" s="556"/>
      <c r="EY114" s="533"/>
      <c r="EZ114" s="533"/>
      <c r="FA114" s="556"/>
      <c r="FD114" s="556"/>
      <c r="FE114" s="556"/>
      <c r="FF114" s="556"/>
      <c r="FK114" s="557">
        <f t="shared" si="166"/>
        <v>114</v>
      </c>
      <c r="FL114" s="493" t="str">
        <f t="shared" si="167"/>
        <v>.</v>
      </c>
      <c r="FM114" s="493" t="str">
        <f t="shared" si="168"/>
        <v>.</v>
      </c>
      <c r="FO114" s="427">
        <f t="shared" si="175"/>
        <v>0</v>
      </c>
      <c r="FP114" s="558" t="str">
        <f t="shared" si="185"/>
        <v>.</v>
      </c>
      <c r="FQ114" s="558" t="str">
        <f t="shared" si="185"/>
        <v>.</v>
      </c>
      <c r="FR114" s="558" t="str">
        <f t="shared" si="185"/>
        <v>.</v>
      </c>
      <c r="FS114" s="558" t="str">
        <f t="shared" si="185"/>
        <v>.</v>
      </c>
      <c r="FT114" s="558" t="str">
        <f t="shared" si="185"/>
        <v>.</v>
      </c>
      <c r="FU114" s="558" t="str">
        <f t="shared" si="185"/>
        <v>.</v>
      </c>
      <c r="FV114" s="558" t="str">
        <f t="shared" si="185"/>
        <v>.</v>
      </c>
      <c r="FW114" s="558" t="str">
        <f t="shared" si="185"/>
        <v>.</v>
      </c>
      <c r="FX114" s="558" t="str">
        <f t="shared" si="185"/>
        <v>.</v>
      </c>
      <c r="FY114" s="558" t="str">
        <f t="shared" si="185"/>
        <v>.</v>
      </c>
      <c r="FZ114" s="558" t="str">
        <f t="shared" si="185"/>
        <v>.</v>
      </c>
      <c r="GA114" s="558" t="str">
        <f t="shared" si="185"/>
        <v>.</v>
      </c>
      <c r="GB114" s="558" t="str">
        <f t="shared" si="185"/>
        <v>.</v>
      </c>
      <c r="GC114" s="558" t="str">
        <f t="shared" si="185"/>
        <v>.</v>
      </c>
      <c r="GD114" s="558" t="str">
        <f t="shared" si="185"/>
        <v>.</v>
      </c>
      <c r="GE114" s="558" t="str">
        <f t="shared" si="185"/>
        <v>.</v>
      </c>
      <c r="GF114" s="558" t="str">
        <f t="shared" si="182"/>
        <v>.</v>
      </c>
      <c r="GG114" s="558" t="str">
        <f t="shared" si="182"/>
        <v>.</v>
      </c>
      <c r="GH114" s="558" t="str">
        <f t="shared" si="182"/>
        <v>.</v>
      </c>
      <c r="GI114" s="558" t="str">
        <f t="shared" si="182"/>
        <v>.</v>
      </c>
      <c r="GJ114" s="558" t="str">
        <f t="shared" si="182"/>
        <v>.</v>
      </c>
      <c r="GK114" s="558" t="str">
        <f t="shared" si="182"/>
        <v>.</v>
      </c>
      <c r="GL114" s="558" t="str">
        <f t="shared" si="182"/>
        <v>.</v>
      </c>
      <c r="GM114" s="558" t="str">
        <f t="shared" si="182"/>
        <v>.</v>
      </c>
      <c r="GN114" s="558" t="str">
        <f t="shared" si="182"/>
        <v>.</v>
      </c>
      <c r="GO114" s="558" t="str">
        <f t="shared" si="182"/>
        <v>.</v>
      </c>
      <c r="GP114" s="558" t="str">
        <f t="shared" si="182"/>
        <v>.</v>
      </c>
      <c r="GQ114" s="558" t="str">
        <f t="shared" si="182"/>
        <v>.</v>
      </c>
      <c r="GR114" s="558" t="str">
        <f t="shared" si="182"/>
        <v>.</v>
      </c>
      <c r="GS114" s="558" t="str">
        <f t="shared" si="182"/>
        <v>.</v>
      </c>
      <c r="GT114" s="558" t="str">
        <f t="shared" si="182"/>
        <v>.</v>
      </c>
      <c r="GU114" s="558" t="str">
        <f t="shared" si="186"/>
        <v>.</v>
      </c>
      <c r="GV114" s="558" t="str">
        <f t="shared" si="186"/>
        <v>.</v>
      </c>
      <c r="GW114" s="558" t="str">
        <f t="shared" si="186"/>
        <v>.</v>
      </c>
      <c r="GX114" s="558" t="str">
        <f t="shared" si="186"/>
        <v>.</v>
      </c>
      <c r="GY114" s="558" t="str">
        <f t="shared" si="186"/>
        <v>.</v>
      </c>
      <c r="GZ114" s="558" t="str">
        <f t="shared" si="186"/>
        <v>.</v>
      </c>
      <c r="HA114" s="558" t="str">
        <f t="shared" si="186"/>
        <v>.</v>
      </c>
      <c r="HB114" s="558" t="str">
        <f t="shared" si="186"/>
        <v>.</v>
      </c>
      <c r="HC114" s="558" t="str">
        <f t="shared" si="186"/>
        <v>.</v>
      </c>
      <c r="HD114" s="558" t="str">
        <f t="shared" si="186"/>
        <v>.</v>
      </c>
      <c r="HE114" s="558" t="str">
        <f t="shared" si="186"/>
        <v>.</v>
      </c>
      <c r="HF114" s="558" t="str">
        <f t="shared" si="186"/>
        <v>.</v>
      </c>
      <c r="HG114" s="558" t="str">
        <f t="shared" si="186"/>
        <v>.</v>
      </c>
      <c r="HH114" s="558" t="str">
        <f t="shared" si="186"/>
        <v>.</v>
      </c>
      <c r="HI114" s="558" t="str">
        <f t="shared" si="186"/>
        <v>.</v>
      </c>
      <c r="HJ114" s="558" t="str">
        <f t="shared" si="186"/>
        <v>.</v>
      </c>
      <c r="HK114" s="558" t="str">
        <f t="shared" si="183"/>
        <v>.</v>
      </c>
      <c r="HL114" s="558" t="str">
        <f t="shared" si="183"/>
        <v>.</v>
      </c>
      <c r="HM114" s="558" t="str">
        <f t="shared" si="183"/>
        <v>.</v>
      </c>
      <c r="HN114" s="558" t="str">
        <f t="shared" si="183"/>
        <v>.</v>
      </c>
      <c r="HO114" s="558" t="str">
        <f t="shared" si="183"/>
        <v>.</v>
      </c>
      <c r="HP114" s="558" t="str">
        <f t="shared" si="183"/>
        <v>.</v>
      </c>
      <c r="HQ114" s="558" t="str">
        <f t="shared" si="183"/>
        <v>.</v>
      </c>
      <c r="HR114" s="558" t="str">
        <f t="shared" si="183"/>
        <v>.</v>
      </c>
      <c r="HS114" s="558" t="str">
        <f t="shared" si="183"/>
        <v>.</v>
      </c>
      <c r="HT114" s="558" t="str">
        <f t="shared" si="183"/>
        <v>.</v>
      </c>
      <c r="HU114" s="558" t="str">
        <f t="shared" si="183"/>
        <v>.</v>
      </c>
      <c r="HV114" s="558" t="str">
        <f t="shared" si="183"/>
        <v>.</v>
      </c>
      <c r="HW114" s="558" t="str">
        <f t="shared" si="183"/>
        <v>.</v>
      </c>
      <c r="HX114" s="558" t="str">
        <f t="shared" si="183"/>
        <v>.</v>
      </c>
      <c r="HY114" s="558" t="str">
        <f t="shared" si="183"/>
        <v>.</v>
      </c>
      <c r="HZ114" s="558" t="str">
        <f t="shared" si="192"/>
        <v>.</v>
      </c>
      <c r="IA114" s="558" t="str">
        <f t="shared" si="192"/>
        <v>.</v>
      </c>
      <c r="IB114" s="558" t="str">
        <f t="shared" si="192"/>
        <v>.</v>
      </c>
      <c r="IC114" s="558" t="str">
        <f t="shared" si="192"/>
        <v>.</v>
      </c>
      <c r="ID114" s="558" t="str">
        <f t="shared" si="192"/>
        <v>.</v>
      </c>
      <c r="IE114" s="558" t="str">
        <f t="shared" si="192"/>
        <v>.</v>
      </c>
      <c r="IF114" s="558" t="str">
        <f t="shared" si="192"/>
        <v>.</v>
      </c>
      <c r="IG114" s="558" t="str">
        <f t="shared" si="192"/>
        <v>.</v>
      </c>
      <c r="IH114" s="558" t="str">
        <f t="shared" si="192"/>
        <v>.</v>
      </c>
      <c r="II114" s="558" t="str">
        <f t="shared" si="192"/>
        <v>.</v>
      </c>
      <c r="IJ114" s="558" t="str">
        <f t="shared" si="192"/>
        <v>.</v>
      </c>
      <c r="IK114" s="558" t="str">
        <f t="shared" si="192"/>
        <v>.</v>
      </c>
      <c r="IL114" s="558" t="str">
        <f t="shared" si="192"/>
        <v>.</v>
      </c>
      <c r="IM114" s="558" t="str">
        <f t="shared" si="192"/>
        <v>.</v>
      </c>
      <c r="IN114" s="558" t="str">
        <f t="shared" si="192"/>
        <v>.</v>
      </c>
      <c r="IO114" s="558" t="str">
        <f t="shared" si="192"/>
        <v>.</v>
      </c>
      <c r="IP114" s="558" t="str">
        <f t="shared" si="192"/>
        <v>.</v>
      </c>
      <c r="IQ114" s="558" t="str">
        <f t="shared" si="192"/>
        <v>.</v>
      </c>
      <c r="IR114" s="558" t="str">
        <f t="shared" si="194"/>
        <v>.</v>
      </c>
      <c r="IS114" s="558" t="str">
        <f t="shared" si="194"/>
        <v>.</v>
      </c>
      <c r="IT114" s="558" t="str">
        <f t="shared" si="194"/>
        <v>.</v>
      </c>
      <c r="IU114" s="558" t="str">
        <f t="shared" si="194"/>
        <v>.</v>
      </c>
      <c r="IV114" s="558" t="str">
        <f t="shared" si="194"/>
        <v>.</v>
      </c>
      <c r="IW114" s="558" t="str">
        <f t="shared" si="195"/>
        <v>.</v>
      </c>
      <c r="IX114" s="558" t="str">
        <f t="shared" si="195"/>
        <v>.</v>
      </c>
      <c r="IY114" s="558" t="str">
        <f t="shared" si="195"/>
        <v>.</v>
      </c>
      <c r="IZ114" s="558" t="str">
        <f t="shared" si="195"/>
        <v>.</v>
      </c>
      <c r="JA114" s="558" t="str">
        <f t="shared" si="195"/>
        <v>.</v>
      </c>
      <c r="JB114" s="558" t="str">
        <f t="shared" si="195"/>
        <v>.</v>
      </c>
      <c r="JC114" s="558" t="str">
        <f t="shared" si="195"/>
        <v>.</v>
      </c>
      <c r="JD114" s="558" t="str">
        <f t="shared" si="195"/>
        <v>.</v>
      </c>
      <c r="JE114" s="558" t="str">
        <f t="shared" si="195"/>
        <v>.</v>
      </c>
      <c r="JF114" s="558" t="str">
        <f t="shared" si="195"/>
        <v>.</v>
      </c>
      <c r="JG114" s="558" t="str">
        <f t="shared" si="195"/>
        <v>.</v>
      </c>
      <c r="JH114" s="558" t="str">
        <f t="shared" si="195"/>
        <v>.</v>
      </c>
      <c r="JI114" s="558" t="str">
        <f t="shared" si="195"/>
        <v>.</v>
      </c>
      <c r="JJ114" s="558" t="str">
        <f t="shared" si="195"/>
        <v>.</v>
      </c>
      <c r="JK114" s="558" t="str">
        <f t="shared" si="195"/>
        <v>.</v>
      </c>
      <c r="JL114" s="558" t="str">
        <f t="shared" si="195"/>
        <v>.</v>
      </c>
    </row>
    <row r="115" spans="1:272" ht="10.199999999999999" x14ac:dyDescent="0.2">
      <c r="A115" s="534">
        <f xml:space="preserve"> Basis!A115</f>
        <v>115</v>
      </c>
      <c r="F115" s="536">
        <f xml:space="preserve"> ROUND(    IF( $A$15=BE_MF_,   AW115,   INDEX( qx!115:115, F$16 ) ),    F$17    )</f>
        <v>0.35189999999999999</v>
      </c>
      <c r="G115" s="536">
        <f xml:space="preserve"> ROUND(    IF( $A$15=BE_MF_,   BB115,   INDEX( wx!115:115, G$16 ) ),    G$17    )</f>
        <v>1.4E-3</v>
      </c>
      <c r="H115" s="537">
        <f xml:space="preserve"> ROUND(    IF( $A$15=BE_MF_,   BG115,   INDEX( Kx!115:115, H$16 ) ),    H$17    )</f>
        <v>11765.57</v>
      </c>
      <c r="I115" s="538">
        <f t="shared" si="171"/>
        <v>11765.57</v>
      </c>
      <c r="J115" s="539">
        <f t="shared" si="137"/>
        <v>5.6630000000000003</v>
      </c>
      <c r="K115" s="540">
        <f t="shared" si="172"/>
        <v>0</v>
      </c>
      <c r="L115" s="541">
        <f t="shared" si="189"/>
        <v>0</v>
      </c>
      <c r="M115" s="541">
        <f t="shared" si="189"/>
        <v>8.5999999999999993E-2</v>
      </c>
      <c r="O115" s="542" t="b">
        <f t="shared" si="173"/>
        <v>0</v>
      </c>
      <c r="P115" s="493" t="str">
        <f t="shared" si="138"/>
        <v>.</v>
      </c>
      <c r="Q115" s="493" t="str">
        <f t="shared" si="139"/>
        <v>.</v>
      </c>
      <c r="R115" s="543" t="str">
        <f t="shared" si="140"/>
        <v>.</v>
      </c>
      <c r="S115" s="544" t="str">
        <f t="shared" si="141"/>
        <v>.</v>
      </c>
      <c r="T115" s="423" t="str">
        <f t="shared" si="142"/>
        <v>.</v>
      </c>
      <c r="U115" s="423" t="str">
        <f xml:space="preserve"> IF( $O115,    ROUND(  SUM( T115:T$120), U$17 ),  LEER  )</f>
        <v>.</v>
      </c>
      <c r="V115" s="493" t="str">
        <f t="shared" si="143"/>
        <v>.</v>
      </c>
      <c r="W115" s="493" t="str">
        <f t="shared" si="144"/>
        <v>.</v>
      </c>
      <c r="X115" s="493" t="str">
        <f xml:space="preserve"> IF( $O115,    ROUND(  SUM( W115:W$120), X$17 ),  LEER  )</f>
        <v>.</v>
      </c>
      <c r="Y115" s="493" t="str">
        <f t="shared" si="145"/>
        <v>.</v>
      </c>
      <c r="Z115" s="493" t="str">
        <f t="shared" si="146"/>
        <v>.</v>
      </c>
      <c r="AA115" s="493" t="str">
        <f t="shared" si="147"/>
        <v>.</v>
      </c>
      <c r="AB115" s="493" t="str">
        <f t="shared" si="148"/>
        <v>.</v>
      </c>
      <c r="AC115" s="545" t="str">
        <f t="shared" si="149"/>
        <v>.</v>
      </c>
      <c r="AD115" s="493" t="str">
        <f t="shared" si="150"/>
        <v>.</v>
      </c>
      <c r="AE115" s="493" t="str">
        <f t="shared" si="151"/>
        <v>.</v>
      </c>
      <c r="AF115" s="493" t="str">
        <f t="shared" si="152"/>
        <v>.</v>
      </c>
      <c r="AG115" s="493" t="str">
        <f t="shared" si="153"/>
        <v>.</v>
      </c>
      <c r="AH115" s="493" t="str">
        <f t="shared" si="154"/>
        <v>.</v>
      </c>
      <c r="AI115" s="423" t="str">
        <f t="shared" si="155"/>
        <v>.</v>
      </c>
      <c r="AJ115" s="423" t="str">
        <f t="shared" si="156"/>
        <v>.</v>
      </c>
      <c r="AK115" s="423" t="str">
        <f t="shared" si="157"/>
        <v>.</v>
      </c>
      <c r="AN115" s="423" t="str">
        <f t="shared" si="184"/>
        <v>.</v>
      </c>
      <c r="AO115" s="423" t="str">
        <f t="shared" si="184"/>
        <v>.</v>
      </c>
      <c r="AR115" s="546">
        <f xml:space="preserve"> ROUND(  INDEX( Kx!115:115, AR$16 ),  AR$17 )</f>
        <v>0.24679999999999999</v>
      </c>
      <c r="AS115" s="547">
        <f xml:space="preserve"> ROUND(  INDEX( qx!115:115, AS$16 ),  AS$17 )</f>
        <v>0.37080000000000002</v>
      </c>
      <c r="AT115" s="547">
        <f xml:space="preserve"> ROUND(  INDEX( qx!115:115, AT$16 ),  AT$17 )</f>
        <v>0.3478</v>
      </c>
      <c r="AU115" s="548" t="str">
        <f t="shared" si="158"/>
        <v>F</v>
      </c>
      <c r="AV115" s="542">
        <f t="shared" si="159"/>
        <v>0.17929999999999999</v>
      </c>
      <c r="AW115" s="542">
        <f t="shared" si="160"/>
        <v>0.35189999999999999</v>
      </c>
      <c r="AX115" s="546">
        <f xml:space="preserve"> ROUND(  INDEX( wx!115:115, AX$16 ),  AX$17 )</f>
        <v>0</v>
      </c>
      <c r="AY115" s="546">
        <f xml:space="preserve"> ROUND(  INDEX( wx!115:115, AY$16 ),  AY$17 )</f>
        <v>2.0999999999999999E-3</v>
      </c>
      <c r="AZ115" s="548" t="str">
        <f t="shared" si="161"/>
        <v>M</v>
      </c>
      <c r="BA115" s="542">
        <f t="shared" si="162"/>
        <v>0.32950000000000002</v>
      </c>
      <c r="BB115" s="542">
        <f t="shared" si="163"/>
        <v>1.4E-3</v>
      </c>
      <c r="BC115" s="533">
        <f xml:space="preserve"> ROUND(  INDEX( Kx!115:115, BC$16 ),  BC$17 )</f>
        <v>14443.97</v>
      </c>
      <c r="BD115" s="533">
        <f xml:space="preserve"> ROUND(  INDEX( Kx!115:115, BD$16 ),  BD$17 )</f>
        <v>10449.34</v>
      </c>
      <c r="BE115" s="548" t="str">
        <f t="shared" si="174"/>
        <v>M</v>
      </c>
      <c r="BF115" s="542">
        <f t="shared" si="164"/>
        <v>0.32950000000000002</v>
      </c>
      <c r="BG115" s="420">
        <f t="shared" si="165"/>
        <v>11765.57</v>
      </c>
      <c r="BQ115" s="549"/>
      <c r="BR115" s="423"/>
      <c r="BS115" s="550"/>
      <c r="BT115" s="423"/>
      <c r="BU115" s="551"/>
      <c r="BV115" s="551"/>
      <c r="BW115" s="529"/>
      <c r="BX115" s="552"/>
      <c r="BY115" s="560"/>
      <c r="BZ115" s="559"/>
      <c r="CB115" s="423"/>
      <c r="CC115" s="423"/>
      <c r="CD115" s="423"/>
      <c r="CE115" s="423"/>
      <c r="CF115" s="553"/>
      <c r="CH115" s="423"/>
      <c r="CI115" s="423"/>
      <c r="CJ115" s="423"/>
      <c r="CK115" s="423"/>
      <c r="CL115" s="553"/>
      <c r="CN115" s="423"/>
      <c r="CO115" s="423"/>
      <c r="CP115" s="423"/>
      <c r="CQ115" s="423"/>
      <c r="CR115" s="553"/>
      <c r="EI115" s="553"/>
      <c r="EJ115" s="553"/>
      <c r="EK115" s="423"/>
      <c r="EL115" s="555"/>
      <c r="ES115" s="533"/>
      <c r="ET115" s="533"/>
      <c r="EU115" s="533"/>
      <c r="EV115" s="556"/>
      <c r="EY115" s="533"/>
      <c r="EZ115" s="533"/>
      <c r="FA115" s="556"/>
      <c r="FD115" s="556"/>
      <c r="FE115" s="556"/>
      <c r="FF115" s="556"/>
      <c r="FK115" s="557">
        <f t="shared" si="166"/>
        <v>115</v>
      </c>
      <c r="FL115" s="493" t="str">
        <f t="shared" si="167"/>
        <v>.</v>
      </c>
      <c r="FM115" s="493" t="str">
        <f t="shared" si="168"/>
        <v>.</v>
      </c>
      <c r="FO115" s="427">
        <f t="shared" si="175"/>
        <v>0</v>
      </c>
      <c r="FP115" s="558" t="str">
        <f t="shared" si="185"/>
        <v>.</v>
      </c>
      <c r="FQ115" s="558" t="str">
        <f t="shared" si="185"/>
        <v>.</v>
      </c>
      <c r="FR115" s="558" t="str">
        <f t="shared" si="185"/>
        <v>.</v>
      </c>
      <c r="FS115" s="558" t="str">
        <f t="shared" si="185"/>
        <v>.</v>
      </c>
      <c r="FT115" s="558" t="str">
        <f t="shared" si="185"/>
        <v>.</v>
      </c>
      <c r="FU115" s="558" t="str">
        <f t="shared" si="185"/>
        <v>.</v>
      </c>
      <c r="FV115" s="558" t="str">
        <f t="shared" si="185"/>
        <v>.</v>
      </c>
      <c r="FW115" s="558" t="str">
        <f t="shared" si="185"/>
        <v>.</v>
      </c>
      <c r="FX115" s="558" t="str">
        <f t="shared" si="185"/>
        <v>.</v>
      </c>
      <c r="FY115" s="558" t="str">
        <f t="shared" si="185"/>
        <v>.</v>
      </c>
      <c r="FZ115" s="558" t="str">
        <f t="shared" si="185"/>
        <v>.</v>
      </c>
      <c r="GA115" s="558" t="str">
        <f t="shared" si="185"/>
        <v>.</v>
      </c>
      <c r="GB115" s="558" t="str">
        <f t="shared" si="185"/>
        <v>.</v>
      </c>
      <c r="GC115" s="558" t="str">
        <f t="shared" si="185"/>
        <v>.</v>
      </c>
      <c r="GD115" s="558" t="str">
        <f t="shared" si="185"/>
        <v>.</v>
      </c>
      <c r="GE115" s="558" t="str">
        <f t="shared" ref="GE115:GT120" si="196" xml:space="preserve"> IF(  OR( GE$18&gt;$FK115, $FK115&gt;$FP$12 ),  LEER,  ROUND( $FO$19 * ( $FL115 - GE$15 * $FM115 ), GE$17 )  )</f>
        <v>.</v>
      </c>
      <c r="GF115" s="558" t="str">
        <f t="shared" si="196"/>
        <v>.</v>
      </c>
      <c r="GG115" s="558" t="str">
        <f t="shared" si="196"/>
        <v>.</v>
      </c>
      <c r="GH115" s="558" t="str">
        <f t="shared" si="196"/>
        <v>.</v>
      </c>
      <c r="GI115" s="558" t="str">
        <f t="shared" si="196"/>
        <v>.</v>
      </c>
      <c r="GJ115" s="558" t="str">
        <f t="shared" si="196"/>
        <v>.</v>
      </c>
      <c r="GK115" s="558" t="str">
        <f t="shared" si="196"/>
        <v>.</v>
      </c>
      <c r="GL115" s="558" t="str">
        <f t="shared" si="196"/>
        <v>.</v>
      </c>
      <c r="GM115" s="558" t="str">
        <f t="shared" si="196"/>
        <v>.</v>
      </c>
      <c r="GN115" s="558" t="str">
        <f t="shared" si="196"/>
        <v>.</v>
      </c>
      <c r="GO115" s="558" t="str">
        <f t="shared" si="196"/>
        <v>.</v>
      </c>
      <c r="GP115" s="558" t="str">
        <f t="shared" si="196"/>
        <v>.</v>
      </c>
      <c r="GQ115" s="558" t="str">
        <f t="shared" si="196"/>
        <v>.</v>
      </c>
      <c r="GR115" s="558" t="str">
        <f t="shared" si="196"/>
        <v>.</v>
      </c>
      <c r="GS115" s="558" t="str">
        <f t="shared" si="196"/>
        <v>.</v>
      </c>
      <c r="GT115" s="558" t="str">
        <f t="shared" si="196"/>
        <v>.</v>
      </c>
      <c r="GU115" s="558" t="str">
        <f t="shared" si="186"/>
        <v>.</v>
      </c>
      <c r="GV115" s="558" t="str">
        <f t="shared" si="186"/>
        <v>.</v>
      </c>
      <c r="GW115" s="558" t="str">
        <f t="shared" si="186"/>
        <v>.</v>
      </c>
      <c r="GX115" s="558" t="str">
        <f t="shared" si="186"/>
        <v>.</v>
      </c>
      <c r="GY115" s="558" t="str">
        <f t="shared" si="186"/>
        <v>.</v>
      </c>
      <c r="GZ115" s="558" t="str">
        <f t="shared" si="186"/>
        <v>.</v>
      </c>
      <c r="HA115" s="558" t="str">
        <f t="shared" si="186"/>
        <v>.</v>
      </c>
      <c r="HB115" s="558" t="str">
        <f t="shared" si="186"/>
        <v>.</v>
      </c>
      <c r="HC115" s="558" t="str">
        <f t="shared" si="186"/>
        <v>.</v>
      </c>
      <c r="HD115" s="558" t="str">
        <f t="shared" si="186"/>
        <v>.</v>
      </c>
      <c r="HE115" s="558" t="str">
        <f t="shared" si="186"/>
        <v>.</v>
      </c>
      <c r="HF115" s="558" t="str">
        <f t="shared" si="186"/>
        <v>.</v>
      </c>
      <c r="HG115" s="558" t="str">
        <f t="shared" si="186"/>
        <v>.</v>
      </c>
      <c r="HH115" s="558" t="str">
        <f t="shared" si="186"/>
        <v>.</v>
      </c>
      <c r="HI115" s="558" t="str">
        <f t="shared" si="186"/>
        <v>.</v>
      </c>
      <c r="HJ115" s="558" t="str">
        <f t="shared" ref="HJ115:HY120" si="197" xml:space="preserve"> IF(  OR( HJ$18&gt;$FK115, $FK115&gt;$FP$12 ),  LEER,  ROUND( $FO$19 * ( $FL115 - HJ$15 * $FM115 ), HJ$17 )  )</f>
        <v>.</v>
      </c>
      <c r="HK115" s="558" t="str">
        <f t="shared" si="197"/>
        <v>.</v>
      </c>
      <c r="HL115" s="558" t="str">
        <f t="shared" si="197"/>
        <v>.</v>
      </c>
      <c r="HM115" s="558" t="str">
        <f t="shared" si="197"/>
        <v>.</v>
      </c>
      <c r="HN115" s="558" t="str">
        <f t="shared" si="197"/>
        <v>.</v>
      </c>
      <c r="HO115" s="558" t="str">
        <f t="shared" si="197"/>
        <v>.</v>
      </c>
      <c r="HP115" s="558" t="str">
        <f t="shared" si="197"/>
        <v>.</v>
      </c>
      <c r="HQ115" s="558" t="str">
        <f t="shared" si="197"/>
        <v>.</v>
      </c>
      <c r="HR115" s="558" t="str">
        <f t="shared" si="197"/>
        <v>.</v>
      </c>
      <c r="HS115" s="558" t="str">
        <f t="shared" si="197"/>
        <v>.</v>
      </c>
      <c r="HT115" s="558" t="str">
        <f t="shared" si="197"/>
        <v>.</v>
      </c>
      <c r="HU115" s="558" t="str">
        <f t="shared" si="197"/>
        <v>.</v>
      </c>
      <c r="HV115" s="558" t="str">
        <f t="shared" si="197"/>
        <v>.</v>
      </c>
      <c r="HW115" s="558" t="str">
        <f t="shared" si="197"/>
        <v>.</v>
      </c>
      <c r="HX115" s="558" t="str">
        <f t="shared" si="197"/>
        <v>.</v>
      </c>
      <c r="HY115" s="558" t="str">
        <f t="shared" si="197"/>
        <v>.</v>
      </c>
      <c r="HZ115" s="558" t="str">
        <f t="shared" si="192"/>
        <v>.</v>
      </c>
      <c r="IA115" s="558" t="str">
        <f t="shared" si="192"/>
        <v>.</v>
      </c>
      <c r="IB115" s="558" t="str">
        <f t="shared" si="192"/>
        <v>.</v>
      </c>
      <c r="IC115" s="558" t="str">
        <f t="shared" si="192"/>
        <v>.</v>
      </c>
      <c r="ID115" s="558" t="str">
        <f t="shared" si="192"/>
        <v>.</v>
      </c>
      <c r="IE115" s="558" t="str">
        <f t="shared" si="192"/>
        <v>.</v>
      </c>
      <c r="IF115" s="558" t="str">
        <f t="shared" si="192"/>
        <v>.</v>
      </c>
      <c r="IG115" s="558" t="str">
        <f t="shared" si="192"/>
        <v>.</v>
      </c>
      <c r="IH115" s="558" t="str">
        <f t="shared" si="192"/>
        <v>.</v>
      </c>
      <c r="II115" s="558" t="str">
        <f t="shared" si="192"/>
        <v>.</v>
      </c>
      <c r="IJ115" s="558" t="str">
        <f t="shared" si="192"/>
        <v>.</v>
      </c>
      <c r="IK115" s="558" t="str">
        <f t="shared" si="192"/>
        <v>.</v>
      </c>
      <c r="IL115" s="558" t="str">
        <f t="shared" si="192"/>
        <v>.</v>
      </c>
      <c r="IM115" s="558" t="str">
        <f t="shared" si="192"/>
        <v>.</v>
      </c>
      <c r="IN115" s="558" t="str">
        <f t="shared" si="192"/>
        <v>.</v>
      </c>
      <c r="IO115" s="558" t="str">
        <f t="shared" si="192"/>
        <v>.</v>
      </c>
      <c r="IP115" s="558" t="str">
        <f t="shared" si="192"/>
        <v>.</v>
      </c>
      <c r="IQ115" s="558" t="str">
        <f t="shared" si="192"/>
        <v>.</v>
      </c>
      <c r="IR115" s="558" t="str">
        <f t="shared" si="194"/>
        <v>.</v>
      </c>
      <c r="IS115" s="558" t="str">
        <f t="shared" si="194"/>
        <v>.</v>
      </c>
      <c r="IT115" s="558" t="str">
        <f t="shared" si="194"/>
        <v>.</v>
      </c>
      <c r="IU115" s="558" t="str">
        <f t="shared" si="194"/>
        <v>.</v>
      </c>
      <c r="IV115" s="558" t="str">
        <f t="shared" si="194"/>
        <v>.</v>
      </c>
      <c r="IW115" s="558" t="str">
        <f t="shared" si="195"/>
        <v>.</v>
      </c>
      <c r="IX115" s="558" t="str">
        <f t="shared" si="195"/>
        <v>.</v>
      </c>
      <c r="IY115" s="558" t="str">
        <f t="shared" si="195"/>
        <v>.</v>
      </c>
      <c r="IZ115" s="558" t="str">
        <f t="shared" si="195"/>
        <v>.</v>
      </c>
      <c r="JA115" s="558" t="str">
        <f t="shared" si="195"/>
        <v>.</v>
      </c>
      <c r="JB115" s="558" t="str">
        <f t="shared" si="195"/>
        <v>.</v>
      </c>
      <c r="JC115" s="558" t="str">
        <f t="shared" si="195"/>
        <v>.</v>
      </c>
      <c r="JD115" s="558" t="str">
        <f t="shared" si="195"/>
        <v>.</v>
      </c>
      <c r="JE115" s="558" t="str">
        <f t="shared" si="195"/>
        <v>.</v>
      </c>
      <c r="JF115" s="558" t="str">
        <f t="shared" si="195"/>
        <v>.</v>
      </c>
      <c r="JG115" s="558" t="str">
        <f t="shared" si="195"/>
        <v>.</v>
      </c>
      <c r="JH115" s="558" t="str">
        <f t="shared" si="195"/>
        <v>.</v>
      </c>
      <c r="JI115" s="558" t="str">
        <f t="shared" si="195"/>
        <v>.</v>
      </c>
      <c r="JJ115" s="558" t="str">
        <f t="shared" si="195"/>
        <v>.</v>
      </c>
      <c r="JK115" s="558" t="str">
        <f t="shared" si="195"/>
        <v>.</v>
      </c>
      <c r="JL115" s="558" t="str">
        <f t="shared" si="195"/>
        <v>.</v>
      </c>
    </row>
    <row r="116" spans="1:272" ht="10.199999999999999" x14ac:dyDescent="0.2">
      <c r="A116" s="534">
        <f xml:space="preserve"> Basis!A116</f>
        <v>116</v>
      </c>
      <c r="F116" s="536">
        <f xml:space="preserve"> ROUND(    IF( $A$15=BE_MF_,   AW116,   INDEX( qx!116:116, F$16 ) ),    F$17    )</f>
        <v>0.35780000000000001</v>
      </c>
      <c r="G116" s="536">
        <f xml:space="preserve"> ROUND(    IF( $A$15=BE_MF_,   BB116,   INDEX( wx!116:116, G$16 ) ),    G$17    )</f>
        <v>1.4E-3</v>
      </c>
      <c r="H116" s="537">
        <f xml:space="preserve"> ROUND(    IF( $A$15=BE_MF_,   BG116,   INDEX( Kx!116:116, H$16 ) ),    H$17    )</f>
        <v>11800.03</v>
      </c>
      <c r="I116" s="538">
        <f t="shared" si="171"/>
        <v>11800.03</v>
      </c>
      <c r="J116" s="539">
        <f xml:space="preserve"> ROUND(  I116 / I$19,  J$17 )</f>
        <v>5.6790000000000003</v>
      </c>
      <c r="K116" s="540">
        <f t="shared" si="172"/>
        <v>0</v>
      </c>
      <c r="L116" s="541">
        <f t="shared" si="189"/>
        <v>0</v>
      </c>
      <c r="M116" s="541">
        <f t="shared" si="189"/>
        <v>8.5999999999999993E-2</v>
      </c>
      <c r="O116" s="542" t="b">
        <f t="shared" si="173"/>
        <v>0</v>
      </c>
      <c r="P116" s="493" t="str">
        <f t="shared" si="138"/>
        <v>.</v>
      </c>
      <c r="Q116" s="493" t="str">
        <f xml:space="preserve"> IF( $O116,    ROUND( 1 - P116,  Q$17  ),  LEER  )</f>
        <v>.</v>
      </c>
      <c r="R116" s="543" t="str">
        <f t="shared" si="140"/>
        <v>.</v>
      </c>
      <c r="S116" s="544" t="str">
        <f t="shared" si="141"/>
        <v>.</v>
      </c>
      <c r="T116" s="423" t="str">
        <f xml:space="preserve"> IF( $O116,    ROUND( R116 * S116 ^ A116, T$17 ),  LEER  )</f>
        <v>.</v>
      </c>
      <c r="U116" s="423" t="str">
        <f xml:space="preserve"> IF( $O116,    ROUND(  SUM( T116:T$120), U$17 ),  LEER  )</f>
        <v>.</v>
      </c>
      <c r="V116" s="493" t="str">
        <f xml:space="preserve"> IF( $O116,    IF( T116= 0, 1,  ROUND(  U116 / T116, V$17 )   ),  LEER  )</f>
        <v>.</v>
      </c>
      <c r="W116" s="493" t="str">
        <f t="shared" si="144"/>
        <v>.</v>
      </c>
      <c r="X116" s="493" t="str">
        <f xml:space="preserve"> IF( $O116,    ROUND(  SUM( W116:W$120), X$17 ),  LEER  )</f>
        <v>.</v>
      </c>
      <c r="Y116" s="493" t="str">
        <f xml:space="preserve"> IF( $O116,    IF( T116= 0, J116,  ROUND(  X116 / T116, Y$17 )   ),   LEER  )</f>
        <v>.</v>
      </c>
      <c r="Z116" s="493" t="str">
        <f xml:space="preserve"> IF( $O116,    IF( V116= 0, Y116,  ROUND( Y116 / V116, Z$17 )  ),   LEER  )</f>
        <v>.</v>
      </c>
      <c r="AA116" s="493" t="str">
        <f t="shared" si="147"/>
        <v>.</v>
      </c>
      <c r="AB116" s="493" t="str">
        <f t="shared" si="148"/>
        <v>.</v>
      </c>
      <c r="AC116" s="545" t="str">
        <f t="shared" ref="AC116:AC120" si="198" xml:space="preserve">  IF( NOT($O116),   LEER,   ROUND(  L116 * AB116  +  IF( $A116&lt;AC$12, AC$5, AC$6 ),  AC$17  )    )</f>
        <v>.</v>
      </c>
      <c r="AD116" s="493" t="str">
        <f xml:space="preserve">  IF( $O116,   ROUND( AA116 * Z116 + ( AA116 - 1 ) * AC116, AD$17 ),       LEER  )</f>
        <v>.</v>
      </c>
      <c r="AE116" s="493" t="str">
        <f xml:space="preserve">  IF( $O116,   ROUND( ( AD116 + AC116 ) / ( 1 - M116), AE$17 ),       LEER  )</f>
        <v>.</v>
      </c>
      <c r="AF116" s="493" t="str">
        <f xml:space="preserve">  IF(  $O116,   IF(  OR( NOT( $AF$12), $A116=$M$12, AE116&gt;=AF115 ), AE116, MAX( AE116,AF115) ),  LEER  )</f>
        <v>.</v>
      </c>
      <c r="AG116" s="493" t="str">
        <f xml:space="preserve">  IF(  $O116,   IF(  AE116=AF116,  LEER, Setzung ),    LEER  )</f>
        <v>.</v>
      </c>
      <c r="AH116" s="493" t="str">
        <f xml:space="preserve">  IF(  $O116,   IF( AND( K115&lt;&gt;0, AG116=Setzung), SetzungZillmerung, LEER ),    LEER  )</f>
        <v>.</v>
      </c>
      <c r="AI116" s="423" t="str">
        <f t="shared" si="155"/>
        <v>.</v>
      </c>
      <c r="AJ116" s="423" t="str">
        <f xml:space="preserve">  IF( $O116,    ROUND( AF116 * AI116, AJ$17 ),  LEER  )</f>
        <v>.</v>
      </c>
      <c r="AK116" s="423" t="str">
        <f xml:space="preserve">  IF( $O116,    ROUND( AJ116 / 12, AK$17 ),  LEER  )</f>
        <v>.</v>
      </c>
      <c r="AN116" s="423" t="str">
        <f t="shared" si="184"/>
        <v>.</v>
      </c>
      <c r="AO116" s="423" t="str">
        <f t="shared" si="184"/>
        <v>.</v>
      </c>
      <c r="AR116" s="546">
        <f xml:space="preserve"> ROUND(  INDEX( Kx!116:116, AR$16 ),  AR$17 )</f>
        <v>0.24679999999999999</v>
      </c>
      <c r="AS116" s="547">
        <f xml:space="preserve"> ROUND(  INDEX( qx!116:116, AS$16 ),  AS$17 )</f>
        <v>0.37730000000000002</v>
      </c>
      <c r="AT116" s="547">
        <f xml:space="preserve"> ROUND(  INDEX( qx!116:116, AT$16 ),  AT$17 )</f>
        <v>0.35349999999999998</v>
      </c>
      <c r="AU116" s="548" t="str">
        <f t="shared" ref="AU116:AU120" si="199" xml:space="preserve"> IF( AS116&lt;AT116, AS$13, AT$13 )</f>
        <v>F</v>
      </c>
      <c r="AV116" s="542">
        <f t="shared" ref="AV116:AV120" si="200" xml:space="preserve"> ROUND(     IF( AU116=BE_M_, ( $AR116 + $AR116 * AV$18 ) / ( 1 + $AR116 * AV$18 ),  ( $AR116 ) / ( 1 + ( 1 - $AR116 ) * AV$18 ) ),   AV$17 )</f>
        <v>0.17929999999999999</v>
      </c>
      <c r="AW116" s="542">
        <f t="shared" ref="AW116:AW120" si="201" xml:space="preserve"> ROUND( AV116 * AS116 + ( 1 - AV116) * AT116, AW$17 )</f>
        <v>0.35780000000000001</v>
      </c>
      <c r="AX116" s="546">
        <f xml:space="preserve"> ROUND(  INDEX( wx!116:116, AX$16 ),  AX$17 )</f>
        <v>0</v>
      </c>
      <c r="AY116" s="546">
        <f xml:space="preserve"> ROUND(  INDEX( wx!116:116, AY$16 ),  AY$17 )</f>
        <v>2.0999999999999999E-3</v>
      </c>
      <c r="AZ116" s="548" t="str">
        <f t="shared" ref="AZ116:AZ120" si="202" xml:space="preserve"> IF( AX116&lt;AY116, AX$13, AY$13 )</f>
        <v>M</v>
      </c>
      <c r="BA116" s="542">
        <f t="shared" ref="BA116:BA120" si="203" xml:space="preserve"> ROUND(     IF( AZ116=BE_M_, ( $AR116 + $AR116 * BA$18 ) / ( 1 + $AR116 * BA$18 ),  ( $AR116 ) / ( 1 + ( 1 - $AR116 ) * BA$18 ) ),   BA$17 )</f>
        <v>0.32950000000000002</v>
      </c>
      <c r="BB116" s="542">
        <f t="shared" ref="BB116:BB120" si="204" xml:space="preserve"> ROUND( BA116 * AX116 + ( 1 - BA116) * AY116, BB$17 )</f>
        <v>1.4E-3</v>
      </c>
      <c r="BC116" s="533">
        <f xml:space="preserve"> ROUND(  INDEX( Kx!116:116, BC$16 ),  BC$17 )</f>
        <v>14522.66</v>
      </c>
      <c r="BD116" s="533">
        <f xml:space="preserve"> ROUND(  INDEX( Kx!116:116, BD$16 ),  BD$17 )</f>
        <v>10462.06</v>
      </c>
      <c r="BE116" s="548" t="str">
        <f t="shared" si="174"/>
        <v>M</v>
      </c>
      <c r="BF116" s="542">
        <f t="shared" ref="BF116:BF120" si="205" xml:space="preserve"> ROUND(     IF( BE116=BE_M_, ( $AR116 + $AR116 * BF$18 ) / ( 1 + $AR116 * BF$18 ),  ( $AR116 ) / ( 1 + ( 1 - $AR116 ) * BF$18 ) ),   BF$17 )</f>
        <v>0.32950000000000002</v>
      </c>
      <c r="BG116" s="420">
        <f t="shared" ref="BG116:BG120" si="206" xml:space="preserve"> ROUND( BF116 * BC116 + ( 1 - BF116) * BD116, BG$17 )</f>
        <v>11800.03</v>
      </c>
      <c r="BQ116" s="549"/>
      <c r="BR116" s="423"/>
      <c r="BS116" s="550"/>
      <c r="BT116" s="423"/>
      <c r="BU116" s="551"/>
      <c r="BV116" s="551"/>
      <c r="BW116" s="529"/>
      <c r="BX116" s="552"/>
      <c r="BY116" s="560"/>
      <c r="BZ116" s="559"/>
      <c r="CB116" s="423"/>
      <c r="CC116" s="423"/>
      <c r="CD116" s="423"/>
      <c r="CE116" s="423"/>
      <c r="CF116" s="553"/>
      <c r="CH116" s="423"/>
      <c r="CI116" s="423"/>
      <c r="CJ116" s="423"/>
      <c r="CK116" s="423"/>
      <c r="CL116" s="553"/>
      <c r="CN116" s="423"/>
      <c r="CO116" s="423"/>
      <c r="CP116" s="423"/>
      <c r="CQ116" s="423"/>
      <c r="CR116" s="553"/>
      <c r="EI116" s="553"/>
      <c r="EJ116" s="553"/>
      <c r="EK116" s="423"/>
      <c r="EL116" s="555"/>
      <c r="ES116" s="533"/>
      <c r="ET116" s="533"/>
      <c r="EU116" s="533"/>
      <c r="EV116" s="556"/>
      <c r="EY116" s="533"/>
      <c r="EZ116" s="533"/>
      <c r="FA116" s="556"/>
      <c r="FD116" s="556"/>
      <c r="FE116" s="556"/>
      <c r="FF116" s="556"/>
      <c r="FK116" s="557">
        <f t="shared" si="166"/>
        <v>116</v>
      </c>
      <c r="FL116" s="493" t="str">
        <f t="shared" si="167"/>
        <v>.</v>
      </c>
      <c r="FM116" s="493" t="str">
        <f t="shared" si="168"/>
        <v>.</v>
      </c>
      <c r="FO116" s="427">
        <f t="shared" si="175"/>
        <v>0</v>
      </c>
      <c r="FP116" s="558" t="str">
        <f t="shared" ref="FP116:GE120" si="207" xml:space="preserve"> IF(  OR( FP$18&gt;$FK116, $FK116&gt;$FP$12 ),  LEER,  ROUND( $FO$19 * ( $FL116 - FP$15 * $FM116 ), FP$17 )  )</f>
        <v>.</v>
      </c>
      <c r="FQ116" s="558" t="str">
        <f t="shared" si="207"/>
        <v>.</v>
      </c>
      <c r="FR116" s="558" t="str">
        <f t="shared" si="207"/>
        <v>.</v>
      </c>
      <c r="FS116" s="558" t="str">
        <f t="shared" si="207"/>
        <v>.</v>
      </c>
      <c r="FT116" s="558" t="str">
        <f t="shared" si="207"/>
        <v>.</v>
      </c>
      <c r="FU116" s="558" t="str">
        <f t="shared" si="207"/>
        <v>.</v>
      </c>
      <c r="FV116" s="558" t="str">
        <f t="shared" si="207"/>
        <v>.</v>
      </c>
      <c r="FW116" s="558" t="str">
        <f t="shared" si="207"/>
        <v>.</v>
      </c>
      <c r="FX116" s="558" t="str">
        <f t="shared" si="207"/>
        <v>.</v>
      </c>
      <c r="FY116" s="558" t="str">
        <f t="shared" si="207"/>
        <v>.</v>
      </c>
      <c r="FZ116" s="558" t="str">
        <f t="shared" si="207"/>
        <v>.</v>
      </c>
      <c r="GA116" s="558" t="str">
        <f t="shared" si="207"/>
        <v>.</v>
      </c>
      <c r="GB116" s="558" t="str">
        <f t="shared" si="207"/>
        <v>.</v>
      </c>
      <c r="GC116" s="558" t="str">
        <f t="shared" si="207"/>
        <v>.</v>
      </c>
      <c r="GD116" s="558" t="str">
        <f t="shared" si="207"/>
        <v>.</v>
      </c>
      <c r="GE116" s="558" t="str">
        <f t="shared" si="207"/>
        <v>.</v>
      </c>
      <c r="GF116" s="558" t="str">
        <f t="shared" si="196"/>
        <v>.</v>
      </c>
      <c r="GG116" s="558" t="str">
        <f t="shared" si="196"/>
        <v>.</v>
      </c>
      <c r="GH116" s="558" t="str">
        <f t="shared" si="196"/>
        <v>.</v>
      </c>
      <c r="GI116" s="558" t="str">
        <f t="shared" si="196"/>
        <v>.</v>
      </c>
      <c r="GJ116" s="558" t="str">
        <f t="shared" si="196"/>
        <v>.</v>
      </c>
      <c r="GK116" s="558" t="str">
        <f t="shared" si="196"/>
        <v>.</v>
      </c>
      <c r="GL116" s="558" t="str">
        <f t="shared" si="196"/>
        <v>.</v>
      </c>
      <c r="GM116" s="558" t="str">
        <f t="shared" si="196"/>
        <v>.</v>
      </c>
      <c r="GN116" s="558" t="str">
        <f t="shared" si="196"/>
        <v>.</v>
      </c>
      <c r="GO116" s="558" t="str">
        <f t="shared" si="196"/>
        <v>.</v>
      </c>
      <c r="GP116" s="558" t="str">
        <f t="shared" si="196"/>
        <v>.</v>
      </c>
      <c r="GQ116" s="558" t="str">
        <f t="shared" si="196"/>
        <v>.</v>
      </c>
      <c r="GR116" s="558" t="str">
        <f t="shared" si="196"/>
        <v>.</v>
      </c>
      <c r="GS116" s="558" t="str">
        <f t="shared" si="196"/>
        <v>.</v>
      </c>
      <c r="GT116" s="558" t="str">
        <f t="shared" si="196"/>
        <v>.</v>
      </c>
      <c r="GU116" s="558" t="str">
        <f t="shared" ref="GU116:HJ120" si="208" xml:space="preserve"> IF(  OR( GU$18&gt;$FK116, $FK116&gt;$FP$12 ),  LEER,  ROUND( $FO$19 * ( $FL116 - GU$15 * $FM116 ), GU$17 )  )</f>
        <v>.</v>
      </c>
      <c r="GV116" s="558" t="str">
        <f t="shared" si="208"/>
        <v>.</v>
      </c>
      <c r="GW116" s="558" t="str">
        <f t="shared" si="208"/>
        <v>.</v>
      </c>
      <c r="GX116" s="558" t="str">
        <f t="shared" si="208"/>
        <v>.</v>
      </c>
      <c r="GY116" s="558" t="str">
        <f t="shared" si="208"/>
        <v>.</v>
      </c>
      <c r="GZ116" s="558" t="str">
        <f t="shared" si="208"/>
        <v>.</v>
      </c>
      <c r="HA116" s="558" t="str">
        <f t="shared" si="208"/>
        <v>.</v>
      </c>
      <c r="HB116" s="558" t="str">
        <f t="shared" si="208"/>
        <v>.</v>
      </c>
      <c r="HC116" s="558" t="str">
        <f t="shared" si="208"/>
        <v>.</v>
      </c>
      <c r="HD116" s="558" t="str">
        <f t="shared" si="208"/>
        <v>.</v>
      </c>
      <c r="HE116" s="558" t="str">
        <f t="shared" si="208"/>
        <v>.</v>
      </c>
      <c r="HF116" s="558" t="str">
        <f t="shared" si="208"/>
        <v>.</v>
      </c>
      <c r="HG116" s="558" t="str">
        <f t="shared" si="208"/>
        <v>.</v>
      </c>
      <c r="HH116" s="558" t="str">
        <f t="shared" si="208"/>
        <v>.</v>
      </c>
      <c r="HI116" s="558" t="str">
        <f t="shared" si="208"/>
        <v>.</v>
      </c>
      <c r="HJ116" s="558" t="str">
        <f t="shared" si="208"/>
        <v>.</v>
      </c>
      <c r="HK116" s="558" t="str">
        <f t="shared" si="197"/>
        <v>.</v>
      </c>
      <c r="HL116" s="558" t="str">
        <f t="shared" si="197"/>
        <v>.</v>
      </c>
      <c r="HM116" s="558" t="str">
        <f t="shared" si="197"/>
        <v>.</v>
      </c>
      <c r="HN116" s="558" t="str">
        <f t="shared" si="197"/>
        <v>.</v>
      </c>
      <c r="HO116" s="558" t="str">
        <f t="shared" si="197"/>
        <v>.</v>
      </c>
      <c r="HP116" s="558" t="str">
        <f t="shared" si="197"/>
        <v>.</v>
      </c>
      <c r="HQ116" s="558" t="str">
        <f t="shared" si="197"/>
        <v>.</v>
      </c>
      <c r="HR116" s="558" t="str">
        <f t="shared" si="197"/>
        <v>.</v>
      </c>
      <c r="HS116" s="558" t="str">
        <f t="shared" si="197"/>
        <v>.</v>
      </c>
      <c r="HT116" s="558" t="str">
        <f t="shared" si="197"/>
        <v>.</v>
      </c>
      <c r="HU116" s="558" t="str">
        <f t="shared" si="197"/>
        <v>.</v>
      </c>
      <c r="HV116" s="558" t="str">
        <f t="shared" si="197"/>
        <v>.</v>
      </c>
      <c r="HW116" s="558" t="str">
        <f t="shared" si="197"/>
        <v>.</v>
      </c>
      <c r="HX116" s="558" t="str">
        <f t="shared" si="197"/>
        <v>.</v>
      </c>
      <c r="HY116" s="558" t="str">
        <f t="shared" si="197"/>
        <v>.</v>
      </c>
      <c r="HZ116" s="558" t="str">
        <f t="shared" si="192"/>
        <v>.</v>
      </c>
      <c r="IA116" s="558" t="str">
        <f t="shared" si="192"/>
        <v>.</v>
      </c>
      <c r="IB116" s="558" t="str">
        <f t="shared" si="192"/>
        <v>.</v>
      </c>
      <c r="IC116" s="558" t="str">
        <f t="shared" si="192"/>
        <v>.</v>
      </c>
      <c r="ID116" s="558" t="str">
        <f t="shared" si="192"/>
        <v>.</v>
      </c>
      <c r="IE116" s="558" t="str">
        <f t="shared" si="192"/>
        <v>.</v>
      </c>
      <c r="IF116" s="558" t="str">
        <f t="shared" si="192"/>
        <v>.</v>
      </c>
      <c r="IG116" s="558" t="str">
        <f t="shared" si="192"/>
        <v>.</v>
      </c>
      <c r="IH116" s="558" t="str">
        <f t="shared" si="192"/>
        <v>.</v>
      </c>
      <c r="II116" s="558" t="str">
        <f t="shared" si="192"/>
        <v>.</v>
      </c>
      <c r="IJ116" s="558" t="str">
        <f t="shared" si="192"/>
        <v>.</v>
      </c>
      <c r="IK116" s="558" t="str">
        <f t="shared" si="192"/>
        <v>.</v>
      </c>
      <c r="IL116" s="558" t="str">
        <f t="shared" si="192"/>
        <v>.</v>
      </c>
      <c r="IM116" s="558" t="str">
        <f t="shared" si="192"/>
        <v>.</v>
      </c>
      <c r="IN116" s="558" t="str">
        <f t="shared" si="192"/>
        <v>.</v>
      </c>
      <c r="IO116" s="558" t="str">
        <f t="shared" si="192"/>
        <v>.</v>
      </c>
      <c r="IP116" s="558" t="str">
        <f t="shared" si="192"/>
        <v>.</v>
      </c>
      <c r="IQ116" s="558" t="str">
        <f t="shared" si="192"/>
        <v>.</v>
      </c>
      <c r="IR116" s="558" t="str">
        <f t="shared" si="194"/>
        <v>.</v>
      </c>
      <c r="IS116" s="558" t="str">
        <f t="shared" si="194"/>
        <v>.</v>
      </c>
      <c r="IT116" s="558" t="str">
        <f t="shared" si="194"/>
        <v>.</v>
      </c>
      <c r="IU116" s="558" t="str">
        <f t="shared" si="194"/>
        <v>.</v>
      </c>
      <c r="IV116" s="558" t="str">
        <f t="shared" si="194"/>
        <v>.</v>
      </c>
      <c r="IW116" s="558" t="str">
        <f t="shared" si="195"/>
        <v>.</v>
      </c>
      <c r="IX116" s="558" t="str">
        <f t="shared" si="195"/>
        <v>.</v>
      </c>
      <c r="IY116" s="558" t="str">
        <f t="shared" si="195"/>
        <v>.</v>
      </c>
      <c r="IZ116" s="558" t="str">
        <f t="shared" si="195"/>
        <v>.</v>
      </c>
      <c r="JA116" s="558" t="str">
        <f t="shared" si="195"/>
        <v>.</v>
      </c>
      <c r="JB116" s="558" t="str">
        <f t="shared" si="195"/>
        <v>.</v>
      </c>
      <c r="JC116" s="558" t="str">
        <f t="shared" si="195"/>
        <v>.</v>
      </c>
      <c r="JD116" s="558" t="str">
        <f t="shared" si="195"/>
        <v>.</v>
      </c>
      <c r="JE116" s="558" t="str">
        <f t="shared" si="195"/>
        <v>.</v>
      </c>
      <c r="JF116" s="558" t="str">
        <f t="shared" si="195"/>
        <v>.</v>
      </c>
      <c r="JG116" s="558" t="str">
        <f t="shared" si="195"/>
        <v>.</v>
      </c>
      <c r="JH116" s="558" t="str">
        <f t="shared" si="195"/>
        <v>.</v>
      </c>
      <c r="JI116" s="558" t="str">
        <f t="shared" si="195"/>
        <v>.</v>
      </c>
      <c r="JJ116" s="558" t="str">
        <f t="shared" si="195"/>
        <v>.</v>
      </c>
      <c r="JK116" s="558" t="str">
        <f t="shared" si="195"/>
        <v>.</v>
      </c>
      <c r="JL116" s="558" t="str">
        <f t="shared" si="195"/>
        <v>.</v>
      </c>
    </row>
    <row r="117" spans="1:272" ht="10.199999999999999" x14ac:dyDescent="0.2">
      <c r="A117" s="534">
        <f xml:space="preserve"> Basis!A117</f>
        <v>117</v>
      </c>
      <c r="F117" s="536">
        <f xml:space="preserve"> ROUND(    IF( $A$15=BE_MF_,   AW117,   INDEX( qx!117:117, F$16 ) ),    F$17    )</f>
        <v>0.36359999999999998</v>
      </c>
      <c r="G117" s="536">
        <f xml:space="preserve"> ROUND(    IF( $A$15=BE_MF_,   BB117,   INDEX( wx!117:117, G$16 ) ),    G$17    )</f>
        <v>1.4E-3</v>
      </c>
      <c r="H117" s="537">
        <f xml:space="preserve"> ROUND(    IF( $A$15=BE_MF_,   BG117,   INDEX( Kx!117:117, H$16 ) ),    H$17    )</f>
        <v>11834.48</v>
      </c>
      <c r="I117" s="538">
        <f t="shared" si="171"/>
        <v>11834.48</v>
      </c>
      <c r="J117" s="539">
        <f xml:space="preserve"> ROUND(  I117 / I$19,  J$17 )</f>
        <v>5.6959999999999997</v>
      </c>
      <c r="K117" s="540">
        <f t="shared" si="172"/>
        <v>0</v>
      </c>
      <c r="L117" s="541">
        <f t="shared" si="189"/>
        <v>0</v>
      </c>
      <c r="M117" s="541">
        <f t="shared" si="189"/>
        <v>8.5999999999999993E-2</v>
      </c>
      <c r="O117" s="542" t="b">
        <f t="shared" si="173"/>
        <v>0</v>
      </c>
      <c r="P117" s="493" t="str">
        <f t="shared" si="138"/>
        <v>.</v>
      </c>
      <c r="Q117" s="493" t="str">
        <f xml:space="preserve"> IF( $O117,    ROUND( 1 - P117,  Q$17  ),  LEER  )</f>
        <v>.</v>
      </c>
      <c r="R117" s="543" t="str">
        <f t="shared" si="140"/>
        <v>.</v>
      </c>
      <c r="S117" s="544" t="str">
        <f t="shared" si="141"/>
        <v>.</v>
      </c>
      <c r="T117" s="423" t="str">
        <f xml:space="preserve"> IF( $O117,    ROUND( R117 * S117 ^ A117, T$17 ),  LEER  )</f>
        <v>.</v>
      </c>
      <c r="U117" s="423" t="str">
        <f xml:space="preserve"> IF( $O117,    ROUND(  SUM( T117:T$120), U$17 ),  LEER  )</f>
        <v>.</v>
      </c>
      <c r="V117" s="493" t="str">
        <f xml:space="preserve"> IF( $O117,    IF( T117= 0, 1,  ROUND(  U117 / T117, V$17 )   ),  LEER  )</f>
        <v>.</v>
      </c>
      <c r="W117" s="493" t="str">
        <f t="shared" si="144"/>
        <v>.</v>
      </c>
      <c r="X117" s="493" t="str">
        <f xml:space="preserve"> IF( $O117,    ROUND(  SUM( W117:W$120), X$17 ),  LEER  )</f>
        <v>.</v>
      </c>
      <c r="Y117" s="493" t="str">
        <f xml:space="preserve"> IF( $O117,    IF( T117= 0, J117,  ROUND(  X117 / T117, Y$17 )   ),   LEER  )</f>
        <v>.</v>
      </c>
      <c r="Z117" s="493" t="str">
        <f xml:space="preserve"> IF( $O117,    IF( V117= 0, Y117,  ROUND( Y117 / V117, Z$17 )  ),   LEER  )</f>
        <v>.</v>
      </c>
      <c r="AA117" s="493" t="str">
        <f t="shared" si="147"/>
        <v>.</v>
      </c>
      <c r="AB117" s="493" t="str">
        <f t="shared" si="148"/>
        <v>.</v>
      </c>
      <c r="AC117" s="545" t="str">
        <f t="shared" si="198"/>
        <v>.</v>
      </c>
      <c r="AD117" s="493" t="str">
        <f xml:space="preserve">  IF( $O117,   ROUND( AA117 * Z117 + ( AA117 - 1 ) * AC117, AD$17 ),       LEER  )</f>
        <v>.</v>
      </c>
      <c r="AE117" s="493" t="str">
        <f xml:space="preserve">  IF( $O117,   ROUND( ( AD117 + AC117 ) / ( 1 - M117), AE$17 ),       LEER  )</f>
        <v>.</v>
      </c>
      <c r="AF117" s="493" t="str">
        <f xml:space="preserve">  IF(  $O117,   IF(  OR( NOT( $AF$12), $A117=$M$12, AE117&gt;=AF116 ), AE117, MAX( AE117,AF116) ),  LEER  )</f>
        <v>.</v>
      </c>
      <c r="AG117" s="493" t="str">
        <f xml:space="preserve">  IF(  $O117,   IF(  AE117=AF117,  LEER, Setzung ),    LEER  )</f>
        <v>.</v>
      </c>
      <c r="AH117" s="493" t="str">
        <f xml:space="preserve">  IF(  $O117,   IF( AND( K116&lt;&gt;0, AG117=Setzung), SetzungZillmerung, LEER ),    LEER  )</f>
        <v>.</v>
      </c>
      <c r="AI117" s="423" t="str">
        <f t="shared" si="155"/>
        <v>.</v>
      </c>
      <c r="AJ117" s="423" t="str">
        <f xml:space="preserve">  IF( $O117,    ROUND( AF117 * AI117, AJ$17 ),  LEER  )</f>
        <v>.</v>
      </c>
      <c r="AK117" s="423" t="str">
        <f xml:space="preserve">  IF( $O117,    ROUND( AJ117 / 12, AK$17 ),  LEER  )</f>
        <v>.</v>
      </c>
      <c r="AN117" s="423" t="str">
        <f t="shared" si="184"/>
        <v>.</v>
      </c>
      <c r="AO117" s="423" t="str">
        <f t="shared" si="184"/>
        <v>.</v>
      </c>
      <c r="AR117" s="546">
        <f xml:space="preserve"> ROUND(  INDEX( Kx!117:117, AR$16 ),  AR$17 )</f>
        <v>0.24679999999999999</v>
      </c>
      <c r="AS117" s="547">
        <f xml:space="preserve"> ROUND(  INDEX( qx!117:117, AS$16 ),  AS$17 )</f>
        <v>0.38390000000000002</v>
      </c>
      <c r="AT117" s="547">
        <f xml:space="preserve"> ROUND(  INDEX( qx!117:117, AT$16 ),  AT$17 )</f>
        <v>0.35920000000000002</v>
      </c>
      <c r="AU117" s="548" t="str">
        <f t="shared" si="199"/>
        <v>F</v>
      </c>
      <c r="AV117" s="542">
        <f t="shared" si="200"/>
        <v>0.17929999999999999</v>
      </c>
      <c r="AW117" s="542">
        <f t="shared" si="201"/>
        <v>0.36359999999999998</v>
      </c>
      <c r="AX117" s="546">
        <f xml:space="preserve"> ROUND(  INDEX( wx!117:117, AX$16 ),  AX$17 )</f>
        <v>0</v>
      </c>
      <c r="AY117" s="546">
        <f xml:space="preserve"> ROUND(  INDEX( wx!117:117, AY$16 ),  AY$17 )</f>
        <v>2.0999999999999999E-3</v>
      </c>
      <c r="AZ117" s="548" t="str">
        <f t="shared" si="202"/>
        <v>M</v>
      </c>
      <c r="BA117" s="542">
        <f t="shared" si="203"/>
        <v>0.32950000000000002</v>
      </c>
      <c r="BB117" s="542">
        <f t="shared" si="204"/>
        <v>1.4E-3</v>
      </c>
      <c r="BC117" s="533">
        <f xml:space="preserve"> ROUND(  INDEX( Kx!117:117, BC$16 ),  BC$17 )</f>
        <v>14601.35</v>
      </c>
      <c r="BD117" s="533">
        <f xml:space="preserve"> ROUND(  INDEX( Kx!117:117, BD$16 ),  BD$17 )</f>
        <v>10474.77</v>
      </c>
      <c r="BE117" s="548" t="str">
        <f t="shared" si="174"/>
        <v>M</v>
      </c>
      <c r="BF117" s="542">
        <f t="shared" si="205"/>
        <v>0.32950000000000002</v>
      </c>
      <c r="BG117" s="420">
        <f t="shared" si="206"/>
        <v>11834.48</v>
      </c>
      <c r="BQ117" s="549"/>
      <c r="BR117" s="423"/>
      <c r="BS117" s="550"/>
      <c r="BT117" s="423"/>
      <c r="BU117" s="551"/>
      <c r="BV117" s="551"/>
      <c r="BW117" s="529"/>
      <c r="BX117" s="552"/>
      <c r="BY117" s="560"/>
      <c r="BZ117" s="559"/>
      <c r="CB117" s="423"/>
      <c r="CC117" s="423"/>
      <c r="CD117" s="423"/>
      <c r="CE117" s="423"/>
      <c r="CF117" s="553"/>
      <c r="CH117" s="423"/>
      <c r="CI117" s="423"/>
      <c r="CJ117" s="423"/>
      <c r="CK117" s="423"/>
      <c r="CL117" s="553"/>
      <c r="CN117" s="423"/>
      <c r="CO117" s="423"/>
      <c r="CP117" s="423"/>
      <c r="CQ117" s="423"/>
      <c r="CR117" s="553"/>
      <c r="EI117" s="553"/>
      <c r="EJ117" s="553"/>
      <c r="EK117" s="423"/>
      <c r="EL117" s="555"/>
      <c r="ES117" s="533"/>
      <c r="ET117" s="533"/>
      <c r="EU117" s="533"/>
      <c r="EV117" s="556"/>
      <c r="EY117" s="533"/>
      <c r="EZ117" s="533"/>
      <c r="FA117" s="556"/>
      <c r="FD117" s="556"/>
      <c r="FE117" s="556"/>
      <c r="FF117" s="556"/>
      <c r="FK117" s="557">
        <f t="shared" si="166"/>
        <v>117</v>
      </c>
      <c r="FL117" s="493" t="str">
        <f t="shared" si="167"/>
        <v>.</v>
      </c>
      <c r="FM117" s="493" t="str">
        <f t="shared" si="168"/>
        <v>.</v>
      </c>
      <c r="FO117" s="427">
        <f t="shared" si="175"/>
        <v>0</v>
      </c>
      <c r="FP117" s="558" t="str">
        <f t="shared" si="207"/>
        <v>.</v>
      </c>
      <c r="FQ117" s="558" t="str">
        <f t="shared" si="207"/>
        <v>.</v>
      </c>
      <c r="FR117" s="558" t="str">
        <f t="shared" si="207"/>
        <v>.</v>
      </c>
      <c r="FS117" s="558" t="str">
        <f t="shared" si="207"/>
        <v>.</v>
      </c>
      <c r="FT117" s="558" t="str">
        <f t="shared" si="207"/>
        <v>.</v>
      </c>
      <c r="FU117" s="558" t="str">
        <f t="shared" si="207"/>
        <v>.</v>
      </c>
      <c r="FV117" s="558" t="str">
        <f t="shared" si="207"/>
        <v>.</v>
      </c>
      <c r="FW117" s="558" t="str">
        <f t="shared" si="207"/>
        <v>.</v>
      </c>
      <c r="FX117" s="558" t="str">
        <f t="shared" si="207"/>
        <v>.</v>
      </c>
      <c r="FY117" s="558" t="str">
        <f t="shared" si="207"/>
        <v>.</v>
      </c>
      <c r="FZ117" s="558" t="str">
        <f t="shared" si="207"/>
        <v>.</v>
      </c>
      <c r="GA117" s="558" t="str">
        <f t="shared" si="207"/>
        <v>.</v>
      </c>
      <c r="GB117" s="558" t="str">
        <f t="shared" si="207"/>
        <v>.</v>
      </c>
      <c r="GC117" s="558" t="str">
        <f t="shared" si="207"/>
        <v>.</v>
      </c>
      <c r="GD117" s="558" t="str">
        <f t="shared" si="207"/>
        <v>.</v>
      </c>
      <c r="GE117" s="558" t="str">
        <f t="shared" si="207"/>
        <v>.</v>
      </c>
      <c r="GF117" s="558" t="str">
        <f t="shared" si="196"/>
        <v>.</v>
      </c>
      <c r="GG117" s="558" t="str">
        <f t="shared" si="196"/>
        <v>.</v>
      </c>
      <c r="GH117" s="558" t="str">
        <f t="shared" si="196"/>
        <v>.</v>
      </c>
      <c r="GI117" s="558" t="str">
        <f t="shared" si="196"/>
        <v>.</v>
      </c>
      <c r="GJ117" s="558" t="str">
        <f t="shared" si="196"/>
        <v>.</v>
      </c>
      <c r="GK117" s="558" t="str">
        <f t="shared" si="196"/>
        <v>.</v>
      </c>
      <c r="GL117" s="558" t="str">
        <f t="shared" si="196"/>
        <v>.</v>
      </c>
      <c r="GM117" s="558" t="str">
        <f t="shared" si="196"/>
        <v>.</v>
      </c>
      <c r="GN117" s="558" t="str">
        <f t="shared" si="196"/>
        <v>.</v>
      </c>
      <c r="GO117" s="558" t="str">
        <f t="shared" si="196"/>
        <v>.</v>
      </c>
      <c r="GP117" s="558" t="str">
        <f t="shared" si="196"/>
        <v>.</v>
      </c>
      <c r="GQ117" s="558" t="str">
        <f t="shared" si="196"/>
        <v>.</v>
      </c>
      <c r="GR117" s="558" t="str">
        <f t="shared" si="196"/>
        <v>.</v>
      </c>
      <c r="GS117" s="558" t="str">
        <f t="shared" si="196"/>
        <v>.</v>
      </c>
      <c r="GT117" s="558" t="str">
        <f t="shared" si="196"/>
        <v>.</v>
      </c>
      <c r="GU117" s="558" t="str">
        <f t="shared" si="208"/>
        <v>.</v>
      </c>
      <c r="GV117" s="558" t="str">
        <f t="shared" si="208"/>
        <v>.</v>
      </c>
      <c r="GW117" s="558" t="str">
        <f t="shared" si="208"/>
        <v>.</v>
      </c>
      <c r="GX117" s="558" t="str">
        <f t="shared" si="208"/>
        <v>.</v>
      </c>
      <c r="GY117" s="558" t="str">
        <f t="shared" si="208"/>
        <v>.</v>
      </c>
      <c r="GZ117" s="558" t="str">
        <f t="shared" si="208"/>
        <v>.</v>
      </c>
      <c r="HA117" s="558" t="str">
        <f t="shared" si="208"/>
        <v>.</v>
      </c>
      <c r="HB117" s="558" t="str">
        <f t="shared" si="208"/>
        <v>.</v>
      </c>
      <c r="HC117" s="558" t="str">
        <f t="shared" si="208"/>
        <v>.</v>
      </c>
      <c r="HD117" s="558" t="str">
        <f t="shared" si="208"/>
        <v>.</v>
      </c>
      <c r="HE117" s="558" t="str">
        <f t="shared" si="208"/>
        <v>.</v>
      </c>
      <c r="HF117" s="558" t="str">
        <f t="shared" si="208"/>
        <v>.</v>
      </c>
      <c r="HG117" s="558" t="str">
        <f t="shared" si="208"/>
        <v>.</v>
      </c>
      <c r="HH117" s="558" t="str">
        <f t="shared" si="208"/>
        <v>.</v>
      </c>
      <c r="HI117" s="558" t="str">
        <f t="shared" si="208"/>
        <v>.</v>
      </c>
      <c r="HJ117" s="558" t="str">
        <f t="shared" si="208"/>
        <v>.</v>
      </c>
      <c r="HK117" s="558" t="str">
        <f t="shared" si="197"/>
        <v>.</v>
      </c>
      <c r="HL117" s="558" t="str">
        <f t="shared" si="197"/>
        <v>.</v>
      </c>
      <c r="HM117" s="558" t="str">
        <f t="shared" si="197"/>
        <v>.</v>
      </c>
      <c r="HN117" s="558" t="str">
        <f t="shared" si="197"/>
        <v>.</v>
      </c>
      <c r="HO117" s="558" t="str">
        <f t="shared" si="197"/>
        <v>.</v>
      </c>
      <c r="HP117" s="558" t="str">
        <f t="shared" si="197"/>
        <v>.</v>
      </c>
      <c r="HQ117" s="558" t="str">
        <f t="shared" si="197"/>
        <v>.</v>
      </c>
      <c r="HR117" s="558" t="str">
        <f t="shared" si="197"/>
        <v>.</v>
      </c>
      <c r="HS117" s="558" t="str">
        <f t="shared" si="197"/>
        <v>.</v>
      </c>
      <c r="HT117" s="558" t="str">
        <f t="shared" si="197"/>
        <v>.</v>
      </c>
      <c r="HU117" s="558" t="str">
        <f t="shared" si="197"/>
        <v>.</v>
      </c>
      <c r="HV117" s="558" t="str">
        <f t="shared" si="197"/>
        <v>.</v>
      </c>
      <c r="HW117" s="558" t="str">
        <f t="shared" si="197"/>
        <v>.</v>
      </c>
      <c r="HX117" s="558" t="str">
        <f t="shared" si="197"/>
        <v>.</v>
      </c>
      <c r="HY117" s="558" t="str">
        <f t="shared" si="197"/>
        <v>.</v>
      </c>
      <c r="HZ117" s="558" t="str">
        <f t="shared" si="192"/>
        <v>.</v>
      </c>
      <c r="IA117" s="558" t="str">
        <f t="shared" si="192"/>
        <v>.</v>
      </c>
      <c r="IB117" s="558" t="str">
        <f t="shared" si="192"/>
        <v>.</v>
      </c>
      <c r="IC117" s="558" t="str">
        <f t="shared" si="192"/>
        <v>.</v>
      </c>
      <c r="ID117" s="558" t="str">
        <f t="shared" si="192"/>
        <v>.</v>
      </c>
      <c r="IE117" s="558" t="str">
        <f t="shared" si="192"/>
        <v>.</v>
      </c>
      <c r="IF117" s="558" t="str">
        <f t="shared" si="192"/>
        <v>.</v>
      </c>
      <c r="IG117" s="558" t="str">
        <f t="shared" si="192"/>
        <v>.</v>
      </c>
      <c r="IH117" s="558" t="str">
        <f t="shared" si="192"/>
        <v>.</v>
      </c>
      <c r="II117" s="558" t="str">
        <f t="shared" si="192"/>
        <v>.</v>
      </c>
      <c r="IJ117" s="558" t="str">
        <f t="shared" si="192"/>
        <v>.</v>
      </c>
      <c r="IK117" s="558" t="str">
        <f t="shared" si="192"/>
        <v>.</v>
      </c>
      <c r="IL117" s="558" t="str">
        <f t="shared" si="192"/>
        <v>.</v>
      </c>
      <c r="IM117" s="558" t="str">
        <f t="shared" si="192"/>
        <v>.</v>
      </c>
      <c r="IN117" s="558" t="str">
        <f t="shared" si="192"/>
        <v>.</v>
      </c>
      <c r="IO117" s="558" t="str">
        <f t="shared" si="192"/>
        <v>.</v>
      </c>
      <c r="IP117" s="558" t="str">
        <f t="shared" si="192"/>
        <v>.</v>
      </c>
      <c r="IQ117" s="558" t="str">
        <f t="shared" si="192"/>
        <v>.</v>
      </c>
      <c r="IR117" s="558" t="str">
        <f t="shared" si="194"/>
        <v>.</v>
      </c>
      <c r="IS117" s="558" t="str">
        <f t="shared" si="194"/>
        <v>.</v>
      </c>
      <c r="IT117" s="558" t="str">
        <f t="shared" si="194"/>
        <v>.</v>
      </c>
      <c r="IU117" s="558" t="str">
        <f t="shared" si="194"/>
        <v>.</v>
      </c>
      <c r="IV117" s="558" t="str">
        <f t="shared" si="194"/>
        <v>.</v>
      </c>
      <c r="IW117" s="558" t="str">
        <f t="shared" si="195"/>
        <v>.</v>
      </c>
      <c r="IX117" s="558" t="str">
        <f t="shared" si="195"/>
        <v>.</v>
      </c>
      <c r="IY117" s="558" t="str">
        <f t="shared" si="195"/>
        <v>.</v>
      </c>
      <c r="IZ117" s="558" t="str">
        <f t="shared" si="195"/>
        <v>.</v>
      </c>
      <c r="JA117" s="558" t="str">
        <f t="shared" si="195"/>
        <v>.</v>
      </c>
      <c r="JB117" s="558" t="str">
        <f t="shared" si="195"/>
        <v>.</v>
      </c>
      <c r="JC117" s="558" t="str">
        <f t="shared" si="195"/>
        <v>.</v>
      </c>
      <c r="JD117" s="558" t="str">
        <f t="shared" si="195"/>
        <v>.</v>
      </c>
      <c r="JE117" s="558" t="str">
        <f t="shared" si="195"/>
        <v>.</v>
      </c>
      <c r="JF117" s="558" t="str">
        <f t="shared" si="195"/>
        <v>.</v>
      </c>
      <c r="JG117" s="558" t="str">
        <f t="shared" si="195"/>
        <v>.</v>
      </c>
      <c r="JH117" s="558" t="str">
        <f t="shared" si="195"/>
        <v>.</v>
      </c>
      <c r="JI117" s="558" t="str">
        <f t="shared" si="195"/>
        <v>.</v>
      </c>
      <c r="JJ117" s="558" t="str">
        <f t="shared" si="195"/>
        <v>.</v>
      </c>
      <c r="JK117" s="558" t="str">
        <f t="shared" si="195"/>
        <v>.</v>
      </c>
      <c r="JL117" s="558" t="str">
        <f t="shared" si="195"/>
        <v>.</v>
      </c>
    </row>
    <row r="118" spans="1:272" ht="10.199999999999999" x14ac:dyDescent="0.2">
      <c r="A118" s="534">
        <f xml:space="preserve"> Basis!A118</f>
        <v>118</v>
      </c>
      <c r="F118" s="536">
        <f xml:space="preserve"> ROUND(    IF( $A$15=BE_MF_,   AW118,   INDEX( qx!118:118, F$16 ) ),    F$17    )</f>
        <v>0.3695</v>
      </c>
      <c r="G118" s="536">
        <f xml:space="preserve"> ROUND(    IF( $A$15=BE_MF_,   BB118,   INDEX( wx!118:118, G$16 ) ),    G$17    )</f>
        <v>1.4E-3</v>
      </c>
      <c r="H118" s="537">
        <f xml:space="preserve"> ROUND(    IF( $A$15=BE_MF_,   BG118,   INDEX( Kx!118:118, H$16 ) ),    H$17    )</f>
        <v>11868.94</v>
      </c>
      <c r="I118" s="538">
        <f t="shared" si="171"/>
        <v>11868.94</v>
      </c>
      <c r="J118" s="539">
        <f xml:space="preserve"> ROUND(  I118 / I$19,  J$17 )</f>
        <v>5.7119999999999997</v>
      </c>
      <c r="K118" s="540">
        <f t="shared" si="172"/>
        <v>0</v>
      </c>
      <c r="L118" s="541">
        <f t="shared" si="189"/>
        <v>0</v>
      </c>
      <c r="M118" s="541">
        <f t="shared" si="189"/>
        <v>8.5999999999999993E-2</v>
      </c>
      <c r="O118" s="542" t="b">
        <f t="shared" si="173"/>
        <v>0</v>
      </c>
      <c r="P118" s="493" t="str">
        <f t="shared" si="138"/>
        <v>.</v>
      </c>
      <c r="Q118" s="493" t="str">
        <f xml:space="preserve"> IF( $O118,    ROUND( 1 - P118,  Q$17  ),  LEER  )</f>
        <v>.</v>
      </c>
      <c r="R118" s="543" t="str">
        <f t="shared" si="140"/>
        <v>.</v>
      </c>
      <c r="S118" s="544" t="str">
        <f t="shared" si="141"/>
        <v>.</v>
      </c>
      <c r="T118" s="423" t="str">
        <f xml:space="preserve"> IF( $O118,    ROUND( R118 * S118 ^ A118, T$17 ),  LEER  )</f>
        <v>.</v>
      </c>
      <c r="U118" s="423" t="str">
        <f xml:space="preserve"> IF( $O118,    ROUND(  SUM( T118:T$120), U$17 ),  LEER  )</f>
        <v>.</v>
      </c>
      <c r="V118" s="493" t="str">
        <f xml:space="preserve"> IF( $O118,    IF( T118= 0, 1,  ROUND(  U118 / T118, V$17 )   ),  LEER  )</f>
        <v>.</v>
      </c>
      <c r="W118" s="493" t="str">
        <f t="shared" si="144"/>
        <v>.</v>
      </c>
      <c r="X118" s="493" t="str">
        <f xml:space="preserve"> IF( $O118,    ROUND(  SUM( W118:W$120), X$17 ),  LEER  )</f>
        <v>.</v>
      </c>
      <c r="Y118" s="493" t="str">
        <f xml:space="preserve"> IF( $O118,    IF( T118= 0, J118,  ROUND(  X118 / T118, Y$17 )   ),   LEER  )</f>
        <v>.</v>
      </c>
      <c r="Z118" s="493" t="str">
        <f xml:space="preserve"> IF( $O118,    IF( V118= 0, Y118,  ROUND( Y118 / V118, Z$17 )  ),   LEER  )</f>
        <v>.</v>
      </c>
      <c r="AA118" s="493" t="str">
        <f t="shared" si="147"/>
        <v>.</v>
      </c>
      <c r="AB118" s="493" t="str">
        <f t="shared" si="148"/>
        <v>.</v>
      </c>
      <c r="AC118" s="545" t="str">
        <f t="shared" si="198"/>
        <v>.</v>
      </c>
      <c r="AD118" s="493" t="str">
        <f xml:space="preserve">  IF( $O118,   ROUND( AA118 * Z118 + ( AA118 - 1 ) * AC118, AD$17 ),       LEER  )</f>
        <v>.</v>
      </c>
      <c r="AE118" s="493" t="str">
        <f xml:space="preserve">  IF( $O118,   ROUND( ( AD118 + AC118 ) / ( 1 - M118), AE$17 ),       LEER  )</f>
        <v>.</v>
      </c>
      <c r="AF118" s="493" t="str">
        <f xml:space="preserve">  IF(  $O118,   IF(  OR( NOT( $AF$12), $A118=$M$12, AE118&gt;=AF117 ), AE118, MAX( AE118,AF117) ),  LEER  )</f>
        <v>.</v>
      </c>
      <c r="AG118" s="493" t="str">
        <f xml:space="preserve">  IF(  $O118,   IF(  AE118=AF118,  LEER, Setzung ),    LEER  )</f>
        <v>.</v>
      </c>
      <c r="AH118" s="493" t="str">
        <f xml:space="preserve">  IF(  $O118,   IF( AND( K117&lt;&gt;0, AG118=Setzung), SetzungZillmerung, LEER ),    LEER  )</f>
        <v>.</v>
      </c>
      <c r="AI118" s="423" t="str">
        <f t="shared" si="155"/>
        <v>.</v>
      </c>
      <c r="AJ118" s="423" t="str">
        <f xml:space="preserve">  IF( $O118,    ROUND( AF118 * AI118, AJ$17 ),  LEER  )</f>
        <v>.</v>
      </c>
      <c r="AK118" s="423" t="str">
        <f xml:space="preserve">  IF( $O118,    ROUND( AJ118 / 12, AK$17 ),  LEER  )</f>
        <v>.</v>
      </c>
      <c r="AN118" s="423" t="str">
        <f t="shared" si="184"/>
        <v>.</v>
      </c>
      <c r="AO118" s="423" t="str">
        <f t="shared" si="184"/>
        <v>.</v>
      </c>
      <c r="AR118" s="546">
        <f xml:space="preserve"> ROUND(  INDEX( Kx!118:118, AR$16 ),  AR$17 )</f>
        <v>0.24679999999999999</v>
      </c>
      <c r="AS118" s="547">
        <f xml:space="preserve"> ROUND(  INDEX( qx!118:118, AS$16 ),  AS$17 )</f>
        <v>0.39040000000000002</v>
      </c>
      <c r="AT118" s="547">
        <f xml:space="preserve"> ROUND(  INDEX( qx!118:118, AT$16 ),  AT$17 )</f>
        <v>0.3649</v>
      </c>
      <c r="AU118" s="548" t="str">
        <f t="shared" si="199"/>
        <v>F</v>
      </c>
      <c r="AV118" s="542">
        <f t="shared" si="200"/>
        <v>0.17929999999999999</v>
      </c>
      <c r="AW118" s="542">
        <f t="shared" si="201"/>
        <v>0.3695</v>
      </c>
      <c r="AX118" s="546">
        <f xml:space="preserve"> ROUND(  INDEX( wx!118:118, AX$16 ),  AX$17 )</f>
        <v>0</v>
      </c>
      <c r="AY118" s="546">
        <f xml:space="preserve"> ROUND(  INDEX( wx!118:118, AY$16 ),  AY$17 )</f>
        <v>2.0999999999999999E-3</v>
      </c>
      <c r="AZ118" s="548" t="str">
        <f t="shared" si="202"/>
        <v>M</v>
      </c>
      <c r="BA118" s="542">
        <f t="shared" si="203"/>
        <v>0.32950000000000002</v>
      </c>
      <c r="BB118" s="542">
        <f t="shared" si="204"/>
        <v>1.4E-3</v>
      </c>
      <c r="BC118" s="533">
        <f xml:space="preserve"> ROUND(  INDEX( Kx!118:118, BC$16 ),  BC$17 )</f>
        <v>14680.04</v>
      </c>
      <c r="BD118" s="533">
        <f xml:space="preserve"> ROUND(  INDEX( Kx!118:118, BD$16 ),  BD$17 )</f>
        <v>10487.49</v>
      </c>
      <c r="BE118" s="548" t="str">
        <f t="shared" si="174"/>
        <v>M</v>
      </c>
      <c r="BF118" s="542">
        <f t="shared" si="205"/>
        <v>0.32950000000000002</v>
      </c>
      <c r="BG118" s="420">
        <f t="shared" si="206"/>
        <v>11868.94</v>
      </c>
      <c r="BQ118" s="549"/>
      <c r="BR118" s="423"/>
      <c r="BS118" s="550"/>
      <c r="BT118" s="423"/>
      <c r="BU118" s="551"/>
      <c r="BV118" s="551"/>
      <c r="BW118" s="529"/>
      <c r="BX118" s="552"/>
      <c r="BY118" s="560"/>
      <c r="BZ118" s="559"/>
      <c r="CB118" s="423"/>
      <c r="CC118" s="423"/>
      <c r="CD118" s="423"/>
      <c r="CE118" s="423"/>
      <c r="CF118" s="553"/>
      <c r="CH118" s="423"/>
      <c r="CI118" s="423"/>
      <c r="CJ118" s="423"/>
      <c r="CK118" s="423"/>
      <c r="CL118" s="553"/>
      <c r="CN118" s="423"/>
      <c r="CO118" s="423"/>
      <c r="CP118" s="423"/>
      <c r="CQ118" s="423"/>
      <c r="CR118" s="553"/>
      <c r="EI118" s="553"/>
      <c r="EJ118" s="553"/>
      <c r="EK118" s="423"/>
      <c r="EL118" s="555"/>
      <c r="ES118" s="533"/>
      <c r="ET118" s="533"/>
      <c r="EU118" s="533"/>
      <c r="EV118" s="556"/>
      <c r="EY118" s="533"/>
      <c r="EZ118" s="533"/>
      <c r="FA118" s="556"/>
      <c r="FD118" s="556"/>
      <c r="FE118" s="556"/>
      <c r="FF118" s="556"/>
      <c r="FK118" s="557">
        <f t="shared" si="166"/>
        <v>118</v>
      </c>
      <c r="FL118" s="493" t="str">
        <f t="shared" si="167"/>
        <v>.</v>
      </c>
      <c r="FM118" s="493" t="str">
        <f t="shared" si="168"/>
        <v>.</v>
      </c>
      <c r="FO118" s="427">
        <f t="shared" si="175"/>
        <v>0</v>
      </c>
      <c r="FP118" s="558" t="str">
        <f t="shared" si="207"/>
        <v>.</v>
      </c>
      <c r="FQ118" s="558" t="str">
        <f t="shared" si="207"/>
        <v>.</v>
      </c>
      <c r="FR118" s="558" t="str">
        <f t="shared" si="207"/>
        <v>.</v>
      </c>
      <c r="FS118" s="558" t="str">
        <f t="shared" si="207"/>
        <v>.</v>
      </c>
      <c r="FT118" s="558" t="str">
        <f t="shared" si="207"/>
        <v>.</v>
      </c>
      <c r="FU118" s="558" t="str">
        <f t="shared" si="207"/>
        <v>.</v>
      </c>
      <c r="FV118" s="558" t="str">
        <f t="shared" si="207"/>
        <v>.</v>
      </c>
      <c r="FW118" s="558" t="str">
        <f t="shared" si="207"/>
        <v>.</v>
      </c>
      <c r="FX118" s="558" t="str">
        <f t="shared" si="207"/>
        <v>.</v>
      </c>
      <c r="FY118" s="558" t="str">
        <f t="shared" si="207"/>
        <v>.</v>
      </c>
      <c r="FZ118" s="558" t="str">
        <f t="shared" si="207"/>
        <v>.</v>
      </c>
      <c r="GA118" s="558" t="str">
        <f t="shared" si="207"/>
        <v>.</v>
      </c>
      <c r="GB118" s="558" t="str">
        <f t="shared" si="207"/>
        <v>.</v>
      </c>
      <c r="GC118" s="558" t="str">
        <f t="shared" si="207"/>
        <v>.</v>
      </c>
      <c r="GD118" s="558" t="str">
        <f t="shared" si="207"/>
        <v>.</v>
      </c>
      <c r="GE118" s="558" t="str">
        <f t="shared" si="207"/>
        <v>.</v>
      </c>
      <c r="GF118" s="558" t="str">
        <f t="shared" si="196"/>
        <v>.</v>
      </c>
      <c r="GG118" s="558" t="str">
        <f t="shared" si="196"/>
        <v>.</v>
      </c>
      <c r="GH118" s="558" t="str">
        <f t="shared" si="196"/>
        <v>.</v>
      </c>
      <c r="GI118" s="558" t="str">
        <f t="shared" si="196"/>
        <v>.</v>
      </c>
      <c r="GJ118" s="558" t="str">
        <f t="shared" si="196"/>
        <v>.</v>
      </c>
      <c r="GK118" s="558" t="str">
        <f t="shared" si="196"/>
        <v>.</v>
      </c>
      <c r="GL118" s="558" t="str">
        <f t="shared" si="196"/>
        <v>.</v>
      </c>
      <c r="GM118" s="558" t="str">
        <f t="shared" si="196"/>
        <v>.</v>
      </c>
      <c r="GN118" s="558" t="str">
        <f t="shared" si="196"/>
        <v>.</v>
      </c>
      <c r="GO118" s="558" t="str">
        <f t="shared" si="196"/>
        <v>.</v>
      </c>
      <c r="GP118" s="558" t="str">
        <f t="shared" si="196"/>
        <v>.</v>
      </c>
      <c r="GQ118" s="558" t="str">
        <f t="shared" si="196"/>
        <v>.</v>
      </c>
      <c r="GR118" s="558" t="str">
        <f t="shared" si="196"/>
        <v>.</v>
      </c>
      <c r="GS118" s="558" t="str">
        <f t="shared" si="196"/>
        <v>.</v>
      </c>
      <c r="GT118" s="558" t="str">
        <f t="shared" si="196"/>
        <v>.</v>
      </c>
      <c r="GU118" s="558" t="str">
        <f t="shared" si="208"/>
        <v>.</v>
      </c>
      <c r="GV118" s="558" t="str">
        <f t="shared" si="208"/>
        <v>.</v>
      </c>
      <c r="GW118" s="558" t="str">
        <f t="shared" si="208"/>
        <v>.</v>
      </c>
      <c r="GX118" s="558" t="str">
        <f t="shared" si="208"/>
        <v>.</v>
      </c>
      <c r="GY118" s="558" t="str">
        <f t="shared" si="208"/>
        <v>.</v>
      </c>
      <c r="GZ118" s="558" t="str">
        <f t="shared" si="208"/>
        <v>.</v>
      </c>
      <c r="HA118" s="558" t="str">
        <f t="shared" si="208"/>
        <v>.</v>
      </c>
      <c r="HB118" s="558" t="str">
        <f t="shared" si="208"/>
        <v>.</v>
      </c>
      <c r="HC118" s="558" t="str">
        <f t="shared" si="208"/>
        <v>.</v>
      </c>
      <c r="HD118" s="558" t="str">
        <f t="shared" si="208"/>
        <v>.</v>
      </c>
      <c r="HE118" s="558" t="str">
        <f t="shared" si="208"/>
        <v>.</v>
      </c>
      <c r="HF118" s="558" t="str">
        <f t="shared" si="208"/>
        <v>.</v>
      </c>
      <c r="HG118" s="558" t="str">
        <f t="shared" si="208"/>
        <v>.</v>
      </c>
      <c r="HH118" s="558" t="str">
        <f t="shared" si="208"/>
        <v>.</v>
      </c>
      <c r="HI118" s="558" t="str">
        <f t="shared" si="208"/>
        <v>.</v>
      </c>
      <c r="HJ118" s="558" t="str">
        <f t="shared" si="208"/>
        <v>.</v>
      </c>
      <c r="HK118" s="558" t="str">
        <f t="shared" si="197"/>
        <v>.</v>
      </c>
      <c r="HL118" s="558" t="str">
        <f t="shared" si="197"/>
        <v>.</v>
      </c>
      <c r="HM118" s="558" t="str">
        <f t="shared" si="197"/>
        <v>.</v>
      </c>
      <c r="HN118" s="558" t="str">
        <f t="shared" si="197"/>
        <v>.</v>
      </c>
      <c r="HO118" s="558" t="str">
        <f t="shared" si="197"/>
        <v>.</v>
      </c>
      <c r="HP118" s="558" t="str">
        <f t="shared" si="197"/>
        <v>.</v>
      </c>
      <c r="HQ118" s="558" t="str">
        <f t="shared" si="197"/>
        <v>.</v>
      </c>
      <c r="HR118" s="558" t="str">
        <f t="shared" si="197"/>
        <v>.</v>
      </c>
      <c r="HS118" s="558" t="str">
        <f t="shared" si="197"/>
        <v>.</v>
      </c>
      <c r="HT118" s="558" t="str">
        <f t="shared" si="197"/>
        <v>.</v>
      </c>
      <c r="HU118" s="558" t="str">
        <f t="shared" si="197"/>
        <v>.</v>
      </c>
      <c r="HV118" s="558" t="str">
        <f t="shared" si="197"/>
        <v>.</v>
      </c>
      <c r="HW118" s="558" t="str">
        <f t="shared" si="197"/>
        <v>.</v>
      </c>
      <c r="HX118" s="558" t="str">
        <f t="shared" si="197"/>
        <v>.</v>
      </c>
      <c r="HY118" s="558" t="str">
        <f t="shared" si="197"/>
        <v>.</v>
      </c>
      <c r="HZ118" s="558" t="str">
        <f t="shared" si="192"/>
        <v>.</v>
      </c>
      <c r="IA118" s="558" t="str">
        <f t="shared" si="192"/>
        <v>.</v>
      </c>
      <c r="IB118" s="558" t="str">
        <f t="shared" si="192"/>
        <v>.</v>
      </c>
      <c r="IC118" s="558" t="str">
        <f t="shared" si="192"/>
        <v>.</v>
      </c>
      <c r="ID118" s="558" t="str">
        <f t="shared" si="192"/>
        <v>.</v>
      </c>
      <c r="IE118" s="558" t="str">
        <f t="shared" si="192"/>
        <v>.</v>
      </c>
      <c r="IF118" s="558" t="str">
        <f t="shared" si="192"/>
        <v>.</v>
      </c>
      <c r="IG118" s="558" t="str">
        <f t="shared" si="192"/>
        <v>.</v>
      </c>
      <c r="IH118" s="558" t="str">
        <f t="shared" si="192"/>
        <v>.</v>
      </c>
      <c r="II118" s="558" t="str">
        <f t="shared" si="192"/>
        <v>.</v>
      </c>
      <c r="IJ118" s="558" t="str">
        <f t="shared" si="192"/>
        <v>.</v>
      </c>
      <c r="IK118" s="558" t="str">
        <f t="shared" si="192"/>
        <v>.</v>
      </c>
      <c r="IL118" s="558" t="str">
        <f t="shared" si="192"/>
        <v>.</v>
      </c>
      <c r="IM118" s="558" t="str">
        <f t="shared" si="192"/>
        <v>.</v>
      </c>
      <c r="IN118" s="558" t="str">
        <f t="shared" si="192"/>
        <v>.</v>
      </c>
      <c r="IO118" s="558" t="str">
        <f t="shared" si="192"/>
        <v>.</v>
      </c>
      <c r="IP118" s="558" t="str">
        <f t="shared" si="192"/>
        <v>.</v>
      </c>
      <c r="IQ118" s="558" t="str">
        <f t="shared" si="192"/>
        <v>.</v>
      </c>
      <c r="IR118" s="558" t="str">
        <f t="shared" si="194"/>
        <v>.</v>
      </c>
      <c r="IS118" s="558" t="str">
        <f t="shared" si="194"/>
        <v>.</v>
      </c>
      <c r="IT118" s="558" t="str">
        <f t="shared" si="194"/>
        <v>.</v>
      </c>
      <c r="IU118" s="558" t="str">
        <f t="shared" si="194"/>
        <v>.</v>
      </c>
      <c r="IV118" s="558" t="str">
        <f t="shared" si="194"/>
        <v>.</v>
      </c>
      <c r="IW118" s="558" t="str">
        <f t="shared" si="195"/>
        <v>.</v>
      </c>
      <c r="IX118" s="558" t="str">
        <f t="shared" si="195"/>
        <v>.</v>
      </c>
      <c r="IY118" s="558" t="str">
        <f t="shared" si="195"/>
        <v>.</v>
      </c>
      <c r="IZ118" s="558" t="str">
        <f t="shared" si="195"/>
        <v>.</v>
      </c>
      <c r="JA118" s="558" t="str">
        <f t="shared" si="195"/>
        <v>.</v>
      </c>
      <c r="JB118" s="558" t="str">
        <f t="shared" si="195"/>
        <v>.</v>
      </c>
      <c r="JC118" s="558" t="str">
        <f t="shared" si="195"/>
        <v>.</v>
      </c>
      <c r="JD118" s="558" t="str">
        <f t="shared" si="195"/>
        <v>.</v>
      </c>
      <c r="JE118" s="558" t="str">
        <f t="shared" si="195"/>
        <v>.</v>
      </c>
      <c r="JF118" s="558" t="str">
        <f t="shared" si="195"/>
        <v>.</v>
      </c>
      <c r="JG118" s="558" t="str">
        <f t="shared" si="195"/>
        <v>.</v>
      </c>
      <c r="JH118" s="558" t="str">
        <f t="shared" si="195"/>
        <v>.</v>
      </c>
      <c r="JI118" s="558" t="str">
        <f t="shared" si="195"/>
        <v>.</v>
      </c>
      <c r="JJ118" s="558" t="str">
        <f t="shared" si="195"/>
        <v>.</v>
      </c>
      <c r="JK118" s="558" t="str">
        <f t="shared" si="195"/>
        <v>.</v>
      </c>
      <c r="JL118" s="558" t="str">
        <f t="shared" si="195"/>
        <v>.</v>
      </c>
    </row>
    <row r="119" spans="1:272" ht="10.199999999999999" x14ac:dyDescent="0.2">
      <c r="A119" s="534">
        <f xml:space="preserve"> Basis!A119</f>
        <v>119</v>
      </c>
      <c r="F119" s="536">
        <f xml:space="preserve"> ROUND(    IF( $A$15=BE_MF_,   AW119,   INDEX( qx!119:119, F$16 ) ),    F$17    )</f>
        <v>0.37530000000000002</v>
      </c>
      <c r="G119" s="536">
        <f xml:space="preserve"> ROUND(    IF( $A$15=BE_MF_,   BB119,   INDEX( wx!119:119, G$16 ) ),    G$17    )</f>
        <v>1.4E-3</v>
      </c>
      <c r="H119" s="537">
        <f xml:space="preserve"> ROUND(    IF( $A$15=BE_MF_,   BG119,   INDEX( Kx!119:119, H$16 ) ),    H$17    )</f>
        <v>11903.39</v>
      </c>
      <c r="I119" s="538">
        <f t="shared" si="171"/>
        <v>11903.39</v>
      </c>
      <c r="J119" s="539">
        <f xml:space="preserve"> ROUND(  I119 / I$19,  J$17 )</f>
        <v>5.7290000000000001</v>
      </c>
      <c r="K119" s="540">
        <f t="shared" si="172"/>
        <v>0</v>
      </c>
      <c r="L119" s="541">
        <f t="shared" si="189"/>
        <v>0</v>
      </c>
      <c r="M119" s="541">
        <f t="shared" si="189"/>
        <v>8.5999999999999993E-2</v>
      </c>
      <c r="O119" s="542" t="b">
        <f t="shared" si="173"/>
        <v>0</v>
      </c>
      <c r="P119" s="493" t="str">
        <f t="shared" si="138"/>
        <v>.</v>
      </c>
      <c r="Q119" s="493" t="str">
        <f xml:space="preserve"> IF( $O119,    ROUND( 1 - P119,  Q$17  ),  LEER  )</f>
        <v>.</v>
      </c>
      <c r="R119" s="543" t="str">
        <f t="shared" si="140"/>
        <v>.</v>
      </c>
      <c r="S119" s="544" t="str">
        <f t="shared" si="141"/>
        <v>.</v>
      </c>
      <c r="T119" s="423" t="str">
        <f xml:space="preserve"> IF( $O119,    ROUND( R119 * S119 ^ A119, T$17 ),  LEER  )</f>
        <v>.</v>
      </c>
      <c r="U119" s="423" t="str">
        <f xml:space="preserve"> IF( $O119,    ROUND(  SUM( T119:T$120), U$17 ),  LEER  )</f>
        <v>.</v>
      </c>
      <c r="V119" s="493" t="str">
        <f xml:space="preserve"> IF( $O119,    IF( T119= 0, 1,  ROUND(  U119 / T119, V$17 )   ),  LEER  )</f>
        <v>.</v>
      </c>
      <c r="W119" s="493" t="str">
        <f t="shared" si="144"/>
        <v>.</v>
      </c>
      <c r="X119" s="493" t="str">
        <f xml:space="preserve"> IF( $O119,    ROUND(  SUM( W119:W$120), X$17 ),  LEER  )</f>
        <v>.</v>
      </c>
      <c r="Y119" s="493" t="str">
        <f xml:space="preserve"> IF( $O119,    IF( T119= 0, J119,  ROUND(  X119 / T119, Y$17 )   ),   LEER  )</f>
        <v>.</v>
      </c>
      <c r="Z119" s="493" t="str">
        <f xml:space="preserve"> IF( $O119,    IF( V119= 0, Y119,  ROUND( Y119 / V119, Z$17 )  ),   LEER  )</f>
        <v>.</v>
      </c>
      <c r="AA119" s="493" t="str">
        <f t="shared" si="147"/>
        <v>.</v>
      </c>
      <c r="AB119" s="493" t="str">
        <f t="shared" si="148"/>
        <v>.</v>
      </c>
      <c r="AC119" s="545" t="str">
        <f t="shared" si="198"/>
        <v>.</v>
      </c>
      <c r="AD119" s="493" t="str">
        <f xml:space="preserve">  IF( $O119,   ROUND( AA119 * Z119 + ( AA119 - 1 ) * AC119, AD$17 ),       LEER  )</f>
        <v>.</v>
      </c>
      <c r="AE119" s="493" t="str">
        <f xml:space="preserve">  IF( $O119,   ROUND( ( AD119 + AC119 ) / ( 1 - M119), AE$17 ),       LEER  )</f>
        <v>.</v>
      </c>
      <c r="AF119" s="493" t="str">
        <f xml:space="preserve">  IF(  $O119,   IF(  OR( NOT( $AF$12), $A119=$M$12, AE119&gt;=AF118 ), AE119, MAX( AE119,AF118) ),  LEER  )</f>
        <v>.</v>
      </c>
      <c r="AG119" s="493" t="str">
        <f xml:space="preserve">  IF(  $O119,   IF(  AE119=AF119,  LEER, Setzung ),    LEER  )</f>
        <v>.</v>
      </c>
      <c r="AH119" s="493" t="str">
        <f xml:space="preserve">  IF(  $O119,   IF( AND( K118&lt;&gt;0, AG119=Setzung), SetzungZillmerung, LEER ),    LEER  )</f>
        <v>.</v>
      </c>
      <c r="AI119" s="423" t="str">
        <f t="shared" si="155"/>
        <v>.</v>
      </c>
      <c r="AJ119" s="423" t="str">
        <f xml:space="preserve">  IF( $O119,    ROUND( AF119 * AI119, AJ$17 ),  LEER  )</f>
        <v>.</v>
      </c>
      <c r="AK119" s="423" t="str">
        <f xml:space="preserve">  IF( $O119,    ROUND( AJ119 / 12, AK$17 ),  LEER  )</f>
        <v>.</v>
      </c>
      <c r="AN119" s="423" t="str">
        <f t="shared" si="184"/>
        <v>.</v>
      </c>
      <c r="AO119" s="423" t="str">
        <f t="shared" si="184"/>
        <v>.</v>
      </c>
      <c r="AR119" s="546">
        <f xml:space="preserve"> ROUND(  INDEX( Kx!119:119, AR$16 ),  AR$17 )</f>
        <v>0.24679999999999999</v>
      </c>
      <c r="AS119" s="547">
        <f xml:space="preserve"> ROUND(  INDEX( qx!119:119, AS$16 ),  AS$17 )</f>
        <v>0.39700000000000002</v>
      </c>
      <c r="AT119" s="547">
        <f xml:space="preserve"> ROUND(  INDEX( qx!119:119, AT$16 ),  AT$17 )</f>
        <v>0.37059999999999998</v>
      </c>
      <c r="AU119" s="548" t="str">
        <f t="shared" si="199"/>
        <v>F</v>
      </c>
      <c r="AV119" s="542">
        <f t="shared" si="200"/>
        <v>0.17929999999999999</v>
      </c>
      <c r="AW119" s="542">
        <f t="shared" si="201"/>
        <v>0.37530000000000002</v>
      </c>
      <c r="AX119" s="546">
        <f xml:space="preserve"> ROUND(  INDEX( wx!119:119, AX$16 ),  AX$17 )</f>
        <v>0</v>
      </c>
      <c r="AY119" s="546">
        <f xml:space="preserve"> ROUND(  INDEX( wx!119:119, AY$16 ),  AY$17 )</f>
        <v>2.0999999999999999E-3</v>
      </c>
      <c r="AZ119" s="548" t="str">
        <f t="shared" si="202"/>
        <v>M</v>
      </c>
      <c r="BA119" s="542">
        <f t="shared" si="203"/>
        <v>0.32950000000000002</v>
      </c>
      <c r="BB119" s="542">
        <f t="shared" si="204"/>
        <v>1.4E-3</v>
      </c>
      <c r="BC119" s="533">
        <f xml:space="preserve"> ROUND(  INDEX( Kx!119:119, BC$16 ),  BC$17 )</f>
        <v>14758.73</v>
      </c>
      <c r="BD119" s="533">
        <f xml:space="preserve"> ROUND(  INDEX( Kx!119:119, BD$16 ),  BD$17 )</f>
        <v>10500.2</v>
      </c>
      <c r="BE119" s="548" t="str">
        <f t="shared" si="174"/>
        <v>M</v>
      </c>
      <c r="BF119" s="542">
        <f t="shared" si="205"/>
        <v>0.32950000000000002</v>
      </c>
      <c r="BG119" s="420">
        <f t="shared" si="206"/>
        <v>11903.39</v>
      </c>
      <c r="BQ119" s="549"/>
      <c r="BR119" s="423"/>
      <c r="BS119" s="550"/>
      <c r="BT119" s="423"/>
      <c r="BU119" s="551"/>
      <c r="BV119" s="551"/>
      <c r="BW119" s="529"/>
      <c r="BX119" s="552"/>
      <c r="BY119" s="560"/>
      <c r="BZ119" s="559"/>
      <c r="CB119" s="423"/>
      <c r="CC119" s="423"/>
      <c r="CD119" s="423"/>
      <c r="CE119" s="423"/>
      <c r="CF119" s="553"/>
      <c r="CH119" s="423"/>
      <c r="CI119" s="423"/>
      <c r="CJ119" s="423"/>
      <c r="CK119" s="423"/>
      <c r="CL119" s="553"/>
      <c r="CN119" s="423"/>
      <c r="CO119" s="423"/>
      <c r="CP119" s="423"/>
      <c r="CQ119" s="423"/>
      <c r="CR119" s="553"/>
      <c r="EI119" s="553"/>
      <c r="EJ119" s="553"/>
      <c r="EK119" s="423"/>
      <c r="EL119" s="555"/>
      <c r="ES119" s="533"/>
      <c r="ET119" s="533"/>
      <c r="EU119" s="533"/>
      <c r="EV119" s="556"/>
      <c r="EY119" s="533"/>
      <c r="EZ119" s="533"/>
      <c r="FA119" s="556"/>
      <c r="FD119" s="556"/>
      <c r="FE119" s="556"/>
      <c r="FF119" s="556"/>
      <c r="FK119" s="557">
        <f t="shared" si="166"/>
        <v>119</v>
      </c>
      <c r="FL119" s="493" t="str">
        <f t="shared" si="167"/>
        <v>.</v>
      </c>
      <c r="FM119" s="493" t="str">
        <f t="shared" si="168"/>
        <v>.</v>
      </c>
      <c r="FO119" s="427">
        <f t="shared" si="175"/>
        <v>0</v>
      </c>
      <c r="FP119" s="558" t="str">
        <f t="shared" si="207"/>
        <v>.</v>
      </c>
      <c r="FQ119" s="558" t="str">
        <f t="shared" si="207"/>
        <v>.</v>
      </c>
      <c r="FR119" s="558" t="str">
        <f t="shared" si="207"/>
        <v>.</v>
      </c>
      <c r="FS119" s="558" t="str">
        <f t="shared" si="207"/>
        <v>.</v>
      </c>
      <c r="FT119" s="558" t="str">
        <f t="shared" si="207"/>
        <v>.</v>
      </c>
      <c r="FU119" s="558" t="str">
        <f t="shared" si="207"/>
        <v>.</v>
      </c>
      <c r="FV119" s="558" t="str">
        <f t="shared" si="207"/>
        <v>.</v>
      </c>
      <c r="FW119" s="558" t="str">
        <f t="shared" si="207"/>
        <v>.</v>
      </c>
      <c r="FX119" s="558" t="str">
        <f t="shared" si="207"/>
        <v>.</v>
      </c>
      <c r="FY119" s="558" t="str">
        <f t="shared" si="207"/>
        <v>.</v>
      </c>
      <c r="FZ119" s="558" t="str">
        <f t="shared" si="207"/>
        <v>.</v>
      </c>
      <c r="GA119" s="558" t="str">
        <f t="shared" si="207"/>
        <v>.</v>
      </c>
      <c r="GB119" s="558" t="str">
        <f t="shared" si="207"/>
        <v>.</v>
      </c>
      <c r="GC119" s="558" t="str">
        <f t="shared" si="207"/>
        <v>.</v>
      </c>
      <c r="GD119" s="558" t="str">
        <f t="shared" si="207"/>
        <v>.</v>
      </c>
      <c r="GE119" s="558" t="str">
        <f t="shared" si="207"/>
        <v>.</v>
      </c>
      <c r="GF119" s="558" t="str">
        <f t="shared" si="196"/>
        <v>.</v>
      </c>
      <c r="GG119" s="558" t="str">
        <f t="shared" si="196"/>
        <v>.</v>
      </c>
      <c r="GH119" s="558" t="str">
        <f t="shared" si="196"/>
        <v>.</v>
      </c>
      <c r="GI119" s="558" t="str">
        <f t="shared" si="196"/>
        <v>.</v>
      </c>
      <c r="GJ119" s="558" t="str">
        <f t="shared" si="196"/>
        <v>.</v>
      </c>
      <c r="GK119" s="558" t="str">
        <f t="shared" si="196"/>
        <v>.</v>
      </c>
      <c r="GL119" s="558" t="str">
        <f t="shared" si="196"/>
        <v>.</v>
      </c>
      <c r="GM119" s="558" t="str">
        <f t="shared" si="196"/>
        <v>.</v>
      </c>
      <c r="GN119" s="558" t="str">
        <f t="shared" si="196"/>
        <v>.</v>
      </c>
      <c r="GO119" s="558" t="str">
        <f t="shared" si="196"/>
        <v>.</v>
      </c>
      <c r="GP119" s="558" t="str">
        <f t="shared" si="196"/>
        <v>.</v>
      </c>
      <c r="GQ119" s="558" t="str">
        <f t="shared" si="196"/>
        <v>.</v>
      </c>
      <c r="GR119" s="558" t="str">
        <f t="shared" si="196"/>
        <v>.</v>
      </c>
      <c r="GS119" s="558" t="str">
        <f t="shared" si="196"/>
        <v>.</v>
      </c>
      <c r="GT119" s="558" t="str">
        <f t="shared" si="196"/>
        <v>.</v>
      </c>
      <c r="GU119" s="558" t="str">
        <f t="shared" si="208"/>
        <v>.</v>
      </c>
      <c r="GV119" s="558" t="str">
        <f t="shared" si="208"/>
        <v>.</v>
      </c>
      <c r="GW119" s="558" t="str">
        <f t="shared" si="208"/>
        <v>.</v>
      </c>
      <c r="GX119" s="558" t="str">
        <f t="shared" si="208"/>
        <v>.</v>
      </c>
      <c r="GY119" s="558" t="str">
        <f t="shared" si="208"/>
        <v>.</v>
      </c>
      <c r="GZ119" s="558" t="str">
        <f t="shared" si="208"/>
        <v>.</v>
      </c>
      <c r="HA119" s="558" t="str">
        <f t="shared" si="208"/>
        <v>.</v>
      </c>
      <c r="HB119" s="558" t="str">
        <f t="shared" si="208"/>
        <v>.</v>
      </c>
      <c r="HC119" s="558" t="str">
        <f t="shared" si="208"/>
        <v>.</v>
      </c>
      <c r="HD119" s="558" t="str">
        <f t="shared" si="208"/>
        <v>.</v>
      </c>
      <c r="HE119" s="558" t="str">
        <f t="shared" si="208"/>
        <v>.</v>
      </c>
      <c r="HF119" s="558" t="str">
        <f t="shared" si="208"/>
        <v>.</v>
      </c>
      <c r="HG119" s="558" t="str">
        <f t="shared" si="208"/>
        <v>.</v>
      </c>
      <c r="HH119" s="558" t="str">
        <f t="shared" si="208"/>
        <v>.</v>
      </c>
      <c r="HI119" s="558" t="str">
        <f t="shared" si="208"/>
        <v>.</v>
      </c>
      <c r="HJ119" s="558" t="str">
        <f t="shared" si="208"/>
        <v>.</v>
      </c>
      <c r="HK119" s="558" t="str">
        <f t="shared" si="197"/>
        <v>.</v>
      </c>
      <c r="HL119" s="558" t="str">
        <f t="shared" si="197"/>
        <v>.</v>
      </c>
      <c r="HM119" s="558" t="str">
        <f t="shared" si="197"/>
        <v>.</v>
      </c>
      <c r="HN119" s="558" t="str">
        <f t="shared" si="197"/>
        <v>.</v>
      </c>
      <c r="HO119" s="558" t="str">
        <f t="shared" si="197"/>
        <v>.</v>
      </c>
      <c r="HP119" s="558" t="str">
        <f t="shared" si="197"/>
        <v>.</v>
      </c>
      <c r="HQ119" s="558" t="str">
        <f t="shared" si="197"/>
        <v>.</v>
      </c>
      <c r="HR119" s="558" t="str">
        <f t="shared" si="197"/>
        <v>.</v>
      </c>
      <c r="HS119" s="558" t="str">
        <f t="shared" si="197"/>
        <v>.</v>
      </c>
      <c r="HT119" s="558" t="str">
        <f t="shared" si="197"/>
        <v>.</v>
      </c>
      <c r="HU119" s="558" t="str">
        <f t="shared" si="197"/>
        <v>.</v>
      </c>
      <c r="HV119" s="558" t="str">
        <f t="shared" si="197"/>
        <v>.</v>
      </c>
      <c r="HW119" s="558" t="str">
        <f t="shared" si="197"/>
        <v>.</v>
      </c>
      <c r="HX119" s="558" t="str">
        <f t="shared" si="197"/>
        <v>.</v>
      </c>
      <c r="HY119" s="558" t="str">
        <f t="shared" si="197"/>
        <v>.</v>
      </c>
      <c r="HZ119" s="558" t="str">
        <f t="shared" si="192"/>
        <v>.</v>
      </c>
      <c r="IA119" s="558" t="str">
        <f t="shared" si="192"/>
        <v>.</v>
      </c>
      <c r="IB119" s="558" t="str">
        <f t="shared" si="192"/>
        <v>.</v>
      </c>
      <c r="IC119" s="558" t="str">
        <f t="shared" si="192"/>
        <v>.</v>
      </c>
      <c r="ID119" s="558" t="str">
        <f t="shared" si="192"/>
        <v>.</v>
      </c>
      <c r="IE119" s="558" t="str">
        <f t="shared" si="192"/>
        <v>.</v>
      </c>
      <c r="IF119" s="558" t="str">
        <f t="shared" si="192"/>
        <v>.</v>
      </c>
      <c r="IG119" s="558" t="str">
        <f t="shared" si="192"/>
        <v>.</v>
      </c>
      <c r="IH119" s="558" t="str">
        <f t="shared" si="192"/>
        <v>.</v>
      </c>
      <c r="II119" s="558" t="str">
        <f t="shared" si="192"/>
        <v>.</v>
      </c>
      <c r="IJ119" s="558" t="str">
        <f t="shared" si="192"/>
        <v>.</v>
      </c>
      <c r="IK119" s="558" t="str">
        <f t="shared" si="192"/>
        <v>.</v>
      </c>
      <c r="IL119" s="558" t="str">
        <f t="shared" si="192"/>
        <v>.</v>
      </c>
      <c r="IM119" s="558" t="str">
        <f t="shared" si="192"/>
        <v>.</v>
      </c>
      <c r="IN119" s="558" t="str">
        <f t="shared" si="192"/>
        <v>.</v>
      </c>
      <c r="IO119" s="558" t="str">
        <f t="shared" si="192"/>
        <v>.</v>
      </c>
      <c r="IP119" s="558" t="str">
        <f t="shared" si="192"/>
        <v>.</v>
      </c>
      <c r="IQ119" s="558" t="str">
        <f t="shared" si="192"/>
        <v>.</v>
      </c>
      <c r="IR119" s="558" t="str">
        <f t="shared" si="194"/>
        <v>.</v>
      </c>
      <c r="IS119" s="558" t="str">
        <f t="shared" si="194"/>
        <v>.</v>
      </c>
      <c r="IT119" s="558" t="str">
        <f t="shared" si="194"/>
        <v>.</v>
      </c>
      <c r="IU119" s="558" t="str">
        <f t="shared" si="194"/>
        <v>.</v>
      </c>
      <c r="IV119" s="558" t="str">
        <f t="shared" si="194"/>
        <v>.</v>
      </c>
      <c r="IW119" s="558" t="str">
        <f t="shared" si="195"/>
        <v>.</v>
      </c>
      <c r="IX119" s="558" t="str">
        <f t="shared" si="195"/>
        <v>.</v>
      </c>
      <c r="IY119" s="558" t="str">
        <f t="shared" si="195"/>
        <v>.</v>
      </c>
      <c r="IZ119" s="558" t="str">
        <f t="shared" si="195"/>
        <v>.</v>
      </c>
      <c r="JA119" s="558" t="str">
        <f t="shared" si="195"/>
        <v>.</v>
      </c>
      <c r="JB119" s="558" t="str">
        <f t="shared" si="195"/>
        <v>.</v>
      </c>
      <c r="JC119" s="558" t="str">
        <f t="shared" si="195"/>
        <v>.</v>
      </c>
      <c r="JD119" s="558" t="str">
        <f t="shared" si="195"/>
        <v>.</v>
      </c>
      <c r="JE119" s="558" t="str">
        <f t="shared" si="195"/>
        <v>.</v>
      </c>
      <c r="JF119" s="558" t="str">
        <f t="shared" si="195"/>
        <v>.</v>
      </c>
      <c r="JG119" s="558" t="str">
        <f t="shared" si="195"/>
        <v>.</v>
      </c>
      <c r="JH119" s="558" t="str">
        <f t="shared" si="195"/>
        <v>.</v>
      </c>
      <c r="JI119" s="558" t="str">
        <f t="shared" si="195"/>
        <v>.</v>
      </c>
      <c r="JJ119" s="558" t="str">
        <f t="shared" si="195"/>
        <v>.</v>
      </c>
      <c r="JK119" s="558" t="str">
        <f t="shared" si="195"/>
        <v>.</v>
      </c>
      <c r="JL119" s="558" t="str">
        <f t="shared" si="195"/>
        <v>.</v>
      </c>
    </row>
    <row r="120" spans="1:272" ht="10.199999999999999" x14ac:dyDescent="0.2">
      <c r="A120" s="534">
        <f xml:space="preserve"> Basis!A120</f>
        <v>120</v>
      </c>
      <c r="F120" s="536">
        <f xml:space="preserve"> ROUND(    IF( $A$15=BE_MF_,   AW120,   INDEX( qx!120:120, F$16 ) ),    F$17    )</f>
        <v>0.38119999999999998</v>
      </c>
      <c r="G120" s="536">
        <f xml:space="preserve"> ROUND(    IF( $A$15=BE_MF_,   BB120,   INDEX( wx!120:120, G$16 ) ),    G$17    )</f>
        <v>1.4E-3</v>
      </c>
      <c r="H120" s="537">
        <f xml:space="preserve"> ROUND(    IF( $A$15=BE_MF_,   BG120,   INDEX( Kx!120:120, H$16 ) ),    H$17    )</f>
        <v>11937.84</v>
      </c>
      <c r="I120" s="538">
        <f t="shared" si="171"/>
        <v>11937.84</v>
      </c>
      <c r="J120" s="539">
        <f xml:space="preserve"> ROUND(  I120 / I$19,  J$17 )</f>
        <v>5.7450000000000001</v>
      </c>
      <c r="K120" s="540">
        <f t="shared" si="172"/>
        <v>0</v>
      </c>
      <c r="L120" s="541">
        <f t="shared" si="189"/>
        <v>0</v>
      </c>
      <c r="M120" s="541">
        <f t="shared" si="189"/>
        <v>8.5999999999999993E-2</v>
      </c>
      <c r="O120" s="542" t="b">
        <f t="shared" si="173"/>
        <v>0</v>
      </c>
      <c r="P120" s="493" t="str">
        <f t="shared" si="138"/>
        <v>.</v>
      </c>
      <c r="Q120" s="493" t="str">
        <f xml:space="preserve"> IF( $O120,    ROUND( 1 - P120,  Q$17  ),  LEER  )</f>
        <v>.</v>
      </c>
      <c r="R120" s="543" t="str">
        <f t="shared" si="140"/>
        <v>.</v>
      </c>
      <c r="S120" s="544" t="str">
        <f t="shared" si="141"/>
        <v>.</v>
      </c>
      <c r="T120" s="423" t="str">
        <f xml:space="preserve"> IF( $O120,    ROUND( R120 * S120 ^ A120, T$17 ),  LEER  )</f>
        <v>.</v>
      </c>
      <c r="U120" s="423" t="str">
        <f xml:space="preserve"> IF( $O120,    ROUND(  SUM( T120:T$120), U$17 ),  LEER  )</f>
        <v>.</v>
      </c>
      <c r="V120" s="493" t="str">
        <f xml:space="preserve"> IF( $O120,    IF( T120= 0, 1,  ROUND(  U120 / T120, V$17 )   ),  LEER  )</f>
        <v>.</v>
      </c>
      <c r="W120" s="493" t="str">
        <f t="shared" si="144"/>
        <v>.</v>
      </c>
      <c r="X120" s="493" t="str">
        <f xml:space="preserve"> IF( $O120,    ROUND(  SUM( W120:W$120), X$17 ),  LEER  )</f>
        <v>.</v>
      </c>
      <c r="Y120" s="493" t="str">
        <f xml:space="preserve"> IF( $O120,    IF( T120= 0, J120,  ROUND(  X120 / T120, Y$17 )   ),   LEER  )</f>
        <v>.</v>
      </c>
      <c r="Z120" s="493" t="str">
        <f xml:space="preserve"> IF( $O120,    IF( V120= 0, Y120,  ROUND( Y120 / V120, Z$17 )  ),   LEER  )</f>
        <v>.</v>
      </c>
      <c r="AA120" s="493" t="str">
        <f t="shared" si="147"/>
        <v>.</v>
      </c>
      <c r="AB120" s="493" t="str">
        <f t="shared" si="148"/>
        <v>.</v>
      </c>
      <c r="AC120" s="545" t="str">
        <f t="shared" si="198"/>
        <v>.</v>
      </c>
      <c r="AD120" s="493" t="str">
        <f xml:space="preserve">  IF( $O120,   ROUND( AA120 * Z120 + ( AA120 - 1 ) * AC120, AD$17 ),       LEER  )</f>
        <v>.</v>
      </c>
      <c r="AE120" s="493" t="str">
        <f xml:space="preserve">  IF( $O120,   ROUND( ( AD120 + AC120 ) / ( 1 - M120), AE$17 ),       LEER  )</f>
        <v>.</v>
      </c>
      <c r="AF120" s="493" t="str">
        <f xml:space="preserve">  IF(  $O120,   IF(  OR( NOT( $AF$12), $A120=$M$12, AE120&gt;=AF119 ), AE120, MAX( AE120,AF119) ),  LEER  )</f>
        <v>.</v>
      </c>
      <c r="AG120" s="493" t="str">
        <f xml:space="preserve">  IF(  $O120,   IF(  AE120=AF120,  LEER, Setzung ),    LEER  )</f>
        <v>.</v>
      </c>
      <c r="AH120" s="493" t="str">
        <f xml:space="preserve">  IF(  $O120,   IF( AND( K119&lt;&gt;0, AG120=Setzung), SetzungZillmerung, LEER ),    LEER  )</f>
        <v>.</v>
      </c>
      <c r="AI120" s="423" t="str">
        <f t="shared" si="155"/>
        <v>.</v>
      </c>
      <c r="AJ120" s="423" t="str">
        <f xml:space="preserve">  IF( $O120,    ROUND( AF120 * AI120, AJ$17 ),  LEER  )</f>
        <v>.</v>
      </c>
      <c r="AK120" s="423" t="str">
        <f xml:space="preserve">  IF( $O120,    ROUND( AJ120 / 12, AK$17 ),  LEER  )</f>
        <v>.</v>
      </c>
      <c r="AN120" s="423" t="str">
        <f t="shared" si="184"/>
        <v>.</v>
      </c>
      <c r="AO120" s="423" t="str">
        <f t="shared" si="184"/>
        <v>.</v>
      </c>
      <c r="AR120" s="546">
        <f xml:space="preserve"> ROUND(  INDEX( Kx!120:120, AR$16 ),  AR$17 )</f>
        <v>0.24679999999999999</v>
      </c>
      <c r="AS120" s="547">
        <f xml:space="preserve"> ROUND(  INDEX( qx!120:120, AS$16 ),  AS$17 )</f>
        <v>0.40350000000000003</v>
      </c>
      <c r="AT120" s="547">
        <f xml:space="preserve"> ROUND(  INDEX( qx!120:120, AT$16 ),  AT$17 )</f>
        <v>0.37630000000000002</v>
      </c>
      <c r="AU120" s="548" t="str">
        <f t="shared" si="199"/>
        <v>F</v>
      </c>
      <c r="AV120" s="542">
        <f t="shared" si="200"/>
        <v>0.17929999999999999</v>
      </c>
      <c r="AW120" s="542">
        <f t="shared" si="201"/>
        <v>0.38119999999999998</v>
      </c>
      <c r="AX120" s="546">
        <f xml:space="preserve"> ROUND(  INDEX( wx!120:120, AX$16 ),  AX$17 )</f>
        <v>0</v>
      </c>
      <c r="AY120" s="546">
        <f xml:space="preserve"> ROUND(  INDEX( wx!120:120, AY$16 ),  AY$17 )</f>
        <v>2.0999999999999999E-3</v>
      </c>
      <c r="AZ120" s="548" t="str">
        <f t="shared" si="202"/>
        <v>M</v>
      </c>
      <c r="BA120" s="542">
        <f t="shared" si="203"/>
        <v>0.32950000000000002</v>
      </c>
      <c r="BB120" s="542">
        <f t="shared" si="204"/>
        <v>1.4E-3</v>
      </c>
      <c r="BC120" s="533">
        <f xml:space="preserve"> ROUND(  INDEX( Kx!120:120, BC$16 ),  BC$17 )</f>
        <v>14837.42</v>
      </c>
      <c r="BD120" s="533">
        <f xml:space="preserve"> ROUND(  INDEX( Kx!120:120, BD$16 ),  BD$17 )</f>
        <v>10512.92</v>
      </c>
      <c r="BE120" s="548" t="str">
        <f t="shared" si="174"/>
        <v>M</v>
      </c>
      <c r="BF120" s="542">
        <f t="shared" si="205"/>
        <v>0.32950000000000002</v>
      </c>
      <c r="BG120" s="420">
        <f t="shared" si="206"/>
        <v>11937.84</v>
      </c>
      <c r="BQ120" s="549"/>
      <c r="BR120" s="423"/>
      <c r="BS120" s="550"/>
      <c r="BT120" s="423"/>
      <c r="BU120" s="551"/>
      <c r="BV120" s="551"/>
      <c r="BW120" s="529"/>
      <c r="BX120" s="552"/>
      <c r="BY120" s="560"/>
      <c r="BZ120" s="559"/>
      <c r="CB120" s="423"/>
      <c r="CC120" s="423"/>
      <c r="CD120" s="423"/>
      <c r="CE120" s="423"/>
      <c r="CF120" s="553"/>
      <c r="CH120" s="423"/>
      <c r="CI120" s="423"/>
      <c r="CJ120" s="423"/>
      <c r="CK120" s="423"/>
      <c r="CL120" s="553"/>
      <c r="CN120" s="423"/>
      <c r="CO120" s="423"/>
      <c r="CP120" s="423"/>
      <c r="CQ120" s="423"/>
      <c r="CR120" s="553"/>
      <c r="EI120" s="553"/>
      <c r="EJ120" s="553"/>
      <c r="EK120" s="423"/>
      <c r="EL120" s="555"/>
      <c r="ES120" s="533"/>
      <c r="ET120" s="533"/>
      <c r="EU120" s="533"/>
      <c r="EV120" s="556"/>
      <c r="EY120" s="533"/>
      <c r="EZ120" s="533"/>
      <c r="FA120" s="556"/>
      <c r="FD120" s="556"/>
      <c r="FE120" s="556"/>
      <c r="FF120" s="556"/>
      <c r="FK120" s="557">
        <f t="shared" si="166"/>
        <v>120</v>
      </c>
      <c r="FL120" s="493" t="str">
        <f t="shared" si="167"/>
        <v>.</v>
      </c>
      <c r="FM120" s="493" t="str">
        <f t="shared" si="168"/>
        <v>.</v>
      </c>
      <c r="FO120" s="427">
        <f t="shared" si="175"/>
        <v>0</v>
      </c>
      <c r="FP120" s="558" t="str">
        <f t="shared" si="207"/>
        <v>.</v>
      </c>
      <c r="FQ120" s="558" t="str">
        <f t="shared" si="207"/>
        <v>.</v>
      </c>
      <c r="FR120" s="558" t="str">
        <f t="shared" si="207"/>
        <v>.</v>
      </c>
      <c r="FS120" s="558" t="str">
        <f t="shared" si="207"/>
        <v>.</v>
      </c>
      <c r="FT120" s="558" t="str">
        <f t="shared" si="207"/>
        <v>.</v>
      </c>
      <c r="FU120" s="558" t="str">
        <f t="shared" si="207"/>
        <v>.</v>
      </c>
      <c r="FV120" s="558" t="str">
        <f t="shared" si="207"/>
        <v>.</v>
      </c>
      <c r="FW120" s="558" t="str">
        <f t="shared" si="207"/>
        <v>.</v>
      </c>
      <c r="FX120" s="558" t="str">
        <f t="shared" si="207"/>
        <v>.</v>
      </c>
      <c r="FY120" s="558" t="str">
        <f t="shared" si="207"/>
        <v>.</v>
      </c>
      <c r="FZ120" s="558" t="str">
        <f t="shared" si="207"/>
        <v>.</v>
      </c>
      <c r="GA120" s="558" t="str">
        <f t="shared" si="207"/>
        <v>.</v>
      </c>
      <c r="GB120" s="558" t="str">
        <f t="shared" si="207"/>
        <v>.</v>
      </c>
      <c r="GC120" s="558" t="str">
        <f t="shared" si="207"/>
        <v>.</v>
      </c>
      <c r="GD120" s="558" t="str">
        <f t="shared" si="207"/>
        <v>.</v>
      </c>
      <c r="GE120" s="558" t="str">
        <f t="shared" si="207"/>
        <v>.</v>
      </c>
      <c r="GF120" s="558" t="str">
        <f t="shared" si="196"/>
        <v>.</v>
      </c>
      <c r="GG120" s="558" t="str">
        <f t="shared" si="196"/>
        <v>.</v>
      </c>
      <c r="GH120" s="558" t="str">
        <f t="shared" si="196"/>
        <v>.</v>
      </c>
      <c r="GI120" s="558" t="str">
        <f t="shared" si="196"/>
        <v>.</v>
      </c>
      <c r="GJ120" s="558" t="str">
        <f t="shared" si="196"/>
        <v>.</v>
      </c>
      <c r="GK120" s="558" t="str">
        <f t="shared" si="196"/>
        <v>.</v>
      </c>
      <c r="GL120" s="558" t="str">
        <f t="shared" si="196"/>
        <v>.</v>
      </c>
      <c r="GM120" s="558" t="str">
        <f t="shared" si="196"/>
        <v>.</v>
      </c>
      <c r="GN120" s="558" t="str">
        <f t="shared" si="196"/>
        <v>.</v>
      </c>
      <c r="GO120" s="558" t="str">
        <f t="shared" si="196"/>
        <v>.</v>
      </c>
      <c r="GP120" s="558" t="str">
        <f t="shared" si="196"/>
        <v>.</v>
      </c>
      <c r="GQ120" s="558" t="str">
        <f t="shared" si="196"/>
        <v>.</v>
      </c>
      <c r="GR120" s="558" t="str">
        <f t="shared" si="196"/>
        <v>.</v>
      </c>
      <c r="GS120" s="558" t="str">
        <f t="shared" si="196"/>
        <v>.</v>
      </c>
      <c r="GT120" s="558" t="str">
        <f t="shared" si="196"/>
        <v>.</v>
      </c>
      <c r="GU120" s="558" t="str">
        <f t="shared" si="208"/>
        <v>.</v>
      </c>
      <c r="GV120" s="558" t="str">
        <f t="shared" si="208"/>
        <v>.</v>
      </c>
      <c r="GW120" s="558" t="str">
        <f t="shared" si="208"/>
        <v>.</v>
      </c>
      <c r="GX120" s="558" t="str">
        <f t="shared" si="208"/>
        <v>.</v>
      </c>
      <c r="GY120" s="558" t="str">
        <f t="shared" si="208"/>
        <v>.</v>
      </c>
      <c r="GZ120" s="558" t="str">
        <f t="shared" si="208"/>
        <v>.</v>
      </c>
      <c r="HA120" s="558" t="str">
        <f t="shared" si="208"/>
        <v>.</v>
      </c>
      <c r="HB120" s="558" t="str">
        <f t="shared" si="208"/>
        <v>.</v>
      </c>
      <c r="HC120" s="558" t="str">
        <f t="shared" si="208"/>
        <v>.</v>
      </c>
      <c r="HD120" s="558" t="str">
        <f t="shared" si="208"/>
        <v>.</v>
      </c>
      <c r="HE120" s="558" t="str">
        <f t="shared" si="208"/>
        <v>.</v>
      </c>
      <c r="HF120" s="558" t="str">
        <f t="shared" si="208"/>
        <v>.</v>
      </c>
      <c r="HG120" s="558" t="str">
        <f t="shared" si="208"/>
        <v>.</v>
      </c>
      <c r="HH120" s="558" t="str">
        <f t="shared" si="208"/>
        <v>.</v>
      </c>
      <c r="HI120" s="558" t="str">
        <f t="shared" si="208"/>
        <v>.</v>
      </c>
      <c r="HJ120" s="558" t="str">
        <f t="shared" si="208"/>
        <v>.</v>
      </c>
      <c r="HK120" s="558" t="str">
        <f t="shared" si="197"/>
        <v>.</v>
      </c>
      <c r="HL120" s="558" t="str">
        <f t="shared" si="197"/>
        <v>.</v>
      </c>
      <c r="HM120" s="558" t="str">
        <f t="shared" si="197"/>
        <v>.</v>
      </c>
      <c r="HN120" s="558" t="str">
        <f t="shared" si="197"/>
        <v>.</v>
      </c>
      <c r="HO120" s="558" t="str">
        <f t="shared" si="197"/>
        <v>.</v>
      </c>
      <c r="HP120" s="558" t="str">
        <f t="shared" si="197"/>
        <v>.</v>
      </c>
      <c r="HQ120" s="558" t="str">
        <f t="shared" si="197"/>
        <v>.</v>
      </c>
      <c r="HR120" s="558" t="str">
        <f t="shared" si="197"/>
        <v>.</v>
      </c>
      <c r="HS120" s="558" t="str">
        <f t="shared" si="197"/>
        <v>.</v>
      </c>
      <c r="HT120" s="558" t="str">
        <f t="shared" si="197"/>
        <v>.</v>
      </c>
      <c r="HU120" s="558" t="str">
        <f t="shared" si="197"/>
        <v>.</v>
      </c>
      <c r="HV120" s="558" t="str">
        <f t="shared" si="197"/>
        <v>.</v>
      </c>
      <c r="HW120" s="558" t="str">
        <f t="shared" si="197"/>
        <v>.</v>
      </c>
      <c r="HX120" s="558" t="str">
        <f t="shared" si="197"/>
        <v>.</v>
      </c>
      <c r="HY120" s="558" t="str">
        <f t="shared" si="197"/>
        <v>.</v>
      </c>
      <c r="HZ120" s="558" t="str">
        <f t="shared" si="192"/>
        <v>.</v>
      </c>
      <c r="IA120" s="558" t="str">
        <f t="shared" si="192"/>
        <v>.</v>
      </c>
      <c r="IB120" s="558" t="str">
        <f t="shared" si="192"/>
        <v>.</v>
      </c>
      <c r="IC120" s="558" t="str">
        <f t="shared" si="192"/>
        <v>.</v>
      </c>
      <c r="ID120" s="558" t="str">
        <f t="shared" si="192"/>
        <v>.</v>
      </c>
      <c r="IE120" s="558" t="str">
        <f t="shared" si="192"/>
        <v>.</v>
      </c>
      <c r="IF120" s="558" t="str">
        <f t="shared" si="192"/>
        <v>.</v>
      </c>
      <c r="IG120" s="558" t="str">
        <f t="shared" si="192"/>
        <v>.</v>
      </c>
      <c r="IH120" s="558" t="str">
        <f t="shared" si="192"/>
        <v>.</v>
      </c>
      <c r="II120" s="558" t="str">
        <f t="shared" si="192"/>
        <v>.</v>
      </c>
      <c r="IJ120" s="558" t="str">
        <f t="shared" si="192"/>
        <v>.</v>
      </c>
      <c r="IK120" s="558" t="str">
        <f t="shared" si="192"/>
        <v>.</v>
      </c>
      <c r="IL120" s="558" t="str">
        <f t="shared" si="192"/>
        <v>.</v>
      </c>
      <c r="IM120" s="558" t="str">
        <f t="shared" si="192"/>
        <v>.</v>
      </c>
      <c r="IN120" s="558" t="str">
        <f t="shared" si="192"/>
        <v>.</v>
      </c>
      <c r="IO120" s="558" t="str">
        <f t="shared" si="192"/>
        <v>.</v>
      </c>
      <c r="IP120" s="558" t="str">
        <f t="shared" si="192"/>
        <v>.</v>
      </c>
      <c r="IQ120" s="558" t="str">
        <f t="shared" si="192"/>
        <v>.</v>
      </c>
      <c r="IR120" s="558" t="str">
        <f t="shared" si="194"/>
        <v>.</v>
      </c>
      <c r="IS120" s="558" t="str">
        <f t="shared" si="194"/>
        <v>.</v>
      </c>
      <c r="IT120" s="558" t="str">
        <f t="shared" si="194"/>
        <v>.</v>
      </c>
      <c r="IU120" s="558" t="str">
        <f t="shared" si="194"/>
        <v>.</v>
      </c>
      <c r="IV120" s="558" t="str">
        <f t="shared" si="194"/>
        <v>.</v>
      </c>
      <c r="IW120" s="558" t="str">
        <f t="shared" si="195"/>
        <v>.</v>
      </c>
      <c r="IX120" s="558" t="str">
        <f t="shared" si="195"/>
        <v>.</v>
      </c>
      <c r="IY120" s="558" t="str">
        <f t="shared" si="195"/>
        <v>.</v>
      </c>
      <c r="IZ120" s="558" t="str">
        <f t="shared" si="195"/>
        <v>.</v>
      </c>
      <c r="JA120" s="558" t="str">
        <f t="shared" si="195"/>
        <v>.</v>
      </c>
      <c r="JB120" s="558" t="str">
        <f t="shared" si="195"/>
        <v>.</v>
      </c>
      <c r="JC120" s="558" t="str">
        <f t="shared" si="195"/>
        <v>.</v>
      </c>
      <c r="JD120" s="558" t="str">
        <f t="shared" si="195"/>
        <v>.</v>
      </c>
      <c r="JE120" s="558" t="str">
        <f t="shared" si="195"/>
        <v>.</v>
      </c>
      <c r="JF120" s="558" t="str">
        <f t="shared" si="195"/>
        <v>.</v>
      </c>
      <c r="JG120" s="558" t="str">
        <f t="shared" si="195"/>
        <v>.</v>
      </c>
      <c r="JH120" s="558" t="str">
        <f t="shared" si="195"/>
        <v>.</v>
      </c>
      <c r="JI120" s="558" t="str">
        <f t="shared" si="195"/>
        <v>.</v>
      </c>
      <c r="JJ120" s="558" t="str">
        <f t="shared" si="195"/>
        <v>.</v>
      </c>
      <c r="JK120" s="558" t="str">
        <f t="shared" si="195"/>
        <v>.</v>
      </c>
      <c r="JL120" s="558" t="str">
        <f t="shared" si="195"/>
        <v>.</v>
      </c>
    </row>
    <row r="121" spans="1:272" ht="10.199999999999999" x14ac:dyDescent="0.2">
      <c r="BS121" s="487"/>
      <c r="BT121" s="487"/>
      <c r="BY121" s="560"/>
      <c r="ES121" s="385"/>
      <c r="ET121" s="385"/>
      <c r="EU121" s="385"/>
      <c r="EY121" s="385"/>
      <c r="EZ121" s="385"/>
    </row>
    <row r="122" spans="1:272" ht="10.199999999999999" x14ac:dyDescent="0.2">
      <c r="BS122" s="487"/>
      <c r="BT122" s="487"/>
      <c r="BY122" s="560"/>
      <c r="ES122" s="385"/>
      <c r="ET122" s="385"/>
      <c r="EU122" s="385"/>
      <c r="EY122" s="385"/>
      <c r="EZ122" s="385"/>
    </row>
    <row r="123" spans="1:272" ht="10.199999999999999" x14ac:dyDescent="0.2">
      <c r="BS123" s="487"/>
      <c r="BT123" s="487"/>
      <c r="ES123" s="385"/>
      <c r="ET123" s="385"/>
      <c r="EU123" s="385"/>
      <c r="EY123" s="385"/>
      <c r="EZ123" s="385"/>
    </row>
    <row r="124" spans="1:272" ht="10.199999999999999" x14ac:dyDescent="0.2">
      <c r="BS124" s="487"/>
      <c r="BT124" s="487"/>
      <c r="ES124" s="385"/>
      <c r="ET124" s="385"/>
      <c r="EU124" s="385"/>
      <c r="EY124" s="385"/>
      <c r="EZ124" s="385"/>
    </row>
    <row r="129" spans="1:59" ht="10.199999999999999" x14ac:dyDescent="0.2">
      <c r="I129" s="387">
        <f xml:space="preserve"> MATCH( F12, $A$130:$A$149, 0 )</f>
        <v>16</v>
      </c>
      <c r="J129" s="561">
        <f xml:space="preserve"> GrKx_Rd</f>
        <v>2</v>
      </c>
    </row>
    <row r="130" spans="1:59" ht="10.199999999999999" x14ac:dyDescent="0.2">
      <c r="A130" s="562">
        <f xml:space="preserve"> Basis!A130</f>
        <v>0</v>
      </c>
      <c r="G130" s="391"/>
      <c r="H130" s="533">
        <f xml:space="preserve"> ROUND(    IF( $A$15=BE_MF_,   BG130,   INDEX( Kx!130:130, H$16 ) ),    H$17    )</f>
        <v>3748.77</v>
      </c>
      <c r="I130" s="420">
        <f t="shared" ref="I130:I149" si="209" xml:space="preserve"> IF( $A130&gt;=$H$12, MAX( H130, I129 ), H130 )</f>
        <v>3748.77</v>
      </c>
      <c r="J130" s="420">
        <f xml:space="preserve"> ROUND(   IF( $A130&lt;$F$12, AVERAGE(  $I$130                        : INDEX( $I$130:$I$149, $I$129-1 )  ),  AVERAGE(  $I$149                        : INDEX( $I$130:$I$149, $I$129 )  )     ),        J$129   )</f>
        <v>1506.43</v>
      </c>
      <c r="L130" s="473">
        <f t="shared" ref="L130:L149" si="210" xml:space="preserve"> INDEX( Auswahl_DeltaTildeKJ, $D$1 )</f>
        <v>0</v>
      </c>
      <c r="M130" s="563">
        <f t="shared" ref="M130:M149" si="211" xml:space="preserve"> ROUND(  IF( $A130&lt;M$12, M$15, M$16 ),  M$17  )</f>
        <v>8.5999999999999993E-2</v>
      </c>
      <c r="O130" s="542" t="b">
        <f xml:space="preserve"> A130&lt;=$O$10</f>
        <v>1</v>
      </c>
      <c r="AJ130" s="423">
        <f t="shared" ref="AJ130:AJ149" si="212" xml:space="preserve">  IF( $O130,    ROUND( J130 / ( 1 - L130 - M130 ), AJ$17 ),  LEER )</f>
        <v>1648.17</v>
      </c>
      <c r="AK130" s="423">
        <f t="shared" ref="AK130:AK149" si="213" xml:space="preserve">  IF( $O130,    ROUND( AJ130 / 12, AK$17 ),  LEER  )</f>
        <v>137.35</v>
      </c>
      <c r="AR130" s="546">
        <f xml:space="preserve"> ROUND(  INDEX( Kx!130:130, AR$16 ),  AR$17 )</f>
        <v>0.51249999999999996</v>
      </c>
      <c r="BC130" s="533">
        <f xml:space="preserve"> ROUND(  INDEX( Kx!130:130, BC$16 ),  BC$17 )</f>
        <v>4067.31</v>
      </c>
      <c r="BD130" s="533">
        <f xml:space="preserve"> ROUND(  INDEX( Kx!130:130, BD$16 ),  BD$17 )</f>
        <v>3246.55</v>
      </c>
      <c r="BE130" s="548" t="str">
        <f t="shared" ref="BE130:BE149" si="214" xml:space="preserve"> IF( BC130&gt;BD130, BC$18, BD$18 )</f>
        <v>M</v>
      </c>
      <c r="BF130" s="542">
        <f t="shared" ref="BF130:BF149" si="215" xml:space="preserve"> ROUND(     IF( BE130=BE_M_, ( $AR130 + $AR130 * BF$18 ) / ( 1 + $AR130 * BF$18 ),  ( $AR130 ) / ( 1 + ( 1 - $AR130 ) * BF$18 ) ),   BF$17 )</f>
        <v>0.6119</v>
      </c>
      <c r="BG130" s="542">
        <f t="shared" ref="BG130:BG149" si="216" xml:space="preserve"> ROUND( BF130 * BC130 + ( 1 - BF130) * BD130, BG$17 )</f>
        <v>3748.77</v>
      </c>
    </row>
    <row r="131" spans="1:59" ht="10.199999999999999" x14ac:dyDescent="0.2">
      <c r="A131" s="562">
        <f xml:space="preserve"> Basis!A131</f>
        <v>1</v>
      </c>
      <c r="H131" s="533">
        <f xml:space="preserve"> ROUND(    IF( $A$15=BE_MF_,   BG131,   INDEX( Kx!131:131, H$16 ) ),    H$17    )</f>
        <v>2036.95</v>
      </c>
      <c r="I131" s="420">
        <f t="shared" si="209"/>
        <v>2036.95</v>
      </c>
      <c r="J131" s="420">
        <f xml:space="preserve"> ROUND(   IF( $A131&lt;$F$12, AVERAGE(  $I$130                        : INDEX( $I$130:$I$149, $I$129-1 )  ),  AVERAGE(  $I$149                        : INDEX( $I$130:$I$149, $I$129 )  )     ),        J$129   )</f>
        <v>1506.43</v>
      </c>
      <c r="L131" s="473">
        <f t="shared" si="210"/>
        <v>0</v>
      </c>
      <c r="M131" s="563">
        <f t="shared" si="211"/>
        <v>8.5999999999999993E-2</v>
      </c>
      <c r="O131" s="542" t="b">
        <f t="shared" ref="O131:O149" si="217" xml:space="preserve"> A131&lt;=$O$10</f>
        <v>1</v>
      </c>
      <c r="AJ131" s="423">
        <f t="shared" si="212"/>
        <v>1648.17</v>
      </c>
      <c r="AK131" s="423">
        <f t="shared" si="213"/>
        <v>137.35</v>
      </c>
      <c r="AR131" s="546">
        <f xml:space="preserve"> ROUND(  INDEX( Kx!131:131, AR$16 ),  AR$17 )</f>
        <v>0.51190000000000002</v>
      </c>
      <c r="BC131" s="533">
        <f xml:space="preserve"> ROUND(  INDEX( Kx!131:131, BC$16 ),  BC$17 )</f>
        <v>2094.37</v>
      </c>
      <c r="BD131" s="533">
        <f xml:space="preserve"> ROUND(  INDEX( Kx!131:131, BD$16 ),  BD$17 )</f>
        <v>1946.62</v>
      </c>
      <c r="BE131" s="548" t="str">
        <f t="shared" si="214"/>
        <v>M</v>
      </c>
      <c r="BF131" s="542">
        <f t="shared" si="215"/>
        <v>0.61140000000000005</v>
      </c>
      <c r="BG131" s="542">
        <f t="shared" si="216"/>
        <v>2036.95</v>
      </c>
    </row>
    <row r="132" spans="1:59" ht="10.199999999999999" x14ac:dyDescent="0.2">
      <c r="A132" s="562">
        <f xml:space="preserve"> Basis!A132</f>
        <v>2</v>
      </c>
      <c r="H132" s="533">
        <f xml:space="preserve"> ROUND(    IF( $A$15=BE_MF_,   BG132,   INDEX( Kx!132:132, H$16 ) ),    H$17    )</f>
        <v>1351.16</v>
      </c>
      <c r="I132" s="420">
        <f t="shared" si="209"/>
        <v>1351.16</v>
      </c>
      <c r="J132" s="420">
        <f xml:space="preserve"> ROUND(   IF( $A132&lt;$F$12, AVERAGE(  $I$130                        : INDEX( $I$130:$I$149, $I$129-1 )  ),  AVERAGE(  $I$149                        : INDEX( $I$130:$I$149, $I$129 )  )     ),        J$129   )</f>
        <v>1506.43</v>
      </c>
      <c r="L132" s="473">
        <f t="shared" si="210"/>
        <v>0</v>
      </c>
      <c r="M132" s="563">
        <f t="shared" si="211"/>
        <v>8.5999999999999993E-2</v>
      </c>
      <c r="O132" s="542" t="b">
        <f t="shared" si="217"/>
        <v>1</v>
      </c>
      <c r="AJ132" s="423">
        <f t="shared" si="212"/>
        <v>1648.17</v>
      </c>
      <c r="AK132" s="423">
        <f t="shared" si="213"/>
        <v>137.35</v>
      </c>
      <c r="AR132" s="546">
        <f xml:space="preserve"> ROUND(  INDEX( Kx!132:132, AR$16 ),  AR$17 )</f>
        <v>0.50880000000000003</v>
      </c>
      <c r="BC132" s="533">
        <f xml:space="preserve"> ROUND(  INDEX( Kx!132:132, BC$16 ),  BC$17 )</f>
        <v>1450.62</v>
      </c>
      <c r="BD132" s="533">
        <f xml:space="preserve"> ROUND(  INDEX( Kx!132:132, BD$16 ),  BD$17 )</f>
        <v>1196.6400000000001</v>
      </c>
      <c r="BE132" s="548" t="str">
        <f t="shared" si="214"/>
        <v>M</v>
      </c>
      <c r="BF132" s="542">
        <f t="shared" si="215"/>
        <v>0.60840000000000005</v>
      </c>
      <c r="BG132" s="542">
        <f t="shared" si="216"/>
        <v>1351.16</v>
      </c>
    </row>
    <row r="133" spans="1:59" ht="10.199999999999999" x14ac:dyDescent="0.2">
      <c r="A133" s="562">
        <f xml:space="preserve"> Basis!A133</f>
        <v>3</v>
      </c>
      <c r="H133" s="533">
        <f xml:space="preserve"> ROUND(    IF( $A$15=BE_MF_,   BG133,   INDEX( Kx!133:133, H$16 ) ),    H$17    )</f>
        <v>1207.25</v>
      </c>
      <c r="I133" s="420">
        <f t="shared" si="209"/>
        <v>1207.25</v>
      </c>
      <c r="J133" s="420">
        <f xml:space="preserve"> ROUND(   IF( $A133&lt;$F$12, AVERAGE(  $I$130                        : INDEX( $I$130:$I$149, $I$129-1 )  ),  AVERAGE(  $I$149                        : INDEX( $I$130:$I$149, $I$129 )  )     ),        J$129   )</f>
        <v>1506.43</v>
      </c>
      <c r="L133" s="473">
        <f t="shared" si="210"/>
        <v>0</v>
      </c>
      <c r="M133" s="563">
        <f t="shared" si="211"/>
        <v>8.5999999999999993E-2</v>
      </c>
      <c r="O133" s="542" t="b">
        <f t="shared" si="217"/>
        <v>1</v>
      </c>
      <c r="AJ133" s="423">
        <f t="shared" si="212"/>
        <v>1648.17</v>
      </c>
      <c r="AK133" s="423">
        <f t="shared" si="213"/>
        <v>137.35</v>
      </c>
      <c r="AR133" s="546">
        <f xml:space="preserve"> ROUND(  INDEX( Kx!133:133, AR$16 ),  AR$17 )</f>
        <v>0.51219999999999999</v>
      </c>
      <c r="BC133" s="533">
        <f xml:space="preserve"> ROUND(  INDEX( Kx!133:133, BC$16 ),  BC$17 )</f>
        <v>1307.23</v>
      </c>
      <c r="BD133" s="533">
        <f xml:space="preserve"> ROUND(  INDEX( Kx!133:133, BD$16 ),  BD$17 )</f>
        <v>1049.76</v>
      </c>
      <c r="BE133" s="548" t="str">
        <f t="shared" si="214"/>
        <v>M</v>
      </c>
      <c r="BF133" s="542">
        <f t="shared" si="215"/>
        <v>0.61170000000000002</v>
      </c>
      <c r="BG133" s="542">
        <f t="shared" si="216"/>
        <v>1207.25</v>
      </c>
    </row>
    <row r="134" spans="1:59" ht="10.199999999999999" x14ac:dyDescent="0.2">
      <c r="A134" s="562">
        <f xml:space="preserve"> Basis!A134</f>
        <v>4</v>
      </c>
      <c r="H134" s="533">
        <f xml:space="preserve"> ROUND(    IF( $A$15=BE_MF_,   BG134,   INDEX( Kx!134:134, H$16 ) ),    H$17    )</f>
        <v>1102.58</v>
      </c>
      <c r="I134" s="420">
        <f t="shared" si="209"/>
        <v>1102.58</v>
      </c>
      <c r="J134" s="420">
        <f xml:space="preserve"> ROUND(   IF( $A134&lt;$F$12, AVERAGE(  $I$130                        : INDEX( $I$130:$I$149, $I$129-1 )  ),  AVERAGE(  $I$149                        : INDEX( $I$130:$I$149, $I$129 )  )     ),        J$129   )</f>
        <v>1506.43</v>
      </c>
      <c r="L134" s="473">
        <f t="shared" si="210"/>
        <v>0</v>
      </c>
      <c r="M134" s="563">
        <f t="shared" si="211"/>
        <v>8.5999999999999993E-2</v>
      </c>
      <c r="O134" s="542" t="b">
        <f t="shared" si="217"/>
        <v>1</v>
      </c>
      <c r="AJ134" s="423">
        <f t="shared" si="212"/>
        <v>1648.17</v>
      </c>
      <c r="AK134" s="423">
        <f t="shared" si="213"/>
        <v>137.35</v>
      </c>
      <c r="AR134" s="546">
        <f xml:space="preserve"> ROUND(  INDEX( Kx!134:134, AR$16 ),  AR$17 )</f>
        <v>0.51270000000000004</v>
      </c>
      <c r="BC134" s="533">
        <f xml:space="preserve"> ROUND(  INDEX( Kx!134:134, BC$16 ),  BC$17 )</f>
        <v>1200.4000000000001</v>
      </c>
      <c r="BD134" s="533">
        <f xml:space="preserve"> ROUND(  INDEX( Kx!134:134, BD$16 ),  BD$17 )</f>
        <v>948.22</v>
      </c>
      <c r="BE134" s="548" t="str">
        <f t="shared" si="214"/>
        <v>M</v>
      </c>
      <c r="BF134" s="542">
        <f t="shared" si="215"/>
        <v>0.61209999999999998</v>
      </c>
      <c r="BG134" s="542">
        <f t="shared" si="216"/>
        <v>1102.58</v>
      </c>
    </row>
    <row r="135" spans="1:59" ht="10.199999999999999" x14ac:dyDescent="0.2">
      <c r="A135" s="562">
        <f xml:space="preserve"> Basis!A135</f>
        <v>5</v>
      </c>
      <c r="H135" s="533">
        <f xml:space="preserve"> ROUND(    IF( $A$15=BE_MF_,   BG135,   INDEX( Kx!135:135, H$16 ) ),    H$17    )</f>
        <v>1056.8399999999999</v>
      </c>
      <c r="I135" s="420">
        <f t="shared" si="209"/>
        <v>1056.8399999999999</v>
      </c>
      <c r="J135" s="420">
        <f xml:space="preserve"> ROUND(   IF( $A135&lt;$F$12, AVERAGE(  $I$130                        : INDEX( $I$130:$I$149, $I$129-1 )  ),  AVERAGE(  $I$149                        : INDEX( $I$130:$I$149, $I$129 )  )     ),        J$129   )</f>
        <v>1506.43</v>
      </c>
      <c r="L135" s="473">
        <f t="shared" si="210"/>
        <v>0</v>
      </c>
      <c r="M135" s="563">
        <f t="shared" si="211"/>
        <v>8.5999999999999993E-2</v>
      </c>
      <c r="O135" s="542" t="b">
        <f t="shared" si="217"/>
        <v>1</v>
      </c>
      <c r="AJ135" s="423">
        <f t="shared" si="212"/>
        <v>1648.17</v>
      </c>
      <c r="AK135" s="423">
        <f t="shared" si="213"/>
        <v>137.35</v>
      </c>
      <c r="AR135" s="546">
        <f xml:space="preserve"> ROUND(  INDEX( Kx!135:135, AR$16 ),  AR$17 )</f>
        <v>0.5101</v>
      </c>
      <c r="BC135" s="533">
        <f xml:space="preserve"> ROUND(  INDEX( Kx!135:135, BC$16 ),  BC$17 )</f>
        <v>1176.3800000000001</v>
      </c>
      <c r="BD135" s="533">
        <f xml:space="preserve"> ROUND(  INDEX( Kx!135:135, BD$16 ),  BD$17 )</f>
        <v>870.1</v>
      </c>
      <c r="BE135" s="548" t="str">
        <f t="shared" si="214"/>
        <v>M</v>
      </c>
      <c r="BF135" s="542">
        <f t="shared" si="215"/>
        <v>0.60970000000000002</v>
      </c>
      <c r="BG135" s="542">
        <f t="shared" si="216"/>
        <v>1056.8399999999999</v>
      </c>
    </row>
    <row r="136" spans="1:59" ht="10.199999999999999" x14ac:dyDescent="0.2">
      <c r="A136" s="562">
        <f xml:space="preserve"> Basis!A136</f>
        <v>6</v>
      </c>
      <c r="H136" s="533">
        <f xml:space="preserve"> ROUND(    IF( $A$15=BE_MF_,   BG136,   INDEX( Kx!136:136, H$16 ) ),    H$17    )</f>
        <v>1028.01</v>
      </c>
      <c r="I136" s="420">
        <f t="shared" si="209"/>
        <v>1028.01</v>
      </c>
      <c r="J136" s="420">
        <f xml:space="preserve"> ROUND(   IF( $A136&lt;$F$12, AVERAGE(  $I$130                        : INDEX( $I$130:$I$149, $I$129-1 )  ),  AVERAGE(  $I$149                        : INDEX( $I$130:$I$149, $I$129 )  )     ),        J$129   )</f>
        <v>1506.43</v>
      </c>
      <c r="L136" s="473">
        <f t="shared" si="210"/>
        <v>0</v>
      </c>
      <c r="M136" s="563">
        <f t="shared" si="211"/>
        <v>8.5999999999999993E-2</v>
      </c>
      <c r="O136" s="542" t="b">
        <f t="shared" si="217"/>
        <v>1</v>
      </c>
      <c r="AJ136" s="423">
        <f t="shared" si="212"/>
        <v>1648.17</v>
      </c>
      <c r="AK136" s="423">
        <f t="shared" si="213"/>
        <v>137.35</v>
      </c>
      <c r="AR136" s="546">
        <f xml:space="preserve"> ROUND(  INDEX( Kx!136:136, AR$16 ),  AR$17 )</f>
        <v>0.51100000000000001</v>
      </c>
      <c r="BC136" s="533">
        <f xml:space="preserve"> ROUND(  INDEX( Kx!136:136, BC$16 ),  BC$17 )</f>
        <v>1151.29</v>
      </c>
      <c r="BD136" s="533">
        <f xml:space="preserve"> ROUND(  INDEX( Kx!136:136, BD$16 ),  BD$17 )</f>
        <v>834.79</v>
      </c>
      <c r="BE136" s="548" t="str">
        <f t="shared" si="214"/>
        <v>M</v>
      </c>
      <c r="BF136" s="542">
        <f t="shared" si="215"/>
        <v>0.61050000000000004</v>
      </c>
      <c r="BG136" s="542">
        <f t="shared" si="216"/>
        <v>1028.01</v>
      </c>
    </row>
    <row r="137" spans="1:59" ht="10.199999999999999" x14ac:dyDescent="0.2">
      <c r="A137" s="562">
        <f xml:space="preserve"> Basis!A137</f>
        <v>7</v>
      </c>
      <c r="H137" s="533">
        <f xml:space="preserve"> ROUND(    IF( $A$15=BE_MF_,   BG137,   INDEX( Kx!137:137, H$16 ) ),    H$17    )</f>
        <v>1035.05</v>
      </c>
      <c r="I137" s="420">
        <f t="shared" si="209"/>
        <v>1035.05</v>
      </c>
      <c r="J137" s="420">
        <f xml:space="preserve"> ROUND(   IF( $A137&lt;$F$12, AVERAGE(  $I$130                        : INDEX( $I$130:$I$149, $I$129-1 )  ),  AVERAGE(  $I$149                        : INDEX( $I$130:$I$149, $I$129 )  )     ),        J$129   )</f>
        <v>1506.43</v>
      </c>
      <c r="L137" s="473">
        <f t="shared" si="210"/>
        <v>0</v>
      </c>
      <c r="M137" s="563">
        <f t="shared" si="211"/>
        <v>8.5999999999999993E-2</v>
      </c>
      <c r="O137" s="542" t="b">
        <f t="shared" si="217"/>
        <v>1</v>
      </c>
      <c r="AJ137" s="423">
        <f t="shared" si="212"/>
        <v>1648.17</v>
      </c>
      <c r="AK137" s="423">
        <f t="shared" si="213"/>
        <v>137.35</v>
      </c>
      <c r="AR137" s="546">
        <f xml:space="preserve"> ROUND(  INDEX( Kx!137:137, AR$16 ),  AR$17 )</f>
        <v>0.51259999999999994</v>
      </c>
      <c r="BC137" s="533">
        <f xml:space="preserve"> ROUND(  INDEX( Kx!137:137, BC$16 ),  BC$17 )</f>
        <v>1158.55</v>
      </c>
      <c r="BD137" s="533">
        <f xml:space="preserve"> ROUND(  INDEX( Kx!137:137, BD$16 ),  BD$17 )</f>
        <v>840.25</v>
      </c>
      <c r="BE137" s="548" t="str">
        <f t="shared" si="214"/>
        <v>M</v>
      </c>
      <c r="BF137" s="542">
        <f t="shared" si="215"/>
        <v>0.61199999999999999</v>
      </c>
      <c r="BG137" s="542">
        <f t="shared" si="216"/>
        <v>1035.05</v>
      </c>
    </row>
    <row r="138" spans="1:59" ht="10.199999999999999" x14ac:dyDescent="0.2">
      <c r="A138" s="562">
        <f xml:space="preserve"> Basis!A138</f>
        <v>8</v>
      </c>
      <c r="H138" s="533">
        <f xml:space="preserve"> ROUND(    IF( $A$15=BE_MF_,   BG138,   INDEX( Kx!138:138, H$16 ) ),    H$17    )</f>
        <v>1081.22</v>
      </c>
      <c r="I138" s="420">
        <f t="shared" si="209"/>
        <v>1081.22</v>
      </c>
      <c r="J138" s="420">
        <f xml:space="preserve"> ROUND(   IF( $A138&lt;$F$12, AVERAGE(  $I$130                        : INDEX( $I$130:$I$149, $I$129-1 )  ),  AVERAGE(  $I$149                        : INDEX( $I$130:$I$149, $I$129 )  )     ),        J$129   )</f>
        <v>1506.43</v>
      </c>
      <c r="L138" s="473">
        <f t="shared" si="210"/>
        <v>0</v>
      </c>
      <c r="M138" s="563">
        <f t="shared" si="211"/>
        <v>8.5999999999999993E-2</v>
      </c>
      <c r="O138" s="542" t="b">
        <f t="shared" si="217"/>
        <v>1</v>
      </c>
      <c r="AJ138" s="423">
        <f t="shared" si="212"/>
        <v>1648.17</v>
      </c>
      <c r="AK138" s="423">
        <f t="shared" si="213"/>
        <v>137.35</v>
      </c>
      <c r="AR138" s="546">
        <f xml:space="preserve"> ROUND(  INDEX( Kx!138:138, AR$16 ),  AR$17 )</f>
        <v>0.51219999999999999</v>
      </c>
      <c r="BC138" s="533">
        <f xml:space="preserve"> ROUND(  INDEX( Kx!138:138, BC$16 ),  BC$17 )</f>
        <v>1191.48</v>
      </c>
      <c r="BD138" s="533">
        <f xml:space="preserve"> ROUND(  INDEX( Kx!138:138, BD$16 ),  BD$17 )</f>
        <v>907.52</v>
      </c>
      <c r="BE138" s="548" t="str">
        <f t="shared" si="214"/>
        <v>M</v>
      </c>
      <c r="BF138" s="542">
        <f t="shared" si="215"/>
        <v>0.61170000000000002</v>
      </c>
      <c r="BG138" s="542">
        <f t="shared" si="216"/>
        <v>1081.22</v>
      </c>
    </row>
    <row r="139" spans="1:59" ht="10.199999999999999" x14ac:dyDescent="0.2">
      <c r="A139" s="562">
        <f xml:space="preserve"> Basis!A139</f>
        <v>9</v>
      </c>
      <c r="H139" s="533">
        <f xml:space="preserve"> ROUND(    IF( $A$15=BE_MF_,   BG139,   INDEX( Kx!139:139, H$16 ) ),    H$17    )</f>
        <v>1140.3499999999999</v>
      </c>
      <c r="I139" s="420">
        <f t="shared" si="209"/>
        <v>1140.3499999999999</v>
      </c>
      <c r="J139" s="420">
        <f xml:space="preserve"> ROUND(   IF( $A139&lt;$F$12, AVERAGE(  $I$130                        : INDEX( $I$130:$I$149, $I$129-1 )  ),  AVERAGE(  $I$149                        : INDEX( $I$130:$I$149, $I$129 )  )     ),        J$129   )</f>
        <v>1506.43</v>
      </c>
      <c r="L139" s="473">
        <f t="shared" si="210"/>
        <v>0</v>
      </c>
      <c r="M139" s="563">
        <f t="shared" si="211"/>
        <v>8.5999999999999993E-2</v>
      </c>
      <c r="O139" s="542" t="b">
        <f t="shared" si="217"/>
        <v>1</v>
      </c>
      <c r="AJ139" s="423">
        <f t="shared" si="212"/>
        <v>1648.17</v>
      </c>
      <c r="AK139" s="423">
        <f t="shared" si="213"/>
        <v>137.35</v>
      </c>
      <c r="AR139" s="546">
        <f xml:space="preserve"> ROUND(  INDEX( Kx!139:139, AR$16 ),  AR$17 )</f>
        <v>0.50970000000000004</v>
      </c>
      <c r="BC139" s="533">
        <f xml:space="preserve"> ROUND(  INDEX( Kx!139:139, BC$16 ),  BC$17 )</f>
        <v>1223.27</v>
      </c>
      <c r="BD139" s="533">
        <f xml:space="preserve"> ROUND(  INDEX( Kx!139:139, BD$16 ),  BD$17 )</f>
        <v>1011.04</v>
      </c>
      <c r="BE139" s="548" t="str">
        <f t="shared" si="214"/>
        <v>M</v>
      </c>
      <c r="BF139" s="542">
        <f t="shared" si="215"/>
        <v>0.60929999999999995</v>
      </c>
      <c r="BG139" s="542">
        <f t="shared" si="216"/>
        <v>1140.3499999999999</v>
      </c>
    </row>
    <row r="140" spans="1:59" ht="10.199999999999999" x14ac:dyDescent="0.2">
      <c r="A140" s="562">
        <f xml:space="preserve"> Basis!A140</f>
        <v>10</v>
      </c>
      <c r="H140" s="533">
        <f xml:space="preserve"> ROUND(    IF( $A$15=BE_MF_,   BG140,   INDEX( Kx!140:140, H$16 ) ),    H$17    )</f>
        <v>1238.3499999999999</v>
      </c>
      <c r="I140" s="420">
        <f t="shared" si="209"/>
        <v>1238.3499999999999</v>
      </c>
      <c r="J140" s="420">
        <f xml:space="preserve"> ROUND(   IF( $A140&lt;$F$12, AVERAGE(  $I$130                        : INDEX( $I$130:$I$149, $I$129-1 )  ),  AVERAGE(  $I$149                        : INDEX( $I$130:$I$149, $I$129 )  )     ),        J$129   )</f>
        <v>1506.43</v>
      </c>
      <c r="L140" s="473">
        <f t="shared" si="210"/>
        <v>0</v>
      </c>
      <c r="M140" s="563">
        <f t="shared" si="211"/>
        <v>8.5999999999999993E-2</v>
      </c>
      <c r="O140" s="542" t="b">
        <f t="shared" si="217"/>
        <v>1</v>
      </c>
      <c r="AJ140" s="423">
        <f t="shared" si="212"/>
        <v>1648.17</v>
      </c>
      <c r="AK140" s="423">
        <f t="shared" si="213"/>
        <v>137.35</v>
      </c>
      <c r="AR140" s="546">
        <f xml:space="preserve"> ROUND(  INDEX( Kx!140:140, AR$16 ),  AR$17 )</f>
        <v>0.51359999999999995</v>
      </c>
      <c r="BC140" s="533">
        <f xml:space="preserve"> ROUND(  INDEX( Kx!140:140, BC$16 ),  BC$17 )</f>
        <v>1287.95</v>
      </c>
      <c r="BD140" s="533">
        <f xml:space="preserve"> ROUND(  INDEX( Kx!140:140, BD$16 ),  BD$17 )</f>
        <v>1159.79</v>
      </c>
      <c r="BE140" s="548" t="str">
        <f t="shared" si="214"/>
        <v>M</v>
      </c>
      <c r="BF140" s="542">
        <f t="shared" si="215"/>
        <v>0.61299999999999999</v>
      </c>
      <c r="BG140" s="542">
        <f t="shared" si="216"/>
        <v>1238.3499999999999</v>
      </c>
    </row>
    <row r="141" spans="1:59" ht="10.199999999999999" x14ac:dyDescent="0.2">
      <c r="A141" s="562">
        <f xml:space="preserve"> Basis!A141</f>
        <v>11</v>
      </c>
      <c r="H141" s="533">
        <f xml:space="preserve"> ROUND(    IF( $A$15=BE_MF_,   BG141,   INDEX( Kx!141:141, H$16 ) ),    H$17    )</f>
        <v>1382.81</v>
      </c>
      <c r="I141" s="420">
        <f t="shared" si="209"/>
        <v>1382.81</v>
      </c>
      <c r="J141" s="420">
        <f xml:space="preserve"> ROUND(   IF( $A141&lt;$F$12, AVERAGE(  $I$130                        : INDEX( $I$130:$I$149, $I$129-1 )  ),  AVERAGE(  $I$149                        : INDEX( $I$130:$I$149, $I$129 )  )     ),        J$129   )</f>
        <v>1506.43</v>
      </c>
      <c r="L141" s="473">
        <f t="shared" si="210"/>
        <v>0</v>
      </c>
      <c r="M141" s="563">
        <f t="shared" si="211"/>
        <v>8.5999999999999993E-2</v>
      </c>
      <c r="O141" s="542" t="b">
        <f t="shared" si="217"/>
        <v>1</v>
      </c>
      <c r="AJ141" s="423">
        <f t="shared" si="212"/>
        <v>1648.17</v>
      </c>
      <c r="AK141" s="423">
        <f t="shared" si="213"/>
        <v>137.35</v>
      </c>
      <c r="AR141" s="546">
        <f xml:space="preserve"> ROUND(  INDEX( Kx!141:141, AR$16 ),  AR$17 )</f>
        <v>0.50990000000000002</v>
      </c>
      <c r="BC141" s="533">
        <f xml:space="preserve"> ROUND(  INDEX( Kx!141:141, BC$16 ),  BC$17 )</f>
        <v>1397.41</v>
      </c>
      <c r="BD141" s="533">
        <f xml:space="preserve"> ROUND(  INDEX( Kx!141:141, BD$16 ),  BD$17 )</f>
        <v>1360.03</v>
      </c>
      <c r="BE141" s="548" t="str">
        <f t="shared" si="214"/>
        <v>M</v>
      </c>
      <c r="BF141" s="542">
        <f t="shared" si="215"/>
        <v>0.60950000000000004</v>
      </c>
      <c r="BG141" s="542">
        <f t="shared" si="216"/>
        <v>1382.81</v>
      </c>
    </row>
    <row r="142" spans="1:59" ht="10.199999999999999" x14ac:dyDescent="0.2">
      <c r="A142" s="562">
        <f xml:space="preserve"> Basis!A142</f>
        <v>12</v>
      </c>
      <c r="H142" s="533">
        <f xml:space="preserve"> ROUND(    IF( $A$15=BE_MF_,   BG142,   INDEX( Kx!142:142, H$16 ) ),    H$17    )</f>
        <v>1577.89</v>
      </c>
      <c r="I142" s="420">
        <f t="shared" si="209"/>
        <v>1577.89</v>
      </c>
      <c r="J142" s="420">
        <f xml:space="preserve"> ROUND(   IF( $A142&lt;$F$12, AVERAGE(  $I$130                        : INDEX( $I$130:$I$149, $I$129-1 )  ),  AVERAGE(  $I$149                        : INDEX( $I$130:$I$149, $I$129 )  )     ),        J$129   )</f>
        <v>1506.43</v>
      </c>
      <c r="L142" s="473">
        <f t="shared" si="210"/>
        <v>0</v>
      </c>
      <c r="M142" s="563">
        <f t="shared" si="211"/>
        <v>8.5999999999999993E-2</v>
      </c>
      <c r="O142" s="542" t="b">
        <f t="shared" si="217"/>
        <v>1</v>
      </c>
      <c r="AJ142" s="423">
        <f t="shared" si="212"/>
        <v>1648.17</v>
      </c>
      <c r="AK142" s="423">
        <f t="shared" si="213"/>
        <v>137.35</v>
      </c>
      <c r="AR142" s="546">
        <f xml:space="preserve"> ROUND(  INDEX( Kx!142:142, AR$16 ),  AR$17 )</f>
        <v>0.51619999999999999</v>
      </c>
      <c r="BC142" s="533">
        <f xml:space="preserve"> ROUND(  INDEX( Kx!142:142, BC$16 ),  BC$17 )</f>
        <v>1555.05</v>
      </c>
      <c r="BD142" s="533">
        <f xml:space="preserve"> ROUND(  INDEX( Kx!142:142, BD$16 ),  BD$17 )</f>
        <v>1594.14</v>
      </c>
      <c r="BE142" s="548" t="str">
        <f t="shared" si="214"/>
        <v>F</v>
      </c>
      <c r="BF142" s="542">
        <f t="shared" si="215"/>
        <v>0.41570000000000001</v>
      </c>
      <c r="BG142" s="542">
        <f t="shared" si="216"/>
        <v>1577.89</v>
      </c>
    </row>
    <row r="143" spans="1:59" ht="10.199999999999999" x14ac:dyDescent="0.2">
      <c r="A143" s="562">
        <f xml:space="preserve"> Basis!A143</f>
        <v>13</v>
      </c>
      <c r="H143" s="533">
        <f xml:space="preserve"> ROUND(    IF( $A$15=BE_MF_,   BG143,   INDEX( Kx!143:143, H$16 ) ),    H$17    )</f>
        <v>1754.62</v>
      </c>
      <c r="I143" s="420">
        <f t="shared" si="209"/>
        <v>1754.62</v>
      </c>
      <c r="J143" s="420">
        <f xml:space="preserve"> ROUND(   IF( $A143&lt;$F$12, AVERAGE(  $I$130                        : INDEX( $I$130:$I$149, $I$129-1 )  ),  AVERAGE(  $I$149                        : INDEX( $I$130:$I$149, $I$129 )  )     ),        J$129   )</f>
        <v>1506.43</v>
      </c>
      <c r="L143" s="473">
        <f t="shared" si="210"/>
        <v>0</v>
      </c>
      <c r="M143" s="563">
        <f t="shared" si="211"/>
        <v>8.5999999999999993E-2</v>
      </c>
      <c r="O143" s="542" t="b">
        <f t="shared" si="217"/>
        <v>1</v>
      </c>
      <c r="AJ143" s="423">
        <f t="shared" si="212"/>
        <v>1648.17</v>
      </c>
      <c r="AK143" s="423">
        <f t="shared" si="213"/>
        <v>137.35</v>
      </c>
      <c r="AR143" s="546">
        <f xml:space="preserve"> ROUND(  INDEX( Kx!143:143, AR$16 ),  AR$17 )</f>
        <v>0.51139999999999997</v>
      </c>
      <c r="BC143" s="533">
        <f xml:space="preserve"> ROUND(  INDEX( Kx!143:143, BC$16 ),  BC$17 )</f>
        <v>1699.85</v>
      </c>
      <c r="BD143" s="533">
        <f xml:space="preserve"> ROUND(  INDEX( Kx!143:143, BD$16 ),  BD$17 )</f>
        <v>1792.83</v>
      </c>
      <c r="BE143" s="548" t="str">
        <f t="shared" si="214"/>
        <v>F</v>
      </c>
      <c r="BF143" s="542">
        <f t="shared" si="215"/>
        <v>0.41099999999999998</v>
      </c>
      <c r="BG143" s="542">
        <f t="shared" si="216"/>
        <v>1754.62</v>
      </c>
    </row>
    <row r="144" spans="1:59" ht="10.199999999999999" x14ac:dyDescent="0.2">
      <c r="A144" s="562">
        <f xml:space="preserve"> Basis!A144</f>
        <v>14</v>
      </c>
      <c r="H144" s="533">
        <f xml:space="preserve"> ROUND(    IF( $A$15=BE_MF_,   BG144,   INDEX( Kx!144:144, H$16 ) ),    H$17    )</f>
        <v>1854.56</v>
      </c>
      <c r="I144" s="420">
        <f t="shared" si="209"/>
        <v>1854.56</v>
      </c>
      <c r="J144" s="420">
        <f xml:space="preserve"> ROUND(   IF( $A144&lt;$F$12, AVERAGE(  $I$130                        : INDEX( $I$130:$I$149, $I$129-1 )  ),  AVERAGE(  $I$149                        : INDEX( $I$130:$I$149, $I$129 )  )     ),        J$129   )</f>
        <v>1506.43</v>
      </c>
      <c r="L144" s="473">
        <f t="shared" si="210"/>
        <v>0</v>
      </c>
      <c r="M144" s="563">
        <f t="shared" si="211"/>
        <v>8.5999999999999993E-2</v>
      </c>
      <c r="O144" s="542" t="b">
        <f t="shared" si="217"/>
        <v>1</v>
      </c>
      <c r="AJ144" s="423">
        <f t="shared" si="212"/>
        <v>1648.17</v>
      </c>
      <c r="AK144" s="423">
        <f t="shared" si="213"/>
        <v>137.35</v>
      </c>
      <c r="AR144" s="546">
        <f xml:space="preserve"> ROUND(  INDEX( Kx!144:144, AR$16 ),  AR$17 )</f>
        <v>0.50580000000000003</v>
      </c>
      <c r="BC144" s="533">
        <f xml:space="preserve"> ROUND(  INDEX( Kx!144:144, BC$16 ),  BC$17 )</f>
        <v>1771.93</v>
      </c>
      <c r="BD144" s="533">
        <f xml:space="preserve"> ROUND(  INDEX( Kx!144:144, BD$16 ),  BD$17 )</f>
        <v>1910.94</v>
      </c>
      <c r="BE144" s="548" t="str">
        <f t="shared" si="214"/>
        <v>F</v>
      </c>
      <c r="BF144" s="542">
        <f t="shared" si="215"/>
        <v>0.40560000000000002</v>
      </c>
      <c r="BG144" s="542">
        <f t="shared" si="216"/>
        <v>1854.56</v>
      </c>
    </row>
    <row r="145" spans="1:59" ht="10.199999999999999" x14ac:dyDescent="0.2">
      <c r="A145" s="562">
        <f xml:space="preserve"> Basis!A145</f>
        <v>15</v>
      </c>
      <c r="G145" s="391"/>
      <c r="H145" s="533">
        <f xml:space="preserve"> ROUND(    IF( $A$15=BE_MF_,   BG145,   INDEX( Kx!145:145, H$16 ) ),    H$17    )</f>
        <v>1862.52</v>
      </c>
      <c r="I145" s="420">
        <f t="shared" si="209"/>
        <v>1862.52</v>
      </c>
      <c r="J145" s="420">
        <f xml:space="preserve"> ROUND(   IF( $A145&lt;$F$12, AVERAGE(  $I$130                        : INDEX( $I$130:$I$149, $I$129-1 )  ),  AVERAGE(  $I$149                        : INDEX( $I$130:$I$149, $I$129 )  )     ),        J$129   )</f>
        <v>1766.76</v>
      </c>
      <c r="L145" s="473">
        <f t="shared" si="210"/>
        <v>0</v>
      </c>
      <c r="M145" s="563">
        <f t="shared" si="211"/>
        <v>8.5999999999999993E-2</v>
      </c>
      <c r="O145" s="542" t="b">
        <f t="shared" si="217"/>
        <v>1</v>
      </c>
      <c r="AJ145" s="423">
        <f t="shared" si="212"/>
        <v>1933</v>
      </c>
      <c r="AK145" s="423">
        <f t="shared" si="213"/>
        <v>161.08000000000001</v>
      </c>
      <c r="AR145" s="546">
        <f xml:space="preserve"> ROUND(  INDEX( Kx!145:145, AR$16 ),  AR$17 )</f>
        <v>0.50800000000000001</v>
      </c>
      <c r="BC145" s="533">
        <f xml:space="preserve"> ROUND(  INDEX( Kx!145:145, BC$16 ),  BC$17 )</f>
        <v>1746.56</v>
      </c>
      <c r="BD145" s="533">
        <f xml:space="preserve"> ROUND(  INDEX( Kx!145:145, BD$16 ),  BD$17 )</f>
        <v>1942.34</v>
      </c>
      <c r="BE145" s="548" t="str">
        <f t="shared" si="214"/>
        <v>F</v>
      </c>
      <c r="BF145" s="542">
        <f t="shared" si="215"/>
        <v>0.40770000000000001</v>
      </c>
      <c r="BG145" s="542">
        <f t="shared" si="216"/>
        <v>1862.52</v>
      </c>
    </row>
    <row r="146" spans="1:59" ht="10.199999999999999" x14ac:dyDescent="0.2">
      <c r="A146" s="562">
        <f xml:space="preserve"> Basis!A146</f>
        <v>16</v>
      </c>
      <c r="H146" s="533">
        <f xml:space="preserve"> ROUND(    IF( $A$15=BE_MF_,   BG146,   INDEX( Kx!146:146, H$16 ) ),    H$17    )</f>
        <v>1810.28</v>
      </c>
      <c r="I146" s="420">
        <f t="shared" si="209"/>
        <v>1810.28</v>
      </c>
      <c r="J146" s="420">
        <f xml:space="preserve"> ROUND(   IF( $A146&lt;$F$12, AVERAGE(  $I$130                        : INDEX( $I$130:$I$149, $I$129-1 )  ),  AVERAGE(  $I$149                        : INDEX( $I$130:$I$149, $I$129 )  )     ),        J$129   )</f>
        <v>1766.76</v>
      </c>
      <c r="L146" s="473">
        <f t="shared" si="210"/>
        <v>0</v>
      </c>
      <c r="M146" s="563">
        <f t="shared" si="211"/>
        <v>8.5999999999999993E-2</v>
      </c>
      <c r="O146" s="542" t="b">
        <f t="shared" si="217"/>
        <v>1</v>
      </c>
      <c r="AJ146" s="423">
        <f t="shared" si="212"/>
        <v>1933</v>
      </c>
      <c r="AK146" s="423">
        <f t="shared" si="213"/>
        <v>161.08000000000001</v>
      </c>
      <c r="AR146" s="546">
        <f xml:space="preserve"> ROUND(  INDEX( Kx!146:146, AR$16 ),  AR$17 )</f>
        <v>0.51200000000000001</v>
      </c>
      <c r="BC146" s="533">
        <f xml:space="preserve"> ROUND(  INDEX( Kx!146:146, BC$16 ),  BC$17 )</f>
        <v>1654.37</v>
      </c>
      <c r="BD146" s="533">
        <f xml:space="preserve"> ROUND(  INDEX( Kx!146:146, BD$16 ),  BD$17 )</f>
        <v>1919.35</v>
      </c>
      <c r="BE146" s="548" t="str">
        <f t="shared" si="214"/>
        <v>F</v>
      </c>
      <c r="BF146" s="542">
        <f t="shared" si="215"/>
        <v>0.41160000000000002</v>
      </c>
      <c r="BG146" s="542">
        <f t="shared" si="216"/>
        <v>1810.28</v>
      </c>
    </row>
    <row r="147" spans="1:59" ht="10.199999999999999" x14ac:dyDescent="0.2">
      <c r="A147" s="562">
        <f xml:space="preserve"> Basis!A147</f>
        <v>17</v>
      </c>
      <c r="H147" s="533">
        <f xml:space="preserve"> ROUND(    IF( $A$15=BE_MF_,   BG147,   INDEX( Kx!147:147, H$16 ) ),    H$17    )</f>
        <v>1748.48</v>
      </c>
      <c r="I147" s="420">
        <f t="shared" si="209"/>
        <v>1748.48</v>
      </c>
      <c r="J147" s="420">
        <f xml:space="preserve"> ROUND(   IF( $A147&lt;$F$12, AVERAGE(  $I$130                        : INDEX( $I$130:$I$149, $I$129-1 )  ),  AVERAGE(  $I$149                        : INDEX( $I$130:$I$149, $I$129 )  )     ),        J$129   )</f>
        <v>1766.76</v>
      </c>
      <c r="L147" s="473">
        <f t="shared" si="210"/>
        <v>0</v>
      </c>
      <c r="M147" s="563">
        <f t="shared" si="211"/>
        <v>8.5999999999999993E-2</v>
      </c>
      <c r="O147" s="542" t="b">
        <f t="shared" si="217"/>
        <v>1</v>
      </c>
      <c r="AJ147" s="423">
        <f t="shared" si="212"/>
        <v>1933</v>
      </c>
      <c r="AK147" s="423">
        <f t="shared" si="213"/>
        <v>161.08000000000001</v>
      </c>
      <c r="AR147" s="546">
        <f xml:space="preserve"> ROUND(  INDEX( Kx!147:147, AR$16 ),  AR$17 )</f>
        <v>0.51029999999999998</v>
      </c>
      <c r="BC147" s="533">
        <f xml:space="preserve"> ROUND(  INDEX( Kx!147:147, BC$16 ),  BC$17 )</f>
        <v>1551.48</v>
      </c>
      <c r="BD147" s="533">
        <f xml:space="preserve"> ROUND(  INDEX( Kx!147:147, BD$16 ),  BD$17 )</f>
        <v>1885.32</v>
      </c>
      <c r="BE147" s="548" t="str">
        <f t="shared" si="214"/>
        <v>F</v>
      </c>
      <c r="BF147" s="542">
        <f t="shared" si="215"/>
        <v>0.40989999999999999</v>
      </c>
      <c r="BG147" s="542">
        <f t="shared" si="216"/>
        <v>1748.48</v>
      </c>
    </row>
    <row r="148" spans="1:59" ht="10.199999999999999" x14ac:dyDescent="0.2">
      <c r="A148" s="562">
        <f xml:space="preserve"> Basis!A148</f>
        <v>18</v>
      </c>
      <c r="H148" s="533">
        <f xml:space="preserve"> ROUND(    IF( $A$15=BE_MF_,   BG148,   INDEX( Kx!148:148, H$16 ) ),    H$17    )</f>
        <v>1711.43</v>
      </c>
      <c r="I148" s="420">
        <f t="shared" si="209"/>
        <v>1711.43</v>
      </c>
      <c r="J148" s="420">
        <f xml:space="preserve"> ROUND(   IF( $A148&lt;$F$12, AVERAGE(  $I$130                        : INDEX( $I$130:$I$149, $I$129-1 )  ),  AVERAGE(  $I$149                        : INDEX( $I$130:$I$149, $I$129 )  )     ),        J$129   )</f>
        <v>1766.76</v>
      </c>
      <c r="L148" s="473">
        <f t="shared" si="210"/>
        <v>0</v>
      </c>
      <c r="M148" s="563">
        <f t="shared" si="211"/>
        <v>8.5999999999999993E-2</v>
      </c>
      <c r="O148" s="542" t="b">
        <f t="shared" si="217"/>
        <v>1</v>
      </c>
      <c r="AJ148" s="423">
        <f t="shared" si="212"/>
        <v>1933</v>
      </c>
      <c r="AK148" s="423">
        <f t="shared" si="213"/>
        <v>161.08000000000001</v>
      </c>
      <c r="AR148" s="546">
        <f xml:space="preserve"> ROUND(  INDEX( Kx!148:148, AR$16 ),  AR$17 )</f>
        <v>0.50019999999999998</v>
      </c>
      <c r="BC148" s="533">
        <f xml:space="preserve"> ROUND(  INDEX( Kx!148:148, BC$16 ),  BC$17 )</f>
        <v>1474.17</v>
      </c>
      <c r="BD148" s="533">
        <f xml:space="preserve"> ROUND(  INDEX( Kx!148:148, BD$16 ),  BD$17 )</f>
        <v>1869.74</v>
      </c>
      <c r="BE148" s="548" t="str">
        <f t="shared" si="214"/>
        <v>F</v>
      </c>
      <c r="BF148" s="542">
        <f t="shared" si="215"/>
        <v>0.4002</v>
      </c>
      <c r="BG148" s="542">
        <f t="shared" si="216"/>
        <v>1711.43</v>
      </c>
    </row>
    <row r="149" spans="1:59" ht="10.199999999999999" x14ac:dyDescent="0.2">
      <c r="A149" s="562">
        <f xml:space="preserve"> Basis!A149</f>
        <v>19</v>
      </c>
      <c r="H149" s="533">
        <f xml:space="preserve"> ROUND(    IF( $A$15=BE_MF_,   BG149,   INDEX( Kx!149:149, H$16 ) ),    H$17    )</f>
        <v>1701.11</v>
      </c>
      <c r="I149" s="420">
        <f t="shared" si="209"/>
        <v>1701.11</v>
      </c>
      <c r="J149" s="420">
        <f xml:space="preserve"> ROUND(   IF( $A149&lt;$F$12, AVERAGE(  $I$130                        : INDEX( $I$130:$I$149, $I$129-1 )  ),  AVERAGE(  $I$149                        : INDEX( $I$130:$I$149, $I$129 )  )     ),        J$129   )</f>
        <v>1766.76</v>
      </c>
      <c r="L149" s="473">
        <f t="shared" si="210"/>
        <v>0</v>
      </c>
      <c r="M149" s="563">
        <f t="shared" si="211"/>
        <v>8.5999999999999993E-2</v>
      </c>
      <c r="O149" s="542" t="b">
        <f t="shared" si="217"/>
        <v>1</v>
      </c>
      <c r="AJ149" s="423">
        <f t="shared" si="212"/>
        <v>1933</v>
      </c>
      <c r="AK149" s="423">
        <f t="shared" si="213"/>
        <v>161.08000000000001</v>
      </c>
      <c r="AR149" s="546">
        <f xml:space="preserve"> ROUND(  INDEX( Kx!149:149, AR$16 ),  AR$17 )</f>
        <v>0.50080000000000002</v>
      </c>
      <c r="BC149" s="533">
        <f xml:space="preserve"> ROUND(  INDEX( Kx!149:149, BC$16 ),  BC$17 )</f>
        <v>1429.31</v>
      </c>
      <c r="BD149" s="533">
        <f xml:space="preserve"> ROUND(  INDEX( Kx!149:149, BD$16 ),  BD$17 )</f>
        <v>1882.91</v>
      </c>
      <c r="BE149" s="548" t="str">
        <f t="shared" si="214"/>
        <v>F</v>
      </c>
      <c r="BF149" s="542">
        <f t="shared" si="215"/>
        <v>0.40079999999999999</v>
      </c>
      <c r="BG149" s="542">
        <f t="shared" si="216"/>
        <v>1701.11</v>
      </c>
    </row>
  </sheetData>
  <mergeCells count="2">
    <mergeCell ref="AF14:AG14"/>
    <mergeCell ref="BW14:BW15"/>
  </mergeCells>
  <phoneticPr fontId="2" type="noConversion"/>
  <conditionalFormatting sqref="A2">
    <cfRule type="expression" dxfId="20" priority="3">
      <formula>OR(ISNUMBER(SEARCH(BE_M,A2)),ISNUMBER(SEARCH(BE_M_,A2)))</formula>
    </cfRule>
  </conditionalFormatting>
  <conditionalFormatting sqref="A2">
    <cfRule type="expression" dxfId="19" priority="1">
      <formula>OR(ISNUMBER(SEARCH(BE_MF,A2)),ISNUMBER(SEARCH(BE_MF_,A2)))</formula>
    </cfRule>
    <cfRule type="expression" dxfId="18" priority="2">
      <formula>OR(ISNUMBER(SEARCH(BE_F,A2)),ISNUMBER(SEARCH(BE_F_,A2)))</formula>
    </cfRule>
  </conditionalFormatting>
  <conditionalFormatting sqref="K20:M120">
    <cfRule type="cellIs" dxfId="17" priority="16" stopIfTrue="1" operator="notEqual">
      <formula>K$15</formula>
    </cfRule>
  </conditionalFormatting>
  <conditionalFormatting sqref="AH17">
    <cfRule type="cellIs" dxfId="16" priority="17" stopIfTrue="1" operator="equal">
      <formula>TRUE</formula>
    </cfRule>
  </conditionalFormatting>
  <conditionalFormatting sqref="AH15">
    <cfRule type="cellIs" dxfId="15" priority="18" stopIfTrue="1" operator="equal">
      <formula>iO</formula>
    </cfRule>
  </conditionalFormatting>
  <conditionalFormatting sqref="FO8">
    <cfRule type="cellIs" dxfId="14" priority="14" operator="equal">
      <formula>FALSE</formula>
    </cfRule>
    <cfRule type="cellIs" dxfId="13" priority="15" stopIfTrue="1" operator="equal">
      <formula>TRUE</formula>
    </cfRule>
  </conditionalFormatting>
  <conditionalFormatting sqref="FP8:JL8">
    <cfRule type="cellIs" dxfId="12" priority="12" operator="equal">
      <formula>FALSE</formula>
    </cfRule>
    <cfRule type="cellIs" dxfId="11" priority="13" stopIfTrue="1" operator="equal">
      <formula>TRUE</formula>
    </cfRule>
  </conditionalFormatting>
  <conditionalFormatting sqref="F13">
    <cfRule type="cellIs" dxfId="10" priority="10" operator="equal">
      <formula>FALSE</formula>
    </cfRule>
    <cfRule type="cellIs" dxfId="9" priority="11" stopIfTrue="1" operator="equal">
      <formula>TRUE</formula>
    </cfRule>
  </conditionalFormatting>
  <conditionalFormatting sqref="A15">
    <cfRule type="expression" dxfId="8" priority="9">
      <formula>OR(ISNUMBER(SEARCH(BE_M,A15)),ISNUMBER(SEARCH(BE_M_,A15)))</formula>
    </cfRule>
  </conditionalFormatting>
  <conditionalFormatting sqref="A15">
    <cfRule type="expression" dxfId="7" priority="7">
      <formula>OR(ISNUMBER(SEARCH(BE_MF,A15)),ISNUMBER(SEARCH(BE_MF_,A15)))</formula>
    </cfRule>
    <cfRule type="expression" dxfId="6" priority="8">
      <formula>OR(ISNUMBER(SEARCH(BE_F,A15)),ISNUMBER(SEARCH(BE_F_,A15)))</formula>
    </cfRule>
  </conditionalFormatting>
  <conditionalFormatting sqref="D2:E2">
    <cfRule type="expression" dxfId="5" priority="6">
      <formula>OR(ISNUMBER(SEARCH(BE_M,D2)),ISNUMBER(SEARCH(BE_M_,D2)))</formula>
    </cfRule>
  </conditionalFormatting>
  <conditionalFormatting sqref="D2:E2">
    <cfRule type="expression" dxfId="4" priority="4">
      <formula>OR(ISNUMBER(SEARCH(BE_MF,D2)),ISNUMBER(SEARCH(BE_MF_,D2)))</formula>
    </cfRule>
    <cfRule type="expression" dxfId="3" priority="5">
      <formula>OR(ISNUMBER(SEARCH(BE_F,D2)),ISNUMBER(SEARCH(BE_F_,D2)))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4">
    <tabColor indexed="13"/>
  </sheetPr>
  <dimension ref="A2:GU110"/>
  <sheetViews>
    <sheetView workbookViewId="0">
      <pane xSplit="2" ySplit="8" topLeftCell="DN70" activePane="bottomRight" state="frozen"/>
      <selection pane="topRight" activeCell="C1" sqref="C1"/>
      <selection pane="bottomLeft" activeCell="A9" sqref="A9"/>
      <selection pane="bottomRight" sqref="A1:XFD1048576"/>
    </sheetView>
  </sheetViews>
  <sheetFormatPr baseColWidth="10" defaultColWidth="8.6640625" defaultRowHeight="10.199999999999999" x14ac:dyDescent="0.2"/>
  <cols>
    <col min="1" max="5" width="8.6640625" style="320" customWidth="1"/>
    <col min="6" max="7" width="8.6640625" style="323" customWidth="1"/>
    <col min="8" max="19" width="8.6640625" style="320" customWidth="1"/>
    <col min="20" max="21" width="8.6640625" style="323" customWidth="1"/>
    <col min="22" max="33" width="8.6640625" style="320" customWidth="1"/>
    <col min="34" max="35" width="8.6640625" style="323" customWidth="1"/>
    <col min="36" max="47" width="8.6640625" style="320" customWidth="1"/>
    <col min="48" max="49" width="8.6640625" style="323" customWidth="1"/>
    <col min="50" max="61" width="8.6640625" style="320" customWidth="1"/>
    <col min="62" max="63" width="8.6640625" style="323" customWidth="1"/>
    <col min="64" max="75" width="8.6640625" style="320" customWidth="1"/>
    <col min="76" max="77" width="8.6640625" style="323" customWidth="1"/>
    <col min="78" max="89" width="8.6640625" style="320" customWidth="1"/>
    <col min="90" max="91" width="8.6640625" style="323" customWidth="1"/>
    <col min="92" max="103" width="8.6640625" style="320" customWidth="1"/>
    <col min="104" max="105" width="8.6640625" style="323" customWidth="1"/>
    <col min="106" max="117" width="8.6640625" style="320" customWidth="1"/>
    <col min="118" max="119" width="8.6640625" style="323" customWidth="1"/>
    <col min="120" max="130" width="8.6640625" style="320" customWidth="1"/>
    <col min="131" max="138" width="8.6640625" style="329" customWidth="1"/>
    <col min="139" max="139" width="8.6640625" style="323" customWidth="1"/>
    <col min="140" max="152" width="8.6640625" style="329" customWidth="1"/>
    <col min="153" max="153" width="8.6640625" style="323" customWidth="1"/>
    <col min="154" max="166" width="8.6640625" style="329" customWidth="1"/>
    <col min="167" max="167" width="8.6640625" style="323" customWidth="1"/>
    <col min="168" max="203" width="8.6640625" style="329" customWidth="1"/>
    <col min="204" max="16384" width="8.6640625" style="320"/>
  </cols>
  <sheetData>
    <row r="2" spans="1:203" s="304" customFormat="1" x14ac:dyDescent="0.2">
      <c r="C2" s="305" t="s">
        <v>99</v>
      </c>
      <c r="D2" s="306"/>
      <c r="E2" s="306"/>
      <c r="F2" s="307"/>
      <c r="G2" s="307"/>
      <c r="H2" s="306"/>
      <c r="I2" s="306"/>
      <c r="J2" s="306"/>
      <c r="K2" s="306"/>
      <c r="L2" s="306"/>
      <c r="M2" s="306"/>
      <c r="N2" s="306"/>
      <c r="O2" s="306"/>
      <c r="Q2" s="305" t="s">
        <v>99</v>
      </c>
      <c r="R2" s="306"/>
      <c r="S2" s="306"/>
      <c r="T2" s="307"/>
      <c r="U2" s="307"/>
      <c r="V2" s="306"/>
      <c r="W2" s="306"/>
      <c r="X2" s="306"/>
      <c r="Y2" s="306"/>
      <c r="Z2" s="306"/>
      <c r="AA2" s="306"/>
      <c r="AB2" s="306"/>
      <c r="AC2" s="306"/>
      <c r="AE2" s="305" t="s">
        <v>99</v>
      </c>
      <c r="AF2" s="306"/>
      <c r="AG2" s="306"/>
      <c r="AH2" s="307"/>
      <c r="AI2" s="307"/>
      <c r="AJ2" s="306"/>
      <c r="AK2" s="306"/>
      <c r="AL2" s="306"/>
      <c r="AM2" s="306"/>
      <c r="AN2" s="306"/>
      <c r="AO2" s="306"/>
      <c r="AP2" s="306"/>
      <c r="AQ2" s="306"/>
      <c r="AS2" s="305" t="s">
        <v>99</v>
      </c>
      <c r="AT2" s="306"/>
      <c r="AU2" s="306"/>
      <c r="AV2" s="307"/>
      <c r="AW2" s="307"/>
      <c r="AX2" s="306"/>
      <c r="AY2" s="306"/>
      <c r="AZ2" s="306"/>
      <c r="BA2" s="306"/>
      <c r="BB2" s="306"/>
      <c r="BC2" s="306"/>
      <c r="BD2" s="306"/>
      <c r="BE2" s="306"/>
      <c r="BG2" s="305" t="s">
        <v>99</v>
      </c>
      <c r="BH2" s="306"/>
      <c r="BI2" s="306"/>
      <c r="BJ2" s="307"/>
      <c r="BK2" s="307"/>
      <c r="BL2" s="306"/>
      <c r="BM2" s="306"/>
      <c r="BN2" s="306"/>
      <c r="BO2" s="306"/>
      <c r="BP2" s="306"/>
      <c r="BQ2" s="306"/>
      <c r="BR2" s="306"/>
      <c r="BS2" s="306"/>
      <c r="BU2" s="305" t="s">
        <v>99</v>
      </c>
      <c r="BV2" s="306"/>
      <c r="BW2" s="306"/>
      <c r="BX2" s="307"/>
      <c r="BY2" s="307"/>
      <c r="BZ2" s="306"/>
      <c r="CA2" s="306"/>
      <c r="CB2" s="306"/>
      <c r="CC2" s="306"/>
      <c r="CD2" s="306"/>
      <c r="CE2" s="306"/>
      <c r="CF2" s="306"/>
      <c r="CG2" s="306"/>
      <c r="CI2" s="305" t="s">
        <v>99</v>
      </c>
      <c r="CJ2" s="306"/>
      <c r="CK2" s="306"/>
      <c r="CL2" s="307"/>
      <c r="CM2" s="307"/>
      <c r="CN2" s="306"/>
      <c r="CO2" s="306"/>
      <c r="CP2" s="306"/>
      <c r="CQ2" s="306"/>
      <c r="CR2" s="306"/>
      <c r="CS2" s="306"/>
      <c r="CT2" s="306"/>
      <c r="CU2" s="306"/>
      <c r="CW2" s="305" t="s">
        <v>99</v>
      </c>
      <c r="CX2" s="306"/>
      <c r="CY2" s="306"/>
      <c r="CZ2" s="307"/>
      <c r="DA2" s="307"/>
      <c r="DB2" s="306"/>
      <c r="DC2" s="306"/>
      <c r="DD2" s="306"/>
      <c r="DE2" s="306"/>
      <c r="DF2" s="306"/>
      <c r="DG2" s="306"/>
      <c r="DH2" s="306"/>
      <c r="DI2" s="306"/>
      <c r="DK2" s="305" t="s">
        <v>99</v>
      </c>
      <c r="DL2" s="306"/>
      <c r="DM2" s="306"/>
      <c r="DN2" s="307"/>
      <c r="DO2" s="307"/>
      <c r="DP2" s="306"/>
      <c r="DQ2" s="306"/>
      <c r="DR2" s="306"/>
      <c r="DS2" s="306"/>
      <c r="DT2" s="306"/>
      <c r="DU2" s="306"/>
      <c r="DV2" s="306"/>
      <c r="DW2" s="306"/>
      <c r="EA2" s="308"/>
      <c r="EB2" s="308"/>
      <c r="EC2" s="308"/>
      <c r="ED2" s="308"/>
      <c r="EE2" s="308"/>
      <c r="EF2" s="308"/>
      <c r="EG2" s="308"/>
      <c r="EH2" s="308"/>
      <c r="EI2" s="309"/>
      <c r="EJ2" s="308"/>
      <c r="EK2" s="308"/>
      <c r="EL2" s="308"/>
      <c r="EM2" s="308"/>
      <c r="EN2" s="308"/>
      <c r="EO2" s="308"/>
      <c r="EP2" s="308"/>
      <c r="EQ2" s="308"/>
      <c r="ER2" s="308"/>
      <c r="ES2" s="308"/>
      <c r="ET2" s="308"/>
      <c r="EU2" s="308"/>
      <c r="EV2" s="308"/>
      <c r="EW2" s="309"/>
      <c r="EX2" s="308"/>
      <c r="EY2" s="308"/>
      <c r="EZ2" s="308"/>
      <c r="FA2" s="308"/>
      <c r="FB2" s="308"/>
      <c r="FC2" s="308"/>
      <c r="FD2" s="308"/>
      <c r="FE2" s="308"/>
      <c r="FF2" s="308"/>
      <c r="FG2" s="308"/>
      <c r="FH2" s="308"/>
      <c r="FI2" s="308"/>
      <c r="FJ2" s="308"/>
      <c r="FK2" s="309"/>
      <c r="FL2" s="308"/>
      <c r="FM2" s="308"/>
      <c r="FN2" s="308"/>
      <c r="FO2" s="308"/>
      <c r="FP2" s="308"/>
      <c r="FQ2" s="308"/>
      <c r="FR2" s="308"/>
      <c r="FS2" s="308"/>
      <c r="FT2" s="308"/>
      <c r="FU2" s="308"/>
      <c r="FV2" s="308"/>
      <c r="FW2" s="308"/>
      <c r="FX2" s="308"/>
      <c r="FY2" s="308"/>
      <c r="FZ2" s="308"/>
      <c r="GA2" s="308"/>
      <c r="GB2" s="308"/>
      <c r="GC2" s="308"/>
      <c r="GD2" s="308"/>
      <c r="GE2" s="308"/>
      <c r="GF2" s="308"/>
      <c r="GG2" s="308"/>
      <c r="GH2" s="308"/>
      <c r="GI2" s="308"/>
      <c r="GJ2" s="308"/>
      <c r="GK2" s="308"/>
      <c r="GL2" s="308"/>
      <c r="GM2" s="308"/>
      <c r="GN2" s="308"/>
      <c r="GO2" s="308"/>
      <c r="GP2" s="308"/>
      <c r="GQ2" s="308"/>
      <c r="GR2" s="308"/>
      <c r="GS2" s="308"/>
      <c r="GT2" s="308"/>
      <c r="GU2" s="308"/>
    </row>
    <row r="3" spans="1:203" s="304" customFormat="1" ht="61.2" x14ac:dyDescent="0.2">
      <c r="C3" s="310" t="s">
        <v>0</v>
      </c>
      <c r="D3" s="310" t="s">
        <v>1</v>
      </c>
      <c r="E3" s="310" t="s">
        <v>77</v>
      </c>
      <c r="F3" s="310" t="s">
        <v>79</v>
      </c>
      <c r="G3" s="310" t="s">
        <v>80</v>
      </c>
      <c r="H3" s="311" t="str">
        <f xml:space="preserve"> C3 &amp; " " &amp; SML_mSML</f>
        <v>M mSML</v>
      </c>
      <c r="I3" s="311" t="str">
        <f xml:space="preserve"> D3 &amp; " " &amp; SML_mSML</f>
        <v>F mSML</v>
      </c>
      <c r="J3" s="312" t="str">
        <f xml:space="preserve"> E3</f>
        <v>F S-Kosten</v>
      </c>
      <c r="K3" s="313" t="s">
        <v>81</v>
      </c>
      <c r="L3" s="311" t="str">
        <f xml:space="preserve"> C3 &amp; " " &amp; SML_vSML</f>
        <v>M vSML</v>
      </c>
      <c r="M3" s="311" t="str">
        <f xml:space="preserve"> D3 &amp; " " &amp; SML_vSML</f>
        <v>F vSML</v>
      </c>
      <c r="N3" s="311" t="str">
        <f xml:space="preserve"> C3 &amp; " " &amp; SML_vMLglvert</f>
        <v>M vSML/glvert</v>
      </c>
      <c r="O3" s="311" t="str">
        <f xml:space="preserve"> D3 &amp; " " &amp; SML_vMLglvert</f>
        <v>F vSML/glvert</v>
      </c>
      <c r="Q3" s="310" t="s">
        <v>0</v>
      </c>
      <c r="R3" s="310" t="s">
        <v>1</v>
      </c>
      <c r="S3" s="310" t="s">
        <v>77</v>
      </c>
      <c r="T3" s="310" t="s">
        <v>79</v>
      </c>
      <c r="U3" s="310" t="s">
        <v>80</v>
      </c>
      <c r="V3" s="311" t="str">
        <f xml:space="preserve"> Q3 &amp; " " &amp; SML_mSML</f>
        <v>M mSML</v>
      </c>
      <c r="W3" s="311" t="str">
        <f xml:space="preserve"> R3 &amp; " " &amp; SML_mSML</f>
        <v>F mSML</v>
      </c>
      <c r="X3" s="312" t="str">
        <f xml:space="preserve"> S3</f>
        <v>F S-Kosten</v>
      </c>
      <c r="Y3" s="313" t="s">
        <v>81</v>
      </c>
      <c r="Z3" s="311" t="str">
        <f xml:space="preserve"> Q3 &amp; " " &amp; SML_vSML</f>
        <v>M vSML</v>
      </c>
      <c r="AA3" s="311" t="str">
        <f xml:space="preserve"> R3 &amp; " " &amp; SML_vSML</f>
        <v>F vSML</v>
      </c>
      <c r="AB3" s="311" t="str">
        <f xml:space="preserve"> Q3 &amp; " " &amp; SML_vMLglvert</f>
        <v>M vSML/glvert</v>
      </c>
      <c r="AC3" s="311" t="str">
        <f xml:space="preserve"> R3 &amp; " " &amp; SML_vMLglvert</f>
        <v>F vSML/glvert</v>
      </c>
      <c r="AE3" s="310" t="s">
        <v>0</v>
      </c>
      <c r="AF3" s="310" t="s">
        <v>1</v>
      </c>
      <c r="AG3" s="310" t="s">
        <v>77</v>
      </c>
      <c r="AH3" s="310" t="s">
        <v>79</v>
      </c>
      <c r="AI3" s="310" t="s">
        <v>80</v>
      </c>
      <c r="AJ3" s="311" t="str">
        <f xml:space="preserve"> AE3 &amp; " " &amp; SML_mSML</f>
        <v>M mSML</v>
      </c>
      <c r="AK3" s="311" t="str">
        <f xml:space="preserve"> AF3 &amp; " " &amp; SML_mSML</f>
        <v>F mSML</v>
      </c>
      <c r="AL3" s="312" t="str">
        <f xml:space="preserve"> AG3</f>
        <v>F S-Kosten</v>
      </c>
      <c r="AM3" s="313" t="s">
        <v>81</v>
      </c>
      <c r="AN3" s="311" t="str">
        <f xml:space="preserve"> AE3 &amp; " " &amp; SML_vSML</f>
        <v>M vSML</v>
      </c>
      <c r="AO3" s="311" t="str">
        <f xml:space="preserve"> AF3 &amp; " " &amp; SML_vSML</f>
        <v>F vSML</v>
      </c>
      <c r="AP3" s="311" t="str">
        <f xml:space="preserve"> AE3 &amp; " " &amp; SML_vMLglvert</f>
        <v>M vSML/glvert</v>
      </c>
      <c r="AQ3" s="311" t="str">
        <f xml:space="preserve"> AF3 &amp; " " &amp; SML_vMLglvert</f>
        <v>F vSML/glvert</v>
      </c>
      <c r="AS3" s="310" t="s">
        <v>0</v>
      </c>
      <c r="AT3" s="310" t="s">
        <v>1</v>
      </c>
      <c r="AU3" s="310" t="s">
        <v>77</v>
      </c>
      <c r="AV3" s="310" t="s">
        <v>79</v>
      </c>
      <c r="AW3" s="310" t="s">
        <v>80</v>
      </c>
      <c r="AX3" s="311" t="str">
        <f xml:space="preserve"> AS3 &amp; " " &amp; SML_mSML</f>
        <v>M mSML</v>
      </c>
      <c r="AY3" s="311" t="str">
        <f xml:space="preserve"> AT3 &amp; " " &amp; SML_mSML</f>
        <v>F mSML</v>
      </c>
      <c r="AZ3" s="312" t="str">
        <f xml:space="preserve"> AU3</f>
        <v>F S-Kosten</v>
      </c>
      <c r="BA3" s="313" t="s">
        <v>81</v>
      </c>
      <c r="BB3" s="311" t="str">
        <f xml:space="preserve"> AS3 &amp; " " &amp; SML_vSML</f>
        <v>M vSML</v>
      </c>
      <c r="BC3" s="311" t="str">
        <f xml:space="preserve"> AT3 &amp; " " &amp; SML_vSML</f>
        <v>F vSML</v>
      </c>
      <c r="BD3" s="311" t="str">
        <f xml:space="preserve"> AS3 &amp; " " &amp; SML_vMLglvert</f>
        <v>M vSML/glvert</v>
      </c>
      <c r="BE3" s="311" t="str">
        <f xml:space="preserve"> AT3 &amp; " " &amp; SML_vMLglvert</f>
        <v>F vSML/glvert</v>
      </c>
      <c r="BG3" s="310" t="s">
        <v>0</v>
      </c>
      <c r="BH3" s="310" t="s">
        <v>1</v>
      </c>
      <c r="BI3" s="310" t="s">
        <v>77</v>
      </c>
      <c r="BJ3" s="310" t="s">
        <v>79</v>
      </c>
      <c r="BK3" s="310" t="s">
        <v>80</v>
      </c>
      <c r="BL3" s="311" t="str">
        <f xml:space="preserve"> BG3 &amp; " " &amp; SML_mSML</f>
        <v>M mSML</v>
      </c>
      <c r="BM3" s="311" t="str">
        <f xml:space="preserve"> BH3 &amp; " " &amp; SML_mSML</f>
        <v>F mSML</v>
      </c>
      <c r="BN3" s="312" t="str">
        <f xml:space="preserve"> BI3</f>
        <v>F S-Kosten</v>
      </c>
      <c r="BO3" s="313" t="s">
        <v>81</v>
      </c>
      <c r="BP3" s="311" t="str">
        <f xml:space="preserve"> BG3 &amp; " " &amp; SML_vSML</f>
        <v>M vSML</v>
      </c>
      <c r="BQ3" s="311" t="str">
        <f xml:space="preserve"> BH3 &amp; " " &amp; SML_vSML</f>
        <v>F vSML</v>
      </c>
      <c r="BR3" s="311" t="str">
        <f xml:space="preserve"> BG3 &amp; " " &amp; SML_vMLglvert</f>
        <v>M vSML/glvert</v>
      </c>
      <c r="BS3" s="311" t="str">
        <f xml:space="preserve"> BH3 &amp; " " &amp; SML_vMLglvert</f>
        <v>F vSML/glvert</v>
      </c>
      <c r="BU3" s="310" t="s">
        <v>0</v>
      </c>
      <c r="BV3" s="310" t="s">
        <v>1</v>
      </c>
      <c r="BW3" s="310" t="s">
        <v>77</v>
      </c>
      <c r="BX3" s="310" t="s">
        <v>79</v>
      </c>
      <c r="BY3" s="310" t="s">
        <v>80</v>
      </c>
      <c r="BZ3" s="311" t="str">
        <f xml:space="preserve"> BU3 &amp; " " &amp; SML_mSML</f>
        <v>M mSML</v>
      </c>
      <c r="CA3" s="311" t="str">
        <f xml:space="preserve"> BV3 &amp; " " &amp; SML_mSML</f>
        <v>F mSML</v>
      </c>
      <c r="CB3" s="312" t="str">
        <f xml:space="preserve"> BW3</f>
        <v>F S-Kosten</v>
      </c>
      <c r="CC3" s="313" t="s">
        <v>81</v>
      </c>
      <c r="CD3" s="311" t="str">
        <f xml:space="preserve"> BU3 &amp; " " &amp; SML_vSML</f>
        <v>M vSML</v>
      </c>
      <c r="CE3" s="311" t="str">
        <f xml:space="preserve"> BV3 &amp; " " &amp; SML_vSML</f>
        <v>F vSML</v>
      </c>
      <c r="CF3" s="311" t="str">
        <f xml:space="preserve"> BU3 &amp; " " &amp; SML_vMLglvert</f>
        <v>M vSML/glvert</v>
      </c>
      <c r="CG3" s="311" t="str">
        <f xml:space="preserve"> BV3 &amp; " " &amp; SML_vMLglvert</f>
        <v>F vSML/glvert</v>
      </c>
      <c r="CI3" s="310" t="s">
        <v>0</v>
      </c>
      <c r="CJ3" s="310" t="s">
        <v>1</v>
      </c>
      <c r="CK3" s="310" t="s">
        <v>77</v>
      </c>
      <c r="CL3" s="310" t="s">
        <v>79</v>
      </c>
      <c r="CM3" s="310" t="s">
        <v>80</v>
      </c>
      <c r="CN3" s="311" t="str">
        <f xml:space="preserve"> CI3 &amp; " " &amp; SML_mSML</f>
        <v>M mSML</v>
      </c>
      <c r="CO3" s="311" t="str">
        <f xml:space="preserve"> CJ3 &amp; " " &amp; SML_mSML</f>
        <v>F mSML</v>
      </c>
      <c r="CP3" s="312" t="str">
        <f xml:space="preserve"> CK3</f>
        <v>F S-Kosten</v>
      </c>
      <c r="CQ3" s="313" t="s">
        <v>81</v>
      </c>
      <c r="CR3" s="311" t="str">
        <f xml:space="preserve"> CI3 &amp; " " &amp; SML_vSML</f>
        <v>M vSML</v>
      </c>
      <c r="CS3" s="311" t="str">
        <f xml:space="preserve"> CJ3 &amp; " " &amp; SML_vSML</f>
        <v>F vSML</v>
      </c>
      <c r="CT3" s="311" t="str">
        <f xml:space="preserve"> CI3 &amp; " " &amp; SML_vMLglvert</f>
        <v>M vSML/glvert</v>
      </c>
      <c r="CU3" s="311" t="str">
        <f xml:space="preserve"> CJ3 &amp; " " &amp; SML_vMLglvert</f>
        <v>F vSML/glvert</v>
      </c>
      <c r="CW3" s="310" t="s">
        <v>0</v>
      </c>
      <c r="CX3" s="310" t="s">
        <v>1</v>
      </c>
      <c r="CY3" s="310" t="s">
        <v>77</v>
      </c>
      <c r="CZ3" s="310" t="s">
        <v>79</v>
      </c>
      <c r="DA3" s="310" t="s">
        <v>80</v>
      </c>
      <c r="DB3" s="311" t="str">
        <f xml:space="preserve"> CW3 &amp; " " &amp; SML_mSML</f>
        <v>M mSML</v>
      </c>
      <c r="DC3" s="311" t="str">
        <f xml:space="preserve"> CX3 &amp; " " &amp; SML_mSML</f>
        <v>F mSML</v>
      </c>
      <c r="DD3" s="312" t="str">
        <f xml:space="preserve"> CY3</f>
        <v>F S-Kosten</v>
      </c>
      <c r="DE3" s="313" t="s">
        <v>81</v>
      </c>
      <c r="DF3" s="311" t="str">
        <f xml:space="preserve"> CW3 &amp; " " &amp; SML_vSML</f>
        <v>M vSML</v>
      </c>
      <c r="DG3" s="311" t="str">
        <f xml:space="preserve"> CX3 &amp; " " &amp; SML_vSML</f>
        <v>F vSML</v>
      </c>
      <c r="DH3" s="311" t="str">
        <f xml:space="preserve"> CW3 &amp; " " &amp; SML_vMLglvert</f>
        <v>M vSML/glvert</v>
      </c>
      <c r="DI3" s="311" t="str">
        <f xml:space="preserve"> CX3 &amp; " " &amp; SML_vMLglvert</f>
        <v>F vSML/glvert</v>
      </c>
      <c r="DK3" s="310" t="s">
        <v>0</v>
      </c>
      <c r="DL3" s="310" t="s">
        <v>1</v>
      </c>
      <c r="DM3" s="310" t="s">
        <v>77</v>
      </c>
      <c r="DN3" s="310" t="s">
        <v>79</v>
      </c>
      <c r="DO3" s="310" t="s">
        <v>80</v>
      </c>
      <c r="DP3" s="311" t="str">
        <f xml:space="preserve"> DK3 &amp; " " &amp; SML_mSML</f>
        <v>M mSML</v>
      </c>
      <c r="DQ3" s="311" t="str">
        <f xml:space="preserve"> DL3 &amp; " " &amp; SML_mSML</f>
        <v>F mSML</v>
      </c>
      <c r="DR3" s="312" t="str">
        <f xml:space="preserve"> DM3</f>
        <v>F S-Kosten</v>
      </c>
      <c r="DS3" s="313" t="s">
        <v>81</v>
      </c>
      <c r="DT3" s="311" t="str">
        <f xml:space="preserve"> DK3 &amp; " " &amp; SML_vSML</f>
        <v>M vSML</v>
      </c>
      <c r="DU3" s="311" t="str">
        <f xml:space="preserve"> DL3 &amp; " " &amp; SML_vSML</f>
        <v>F vSML</v>
      </c>
      <c r="DV3" s="311" t="str">
        <f xml:space="preserve"> DK3 &amp; " " &amp; SML_vMLglvert</f>
        <v>M vSML/glvert</v>
      </c>
      <c r="DW3" s="311" t="str">
        <f xml:space="preserve"> DL3 &amp; " " &amp; SML_vMLglvert</f>
        <v>F vSML/glvert</v>
      </c>
      <c r="EA3" s="308"/>
      <c r="EB3" s="314"/>
      <c r="EC3" s="314"/>
      <c r="ED3" s="314"/>
      <c r="EE3" s="315" t="str">
        <f xml:space="preserve"> F3 &amp; " + " &amp; AV3 &amp; " + " &amp; CL3 &amp; " + " &amp; EE$8 &amp; " * " &amp; CZ3</f>
        <v>M Bestand + M Bestand + M Bestand + 1 * M Bestand</v>
      </c>
      <c r="EF3" s="315" t="str">
        <f xml:space="preserve"> G3 &amp; " + " &amp; AW3 &amp; " + " &amp; CM3 &amp; " + " &amp; EF$8 &amp; " * " &amp; DA3</f>
        <v>F Bestand + F Bestand + F Bestand + 1 * F Bestand</v>
      </c>
      <c r="EG3" s="315" t="str">
        <f xml:space="preserve"> H3 &amp; " + " &amp; AX3 &amp; " + " &amp; CN3 &amp; " + " &amp; EG$8 &amp; " * " &amp; DB3</f>
        <v>M mSML + M mSML + M mSML + 0,8 * M mSML</v>
      </c>
      <c r="EH3" s="315" t="str">
        <f xml:space="preserve"> I3 &amp; " + " &amp; AY3 &amp; " + " &amp; CO3 &amp; " + " &amp; EH$8 &amp; " * " &amp; DC3</f>
        <v>F mSML + F mSML + F mSML + 0,8 * F mSML</v>
      </c>
      <c r="EI3" s="316" t="str">
        <f xml:space="preserve"> EI4</f>
        <v>λ_x</v>
      </c>
      <c r="EJ3" s="314"/>
      <c r="EK3" s="315" t="str">
        <f xml:space="preserve"> L3 &amp; " + " &amp; BB3 &amp; " + " &amp; CR3 &amp; " + " &amp; EK$8 &amp; " * " &amp; DF3</f>
        <v>M vSML + M vSML + M vSML + 0,8 * M vSML</v>
      </c>
      <c r="EL3" s="315" t="str">
        <f xml:space="preserve"> M3 &amp; " + " &amp; BC3 &amp; " + " &amp; CS3 &amp; " + " &amp; EL$8 &amp; " * " &amp; DG3</f>
        <v>F vSML + F vSML + F vSML + 0,8 * F vSML</v>
      </c>
      <c r="EM3" s="315" t="str">
        <f xml:space="preserve"> N3 &amp; " + " &amp; BD3 &amp; " + " &amp; CT3 &amp; " + " &amp; EM$8 &amp; " * " &amp; DH3</f>
        <v>M vSML/glvert + M vSML/glvert + M vSML/glvert + 0,8 * M vSML/glvert</v>
      </c>
      <c r="EN3" s="315" t="str">
        <f xml:space="preserve"> O3 &amp; " + " &amp; BE3 &amp; " + " &amp; CU3 &amp; " + " &amp; EN$8 &amp; " * " &amp; DI3</f>
        <v>F vSML/glvert + F vSML/glvert + F vSML/glvert + 0,8 * F vSML/glvert</v>
      </c>
      <c r="EO3" s="308"/>
      <c r="EP3" s="314"/>
      <c r="EQ3" s="314"/>
      <c r="ER3" s="314"/>
      <c r="ES3" s="315" t="str">
        <f xml:space="preserve"> T3 &amp; " + " &amp; BJ3 &amp; " + " &amp; CL3 &amp; " + " &amp; ES$8 &amp; " * " &amp; CZ3</f>
        <v>M Bestand + M Bestand + M Bestand + 1 * M Bestand</v>
      </c>
      <c r="ET3" s="315" t="str">
        <f xml:space="preserve"> U3 &amp; " + " &amp; BK3 &amp; " + " &amp; CM3 &amp; " + " &amp; ET$8 &amp; " * " &amp; DA3</f>
        <v>F Bestand + F Bestand + F Bestand + 1 * F Bestand</v>
      </c>
      <c r="EU3" s="315" t="str">
        <f xml:space="preserve"> V3 &amp; " + " &amp; BL3 &amp; " + " &amp; CN3 &amp; " + " &amp; EU$8 &amp; " * " &amp; DB3</f>
        <v>M mSML + M mSML + M mSML + 0,7 * M mSML</v>
      </c>
      <c r="EV3" s="315" t="str">
        <f xml:space="preserve"> W3 &amp; " + " &amp; BM3 &amp; " + " &amp; CO3 &amp; " + " &amp; EV$8 &amp; " * " &amp; DC3</f>
        <v>F mSML + F mSML + F mSML + 0,7 * F mSML</v>
      </c>
      <c r="EW3" s="316" t="str">
        <f xml:space="preserve"> EW4</f>
        <v>λ_x</v>
      </c>
      <c r="EX3" s="314"/>
      <c r="EY3" s="315" t="str">
        <f xml:space="preserve"> Z3 &amp; " + " &amp; BP3 &amp; " + " &amp; CR3 &amp; " + " &amp; EY$8 &amp; " * " &amp; DF3</f>
        <v>M vSML + M vSML + M vSML + 0,7 * M vSML</v>
      </c>
      <c r="EZ3" s="315" t="str">
        <f xml:space="preserve"> AA3 &amp; " + " &amp; BQ3 &amp; " + " &amp; CS3 &amp; " + " &amp; EZ$8 &amp; " * " &amp; DG3</f>
        <v>F vSML + F vSML + F vSML + 0,7 * F vSML</v>
      </c>
      <c r="FA3" s="315" t="str">
        <f xml:space="preserve"> AB3 &amp; " + " &amp; BR3 &amp; " + " &amp; CT3 &amp; " + " &amp; FA$8 &amp; " * " &amp; DH3</f>
        <v>M vSML/glvert + M vSML/glvert + M vSML/glvert + 0,7 * M vSML/glvert</v>
      </c>
      <c r="FB3" s="315" t="str">
        <f xml:space="preserve"> AC3 &amp; " + " &amp; BS3 &amp; " + " &amp; CU3 &amp; " + " &amp; FB$8 &amp; " * " &amp; DI3</f>
        <v>F vSML/glvert + F vSML/glvert + F vSML/glvert + 0,7 * F vSML/glvert</v>
      </c>
      <c r="FC3" s="308"/>
      <c r="FD3" s="314"/>
      <c r="FE3" s="314"/>
      <c r="FF3" s="314"/>
      <c r="FG3" s="315" t="str">
        <f xml:space="preserve"> AH3 &amp; " + " &amp; BX3 &amp; " + " &amp; CL3 &amp; " + " &amp; FG$8 &amp; " * " &amp; DN3</f>
        <v>M Bestand + M Bestand + M Bestand + 1 * M Bestand</v>
      </c>
      <c r="FH3" s="315" t="str">
        <f xml:space="preserve"> AI3 &amp; " + " &amp; BY3 &amp; " + " &amp; CM3 &amp; " + " &amp; FH$8 &amp; " * " &amp; DO3</f>
        <v>F Bestand + F Bestand + F Bestand + 1 * F Bestand</v>
      </c>
      <c r="FI3" s="315" t="str">
        <f xml:space="preserve"> AJ3 &amp; " + " &amp; BZ3 &amp; " + " &amp; CN3 &amp; " + " &amp; FI$8 &amp; " * " &amp; DP3</f>
        <v>M mSML + M mSML + M mSML + 0,6 * M mSML</v>
      </c>
      <c r="FJ3" s="315" t="str">
        <f xml:space="preserve"> AK3 &amp; " + " &amp; CA3 &amp; " + " &amp; CO3 &amp; " + " &amp; FJ$8 &amp; " * " &amp; DQ3</f>
        <v>F mSML + F mSML + F mSML + 0,6 * F mSML</v>
      </c>
      <c r="FK3" s="316" t="str">
        <f xml:space="preserve"> FK4</f>
        <v>λ_x</v>
      </c>
      <c r="FL3" s="314"/>
      <c r="FM3" s="315" t="str">
        <f xml:space="preserve"> AN3 &amp; " + " &amp; CD3 &amp; " + " &amp; CR3 &amp; " + " &amp; FM$8 &amp; " * " &amp; DT3</f>
        <v>M vSML + M vSML + M vSML + 0,6 * M vSML</v>
      </c>
      <c r="FN3" s="315" t="str">
        <f xml:space="preserve"> AO3 &amp; " + " &amp; CE3 &amp; " + " &amp; CS3 &amp; " + " &amp; FN$8 &amp; " * " &amp; DU3</f>
        <v>F vSML + F vSML + F vSML + 0,6 * F vSML</v>
      </c>
      <c r="FO3" s="315" t="str">
        <f xml:space="preserve"> AP3 &amp; " + " &amp; CF3 &amp; " + " &amp; CT3 &amp; " + " &amp; FO$8 &amp; " * " &amp; DV3</f>
        <v>M vSML/glvert + M vSML/glvert + M vSML/glvert + 0,6 * M vSML/glvert</v>
      </c>
      <c r="FP3" s="315" t="str">
        <f xml:space="preserve"> AQ3 &amp; " + " &amp; CG3 &amp; " + " &amp; CU3 &amp; " + " &amp; FP$8 &amp; " * " &amp; DW3</f>
        <v>F vSML/glvert + F vSML/glvert + F vSML/glvert + 0,6 * F vSML/glvert</v>
      </c>
      <c r="FQ3" s="308"/>
      <c r="FR3" s="314"/>
      <c r="FS3" s="314"/>
      <c r="FT3" s="314"/>
      <c r="FU3" s="315" t="str">
        <f xml:space="preserve">  AV3 &amp; " + " &amp; BX3 &amp; " / * " &amp; FU$8</f>
        <v>M Bestand + M Bestand / * 1</v>
      </c>
      <c r="FV3" s="315" t="str">
        <f xml:space="preserve">  AW3 &amp; " + " &amp; BY3 &amp; " / * " &amp; FV$8</f>
        <v>F Bestand + F Bestand / * 1</v>
      </c>
      <c r="FW3" s="316" t="str">
        <f xml:space="preserve">  AX3 &amp; " - " &amp; BZ3 &amp; " / * " &amp; FW$8</f>
        <v>M mSML - M mSML / * 0,9</v>
      </c>
      <c r="FX3" s="316" t="str">
        <f xml:space="preserve">  AY3 &amp; " - " &amp; CA3 &amp; " / * " &amp; FX$8</f>
        <v>F mSML - F mSML / * 0,9</v>
      </c>
      <c r="FY3" s="316" t="str">
        <f xml:space="preserve"> FY4</f>
        <v>λ_x</v>
      </c>
      <c r="FZ3" s="314"/>
      <c r="GA3" s="316" t="str">
        <f xml:space="preserve">  BB3 &amp; " - " &amp; CD3 &amp; " / * " &amp; GA$8</f>
        <v>M vSML - M vSML / * 0,9</v>
      </c>
      <c r="GB3" s="316" t="str">
        <f xml:space="preserve">  BC3 &amp; " - " &amp; CE3 &amp; " / * " &amp; GB$8</f>
        <v>F vSML - F vSML / * 0,9</v>
      </c>
      <c r="GC3" s="316" t="str">
        <f xml:space="preserve">  BD3 &amp; " - " &amp; CF3 &amp; " / * " &amp; GC$8</f>
        <v>M vSML/glvert - M vSML/glvert / * 0,9</v>
      </c>
      <c r="GD3" s="316" t="str">
        <f xml:space="preserve">  BE3 &amp; " - " &amp; CG3 &amp; " / * " &amp; GD$8</f>
        <v>F vSML/glvert - F vSML/glvert / * 0,9</v>
      </c>
      <c r="GE3" s="308"/>
      <c r="GF3" s="317"/>
      <c r="GG3" s="317"/>
      <c r="GH3" s="317"/>
      <c r="GI3" s="318" t="str">
        <f xml:space="preserve"> CL3 &amp; " + " &amp; GI$8 &amp; " * " &amp; CZ3</f>
        <v>M Bestand + 1 * M Bestand</v>
      </c>
      <c r="GJ3" s="318" t="str">
        <f xml:space="preserve"> CM3 &amp; " + " &amp; GJ$8 &amp; " * " &amp; DA3</f>
        <v>F Bestand + 1 * F Bestand</v>
      </c>
      <c r="GK3" s="318" t="str">
        <f xml:space="preserve"> CN3 &amp; " + " &amp; GK$8 &amp; " * " &amp; DB3</f>
        <v>M mSML + 0,8 * M mSML</v>
      </c>
      <c r="GL3" s="318" t="str">
        <f xml:space="preserve"> CO3 &amp; " + " &amp; GL$8 &amp; " * " &amp; DC3</f>
        <v>F mSML + 0,8 * F mSML</v>
      </c>
      <c r="GM3" s="319"/>
      <c r="GN3" s="317"/>
      <c r="GO3" s="318" t="str">
        <f xml:space="preserve"> CR3 &amp; " + " &amp; GO$8 &amp; " * " &amp; DF3</f>
        <v>M vSML + 0,8 * M vSML</v>
      </c>
      <c r="GP3" s="318" t="str">
        <f xml:space="preserve"> CS3 &amp; " + " &amp; GP$8 &amp; " * " &amp; DG3</f>
        <v>F vSML + 0,8 * F vSML</v>
      </c>
      <c r="GQ3" s="318" t="str">
        <f xml:space="preserve"> CT3 &amp; " + " &amp; GQ$8 &amp; " * " &amp; DH3</f>
        <v>M vSML/glvert + 0,8 * M vSML/glvert</v>
      </c>
      <c r="GR3" s="318" t="str">
        <f xml:space="preserve"> CU3 &amp; " + " &amp; GR$8 &amp; " * " &amp; DI3</f>
        <v>F vSML/glvert + 0,8 * F vSML/glvert</v>
      </c>
      <c r="GS3" s="308"/>
      <c r="GT3" s="308"/>
      <c r="GU3" s="308"/>
    </row>
    <row r="4" spans="1:203" x14ac:dyDescent="0.2">
      <c r="C4" s="321" t="s">
        <v>100</v>
      </c>
      <c r="D4" s="322"/>
      <c r="E4" s="321" t="s">
        <v>101</v>
      </c>
      <c r="Q4" s="321" t="s">
        <v>102</v>
      </c>
      <c r="R4" s="322"/>
      <c r="S4" s="321" t="s">
        <v>103</v>
      </c>
      <c r="AE4" s="321" t="s">
        <v>104</v>
      </c>
      <c r="AF4" s="322"/>
      <c r="AG4" s="321" t="s">
        <v>105</v>
      </c>
      <c r="AS4" s="321" t="s">
        <v>106</v>
      </c>
      <c r="AT4" s="322"/>
      <c r="AU4" s="321" t="s">
        <v>107</v>
      </c>
      <c r="AV4" s="324"/>
      <c r="AW4" s="324"/>
      <c r="AX4" s="322"/>
      <c r="AY4" s="322"/>
      <c r="AZ4" s="322"/>
      <c r="BA4" s="322"/>
      <c r="BB4" s="322"/>
      <c r="BC4" s="322"/>
      <c r="BF4" s="322"/>
      <c r="BG4" s="321" t="s">
        <v>108</v>
      </c>
      <c r="BH4" s="322"/>
      <c r="BI4" s="321" t="s">
        <v>109</v>
      </c>
      <c r="BJ4" s="324"/>
      <c r="BK4" s="324"/>
      <c r="BL4" s="322"/>
      <c r="BM4" s="322"/>
      <c r="BN4" s="322"/>
      <c r="BO4" s="322"/>
      <c r="BP4" s="322"/>
      <c r="BQ4" s="322"/>
      <c r="BT4" s="322"/>
      <c r="BU4" s="321" t="s">
        <v>110</v>
      </c>
      <c r="BV4" s="322"/>
      <c r="BW4" s="321" t="s">
        <v>111</v>
      </c>
      <c r="BX4" s="324"/>
      <c r="BY4" s="324"/>
      <c r="BZ4" s="322"/>
      <c r="CA4" s="322"/>
      <c r="CB4" s="322"/>
      <c r="CC4" s="322"/>
      <c r="CD4" s="322"/>
      <c r="CE4" s="322"/>
      <c r="CH4" s="322"/>
      <c r="CI4" s="321" t="s">
        <v>112</v>
      </c>
      <c r="CJ4" s="322"/>
      <c r="CK4" s="321" t="s">
        <v>113</v>
      </c>
      <c r="CL4" s="324"/>
      <c r="CM4" s="324"/>
      <c r="CN4" s="322"/>
      <c r="CO4" s="322"/>
      <c r="CP4" s="322"/>
      <c r="CQ4" s="322"/>
      <c r="CR4" s="322"/>
      <c r="CS4" s="322"/>
      <c r="CV4" s="322"/>
      <c r="CW4" s="321" t="s">
        <v>114</v>
      </c>
      <c r="CX4" s="322"/>
      <c r="CY4" s="321" t="s">
        <v>115</v>
      </c>
      <c r="CZ4" s="324"/>
      <c r="DA4" s="324"/>
      <c r="DB4" s="322"/>
      <c r="DC4" s="322"/>
      <c r="DD4" s="322"/>
      <c r="DE4" s="322"/>
      <c r="DF4" s="322"/>
      <c r="DG4" s="322"/>
      <c r="DJ4" s="322"/>
      <c r="DK4" s="321" t="s">
        <v>116</v>
      </c>
      <c r="DL4" s="322"/>
      <c r="DM4" s="321" t="s">
        <v>117</v>
      </c>
      <c r="DN4" s="324"/>
      <c r="DO4" s="324"/>
      <c r="DP4" s="322"/>
      <c r="DQ4" s="322"/>
      <c r="DR4" s="322"/>
      <c r="DS4" s="322"/>
      <c r="DT4" s="322"/>
      <c r="DU4" s="322"/>
      <c r="DX4" s="322"/>
      <c r="DY4" s="322"/>
      <c r="DZ4" s="322"/>
      <c r="EA4" s="325"/>
      <c r="EB4" s="326"/>
      <c r="EC4" s="326"/>
      <c r="ED4" s="326"/>
      <c r="EE4" s="326"/>
      <c r="EF4" s="326"/>
      <c r="EG4" s="327" t="str">
        <f xml:space="preserve"> TRIM(  LEFT( EG3, SEARCH( "+", EG3 ) - 1 )  )</f>
        <v>M mSML</v>
      </c>
      <c r="EH4" s="327" t="str">
        <f xml:space="preserve"> TRIM(  LEFT( EH3, SEARCH( "+", EH3 ) - 1 )  )</f>
        <v>F mSML</v>
      </c>
      <c r="EI4" s="328" t="str">
        <f xml:space="preserve"> lambdax</f>
        <v>λ_x</v>
      </c>
      <c r="EJ4" s="326"/>
      <c r="EK4" s="327" t="str">
        <f xml:space="preserve"> TRIM(  LEFT( EK3, SEARCH( "+", EK3 ) - 1 )  )</f>
        <v>M vSML</v>
      </c>
      <c r="EL4" s="327" t="str">
        <f xml:space="preserve"> TRIM(  LEFT( EL3, SEARCH( "+", EL3 ) - 1 )  )</f>
        <v>F vSML</v>
      </c>
      <c r="EM4" s="327" t="str">
        <f xml:space="preserve"> TRIM(  LEFT( EM3, SEARCH( "+", EM3 ) - 1 )  )</f>
        <v>M vSML/glvert</v>
      </c>
      <c r="EN4" s="327" t="str">
        <f xml:space="preserve"> TRIM(  LEFT( EN3, SEARCH( "+", EN3 ) - 1 )  )</f>
        <v>F vSML/glvert</v>
      </c>
      <c r="EP4" s="326"/>
      <c r="EQ4" s="326"/>
      <c r="ER4" s="326"/>
      <c r="ES4" s="326"/>
      <c r="ET4" s="326"/>
      <c r="EU4" s="327" t="str">
        <f xml:space="preserve"> TRIM(  LEFT( EU3, SEARCH( "+", EU3 ) - 1 )  )</f>
        <v>M mSML</v>
      </c>
      <c r="EV4" s="327" t="str">
        <f xml:space="preserve"> TRIM(  LEFT( EV3, SEARCH( "+", EV3 ) - 1 )  )</f>
        <v>F mSML</v>
      </c>
      <c r="EW4" s="328" t="str">
        <f xml:space="preserve"> lambdax</f>
        <v>λ_x</v>
      </c>
      <c r="EX4" s="326"/>
      <c r="EY4" s="327" t="str">
        <f xml:space="preserve"> TRIM(  LEFT( EY3, SEARCH( "+", EY3 ) - 1 )  )</f>
        <v>M vSML</v>
      </c>
      <c r="EZ4" s="327" t="str">
        <f xml:space="preserve"> TRIM(  LEFT( EZ3, SEARCH( "+", EZ3 ) - 1 )  )</f>
        <v>F vSML</v>
      </c>
      <c r="FA4" s="327" t="str">
        <f xml:space="preserve"> TRIM(  LEFT( FA3, SEARCH( "+", FA3 ) - 1 )  )</f>
        <v>M vSML/glvert</v>
      </c>
      <c r="FB4" s="327" t="str">
        <f xml:space="preserve"> TRIM(  LEFT( FB3, SEARCH( "+", FB3 ) - 1 )  )</f>
        <v>F vSML/glvert</v>
      </c>
      <c r="FD4" s="326"/>
      <c r="FE4" s="326"/>
      <c r="FF4" s="326"/>
      <c r="FG4" s="326"/>
      <c r="FH4" s="326"/>
      <c r="FI4" s="327" t="str">
        <f xml:space="preserve"> TRIM(  LEFT( FI3, SEARCH( "+", FI3 ) - 1 )  )</f>
        <v>M mSML</v>
      </c>
      <c r="FJ4" s="327" t="str">
        <f xml:space="preserve"> TRIM(  LEFT( FJ3, SEARCH( "+", FJ3 ) - 1 )  )</f>
        <v>F mSML</v>
      </c>
      <c r="FK4" s="328" t="str">
        <f xml:space="preserve"> lambdax</f>
        <v>λ_x</v>
      </c>
      <c r="FL4" s="326"/>
      <c r="FM4" s="327" t="str">
        <f xml:space="preserve"> TRIM(  LEFT( FM3, SEARCH( "+", FM3 ) - 1 )  )</f>
        <v>M vSML</v>
      </c>
      <c r="FN4" s="327" t="str">
        <f xml:space="preserve"> TRIM(  LEFT( FN3, SEARCH( "+", FN3 ) - 1 )  )</f>
        <v>F vSML</v>
      </c>
      <c r="FO4" s="327" t="str">
        <f xml:space="preserve"> TRIM(  LEFT( FO3, SEARCH( "+", FO3 ) - 1 )  )</f>
        <v>M vSML/glvert</v>
      </c>
      <c r="FP4" s="327" t="str">
        <f xml:space="preserve"> TRIM(  LEFT( FP3, SEARCH( "+", FP3 ) - 1 )  )</f>
        <v>F vSML/glvert</v>
      </c>
      <c r="FR4" s="326"/>
      <c r="FS4" s="326"/>
      <c r="FT4" s="326"/>
      <c r="FU4" s="326"/>
      <c r="FV4" s="326"/>
      <c r="FW4" s="330" t="str">
        <f xml:space="preserve"> TRIM(  LEFT( FW3, SEARCH( "-", FW3 ) - 1 )  )</f>
        <v>M mSML</v>
      </c>
      <c r="FX4" s="330" t="str">
        <f xml:space="preserve"> TRIM(  LEFT( FX3, SEARCH( "-", FX3 ) - 1 )  )</f>
        <v>F mSML</v>
      </c>
      <c r="FY4" s="328" t="str">
        <f xml:space="preserve"> lambdax</f>
        <v>λ_x</v>
      </c>
      <c r="FZ4" s="326"/>
      <c r="GA4" s="330" t="str">
        <f xml:space="preserve"> TRIM(  LEFT( GA3, SEARCH( "-", GA3 ) - 1 )  )</f>
        <v>M vSML</v>
      </c>
      <c r="GB4" s="330" t="str">
        <f xml:space="preserve"> TRIM(  LEFT( GB3, SEARCH( "-", GB3 ) - 1 )  )</f>
        <v>F vSML</v>
      </c>
      <c r="GC4" s="330" t="str">
        <f xml:space="preserve"> TRIM(  LEFT( GC3, SEARCH( "-", GC3 ) - 1 )  )</f>
        <v>M vSML/glvert</v>
      </c>
      <c r="GD4" s="330" t="str">
        <f xml:space="preserve"> TRIM(  LEFT( GD3, SEARCH( "-", GD3 ) - 1 )  )</f>
        <v>F vSML/glvert</v>
      </c>
      <c r="GF4" s="326"/>
      <c r="GG4" s="326"/>
      <c r="GH4" s="326"/>
      <c r="GI4" s="326"/>
      <c r="GJ4" s="326"/>
      <c r="GK4" s="327" t="str">
        <f xml:space="preserve"> TRIM(  LEFT( GK3, SEARCH( "+", GK3 ) - 1 )  )</f>
        <v>M mSML</v>
      </c>
      <c r="GL4" s="327" t="str">
        <f xml:space="preserve"> TRIM(  LEFT( GL3, SEARCH( "+", GL3 ) - 1 )  )</f>
        <v>F mSML</v>
      </c>
      <c r="GM4" s="328" t="str">
        <f xml:space="preserve"> lambdax</f>
        <v>λ_x</v>
      </c>
      <c r="GN4" s="326"/>
      <c r="GO4" s="327" t="str">
        <f xml:space="preserve"> TRIM(  LEFT( GO3, SEARCH( "+", GO3 ) - 1 )  )</f>
        <v>M vSML</v>
      </c>
      <c r="GP4" s="327" t="str">
        <f xml:space="preserve"> TRIM(  LEFT( GP3, SEARCH( "+", GP3 ) - 1 )  )</f>
        <v>F vSML</v>
      </c>
      <c r="GQ4" s="327" t="str">
        <f xml:space="preserve"> TRIM(  LEFT( GQ3, SEARCH( "+", GQ3 ) - 1 )  )</f>
        <v>M vSML/glvert</v>
      </c>
      <c r="GR4" s="327" t="str">
        <f xml:space="preserve"> TRIM(  LEFT( GR3, SEARCH( "+", GR3 ) - 1 )  )</f>
        <v>F vSML/glvert</v>
      </c>
    </row>
    <row r="5" spans="1:203" s="333" customFormat="1" x14ac:dyDescent="0.2">
      <c r="A5" s="304"/>
      <c r="B5" s="304"/>
      <c r="C5" s="304"/>
      <c r="D5" s="304"/>
      <c r="E5" s="331" t="str">
        <f xml:space="preserve"> MID( E4, SEARCH( "[", E4 ) + 1, SEARCH( "]", E4 ) - SEARCH( "[", E4 ) - 1 )</f>
        <v>S_AmbSo_0-100_12.xls</v>
      </c>
      <c r="F5" s="332"/>
      <c r="G5" s="332"/>
      <c r="S5" s="331" t="str">
        <f xml:space="preserve"> MID( S4, SEARCH( "[", S4 ) + 1, SEARCH( "]", S4 ) - SEARCH( "[", S4 ) - 1 )</f>
        <v>S_AmbSo_251-400_12.xls</v>
      </c>
      <c r="T5" s="332"/>
      <c r="U5" s="332"/>
      <c r="AG5" s="331" t="str">
        <f xml:space="preserve"> MID( AG4, SEARCH( "[", AG4 ) + 1, SEARCH( "]", AG4 ) - SEARCH( "[", AG4 ) - 1 )</f>
        <v>S_AmbSo_901-1100_12.xls</v>
      </c>
      <c r="AH5" s="332"/>
      <c r="AI5" s="332"/>
      <c r="AU5" s="331" t="str">
        <f xml:space="preserve"> MID( AU4, SEARCH( "[", AU4 ) + 1, SEARCH( "]", AU4 ) - SEARCH( "[", AU4 ) - 1 )</f>
        <v>S_Stat_EB_12.xls</v>
      </c>
      <c r="AV5" s="332"/>
      <c r="AW5" s="332"/>
      <c r="BI5" s="331" t="str">
        <f xml:space="preserve"> MID( BI4, SEARCH( "[", BI4 ) + 1, SEARCH( "]", BI4 ) - SEARCH( "[", BI4 ) - 1 )</f>
        <v>S_Stat_ZB_12.xls</v>
      </c>
      <c r="BJ5" s="332"/>
      <c r="BK5" s="332"/>
      <c r="BW5" s="331" t="str">
        <f xml:space="preserve"> MID( BW4, SEARCH( "[", BW4 ) + 1, SEARCH( "]", BW4 ) - SEARCH( "[", BW4 ) - 1 )</f>
        <v>S_Stat_MB_12.xls</v>
      </c>
      <c r="BX5" s="332"/>
      <c r="BY5" s="332"/>
      <c r="CK5" s="331" t="str">
        <f xml:space="preserve"> MID( CK4, SEARCH( "[", CK4 ) + 1, SEARCH( "]", CK4 ) - SEARCH( "[", CK4 ) - 1 )</f>
        <v>S_Zahnbeh_12.xls</v>
      </c>
      <c r="CL5" s="332"/>
      <c r="CM5" s="332"/>
      <c r="CY5" s="331" t="str">
        <f xml:space="preserve"> MID( CY4, SEARCH( "[", CY4 ) + 1, SEARCH( "]", CY4 ) - SEARCH( "[", CY4 ) - 1 )</f>
        <v>S_ZaErs70-80_12.xls</v>
      </c>
      <c r="CZ5" s="332"/>
      <c r="DA5" s="332"/>
      <c r="DM5" s="331" t="str">
        <f xml:space="preserve"> MID( DM4, SEARCH( "[", DM4 ) + 1, SEARCH( "]", DM4 ) - SEARCH( "[", DM4 ) - 1 )</f>
        <v>S_ZaErs50-65_12.xls</v>
      </c>
      <c r="DN5" s="332"/>
      <c r="DO5" s="332"/>
      <c r="EA5" s="334"/>
      <c r="EB5" s="334"/>
      <c r="EC5" s="334"/>
      <c r="ED5" s="334"/>
      <c r="EE5" s="334"/>
      <c r="EF5" s="334"/>
      <c r="EG5" s="334"/>
      <c r="EH5" s="334"/>
      <c r="EI5" s="332"/>
      <c r="EJ5" s="334"/>
      <c r="EK5" s="334"/>
      <c r="EL5" s="334"/>
      <c r="EM5" s="334"/>
      <c r="EN5" s="334"/>
      <c r="EO5" s="334"/>
      <c r="EP5" s="334"/>
      <c r="EQ5" s="334"/>
      <c r="ER5" s="334"/>
      <c r="ES5" s="334"/>
      <c r="ET5" s="334"/>
      <c r="EU5" s="334"/>
      <c r="EV5" s="334"/>
      <c r="EW5" s="332"/>
      <c r="EX5" s="334"/>
      <c r="EY5" s="334"/>
      <c r="EZ5" s="334"/>
      <c r="FA5" s="334"/>
      <c r="FB5" s="334"/>
      <c r="FC5" s="334"/>
      <c r="FD5" s="334"/>
      <c r="FE5" s="334"/>
      <c r="FF5" s="334"/>
      <c r="FG5" s="334"/>
      <c r="FH5" s="334"/>
      <c r="FI5" s="334"/>
      <c r="FJ5" s="334"/>
      <c r="FK5" s="332"/>
      <c r="FL5" s="334"/>
      <c r="FM5" s="334"/>
      <c r="FN5" s="334"/>
      <c r="FO5" s="334"/>
      <c r="FP5" s="334"/>
      <c r="FQ5" s="334"/>
      <c r="FR5" s="308"/>
      <c r="FS5" s="308"/>
      <c r="FT5" s="308"/>
      <c r="FU5" s="334"/>
      <c r="FV5" s="308"/>
      <c r="FW5" s="308"/>
      <c r="FX5" s="308"/>
      <c r="FY5" s="309"/>
      <c r="FZ5" s="308"/>
      <c r="GA5" s="308"/>
      <c r="GB5" s="308"/>
      <c r="GC5" s="308"/>
      <c r="GD5" s="308"/>
      <c r="GE5" s="334"/>
      <c r="GF5" s="335"/>
      <c r="GG5" s="335"/>
      <c r="GH5" s="335"/>
      <c r="GI5" s="335"/>
      <c r="GJ5" s="335"/>
      <c r="GK5" s="335"/>
      <c r="GL5" s="335"/>
      <c r="GM5" s="335"/>
      <c r="GN5" s="335"/>
      <c r="GO5" s="335"/>
      <c r="GP5" s="335"/>
      <c r="GQ5" s="335"/>
      <c r="GR5" s="335"/>
      <c r="GS5" s="334"/>
      <c r="GT5" s="334"/>
      <c r="GU5" s="334"/>
    </row>
    <row r="6" spans="1:203" s="304" customFormat="1" ht="51" x14ac:dyDescent="0.2">
      <c r="C6" s="336" t="str">
        <f xml:space="preserve"> MID( C4, SEARCH( "[", C4 ) + 1, SEARCH( "]", C4 ) - SEARCH( "[", C4 ) - 1 )</f>
        <v>AmbSo_0-100_12.xls</v>
      </c>
      <c r="D6" s="337" t="str">
        <f t="shared" ref="D6:O6" si="0" xml:space="preserve"> C6</f>
        <v>AmbSo_0-100_12.xls</v>
      </c>
      <c r="E6" s="337" t="str">
        <f t="shared" si="0"/>
        <v>AmbSo_0-100_12.xls</v>
      </c>
      <c r="F6" s="337" t="str">
        <f t="shared" si="0"/>
        <v>AmbSo_0-100_12.xls</v>
      </c>
      <c r="G6" s="337" t="str">
        <f t="shared" si="0"/>
        <v>AmbSo_0-100_12.xls</v>
      </c>
      <c r="H6" s="337" t="str">
        <f t="shared" si="0"/>
        <v>AmbSo_0-100_12.xls</v>
      </c>
      <c r="I6" s="337" t="str">
        <f t="shared" si="0"/>
        <v>AmbSo_0-100_12.xls</v>
      </c>
      <c r="J6" s="337" t="str">
        <f t="shared" si="0"/>
        <v>AmbSo_0-100_12.xls</v>
      </c>
      <c r="K6" s="337" t="str">
        <f t="shared" si="0"/>
        <v>AmbSo_0-100_12.xls</v>
      </c>
      <c r="L6" s="337" t="str">
        <f t="shared" si="0"/>
        <v>AmbSo_0-100_12.xls</v>
      </c>
      <c r="M6" s="337" t="str">
        <f t="shared" si="0"/>
        <v>AmbSo_0-100_12.xls</v>
      </c>
      <c r="N6" s="337" t="str">
        <f t="shared" si="0"/>
        <v>AmbSo_0-100_12.xls</v>
      </c>
      <c r="O6" s="337" t="str">
        <f t="shared" si="0"/>
        <v>AmbSo_0-100_12.xls</v>
      </c>
      <c r="Q6" s="336" t="str">
        <f xml:space="preserve"> MID( Q4, SEARCH( "[", Q4 ) + 1, SEARCH( "]", Q4 ) - SEARCH( "[", Q4 ) - 1 )</f>
        <v>AmbSo_251-400_12.xls</v>
      </c>
      <c r="R6" s="337" t="str">
        <f xml:space="preserve"> Q6</f>
        <v>AmbSo_251-400_12.xls</v>
      </c>
      <c r="S6" s="337" t="str">
        <f xml:space="preserve"> R6</f>
        <v>AmbSo_251-400_12.xls</v>
      </c>
      <c r="T6" s="337" t="str">
        <f t="shared" ref="T6:AC6" si="1" xml:space="preserve"> S6</f>
        <v>AmbSo_251-400_12.xls</v>
      </c>
      <c r="U6" s="337" t="str">
        <f t="shared" si="1"/>
        <v>AmbSo_251-400_12.xls</v>
      </c>
      <c r="V6" s="337" t="str">
        <f t="shared" si="1"/>
        <v>AmbSo_251-400_12.xls</v>
      </c>
      <c r="W6" s="337" t="str">
        <f t="shared" si="1"/>
        <v>AmbSo_251-400_12.xls</v>
      </c>
      <c r="X6" s="337" t="str">
        <f t="shared" si="1"/>
        <v>AmbSo_251-400_12.xls</v>
      </c>
      <c r="Y6" s="337" t="str">
        <f t="shared" si="1"/>
        <v>AmbSo_251-400_12.xls</v>
      </c>
      <c r="Z6" s="337" t="str">
        <f t="shared" si="1"/>
        <v>AmbSo_251-400_12.xls</v>
      </c>
      <c r="AA6" s="337" t="str">
        <f t="shared" si="1"/>
        <v>AmbSo_251-400_12.xls</v>
      </c>
      <c r="AB6" s="337" t="str">
        <f t="shared" si="1"/>
        <v>AmbSo_251-400_12.xls</v>
      </c>
      <c r="AC6" s="337" t="str">
        <f t="shared" si="1"/>
        <v>AmbSo_251-400_12.xls</v>
      </c>
      <c r="AE6" s="336" t="str">
        <f xml:space="preserve"> MID( AE4, SEARCH( "[", AE4 ) + 1, SEARCH( "]", AE4 ) - SEARCH( "[", AE4 ) - 1 )</f>
        <v>AmbSo_901-1100_12.xls</v>
      </c>
      <c r="AF6" s="337" t="str">
        <f xml:space="preserve"> AE6</f>
        <v>AmbSo_901-1100_12.xls</v>
      </c>
      <c r="AG6" s="337" t="str">
        <f xml:space="preserve"> AF6</f>
        <v>AmbSo_901-1100_12.xls</v>
      </c>
      <c r="AH6" s="337" t="str">
        <f t="shared" ref="AH6:AQ6" si="2" xml:space="preserve"> AG6</f>
        <v>AmbSo_901-1100_12.xls</v>
      </c>
      <c r="AI6" s="337" t="str">
        <f t="shared" si="2"/>
        <v>AmbSo_901-1100_12.xls</v>
      </c>
      <c r="AJ6" s="337" t="str">
        <f t="shared" si="2"/>
        <v>AmbSo_901-1100_12.xls</v>
      </c>
      <c r="AK6" s="337" t="str">
        <f t="shared" si="2"/>
        <v>AmbSo_901-1100_12.xls</v>
      </c>
      <c r="AL6" s="337" t="str">
        <f t="shared" si="2"/>
        <v>AmbSo_901-1100_12.xls</v>
      </c>
      <c r="AM6" s="337" t="str">
        <f t="shared" si="2"/>
        <v>AmbSo_901-1100_12.xls</v>
      </c>
      <c r="AN6" s="337" t="str">
        <f t="shared" si="2"/>
        <v>AmbSo_901-1100_12.xls</v>
      </c>
      <c r="AO6" s="337" t="str">
        <f t="shared" si="2"/>
        <v>AmbSo_901-1100_12.xls</v>
      </c>
      <c r="AP6" s="337" t="str">
        <f t="shared" si="2"/>
        <v>AmbSo_901-1100_12.xls</v>
      </c>
      <c r="AQ6" s="337" t="str">
        <f t="shared" si="2"/>
        <v>AmbSo_901-1100_12.xls</v>
      </c>
      <c r="AS6" s="336" t="str">
        <f xml:space="preserve"> MID( AS4, SEARCH( "[", AS4 ) + 1, SEARCH( "]", AS4 ) - SEARCH( "[", AS4 ) - 1 )</f>
        <v>Stat_EB_12.xls</v>
      </c>
      <c r="AT6" s="337" t="str">
        <f xml:space="preserve"> AS6</f>
        <v>Stat_EB_12.xls</v>
      </c>
      <c r="AU6" s="337" t="str">
        <f xml:space="preserve"> AT6</f>
        <v>Stat_EB_12.xls</v>
      </c>
      <c r="AV6" s="337" t="str">
        <f t="shared" ref="AV6:BE6" si="3" xml:space="preserve"> AU6</f>
        <v>Stat_EB_12.xls</v>
      </c>
      <c r="AW6" s="337" t="str">
        <f t="shared" si="3"/>
        <v>Stat_EB_12.xls</v>
      </c>
      <c r="AX6" s="337" t="str">
        <f t="shared" si="3"/>
        <v>Stat_EB_12.xls</v>
      </c>
      <c r="AY6" s="337" t="str">
        <f t="shared" si="3"/>
        <v>Stat_EB_12.xls</v>
      </c>
      <c r="AZ6" s="337" t="str">
        <f t="shared" si="3"/>
        <v>Stat_EB_12.xls</v>
      </c>
      <c r="BA6" s="337" t="str">
        <f t="shared" si="3"/>
        <v>Stat_EB_12.xls</v>
      </c>
      <c r="BB6" s="337" t="str">
        <f t="shared" si="3"/>
        <v>Stat_EB_12.xls</v>
      </c>
      <c r="BC6" s="337" t="str">
        <f t="shared" si="3"/>
        <v>Stat_EB_12.xls</v>
      </c>
      <c r="BD6" s="337" t="str">
        <f t="shared" si="3"/>
        <v>Stat_EB_12.xls</v>
      </c>
      <c r="BE6" s="337" t="str">
        <f t="shared" si="3"/>
        <v>Stat_EB_12.xls</v>
      </c>
      <c r="BG6" s="336" t="str">
        <f xml:space="preserve"> MID( BG4, SEARCH( "[", BG4 ) + 1, SEARCH( "]", BG4 ) - SEARCH( "[", BG4 ) - 1 )</f>
        <v>Stat_ZB_12.xls</v>
      </c>
      <c r="BH6" s="337" t="str">
        <f xml:space="preserve"> BG6</f>
        <v>Stat_ZB_12.xls</v>
      </c>
      <c r="BI6" s="337" t="str">
        <f xml:space="preserve"> BH6</f>
        <v>Stat_ZB_12.xls</v>
      </c>
      <c r="BJ6" s="337" t="str">
        <f t="shared" ref="BJ6:BS6" si="4" xml:space="preserve"> BI6</f>
        <v>Stat_ZB_12.xls</v>
      </c>
      <c r="BK6" s="337" t="str">
        <f t="shared" si="4"/>
        <v>Stat_ZB_12.xls</v>
      </c>
      <c r="BL6" s="337" t="str">
        <f t="shared" si="4"/>
        <v>Stat_ZB_12.xls</v>
      </c>
      <c r="BM6" s="337" t="str">
        <f t="shared" si="4"/>
        <v>Stat_ZB_12.xls</v>
      </c>
      <c r="BN6" s="337" t="str">
        <f t="shared" si="4"/>
        <v>Stat_ZB_12.xls</v>
      </c>
      <c r="BO6" s="337" t="str">
        <f t="shared" si="4"/>
        <v>Stat_ZB_12.xls</v>
      </c>
      <c r="BP6" s="337" t="str">
        <f t="shared" si="4"/>
        <v>Stat_ZB_12.xls</v>
      </c>
      <c r="BQ6" s="337" t="str">
        <f t="shared" si="4"/>
        <v>Stat_ZB_12.xls</v>
      </c>
      <c r="BR6" s="337" t="str">
        <f t="shared" si="4"/>
        <v>Stat_ZB_12.xls</v>
      </c>
      <c r="BS6" s="337" t="str">
        <f t="shared" si="4"/>
        <v>Stat_ZB_12.xls</v>
      </c>
      <c r="BU6" s="336" t="str">
        <f xml:space="preserve"> MID( BU4, SEARCH( "[", BU4 ) + 1, SEARCH( "]", BU4 ) - SEARCH( "[", BU4 ) - 1 )</f>
        <v>Stat_MB_12.xls</v>
      </c>
      <c r="BV6" s="337" t="str">
        <f xml:space="preserve"> BU6</f>
        <v>Stat_MB_12.xls</v>
      </c>
      <c r="BW6" s="337" t="str">
        <f xml:space="preserve"> BV6</f>
        <v>Stat_MB_12.xls</v>
      </c>
      <c r="BX6" s="337" t="str">
        <f t="shared" ref="BX6:CG6" si="5" xml:space="preserve"> BW6</f>
        <v>Stat_MB_12.xls</v>
      </c>
      <c r="BY6" s="337" t="str">
        <f t="shared" si="5"/>
        <v>Stat_MB_12.xls</v>
      </c>
      <c r="BZ6" s="337" t="str">
        <f t="shared" si="5"/>
        <v>Stat_MB_12.xls</v>
      </c>
      <c r="CA6" s="337" t="str">
        <f t="shared" si="5"/>
        <v>Stat_MB_12.xls</v>
      </c>
      <c r="CB6" s="337" t="str">
        <f t="shared" si="5"/>
        <v>Stat_MB_12.xls</v>
      </c>
      <c r="CC6" s="337" t="str">
        <f t="shared" si="5"/>
        <v>Stat_MB_12.xls</v>
      </c>
      <c r="CD6" s="337" t="str">
        <f t="shared" si="5"/>
        <v>Stat_MB_12.xls</v>
      </c>
      <c r="CE6" s="337" t="str">
        <f t="shared" si="5"/>
        <v>Stat_MB_12.xls</v>
      </c>
      <c r="CF6" s="337" t="str">
        <f t="shared" si="5"/>
        <v>Stat_MB_12.xls</v>
      </c>
      <c r="CG6" s="337" t="str">
        <f t="shared" si="5"/>
        <v>Stat_MB_12.xls</v>
      </c>
      <c r="CI6" s="336" t="str">
        <f xml:space="preserve"> MID( CI4, SEARCH( "[", CI4 ) + 1, SEARCH( "]", CI4 ) - SEARCH( "[", CI4 ) - 1 )</f>
        <v>Zahnbeh_12.xls</v>
      </c>
      <c r="CJ6" s="337" t="str">
        <f xml:space="preserve"> CI6</f>
        <v>Zahnbeh_12.xls</v>
      </c>
      <c r="CK6" s="337" t="str">
        <f xml:space="preserve"> CJ6</f>
        <v>Zahnbeh_12.xls</v>
      </c>
      <c r="CL6" s="337" t="str">
        <f t="shared" ref="CL6:CU6" si="6" xml:space="preserve"> CK6</f>
        <v>Zahnbeh_12.xls</v>
      </c>
      <c r="CM6" s="337" t="str">
        <f t="shared" si="6"/>
        <v>Zahnbeh_12.xls</v>
      </c>
      <c r="CN6" s="337" t="str">
        <f t="shared" si="6"/>
        <v>Zahnbeh_12.xls</v>
      </c>
      <c r="CO6" s="337" t="str">
        <f t="shared" si="6"/>
        <v>Zahnbeh_12.xls</v>
      </c>
      <c r="CP6" s="337" t="str">
        <f t="shared" si="6"/>
        <v>Zahnbeh_12.xls</v>
      </c>
      <c r="CQ6" s="337" t="str">
        <f t="shared" si="6"/>
        <v>Zahnbeh_12.xls</v>
      </c>
      <c r="CR6" s="337" t="str">
        <f t="shared" si="6"/>
        <v>Zahnbeh_12.xls</v>
      </c>
      <c r="CS6" s="337" t="str">
        <f t="shared" si="6"/>
        <v>Zahnbeh_12.xls</v>
      </c>
      <c r="CT6" s="337" t="str">
        <f t="shared" si="6"/>
        <v>Zahnbeh_12.xls</v>
      </c>
      <c r="CU6" s="337" t="str">
        <f t="shared" si="6"/>
        <v>Zahnbeh_12.xls</v>
      </c>
      <c r="CW6" s="336" t="str">
        <f xml:space="preserve"> MID( CW4, SEARCH( "[", CW4 ) + 1, SEARCH( "]", CW4 ) - SEARCH( "[", CW4 ) - 1 )</f>
        <v>ZaErs70-80_12.xls</v>
      </c>
      <c r="CX6" s="337" t="str">
        <f xml:space="preserve"> CW6</f>
        <v>ZaErs70-80_12.xls</v>
      </c>
      <c r="CY6" s="337" t="str">
        <f xml:space="preserve"> CX6</f>
        <v>ZaErs70-80_12.xls</v>
      </c>
      <c r="CZ6" s="337" t="str">
        <f t="shared" ref="CZ6:DI6" si="7" xml:space="preserve"> CY6</f>
        <v>ZaErs70-80_12.xls</v>
      </c>
      <c r="DA6" s="337" t="str">
        <f t="shared" si="7"/>
        <v>ZaErs70-80_12.xls</v>
      </c>
      <c r="DB6" s="337" t="str">
        <f t="shared" si="7"/>
        <v>ZaErs70-80_12.xls</v>
      </c>
      <c r="DC6" s="337" t="str">
        <f t="shared" si="7"/>
        <v>ZaErs70-80_12.xls</v>
      </c>
      <c r="DD6" s="337" t="str">
        <f t="shared" si="7"/>
        <v>ZaErs70-80_12.xls</v>
      </c>
      <c r="DE6" s="337" t="str">
        <f t="shared" si="7"/>
        <v>ZaErs70-80_12.xls</v>
      </c>
      <c r="DF6" s="337" t="str">
        <f t="shared" si="7"/>
        <v>ZaErs70-80_12.xls</v>
      </c>
      <c r="DG6" s="337" t="str">
        <f t="shared" si="7"/>
        <v>ZaErs70-80_12.xls</v>
      </c>
      <c r="DH6" s="337" t="str">
        <f t="shared" si="7"/>
        <v>ZaErs70-80_12.xls</v>
      </c>
      <c r="DI6" s="337" t="str">
        <f t="shared" si="7"/>
        <v>ZaErs70-80_12.xls</v>
      </c>
      <c r="DK6" s="336" t="str">
        <f xml:space="preserve"> MID( DK4, SEARCH( "[", DK4 ) + 1, SEARCH( "]", DK4 ) - SEARCH( "[", DK4 ) - 1 )</f>
        <v>ZaErs50-65_12.xls</v>
      </c>
      <c r="DL6" s="337" t="str">
        <f xml:space="preserve"> DK6</f>
        <v>ZaErs50-65_12.xls</v>
      </c>
      <c r="DM6" s="337" t="str">
        <f xml:space="preserve"> DL6</f>
        <v>ZaErs50-65_12.xls</v>
      </c>
      <c r="DN6" s="337" t="str">
        <f t="shared" ref="DN6:DW6" si="8" xml:space="preserve"> DM6</f>
        <v>ZaErs50-65_12.xls</v>
      </c>
      <c r="DO6" s="337" t="str">
        <f t="shared" si="8"/>
        <v>ZaErs50-65_12.xls</v>
      </c>
      <c r="DP6" s="337" t="str">
        <f t="shared" si="8"/>
        <v>ZaErs50-65_12.xls</v>
      </c>
      <c r="DQ6" s="337" t="str">
        <f t="shared" si="8"/>
        <v>ZaErs50-65_12.xls</v>
      </c>
      <c r="DR6" s="337" t="str">
        <f t="shared" si="8"/>
        <v>ZaErs50-65_12.xls</v>
      </c>
      <c r="DS6" s="337" t="str">
        <f t="shared" si="8"/>
        <v>ZaErs50-65_12.xls</v>
      </c>
      <c r="DT6" s="337" t="str">
        <f t="shared" si="8"/>
        <v>ZaErs50-65_12.xls</v>
      </c>
      <c r="DU6" s="337" t="str">
        <f t="shared" si="8"/>
        <v>ZaErs50-65_12.xls</v>
      </c>
      <c r="DV6" s="337" t="str">
        <f t="shared" si="8"/>
        <v>ZaErs50-65_12.xls</v>
      </c>
      <c r="DW6" s="337" t="str">
        <f t="shared" si="8"/>
        <v>ZaErs50-65_12.xls</v>
      </c>
      <c r="EA6" s="308"/>
      <c r="EB6" s="315" t="str">
        <f t="shared" ref="EB6:EN6" si="9" xml:space="preserve"> C6 &amp; " + " &amp; AS6 &amp; " + " &amp; CI6 &amp; " + " &amp; EB$8 &amp; " * " &amp; CW6</f>
        <v>AmbSo_0-100_12.xls + Stat_EB_12.xls + Zahnbeh_12.xls +  * ZaErs70-80_12.xls</v>
      </c>
      <c r="EC6" s="315" t="str">
        <f t="shared" si="9"/>
        <v>AmbSo_0-100_12.xls + Stat_EB_12.xls + Zahnbeh_12.xls +  * ZaErs70-80_12.xls</v>
      </c>
      <c r="ED6" s="315" t="str">
        <f t="shared" si="9"/>
        <v>AmbSo_0-100_12.xls + Stat_EB_12.xls + Zahnbeh_12.xls +  * ZaErs70-80_12.xls</v>
      </c>
      <c r="EE6" s="315" t="str">
        <f t="shared" si="9"/>
        <v>AmbSo_0-100_12.xls + Stat_EB_12.xls + Zahnbeh_12.xls + 1 * ZaErs70-80_12.xls</v>
      </c>
      <c r="EF6" s="315" t="str">
        <f t="shared" si="9"/>
        <v>AmbSo_0-100_12.xls + Stat_EB_12.xls + Zahnbeh_12.xls + 1 * ZaErs70-80_12.xls</v>
      </c>
      <c r="EG6" s="315" t="str">
        <f t="shared" si="9"/>
        <v>AmbSo_0-100_12.xls + Stat_EB_12.xls + Zahnbeh_12.xls + 0,8 * ZaErs70-80_12.xls</v>
      </c>
      <c r="EH6" s="315" t="str">
        <f t="shared" si="9"/>
        <v>AmbSo_0-100_12.xls + Stat_EB_12.xls + Zahnbeh_12.xls + 0,8 * ZaErs70-80_12.xls</v>
      </c>
      <c r="EI6" s="315" t="str">
        <f t="shared" si="9"/>
        <v>AmbSo_0-100_12.xls + Stat_EB_12.xls + Zahnbeh_12.xls + 0,8 * ZaErs70-80_12.xls</v>
      </c>
      <c r="EJ6" s="315" t="str">
        <f t="shared" si="9"/>
        <v>AmbSo_0-100_12.xls + Stat_EB_12.xls + Zahnbeh_12.xls + 0,8 * ZaErs70-80_12.xls</v>
      </c>
      <c r="EK6" s="315" t="str">
        <f t="shared" si="9"/>
        <v>AmbSo_0-100_12.xls + Stat_EB_12.xls + Zahnbeh_12.xls + 0,8 * ZaErs70-80_12.xls</v>
      </c>
      <c r="EL6" s="315" t="str">
        <f t="shared" si="9"/>
        <v>AmbSo_0-100_12.xls + Stat_EB_12.xls + Zahnbeh_12.xls + 0,8 * ZaErs70-80_12.xls</v>
      </c>
      <c r="EM6" s="315" t="str">
        <f t="shared" si="9"/>
        <v>AmbSo_0-100_12.xls + Stat_EB_12.xls + Zahnbeh_12.xls + 0,8 * ZaErs70-80_12.xls</v>
      </c>
      <c r="EN6" s="315" t="str">
        <f t="shared" si="9"/>
        <v>AmbSo_0-100_12.xls + Stat_EB_12.xls + Zahnbeh_12.xls + 0,8 * ZaErs70-80_12.xls</v>
      </c>
      <c r="EO6" s="308"/>
      <c r="EP6" s="315" t="str">
        <f t="shared" ref="EP6:EV6" si="10" xml:space="preserve"> Q6 &amp; " + " &amp; BG6 &amp; " + " &amp; CI6 &amp; " + " &amp; EP$8 &amp; " * " &amp; CW6</f>
        <v>AmbSo_251-400_12.xls + Stat_ZB_12.xls + Zahnbeh_12.xls +  * ZaErs70-80_12.xls</v>
      </c>
      <c r="EQ6" s="315" t="str">
        <f t="shared" si="10"/>
        <v>AmbSo_251-400_12.xls + Stat_ZB_12.xls + Zahnbeh_12.xls +  * ZaErs70-80_12.xls</v>
      </c>
      <c r="ER6" s="315" t="str">
        <f t="shared" si="10"/>
        <v>AmbSo_251-400_12.xls + Stat_ZB_12.xls + Zahnbeh_12.xls +  * ZaErs70-80_12.xls</v>
      </c>
      <c r="ES6" s="315" t="str">
        <f t="shared" si="10"/>
        <v>AmbSo_251-400_12.xls + Stat_ZB_12.xls + Zahnbeh_12.xls + 1 * ZaErs70-80_12.xls</v>
      </c>
      <c r="ET6" s="315" t="str">
        <f t="shared" si="10"/>
        <v>AmbSo_251-400_12.xls + Stat_ZB_12.xls + Zahnbeh_12.xls + 1 * ZaErs70-80_12.xls</v>
      </c>
      <c r="EU6" s="315" t="str">
        <f t="shared" si="10"/>
        <v>AmbSo_251-400_12.xls + Stat_ZB_12.xls + Zahnbeh_12.xls + 0,7 * ZaErs70-80_12.xls</v>
      </c>
      <c r="EV6" s="315" t="str">
        <f t="shared" si="10"/>
        <v>AmbSo_251-400_12.xls + Stat_ZB_12.xls + Zahnbeh_12.xls + 0,7 * ZaErs70-80_12.xls</v>
      </c>
      <c r="EW6" s="315" t="str">
        <f xml:space="preserve"> X6 &amp; " + " &amp; BN6 &amp; " + " &amp; DD6 &amp; " + " &amp; EW$8 &amp; " * " &amp; DR6</f>
        <v>AmbSo_251-400_12.xls + Stat_ZB_12.xls + ZaErs70-80_12.xls + 0,7 * ZaErs50-65_12.xls</v>
      </c>
      <c r="EX6" s="315" t="str">
        <f xml:space="preserve"> Y6 &amp; " + " &amp; BO6 &amp; " + " &amp; DE6 &amp; " + " &amp; EX$8 &amp; " * " &amp; DS6</f>
        <v>AmbSo_251-400_12.xls + Stat_ZB_12.xls + ZaErs70-80_12.xls + 0,7 * ZaErs50-65_12.xls</v>
      </c>
      <c r="EY6" s="315" t="str">
        <f xml:space="preserve"> Z6 &amp; " + " &amp; BP6 &amp; " + " &amp; CR6 &amp; " + " &amp; EY$8 &amp; " * " &amp; DF6</f>
        <v>AmbSo_251-400_12.xls + Stat_ZB_12.xls + Zahnbeh_12.xls + 0,7 * ZaErs70-80_12.xls</v>
      </c>
      <c r="EZ6" s="315" t="str">
        <f xml:space="preserve"> AA6 &amp; " + " &amp; BQ6 &amp; " + " &amp; CS6 &amp; " + " &amp; EZ$8 &amp; " * " &amp; DG6</f>
        <v>AmbSo_251-400_12.xls + Stat_ZB_12.xls + Zahnbeh_12.xls + 0,7 * ZaErs70-80_12.xls</v>
      </c>
      <c r="FA6" s="315" t="str">
        <f xml:space="preserve"> AB6 &amp; " + " &amp; BR6 &amp; " + " &amp; CT6 &amp; " + " &amp; FA$8 &amp; " * " &amp; DH6</f>
        <v>AmbSo_251-400_12.xls + Stat_ZB_12.xls + Zahnbeh_12.xls + 0,7 * ZaErs70-80_12.xls</v>
      </c>
      <c r="FB6" s="315" t="str">
        <f xml:space="preserve"> AC6 &amp; " + " &amp; BS6 &amp; " + " &amp; CU6 &amp; " + " &amp; FB$8 &amp; " * " &amp; DI6</f>
        <v>AmbSo_251-400_12.xls + Stat_ZB_12.xls + Zahnbeh_12.xls + 0,7 * ZaErs70-80_12.xls</v>
      </c>
      <c r="FC6" s="308"/>
      <c r="FD6" s="315" t="str">
        <f t="shared" ref="FD6:FJ6" si="11" xml:space="preserve"> AE6 &amp; " + " &amp; BU6 &amp; " + " &amp; CI6 &amp; " + " &amp; FD$8 &amp; " * " &amp; DK6</f>
        <v>AmbSo_901-1100_12.xls + Stat_MB_12.xls + Zahnbeh_12.xls +  * ZaErs50-65_12.xls</v>
      </c>
      <c r="FE6" s="315" t="str">
        <f t="shared" si="11"/>
        <v>AmbSo_901-1100_12.xls + Stat_MB_12.xls + Zahnbeh_12.xls +  * ZaErs50-65_12.xls</v>
      </c>
      <c r="FF6" s="315" t="str">
        <f t="shared" si="11"/>
        <v>AmbSo_901-1100_12.xls + Stat_MB_12.xls + Zahnbeh_12.xls +  * ZaErs50-65_12.xls</v>
      </c>
      <c r="FG6" s="315" t="str">
        <f t="shared" si="11"/>
        <v>AmbSo_901-1100_12.xls + Stat_MB_12.xls + Zahnbeh_12.xls + 1 * ZaErs50-65_12.xls</v>
      </c>
      <c r="FH6" s="315" t="str">
        <f t="shared" si="11"/>
        <v>AmbSo_901-1100_12.xls + Stat_MB_12.xls + Zahnbeh_12.xls + 1 * ZaErs50-65_12.xls</v>
      </c>
      <c r="FI6" s="315" t="str">
        <f t="shared" si="11"/>
        <v>AmbSo_901-1100_12.xls + Stat_MB_12.xls + Zahnbeh_12.xls + 0,6 * ZaErs50-65_12.xls</v>
      </c>
      <c r="FJ6" s="315" t="str">
        <f t="shared" si="11"/>
        <v>AmbSo_901-1100_12.xls + Stat_MB_12.xls + Zahnbeh_12.xls + 0,6 * ZaErs50-65_12.xls</v>
      </c>
      <c r="FK6" s="315" t="str">
        <f xml:space="preserve"> AL6 &amp; " + " &amp; CB6 &amp; " + " &amp; DR6 &amp; " + " &amp; FK$8 &amp; " * " &amp; EH6</f>
        <v>AmbSo_901-1100_12.xls + Stat_MB_12.xls + ZaErs50-65_12.xls + 0,6 * AmbSo_0-100_12.xls + Stat_EB_12.xls + Zahnbeh_12.xls + 0,8 * ZaErs70-80_12.xls</v>
      </c>
      <c r="FL6" s="315" t="str">
        <f xml:space="preserve"> AM6 &amp; " + " &amp; CC6 &amp; " + " &amp; DS6 &amp; " + " &amp; FL$8 &amp; " * " &amp; EI6</f>
        <v>AmbSo_901-1100_12.xls + Stat_MB_12.xls + ZaErs50-65_12.xls + 0,6 * AmbSo_0-100_12.xls + Stat_EB_12.xls + Zahnbeh_12.xls + 0,8 * ZaErs70-80_12.xls</v>
      </c>
      <c r="FM6" s="315" t="str">
        <f xml:space="preserve"> AN6 &amp; " + " &amp; CD6 &amp; " + " &amp; CR6 &amp; " + " &amp; FM$8 &amp; " * " &amp; DT6</f>
        <v>AmbSo_901-1100_12.xls + Stat_MB_12.xls + Zahnbeh_12.xls + 0,6 * ZaErs50-65_12.xls</v>
      </c>
      <c r="FN6" s="315" t="str">
        <f xml:space="preserve"> AO6 &amp; " + " &amp; CE6 &amp; " + " &amp; CS6 &amp; " + " &amp; FN$8 &amp; " * " &amp; DU6</f>
        <v>AmbSo_901-1100_12.xls + Stat_MB_12.xls + Zahnbeh_12.xls + 0,6 * ZaErs50-65_12.xls</v>
      </c>
      <c r="FO6" s="315" t="str">
        <f xml:space="preserve"> AP6 &amp; " + " &amp; CF6 &amp; " + " &amp; CT6 &amp; " + " &amp; FO$8 &amp; " * " &amp; DV6</f>
        <v>AmbSo_901-1100_12.xls + Stat_MB_12.xls + Zahnbeh_12.xls + 0,6 * ZaErs50-65_12.xls</v>
      </c>
      <c r="FP6" s="315" t="str">
        <f xml:space="preserve"> AQ6 &amp; " + " &amp; CG6 &amp; " + " &amp; CU6 &amp; " + " &amp; FP$8 &amp; " * " &amp; DW6</f>
        <v>AmbSo_901-1100_12.xls + Stat_MB_12.xls + Zahnbeh_12.xls + 0,6 * ZaErs50-65_12.xls</v>
      </c>
      <c r="FQ6" s="308"/>
      <c r="FR6" s="316" t="str">
        <f xml:space="preserve">  AS6 &amp; " - " &amp; BU6 &amp; " / * " &amp; FR$8</f>
        <v xml:space="preserve">Stat_EB_12.xls - Stat_MB_12.xls / * </v>
      </c>
      <c r="FS6" s="316" t="str">
        <f xml:space="preserve">  AT6 &amp; " - " &amp; BV6 &amp; " / * " &amp; FS$8</f>
        <v xml:space="preserve">Stat_EB_12.xls - Stat_MB_12.xls / * </v>
      </c>
      <c r="FT6" s="316" t="str">
        <f xml:space="preserve">  AU6 &amp; " - " &amp; BW6 &amp; " / * " &amp; FT$8</f>
        <v xml:space="preserve">Stat_EB_12.xls - Stat_MB_12.xls / * </v>
      </c>
      <c r="FU6" s="315" t="str">
        <f xml:space="preserve">  AV6 &amp; " + " &amp; BX6 &amp; " / * " &amp; FU$8</f>
        <v>Stat_EB_12.xls + Stat_MB_12.xls / * 1</v>
      </c>
      <c r="FV6" s="315" t="str">
        <f xml:space="preserve">  AW6 &amp; " + " &amp; BY6 &amp; " / * " &amp; FV$8</f>
        <v>Stat_EB_12.xls + Stat_MB_12.xls / * 1</v>
      </c>
      <c r="FW6" s="316" t="str">
        <f t="shared" ref="FW6:GD6" si="12" xml:space="preserve">  AX6 &amp; " - " &amp; BZ6 &amp; " / * " &amp; FW$8</f>
        <v>Stat_EB_12.xls - Stat_MB_12.xls / * 0,9</v>
      </c>
      <c r="FX6" s="316" t="str">
        <f t="shared" si="12"/>
        <v>Stat_EB_12.xls - Stat_MB_12.xls / * 0,9</v>
      </c>
      <c r="FY6" s="316" t="str">
        <f t="shared" si="12"/>
        <v>Stat_EB_12.xls - Stat_MB_12.xls / * 0,9</v>
      </c>
      <c r="FZ6" s="316" t="str">
        <f t="shared" si="12"/>
        <v>Stat_EB_12.xls - Stat_MB_12.xls / * 0,9</v>
      </c>
      <c r="GA6" s="316" t="str">
        <f t="shared" si="12"/>
        <v>Stat_EB_12.xls - Stat_MB_12.xls / * 0,9</v>
      </c>
      <c r="GB6" s="316" t="str">
        <f t="shared" si="12"/>
        <v>Stat_EB_12.xls - Stat_MB_12.xls / * 0,9</v>
      </c>
      <c r="GC6" s="316" t="str">
        <f t="shared" si="12"/>
        <v>Stat_EB_12.xls - Stat_MB_12.xls / * 0,9</v>
      </c>
      <c r="GD6" s="316" t="str">
        <f t="shared" si="12"/>
        <v>Stat_EB_12.xls - Stat_MB_12.xls / * 0,9</v>
      </c>
      <c r="GE6" s="308"/>
      <c r="GF6" s="317"/>
      <c r="GG6" s="317"/>
      <c r="GH6" s="317"/>
      <c r="GI6" s="318" t="str">
        <f xml:space="preserve"> CL6 &amp; " + " &amp; GI$8 &amp; " * " &amp; CZ6</f>
        <v>Zahnbeh_12.xls + 1 * ZaErs70-80_12.xls</v>
      </c>
      <c r="GJ6" s="318" t="str">
        <f xml:space="preserve"> CM6 &amp; " + " &amp; GJ$8 &amp; " * " &amp; DA6</f>
        <v>Zahnbeh_12.xls + 1 * ZaErs70-80_12.xls</v>
      </c>
      <c r="GK6" s="318" t="str">
        <f xml:space="preserve"> CN6 &amp; " + " &amp; GK$8 &amp; " * " &amp; DB6</f>
        <v>Zahnbeh_12.xls + 0,8 * ZaErs70-80_12.xls</v>
      </c>
      <c r="GL6" s="318" t="str">
        <f xml:space="preserve"> CO6 &amp; " + " &amp; GL$8 &amp; " * " &amp; DC6</f>
        <v>Zahnbeh_12.xls + 0,8 * ZaErs70-80_12.xls</v>
      </c>
      <c r="GM6" s="319"/>
      <c r="GN6" s="317"/>
      <c r="GO6" s="318" t="str">
        <f xml:space="preserve"> CR6 &amp; " + " &amp; GO$8 &amp; " * " &amp; DF6</f>
        <v>Zahnbeh_12.xls + 0,8 * ZaErs70-80_12.xls</v>
      </c>
      <c r="GP6" s="318" t="str">
        <f xml:space="preserve"> CS6 &amp; " + " &amp; GP$8 &amp; " * " &amp; DG6</f>
        <v>Zahnbeh_12.xls + 0,8 * ZaErs70-80_12.xls</v>
      </c>
      <c r="GQ6" s="318" t="str">
        <f xml:space="preserve"> CT6 &amp; " + " &amp; GQ$8 &amp; " * " &amp; DH6</f>
        <v>Zahnbeh_12.xls + 0,8 * ZaErs70-80_12.xls</v>
      </c>
      <c r="GR6" s="318" t="str">
        <f xml:space="preserve"> CU6 &amp; " + " &amp; GR$8 &amp; " * " &amp; DI6</f>
        <v>Zahnbeh_12.xls + 0,8 * ZaErs70-80_12.xls</v>
      </c>
      <c r="GS6" s="308"/>
      <c r="GT6" s="308"/>
      <c r="GU6" s="308"/>
    </row>
    <row r="7" spans="1:203" x14ac:dyDescent="0.2">
      <c r="E7" s="320" t="b">
        <f xml:space="preserve"> ISNUMBER( SEARCH( E6, E5 ) )</f>
        <v>1</v>
      </c>
      <c r="S7" s="320" t="b">
        <f xml:space="preserve"> ISNUMBER( SEARCH( S6, S5 ) )</f>
        <v>1</v>
      </c>
      <c r="AG7" s="320" t="b">
        <f xml:space="preserve"> ISNUMBER( SEARCH( AG6, AG5 ) )</f>
        <v>1</v>
      </c>
      <c r="AU7" s="320" t="b">
        <f xml:space="preserve"> ISNUMBER( SEARCH( AU6, AU5 ) )</f>
        <v>1</v>
      </c>
      <c r="BI7" s="320" t="b">
        <f xml:space="preserve"> ISNUMBER( SEARCH( BI6, BI5 ) )</f>
        <v>1</v>
      </c>
      <c r="BW7" s="320" t="b">
        <f xml:space="preserve"> ISNUMBER( SEARCH( BW6, BW5 ) )</f>
        <v>1</v>
      </c>
      <c r="CK7" s="320" t="b">
        <f xml:space="preserve"> ISNUMBER( SEARCH( CK6, CK5 ) )</f>
        <v>1</v>
      </c>
      <c r="CY7" s="320" t="b">
        <f xml:space="preserve"> ISNUMBER( SEARCH( CY6, CY5 ) )</f>
        <v>1</v>
      </c>
      <c r="DM7" s="320" t="b">
        <f xml:space="preserve"> ISNUMBER( SEARCH( DM6, DM5 ) )</f>
        <v>1</v>
      </c>
      <c r="FW7" s="338" t="s">
        <v>66</v>
      </c>
      <c r="FY7" s="323"/>
    </row>
    <row r="8" spans="1:203" x14ac:dyDescent="0.2">
      <c r="A8" s="339">
        <v>0.8</v>
      </c>
      <c r="C8" s="340">
        <f xml:space="preserve"> ROUND( $A8 * C9, 0 )</f>
        <v>1026</v>
      </c>
      <c r="D8" s="340">
        <f xml:space="preserve"> ROUND( $A8 * D9, 0 )</f>
        <v>2376</v>
      </c>
      <c r="E8" s="340">
        <f xml:space="preserve"> ROUND( $A8 * E9, 0 )</f>
        <v>255</v>
      </c>
      <c r="F8" s="341">
        <f xml:space="preserve"> SUM( F$25:F$29 )</f>
        <v>47660.809166666673</v>
      </c>
      <c r="G8" s="341">
        <f xml:space="preserve"> SUM( G$25:G$29 )</f>
        <v>45531.278333333335</v>
      </c>
      <c r="H8" s="342"/>
      <c r="I8" s="342"/>
      <c r="J8" s="341">
        <f xml:space="preserve"> SUMPRODUCT( G$25:G$29, J$25:J$29 )</f>
        <v>191722.62372583491</v>
      </c>
      <c r="K8" s="343">
        <f xml:space="preserve"> IF(    SUM(F8:G8)=0,    0,   J8 / SUM(F8:G8)    )</f>
        <v>2.0572843560976666</v>
      </c>
      <c r="L8" s="342"/>
      <c r="M8" s="342"/>
      <c r="N8" s="344">
        <f xml:space="preserve"> K8</f>
        <v>2.0572843560976666</v>
      </c>
      <c r="O8" s="344">
        <f xml:space="preserve"> K8</f>
        <v>2.0572843560976666</v>
      </c>
      <c r="Q8" s="340">
        <f xml:space="preserve"> ROUND( $A8 * Q9, 0 )</f>
        <v>704</v>
      </c>
      <c r="R8" s="340">
        <f xml:space="preserve"> ROUND( $A8 * R9, 0 )</f>
        <v>1678</v>
      </c>
      <c r="S8" s="340">
        <f xml:space="preserve"> ROUND( $A8 * S9, 0 )</f>
        <v>192</v>
      </c>
      <c r="T8" s="341">
        <f xml:space="preserve"> SUM( T$25:T$29 )</f>
        <v>5244.9133333333348</v>
      </c>
      <c r="U8" s="341">
        <f xml:space="preserve"> SUM( U$25:U$29 )</f>
        <v>3760.1108333333332</v>
      </c>
      <c r="V8" s="342"/>
      <c r="W8" s="342"/>
      <c r="X8" s="341">
        <f xml:space="preserve"> SUMPRODUCT( U$25:U$29, X$25:X$29 )</f>
        <v>16405.512035187683</v>
      </c>
      <c r="Y8" s="343">
        <f xml:space="preserve"> IF(    SUM(T8:U8)=0,    0,   X8 / SUM(T8:U8)    )</f>
        <v>1.821817657737659</v>
      </c>
      <c r="Z8" s="342"/>
      <c r="AA8" s="342"/>
      <c r="AB8" s="344">
        <f xml:space="preserve"> Y8</f>
        <v>1.821817657737659</v>
      </c>
      <c r="AC8" s="344">
        <f xml:space="preserve"> Y8</f>
        <v>1.821817657737659</v>
      </c>
      <c r="AE8" s="340">
        <f xml:space="preserve"> ROUND( $A8 * AE9, 0 )</f>
        <v>356</v>
      </c>
      <c r="AF8" s="340">
        <f xml:space="preserve"> ROUND( $A8 * AF9, 0 )</f>
        <v>766</v>
      </c>
      <c r="AG8" s="340">
        <f xml:space="preserve"> ROUND( $A8 * AG9, 0 )</f>
        <v>119</v>
      </c>
      <c r="AH8" s="341">
        <f xml:space="preserve"> SUM( AH$25:AH$29 )</f>
        <v>234.12666666666667</v>
      </c>
      <c r="AI8" s="341">
        <f xml:space="preserve"> SUM( AI$25:AI$29 )</f>
        <v>187.66749999999999</v>
      </c>
      <c r="AJ8" s="342"/>
      <c r="AK8" s="342"/>
      <c r="AL8" s="341">
        <f xml:space="preserve"> SUMPRODUCT( AI$25:AI$29, AL$25:AL$29 )</f>
        <v>638.1398412721087</v>
      </c>
      <c r="AM8" s="343">
        <f xml:space="preserve"> IF(    SUM(AH8:AI8)=0,    0,   AL8 / SUM(AH8:AI8)    )</f>
        <v>1.5129176543980385</v>
      </c>
      <c r="AN8" s="342"/>
      <c r="AO8" s="342"/>
      <c r="AP8" s="344">
        <f xml:space="preserve"> AM8</f>
        <v>1.5129176543980385</v>
      </c>
      <c r="AQ8" s="344">
        <f xml:space="preserve"> AM8</f>
        <v>1.5129176543980385</v>
      </c>
      <c r="AS8" s="340">
        <f xml:space="preserve"> ROUND( $A8 * AS9, 0 )</f>
        <v>252</v>
      </c>
      <c r="AT8" s="340">
        <f xml:space="preserve"> ROUND( $A8 * AT9, 0 )</f>
        <v>501</v>
      </c>
      <c r="AU8" s="340">
        <f xml:space="preserve"> ROUND( $A8 * AU9, 0 )</f>
        <v>161</v>
      </c>
      <c r="AV8" s="341">
        <f xml:space="preserve"> SUM( AV$25:AV$29 )</f>
        <v>27548.534999999996</v>
      </c>
      <c r="AW8" s="341">
        <f xml:space="preserve"> SUM( AW$25:AW$29 )</f>
        <v>27069.785799999998</v>
      </c>
      <c r="AX8" s="342"/>
      <c r="AY8" s="342"/>
      <c r="AZ8" s="341">
        <f xml:space="preserve"> SUMPRODUCT( AW$25:AW$29, AZ$25:AZ$29 )</f>
        <v>43282.025806397287</v>
      </c>
      <c r="BA8" s="343">
        <f xml:space="preserve"> IF(    SUM(AV8:AW8)=0,    0,   AZ8 / SUM(AV8:AW8)    )</f>
        <v>0.79244519370865196</v>
      </c>
      <c r="BB8" s="342"/>
      <c r="BC8" s="342"/>
      <c r="BD8" s="344">
        <f xml:space="preserve"> BA8</f>
        <v>0.79244519370865196</v>
      </c>
      <c r="BE8" s="344">
        <f xml:space="preserve"> BA8</f>
        <v>0.79244519370865196</v>
      </c>
      <c r="BG8" s="340">
        <f xml:space="preserve"> ROUND( $A8 * BG9, 0 )</f>
        <v>237</v>
      </c>
      <c r="BH8" s="340">
        <f xml:space="preserve"> ROUND( $A8 * BH9, 0 )</f>
        <v>482</v>
      </c>
      <c r="BI8" s="340">
        <f xml:space="preserve"> ROUND( $A8 * BI9, 0 )</f>
        <v>180</v>
      </c>
      <c r="BJ8" s="341">
        <f xml:space="preserve"> SUM( BJ$25:BJ$29 )</f>
        <v>27562.828400000002</v>
      </c>
      <c r="BK8" s="341">
        <f xml:space="preserve"> SUM( BK$25:BK$29 )</f>
        <v>27120.2058</v>
      </c>
      <c r="BL8" s="342"/>
      <c r="BM8" s="342"/>
      <c r="BN8" s="341">
        <f xml:space="preserve"> SUMPRODUCT( BK$25:BK$29, BN$25:BN$29 )</f>
        <v>110189.39981370386</v>
      </c>
      <c r="BO8" s="343">
        <f xml:space="preserve"> IF(    SUM(BJ8:BK8)=0,    0,   BN8 / SUM(BJ8:BK8)    )</f>
        <v>2.0150564325068827</v>
      </c>
      <c r="BP8" s="342"/>
      <c r="BQ8" s="342"/>
      <c r="BR8" s="344">
        <f xml:space="preserve"> BO8</f>
        <v>2.0150564325068827</v>
      </c>
      <c r="BS8" s="344">
        <f xml:space="preserve"> BO8</f>
        <v>2.0150564325068827</v>
      </c>
      <c r="BU8" s="340">
        <f xml:space="preserve"> ROUND( $A8 * BU9, 0 )</f>
        <v>182</v>
      </c>
      <c r="BV8" s="340">
        <f xml:space="preserve"> ROUND( $A8 * BV9, 0 )</f>
        <v>307</v>
      </c>
      <c r="BW8" s="340">
        <f xml:space="preserve"> ROUND( $A8 * BW9, 0 )</f>
        <v>67</v>
      </c>
      <c r="BX8" s="341">
        <f xml:space="preserve"> SUM( BX$25:BX$29 )</f>
        <v>15243.478299999999</v>
      </c>
      <c r="BY8" s="341">
        <f xml:space="preserve"> SUM( BY$25:BY$29 )</f>
        <v>15000.013300000001</v>
      </c>
      <c r="BZ8" s="342"/>
      <c r="CA8" s="342"/>
      <c r="CB8" s="341">
        <f xml:space="preserve"> SUMPRODUCT( BY$25:BY$29, CB$25:CB$29 )</f>
        <v>28907.299921841484</v>
      </c>
      <c r="CC8" s="343">
        <f xml:space="preserve"> IF(    SUM(BX8:BY8)=0,    0,   CB8 / SUM(BX8:BY8)    )</f>
        <v>0.95581886854100806</v>
      </c>
      <c r="CD8" s="342"/>
      <c r="CE8" s="342"/>
      <c r="CF8" s="344">
        <f xml:space="preserve"> CC8</f>
        <v>0.95581886854100806</v>
      </c>
      <c r="CG8" s="344">
        <f xml:space="preserve"> CC8</f>
        <v>0.95581886854100806</v>
      </c>
      <c r="CI8" s="340">
        <f xml:space="preserve"> ROUND( $A8 * CI9, 0 )</f>
        <v>181</v>
      </c>
      <c r="CJ8" s="340">
        <f xml:space="preserve"> ROUND( $A8 * CJ9, 0 )</f>
        <v>227</v>
      </c>
      <c r="CK8" s="340">
        <f xml:space="preserve"> ROUND( $A8 * CK9, 0 )</f>
        <v>4</v>
      </c>
      <c r="CL8" s="341">
        <f xml:space="preserve"> SUM( CL$25:CL$29 )</f>
        <v>47064.482600000003</v>
      </c>
      <c r="CM8" s="341">
        <f xml:space="preserve"> SUM( CM$25:CM$29 )</f>
        <v>45508.082499999997</v>
      </c>
      <c r="CN8" s="342"/>
      <c r="CO8" s="342"/>
      <c r="CP8" s="341">
        <f xml:space="preserve"> SUMPRODUCT( CM$25:CM$29, CP$25:CP$29 )</f>
        <v>2214.583542561887</v>
      </c>
      <c r="CQ8" s="343">
        <f xml:space="preserve"> IF(    SUM(CL8:CM8)=0,    0,   CP8 / SUM(CL8:CM8)    )</f>
        <v>2.3922676660948296E-2</v>
      </c>
      <c r="CR8" s="342"/>
      <c r="CS8" s="342"/>
      <c r="CT8" s="344">
        <f xml:space="preserve"> CQ8</f>
        <v>2.3922676660948296E-2</v>
      </c>
      <c r="CU8" s="344">
        <f xml:space="preserve"> CQ8</f>
        <v>2.3922676660948296E-2</v>
      </c>
      <c r="CW8" s="340">
        <f xml:space="preserve"> ROUND( $A8 * CW9, 0 )</f>
        <v>191</v>
      </c>
      <c r="CX8" s="340">
        <f xml:space="preserve"> ROUND( $A8 * CX9, 0 )</f>
        <v>262</v>
      </c>
      <c r="CY8" s="340">
        <f xml:space="preserve"> ROUND( $A8 * CY9, 0 )</f>
        <v>3</v>
      </c>
      <c r="CZ8" s="341">
        <f xml:space="preserve"> SUM( CZ$25:CZ$29 )</f>
        <v>20542.256699999998</v>
      </c>
      <c r="DA8" s="341">
        <f xml:space="preserve"> SUM( DA$25:DA$29 )</f>
        <v>19738.356600000003</v>
      </c>
      <c r="DB8" s="342"/>
      <c r="DC8" s="342"/>
      <c r="DD8" s="341">
        <f xml:space="preserve"> SUMPRODUCT( DA$25:DA$29, DD$25:DD$29 )</f>
        <v>707.36197267365242</v>
      </c>
      <c r="DE8" s="343">
        <f xml:space="preserve"> IF(    SUM(CZ8:DA8)=0,    0,   DD8 / SUM(CZ8:DA8)    )</f>
        <v>1.7560854086440945E-2</v>
      </c>
      <c r="DF8" s="342"/>
      <c r="DG8" s="342"/>
      <c r="DH8" s="344">
        <f xml:space="preserve"> DE8</f>
        <v>1.7560854086440945E-2</v>
      </c>
      <c r="DI8" s="344">
        <f xml:space="preserve"> DE8</f>
        <v>1.7560854086440945E-2</v>
      </c>
      <c r="DK8" s="340">
        <f xml:space="preserve"> ROUND( $A8 * DK9, 0 )</f>
        <v>96</v>
      </c>
      <c r="DL8" s="340">
        <f xml:space="preserve"> ROUND( $A8 * DL9, 0 )</f>
        <v>174</v>
      </c>
      <c r="DM8" s="340">
        <f xml:space="preserve"> ROUND( $A8 * DM9, 0 )</f>
        <v>2</v>
      </c>
      <c r="DN8" s="341">
        <f xml:space="preserve"> SUM( DN$25:DN$29 )</f>
        <v>1200.8384000000001</v>
      </c>
      <c r="DO8" s="341">
        <f xml:space="preserve"> SUM( DO$25:DO$29 )</f>
        <v>1106.4916000000001</v>
      </c>
      <c r="DP8" s="342"/>
      <c r="DQ8" s="342"/>
      <c r="DR8" s="341">
        <f xml:space="preserve"> SUMPRODUCT( DO$25:DO$29, DR$25:DR$29 )</f>
        <v>0</v>
      </c>
      <c r="DS8" s="343">
        <f xml:space="preserve"> IF(    SUM(DN8:DO8)=0,    0,   DR8 / SUM(DN8:DO8)    )</f>
        <v>0</v>
      </c>
      <c r="DT8" s="342"/>
      <c r="DU8" s="342"/>
      <c r="DV8" s="344">
        <f xml:space="preserve"> DS8</f>
        <v>0</v>
      </c>
      <c r="DW8" s="344">
        <f xml:space="preserve"> DS8</f>
        <v>0</v>
      </c>
      <c r="EB8" s="326"/>
      <c r="EC8" s="326"/>
      <c r="ED8" s="326"/>
      <c r="EE8" s="345">
        <v>1</v>
      </c>
      <c r="EF8" s="346">
        <f xml:space="preserve"> EE8</f>
        <v>1</v>
      </c>
      <c r="EG8" s="345">
        <v>0.8</v>
      </c>
      <c r="EH8" s="346">
        <f t="shared" ref="EH8:EN8" si="13" xml:space="preserve"> EG8</f>
        <v>0.8</v>
      </c>
      <c r="EI8" s="346">
        <f t="shared" si="13"/>
        <v>0.8</v>
      </c>
      <c r="EJ8" s="346">
        <f t="shared" si="13"/>
        <v>0.8</v>
      </c>
      <c r="EK8" s="346">
        <f t="shared" si="13"/>
        <v>0.8</v>
      </c>
      <c r="EL8" s="346">
        <f t="shared" si="13"/>
        <v>0.8</v>
      </c>
      <c r="EM8" s="346">
        <f t="shared" si="13"/>
        <v>0.8</v>
      </c>
      <c r="EN8" s="346">
        <f t="shared" si="13"/>
        <v>0.8</v>
      </c>
      <c r="EP8" s="326"/>
      <c r="EQ8" s="326"/>
      <c r="ER8" s="326"/>
      <c r="ES8" s="345">
        <v>1</v>
      </c>
      <c r="ET8" s="346">
        <f xml:space="preserve"> ES8</f>
        <v>1</v>
      </c>
      <c r="EU8" s="345">
        <v>0.7</v>
      </c>
      <c r="EV8" s="346">
        <f t="shared" ref="EV8:FB8" si="14" xml:space="preserve"> EU8</f>
        <v>0.7</v>
      </c>
      <c r="EW8" s="346">
        <f t="shared" si="14"/>
        <v>0.7</v>
      </c>
      <c r="EX8" s="346">
        <f t="shared" si="14"/>
        <v>0.7</v>
      </c>
      <c r="EY8" s="346">
        <f t="shared" si="14"/>
        <v>0.7</v>
      </c>
      <c r="EZ8" s="346">
        <f t="shared" si="14"/>
        <v>0.7</v>
      </c>
      <c r="FA8" s="346">
        <f t="shared" si="14"/>
        <v>0.7</v>
      </c>
      <c r="FB8" s="346">
        <f t="shared" si="14"/>
        <v>0.7</v>
      </c>
      <c r="FD8" s="326"/>
      <c r="FE8" s="326"/>
      <c r="FF8" s="326"/>
      <c r="FG8" s="345">
        <v>1</v>
      </c>
      <c r="FH8" s="346">
        <f xml:space="preserve"> FG8</f>
        <v>1</v>
      </c>
      <c r="FI8" s="345">
        <v>0.6</v>
      </c>
      <c r="FJ8" s="346">
        <f t="shared" ref="FJ8:FP8" si="15" xml:space="preserve"> FI8</f>
        <v>0.6</v>
      </c>
      <c r="FK8" s="346">
        <f t="shared" si="15"/>
        <v>0.6</v>
      </c>
      <c r="FL8" s="346">
        <f t="shared" si="15"/>
        <v>0.6</v>
      </c>
      <c r="FM8" s="346">
        <f t="shared" si="15"/>
        <v>0.6</v>
      </c>
      <c r="FN8" s="346">
        <f t="shared" si="15"/>
        <v>0.6</v>
      </c>
      <c r="FO8" s="346">
        <f t="shared" si="15"/>
        <v>0.6</v>
      </c>
      <c r="FP8" s="346">
        <f t="shared" si="15"/>
        <v>0.6</v>
      </c>
      <c r="FR8" s="326"/>
      <c r="FS8" s="326"/>
      <c r="FT8" s="326"/>
      <c r="FU8" s="345">
        <v>1</v>
      </c>
      <c r="FV8" s="346">
        <f xml:space="preserve"> FU8</f>
        <v>1</v>
      </c>
      <c r="FW8" s="345">
        <v>0.9</v>
      </c>
      <c r="FX8" s="346">
        <f t="shared" ref="FX8:GD8" si="16" xml:space="preserve"> FW8</f>
        <v>0.9</v>
      </c>
      <c r="FY8" s="346">
        <f t="shared" si="16"/>
        <v>0.9</v>
      </c>
      <c r="FZ8" s="346">
        <f t="shared" si="16"/>
        <v>0.9</v>
      </c>
      <c r="GA8" s="346">
        <f t="shared" si="16"/>
        <v>0.9</v>
      </c>
      <c r="GB8" s="346">
        <f t="shared" si="16"/>
        <v>0.9</v>
      </c>
      <c r="GC8" s="346">
        <f t="shared" si="16"/>
        <v>0.9</v>
      </c>
      <c r="GD8" s="346">
        <f t="shared" si="16"/>
        <v>0.9</v>
      </c>
      <c r="GF8" s="326"/>
      <c r="GG8" s="326"/>
      <c r="GH8" s="326"/>
      <c r="GI8" s="345">
        <v>1</v>
      </c>
      <c r="GJ8" s="346">
        <f xml:space="preserve"> GI8</f>
        <v>1</v>
      </c>
      <c r="GK8" s="345">
        <v>0.8</v>
      </c>
      <c r="GL8" s="346">
        <f t="shared" ref="GL8:GR8" si="17" xml:space="preserve"> GK8</f>
        <v>0.8</v>
      </c>
      <c r="GM8" s="346">
        <f t="shared" si="17"/>
        <v>0.8</v>
      </c>
      <c r="GN8" s="346">
        <f t="shared" si="17"/>
        <v>0.8</v>
      </c>
      <c r="GO8" s="346">
        <f t="shared" si="17"/>
        <v>0.8</v>
      </c>
      <c r="GP8" s="346">
        <f t="shared" si="17"/>
        <v>0.8</v>
      </c>
      <c r="GQ8" s="346">
        <f t="shared" si="17"/>
        <v>0.8</v>
      </c>
      <c r="GR8" s="346">
        <f t="shared" si="17"/>
        <v>0.8</v>
      </c>
    </row>
    <row r="9" spans="1:203" x14ac:dyDescent="0.2">
      <c r="C9" s="347">
        <v>1282</v>
      </c>
      <c r="D9" s="347">
        <v>2970</v>
      </c>
      <c r="E9" s="347">
        <v>319</v>
      </c>
      <c r="F9" s="341">
        <f xml:space="preserve"> SUM( F$30:F$74 )</f>
        <v>991296.75416666653</v>
      </c>
      <c r="G9" s="341">
        <f xml:space="preserve"> SUM( G$30:G$74 )</f>
        <v>314813.94333333336</v>
      </c>
      <c r="H9" s="342"/>
      <c r="I9" s="342"/>
      <c r="J9" s="341">
        <f xml:space="preserve"> SUMPRODUCT( G$30:G$74, J$30:J$74 )</f>
        <v>37295742.272904031</v>
      </c>
      <c r="K9" s="343">
        <f xml:space="preserve"> IF(    SUM(F9:G9)=0,    0,   J9 / SUM(F9:G9)    )</f>
        <v>28.554809591783499</v>
      </c>
      <c r="L9" s="342"/>
      <c r="M9" s="342"/>
      <c r="N9" s="344">
        <f xml:space="preserve"> K9</f>
        <v>28.554809591783499</v>
      </c>
      <c r="O9" s="344">
        <f xml:space="preserve"> K9</f>
        <v>28.554809591783499</v>
      </c>
      <c r="Q9" s="347">
        <v>880</v>
      </c>
      <c r="R9" s="347">
        <v>2098</v>
      </c>
      <c r="S9" s="347">
        <v>240</v>
      </c>
      <c r="T9" s="341">
        <f xml:space="preserve"> SUM( T$30:T$74 )</f>
        <v>178905.78583333336</v>
      </c>
      <c r="U9" s="341">
        <f xml:space="preserve"> SUM( U$30:U$74 )</f>
        <v>51378.015000000007</v>
      </c>
      <c r="V9" s="342"/>
      <c r="W9" s="342"/>
      <c r="X9" s="341">
        <f xml:space="preserve"> SUMPRODUCT( U$30:U$74, X$30:X$74 )</f>
        <v>3997922.9498358774</v>
      </c>
      <c r="Y9" s="343">
        <f xml:space="preserve"> IF(    SUM(T9:U9)=0,    0,   X9 / SUM(T9:U9)    )</f>
        <v>17.36085185049274</v>
      </c>
      <c r="Z9" s="342"/>
      <c r="AA9" s="342"/>
      <c r="AB9" s="344">
        <f xml:space="preserve"> Y9</f>
        <v>17.36085185049274</v>
      </c>
      <c r="AC9" s="344">
        <f xml:space="preserve"> Y9</f>
        <v>17.36085185049274</v>
      </c>
      <c r="AE9" s="347">
        <v>445</v>
      </c>
      <c r="AF9" s="347">
        <v>958</v>
      </c>
      <c r="AG9" s="347">
        <v>149</v>
      </c>
      <c r="AH9" s="341">
        <f xml:space="preserve"> SUM( AH$30:AH$74 )</f>
        <v>27565.279999999995</v>
      </c>
      <c r="AI9" s="341">
        <f xml:space="preserve"> SUM( AI$30:AI$74 )</f>
        <v>7480.4750000000004</v>
      </c>
      <c r="AJ9" s="342"/>
      <c r="AK9" s="342"/>
      <c r="AL9" s="341">
        <f xml:space="preserve"> SUMPRODUCT( AI$30:AI$74, AL$30:AL$74 )</f>
        <v>394547.55297415331</v>
      </c>
      <c r="AM9" s="343">
        <f xml:space="preserve"> IF(    SUM(AH9:AI9)=0,    0,   AL9 / SUM(AH9:AI9)    )</f>
        <v>11.258069714125243</v>
      </c>
      <c r="AN9" s="342"/>
      <c r="AO9" s="342"/>
      <c r="AP9" s="344">
        <f xml:space="preserve"> AM9</f>
        <v>11.258069714125243</v>
      </c>
      <c r="AQ9" s="344">
        <f xml:space="preserve"> AM9</f>
        <v>11.258069714125243</v>
      </c>
      <c r="AS9" s="347">
        <v>315</v>
      </c>
      <c r="AT9" s="347">
        <v>626</v>
      </c>
      <c r="AU9" s="347">
        <v>201</v>
      </c>
      <c r="AV9" s="341">
        <f xml:space="preserve"> SUM( AV$30:AV$74 )</f>
        <v>675974.08990000014</v>
      </c>
      <c r="AW9" s="341">
        <f xml:space="preserve"> SUM( AW$30:AW$74 )</f>
        <v>203680.64659999998</v>
      </c>
      <c r="AX9" s="342"/>
      <c r="AY9" s="342"/>
      <c r="AZ9" s="341">
        <f xml:space="preserve"> SUMPRODUCT( AW$30:AW$74, AZ$30:AZ$74 )</f>
        <v>13978658.176591231</v>
      </c>
      <c r="BA9" s="343">
        <f xml:space="preserve"> IF(    SUM(AV9:AW9)=0,    0,   AZ9 / SUM(AV9:AW9)    )</f>
        <v>15.891073618508537</v>
      </c>
      <c r="BB9" s="342"/>
      <c r="BC9" s="342"/>
      <c r="BD9" s="344">
        <f xml:space="preserve"> BA9</f>
        <v>15.891073618508537</v>
      </c>
      <c r="BE9" s="344">
        <f xml:space="preserve"> BA9</f>
        <v>15.891073618508537</v>
      </c>
      <c r="BG9" s="347">
        <v>296</v>
      </c>
      <c r="BH9" s="347">
        <v>602</v>
      </c>
      <c r="BI9" s="347">
        <v>225</v>
      </c>
      <c r="BJ9" s="341">
        <f xml:space="preserve"> SUM( BJ$30:BJ$74 )</f>
        <v>676247.11750000028</v>
      </c>
      <c r="BK9" s="341">
        <f xml:space="preserve"> SUM( BK$30:BK$74 )</f>
        <v>203182.67899999997</v>
      </c>
      <c r="BL9" s="342"/>
      <c r="BM9" s="342"/>
      <c r="BN9" s="341">
        <f xml:space="preserve"> SUMPRODUCT( BK$30:BK$74, BN$30:BN$74 )</f>
        <v>15920543.738923378</v>
      </c>
      <c r="BO9" s="343">
        <f xml:space="preserve"> IF(    SUM(BJ9:BK9)=0,    0,   BN9 / SUM(BJ9:BK9)    )</f>
        <v>18.103257135799552</v>
      </c>
      <c r="BP9" s="342"/>
      <c r="BQ9" s="342"/>
      <c r="BR9" s="344">
        <f xml:space="preserve"> BO9</f>
        <v>18.103257135799552</v>
      </c>
      <c r="BS9" s="344">
        <f xml:space="preserve"> BO9</f>
        <v>18.103257135799552</v>
      </c>
      <c r="BU9" s="347">
        <v>228</v>
      </c>
      <c r="BV9" s="347">
        <v>384</v>
      </c>
      <c r="BW9" s="347">
        <v>84</v>
      </c>
      <c r="BX9" s="341">
        <f xml:space="preserve"> SUM( BX$30:BX$74 )</f>
        <v>587549.52890000027</v>
      </c>
      <c r="BY9" s="341">
        <f xml:space="preserve"> SUM( BY$30:BY$74 )</f>
        <v>194714.67739999996</v>
      </c>
      <c r="BZ9" s="342"/>
      <c r="CA9" s="342"/>
      <c r="CB9" s="341">
        <f xml:space="preserve"> SUMPRODUCT( BY$30:BY$74, CB$30:CB$74 )</f>
        <v>9021854.2691645101</v>
      </c>
      <c r="CC9" s="343">
        <f xml:space="preserve"> IF(    SUM(BX9:BY9)=0,    0,   CB9 / SUM(BX9:BY9)    )</f>
        <v>11.533001505765696</v>
      </c>
      <c r="CD9" s="342"/>
      <c r="CE9" s="342"/>
      <c r="CF9" s="344">
        <f xml:space="preserve"> CC9</f>
        <v>11.533001505765696</v>
      </c>
      <c r="CG9" s="344">
        <f xml:space="preserve"> CC9</f>
        <v>11.533001505765696</v>
      </c>
      <c r="CI9" s="347">
        <v>226</v>
      </c>
      <c r="CJ9" s="347">
        <v>284</v>
      </c>
      <c r="CK9" s="347">
        <v>4.8</v>
      </c>
      <c r="CL9" s="341">
        <f xml:space="preserve"> SUM( CL$30:CL$74 )</f>
        <v>1609819.4561000003</v>
      </c>
      <c r="CM9" s="341">
        <f xml:space="preserve"> SUM( CM$30:CM$74 )</f>
        <v>490388.35389999993</v>
      </c>
      <c r="CN9" s="342"/>
      <c r="CO9" s="342"/>
      <c r="CP9" s="341">
        <f xml:space="preserve"> SUMPRODUCT( CM$30:CM$74, CP$30:CP$74 )</f>
        <v>826011.04789018608</v>
      </c>
      <c r="CQ9" s="343">
        <f xml:space="preserve"> IF(    SUM(CL9:CM9)=0,    0,   CP9 / SUM(CL9:CM9)    )</f>
        <v>0.39329967442135455</v>
      </c>
      <c r="CR9" s="342"/>
      <c r="CS9" s="342"/>
      <c r="CT9" s="344">
        <f xml:space="preserve"> CQ9</f>
        <v>0.39329967442135455</v>
      </c>
      <c r="CU9" s="344">
        <f xml:space="preserve"> CQ9</f>
        <v>0.39329967442135455</v>
      </c>
      <c r="CW9" s="347">
        <v>239</v>
      </c>
      <c r="CX9" s="347">
        <v>328</v>
      </c>
      <c r="CY9" s="347">
        <v>3.61</v>
      </c>
      <c r="CZ9" s="341">
        <f xml:space="preserve"> SUM( CZ$30:CZ$74 )</f>
        <v>770744.62840000016</v>
      </c>
      <c r="DA9" s="341">
        <f xml:space="preserve"> SUM( DA$30:DA$74 )</f>
        <v>227261.43250000002</v>
      </c>
      <c r="DB9" s="342"/>
      <c r="DC9" s="342"/>
      <c r="DD9" s="341">
        <f xml:space="preserve"> SUMPRODUCT( DA$30:DA$74, DD$30:DD$74 )</f>
        <v>301208.49851403187</v>
      </c>
      <c r="DE9" s="343">
        <f xml:space="preserve"> IF(    SUM(CZ9:DA9)=0,    0,   DD9 / SUM(CZ9:DA9)    )</f>
        <v>0.30181028985174957</v>
      </c>
      <c r="DF9" s="342"/>
      <c r="DG9" s="342"/>
      <c r="DH9" s="344">
        <f xml:space="preserve"> DE9</f>
        <v>0.30181028985174957</v>
      </c>
      <c r="DI9" s="344">
        <f xml:space="preserve"> DE9</f>
        <v>0.30181028985174957</v>
      </c>
      <c r="DK9" s="347">
        <v>120</v>
      </c>
      <c r="DL9" s="347">
        <v>218</v>
      </c>
      <c r="DM9" s="347">
        <v>3.02</v>
      </c>
      <c r="DN9" s="341">
        <f xml:space="preserve"> SUM( DN$30:DN$74 )</f>
        <v>40494.628299999997</v>
      </c>
      <c r="DO9" s="341">
        <f xml:space="preserve"> SUM( DO$30:DO$74 )</f>
        <v>16621.584200000001</v>
      </c>
      <c r="DP9" s="342"/>
      <c r="DQ9" s="342"/>
      <c r="DR9" s="341">
        <f xml:space="preserve"> SUMPRODUCT( DO$30:DO$74, DR$30:DR$74 )</f>
        <v>14663.149716111087</v>
      </c>
      <c r="DS9" s="343">
        <f xml:space="preserve"> IF(    SUM(DN9:DO9)=0,    0,   DR9 / SUM(DN9:DO9)    )</f>
        <v>0.25672482600471958</v>
      </c>
      <c r="DT9" s="342"/>
      <c r="DU9" s="342"/>
      <c r="DV9" s="344">
        <f xml:space="preserve"> DS9</f>
        <v>0.25672482600471958</v>
      </c>
      <c r="DW9" s="344">
        <f xml:space="preserve"> DS9</f>
        <v>0.25672482600471958</v>
      </c>
      <c r="EM9" s="348">
        <f xml:space="preserve"> N9 + BD9 + CT9 + EM$8 * DH9</f>
        <v>45.080631116594795</v>
      </c>
      <c r="EN9" s="348">
        <f xml:space="preserve"> O9 + BE9 + CU9 + EN$8 * DI9</f>
        <v>45.080631116594795</v>
      </c>
      <c r="FA9" s="348">
        <f xml:space="preserve"> AB9 + BR9 + CT9 + FA$8 * DH9</f>
        <v>36.068675863609869</v>
      </c>
      <c r="FB9" s="348">
        <f xml:space="preserve"> AC9 + BS9 + CU9 + FB$8 * DI9</f>
        <v>36.068675863609869</v>
      </c>
      <c r="FO9" s="348">
        <f xml:space="preserve"> AP9 + CF9 + CT9 + FO$8 * DV9</f>
        <v>23.338405789915122</v>
      </c>
      <c r="FP9" s="348">
        <f xml:space="preserve"> AQ9 + CG9 + CU9 + FP$8 * DW9</f>
        <v>23.338405789915122</v>
      </c>
      <c r="FY9" s="323"/>
      <c r="GC9" s="349">
        <f t="shared" ref="GC9:GC40" si="18" xml:space="preserve"> MAX( 0, BD9 - CF9 ) * GC$8</f>
        <v>3.9222649014685569</v>
      </c>
      <c r="GD9" s="349">
        <f t="shared" ref="GD9:GD40" si="19" xml:space="preserve"> MAX( 0, BE9 - CG9 ) * GD$8</f>
        <v>3.9222649014685569</v>
      </c>
      <c r="GQ9" s="348">
        <f t="shared" ref="GQ9:GQ40" si="20" xml:space="preserve"> CT9 + GQ$8 * DH9</f>
        <v>0.63474790630275424</v>
      </c>
      <c r="GR9" s="348">
        <f t="shared" ref="GR9:GR40" si="21" xml:space="preserve"> CU9 + GR$8 * DI9</f>
        <v>0.63474790630275424</v>
      </c>
    </row>
    <row r="10" spans="1:203" x14ac:dyDescent="0.2">
      <c r="A10" s="320">
        <v>0</v>
      </c>
      <c r="C10" s="350">
        <v>1.4228563059846857</v>
      </c>
      <c r="D10" s="350">
        <v>0.55831747074645155</v>
      </c>
      <c r="E10" s="350">
        <v>0</v>
      </c>
      <c r="F10" s="350">
        <v>4913.0741666666663</v>
      </c>
      <c r="G10" s="350">
        <v>4687.5591666666651</v>
      </c>
      <c r="H10" s="351">
        <f t="shared" ref="H10:H41" si="22" xml:space="preserve"> C10 * C$8</f>
        <v>1459.8505699402876</v>
      </c>
      <c r="I10" s="351">
        <f t="shared" ref="I10:I41" si="23" xml:space="preserve"> D10 * D$8</f>
        <v>1326.5623104935689</v>
      </c>
      <c r="J10" s="352">
        <f t="shared" ref="J10:J41" si="24" xml:space="preserve"> E10 * E$8</f>
        <v>0</v>
      </c>
      <c r="K10" s="352">
        <f t="shared" ref="K10:K41" si="25" xml:space="preserve"> IF(    SUM(H10:I10)=0,    0,   J10 * I10 / SUM(H10:I10)    )</f>
        <v>0</v>
      </c>
      <c r="L10" s="353">
        <f t="shared" ref="L10:L41" si="26" xml:space="preserve"> H10 + K10</f>
        <v>1459.8505699402876</v>
      </c>
      <c r="M10" s="353">
        <f t="shared" ref="M10:M41" si="27" xml:space="preserve"> I10 - J10 + K10</f>
        <v>1326.5623104935689</v>
      </c>
      <c r="N10" s="343">
        <f xml:space="preserve"> H10 + IF( OR( $A10&lt;=14, $A10&gt;=65 ),0, IF( $A10&lt;=19, N$8, N$9 ) )</f>
        <v>1459.8505699402876</v>
      </c>
      <c r="O10" s="343">
        <f xml:space="preserve"> I10 - J10 + IF( OR( $A10&lt;=14, $A10&gt;=65 ),0, IF( $A10&lt;=19, O$8, O$9 ) )</f>
        <v>1326.5623104935689</v>
      </c>
      <c r="Q10" s="350">
        <v>1.4235758593307257</v>
      </c>
      <c r="R10" s="350">
        <v>0.45296823148186321</v>
      </c>
      <c r="S10" s="350">
        <v>0</v>
      </c>
      <c r="T10" s="350">
        <v>547.2941666666668</v>
      </c>
      <c r="U10" s="350">
        <v>264.83666666666664</v>
      </c>
      <c r="V10" s="351">
        <f t="shared" ref="V10:V41" si="28" xml:space="preserve"> Q10 * Q$8</f>
        <v>1002.1974049688309</v>
      </c>
      <c r="W10" s="351">
        <f t="shared" ref="W10:W41" si="29" xml:space="preserve"> R10 * R$8</f>
        <v>760.08069242656643</v>
      </c>
      <c r="X10" s="352">
        <f t="shared" ref="X10:X41" si="30" xml:space="preserve"> S10 * S$8</f>
        <v>0</v>
      </c>
      <c r="Y10" s="352">
        <f t="shared" ref="Y10:Y41" si="31" xml:space="preserve"> IF(    SUM(V10:W10)=0,    0,   X10 * W10 / SUM(V10:W10)    )</f>
        <v>0</v>
      </c>
      <c r="Z10" s="353">
        <f t="shared" ref="Z10:Z41" si="32" xml:space="preserve"> V10 + Y10</f>
        <v>1002.1974049688309</v>
      </c>
      <c r="AA10" s="353">
        <f t="shared" ref="AA10:AA41" si="33" xml:space="preserve"> W10 - X10 + Y10</f>
        <v>760.08069242656643</v>
      </c>
      <c r="AB10" s="343">
        <f xml:space="preserve"> V10 + IF( OR( $A10&lt;=14, $A10&gt;=65 ),0, IF( $A10&lt;=19, AB$8, AB$9 ) )</f>
        <v>1002.1974049688309</v>
      </c>
      <c r="AC10" s="343">
        <f xml:space="preserve"> W10 - X10 + IF( OR( $A10&lt;=14, $A10&gt;=65 ),0, IF( $A10&lt;=19, AC$8, AC$9 ) )</f>
        <v>760.08069242656643</v>
      </c>
      <c r="AE10" s="350">
        <v>0.877</v>
      </c>
      <c r="AF10" s="350">
        <v>0.223</v>
      </c>
      <c r="AG10" s="350">
        <v>0</v>
      </c>
      <c r="AH10" s="350">
        <v>39.318333333333328</v>
      </c>
      <c r="AI10" s="350">
        <v>22.984999999999999</v>
      </c>
      <c r="AJ10" s="351">
        <f t="shared" ref="AJ10:AJ41" si="34" xml:space="preserve"> AE10 * AE$8</f>
        <v>312.21199999999999</v>
      </c>
      <c r="AK10" s="351">
        <f t="shared" ref="AK10:AK41" si="35" xml:space="preserve"> AF10 * AF$8</f>
        <v>170.81800000000001</v>
      </c>
      <c r="AL10" s="352">
        <f t="shared" ref="AL10:AL41" si="36" xml:space="preserve"> AG10 * AG$8</f>
        <v>0</v>
      </c>
      <c r="AM10" s="352">
        <f t="shared" ref="AM10:AM41" si="37" xml:space="preserve"> IF(    SUM(AJ10:AK10)=0,    0,   AL10 * AK10 / SUM(AJ10:AK10)    )</f>
        <v>0</v>
      </c>
      <c r="AN10" s="353">
        <f t="shared" ref="AN10:AN41" si="38" xml:space="preserve"> AJ10 + AM10</f>
        <v>312.21199999999999</v>
      </c>
      <c r="AO10" s="353">
        <f t="shared" ref="AO10:AO41" si="39" xml:space="preserve"> AK10 - AL10 + AM10</f>
        <v>170.81800000000001</v>
      </c>
      <c r="AP10" s="343">
        <f xml:space="preserve"> AJ10 + IF( OR( $A10&lt;=14, $A10&gt;=65 ),0, IF( $A10&lt;=19, AP$8, AP$9 ) )</f>
        <v>312.21199999999999</v>
      </c>
      <c r="AQ10" s="343">
        <f xml:space="preserve"> AK10 - AL10 + IF( OR( $A10&lt;=14, $A10&gt;=65 ),0, IF( $A10&lt;=19, AQ$8, AQ$9 ) )</f>
        <v>170.81800000000001</v>
      </c>
      <c r="AS10" s="350">
        <v>8.5769000000000002</v>
      </c>
      <c r="AT10" s="350">
        <v>5.3818032844099237</v>
      </c>
      <c r="AU10" s="350">
        <v>0</v>
      </c>
      <c r="AV10" s="350">
        <v>3292.8933000000002</v>
      </c>
      <c r="AW10" s="350">
        <v>3077.6167</v>
      </c>
      <c r="AX10" s="351">
        <f t="shared" ref="AX10:AX41" si="40" xml:space="preserve"> AS10 * AS$8</f>
        <v>2161.3788</v>
      </c>
      <c r="AY10" s="351">
        <f t="shared" ref="AY10:AY41" si="41" xml:space="preserve"> AT10 * AT$8</f>
        <v>2696.2834454893718</v>
      </c>
      <c r="AZ10" s="352">
        <f t="shared" ref="AZ10:AZ41" si="42" xml:space="preserve"> AU10 * AU$8</f>
        <v>0</v>
      </c>
      <c r="BA10" s="352">
        <f t="shared" ref="BA10:BA41" si="43" xml:space="preserve"> IF(    SUM(AX10:AY10)=0,    0,   AZ10 * AY10 / SUM(AX10:AY10)    )</f>
        <v>0</v>
      </c>
      <c r="BB10" s="353">
        <f t="shared" ref="BB10:BB41" si="44" xml:space="preserve"> AX10 + BA10</f>
        <v>2161.3788</v>
      </c>
      <c r="BC10" s="353">
        <f t="shared" ref="BC10:BC41" si="45" xml:space="preserve"> AY10 - AZ10 + BA10</f>
        <v>2696.2834454893718</v>
      </c>
      <c r="BD10" s="343">
        <f xml:space="preserve"> AX10 + IF( OR( $A10&lt;=14, $A10&gt;=65 ),0, IF( $A10&lt;=19, BD$8, BD$9 ) )</f>
        <v>2161.3788</v>
      </c>
      <c r="BE10" s="343">
        <f xml:space="preserve"> AY10 - AZ10 + IF( OR( $A10&lt;=14, $A10&gt;=65 ),0, IF( $A10&lt;=19, BE$8, BE$9 ) )</f>
        <v>2696.2834454893718</v>
      </c>
      <c r="BG10" s="350">
        <v>12.678601164646915</v>
      </c>
      <c r="BH10" s="350">
        <v>5.7379901223292107</v>
      </c>
      <c r="BI10" s="350">
        <v>0</v>
      </c>
      <c r="BJ10" s="350">
        <v>3384.4175</v>
      </c>
      <c r="BK10" s="350">
        <v>3131.0417000000002</v>
      </c>
      <c r="BL10" s="351">
        <f t="shared" ref="BL10:BL41" si="46" xml:space="preserve"> BG10 * BG$8</f>
        <v>3004.8284760213187</v>
      </c>
      <c r="BM10" s="351">
        <f t="shared" ref="BM10:BM41" si="47" xml:space="preserve"> BH10 * BH$8</f>
        <v>2765.7112389626795</v>
      </c>
      <c r="BN10" s="352">
        <f t="shared" ref="BN10:BN41" si="48" xml:space="preserve"> BI10 * BI$8</f>
        <v>0</v>
      </c>
      <c r="BO10" s="352">
        <f t="shared" ref="BO10:BO41" si="49" xml:space="preserve"> IF(    SUM(BL10:BM10)=0,    0,   BN10 * BM10 / SUM(BL10:BM10)    )</f>
        <v>0</v>
      </c>
      <c r="BP10" s="353">
        <f t="shared" ref="BP10:BP41" si="50" xml:space="preserve"> BL10 + BO10</f>
        <v>3004.8284760213187</v>
      </c>
      <c r="BQ10" s="353">
        <f t="shared" ref="BQ10:BQ41" si="51" xml:space="preserve"> BM10 - BN10 + BO10</f>
        <v>2765.7112389626795</v>
      </c>
      <c r="BR10" s="343">
        <f xml:space="preserve"> BL10 + IF( OR( $A10&lt;=14, $A10&gt;=65 ),0, IF( $A10&lt;=19, BR$8, BR$9 ) )</f>
        <v>3004.8284760213187</v>
      </c>
      <c r="BS10" s="343">
        <f xml:space="preserve"> BM10 - BN10 + IF( OR( $A10&lt;=14, $A10&gt;=65 ),0, IF( $A10&lt;=19, BS$8, BS$9 ) )</f>
        <v>2765.7112389626795</v>
      </c>
      <c r="BU10" s="350">
        <v>14.14868621593927</v>
      </c>
      <c r="BV10" s="350">
        <v>6.6838127924009791</v>
      </c>
      <c r="BW10" s="350">
        <v>0</v>
      </c>
      <c r="BX10" s="350">
        <v>1180.0999999999999</v>
      </c>
      <c r="BY10" s="350">
        <v>1141.2266999999999</v>
      </c>
      <c r="BZ10" s="351">
        <f t="shared" ref="BZ10:BZ41" si="52" xml:space="preserve"> BU10 * BU$8</f>
        <v>2575.0608913009469</v>
      </c>
      <c r="CA10" s="351">
        <f t="shared" ref="CA10:CA41" si="53" xml:space="preserve"> BV10 * BV$8</f>
        <v>2051.9305272671004</v>
      </c>
      <c r="CB10" s="352">
        <f t="shared" ref="CB10:CB41" si="54" xml:space="preserve"> BW10 * BW$8</f>
        <v>0</v>
      </c>
      <c r="CC10" s="352">
        <f t="shared" ref="CC10:CC41" si="55" xml:space="preserve"> IF(    SUM(BZ10:CA10)=0,    0,   CB10 * CA10 / SUM(BZ10:CA10)    )</f>
        <v>0</v>
      </c>
      <c r="CD10" s="353">
        <f t="shared" ref="CD10:CD41" si="56" xml:space="preserve"> BZ10 + CC10</f>
        <v>2575.0608913009469</v>
      </c>
      <c r="CE10" s="353">
        <f t="shared" ref="CE10:CE41" si="57" xml:space="preserve"> CA10 - CB10 + CC10</f>
        <v>2051.9305272671004</v>
      </c>
      <c r="CF10" s="343">
        <f xml:space="preserve"> BZ10 + IF( OR( $A10&lt;=14, $A10&gt;=65 ),0, IF( $A10&lt;=19, CF$8, CF$9 ) )</f>
        <v>2575.0608913009469</v>
      </c>
      <c r="CG10" s="343">
        <f xml:space="preserve"> CA10 - CB10 + IF( OR( $A10&lt;=14, $A10&gt;=65 ),0, IF( $A10&lt;=19, CG$8, CG$9 ) )</f>
        <v>2051.9305272671004</v>
      </c>
      <c r="CI10" s="350">
        <v>6.4303721055981294E-3</v>
      </c>
      <c r="CJ10" s="350">
        <v>4.5723656986446709E-3</v>
      </c>
      <c r="CK10" s="350">
        <v>4.1798088101329602E-6</v>
      </c>
      <c r="CL10" s="350">
        <v>13128.123299999999</v>
      </c>
      <c r="CM10" s="350">
        <v>12505.1083</v>
      </c>
      <c r="CN10" s="351">
        <f t="shared" ref="CN10:CN41" si="58" xml:space="preserve"> CI10 * CI$8</f>
        <v>1.1638973511132613</v>
      </c>
      <c r="CO10" s="351">
        <f t="shared" ref="CO10:CO41" si="59" xml:space="preserve"> CJ10 * CJ$8</f>
        <v>1.0379270135923402</v>
      </c>
      <c r="CP10" s="352">
        <f t="shared" ref="CP10:CP41" si="60" xml:space="preserve"> CK10 * CK$8</f>
        <v>1.6719235240531841E-5</v>
      </c>
      <c r="CQ10" s="352">
        <f t="shared" ref="CQ10:CQ41" si="61" xml:space="preserve"> IF(    SUM(CN10:CO10)=0,    0,   CP10 * CO10 / SUM(CN10:CO10)    )</f>
        <v>7.8813488400439614E-6</v>
      </c>
      <c r="CR10" s="353">
        <f t="shared" ref="CR10:CR41" si="62" xml:space="preserve"> CN10 + CQ10</f>
        <v>1.1639052324621013</v>
      </c>
      <c r="CS10" s="353">
        <f t="shared" ref="CS10:CS41" si="63" xml:space="preserve"> CO10 - CP10 + CQ10</f>
        <v>1.0379181757059397</v>
      </c>
      <c r="CT10" s="343">
        <f xml:space="preserve"> CN10 + IF( OR( $A10&lt;=14, $A10&gt;=65 ),0, IF( $A10&lt;=19, CT$8, CT$9 ) )</f>
        <v>1.1638973511132613</v>
      </c>
      <c r="CU10" s="343">
        <f xml:space="preserve"> CO10 - CP10 + IF( OR( $A10&lt;=14, $A10&gt;=65 ),0, IF( $A10&lt;=19, CU$8, CU$9 ) )</f>
        <v>1.0379102943570997</v>
      </c>
      <c r="CW10" s="350">
        <v>0</v>
      </c>
      <c r="CX10" s="350">
        <v>0</v>
      </c>
      <c r="CY10" s="350">
        <v>0</v>
      </c>
      <c r="CZ10" s="350">
        <v>6392.6441999999997</v>
      </c>
      <c r="DA10" s="350">
        <v>6112.9666999999999</v>
      </c>
      <c r="DB10" s="351">
        <f t="shared" ref="DB10:DB41" si="64" xml:space="preserve"> CW10 * CW$8</f>
        <v>0</v>
      </c>
      <c r="DC10" s="351">
        <f t="shared" ref="DC10:DC41" si="65" xml:space="preserve"> CX10 * CX$8</f>
        <v>0</v>
      </c>
      <c r="DD10" s="352">
        <f t="shared" ref="DD10:DD41" si="66" xml:space="preserve"> CY10 * CY$8</f>
        <v>0</v>
      </c>
      <c r="DE10" s="352">
        <f t="shared" ref="DE10:DE41" si="67" xml:space="preserve"> IF(    SUM(DB10:DC10)=0,    0,   DD10 * DC10 / SUM(DB10:DC10)    )</f>
        <v>0</v>
      </c>
      <c r="DF10" s="353">
        <f t="shared" ref="DF10:DF41" si="68" xml:space="preserve"> DB10 + DE10</f>
        <v>0</v>
      </c>
      <c r="DG10" s="353">
        <f t="shared" ref="DG10:DG41" si="69" xml:space="preserve"> DC10 - DD10 + DE10</f>
        <v>0</v>
      </c>
      <c r="DH10" s="343">
        <f xml:space="preserve"> DB10 + IF( OR( $A10&lt;=14, $A10&gt;=65 ),0, IF( $A10&lt;=19, DH$8, DH$9 ) )</f>
        <v>0</v>
      </c>
      <c r="DI10" s="343">
        <f xml:space="preserve"> DC10 - DD10 + IF( OR( $A10&lt;=14, $A10&gt;=65 ),0, IF( $A10&lt;=19, DI$8, DI$9 ) )</f>
        <v>0</v>
      </c>
      <c r="DK10" s="350">
        <v>8.5000000000000006E-3</v>
      </c>
      <c r="DL10" s="350">
        <v>0</v>
      </c>
      <c r="DM10" s="350">
        <v>0</v>
      </c>
      <c r="DN10" s="350">
        <v>381.18079999999998</v>
      </c>
      <c r="DO10" s="350">
        <v>348.04579999999999</v>
      </c>
      <c r="DP10" s="351">
        <f t="shared" ref="DP10:DP41" si="70" xml:space="preserve"> DK10 * DK$8</f>
        <v>0.81600000000000006</v>
      </c>
      <c r="DQ10" s="351">
        <f t="shared" ref="DQ10:DQ41" si="71" xml:space="preserve"> DL10 * DL$8</f>
        <v>0</v>
      </c>
      <c r="DR10" s="352">
        <f t="shared" ref="DR10:DR41" si="72" xml:space="preserve"> DM10 * DM$8</f>
        <v>0</v>
      </c>
      <c r="DS10" s="352">
        <f t="shared" ref="DS10:DS41" si="73" xml:space="preserve"> IF(    SUM(DP10:DQ10)=0,    0,   DR10 * DQ10 / SUM(DP10:DQ10)    )</f>
        <v>0</v>
      </c>
      <c r="DT10" s="353">
        <f t="shared" ref="DT10:DT41" si="74" xml:space="preserve"> DP10 + DS10</f>
        <v>0.81600000000000006</v>
      </c>
      <c r="DU10" s="353">
        <f t="shared" ref="DU10:DU41" si="75" xml:space="preserve"> DQ10 - DR10 + DS10</f>
        <v>0</v>
      </c>
      <c r="DV10" s="343">
        <f xml:space="preserve"> DP10 + IF( OR( $A10&lt;=14, $A10&gt;=65 ),0, IF( $A10&lt;=19, DV$8, DV$9 ) )</f>
        <v>0.81600000000000006</v>
      </c>
      <c r="DW10" s="343">
        <f xml:space="preserve"> DQ10 - DR10 + IF( OR( $A10&lt;=14, $A10&gt;=65 ),0, IF( $A10&lt;=19, DW$8, DW$9 ) )</f>
        <v>0</v>
      </c>
      <c r="EB10" s="326"/>
      <c r="EC10" s="326"/>
      <c r="ED10" s="326"/>
      <c r="EE10" s="348">
        <f t="shared" ref="EE10:EE41" si="76" xml:space="preserve"> F10 + AV10 + CL10 + EE$8 * CZ10</f>
        <v>27726.734966666667</v>
      </c>
      <c r="EF10" s="348">
        <f t="shared" ref="EF10:EF41" si="77" xml:space="preserve"> G10 + AW10 + CM10 + EF$8 * DA10</f>
        <v>26383.250866666665</v>
      </c>
      <c r="EG10" s="348">
        <f t="shared" ref="EG10:EG41" si="78" xml:space="preserve"> H10 + AX10 + CN10 + EG$8 * DB10</f>
        <v>3622.3932672914007</v>
      </c>
      <c r="EH10" s="348">
        <f t="shared" ref="EH10:EH41" si="79" xml:space="preserve"> I10 + AY10 + CO10 + EH$8 * DC10</f>
        <v>4023.883682996533</v>
      </c>
      <c r="EI10" s="354">
        <f t="shared" ref="EI10:EI41" si="80" xml:space="preserve"> IF(   SUM(EE10:EF10) = 0,    IF( EG10&lt;EH10, lambdax_min, lambdax_max ),
                                                                   MAX( lambdax_min, MIN( lambdax_max, EE10 / SUM(EE10:EF10) ) )     )</f>
        <v>0.51241438229292957</v>
      </c>
      <c r="EJ10" s="326"/>
      <c r="EK10" s="348">
        <f t="shared" ref="EK10:EK41" si="81" xml:space="preserve"> L10 + BB10 + CR10 + EK$8 * DF10</f>
        <v>3622.3932751727498</v>
      </c>
      <c r="EL10" s="348">
        <f t="shared" ref="EL10:EL41" si="82" xml:space="preserve"> M10 + BC10 + CS10 + EL$8 * DG10</f>
        <v>4023.8836741586465</v>
      </c>
      <c r="EM10" s="348">
        <f t="shared" ref="EM10:EM73" si="83" xml:space="preserve"> N10 + BD10 + CT10 + EM$8 * DH10</f>
        <v>3622.3932672914007</v>
      </c>
      <c r="EN10" s="348">
        <f t="shared" ref="EN10:EN73" si="84" xml:space="preserve"> O10 + BE10 + CU10 + EN$8 * DI10</f>
        <v>4023.8836662772978</v>
      </c>
      <c r="EP10" s="326"/>
      <c r="EQ10" s="326"/>
      <c r="ER10" s="326"/>
      <c r="ES10" s="348">
        <f t="shared" ref="ES10:ES41" si="85" xml:space="preserve"> T10 + BJ10 + CL10 + ES$8 * CZ10</f>
        <v>23452.479166666664</v>
      </c>
      <c r="ET10" s="348">
        <f t="shared" ref="ET10:ET41" si="86" xml:space="preserve"> U10 + BK10 + CM10 + ET$8 * DA10</f>
        <v>22013.953366666668</v>
      </c>
      <c r="EU10" s="348">
        <f t="shared" ref="EU10:EU41" si="87" xml:space="preserve"> V10 + BL10 + CN10 + EU$8 * DB10</f>
        <v>4008.1897783412628</v>
      </c>
      <c r="EV10" s="348">
        <f t="shared" ref="EV10:EV41" si="88" xml:space="preserve"> W10 + BM10 + CO10 + EV$8 * DC10</f>
        <v>3526.8298584028385</v>
      </c>
      <c r="EW10" s="354">
        <f t="shared" ref="EW10:EW41" si="89" xml:space="preserve"> IF(   SUM(ES10:ET10) = 0,    IF( EU10&lt;EV10, lambdax_min, lambdax_max ),
                                                                   MAX( lambdax_min, MIN( lambdax_max, ES10 / SUM(ES10:ET10) ) )     )</f>
        <v>0.51581964671348857</v>
      </c>
      <c r="EX10" s="326"/>
      <c r="EY10" s="348">
        <f t="shared" ref="EY10:EY41" si="90" xml:space="preserve"> Z10 + BP10 + CR10 + EY$8 * DF10</f>
        <v>4008.1897862226119</v>
      </c>
      <c r="EZ10" s="348">
        <f t="shared" ref="EZ10:EZ41" si="91" xml:space="preserve"> AA10 + BQ10 + CS10 + EZ$8 * DG10</f>
        <v>3526.8298495649519</v>
      </c>
      <c r="FA10" s="348">
        <f t="shared" ref="FA10:FA73" si="92" xml:space="preserve"> AB10 + BR10 + CT10 + FA$8 * DH10</f>
        <v>4008.1897783412628</v>
      </c>
      <c r="FB10" s="348">
        <f t="shared" ref="FB10:FB73" si="93" xml:space="preserve"> AC10 + BS10 + CU10 + FB$8 * DI10</f>
        <v>3526.8298416836033</v>
      </c>
      <c r="FD10" s="326"/>
      <c r="FE10" s="326"/>
      <c r="FF10" s="326"/>
      <c r="FG10" s="348">
        <f t="shared" ref="FG10:FG41" si="94" xml:space="preserve"> AH10 + BX10 + CL10 + FG$8 * DN10</f>
        <v>14728.722433333332</v>
      </c>
      <c r="FH10" s="348">
        <f t="shared" ref="FH10:FH41" si="95" xml:space="preserve"> AI10 + BY10 + CM10 + FH$8 * DO10</f>
        <v>14017.3658</v>
      </c>
      <c r="FI10" s="348">
        <f t="shared" ref="FI10:FI41" si="96" xml:space="preserve"> AJ10 + BZ10 + CN10 + FI$8 * DP10</f>
        <v>2888.9263886520598</v>
      </c>
      <c r="FJ10" s="348">
        <f t="shared" ref="FJ10:FJ41" si="97" xml:space="preserve"> AK10 + CA10 + CO10 + FJ$8 * DQ10</f>
        <v>2223.7864542806929</v>
      </c>
      <c r="FK10" s="354">
        <f t="shared" ref="FK10:FK41" si="98" xml:space="preserve"> IF(   SUM(FG10:FH10) = 0,    IF( FI10&lt;FJ10, lambdax_min, lambdax_max ),
                                                                   MAX( lambdax_min, MIN( lambdax_max, FG10 / SUM(FG10:FH10) ) )     )</f>
        <v>0.51237310321250007</v>
      </c>
      <c r="FL10" s="326"/>
      <c r="FM10" s="348">
        <f t="shared" ref="FM10:FM41" si="99" xml:space="preserve"> AN10 + CD10 + CR10 + FM$8 * DT10</f>
        <v>2888.9263965334089</v>
      </c>
      <c r="FN10" s="348">
        <f t="shared" ref="FN10:FN41" si="100" xml:space="preserve"> AO10 + CE10 + CS10 + FN$8 * DU10</f>
        <v>2223.7864454428063</v>
      </c>
      <c r="FO10" s="348">
        <f t="shared" ref="FO10:FO73" si="101" xml:space="preserve"> AP10 + CF10 + CT10 + FO$8 * DV10</f>
        <v>2888.9263886520598</v>
      </c>
      <c r="FP10" s="348">
        <f t="shared" ref="FP10:FP73" si="102" xml:space="preserve"> AQ10 + CG10 + CU10 + FP$8 * DW10</f>
        <v>2223.7864375614577</v>
      </c>
      <c r="FR10" s="326"/>
      <c r="FS10" s="326"/>
      <c r="FT10" s="326"/>
      <c r="FU10" s="348">
        <f t="shared" ref="FU10:FU41" si="103" xml:space="preserve"> MAX( 0, AV10 + BX10 ) * FU$8</f>
        <v>4472.9933000000001</v>
      </c>
      <c r="FV10" s="348">
        <f t="shared" ref="FV10:FV41" si="104" xml:space="preserve"> MAX( 0, AW10 + BY10 ) * FV$8</f>
        <v>4218.8433999999997</v>
      </c>
      <c r="FW10" s="349">
        <f t="shared" ref="FW10:FW41" si="105" xml:space="preserve"> MAX( 0, AX10 - BZ10 ) * FW$8</f>
        <v>0</v>
      </c>
      <c r="FX10" s="349">
        <f t="shared" ref="FX10:FX41" si="106" xml:space="preserve"> MAX( 0, AY10 - CA10 ) * FX$8</f>
        <v>579.91762640004436</v>
      </c>
      <c r="FY10" s="354">
        <f t="shared" ref="FY10:FY41" si="107" xml:space="preserve"> IF(   SUM(FU10:FV10) = 0,    IF( FW10&lt;FX10, lambdax_min, lambdax_max ),
                                                                   MAX( lambdax_min, MIN( lambdax_max, FU10 / SUM(FU10:FV10) ) )     )</f>
        <v>0.51462003422130564</v>
      </c>
      <c r="FZ10" s="326"/>
      <c r="GA10" s="349">
        <f t="shared" ref="GA10:GA41" si="108" xml:space="preserve"> MAX( 0, BB10 - CD10 ) * GA$8</f>
        <v>0</v>
      </c>
      <c r="GB10" s="349">
        <f t="shared" ref="GB10:GB41" si="109" xml:space="preserve"> MAX( 0, BC10 - CE10 ) * GB$8</f>
        <v>579.91762640004436</v>
      </c>
      <c r="GC10" s="349">
        <f t="shared" si="18"/>
        <v>0</v>
      </c>
      <c r="GD10" s="349">
        <f t="shared" si="19"/>
        <v>579.91762640004436</v>
      </c>
      <c r="GF10" s="326"/>
      <c r="GG10" s="326"/>
      <c r="GH10" s="326"/>
      <c r="GI10" s="348">
        <f t="shared" ref="GI10:GI14" si="110" xml:space="preserve"> CL10 + GI$8 * CZ10</f>
        <v>19520.767499999998</v>
      </c>
      <c r="GJ10" s="348">
        <f t="shared" ref="GJ10:GJ14" si="111" xml:space="preserve"> CM10 + GJ$8 * DA10</f>
        <v>18618.075000000001</v>
      </c>
      <c r="GK10" s="348">
        <f t="shared" ref="GK10:GK14" si="112" xml:space="preserve"> CN10 + GK$8 * DB10</f>
        <v>1.1638973511132613</v>
      </c>
      <c r="GL10" s="348">
        <f t="shared" ref="GL10:GL14" si="113" xml:space="preserve"> CO10 + GL$8 * DC10</f>
        <v>1.0379270135923402</v>
      </c>
      <c r="GM10" s="354">
        <f t="shared" ref="GM10:GM41" si="114" xml:space="preserve"> IF(   SUM(GI10:GJ10) = 0,    IF( GK10&lt;GL10, lambdax_min, lambdax_max ),
                                                                   MAX( lambdax_min, MIN( lambdax_max, GI10 / SUM(GI10:GJ10) ) )     )</f>
        <v>0.51183429334542596</v>
      </c>
      <c r="GN10" s="326"/>
      <c r="GO10" s="348">
        <f t="shared" ref="GO10:GO41" si="115" xml:space="preserve"> CR10 + GO$8 * DF10</f>
        <v>1.1639052324621013</v>
      </c>
      <c r="GP10" s="348">
        <f t="shared" ref="GP10:GP41" si="116" xml:space="preserve"> CS10 + GP$8 * DG10</f>
        <v>1.0379181757059397</v>
      </c>
      <c r="GQ10" s="348">
        <f t="shared" si="20"/>
        <v>1.1638973511132613</v>
      </c>
      <c r="GR10" s="348">
        <f t="shared" si="21"/>
        <v>1.0379102943570997</v>
      </c>
    </row>
    <row r="11" spans="1:203" x14ac:dyDescent="0.2">
      <c r="A11" s="320">
        <v>1</v>
      </c>
      <c r="C11" s="350">
        <v>1.2652531350298937</v>
      </c>
      <c r="D11" s="350">
        <v>0.51002135108819646</v>
      </c>
      <c r="E11" s="350">
        <v>0</v>
      </c>
      <c r="F11" s="350">
        <v>10890.694999999998</v>
      </c>
      <c r="G11" s="350">
        <v>10391.51</v>
      </c>
      <c r="H11" s="351">
        <f t="shared" si="22"/>
        <v>1298.1497165406709</v>
      </c>
      <c r="I11" s="351">
        <f t="shared" si="23"/>
        <v>1211.8107301855548</v>
      </c>
      <c r="J11" s="352">
        <f t="shared" si="24"/>
        <v>0</v>
      </c>
      <c r="K11" s="352">
        <f t="shared" si="25"/>
        <v>0</v>
      </c>
      <c r="L11" s="353">
        <f t="shared" si="26"/>
        <v>1298.1497165406709</v>
      </c>
      <c r="M11" s="353">
        <f t="shared" si="27"/>
        <v>1211.8107301855548</v>
      </c>
      <c r="N11" s="343">
        <f t="shared" ref="N11:N74" si="117" xml:space="preserve"> H11 + IF( OR( $A11&lt;=14, $A11&gt;=65 ),0, IF( $A11&lt;=19, N$8, N$9 ) )</f>
        <v>1298.1497165406709</v>
      </c>
      <c r="O11" s="343">
        <f t="shared" ref="O11:O74" si="118" xml:space="preserve"> I11 - J11 + IF( OR( $A11&lt;=14, $A11&gt;=65 ),0, IF( $A11&lt;=19, O$8, O$9 ) )</f>
        <v>1211.8107301855548</v>
      </c>
      <c r="Q11" s="350">
        <v>1.3245787076625235</v>
      </c>
      <c r="R11" s="350">
        <v>0.41659380986589295</v>
      </c>
      <c r="S11" s="350">
        <v>0</v>
      </c>
      <c r="T11" s="350">
        <v>1204.1666666666663</v>
      </c>
      <c r="U11" s="350">
        <v>553.40916666666658</v>
      </c>
      <c r="V11" s="351">
        <f t="shared" si="28"/>
        <v>932.50341019441657</v>
      </c>
      <c r="W11" s="351">
        <f t="shared" si="29"/>
        <v>699.04441295496838</v>
      </c>
      <c r="X11" s="352">
        <f t="shared" si="30"/>
        <v>0</v>
      </c>
      <c r="Y11" s="352">
        <f t="shared" si="31"/>
        <v>0</v>
      </c>
      <c r="Z11" s="353">
        <f t="shared" si="32"/>
        <v>932.50341019441657</v>
      </c>
      <c r="AA11" s="353">
        <f t="shared" si="33"/>
        <v>699.04441295496838</v>
      </c>
      <c r="AB11" s="343">
        <f t="shared" ref="AB11:AB74" si="119" xml:space="preserve"> V11 + IF( OR( $A11&lt;=14, $A11&gt;=65 ),0, IF( $A11&lt;=19, AB$8, AB$9 ) )</f>
        <v>932.50341019441657</v>
      </c>
      <c r="AC11" s="343">
        <f t="shared" ref="AC11:AC74" si="120" xml:space="preserve"> W11 - X11 + IF( OR( $A11&lt;=14, $A11&gt;=65 ),0, IF( $A11&lt;=19, AC$8, AC$9 ) )</f>
        <v>699.04441295496838</v>
      </c>
      <c r="AE11" s="350">
        <v>0.86099999999999999</v>
      </c>
      <c r="AF11" s="350">
        <v>0.21</v>
      </c>
      <c r="AG11" s="350">
        <v>0</v>
      </c>
      <c r="AH11" s="350">
        <v>59.023333333333341</v>
      </c>
      <c r="AI11" s="350">
        <v>36.99</v>
      </c>
      <c r="AJ11" s="351">
        <f t="shared" si="34"/>
        <v>306.51600000000002</v>
      </c>
      <c r="AK11" s="351">
        <f t="shared" si="35"/>
        <v>160.85999999999999</v>
      </c>
      <c r="AL11" s="352">
        <f t="shared" si="36"/>
        <v>0</v>
      </c>
      <c r="AM11" s="352">
        <f t="shared" si="37"/>
        <v>0</v>
      </c>
      <c r="AN11" s="353">
        <f t="shared" si="38"/>
        <v>306.51600000000002</v>
      </c>
      <c r="AO11" s="353">
        <f t="shared" si="39"/>
        <v>160.85999999999999</v>
      </c>
      <c r="AP11" s="343">
        <f t="shared" ref="AP11:AP74" si="121" xml:space="preserve"> AJ11 + IF( OR( $A11&lt;=14, $A11&gt;=65 ),0, IF( $A11&lt;=19, AP$8, AP$9 ) )</f>
        <v>306.51600000000002</v>
      </c>
      <c r="AQ11" s="343">
        <f t="shared" ref="AQ11:AQ74" si="122" xml:space="preserve"> AK11 - AL11 + IF( OR( $A11&lt;=14, $A11&gt;=65 ),0, IF( $A11&lt;=19, AQ$8, AQ$9 ) )</f>
        <v>160.85999999999999</v>
      </c>
      <c r="AS11" s="350">
        <v>2.2349000000000001</v>
      </c>
      <c r="AT11" s="350">
        <v>0.76039844555825231</v>
      </c>
      <c r="AU11" s="350">
        <v>0</v>
      </c>
      <c r="AV11" s="350">
        <v>7208.9775</v>
      </c>
      <c r="AW11" s="350">
        <v>6779.6674999999996</v>
      </c>
      <c r="AX11" s="351">
        <f t="shared" si="40"/>
        <v>563.19479999999999</v>
      </c>
      <c r="AY11" s="351">
        <f t="shared" si="41"/>
        <v>380.95962122468438</v>
      </c>
      <c r="AZ11" s="352">
        <f t="shared" si="42"/>
        <v>0</v>
      </c>
      <c r="BA11" s="352">
        <f t="shared" si="43"/>
        <v>0</v>
      </c>
      <c r="BB11" s="353">
        <f t="shared" si="44"/>
        <v>563.19479999999999</v>
      </c>
      <c r="BC11" s="353">
        <f t="shared" si="45"/>
        <v>380.95962122468438</v>
      </c>
      <c r="BD11" s="343">
        <f t="shared" ref="BD11:BD74" si="123" xml:space="preserve"> AX11 + IF( OR( $A11&lt;=14, $A11&gt;=65 ),0, IF( $A11&lt;=19, BD$8, BD$9 ) )</f>
        <v>563.19479999999999</v>
      </c>
      <c r="BE11" s="343">
        <f t="shared" ref="BE11:BE74" si="124" xml:space="preserve"> AY11 - AZ11 + IF( OR( $A11&lt;=14, $A11&gt;=65 ),0, IF( $A11&lt;=19, BE$8, BE$9 ) )</f>
        <v>380.95962122468438</v>
      </c>
      <c r="BG11" s="350">
        <v>1.740672026876432</v>
      </c>
      <c r="BH11" s="350">
        <v>0.72659880210239691</v>
      </c>
      <c r="BI11" s="350">
        <v>0</v>
      </c>
      <c r="BJ11" s="350">
        <v>7394.6633000000002</v>
      </c>
      <c r="BK11" s="350">
        <v>6956.4983000000002</v>
      </c>
      <c r="BL11" s="351">
        <f t="shared" si="46"/>
        <v>412.53927036971436</v>
      </c>
      <c r="BM11" s="351">
        <f t="shared" si="47"/>
        <v>350.22062261335532</v>
      </c>
      <c r="BN11" s="352">
        <f t="shared" si="48"/>
        <v>0</v>
      </c>
      <c r="BO11" s="352">
        <f t="shared" si="49"/>
        <v>0</v>
      </c>
      <c r="BP11" s="353">
        <f t="shared" si="50"/>
        <v>412.53927036971436</v>
      </c>
      <c r="BQ11" s="353">
        <f t="shared" si="51"/>
        <v>350.22062261335532</v>
      </c>
      <c r="BR11" s="343">
        <f t="shared" ref="BR11:BR74" si="125" xml:space="preserve"> BL11 + IF( OR( $A11&lt;=14, $A11&gt;=65 ),0, IF( $A11&lt;=19, BR$8, BR$9 ) )</f>
        <v>412.53927036971436</v>
      </c>
      <c r="BS11" s="343">
        <f t="shared" ref="BS11:BS74" si="126" xml:space="preserve"> BM11 - BN11 + IF( OR( $A11&lt;=14, $A11&gt;=65 ),0, IF( $A11&lt;=19, BS$8, BS$9 ) )</f>
        <v>350.22062261335532</v>
      </c>
      <c r="BU11" s="350">
        <v>1.8305674542204253</v>
      </c>
      <c r="BV11" s="350">
        <v>1.0648687925486267</v>
      </c>
      <c r="BW11" s="350">
        <v>0</v>
      </c>
      <c r="BX11" s="350">
        <v>2455.5075000000002</v>
      </c>
      <c r="BY11" s="350">
        <v>2352.9167000000002</v>
      </c>
      <c r="BZ11" s="351">
        <f t="shared" si="52"/>
        <v>333.16327666811742</v>
      </c>
      <c r="CA11" s="351">
        <f t="shared" si="53"/>
        <v>326.91471931242836</v>
      </c>
      <c r="CB11" s="352">
        <f t="shared" si="54"/>
        <v>0</v>
      </c>
      <c r="CC11" s="352">
        <f t="shared" si="55"/>
        <v>0</v>
      </c>
      <c r="CD11" s="353">
        <f t="shared" si="56"/>
        <v>333.16327666811742</v>
      </c>
      <c r="CE11" s="353">
        <f t="shared" si="57"/>
        <v>326.91471931242836</v>
      </c>
      <c r="CF11" s="343">
        <f t="shared" ref="CF11:CF74" si="127" xml:space="preserve"> BZ11 + IF( OR( $A11&lt;=14, $A11&gt;=65 ),0, IF( $A11&lt;=19, CF$8, CF$9 ) )</f>
        <v>333.16327666811742</v>
      </c>
      <c r="CG11" s="343">
        <f t="shared" ref="CG11:CG74" si="128" xml:space="preserve"> CA11 - CB11 + IF( OR( $A11&lt;=14, $A11&gt;=65 ),0, IF( $A11&lt;=19, CG$8, CG$9 ) )</f>
        <v>326.91471931242836</v>
      </c>
      <c r="CI11" s="350">
        <v>7.670456475774573E-2</v>
      </c>
      <c r="CJ11" s="350">
        <v>5.4306961501603253E-2</v>
      </c>
      <c r="CK11" s="350">
        <v>0</v>
      </c>
      <c r="CL11" s="350">
        <v>14239.1342</v>
      </c>
      <c r="CM11" s="350">
        <v>13679.1883</v>
      </c>
      <c r="CN11" s="351">
        <f t="shared" si="58"/>
        <v>13.883526221151977</v>
      </c>
      <c r="CO11" s="351">
        <f t="shared" si="59"/>
        <v>12.327680260863938</v>
      </c>
      <c r="CP11" s="352">
        <f t="shared" si="60"/>
        <v>0</v>
      </c>
      <c r="CQ11" s="352">
        <f t="shared" si="61"/>
        <v>0</v>
      </c>
      <c r="CR11" s="353">
        <f t="shared" si="62"/>
        <v>13.883526221151977</v>
      </c>
      <c r="CS11" s="353">
        <f t="shared" si="63"/>
        <v>12.327680260863938</v>
      </c>
      <c r="CT11" s="343">
        <f t="shared" ref="CT11:CT74" si="129" xml:space="preserve"> CN11 + IF( OR( $A11&lt;=14, $A11&gt;=65 ),0, IF( $A11&lt;=19, CT$8, CT$9 ) )</f>
        <v>13.883526221151977</v>
      </c>
      <c r="CU11" s="343">
        <f t="shared" ref="CU11:CU74" si="130" xml:space="preserve"> CO11 - CP11 + IF( OR( $A11&lt;=14, $A11&gt;=65 ),0, IF( $A11&lt;=19, CU$8, CU$9 ) )</f>
        <v>12.327680260863938</v>
      </c>
      <c r="CW11" s="350">
        <v>0</v>
      </c>
      <c r="CX11" s="350">
        <v>0</v>
      </c>
      <c r="CY11" s="350">
        <v>0</v>
      </c>
      <c r="CZ11" s="350">
        <v>6958.3249999999998</v>
      </c>
      <c r="DA11" s="350">
        <v>6732.2624999999998</v>
      </c>
      <c r="DB11" s="351">
        <f t="shared" si="64"/>
        <v>0</v>
      </c>
      <c r="DC11" s="351">
        <f t="shared" si="65"/>
        <v>0</v>
      </c>
      <c r="DD11" s="352">
        <f t="shared" si="66"/>
        <v>0</v>
      </c>
      <c r="DE11" s="352">
        <f t="shared" si="67"/>
        <v>0</v>
      </c>
      <c r="DF11" s="353">
        <f t="shared" si="68"/>
        <v>0</v>
      </c>
      <c r="DG11" s="353">
        <f t="shared" si="69"/>
        <v>0</v>
      </c>
      <c r="DH11" s="343">
        <f t="shared" ref="DH11:DH74" si="131" xml:space="preserve"> DB11 + IF( OR( $A11&lt;=14, $A11&gt;=65 ),0, IF( $A11&lt;=19, DH$8, DH$9 ) )</f>
        <v>0</v>
      </c>
      <c r="DI11" s="343">
        <f t="shared" ref="DI11:DI74" si="132" xml:space="preserve"> DC11 - DD11 + IF( OR( $A11&lt;=14, $A11&gt;=65 ),0, IF( $A11&lt;=19, DI$8, DI$9 ) )</f>
        <v>0</v>
      </c>
      <c r="DK11" s="350">
        <v>8.3999999999999995E-3</v>
      </c>
      <c r="DL11" s="350">
        <v>0</v>
      </c>
      <c r="DM11" s="350">
        <v>0</v>
      </c>
      <c r="DN11" s="350">
        <v>409.90170000000001</v>
      </c>
      <c r="DO11" s="350">
        <v>356.42579999999998</v>
      </c>
      <c r="DP11" s="351">
        <f t="shared" si="70"/>
        <v>0.80640000000000001</v>
      </c>
      <c r="DQ11" s="351">
        <f t="shared" si="71"/>
        <v>0</v>
      </c>
      <c r="DR11" s="352">
        <f t="shared" si="72"/>
        <v>0</v>
      </c>
      <c r="DS11" s="352">
        <f t="shared" si="73"/>
        <v>0</v>
      </c>
      <c r="DT11" s="353">
        <f t="shared" si="74"/>
        <v>0.80640000000000001</v>
      </c>
      <c r="DU11" s="353">
        <f t="shared" si="75"/>
        <v>0</v>
      </c>
      <c r="DV11" s="343">
        <f t="shared" ref="DV11:DV74" si="133" xml:space="preserve"> DP11 + IF( OR( $A11&lt;=14, $A11&gt;=65 ),0, IF( $A11&lt;=19, DV$8, DV$9 ) )</f>
        <v>0.80640000000000001</v>
      </c>
      <c r="DW11" s="343">
        <f t="shared" ref="DW11:DW74" si="134" xml:space="preserve"> DQ11 - DR11 + IF( OR( $A11&lt;=14, $A11&gt;=65 ),0, IF( $A11&lt;=19, DW$8, DW$9 ) )</f>
        <v>0</v>
      </c>
      <c r="EB11" s="326"/>
      <c r="EC11" s="326"/>
      <c r="ED11" s="326"/>
      <c r="EE11" s="348">
        <f t="shared" si="76"/>
        <v>39297.131699999998</v>
      </c>
      <c r="EF11" s="348">
        <f t="shared" si="77"/>
        <v>37582.628299999997</v>
      </c>
      <c r="EG11" s="348">
        <f t="shared" si="78"/>
        <v>1875.2280427618227</v>
      </c>
      <c r="EH11" s="348">
        <f t="shared" si="79"/>
        <v>1605.0980316711029</v>
      </c>
      <c r="EI11" s="354">
        <f t="shared" si="80"/>
        <v>0.51115055119839081</v>
      </c>
      <c r="EJ11" s="326"/>
      <c r="EK11" s="348">
        <f t="shared" si="81"/>
        <v>1875.2280427618227</v>
      </c>
      <c r="EL11" s="348">
        <f t="shared" si="82"/>
        <v>1605.0980316711029</v>
      </c>
      <c r="EM11" s="348">
        <f t="shared" si="83"/>
        <v>1875.2280427618227</v>
      </c>
      <c r="EN11" s="348">
        <f t="shared" si="84"/>
        <v>1605.0980316711029</v>
      </c>
      <c r="EP11" s="326"/>
      <c r="EQ11" s="326"/>
      <c r="ER11" s="326"/>
      <c r="ES11" s="348">
        <f t="shared" si="85"/>
        <v>29796.289166666666</v>
      </c>
      <c r="ET11" s="348">
        <f t="shared" si="86"/>
        <v>27921.358266666666</v>
      </c>
      <c r="EU11" s="348">
        <f t="shared" si="87"/>
        <v>1358.9262067852828</v>
      </c>
      <c r="EV11" s="348">
        <f t="shared" si="88"/>
        <v>1061.5927158291875</v>
      </c>
      <c r="EW11" s="354">
        <f t="shared" si="89"/>
        <v>0.51624226716937516</v>
      </c>
      <c r="EX11" s="326"/>
      <c r="EY11" s="348">
        <f t="shared" si="90"/>
        <v>1358.9262067852828</v>
      </c>
      <c r="EZ11" s="348">
        <f t="shared" si="91"/>
        <v>1061.5927158291875</v>
      </c>
      <c r="FA11" s="348">
        <f t="shared" si="92"/>
        <v>1358.9262067852828</v>
      </c>
      <c r="FB11" s="348">
        <f t="shared" si="93"/>
        <v>1061.5927158291875</v>
      </c>
      <c r="FD11" s="326"/>
      <c r="FE11" s="326"/>
      <c r="FF11" s="326"/>
      <c r="FG11" s="348">
        <f t="shared" si="94"/>
        <v>17163.566733333333</v>
      </c>
      <c r="FH11" s="348">
        <f t="shared" si="95"/>
        <v>16425.520799999998</v>
      </c>
      <c r="FI11" s="348">
        <f t="shared" si="96"/>
        <v>654.04664288926938</v>
      </c>
      <c r="FJ11" s="348">
        <f t="shared" si="97"/>
        <v>500.1023995732923</v>
      </c>
      <c r="FK11" s="354">
        <f t="shared" si="98"/>
        <v>0.51098639450388328</v>
      </c>
      <c r="FL11" s="326"/>
      <c r="FM11" s="348">
        <f t="shared" si="99"/>
        <v>654.04664288926938</v>
      </c>
      <c r="FN11" s="348">
        <f t="shared" si="100"/>
        <v>500.1023995732923</v>
      </c>
      <c r="FO11" s="348">
        <f t="shared" si="101"/>
        <v>654.04664288926938</v>
      </c>
      <c r="FP11" s="348">
        <f t="shared" si="102"/>
        <v>500.1023995732923</v>
      </c>
      <c r="FR11" s="326"/>
      <c r="FS11" s="326"/>
      <c r="FT11" s="326"/>
      <c r="FU11" s="348">
        <f t="shared" si="103"/>
        <v>9664.4850000000006</v>
      </c>
      <c r="FV11" s="348">
        <f t="shared" si="104"/>
        <v>9132.5841999999993</v>
      </c>
      <c r="FW11" s="349">
        <f t="shared" si="105"/>
        <v>207.02837099869433</v>
      </c>
      <c r="FX11" s="349">
        <f t="shared" si="106"/>
        <v>48.640411721030425</v>
      </c>
      <c r="FY11" s="354">
        <f t="shared" si="107"/>
        <v>0.51414850353373187</v>
      </c>
      <c r="FZ11" s="326"/>
      <c r="GA11" s="349">
        <f t="shared" si="108"/>
        <v>207.02837099869433</v>
      </c>
      <c r="GB11" s="349">
        <f t="shared" si="109"/>
        <v>48.640411721030425</v>
      </c>
      <c r="GC11" s="349">
        <f t="shared" si="18"/>
        <v>207.02837099869433</v>
      </c>
      <c r="GD11" s="349">
        <f t="shared" si="19"/>
        <v>48.640411721030425</v>
      </c>
      <c r="GF11" s="326"/>
      <c r="GG11" s="326"/>
      <c r="GH11" s="326"/>
      <c r="GI11" s="348">
        <f t="shared" si="110"/>
        <v>21197.459200000001</v>
      </c>
      <c r="GJ11" s="348">
        <f t="shared" si="111"/>
        <v>20411.450799999999</v>
      </c>
      <c r="GK11" s="348">
        <f t="shared" si="112"/>
        <v>13.883526221151977</v>
      </c>
      <c r="GL11" s="348">
        <f t="shared" si="113"/>
        <v>12.327680260863938</v>
      </c>
      <c r="GM11" s="354">
        <f t="shared" si="114"/>
        <v>0.5094451933492129</v>
      </c>
      <c r="GN11" s="326"/>
      <c r="GO11" s="348">
        <f t="shared" si="115"/>
        <v>13.883526221151977</v>
      </c>
      <c r="GP11" s="348">
        <f t="shared" si="116"/>
        <v>12.327680260863938</v>
      </c>
      <c r="GQ11" s="348">
        <f t="shared" si="20"/>
        <v>13.883526221151977</v>
      </c>
      <c r="GR11" s="348">
        <f t="shared" si="21"/>
        <v>12.327680260863938</v>
      </c>
    </row>
    <row r="12" spans="1:203" x14ac:dyDescent="0.2">
      <c r="A12" s="320">
        <v>2</v>
      </c>
      <c r="C12" s="350">
        <v>1.1220325029658231</v>
      </c>
      <c r="D12" s="350">
        <v>0.46321083971810706</v>
      </c>
      <c r="E12" s="350">
        <v>0</v>
      </c>
      <c r="F12" s="350">
        <v>12131.078333333335</v>
      </c>
      <c r="G12" s="350">
        <v>11799.741666666667</v>
      </c>
      <c r="H12" s="351">
        <f t="shared" si="22"/>
        <v>1151.2053480429345</v>
      </c>
      <c r="I12" s="351">
        <f t="shared" si="23"/>
        <v>1100.5889551702223</v>
      </c>
      <c r="J12" s="352">
        <f t="shared" si="24"/>
        <v>0</v>
      </c>
      <c r="K12" s="352">
        <f t="shared" si="25"/>
        <v>0</v>
      </c>
      <c r="L12" s="353">
        <f t="shared" si="26"/>
        <v>1151.2053480429345</v>
      </c>
      <c r="M12" s="353">
        <f t="shared" si="27"/>
        <v>1100.5889551702223</v>
      </c>
      <c r="N12" s="343">
        <f t="shared" si="117"/>
        <v>1151.2053480429345</v>
      </c>
      <c r="O12" s="343">
        <f t="shared" si="118"/>
        <v>1100.5889551702223</v>
      </c>
      <c r="Q12" s="350">
        <v>1.2279329180211869</v>
      </c>
      <c r="R12" s="350">
        <v>0.38090822953725995</v>
      </c>
      <c r="S12" s="350">
        <v>0</v>
      </c>
      <c r="T12" s="350">
        <v>1426.1408333333331</v>
      </c>
      <c r="U12" s="350">
        <v>661.65583333333336</v>
      </c>
      <c r="V12" s="351">
        <f t="shared" si="28"/>
        <v>864.4647742869156</v>
      </c>
      <c r="W12" s="351">
        <f t="shared" si="29"/>
        <v>639.16400916352222</v>
      </c>
      <c r="X12" s="352">
        <f t="shared" si="30"/>
        <v>0</v>
      </c>
      <c r="Y12" s="352">
        <f t="shared" si="31"/>
        <v>0</v>
      </c>
      <c r="Z12" s="353">
        <f t="shared" si="32"/>
        <v>864.4647742869156</v>
      </c>
      <c r="AA12" s="353">
        <f t="shared" si="33"/>
        <v>639.16400916352222</v>
      </c>
      <c r="AB12" s="343">
        <f t="shared" si="119"/>
        <v>864.4647742869156</v>
      </c>
      <c r="AC12" s="343">
        <f t="shared" si="120"/>
        <v>639.16400916352222</v>
      </c>
      <c r="AE12" s="350">
        <v>0.84599999999999997</v>
      </c>
      <c r="AF12" s="350">
        <v>0.19600000000000001</v>
      </c>
      <c r="AG12" s="350">
        <v>0</v>
      </c>
      <c r="AH12" s="350">
        <v>97.243333333333339</v>
      </c>
      <c r="AI12" s="350">
        <v>38.796666666666667</v>
      </c>
      <c r="AJ12" s="351">
        <f t="shared" si="34"/>
        <v>301.17599999999999</v>
      </c>
      <c r="AK12" s="351">
        <f t="shared" si="35"/>
        <v>150.136</v>
      </c>
      <c r="AL12" s="352">
        <f t="shared" si="36"/>
        <v>0</v>
      </c>
      <c r="AM12" s="352">
        <f t="shared" si="37"/>
        <v>0</v>
      </c>
      <c r="AN12" s="353">
        <f t="shared" si="38"/>
        <v>301.17599999999999</v>
      </c>
      <c r="AO12" s="353">
        <f t="shared" si="39"/>
        <v>150.136</v>
      </c>
      <c r="AP12" s="343">
        <f t="shared" si="121"/>
        <v>301.17599999999999</v>
      </c>
      <c r="AQ12" s="343">
        <f t="shared" si="122"/>
        <v>150.136</v>
      </c>
      <c r="AS12" s="350">
        <v>0.99729999999999996</v>
      </c>
      <c r="AT12" s="350">
        <v>0.39465521028426798</v>
      </c>
      <c r="AU12" s="350">
        <v>0</v>
      </c>
      <c r="AV12" s="350">
        <v>7728.6207999999997</v>
      </c>
      <c r="AW12" s="350">
        <v>7272.6517000000003</v>
      </c>
      <c r="AX12" s="351">
        <f t="shared" si="40"/>
        <v>251.31959999999998</v>
      </c>
      <c r="AY12" s="351">
        <f t="shared" si="41"/>
        <v>197.72226035241826</v>
      </c>
      <c r="AZ12" s="352">
        <f t="shared" si="42"/>
        <v>0</v>
      </c>
      <c r="BA12" s="352">
        <f t="shared" si="43"/>
        <v>0</v>
      </c>
      <c r="BB12" s="353">
        <f t="shared" si="44"/>
        <v>251.31959999999998</v>
      </c>
      <c r="BC12" s="353">
        <f t="shared" si="45"/>
        <v>197.72226035241826</v>
      </c>
      <c r="BD12" s="343">
        <f t="shared" si="123"/>
        <v>251.31959999999998</v>
      </c>
      <c r="BE12" s="343">
        <f t="shared" si="124"/>
        <v>197.72226035241826</v>
      </c>
      <c r="BG12" s="350">
        <v>0.93677457548032284</v>
      </c>
      <c r="BH12" s="350">
        <v>0.39392057605998865</v>
      </c>
      <c r="BI12" s="350">
        <v>0</v>
      </c>
      <c r="BJ12" s="350">
        <v>7909.3275000000003</v>
      </c>
      <c r="BK12" s="350">
        <v>7420.4849999999997</v>
      </c>
      <c r="BL12" s="351">
        <f t="shared" si="46"/>
        <v>222.01557438883651</v>
      </c>
      <c r="BM12" s="351">
        <f t="shared" si="47"/>
        <v>189.86971766091452</v>
      </c>
      <c r="BN12" s="352">
        <f t="shared" si="48"/>
        <v>0</v>
      </c>
      <c r="BO12" s="352">
        <f t="shared" si="49"/>
        <v>0</v>
      </c>
      <c r="BP12" s="353">
        <f t="shared" si="50"/>
        <v>222.01557438883651</v>
      </c>
      <c r="BQ12" s="353">
        <f t="shared" si="51"/>
        <v>189.86971766091452</v>
      </c>
      <c r="BR12" s="343">
        <f t="shared" si="125"/>
        <v>222.01557438883651</v>
      </c>
      <c r="BS12" s="343">
        <f t="shared" si="126"/>
        <v>189.86971766091452</v>
      </c>
      <c r="BU12" s="350">
        <v>1.0847691941680608</v>
      </c>
      <c r="BV12" s="350">
        <v>0.75831646631895977</v>
      </c>
      <c r="BW12" s="350">
        <v>0</v>
      </c>
      <c r="BX12" s="350">
        <v>2650.3391999999999</v>
      </c>
      <c r="BY12" s="350">
        <v>2621.3242</v>
      </c>
      <c r="BZ12" s="351">
        <f t="shared" si="52"/>
        <v>197.42799333858707</v>
      </c>
      <c r="CA12" s="351">
        <f t="shared" si="53"/>
        <v>232.80315515992064</v>
      </c>
      <c r="CB12" s="352">
        <f t="shared" si="54"/>
        <v>0</v>
      </c>
      <c r="CC12" s="352">
        <f t="shared" si="55"/>
        <v>0</v>
      </c>
      <c r="CD12" s="353">
        <f t="shared" si="56"/>
        <v>197.42799333858707</v>
      </c>
      <c r="CE12" s="353">
        <f t="shared" si="57"/>
        <v>232.80315515992064</v>
      </c>
      <c r="CF12" s="343">
        <f t="shared" si="127"/>
        <v>197.42799333858707</v>
      </c>
      <c r="CG12" s="343">
        <f t="shared" si="128"/>
        <v>232.80315515992064</v>
      </c>
      <c r="CI12" s="350">
        <v>0.15040635660204196</v>
      </c>
      <c r="CJ12" s="350">
        <v>0.10919814646581578</v>
      </c>
      <c r="CK12" s="350">
        <v>0</v>
      </c>
      <c r="CL12" s="350">
        <v>14918.308300000001</v>
      </c>
      <c r="CM12" s="350">
        <v>14285.5092</v>
      </c>
      <c r="CN12" s="351">
        <f t="shared" si="58"/>
        <v>27.223550544969594</v>
      </c>
      <c r="CO12" s="351">
        <f t="shared" si="59"/>
        <v>24.787979247740182</v>
      </c>
      <c r="CP12" s="352">
        <f t="shared" si="60"/>
        <v>0</v>
      </c>
      <c r="CQ12" s="352">
        <f t="shared" si="61"/>
        <v>0</v>
      </c>
      <c r="CR12" s="353">
        <f t="shared" si="62"/>
        <v>27.223550544969594</v>
      </c>
      <c r="CS12" s="353">
        <f t="shared" si="63"/>
        <v>24.787979247740182</v>
      </c>
      <c r="CT12" s="343">
        <f t="shared" si="129"/>
        <v>27.223550544969594</v>
      </c>
      <c r="CU12" s="343">
        <f t="shared" si="130"/>
        <v>24.787979247740182</v>
      </c>
      <c r="CW12" s="350">
        <v>0</v>
      </c>
      <c r="CX12" s="350">
        <v>0</v>
      </c>
      <c r="CY12" s="350">
        <v>0</v>
      </c>
      <c r="CZ12" s="350">
        <v>7087.7667000000001</v>
      </c>
      <c r="DA12" s="350">
        <v>6720.88</v>
      </c>
      <c r="DB12" s="351">
        <f t="shared" si="64"/>
        <v>0</v>
      </c>
      <c r="DC12" s="351">
        <f t="shared" si="65"/>
        <v>0</v>
      </c>
      <c r="DD12" s="352">
        <f t="shared" si="66"/>
        <v>0</v>
      </c>
      <c r="DE12" s="352">
        <f t="shared" si="67"/>
        <v>0</v>
      </c>
      <c r="DF12" s="353">
        <f t="shared" si="68"/>
        <v>0</v>
      </c>
      <c r="DG12" s="353">
        <f t="shared" si="69"/>
        <v>0</v>
      </c>
      <c r="DH12" s="343">
        <f t="shared" si="131"/>
        <v>0</v>
      </c>
      <c r="DI12" s="343">
        <f t="shared" si="132"/>
        <v>0</v>
      </c>
      <c r="DK12" s="350">
        <v>8.3000000000000001E-3</v>
      </c>
      <c r="DL12" s="350">
        <v>0</v>
      </c>
      <c r="DM12" s="350">
        <v>0</v>
      </c>
      <c r="DN12" s="350">
        <v>412.88499999999999</v>
      </c>
      <c r="DO12" s="350">
        <v>426.48669999999998</v>
      </c>
      <c r="DP12" s="351">
        <f t="shared" si="70"/>
        <v>0.79679999999999995</v>
      </c>
      <c r="DQ12" s="351">
        <f t="shared" si="71"/>
        <v>0</v>
      </c>
      <c r="DR12" s="352">
        <f t="shared" si="72"/>
        <v>0</v>
      </c>
      <c r="DS12" s="352">
        <f t="shared" si="73"/>
        <v>0</v>
      </c>
      <c r="DT12" s="353">
        <f t="shared" si="74"/>
        <v>0.79679999999999995</v>
      </c>
      <c r="DU12" s="353">
        <f t="shared" si="75"/>
        <v>0</v>
      </c>
      <c r="DV12" s="343">
        <f t="shared" si="133"/>
        <v>0.79679999999999995</v>
      </c>
      <c r="DW12" s="343">
        <f t="shared" si="134"/>
        <v>0</v>
      </c>
      <c r="EB12" s="326"/>
      <c r="EC12" s="326"/>
      <c r="ED12" s="326"/>
      <c r="EE12" s="348">
        <f t="shared" si="76"/>
        <v>41865.774133333332</v>
      </c>
      <c r="EF12" s="348">
        <f t="shared" si="77"/>
        <v>40078.782566666669</v>
      </c>
      <c r="EG12" s="348">
        <f t="shared" si="78"/>
        <v>1429.7484985879041</v>
      </c>
      <c r="EH12" s="348">
        <f t="shared" si="79"/>
        <v>1323.0991947703808</v>
      </c>
      <c r="EI12" s="354">
        <f t="shared" si="80"/>
        <v>0.51090366241902352</v>
      </c>
      <c r="EJ12" s="326"/>
      <c r="EK12" s="348">
        <f t="shared" si="81"/>
        <v>1429.7484985879041</v>
      </c>
      <c r="EL12" s="348">
        <f t="shared" si="82"/>
        <v>1323.0991947703808</v>
      </c>
      <c r="EM12" s="348">
        <f t="shared" si="83"/>
        <v>1429.7484985879041</v>
      </c>
      <c r="EN12" s="348">
        <f t="shared" si="84"/>
        <v>1323.0991947703808</v>
      </c>
      <c r="EP12" s="326"/>
      <c r="EQ12" s="326"/>
      <c r="ER12" s="326"/>
      <c r="ES12" s="348">
        <f t="shared" si="85"/>
        <v>31341.543333333335</v>
      </c>
      <c r="ET12" s="348">
        <f t="shared" si="86"/>
        <v>29088.530033333333</v>
      </c>
      <c r="EU12" s="348">
        <f t="shared" si="87"/>
        <v>1113.7038992207217</v>
      </c>
      <c r="EV12" s="348">
        <f t="shared" si="88"/>
        <v>853.82170607217688</v>
      </c>
      <c r="EW12" s="354">
        <f t="shared" si="89"/>
        <v>0.51864149068899501</v>
      </c>
      <c r="EX12" s="326"/>
      <c r="EY12" s="348">
        <f t="shared" si="90"/>
        <v>1113.7038992207217</v>
      </c>
      <c r="EZ12" s="348">
        <f t="shared" si="91"/>
        <v>853.82170607217688</v>
      </c>
      <c r="FA12" s="348">
        <f t="shared" si="92"/>
        <v>1113.7038992207217</v>
      </c>
      <c r="FB12" s="348">
        <f t="shared" si="93"/>
        <v>853.82170607217688</v>
      </c>
      <c r="FD12" s="326"/>
      <c r="FE12" s="326"/>
      <c r="FF12" s="326"/>
      <c r="FG12" s="348">
        <f t="shared" si="94"/>
        <v>18078.775833333333</v>
      </c>
      <c r="FH12" s="348">
        <f t="shared" si="95"/>
        <v>17372.11676666667</v>
      </c>
      <c r="FI12" s="348">
        <f t="shared" si="96"/>
        <v>526.30562388355668</v>
      </c>
      <c r="FJ12" s="348">
        <f t="shared" si="97"/>
        <v>407.7271344076608</v>
      </c>
      <c r="FK12" s="354">
        <f t="shared" si="98"/>
        <v>0.50996673165102002</v>
      </c>
      <c r="FL12" s="326"/>
      <c r="FM12" s="348">
        <f t="shared" si="99"/>
        <v>526.30562388355668</v>
      </c>
      <c r="FN12" s="348">
        <f t="shared" si="100"/>
        <v>407.7271344076608</v>
      </c>
      <c r="FO12" s="348">
        <f t="shared" si="101"/>
        <v>526.30562388355668</v>
      </c>
      <c r="FP12" s="348">
        <f t="shared" si="102"/>
        <v>407.7271344076608</v>
      </c>
      <c r="FR12" s="326"/>
      <c r="FS12" s="326"/>
      <c r="FT12" s="326"/>
      <c r="FU12" s="348">
        <f t="shared" si="103"/>
        <v>10378.959999999999</v>
      </c>
      <c r="FV12" s="348">
        <f t="shared" si="104"/>
        <v>9893.9759000000013</v>
      </c>
      <c r="FW12" s="349">
        <f t="shared" si="105"/>
        <v>48.502445995271621</v>
      </c>
      <c r="FX12" s="349">
        <f t="shared" si="106"/>
        <v>0</v>
      </c>
      <c r="FY12" s="354">
        <f t="shared" si="107"/>
        <v>0.51196136816079008</v>
      </c>
      <c r="FZ12" s="326"/>
      <c r="GA12" s="349">
        <f t="shared" si="108"/>
        <v>48.502445995271621</v>
      </c>
      <c r="GB12" s="349">
        <f t="shared" si="109"/>
        <v>0</v>
      </c>
      <c r="GC12" s="349">
        <f t="shared" si="18"/>
        <v>48.502445995271621</v>
      </c>
      <c r="GD12" s="349">
        <f t="shared" si="19"/>
        <v>0</v>
      </c>
      <c r="GF12" s="326"/>
      <c r="GG12" s="326"/>
      <c r="GH12" s="326"/>
      <c r="GI12" s="348">
        <f t="shared" si="110"/>
        <v>22006.075000000001</v>
      </c>
      <c r="GJ12" s="348">
        <f t="shared" si="111"/>
        <v>21006.389200000001</v>
      </c>
      <c r="GK12" s="348">
        <f t="shared" si="112"/>
        <v>27.223550544969594</v>
      </c>
      <c r="GL12" s="348">
        <f t="shared" si="113"/>
        <v>24.787979247740182</v>
      </c>
      <c r="GM12" s="354">
        <f t="shared" si="114"/>
        <v>0.51162088499919056</v>
      </c>
      <c r="GN12" s="326"/>
      <c r="GO12" s="348">
        <f t="shared" si="115"/>
        <v>27.223550544969594</v>
      </c>
      <c r="GP12" s="348">
        <f t="shared" si="116"/>
        <v>24.787979247740182</v>
      </c>
      <c r="GQ12" s="348">
        <f t="shared" si="20"/>
        <v>27.223550544969594</v>
      </c>
      <c r="GR12" s="348">
        <f t="shared" si="21"/>
        <v>24.787979247740182</v>
      </c>
      <c r="GS12" s="355"/>
    </row>
    <row r="13" spans="1:203" x14ac:dyDescent="0.2">
      <c r="A13" s="320">
        <v>3</v>
      </c>
      <c r="C13" s="350">
        <v>1.0174055557711839</v>
      </c>
      <c r="D13" s="350">
        <v>0.42078575696928311</v>
      </c>
      <c r="E13" s="350">
        <v>0</v>
      </c>
      <c r="F13" s="350">
        <v>12496.544166666668</v>
      </c>
      <c r="G13" s="350">
        <v>11868.437499999996</v>
      </c>
      <c r="H13" s="351">
        <f t="shared" si="22"/>
        <v>1043.8581002212347</v>
      </c>
      <c r="I13" s="351">
        <f t="shared" si="23"/>
        <v>999.78695855901663</v>
      </c>
      <c r="J13" s="352">
        <f t="shared" si="24"/>
        <v>0</v>
      </c>
      <c r="K13" s="352">
        <f t="shared" si="25"/>
        <v>0</v>
      </c>
      <c r="L13" s="353">
        <f t="shared" si="26"/>
        <v>1043.8581002212347</v>
      </c>
      <c r="M13" s="353">
        <f t="shared" si="27"/>
        <v>999.78695855901663</v>
      </c>
      <c r="N13" s="343">
        <f t="shared" si="117"/>
        <v>1043.8581002212347</v>
      </c>
      <c r="O13" s="343">
        <f t="shared" si="118"/>
        <v>999.78695855901663</v>
      </c>
      <c r="Q13" s="350">
        <v>1.1375041551172826</v>
      </c>
      <c r="R13" s="350">
        <v>0.34757231526774024</v>
      </c>
      <c r="S13" s="350">
        <v>0</v>
      </c>
      <c r="T13" s="350">
        <v>1596.1216666666667</v>
      </c>
      <c r="U13" s="350">
        <v>702.88583333333338</v>
      </c>
      <c r="V13" s="351">
        <f t="shared" si="28"/>
        <v>800.80292520256694</v>
      </c>
      <c r="W13" s="351">
        <f t="shared" si="29"/>
        <v>583.22634501926814</v>
      </c>
      <c r="X13" s="352">
        <f t="shared" si="30"/>
        <v>0</v>
      </c>
      <c r="Y13" s="352">
        <f t="shared" si="31"/>
        <v>0</v>
      </c>
      <c r="Z13" s="353">
        <f t="shared" si="32"/>
        <v>800.80292520256694</v>
      </c>
      <c r="AA13" s="353">
        <f t="shared" si="33"/>
        <v>583.22634501926814</v>
      </c>
      <c r="AB13" s="343">
        <f t="shared" si="119"/>
        <v>800.80292520256694</v>
      </c>
      <c r="AC13" s="343">
        <f t="shared" si="120"/>
        <v>583.22634501926814</v>
      </c>
      <c r="AE13" s="350">
        <v>0.83099999999999996</v>
      </c>
      <c r="AF13" s="350">
        <v>0.183</v>
      </c>
      <c r="AG13" s="350">
        <v>0</v>
      </c>
      <c r="AH13" s="350">
        <v>101.045</v>
      </c>
      <c r="AI13" s="350">
        <v>43.5</v>
      </c>
      <c r="AJ13" s="351">
        <f t="shared" si="34"/>
        <v>295.83600000000001</v>
      </c>
      <c r="AK13" s="351">
        <f t="shared" si="35"/>
        <v>140.178</v>
      </c>
      <c r="AL13" s="352">
        <f t="shared" si="36"/>
        <v>0</v>
      </c>
      <c r="AM13" s="352">
        <f t="shared" si="37"/>
        <v>0</v>
      </c>
      <c r="AN13" s="353">
        <f t="shared" si="38"/>
        <v>295.83600000000001</v>
      </c>
      <c r="AO13" s="353">
        <f t="shared" si="39"/>
        <v>140.178</v>
      </c>
      <c r="AP13" s="343">
        <f t="shared" si="121"/>
        <v>295.83600000000001</v>
      </c>
      <c r="AQ13" s="343">
        <f t="shared" si="122"/>
        <v>140.178</v>
      </c>
      <c r="AS13" s="350">
        <v>0.71109999999999995</v>
      </c>
      <c r="AT13" s="350">
        <v>0.32849927007705554</v>
      </c>
      <c r="AU13" s="350">
        <v>0</v>
      </c>
      <c r="AV13" s="350">
        <v>8093.6266999999998</v>
      </c>
      <c r="AW13" s="350">
        <v>7777.93</v>
      </c>
      <c r="AX13" s="351">
        <f t="shared" si="40"/>
        <v>179.19719999999998</v>
      </c>
      <c r="AY13" s="351">
        <f t="shared" si="41"/>
        <v>164.57813430860483</v>
      </c>
      <c r="AZ13" s="352">
        <f t="shared" si="42"/>
        <v>0</v>
      </c>
      <c r="BA13" s="352">
        <f t="shared" si="43"/>
        <v>0</v>
      </c>
      <c r="BB13" s="353">
        <f t="shared" si="44"/>
        <v>179.19719999999998</v>
      </c>
      <c r="BC13" s="353">
        <f t="shared" si="45"/>
        <v>164.57813430860483</v>
      </c>
      <c r="BD13" s="343">
        <f t="shared" si="123"/>
        <v>179.19719999999998</v>
      </c>
      <c r="BE13" s="343">
        <f t="shared" si="124"/>
        <v>164.57813430860483</v>
      </c>
      <c r="BG13" s="350">
        <v>0.8071314925077071</v>
      </c>
      <c r="BH13" s="350">
        <v>0.33629475656668667</v>
      </c>
      <c r="BI13" s="350">
        <v>0</v>
      </c>
      <c r="BJ13" s="350">
        <v>8159.9549999999999</v>
      </c>
      <c r="BK13" s="350">
        <v>7850.6558000000005</v>
      </c>
      <c r="BL13" s="351">
        <f t="shared" si="46"/>
        <v>191.29016372432659</v>
      </c>
      <c r="BM13" s="351">
        <f t="shared" si="47"/>
        <v>162.09407266514299</v>
      </c>
      <c r="BN13" s="352">
        <f t="shared" si="48"/>
        <v>0</v>
      </c>
      <c r="BO13" s="352">
        <f t="shared" si="49"/>
        <v>0</v>
      </c>
      <c r="BP13" s="353">
        <f t="shared" si="50"/>
        <v>191.29016372432659</v>
      </c>
      <c r="BQ13" s="353">
        <f t="shared" si="51"/>
        <v>162.09407266514299</v>
      </c>
      <c r="BR13" s="343">
        <f t="shared" si="125"/>
        <v>191.29016372432659</v>
      </c>
      <c r="BS13" s="343">
        <f t="shared" si="126"/>
        <v>162.09407266514299</v>
      </c>
      <c r="BU13" s="350">
        <v>1.0030624622277431</v>
      </c>
      <c r="BV13" s="350">
        <v>0.53386267552875777</v>
      </c>
      <c r="BW13" s="350">
        <v>0</v>
      </c>
      <c r="BX13" s="350">
        <v>2830.3492000000001</v>
      </c>
      <c r="BY13" s="350">
        <v>2627.5282999999999</v>
      </c>
      <c r="BZ13" s="351">
        <f t="shared" si="52"/>
        <v>182.55736812544924</v>
      </c>
      <c r="CA13" s="351">
        <f t="shared" si="53"/>
        <v>163.89584138732863</v>
      </c>
      <c r="CB13" s="352">
        <f t="shared" si="54"/>
        <v>0</v>
      </c>
      <c r="CC13" s="352">
        <f t="shared" si="55"/>
        <v>0</v>
      </c>
      <c r="CD13" s="353">
        <f t="shared" si="56"/>
        <v>182.55736812544924</v>
      </c>
      <c r="CE13" s="353">
        <f t="shared" si="57"/>
        <v>163.89584138732863</v>
      </c>
      <c r="CF13" s="343">
        <f t="shared" si="127"/>
        <v>182.55736812544924</v>
      </c>
      <c r="CG13" s="343">
        <f t="shared" si="128"/>
        <v>163.89584138732863</v>
      </c>
      <c r="CI13" s="350">
        <v>0.2283953289719782</v>
      </c>
      <c r="CJ13" s="350">
        <v>0.1712233713479614</v>
      </c>
      <c r="CK13" s="350">
        <v>0</v>
      </c>
      <c r="CL13" s="350">
        <v>15926.175800000001</v>
      </c>
      <c r="CM13" s="350">
        <v>15109.47</v>
      </c>
      <c r="CN13" s="351">
        <f t="shared" si="58"/>
        <v>41.339554543928053</v>
      </c>
      <c r="CO13" s="351">
        <f t="shared" si="59"/>
        <v>38.867705295987236</v>
      </c>
      <c r="CP13" s="352">
        <f t="shared" si="60"/>
        <v>0</v>
      </c>
      <c r="CQ13" s="352">
        <f t="shared" si="61"/>
        <v>0</v>
      </c>
      <c r="CR13" s="353">
        <f t="shared" si="62"/>
        <v>41.339554543928053</v>
      </c>
      <c r="CS13" s="353">
        <f t="shared" si="63"/>
        <v>38.867705295987236</v>
      </c>
      <c r="CT13" s="343">
        <f t="shared" si="129"/>
        <v>41.339554543928053</v>
      </c>
      <c r="CU13" s="343">
        <f t="shared" si="130"/>
        <v>38.867705295987236</v>
      </c>
      <c r="CW13" s="350">
        <v>0</v>
      </c>
      <c r="CX13" s="350">
        <v>0</v>
      </c>
      <c r="CY13" s="350">
        <v>0</v>
      </c>
      <c r="CZ13" s="350">
        <v>7265.3932999999997</v>
      </c>
      <c r="DA13" s="350">
        <v>6863.5708000000004</v>
      </c>
      <c r="DB13" s="351">
        <f t="shared" si="64"/>
        <v>0</v>
      </c>
      <c r="DC13" s="351">
        <f t="shared" si="65"/>
        <v>0</v>
      </c>
      <c r="DD13" s="352">
        <f t="shared" si="66"/>
        <v>0</v>
      </c>
      <c r="DE13" s="352">
        <f t="shared" si="67"/>
        <v>0</v>
      </c>
      <c r="DF13" s="353">
        <f t="shared" si="68"/>
        <v>0</v>
      </c>
      <c r="DG13" s="353">
        <f t="shared" si="69"/>
        <v>0</v>
      </c>
      <c r="DH13" s="343">
        <f t="shared" si="131"/>
        <v>0</v>
      </c>
      <c r="DI13" s="343">
        <f t="shared" si="132"/>
        <v>0</v>
      </c>
      <c r="DK13" s="350">
        <v>1.7100000000000001E-2</v>
      </c>
      <c r="DL13" s="350">
        <v>0</v>
      </c>
      <c r="DM13" s="350">
        <v>0</v>
      </c>
      <c r="DN13" s="350">
        <v>469.5342</v>
      </c>
      <c r="DO13" s="350">
        <v>416.14749999999998</v>
      </c>
      <c r="DP13" s="351">
        <f t="shared" si="70"/>
        <v>1.6415999999999999</v>
      </c>
      <c r="DQ13" s="351">
        <f t="shared" si="71"/>
        <v>0</v>
      </c>
      <c r="DR13" s="352">
        <f t="shared" si="72"/>
        <v>0</v>
      </c>
      <c r="DS13" s="352">
        <f t="shared" si="73"/>
        <v>0</v>
      </c>
      <c r="DT13" s="353">
        <f t="shared" si="74"/>
        <v>1.6415999999999999</v>
      </c>
      <c r="DU13" s="353">
        <f t="shared" si="75"/>
        <v>0</v>
      </c>
      <c r="DV13" s="343">
        <f t="shared" si="133"/>
        <v>1.6415999999999999</v>
      </c>
      <c r="DW13" s="343">
        <f t="shared" si="134"/>
        <v>0</v>
      </c>
      <c r="EB13" s="326"/>
      <c r="EC13" s="326"/>
      <c r="ED13" s="326"/>
      <c r="EE13" s="348">
        <f t="shared" si="76"/>
        <v>43781.739966666661</v>
      </c>
      <c r="EF13" s="348">
        <f t="shared" si="77"/>
        <v>41619.408299999996</v>
      </c>
      <c r="EG13" s="348">
        <f t="shared" si="78"/>
        <v>1264.3948547651628</v>
      </c>
      <c r="EH13" s="348">
        <f t="shared" si="79"/>
        <v>1203.2327981636088</v>
      </c>
      <c r="EI13" s="354">
        <f t="shared" si="80"/>
        <v>0.5126598512464654</v>
      </c>
      <c r="EJ13" s="326"/>
      <c r="EK13" s="348">
        <f t="shared" si="81"/>
        <v>1264.3948547651628</v>
      </c>
      <c r="EL13" s="348">
        <f t="shared" si="82"/>
        <v>1203.2327981636088</v>
      </c>
      <c r="EM13" s="348">
        <f t="shared" si="83"/>
        <v>1264.3948547651628</v>
      </c>
      <c r="EN13" s="348">
        <f t="shared" si="84"/>
        <v>1203.2327981636088</v>
      </c>
      <c r="EP13" s="326"/>
      <c r="EQ13" s="326"/>
      <c r="ER13" s="326"/>
      <c r="ES13" s="348">
        <f t="shared" si="85"/>
        <v>32947.645766666668</v>
      </c>
      <c r="ET13" s="348">
        <f t="shared" si="86"/>
        <v>30526.582433333337</v>
      </c>
      <c r="EU13" s="348">
        <f t="shared" si="87"/>
        <v>1033.4326434708216</v>
      </c>
      <c r="EV13" s="348">
        <f t="shared" si="88"/>
        <v>784.18812298039836</v>
      </c>
      <c r="EW13" s="354">
        <f t="shared" si="89"/>
        <v>0.51907123097034624</v>
      </c>
      <c r="EX13" s="326"/>
      <c r="EY13" s="348">
        <f t="shared" si="90"/>
        <v>1033.4326434708216</v>
      </c>
      <c r="EZ13" s="348">
        <f t="shared" si="91"/>
        <v>784.18812298039836</v>
      </c>
      <c r="FA13" s="348">
        <f t="shared" si="92"/>
        <v>1033.4326434708216</v>
      </c>
      <c r="FB13" s="348">
        <f t="shared" si="93"/>
        <v>784.18812298039836</v>
      </c>
      <c r="FD13" s="326"/>
      <c r="FE13" s="326"/>
      <c r="FF13" s="326"/>
      <c r="FG13" s="348">
        <f t="shared" si="94"/>
        <v>19327.104199999998</v>
      </c>
      <c r="FH13" s="348">
        <f t="shared" si="95"/>
        <v>18196.645799999998</v>
      </c>
      <c r="FI13" s="348">
        <f t="shared" si="96"/>
        <v>520.71788266937733</v>
      </c>
      <c r="FJ13" s="348">
        <f t="shared" si="97"/>
        <v>342.94154668331589</v>
      </c>
      <c r="FK13" s="354">
        <f t="shared" si="98"/>
        <v>0.51506323861554348</v>
      </c>
      <c r="FL13" s="326"/>
      <c r="FM13" s="348">
        <f t="shared" si="99"/>
        <v>520.71788266937733</v>
      </c>
      <c r="FN13" s="348">
        <f t="shared" si="100"/>
        <v>342.94154668331589</v>
      </c>
      <c r="FO13" s="348">
        <f t="shared" si="101"/>
        <v>520.71788266937733</v>
      </c>
      <c r="FP13" s="348">
        <f t="shared" si="102"/>
        <v>342.94154668331589</v>
      </c>
      <c r="FR13" s="326"/>
      <c r="FS13" s="326"/>
      <c r="FT13" s="326"/>
      <c r="FU13" s="348">
        <f t="shared" si="103"/>
        <v>10923.975899999999</v>
      </c>
      <c r="FV13" s="348">
        <f t="shared" si="104"/>
        <v>10405.4583</v>
      </c>
      <c r="FW13" s="349">
        <f t="shared" si="105"/>
        <v>0</v>
      </c>
      <c r="FX13" s="349">
        <f t="shared" si="106"/>
        <v>0.61406362914858048</v>
      </c>
      <c r="FY13" s="354">
        <f t="shared" si="107"/>
        <v>0.51215497783809005</v>
      </c>
      <c r="FZ13" s="326"/>
      <c r="GA13" s="349">
        <f t="shared" si="108"/>
        <v>0</v>
      </c>
      <c r="GB13" s="349">
        <f t="shared" si="109"/>
        <v>0.61406362914858048</v>
      </c>
      <c r="GC13" s="349">
        <f t="shared" si="18"/>
        <v>0</v>
      </c>
      <c r="GD13" s="349">
        <f t="shared" si="19"/>
        <v>0.61406362914858048</v>
      </c>
      <c r="GF13" s="326"/>
      <c r="GG13" s="326"/>
      <c r="GH13" s="326"/>
      <c r="GI13" s="348">
        <f t="shared" si="110"/>
        <v>23191.569100000001</v>
      </c>
      <c r="GJ13" s="348">
        <f t="shared" si="111"/>
        <v>21973.040799999999</v>
      </c>
      <c r="GK13" s="348">
        <f t="shared" si="112"/>
        <v>41.339554543928053</v>
      </c>
      <c r="GL13" s="348">
        <f t="shared" si="113"/>
        <v>38.867705295987236</v>
      </c>
      <c r="GM13" s="354">
        <f t="shared" si="114"/>
        <v>0.51348985746470499</v>
      </c>
      <c r="GN13" s="326"/>
      <c r="GO13" s="348">
        <f t="shared" si="115"/>
        <v>41.339554543928053</v>
      </c>
      <c r="GP13" s="348">
        <f t="shared" si="116"/>
        <v>38.867705295987236</v>
      </c>
      <c r="GQ13" s="348">
        <f t="shared" si="20"/>
        <v>41.339554543928053</v>
      </c>
      <c r="GR13" s="348">
        <f t="shared" si="21"/>
        <v>38.867705295987236</v>
      </c>
    </row>
    <row r="14" spans="1:203" x14ac:dyDescent="0.2">
      <c r="A14" s="320">
        <v>4</v>
      </c>
      <c r="C14" s="350">
        <v>0.95055629637266326</v>
      </c>
      <c r="D14" s="350">
        <v>0.38453836041406514</v>
      </c>
      <c r="E14" s="350">
        <v>0</v>
      </c>
      <c r="F14" s="350">
        <v>12871.374999999996</v>
      </c>
      <c r="G14" s="350">
        <v>12396.866666666665</v>
      </c>
      <c r="H14" s="351">
        <f t="shared" si="22"/>
        <v>975.27076007835251</v>
      </c>
      <c r="I14" s="351">
        <f t="shared" si="23"/>
        <v>913.66314434381877</v>
      </c>
      <c r="J14" s="352">
        <f t="shared" si="24"/>
        <v>0</v>
      </c>
      <c r="K14" s="352">
        <f t="shared" si="25"/>
        <v>0</v>
      </c>
      <c r="L14" s="353">
        <f t="shared" si="26"/>
        <v>975.27076007835251</v>
      </c>
      <c r="M14" s="353">
        <f t="shared" si="27"/>
        <v>913.66314434381877</v>
      </c>
      <c r="N14" s="343">
        <f t="shared" si="117"/>
        <v>975.27076007835251</v>
      </c>
      <c r="O14" s="343">
        <f t="shared" si="118"/>
        <v>913.66314434381877</v>
      </c>
      <c r="Q14" s="350">
        <v>1.0555157662218246</v>
      </c>
      <c r="R14" s="350">
        <v>0.31788114544794227</v>
      </c>
      <c r="S14" s="350">
        <v>0</v>
      </c>
      <c r="T14" s="350">
        <v>1709.6424999999995</v>
      </c>
      <c r="U14" s="350">
        <v>815.97833333333347</v>
      </c>
      <c r="V14" s="351">
        <f t="shared" si="28"/>
        <v>743.08309942016456</v>
      </c>
      <c r="W14" s="351">
        <f t="shared" si="29"/>
        <v>533.40456206164708</v>
      </c>
      <c r="X14" s="352">
        <f t="shared" si="30"/>
        <v>0</v>
      </c>
      <c r="Y14" s="352">
        <f t="shared" si="31"/>
        <v>0</v>
      </c>
      <c r="Z14" s="353">
        <f t="shared" si="32"/>
        <v>743.08309942016456</v>
      </c>
      <c r="AA14" s="353">
        <f t="shared" si="33"/>
        <v>533.40456206164708</v>
      </c>
      <c r="AB14" s="343">
        <f t="shared" si="119"/>
        <v>743.08309942016456</v>
      </c>
      <c r="AC14" s="343">
        <f t="shared" si="120"/>
        <v>533.40456206164708</v>
      </c>
      <c r="AE14" s="350">
        <v>0.81599999999999995</v>
      </c>
      <c r="AF14" s="350">
        <v>0.17199999999999999</v>
      </c>
      <c r="AG14" s="350">
        <v>0</v>
      </c>
      <c r="AH14" s="350">
        <v>122.05833333333332</v>
      </c>
      <c r="AI14" s="350">
        <v>47.17</v>
      </c>
      <c r="AJ14" s="351">
        <f t="shared" si="34"/>
        <v>290.49599999999998</v>
      </c>
      <c r="AK14" s="351">
        <f t="shared" si="35"/>
        <v>131.75199999999998</v>
      </c>
      <c r="AL14" s="352">
        <f t="shared" si="36"/>
        <v>0</v>
      </c>
      <c r="AM14" s="352">
        <f t="shared" si="37"/>
        <v>0</v>
      </c>
      <c r="AN14" s="353">
        <f t="shared" si="38"/>
        <v>290.49599999999998</v>
      </c>
      <c r="AO14" s="353">
        <f t="shared" si="39"/>
        <v>131.75199999999998</v>
      </c>
      <c r="AP14" s="343">
        <f t="shared" si="121"/>
        <v>290.49599999999998</v>
      </c>
      <c r="AQ14" s="343">
        <f t="shared" si="122"/>
        <v>131.75199999999998</v>
      </c>
      <c r="AS14" s="350">
        <v>0.53969999999999996</v>
      </c>
      <c r="AT14" s="350">
        <v>0.23265040098906914</v>
      </c>
      <c r="AU14" s="350">
        <v>0</v>
      </c>
      <c r="AV14" s="350">
        <v>8665.0750000000007</v>
      </c>
      <c r="AW14" s="350">
        <v>8213.1666999999998</v>
      </c>
      <c r="AX14" s="351">
        <f t="shared" si="40"/>
        <v>136.00439999999998</v>
      </c>
      <c r="AY14" s="351">
        <f t="shared" si="41"/>
        <v>116.55785089552364</v>
      </c>
      <c r="AZ14" s="352">
        <f t="shared" si="42"/>
        <v>0</v>
      </c>
      <c r="BA14" s="352">
        <f t="shared" si="43"/>
        <v>0</v>
      </c>
      <c r="BB14" s="353">
        <f t="shared" si="44"/>
        <v>136.00439999999998</v>
      </c>
      <c r="BC14" s="353">
        <f t="shared" si="45"/>
        <v>116.55785089552364</v>
      </c>
      <c r="BD14" s="343">
        <f t="shared" si="123"/>
        <v>136.00439999999998</v>
      </c>
      <c r="BE14" s="343">
        <f t="shared" si="124"/>
        <v>116.55785089552364</v>
      </c>
      <c r="BG14" s="350">
        <v>0.86478818537228097</v>
      </c>
      <c r="BH14" s="350">
        <v>0.23862711348217414</v>
      </c>
      <c r="BI14" s="350">
        <v>0</v>
      </c>
      <c r="BJ14" s="350">
        <v>8691.32</v>
      </c>
      <c r="BK14" s="350">
        <v>8256.6666999999998</v>
      </c>
      <c r="BL14" s="351">
        <f t="shared" si="46"/>
        <v>204.95479993323059</v>
      </c>
      <c r="BM14" s="351">
        <f t="shared" si="47"/>
        <v>115.01826869840794</v>
      </c>
      <c r="BN14" s="352">
        <f t="shared" si="48"/>
        <v>0</v>
      </c>
      <c r="BO14" s="352">
        <f t="shared" si="49"/>
        <v>0</v>
      </c>
      <c r="BP14" s="353">
        <f t="shared" si="50"/>
        <v>204.95479993323059</v>
      </c>
      <c r="BQ14" s="353">
        <f t="shared" si="51"/>
        <v>115.01826869840794</v>
      </c>
      <c r="BR14" s="343">
        <f t="shared" si="125"/>
        <v>204.95479993323059</v>
      </c>
      <c r="BS14" s="343">
        <f t="shared" si="126"/>
        <v>115.01826869840794</v>
      </c>
      <c r="BU14" s="350">
        <v>0.87221224585119561</v>
      </c>
      <c r="BV14" s="350">
        <v>0.45252256278536152</v>
      </c>
      <c r="BW14" s="350">
        <v>0</v>
      </c>
      <c r="BX14" s="350">
        <v>3055.71</v>
      </c>
      <c r="BY14" s="350">
        <v>2901.2157999999999</v>
      </c>
      <c r="BZ14" s="351">
        <f t="shared" si="52"/>
        <v>158.7426287449176</v>
      </c>
      <c r="CA14" s="351">
        <f t="shared" si="53"/>
        <v>138.92442677510599</v>
      </c>
      <c r="CB14" s="352">
        <f t="shared" si="54"/>
        <v>0</v>
      </c>
      <c r="CC14" s="352">
        <f t="shared" si="55"/>
        <v>0</v>
      </c>
      <c r="CD14" s="353">
        <f t="shared" si="56"/>
        <v>158.7426287449176</v>
      </c>
      <c r="CE14" s="353">
        <f t="shared" si="57"/>
        <v>138.92442677510599</v>
      </c>
      <c r="CF14" s="343">
        <f t="shared" si="127"/>
        <v>158.7426287449176</v>
      </c>
      <c r="CG14" s="343">
        <f t="shared" si="128"/>
        <v>138.92442677510599</v>
      </c>
      <c r="CI14" s="350">
        <v>0.30994588444087717</v>
      </c>
      <c r="CJ14" s="350">
        <v>0.2400072660711321</v>
      </c>
      <c r="CK14" s="350">
        <v>0</v>
      </c>
      <c r="CL14" s="350">
        <v>16049.2917</v>
      </c>
      <c r="CM14" s="350">
        <v>15641.602500000001</v>
      </c>
      <c r="CN14" s="351">
        <f t="shared" si="58"/>
        <v>56.10020508379877</v>
      </c>
      <c r="CO14" s="351">
        <f t="shared" si="59"/>
        <v>54.481649398146985</v>
      </c>
      <c r="CP14" s="352">
        <f t="shared" si="60"/>
        <v>0</v>
      </c>
      <c r="CQ14" s="352">
        <f t="shared" si="61"/>
        <v>0</v>
      </c>
      <c r="CR14" s="353">
        <f t="shared" si="62"/>
        <v>56.10020508379877</v>
      </c>
      <c r="CS14" s="353">
        <f t="shared" si="63"/>
        <v>54.481649398146985</v>
      </c>
      <c r="CT14" s="343">
        <f t="shared" si="129"/>
        <v>56.10020508379877</v>
      </c>
      <c r="CU14" s="343">
        <f t="shared" si="130"/>
        <v>54.481649398146985</v>
      </c>
      <c r="CW14" s="350">
        <v>3.6499999999999998E-2</v>
      </c>
      <c r="CX14" s="350">
        <v>2.6599999999999999E-2</v>
      </c>
      <c r="CY14" s="350">
        <v>1.1498080153138934E-3</v>
      </c>
      <c r="CZ14" s="350">
        <v>7281.4041999999999</v>
      </c>
      <c r="DA14" s="350">
        <v>6895.9907999999996</v>
      </c>
      <c r="DB14" s="351">
        <f t="shared" si="64"/>
        <v>6.9714999999999998</v>
      </c>
      <c r="DC14" s="351">
        <f t="shared" si="65"/>
        <v>6.9691999999999998</v>
      </c>
      <c r="DD14" s="352">
        <f t="shared" si="66"/>
        <v>3.4494240459416801E-3</v>
      </c>
      <c r="DE14" s="352">
        <f t="shared" si="67"/>
        <v>1.7244274721482248E-3</v>
      </c>
      <c r="DF14" s="353">
        <f t="shared" si="68"/>
        <v>6.9732244274721484</v>
      </c>
      <c r="DG14" s="353">
        <f t="shared" si="69"/>
        <v>6.9674750034262072</v>
      </c>
      <c r="DH14" s="343">
        <f t="shared" si="131"/>
        <v>6.9714999999999998</v>
      </c>
      <c r="DI14" s="343">
        <f t="shared" si="132"/>
        <v>6.9657505759540586</v>
      </c>
      <c r="DK14" s="350">
        <v>4.4499999999999998E-2</v>
      </c>
      <c r="DL14" s="350">
        <v>2.3699999999999999E-2</v>
      </c>
      <c r="DM14" s="350">
        <v>0</v>
      </c>
      <c r="DN14" s="350">
        <v>470.30919999999998</v>
      </c>
      <c r="DO14" s="350">
        <v>469.1533</v>
      </c>
      <c r="DP14" s="351">
        <f t="shared" si="70"/>
        <v>4.2720000000000002</v>
      </c>
      <c r="DQ14" s="351">
        <f t="shared" si="71"/>
        <v>4.1238000000000001</v>
      </c>
      <c r="DR14" s="352">
        <f t="shared" si="72"/>
        <v>0</v>
      </c>
      <c r="DS14" s="352">
        <f t="shared" si="73"/>
        <v>0</v>
      </c>
      <c r="DT14" s="353">
        <f t="shared" si="74"/>
        <v>4.2720000000000002</v>
      </c>
      <c r="DU14" s="353">
        <f t="shared" si="75"/>
        <v>4.1238000000000001</v>
      </c>
      <c r="DV14" s="343">
        <f t="shared" si="133"/>
        <v>4.2720000000000002</v>
      </c>
      <c r="DW14" s="343">
        <f t="shared" si="134"/>
        <v>4.1238000000000001</v>
      </c>
      <c r="EB14" s="326"/>
      <c r="EC14" s="326"/>
      <c r="ED14" s="326"/>
      <c r="EE14" s="348">
        <f t="shared" si="76"/>
        <v>44867.145899999996</v>
      </c>
      <c r="EF14" s="348">
        <f t="shared" si="77"/>
        <v>43147.626666666663</v>
      </c>
      <c r="EG14" s="348">
        <f t="shared" si="78"/>
        <v>1172.9525651621511</v>
      </c>
      <c r="EH14" s="348">
        <f t="shared" si="79"/>
        <v>1090.2780046374894</v>
      </c>
      <c r="EI14" s="354">
        <f t="shared" si="80"/>
        <v>0.50976835582930635</v>
      </c>
      <c r="EJ14" s="326"/>
      <c r="EK14" s="348">
        <f t="shared" si="81"/>
        <v>1172.9539447041288</v>
      </c>
      <c r="EL14" s="348">
        <f t="shared" si="82"/>
        <v>1090.2766246402302</v>
      </c>
      <c r="EM14" s="348">
        <f t="shared" si="83"/>
        <v>1172.9525651621511</v>
      </c>
      <c r="EN14" s="348">
        <f t="shared" si="84"/>
        <v>1090.2752450982525</v>
      </c>
      <c r="EP14" s="326"/>
      <c r="EQ14" s="326"/>
      <c r="ER14" s="326"/>
      <c r="ES14" s="348">
        <f t="shared" si="85"/>
        <v>33731.6584</v>
      </c>
      <c r="ET14" s="348">
        <f t="shared" si="86"/>
        <v>31610.238333333335</v>
      </c>
      <c r="EU14" s="348">
        <f t="shared" si="87"/>
        <v>1009.0181544371939</v>
      </c>
      <c r="EV14" s="348">
        <f t="shared" si="88"/>
        <v>707.78292015820193</v>
      </c>
      <c r="EW14" s="354">
        <f t="shared" si="89"/>
        <v>0.51623322992386023</v>
      </c>
      <c r="EX14" s="326"/>
      <c r="EY14" s="348">
        <f t="shared" si="90"/>
        <v>1009.0193615364244</v>
      </c>
      <c r="EZ14" s="348">
        <f t="shared" si="91"/>
        <v>707.78171266060031</v>
      </c>
      <c r="FA14" s="348">
        <f t="shared" si="92"/>
        <v>1009.0181544371939</v>
      </c>
      <c r="FB14" s="348">
        <f t="shared" si="93"/>
        <v>707.78050556136986</v>
      </c>
      <c r="FD14" s="326"/>
      <c r="FE14" s="326"/>
      <c r="FF14" s="326"/>
      <c r="FG14" s="348">
        <f t="shared" si="94"/>
        <v>19697.369233333335</v>
      </c>
      <c r="FH14" s="348">
        <f t="shared" si="95"/>
        <v>19059.141600000003</v>
      </c>
      <c r="FI14" s="348">
        <f t="shared" si="96"/>
        <v>507.90203382871636</v>
      </c>
      <c r="FJ14" s="348">
        <f t="shared" si="97"/>
        <v>327.63235617325296</v>
      </c>
      <c r="FK14" s="354">
        <f t="shared" si="98"/>
        <v>0.50823381181136174</v>
      </c>
      <c r="FL14" s="326"/>
      <c r="FM14" s="348">
        <f t="shared" si="99"/>
        <v>507.90203382871636</v>
      </c>
      <c r="FN14" s="348">
        <f t="shared" si="100"/>
        <v>327.63235617325296</v>
      </c>
      <c r="FO14" s="348">
        <f t="shared" si="101"/>
        <v>507.90203382871636</v>
      </c>
      <c r="FP14" s="348">
        <f t="shared" si="102"/>
        <v>327.63235617325296</v>
      </c>
      <c r="FR14" s="326"/>
      <c r="FS14" s="326"/>
      <c r="FT14" s="326"/>
      <c r="FU14" s="348">
        <f t="shared" si="103"/>
        <v>11720.785</v>
      </c>
      <c r="FV14" s="348">
        <f t="shared" si="104"/>
        <v>11114.3825</v>
      </c>
      <c r="FW14" s="349">
        <f t="shared" si="105"/>
        <v>0</v>
      </c>
      <c r="FX14" s="349">
        <f t="shared" si="106"/>
        <v>0</v>
      </c>
      <c r="FY14" s="354">
        <f t="shared" si="107"/>
        <v>0.51327782027436408</v>
      </c>
      <c r="FZ14" s="326"/>
      <c r="GA14" s="349">
        <f t="shared" si="108"/>
        <v>0</v>
      </c>
      <c r="GB14" s="349">
        <f t="shared" si="109"/>
        <v>0</v>
      </c>
      <c r="GC14" s="349">
        <f t="shared" si="18"/>
        <v>0</v>
      </c>
      <c r="GD14" s="349">
        <f t="shared" si="19"/>
        <v>0</v>
      </c>
      <c r="GF14" s="326"/>
      <c r="GG14" s="326"/>
      <c r="GH14" s="326"/>
      <c r="GI14" s="348">
        <f t="shared" si="110"/>
        <v>23330.695899999999</v>
      </c>
      <c r="GJ14" s="348">
        <f t="shared" si="111"/>
        <v>22537.5933</v>
      </c>
      <c r="GK14" s="348">
        <f t="shared" si="112"/>
        <v>61.677405083798767</v>
      </c>
      <c r="GL14" s="348">
        <f t="shared" si="113"/>
        <v>60.057009398146988</v>
      </c>
      <c r="GM14" s="354">
        <f t="shared" si="114"/>
        <v>0.50864543472007229</v>
      </c>
      <c r="GN14" s="326"/>
      <c r="GO14" s="348">
        <f t="shared" si="115"/>
        <v>61.678784625776487</v>
      </c>
      <c r="GP14" s="348">
        <f t="shared" si="116"/>
        <v>60.055629400887952</v>
      </c>
      <c r="GQ14" s="348">
        <f t="shared" si="20"/>
        <v>61.677405083798767</v>
      </c>
      <c r="GR14" s="348">
        <f t="shared" si="21"/>
        <v>60.054249858910232</v>
      </c>
    </row>
    <row r="15" spans="1:203" x14ac:dyDescent="0.2">
      <c r="A15" s="320">
        <v>5</v>
      </c>
      <c r="C15" s="350">
        <v>0.90122708757355496</v>
      </c>
      <c r="D15" s="350">
        <v>0.35498114465584379</v>
      </c>
      <c r="E15" s="350">
        <v>0</v>
      </c>
      <c r="F15" s="350">
        <v>13225.557500000004</v>
      </c>
      <c r="G15" s="350">
        <v>12803.844166666668</v>
      </c>
      <c r="H15" s="351">
        <f t="shared" si="22"/>
        <v>924.65899185046737</v>
      </c>
      <c r="I15" s="351">
        <f t="shared" si="23"/>
        <v>843.43519970228488</v>
      </c>
      <c r="J15" s="352">
        <f t="shared" si="24"/>
        <v>0</v>
      </c>
      <c r="K15" s="352">
        <f t="shared" si="25"/>
        <v>0</v>
      </c>
      <c r="L15" s="353">
        <f t="shared" si="26"/>
        <v>924.65899185046737</v>
      </c>
      <c r="M15" s="353">
        <f t="shared" si="27"/>
        <v>843.43519970228488</v>
      </c>
      <c r="N15" s="343">
        <f t="shared" si="117"/>
        <v>924.65899185046737</v>
      </c>
      <c r="O15" s="343">
        <f t="shared" si="118"/>
        <v>843.43519970228488</v>
      </c>
      <c r="Q15" s="350">
        <v>0.98224589905648618</v>
      </c>
      <c r="R15" s="350">
        <v>0.29257786469452612</v>
      </c>
      <c r="S15" s="350">
        <v>0</v>
      </c>
      <c r="T15" s="350">
        <v>1834.9516666666668</v>
      </c>
      <c r="U15" s="350">
        <v>872.16499999999996</v>
      </c>
      <c r="V15" s="351">
        <f t="shared" si="28"/>
        <v>691.50111293576629</v>
      </c>
      <c r="W15" s="351">
        <f t="shared" si="29"/>
        <v>490.94565695741483</v>
      </c>
      <c r="X15" s="352">
        <f t="shared" si="30"/>
        <v>0</v>
      </c>
      <c r="Y15" s="352">
        <f t="shared" si="31"/>
        <v>0</v>
      </c>
      <c r="Z15" s="353">
        <f t="shared" si="32"/>
        <v>691.50111293576629</v>
      </c>
      <c r="AA15" s="353">
        <f t="shared" si="33"/>
        <v>490.94565695741483</v>
      </c>
      <c r="AB15" s="343">
        <f t="shared" si="119"/>
        <v>691.50111293576629</v>
      </c>
      <c r="AC15" s="343">
        <f t="shared" si="120"/>
        <v>490.94565695741483</v>
      </c>
      <c r="AE15" s="350">
        <v>0.80200000000000005</v>
      </c>
      <c r="AF15" s="350">
        <v>0.16200000000000001</v>
      </c>
      <c r="AG15" s="350">
        <v>0</v>
      </c>
      <c r="AH15" s="350">
        <v>105.765</v>
      </c>
      <c r="AI15" s="350">
        <v>50.753333333333337</v>
      </c>
      <c r="AJ15" s="351">
        <f t="shared" si="34"/>
        <v>285.512</v>
      </c>
      <c r="AK15" s="351">
        <f t="shared" si="35"/>
        <v>124.092</v>
      </c>
      <c r="AL15" s="352">
        <f t="shared" si="36"/>
        <v>0</v>
      </c>
      <c r="AM15" s="352">
        <f t="shared" si="37"/>
        <v>0</v>
      </c>
      <c r="AN15" s="353">
        <f t="shared" si="38"/>
        <v>285.512</v>
      </c>
      <c r="AO15" s="353">
        <f t="shared" si="39"/>
        <v>124.092</v>
      </c>
      <c r="AP15" s="343">
        <f t="shared" si="121"/>
        <v>285.512</v>
      </c>
      <c r="AQ15" s="343">
        <f t="shared" si="122"/>
        <v>124.092</v>
      </c>
      <c r="AS15" s="350">
        <v>0.54459999999999997</v>
      </c>
      <c r="AT15" s="350">
        <v>0.13907273793301234</v>
      </c>
      <c r="AU15" s="350">
        <v>0</v>
      </c>
      <c r="AV15" s="350">
        <v>8825.1191999999992</v>
      </c>
      <c r="AW15" s="350">
        <v>8644.7124999999996</v>
      </c>
      <c r="AX15" s="351">
        <f t="shared" si="40"/>
        <v>137.23919999999998</v>
      </c>
      <c r="AY15" s="351">
        <f t="shared" si="41"/>
        <v>69.67544170443918</v>
      </c>
      <c r="AZ15" s="352">
        <f t="shared" si="42"/>
        <v>0</v>
      </c>
      <c r="BA15" s="352">
        <f t="shared" si="43"/>
        <v>0</v>
      </c>
      <c r="BB15" s="353">
        <f t="shared" si="44"/>
        <v>137.23919999999998</v>
      </c>
      <c r="BC15" s="353">
        <f t="shared" si="45"/>
        <v>69.67544170443918</v>
      </c>
      <c r="BD15" s="343">
        <f t="shared" si="123"/>
        <v>137.23919999999998</v>
      </c>
      <c r="BE15" s="343">
        <f t="shared" si="124"/>
        <v>69.67544170443918</v>
      </c>
      <c r="BG15" s="350">
        <v>0.55407179724220113</v>
      </c>
      <c r="BH15" s="350">
        <v>0.13414088894590195</v>
      </c>
      <c r="BI15" s="350">
        <v>0</v>
      </c>
      <c r="BJ15" s="350">
        <v>8866.3150000000005</v>
      </c>
      <c r="BK15" s="350">
        <v>8679.3742000000002</v>
      </c>
      <c r="BL15" s="351">
        <f t="shared" si="46"/>
        <v>131.31501594640167</v>
      </c>
      <c r="BM15" s="351">
        <f t="shared" si="47"/>
        <v>64.655908471924747</v>
      </c>
      <c r="BN15" s="352">
        <f t="shared" si="48"/>
        <v>0</v>
      </c>
      <c r="BO15" s="352">
        <f t="shared" si="49"/>
        <v>0</v>
      </c>
      <c r="BP15" s="353">
        <f t="shared" si="50"/>
        <v>131.31501594640167</v>
      </c>
      <c r="BQ15" s="353">
        <f t="shared" si="51"/>
        <v>64.655908471924747</v>
      </c>
      <c r="BR15" s="343">
        <f t="shared" si="125"/>
        <v>131.31501594640167</v>
      </c>
      <c r="BS15" s="343">
        <f t="shared" si="126"/>
        <v>64.655908471924747</v>
      </c>
      <c r="BU15" s="350">
        <v>0.65763093214696655</v>
      </c>
      <c r="BV15" s="350">
        <v>0.37370923373513892</v>
      </c>
      <c r="BW15" s="350">
        <v>0</v>
      </c>
      <c r="BX15" s="350">
        <v>3062.3850000000002</v>
      </c>
      <c r="BY15" s="350">
        <v>3036.6642000000002</v>
      </c>
      <c r="BZ15" s="351">
        <f t="shared" si="52"/>
        <v>119.68882965074791</v>
      </c>
      <c r="CA15" s="351">
        <f t="shared" si="53"/>
        <v>114.72873475668764</v>
      </c>
      <c r="CB15" s="352">
        <f t="shared" si="54"/>
        <v>0</v>
      </c>
      <c r="CC15" s="352">
        <f t="shared" si="55"/>
        <v>0</v>
      </c>
      <c r="CD15" s="353">
        <f t="shared" si="56"/>
        <v>119.68882965074791</v>
      </c>
      <c r="CE15" s="353">
        <f t="shared" si="57"/>
        <v>114.72873475668764</v>
      </c>
      <c r="CF15" s="343">
        <f t="shared" si="127"/>
        <v>119.68882965074791</v>
      </c>
      <c r="CG15" s="343">
        <f t="shared" si="128"/>
        <v>114.72873475668764</v>
      </c>
      <c r="CI15" s="350">
        <v>0.39233196643350238</v>
      </c>
      <c r="CJ15" s="350">
        <v>0.31228976866825719</v>
      </c>
      <c r="CK15" s="350">
        <v>0</v>
      </c>
      <c r="CL15" s="350">
        <v>15879.7767</v>
      </c>
      <c r="CM15" s="350">
        <v>15085.57</v>
      </c>
      <c r="CN15" s="351">
        <f t="shared" si="58"/>
        <v>71.012085924463932</v>
      </c>
      <c r="CO15" s="351">
        <f t="shared" si="59"/>
        <v>70.889777487694388</v>
      </c>
      <c r="CP15" s="352">
        <f t="shared" si="60"/>
        <v>0</v>
      </c>
      <c r="CQ15" s="352">
        <f t="shared" si="61"/>
        <v>0</v>
      </c>
      <c r="CR15" s="353">
        <f t="shared" si="62"/>
        <v>71.012085924463932</v>
      </c>
      <c r="CS15" s="353">
        <f t="shared" si="63"/>
        <v>70.889777487694388</v>
      </c>
      <c r="CT15" s="343">
        <f t="shared" si="129"/>
        <v>71.012085924463932</v>
      </c>
      <c r="CU15" s="343">
        <f t="shared" si="130"/>
        <v>70.889777487694388</v>
      </c>
      <c r="CW15" s="350">
        <v>0.13189999999999999</v>
      </c>
      <c r="CX15" s="350">
        <v>0.1042</v>
      </c>
      <c r="CY15" s="350">
        <v>2.827000796972878E-3</v>
      </c>
      <c r="CZ15" s="350">
        <v>7072.45</v>
      </c>
      <c r="DA15" s="350">
        <v>6621.7791999999999</v>
      </c>
      <c r="DB15" s="351">
        <f t="shared" si="64"/>
        <v>25.192899999999998</v>
      </c>
      <c r="DC15" s="351">
        <f t="shared" si="65"/>
        <v>27.3004</v>
      </c>
      <c r="DD15" s="352">
        <f t="shared" si="66"/>
        <v>8.4810023909186339E-3</v>
      </c>
      <c r="DE15" s="352">
        <f t="shared" si="67"/>
        <v>4.4107487559942905E-3</v>
      </c>
      <c r="DF15" s="353">
        <f t="shared" si="68"/>
        <v>25.197310748755992</v>
      </c>
      <c r="DG15" s="353">
        <f t="shared" si="69"/>
        <v>27.296329746365075</v>
      </c>
      <c r="DH15" s="343">
        <f t="shared" si="131"/>
        <v>25.192899999999998</v>
      </c>
      <c r="DI15" s="343">
        <f t="shared" si="132"/>
        <v>27.291918997609081</v>
      </c>
      <c r="DK15" s="350">
        <v>0.14849999999999999</v>
      </c>
      <c r="DL15" s="350">
        <v>0.11509999999999999</v>
      </c>
      <c r="DM15" s="350">
        <v>0</v>
      </c>
      <c r="DN15" s="350">
        <v>473.4033</v>
      </c>
      <c r="DO15" s="350">
        <v>415.77499999999998</v>
      </c>
      <c r="DP15" s="351">
        <f t="shared" si="70"/>
        <v>14.256</v>
      </c>
      <c r="DQ15" s="351">
        <f t="shared" si="71"/>
        <v>20.0274</v>
      </c>
      <c r="DR15" s="352">
        <f t="shared" si="72"/>
        <v>0</v>
      </c>
      <c r="DS15" s="352">
        <f t="shared" si="73"/>
        <v>0</v>
      </c>
      <c r="DT15" s="353">
        <f t="shared" si="74"/>
        <v>14.256</v>
      </c>
      <c r="DU15" s="353">
        <f t="shared" si="75"/>
        <v>20.0274</v>
      </c>
      <c r="DV15" s="343">
        <f t="shared" si="133"/>
        <v>14.256</v>
      </c>
      <c r="DW15" s="343">
        <f t="shared" si="134"/>
        <v>20.0274</v>
      </c>
      <c r="EB15" s="326"/>
      <c r="EC15" s="326"/>
      <c r="ED15" s="326"/>
      <c r="EE15" s="348">
        <f t="shared" si="76"/>
        <v>45002.903400000003</v>
      </c>
      <c r="EF15" s="348">
        <f t="shared" si="77"/>
        <v>43155.905866666661</v>
      </c>
      <c r="EG15" s="348">
        <f t="shared" si="78"/>
        <v>1153.0645977749314</v>
      </c>
      <c r="EH15" s="348">
        <f t="shared" si="79"/>
        <v>1005.8407388944185</v>
      </c>
      <c r="EI15" s="354">
        <f t="shared" si="80"/>
        <v>0.51047539972861056</v>
      </c>
      <c r="EJ15" s="326"/>
      <c r="EK15" s="348">
        <f t="shared" si="81"/>
        <v>1153.0681263739361</v>
      </c>
      <c r="EL15" s="348">
        <f t="shared" si="82"/>
        <v>1005.8374826915104</v>
      </c>
      <c r="EM15" s="348">
        <f t="shared" si="83"/>
        <v>1153.0645977749314</v>
      </c>
      <c r="EN15" s="348">
        <f t="shared" si="84"/>
        <v>1005.8339540925057</v>
      </c>
      <c r="EP15" s="326"/>
      <c r="EQ15" s="326"/>
      <c r="ER15" s="326"/>
      <c r="ES15" s="348">
        <f t="shared" si="85"/>
        <v>33653.493366666662</v>
      </c>
      <c r="ET15" s="348">
        <f t="shared" si="86"/>
        <v>31258.8884</v>
      </c>
      <c r="EU15" s="348">
        <f t="shared" si="87"/>
        <v>911.46324480663191</v>
      </c>
      <c r="EV15" s="348">
        <f t="shared" si="88"/>
        <v>645.60162291703386</v>
      </c>
      <c r="EW15" s="354">
        <f t="shared" si="89"/>
        <v>0.51844490143093414</v>
      </c>
      <c r="EX15" s="326"/>
      <c r="EY15" s="348">
        <f t="shared" si="90"/>
        <v>911.46633233076102</v>
      </c>
      <c r="EZ15" s="348">
        <f t="shared" si="91"/>
        <v>645.59877373948939</v>
      </c>
      <c r="FA15" s="348">
        <f t="shared" si="92"/>
        <v>911.46324480663191</v>
      </c>
      <c r="FB15" s="348">
        <f t="shared" si="93"/>
        <v>645.59568621536027</v>
      </c>
      <c r="FD15" s="326"/>
      <c r="FE15" s="326"/>
      <c r="FF15" s="326"/>
      <c r="FG15" s="348">
        <f t="shared" si="94"/>
        <v>19521.330000000002</v>
      </c>
      <c r="FH15" s="348">
        <f t="shared" si="95"/>
        <v>18588.762533333334</v>
      </c>
      <c r="FI15" s="348">
        <f t="shared" si="96"/>
        <v>484.76651557521183</v>
      </c>
      <c r="FJ15" s="348">
        <f t="shared" si="97"/>
        <v>321.72695224438201</v>
      </c>
      <c r="FK15" s="354">
        <f t="shared" si="98"/>
        <v>0.5122351771496092</v>
      </c>
      <c r="FL15" s="326"/>
      <c r="FM15" s="348">
        <f t="shared" si="99"/>
        <v>484.76651557521183</v>
      </c>
      <c r="FN15" s="348">
        <f t="shared" si="100"/>
        <v>321.72695224438201</v>
      </c>
      <c r="FO15" s="348">
        <f t="shared" si="101"/>
        <v>484.76651557521183</v>
      </c>
      <c r="FP15" s="348">
        <f t="shared" si="102"/>
        <v>321.72695224438201</v>
      </c>
      <c r="FR15" s="326"/>
      <c r="FS15" s="326"/>
      <c r="FT15" s="326"/>
      <c r="FU15" s="348">
        <f t="shared" si="103"/>
        <v>11887.504199999999</v>
      </c>
      <c r="FV15" s="348">
        <f t="shared" si="104"/>
        <v>11681.376700000001</v>
      </c>
      <c r="FW15" s="349">
        <f t="shared" si="105"/>
        <v>15.79533331432687</v>
      </c>
      <c r="FX15" s="349">
        <f t="shared" si="106"/>
        <v>0</v>
      </c>
      <c r="FY15" s="354">
        <f t="shared" si="107"/>
        <v>0.50437287414864063</v>
      </c>
      <c r="FZ15" s="326"/>
      <c r="GA15" s="349">
        <f t="shared" si="108"/>
        <v>15.79533331432687</v>
      </c>
      <c r="GB15" s="349">
        <f t="shared" si="109"/>
        <v>0</v>
      </c>
      <c r="GC15" s="349">
        <f t="shared" si="18"/>
        <v>15.79533331432687</v>
      </c>
      <c r="GD15" s="349">
        <f t="shared" si="19"/>
        <v>0</v>
      </c>
      <c r="GF15" s="326"/>
      <c r="GG15" s="326"/>
      <c r="GH15" s="326"/>
      <c r="GI15" s="348">
        <f t="shared" ref="GI15:GI41" si="135" xml:space="preserve"> CL15 + GI$8 * CZ15</f>
        <v>22952.226699999999</v>
      </c>
      <c r="GJ15" s="348">
        <f t="shared" ref="GJ15:GJ41" si="136" xml:space="preserve"> CM15 + GJ$8 * DA15</f>
        <v>21707.349200000001</v>
      </c>
      <c r="GK15" s="348">
        <f t="shared" ref="GK15:GK41" si="137" xml:space="preserve"> CN15 + GK$8 * DB15</f>
        <v>91.16640592446393</v>
      </c>
      <c r="GL15" s="348">
        <f t="shared" ref="GL15:GL41" si="138" xml:space="preserve"> CO15 + GL$8 * DC15</f>
        <v>92.730097487694394</v>
      </c>
      <c r="GM15" s="354">
        <f t="shared" si="114"/>
        <v>0.51393740843830993</v>
      </c>
      <c r="GN15" s="326"/>
      <c r="GO15" s="348">
        <f t="shared" si="115"/>
        <v>91.169934523468726</v>
      </c>
      <c r="GP15" s="348">
        <f t="shared" si="116"/>
        <v>92.726841284786445</v>
      </c>
      <c r="GQ15" s="348">
        <f t="shared" si="20"/>
        <v>91.16640592446393</v>
      </c>
      <c r="GR15" s="348">
        <f t="shared" si="21"/>
        <v>92.72331268578165</v>
      </c>
    </row>
    <row r="16" spans="1:203" x14ac:dyDescent="0.2">
      <c r="A16" s="320">
        <v>6</v>
      </c>
      <c r="C16" s="350">
        <v>0.85329563748163517</v>
      </c>
      <c r="D16" s="350">
        <v>0.33247402755274474</v>
      </c>
      <c r="E16" s="350">
        <v>0</v>
      </c>
      <c r="F16" s="350">
        <v>12952.952500000003</v>
      </c>
      <c r="G16" s="350">
        <v>12325.358333333332</v>
      </c>
      <c r="H16" s="351">
        <f t="shared" si="22"/>
        <v>875.48132405615763</v>
      </c>
      <c r="I16" s="351">
        <f t="shared" si="23"/>
        <v>789.95828946532151</v>
      </c>
      <c r="J16" s="352">
        <f t="shared" si="24"/>
        <v>0</v>
      </c>
      <c r="K16" s="352">
        <f t="shared" si="25"/>
        <v>0</v>
      </c>
      <c r="L16" s="353">
        <f t="shared" si="26"/>
        <v>875.48132405615763</v>
      </c>
      <c r="M16" s="353">
        <f t="shared" si="27"/>
        <v>789.95828946532151</v>
      </c>
      <c r="N16" s="343">
        <f t="shared" si="117"/>
        <v>875.48132405615763</v>
      </c>
      <c r="O16" s="343">
        <f t="shared" si="118"/>
        <v>789.95828946532151</v>
      </c>
      <c r="Q16" s="350">
        <v>0.91760835361219673</v>
      </c>
      <c r="R16" s="350">
        <v>0.27227341363930935</v>
      </c>
      <c r="S16" s="350">
        <v>0</v>
      </c>
      <c r="T16" s="350">
        <v>1845.095</v>
      </c>
      <c r="U16" s="350">
        <v>867.84416666666675</v>
      </c>
      <c r="V16" s="351">
        <f t="shared" si="28"/>
        <v>645.99628094298646</v>
      </c>
      <c r="W16" s="351">
        <f t="shared" si="29"/>
        <v>456.8747880867611</v>
      </c>
      <c r="X16" s="352">
        <f t="shared" si="30"/>
        <v>0</v>
      </c>
      <c r="Y16" s="352">
        <f t="shared" si="31"/>
        <v>0</v>
      </c>
      <c r="Z16" s="353">
        <f t="shared" si="32"/>
        <v>645.99628094298646</v>
      </c>
      <c r="AA16" s="353">
        <f t="shared" si="33"/>
        <v>456.8747880867611</v>
      </c>
      <c r="AB16" s="343">
        <f t="shared" si="119"/>
        <v>645.99628094298646</v>
      </c>
      <c r="AC16" s="343">
        <f t="shared" si="120"/>
        <v>456.8747880867611</v>
      </c>
      <c r="AE16" s="350">
        <v>0.78800000000000003</v>
      </c>
      <c r="AF16" s="350">
        <v>0.155</v>
      </c>
      <c r="AG16" s="350">
        <v>0</v>
      </c>
      <c r="AH16" s="350">
        <v>109.88583333333334</v>
      </c>
      <c r="AI16" s="350">
        <v>44.166666666666664</v>
      </c>
      <c r="AJ16" s="351">
        <f t="shared" si="34"/>
        <v>280.52800000000002</v>
      </c>
      <c r="AK16" s="351">
        <f t="shared" si="35"/>
        <v>118.73</v>
      </c>
      <c r="AL16" s="352">
        <f t="shared" si="36"/>
        <v>0</v>
      </c>
      <c r="AM16" s="352">
        <f t="shared" si="37"/>
        <v>0</v>
      </c>
      <c r="AN16" s="353">
        <f t="shared" si="38"/>
        <v>280.52800000000002</v>
      </c>
      <c r="AO16" s="353">
        <f t="shared" si="39"/>
        <v>118.73</v>
      </c>
      <c r="AP16" s="343">
        <f t="shared" si="121"/>
        <v>280.52800000000002</v>
      </c>
      <c r="AQ16" s="343">
        <f t="shared" si="122"/>
        <v>118.73</v>
      </c>
      <c r="AS16" s="350">
        <v>0.55010000000000003</v>
      </c>
      <c r="AT16" s="350">
        <v>0.11813435828401594</v>
      </c>
      <c r="AU16" s="350">
        <v>0</v>
      </c>
      <c r="AV16" s="350">
        <v>8562.6975000000002</v>
      </c>
      <c r="AW16" s="350">
        <v>8294.1175000000003</v>
      </c>
      <c r="AX16" s="351">
        <f t="shared" si="40"/>
        <v>138.62520000000001</v>
      </c>
      <c r="AY16" s="351">
        <f t="shared" si="41"/>
        <v>59.18531350029199</v>
      </c>
      <c r="AZ16" s="352">
        <f t="shared" si="42"/>
        <v>0</v>
      </c>
      <c r="BA16" s="352">
        <f t="shared" si="43"/>
        <v>0</v>
      </c>
      <c r="BB16" s="353">
        <f t="shared" si="44"/>
        <v>138.62520000000001</v>
      </c>
      <c r="BC16" s="353">
        <f t="shared" si="45"/>
        <v>59.18531350029199</v>
      </c>
      <c r="BD16" s="343">
        <f t="shared" si="123"/>
        <v>138.62520000000001</v>
      </c>
      <c r="BE16" s="343">
        <f t="shared" si="124"/>
        <v>59.18531350029199</v>
      </c>
      <c r="BG16" s="350">
        <v>0.40603535998468282</v>
      </c>
      <c r="BH16" s="350">
        <v>0.10660983682037094</v>
      </c>
      <c r="BI16" s="350">
        <v>0</v>
      </c>
      <c r="BJ16" s="350">
        <v>8584.4475000000002</v>
      </c>
      <c r="BK16" s="350">
        <v>8326.5717000000004</v>
      </c>
      <c r="BL16" s="351">
        <f t="shared" si="46"/>
        <v>96.230380316369832</v>
      </c>
      <c r="BM16" s="351">
        <f t="shared" si="47"/>
        <v>51.385941347418793</v>
      </c>
      <c r="BN16" s="352">
        <f t="shared" si="48"/>
        <v>0</v>
      </c>
      <c r="BO16" s="352">
        <f t="shared" si="49"/>
        <v>0</v>
      </c>
      <c r="BP16" s="353">
        <f t="shared" si="50"/>
        <v>96.230380316369832</v>
      </c>
      <c r="BQ16" s="353">
        <f t="shared" si="51"/>
        <v>51.385941347418793</v>
      </c>
      <c r="BR16" s="343">
        <f t="shared" si="125"/>
        <v>96.230380316369832</v>
      </c>
      <c r="BS16" s="343">
        <f t="shared" si="126"/>
        <v>51.385941347418793</v>
      </c>
      <c r="BU16" s="350">
        <v>0.48713827075436428</v>
      </c>
      <c r="BV16" s="350">
        <v>0.30231908507918598</v>
      </c>
      <c r="BW16" s="350">
        <v>0</v>
      </c>
      <c r="BX16" s="350">
        <v>3090.0050000000001</v>
      </c>
      <c r="BY16" s="350">
        <v>2885.5183000000002</v>
      </c>
      <c r="BZ16" s="351">
        <f t="shared" si="52"/>
        <v>88.659165277294292</v>
      </c>
      <c r="CA16" s="351">
        <f t="shared" si="53"/>
        <v>92.811959119310089</v>
      </c>
      <c r="CB16" s="352">
        <f t="shared" si="54"/>
        <v>0</v>
      </c>
      <c r="CC16" s="352">
        <f t="shared" si="55"/>
        <v>0</v>
      </c>
      <c r="CD16" s="353">
        <f t="shared" si="56"/>
        <v>88.659165277294292</v>
      </c>
      <c r="CE16" s="353">
        <f t="shared" si="57"/>
        <v>92.811959119310089</v>
      </c>
      <c r="CF16" s="343">
        <f t="shared" si="127"/>
        <v>88.659165277294292</v>
      </c>
      <c r="CG16" s="343">
        <f t="shared" si="128"/>
        <v>92.811959119310089</v>
      </c>
      <c r="CI16" s="350">
        <v>0.46946401540904387</v>
      </c>
      <c r="CJ16" s="350">
        <v>0.38007813675438912</v>
      </c>
      <c r="CK16" s="350">
        <v>1.8143398209643716E-4</v>
      </c>
      <c r="CL16" s="350">
        <v>16203.119199999999</v>
      </c>
      <c r="CM16" s="350">
        <v>15394.119199999999</v>
      </c>
      <c r="CN16" s="351">
        <f t="shared" si="58"/>
        <v>84.972986789036938</v>
      </c>
      <c r="CO16" s="351">
        <f t="shared" si="59"/>
        <v>86.277737043246333</v>
      </c>
      <c r="CP16" s="352">
        <f t="shared" si="60"/>
        <v>7.2573592838574862E-4</v>
      </c>
      <c r="CQ16" s="352">
        <f t="shared" si="61"/>
        <v>3.6563263611910093E-4</v>
      </c>
      <c r="CR16" s="353">
        <f t="shared" si="62"/>
        <v>84.973352421673056</v>
      </c>
      <c r="CS16" s="353">
        <f t="shared" si="63"/>
        <v>86.277376939954067</v>
      </c>
      <c r="CT16" s="343">
        <f t="shared" si="129"/>
        <v>84.972986789036938</v>
      </c>
      <c r="CU16" s="343">
        <f t="shared" si="130"/>
        <v>86.277011307317949</v>
      </c>
      <c r="CW16" s="350">
        <v>0.30819999999999997</v>
      </c>
      <c r="CX16" s="350">
        <v>0.26869999999999999</v>
      </c>
      <c r="CY16" s="350">
        <v>5.1100287603535388E-3</v>
      </c>
      <c r="CZ16" s="350">
        <v>6952.3824999999997</v>
      </c>
      <c r="DA16" s="350">
        <v>6757.5792000000001</v>
      </c>
      <c r="DB16" s="351">
        <f t="shared" si="64"/>
        <v>58.866199999999992</v>
      </c>
      <c r="DC16" s="351">
        <f t="shared" si="65"/>
        <v>70.3994</v>
      </c>
      <c r="DD16" s="352">
        <f t="shared" si="66"/>
        <v>1.5330086281060615E-2</v>
      </c>
      <c r="DE16" s="352">
        <f t="shared" si="67"/>
        <v>8.3489255930030773E-3</v>
      </c>
      <c r="DF16" s="353">
        <f t="shared" si="68"/>
        <v>58.874548925592997</v>
      </c>
      <c r="DG16" s="353">
        <f t="shared" si="69"/>
        <v>70.392418839311944</v>
      </c>
      <c r="DH16" s="343">
        <f t="shared" si="131"/>
        <v>58.866199999999992</v>
      </c>
      <c r="DI16" s="343">
        <f t="shared" si="132"/>
        <v>70.384069913718946</v>
      </c>
      <c r="DK16" s="350">
        <v>0.38529999999999998</v>
      </c>
      <c r="DL16" s="350">
        <v>0.29699999999999999</v>
      </c>
      <c r="DM16" s="350">
        <v>0</v>
      </c>
      <c r="DN16" s="350">
        <v>435.62920000000003</v>
      </c>
      <c r="DO16" s="350">
        <v>435.89170000000001</v>
      </c>
      <c r="DP16" s="351">
        <f t="shared" si="70"/>
        <v>36.988799999999998</v>
      </c>
      <c r="DQ16" s="351">
        <f t="shared" si="71"/>
        <v>51.677999999999997</v>
      </c>
      <c r="DR16" s="352">
        <f t="shared" si="72"/>
        <v>0</v>
      </c>
      <c r="DS16" s="352">
        <f t="shared" si="73"/>
        <v>0</v>
      </c>
      <c r="DT16" s="353">
        <f t="shared" si="74"/>
        <v>36.988799999999998</v>
      </c>
      <c r="DU16" s="353">
        <f t="shared" si="75"/>
        <v>51.677999999999997</v>
      </c>
      <c r="DV16" s="343">
        <f t="shared" si="133"/>
        <v>36.988799999999998</v>
      </c>
      <c r="DW16" s="343">
        <f t="shared" si="134"/>
        <v>51.677999999999997</v>
      </c>
      <c r="EB16" s="326"/>
      <c r="EC16" s="326"/>
      <c r="ED16" s="326"/>
      <c r="EE16" s="348">
        <f t="shared" si="76"/>
        <v>44671.151700000002</v>
      </c>
      <c r="EF16" s="348">
        <f t="shared" si="77"/>
        <v>42771.174233333331</v>
      </c>
      <c r="EG16" s="348">
        <f t="shared" si="78"/>
        <v>1146.1724708451945</v>
      </c>
      <c r="EH16" s="348">
        <f t="shared" si="79"/>
        <v>991.74086000885984</v>
      </c>
      <c r="EI16" s="354">
        <f t="shared" si="80"/>
        <v>0.51086417502271853</v>
      </c>
      <c r="EJ16" s="326"/>
      <c r="EK16" s="348">
        <f t="shared" si="81"/>
        <v>1146.1795156183052</v>
      </c>
      <c r="EL16" s="348">
        <f t="shared" si="82"/>
        <v>991.73491497701707</v>
      </c>
      <c r="EM16" s="348">
        <f t="shared" si="83"/>
        <v>1146.1724708451945</v>
      </c>
      <c r="EN16" s="348">
        <f t="shared" si="84"/>
        <v>991.7278702039066</v>
      </c>
      <c r="EP16" s="326"/>
      <c r="EQ16" s="326"/>
      <c r="ER16" s="326"/>
      <c r="ES16" s="348">
        <f t="shared" si="85"/>
        <v>33585.044199999997</v>
      </c>
      <c r="ET16" s="348">
        <f t="shared" si="86"/>
        <v>31346.114266666664</v>
      </c>
      <c r="EU16" s="348">
        <f t="shared" si="87"/>
        <v>868.40598804839317</v>
      </c>
      <c r="EV16" s="348">
        <f t="shared" si="88"/>
        <v>643.81804647742626</v>
      </c>
      <c r="EW16" s="354">
        <f t="shared" si="89"/>
        <v>0.51724079768638909</v>
      </c>
      <c r="EX16" s="326"/>
      <c r="EY16" s="348">
        <f t="shared" si="90"/>
        <v>868.41219792894447</v>
      </c>
      <c r="EZ16" s="348">
        <f t="shared" si="91"/>
        <v>643.81279956165224</v>
      </c>
      <c r="FA16" s="348">
        <f t="shared" si="92"/>
        <v>868.40598804839317</v>
      </c>
      <c r="FB16" s="348">
        <f t="shared" si="93"/>
        <v>643.80658968110106</v>
      </c>
      <c r="FD16" s="326"/>
      <c r="FE16" s="326"/>
      <c r="FF16" s="326"/>
      <c r="FG16" s="348">
        <f t="shared" si="94"/>
        <v>19838.639233333332</v>
      </c>
      <c r="FH16" s="348">
        <f t="shared" si="95"/>
        <v>18759.695866666665</v>
      </c>
      <c r="FI16" s="348">
        <f t="shared" si="96"/>
        <v>476.35343206633127</v>
      </c>
      <c r="FJ16" s="348">
        <f t="shared" si="97"/>
        <v>328.8264961625564</v>
      </c>
      <c r="FK16" s="354">
        <f t="shared" si="98"/>
        <v>0.51397655318385305</v>
      </c>
      <c r="FL16" s="326"/>
      <c r="FM16" s="348">
        <f t="shared" si="99"/>
        <v>476.35379769896736</v>
      </c>
      <c r="FN16" s="348">
        <f t="shared" si="100"/>
        <v>328.82613605926417</v>
      </c>
      <c r="FO16" s="348">
        <f t="shared" si="101"/>
        <v>476.35343206633127</v>
      </c>
      <c r="FP16" s="348">
        <f t="shared" si="102"/>
        <v>328.82577042662803</v>
      </c>
      <c r="FR16" s="326"/>
      <c r="FS16" s="326"/>
      <c r="FT16" s="326"/>
      <c r="FU16" s="348">
        <f t="shared" si="103"/>
        <v>11652.702499999999</v>
      </c>
      <c r="FV16" s="348">
        <f t="shared" si="104"/>
        <v>11179.6358</v>
      </c>
      <c r="FW16" s="349">
        <f t="shared" si="105"/>
        <v>44.969431250435143</v>
      </c>
      <c r="FX16" s="349">
        <f t="shared" si="106"/>
        <v>0</v>
      </c>
      <c r="FY16" s="354">
        <f t="shared" si="107"/>
        <v>0.51035957626819151</v>
      </c>
      <c r="FZ16" s="326"/>
      <c r="GA16" s="349">
        <f t="shared" si="108"/>
        <v>44.969431250435143</v>
      </c>
      <c r="GB16" s="349">
        <f t="shared" si="109"/>
        <v>0</v>
      </c>
      <c r="GC16" s="349">
        <f t="shared" si="18"/>
        <v>44.969431250435143</v>
      </c>
      <c r="GD16" s="349">
        <f t="shared" si="19"/>
        <v>0</v>
      </c>
      <c r="GF16" s="326"/>
      <c r="GG16" s="326"/>
      <c r="GH16" s="326"/>
      <c r="GI16" s="348">
        <f t="shared" si="135"/>
        <v>23155.501700000001</v>
      </c>
      <c r="GJ16" s="348">
        <f t="shared" si="136"/>
        <v>22151.698400000001</v>
      </c>
      <c r="GK16" s="348">
        <f t="shared" si="137"/>
        <v>132.06594678903693</v>
      </c>
      <c r="GL16" s="348">
        <f t="shared" si="138"/>
        <v>142.59725704324634</v>
      </c>
      <c r="GM16" s="354">
        <f t="shared" si="114"/>
        <v>0.51107774589672783</v>
      </c>
      <c r="GN16" s="326"/>
      <c r="GO16" s="348">
        <f t="shared" si="115"/>
        <v>132.07299156214745</v>
      </c>
      <c r="GP16" s="348">
        <f t="shared" si="116"/>
        <v>142.59131201140363</v>
      </c>
      <c r="GQ16" s="348">
        <f t="shared" si="20"/>
        <v>132.06594678903693</v>
      </c>
      <c r="GR16" s="348">
        <f t="shared" si="21"/>
        <v>142.58426723829311</v>
      </c>
    </row>
    <row r="17" spans="1:203" x14ac:dyDescent="0.2">
      <c r="A17" s="320">
        <v>7</v>
      </c>
      <c r="C17" s="350">
        <v>0.80419355465634035</v>
      </c>
      <c r="D17" s="350">
        <v>0.31736175634089292</v>
      </c>
      <c r="E17" s="350">
        <v>0</v>
      </c>
      <c r="F17" s="350">
        <v>13537.697500000002</v>
      </c>
      <c r="G17" s="350">
        <v>12976.785833333335</v>
      </c>
      <c r="H17" s="351">
        <f t="shared" si="22"/>
        <v>825.10258707740525</v>
      </c>
      <c r="I17" s="351">
        <f t="shared" si="23"/>
        <v>754.05153306596162</v>
      </c>
      <c r="J17" s="352">
        <f t="shared" si="24"/>
        <v>0</v>
      </c>
      <c r="K17" s="352">
        <f t="shared" si="25"/>
        <v>0</v>
      </c>
      <c r="L17" s="353">
        <f t="shared" si="26"/>
        <v>825.10258707740525</v>
      </c>
      <c r="M17" s="353">
        <f t="shared" si="27"/>
        <v>754.05153306596162</v>
      </c>
      <c r="N17" s="343">
        <f t="shared" si="117"/>
        <v>825.10258707740525</v>
      </c>
      <c r="O17" s="343">
        <f t="shared" si="118"/>
        <v>754.05153306596162</v>
      </c>
      <c r="Q17" s="350">
        <v>0.8619059940831415</v>
      </c>
      <c r="R17" s="350">
        <v>0.25759276408029058</v>
      </c>
      <c r="S17" s="350">
        <v>0</v>
      </c>
      <c r="T17" s="350">
        <v>1856.0491666666662</v>
      </c>
      <c r="U17" s="350">
        <v>878.20083333333321</v>
      </c>
      <c r="V17" s="351">
        <f t="shared" si="28"/>
        <v>606.78181983453157</v>
      </c>
      <c r="W17" s="351">
        <f t="shared" si="29"/>
        <v>432.24065812672762</v>
      </c>
      <c r="X17" s="352">
        <f t="shared" si="30"/>
        <v>0</v>
      </c>
      <c r="Y17" s="352">
        <f t="shared" si="31"/>
        <v>0</v>
      </c>
      <c r="Z17" s="353">
        <f t="shared" si="32"/>
        <v>606.78181983453157</v>
      </c>
      <c r="AA17" s="353">
        <f t="shared" si="33"/>
        <v>432.24065812672762</v>
      </c>
      <c r="AB17" s="343">
        <f t="shared" si="119"/>
        <v>606.78181983453157</v>
      </c>
      <c r="AC17" s="343">
        <f t="shared" si="120"/>
        <v>432.24065812672762</v>
      </c>
      <c r="AE17" s="350">
        <v>0.77400000000000002</v>
      </c>
      <c r="AF17" s="350">
        <v>0.15</v>
      </c>
      <c r="AG17" s="350">
        <v>0</v>
      </c>
      <c r="AH17" s="350">
        <v>110.16</v>
      </c>
      <c r="AI17" s="350">
        <v>47.583333333333329</v>
      </c>
      <c r="AJ17" s="351">
        <f t="shared" si="34"/>
        <v>275.54399999999998</v>
      </c>
      <c r="AK17" s="351">
        <f t="shared" si="35"/>
        <v>114.89999999999999</v>
      </c>
      <c r="AL17" s="352">
        <f t="shared" si="36"/>
        <v>0</v>
      </c>
      <c r="AM17" s="352">
        <f t="shared" si="37"/>
        <v>0</v>
      </c>
      <c r="AN17" s="353">
        <f t="shared" si="38"/>
        <v>275.54399999999998</v>
      </c>
      <c r="AO17" s="353">
        <f t="shared" si="39"/>
        <v>114.89999999999999</v>
      </c>
      <c r="AP17" s="343">
        <f t="shared" si="121"/>
        <v>275.54399999999998</v>
      </c>
      <c r="AQ17" s="343">
        <f t="shared" si="122"/>
        <v>114.89999999999999</v>
      </c>
      <c r="AS17" s="350">
        <v>0.5575</v>
      </c>
      <c r="AT17" s="350">
        <v>0.12866289853378379</v>
      </c>
      <c r="AU17" s="350">
        <v>0</v>
      </c>
      <c r="AV17" s="350">
        <v>8833.4941999999992</v>
      </c>
      <c r="AW17" s="350">
        <v>8232.2191999999995</v>
      </c>
      <c r="AX17" s="351">
        <f t="shared" si="40"/>
        <v>140.49</v>
      </c>
      <c r="AY17" s="351">
        <f t="shared" si="41"/>
        <v>64.460112165425684</v>
      </c>
      <c r="AZ17" s="352">
        <f t="shared" si="42"/>
        <v>0</v>
      </c>
      <c r="BA17" s="352">
        <f t="shared" si="43"/>
        <v>0</v>
      </c>
      <c r="BB17" s="353">
        <f t="shared" si="44"/>
        <v>140.49</v>
      </c>
      <c r="BC17" s="353">
        <f t="shared" si="45"/>
        <v>64.460112165425684</v>
      </c>
      <c r="BD17" s="343">
        <f t="shared" si="123"/>
        <v>140.49</v>
      </c>
      <c r="BE17" s="343">
        <f t="shared" si="124"/>
        <v>64.460112165425684</v>
      </c>
      <c r="BG17" s="350">
        <v>0.3628735211791464</v>
      </c>
      <c r="BH17" s="350">
        <v>0.11776703332557591</v>
      </c>
      <c r="BI17" s="350">
        <v>5.8929091407956146E-5</v>
      </c>
      <c r="BJ17" s="350">
        <v>8851.0774999999994</v>
      </c>
      <c r="BK17" s="350">
        <v>8252.3024999999998</v>
      </c>
      <c r="BL17" s="351">
        <f t="shared" si="46"/>
        <v>86.001024519457701</v>
      </c>
      <c r="BM17" s="351">
        <f t="shared" si="47"/>
        <v>56.763710062927586</v>
      </c>
      <c r="BN17" s="352">
        <f t="shared" si="48"/>
        <v>1.0607236453432107E-2</v>
      </c>
      <c r="BO17" s="352">
        <f t="shared" si="49"/>
        <v>4.2174707666624688E-3</v>
      </c>
      <c r="BP17" s="353">
        <f t="shared" si="50"/>
        <v>86.005241990224363</v>
      </c>
      <c r="BQ17" s="353">
        <f t="shared" si="51"/>
        <v>56.757320297240817</v>
      </c>
      <c r="BR17" s="343">
        <f t="shared" si="125"/>
        <v>86.001024519457701</v>
      </c>
      <c r="BS17" s="343">
        <f t="shared" si="126"/>
        <v>56.753102826474155</v>
      </c>
      <c r="BU17" s="350">
        <v>0.38502689933859768</v>
      </c>
      <c r="BV17" s="350">
        <v>0.26552893964119989</v>
      </c>
      <c r="BW17" s="350">
        <v>0</v>
      </c>
      <c r="BX17" s="350">
        <v>3183.3217</v>
      </c>
      <c r="BY17" s="350">
        <v>3090.9733000000001</v>
      </c>
      <c r="BZ17" s="351">
        <f t="shared" si="52"/>
        <v>70.074895679624774</v>
      </c>
      <c r="CA17" s="351">
        <f t="shared" si="53"/>
        <v>81.517384469848366</v>
      </c>
      <c r="CB17" s="352">
        <f t="shared" si="54"/>
        <v>0</v>
      </c>
      <c r="CC17" s="352">
        <f t="shared" si="55"/>
        <v>0</v>
      </c>
      <c r="CD17" s="353">
        <f t="shared" si="56"/>
        <v>70.074895679624774</v>
      </c>
      <c r="CE17" s="353">
        <f t="shared" si="57"/>
        <v>81.517384469848366</v>
      </c>
      <c r="CF17" s="343">
        <f t="shared" si="127"/>
        <v>70.074895679624774</v>
      </c>
      <c r="CG17" s="343">
        <f t="shared" si="128"/>
        <v>81.517384469848366</v>
      </c>
      <c r="CI17" s="350">
        <v>0.53472658905634485</v>
      </c>
      <c r="CJ17" s="350">
        <v>0.435526687015865</v>
      </c>
      <c r="CK17" s="350">
        <v>8.0115832823821672E-4</v>
      </c>
      <c r="CL17" s="350">
        <v>16245.550800000001</v>
      </c>
      <c r="CM17" s="350">
        <v>15570.105799999999</v>
      </c>
      <c r="CN17" s="351">
        <f t="shared" si="58"/>
        <v>96.785512619198414</v>
      </c>
      <c r="CO17" s="351">
        <f t="shared" si="59"/>
        <v>98.864557952601359</v>
      </c>
      <c r="CP17" s="352">
        <f t="shared" si="60"/>
        <v>3.2046333129528669E-3</v>
      </c>
      <c r="CQ17" s="352">
        <f t="shared" si="61"/>
        <v>1.6193434275762098E-3</v>
      </c>
      <c r="CR17" s="353">
        <f t="shared" si="62"/>
        <v>96.787131962625992</v>
      </c>
      <c r="CS17" s="353">
        <f t="shared" si="63"/>
        <v>98.86297266271599</v>
      </c>
      <c r="CT17" s="343">
        <f t="shared" si="129"/>
        <v>96.785512619198414</v>
      </c>
      <c r="CU17" s="343">
        <f t="shared" si="130"/>
        <v>98.861353319288412</v>
      </c>
      <c r="CW17" s="350">
        <v>0.58540000000000003</v>
      </c>
      <c r="CX17" s="350">
        <v>0.53969999999999996</v>
      </c>
      <c r="CY17" s="350">
        <v>8.0168632980587139E-3</v>
      </c>
      <c r="CZ17" s="350">
        <v>6842.65</v>
      </c>
      <c r="DA17" s="350">
        <v>6576.6566999999995</v>
      </c>
      <c r="DB17" s="351">
        <f t="shared" si="64"/>
        <v>111.81140000000001</v>
      </c>
      <c r="DC17" s="351">
        <f t="shared" si="65"/>
        <v>141.4014</v>
      </c>
      <c r="DD17" s="352">
        <f t="shared" si="66"/>
        <v>2.405058989417614E-2</v>
      </c>
      <c r="DE17" s="352">
        <f t="shared" si="67"/>
        <v>1.3430549647815426E-2</v>
      </c>
      <c r="DF17" s="353">
        <f t="shared" si="68"/>
        <v>111.82483054964783</v>
      </c>
      <c r="DG17" s="353">
        <f t="shared" si="69"/>
        <v>141.39077995975362</v>
      </c>
      <c r="DH17" s="343">
        <f t="shared" si="131"/>
        <v>111.81140000000001</v>
      </c>
      <c r="DI17" s="343">
        <f t="shared" si="132"/>
        <v>141.37734941010581</v>
      </c>
      <c r="DK17" s="350">
        <v>0.72170000000000001</v>
      </c>
      <c r="DL17" s="350">
        <v>0.59250000000000003</v>
      </c>
      <c r="DM17" s="350">
        <v>0</v>
      </c>
      <c r="DN17" s="350">
        <v>445.66669999999999</v>
      </c>
      <c r="DO17" s="350">
        <v>428.32920000000001</v>
      </c>
      <c r="DP17" s="351">
        <f t="shared" si="70"/>
        <v>69.283199999999994</v>
      </c>
      <c r="DQ17" s="351">
        <f t="shared" si="71"/>
        <v>103.095</v>
      </c>
      <c r="DR17" s="352">
        <f t="shared" si="72"/>
        <v>0</v>
      </c>
      <c r="DS17" s="352">
        <f t="shared" si="73"/>
        <v>0</v>
      </c>
      <c r="DT17" s="353">
        <f t="shared" si="74"/>
        <v>69.283199999999994</v>
      </c>
      <c r="DU17" s="353">
        <f t="shared" si="75"/>
        <v>103.095</v>
      </c>
      <c r="DV17" s="343">
        <f t="shared" si="133"/>
        <v>69.283199999999994</v>
      </c>
      <c r="DW17" s="343">
        <f t="shared" si="134"/>
        <v>103.095</v>
      </c>
      <c r="EA17" s="356"/>
      <c r="EB17" s="326"/>
      <c r="EC17" s="326"/>
      <c r="ED17" s="326"/>
      <c r="EE17" s="348">
        <f t="shared" si="76"/>
        <v>45459.392500000009</v>
      </c>
      <c r="EF17" s="348">
        <f t="shared" si="77"/>
        <v>43355.767533333332</v>
      </c>
      <c r="EG17" s="348">
        <f t="shared" si="78"/>
        <v>1151.8272196966036</v>
      </c>
      <c r="EH17" s="348">
        <f t="shared" si="79"/>
        <v>1030.4973231839886</v>
      </c>
      <c r="EI17" s="354">
        <f t="shared" si="80"/>
        <v>0.51184271337166509</v>
      </c>
      <c r="EJ17" s="326"/>
      <c r="EK17" s="348">
        <f t="shared" si="81"/>
        <v>1151.8395834797495</v>
      </c>
      <c r="EL17" s="348">
        <f t="shared" si="82"/>
        <v>1030.4872418619061</v>
      </c>
      <c r="EM17" s="348">
        <f t="shared" si="83"/>
        <v>1151.8272196966036</v>
      </c>
      <c r="EN17" s="348">
        <f t="shared" si="84"/>
        <v>1030.4748780787604</v>
      </c>
      <c r="EO17" s="356"/>
      <c r="EP17" s="326"/>
      <c r="EQ17" s="326"/>
      <c r="ER17" s="326"/>
      <c r="ES17" s="348">
        <f t="shared" si="85"/>
        <v>33795.327466666669</v>
      </c>
      <c r="ET17" s="348">
        <f t="shared" si="86"/>
        <v>31277.265833333331</v>
      </c>
      <c r="EU17" s="348">
        <f t="shared" si="87"/>
        <v>867.83633697318771</v>
      </c>
      <c r="EV17" s="348">
        <f t="shared" si="88"/>
        <v>686.84990614225649</v>
      </c>
      <c r="EW17" s="354">
        <f t="shared" si="89"/>
        <v>0.51934809653062752</v>
      </c>
      <c r="EX17" s="326"/>
      <c r="EY17" s="348">
        <f t="shared" si="90"/>
        <v>867.85157517213531</v>
      </c>
      <c r="EZ17" s="348">
        <f t="shared" si="91"/>
        <v>686.83449705851194</v>
      </c>
      <c r="FA17" s="348">
        <f t="shared" si="92"/>
        <v>867.83633697318771</v>
      </c>
      <c r="FB17" s="348">
        <f t="shared" si="93"/>
        <v>686.81925885956434</v>
      </c>
      <c r="FC17" s="356"/>
      <c r="FD17" s="326"/>
      <c r="FE17" s="326"/>
      <c r="FF17" s="326"/>
      <c r="FG17" s="348">
        <f t="shared" si="94"/>
        <v>19984.699200000003</v>
      </c>
      <c r="FH17" s="348">
        <f t="shared" si="95"/>
        <v>19136.991633333331</v>
      </c>
      <c r="FI17" s="348">
        <f t="shared" si="96"/>
        <v>483.97432829882314</v>
      </c>
      <c r="FJ17" s="348">
        <f t="shared" si="97"/>
        <v>357.13894242244965</v>
      </c>
      <c r="FK17" s="354">
        <f t="shared" si="98"/>
        <v>0.51083423988853249</v>
      </c>
      <c r="FL17" s="326"/>
      <c r="FM17" s="348">
        <f t="shared" si="99"/>
        <v>483.97594764225073</v>
      </c>
      <c r="FN17" s="348">
        <f t="shared" si="100"/>
        <v>357.13735713256438</v>
      </c>
      <c r="FO17" s="348">
        <f t="shared" si="101"/>
        <v>483.97432829882314</v>
      </c>
      <c r="FP17" s="348">
        <f t="shared" si="102"/>
        <v>357.13573778913678</v>
      </c>
      <c r="FQ17" s="356"/>
      <c r="FR17" s="326"/>
      <c r="FS17" s="326"/>
      <c r="FT17" s="326"/>
      <c r="FU17" s="348">
        <f t="shared" si="103"/>
        <v>12016.8159</v>
      </c>
      <c r="FV17" s="348">
        <f t="shared" si="104"/>
        <v>11323.192499999999</v>
      </c>
      <c r="FW17" s="349">
        <f t="shared" si="105"/>
        <v>63.373593888337716</v>
      </c>
      <c r="FX17" s="349">
        <f t="shared" si="106"/>
        <v>0</v>
      </c>
      <c r="FY17" s="354">
        <f t="shared" si="107"/>
        <v>0.51485910776278898</v>
      </c>
      <c r="FZ17" s="326"/>
      <c r="GA17" s="349">
        <f t="shared" si="108"/>
        <v>63.373593888337716</v>
      </c>
      <c r="GB17" s="349">
        <f t="shared" si="109"/>
        <v>0</v>
      </c>
      <c r="GC17" s="349">
        <f t="shared" si="18"/>
        <v>63.373593888337716</v>
      </c>
      <c r="GD17" s="349">
        <f t="shared" si="19"/>
        <v>0</v>
      </c>
      <c r="GE17" s="356"/>
      <c r="GF17" s="326"/>
      <c r="GG17" s="326"/>
      <c r="GH17" s="326"/>
      <c r="GI17" s="348">
        <f t="shared" si="135"/>
        <v>23088.200799999999</v>
      </c>
      <c r="GJ17" s="348">
        <f t="shared" si="136"/>
        <v>22146.762499999997</v>
      </c>
      <c r="GK17" s="348">
        <f t="shared" si="137"/>
        <v>186.23463261919841</v>
      </c>
      <c r="GL17" s="348">
        <f t="shared" si="138"/>
        <v>211.98567795260135</v>
      </c>
      <c r="GM17" s="354">
        <f t="shared" si="114"/>
        <v>0.5104060911219972</v>
      </c>
      <c r="GN17" s="326"/>
      <c r="GO17" s="348">
        <f t="shared" si="115"/>
        <v>186.24699640234428</v>
      </c>
      <c r="GP17" s="348">
        <f t="shared" si="116"/>
        <v>211.97559663051891</v>
      </c>
      <c r="GQ17" s="348">
        <f t="shared" si="20"/>
        <v>186.23463261919841</v>
      </c>
      <c r="GR17" s="348">
        <f t="shared" si="21"/>
        <v>211.96323284737306</v>
      </c>
      <c r="GS17" s="356"/>
      <c r="GT17" s="356"/>
      <c r="GU17" s="356"/>
    </row>
    <row r="18" spans="1:203" x14ac:dyDescent="0.2">
      <c r="A18" s="320">
        <v>8</v>
      </c>
      <c r="C18" s="350">
        <v>0.7612470515587384</v>
      </c>
      <c r="D18" s="350">
        <v>0.30988679273258851</v>
      </c>
      <c r="E18" s="350">
        <v>0</v>
      </c>
      <c r="F18" s="350">
        <v>13882.804166666669</v>
      </c>
      <c r="G18" s="350">
        <v>13233.575000000001</v>
      </c>
      <c r="H18" s="351">
        <f t="shared" si="22"/>
        <v>781.03947489926554</v>
      </c>
      <c r="I18" s="351">
        <f t="shared" si="23"/>
        <v>736.29101953263034</v>
      </c>
      <c r="J18" s="352">
        <f t="shared" si="24"/>
        <v>0</v>
      </c>
      <c r="K18" s="352">
        <f t="shared" si="25"/>
        <v>0</v>
      </c>
      <c r="L18" s="353">
        <f t="shared" si="26"/>
        <v>781.03947489926554</v>
      </c>
      <c r="M18" s="353">
        <f t="shared" si="27"/>
        <v>736.29101953263034</v>
      </c>
      <c r="N18" s="343">
        <f t="shared" si="117"/>
        <v>781.03947489926554</v>
      </c>
      <c r="O18" s="343">
        <f t="shared" si="118"/>
        <v>736.29101953263034</v>
      </c>
      <c r="Q18" s="350">
        <v>0.8156526134122094</v>
      </c>
      <c r="R18" s="350">
        <v>0.24905977359323273</v>
      </c>
      <c r="S18" s="350">
        <v>0</v>
      </c>
      <c r="T18" s="350">
        <v>1811.3783333333333</v>
      </c>
      <c r="U18" s="350">
        <v>883.85749999999996</v>
      </c>
      <c r="V18" s="351">
        <f t="shared" si="28"/>
        <v>574.21943984219547</v>
      </c>
      <c r="W18" s="351">
        <f t="shared" si="29"/>
        <v>417.92230008944449</v>
      </c>
      <c r="X18" s="352">
        <f t="shared" si="30"/>
        <v>0</v>
      </c>
      <c r="Y18" s="352">
        <f t="shared" si="31"/>
        <v>0</v>
      </c>
      <c r="Z18" s="353">
        <f t="shared" si="32"/>
        <v>574.21943984219547</v>
      </c>
      <c r="AA18" s="353">
        <f t="shared" si="33"/>
        <v>417.92230008944449</v>
      </c>
      <c r="AB18" s="343">
        <f t="shared" si="119"/>
        <v>574.21943984219547</v>
      </c>
      <c r="AC18" s="343">
        <f t="shared" si="120"/>
        <v>417.92230008944449</v>
      </c>
      <c r="AE18" s="350">
        <v>0.76</v>
      </c>
      <c r="AF18" s="350">
        <v>0.14799999999999999</v>
      </c>
      <c r="AG18" s="350">
        <v>0</v>
      </c>
      <c r="AH18" s="350">
        <v>143.48166666666665</v>
      </c>
      <c r="AI18" s="350">
        <v>38.46</v>
      </c>
      <c r="AJ18" s="351">
        <f t="shared" si="34"/>
        <v>270.56</v>
      </c>
      <c r="AK18" s="351">
        <f t="shared" si="35"/>
        <v>113.36799999999999</v>
      </c>
      <c r="AL18" s="352">
        <f t="shared" si="36"/>
        <v>0</v>
      </c>
      <c r="AM18" s="352">
        <f t="shared" si="37"/>
        <v>0</v>
      </c>
      <c r="AN18" s="353">
        <f t="shared" si="38"/>
        <v>270.56</v>
      </c>
      <c r="AO18" s="353">
        <f t="shared" si="39"/>
        <v>113.36799999999999</v>
      </c>
      <c r="AP18" s="343">
        <f t="shared" si="121"/>
        <v>270.56</v>
      </c>
      <c r="AQ18" s="343">
        <f t="shared" si="122"/>
        <v>113.36799999999999</v>
      </c>
      <c r="AS18" s="350">
        <v>0.5675</v>
      </c>
      <c r="AT18" s="350">
        <v>0.15052769805279689</v>
      </c>
      <c r="AU18" s="350">
        <v>0</v>
      </c>
      <c r="AV18" s="350">
        <v>8820.6358</v>
      </c>
      <c r="AW18" s="350">
        <v>8465.0841999999993</v>
      </c>
      <c r="AX18" s="351">
        <f t="shared" si="40"/>
        <v>143.01</v>
      </c>
      <c r="AY18" s="351">
        <f t="shared" si="41"/>
        <v>75.414376724451245</v>
      </c>
      <c r="AZ18" s="352">
        <f t="shared" si="42"/>
        <v>0</v>
      </c>
      <c r="BA18" s="352">
        <f t="shared" si="43"/>
        <v>0</v>
      </c>
      <c r="BB18" s="353">
        <f t="shared" si="44"/>
        <v>143.01</v>
      </c>
      <c r="BC18" s="353">
        <f t="shared" si="45"/>
        <v>75.414376724451245</v>
      </c>
      <c r="BD18" s="343">
        <f t="shared" si="123"/>
        <v>143.01</v>
      </c>
      <c r="BE18" s="343">
        <f t="shared" si="124"/>
        <v>75.414376724451245</v>
      </c>
      <c r="BG18" s="350">
        <v>0.37733792232872737</v>
      </c>
      <c r="BH18" s="350">
        <v>0.14625955016200307</v>
      </c>
      <c r="BI18" s="350">
        <v>7.790036541220994E-5</v>
      </c>
      <c r="BJ18" s="350">
        <v>8862.5066999999999</v>
      </c>
      <c r="BK18" s="350">
        <v>8500.7507999999998</v>
      </c>
      <c r="BL18" s="351">
        <f t="shared" si="46"/>
        <v>89.429087591908385</v>
      </c>
      <c r="BM18" s="351">
        <f t="shared" si="47"/>
        <v>70.497103178085482</v>
      </c>
      <c r="BN18" s="352">
        <f t="shared" si="48"/>
        <v>1.4022065774197789E-2</v>
      </c>
      <c r="BO18" s="352">
        <f t="shared" si="49"/>
        <v>6.1810702355513912E-3</v>
      </c>
      <c r="BP18" s="353">
        <f t="shared" si="50"/>
        <v>89.43526866214394</v>
      </c>
      <c r="BQ18" s="353">
        <f t="shared" si="51"/>
        <v>70.489262182546838</v>
      </c>
      <c r="BR18" s="343">
        <f t="shared" si="125"/>
        <v>89.429087591908385</v>
      </c>
      <c r="BS18" s="343">
        <f t="shared" si="126"/>
        <v>70.483081112311282</v>
      </c>
      <c r="BU18" s="350">
        <v>0.36442448459927734</v>
      </c>
      <c r="BV18" s="350">
        <v>0.2496693237989045</v>
      </c>
      <c r="BW18" s="350">
        <v>0</v>
      </c>
      <c r="BX18" s="350">
        <v>3360.79</v>
      </c>
      <c r="BY18" s="350">
        <v>3126.9483</v>
      </c>
      <c r="BZ18" s="351">
        <f t="shared" si="52"/>
        <v>66.32525619706847</v>
      </c>
      <c r="CA18" s="351">
        <f t="shared" si="53"/>
        <v>76.648482406263682</v>
      </c>
      <c r="CB18" s="352">
        <f t="shared" si="54"/>
        <v>0</v>
      </c>
      <c r="CC18" s="352">
        <f t="shared" si="55"/>
        <v>0</v>
      </c>
      <c r="CD18" s="353">
        <f t="shared" si="56"/>
        <v>66.32525619706847</v>
      </c>
      <c r="CE18" s="353">
        <f t="shared" si="57"/>
        <v>76.648482406263682</v>
      </c>
      <c r="CF18" s="343">
        <f t="shared" si="127"/>
        <v>66.32525619706847</v>
      </c>
      <c r="CG18" s="343">
        <f t="shared" si="128"/>
        <v>76.648482406263682</v>
      </c>
      <c r="CI18" s="350">
        <v>0.58641629667874251</v>
      </c>
      <c r="CJ18" s="350">
        <v>0.47890156920175708</v>
      </c>
      <c r="CK18" s="350">
        <v>1.8555651790134839E-3</v>
      </c>
      <c r="CL18" s="350">
        <v>15803.234200000001</v>
      </c>
      <c r="CM18" s="350">
        <v>14757.449199999999</v>
      </c>
      <c r="CN18" s="351">
        <f t="shared" si="58"/>
        <v>106.14134969885239</v>
      </c>
      <c r="CO18" s="351">
        <f t="shared" si="59"/>
        <v>108.71065620879885</v>
      </c>
      <c r="CP18" s="352">
        <f t="shared" si="60"/>
        <v>7.4222607160539357E-3</v>
      </c>
      <c r="CQ18" s="352">
        <f t="shared" si="61"/>
        <v>3.7555098896392401E-3</v>
      </c>
      <c r="CR18" s="353">
        <f t="shared" si="62"/>
        <v>106.14510520874204</v>
      </c>
      <c r="CS18" s="353">
        <f t="shared" si="63"/>
        <v>108.70698945797244</v>
      </c>
      <c r="CT18" s="343">
        <f t="shared" si="129"/>
        <v>106.14134969885239</v>
      </c>
      <c r="CU18" s="343">
        <f t="shared" si="130"/>
        <v>108.7032339480828</v>
      </c>
      <c r="CW18" s="350">
        <v>0.96789999999999998</v>
      </c>
      <c r="CX18" s="350">
        <v>0.91600000000000004</v>
      </c>
      <c r="CY18" s="350">
        <v>1.1406807407400629E-2</v>
      </c>
      <c r="CZ18" s="350">
        <v>6583.7407999999996</v>
      </c>
      <c r="DA18" s="350">
        <v>6072.7433000000001</v>
      </c>
      <c r="DB18" s="351">
        <f t="shared" si="64"/>
        <v>184.8689</v>
      </c>
      <c r="DC18" s="351">
        <f t="shared" si="65"/>
        <v>239.99200000000002</v>
      </c>
      <c r="DD18" s="352">
        <f t="shared" si="66"/>
        <v>3.4220422222201882E-2</v>
      </c>
      <c r="DE18" s="352">
        <f t="shared" si="67"/>
        <v>1.9330156222779442E-2</v>
      </c>
      <c r="DF18" s="353">
        <f t="shared" si="68"/>
        <v>184.88823015622279</v>
      </c>
      <c r="DG18" s="353">
        <f t="shared" si="69"/>
        <v>239.97710973400061</v>
      </c>
      <c r="DH18" s="343">
        <f t="shared" si="131"/>
        <v>184.8689</v>
      </c>
      <c r="DI18" s="343">
        <f t="shared" si="132"/>
        <v>239.95777957777781</v>
      </c>
      <c r="DK18" s="350">
        <v>1.1276999999999999</v>
      </c>
      <c r="DL18" s="350">
        <v>1.0179</v>
      </c>
      <c r="DM18" s="350">
        <v>0</v>
      </c>
      <c r="DN18" s="350">
        <v>369.75330000000002</v>
      </c>
      <c r="DO18" s="350">
        <v>362.08330000000001</v>
      </c>
      <c r="DP18" s="351">
        <f t="shared" si="70"/>
        <v>108.25919999999999</v>
      </c>
      <c r="DQ18" s="351">
        <f t="shared" si="71"/>
        <v>177.1146</v>
      </c>
      <c r="DR18" s="352">
        <f t="shared" si="72"/>
        <v>0</v>
      </c>
      <c r="DS18" s="352">
        <f t="shared" si="73"/>
        <v>0</v>
      </c>
      <c r="DT18" s="353">
        <f t="shared" si="74"/>
        <v>108.25919999999999</v>
      </c>
      <c r="DU18" s="353">
        <f t="shared" si="75"/>
        <v>177.1146</v>
      </c>
      <c r="DV18" s="343">
        <f t="shared" si="133"/>
        <v>108.25919999999999</v>
      </c>
      <c r="DW18" s="343">
        <f t="shared" si="134"/>
        <v>177.1146</v>
      </c>
      <c r="EB18" s="326"/>
      <c r="EC18" s="326"/>
      <c r="ED18" s="326"/>
      <c r="EE18" s="348">
        <f t="shared" si="76"/>
        <v>45090.414966666671</v>
      </c>
      <c r="EF18" s="348">
        <f t="shared" si="77"/>
        <v>42528.851699999999</v>
      </c>
      <c r="EG18" s="348">
        <f t="shared" si="78"/>
        <v>1178.0859445981177</v>
      </c>
      <c r="EH18" s="348">
        <f t="shared" si="79"/>
        <v>1112.4096524658803</v>
      </c>
      <c r="EI18" s="354">
        <f t="shared" si="80"/>
        <v>0.51461757992344159</v>
      </c>
      <c r="EJ18" s="326"/>
      <c r="EK18" s="348">
        <f t="shared" si="81"/>
        <v>1178.1051642329858</v>
      </c>
      <c r="EL18" s="348">
        <f t="shared" si="82"/>
        <v>1112.3940735022545</v>
      </c>
      <c r="EM18" s="348">
        <f t="shared" si="83"/>
        <v>1178.0859445981177</v>
      </c>
      <c r="EN18" s="348">
        <f t="shared" si="84"/>
        <v>1112.3748538673867</v>
      </c>
      <c r="EP18" s="326"/>
      <c r="EQ18" s="326"/>
      <c r="ER18" s="326"/>
      <c r="ES18" s="348">
        <f t="shared" si="85"/>
        <v>33060.860033333331</v>
      </c>
      <c r="ET18" s="348">
        <f t="shared" si="86"/>
        <v>30214.800799999997</v>
      </c>
      <c r="EU18" s="348">
        <f t="shared" si="87"/>
        <v>899.19810713295624</v>
      </c>
      <c r="EV18" s="348">
        <f t="shared" si="88"/>
        <v>765.12445947632887</v>
      </c>
      <c r="EW18" s="354">
        <f t="shared" si="89"/>
        <v>0.52248936791691347</v>
      </c>
      <c r="EX18" s="326"/>
      <c r="EY18" s="348">
        <f t="shared" si="90"/>
        <v>899.22157482243733</v>
      </c>
      <c r="EZ18" s="348">
        <f t="shared" si="91"/>
        <v>765.10252854376415</v>
      </c>
      <c r="FA18" s="348">
        <f t="shared" si="92"/>
        <v>899.19810713295624</v>
      </c>
      <c r="FB18" s="348">
        <f t="shared" si="93"/>
        <v>765.07906085428306</v>
      </c>
      <c r="FD18" s="326"/>
      <c r="FE18" s="326"/>
      <c r="FF18" s="326"/>
      <c r="FG18" s="348">
        <f t="shared" si="94"/>
        <v>19677.259166666667</v>
      </c>
      <c r="FH18" s="348">
        <f t="shared" si="95"/>
        <v>18284.940799999997</v>
      </c>
      <c r="FI18" s="348">
        <f t="shared" si="96"/>
        <v>507.98212589592083</v>
      </c>
      <c r="FJ18" s="348">
        <f t="shared" si="97"/>
        <v>404.99589861506252</v>
      </c>
      <c r="FK18" s="354">
        <f t="shared" si="98"/>
        <v>0.51833822022813769</v>
      </c>
      <c r="FL18" s="326"/>
      <c r="FM18" s="348">
        <f t="shared" si="99"/>
        <v>507.98588140581052</v>
      </c>
      <c r="FN18" s="348">
        <f t="shared" si="100"/>
        <v>404.99223186423609</v>
      </c>
      <c r="FO18" s="348">
        <f t="shared" si="101"/>
        <v>507.98212589592083</v>
      </c>
      <c r="FP18" s="348">
        <f t="shared" si="102"/>
        <v>404.98847635434646</v>
      </c>
      <c r="FR18" s="326"/>
      <c r="FS18" s="326"/>
      <c r="FT18" s="326"/>
      <c r="FU18" s="348">
        <f t="shared" si="103"/>
        <v>12181.425800000001</v>
      </c>
      <c r="FV18" s="348">
        <f t="shared" si="104"/>
        <v>11592.032499999999</v>
      </c>
      <c r="FW18" s="349">
        <f t="shared" si="105"/>
        <v>69.016269422638373</v>
      </c>
      <c r="FX18" s="349">
        <f t="shared" si="106"/>
        <v>0</v>
      </c>
      <c r="FY18" s="354">
        <f t="shared" si="107"/>
        <v>0.51239603621320851</v>
      </c>
      <c r="FZ18" s="326"/>
      <c r="GA18" s="349">
        <f t="shared" si="108"/>
        <v>69.016269422638373</v>
      </c>
      <c r="GB18" s="349">
        <f t="shared" si="109"/>
        <v>0</v>
      </c>
      <c r="GC18" s="349">
        <f t="shared" si="18"/>
        <v>69.016269422638373</v>
      </c>
      <c r="GD18" s="349">
        <f t="shared" si="19"/>
        <v>0</v>
      </c>
      <c r="GF18" s="326"/>
      <c r="GG18" s="326"/>
      <c r="GH18" s="326"/>
      <c r="GI18" s="348">
        <f t="shared" si="135"/>
        <v>22386.974999999999</v>
      </c>
      <c r="GJ18" s="348">
        <f t="shared" si="136"/>
        <v>20830.192499999997</v>
      </c>
      <c r="GK18" s="348">
        <f t="shared" si="137"/>
        <v>254.03646969885239</v>
      </c>
      <c r="GL18" s="348">
        <f t="shared" si="138"/>
        <v>300.70425620879888</v>
      </c>
      <c r="GM18" s="354">
        <f t="shared" si="114"/>
        <v>0.51801115841291545</v>
      </c>
      <c r="GN18" s="326"/>
      <c r="GO18" s="348">
        <f t="shared" si="115"/>
        <v>254.0556893337203</v>
      </c>
      <c r="GP18" s="348">
        <f t="shared" si="116"/>
        <v>300.68867724517293</v>
      </c>
      <c r="GQ18" s="348">
        <f t="shared" si="20"/>
        <v>254.03646969885239</v>
      </c>
      <c r="GR18" s="348">
        <f t="shared" si="21"/>
        <v>300.66945761030507</v>
      </c>
    </row>
    <row r="19" spans="1:203" x14ac:dyDescent="0.2">
      <c r="A19" s="320">
        <v>9</v>
      </c>
      <c r="C19" s="350">
        <v>0.72925671820242322</v>
      </c>
      <c r="D19" s="350">
        <v>0.30975635818412967</v>
      </c>
      <c r="E19" s="350">
        <v>0</v>
      </c>
      <c r="F19" s="350">
        <v>13556.840833333334</v>
      </c>
      <c r="G19" s="350">
        <v>12820.906666666669</v>
      </c>
      <c r="H19" s="351">
        <f t="shared" si="22"/>
        <v>748.21739287568619</v>
      </c>
      <c r="I19" s="351">
        <f t="shared" si="23"/>
        <v>735.98110704549208</v>
      </c>
      <c r="J19" s="352">
        <f t="shared" si="24"/>
        <v>0</v>
      </c>
      <c r="K19" s="352">
        <f t="shared" si="25"/>
        <v>0</v>
      </c>
      <c r="L19" s="353">
        <f t="shared" si="26"/>
        <v>748.21739287568619</v>
      </c>
      <c r="M19" s="353">
        <f t="shared" si="27"/>
        <v>735.98110704549208</v>
      </c>
      <c r="N19" s="343">
        <f t="shared" si="117"/>
        <v>748.21739287568619</v>
      </c>
      <c r="O19" s="343">
        <f t="shared" si="118"/>
        <v>735.98110704549208</v>
      </c>
      <c r="Q19" s="350">
        <v>0.77881755845862088</v>
      </c>
      <c r="R19" s="350">
        <v>0.24676379820638042</v>
      </c>
      <c r="S19" s="350">
        <v>0</v>
      </c>
      <c r="T19" s="350">
        <v>1826.2149999999999</v>
      </c>
      <c r="U19" s="350">
        <v>800.0333333333333</v>
      </c>
      <c r="V19" s="351">
        <f t="shared" si="28"/>
        <v>548.28756115486908</v>
      </c>
      <c r="W19" s="351">
        <f t="shared" si="29"/>
        <v>414.06965339030637</v>
      </c>
      <c r="X19" s="352">
        <f t="shared" si="30"/>
        <v>0</v>
      </c>
      <c r="Y19" s="352">
        <f t="shared" si="31"/>
        <v>0</v>
      </c>
      <c r="Z19" s="353">
        <f t="shared" si="32"/>
        <v>548.28756115486908</v>
      </c>
      <c r="AA19" s="353">
        <f t="shared" si="33"/>
        <v>414.06965339030637</v>
      </c>
      <c r="AB19" s="343">
        <f t="shared" si="119"/>
        <v>548.28756115486908</v>
      </c>
      <c r="AC19" s="343">
        <f t="shared" si="120"/>
        <v>414.06965339030637</v>
      </c>
      <c r="AE19" s="350">
        <v>0.747</v>
      </c>
      <c r="AF19" s="350">
        <v>0.14899999999999999</v>
      </c>
      <c r="AG19" s="350">
        <v>0</v>
      </c>
      <c r="AH19" s="350">
        <v>124.06916666666666</v>
      </c>
      <c r="AI19" s="350">
        <v>49.586666666666666</v>
      </c>
      <c r="AJ19" s="351">
        <f t="shared" si="34"/>
        <v>265.93200000000002</v>
      </c>
      <c r="AK19" s="351">
        <f t="shared" si="35"/>
        <v>114.134</v>
      </c>
      <c r="AL19" s="352">
        <f t="shared" si="36"/>
        <v>0</v>
      </c>
      <c r="AM19" s="352">
        <f t="shared" si="37"/>
        <v>0</v>
      </c>
      <c r="AN19" s="353">
        <f t="shared" si="38"/>
        <v>265.93200000000002</v>
      </c>
      <c r="AO19" s="353">
        <f t="shared" si="39"/>
        <v>114.134</v>
      </c>
      <c r="AP19" s="343">
        <f t="shared" si="121"/>
        <v>265.93200000000002</v>
      </c>
      <c r="AQ19" s="343">
        <f t="shared" si="122"/>
        <v>114.134</v>
      </c>
      <c r="AS19" s="350">
        <v>0.58160000000000001</v>
      </c>
      <c r="AT19" s="350">
        <v>0.17831600395320585</v>
      </c>
      <c r="AU19" s="350">
        <v>0</v>
      </c>
      <c r="AV19" s="350">
        <v>8574.5483000000004</v>
      </c>
      <c r="AW19" s="350">
        <v>7954.97</v>
      </c>
      <c r="AX19" s="351">
        <f t="shared" si="40"/>
        <v>146.56319999999999</v>
      </c>
      <c r="AY19" s="351">
        <f t="shared" si="41"/>
        <v>89.336317980556132</v>
      </c>
      <c r="AZ19" s="352">
        <f t="shared" si="42"/>
        <v>0</v>
      </c>
      <c r="BA19" s="352">
        <f t="shared" si="43"/>
        <v>0</v>
      </c>
      <c r="BB19" s="353">
        <f t="shared" si="44"/>
        <v>146.56319999999999</v>
      </c>
      <c r="BC19" s="353">
        <f t="shared" si="45"/>
        <v>89.336317980556132</v>
      </c>
      <c r="BD19" s="343">
        <f t="shared" si="123"/>
        <v>146.56319999999999</v>
      </c>
      <c r="BE19" s="343">
        <f t="shared" si="124"/>
        <v>89.336317980556132</v>
      </c>
      <c r="BG19" s="350">
        <v>0.41442692189690561</v>
      </c>
      <c r="BH19" s="350">
        <v>0.18100688521699998</v>
      </c>
      <c r="BI19" s="350">
        <v>2.8535081832370169E-4</v>
      </c>
      <c r="BJ19" s="350">
        <v>8588.4732999999997</v>
      </c>
      <c r="BK19" s="350">
        <v>7990.3032999999996</v>
      </c>
      <c r="BL19" s="351">
        <f t="shared" si="46"/>
        <v>98.219180489566625</v>
      </c>
      <c r="BM19" s="351">
        <f t="shared" si="47"/>
        <v>87.245318674593989</v>
      </c>
      <c r="BN19" s="352">
        <f t="shared" si="48"/>
        <v>5.1363147298266305E-2</v>
      </c>
      <c r="BO19" s="352">
        <f t="shared" si="49"/>
        <v>2.4162004989434153E-2</v>
      </c>
      <c r="BP19" s="353">
        <f t="shared" si="50"/>
        <v>98.24334249455606</v>
      </c>
      <c r="BQ19" s="353">
        <f t="shared" si="51"/>
        <v>87.218117532285163</v>
      </c>
      <c r="BR19" s="343">
        <f t="shared" si="125"/>
        <v>98.219180489566625</v>
      </c>
      <c r="BS19" s="343">
        <f t="shared" si="126"/>
        <v>87.193955527295728</v>
      </c>
      <c r="BU19" s="350">
        <v>0.39401918909017941</v>
      </c>
      <c r="BV19" s="350">
        <v>0.25711496371945919</v>
      </c>
      <c r="BW19" s="350">
        <v>0</v>
      </c>
      <c r="BX19" s="350">
        <v>3214.5542</v>
      </c>
      <c r="BY19" s="350">
        <v>3064.9533000000001</v>
      </c>
      <c r="BZ19" s="351">
        <f t="shared" si="52"/>
        <v>71.711492414412646</v>
      </c>
      <c r="CA19" s="351">
        <f t="shared" si="53"/>
        <v>78.934293861873968</v>
      </c>
      <c r="CB19" s="352">
        <f t="shared" si="54"/>
        <v>0</v>
      </c>
      <c r="CC19" s="352">
        <f t="shared" si="55"/>
        <v>0</v>
      </c>
      <c r="CD19" s="353">
        <f t="shared" si="56"/>
        <v>71.711492414412646</v>
      </c>
      <c r="CE19" s="353">
        <f t="shared" si="57"/>
        <v>78.934293861873968</v>
      </c>
      <c r="CF19" s="343">
        <f t="shared" si="127"/>
        <v>71.711492414412646</v>
      </c>
      <c r="CG19" s="343">
        <f t="shared" si="128"/>
        <v>78.934293861873968</v>
      </c>
      <c r="CI19" s="350">
        <v>0.62711913476946046</v>
      </c>
      <c r="CJ19" s="350">
        <v>0.51689203315749399</v>
      </c>
      <c r="CK19" s="350">
        <v>3.5436890268863534E-3</v>
      </c>
      <c r="CL19" s="350">
        <v>15255.9558</v>
      </c>
      <c r="CM19" s="350">
        <v>14674.002500000001</v>
      </c>
      <c r="CN19" s="351">
        <f t="shared" si="58"/>
        <v>113.50856339327234</v>
      </c>
      <c r="CO19" s="351">
        <f t="shared" si="59"/>
        <v>117.33449152675114</v>
      </c>
      <c r="CP19" s="352">
        <f t="shared" si="60"/>
        <v>1.4174756107545414E-2</v>
      </c>
      <c r="CQ19" s="352">
        <f t="shared" si="61"/>
        <v>7.2048422724728259E-3</v>
      </c>
      <c r="CR19" s="353">
        <f t="shared" si="62"/>
        <v>113.51576823554481</v>
      </c>
      <c r="CS19" s="353">
        <f t="shared" si="63"/>
        <v>117.32752161291606</v>
      </c>
      <c r="CT19" s="343">
        <f t="shared" si="129"/>
        <v>113.50856339327234</v>
      </c>
      <c r="CU19" s="343">
        <f t="shared" si="130"/>
        <v>117.32031677064359</v>
      </c>
      <c r="CW19" s="350">
        <v>1.4552</v>
      </c>
      <c r="CX19" s="350">
        <v>1.4101999999999999</v>
      </c>
      <c r="CY19" s="350">
        <v>1.4888833297245559E-2</v>
      </c>
      <c r="CZ19" s="350">
        <v>6279.7849999999999</v>
      </c>
      <c r="DA19" s="350">
        <v>6066.2875000000004</v>
      </c>
      <c r="DB19" s="351">
        <f t="shared" si="64"/>
        <v>277.94319999999999</v>
      </c>
      <c r="DC19" s="351">
        <f t="shared" si="65"/>
        <v>369.47239999999999</v>
      </c>
      <c r="DD19" s="352">
        <f t="shared" si="66"/>
        <v>4.4666499891736676E-2</v>
      </c>
      <c r="DE19" s="352">
        <f t="shared" si="67"/>
        <v>2.5490641428164054E-2</v>
      </c>
      <c r="DF19" s="353">
        <f t="shared" si="68"/>
        <v>277.96869064142817</v>
      </c>
      <c r="DG19" s="353">
        <f t="shared" si="69"/>
        <v>369.45322414153645</v>
      </c>
      <c r="DH19" s="343">
        <f t="shared" si="131"/>
        <v>277.94319999999999</v>
      </c>
      <c r="DI19" s="343">
        <f t="shared" si="132"/>
        <v>369.42773350010827</v>
      </c>
      <c r="DK19" s="350">
        <v>1.6243000000000001</v>
      </c>
      <c r="DL19" s="350">
        <v>1.5737000000000001</v>
      </c>
      <c r="DM19" s="350">
        <v>0</v>
      </c>
      <c r="DN19" s="350">
        <v>355.51920000000001</v>
      </c>
      <c r="DO19" s="350">
        <v>323.33080000000001</v>
      </c>
      <c r="DP19" s="351">
        <f t="shared" si="70"/>
        <v>155.93280000000001</v>
      </c>
      <c r="DQ19" s="351">
        <f t="shared" si="71"/>
        <v>273.82380000000001</v>
      </c>
      <c r="DR19" s="352">
        <f t="shared" si="72"/>
        <v>0</v>
      </c>
      <c r="DS19" s="352">
        <f t="shared" si="73"/>
        <v>0</v>
      </c>
      <c r="DT19" s="353">
        <f t="shared" si="74"/>
        <v>155.93280000000001</v>
      </c>
      <c r="DU19" s="353">
        <f t="shared" si="75"/>
        <v>273.82380000000001</v>
      </c>
      <c r="DV19" s="343">
        <f t="shared" si="133"/>
        <v>155.93280000000001</v>
      </c>
      <c r="DW19" s="343">
        <f t="shared" si="134"/>
        <v>273.82380000000001</v>
      </c>
      <c r="EB19" s="326"/>
      <c r="EC19" s="326"/>
      <c r="ED19" s="326"/>
      <c r="EE19" s="348">
        <f t="shared" si="76"/>
        <v>43667.12993333333</v>
      </c>
      <c r="EF19" s="348">
        <f t="shared" si="77"/>
        <v>41516.166666666672</v>
      </c>
      <c r="EG19" s="348">
        <f t="shared" si="78"/>
        <v>1230.6437162689585</v>
      </c>
      <c r="EH19" s="348">
        <f t="shared" si="79"/>
        <v>1238.2298365527993</v>
      </c>
      <c r="EI19" s="354">
        <f t="shared" si="80"/>
        <v>0.51262549908561916</v>
      </c>
      <c r="EJ19" s="326"/>
      <c r="EK19" s="348">
        <f t="shared" si="81"/>
        <v>1230.6713136243734</v>
      </c>
      <c r="EL19" s="348">
        <f t="shared" si="82"/>
        <v>1238.2075259521935</v>
      </c>
      <c r="EM19" s="348">
        <f t="shared" si="83"/>
        <v>1230.6437162689585</v>
      </c>
      <c r="EN19" s="348">
        <f t="shared" si="84"/>
        <v>1238.1799285967784</v>
      </c>
      <c r="EP19" s="326"/>
      <c r="EQ19" s="326"/>
      <c r="ER19" s="326"/>
      <c r="ES19" s="348">
        <f t="shared" si="85"/>
        <v>31950.429099999998</v>
      </c>
      <c r="ET19" s="348">
        <f t="shared" si="86"/>
        <v>29530.626633333333</v>
      </c>
      <c r="EU19" s="348">
        <f t="shared" si="87"/>
        <v>954.57554503770803</v>
      </c>
      <c r="EV19" s="348">
        <f t="shared" si="88"/>
        <v>877.28014359165149</v>
      </c>
      <c r="EW19" s="354">
        <f t="shared" si="89"/>
        <v>0.51967925272105175</v>
      </c>
      <c r="EX19" s="326"/>
      <c r="EY19" s="348">
        <f t="shared" si="90"/>
        <v>954.62475533396957</v>
      </c>
      <c r="EZ19" s="348">
        <f t="shared" si="91"/>
        <v>877.23254943458312</v>
      </c>
      <c r="FA19" s="348">
        <f t="shared" si="92"/>
        <v>954.57554503770803</v>
      </c>
      <c r="FB19" s="348">
        <f t="shared" si="93"/>
        <v>877.18333913832146</v>
      </c>
      <c r="FD19" s="326"/>
      <c r="FE19" s="326"/>
      <c r="FF19" s="326"/>
      <c r="FG19" s="348">
        <f t="shared" si="94"/>
        <v>18950.098366666665</v>
      </c>
      <c r="FH19" s="348">
        <f t="shared" si="95"/>
        <v>18111.873266666666</v>
      </c>
      <c r="FI19" s="348">
        <f t="shared" si="96"/>
        <v>544.71173580768493</v>
      </c>
      <c r="FJ19" s="348">
        <f t="shared" si="97"/>
        <v>474.69706538862511</v>
      </c>
      <c r="FK19" s="354">
        <f t="shared" si="98"/>
        <v>0.51130842563224699</v>
      </c>
      <c r="FL19" s="326"/>
      <c r="FM19" s="348">
        <f t="shared" si="99"/>
        <v>544.7189406499574</v>
      </c>
      <c r="FN19" s="348">
        <f t="shared" si="100"/>
        <v>474.69009547479004</v>
      </c>
      <c r="FO19" s="348">
        <f t="shared" si="101"/>
        <v>544.71173580768493</v>
      </c>
      <c r="FP19" s="348">
        <f t="shared" si="102"/>
        <v>474.68289063251757</v>
      </c>
      <c r="FR19" s="326"/>
      <c r="FS19" s="326"/>
      <c r="FT19" s="326"/>
      <c r="FU19" s="348">
        <f t="shared" si="103"/>
        <v>11789.102500000001</v>
      </c>
      <c r="FV19" s="348">
        <f t="shared" si="104"/>
        <v>11019.9233</v>
      </c>
      <c r="FW19" s="349">
        <f t="shared" si="105"/>
        <v>67.366536827028611</v>
      </c>
      <c r="FX19" s="349">
        <f t="shared" si="106"/>
        <v>9.3618217068139469</v>
      </c>
      <c r="FY19" s="354">
        <f t="shared" si="107"/>
        <v>0.51686129006000769</v>
      </c>
      <c r="FZ19" s="326"/>
      <c r="GA19" s="349">
        <f t="shared" si="108"/>
        <v>67.366536827028611</v>
      </c>
      <c r="GB19" s="349">
        <f t="shared" si="109"/>
        <v>9.3618217068139469</v>
      </c>
      <c r="GC19" s="349">
        <f t="shared" si="18"/>
        <v>67.366536827028611</v>
      </c>
      <c r="GD19" s="349">
        <f t="shared" si="19"/>
        <v>9.3618217068139469</v>
      </c>
      <c r="GF19" s="326"/>
      <c r="GG19" s="326"/>
      <c r="GH19" s="326"/>
      <c r="GI19" s="348">
        <f t="shared" si="135"/>
        <v>21535.7408</v>
      </c>
      <c r="GJ19" s="348">
        <f t="shared" si="136"/>
        <v>20740.29</v>
      </c>
      <c r="GK19" s="348">
        <f t="shared" si="137"/>
        <v>335.8631233932723</v>
      </c>
      <c r="GL19" s="348">
        <f t="shared" si="138"/>
        <v>412.91241152675116</v>
      </c>
      <c r="GM19" s="354">
        <f t="shared" si="114"/>
        <v>0.50940782264734275</v>
      </c>
      <c r="GN19" s="326"/>
      <c r="GO19" s="348">
        <f t="shared" si="115"/>
        <v>335.89072074868739</v>
      </c>
      <c r="GP19" s="348">
        <f t="shared" si="116"/>
        <v>412.89010092614524</v>
      </c>
      <c r="GQ19" s="348">
        <f t="shared" si="20"/>
        <v>335.8631233932723</v>
      </c>
      <c r="GR19" s="348">
        <f t="shared" si="21"/>
        <v>412.86250357073027</v>
      </c>
    </row>
    <row r="20" spans="1:203" x14ac:dyDescent="0.2">
      <c r="A20" s="320">
        <v>10</v>
      </c>
      <c r="C20" s="350">
        <v>0.71030863845702497</v>
      </c>
      <c r="D20" s="350">
        <v>0.31627379348029211</v>
      </c>
      <c r="E20" s="350">
        <v>0</v>
      </c>
      <c r="F20" s="350">
        <v>13318.88</v>
      </c>
      <c r="G20" s="350">
        <v>12848.084166666667</v>
      </c>
      <c r="H20" s="351">
        <f t="shared" si="22"/>
        <v>728.77666305690764</v>
      </c>
      <c r="I20" s="351">
        <f t="shared" si="23"/>
        <v>751.466533309174</v>
      </c>
      <c r="J20" s="352">
        <f t="shared" si="24"/>
        <v>0</v>
      </c>
      <c r="K20" s="352">
        <f t="shared" si="25"/>
        <v>0</v>
      </c>
      <c r="L20" s="353">
        <f t="shared" si="26"/>
        <v>728.77666305690764</v>
      </c>
      <c r="M20" s="353">
        <f t="shared" si="27"/>
        <v>751.466533309174</v>
      </c>
      <c r="N20" s="343">
        <f t="shared" si="117"/>
        <v>728.77666305690764</v>
      </c>
      <c r="O20" s="343">
        <f t="shared" si="118"/>
        <v>751.466533309174</v>
      </c>
      <c r="Q20" s="350">
        <v>0.75075395365210451</v>
      </c>
      <c r="R20" s="350">
        <v>0.25058984623647806</v>
      </c>
      <c r="S20" s="350">
        <v>0</v>
      </c>
      <c r="T20" s="350">
        <v>1771.2258333333334</v>
      </c>
      <c r="U20" s="350">
        <v>793.69666666666694</v>
      </c>
      <c r="V20" s="351">
        <f t="shared" si="28"/>
        <v>528.53078337108161</v>
      </c>
      <c r="W20" s="351">
        <f t="shared" si="29"/>
        <v>420.48976198481017</v>
      </c>
      <c r="X20" s="352">
        <f t="shared" si="30"/>
        <v>0</v>
      </c>
      <c r="Y20" s="352">
        <f t="shared" si="31"/>
        <v>0</v>
      </c>
      <c r="Z20" s="353">
        <f t="shared" si="32"/>
        <v>528.53078337108161</v>
      </c>
      <c r="AA20" s="353">
        <f t="shared" si="33"/>
        <v>420.48976198481017</v>
      </c>
      <c r="AB20" s="343">
        <f t="shared" si="119"/>
        <v>528.53078337108161</v>
      </c>
      <c r="AC20" s="343">
        <f t="shared" si="120"/>
        <v>420.48976198481017</v>
      </c>
      <c r="AE20" s="350">
        <v>0.73399999999999999</v>
      </c>
      <c r="AF20" s="350">
        <v>0.154</v>
      </c>
      <c r="AG20" s="350">
        <v>0</v>
      </c>
      <c r="AH20" s="350">
        <v>103.41249999999999</v>
      </c>
      <c r="AI20" s="350">
        <v>40.503333333333337</v>
      </c>
      <c r="AJ20" s="351">
        <f t="shared" si="34"/>
        <v>261.30399999999997</v>
      </c>
      <c r="AK20" s="351">
        <f t="shared" si="35"/>
        <v>117.964</v>
      </c>
      <c r="AL20" s="352">
        <f t="shared" si="36"/>
        <v>0</v>
      </c>
      <c r="AM20" s="352">
        <f t="shared" si="37"/>
        <v>0</v>
      </c>
      <c r="AN20" s="353">
        <f t="shared" si="38"/>
        <v>261.30399999999997</v>
      </c>
      <c r="AO20" s="353">
        <f t="shared" si="39"/>
        <v>117.964</v>
      </c>
      <c r="AP20" s="343">
        <f t="shared" si="121"/>
        <v>261.30399999999997</v>
      </c>
      <c r="AQ20" s="343">
        <f t="shared" si="122"/>
        <v>117.964</v>
      </c>
      <c r="AS20" s="350">
        <v>0.60270000000000001</v>
      </c>
      <c r="AT20" s="350">
        <v>0.20917871731842408</v>
      </c>
      <c r="AU20" s="350">
        <v>0</v>
      </c>
      <c r="AV20" s="350">
        <v>8316.89</v>
      </c>
      <c r="AW20" s="350">
        <v>7824.1549999999997</v>
      </c>
      <c r="AX20" s="351">
        <f t="shared" si="40"/>
        <v>151.88040000000001</v>
      </c>
      <c r="AY20" s="351">
        <f t="shared" si="41"/>
        <v>104.79853737653046</v>
      </c>
      <c r="AZ20" s="352">
        <f t="shared" si="42"/>
        <v>0</v>
      </c>
      <c r="BA20" s="352">
        <f t="shared" si="43"/>
        <v>0</v>
      </c>
      <c r="BB20" s="353">
        <f t="shared" si="44"/>
        <v>151.88040000000001</v>
      </c>
      <c r="BC20" s="353">
        <f t="shared" si="45"/>
        <v>104.79853737653046</v>
      </c>
      <c r="BD20" s="343">
        <f t="shared" si="123"/>
        <v>151.88040000000001</v>
      </c>
      <c r="BE20" s="343">
        <f t="shared" si="124"/>
        <v>104.79853737653046</v>
      </c>
      <c r="BG20" s="350">
        <v>0.45958524492060399</v>
      </c>
      <c r="BH20" s="350">
        <v>0.21518333082907715</v>
      </c>
      <c r="BI20" s="350">
        <v>9.6559990610929223E-4</v>
      </c>
      <c r="BJ20" s="350">
        <v>8358.0858000000007</v>
      </c>
      <c r="BK20" s="350">
        <v>7867.5717000000004</v>
      </c>
      <c r="BL20" s="351">
        <f t="shared" si="46"/>
        <v>108.92170304618314</v>
      </c>
      <c r="BM20" s="351">
        <f t="shared" si="47"/>
        <v>103.71836545961519</v>
      </c>
      <c r="BN20" s="352">
        <f t="shared" si="48"/>
        <v>0.1738079830996726</v>
      </c>
      <c r="BO20" s="352">
        <f t="shared" si="49"/>
        <v>8.4777436527391337E-2</v>
      </c>
      <c r="BP20" s="353">
        <f t="shared" si="50"/>
        <v>109.00648048271053</v>
      </c>
      <c r="BQ20" s="353">
        <f t="shared" si="51"/>
        <v>103.6293349130429</v>
      </c>
      <c r="BR20" s="343">
        <f t="shared" si="125"/>
        <v>108.92170304618314</v>
      </c>
      <c r="BS20" s="343">
        <f t="shared" si="126"/>
        <v>103.54455747651551</v>
      </c>
      <c r="BU20" s="350">
        <v>0.44873531542390477</v>
      </c>
      <c r="BV20" s="350">
        <v>0.28535553336292391</v>
      </c>
      <c r="BW20" s="350">
        <v>0</v>
      </c>
      <c r="BX20" s="350">
        <v>3272.9616999999998</v>
      </c>
      <c r="BY20" s="350">
        <v>3127.7917000000002</v>
      </c>
      <c r="BZ20" s="351">
        <f t="shared" si="52"/>
        <v>81.669827407150663</v>
      </c>
      <c r="CA20" s="351">
        <f t="shared" si="53"/>
        <v>87.604148742417635</v>
      </c>
      <c r="CB20" s="352">
        <f t="shared" si="54"/>
        <v>0</v>
      </c>
      <c r="CC20" s="352">
        <f t="shared" si="55"/>
        <v>0</v>
      </c>
      <c r="CD20" s="353">
        <f t="shared" si="56"/>
        <v>81.669827407150663</v>
      </c>
      <c r="CE20" s="353">
        <f t="shared" si="57"/>
        <v>87.604148742417635</v>
      </c>
      <c r="CF20" s="343">
        <f t="shared" si="127"/>
        <v>81.669827407150663</v>
      </c>
      <c r="CG20" s="343">
        <f t="shared" si="128"/>
        <v>87.604148742417635</v>
      </c>
      <c r="CI20" s="350">
        <v>0.6623451047361314</v>
      </c>
      <c r="CJ20" s="350">
        <v>0.55638767826512814</v>
      </c>
      <c r="CK20" s="350">
        <v>5.398811856598372E-3</v>
      </c>
      <c r="CL20" s="350">
        <v>14754.3742</v>
      </c>
      <c r="CM20" s="350">
        <v>14286.029200000001</v>
      </c>
      <c r="CN20" s="351">
        <f t="shared" si="58"/>
        <v>119.88446395723979</v>
      </c>
      <c r="CO20" s="351">
        <f t="shared" si="59"/>
        <v>126.30000296618408</v>
      </c>
      <c r="CP20" s="352">
        <f t="shared" si="60"/>
        <v>2.1595247426393488E-2</v>
      </c>
      <c r="CQ20" s="352">
        <f t="shared" si="61"/>
        <v>1.107900855035409E-2</v>
      </c>
      <c r="CR20" s="353">
        <f t="shared" si="62"/>
        <v>119.89554296579014</v>
      </c>
      <c r="CS20" s="353">
        <f t="shared" si="63"/>
        <v>126.28948672730805</v>
      </c>
      <c r="CT20" s="343">
        <f t="shared" si="129"/>
        <v>119.88446395723979</v>
      </c>
      <c r="CU20" s="343">
        <f t="shared" si="130"/>
        <v>126.27840771875769</v>
      </c>
      <c r="CW20" s="350">
        <v>2.0306999999999999</v>
      </c>
      <c r="CX20" s="350">
        <v>2.0137999999999998</v>
      </c>
      <c r="CY20" s="350">
        <v>1.7719773078098411E-2</v>
      </c>
      <c r="CZ20" s="350">
        <v>5957.585</v>
      </c>
      <c r="DA20" s="350">
        <v>5812.6875</v>
      </c>
      <c r="DB20" s="351">
        <f t="shared" si="64"/>
        <v>387.86369999999999</v>
      </c>
      <c r="DC20" s="351">
        <f t="shared" si="65"/>
        <v>527.61559999999997</v>
      </c>
      <c r="DD20" s="352">
        <f t="shared" si="66"/>
        <v>5.3159319234295233E-2</v>
      </c>
      <c r="DE20" s="352">
        <f t="shared" si="67"/>
        <v>3.0637160352390509E-2</v>
      </c>
      <c r="DF20" s="353">
        <f t="shared" si="68"/>
        <v>387.89433716035239</v>
      </c>
      <c r="DG20" s="353">
        <f t="shared" si="69"/>
        <v>527.59307784111809</v>
      </c>
      <c r="DH20" s="343">
        <f t="shared" si="131"/>
        <v>387.86369999999999</v>
      </c>
      <c r="DI20" s="343">
        <f t="shared" si="132"/>
        <v>527.56244068076569</v>
      </c>
      <c r="DK20" s="350">
        <v>2.3208000000000002</v>
      </c>
      <c r="DL20" s="350">
        <v>2.2227000000000001</v>
      </c>
      <c r="DM20" s="350">
        <v>0</v>
      </c>
      <c r="DN20" s="350">
        <v>312.36329999999998</v>
      </c>
      <c r="DO20" s="350">
        <v>307.76920000000001</v>
      </c>
      <c r="DP20" s="351">
        <f t="shared" si="70"/>
        <v>222.79680000000002</v>
      </c>
      <c r="DQ20" s="351">
        <f t="shared" si="71"/>
        <v>386.74979999999999</v>
      </c>
      <c r="DR20" s="352">
        <f t="shared" si="72"/>
        <v>0</v>
      </c>
      <c r="DS20" s="352">
        <f t="shared" si="73"/>
        <v>0</v>
      </c>
      <c r="DT20" s="353">
        <f t="shared" si="74"/>
        <v>222.79680000000002</v>
      </c>
      <c r="DU20" s="353">
        <f t="shared" si="75"/>
        <v>386.74979999999999</v>
      </c>
      <c r="DV20" s="343">
        <f t="shared" si="133"/>
        <v>222.79680000000002</v>
      </c>
      <c r="DW20" s="343">
        <f t="shared" si="134"/>
        <v>386.74979999999999</v>
      </c>
      <c r="EB20" s="326"/>
      <c r="EC20" s="326"/>
      <c r="ED20" s="326"/>
      <c r="EE20" s="348">
        <f t="shared" si="76"/>
        <v>42347.729199999994</v>
      </c>
      <c r="EF20" s="348">
        <f t="shared" si="77"/>
        <v>40770.955866666671</v>
      </c>
      <c r="EG20" s="348">
        <f t="shared" si="78"/>
        <v>1310.8324870141473</v>
      </c>
      <c r="EH20" s="348">
        <f t="shared" si="79"/>
        <v>1404.6575536518885</v>
      </c>
      <c r="EI20" s="354">
        <f t="shared" si="80"/>
        <v>0.50948507144975075</v>
      </c>
      <c r="EJ20" s="326"/>
      <c r="EK20" s="348">
        <f t="shared" si="81"/>
        <v>1310.8680757509796</v>
      </c>
      <c r="EL20" s="348">
        <f t="shared" si="82"/>
        <v>1404.629019685907</v>
      </c>
      <c r="EM20" s="348">
        <f t="shared" si="83"/>
        <v>1310.8324870141473</v>
      </c>
      <c r="EN20" s="348">
        <f t="shared" si="84"/>
        <v>1404.5934309490747</v>
      </c>
      <c r="EP20" s="326"/>
      <c r="EQ20" s="326"/>
      <c r="ER20" s="326"/>
      <c r="ES20" s="348">
        <f t="shared" si="85"/>
        <v>30841.270833333336</v>
      </c>
      <c r="ET20" s="348">
        <f t="shared" si="86"/>
        <v>28759.985066666668</v>
      </c>
      <c r="EU20" s="348">
        <f t="shared" si="87"/>
        <v>1028.8415403745043</v>
      </c>
      <c r="EV20" s="348">
        <f t="shared" si="88"/>
        <v>1019.8390504106094</v>
      </c>
      <c r="EW20" s="354">
        <f t="shared" si="89"/>
        <v>0.51746008314118985</v>
      </c>
      <c r="EX20" s="326"/>
      <c r="EY20" s="348">
        <f t="shared" si="90"/>
        <v>1028.9588428318289</v>
      </c>
      <c r="EZ20" s="348">
        <f t="shared" si="91"/>
        <v>1019.7237381139437</v>
      </c>
      <c r="FA20" s="348">
        <f t="shared" si="92"/>
        <v>1028.8415403745043</v>
      </c>
      <c r="FB20" s="348">
        <f t="shared" si="93"/>
        <v>1019.6064356566194</v>
      </c>
      <c r="FD20" s="326"/>
      <c r="FE20" s="326"/>
      <c r="FF20" s="326"/>
      <c r="FG20" s="348">
        <f t="shared" si="94"/>
        <v>18443.111700000001</v>
      </c>
      <c r="FH20" s="348">
        <f t="shared" si="95"/>
        <v>17762.093433333332</v>
      </c>
      <c r="FI20" s="348">
        <f t="shared" si="96"/>
        <v>596.53637136439045</v>
      </c>
      <c r="FJ20" s="348">
        <f t="shared" si="97"/>
        <v>563.91803170860169</v>
      </c>
      <c r="FK20" s="354">
        <f t="shared" si="98"/>
        <v>0.50940497732520329</v>
      </c>
      <c r="FL20" s="326"/>
      <c r="FM20" s="348">
        <f t="shared" si="99"/>
        <v>596.54745037294072</v>
      </c>
      <c r="FN20" s="348">
        <f t="shared" si="100"/>
        <v>563.90751546972569</v>
      </c>
      <c r="FO20" s="348">
        <f t="shared" si="101"/>
        <v>596.53637136439045</v>
      </c>
      <c r="FP20" s="348">
        <f t="shared" si="102"/>
        <v>563.89643646117531</v>
      </c>
      <c r="FR20" s="326"/>
      <c r="FS20" s="326"/>
      <c r="FT20" s="326"/>
      <c r="FU20" s="348">
        <f t="shared" si="103"/>
        <v>11589.851699999999</v>
      </c>
      <c r="FV20" s="348">
        <f t="shared" si="104"/>
        <v>10951.9467</v>
      </c>
      <c r="FW20" s="349">
        <f t="shared" si="105"/>
        <v>63.189515333564415</v>
      </c>
      <c r="FX20" s="349">
        <f t="shared" si="106"/>
        <v>15.474949770701544</v>
      </c>
      <c r="FY20" s="354">
        <f t="shared" si="107"/>
        <v>0.51414938126675813</v>
      </c>
      <c r="FZ20" s="326"/>
      <c r="GA20" s="349">
        <f t="shared" si="108"/>
        <v>63.189515333564415</v>
      </c>
      <c r="GB20" s="349">
        <f t="shared" si="109"/>
        <v>15.474949770701544</v>
      </c>
      <c r="GC20" s="349">
        <f t="shared" si="18"/>
        <v>63.189515333564415</v>
      </c>
      <c r="GD20" s="349">
        <f t="shared" si="19"/>
        <v>15.474949770701544</v>
      </c>
      <c r="GF20" s="326"/>
      <c r="GG20" s="326"/>
      <c r="GH20" s="326"/>
      <c r="GI20" s="348">
        <f t="shared" si="135"/>
        <v>20711.959200000001</v>
      </c>
      <c r="GJ20" s="348">
        <f t="shared" si="136"/>
        <v>20098.716700000001</v>
      </c>
      <c r="GK20" s="348">
        <f t="shared" si="137"/>
        <v>430.17542395723984</v>
      </c>
      <c r="GL20" s="348">
        <f t="shared" si="138"/>
        <v>548.39248296618416</v>
      </c>
      <c r="GM20" s="354">
        <f t="shared" si="114"/>
        <v>0.50751326076420111</v>
      </c>
      <c r="GN20" s="326"/>
      <c r="GO20" s="348">
        <f t="shared" si="115"/>
        <v>430.21101269407205</v>
      </c>
      <c r="GP20" s="348">
        <f t="shared" si="116"/>
        <v>548.36394900020252</v>
      </c>
      <c r="GQ20" s="348">
        <f t="shared" si="20"/>
        <v>430.17542395723984</v>
      </c>
      <c r="GR20" s="348">
        <f t="shared" si="21"/>
        <v>548.3283602633702</v>
      </c>
    </row>
    <row r="21" spans="1:203" x14ac:dyDescent="0.2">
      <c r="A21" s="320">
        <v>11</v>
      </c>
      <c r="C21" s="350">
        <v>0.7051097665022461</v>
      </c>
      <c r="D21" s="350">
        <v>0.32853674974688934</v>
      </c>
      <c r="E21" s="350">
        <v>0</v>
      </c>
      <c r="F21" s="350">
        <v>12880.780833333332</v>
      </c>
      <c r="G21" s="350">
        <v>12556.160833333335</v>
      </c>
      <c r="H21" s="351">
        <f t="shared" si="22"/>
        <v>723.44262043130448</v>
      </c>
      <c r="I21" s="351">
        <f t="shared" si="23"/>
        <v>780.60331739860908</v>
      </c>
      <c r="J21" s="352">
        <f t="shared" si="24"/>
        <v>0</v>
      </c>
      <c r="K21" s="352">
        <f t="shared" si="25"/>
        <v>0</v>
      </c>
      <c r="L21" s="353">
        <f t="shared" si="26"/>
        <v>723.44262043130448</v>
      </c>
      <c r="M21" s="353">
        <f t="shared" si="27"/>
        <v>780.60331739860908</v>
      </c>
      <c r="N21" s="343">
        <f t="shared" si="117"/>
        <v>723.44262043130448</v>
      </c>
      <c r="O21" s="343">
        <f t="shared" si="118"/>
        <v>780.60331739860908</v>
      </c>
      <c r="Q21" s="350">
        <v>0.73058976467061132</v>
      </c>
      <c r="R21" s="350">
        <v>0.26031858302686017</v>
      </c>
      <c r="S21" s="350">
        <v>0</v>
      </c>
      <c r="T21" s="350">
        <v>1761.885</v>
      </c>
      <c r="U21" s="350">
        <v>827.46833333333325</v>
      </c>
      <c r="V21" s="351">
        <f t="shared" si="28"/>
        <v>514.33519432811033</v>
      </c>
      <c r="W21" s="351">
        <f t="shared" si="29"/>
        <v>436.81458231907135</v>
      </c>
      <c r="X21" s="352">
        <f t="shared" si="30"/>
        <v>0</v>
      </c>
      <c r="Y21" s="352">
        <f t="shared" si="31"/>
        <v>0</v>
      </c>
      <c r="Z21" s="353">
        <f t="shared" si="32"/>
        <v>514.33519432811033</v>
      </c>
      <c r="AA21" s="353">
        <f t="shared" si="33"/>
        <v>436.81458231907135</v>
      </c>
      <c r="AB21" s="343">
        <f t="shared" si="119"/>
        <v>514.33519432811033</v>
      </c>
      <c r="AC21" s="343">
        <f t="shared" si="120"/>
        <v>436.81458231907135</v>
      </c>
      <c r="AE21" s="350">
        <v>0.72199999999999998</v>
      </c>
      <c r="AF21" s="350">
        <v>0.16400000000000001</v>
      </c>
      <c r="AG21" s="350">
        <v>0</v>
      </c>
      <c r="AH21" s="350">
        <v>122.41416666666669</v>
      </c>
      <c r="AI21" s="350">
        <v>43.92</v>
      </c>
      <c r="AJ21" s="351">
        <f t="shared" si="34"/>
        <v>257.03199999999998</v>
      </c>
      <c r="AK21" s="351">
        <f t="shared" si="35"/>
        <v>125.62400000000001</v>
      </c>
      <c r="AL21" s="352">
        <f t="shared" si="36"/>
        <v>0</v>
      </c>
      <c r="AM21" s="352">
        <f t="shared" si="37"/>
        <v>0</v>
      </c>
      <c r="AN21" s="353">
        <f t="shared" si="38"/>
        <v>257.03199999999998</v>
      </c>
      <c r="AO21" s="353">
        <f t="shared" si="39"/>
        <v>125.62400000000001</v>
      </c>
      <c r="AP21" s="343">
        <f t="shared" si="121"/>
        <v>257.03199999999998</v>
      </c>
      <c r="AQ21" s="343">
        <f t="shared" si="122"/>
        <v>125.62400000000001</v>
      </c>
      <c r="AS21" s="350">
        <v>0.63160000000000005</v>
      </c>
      <c r="AT21" s="350">
        <v>0.24281332355233035</v>
      </c>
      <c r="AU21" s="350">
        <v>0</v>
      </c>
      <c r="AV21" s="350">
        <v>7886.4449999999997</v>
      </c>
      <c r="AW21" s="350">
        <v>7570.1575000000003</v>
      </c>
      <c r="AX21" s="351">
        <f t="shared" si="40"/>
        <v>159.16320000000002</v>
      </c>
      <c r="AY21" s="351">
        <f t="shared" si="41"/>
        <v>121.64947509971751</v>
      </c>
      <c r="AZ21" s="352">
        <f t="shared" si="42"/>
        <v>0</v>
      </c>
      <c r="BA21" s="352">
        <f t="shared" si="43"/>
        <v>0</v>
      </c>
      <c r="BB21" s="353">
        <f t="shared" si="44"/>
        <v>159.16320000000002</v>
      </c>
      <c r="BC21" s="353">
        <f t="shared" si="45"/>
        <v>121.64947509971751</v>
      </c>
      <c r="BD21" s="343">
        <f t="shared" si="123"/>
        <v>159.16320000000002</v>
      </c>
      <c r="BE21" s="343">
        <f t="shared" si="124"/>
        <v>121.64947509971751</v>
      </c>
      <c r="BG21" s="350">
        <v>0.50968186226521284</v>
      </c>
      <c r="BH21" s="350">
        <v>0.24929148818143435</v>
      </c>
      <c r="BI21" s="350">
        <v>2.0436585585557943E-3</v>
      </c>
      <c r="BJ21" s="350">
        <v>7940.3617000000004</v>
      </c>
      <c r="BK21" s="350">
        <v>7606.4907999999996</v>
      </c>
      <c r="BL21" s="351">
        <f t="shared" si="46"/>
        <v>120.79460135685544</v>
      </c>
      <c r="BM21" s="351">
        <f t="shared" si="47"/>
        <v>120.15849730345136</v>
      </c>
      <c r="BN21" s="352">
        <f t="shared" si="48"/>
        <v>0.36785854054004297</v>
      </c>
      <c r="BO21" s="352">
        <f t="shared" si="49"/>
        <v>0.18344370625358455</v>
      </c>
      <c r="BP21" s="353">
        <f t="shared" si="50"/>
        <v>120.97804506310902</v>
      </c>
      <c r="BQ21" s="353">
        <f t="shared" si="51"/>
        <v>119.9740824691649</v>
      </c>
      <c r="BR21" s="343">
        <f t="shared" si="125"/>
        <v>120.79460135685544</v>
      </c>
      <c r="BS21" s="343">
        <f t="shared" si="126"/>
        <v>119.79063876291131</v>
      </c>
      <c r="BU21" s="350">
        <v>0.51970457440616802</v>
      </c>
      <c r="BV21" s="350">
        <v>0.33816447153249224</v>
      </c>
      <c r="BW21" s="350">
        <v>0</v>
      </c>
      <c r="BX21" s="350">
        <v>3287.1374999999998</v>
      </c>
      <c r="BY21" s="350">
        <v>3076.0432999999998</v>
      </c>
      <c r="BZ21" s="351">
        <f t="shared" si="52"/>
        <v>94.586232541922584</v>
      </c>
      <c r="CA21" s="351">
        <f t="shared" si="53"/>
        <v>103.81649276047511</v>
      </c>
      <c r="CB21" s="352">
        <f t="shared" si="54"/>
        <v>0</v>
      </c>
      <c r="CC21" s="352">
        <f t="shared" si="55"/>
        <v>0</v>
      </c>
      <c r="CD21" s="353">
        <f t="shared" si="56"/>
        <v>94.586232541922584</v>
      </c>
      <c r="CE21" s="353">
        <f t="shared" si="57"/>
        <v>103.81649276047511</v>
      </c>
      <c r="CF21" s="343">
        <f t="shared" si="127"/>
        <v>94.586232541922584</v>
      </c>
      <c r="CG21" s="343">
        <f t="shared" si="128"/>
        <v>103.81649276047511</v>
      </c>
      <c r="CI21" s="350">
        <v>0.69535199463654229</v>
      </c>
      <c r="CJ21" s="350">
        <v>0.59811526364038392</v>
      </c>
      <c r="CK21" s="350">
        <v>5.6950067264303064E-3</v>
      </c>
      <c r="CL21" s="350">
        <v>14589.12</v>
      </c>
      <c r="CM21" s="350">
        <v>14180.8825</v>
      </c>
      <c r="CN21" s="351">
        <f t="shared" si="58"/>
        <v>125.85871102921415</v>
      </c>
      <c r="CO21" s="351">
        <f t="shared" si="59"/>
        <v>135.77216484636716</v>
      </c>
      <c r="CP21" s="352">
        <f t="shared" si="60"/>
        <v>2.2780026905721226E-2</v>
      </c>
      <c r="CQ21" s="352">
        <f t="shared" si="61"/>
        <v>1.182159237856578E-2</v>
      </c>
      <c r="CR21" s="353">
        <f t="shared" si="62"/>
        <v>125.87053262159272</v>
      </c>
      <c r="CS21" s="353">
        <f t="shared" si="63"/>
        <v>135.76120641184002</v>
      </c>
      <c r="CT21" s="343">
        <f t="shared" si="129"/>
        <v>125.85871102921415</v>
      </c>
      <c r="CU21" s="343">
        <f t="shared" si="130"/>
        <v>135.74938481946145</v>
      </c>
      <c r="CW21" s="350">
        <v>2.6185999999999998</v>
      </c>
      <c r="CX21" s="350">
        <v>2.6006</v>
      </c>
      <c r="CY21" s="350">
        <v>1.9393873788198332E-2</v>
      </c>
      <c r="CZ21" s="350">
        <v>5957.9592000000002</v>
      </c>
      <c r="DA21" s="350">
        <v>5688.6657999999998</v>
      </c>
      <c r="DB21" s="351">
        <f t="shared" si="64"/>
        <v>500.15259999999995</v>
      </c>
      <c r="DC21" s="351">
        <f t="shared" si="65"/>
        <v>681.35720000000003</v>
      </c>
      <c r="DD21" s="352">
        <f t="shared" si="66"/>
        <v>5.8181621364594996E-2</v>
      </c>
      <c r="DE21" s="352">
        <f t="shared" si="67"/>
        <v>3.355238071189983E-2</v>
      </c>
      <c r="DF21" s="353">
        <f t="shared" si="68"/>
        <v>500.18615238071186</v>
      </c>
      <c r="DG21" s="353">
        <f t="shared" si="69"/>
        <v>681.33257075934728</v>
      </c>
      <c r="DH21" s="343">
        <f t="shared" si="131"/>
        <v>500.15259999999995</v>
      </c>
      <c r="DI21" s="343">
        <f t="shared" si="132"/>
        <v>681.29901837863542</v>
      </c>
      <c r="DK21" s="350">
        <v>3.2204000000000002</v>
      </c>
      <c r="DL21" s="350">
        <v>2.8102</v>
      </c>
      <c r="DM21" s="350">
        <v>0</v>
      </c>
      <c r="DN21" s="350">
        <v>299.78500000000003</v>
      </c>
      <c r="DO21" s="350">
        <v>294.89499999999998</v>
      </c>
      <c r="DP21" s="351">
        <f t="shared" si="70"/>
        <v>309.15840000000003</v>
      </c>
      <c r="DQ21" s="351">
        <f t="shared" si="71"/>
        <v>488.97480000000002</v>
      </c>
      <c r="DR21" s="352">
        <f t="shared" si="72"/>
        <v>0</v>
      </c>
      <c r="DS21" s="352">
        <f t="shared" si="73"/>
        <v>0</v>
      </c>
      <c r="DT21" s="353">
        <f t="shared" si="74"/>
        <v>309.15840000000003</v>
      </c>
      <c r="DU21" s="353">
        <f t="shared" si="75"/>
        <v>488.97480000000002</v>
      </c>
      <c r="DV21" s="343">
        <f t="shared" si="133"/>
        <v>309.15840000000003</v>
      </c>
      <c r="DW21" s="343">
        <f t="shared" si="134"/>
        <v>488.97480000000002</v>
      </c>
      <c r="EB21" s="326"/>
      <c r="EC21" s="326"/>
      <c r="ED21" s="326"/>
      <c r="EE21" s="348">
        <f t="shared" si="76"/>
        <v>41314.30503333333</v>
      </c>
      <c r="EF21" s="348">
        <f t="shared" si="77"/>
        <v>39995.866633333339</v>
      </c>
      <c r="EG21" s="348">
        <f t="shared" si="78"/>
        <v>1408.5866114605187</v>
      </c>
      <c r="EH21" s="348">
        <f t="shared" si="79"/>
        <v>1583.110717344694</v>
      </c>
      <c r="EI21" s="354">
        <f t="shared" si="80"/>
        <v>0.50810746289778463</v>
      </c>
      <c r="EJ21" s="326"/>
      <c r="EK21" s="348">
        <f t="shared" si="81"/>
        <v>1408.6252749574667</v>
      </c>
      <c r="EL21" s="348">
        <f t="shared" si="82"/>
        <v>1583.0800555176447</v>
      </c>
      <c r="EM21" s="348">
        <f t="shared" si="83"/>
        <v>1408.5866114605187</v>
      </c>
      <c r="EN21" s="348">
        <f t="shared" si="84"/>
        <v>1583.0413920206963</v>
      </c>
      <c r="EP21" s="326"/>
      <c r="EQ21" s="326"/>
      <c r="ER21" s="326"/>
      <c r="ES21" s="348">
        <f t="shared" si="85"/>
        <v>30249.3259</v>
      </c>
      <c r="ET21" s="348">
        <f t="shared" si="86"/>
        <v>28303.507433333332</v>
      </c>
      <c r="EU21" s="348">
        <f t="shared" si="87"/>
        <v>1111.0953267141799</v>
      </c>
      <c r="EV21" s="348">
        <f t="shared" si="88"/>
        <v>1169.6952844688899</v>
      </c>
      <c r="EW21" s="354">
        <f t="shared" si="89"/>
        <v>0.51661592066424344</v>
      </c>
      <c r="EX21" s="326"/>
      <c r="EY21" s="348">
        <f t="shared" si="90"/>
        <v>1111.3140786793103</v>
      </c>
      <c r="EZ21" s="348">
        <f t="shared" si="91"/>
        <v>1169.4826707316192</v>
      </c>
      <c r="FA21" s="348">
        <f t="shared" si="92"/>
        <v>1111.0953267141799</v>
      </c>
      <c r="FB21" s="348">
        <f t="shared" si="93"/>
        <v>1169.2639187664888</v>
      </c>
      <c r="FD21" s="326"/>
      <c r="FE21" s="326"/>
      <c r="FF21" s="326"/>
      <c r="FG21" s="348">
        <f t="shared" si="94"/>
        <v>18298.456666666669</v>
      </c>
      <c r="FH21" s="348">
        <f t="shared" si="95"/>
        <v>17595.7408</v>
      </c>
      <c r="FI21" s="348">
        <f t="shared" si="96"/>
        <v>662.97198357113666</v>
      </c>
      <c r="FJ21" s="348">
        <f t="shared" si="97"/>
        <v>658.59753760684225</v>
      </c>
      <c r="FK21" s="354">
        <f t="shared" si="98"/>
        <v>0.50978871121605729</v>
      </c>
      <c r="FL21" s="326"/>
      <c r="FM21" s="348">
        <f t="shared" si="99"/>
        <v>662.98380516351529</v>
      </c>
      <c r="FN21" s="348">
        <f t="shared" si="100"/>
        <v>658.58657917231517</v>
      </c>
      <c r="FO21" s="348">
        <f t="shared" si="101"/>
        <v>662.97198357113666</v>
      </c>
      <c r="FP21" s="348">
        <f t="shared" si="102"/>
        <v>658.57475757993666</v>
      </c>
      <c r="FR21" s="326"/>
      <c r="FS21" s="326"/>
      <c r="FT21" s="326"/>
      <c r="FU21" s="348">
        <f t="shared" si="103"/>
        <v>11173.5825</v>
      </c>
      <c r="FV21" s="348">
        <f t="shared" si="104"/>
        <v>10646.200800000001</v>
      </c>
      <c r="FW21" s="349">
        <f t="shared" si="105"/>
        <v>58.119270712269689</v>
      </c>
      <c r="FX21" s="349">
        <f t="shared" si="106"/>
        <v>16.049684105318153</v>
      </c>
      <c r="FY21" s="354">
        <f t="shared" si="107"/>
        <v>0.51208494357503542</v>
      </c>
      <c r="FZ21" s="326"/>
      <c r="GA21" s="349">
        <f t="shared" si="108"/>
        <v>58.119270712269689</v>
      </c>
      <c r="GB21" s="349">
        <f t="shared" si="109"/>
        <v>16.049684105318153</v>
      </c>
      <c r="GC21" s="349">
        <f t="shared" si="18"/>
        <v>58.119270712269689</v>
      </c>
      <c r="GD21" s="349">
        <f t="shared" si="19"/>
        <v>16.049684105318153</v>
      </c>
      <c r="GF21" s="326"/>
      <c r="GG21" s="326"/>
      <c r="GH21" s="326"/>
      <c r="GI21" s="348">
        <f t="shared" si="135"/>
        <v>20547.0792</v>
      </c>
      <c r="GJ21" s="348">
        <f t="shared" si="136"/>
        <v>19869.548299999999</v>
      </c>
      <c r="GK21" s="348">
        <f t="shared" si="137"/>
        <v>525.98079102921417</v>
      </c>
      <c r="GL21" s="348">
        <f t="shared" si="138"/>
        <v>680.85792484636727</v>
      </c>
      <c r="GM21" s="354">
        <f t="shared" si="114"/>
        <v>0.50838183368961198</v>
      </c>
      <c r="GN21" s="326"/>
      <c r="GO21" s="348">
        <f t="shared" si="115"/>
        <v>526.01945452616224</v>
      </c>
      <c r="GP21" s="348">
        <f t="shared" si="116"/>
        <v>680.82726301931791</v>
      </c>
      <c r="GQ21" s="348">
        <f t="shared" si="20"/>
        <v>525.98079102921417</v>
      </c>
      <c r="GR21" s="348">
        <f t="shared" si="21"/>
        <v>680.78859952236985</v>
      </c>
    </row>
    <row r="22" spans="1:203" x14ac:dyDescent="0.2">
      <c r="A22" s="320">
        <v>12</v>
      </c>
      <c r="C22" s="350">
        <v>0.71340160982051515</v>
      </c>
      <c r="D22" s="350">
        <v>0.34591864235144676</v>
      </c>
      <c r="E22" s="350">
        <v>0</v>
      </c>
      <c r="F22" s="350">
        <v>12785.370833333332</v>
      </c>
      <c r="G22" s="350">
        <v>12367.6175</v>
      </c>
      <c r="H22" s="351">
        <f t="shared" si="22"/>
        <v>731.9500516758485</v>
      </c>
      <c r="I22" s="351">
        <f t="shared" si="23"/>
        <v>821.9026942270375</v>
      </c>
      <c r="J22" s="352">
        <f t="shared" si="24"/>
        <v>0</v>
      </c>
      <c r="K22" s="352">
        <f t="shared" si="25"/>
        <v>0</v>
      </c>
      <c r="L22" s="353">
        <f t="shared" si="26"/>
        <v>731.9500516758485</v>
      </c>
      <c r="M22" s="353">
        <f t="shared" si="27"/>
        <v>821.9026942270375</v>
      </c>
      <c r="N22" s="343">
        <f t="shared" si="117"/>
        <v>731.9500516758485</v>
      </c>
      <c r="O22" s="343">
        <f t="shared" si="118"/>
        <v>821.9026942270375</v>
      </c>
      <c r="Q22" s="350">
        <v>0.71727061165305472</v>
      </c>
      <c r="R22" s="350">
        <v>0.27582650414116028</v>
      </c>
      <c r="S22" s="350">
        <v>0</v>
      </c>
      <c r="T22" s="350">
        <v>1708.663333333333</v>
      </c>
      <c r="U22" s="350">
        <v>818.23249999999996</v>
      </c>
      <c r="V22" s="351">
        <f t="shared" si="28"/>
        <v>504.95851060375054</v>
      </c>
      <c r="W22" s="351">
        <f t="shared" si="29"/>
        <v>462.83687394886692</v>
      </c>
      <c r="X22" s="352">
        <f t="shared" si="30"/>
        <v>0</v>
      </c>
      <c r="Y22" s="352">
        <f t="shared" si="31"/>
        <v>0</v>
      </c>
      <c r="Z22" s="353">
        <f t="shared" si="32"/>
        <v>504.95851060375054</v>
      </c>
      <c r="AA22" s="353">
        <f t="shared" si="33"/>
        <v>462.83687394886692</v>
      </c>
      <c r="AB22" s="343">
        <f t="shared" si="119"/>
        <v>504.95851060375054</v>
      </c>
      <c r="AC22" s="343">
        <f t="shared" si="120"/>
        <v>462.83687394886692</v>
      </c>
      <c r="AE22" s="350">
        <v>0.71</v>
      </c>
      <c r="AF22" s="350">
        <v>0.17299999999999999</v>
      </c>
      <c r="AG22" s="350">
        <v>0</v>
      </c>
      <c r="AH22" s="350">
        <v>130.10583333333335</v>
      </c>
      <c r="AI22" s="350">
        <v>45.584166666666668</v>
      </c>
      <c r="AJ22" s="351">
        <f t="shared" si="34"/>
        <v>252.76</v>
      </c>
      <c r="AK22" s="351">
        <f t="shared" si="35"/>
        <v>132.518</v>
      </c>
      <c r="AL22" s="352">
        <f t="shared" si="36"/>
        <v>0</v>
      </c>
      <c r="AM22" s="352">
        <f t="shared" si="37"/>
        <v>0</v>
      </c>
      <c r="AN22" s="353">
        <f t="shared" si="38"/>
        <v>252.76</v>
      </c>
      <c r="AO22" s="353">
        <f t="shared" si="39"/>
        <v>132.518</v>
      </c>
      <c r="AP22" s="343">
        <f t="shared" si="121"/>
        <v>252.76</v>
      </c>
      <c r="AQ22" s="343">
        <f t="shared" si="122"/>
        <v>132.518</v>
      </c>
      <c r="AS22" s="350">
        <v>0.66910000000000003</v>
      </c>
      <c r="AT22" s="350">
        <v>0.29691339523842292</v>
      </c>
      <c r="AU22" s="350">
        <v>0</v>
      </c>
      <c r="AV22" s="350">
        <v>7724.5042000000003</v>
      </c>
      <c r="AW22" s="350">
        <v>7606.3625000000002</v>
      </c>
      <c r="AX22" s="351">
        <f t="shared" si="40"/>
        <v>168.61320000000001</v>
      </c>
      <c r="AY22" s="351">
        <f t="shared" si="41"/>
        <v>148.75361101444989</v>
      </c>
      <c r="AZ22" s="352">
        <f t="shared" si="42"/>
        <v>0</v>
      </c>
      <c r="BA22" s="352">
        <f t="shared" si="43"/>
        <v>0</v>
      </c>
      <c r="BB22" s="353">
        <f t="shared" si="44"/>
        <v>168.61320000000001</v>
      </c>
      <c r="BC22" s="353">
        <f t="shared" si="45"/>
        <v>148.75361101444989</v>
      </c>
      <c r="BD22" s="343">
        <f t="shared" si="123"/>
        <v>168.61320000000001</v>
      </c>
      <c r="BE22" s="343">
        <f t="shared" si="124"/>
        <v>148.75361101444989</v>
      </c>
      <c r="BG22" s="350">
        <v>0.56853543867657452</v>
      </c>
      <c r="BH22" s="350">
        <v>0.30205308500593192</v>
      </c>
      <c r="BI22" s="350">
        <v>3.6781094700463848E-3</v>
      </c>
      <c r="BJ22" s="350">
        <v>7735.0042000000003</v>
      </c>
      <c r="BK22" s="350">
        <v>7647.7791999999999</v>
      </c>
      <c r="BL22" s="351">
        <f t="shared" si="46"/>
        <v>134.74289896634815</v>
      </c>
      <c r="BM22" s="351">
        <f t="shared" si="47"/>
        <v>145.58958697285919</v>
      </c>
      <c r="BN22" s="352">
        <f t="shared" si="48"/>
        <v>0.66205970460834929</v>
      </c>
      <c r="BO22" s="352">
        <f t="shared" si="49"/>
        <v>0.34383813428674681</v>
      </c>
      <c r="BP22" s="353">
        <f t="shared" si="50"/>
        <v>135.08673710063491</v>
      </c>
      <c r="BQ22" s="353">
        <f t="shared" si="51"/>
        <v>145.27136540253761</v>
      </c>
      <c r="BR22" s="343">
        <f t="shared" si="125"/>
        <v>134.74289896634815</v>
      </c>
      <c r="BS22" s="343">
        <f t="shared" si="126"/>
        <v>144.92752726825086</v>
      </c>
      <c r="BU22" s="350">
        <v>0.60429353086637416</v>
      </c>
      <c r="BV22" s="350">
        <v>0.41356734795531502</v>
      </c>
      <c r="BW22" s="350">
        <v>0</v>
      </c>
      <c r="BX22" s="350">
        <v>3308.15</v>
      </c>
      <c r="BY22" s="350">
        <v>3285.0207999999998</v>
      </c>
      <c r="BZ22" s="351">
        <f t="shared" si="52"/>
        <v>109.9814226176801</v>
      </c>
      <c r="CA22" s="351">
        <f t="shared" si="53"/>
        <v>126.96517582228171</v>
      </c>
      <c r="CB22" s="352">
        <f t="shared" si="54"/>
        <v>0</v>
      </c>
      <c r="CC22" s="352">
        <f t="shared" si="55"/>
        <v>0</v>
      </c>
      <c r="CD22" s="353">
        <f t="shared" si="56"/>
        <v>109.9814226176801</v>
      </c>
      <c r="CE22" s="353">
        <f t="shared" si="57"/>
        <v>126.96517582228171</v>
      </c>
      <c r="CF22" s="343">
        <f t="shared" si="127"/>
        <v>109.9814226176801</v>
      </c>
      <c r="CG22" s="343">
        <f t="shared" si="128"/>
        <v>126.96517582228171</v>
      </c>
      <c r="CI22" s="350">
        <v>0.72507701633292831</v>
      </c>
      <c r="CJ22" s="350">
        <v>0.63721259287230314</v>
      </c>
      <c r="CK22" s="350">
        <v>6.959640785508231E-3</v>
      </c>
      <c r="CL22" s="350">
        <v>14511.8292</v>
      </c>
      <c r="CM22" s="350">
        <v>13676.8475</v>
      </c>
      <c r="CN22" s="351">
        <f t="shared" si="58"/>
        <v>131.23893995626003</v>
      </c>
      <c r="CO22" s="351">
        <f t="shared" si="59"/>
        <v>144.64725858201282</v>
      </c>
      <c r="CP22" s="352">
        <f t="shared" si="60"/>
        <v>2.7838563142032924E-2</v>
      </c>
      <c r="CQ22" s="352">
        <f t="shared" si="61"/>
        <v>1.4595771237170842E-2</v>
      </c>
      <c r="CR22" s="353">
        <f t="shared" si="62"/>
        <v>131.25353572749719</v>
      </c>
      <c r="CS22" s="353">
        <f t="shared" si="63"/>
        <v>144.63401579010795</v>
      </c>
      <c r="CT22" s="343">
        <f t="shared" si="129"/>
        <v>131.23893995626003</v>
      </c>
      <c r="CU22" s="343">
        <f t="shared" si="130"/>
        <v>144.61942001887078</v>
      </c>
      <c r="CW22" s="350">
        <v>3.0468999999999999</v>
      </c>
      <c r="CX22" s="350">
        <v>2.9424999999999999</v>
      </c>
      <c r="CY22" s="350">
        <v>1.8973931004599136E-2</v>
      </c>
      <c r="CZ22" s="350">
        <v>5902.3141999999998</v>
      </c>
      <c r="DA22" s="350">
        <v>5557.3307999999997</v>
      </c>
      <c r="DB22" s="351">
        <f t="shared" si="64"/>
        <v>581.9579</v>
      </c>
      <c r="DC22" s="351">
        <f t="shared" si="65"/>
        <v>770.93499999999995</v>
      </c>
      <c r="DD22" s="352">
        <f t="shared" si="66"/>
        <v>5.6921793013797406E-2</v>
      </c>
      <c r="DE22" s="352">
        <f t="shared" si="67"/>
        <v>3.2436420131328879E-2</v>
      </c>
      <c r="DF22" s="353">
        <f t="shared" si="68"/>
        <v>581.99033642013137</v>
      </c>
      <c r="DG22" s="353">
        <f t="shared" si="69"/>
        <v>770.91051462711755</v>
      </c>
      <c r="DH22" s="343">
        <f t="shared" si="131"/>
        <v>581.9579</v>
      </c>
      <c r="DI22" s="343">
        <f t="shared" si="132"/>
        <v>770.87807820698617</v>
      </c>
      <c r="DK22" s="350">
        <v>4.0250000000000004</v>
      </c>
      <c r="DL22" s="350">
        <v>3.1377000000000002</v>
      </c>
      <c r="DM22" s="350">
        <v>0</v>
      </c>
      <c r="DN22" s="350">
        <v>331.01080000000002</v>
      </c>
      <c r="DO22" s="350">
        <v>295.43830000000003</v>
      </c>
      <c r="DP22" s="351">
        <f t="shared" si="70"/>
        <v>386.40000000000003</v>
      </c>
      <c r="DQ22" s="351">
        <f t="shared" si="71"/>
        <v>545.95979999999997</v>
      </c>
      <c r="DR22" s="352">
        <f t="shared" si="72"/>
        <v>0</v>
      </c>
      <c r="DS22" s="352">
        <f t="shared" si="73"/>
        <v>0</v>
      </c>
      <c r="DT22" s="353">
        <f t="shared" si="74"/>
        <v>386.40000000000003</v>
      </c>
      <c r="DU22" s="353">
        <f t="shared" si="75"/>
        <v>545.95979999999997</v>
      </c>
      <c r="DV22" s="343">
        <f t="shared" si="133"/>
        <v>386.40000000000003</v>
      </c>
      <c r="DW22" s="343">
        <f t="shared" si="134"/>
        <v>545.95979999999997</v>
      </c>
      <c r="EB22" s="326"/>
      <c r="EC22" s="326"/>
      <c r="ED22" s="326"/>
      <c r="EE22" s="348">
        <f t="shared" si="76"/>
        <v>40924.018433333338</v>
      </c>
      <c r="EF22" s="348">
        <f t="shared" si="77"/>
        <v>39208.158299999996</v>
      </c>
      <c r="EG22" s="348">
        <f t="shared" si="78"/>
        <v>1497.3685116321085</v>
      </c>
      <c r="EH22" s="348">
        <f t="shared" si="79"/>
        <v>1732.0515638235004</v>
      </c>
      <c r="EI22" s="354">
        <f t="shared" si="80"/>
        <v>0.51070643656070547</v>
      </c>
      <c r="EJ22" s="326"/>
      <c r="EK22" s="348">
        <f t="shared" si="81"/>
        <v>1497.4090565394508</v>
      </c>
      <c r="EL22" s="348">
        <f t="shared" si="82"/>
        <v>1732.0187327332894</v>
      </c>
      <c r="EM22" s="348">
        <f t="shared" si="83"/>
        <v>1497.3685116321085</v>
      </c>
      <c r="EN22" s="348">
        <f t="shared" si="84"/>
        <v>1731.9781878259473</v>
      </c>
      <c r="EP22" s="326"/>
      <c r="EQ22" s="326"/>
      <c r="ER22" s="326"/>
      <c r="ES22" s="348">
        <f t="shared" si="85"/>
        <v>29857.810933333334</v>
      </c>
      <c r="ET22" s="348">
        <f t="shared" si="86"/>
        <v>27700.19</v>
      </c>
      <c r="EU22" s="348">
        <f t="shared" si="87"/>
        <v>1178.3108795263586</v>
      </c>
      <c r="EV22" s="348">
        <f t="shared" si="88"/>
        <v>1292.7282195037387</v>
      </c>
      <c r="EW22" s="354">
        <f t="shared" si="89"/>
        <v>0.51874301485759045</v>
      </c>
      <c r="EX22" s="326"/>
      <c r="EY22" s="348">
        <f t="shared" si="90"/>
        <v>1178.6920189259745</v>
      </c>
      <c r="EZ22" s="348">
        <f t="shared" si="91"/>
        <v>1292.3796153804947</v>
      </c>
      <c r="FA22" s="348">
        <f t="shared" si="92"/>
        <v>1178.3108795263586</v>
      </c>
      <c r="FB22" s="348">
        <f t="shared" si="93"/>
        <v>1291.9984759808788</v>
      </c>
      <c r="FD22" s="326"/>
      <c r="FE22" s="326"/>
      <c r="FF22" s="326"/>
      <c r="FG22" s="348">
        <f t="shared" si="94"/>
        <v>18281.095833333333</v>
      </c>
      <c r="FH22" s="348">
        <f t="shared" si="95"/>
        <v>17302.890766666667</v>
      </c>
      <c r="FI22" s="348">
        <f t="shared" si="96"/>
        <v>725.82036257394009</v>
      </c>
      <c r="FJ22" s="348">
        <f t="shared" si="97"/>
        <v>731.70631440429452</v>
      </c>
      <c r="FK22" s="354">
        <f t="shared" si="98"/>
        <v>0.51374501791582095</v>
      </c>
      <c r="FL22" s="326"/>
      <c r="FM22" s="348">
        <f t="shared" si="99"/>
        <v>725.83495834517726</v>
      </c>
      <c r="FN22" s="348">
        <f t="shared" si="100"/>
        <v>731.69307161238964</v>
      </c>
      <c r="FO22" s="348">
        <f t="shared" si="101"/>
        <v>725.82036257394009</v>
      </c>
      <c r="FP22" s="348">
        <f t="shared" si="102"/>
        <v>731.67847584115248</v>
      </c>
      <c r="FR22" s="326"/>
      <c r="FS22" s="326"/>
      <c r="FT22" s="326"/>
      <c r="FU22" s="348">
        <f t="shared" si="103"/>
        <v>11032.654200000001</v>
      </c>
      <c r="FV22" s="348">
        <f t="shared" si="104"/>
        <v>10891.3833</v>
      </c>
      <c r="FW22" s="349">
        <f t="shared" si="105"/>
        <v>52.768599644087921</v>
      </c>
      <c r="FX22" s="349">
        <f t="shared" si="106"/>
        <v>19.609591672951364</v>
      </c>
      <c r="FY22" s="354">
        <f t="shared" si="107"/>
        <v>0.50322182672785531</v>
      </c>
      <c r="FZ22" s="326"/>
      <c r="GA22" s="349">
        <f t="shared" si="108"/>
        <v>52.768599644087921</v>
      </c>
      <c r="GB22" s="349">
        <f t="shared" si="109"/>
        <v>19.609591672951364</v>
      </c>
      <c r="GC22" s="349">
        <f t="shared" si="18"/>
        <v>52.768599644087921</v>
      </c>
      <c r="GD22" s="349">
        <f t="shared" si="19"/>
        <v>19.609591672951364</v>
      </c>
      <c r="GF22" s="326"/>
      <c r="GG22" s="326"/>
      <c r="GH22" s="326"/>
      <c r="GI22" s="348">
        <f t="shared" si="135"/>
        <v>20414.143400000001</v>
      </c>
      <c r="GJ22" s="348">
        <f t="shared" si="136"/>
        <v>19234.1783</v>
      </c>
      <c r="GK22" s="348">
        <f t="shared" si="137"/>
        <v>596.80525995625999</v>
      </c>
      <c r="GL22" s="348">
        <f t="shared" si="138"/>
        <v>761.39525858201284</v>
      </c>
      <c r="GM22" s="354">
        <f t="shared" si="114"/>
        <v>0.51488039151982568</v>
      </c>
      <c r="GN22" s="326"/>
      <c r="GO22" s="348">
        <f t="shared" si="115"/>
        <v>596.84580486360232</v>
      </c>
      <c r="GP22" s="348">
        <f t="shared" si="116"/>
        <v>761.36242749180201</v>
      </c>
      <c r="GQ22" s="348">
        <f t="shared" si="20"/>
        <v>596.80525995625999</v>
      </c>
      <c r="GR22" s="348">
        <f t="shared" si="21"/>
        <v>761.32188258445979</v>
      </c>
    </row>
    <row r="23" spans="1:203" x14ac:dyDescent="0.2">
      <c r="A23" s="320">
        <v>13</v>
      </c>
      <c r="C23" s="350">
        <v>0.73376986562407343</v>
      </c>
      <c r="D23" s="350">
        <v>0.3679095529980913</v>
      </c>
      <c r="E23" s="350">
        <v>0</v>
      </c>
      <c r="F23" s="350">
        <v>12495.716666666665</v>
      </c>
      <c r="G23" s="350">
        <v>11904.785833333335</v>
      </c>
      <c r="H23" s="351">
        <f t="shared" si="22"/>
        <v>752.84788213029935</v>
      </c>
      <c r="I23" s="351">
        <f t="shared" si="23"/>
        <v>874.15309792346488</v>
      </c>
      <c r="J23" s="352">
        <f t="shared" si="24"/>
        <v>0</v>
      </c>
      <c r="K23" s="352">
        <f t="shared" si="25"/>
        <v>0</v>
      </c>
      <c r="L23" s="353">
        <f t="shared" si="26"/>
        <v>752.84788213029935</v>
      </c>
      <c r="M23" s="353">
        <f t="shared" si="27"/>
        <v>874.15309792346488</v>
      </c>
      <c r="N23" s="343">
        <f t="shared" si="117"/>
        <v>752.84788213029935</v>
      </c>
      <c r="O23" s="343">
        <f t="shared" si="118"/>
        <v>874.15309792346488</v>
      </c>
      <c r="Q23" s="350">
        <v>0.70997524558999503</v>
      </c>
      <c r="R23" s="350">
        <v>0.29668816311243518</v>
      </c>
      <c r="S23" s="350">
        <v>0</v>
      </c>
      <c r="T23" s="350">
        <v>1777.7558333333336</v>
      </c>
      <c r="U23" s="350">
        <v>875.18833333333328</v>
      </c>
      <c r="V23" s="351">
        <f t="shared" si="28"/>
        <v>499.82257289535653</v>
      </c>
      <c r="W23" s="351">
        <f t="shared" si="29"/>
        <v>497.84273770266623</v>
      </c>
      <c r="X23" s="352">
        <f t="shared" si="30"/>
        <v>0</v>
      </c>
      <c r="Y23" s="352">
        <f t="shared" si="31"/>
        <v>0</v>
      </c>
      <c r="Z23" s="353">
        <f t="shared" si="32"/>
        <v>499.82257289535653</v>
      </c>
      <c r="AA23" s="353">
        <f t="shared" si="33"/>
        <v>497.84273770266623</v>
      </c>
      <c r="AB23" s="343">
        <f t="shared" si="119"/>
        <v>499.82257289535653</v>
      </c>
      <c r="AC23" s="343">
        <f t="shared" si="120"/>
        <v>497.84273770266623</v>
      </c>
      <c r="AE23" s="350">
        <v>0.69899999999999995</v>
      </c>
      <c r="AF23" s="350">
        <v>0.188</v>
      </c>
      <c r="AG23" s="350">
        <v>0</v>
      </c>
      <c r="AH23" s="350">
        <v>120.13500000000001</v>
      </c>
      <c r="AI23" s="350">
        <v>53.722499999999997</v>
      </c>
      <c r="AJ23" s="351">
        <f t="shared" si="34"/>
        <v>248.84399999999999</v>
      </c>
      <c r="AK23" s="351">
        <f t="shared" si="35"/>
        <v>144.00800000000001</v>
      </c>
      <c r="AL23" s="352">
        <f t="shared" si="36"/>
        <v>0</v>
      </c>
      <c r="AM23" s="352">
        <f t="shared" si="37"/>
        <v>0</v>
      </c>
      <c r="AN23" s="353">
        <f t="shared" si="38"/>
        <v>248.84399999999999</v>
      </c>
      <c r="AO23" s="353">
        <f t="shared" si="39"/>
        <v>144.00800000000001</v>
      </c>
      <c r="AP23" s="343">
        <f t="shared" si="121"/>
        <v>248.84399999999999</v>
      </c>
      <c r="AQ23" s="343">
        <f t="shared" si="122"/>
        <v>144.00800000000001</v>
      </c>
      <c r="AS23" s="350">
        <v>0.7137</v>
      </c>
      <c r="AT23" s="350">
        <v>0.36796771585224375</v>
      </c>
      <c r="AU23" s="350">
        <v>1.41941623695467E-5</v>
      </c>
      <c r="AV23" s="350">
        <v>7556.6532999999999</v>
      </c>
      <c r="AW23" s="350">
        <v>7178.1841999999997</v>
      </c>
      <c r="AX23" s="351">
        <f t="shared" si="40"/>
        <v>179.85239999999999</v>
      </c>
      <c r="AY23" s="351">
        <f t="shared" si="41"/>
        <v>184.35182564197413</v>
      </c>
      <c r="AZ23" s="352">
        <f t="shared" si="42"/>
        <v>2.2852601414970189E-3</v>
      </c>
      <c r="BA23" s="352">
        <f t="shared" si="43"/>
        <v>1.1567462689627238E-3</v>
      </c>
      <c r="BB23" s="353">
        <f t="shared" si="44"/>
        <v>179.85355674626896</v>
      </c>
      <c r="BC23" s="353">
        <f t="shared" si="45"/>
        <v>184.35069712810161</v>
      </c>
      <c r="BD23" s="343">
        <f t="shared" si="123"/>
        <v>179.85239999999999</v>
      </c>
      <c r="BE23" s="343">
        <f t="shared" si="124"/>
        <v>184.34954038183264</v>
      </c>
      <c r="BG23" s="350">
        <v>0.63796292761852313</v>
      </c>
      <c r="BH23" s="350">
        <v>0.36395335904780235</v>
      </c>
      <c r="BI23" s="350">
        <v>3.430065702952189E-3</v>
      </c>
      <c r="BJ23" s="350">
        <v>7578.7367000000004</v>
      </c>
      <c r="BK23" s="350">
        <v>7225.8941999999997</v>
      </c>
      <c r="BL23" s="351">
        <f t="shared" si="46"/>
        <v>151.19721384558997</v>
      </c>
      <c r="BM23" s="351">
        <f t="shared" si="47"/>
        <v>175.42551906104075</v>
      </c>
      <c r="BN23" s="352">
        <f t="shared" si="48"/>
        <v>0.61741182653139404</v>
      </c>
      <c r="BO23" s="352">
        <f t="shared" si="49"/>
        <v>0.3316051800186755</v>
      </c>
      <c r="BP23" s="353">
        <f t="shared" si="50"/>
        <v>151.52881902560864</v>
      </c>
      <c r="BQ23" s="353">
        <f t="shared" si="51"/>
        <v>175.13971241452802</v>
      </c>
      <c r="BR23" s="343">
        <f t="shared" si="125"/>
        <v>151.19721384558997</v>
      </c>
      <c r="BS23" s="343">
        <f t="shared" si="126"/>
        <v>174.80810723450935</v>
      </c>
      <c r="BU23" s="350">
        <v>0.69933089362464007</v>
      </c>
      <c r="BV23" s="350">
        <v>0.50273480160334794</v>
      </c>
      <c r="BW23" s="350">
        <v>0</v>
      </c>
      <c r="BX23" s="350">
        <v>3511.4857999999999</v>
      </c>
      <c r="BY23" s="350">
        <v>3176.12</v>
      </c>
      <c r="BZ23" s="351">
        <f t="shared" si="52"/>
        <v>127.27822263968449</v>
      </c>
      <c r="CA23" s="351">
        <f t="shared" si="53"/>
        <v>154.33958409222782</v>
      </c>
      <c r="CB23" s="352">
        <f t="shared" si="54"/>
        <v>0</v>
      </c>
      <c r="CC23" s="352">
        <f t="shared" si="55"/>
        <v>0</v>
      </c>
      <c r="CD23" s="353">
        <f t="shared" si="56"/>
        <v>127.27822263968449</v>
      </c>
      <c r="CE23" s="353">
        <f t="shared" si="57"/>
        <v>154.33958409222782</v>
      </c>
      <c r="CF23" s="343">
        <f t="shared" si="127"/>
        <v>127.27822263968449</v>
      </c>
      <c r="CG23" s="343">
        <f t="shared" si="128"/>
        <v>154.33958409222782</v>
      </c>
      <c r="CI23" s="350">
        <v>0.74821681507538262</v>
      </c>
      <c r="CJ23" s="350">
        <v>0.66752501757053295</v>
      </c>
      <c r="CK23" s="350">
        <v>9.7106579717576112E-3</v>
      </c>
      <c r="CL23" s="350">
        <v>14103.342500000001</v>
      </c>
      <c r="CM23" s="350">
        <v>13421.2783</v>
      </c>
      <c r="CN23" s="351">
        <f t="shared" si="58"/>
        <v>135.42724352864425</v>
      </c>
      <c r="CO23" s="351">
        <f t="shared" si="59"/>
        <v>151.52817898851097</v>
      </c>
      <c r="CP23" s="352">
        <f t="shared" si="60"/>
        <v>3.8842631887030445E-2</v>
      </c>
      <c r="CQ23" s="352">
        <f t="shared" si="61"/>
        <v>2.0511036959445929E-2</v>
      </c>
      <c r="CR23" s="353">
        <f t="shared" si="62"/>
        <v>135.4477545656037</v>
      </c>
      <c r="CS23" s="353">
        <f t="shared" si="63"/>
        <v>151.50984739358339</v>
      </c>
      <c r="CT23" s="343">
        <f t="shared" si="129"/>
        <v>135.42724352864425</v>
      </c>
      <c r="CU23" s="343">
        <f t="shared" si="130"/>
        <v>151.48933635662394</v>
      </c>
      <c r="CW23" s="350">
        <v>3.1589</v>
      </c>
      <c r="CX23" s="350">
        <v>2.8643000000000001</v>
      </c>
      <c r="CY23" s="350">
        <v>1.5822798926984512E-2</v>
      </c>
      <c r="CZ23" s="350">
        <v>5747.1324999999997</v>
      </c>
      <c r="DA23" s="350">
        <v>5593.1782999999996</v>
      </c>
      <c r="DB23" s="351">
        <f t="shared" si="64"/>
        <v>603.34990000000005</v>
      </c>
      <c r="DC23" s="351">
        <f t="shared" si="65"/>
        <v>750.44659999999999</v>
      </c>
      <c r="DD23" s="352">
        <f t="shared" si="66"/>
        <v>4.7468396780953534E-2</v>
      </c>
      <c r="DE23" s="352">
        <f t="shared" si="67"/>
        <v>2.6313036687358494E-2</v>
      </c>
      <c r="DF23" s="353">
        <f t="shared" si="68"/>
        <v>603.37621303668743</v>
      </c>
      <c r="DG23" s="353">
        <f t="shared" si="69"/>
        <v>750.42544463990646</v>
      </c>
      <c r="DH23" s="343">
        <f t="shared" si="131"/>
        <v>603.34990000000005</v>
      </c>
      <c r="DI23" s="343">
        <f t="shared" si="132"/>
        <v>750.39913160321908</v>
      </c>
      <c r="DK23" s="350">
        <v>4.2138</v>
      </c>
      <c r="DL23" s="350">
        <v>3.0707</v>
      </c>
      <c r="DM23" s="350">
        <v>0</v>
      </c>
      <c r="DN23" s="350">
        <v>284.995</v>
      </c>
      <c r="DO23" s="350">
        <v>267.58580000000001</v>
      </c>
      <c r="DP23" s="351">
        <f t="shared" si="70"/>
        <v>404.52480000000003</v>
      </c>
      <c r="DQ23" s="351">
        <f t="shared" si="71"/>
        <v>534.30179999999996</v>
      </c>
      <c r="DR23" s="352">
        <f t="shared" si="72"/>
        <v>0</v>
      </c>
      <c r="DS23" s="352">
        <f t="shared" si="73"/>
        <v>0</v>
      </c>
      <c r="DT23" s="353">
        <f t="shared" si="74"/>
        <v>404.52480000000003</v>
      </c>
      <c r="DU23" s="353">
        <f t="shared" si="75"/>
        <v>534.30179999999996</v>
      </c>
      <c r="DV23" s="343">
        <f t="shared" si="133"/>
        <v>404.52480000000003</v>
      </c>
      <c r="DW23" s="343">
        <f t="shared" si="134"/>
        <v>534.30179999999996</v>
      </c>
      <c r="EB23" s="326"/>
      <c r="EC23" s="326"/>
      <c r="ED23" s="326"/>
      <c r="EE23" s="348">
        <f t="shared" si="76"/>
        <v>39902.844966666664</v>
      </c>
      <c r="EF23" s="348">
        <f t="shared" si="77"/>
        <v>38097.426633333336</v>
      </c>
      <c r="EG23" s="348">
        <f t="shared" si="78"/>
        <v>1550.8074456589436</v>
      </c>
      <c r="EH23" s="348">
        <f t="shared" si="79"/>
        <v>1810.3903825539501</v>
      </c>
      <c r="EI23" s="354">
        <f t="shared" si="80"/>
        <v>0.51157315414612814</v>
      </c>
      <c r="EJ23" s="326"/>
      <c r="EK23" s="348">
        <f t="shared" si="81"/>
        <v>1550.850163871522</v>
      </c>
      <c r="EL23" s="348">
        <f t="shared" si="82"/>
        <v>1810.3539981570752</v>
      </c>
      <c r="EM23" s="348">
        <f t="shared" si="83"/>
        <v>1550.8074456589436</v>
      </c>
      <c r="EN23" s="348">
        <f t="shared" si="84"/>
        <v>1810.3112799444966</v>
      </c>
      <c r="EP23" s="326"/>
      <c r="EQ23" s="326"/>
      <c r="ER23" s="326"/>
      <c r="ES23" s="348">
        <f t="shared" si="85"/>
        <v>29206.967533333336</v>
      </c>
      <c r="ET23" s="348">
        <f t="shared" si="86"/>
        <v>27115.539133333332</v>
      </c>
      <c r="EU23" s="348">
        <f t="shared" si="87"/>
        <v>1208.7919602695908</v>
      </c>
      <c r="EV23" s="348">
        <f t="shared" si="88"/>
        <v>1350.109055752218</v>
      </c>
      <c r="EW23" s="354">
        <f t="shared" si="89"/>
        <v>0.51856654225616861</v>
      </c>
      <c r="EX23" s="326"/>
      <c r="EY23" s="348">
        <f t="shared" si="90"/>
        <v>1209.16249561225</v>
      </c>
      <c r="EZ23" s="348">
        <f t="shared" si="91"/>
        <v>1349.7901087587122</v>
      </c>
      <c r="FA23" s="348">
        <f t="shared" si="92"/>
        <v>1208.7919602695908</v>
      </c>
      <c r="FB23" s="348">
        <f t="shared" si="93"/>
        <v>1349.4195734160528</v>
      </c>
      <c r="FD23" s="326"/>
      <c r="FE23" s="326"/>
      <c r="FF23" s="326"/>
      <c r="FG23" s="348">
        <f t="shared" si="94"/>
        <v>18019.958299999998</v>
      </c>
      <c r="FH23" s="348">
        <f t="shared" si="95"/>
        <v>16918.706600000001</v>
      </c>
      <c r="FI23" s="348">
        <f t="shared" si="96"/>
        <v>754.26434616832876</v>
      </c>
      <c r="FJ23" s="348">
        <f t="shared" si="97"/>
        <v>770.45684308073874</v>
      </c>
      <c r="FK23" s="354">
        <f t="shared" si="98"/>
        <v>0.51575978508554854</v>
      </c>
      <c r="FL23" s="326"/>
      <c r="FM23" s="348">
        <f t="shared" si="99"/>
        <v>754.28485720528818</v>
      </c>
      <c r="FN23" s="348">
        <f t="shared" si="100"/>
        <v>770.4385114858112</v>
      </c>
      <c r="FO23" s="348">
        <f t="shared" si="101"/>
        <v>754.26434616832876</v>
      </c>
      <c r="FP23" s="348">
        <f t="shared" si="102"/>
        <v>770.41800044885179</v>
      </c>
      <c r="FR23" s="326"/>
      <c r="FS23" s="326"/>
      <c r="FT23" s="326"/>
      <c r="FU23" s="348">
        <f t="shared" si="103"/>
        <v>11068.1391</v>
      </c>
      <c r="FV23" s="348">
        <f t="shared" si="104"/>
        <v>10354.304199999999</v>
      </c>
      <c r="FW23" s="349">
        <f t="shared" si="105"/>
        <v>47.316759624283954</v>
      </c>
      <c r="FX23" s="349">
        <f t="shared" si="106"/>
        <v>27.011017394771677</v>
      </c>
      <c r="FY23" s="354">
        <f t="shared" si="107"/>
        <v>0.51666091234327138</v>
      </c>
      <c r="FZ23" s="326"/>
      <c r="GA23" s="349">
        <f t="shared" si="108"/>
        <v>47.317800695926032</v>
      </c>
      <c r="GB23" s="349">
        <f t="shared" si="109"/>
        <v>27.010001732286412</v>
      </c>
      <c r="GC23" s="349">
        <f t="shared" si="18"/>
        <v>47.316759624283954</v>
      </c>
      <c r="GD23" s="349">
        <f t="shared" si="19"/>
        <v>27.008960660644334</v>
      </c>
      <c r="GF23" s="326"/>
      <c r="GG23" s="326"/>
      <c r="GH23" s="326"/>
      <c r="GI23" s="348">
        <f t="shared" si="135"/>
        <v>19850.474999999999</v>
      </c>
      <c r="GJ23" s="348">
        <f t="shared" si="136"/>
        <v>19014.456599999998</v>
      </c>
      <c r="GK23" s="348">
        <f t="shared" si="137"/>
        <v>618.10716352864426</v>
      </c>
      <c r="GL23" s="348">
        <f t="shared" si="138"/>
        <v>751.885458988511</v>
      </c>
      <c r="GM23" s="354">
        <f t="shared" si="114"/>
        <v>0.51075543382662225</v>
      </c>
      <c r="GN23" s="326"/>
      <c r="GO23" s="348">
        <f t="shared" si="115"/>
        <v>618.14872499495368</v>
      </c>
      <c r="GP23" s="348">
        <f t="shared" si="116"/>
        <v>751.85020310550863</v>
      </c>
      <c r="GQ23" s="348">
        <f t="shared" si="20"/>
        <v>618.10716352864426</v>
      </c>
      <c r="GR23" s="348">
        <f t="shared" si="21"/>
        <v>751.80864163919932</v>
      </c>
    </row>
    <row r="24" spans="1:203" x14ac:dyDescent="0.2">
      <c r="A24" s="320">
        <v>14</v>
      </c>
      <c r="C24" s="350">
        <v>0.76348859932602942</v>
      </c>
      <c r="D24" s="350">
        <v>0.39399242994950379</v>
      </c>
      <c r="E24" s="350">
        <v>2.0908442642223585E-3</v>
      </c>
      <c r="F24" s="350">
        <v>12215.052500000002</v>
      </c>
      <c r="G24" s="350">
        <v>11754.044166666667</v>
      </c>
      <c r="H24" s="351">
        <f t="shared" si="22"/>
        <v>783.33930290850617</v>
      </c>
      <c r="I24" s="351">
        <f t="shared" si="23"/>
        <v>936.12601356002097</v>
      </c>
      <c r="J24" s="352">
        <f t="shared" si="24"/>
        <v>0.53316528737670144</v>
      </c>
      <c r="K24" s="352">
        <f t="shared" si="25"/>
        <v>0.29027040572450541</v>
      </c>
      <c r="L24" s="353">
        <f t="shared" si="26"/>
        <v>783.6295733142307</v>
      </c>
      <c r="M24" s="353">
        <f t="shared" si="27"/>
        <v>935.88311867836876</v>
      </c>
      <c r="N24" s="343">
        <f t="shared" si="117"/>
        <v>783.33930290850617</v>
      </c>
      <c r="O24" s="343">
        <f t="shared" si="118"/>
        <v>935.59284827264423</v>
      </c>
      <c r="Q24" s="350">
        <v>0.70758010216339462</v>
      </c>
      <c r="R24" s="350">
        <v>0.32214053148192184</v>
      </c>
      <c r="S24" s="350">
        <v>5.4193839356415285E-3</v>
      </c>
      <c r="T24" s="350">
        <v>1777.4274999999998</v>
      </c>
      <c r="U24" s="350">
        <v>838.47749999999996</v>
      </c>
      <c r="V24" s="351">
        <f t="shared" si="28"/>
        <v>498.13639192302981</v>
      </c>
      <c r="W24" s="351">
        <f t="shared" si="29"/>
        <v>540.5518118266649</v>
      </c>
      <c r="X24" s="352">
        <f t="shared" si="30"/>
        <v>1.0405217156431734</v>
      </c>
      <c r="Y24" s="352">
        <f t="shared" si="31"/>
        <v>0.54150600402067228</v>
      </c>
      <c r="Z24" s="353">
        <f t="shared" si="32"/>
        <v>498.67789792705048</v>
      </c>
      <c r="AA24" s="353">
        <f t="shared" si="33"/>
        <v>540.05279611504238</v>
      </c>
      <c r="AB24" s="343">
        <f t="shared" si="119"/>
        <v>498.13639192302981</v>
      </c>
      <c r="AC24" s="343">
        <f t="shared" si="120"/>
        <v>539.51129011102171</v>
      </c>
      <c r="AE24" s="350">
        <v>0.68899999999999995</v>
      </c>
      <c r="AF24" s="350">
        <v>0.20799999999999999</v>
      </c>
      <c r="AG24" s="350">
        <v>0</v>
      </c>
      <c r="AH24" s="350">
        <v>113.75833333333334</v>
      </c>
      <c r="AI24" s="350">
        <v>53.498333333333328</v>
      </c>
      <c r="AJ24" s="351">
        <f t="shared" si="34"/>
        <v>245.28399999999999</v>
      </c>
      <c r="AK24" s="351">
        <f t="shared" si="35"/>
        <v>159.328</v>
      </c>
      <c r="AL24" s="352">
        <f t="shared" si="36"/>
        <v>0</v>
      </c>
      <c r="AM24" s="352">
        <f t="shared" si="37"/>
        <v>0</v>
      </c>
      <c r="AN24" s="353">
        <f t="shared" si="38"/>
        <v>245.28399999999999</v>
      </c>
      <c r="AO24" s="353">
        <f t="shared" si="39"/>
        <v>159.328</v>
      </c>
      <c r="AP24" s="343">
        <f t="shared" si="121"/>
        <v>245.28399999999999</v>
      </c>
      <c r="AQ24" s="343">
        <f t="shared" si="122"/>
        <v>159.328</v>
      </c>
      <c r="AS24" s="350">
        <v>0.76280000000000003</v>
      </c>
      <c r="AT24" s="350">
        <v>0.44919157284385031</v>
      </c>
      <c r="AU24" s="350">
        <v>9.3818757249652842E-4</v>
      </c>
      <c r="AV24" s="350">
        <v>7221.9708000000001</v>
      </c>
      <c r="AW24" s="350">
        <v>6943.2407999999996</v>
      </c>
      <c r="AX24" s="351">
        <f t="shared" si="40"/>
        <v>192.22560000000001</v>
      </c>
      <c r="AY24" s="351">
        <f t="shared" si="41"/>
        <v>225.044977994769</v>
      </c>
      <c r="AZ24" s="352">
        <f t="shared" si="42"/>
        <v>0.15104819917194107</v>
      </c>
      <c r="BA24" s="352">
        <f t="shared" si="43"/>
        <v>8.1464259527124133E-2</v>
      </c>
      <c r="BB24" s="353">
        <f t="shared" si="44"/>
        <v>192.30706425952715</v>
      </c>
      <c r="BC24" s="353">
        <f t="shared" si="45"/>
        <v>224.97539405512418</v>
      </c>
      <c r="BD24" s="343">
        <f t="shared" si="123"/>
        <v>192.22560000000001</v>
      </c>
      <c r="BE24" s="343">
        <f t="shared" si="124"/>
        <v>224.89392979559705</v>
      </c>
      <c r="BG24" s="350">
        <v>0.71872551835694931</v>
      </c>
      <c r="BH24" s="350">
        <v>0.4292294954105127</v>
      </c>
      <c r="BI24" s="350">
        <v>2.0879260482676606E-3</v>
      </c>
      <c r="BJ24" s="350">
        <v>7226.5541999999996</v>
      </c>
      <c r="BK24" s="350">
        <v>6950.4907999999996</v>
      </c>
      <c r="BL24" s="351">
        <f t="shared" si="46"/>
        <v>170.33794785059698</v>
      </c>
      <c r="BM24" s="351">
        <f t="shared" si="47"/>
        <v>206.88861678786711</v>
      </c>
      <c r="BN24" s="352">
        <f t="shared" si="48"/>
        <v>0.37582668868817892</v>
      </c>
      <c r="BO24" s="352">
        <f t="shared" si="49"/>
        <v>0.2061208596196871</v>
      </c>
      <c r="BP24" s="353">
        <f t="shared" si="50"/>
        <v>170.54406871021666</v>
      </c>
      <c r="BQ24" s="353">
        <f t="shared" si="51"/>
        <v>206.7189109587986</v>
      </c>
      <c r="BR24" s="343">
        <f t="shared" si="125"/>
        <v>170.33794785059698</v>
      </c>
      <c r="BS24" s="343">
        <f t="shared" si="126"/>
        <v>206.51279009917891</v>
      </c>
      <c r="BU24" s="350">
        <v>0.80096458294841177</v>
      </c>
      <c r="BV24" s="350">
        <v>0.58705064228778836</v>
      </c>
      <c r="BW24" s="350">
        <v>1.281345239786108E-3</v>
      </c>
      <c r="BX24" s="350">
        <v>3551.9616999999998</v>
      </c>
      <c r="BY24" s="350">
        <v>3324.2966999999999</v>
      </c>
      <c r="BZ24" s="351">
        <f t="shared" si="52"/>
        <v>145.77555409661093</v>
      </c>
      <c r="CA24" s="351">
        <f t="shared" si="53"/>
        <v>180.22454718235102</v>
      </c>
      <c r="CB24" s="352">
        <f t="shared" si="54"/>
        <v>8.585013106566923E-2</v>
      </c>
      <c r="CC24" s="352">
        <f t="shared" si="55"/>
        <v>4.7461031257827434E-2</v>
      </c>
      <c r="CD24" s="353">
        <f t="shared" si="56"/>
        <v>145.82301512786876</v>
      </c>
      <c r="CE24" s="353">
        <f t="shared" si="57"/>
        <v>180.18615808254316</v>
      </c>
      <c r="CF24" s="343">
        <f t="shared" si="127"/>
        <v>145.77555409661093</v>
      </c>
      <c r="CG24" s="343">
        <f t="shared" si="128"/>
        <v>180.13869705128533</v>
      </c>
      <c r="CI24" s="350">
        <v>0.76277549337291972</v>
      </c>
      <c r="CJ24" s="350">
        <v>0.68650363690454164</v>
      </c>
      <c r="CK24" s="350">
        <v>1.286820368035254E-2</v>
      </c>
      <c r="CL24" s="350">
        <v>13940.043299999999</v>
      </c>
      <c r="CM24" s="350">
        <v>13477.956700000001</v>
      </c>
      <c r="CN24" s="351">
        <f t="shared" si="58"/>
        <v>138.06236430049847</v>
      </c>
      <c r="CO24" s="351">
        <f t="shared" si="59"/>
        <v>155.83632557733094</v>
      </c>
      <c r="CP24" s="352">
        <f t="shared" si="60"/>
        <v>5.1472814721410159E-2</v>
      </c>
      <c r="CQ24" s="352">
        <f t="shared" si="61"/>
        <v>2.7292854951621905E-2</v>
      </c>
      <c r="CR24" s="353">
        <f t="shared" si="62"/>
        <v>138.08965715545008</v>
      </c>
      <c r="CS24" s="353">
        <f t="shared" si="63"/>
        <v>155.81214561756113</v>
      </c>
      <c r="CT24" s="343">
        <f t="shared" si="129"/>
        <v>138.06236430049847</v>
      </c>
      <c r="CU24" s="343">
        <f t="shared" si="130"/>
        <v>155.78485276260952</v>
      </c>
      <c r="CW24" s="350">
        <v>2.8980999999999999</v>
      </c>
      <c r="CX24" s="350">
        <v>2.3811</v>
      </c>
      <c r="CY24" s="350">
        <v>1.0246015971987035E-2</v>
      </c>
      <c r="CZ24" s="350">
        <v>5941.5941999999995</v>
      </c>
      <c r="DA24" s="350">
        <v>5541.8575000000001</v>
      </c>
      <c r="DB24" s="351">
        <f t="shared" si="64"/>
        <v>553.53710000000001</v>
      </c>
      <c r="DC24" s="351">
        <f t="shared" si="65"/>
        <v>623.84820000000002</v>
      </c>
      <c r="DD24" s="352">
        <f t="shared" si="66"/>
        <v>3.0738047915961103E-2</v>
      </c>
      <c r="DE24" s="352">
        <f t="shared" si="67"/>
        <v>1.6286831391462156E-2</v>
      </c>
      <c r="DF24" s="353">
        <f t="shared" si="68"/>
        <v>553.55338683139144</v>
      </c>
      <c r="DG24" s="353">
        <f t="shared" si="69"/>
        <v>623.83374878347547</v>
      </c>
      <c r="DH24" s="343">
        <f t="shared" si="131"/>
        <v>553.53710000000001</v>
      </c>
      <c r="DI24" s="343">
        <f t="shared" si="132"/>
        <v>623.81746195208405</v>
      </c>
      <c r="DK24" s="350">
        <v>3.6734</v>
      </c>
      <c r="DL24" s="350">
        <v>2.6251000000000002</v>
      </c>
      <c r="DM24" s="350">
        <v>0</v>
      </c>
      <c r="DN24" s="350">
        <v>279.83330000000001</v>
      </c>
      <c r="DO24" s="350">
        <v>246.35</v>
      </c>
      <c r="DP24" s="351">
        <f t="shared" si="70"/>
        <v>352.64639999999997</v>
      </c>
      <c r="DQ24" s="351">
        <f t="shared" si="71"/>
        <v>456.76740000000001</v>
      </c>
      <c r="DR24" s="352">
        <f t="shared" si="72"/>
        <v>0</v>
      </c>
      <c r="DS24" s="352">
        <f t="shared" si="73"/>
        <v>0</v>
      </c>
      <c r="DT24" s="353">
        <f t="shared" si="74"/>
        <v>352.64639999999997</v>
      </c>
      <c r="DU24" s="353">
        <f t="shared" si="75"/>
        <v>456.76740000000001</v>
      </c>
      <c r="DV24" s="343">
        <f t="shared" si="133"/>
        <v>352.64639999999997</v>
      </c>
      <c r="DW24" s="343">
        <f t="shared" si="134"/>
        <v>456.76740000000001</v>
      </c>
      <c r="EB24" s="326"/>
      <c r="EC24" s="326"/>
      <c r="ED24" s="326"/>
      <c r="EE24" s="348">
        <f t="shared" si="76"/>
        <v>39318.660799999998</v>
      </c>
      <c r="EF24" s="348">
        <f t="shared" si="77"/>
        <v>37717.099166666667</v>
      </c>
      <c r="EG24" s="348">
        <f t="shared" si="78"/>
        <v>1556.4569472090047</v>
      </c>
      <c r="EH24" s="348">
        <f t="shared" si="79"/>
        <v>1816.0858771321209</v>
      </c>
      <c r="EI24" s="354">
        <f t="shared" si="80"/>
        <v>0.51039492330591874</v>
      </c>
      <c r="EJ24" s="326"/>
      <c r="EK24" s="348">
        <f t="shared" si="81"/>
        <v>1556.869004194321</v>
      </c>
      <c r="EL24" s="348">
        <f t="shared" si="82"/>
        <v>1815.7376573778345</v>
      </c>
      <c r="EM24" s="348">
        <f t="shared" si="83"/>
        <v>1556.4569472090047</v>
      </c>
      <c r="EN24" s="348">
        <f t="shared" si="84"/>
        <v>1815.325600392518</v>
      </c>
      <c r="EP24" s="326"/>
      <c r="EQ24" s="326"/>
      <c r="ER24" s="326"/>
      <c r="ES24" s="348">
        <f t="shared" si="85"/>
        <v>28885.619200000001</v>
      </c>
      <c r="ET24" s="348">
        <f t="shared" si="86"/>
        <v>26808.782500000001</v>
      </c>
      <c r="EU24" s="348">
        <f t="shared" si="87"/>
        <v>1194.0126740741252</v>
      </c>
      <c r="EV24" s="348">
        <f t="shared" si="88"/>
        <v>1339.9704941918631</v>
      </c>
      <c r="EW24" s="354">
        <f t="shared" si="89"/>
        <v>0.51864493231462439</v>
      </c>
      <c r="EX24" s="326"/>
      <c r="EY24" s="348">
        <f t="shared" si="90"/>
        <v>1194.7989945746913</v>
      </c>
      <c r="EZ24" s="348">
        <f t="shared" si="91"/>
        <v>1339.2674768398349</v>
      </c>
      <c r="FA24" s="348">
        <f t="shared" si="92"/>
        <v>1194.0126740741252</v>
      </c>
      <c r="FB24" s="348">
        <f t="shared" si="93"/>
        <v>1338.4811563392689</v>
      </c>
      <c r="FD24" s="326"/>
      <c r="FE24" s="326"/>
      <c r="FF24" s="326"/>
      <c r="FG24" s="348">
        <f t="shared" si="94"/>
        <v>17885.596633333331</v>
      </c>
      <c r="FH24" s="348">
        <f t="shared" si="95"/>
        <v>17102.101733333333</v>
      </c>
      <c r="FI24" s="348">
        <f t="shared" si="96"/>
        <v>740.70975839710923</v>
      </c>
      <c r="FJ24" s="348">
        <f t="shared" si="97"/>
        <v>769.4493127596819</v>
      </c>
      <c r="FK24" s="354">
        <f t="shared" si="98"/>
        <v>0.51119671965542102</v>
      </c>
      <c r="FL24" s="326"/>
      <c r="FM24" s="348">
        <f t="shared" si="99"/>
        <v>740.78451228331869</v>
      </c>
      <c r="FN24" s="348">
        <f t="shared" si="100"/>
        <v>769.38674370010426</v>
      </c>
      <c r="FO24" s="348">
        <f t="shared" si="101"/>
        <v>740.70975839710923</v>
      </c>
      <c r="FP24" s="348">
        <f t="shared" si="102"/>
        <v>769.3119898138948</v>
      </c>
      <c r="FR24" s="326"/>
      <c r="FS24" s="326"/>
      <c r="FT24" s="326"/>
      <c r="FU24" s="348">
        <f t="shared" si="103"/>
        <v>10773.932499999999</v>
      </c>
      <c r="FV24" s="348">
        <f t="shared" si="104"/>
        <v>10267.537499999999</v>
      </c>
      <c r="FW24" s="349">
        <f t="shared" si="105"/>
        <v>41.805041313050175</v>
      </c>
      <c r="FX24" s="349">
        <f t="shared" si="106"/>
        <v>40.338387731176184</v>
      </c>
      <c r="FY24" s="354">
        <f t="shared" si="107"/>
        <v>0.51203326098414226</v>
      </c>
      <c r="FZ24" s="326"/>
      <c r="GA24" s="349">
        <f t="shared" si="108"/>
        <v>41.835644218492554</v>
      </c>
      <c r="GB24" s="349">
        <f t="shared" si="109"/>
        <v>40.310312375322923</v>
      </c>
      <c r="GC24" s="349">
        <f t="shared" si="18"/>
        <v>41.805041313050175</v>
      </c>
      <c r="GD24" s="349">
        <f t="shared" si="19"/>
        <v>40.279709469880544</v>
      </c>
      <c r="GF24" s="326"/>
      <c r="GG24" s="326"/>
      <c r="GH24" s="326"/>
      <c r="GI24" s="348">
        <f t="shared" si="135"/>
        <v>19881.637499999997</v>
      </c>
      <c r="GJ24" s="348">
        <f t="shared" si="136"/>
        <v>19019.814200000001</v>
      </c>
      <c r="GK24" s="348">
        <f t="shared" si="137"/>
        <v>580.89204430049858</v>
      </c>
      <c r="GL24" s="348">
        <f t="shared" si="138"/>
        <v>654.91488557733101</v>
      </c>
      <c r="GM24" s="354">
        <f t="shared" si="114"/>
        <v>0.51107700692825297</v>
      </c>
      <c r="GN24" s="326"/>
      <c r="GO24" s="348">
        <f t="shared" si="115"/>
        <v>580.93236662056324</v>
      </c>
      <c r="GP24" s="348">
        <f t="shared" si="116"/>
        <v>654.87914464434152</v>
      </c>
      <c r="GQ24" s="348">
        <f t="shared" si="20"/>
        <v>580.89204430049858</v>
      </c>
      <c r="GR24" s="348">
        <f t="shared" si="21"/>
        <v>654.83882232427675</v>
      </c>
    </row>
    <row r="25" spans="1:203" x14ac:dyDescent="0.2">
      <c r="A25" s="320">
        <v>15</v>
      </c>
      <c r="C25" s="350">
        <v>0.7983168441193027</v>
      </c>
      <c r="D25" s="350">
        <v>0.4234402578045417</v>
      </c>
      <c r="E25" s="350">
        <v>5.7263952197693438E-3</v>
      </c>
      <c r="F25" s="350">
        <v>11941.249166666668</v>
      </c>
      <c r="G25" s="350">
        <v>11630.3</v>
      </c>
      <c r="H25" s="351">
        <f t="shared" si="22"/>
        <v>819.0730820664046</v>
      </c>
      <c r="I25" s="351">
        <f t="shared" si="23"/>
        <v>1006.094052543591</v>
      </c>
      <c r="J25" s="352">
        <f t="shared" si="24"/>
        <v>1.4602307810411828</v>
      </c>
      <c r="K25" s="352">
        <f t="shared" si="25"/>
        <v>0.80492875216084936</v>
      </c>
      <c r="L25" s="353">
        <f t="shared" si="26"/>
        <v>819.87801081856549</v>
      </c>
      <c r="M25" s="353">
        <f t="shared" si="27"/>
        <v>1005.4387505147107</v>
      </c>
      <c r="N25" s="343">
        <f t="shared" si="117"/>
        <v>821.13036642250222</v>
      </c>
      <c r="O25" s="343">
        <f t="shared" si="118"/>
        <v>1006.6911061186474</v>
      </c>
      <c r="Q25" s="350">
        <v>0.70867752791010319</v>
      </c>
      <c r="R25" s="350">
        <v>0.35136991227826886</v>
      </c>
      <c r="S25" s="350">
        <v>7.3764318701523219E-3</v>
      </c>
      <c r="T25" s="350">
        <v>1285.2525000000001</v>
      </c>
      <c r="U25" s="350">
        <v>813.21749999999997</v>
      </c>
      <c r="V25" s="351">
        <f t="shared" si="28"/>
        <v>498.90897964871266</v>
      </c>
      <c r="W25" s="351">
        <f t="shared" si="29"/>
        <v>589.5987128029351</v>
      </c>
      <c r="X25" s="352">
        <f t="shared" si="30"/>
        <v>1.4162749190692459</v>
      </c>
      <c r="Y25" s="352">
        <f t="shared" si="31"/>
        <v>0.76713639696708091</v>
      </c>
      <c r="Z25" s="353">
        <f t="shared" si="32"/>
        <v>499.67611604567975</v>
      </c>
      <c r="AA25" s="353">
        <f t="shared" si="33"/>
        <v>588.94957428083296</v>
      </c>
      <c r="AB25" s="343">
        <f t="shared" si="119"/>
        <v>500.73079730645031</v>
      </c>
      <c r="AC25" s="343">
        <f t="shared" si="120"/>
        <v>590.00425554160358</v>
      </c>
      <c r="AE25" s="350">
        <v>0.67900000000000005</v>
      </c>
      <c r="AF25" s="350">
        <v>0.23200000000000001</v>
      </c>
      <c r="AG25" s="350">
        <v>1.3335460029900735E-2</v>
      </c>
      <c r="AH25" s="350">
        <v>55.246666666666663</v>
      </c>
      <c r="AI25" s="350">
        <v>48.248333333333335</v>
      </c>
      <c r="AJ25" s="351">
        <f t="shared" si="34"/>
        <v>241.72400000000002</v>
      </c>
      <c r="AK25" s="351">
        <f t="shared" si="35"/>
        <v>177.71200000000002</v>
      </c>
      <c r="AL25" s="352">
        <f t="shared" si="36"/>
        <v>1.5869197435581874</v>
      </c>
      <c r="AM25" s="352">
        <f t="shared" si="37"/>
        <v>0.67236641935173092</v>
      </c>
      <c r="AN25" s="353">
        <f t="shared" si="38"/>
        <v>242.39636641935175</v>
      </c>
      <c r="AO25" s="353">
        <f t="shared" si="39"/>
        <v>176.79744667579357</v>
      </c>
      <c r="AP25" s="343">
        <f t="shared" si="121"/>
        <v>243.23691765439807</v>
      </c>
      <c r="AQ25" s="343">
        <f t="shared" si="122"/>
        <v>177.63799791083989</v>
      </c>
      <c r="AS25" s="350">
        <v>0.81379999999999997</v>
      </c>
      <c r="AT25" s="350">
        <v>0.53245176397327754</v>
      </c>
      <c r="AU25" s="350">
        <v>3.1022353675131723E-3</v>
      </c>
      <c r="AV25" s="350">
        <v>7134.2992000000004</v>
      </c>
      <c r="AW25" s="350">
        <v>6903.6975000000002</v>
      </c>
      <c r="AX25" s="351">
        <f t="shared" si="40"/>
        <v>205.07759999999999</v>
      </c>
      <c r="AY25" s="351">
        <f t="shared" si="41"/>
        <v>266.75833375061205</v>
      </c>
      <c r="AZ25" s="352">
        <f t="shared" si="42"/>
        <v>0.49945989416962072</v>
      </c>
      <c r="BA25" s="352">
        <f t="shared" si="43"/>
        <v>0.28237588452592549</v>
      </c>
      <c r="BB25" s="353">
        <f t="shared" si="44"/>
        <v>205.35997588452591</v>
      </c>
      <c r="BC25" s="353">
        <f t="shared" si="45"/>
        <v>266.5412497409684</v>
      </c>
      <c r="BD25" s="343">
        <f t="shared" si="123"/>
        <v>205.87004519370865</v>
      </c>
      <c r="BE25" s="343">
        <f t="shared" si="124"/>
        <v>267.05131905015111</v>
      </c>
      <c r="BG25" s="350">
        <v>0.82732893959600395</v>
      </c>
      <c r="BH25" s="350">
        <v>0.49637774684987457</v>
      </c>
      <c r="BI25" s="350">
        <v>4.5490655228395127E-3</v>
      </c>
      <c r="BJ25" s="350">
        <v>7162.2157999999999</v>
      </c>
      <c r="BK25" s="350">
        <v>6932.3642</v>
      </c>
      <c r="BL25" s="351">
        <f t="shared" si="46"/>
        <v>196.07695868425293</v>
      </c>
      <c r="BM25" s="351">
        <f t="shared" si="47"/>
        <v>239.25407398163955</v>
      </c>
      <c r="BN25" s="352">
        <f t="shared" si="48"/>
        <v>0.81883179411111229</v>
      </c>
      <c r="BO25" s="352">
        <f t="shared" si="49"/>
        <v>0.45002269065696188</v>
      </c>
      <c r="BP25" s="353">
        <f t="shared" si="50"/>
        <v>196.52698137490989</v>
      </c>
      <c r="BQ25" s="353">
        <f t="shared" si="51"/>
        <v>238.88526487818541</v>
      </c>
      <c r="BR25" s="343">
        <f t="shared" si="125"/>
        <v>198.09201511675982</v>
      </c>
      <c r="BS25" s="343">
        <f t="shared" si="126"/>
        <v>240.45029862003534</v>
      </c>
      <c r="BU25" s="350">
        <v>0.91016893507738217</v>
      </c>
      <c r="BV25" s="350">
        <v>0.67947596191383408</v>
      </c>
      <c r="BW25" s="350">
        <v>4.8380946605184128E-3</v>
      </c>
      <c r="BX25" s="350">
        <v>3574.6507999999999</v>
      </c>
      <c r="BY25" s="350">
        <v>3472.0324999999998</v>
      </c>
      <c r="BZ25" s="351">
        <f t="shared" si="52"/>
        <v>165.65074618408354</v>
      </c>
      <c r="CA25" s="351">
        <f t="shared" si="53"/>
        <v>208.59912030754705</v>
      </c>
      <c r="CB25" s="352">
        <f t="shared" si="54"/>
        <v>0.32415234225473366</v>
      </c>
      <c r="CC25" s="352">
        <f t="shared" si="55"/>
        <v>0.18067579842805503</v>
      </c>
      <c r="CD25" s="353">
        <f t="shared" si="56"/>
        <v>165.83142198251159</v>
      </c>
      <c r="CE25" s="353">
        <f t="shared" si="57"/>
        <v>208.45564376372036</v>
      </c>
      <c r="CF25" s="343">
        <f t="shared" si="127"/>
        <v>166.60656505262455</v>
      </c>
      <c r="CG25" s="343">
        <f t="shared" si="128"/>
        <v>209.23078683383332</v>
      </c>
      <c r="CI25" s="350">
        <v>0.76894777076470133</v>
      </c>
      <c r="CJ25" s="350">
        <v>0.69387144908096721</v>
      </c>
      <c r="CK25" s="350">
        <v>1.4973296729377316E-2</v>
      </c>
      <c r="CL25" s="350">
        <v>12816.824199999999</v>
      </c>
      <c r="CM25" s="350">
        <v>12112.861699999999</v>
      </c>
      <c r="CN25" s="351">
        <f t="shared" si="58"/>
        <v>139.17954650841094</v>
      </c>
      <c r="CO25" s="351">
        <f t="shared" si="59"/>
        <v>157.50881894137956</v>
      </c>
      <c r="CP25" s="352">
        <f t="shared" si="60"/>
        <v>5.9893186917509264E-2</v>
      </c>
      <c r="CQ25" s="352">
        <f t="shared" si="61"/>
        <v>3.1796680398000529E-2</v>
      </c>
      <c r="CR25" s="353">
        <f t="shared" si="62"/>
        <v>139.21134318880894</v>
      </c>
      <c r="CS25" s="353">
        <f t="shared" si="63"/>
        <v>157.48072243486004</v>
      </c>
      <c r="CT25" s="343">
        <f t="shared" si="129"/>
        <v>139.2034691850719</v>
      </c>
      <c r="CU25" s="343">
        <f t="shared" si="130"/>
        <v>157.472848431123</v>
      </c>
      <c r="CW25" s="350">
        <v>2.3809</v>
      </c>
      <c r="CX25" s="350">
        <v>1.7342</v>
      </c>
      <c r="CY25" s="350">
        <v>3.8272203447417955E-3</v>
      </c>
      <c r="CZ25" s="350">
        <v>5392.4092000000001</v>
      </c>
      <c r="DA25" s="350">
        <v>4980.1925000000001</v>
      </c>
      <c r="DB25" s="351">
        <f t="shared" si="64"/>
        <v>454.75189999999998</v>
      </c>
      <c r="DC25" s="351">
        <f t="shared" si="65"/>
        <v>454.36039999999997</v>
      </c>
      <c r="DD25" s="352">
        <f t="shared" si="66"/>
        <v>1.1481661034225387E-2</v>
      </c>
      <c r="DE25" s="352">
        <f t="shared" si="67"/>
        <v>5.7383582866220818E-3</v>
      </c>
      <c r="DF25" s="353">
        <f t="shared" si="68"/>
        <v>454.75763835828661</v>
      </c>
      <c r="DG25" s="353">
        <f t="shared" si="69"/>
        <v>454.35465669725238</v>
      </c>
      <c r="DH25" s="343">
        <f t="shared" si="131"/>
        <v>454.76946085408645</v>
      </c>
      <c r="DI25" s="343">
        <f t="shared" si="132"/>
        <v>454.36647919305221</v>
      </c>
      <c r="DK25" s="350">
        <v>2.7136</v>
      </c>
      <c r="DL25" s="350">
        <v>2.0163000000000002</v>
      </c>
      <c r="DM25" s="350">
        <v>0</v>
      </c>
      <c r="DN25" s="350">
        <v>279.02670000000001</v>
      </c>
      <c r="DO25" s="350">
        <v>235.6583</v>
      </c>
      <c r="DP25" s="351">
        <f t="shared" si="70"/>
        <v>260.50560000000002</v>
      </c>
      <c r="DQ25" s="351">
        <f t="shared" si="71"/>
        <v>350.83620000000002</v>
      </c>
      <c r="DR25" s="352">
        <f t="shared" si="72"/>
        <v>0</v>
      </c>
      <c r="DS25" s="352">
        <f t="shared" si="73"/>
        <v>0</v>
      </c>
      <c r="DT25" s="353">
        <f t="shared" si="74"/>
        <v>260.50560000000002</v>
      </c>
      <c r="DU25" s="353">
        <f t="shared" si="75"/>
        <v>350.83620000000002</v>
      </c>
      <c r="DV25" s="343">
        <f t="shared" si="133"/>
        <v>260.50560000000002</v>
      </c>
      <c r="DW25" s="343">
        <f t="shared" si="134"/>
        <v>350.83620000000002</v>
      </c>
      <c r="EB25" s="326"/>
      <c r="EC25" s="326"/>
      <c r="ED25" s="326"/>
      <c r="EE25" s="348">
        <f t="shared" si="76"/>
        <v>37284.781766666667</v>
      </c>
      <c r="EF25" s="348">
        <f t="shared" si="77"/>
        <v>35627.051699999996</v>
      </c>
      <c r="EG25" s="348">
        <f t="shared" si="78"/>
        <v>1527.1317485748157</v>
      </c>
      <c r="EH25" s="348">
        <f t="shared" si="79"/>
        <v>1793.8495252355826</v>
      </c>
      <c r="EI25" s="354">
        <f t="shared" si="80"/>
        <v>0.51136804540393666</v>
      </c>
      <c r="EJ25" s="326"/>
      <c r="EK25" s="348">
        <f t="shared" si="81"/>
        <v>1528.2554405785297</v>
      </c>
      <c r="EL25" s="348">
        <f t="shared" si="82"/>
        <v>1792.944448048341</v>
      </c>
      <c r="EM25" s="348">
        <f t="shared" si="83"/>
        <v>1530.0194494845521</v>
      </c>
      <c r="EN25" s="348">
        <f t="shared" si="84"/>
        <v>1794.7084569543633</v>
      </c>
      <c r="EP25" s="326"/>
      <c r="EQ25" s="326"/>
      <c r="ER25" s="326"/>
      <c r="ES25" s="348">
        <f t="shared" si="85"/>
        <v>26656.701699999998</v>
      </c>
      <c r="ET25" s="348">
        <f t="shared" si="86"/>
        <v>24838.635900000001</v>
      </c>
      <c r="EU25" s="348">
        <f t="shared" si="87"/>
        <v>1152.4918148413765</v>
      </c>
      <c r="EV25" s="348">
        <f t="shared" si="88"/>
        <v>1304.4138857259541</v>
      </c>
      <c r="EW25" s="354">
        <f t="shared" si="89"/>
        <v>0.51765272240879523</v>
      </c>
      <c r="EX25" s="326"/>
      <c r="EY25" s="348">
        <f t="shared" si="90"/>
        <v>1153.7447874601992</v>
      </c>
      <c r="EZ25" s="348">
        <f t="shared" si="91"/>
        <v>1303.3638212819551</v>
      </c>
      <c r="FA25" s="348">
        <f t="shared" si="92"/>
        <v>1156.3649042061425</v>
      </c>
      <c r="FB25" s="348">
        <f t="shared" si="93"/>
        <v>1305.9839380278986</v>
      </c>
      <c r="FD25" s="326"/>
      <c r="FE25" s="326"/>
      <c r="FF25" s="326"/>
      <c r="FG25" s="348">
        <f t="shared" si="94"/>
        <v>16725.748366666663</v>
      </c>
      <c r="FH25" s="348">
        <f t="shared" si="95"/>
        <v>15868.800833333331</v>
      </c>
      <c r="FI25" s="348">
        <f t="shared" si="96"/>
        <v>702.85765269249453</v>
      </c>
      <c r="FJ25" s="348">
        <f t="shared" si="97"/>
        <v>754.32165924892661</v>
      </c>
      <c r="FK25" s="354">
        <f t="shared" si="98"/>
        <v>0.51314556504639941</v>
      </c>
      <c r="FL25" s="326"/>
      <c r="FM25" s="348">
        <f t="shared" si="99"/>
        <v>703.74249159067233</v>
      </c>
      <c r="FN25" s="348">
        <f t="shared" si="100"/>
        <v>753.23553287437392</v>
      </c>
      <c r="FO25" s="348">
        <f t="shared" si="101"/>
        <v>705.35031189209451</v>
      </c>
      <c r="FP25" s="348">
        <f t="shared" si="102"/>
        <v>754.84335317579621</v>
      </c>
      <c r="FR25" s="326"/>
      <c r="FS25" s="326"/>
      <c r="FT25" s="326"/>
      <c r="FU25" s="348">
        <f t="shared" si="103"/>
        <v>10708.95</v>
      </c>
      <c r="FV25" s="348">
        <f t="shared" si="104"/>
        <v>10375.73</v>
      </c>
      <c r="FW25" s="349">
        <f t="shared" si="105"/>
        <v>35.484168434324801</v>
      </c>
      <c r="FX25" s="349">
        <f t="shared" si="106"/>
        <v>52.343292098758504</v>
      </c>
      <c r="FY25" s="354">
        <f t="shared" si="107"/>
        <v>0.50790194586780546</v>
      </c>
      <c r="FZ25" s="326"/>
      <c r="GA25" s="349">
        <f t="shared" si="108"/>
        <v>35.575698511812895</v>
      </c>
      <c r="GB25" s="349">
        <f t="shared" si="109"/>
        <v>52.277045379523237</v>
      </c>
      <c r="GC25" s="349">
        <f t="shared" si="18"/>
        <v>35.337132126975696</v>
      </c>
      <c r="GD25" s="349">
        <f t="shared" si="19"/>
        <v>52.03847899468601</v>
      </c>
      <c r="GF25" s="326"/>
      <c r="GG25" s="326"/>
      <c r="GH25" s="326"/>
      <c r="GI25" s="348">
        <f t="shared" si="135"/>
        <v>18209.233399999997</v>
      </c>
      <c r="GJ25" s="348">
        <f t="shared" si="136"/>
        <v>17093.054199999999</v>
      </c>
      <c r="GK25" s="348">
        <f t="shared" si="137"/>
        <v>502.98106650841089</v>
      </c>
      <c r="GL25" s="348">
        <f t="shared" si="138"/>
        <v>520.99713894137949</v>
      </c>
      <c r="GM25" s="354">
        <f t="shared" si="114"/>
        <v>0.51580887919569263</v>
      </c>
      <c r="GN25" s="326"/>
      <c r="GO25" s="348">
        <f t="shared" si="115"/>
        <v>503.01745387543826</v>
      </c>
      <c r="GP25" s="348">
        <f t="shared" si="116"/>
        <v>520.96444779266199</v>
      </c>
      <c r="GQ25" s="348">
        <f t="shared" si="20"/>
        <v>503.01903786834112</v>
      </c>
      <c r="GR25" s="348">
        <f t="shared" si="21"/>
        <v>520.96603178556484</v>
      </c>
    </row>
    <row r="26" spans="1:203" x14ac:dyDescent="0.2">
      <c r="A26" s="320">
        <v>16</v>
      </c>
      <c r="C26" s="350">
        <v>0.83653618789473716</v>
      </c>
      <c r="D26" s="350">
        <v>0.45554547625520347</v>
      </c>
      <c r="E26" s="350">
        <v>1.1064522752635047E-2</v>
      </c>
      <c r="F26" s="350">
        <v>10980.864166666664</v>
      </c>
      <c r="G26" s="350">
        <v>10209.786666666669</v>
      </c>
      <c r="H26" s="351">
        <f t="shared" si="22"/>
        <v>858.28612878000035</v>
      </c>
      <c r="I26" s="351">
        <f t="shared" si="23"/>
        <v>1082.3760515823635</v>
      </c>
      <c r="J26" s="352">
        <f t="shared" si="24"/>
        <v>2.8214533019219368</v>
      </c>
      <c r="K26" s="352">
        <f t="shared" si="25"/>
        <v>1.5736244646598221</v>
      </c>
      <c r="L26" s="353">
        <f t="shared" si="26"/>
        <v>859.85975324466017</v>
      </c>
      <c r="M26" s="353">
        <f t="shared" si="27"/>
        <v>1081.1282227451013</v>
      </c>
      <c r="N26" s="343">
        <f t="shared" si="117"/>
        <v>860.34341313609798</v>
      </c>
      <c r="O26" s="343">
        <f t="shared" si="118"/>
        <v>1081.6118826365391</v>
      </c>
      <c r="Q26" s="350">
        <v>0.71184506899469824</v>
      </c>
      <c r="R26" s="350">
        <v>0.3834953878965443</v>
      </c>
      <c r="S26" s="350">
        <v>1.4665143836605613E-2</v>
      </c>
      <c r="T26" s="350">
        <v>1241.3308333333337</v>
      </c>
      <c r="U26" s="350">
        <v>845.97583333333341</v>
      </c>
      <c r="V26" s="351">
        <f t="shared" si="28"/>
        <v>501.13892857226756</v>
      </c>
      <c r="W26" s="351">
        <f t="shared" si="29"/>
        <v>643.50526089040136</v>
      </c>
      <c r="X26" s="352">
        <f t="shared" si="30"/>
        <v>2.815707616628278</v>
      </c>
      <c r="Y26" s="352">
        <f t="shared" si="31"/>
        <v>1.5829571155033271</v>
      </c>
      <c r="Z26" s="353">
        <f t="shared" si="32"/>
        <v>502.72188568777091</v>
      </c>
      <c r="AA26" s="353">
        <f t="shared" si="33"/>
        <v>642.27251038927636</v>
      </c>
      <c r="AB26" s="343">
        <f t="shared" si="119"/>
        <v>502.96074623000521</v>
      </c>
      <c r="AC26" s="343">
        <f t="shared" si="120"/>
        <v>642.51137093151078</v>
      </c>
      <c r="AE26" s="350">
        <v>0.67</v>
      </c>
      <c r="AF26" s="350">
        <v>0.26</v>
      </c>
      <c r="AG26" s="350">
        <v>5.3332429198393004E-3</v>
      </c>
      <c r="AH26" s="350">
        <v>48.070833333333333</v>
      </c>
      <c r="AI26" s="350">
        <v>42.696666666666665</v>
      </c>
      <c r="AJ26" s="351">
        <f t="shared" si="34"/>
        <v>238.52</v>
      </c>
      <c r="AK26" s="351">
        <f t="shared" si="35"/>
        <v>199.16</v>
      </c>
      <c r="AL26" s="352">
        <f t="shared" si="36"/>
        <v>0.63465590746087674</v>
      </c>
      <c r="AM26" s="352">
        <f t="shared" si="37"/>
        <v>0.28879105860425014</v>
      </c>
      <c r="AN26" s="353">
        <f t="shared" si="38"/>
        <v>238.80879105860427</v>
      </c>
      <c r="AO26" s="353">
        <f t="shared" si="39"/>
        <v>198.81413515114338</v>
      </c>
      <c r="AP26" s="343">
        <f t="shared" si="121"/>
        <v>240.03291765439806</v>
      </c>
      <c r="AQ26" s="343">
        <f t="shared" si="122"/>
        <v>200.03826174693717</v>
      </c>
      <c r="AS26" s="350">
        <v>0.95636083333775201</v>
      </c>
      <c r="AT26" s="350">
        <v>0.59711598634899576</v>
      </c>
      <c r="AU26" s="350">
        <v>5.5680279659519397E-3</v>
      </c>
      <c r="AV26" s="350">
        <v>6352.3649999999998</v>
      </c>
      <c r="AW26" s="350">
        <v>6201.0282999999999</v>
      </c>
      <c r="AX26" s="351">
        <f t="shared" si="40"/>
        <v>241.0029300011135</v>
      </c>
      <c r="AY26" s="351">
        <f t="shared" si="41"/>
        <v>299.15510916084691</v>
      </c>
      <c r="AZ26" s="352">
        <f t="shared" si="42"/>
        <v>0.89645250251826225</v>
      </c>
      <c r="BA26" s="352">
        <f t="shared" si="43"/>
        <v>0.49648126438039514</v>
      </c>
      <c r="BB26" s="353">
        <f t="shared" si="44"/>
        <v>241.4994112654939</v>
      </c>
      <c r="BC26" s="353">
        <f t="shared" si="45"/>
        <v>298.75513792270903</v>
      </c>
      <c r="BD26" s="343">
        <f t="shared" si="123"/>
        <v>241.79537519482216</v>
      </c>
      <c r="BE26" s="343">
        <f t="shared" si="124"/>
        <v>299.05110185203728</v>
      </c>
      <c r="BG26" s="350">
        <v>0.94030653429862132</v>
      </c>
      <c r="BH26" s="350">
        <v>0.56252572582024007</v>
      </c>
      <c r="BI26" s="350">
        <v>1.3010852799866761E-2</v>
      </c>
      <c r="BJ26" s="350">
        <v>6361.0617000000002</v>
      </c>
      <c r="BK26" s="350">
        <v>6238.2782999999999</v>
      </c>
      <c r="BL26" s="351">
        <f t="shared" si="46"/>
        <v>222.85264862877327</v>
      </c>
      <c r="BM26" s="351">
        <f t="shared" si="47"/>
        <v>271.13739984535573</v>
      </c>
      <c r="BN26" s="352">
        <f t="shared" si="48"/>
        <v>2.3419535039760171</v>
      </c>
      <c r="BO26" s="352">
        <f t="shared" si="49"/>
        <v>1.2854331490850521</v>
      </c>
      <c r="BP26" s="353">
        <f t="shared" si="50"/>
        <v>224.13808177785833</v>
      </c>
      <c r="BQ26" s="353">
        <f t="shared" si="51"/>
        <v>270.08087949046478</v>
      </c>
      <c r="BR26" s="343">
        <f t="shared" si="125"/>
        <v>224.86770506128016</v>
      </c>
      <c r="BS26" s="343">
        <f t="shared" si="126"/>
        <v>270.81050277388658</v>
      </c>
      <c r="BU26" s="350">
        <v>1.0226907085278452</v>
      </c>
      <c r="BV26" s="350">
        <v>0.77137230823746616</v>
      </c>
      <c r="BW26" s="350">
        <v>1.0676299583600063E-2</v>
      </c>
      <c r="BX26" s="350">
        <v>3425.1174999999998</v>
      </c>
      <c r="BY26" s="350">
        <v>3244.01</v>
      </c>
      <c r="BZ26" s="351">
        <f t="shared" si="52"/>
        <v>186.12970895206783</v>
      </c>
      <c r="CA26" s="351">
        <f t="shared" si="53"/>
        <v>236.81129862890211</v>
      </c>
      <c r="CB26" s="352">
        <f t="shared" si="54"/>
        <v>0.71531207210120418</v>
      </c>
      <c r="CC26" s="352">
        <f t="shared" si="55"/>
        <v>0.40051443979876411</v>
      </c>
      <c r="CD26" s="353">
        <f t="shared" si="56"/>
        <v>186.5302233918666</v>
      </c>
      <c r="CE26" s="353">
        <f t="shared" si="57"/>
        <v>236.49650099659968</v>
      </c>
      <c r="CF26" s="343">
        <f t="shared" si="127"/>
        <v>187.08552782060883</v>
      </c>
      <c r="CG26" s="343">
        <f t="shared" si="128"/>
        <v>237.05180542534191</v>
      </c>
      <c r="CI26" s="350">
        <v>0.76760488121929416</v>
      </c>
      <c r="CJ26" s="350">
        <v>0.69442994416535497</v>
      </c>
      <c r="CK26" s="350">
        <v>1.6782418293412669E-2</v>
      </c>
      <c r="CL26" s="350">
        <v>11242.01</v>
      </c>
      <c r="CM26" s="350">
        <v>10910.184999999999</v>
      </c>
      <c r="CN26" s="351">
        <f t="shared" si="58"/>
        <v>138.93648350069225</v>
      </c>
      <c r="CO26" s="351">
        <f t="shared" si="59"/>
        <v>157.63559732553557</v>
      </c>
      <c r="CP26" s="352">
        <f t="shared" si="60"/>
        <v>6.7129673173650678E-2</v>
      </c>
      <c r="CQ26" s="352">
        <f t="shared" si="61"/>
        <v>3.5681127163135741E-2</v>
      </c>
      <c r="CR26" s="353">
        <f t="shared" si="62"/>
        <v>138.97216462785539</v>
      </c>
      <c r="CS26" s="353">
        <f t="shared" si="63"/>
        <v>157.60414877952508</v>
      </c>
      <c r="CT26" s="343">
        <f t="shared" si="129"/>
        <v>138.96040617735321</v>
      </c>
      <c r="CU26" s="343">
        <f t="shared" si="130"/>
        <v>157.59239032902289</v>
      </c>
      <c r="CW26" s="350">
        <v>1.7837000000000001</v>
      </c>
      <c r="CX26" s="350">
        <v>1.141</v>
      </c>
      <c r="CY26" s="350">
        <v>5.5245888162132458E-4</v>
      </c>
      <c r="CZ26" s="350">
        <v>4830.5933000000005</v>
      </c>
      <c r="DA26" s="350">
        <v>4634.9691999999995</v>
      </c>
      <c r="DB26" s="351">
        <f t="shared" si="64"/>
        <v>340.68670000000003</v>
      </c>
      <c r="DC26" s="351">
        <f t="shared" si="65"/>
        <v>298.94200000000001</v>
      </c>
      <c r="DD26" s="352">
        <f t="shared" si="66"/>
        <v>1.6573766448639738E-3</v>
      </c>
      <c r="DE26" s="352">
        <f t="shared" si="67"/>
        <v>7.7460484335509976E-4</v>
      </c>
      <c r="DF26" s="353">
        <f t="shared" si="68"/>
        <v>340.68747460484337</v>
      </c>
      <c r="DG26" s="353">
        <f t="shared" si="69"/>
        <v>298.94111722819849</v>
      </c>
      <c r="DH26" s="343">
        <f t="shared" si="131"/>
        <v>340.7042608540865</v>
      </c>
      <c r="DI26" s="343">
        <f t="shared" si="132"/>
        <v>298.95790347744162</v>
      </c>
      <c r="DK26" s="350">
        <v>1.7495000000000001</v>
      </c>
      <c r="DL26" s="350">
        <v>1.3915</v>
      </c>
      <c r="DM26" s="350">
        <v>0</v>
      </c>
      <c r="DN26" s="350">
        <v>240.4675</v>
      </c>
      <c r="DO26" s="350">
        <v>229.17830000000001</v>
      </c>
      <c r="DP26" s="351">
        <f t="shared" si="70"/>
        <v>167.952</v>
      </c>
      <c r="DQ26" s="351">
        <f t="shared" si="71"/>
        <v>242.12099999999998</v>
      </c>
      <c r="DR26" s="352">
        <f t="shared" si="72"/>
        <v>0</v>
      </c>
      <c r="DS26" s="352">
        <f t="shared" si="73"/>
        <v>0</v>
      </c>
      <c r="DT26" s="353">
        <f t="shared" si="74"/>
        <v>167.952</v>
      </c>
      <c r="DU26" s="353">
        <f t="shared" si="75"/>
        <v>242.12099999999998</v>
      </c>
      <c r="DV26" s="343">
        <f t="shared" si="133"/>
        <v>167.952</v>
      </c>
      <c r="DW26" s="343">
        <f t="shared" si="134"/>
        <v>242.12099999999998</v>
      </c>
      <c r="EB26" s="326"/>
      <c r="EC26" s="326"/>
      <c r="ED26" s="326"/>
      <c r="EE26" s="348">
        <f t="shared" si="76"/>
        <v>33405.832466666667</v>
      </c>
      <c r="EF26" s="348">
        <f t="shared" si="77"/>
        <v>31955.969166666669</v>
      </c>
      <c r="EG26" s="348">
        <f t="shared" si="78"/>
        <v>1510.7749022818061</v>
      </c>
      <c r="EH26" s="348">
        <f t="shared" si="79"/>
        <v>1778.3203580687461</v>
      </c>
      <c r="EI26" s="354">
        <f t="shared" si="80"/>
        <v>0.51109105979156944</v>
      </c>
      <c r="EJ26" s="326"/>
      <c r="EK26" s="348">
        <f t="shared" si="81"/>
        <v>1512.8813088218842</v>
      </c>
      <c r="EL26" s="348">
        <f t="shared" si="82"/>
        <v>1776.6404032298942</v>
      </c>
      <c r="EM26" s="348">
        <f t="shared" si="83"/>
        <v>1513.6626031915425</v>
      </c>
      <c r="EN26" s="348">
        <f t="shared" si="84"/>
        <v>1777.4216975995528</v>
      </c>
      <c r="EP26" s="326"/>
      <c r="EQ26" s="326"/>
      <c r="ER26" s="326"/>
      <c r="ES26" s="348">
        <f t="shared" si="85"/>
        <v>23674.995833333334</v>
      </c>
      <c r="ET26" s="348">
        <f t="shared" si="86"/>
        <v>22629.408333333333</v>
      </c>
      <c r="EU26" s="348">
        <f t="shared" si="87"/>
        <v>1101.4087507017332</v>
      </c>
      <c r="EV26" s="348">
        <f t="shared" si="88"/>
        <v>1281.5376580612926</v>
      </c>
      <c r="EW26" s="354">
        <f t="shared" si="89"/>
        <v>0.51129036771790159</v>
      </c>
      <c r="EX26" s="326"/>
      <c r="EY26" s="348">
        <f t="shared" si="90"/>
        <v>1104.3133643168749</v>
      </c>
      <c r="EZ26" s="348">
        <f t="shared" si="91"/>
        <v>1279.2163207190051</v>
      </c>
      <c r="FA26" s="348">
        <f t="shared" si="92"/>
        <v>1105.2818400664992</v>
      </c>
      <c r="FB26" s="348">
        <f t="shared" si="93"/>
        <v>1280.1847964686294</v>
      </c>
      <c r="FD26" s="326"/>
      <c r="FE26" s="326"/>
      <c r="FF26" s="326"/>
      <c r="FG26" s="348">
        <f t="shared" si="94"/>
        <v>14955.665833333334</v>
      </c>
      <c r="FH26" s="348">
        <f t="shared" si="95"/>
        <v>14426.069966666666</v>
      </c>
      <c r="FI26" s="348">
        <f t="shared" si="96"/>
        <v>664.35739245276011</v>
      </c>
      <c r="FJ26" s="348">
        <f t="shared" si="97"/>
        <v>738.87949595443774</v>
      </c>
      <c r="FK26" s="354">
        <f t="shared" si="98"/>
        <v>0.50901233116844424</v>
      </c>
      <c r="FL26" s="326"/>
      <c r="FM26" s="348">
        <f t="shared" si="99"/>
        <v>665.08237907832631</v>
      </c>
      <c r="FN26" s="348">
        <f t="shared" si="100"/>
        <v>738.18738492726811</v>
      </c>
      <c r="FO26" s="348">
        <f t="shared" si="101"/>
        <v>666.85005165236009</v>
      </c>
      <c r="FP26" s="348">
        <f t="shared" si="102"/>
        <v>739.95505750130201</v>
      </c>
      <c r="FR26" s="326"/>
      <c r="FS26" s="326"/>
      <c r="FT26" s="326"/>
      <c r="FU26" s="348">
        <f t="shared" si="103"/>
        <v>9777.4825000000001</v>
      </c>
      <c r="FV26" s="348">
        <f t="shared" si="104"/>
        <v>9445.0383000000002</v>
      </c>
      <c r="FW26" s="349">
        <f t="shared" si="105"/>
        <v>49.385898944141104</v>
      </c>
      <c r="FX26" s="349">
        <f t="shared" si="106"/>
        <v>56.109429478750322</v>
      </c>
      <c r="FY26" s="354">
        <f t="shared" si="107"/>
        <v>0.50864725816813794</v>
      </c>
      <c r="FZ26" s="326"/>
      <c r="GA26" s="349">
        <f t="shared" si="108"/>
        <v>49.472269086264575</v>
      </c>
      <c r="GB26" s="349">
        <f t="shared" si="109"/>
        <v>56.032773233498411</v>
      </c>
      <c r="GC26" s="349">
        <f t="shared" si="18"/>
        <v>49.238862636791993</v>
      </c>
      <c r="GD26" s="349">
        <f t="shared" si="19"/>
        <v>55.799366784025828</v>
      </c>
      <c r="GF26" s="326"/>
      <c r="GG26" s="326"/>
      <c r="GH26" s="326"/>
      <c r="GI26" s="348">
        <f t="shared" si="135"/>
        <v>16072.603300000001</v>
      </c>
      <c r="GJ26" s="348">
        <f t="shared" si="136"/>
        <v>15545.154199999999</v>
      </c>
      <c r="GK26" s="348">
        <f t="shared" si="137"/>
        <v>411.48584350069228</v>
      </c>
      <c r="GL26" s="348">
        <f t="shared" si="138"/>
        <v>396.78919732553561</v>
      </c>
      <c r="GM26" s="354">
        <f t="shared" si="114"/>
        <v>0.50834102639948453</v>
      </c>
      <c r="GN26" s="326"/>
      <c r="GO26" s="348">
        <f t="shared" si="115"/>
        <v>411.52214431173013</v>
      </c>
      <c r="GP26" s="348">
        <f t="shared" si="116"/>
        <v>396.75704256208388</v>
      </c>
      <c r="GQ26" s="348">
        <f t="shared" si="20"/>
        <v>411.52381486062239</v>
      </c>
      <c r="GR26" s="348">
        <f t="shared" si="21"/>
        <v>396.7587131109762</v>
      </c>
    </row>
    <row r="27" spans="1:203" x14ac:dyDescent="0.2">
      <c r="A27" s="320">
        <v>17</v>
      </c>
      <c r="C27" s="350">
        <v>0.8742687046779466</v>
      </c>
      <c r="D27" s="350">
        <v>0.48952788388119223</v>
      </c>
      <c r="E27" s="350">
        <v>1.6411020061654083E-2</v>
      </c>
      <c r="F27" s="350">
        <v>9656.9125000000004</v>
      </c>
      <c r="G27" s="350">
        <v>9131.1050000000014</v>
      </c>
      <c r="H27" s="351">
        <f t="shared" si="22"/>
        <v>896.9996909995732</v>
      </c>
      <c r="I27" s="351">
        <f t="shared" si="23"/>
        <v>1163.1182521017126</v>
      </c>
      <c r="J27" s="352">
        <f t="shared" si="24"/>
        <v>4.184810115721791</v>
      </c>
      <c r="K27" s="352">
        <f t="shared" si="25"/>
        <v>2.3626943512993748</v>
      </c>
      <c r="L27" s="353">
        <f t="shared" si="26"/>
        <v>899.36238535087261</v>
      </c>
      <c r="M27" s="353">
        <f t="shared" si="27"/>
        <v>1161.2961363372901</v>
      </c>
      <c r="N27" s="343">
        <f t="shared" si="117"/>
        <v>899.05697535567083</v>
      </c>
      <c r="O27" s="343">
        <f t="shared" si="118"/>
        <v>1160.9907263420885</v>
      </c>
      <c r="Q27" s="350">
        <v>0.71590783864403817</v>
      </c>
      <c r="R27" s="350">
        <v>0.41782776439044955</v>
      </c>
      <c r="S27" s="350">
        <v>2.0351469112220077E-2</v>
      </c>
      <c r="T27" s="350">
        <v>1079.4066666666665</v>
      </c>
      <c r="U27" s="350">
        <v>813.69</v>
      </c>
      <c r="V27" s="351">
        <f t="shared" si="28"/>
        <v>503.9991184054029</v>
      </c>
      <c r="W27" s="351">
        <f t="shared" si="29"/>
        <v>701.1149886471743</v>
      </c>
      <c r="X27" s="352">
        <f t="shared" si="30"/>
        <v>3.9074820695462549</v>
      </c>
      <c r="Y27" s="352">
        <f t="shared" si="31"/>
        <v>2.2733069265360739</v>
      </c>
      <c r="Z27" s="353">
        <f t="shared" si="32"/>
        <v>506.27242533193896</v>
      </c>
      <c r="AA27" s="353">
        <f t="shared" si="33"/>
        <v>699.48081350416408</v>
      </c>
      <c r="AB27" s="343">
        <f t="shared" si="119"/>
        <v>505.82093606314055</v>
      </c>
      <c r="AC27" s="343">
        <f t="shared" si="120"/>
        <v>699.02932423536572</v>
      </c>
      <c r="AE27" s="350">
        <v>0.66300000000000003</v>
      </c>
      <c r="AF27" s="350">
        <v>0.29099999999999998</v>
      </c>
      <c r="AG27" s="350">
        <v>1.816393904749436E-2</v>
      </c>
      <c r="AH27" s="350">
        <v>44.780833333333334</v>
      </c>
      <c r="AI27" s="350">
        <v>34.032499999999999</v>
      </c>
      <c r="AJ27" s="351">
        <f t="shared" si="34"/>
        <v>236.02800000000002</v>
      </c>
      <c r="AK27" s="351">
        <f t="shared" si="35"/>
        <v>222.90599999999998</v>
      </c>
      <c r="AL27" s="352">
        <f t="shared" si="36"/>
        <v>2.1615087466518288</v>
      </c>
      <c r="AM27" s="352">
        <f t="shared" si="37"/>
        <v>1.0498530696814194</v>
      </c>
      <c r="AN27" s="353">
        <f t="shared" si="38"/>
        <v>237.07785306968145</v>
      </c>
      <c r="AO27" s="353">
        <f t="shared" si="39"/>
        <v>221.79434432302958</v>
      </c>
      <c r="AP27" s="343">
        <f t="shared" si="121"/>
        <v>237.54091765439807</v>
      </c>
      <c r="AQ27" s="343">
        <f t="shared" si="122"/>
        <v>222.2574089077462</v>
      </c>
      <c r="AS27" s="350">
        <v>1.0552646468591464</v>
      </c>
      <c r="AT27" s="350">
        <v>0.64378853223524868</v>
      </c>
      <c r="AU27" s="350">
        <v>9.412341163727439E-3</v>
      </c>
      <c r="AV27" s="350">
        <v>5494.21</v>
      </c>
      <c r="AW27" s="350">
        <v>5379.9107999999997</v>
      </c>
      <c r="AX27" s="351">
        <f t="shared" si="40"/>
        <v>265.92669100850492</v>
      </c>
      <c r="AY27" s="351">
        <f t="shared" si="41"/>
        <v>322.53805464985959</v>
      </c>
      <c r="AZ27" s="352">
        <f t="shared" si="42"/>
        <v>1.5153869273601177</v>
      </c>
      <c r="BA27" s="352">
        <f t="shared" si="43"/>
        <v>0.83058493341981388</v>
      </c>
      <c r="BB27" s="353">
        <f t="shared" si="44"/>
        <v>266.75727594192472</v>
      </c>
      <c r="BC27" s="353">
        <f t="shared" si="45"/>
        <v>321.85325265591928</v>
      </c>
      <c r="BD27" s="343">
        <f t="shared" si="123"/>
        <v>266.71913620221358</v>
      </c>
      <c r="BE27" s="343">
        <f t="shared" si="124"/>
        <v>321.81511291620814</v>
      </c>
      <c r="BG27" s="350">
        <v>1.0605383222083331</v>
      </c>
      <c r="BH27" s="350">
        <v>0.62057744874202503</v>
      </c>
      <c r="BI27" s="350">
        <v>2.7576541616828015E-2</v>
      </c>
      <c r="BJ27" s="350">
        <v>5499.6266999999998</v>
      </c>
      <c r="BK27" s="350">
        <v>5382.6824999999999</v>
      </c>
      <c r="BL27" s="351">
        <f t="shared" si="46"/>
        <v>251.34758236337495</v>
      </c>
      <c r="BM27" s="351">
        <f t="shared" si="47"/>
        <v>299.11833029365607</v>
      </c>
      <c r="BN27" s="352">
        <f t="shared" si="48"/>
        <v>4.9637774910290426</v>
      </c>
      <c r="BO27" s="352">
        <f t="shared" si="49"/>
        <v>2.6972729844416752</v>
      </c>
      <c r="BP27" s="353">
        <f t="shared" si="50"/>
        <v>254.04485534781662</v>
      </c>
      <c r="BQ27" s="353">
        <f t="shared" si="51"/>
        <v>296.85182578706872</v>
      </c>
      <c r="BR27" s="343">
        <f t="shared" si="125"/>
        <v>253.36263879588185</v>
      </c>
      <c r="BS27" s="343">
        <f t="shared" si="126"/>
        <v>296.16960923513392</v>
      </c>
      <c r="BU27" s="350">
        <v>1.1267289848155524</v>
      </c>
      <c r="BV27" s="350">
        <v>0.85924547074155722</v>
      </c>
      <c r="BW27" s="350">
        <v>1.7837491187598864E-2</v>
      </c>
      <c r="BX27" s="350">
        <v>3182.7925</v>
      </c>
      <c r="BY27" s="350">
        <v>3124.7258000000002</v>
      </c>
      <c r="BZ27" s="351">
        <f t="shared" si="52"/>
        <v>205.06467523643053</v>
      </c>
      <c r="CA27" s="351">
        <f t="shared" si="53"/>
        <v>263.78835951765808</v>
      </c>
      <c r="CB27" s="352">
        <f t="shared" si="54"/>
        <v>1.1951119095691238</v>
      </c>
      <c r="CC27" s="352">
        <f t="shared" si="55"/>
        <v>0.67239963633936084</v>
      </c>
      <c r="CD27" s="353">
        <f t="shared" si="56"/>
        <v>205.73707487276988</v>
      </c>
      <c r="CE27" s="353">
        <f t="shared" si="57"/>
        <v>263.26564724442835</v>
      </c>
      <c r="CF27" s="343">
        <f t="shared" si="127"/>
        <v>206.02049410497153</v>
      </c>
      <c r="CG27" s="343">
        <f t="shared" si="128"/>
        <v>263.54906647663</v>
      </c>
      <c r="CI27" s="350">
        <v>0.76159342134370944</v>
      </c>
      <c r="CJ27" s="350">
        <v>0.69353637676622171</v>
      </c>
      <c r="CK27" s="350">
        <v>1.438697059558928E-2</v>
      </c>
      <c r="CL27" s="350">
        <v>9671.1116999999995</v>
      </c>
      <c r="CM27" s="350">
        <v>9655.2507999999998</v>
      </c>
      <c r="CN27" s="351">
        <f t="shared" si="58"/>
        <v>137.84840926321141</v>
      </c>
      <c r="CO27" s="351">
        <f t="shared" si="59"/>
        <v>157.43275752593232</v>
      </c>
      <c r="CP27" s="352">
        <f t="shared" si="60"/>
        <v>5.754788238235712E-2</v>
      </c>
      <c r="CQ27" s="352">
        <f t="shared" si="61"/>
        <v>3.0682355775510962E-2</v>
      </c>
      <c r="CR27" s="353">
        <f t="shared" si="62"/>
        <v>137.87909161898693</v>
      </c>
      <c r="CS27" s="353">
        <f t="shared" si="63"/>
        <v>157.40589199932549</v>
      </c>
      <c r="CT27" s="343">
        <f t="shared" si="129"/>
        <v>137.87233193987237</v>
      </c>
      <c r="CU27" s="343">
        <f t="shared" si="130"/>
        <v>157.39913232021092</v>
      </c>
      <c r="CW27" s="350">
        <v>1.2448999999999999</v>
      </c>
      <c r="CX27" s="350">
        <v>0.71650000000000003</v>
      </c>
      <c r="CY27" s="350">
        <v>4.6046311531942304E-3</v>
      </c>
      <c r="CZ27" s="350">
        <v>4236.6774999999998</v>
      </c>
      <c r="DA27" s="350">
        <v>4246.6358</v>
      </c>
      <c r="DB27" s="351">
        <f t="shared" si="64"/>
        <v>237.77589999999998</v>
      </c>
      <c r="DC27" s="351">
        <f t="shared" si="65"/>
        <v>187.72300000000001</v>
      </c>
      <c r="DD27" s="352">
        <f t="shared" si="66"/>
        <v>1.3813893459582692E-2</v>
      </c>
      <c r="DE27" s="352">
        <f t="shared" si="67"/>
        <v>6.094458815083287E-3</v>
      </c>
      <c r="DF27" s="353">
        <f t="shared" si="68"/>
        <v>237.78199445881506</v>
      </c>
      <c r="DG27" s="353">
        <f t="shared" si="69"/>
        <v>187.71528056535553</v>
      </c>
      <c r="DH27" s="343">
        <f t="shared" si="131"/>
        <v>237.79346085408642</v>
      </c>
      <c r="DI27" s="343">
        <f t="shared" si="132"/>
        <v>187.72674696062688</v>
      </c>
      <c r="DK27" s="350">
        <v>1.0415000000000001</v>
      </c>
      <c r="DL27" s="350">
        <v>0.89</v>
      </c>
      <c r="DM27" s="350">
        <v>0</v>
      </c>
      <c r="DN27" s="350">
        <v>242.76669999999999</v>
      </c>
      <c r="DO27" s="350">
        <v>222.42420000000001</v>
      </c>
      <c r="DP27" s="351">
        <f t="shared" si="70"/>
        <v>99.984000000000009</v>
      </c>
      <c r="DQ27" s="351">
        <f t="shared" si="71"/>
        <v>154.86000000000001</v>
      </c>
      <c r="DR27" s="352">
        <f t="shared" si="72"/>
        <v>0</v>
      </c>
      <c r="DS27" s="352">
        <f t="shared" si="73"/>
        <v>0</v>
      </c>
      <c r="DT27" s="353">
        <f t="shared" si="74"/>
        <v>99.984000000000009</v>
      </c>
      <c r="DU27" s="353">
        <f t="shared" si="75"/>
        <v>154.86000000000001</v>
      </c>
      <c r="DV27" s="343">
        <f t="shared" si="133"/>
        <v>99.984000000000009</v>
      </c>
      <c r="DW27" s="343">
        <f t="shared" si="134"/>
        <v>154.86000000000001</v>
      </c>
      <c r="EB27" s="326"/>
      <c r="EC27" s="326"/>
      <c r="ED27" s="326"/>
      <c r="EE27" s="348">
        <f t="shared" si="76"/>
        <v>29058.911699999997</v>
      </c>
      <c r="EF27" s="348">
        <f t="shared" si="77"/>
        <v>28412.902400000003</v>
      </c>
      <c r="EG27" s="348">
        <f t="shared" si="78"/>
        <v>1490.9955112712896</v>
      </c>
      <c r="EH27" s="348">
        <f t="shared" si="79"/>
        <v>1793.2674642775046</v>
      </c>
      <c r="EI27" s="354">
        <f t="shared" si="80"/>
        <v>0.50562022715061639</v>
      </c>
      <c r="EJ27" s="326"/>
      <c r="EK27" s="348">
        <f t="shared" si="81"/>
        <v>1494.2243484788364</v>
      </c>
      <c r="EL27" s="348">
        <f t="shared" si="82"/>
        <v>1790.7275054448191</v>
      </c>
      <c r="EM27" s="348">
        <f t="shared" si="83"/>
        <v>1493.8832121810258</v>
      </c>
      <c r="EN27" s="348">
        <f t="shared" si="84"/>
        <v>1790.386369147009</v>
      </c>
      <c r="EP27" s="326"/>
      <c r="EQ27" s="326"/>
      <c r="ER27" s="326"/>
      <c r="ES27" s="348">
        <f t="shared" si="85"/>
        <v>20486.822566666666</v>
      </c>
      <c r="ET27" s="348">
        <f t="shared" si="86"/>
        <v>20098.259099999999</v>
      </c>
      <c r="EU27" s="348">
        <f t="shared" si="87"/>
        <v>1059.6382400319892</v>
      </c>
      <c r="EV27" s="348">
        <f t="shared" si="88"/>
        <v>1289.0721764667626</v>
      </c>
      <c r="EW27" s="354">
        <f t="shared" si="89"/>
        <v>0.50478702334342973</v>
      </c>
      <c r="EX27" s="326"/>
      <c r="EY27" s="348">
        <f t="shared" si="90"/>
        <v>1064.6437684199132</v>
      </c>
      <c r="EZ27" s="348">
        <f t="shared" si="91"/>
        <v>1285.1392276863071</v>
      </c>
      <c r="FA27" s="348">
        <f t="shared" si="92"/>
        <v>1063.5113293967552</v>
      </c>
      <c r="FB27" s="348">
        <f t="shared" si="93"/>
        <v>1284.0067886631496</v>
      </c>
      <c r="FD27" s="326"/>
      <c r="FE27" s="326"/>
      <c r="FF27" s="326"/>
      <c r="FG27" s="348">
        <f t="shared" si="94"/>
        <v>13141.451733333333</v>
      </c>
      <c r="FH27" s="348">
        <f t="shared" si="95"/>
        <v>13036.433299999999</v>
      </c>
      <c r="FI27" s="348">
        <f t="shared" si="96"/>
        <v>638.9314844996419</v>
      </c>
      <c r="FJ27" s="348">
        <f t="shared" si="97"/>
        <v>737.04311704359043</v>
      </c>
      <c r="FK27" s="354">
        <f t="shared" si="98"/>
        <v>0.5020058616882076</v>
      </c>
      <c r="FL27" s="326"/>
      <c r="FM27" s="348">
        <f t="shared" si="99"/>
        <v>640.68441956143829</v>
      </c>
      <c r="FN27" s="348">
        <f t="shared" si="100"/>
        <v>735.38188356678347</v>
      </c>
      <c r="FO27" s="348">
        <f t="shared" si="101"/>
        <v>641.42414369924199</v>
      </c>
      <c r="FP27" s="348">
        <f t="shared" si="102"/>
        <v>736.12160770458718</v>
      </c>
      <c r="FR27" s="326"/>
      <c r="FS27" s="326"/>
      <c r="FT27" s="326"/>
      <c r="FU27" s="348">
        <f t="shared" si="103"/>
        <v>8677.0025000000005</v>
      </c>
      <c r="FV27" s="348">
        <f t="shared" si="104"/>
        <v>8504.6365999999998</v>
      </c>
      <c r="FW27" s="349">
        <f t="shared" si="105"/>
        <v>54.775814194866946</v>
      </c>
      <c r="FX27" s="349">
        <f t="shared" si="106"/>
        <v>52.874725618981358</v>
      </c>
      <c r="FY27" s="354">
        <f t="shared" si="107"/>
        <v>0.5050159911693175</v>
      </c>
      <c r="FZ27" s="326"/>
      <c r="GA27" s="349">
        <f t="shared" si="108"/>
        <v>54.918180962239354</v>
      </c>
      <c r="GB27" s="349">
        <f t="shared" si="109"/>
        <v>52.728844870341838</v>
      </c>
      <c r="GC27" s="349">
        <f t="shared" si="18"/>
        <v>54.628777887517842</v>
      </c>
      <c r="GD27" s="349">
        <f t="shared" si="19"/>
        <v>52.439441795620318</v>
      </c>
      <c r="GF27" s="326"/>
      <c r="GG27" s="326"/>
      <c r="GH27" s="326"/>
      <c r="GI27" s="348">
        <f t="shared" si="135"/>
        <v>13907.789199999999</v>
      </c>
      <c r="GJ27" s="348">
        <f t="shared" si="136"/>
        <v>13901.8866</v>
      </c>
      <c r="GK27" s="348">
        <f t="shared" si="137"/>
        <v>328.06912926321138</v>
      </c>
      <c r="GL27" s="348">
        <f t="shared" si="138"/>
        <v>307.6111575259323</v>
      </c>
      <c r="GM27" s="354">
        <f t="shared" si="114"/>
        <v>0.50010612493368223</v>
      </c>
      <c r="GN27" s="326"/>
      <c r="GO27" s="348">
        <f t="shared" si="115"/>
        <v>328.10468718603897</v>
      </c>
      <c r="GP27" s="348">
        <f t="shared" si="116"/>
        <v>307.57811645160996</v>
      </c>
      <c r="GQ27" s="348">
        <f t="shared" si="20"/>
        <v>328.10710062314149</v>
      </c>
      <c r="GR27" s="348">
        <f t="shared" si="21"/>
        <v>307.58052988871248</v>
      </c>
    </row>
    <row r="28" spans="1:203" x14ac:dyDescent="0.2">
      <c r="A28" s="320">
        <v>18</v>
      </c>
      <c r="C28" s="350">
        <v>0.90814986496038197</v>
      </c>
      <c r="D28" s="350">
        <v>0.5247625023103959</v>
      </c>
      <c r="E28" s="350">
        <v>2.4546589277687145E-2</v>
      </c>
      <c r="F28" s="350">
        <v>8274.1233333333348</v>
      </c>
      <c r="G28" s="350">
        <v>8077.7433333333347</v>
      </c>
      <c r="H28" s="351">
        <f t="shared" si="22"/>
        <v>931.76176144935187</v>
      </c>
      <c r="I28" s="351">
        <f t="shared" si="23"/>
        <v>1246.8357054895007</v>
      </c>
      <c r="J28" s="352">
        <f t="shared" si="24"/>
        <v>6.259380265810222</v>
      </c>
      <c r="K28" s="352">
        <f t="shared" si="25"/>
        <v>3.5823133589770197</v>
      </c>
      <c r="L28" s="353">
        <f t="shared" si="26"/>
        <v>935.34407480832886</v>
      </c>
      <c r="M28" s="353">
        <f t="shared" si="27"/>
        <v>1244.1586385826674</v>
      </c>
      <c r="N28" s="343">
        <f t="shared" si="117"/>
        <v>933.81904580544949</v>
      </c>
      <c r="O28" s="343">
        <f t="shared" si="118"/>
        <v>1242.6336095797881</v>
      </c>
      <c r="Q28" s="350">
        <v>0.72022900004668555</v>
      </c>
      <c r="R28" s="350">
        <v>0.45371458723961594</v>
      </c>
      <c r="S28" s="350">
        <v>2.8152703919862139E-2</v>
      </c>
      <c r="T28" s="350">
        <v>951.59166666666681</v>
      </c>
      <c r="U28" s="350">
        <v>699.67916666666667</v>
      </c>
      <c r="V28" s="351">
        <f t="shared" si="28"/>
        <v>507.0412160328666</v>
      </c>
      <c r="W28" s="351">
        <f t="shared" si="29"/>
        <v>761.33307738807559</v>
      </c>
      <c r="X28" s="352">
        <f t="shared" si="30"/>
        <v>5.4053191526135311</v>
      </c>
      <c r="Y28" s="352">
        <f t="shared" si="31"/>
        <v>3.2445062045720721</v>
      </c>
      <c r="Z28" s="353">
        <f t="shared" si="32"/>
        <v>510.28572223743868</v>
      </c>
      <c r="AA28" s="353">
        <f t="shared" si="33"/>
        <v>759.17226444003416</v>
      </c>
      <c r="AB28" s="343">
        <f t="shared" si="119"/>
        <v>508.86303369060425</v>
      </c>
      <c r="AC28" s="343">
        <f t="shared" si="120"/>
        <v>757.74957589319979</v>
      </c>
      <c r="AE28" s="350">
        <v>0.65700000000000003</v>
      </c>
      <c r="AF28" s="350">
        <v>0.32400000000000001</v>
      </c>
      <c r="AG28" s="350">
        <v>4.185402982852976E-2</v>
      </c>
      <c r="AH28" s="350">
        <v>48.94166666666667</v>
      </c>
      <c r="AI28" s="350">
        <v>32.122500000000002</v>
      </c>
      <c r="AJ28" s="351">
        <f t="shared" si="34"/>
        <v>233.892</v>
      </c>
      <c r="AK28" s="351">
        <f t="shared" si="35"/>
        <v>248.184</v>
      </c>
      <c r="AL28" s="352">
        <f t="shared" si="36"/>
        <v>4.980629549595041</v>
      </c>
      <c r="AM28" s="352">
        <f t="shared" si="37"/>
        <v>2.5641445832953633</v>
      </c>
      <c r="AN28" s="353">
        <f t="shared" si="38"/>
        <v>236.45614458329536</v>
      </c>
      <c r="AO28" s="353">
        <f t="shared" si="39"/>
        <v>245.76751503370031</v>
      </c>
      <c r="AP28" s="343">
        <f t="shared" si="121"/>
        <v>235.40491765439805</v>
      </c>
      <c r="AQ28" s="343">
        <f t="shared" si="122"/>
        <v>244.716288104803</v>
      </c>
      <c r="AS28" s="350">
        <v>1.1174148365093026</v>
      </c>
      <c r="AT28" s="350">
        <v>0.67416598417095408</v>
      </c>
      <c r="AU28" s="350">
        <v>1.4724205396466917E-2</v>
      </c>
      <c r="AV28" s="350">
        <v>4779.6075000000001</v>
      </c>
      <c r="AW28" s="350">
        <v>4768.1767</v>
      </c>
      <c r="AX28" s="351">
        <f t="shared" si="40"/>
        <v>281.58853880034428</v>
      </c>
      <c r="AY28" s="351">
        <f t="shared" si="41"/>
        <v>337.75715806964797</v>
      </c>
      <c r="AZ28" s="352">
        <f t="shared" si="42"/>
        <v>2.3705970688311737</v>
      </c>
      <c r="BA28" s="352">
        <f t="shared" si="43"/>
        <v>1.2927935609193844</v>
      </c>
      <c r="BB28" s="353">
        <f t="shared" si="44"/>
        <v>282.88133236126367</v>
      </c>
      <c r="BC28" s="353">
        <f t="shared" si="45"/>
        <v>336.6793545617362</v>
      </c>
      <c r="BD28" s="343">
        <f t="shared" si="123"/>
        <v>282.38098399405294</v>
      </c>
      <c r="BE28" s="343">
        <f t="shared" si="124"/>
        <v>336.17900619452547</v>
      </c>
      <c r="BG28" s="350">
        <v>1.1752742178677937</v>
      </c>
      <c r="BH28" s="350">
        <v>0.66963515893603809</v>
      </c>
      <c r="BI28" s="350">
        <v>3.4419267729025656E-2</v>
      </c>
      <c r="BJ28" s="350">
        <v>4768.3575000000001</v>
      </c>
      <c r="BK28" s="350">
        <v>4757.7608</v>
      </c>
      <c r="BL28" s="351">
        <f t="shared" si="46"/>
        <v>278.53998963466711</v>
      </c>
      <c r="BM28" s="351">
        <f t="shared" si="47"/>
        <v>322.76414660717035</v>
      </c>
      <c r="BN28" s="352">
        <f t="shared" si="48"/>
        <v>6.1954681912246183</v>
      </c>
      <c r="BO28" s="352">
        <f t="shared" si="49"/>
        <v>3.3255633597841032</v>
      </c>
      <c r="BP28" s="353">
        <f t="shared" si="50"/>
        <v>281.86555299445121</v>
      </c>
      <c r="BQ28" s="353">
        <f t="shared" si="51"/>
        <v>319.89424177572982</v>
      </c>
      <c r="BR28" s="343">
        <f t="shared" si="125"/>
        <v>280.55504606717398</v>
      </c>
      <c r="BS28" s="343">
        <f t="shared" si="126"/>
        <v>318.58373484845259</v>
      </c>
      <c r="BU28" s="350">
        <v>1.2008852843521203</v>
      </c>
      <c r="BV28" s="350">
        <v>0.9266735717230743</v>
      </c>
      <c r="BW28" s="350">
        <v>3.9284055202854364E-2</v>
      </c>
      <c r="BX28" s="350">
        <v>2720.07</v>
      </c>
      <c r="BY28" s="350">
        <v>2800.01</v>
      </c>
      <c r="BZ28" s="351">
        <f t="shared" si="52"/>
        <v>218.56112175208588</v>
      </c>
      <c r="CA28" s="351">
        <f t="shared" si="53"/>
        <v>284.48878651898383</v>
      </c>
      <c r="CB28" s="352">
        <f t="shared" si="54"/>
        <v>2.6320316985912422</v>
      </c>
      <c r="CC28" s="352">
        <f t="shared" si="55"/>
        <v>1.4884875073036259</v>
      </c>
      <c r="CD28" s="353">
        <f t="shared" si="56"/>
        <v>220.04960925938951</v>
      </c>
      <c r="CE28" s="353">
        <f t="shared" si="57"/>
        <v>283.34524232769621</v>
      </c>
      <c r="CF28" s="343">
        <f t="shared" si="127"/>
        <v>219.51694062062688</v>
      </c>
      <c r="CG28" s="343">
        <f t="shared" si="128"/>
        <v>282.81257368893364</v>
      </c>
      <c r="CI28" s="350">
        <v>0.75486250942850486</v>
      </c>
      <c r="CJ28" s="350">
        <v>0.69579601737313324</v>
      </c>
      <c r="CK28" s="350">
        <v>6.2433545680672126E-3</v>
      </c>
      <c r="CL28" s="350">
        <v>7829.0725000000002</v>
      </c>
      <c r="CM28" s="350">
        <v>7852.8416999999999</v>
      </c>
      <c r="CN28" s="351">
        <f t="shared" si="58"/>
        <v>136.63011420655937</v>
      </c>
      <c r="CO28" s="351">
        <f t="shared" si="59"/>
        <v>157.94569594370125</v>
      </c>
      <c r="CP28" s="352">
        <f t="shared" si="60"/>
        <v>2.4973418272268851E-2</v>
      </c>
      <c r="CQ28" s="352">
        <f t="shared" si="61"/>
        <v>1.3390250635633054E-2</v>
      </c>
      <c r="CR28" s="353">
        <f t="shared" si="62"/>
        <v>136.64350445719501</v>
      </c>
      <c r="CS28" s="353">
        <f t="shared" si="63"/>
        <v>157.93411277606461</v>
      </c>
      <c r="CT28" s="343">
        <f t="shared" si="129"/>
        <v>136.65403688322033</v>
      </c>
      <c r="CU28" s="343">
        <f t="shared" si="130"/>
        <v>157.94464520208993</v>
      </c>
      <c r="CW28" s="350">
        <v>0.82589999999999997</v>
      </c>
      <c r="CX28" s="350">
        <v>0.46250000000000002</v>
      </c>
      <c r="CY28" s="350">
        <v>2.0373310906179151E-2</v>
      </c>
      <c r="CZ28" s="350">
        <v>3517.1217000000001</v>
      </c>
      <c r="DA28" s="350">
        <v>3522.2658000000001</v>
      </c>
      <c r="DB28" s="351">
        <f t="shared" si="64"/>
        <v>157.74689999999998</v>
      </c>
      <c r="DC28" s="351">
        <f t="shared" si="65"/>
        <v>121.17500000000001</v>
      </c>
      <c r="DD28" s="352">
        <f t="shared" si="66"/>
        <v>6.1119932718537454E-2</v>
      </c>
      <c r="DE28" s="352">
        <f t="shared" si="67"/>
        <v>2.6552980770490866E-2</v>
      </c>
      <c r="DF28" s="353">
        <f t="shared" si="68"/>
        <v>157.77345298077049</v>
      </c>
      <c r="DG28" s="353">
        <f t="shared" si="69"/>
        <v>121.14043304805196</v>
      </c>
      <c r="DH28" s="343">
        <f t="shared" si="131"/>
        <v>157.76446085408642</v>
      </c>
      <c r="DI28" s="343">
        <f t="shared" si="132"/>
        <v>121.13144092136791</v>
      </c>
      <c r="DK28" s="350">
        <v>0.61660000000000004</v>
      </c>
      <c r="DL28" s="350">
        <v>0.54669999999999996</v>
      </c>
      <c r="DM28" s="350">
        <v>0</v>
      </c>
      <c r="DN28" s="350">
        <v>221.4967</v>
      </c>
      <c r="DO28" s="350">
        <v>204.82499999999999</v>
      </c>
      <c r="DP28" s="351">
        <f t="shared" si="70"/>
        <v>59.193600000000004</v>
      </c>
      <c r="DQ28" s="351">
        <f t="shared" si="71"/>
        <v>95.125799999999998</v>
      </c>
      <c r="DR28" s="352">
        <f t="shared" si="72"/>
        <v>0</v>
      </c>
      <c r="DS28" s="352">
        <f t="shared" si="73"/>
        <v>0</v>
      </c>
      <c r="DT28" s="353">
        <f t="shared" si="74"/>
        <v>59.193600000000004</v>
      </c>
      <c r="DU28" s="353">
        <f t="shared" si="75"/>
        <v>95.125799999999998</v>
      </c>
      <c r="DV28" s="343">
        <f t="shared" si="133"/>
        <v>59.193600000000004</v>
      </c>
      <c r="DW28" s="343">
        <f t="shared" si="134"/>
        <v>95.125799999999998</v>
      </c>
      <c r="EB28" s="326"/>
      <c r="EC28" s="326"/>
      <c r="ED28" s="326"/>
      <c r="EE28" s="348">
        <f t="shared" si="76"/>
        <v>24399.925033333337</v>
      </c>
      <c r="EF28" s="348">
        <f t="shared" si="77"/>
        <v>24221.027533333337</v>
      </c>
      <c r="EG28" s="348">
        <f t="shared" si="78"/>
        <v>1476.1779344562553</v>
      </c>
      <c r="EH28" s="348">
        <f t="shared" si="79"/>
        <v>1839.4785595028497</v>
      </c>
      <c r="EI28" s="354">
        <f t="shared" si="80"/>
        <v>0.50183971611574973</v>
      </c>
      <c r="EJ28" s="326"/>
      <c r="EK28" s="348">
        <f t="shared" si="81"/>
        <v>1481.0876740114038</v>
      </c>
      <c r="EL28" s="348">
        <f t="shared" si="82"/>
        <v>1835.68445235891</v>
      </c>
      <c r="EM28" s="348">
        <f t="shared" si="83"/>
        <v>1479.0656353659917</v>
      </c>
      <c r="EN28" s="348">
        <f t="shared" si="84"/>
        <v>1833.6624137134979</v>
      </c>
      <c r="EP28" s="326"/>
      <c r="EQ28" s="326"/>
      <c r="ER28" s="326"/>
      <c r="ES28" s="348">
        <f t="shared" si="85"/>
        <v>17066.143366666667</v>
      </c>
      <c r="ET28" s="348">
        <f t="shared" si="86"/>
        <v>16832.547466666667</v>
      </c>
      <c r="EU28" s="348">
        <f t="shared" si="87"/>
        <v>1032.6341498740931</v>
      </c>
      <c r="EV28" s="348">
        <f t="shared" si="88"/>
        <v>1326.8654199389473</v>
      </c>
      <c r="EW28" s="354">
        <f t="shared" si="89"/>
        <v>0.50344550031664204</v>
      </c>
      <c r="EX28" s="326"/>
      <c r="EY28" s="348">
        <f t="shared" si="90"/>
        <v>1039.2361967756242</v>
      </c>
      <c r="EZ28" s="348">
        <f t="shared" si="91"/>
        <v>1321.7989221254652</v>
      </c>
      <c r="FA28" s="348">
        <f t="shared" si="92"/>
        <v>1036.507239238859</v>
      </c>
      <c r="FB28" s="348">
        <f t="shared" si="93"/>
        <v>1319.0699645887</v>
      </c>
      <c r="FD28" s="326"/>
      <c r="FE28" s="326"/>
      <c r="FF28" s="326"/>
      <c r="FG28" s="348">
        <f t="shared" si="94"/>
        <v>10819.580866666667</v>
      </c>
      <c r="FH28" s="348">
        <f t="shared" si="95"/>
        <v>10889.799200000001</v>
      </c>
      <c r="FI28" s="348">
        <f t="shared" si="96"/>
        <v>624.59939595864523</v>
      </c>
      <c r="FJ28" s="348">
        <f t="shared" si="97"/>
        <v>747.69396246268502</v>
      </c>
      <c r="FK28" s="354">
        <f t="shared" si="98"/>
        <v>0.49838276512001489</v>
      </c>
      <c r="FL28" s="326"/>
      <c r="FM28" s="348">
        <f t="shared" si="99"/>
        <v>628.66541829987989</v>
      </c>
      <c r="FN28" s="348">
        <f t="shared" si="100"/>
        <v>744.12235013746101</v>
      </c>
      <c r="FO28" s="348">
        <f t="shared" si="101"/>
        <v>627.09205515824522</v>
      </c>
      <c r="FP28" s="348">
        <f t="shared" si="102"/>
        <v>742.54898699582645</v>
      </c>
      <c r="FR28" s="326"/>
      <c r="FS28" s="326"/>
      <c r="FT28" s="326"/>
      <c r="FU28" s="348">
        <f t="shared" si="103"/>
        <v>7499.6774999999998</v>
      </c>
      <c r="FV28" s="348">
        <f t="shared" si="104"/>
        <v>7568.1867000000002</v>
      </c>
      <c r="FW28" s="349">
        <f t="shared" si="105"/>
        <v>56.724675343432558</v>
      </c>
      <c r="FX28" s="349">
        <f t="shared" si="106"/>
        <v>47.941534395597728</v>
      </c>
      <c r="FY28" s="354">
        <f t="shared" si="107"/>
        <v>0.49772664529323274</v>
      </c>
      <c r="FZ28" s="326"/>
      <c r="GA28" s="349">
        <f t="shared" si="108"/>
        <v>56.548550791686743</v>
      </c>
      <c r="GB28" s="349">
        <f t="shared" si="109"/>
        <v>48.000701010635993</v>
      </c>
      <c r="GC28" s="349">
        <f t="shared" si="18"/>
        <v>56.577639036083454</v>
      </c>
      <c r="GD28" s="349">
        <f t="shared" si="19"/>
        <v>48.029789255032647</v>
      </c>
      <c r="GF28" s="326"/>
      <c r="GG28" s="326"/>
      <c r="GH28" s="326"/>
      <c r="GI28" s="348">
        <f t="shared" si="135"/>
        <v>11346.1942</v>
      </c>
      <c r="GJ28" s="348">
        <f t="shared" si="136"/>
        <v>11375.1075</v>
      </c>
      <c r="GK28" s="348">
        <f t="shared" si="137"/>
        <v>262.82763420655937</v>
      </c>
      <c r="GL28" s="348">
        <f t="shared" si="138"/>
        <v>254.88569594370125</v>
      </c>
      <c r="GM28" s="354">
        <f t="shared" si="114"/>
        <v>0.49936374023852692</v>
      </c>
      <c r="GN28" s="326"/>
      <c r="GO28" s="348">
        <f t="shared" si="115"/>
        <v>262.86226684181139</v>
      </c>
      <c r="GP28" s="348">
        <f t="shared" si="116"/>
        <v>254.84645921450618</v>
      </c>
      <c r="GQ28" s="348">
        <f t="shared" si="20"/>
        <v>262.86560556648948</v>
      </c>
      <c r="GR28" s="348">
        <f t="shared" si="21"/>
        <v>254.84979793918427</v>
      </c>
    </row>
    <row r="29" spans="1:203" x14ac:dyDescent="0.2">
      <c r="A29" s="320">
        <v>19</v>
      </c>
      <c r="C29" s="350">
        <v>0.93652644533042961</v>
      </c>
      <c r="D29" s="350">
        <v>0.56080076944171664</v>
      </c>
      <c r="E29" s="350">
        <v>3.4579396433976471E-2</v>
      </c>
      <c r="F29" s="350">
        <v>6807.66</v>
      </c>
      <c r="G29" s="350">
        <v>6482.3433333333323</v>
      </c>
      <c r="H29" s="351">
        <f t="shared" si="22"/>
        <v>960.87613290902084</v>
      </c>
      <c r="I29" s="351">
        <f t="shared" si="23"/>
        <v>1332.4626281935186</v>
      </c>
      <c r="J29" s="352">
        <f t="shared" si="24"/>
        <v>8.8177460906640004</v>
      </c>
      <c r="K29" s="352">
        <f t="shared" si="25"/>
        <v>5.1232366233851589</v>
      </c>
      <c r="L29" s="353">
        <f t="shared" si="26"/>
        <v>965.99936953240604</v>
      </c>
      <c r="M29" s="353">
        <f t="shared" si="27"/>
        <v>1328.7681187262397</v>
      </c>
      <c r="N29" s="343">
        <f t="shared" si="117"/>
        <v>962.93341726511846</v>
      </c>
      <c r="O29" s="343">
        <f t="shared" si="118"/>
        <v>1325.7021664589522</v>
      </c>
      <c r="Q29" s="350">
        <v>0.72453123386691332</v>
      </c>
      <c r="R29" s="350">
        <v>0.49066954878372843</v>
      </c>
      <c r="S29" s="350">
        <v>5.2391820986290014E-2</v>
      </c>
      <c r="T29" s="350">
        <v>687.33166666666659</v>
      </c>
      <c r="U29" s="350">
        <v>587.5483333333334</v>
      </c>
      <c r="V29" s="351">
        <f t="shared" si="28"/>
        <v>510.06998864230695</v>
      </c>
      <c r="W29" s="351">
        <f t="shared" si="29"/>
        <v>823.34350285909625</v>
      </c>
      <c r="X29" s="352">
        <f t="shared" si="30"/>
        <v>10.059229629367682</v>
      </c>
      <c r="Y29" s="352">
        <f t="shared" si="31"/>
        <v>6.2112776058550025</v>
      </c>
      <c r="Z29" s="353">
        <f t="shared" si="32"/>
        <v>516.28126624816196</v>
      </c>
      <c r="AA29" s="353">
        <f t="shared" si="33"/>
        <v>819.49555083558357</v>
      </c>
      <c r="AB29" s="343">
        <f t="shared" si="119"/>
        <v>511.89180630004461</v>
      </c>
      <c r="AC29" s="343">
        <f t="shared" si="120"/>
        <v>815.10609088746628</v>
      </c>
      <c r="AE29" s="350">
        <v>0.66500000000000004</v>
      </c>
      <c r="AF29" s="350">
        <v>0.36699999999999999</v>
      </c>
      <c r="AG29" s="350">
        <v>8.2727535123186521E-2</v>
      </c>
      <c r="AH29" s="350">
        <v>37.086666666666666</v>
      </c>
      <c r="AI29" s="350">
        <v>30.567499999999999</v>
      </c>
      <c r="AJ29" s="351">
        <f t="shared" si="34"/>
        <v>236.74</v>
      </c>
      <c r="AK29" s="351">
        <f t="shared" si="35"/>
        <v>281.12200000000001</v>
      </c>
      <c r="AL29" s="352">
        <f t="shared" si="36"/>
        <v>9.8445766796591965</v>
      </c>
      <c r="AM29" s="352">
        <f t="shared" si="37"/>
        <v>5.34414010940975</v>
      </c>
      <c r="AN29" s="353">
        <f t="shared" si="38"/>
        <v>242.08414010940976</v>
      </c>
      <c r="AO29" s="353">
        <f t="shared" si="39"/>
        <v>276.62156342975055</v>
      </c>
      <c r="AP29" s="343">
        <f t="shared" si="121"/>
        <v>238.25291765439806</v>
      </c>
      <c r="AQ29" s="343">
        <f t="shared" si="122"/>
        <v>272.79034097473885</v>
      </c>
      <c r="AS29" s="350">
        <v>1.18468163817953</v>
      </c>
      <c r="AT29" s="350">
        <v>0.6998366338139872</v>
      </c>
      <c r="AU29" s="350">
        <v>2.4114110307105061E-2</v>
      </c>
      <c r="AV29" s="350">
        <v>3788.0533</v>
      </c>
      <c r="AW29" s="350">
        <v>3816.9724999999999</v>
      </c>
      <c r="AX29" s="351">
        <f t="shared" si="40"/>
        <v>298.53977282124157</v>
      </c>
      <c r="AY29" s="351">
        <f t="shared" si="41"/>
        <v>350.61815354080761</v>
      </c>
      <c r="AZ29" s="352">
        <f t="shared" si="42"/>
        <v>3.8823717594439149</v>
      </c>
      <c r="BA29" s="352">
        <f t="shared" si="43"/>
        <v>2.0969165781948949</v>
      </c>
      <c r="BB29" s="353">
        <f t="shared" si="44"/>
        <v>300.63668939943648</v>
      </c>
      <c r="BC29" s="353">
        <f t="shared" si="45"/>
        <v>348.83269835955861</v>
      </c>
      <c r="BD29" s="343">
        <f t="shared" si="123"/>
        <v>299.33221801495023</v>
      </c>
      <c r="BE29" s="343">
        <f t="shared" si="124"/>
        <v>347.52822697507236</v>
      </c>
      <c r="BG29" s="350">
        <v>1.275992079188746</v>
      </c>
      <c r="BH29" s="350">
        <v>0.71377359501346327</v>
      </c>
      <c r="BI29" s="350">
        <v>4.9163014528599683E-2</v>
      </c>
      <c r="BJ29" s="350">
        <v>3771.5666999999999</v>
      </c>
      <c r="BK29" s="350">
        <v>3809.12</v>
      </c>
      <c r="BL29" s="351">
        <f t="shared" si="46"/>
        <v>302.41012276773279</v>
      </c>
      <c r="BM29" s="351">
        <f t="shared" si="47"/>
        <v>344.03887279648927</v>
      </c>
      <c r="BN29" s="352">
        <f t="shared" si="48"/>
        <v>8.8493426151479433</v>
      </c>
      <c r="BO29" s="352">
        <f t="shared" si="49"/>
        <v>4.7096025814815805</v>
      </c>
      <c r="BP29" s="353">
        <f t="shared" si="50"/>
        <v>307.11972534921438</v>
      </c>
      <c r="BQ29" s="353">
        <f t="shared" si="51"/>
        <v>339.89913276282294</v>
      </c>
      <c r="BR29" s="343">
        <f t="shared" si="125"/>
        <v>304.42517920023965</v>
      </c>
      <c r="BS29" s="343">
        <f t="shared" si="126"/>
        <v>337.20458661384822</v>
      </c>
      <c r="BU29" s="350">
        <v>1.2390523625708629</v>
      </c>
      <c r="BV29" s="350">
        <v>0.97845089829744203</v>
      </c>
      <c r="BW29" s="350">
        <v>9.0829093667280814E-2</v>
      </c>
      <c r="BX29" s="350">
        <v>2340.8474999999999</v>
      </c>
      <c r="BY29" s="350">
        <v>2359.2350000000001</v>
      </c>
      <c r="BZ29" s="351">
        <f t="shared" si="52"/>
        <v>225.50752998789704</v>
      </c>
      <c r="CA29" s="351">
        <f t="shared" si="53"/>
        <v>300.38442577731468</v>
      </c>
      <c r="CB29" s="352">
        <f t="shared" si="54"/>
        <v>6.0855492757078142</v>
      </c>
      <c r="CC29" s="352">
        <f t="shared" si="55"/>
        <v>3.4760072001161597</v>
      </c>
      <c r="CD29" s="353">
        <f t="shared" si="56"/>
        <v>228.9835371880132</v>
      </c>
      <c r="CE29" s="353">
        <f t="shared" si="57"/>
        <v>297.77488370172301</v>
      </c>
      <c r="CF29" s="343">
        <f t="shared" si="127"/>
        <v>226.46334885643805</v>
      </c>
      <c r="CG29" s="343">
        <f t="shared" si="128"/>
        <v>295.25469537014789</v>
      </c>
      <c r="CI29" s="350">
        <v>0.7502831476231433</v>
      </c>
      <c r="CJ29" s="350">
        <v>0.70081652135499117</v>
      </c>
      <c r="CK29" s="350">
        <v>2.4899628318088372E-4</v>
      </c>
      <c r="CL29" s="350">
        <v>5505.4642000000003</v>
      </c>
      <c r="CM29" s="350">
        <v>4976.9432999999999</v>
      </c>
      <c r="CN29" s="351">
        <f t="shared" si="58"/>
        <v>135.80124971978893</v>
      </c>
      <c r="CO29" s="351">
        <f t="shared" si="59"/>
        <v>159.08535034758299</v>
      </c>
      <c r="CP29" s="352">
        <f t="shared" si="60"/>
        <v>9.9598513272353487E-4</v>
      </c>
      <c r="CQ29" s="352">
        <f t="shared" si="61"/>
        <v>5.3731381400208631E-4</v>
      </c>
      <c r="CR29" s="353">
        <f t="shared" si="62"/>
        <v>135.80178703360292</v>
      </c>
      <c r="CS29" s="353">
        <f t="shared" si="63"/>
        <v>159.08489167626425</v>
      </c>
      <c r="CT29" s="343">
        <f t="shared" si="129"/>
        <v>135.82517239644989</v>
      </c>
      <c r="CU29" s="343">
        <f t="shared" si="130"/>
        <v>159.10827703911121</v>
      </c>
      <c r="CW29" s="350">
        <v>0.5343</v>
      </c>
      <c r="CX29" s="350">
        <v>0.33119999999999999</v>
      </c>
      <c r="CY29" s="350">
        <v>5.2182110244584766E-2</v>
      </c>
      <c r="CZ29" s="350">
        <v>2565.4549999999999</v>
      </c>
      <c r="DA29" s="350">
        <v>2354.2932999999998</v>
      </c>
      <c r="DB29" s="351">
        <f t="shared" si="64"/>
        <v>102.0513</v>
      </c>
      <c r="DC29" s="351">
        <f t="shared" si="65"/>
        <v>86.7744</v>
      </c>
      <c r="DD29" s="352">
        <f t="shared" si="66"/>
        <v>0.15654633073375429</v>
      </c>
      <c r="DE29" s="352">
        <f t="shared" si="67"/>
        <v>7.194049285464367E-2</v>
      </c>
      <c r="DF29" s="353">
        <f t="shared" si="68"/>
        <v>102.12324049285463</v>
      </c>
      <c r="DG29" s="353">
        <f t="shared" si="69"/>
        <v>86.689794162120876</v>
      </c>
      <c r="DH29" s="343">
        <f t="shared" si="131"/>
        <v>102.06886085408644</v>
      </c>
      <c r="DI29" s="343">
        <f t="shared" si="132"/>
        <v>86.635414523352679</v>
      </c>
      <c r="DK29" s="350">
        <v>0.39400000000000002</v>
      </c>
      <c r="DL29" s="350">
        <v>0.34200000000000003</v>
      </c>
      <c r="DM29" s="350">
        <v>0</v>
      </c>
      <c r="DN29" s="350">
        <v>217.08080000000001</v>
      </c>
      <c r="DO29" s="350">
        <v>214.4058</v>
      </c>
      <c r="DP29" s="351">
        <f t="shared" si="70"/>
        <v>37.823999999999998</v>
      </c>
      <c r="DQ29" s="351">
        <f t="shared" si="71"/>
        <v>59.508000000000003</v>
      </c>
      <c r="DR29" s="352">
        <f t="shared" si="72"/>
        <v>0</v>
      </c>
      <c r="DS29" s="352">
        <f t="shared" si="73"/>
        <v>0</v>
      </c>
      <c r="DT29" s="353">
        <f t="shared" si="74"/>
        <v>37.823999999999998</v>
      </c>
      <c r="DU29" s="353">
        <f t="shared" si="75"/>
        <v>59.508000000000003</v>
      </c>
      <c r="DV29" s="343">
        <f t="shared" si="133"/>
        <v>37.823999999999998</v>
      </c>
      <c r="DW29" s="343">
        <f t="shared" si="134"/>
        <v>59.508000000000003</v>
      </c>
      <c r="EB29" s="326"/>
      <c r="EC29" s="326"/>
      <c r="ED29" s="326"/>
      <c r="EE29" s="348">
        <f t="shared" si="76"/>
        <v>18666.6325</v>
      </c>
      <c r="EF29" s="348">
        <f t="shared" si="77"/>
        <v>17630.552433333334</v>
      </c>
      <c r="EG29" s="348">
        <f t="shared" si="78"/>
        <v>1476.8581954500514</v>
      </c>
      <c r="EH29" s="348">
        <f t="shared" si="79"/>
        <v>1911.5856520819091</v>
      </c>
      <c r="EI29" s="354">
        <f t="shared" si="80"/>
        <v>0.51427218210681658</v>
      </c>
      <c r="EJ29" s="326"/>
      <c r="EK29" s="348">
        <f t="shared" si="81"/>
        <v>1484.136438359729</v>
      </c>
      <c r="EL29" s="348">
        <f t="shared" si="82"/>
        <v>1906.0375440917594</v>
      </c>
      <c r="EM29" s="348">
        <f t="shared" si="83"/>
        <v>1479.7458963597878</v>
      </c>
      <c r="EN29" s="348">
        <f t="shared" si="84"/>
        <v>1901.647002091818</v>
      </c>
      <c r="EP29" s="326"/>
      <c r="EQ29" s="326"/>
      <c r="ER29" s="326"/>
      <c r="ES29" s="348">
        <f t="shared" si="85"/>
        <v>12529.817566666667</v>
      </c>
      <c r="ET29" s="348">
        <f t="shared" si="86"/>
        <v>11727.904933333333</v>
      </c>
      <c r="EU29" s="348">
        <f t="shared" si="87"/>
        <v>1019.7172711298286</v>
      </c>
      <c r="EV29" s="348">
        <f t="shared" si="88"/>
        <v>1387.2098060031685</v>
      </c>
      <c r="EW29" s="354">
        <f t="shared" si="89"/>
        <v>0.51652901737443269</v>
      </c>
      <c r="EX29" s="326"/>
      <c r="EY29" s="348">
        <f t="shared" si="90"/>
        <v>1030.6890469759776</v>
      </c>
      <c r="EZ29" s="348">
        <f t="shared" si="91"/>
        <v>1379.1624311881556</v>
      </c>
      <c r="FA29" s="348">
        <f t="shared" si="92"/>
        <v>1023.5903604945947</v>
      </c>
      <c r="FB29" s="348">
        <f t="shared" si="93"/>
        <v>1372.0637447067727</v>
      </c>
      <c r="FD29" s="326"/>
      <c r="FE29" s="326"/>
      <c r="FF29" s="326"/>
      <c r="FG29" s="348">
        <f t="shared" si="94"/>
        <v>8100.4791666666661</v>
      </c>
      <c r="FH29" s="348">
        <f t="shared" si="95"/>
        <v>7581.1516000000011</v>
      </c>
      <c r="FI29" s="348">
        <f t="shared" si="96"/>
        <v>620.74317970768595</v>
      </c>
      <c r="FJ29" s="348">
        <f t="shared" si="97"/>
        <v>776.29657612489768</v>
      </c>
      <c r="FK29" s="354">
        <f t="shared" si="98"/>
        <v>0.51655846813363837</v>
      </c>
      <c r="FL29" s="326"/>
      <c r="FM29" s="348">
        <f t="shared" si="99"/>
        <v>629.56386433102591</v>
      </c>
      <c r="FN29" s="348">
        <f t="shared" si="100"/>
        <v>769.18613880773773</v>
      </c>
      <c r="FO29" s="348">
        <f t="shared" si="101"/>
        <v>623.23583890728594</v>
      </c>
      <c r="FP29" s="348">
        <f t="shared" si="102"/>
        <v>762.85811338399799</v>
      </c>
      <c r="FR29" s="326"/>
      <c r="FS29" s="326"/>
      <c r="FT29" s="326"/>
      <c r="FU29" s="348">
        <f t="shared" si="103"/>
        <v>6128.9007999999994</v>
      </c>
      <c r="FV29" s="348">
        <f t="shared" si="104"/>
        <v>6176.2075000000004</v>
      </c>
      <c r="FW29" s="349">
        <f t="shared" si="105"/>
        <v>65.729018550010082</v>
      </c>
      <c r="FX29" s="349">
        <f t="shared" si="106"/>
        <v>45.210354987143646</v>
      </c>
      <c r="FY29" s="354">
        <f t="shared" si="107"/>
        <v>0.49807776173737534</v>
      </c>
      <c r="FZ29" s="326"/>
      <c r="GA29" s="349">
        <f t="shared" si="108"/>
        <v>64.487836990280954</v>
      </c>
      <c r="GB29" s="349">
        <f t="shared" si="109"/>
        <v>45.952033192052035</v>
      </c>
      <c r="GC29" s="349">
        <f t="shared" si="18"/>
        <v>65.58198224266097</v>
      </c>
      <c r="GD29" s="349">
        <f t="shared" si="19"/>
        <v>47.046178444432023</v>
      </c>
      <c r="GF29" s="326"/>
      <c r="GG29" s="326"/>
      <c r="GH29" s="326"/>
      <c r="GI29" s="348">
        <f t="shared" si="135"/>
        <v>8070.9192000000003</v>
      </c>
      <c r="GJ29" s="348">
        <f t="shared" si="136"/>
        <v>7331.2366000000002</v>
      </c>
      <c r="GK29" s="348">
        <f t="shared" si="137"/>
        <v>217.44228971978893</v>
      </c>
      <c r="GL29" s="348">
        <f t="shared" si="138"/>
        <v>228.50487034758299</v>
      </c>
      <c r="GM29" s="354">
        <f t="shared" si="114"/>
        <v>0.52401230741997817</v>
      </c>
      <c r="GN29" s="326"/>
      <c r="GO29" s="348">
        <f t="shared" si="115"/>
        <v>217.50037942788663</v>
      </c>
      <c r="GP29" s="348">
        <f t="shared" si="116"/>
        <v>228.43672700596096</v>
      </c>
      <c r="GQ29" s="348">
        <f t="shared" si="20"/>
        <v>217.48026107971904</v>
      </c>
      <c r="GR29" s="348">
        <f t="shared" si="21"/>
        <v>228.41660865779335</v>
      </c>
    </row>
    <row r="30" spans="1:203" x14ac:dyDescent="0.2">
      <c r="A30" s="320">
        <v>20</v>
      </c>
      <c r="C30" s="350">
        <v>0.95770973472750554</v>
      </c>
      <c r="D30" s="350">
        <v>0.59738205663298083</v>
      </c>
      <c r="E30" s="350">
        <v>5.769216303872305E-2</v>
      </c>
      <c r="F30" s="350">
        <v>3901.5533333333328</v>
      </c>
      <c r="G30" s="350">
        <v>3456.6758333333328</v>
      </c>
      <c r="H30" s="351">
        <f t="shared" si="22"/>
        <v>982.61018783042073</v>
      </c>
      <c r="I30" s="351">
        <f t="shared" si="23"/>
        <v>1419.3797665599625</v>
      </c>
      <c r="J30" s="352">
        <f t="shared" si="24"/>
        <v>14.711501574874378</v>
      </c>
      <c r="K30" s="352">
        <f t="shared" si="25"/>
        <v>8.6932951709164392</v>
      </c>
      <c r="L30" s="353">
        <f t="shared" si="26"/>
        <v>991.30348300133721</v>
      </c>
      <c r="M30" s="353">
        <f t="shared" si="27"/>
        <v>1413.3615601560045</v>
      </c>
      <c r="N30" s="343">
        <f t="shared" si="117"/>
        <v>1011.1649974222042</v>
      </c>
      <c r="O30" s="343">
        <f t="shared" si="118"/>
        <v>1433.2230745768716</v>
      </c>
      <c r="Q30" s="350">
        <v>0.72871875739796732</v>
      </c>
      <c r="R30" s="350">
        <v>0.52839611621122407</v>
      </c>
      <c r="S30" s="350">
        <v>9.7680468097726625E-2</v>
      </c>
      <c r="T30" s="350">
        <v>504.44416666666672</v>
      </c>
      <c r="U30" s="350">
        <v>399.46166666666664</v>
      </c>
      <c r="V30" s="351">
        <f t="shared" si="28"/>
        <v>513.01800520816903</v>
      </c>
      <c r="W30" s="351">
        <f t="shared" si="29"/>
        <v>886.64868300243393</v>
      </c>
      <c r="X30" s="352">
        <f t="shared" si="30"/>
        <v>18.754649874763512</v>
      </c>
      <c r="Y30" s="352">
        <f t="shared" si="31"/>
        <v>11.880532523703783</v>
      </c>
      <c r="Z30" s="353">
        <f t="shared" si="32"/>
        <v>524.89853773187281</v>
      </c>
      <c r="AA30" s="353">
        <f t="shared" si="33"/>
        <v>879.77456565137425</v>
      </c>
      <c r="AB30" s="343">
        <f t="shared" si="119"/>
        <v>530.37885705866177</v>
      </c>
      <c r="AC30" s="343">
        <f t="shared" si="120"/>
        <v>885.2548849781632</v>
      </c>
      <c r="AE30" s="350">
        <v>0.67500000000000004</v>
      </c>
      <c r="AF30" s="350">
        <v>0.40899999999999997</v>
      </c>
      <c r="AG30" s="350">
        <v>0.15201154846306658</v>
      </c>
      <c r="AH30" s="350">
        <v>46.32416666666667</v>
      </c>
      <c r="AI30" s="350">
        <v>43.276666666666664</v>
      </c>
      <c r="AJ30" s="351">
        <f t="shared" si="34"/>
        <v>240.3</v>
      </c>
      <c r="AK30" s="351">
        <f t="shared" si="35"/>
        <v>313.29399999999998</v>
      </c>
      <c r="AL30" s="352">
        <f t="shared" si="36"/>
        <v>18.089374267104922</v>
      </c>
      <c r="AM30" s="352">
        <f t="shared" si="37"/>
        <v>10.237272119348058</v>
      </c>
      <c r="AN30" s="353">
        <f t="shared" si="38"/>
        <v>250.53727211934807</v>
      </c>
      <c r="AO30" s="353">
        <f t="shared" si="39"/>
        <v>305.44189785224313</v>
      </c>
      <c r="AP30" s="343">
        <f t="shared" si="121"/>
        <v>251.55806971412525</v>
      </c>
      <c r="AQ30" s="343">
        <f t="shared" si="122"/>
        <v>306.46269544702034</v>
      </c>
      <c r="AS30" s="350">
        <v>1.2552767618287783</v>
      </c>
      <c r="AT30" s="350">
        <v>0.72566868197051859</v>
      </c>
      <c r="AU30" s="350">
        <v>4.7646097525297422E-2</v>
      </c>
      <c r="AV30" s="350">
        <v>2604.8467000000001</v>
      </c>
      <c r="AW30" s="350">
        <v>2420.6799999999998</v>
      </c>
      <c r="AX30" s="351">
        <f t="shared" si="40"/>
        <v>316.32974398085213</v>
      </c>
      <c r="AY30" s="351">
        <f t="shared" si="41"/>
        <v>363.56000966722979</v>
      </c>
      <c r="AZ30" s="352">
        <f t="shared" si="42"/>
        <v>7.6710217015728848</v>
      </c>
      <c r="BA30" s="352">
        <f t="shared" si="43"/>
        <v>4.1019543374747176</v>
      </c>
      <c r="BB30" s="353">
        <f t="shared" si="44"/>
        <v>320.43169831832682</v>
      </c>
      <c r="BC30" s="353">
        <f t="shared" si="45"/>
        <v>359.99094230313159</v>
      </c>
      <c r="BD30" s="343">
        <f t="shared" si="123"/>
        <v>332.22081759936066</v>
      </c>
      <c r="BE30" s="343">
        <f t="shared" si="124"/>
        <v>371.78006158416542</v>
      </c>
      <c r="BG30" s="350">
        <v>1.3573658884079853</v>
      </c>
      <c r="BH30" s="350">
        <v>0.7593774920182168</v>
      </c>
      <c r="BI30" s="350">
        <v>7.0087499305941242E-2</v>
      </c>
      <c r="BJ30" s="350">
        <v>2574.9625000000001</v>
      </c>
      <c r="BK30" s="350">
        <v>2402.8467000000001</v>
      </c>
      <c r="BL30" s="351">
        <f t="shared" si="46"/>
        <v>321.69571555269255</v>
      </c>
      <c r="BM30" s="351">
        <f t="shared" si="47"/>
        <v>366.01995115278049</v>
      </c>
      <c r="BN30" s="352">
        <f t="shared" si="48"/>
        <v>12.615749875069424</v>
      </c>
      <c r="BO30" s="352">
        <f t="shared" si="49"/>
        <v>6.7144262906637939</v>
      </c>
      <c r="BP30" s="353">
        <f t="shared" si="50"/>
        <v>328.41014184335631</v>
      </c>
      <c r="BQ30" s="353">
        <f t="shared" si="51"/>
        <v>360.11862756837485</v>
      </c>
      <c r="BR30" s="343">
        <f t="shared" si="125"/>
        <v>339.79897268849209</v>
      </c>
      <c r="BS30" s="343">
        <f t="shared" si="126"/>
        <v>371.50745841351062</v>
      </c>
      <c r="BU30" s="350">
        <v>1.2358769284445648</v>
      </c>
      <c r="BV30" s="350">
        <v>1.0101658047423931</v>
      </c>
      <c r="BW30" s="350">
        <v>0.18529618616333607</v>
      </c>
      <c r="BX30" s="350">
        <v>1868.2833000000001</v>
      </c>
      <c r="BY30" s="350">
        <v>1669.9483</v>
      </c>
      <c r="BZ30" s="351">
        <f t="shared" si="52"/>
        <v>224.92960097691079</v>
      </c>
      <c r="CA30" s="351">
        <f t="shared" si="53"/>
        <v>310.12090205591471</v>
      </c>
      <c r="CB30" s="352">
        <f t="shared" si="54"/>
        <v>12.414844472943516</v>
      </c>
      <c r="CC30" s="352">
        <f t="shared" si="55"/>
        <v>7.1957745016771346</v>
      </c>
      <c r="CD30" s="353">
        <f t="shared" si="56"/>
        <v>232.12537547858793</v>
      </c>
      <c r="CE30" s="353">
        <f t="shared" si="57"/>
        <v>304.90183208464833</v>
      </c>
      <c r="CF30" s="343">
        <f t="shared" si="127"/>
        <v>236.46260248267649</v>
      </c>
      <c r="CG30" s="343">
        <f t="shared" si="128"/>
        <v>309.23905908873689</v>
      </c>
      <c r="CI30" s="350">
        <v>0.74995247001810206</v>
      </c>
      <c r="CJ30" s="350">
        <v>0.70764399719087256</v>
      </c>
      <c r="CK30" s="350">
        <v>3.377294386918678E-3</v>
      </c>
      <c r="CL30" s="350">
        <v>3627.8191999999999</v>
      </c>
      <c r="CM30" s="350">
        <v>2552.4108000000001</v>
      </c>
      <c r="CN30" s="351">
        <f t="shared" si="58"/>
        <v>135.74139707327646</v>
      </c>
      <c r="CO30" s="351">
        <f t="shared" si="59"/>
        <v>160.63518736232808</v>
      </c>
      <c r="CP30" s="352">
        <f t="shared" si="60"/>
        <v>1.3509177547674712E-2</v>
      </c>
      <c r="CQ30" s="352">
        <f t="shared" si="61"/>
        <v>7.321932232312308E-3</v>
      </c>
      <c r="CR30" s="353">
        <f t="shared" si="62"/>
        <v>135.74871900550878</v>
      </c>
      <c r="CS30" s="353">
        <f t="shared" si="63"/>
        <v>160.62900011701274</v>
      </c>
      <c r="CT30" s="343">
        <f t="shared" si="129"/>
        <v>136.1346967476978</v>
      </c>
      <c r="CU30" s="343">
        <f t="shared" si="130"/>
        <v>161.01497785920176</v>
      </c>
      <c r="CW30" s="350">
        <v>0.34960000000000002</v>
      </c>
      <c r="CX30" s="350">
        <v>0.27689999999999998</v>
      </c>
      <c r="CY30" s="350">
        <v>0.1037838800798621</v>
      </c>
      <c r="CZ30" s="350">
        <v>1917.8767</v>
      </c>
      <c r="DA30" s="350">
        <v>1425.2882999999999</v>
      </c>
      <c r="DB30" s="351">
        <f t="shared" si="64"/>
        <v>66.773600000000002</v>
      </c>
      <c r="DC30" s="351">
        <f t="shared" si="65"/>
        <v>72.547799999999995</v>
      </c>
      <c r="DD30" s="352">
        <f t="shared" si="66"/>
        <v>0.31135164023958628</v>
      </c>
      <c r="DE30" s="352">
        <f t="shared" si="67"/>
        <v>0.16212783194666044</v>
      </c>
      <c r="DF30" s="353">
        <f t="shared" si="68"/>
        <v>66.935727831946664</v>
      </c>
      <c r="DG30" s="353">
        <f t="shared" si="69"/>
        <v>72.398576191707065</v>
      </c>
      <c r="DH30" s="343">
        <f t="shared" si="131"/>
        <v>67.075410289851746</v>
      </c>
      <c r="DI30" s="343">
        <f t="shared" si="132"/>
        <v>72.538258649612146</v>
      </c>
      <c r="DK30" s="350">
        <v>0.28220000000000001</v>
      </c>
      <c r="DL30" s="350">
        <v>0.24160000000000001</v>
      </c>
      <c r="DM30" s="350">
        <v>0</v>
      </c>
      <c r="DN30" s="350">
        <v>252.16829999999999</v>
      </c>
      <c r="DO30" s="350">
        <v>187.01</v>
      </c>
      <c r="DP30" s="351">
        <f t="shared" si="70"/>
        <v>27.091200000000001</v>
      </c>
      <c r="DQ30" s="351">
        <f t="shared" si="71"/>
        <v>42.038400000000003</v>
      </c>
      <c r="DR30" s="352">
        <f t="shared" si="72"/>
        <v>0</v>
      </c>
      <c r="DS30" s="352">
        <f t="shared" si="73"/>
        <v>0</v>
      </c>
      <c r="DT30" s="353">
        <f t="shared" si="74"/>
        <v>27.091200000000001</v>
      </c>
      <c r="DU30" s="353">
        <f t="shared" si="75"/>
        <v>42.038400000000003</v>
      </c>
      <c r="DV30" s="343">
        <f t="shared" si="133"/>
        <v>27.347924826004721</v>
      </c>
      <c r="DW30" s="343">
        <f t="shared" si="134"/>
        <v>42.295124826004724</v>
      </c>
      <c r="EB30" s="326"/>
      <c r="EC30" s="326"/>
      <c r="ED30" s="326"/>
      <c r="EE30" s="348">
        <f t="shared" si="76"/>
        <v>12052.095933333334</v>
      </c>
      <c r="EF30" s="348">
        <f t="shared" si="77"/>
        <v>9855.0549333333329</v>
      </c>
      <c r="EG30" s="348">
        <f t="shared" si="78"/>
        <v>1488.1002088845491</v>
      </c>
      <c r="EH30" s="348">
        <f t="shared" si="79"/>
        <v>2001.6132035895205</v>
      </c>
      <c r="EI30" s="354">
        <f t="shared" si="80"/>
        <v>0.55014438010154387</v>
      </c>
      <c r="EJ30" s="326"/>
      <c r="EK30" s="348">
        <f t="shared" si="81"/>
        <v>1501.0324825907301</v>
      </c>
      <c r="EL30" s="348">
        <f t="shared" si="82"/>
        <v>1991.9003635295144</v>
      </c>
      <c r="EM30" s="348">
        <f t="shared" si="83"/>
        <v>1533.1808400011439</v>
      </c>
      <c r="EN30" s="348">
        <f t="shared" si="84"/>
        <v>2024.0487209399284</v>
      </c>
      <c r="EP30" s="326"/>
      <c r="EQ30" s="326"/>
      <c r="ER30" s="326"/>
      <c r="ES30" s="348">
        <f t="shared" si="85"/>
        <v>8625.1025666666665</v>
      </c>
      <c r="ET30" s="348">
        <f t="shared" si="86"/>
        <v>6780.0074666666669</v>
      </c>
      <c r="EU30" s="348">
        <f t="shared" si="87"/>
        <v>1017.1966378341381</v>
      </c>
      <c r="EV30" s="348">
        <f t="shared" si="88"/>
        <v>1464.0872815175426</v>
      </c>
      <c r="EW30" s="354">
        <f t="shared" si="89"/>
        <v>0.55988581373348234</v>
      </c>
      <c r="EX30" s="326"/>
      <c r="EY30" s="348">
        <f t="shared" si="90"/>
        <v>1035.9124080631004</v>
      </c>
      <c r="EZ30" s="348">
        <f t="shared" si="91"/>
        <v>1451.2011966709567</v>
      </c>
      <c r="FA30" s="348">
        <f t="shared" si="92"/>
        <v>1053.2653136977478</v>
      </c>
      <c r="FB30" s="348">
        <f t="shared" si="93"/>
        <v>1468.5541023056039</v>
      </c>
      <c r="FD30" s="326"/>
      <c r="FE30" s="326"/>
      <c r="FF30" s="326"/>
      <c r="FG30" s="348">
        <f t="shared" si="94"/>
        <v>5794.5949666666666</v>
      </c>
      <c r="FH30" s="348">
        <f t="shared" si="95"/>
        <v>4452.6457666666665</v>
      </c>
      <c r="FI30" s="348">
        <f t="shared" si="96"/>
        <v>617.22571805018731</v>
      </c>
      <c r="FJ30" s="348">
        <f t="shared" si="97"/>
        <v>809.27312941824277</v>
      </c>
      <c r="FK30" s="354">
        <f t="shared" si="98"/>
        <v>0.56547856320164136</v>
      </c>
      <c r="FL30" s="326"/>
      <c r="FM30" s="348">
        <f t="shared" si="99"/>
        <v>634.6660866034448</v>
      </c>
      <c r="FN30" s="348">
        <f t="shared" si="100"/>
        <v>796.1957700539042</v>
      </c>
      <c r="FO30" s="348">
        <f t="shared" si="101"/>
        <v>640.5641238401023</v>
      </c>
      <c r="FP30" s="348">
        <f t="shared" si="102"/>
        <v>802.09380729056181</v>
      </c>
      <c r="FR30" s="326"/>
      <c r="FS30" s="326"/>
      <c r="FT30" s="326"/>
      <c r="FU30" s="348">
        <f t="shared" si="103"/>
        <v>4473.13</v>
      </c>
      <c r="FV30" s="348">
        <f t="shared" si="104"/>
        <v>4090.6282999999999</v>
      </c>
      <c r="FW30" s="349">
        <f t="shared" si="105"/>
        <v>82.26012870354721</v>
      </c>
      <c r="FX30" s="349">
        <f t="shared" si="106"/>
        <v>48.095196850183576</v>
      </c>
      <c r="FY30" s="354">
        <f t="shared" si="107"/>
        <v>0.52233258381428171</v>
      </c>
      <c r="FZ30" s="326"/>
      <c r="GA30" s="349">
        <f t="shared" si="108"/>
        <v>79.475690555765013</v>
      </c>
      <c r="GB30" s="349">
        <f t="shared" si="109"/>
        <v>49.580199196634929</v>
      </c>
      <c r="GC30" s="349">
        <f t="shared" si="18"/>
        <v>86.182393605015761</v>
      </c>
      <c r="GD30" s="349">
        <f t="shared" si="19"/>
        <v>56.286902245885678</v>
      </c>
      <c r="GF30" s="326"/>
      <c r="GG30" s="326"/>
      <c r="GH30" s="326"/>
      <c r="GI30" s="348">
        <f t="shared" si="135"/>
        <v>5545.6958999999997</v>
      </c>
      <c r="GJ30" s="348">
        <f t="shared" si="136"/>
        <v>3977.6990999999998</v>
      </c>
      <c r="GK30" s="348">
        <f t="shared" si="137"/>
        <v>189.16027707327646</v>
      </c>
      <c r="GL30" s="348">
        <f t="shared" si="138"/>
        <v>218.67342736232808</v>
      </c>
      <c r="GM30" s="354">
        <f t="shared" si="114"/>
        <v>0.58232341512664332</v>
      </c>
      <c r="GN30" s="326"/>
      <c r="GO30" s="348">
        <f t="shared" si="115"/>
        <v>189.29730127106612</v>
      </c>
      <c r="GP30" s="348">
        <f t="shared" si="116"/>
        <v>218.54786107037839</v>
      </c>
      <c r="GQ30" s="348">
        <f t="shared" si="20"/>
        <v>189.79502497957921</v>
      </c>
      <c r="GR30" s="348">
        <f t="shared" si="21"/>
        <v>219.04558477889148</v>
      </c>
    </row>
    <row r="31" spans="1:203" x14ac:dyDescent="0.2">
      <c r="A31" s="320">
        <v>21</v>
      </c>
      <c r="C31" s="350">
        <v>0.97056523442363363</v>
      </c>
      <c r="D31" s="350">
        <v>0.63440671560825224</v>
      </c>
      <c r="E31" s="350">
        <v>0.10267716338010714</v>
      </c>
      <c r="F31" s="350">
        <v>2734.52</v>
      </c>
      <c r="G31" s="350">
        <v>1949.7533333333331</v>
      </c>
      <c r="H31" s="351">
        <f t="shared" si="22"/>
        <v>995.79993051864813</v>
      </c>
      <c r="I31" s="351">
        <f t="shared" si="23"/>
        <v>1507.3503562852072</v>
      </c>
      <c r="J31" s="352">
        <f t="shared" si="24"/>
        <v>26.182676661927321</v>
      </c>
      <c r="K31" s="352">
        <f t="shared" si="25"/>
        <v>15.766718923316924</v>
      </c>
      <c r="L31" s="353">
        <f t="shared" si="26"/>
        <v>1011.5666494419651</v>
      </c>
      <c r="M31" s="353">
        <f t="shared" si="27"/>
        <v>1496.9343985465966</v>
      </c>
      <c r="N31" s="343">
        <f t="shared" si="117"/>
        <v>1024.3547401104315</v>
      </c>
      <c r="O31" s="343">
        <f t="shared" si="118"/>
        <v>1509.7224892150632</v>
      </c>
      <c r="Q31" s="350">
        <v>0.73284256410415216</v>
      </c>
      <c r="R31" s="350">
        <v>0.56675074430930972</v>
      </c>
      <c r="S31" s="350">
        <v>0.15506805435654381</v>
      </c>
      <c r="T31" s="350">
        <v>317.03166666666675</v>
      </c>
      <c r="U31" s="350">
        <v>177.13916666666671</v>
      </c>
      <c r="V31" s="351">
        <f t="shared" si="28"/>
        <v>515.92116512932307</v>
      </c>
      <c r="W31" s="351">
        <f t="shared" si="29"/>
        <v>951.00774895102165</v>
      </c>
      <c r="X31" s="352">
        <f t="shared" si="30"/>
        <v>29.773066436456411</v>
      </c>
      <c r="Y31" s="352">
        <f t="shared" si="31"/>
        <v>19.301832978631182</v>
      </c>
      <c r="Z31" s="353">
        <f t="shared" si="32"/>
        <v>535.22299810795425</v>
      </c>
      <c r="AA31" s="353">
        <f t="shared" si="33"/>
        <v>940.53651549319648</v>
      </c>
      <c r="AB31" s="343">
        <f t="shared" si="119"/>
        <v>533.28201697981581</v>
      </c>
      <c r="AC31" s="343">
        <f t="shared" si="120"/>
        <v>938.59553436505803</v>
      </c>
      <c r="AE31" s="350">
        <v>0.70040209907552686</v>
      </c>
      <c r="AF31" s="350">
        <v>0.45300000000000001</v>
      </c>
      <c r="AG31" s="350">
        <v>0.25809494826405571</v>
      </c>
      <c r="AH31" s="350">
        <v>29.469166666666666</v>
      </c>
      <c r="AI31" s="350">
        <v>22.35</v>
      </c>
      <c r="AJ31" s="351">
        <f t="shared" si="34"/>
        <v>249.34314727088756</v>
      </c>
      <c r="AK31" s="351">
        <f t="shared" si="35"/>
        <v>346.99799999999999</v>
      </c>
      <c r="AL31" s="352">
        <f t="shared" si="36"/>
        <v>30.713298843422631</v>
      </c>
      <c r="AM31" s="352">
        <f t="shared" si="37"/>
        <v>17.871403509288328</v>
      </c>
      <c r="AN31" s="353">
        <f t="shared" si="38"/>
        <v>267.2145507801759</v>
      </c>
      <c r="AO31" s="353">
        <f t="shared" si="39"/>
        <v>334.15610466586566</v>
      </c>
      <c r="AP31" s="343">
        <f t="shared" si="121"/>
        <v>260.6012169850128</v>
      </c>
      <c r="AQ31" s="343">
        <f t="shared" si="122"/>
        <v>327.54277087070261</v>
      </c>
      <c r="AS31" s="350">
        <v>1.3186316841954162</v>
      </c>
      <c r="AT31" s="350">
        <v>0.75641202005957364</v>
      </c>
      <c r="AU31" s="350">
        <v>8.2434963961335109E-2</v>
      </c>
      <c r="AV31" s="350">
        <v>1413.5367000000001</v>
      </c>
      <c r="AW31" s="350">
        <v>1108.8050000000001</v>
      </c>
      <c r="AX31" s="351">
        <f t="shared" si="40"/>
        <v>332.29518441724491</v>
      </c>
      <c r="AY31" s="351">
        <f t="shared" si="41"/>
        <v>378.9624220498464</v>
      </c>
      <c r="AZ31" s="352">
        <f t="shared" si="42"/>
        <v>13.272029197774952</v>
      </c>
      <c r="BA31" s="352">
        <f t="shared" si="43"/>
        <v>7.0714186879318621</v>
      </c>
      <c r="BB31" s="353">
        <f t="shared" si="44"/>
        <v>339.36660310517675</v>
      </c>
      <c r="BC31" s="353">
        <f t="shared" si="45"/>
        <v>372.76181154000329</v>
      </c>
      <c r="BD31" s="343">
        <f t="shared" si="123"/>
        <v>348.18625803575344</v>
      </c>
      <c r="BE31" s="343">
        <f t="shared" si="124"/>
        <v>381.58146647057998</v>
      </c>
      <c r="BG31" s="350">
        <v>1.4125728378971321</v>
      </c>
      <c r="BH31" s="350">
        <v>0.80421613719507723</v>
      </c>
      <c r="BI31" s="350">
        <v>9.7113661841073132E-2</v>
      </c>
      <c r="BJ31" s="350">
        <v>1424.8942</v>
      </c>
      <c r="BK31" s="350">
        <v>1091.9692</v>
      </c>
      <c r="BL31" s="351">
        <f t="shared" si="46"/>
        <v>334.77976258162028</v>
      </c>
      <c r="BM31" s="351">
        <f t="shared" si="47"/>
        <v>387.63217812802725</v>
      </c>
      <c r="BN31" s="352">
        <f t="shared" si="48"/>
        <v>17.480459131393165</v>
      </c>
      <c r="BO31" s="352">
        <f t="shared" si="49"/>
        <v>9.3796739310865114</v>
      </c>
      <c r="BP31" s="353">
        <f t="shared" si="50"/>
        <v>344.1594365127068</v>
      </c>
      <c r="BQ31" s="353">
        <f t="shared" si="51"/>
        <v>379.53139292772062</v>
      </c>
      <c r="BR31" s="343">
        <f t="shared" si="125"/>
        <v>352.88301971741981</v>
      </c>
      <c r="BS31" s="343">
        <f t="shared" si="126"/>
        <v>388.25497613243363</v>
      </c>
      <c r="BU31" s="350">
        <v>1.2045439083113927</v>
      </c>
      <c r="BV31" s="350">
        <v>1.0272657871385891</v>
      </c>
      <c r="BW31" s="350">
        <v>0.32976888118811887</v>
      </c>
      <c r="BX31" s="350">
        <v>1565.155</v>
      </c>
      <c r="BY31" s="350">
        <v>1086.8375000000001</v>
      </c>
      <c r="BZ31" s="351">
        <f t="shared" si="52"/>
        <v>219.22699131267348</v>
      </c>
      <c r="CA31" s="351">
        <f t="shared" si="53"/>
        <v>315.37059665154686</v>
      </c>
      <c r="CB31" s="352">
        <f t="shared" si="54"/>
        <v>22.094515039603966</v>
      </c>
      <c r="CC31" s="352">
        <f t="shared" si="55"/>
        <v>13.034028861411233</v>
      </c>
      <c r="CD31" s="353">
        <f t="shared" si="56"/>
        <v>232.26102017408471</v>
      </c>
      <c r="CE31" s="353">
        <f t="shared" si="57"/>
        <v>306.31011047335414</v>
      </c>
      <c r="CF31" s="343">
        <f t="shared" si="127"/>
        <v>230.75999281843917</v>
      </c>
      <c r="CG31" s="343">
        <f t="shared" si="128"/>
        <v>304.80908311770861</v>
      </c>
      <c r="CI31" s="350">
        <v>0.75469265847790623</v>
      </c>
      <c r="CJ31" s="350">
        <v>0.71624173978576966</v>
      </c>
      <c r="CK31" s="350">
        <v>2.2561863756124054E-2</v>
      </c>
      <c r="CL31" s="350">
        <v>3518.2341999999999</v>
      </c>
      <c r="CM31" s="350">
        <v>1964.72</v>
      </c>
      <c r="CN31" s="351">
        <f t="shared" si="58"/>
        <v>136.59937118450102</v>
      </c>
      <c r="CO31" s="351">
        <f t="shared" si="59"/>
        <v>162.58687493136972</v>
      </c>
      <c r="CP31" s="352">
        <f t="shared" si="60"/>
        <v>9.0247455024496215E-2</v>
      </c>
      <c r="CQ31" s="352">
        <f t="shared" si="61"/>
        <v>4.904320259848946E-2</v>
      </c>
      <c r="CR31" s="353">
        <f t="shared" si="62"/>
        <v>136.64841438709951</v>
      </c>
      <c r="CS31" s="353">
        <f t="shared" si="63"/>
        <v>162.54567067894371</v>
      </c>
      <c r="CT31" s="343">
        <f t="shared" si="129"/>
        <v>136.99267085892237</v>
      </c>
      <c r="CU31" s="343">
        <f t="shared" si="130"/>
        <v>162.88992715076657</v>
      </c>
      <c r="CW31" s="350">
        <v>0.24690000000000001</v>
      </c>
      <c r="CX31" s="350">
        <v>0.26769999999999999</v>
      </c>
      <c r="CY31" s="350">
        <v>0.17783245865091668</v>
      </c>
      <c r="CZ31" s="350">
        <v>1713.2449999999999</v>
      </c>
      <c r="DA31" s="350">
        <v>965.24919999999997</v>
      </c>
      <c r="DB31" s="351">
        <f t="shared" si="64"/>
        <v>47.157900000000005</v>
      </c>
      <c r="DC31" s="351">
        <f t="shared" si="65"/>
        <v>70.1374</v>
      </c>
      <c r="DD31" s="352">
        <f t="shared" si="66"/>
        <v>0.53349737595275004</v>
      </c>
      <c r="DE31" s="352">
        <f t="shared" si="67"/>
        <v>0.31900782773178815</v>
      </c>
      <c r="DF31" s="353">
        <f t="shared" si="68"/>
        <v>47.476907827731793</v>
      </c>
      <c r="DG31" s="353">
        <f t="shared" si="69"/>
        <v>69.922910451779046</v>
      </c>
      <c r="DH31" s="343">
        <f t="shared" si="131"/>
        <v>47.459710289851756</v>
      </c>
      <c r="DI31" s="343">
        <f t="shared" si="132"/>
        <v>69.905712913898995</v>
      </c>
      <c r="DK31" s="350">
        <v>0.22109999999999999</v>
      </c>
      <c r="DL31" s="350">
        <v>0.2016</v>
      </c>
      <c r="DM31" s="350">
        <v>3.9040784110789151E-2</v>
      </c>
      <c r="DN31" s="350">
        <v>345.42250000000001</v>
      </c>
      <c r="DO31" s="350">
        <v>224.45</v>
      </c>
      <c r="DP31" s="351">
        <f t="shared" si="70"/>
        <v>21.2256</v>
      </c>
      <c r="DQ31" s="351">
        <f t="shared" si="71"/>
        <v>35.078400000000002</v>
      </c>
      <c r="DR31" s="352">
        <f t="shared" si="72"/>
        <v>7.8081568221578301E-2</v>
      </c>
      <c r="DS31" s="352">
        <f t="shared" si="73"/>
        <v>4.8646214881781266E-2</v>
      </c>
      <c r="DT31" s="353">
        <f t="shared" si="74"/>
        <v>21.274246214881781</v>
      </c>
      <c r="DU31" s="353">
        <f t="shared" si="75"/>
        <v>35.048964646660203</v>
      </c>
      <c r="DV31" s="343">
        <f t="shared" si="133"/>
        <v>21.482324826004721</v>
      </c>
      <c r="DW31" s="343">
        <f t="shared" si="134"/>
        <v>35.257043257783145</v>
      </c>
      <c r="EB31" s="326"/>
      <c r="EC31" s="326"/>
      <c r="ED31" s="326"/>
      <c r="EE31" s="348">
        <f t="shared" si="76"/>
        <v>9379.5358999999989</v>
      </c>
      <c r="EF31" s="348">
        <f t="shared" si="77"/>
        <v>5988.5275333333338</v>
      </c>
      <c r="EG31" s="348">
        <f t="shared" si="78"/>
        <v>1502.420806120394</v>
      </c>
      <c r="EH31" s="348">
        <f t="shared" si="79"/>
        <v>2105.0095732664231</v>
      </c>
      <c r="EI31" s="354">
        <f t="shared" si="80"/>
        <v>0.61032646960942283</v>
      </c>
      <c r="EJ31" s="326"/>
      <c r="EK31" s="348">
        <f t="shared" si="81"/>
        <v>1525.5631931964269</v>
      </c>
      <c r="EL31" s="348">
        <f t="shared" si="82"/>
        <v>2088.1802091269669</v>
      </c>
      <c r="EM31" s="348">
        <f t="shared" si="83"/>
        <v>1547.5014372369885</v>
      </c>
      <c r="EN31" s="348">
        <f t="shared" si="84"/>
        <v>2110.118453167529</v>
      </c>
      <c r="EP31" s="326"/>
      <c r="EQ31" s="326"/>
      <c r="ER31" s="326"/>
      <c r="ES31" s="348">
        <f t="shared" si="85"/>
        <v>6973.4050666666662</v>
      </c>
      <c r="ET31" s="348">
        <f t="shared" si="86"/>
        <v>4199.0775666666668</v>
      </c>
      <c r="EU31" s="348">
        <f t="shared" si="87"/>
        <v>1020.3108288954444</v>
      </c>
      <c r="EV31" s="348">
        <f t="shared" si="88"/>
        <v>1550.3229820104186</v>
      </c>
      <c r="EW31" s="354">
        <f t="shared" si="89"/>
        <v>0.6241589533432228</v>
      </c>
      <c r="EX31" s="326"/>
      <c r="EY31" s="348">
        <f t="shared" si="90"/>
        <v>1049.2646844871729</v>
      </c>
      <c r="EZ31" s="348">
        <f t="shared" si="91"/>
        <v>1531.5596164161061</v>
      </c>
      <c r="FA31" s="348">
        <f t="shared" si="92"/>
        <v>1056.379504759054</v>
      </c>
      <c r="FB31" s="348">
        <f t="shared" si="93"/>
        <v>1538.6744366879875</v>
      </c>
      <c r="FD31" s="326"/>
      <c r="FE31" s="326"/>
      <c r="FF31" s="326"/>
      <c r="FG31" s="348">
        <f t="shared" si="94"/>
        <v>5458.280866666666</v>
      </c>
      <c r="FH31" s="348">
        <f t="shared" si="95"/>
        <v>3298.3575000000001</v>
      </c>
      <c r="FI31" s="348">
        <f t="shared" si="96"/>
        <v>617.9048697680621</v>
      </c>
      <c r="FJ31" s="348">
        <f t="shared" si="97"/>
        <v>846.00251158291655</v>
      </c>
      <c r="FK31" s="354">
        <f t="shared" si="98"/>
        <v>0.62333062507689641</v>
      </c>
      <c r="FL31" s="326"/>
      <c r="FM31" s="348">
        <f t="shared" si="99"/>
        <v>648.88853307028921</v>
      </c>
      <c r="FN31" s="348">
        <f t="shared" si="100"/>
        <v>824.04126460615964</v>
      </c>
      <c r="FO31" s="348">
        <f t="shared" si="101"/>
        <v>641.24327555797709</v>
      </c>
      <c r="FP31" s="348">
        <f t="shared" si="102"/>
        <v>816.39600709384763</v>
      </c>
      <c r="FR31" s="326"/>
      <c r="FS31" s="326"/>
      <c r="FT31" s="326"/>
      <c r="FU31" s="348">
        <f t="shared" si="103"/>
        <v>2978.6917000000003</v>
      </c>
      <c r="FV31" s="348">
        <f t="shared" si="104"/>
        <v>2195.6424999999999</v>
      </c>
      <c r="FW31" s="349">
        <f t="shared" si="105"/>
        <v>101.76137379411429</v>
      </c>
      <c r="FX31" s="349">
        <f t="shared" si="106"/>
        <v>57.232642858469582</v>
      </c>
      <c r="FY31" s="354">
        <f t="shared" si="107"/>
        <v>0.57566666258240529</v>
      </c>
      <c r="FZ31" s="326"/>
      <c r="GA31" s="349">
        <f t="shared" si="108"/>
        <v>96.395024637982843</v>
      </c>
      <c r="GB31" s="349">
        <f t="shared" si="109"/>
        <v>59.806530959984237</v>
      </c>
      <c r="GC31" s="349">
        <f t="shared" si="18"/>
        <v>105.68363869558284</v>
      </c>
      <c r="GD31" s="349">
        <f t="shared" si="19"/>
        <v>69.095145017584244</v>
      </c>
      <c r="GF31" s="326"/>
      <c r="GG31" s="326"/>
      <c r="GH31" s="326"/>
      <c r="GI31" s="348">
        <f t="shared" si="135"/>
        <v>5231.4791999999998</v>
      </c>
      <c r="GJ31" s="348">
        <f t="shared" si="136"/>
        <v>2929.9692</v>
      </c>
      <c r="GK31" s="348">
        <f t="shared" si="137"/>
        <v>174.32569118450104</v>
      </c>
      <c r="GL31" s="348">
        <f t="shared" si="138"/>
        <v>218.69679493136971</v>
      </c>
      <c r="GM31" s="354">
        <f t="shared" si="114"/>
        <v>0.6409988697594412</v>
      </c>
      <c r="GN31" s="326"/>
      <c r="GO31" s="348">
        <f t="shared" si="115"/>
        <v>174.62994064928495</v>
      </c>
      <c r="GP31" s="348">
        <f t="shared" si="116"/>
        <v>218.48399904036694</v>
      </c>
      <c r="GQ31" s="348">
        <f t="shared" si="20"/>
        <v>174.96043909080379</v>
      </c>
      <c r="GR31" s="348">
        <f t="shared" si="21"/>
        <v>218.81449748188578</v>
      </c>
    </row>
    <row r="32" spans="1:203" x14ac:dyDescent="0.2">
      <c r="A32" s="320">
        <v>22</v>
      </c>
      <c r="C32" s="350">
        <v>0.97720881006949789</v>
      </c>
      <c r="D32" s="350">
        <v>0.67168280543204251</v>
      </c>
      <c r="E32" s="350">
        <v>0.16166947146893515</v>
      </c>
      <c r="F32" s="350">
        <v>2589.6466666666661</v>
      </c>
      <c r="G32" s="350">
        <v>1688.7466666666664</v>
      </c>
      <c r="H32" s="351">
        <f t="shared" si="22"/>
        <v>1002.6162391313048</v>
      </c>
      <c r="I32" s="351">
        <f t="shared" si="23"/>
        <v>1595.918345706533</v>
      </c>
      <c r="J32" s="352">
        <f t="shared" si="24"/>
        <v>41.225715224578465</v>
      </c>
      <c r="K32" s="352">
        <f t="shared" si="25"/>
        <v>25.31922246702894</v>
      </c>
      <c r="L32" s="353">
        <f t="shared" si="26"/>
        <v>1027.9354615983339</v>
      </c>
      <c r="M32" s="353">
        <f t="shared" si="27"/>
        <v>1580.0118529489837</v>
      </c>
      <c r="N32" s="343">
        <f t="shared" si="117"/>
        <v>1031.1710487230882</v>
      </c>
      <c r="O32" s="343">
        <f t="shared" si="118"/>
        <v>1583.2474400737381</v>
      </c>
      <c r="Q32" s="350">
        <v>0.73701039584341288</v>
      </c>
      <c r="R32" s="350">
        <v>0.60548195729006893</v>
      </c>
      <c r="S32" s="350">
        <v>0.23661635257132493</v>
      </c>
      <c r="T32" s="350">
        <v>275.375</v>
      </c>
      <c r="U32" s="350">
        <v>162.53083333333333</v>
      </c>
      <c r="V32" s="351">
        <f t="shared" si="28"/>
        <v>518.85531867376267</v>
      </c>
      <c r="W32" s="351">
        <f t="shared" si="29"/>
        <v>1015.9987243327356</v>
      </c>
      <c r="X32" s="352">
        <f t="shared" si="30"/>
        <v>45.430339693694386</v>
      </c>
      <c r="Y32" s="352">
        <f t="shared" si="31"/>
        <v>30.072675239127559</v>
      </c>
      <c r="Z32" s="353">
        <f t="shared" si="32"/>
        <v>548.9279939128902</v>
      </c>
      <c r="AA32" s="353">
        <f t="shared" si="33"/>
        <v>1000.6410598781688</v>
      </c>
      <c r="AB32" s="343">
        <f t="shared" si="119"/>
        <v>536.2161705242554</v>
      </c>
      <c r="AC32" s="343">
        <f t="shared" si="120"/>
        <v>987.92923648953399</v>
      </c>
      <c r="AE32" s="350">
        <v>0.69743021558177265</v>
      </c>
      <c r="AF32" s="350">
        <v>0.498</v>
      </c>
      <c r="AG32" s="350">
        <v>0.4051543200409829</v>
      </c>
      <c r="AH32" s="350">
        <v>37.896666666666661</v>
      </c>
      <c r="AI32" s="350">
        <v>11.96</v>
      </c>
      <c r="AJ32" s="351">
        <f t="shared" si="34"/>
        <v>248.28515674711107</v>
      </c>
      <c r="AK32" s="351">
        <f t="shared" si="35"/>
        <v>381.46800000000002</v>
      </c>
      <c r="AL32" s="352">
        <f t="shared" si="36"/>
        <v>48.213364084876964</v>
      </c>
      <c r="AM32" s="352">
        <f t="shared" si="37"/>
        <v>29.204864435662422</v>
      </c>
      <c r="AN32" s="353">
        <f t="shared" si="38"/>
        <v>277.49002118277349</v>
      </c>
      <c r="AO32" s="353">
        <f t="shared" si="39"/>
        <v>362.4595003507855</v>
      </c>
      <c r="AP32" s="343">
        <f t="shared" si="121"/>
        <v>259.54322646123632</v>
      </c>
      <c r="AQ32" s="343">
        <f t="shared" si="122"/>
        <v>344.51270562924833</v>
      </c>
      <c r="AS32" s="350">
        <v>1.3677669381859723</v>
      </c>
      <c r="AT32" s="350">
        <v>0.79485544976403866</v>
      </c>
      <c r="AU32" s="350">
        <v>0.13444058460597605</v>
      </c>
      <c r="AV32" s="350">
        <v>1101.7292</v>
      </c>
      <c r="AW32" s="350">
        <v>799.78250000000003</v>
      </c>
      <c r="AX32" s="351">
        <f t="shared" si="40"/>
        <v>344.67726842286504</v>
      </c>
      <c r="AY32" s="351">
        <f t="shared" si="41"/>
        <v>398.22258033178338</v>
      </c>
      <c r="AZ32" s="352">
        <f t="shared" si="42"/>
        <v>21.644934121562144</v>
      </c>
      <c r="BA32" s="352">
        <f t="shared" si="43"/>
        <v>11.602508105835721</v>
      </c>
      <c r="BB32" s="353">
        <f t="shared" si="44"/>
        <v>356.27977652870078</v>
      </c>
      <c r="BC32" s="353">
        <f t="shared" si="45"/>
        <v>388.18015431605698</v>
      </c>
      <c r="BD32" s="343">
        <f t="shared" si="123"/>
        <v>360.56834204137357</v>
      </c>
      <c r="BE32" s="343">
        <f t="shared" si="124"/>
        <v>392.46871982872977</v>
      </c>
      <c r="BG32" s="350">
        <v>1.4403879793455305</v>
      </c>
      <c r="BH32" s="350">
        <v>0.85163517418167722</v>
      </c>
      <c r="BI32" s="350">
        <v>0.1527870392755209</v>
      </c>
      <c r="BJ32" s="350">
        <v>1125.8958</v>
      </c>
      <c r="BK32" s="350">
        <v>803.28250000000003</v>
      </c>
      <c r="BL32" s="351">
        <f t="shared" si="46"/>
        <v>341.37195110489074</v>
      </c>
      <c r="BM32" s="351">
        <f t="shared" si="47"/>
        <v>410.48815395556841</v>
      </c>
      <c r="BN32" s="352">
        <f t="shared" si="48"/>
        <v>27.501667069593761</v>
      </c>
      <c r="BO32" s="352">
        <f t="shared" si="49"/>
        <v>15.014905658799922</v>
      </c>
      <c r="BP32" s="353">
        <f t="shared" si="50"/>
        <v>356.38685676369067</v>
      </c>
      <c r="BQ32" s="353">
        <f t="shared" si="51"/>
        <v>398.0013925447746</v>
      </c>
      <c r="BR32" s="343">
        <f t="shared" si="125"/>
        <v>359.47520824069028</v>
      </c>
      <c r="BS32" s="343">
        <f t="shared" si="126"/>
        <v>401.08974402177421</v>
      </c>
      <c r="BU32" s="350">
        <v>1.133145209748043</v>
      </c>
      <c r="BV32" s="350">
        <v>1.0437536269515055</v>
      </c>
      <c r="BW32" s="350">
        <v>0.52627011165364845</v>
      </c>
      <c r="BX32" s="350">
        <v>1899.0992000000001</v>
      </c>
      <c r="BY32" s="350">
        <v>993.01829999999995</v>
      </c>
      <c r="BZ32" s="351">
        <f t="shared" si="52"/>
        <v>206.23242817414382</v>
      </c>
      <c r="CA32" s="351">
        <f t="shared" si="53"/>
        <v>320.43236347411221</v>
      </c>
      <c r="CB32" s="352">
        <f t="shared" si="54"/>
        <v>35.26009748079445</v>
      </c>
      <c r="CC32" s="352">
        <f t="shared" si="55"/>
        <v>21.452879613878721</v>
      </c>
      <c r="CD32" s="353">
        <f t="shared" si="56"/>
        <v>227.68530778802256</v>
      </c>
      <c r="CE32" s="353">
        <f t="shared" si="57"/>
        <v>306.62514560719649</v>
      </c>
      <c r="CF32" s="343">
        <f t="shared" si="127"/>
        <v>217.76542967990952</v>
      </c>
      <c r="CG32" s="343">
        <f t="shared" si="128"/>
        <v>296.70526749908345</v>
      </c>
      <c r="CI32" s="350">
        <v>0.76424865852748058</v>
      </c>
      <c r="CJ32" s="350">
        <v>0.72803769782949612</v>
      </c>
      <c r="CK32" s="350">
        <v>6.5021872941604941E-2</v>
      </c>
      <c r="CL32" s="350">
        <v>4007.4542000000001</v>
      </c>
      <c r="CM32" s="350">
        <v>1938.3242</v>
      </c>
      <c r="CN32" s="351">
        <f t="shared" si="58"/>
        <v>138.32900719347398</v>
      </c>
      <c r="CO32" s="351">
        <f t="shared" si="59"/>
        <v>165.26455740729563</v>
      </c>
      <c r="CP32" s="352">
        <f t="shared" si="60"/>
        <v>0.26008749176641976</v>
      </c>
      <c r="CQ32" s="352">
        <f t="shared" si="61"/>
        <v>0.14158153935336101</v>
      </c>
      <c r="CR32" s="353">
        <f t="shared" si="62"/>
        <v>138.47058873282734</v>
      </c>
      <c r="CS32" s="353">
        <f t="shared" si="63"/>
        <v>165.14605145488255</v>
      </c>
      <c r="CT32" s="343">
        <f t="shared" si="129"/>
        <v>138.72230686789533</v>
      </c>
      <c r="CU32" s="343">
        <f t="shared" si="130"/>
        <v>165.39776958995054</v>
      </c>
      <c r="CW32" s="350">
        <v>0.20300000000000001</v>
      </c>
      <c r="CX32" s="350">
        <v>0.28210000000000002</v>
      </c>
      <c r="CY32" s="350">
        <v>0.27856559772629647</v>
      </c>
      <c r="CZ32" s="350">
        <v>1885.7833000000001</v>
      </c>
      <c r="DA32" s="350">
        <v>892.56579999999997</v>
      </c>
      <c r="DB32" s="351">
        <f t="shared" si="64"/>
        <v>38.773000000000003</v>
      </c>
      <c r="DC32" s="351">
        <f t="shared" si="65"/>
        <v>73.910200000000003</v>
      </c>
      <c r="DD32" s="352">
        <f t="shared" si="66"/>
        <v>0.83569679317888945</v>
      </c>
      <c r="DE32" s="352">
        <f t="shared" si="67"/>
        <v>0.54814308719676363</v>
      </c>
      <c r="DF32" s="353">
        <f t="shared" si="68"/>
        <v>39.321143087196766</v>
      </c>
      <c r="DG32" s="353">
        <f t="shared" si="69"/>
        <v>73.622646294017883</v>
      </c>
      <c r="DH32" s="343">
        <f t="shared" si="131"/>
        <v>39.074810289851754</v>
      </c>
      <c r="DI32" s="343">
        <f t="shared" si="132"/>
        <v>73.376313496672864</v>
      </c>
      <c r="DK32" s="350">
        <v>0.20319999999999999</v>
      </c>
      <c r="DL32" s="350">
        <v>0.192</v>
      </c>
      <c r="DM32" s="350">
        <v>0.10402630748820167</v>
      </c>
      <c r="DN32" s="350">
        <v>393.62670000000003</v>
      </c>
      <c r="DO32" s="350">
        <v>244.2817</v>
      </c>
      <c r="DP32" s="351">
        <f t="shared" si="70"/>
        <v>19.507199999999997</v>
      </c>
      <c r="DQ32" s="351">
        <f t="shared" si="71"/>
        <v>33.408000000000001</v>
      </c>
      <c r="DR32" s="352">
        <f t="shared" si="72"/>
        <v>0.20805261497640334</v>
      </c>
      <c r="DS32" s="352">
        <f t="shared" si="73"/>
        <v>0.13135397317087874</v>
      </c>
      <c r="DT32" s="353">
        <f t="shared" si="74"/>
        <v>19.638553973170875</v>
      </c>
      <c r="DU32" s="353">
        <f t="shared" si="75"/>
        <v>33.33130135819448</v>
      </c>
      <c r="DV32" s="343">
        <f t="shared" si="133"/>
        <v>19.763924826004718</v>
      </c>
      <c r="DW32" s="343">
        <f t="shared" si="134"/>
        <v>33.456672211028319</v>
      </c>
      <c r="EB32" s="326"/>
      <c r="EC32" s="326"/>
      <c r="ED32" s="326"/>
      <c r="EE32" s="348">
        <f t="shared" si="76"/>
        <v>9584.6133666666665</v>
      </c>
      <c r="EF32" s="348">
        <f t="shared" si="77"/>
        <v>5319.4191666666666</v>
      </c>
      <c r="EG32" s="348">
        <f t="shared" si="78"/>
        <v>1516.6409147476438</v>
      </c>
      <c r="EH32" s="348">
        <f t="shared" si="79"/>
        <v>2218.5336434456121</v>
      </c>
      <c r="EI32" s="354">
        <f t="shared" si="80"/>
        <v>0.64308859667545548</v>
      </c>
      <c r="EJ32" s="326"/>
      <c r="EK32" s="348">
        <f t="shared" si="81"/>
        <v>1554.1427413296194</v>
      </c>
      <c r="EL32" s="348">
        <f t="shared" si="82"/>
        <v>2192.2361757551375</v>
      </c>
      <c r="EM32" s="348">
        <f t="shared" si="83"/>
        <v>1561.7215458642388</v>
      </c>
      <c r="EN32" s="348">
        <f t="shared" si="84"/>
        <v>2199.8149802897565</v>
      </c>
      <c r="EP32" s="326"/>
      <c r="EQ32" s="326"/>
      <c r="ER32" s="326"/>
      <c r="ES32" s="348">
        <f t="shared" si="85"/>
        <v>7294.5083000000004</v>
      </c>
      <c r="ET32" s="348">
        <f t="shared" si="86"/>
        <v>3796.7033333333334</v>
      </c>
      <c r="EU32" s="348">
        <f t="shared" si="87"/>
        <v>1025.6973769721274</v>
      </c>
      <c r="EV32" s="348">
        <f t="shared" si="88"/>
        <v>1643.4885756955996</v>
      </c>
      <c r="EW32" s="354">
        <f t="shared" si="89"/>
        <v>0.65768362746566045</v>
      </c>
      <c r="EX32" s="326"/>
      <c r="EY32" s="348">
        <f t="shared" si="90"/>
        <v>1071.3102395704459</v>
      </c>
      <c r="EZ32" s="348">
        <f t="shared" si="91"/>
        <v>1615.3243562836383</v>
      </c>
      <c r="FA32" s="348">
        <f t="shared" si="92"/>
        <v>1061.7660528357371</v>
      </c>
      <c r="FB32" s="348">
        <f t="shared" si="93"/>
        <v>1605.7801695489297</v>
      </c>
      <c r="FD32" s="326"/>
      <c r="FE32" s="326"/>
      <c r="FF32" s="326"/>
      <c r="FG32" s="348">
        <f t="shared" si="94"/>
        <v>6338.076766666667</v>
      </c>
      <c r="FH32" s="348">
        <f t="shared" si="95"/>
        <v>3187.5841999999998</v>
      </c>
      <c r="FI32" s="348">
        <f t="shared" si="96"/>
        <v>604.55091211472893</v>
      </c>
      <c r="FJ32" s="348">
        <f t="shared" si="97"/>
        <v>887.20972088140786</v>
      </c>
      <c r="FK32" s="354">
        <f t="shared" si="98"/>
        <v>0.6653687118243683</v>
      </c>
      <c r="FL32" s="326"/>
      <c r="FM32" s="348">
        <f t="shared" si="99"/>
        <v>655.42905008752587</v>
      </c>
      <c r="FN32" s="348">
        <f t="shared" si="100"/>
        <v>854.22947822778133</v>
      </c>
      <c r="FO32" s="348">
        <f t="shared" si="101"/>
        <v>627.88931790464403</v>
      </c>
      <c r="FP32" s="348">
        <f t="shared" si="102"/>
        <v>826.68974604489927</v>
      </c>
      <c r="FR32" s="326"/>
      <c r="FS32" s="326"/>
      <c r="FT32" s="326"/>
      <c r="FU32" s="348">
        <f t="shared" si="103"/>
        <v>3000.8284000000003</v>
      </c>
      <c r="FV32" s="348">
        <f t="shared" si="104"/>
        <v>1792.8008</v>
      </c>
      <c r="FW32" s="349">
        <f t="shared" si="105"/>
        <v>124.6003562238491</v>
      </c>
      <c r="FX32" s="349">
        <f t="shared" si="106"/>
        <v>70.011195171904049</v>
      </c>
      <c r="FY32" s="354">
        <f t="shared" si="107"/>
        <v>0.62600344640757777</v>
      </c>
      <c r="FZ32" s="326"/>
      <c r="GA32" s="349">
        <f t="shared" si="108"/>
        <v>115.73502186661041</v>
      </c>
      <c r="GB32" s="349">
        <f t="shared" si="109"/>
        <v>73.399507837974454</v>
      </c>
      <c r="GC32" s="349">
        <f t="shared" si="18"/>
        <v>128.52262112531764</v>
      </c>
      <c r="GD32" s="349">
        <f t="shared" si="19"/>
        <v>86.1871070966817</v>
      </c>
      <c r="GF32" s="326"/>
      <c r="GG32" s="326"/>
      <c r="GH32" s="326"/>
      <c r="GI32" s="348">
        <f t="shared" si="135"/>
        <v>5893.2375000000002</v>
      </c>
      <c r="GJ32" s="348">
        <f t="shared" si="136"/>
        <v>2830.89</v>
      </c>
      <c r="GK32" s="348">
        <f t="shared" si="137"/>
        <v>169.347407193474</v>
      </c>
      <c r="GL32" s="348">
        <f t="shared" si="138"/>
        <v>224.39271740729563</v>
      </c>
      <c r="GM32" s="354">
        <f t="shared" si="114"/>
        <v>0.6755102444341855</v>
      </c>
      <c r="GN32" s="326"/>
      <c r="GO32" s="348">
        <f t="shared" si="115"/>
        <v>169.92750320258475</v>
      </c>
      <c r="GP32" s="348">
        <f t="shared" si="116"/>
        <v>224.04416849009687</v>
      </c>
      <c r="GQ32" s="348">
        <f t="shared" si="20"/>
        <v>169.98215509977672</v>
      </c>
      <c r="GR32" s="348">
        <f t="shared" si="21"/>
        <v>224.09882038728884</v>
      </c>
    </row>
    <row r="33" spans="1:200" x14ac:dyDescent="0.2">
      <c r="A33" s="320">
        <v>23</v>
      </c>
      <c r="C33" s="350">
        <v>0.9792036207174083</v>
      </c>
      <c r="D33" s="350">
        <v>0.7088638226702022</v>
      </c>
      <c r="E33" s="350">
        <v>0.23630827157613588</v>
      </c>
      <c r="F33" s="350">
        <v>2807.12</v>
      </c>
      <c r="G33" s="350">
        <v>1538.0666666666666</v>
      </c>
      <c r="H33" s="351">
        <f t="shared" si="22"/>
        <v>1004.6629148560609</v>
      </c>
      <c r="I33" s="351">
        <f t="shared" si="23"/>
        <v>1684.2604426644004</v>
      </c>
      <c r="J33" s="352">
        <f t="shared" si="24"/>
        <v>60.258609251914649</v>
      </c>
      <c r="K33" s="352">
        <f t="shared" si="25"/>
        <v>37.74417430274363</v>
      </c>
      <c r="L33" s="353">
        <f t="shared" si="26"/>
        <v>1042.4070891588044</v>
      </c>
      <c r="M33" s="353">
        <f t="shared" si="27"/>
        <v>1661.7460077152296</v>
      </c>
      <c r="N33" s="343">
        <f t="shared" si="117"/>
        <v>1033.2177244478444</v>
      </c>
      <c r="O33" s="343">
        <f t="shared" si="118"/>
        <v>1652.5566430042693</v>
      </c>
      <c r="Q33" s="350">
        <v>0.74125131406720268</v>
      </c>
      <c r="R33" s="350">
        <v>0.6443183781539128</v>
      </c>
      <c r="S33" s="350">
        <v>0.34111005748783318</v>
      </c>
      <c r="T33" s="350">
        <v>277.18</v>
      </c>
      <c r="U33" s="350">
        <v>123.4975</v>
      </c>
      <c r="V33" s="351">
        <f t="shared" si="28"/>
        <v>521.84092510331072</v>
      </c>
      <c r="W33" s="351">
        <f t="shared" si="29"/>
        <v>1081.1662385422658</v>
      </c>
      <c r="X33" s="352">
        <f t="shared" si="30"/>
        <v>65.493131037663971</v>
      </c>
      <c r="Y33" s="352">
        <f t="shared" si="31"/>
        <v>44.172579973574393</v>
      </c>
      <c r="Z33" s="353">
        <f t="shared" si="32"/>
        <v>566.01350507688517</v>
      </c>
      <c r="AA33" s="353">
        <f t="shared" si="33"/>
        <v>1059.8456874781762</v>
      </c>
      <c r="AB33" s="343">
        <f t="shared" si="119"/>
        <v>539.20177695380346</v>
      </c>
      <c r="AC33" s="343">
        <f t="shared" si="120"/>
        <v>1033.0339593550946</v>
      </c>
      <c r="AE33" s="350">
        <v>0.69504380651150721</v>
      </c>
      <c r="AF33" s="350">
        <v>0.54300000000000004</v>
      </c>
      <c r="AG33" s="350">
        <v>0.59239882784911857</v>
      </c>
      <c r="AH33" s="350">
        <v>30.4575</v>
      </c>
      <c r="AI33" s="350">
        <v>11.971666666666668</v>
      </c>
      <c r="AJ33" s="351">
        <f t="shared" si="34"/>
        <v>247.43559511809656</v>
      </c>
      <c r="AK33" s="351">
        <f t="shared" si="35"/>
        <v>415.93800000000005</v>
      </c>
      <c r="AL33" s="352">
        <f t="shared" si="36"/>
        <v>70.495460514045106</v>
      </c>
      <c r="AM33" s="352">
        <f t="shared" si="37"/>
        <v>44.200946602450941</v>
      </c>
      <c r="AN33" s="353">
        <f t="shared" si="38"/>
        <v>291.63654172054748</v>
      </c>
      <c r="AO33" s="353">
        <f t="shared" si="39"/>
        <v>389.64348608840589</v>
      </c>
      <c r="AP33" s="343">
        <f t="shared" si="121"/>
        <v>258.69366483222183</v>
      </c>
      <c r="AQ33" s="343">
        <f t="shared" si="122"/>
        <v>356.70060920008024</v>
      </c>
      <c r="AS33" s="350">
        <v>1.3974411459427014</v>
      </c>
      <c r="AT33" s="350">
        <v>0.84252131977663991</v>
      </c>
      <c r="AU33" s="350">
        <v>0.21502602385958525</v>
      </c>
      <c r="AV33" s="350">
        <v>1066.3</v>
      </c>
      <c r="AW33" s="350">
        <v>630.56330000000003</v>
      </c>
      <c r="AX33" s="351">
        <f t="shared" si="40"/>
        <v>352.15516877756073</v>
      </c>
      <c r="AY33" s="351">
        <f t="shared" si="41"/>
        <v>422.1031812080966</v>
      </c>
      <c r="AZ33" s="352">
        <f t="shared" si="42"/>
        <v>34.619189841393222</v>
      </c>
      <c r="BA33" s="352">
        <f t="shared" si="43"/>
        <v>18.873377553073588</v>
      </c>
      <c r="BB33" s="353">
        <f t="shared" si="44"/>
        <v>371.0285463306343</v>
      </c>
      <c r="BC33" s="353">
        <f t="shared" si="45"/>
        <v>406.35736891977695</v>
      </c>
      <c r="BD33" s="343">
        <f t="shared" si="123"/>
        <v>368.04624239606926</v>
      </c>
      <c r="BE33" s="343">
        <f t="shared" si="124"/>
        <v>403.37506498521191</v>
      </c>
      <c r="BG33" s="350">
        <v>1.4397043139591279</v>
      </c>
      <c r="BH33" s="350">
        <v>0.90147457082513438</v>
      </c>
      <c r="BI33" s="350">
        <v>0.2412095606887526</v>
      </c>
      <c r="BJ33" s="350">
        <v>1095.9666999999999</v>
      </c>
      <c r="BK33" s="350">
        <v>641.68669999999997</v>
      </c>
      <c r="BL33" s="351">
        <f t="shared" si="46"/>
        <v>341.20992240831333</v>
      </c>
      <c r="BM33" s="351">
        <f t="shared" si="47"/>
        <v>434.51074313771477</v>
      </c>
      <c r="BN33" s="352">
        <f t="shared" si="48"/>
        <v>43.417720923975466</v>
      </c>
      <c r="BO33" s="352">
        <f t="shared" si="49"/>
        <v>24.319922134268687</v>
      </c>
      <c r="BP33" s="353">
        <f t="shared" si="50"/>
        <v>365.529844542582</v>
      </c>
      <c r="BQ33" s="353">
        <f t="shared" si="51"/>
        <v>415.41294434800795</v>
      </c>
      <c r="BR33" s="343">
        <f t="shared" si="125"/>
        <v>359.31317954411287</v>
      </c>
      <c r="BS33" s="343">
        <f t="shared" si="126"/>
        <v>409.19627934953883</v>
      </c>
      <c r="BU33" s="350">
        <v>1.0888045807234317</v>
      </c>
      <c r="BV33" s="350">
        <v>1.066571417545948</v>
      </c>
      <c r="BW33" s="350">
        <v>0.76097369152402816</v>
      </c>
      <c r="BX33" s="350">
        <v>2316.2157999999999</v>
      </c>
      <c r="BY33" s="350">
        <v>1093.7657999999999</v>
      </c>
      <c r="BZ33" s="351">
        <f t="shared" si="52"/>
        <v>198.16243369166457</v>
      </c>
      <c r="CA33" s="351">
        <f t="shared" si="53"/>
        <v>327.43742518660605</v>
      </c>
      <c r="CB33" s="352">
        <f t="shared" si="54"/>
        <v>50.98523733210989</v>
      </c>
      <c r="CC33" s="352">
        <f t="shared" si="55"/>
        <v>31.762707985088216</v>
      </c>
      <c r="CD33" s="353">
        <f t="shared" si="56"/>
        <v>229.92514167675279</v>
      </c>
      <c r="CE33" s="353">
        <f t="shared" si="57"/>
        <v>308.21489583958441</v>
      </c>
      <c r="CF33" s="343">
        <f t="shared" si="127"/>
        <v>209.69543519743027</v>
      </c>
      <c r="CG33" s="343">
        <f t="shared" si="128"/>
        <v>287.98518936026187</v>
      </c>
      <c r="CI33" s="350">
        <v>0.77804420409184671</v>
      </c>
      <c r="CJ33" s="350">
        <v>0.74431748006978871</v>
      </c>
      <c r="CK33" s="350">
        <v>0.13677548081796942</v>
      </c>
      <c r="CL33" s="350">
        <v>5239.6091999999999</v>
      </c>
      <c r="CM33" s="350">
        <v>2167.7633000000001</v>
      </c>
      <c r="CN33" s="351">
        <f t="shared" si="58"/>
        <v>140.82600094062425</v>
      </c>
      <c r="CO33" s="351">
        <f t="shared" si="59"/>
        <v>168.96006797584204</v>
      </c>
      <c r="CP33" s="352">
        <f t="shared" si="60"/>
        <v>0.54710192327187768</v>
      </c>
      <c r="CQ33" s="352">
        <f t="shared" si="61"/>
        <v>0.29839423854355546</v>
      </c>
      <c r="CR33" s="353">
        <f t="shared" si="62"/>
        <v>141.12439517916781</v>
      </c>
      <c r="CS33" s="353">
        <f t="shared" si="63"/>
        <v>168.71136029111372</v>
      </c>
      <c r="CT33" s="343">
        <f t="shared" si="129"/>
        <v>141.2193006150456</v>
      </c>
      <c r="CU33" s="343">
        <f t="shared" si="130"/>
        <v>168.80626572699151</v>
      </c>
      <c r="CW33" s="350">
        <v>0.19689999999999999</v>
      </c>
      <c r="CX33" s="350">
        <v>0.30120000000000002</v>
      </c>
      <c r="CY33" s="350">
        <v>0.40889828577564019</v>
      </c>
      <c r="CZ33" s="350">
        <v>2374.0092</v>
      </c>
      <c r="DA33" s="350">
        <v>960.8175</v>
      </c>
      <c r="DB33" s="351">
        <f t="shared" si="64"/>
        <v>37.607900000000001</v>
      </c>
      <c r="DC33" s="351">
        <f t="shared" si="65"/>
        <v>78.914400000000001</v>
      </c>
      <c r="DD33" s="352">
        <f t="shared" si="66"/>
        <v>1.2266948573269205</v>
      </c>
      <c r="DE33" s="352">
        <f t="shared" si="67"/>
        <v>0.83077564250825409</v>
      </c>
      <c r="DF33" s="353">
        <f t="shared" si="68"/>
        <v>38.438675642508258</v>
      </c>
      <c r="DG33" s="353">
        <f t="shared" si="69"/>
        <v>78.518480785181339</v>
      </c>
      <c r="DH33" s="343">
        <f t="shared" si="131"/>
        <v>37.909710289851752</v>
      </c>
      <c r="DI33" s="343">
        <f t="shared" si="132"/>
        <v>77.989515432524826</v>
      </c>
      <c r="DK33" s="350">
        <v>0.22470000000000001</v>
      </c>
      <c r="DL33" s="350">
        <v>0.19650000000000001</v>
      </c>
      <c r="DM33" s="350">
        <v>0.19469662174651267</v>
      </c>
      <c r="DN33" s="350">
        <v>460.23500000000001</v>
      </c>
      <c r="DO33" s="350">
        <v>253.8817</v>
      </c>
      <c r="DP33" s="351">
        <f t="shared" si="70"/>
        <v>21.571200000000001</v>
      </c>
      <c r="DQ33" s="351">
        <f t="shared" si="71"/>
        <v>34.191000000000003</v>
      </c>
      <c r="DR33" s="352">
        <f t="shared" si="72"/>
        <v>0.38939324349302534</v>
      </c>
      <c r="DS33" s="352">
        <f t="shared" si="73"/>
        <v>0.23875930985990562</v>
      </c>
      <c r="DT33" s="353">
        <f t="shared" si="74"/>
        <v>21.809959309859906</v>
      </c>
      <c r="DU33" s="353">
        <f t="shared" si="75"/>
        <v>34.040366066366886</v>
      </c>
      <c r="DV33" s="343">
        <f t="shared" si="133"/>
        <v>21.827924826004722</v>
      </c>
      <c r="DW33" s="343">
        <f t="shared" si="134"/>
        <v>34.058331582511698</v>
      </c>
      <c r="EB33" s="326"/>
      <c r="EC33" s="326"/>
      <c r="ED33" s="326"/>
      <c r="EE33" s="348">
        <f t="shared" si="76"/>
        <v>11487.038400000001</v>
      </c>
      <c r="EF33" s="348">
        <f t="shared" si="77"/>
        <v>5297.2107666666661</v>
      </c>
      <c r="EG33" s="348">
        <f t="shared" si="78"/>
        <v>1527.7304045742458</v>
      </c>
      <c r="EH33" s="348">
        <f t="shared" si="79"/>
        <v>2338.4552118483389</v>
      </c>
      <c r="EI33" s="354">
        <f t="shared" si="80"/>
        <v>0.68439393898019174</v>
      </c>
      <c r="EJ33" s="326"/>
      <c r="EK33" s="348">
        <f t="shared" si="81"/>
        <v>1585.310971182613</v>
      </c>
      <c r="EL33" s="348">
        <f t="shared" si="82"/>
        <v>2299.629521554265</v>
      </c>
      <c r="EM33" s="348">
        <f t="shared" si="83"/>
        <v>1572.8110356908408</v>
      </c>
      <c r="EN33" s="348">
        <f t="shared" si="84"/>
        <v>2287.1295860624928</v>
      </c>
      <c r="EP33" s="326"/>
      <c r="EQ33" s="326"/>
      <c r="ER33" s="326"/>
      <c r="ES33" s="348">
        <f t="shared" si="85"/>
        <v>8986.7651000000005</v>
      </c>
      <c r="ET33" s="348">
        <f t="shared" si="86"/>
        <v>3893.7650000000003</v>
      </c>
      <c r="EU33" s="348">
        <f t="shared" si="87"/>
        <v>1030.2023784522482</v>
      </c>
      <c r="EV33" s="348">
        <f t="shared" si="88"/>
        <v>1739.8771296558227</v>
      </c>
      <c r="EW33" s="354">
        <f t="shared" si="89"/>
        <v>0.69770149444392826</v>
      </c>
      <c r="EX33" s="326"/>
      <c r="EY33" s="348">
        <f t="shared" si="90"/>
        <v>1099.5748177483906</v>
      </c>
      <c r="EZ33" s="348">
        <f t="shared" si="91"/>
        <v>1698.9329286669249</v>
      </c>
      <c r="FA33" s="348">
        <f t="shared" si="92"/>
        <v>1066.271054315858</v>
      </c>
      <c r="FB33" s="348">
        <f t="shared" si="93"/>
        <v>1665.6291652343923</v>
      </c>
      <c r="FD33" s="326"/>
      <c r="FE33" s="326"/>
      <c r="FF33" s="326"/>
      <c r="FG33" s="348">
        <f t="shared" si="94"/>
        <v>8046.517499999999</v>
      </c>
      <c r="FH33" s="348">
        <f t="shared" si="95"/>
        <v>3527.3824666666665</v>
      </c>
      <c r="FI33" s="348">
        <f t="shared" si="96"/>
        <v>599.36674975038534</v>
      </c>
      <c r="FJ33" s="348">
        <f t="shared" si="97"/>
        <v>932.85009316244805</v>
      </c>
      <c r="FK33" s="354">
        <f t="shared" si="98"/>
        <v>0.69522957025499776</v>
      </c>
      <c r="FL33" s="326"/>
      <c r="FM33" s="348">
        <f t="shared" si="99"/>
        <v>675.77205416238394</v>
      </c>
      <c r="FN33" s="348">
        <f t="shared" si="100"/>
        <v>886.99396185892408</v>
      </c>
      <c r="FO33" s="348">
        <f t="shared" si="101"/>
        <v>622.70515554030055</v>
      </c>
      <c r="FP33" s="348">
        <f t="shared" si="102"/>
        <v>833.9270632368407</v>
      </c>
      <c r="FR33" s="326"/>
      <c r="FS33" s="326"/>
      <c r="FT33" s="326"/>
      <c r="FU33" s="348">
        <f t="shared" si="103"/>
        <v>3382.5158000000001</v>
      </c>
      <c r="FV33" s="348">
        <f t="shared" si="104"/>
        <v>1724.3290999999999</v>
      </c>
      <c r="FW33" s="349">
        <f t="shared" si="105"/>
        <v>138.59346157730656</v>
      </c>
      <c r="FX33" s="349">
        <f t="shared" si="106"/>
        <v>85.199180419341502</v>
      </c>
      <c r="FY33" s="354">
        <f t="shared" si="107"/>
        <v>0.66234942831336041</v>
      </c>
      <c r="FZ33" s="326"/>
      <c r="GA33" s="349">
        <f t="shared" si="108"/>
        <v>126.99306418849336</v>
      </c>
      <c r="GB33" s="349">
        <f t="shared" si="109"/>
        <v>88.328225772173283</v>
      </c>
      <c r="GC33" s="349">
        <f t="shared" si="18"/>
        <v>142.51572647877509</v>
      </c>
      <c r="GD33" s="349">
        <f t="shared" si="19"/>
        <v>103.85088806245504</v>
      </c>
      <c r="GF33" s="326"/>
      <c r="GG33" s="326"/>
      <c r="GH33" s="326"/>
      <c r="GI33" s="348">
        <f t="shared" si="135"/>
        <v>7613.6183999999994</v>
      </c>
      <c r="GJ33" s="348">
        <f t="shared" si="136"/>
        <v>3128.5808000000002</v>
      </c>
      <c r="GK33" s="348">
        <f t="shared" si="137"/>
        <v>170.91232094062426</v>
      </c>
      <c r="GL33" s="348">
        <f t="shared" si="138"/>
        <v>232.09158797584203</v>
      </c>
      <c r="GM33" s="354">
        <f t="shared" si="114"/>
        <v>0.70875788637395587</v>
      </c>
      <c r="GN33" s="326"/>
      <c r="GO33" s="348">
        <f t="shared" si="115"/>
        <v>171.87533569317441</v>
      </c>
      <c r="GP33" s="348">
        <f t="shared" si="116"/>
        <v>231.5261449192588</v>
      </c>
      <c r="GQ33" s="348">
        <f t="shared" si="20"/>
        <v>171.547068846927</v>
      </c>
      <c r="GR33" s="348">
        <f t="shared" si="21"/>
        <v>231.19787807301137</v>
      </c>
    </row>
    <row r="34" spans="1:200" x14ac:dyDescent="0.2">
      <c r="A34" s="320">
        <v>24</v>
      </c>
      <c r="C34" s="350">
        <v>0.97736242104626281</v>
      </c>
      <c r="D34" s="350">
        <v>0.74562057544042659</v>
      </c>
      <c r="E34" s="350">
        <v>0.32767014017760748</v>
      </c>
      <c r="F34" s="350">
        <v>3461.8466666666673</v>
      </c>
      <c r="G34" s="350">
        <v>1704.3033333333333</v>
      </c>
      <c r="H34" s="351">
        <f t="shared" si="22"/>
        <v>1002.7738439934657</v>
      </c>
      <c r="I34" s="351">
        <f t="shared" si="23"/>
        <v>1771.5944872464536</v>
      </c>
      <c r="J34" s="352">
        <f t="shared" si="24"/>
        <v>83.555885745289913</v>
      </c>
      <c r="K34" s="352">
        <f t="shared" si="25"/>
        <v>53.355261050429419</v>
      </c>
      <c r="L34" s="353">
        <f t="shared" si="26"/>
        <v>1056.1291050438952</v>
      </c>
      <c r="M34" s="353">
        <f t="shared" si="27"/>
        <v>1741.393862551593</v>
      </c>
      <c r="N34" s="343">
        <f t="shared" si="117"/>
        <v>1031.3286535852492</v>
      </c>
      <c r="O34" s="343">
        <f t="shared" si="118"/>
        <v>1716.593411092947</v>
      </c>
      <c r="Q34" s="350">
        <v>0.74584926931710416</v>
      </c>
      <c r="R34" s="350">
        <v>0.68297790977317452</v>
      </c>
      <c r="S34" s="350">
        <v>0.46082793735613586</v>
      </c>
      <c r="T34" s="350">
        <v>374.9708333333333</v>
      </c>
      <c r="U34" s="350">
        <v>177.27250000000001</v>
      </c>
      <c r="V34" s="351">
        <f t="shared" si="28"/>
        <v>525.07788559924131</v>
      </c>
      <c r="W34" s="351">
        <f t="shared" si="29"/>
        <v>1146.0369325993868</v>
      </c>
      <c r="X34" s="352">
        <f t="shared" si="30"/>
        <v>88.478963972378082</v>
      </c>
      <c r="Y34" s="352">
        <f t="shared" si="31"/>
        <v>60.678152910988935</v>
      </c>
      <c r="Z34" s="353">
        <f t="shared" si="32"/>
        <v>585.75603851023027</v>
      </c>
      <c r="AA34" s="353">
        <f t="shared" si="33"/>
        <v>1118.2361215379976</v>
      </c>
      <c r="AB34" s="343">
        <f t="shared" si="119"/>
        <v>542.43873744973405</v>
      </c>
      <c r="AC34" s="343">
        <f t="shared" si="120"/>
        <v>1074.9188204775014</v>
      </c>
      <c r="AE34" s="350">
        <v>0.69344810303492321</v>
      </c>
      <c r="AF34" s="350">
        <v>0.58799999999999997</v>
      </c>
      <c r="AG34" s="350">
        <v>0.81641243334983171</v>
      </c>
      <c r="AH34" s="350">
        <v>43.563333333333333</v>
      </c>
      <c r="AI34" s="350">
        <v>17.662500000000001</v>
      </c>
      <c r="AJ34" s="351">
        <f t="shared" si="34"/>
        <v>246.86752468043267</v>
      </c>
      <c r="AK34" s="351">
        <f t="shared" si="35"/>
        <v>450.40799999999996</v>
      </c>
      <c r="AL34" s="352">
        <f t="shared" si="36"/>
        <v>97.153079568629977</v>
      </c>
      <c r="AM34" s="352">
        <f t="shared" si="37"/>
        <v>62.756432304722566</v>
      </c>
      <c r="AN34" s="353">
        <f t="shared" si="38"/>
        <v>309.62395698515525</v>
      </c>
      <c r="AO34" s="353">
        <f t="shared" si="39"/>
        <v>416.01135273609259</v>
      </c>
      <c r="AP34" s="343">
        <f t="shared" si="121"/>
        <v>258.12559439455794</v>
      </c>
      <c r="AQ34" s="343">
        <f t="shared" si="122"/>
        <v>364.51299014549528</v>
      </c>
      <c r="AS34" s="350">
        <v>1.4033893977983298</v>
      </c>
      <c r="AT34" s="350">
        <v>0.89955862215180105</v>
      </c>
      <c r="AU34" s="350">
        <v>0.34666972362658099</v>
      </c>
      <c r="AV34" s="350">
        <v>1178.28</v>
      </c>
      <c r="AW34" s="350">
        <v>613.39250000000004</v>
      </c>
      <c r="AX34" s="351">
        <f t="shared" si="40"/>
        <v>353.65412824517909</v>
      </c>
      <c r="AY34" s="351">
        <f t="shared" si="41"/>
        <v>450.67886969805232</v>
      </c>
      <c r="AZ34" s="352">
        <f t="shared" si="42"/>
        <v>55.813825503879542</v>
      </c>
      <c r="BA34" s="352">
        <f t="shared" si="43"/>
        <v>31.273256046854485</v>
      </c>
      <c r="BB34" s="353">
        <f t="shared" si="44"/>
        <v>384.92738429203359</v>
      </c>
      <c r="BC34" s="353">
        <f t="shared" si="45"/>
        <v>426.13830024102731</v>
      </c>
      <c r="BD34" s="343">
        <f t="shared" si="123"/>
        <v>369.54520186368762</v>
      </c>
      <c r="BE34" s="343">
        <f t="shared" si="124"/>
        <v>410.75611781268134</v>
      </c>
      <c r="BG34" s="350">
        <v>1.41770011746127</v>
      </c>
      <c r="BH34" s="350">
        <v>0.9511805607754662</v>
      </c>
      <c r="BI34" s="350">
        <v>0.37213574761219759</v>
      </c>
      <c r="BJ34" s="350">
        <v>1216.7967000000001</v>
      </c>
      <c r="BK34" s="350">
        <v>631.14250000000004</v>
      </c>
      <c r="BL34" s="351">
        <f t="shared" si="46"/>
        <v>335.99492783832102</v>
      </c>
      <c r="BM34" s="351">
        <f t="shared" si="47"/>
        <v>458.46903029377472</v>
      </c>
      <c r="BN34" s="352">
        <f t="shared" si="48"/>
        <v>66.98443457019556</v>
      </c>
      <c r="BO34" s="352">
        <f t="shared" si="49"/>
        <v>38.65535805347151</v>
      </c>
      <c r="BP34" s="353">
        <f t="shared" si="50"/>
        <v>374.65028589179252</v>
      </c>
      <c r="BQ34" s="353">
        <f t="shared" si="51"/>
        <v>430.13995377705066</v>
      </c>
      <c r="BR34" s="343">
        <f t="shared" si="125"/>
        <v>354.09818497412056</v>
      </c>
      <c r="BS34" s="343">
        <f t="shared" si="126"/>
        <v>409.5878528593787</v>
      </c>
      <c r="BU34" s="350">
        <v>1.0345674875542095</v>
      </c>
      <c r="BV34" s="350">
        <v>1.0972261755226191</v>
      </c>
      <c r="BW34" s="350">
        <v>1.0270024291487063</v>
      </c>
      <c r="BX34" s="350">
        <v>3185.0124999999998</v>
      </c>
      <c r="BY34" s="350">
        <v>1303.03</v>
      </c>
      <c r="BZ34" s="351">
        <f t="shared" si="52"/>
        <v>188.29128273486612</v>
      </c>
      <c r="CA34" s="351">
        <f t="shared" si="53"/>
        <v>336.84843588544408</v>
      </c>
      <c r="CB34" s="352">
        <f t="shared" si="54"/>
        <v>68.809162752963317</v>
      </c>
      <c r="CC34" s="352">
        <f t="shared" si="55"/>
        <v>44.137318176614897</v>
      </c>
      <c r="CD34" s="353">
        <f t="shared" si="56"/>
        <v>232.428600911481</v>
      </c>
      <c r="CE34" s="353">
        <f t="shared" si="57"/>
        <v>312.17659130909561</v>
      </c>
      <c r="CF34" s="343">
        <f t="shared" si="127"/>
        <v>199.82428424063181</v>
      </c>
      <c r="CG34" s="343">
        <f t="shared" si="128"/>
        <v>279.57227463824643</v>
      </c>
      <c r="CI34" s="350">
        <v>0.79560099101357573</v>
      </c>
      <c r="CJ34" s="350">
        <v>0.76487360302740404</v>
      </c>
      <c r="CK34" s="350">
        <v>0.24114454235666349</v>
      </c>
      <c r="CL34" s="350">
        <v>6598.4258</v>
      </c>
      <c r="CM34" s="350">
        <v>2459.2957999999999</v>
      </c>
      <c r="CN34" s="351">
        <f t="shared" si="58"/>
        <v>144.00377937345721</v>
      </c>
      <c r="CO34" s="351">
        <f t="shared" si="59"/>
        <v>173.62630788722072</v>
      </c>
      <c r="CP34" s="352">
        <f t="shared" si="60"/>
        <v>0.96457816942665398</v>
      </c>
      <c r="CQ34" s="352">
        <f t="shared" si="61"/>
        <v>0.52726789099395632</v>
      </c>
      <c r="CR34" s="353">
        <f t="shared" si="62"/>
        <v>144.53104726445116</v>
      </c>
      <c r="CS34" s="353">
        <f t="shared" si="63"/>
        <v>173.18899760878801</v>
      </c>
      <c r="CT34" s="343">
        <f t="shared" si="129"/>
        <v>144.39707904787855</v>
      </c>
      <c r="CU34" s="343">
        <f t="shared" si="130"/>
        <v>173.0550293922154</v>
      </c>
      <c r="CW34" s="350">
        <v>0.2155</v>
      </c>
      <c r="CX34" s="350">
        <v>0.31859999999999999</v>
      </c>
      <c r="CY34" s="350">
        <v>0.56991393783151134</v>
      </c>
      <c r="CZ34" s="350">
        <v>3041.55</v>
      </c>
      <c r="DA34" s="350">
        <v>1013.3892</v>
      </c>
      <c r="DB34" s="351">
        <f t="shared" si="64"/>
        <v>41.160499999999999</v>
      </c>
      <c r="DC34" s="351">
        <f t="shared" si="65"/>
        <v>83.473199999999991</v>
      </c>
      <c r="DD34" s="352">
        <f t="shared" si="66"/>
        <v>1.7097418134945341</v>
      </c>
      <c r="DE34" s="352">
        <f t="shared" si="67"/>
        <v>1.1450965537105289</v>
      </c>
      <c r="DF34" s="353">
        <f t="shared" si="68"/>
        <v>42.305596553710529</v>
      </c>
      <c r="DG34" s="353">
        <f t="shared" si="69"/>
        <v>82.90855474021599</v>
      </c>
      <c r="DH34" s="343">
        <f t="shared" si="131"/>
        <v>41.46231028985175</v>
      </c>
      <c r="DI34" s="343">
        <f t="shared" si="132"/>
        <v>82.065268476357204</v>
      </c>
      <c r="DK34" s="350">
        <v>0.25169999999999998</v>
      </c>
      <c r="DL34" s="350">
        <v>0.21640000000000001</v>
      </c>
      <c r="DM34" s="350">
        <v>0.31330844427592985</v>
      </c>
      <c r="DN34" s="350">
        <v>527.4008</v>
      </c>
      <c r="DO34" s="350">
        <v>304.5575</v>
      </c>
      <c r="DP34" s="351">
        <f t="shared" si="70"/>
        <v>24.163199999999996</v>
      </c>
      <c r="DQ34" s="351">
        <f t="shared" si="71"/>
        <v>37.653600000000004</v>
      </c>
      <c r="DR34" s="352">
        <f t="shared" si="72"/>
        <v>0.62661688855185971</v>
      </c>
      <c r="DS34" s="352">
        <f t="shared" si="73"/>
        <v>0.38168235293279995</v>
      </c>
      <c r="DT34" s="353">
        <f t="shared" si="74"/>
        <v>24.544882352932795</v>
      </c>
      <c r="DU34" s="353">
        <f t="shared" si="75"/>
        <v>37.408665464380945</v>
      </c>
      <c r="DV34" s="343">
        <f t="shared" si="133"/>
        <v>24.419924826004717</v>
      </c>
      <c r="DW34" s="343">
        <f t="shared" si="134"/>
        <v>37.283707937452867</v>
      </c>
      <c r="EB34" s="326"/>
      <c r="EC34" s="326"/>
      <c r="ED34" s="326"/>
      <c r="EE34" s="348">
        <f t="shared" si="76"/>
        <v>14280.102466666667</v>
      </c>
      <c r="EF34" s="348">
        <f t="shared" si="77"/>
        <v>5790.3808333333327</v>
      </c>
      <c r="EG34" s="348">
        <f t="shared" si="78"/>
        <v>1533.3601516121021</v>
      </c>
      <c r="EH34" s="348">
        <f t="shared" si="79"/>
        <v>2462.6782248317268</v>
      </c>
      <c r="EI34" s="354">
        <f t="shared" si="80"/>
        <v>0.71149768808340885</v>
      </c>
      <c r="EJ34" s="326"/>
      <c r="EK34" s="348">
        <f t="shared" si="81"/>
        <v>1619.4320138433484</v>
      </c>
      <c r="EL34" s="348">
        <f t="shared" si="82"/>
        <v>2407.0480041935816</v>
      </c>
      <c r="EM34" s="348">
        <f t="shared" si="83"/>
        <v>1578.4407827286968</v>
      </c>
      <c r="EN34" s="348">
        <f t="shared" si="84"/>
        <v>2366.0567730789294</v>
      </c>
      <c r="EP34" s="326"/>
      <c r="EQ34" s="326"/>
      <c r="ER34" s="326"/>
      <c r="ES34" s="348">
        <f t="shared" si="85"/>
        <v>11231.743333333334</v>
      </c>
      <c r="ET34" s="348">
        <f t="shared" si="86"/>
        <v>4281.0999999999995</v>
      </c>
      <c r="EU34" s="348">
        <f t="shared" si="87"/>
        <v>1033.8889428110194</v>
      </c>
      <c r="EV34" s="348">
        <f t="shared" si="88"/>
        <v>1836.5635107803821</v>
      </c>
      <c r="EW34" s="354">
        <f t="shared" si="89"/>
        <v>0.72402867043716246</v>
      </c>
      <c r="EX34" s="326"/>
      <c r="EY34" s="348">
        <f t="shared" si="90"/>
        <v>1134.5512892540714</v>
      </c>
      <c r="EZ34" s="348">
        <f t="shared" si="91"/>
        <v>1779.6010612419873</v>
      </c>
      <c r="FA34" s="348">
        <f t="shared" si="92"/>
        <v>1069.9576186746294</v>
      </c>
      <c r="FB34" s="348">
        <f t="shared" si="93"/>
        <v>1715.0073906625455</v>
      </c>
      <c r="FD34" s="326"/>
      <c r="FE34" s="326"/>
      <c r="FF34" s="326"/>
      <c r="FG34" s="348">
        <f t="shared" si="94"/>
        <v>10354.402433333333</v>
      </c>
      <c r="FH34" s="348">
        <f t="shared" si="95"/>
        <v>4084.5457999999999</v>
      </c>
      <c r="FI34" s="348">
        <f t="shared" si="96"/>
        <v>593.66050678875604</v>
      </c>
      <c r="FJ34" s="348">
        <f t="shared" si="97"/>
        <v>983.47490377266479</v>
      </c>
      <c r="FK34" s="354">
        <f t="shared" si="98"/>
        <v>0.71711611303027345</v>
      </c>
      <c r="FL34" s="326"/>
      <c r="FM34" s="348">
        <f t="shared" si="99"/>
        <v>701.31053457284713</v>
      </c>
      <c r="FN34" s="348">
        <f t="shared" si="100"/>
        <v>923.82214093260484</v>
      </c>
      <c r="FO34" s="348">
        <f t="shared" si="101"/>
        <v>616.99891257867102</v>
      </c>
      <c r="FP34" s="348">
        <f t="shared" si="102"/>
        <v>839.51051893842873</v>
      </c>
      <c r="FR34" s="326"/>
      <c r="FS34" s="326"/>
      <c r="FT34" s="326"/>
      <c r="FU34" s="348">
        <f t="shared" si="103"/>
        <v>4363.2924999999996</v>
      </c>
      <c r="FV34" s="348">
        <f t="shared" si="104"/>
        <v>1916.4225000000001</v>
      </c>
      <c r="FW34" s="349">
        <f t="shared" si="105"/>
        <v>148.82656095928169</v>
      </c>
      <c r="FX34" s="349">
        <f t="shared" si="106"/>
        <v>102.44739043134743</v>
      </c>
      <c r="FY34" s="354">
        <f t="shared" si="107"/>
        <v>0.69482333195057411</v>
      </c>
      <c r="FZ34" s="326"/>
      <c r="GA34" s="349">
        <f t="shared" si="108"/>
        <v>137.24890504249734</v>
      </c>
      <c r="GB34" s="349">
        <f t="shared" si="109"/>
        <v>102.56553803873852</v>
      </c>
      <c r="GC34" s="349">
        <f t="shared" si="18"/>
        <v>152.74882586075023</v>
      </c>
      <c r="GD34" s="349">
        <f t="shared" si="19"/>
        <v>118.06545885699143</v>
      </c>
      <c r="GF34" s="326"/>
      <c r="GG34" s="326"/>
      <c r="GH34" s="326"/>
      <c r="GI34" s="348">
        <f t="shared" si="135"/>
        <v>9639.9758000000002</v>
      </c>
      <c r="GJ34" s="348">
        <f t="shared" si="136"/>
        <v>3472.6849999999999</v>
      </c>
      <c r="GK34" s="348">
        <f t="shared" si="137"/>
        <v>176.93217937345722</v>
      </c>
      <c r="GL34" s="348">
        <f t="shared" si="138"/>
        <v>240.40486788722072</v>
      </c>
      <c r="GM34" s="354">
        <f t="shared" si="114"/>
        <v>0.73516549745571091</v>
      </c>
      <c r="GN34" s="326"/>
      <c r="GO34" s="348">
        <f t="shared" si="115"/>
        <v>178.37552450741958</v>
      </c>
      <c r="GP34" s="348">
        <f t="shared" si="116"/>
        <v>239.51584140096082</v>
      </c>
      <c r="GQ34" s="348">
        <f t="shared" si="20"/>
        <v>177.56692727975997</v>
      </c>
      <c r="GR34" s="348">
        <f t="shared" si="21"/>
        <v>238.70724417330115</v>
      </c>
    </row>
    <row r="35" spans="1:200" x14ac:dyDescent="0.2">
      <c r="A35" s="320">
        <v>25</v>
      </c>
      <c r="C35" s="350">
        <v>0.97199100944746952</v>
      </c>
      <c r="D35" s="350">
        <v>0.78160394808535072</v>
      </c>
      <c r="E35" s="350">
        <v>0.43617292581188272</v>
      </c>
      <c r="F35" s="350">
        <v>4216.954999999999</v>
      </c>
      <c r="G35" s="350">
        <v>1945.1391666666666</v>
      </c>
      <c r="H35" s="351">
        <f t="shared" si="22"/>
        <v>997.26277569310378</v>
      </c>
      <c r="I35" s="351">
        <f t="shared" si="23"/>
        <v>1857.0909806507932</v>
      </c>
      <c r="J35" s="352">
        <f t="shared" si="24"/>
        <v>111.22409608203009</v>
      </c>
      <c r="K35" s="352">
        <f t="shared" si="25"/>
        <v>72.364283931486682</v>
      </c>
      <c r="L35" s="353">
        <f t="shared" si="26"/>
        <v>1069.6270596245904</v>
      </c>
      <c r="M35" s="353">
        <f t="shared" si="27"/>
        <v>1818.2311685002496</v>
      </c>
      <c r="N35" s="343">
        <f t="shared" si="117"/>
        <v>1025.8175852848872</v>
      </c>
      <c r="O35" s="343">
        <f t="shared" si="118"/>
        <v>1774.4216941605464</v>
      </c>
      <c r="Q35" s="350">
        <v>0.75107921974592584</v>
      </c>
      <c r="R35" s="350">
        <v>0.72112060975123538</v>
      </c>
      <c r="S35" s="350">
        <v>0.61950755354308151</v>
      </c>
      <c r="T35" s="350">
        <v>501.55916666666673</v>
      </c>
      <c r="U35" s="350">
        <v>185.15166666666667</v>
      </c>
      <c r="V35" s="351">
        <f t="shared" si="28"/>
        <v>528.75977070113174</v>
      </c>
      <c r="W35" s="351">
        <f t="shared" si="29"/>
        <v>1210.0403831625729</v>
      </c>
      <c r="X35" s="352">
        <f t="shared" si="30"/>
        <v>118.94545028027164</v>
      </c>
      <c r="Y35" s="352">
        <f t="shared" si="31"/>
        <v>82.774778868501585</v>
      </c>
      <c r="Z35" s="353">
        <f t="shared" si="32"/>
        <v>611.53454956963333</v>
      </c>
      <c r="AA35" s="353">
        <f t="shared" si="33"/>
        <v>1173.8697117508027</v>
      </c>
      <c r="AB35" s="343">
        <f t="shared" si="119"/>
        <v>546.12062255162448</v>
      </c>
      <c r="AC35" s="343">
        <f t="shared" si="120"/>
        <v>1108.455784732794</v>
      </c>
      <c r="AE35" s="350">
        <v>0.69291396479461531</v>
      </c>
      <c r="AF35" s="350">
        <v>0.63400000000000001</v>
      </c>
      <c r="AG35" s="350">
        <v>1.0702057328938406</v>
      </c>
      <c r="AH35" s="350">
        <v>51.886666666666663</v>
      </c>
      <c r="AI35" s="350">
        <v>13.682499999999999</v>
      </c>
      <c r="AJ35" s="351">
        <f t="shared" si="34"/>
        <v>246.67737146688305</v>
      </c>
      <c r="AK35" s="351">
        <f t="shared" si="35"/>
        <v>485.64400000000001</v>
      </c>
      <c r="AL35" s="352">
        <f t="shared" si="36"/>
        <v>127.35448221436702</v>
      </c>
      <c r="AM35" s="352">
        <f t="shared" si="37"/>
        <v>84.456008755591782</v>
      </c>
      <c r="AN35" s="353">
        <f t="shared" si="38"/>
        <v>331.13338022247484</v>
      </c>
      <c r="AO35" s="353">
        <f t="shared" si="39"/>
        <v>442.74552654122476</v>
      </c>
      <c r="AP35" s="343">
        <f t="shared" si="121"/>
        <v>257.93544118100829</v>
      </c>
      <c r="AQ35" s="343">
        <f t="shared" si="122"/>
        <v>369.54758749975827</v>
      </c>
      <c r="AS35" s="350">
        <v>1.392280422310638</v>
      </c>
      <c r="AT35" s="350">
        <v>0.96545270955384865</v>
      </c>
      <c r="AU35" s="350">
        <v>0.54486445905652314</v>
      </c>
      <c r="AV35" s="350">
        <v>1465.6267</v>
      </c>
      <c r="AW35" s="350">
        <v>636.69420000000002</v>
      </c>
      <c r="AX35" s="351">
        <f t="shared" si="40"/>
        <v>350.85466642228079</v>
      </c>
      <c r="AY35" s="351">
        <f t="shared" si="41"/>
        <v>483.69180748647818</v>
      </c>
      <c r="AZ35" s="352">
        <f t="shared" si="42"/>
        <v>87.723177908100226</v>
      </c>
      <c r="BA35" s="352">
        <f t="shared" si="43"/>
        <v>50.843163092036342</v>
      </c>
      <c r="BB35" s="353">
        <f t="shared" si="44"/>
        <v>401.69782951431711</v>
      </c>
      <c r="BC35" s="353">
        <f t="shared" si="45"/>
        <v>446.81179267041426</v>
      </c>
      <c r="BD35" s="343">
        <f t="shared" si="123"/>
        <v>366.74574004078931</v>
      </c>
      <c r="BE35" s="343">
        <f t="shared" si="124"/>
        <v>411.85970319688647</v>
      </c>
      <c r="BG35" s="350">
        <v>1.3835457446212791</v>
      </c>
      <c r="BH35" s="350">
        <v>0.99712548617571584</v>
      </c>
      <c r="BI35" s="350">
        <v>0.54354582233963167</v>
      </c>
      <c r="BJ35" s="350">
        <v>1521.21</v>
      </c>
      <c r="BK35" s="350">
        <v>646.44420000000002</v>
      </c>
      <c r="BL35" s="351">
        <f t="shared" si="46"/>
        <v>327.90034147524312</v>
      </c>
      <c r="BM35" s="351">
        <f t="shared" si="47"/>
        <v>480.61448433669506</v>
      </c>
      <c r="BN35" s="352">
        <f t="shared" si="48"/>
        <v>97.838248021133694</v>
      </c>
      <c r="BO35" s="352">
        <f t="shared" si="49"/>
        <v>58.159080847851207</v>
      </c>
      <c r="BP35" s="353">
        <f t="shared" si="50"/>
        <v>386.05942232309434</v>
      </c>
      <c r="BQ35" s="353">
        <f t="shared" si="51"/>
        <v>440.93531716341261</v>
      </c>
      <c r="BR35" s="343">
        <f t="shared" si="125"/>
        <v>346.00359861104266</v>
      </c>
      <c r="BS35" s="343">
        <f t="shared" si="126"/>
        <v>400.87949345136093</v>
      </c>
      <c r="BU35" s="350">
        <v>0.98032970651670981</v>
      </c>
      <c r="BV35" s="350">
        <v>1.1284764448932187</v>
      </c>
      <c r="BW35" s="350">
        <v>1.3114804900583412</v>
      </c>
      <c r="BX35" s="350">
        <v>4030.8416999999999</v>
      </c>
      <c r="BY35" s="350">
        <v>1602.4075</v>
      </c>
      <c r="BZ35" s="351">
        <f t="shared" si="52"/>
        <v>178.42000658604118</v>
      </c>
      <c r="CA35" s="351">
        <f t="shared" si="53"/>
        <v>346.44226858221816</v>
      </c>
      <c r="CB35" s="352">
        <f t="shared" si="54"/>
        <v>87.869192833908855</v>
      </c>
      <c r="CC35" s="352">
        <f t="shared" si="55"/>
        <v>57.999219879365235</v>
      </c>
      <c r="CD35" s="353">
        <f t="shared" si="56"/>
        <v>236.41922646540641</v>
      </c>
      <c r="CE35" s="353">
        <f t="shared" si="57"/>
        <v>316.57229562767452</v>
      </c>
      <c r="CF35" s="343">
        <f t="shared" si="127"/>
        <v>189.95300809180688</v>
      </c>
      <c r="CG35" s="343">
        <f t="shared" si="128"/>
        <v>270.10607725407499</v>
      </c>
      <c r="CI35" s="350">
        <v>0.81658189794110847</v>
      </c>
      <c r="CJ35" s="350">
        <v>0.78819078220777228</v>
      </c>
      <c r="CK35" s="350">
        <v>0.380618968197731</v>
      </c>
      <c r="CL35" s="350">
        <v>8352.0424999999996</v>
      </c>
      <c r="CM35" s="350">
        <v>2947.6491999999998</v>
      </c>
      <c r="CN35" s="351">
        <f t="shared" si="58"/>
        <v>147.80132352734063</v>
      </c>
      <c r="CO35" s="351">
        <f t="shared" si="59"/>
        <v>178.91930756116432</v>
      </c>
      <c r="CP35" s="352">
        <f t="shared" si="60"/>
        <v>1.522475872790924</v>
      </c>
      <c r="CQ35" s="352">
        <f t="shared" si="61"/>
        <v>0.83374082631635604</v>
      </c>
      <c r="CR35" s="353">
        <f t="shared" si="62"/>
        <v>148.63506435365699</v>
      </c>
      <c r="CS35" s="353">
        <f t="shared" si="63"/>
        <v>178.23057251468975</v>
      </c>
      <c r="CT35" s="343">
        <f t="shared" si="129"/>
        <v>148.19462320176197</v>
      </c>
      <c r="CU35" s="343">
        <f t="shared" si="130"/>
        <v>177.79013136279474</v>
      </c>
      <c r="CW35" s="350">
        <v>0.24729999999999999</v>
      </c>
      <c r="CX35" s="350">
        <v>0.33489999999999998</v>
      </c>
      <c r="CY35" s="350">
        <v>0.76071342345556259</v>
      </c>
      <c r="CZ35" s="350">
        <v>3723.6392000000001</v>
      </c>
      <c r="DA35" s="350">
        <v>1176.3291999999999</v>
      </c>
      <c r="DB35" s="351">
        <f t="shared" si="64"/>
        <v>47.234299999999998</v>
      </c>
      <c r="DC35" s="351">
        <f t="shared" si="65"/>
        <v>87.743799999999993</v>
      </c>
      <c r="DD35" s="352">
        <f t="shared" si="66"/>
        <v>2.2821402703666878</v>
      </c>
      <c r="DE35" s="352">
        <f t="shared" si="67"/>
        <v>1.4835270273844468</v>
      </c>
      <c r="DF35" s="353">
        <f t="shared" si="68"/>
        <v>48.717827027384445</v>
      </c>
      <c r="DG35" s="353">
        <f t="shared" si="69"/>
        <v>86.945186757017751</v>
      </c>
      <c r="DH35" s="343">
        <f t="shared" si="131"/>
        <v>47.536110289851749</v>
      </c>
      <c r="DI35" s="343">
        <f t="shared" si="132"/>
        <v>85.763470019485055</v>
      </c>
      <c r="DK35" s="350">
        <v>0.29049999999999998</v>
      </c>
      <c r="DL35" s="350">
        <v>0.26069999999999999</v>
      </c>
      <c r="DM35" s="350">
        <v>0.45884690501177289</v>
      </c>
      <c r="DN35" s="350">
        <v>679.91079999999999</v>
      </c>
      <c r="DO35" s="350">
        <v>350.73500000000001</v>
      </c>
      <c r="DP35" s="351">
        <f t="shared" si="70"/>
        <v>27.887999999999998</v>
      </c>
      <c r="DQ35" s="351">
        <f t="shared" si="71"/>
        <v>45.361799999999995</v>
      </c>
      <c r="DR35" s="352">
        <f t="shared" si="72"/>
        <v>0.91769381002354578</v>
      </c>
      <c r="DS35" s="352">
        <f t="shared" si="73"/>
        <v>0.56830521136612078</v>
      </c>
      <c r="DT35" s="353">
        <f t="shared" si="74"/>
        <v>28.456305211366118</v>
      </c>
      <c r="DU35" s="353">
        <f t="shared" si="75"/>
        <v>45.012411401342575</v>
      </c>
      <c r="DV35" s="343">
        <f t="shared" si="133"/>
        <v>28.144724826004719</v>
      </c>
      <c r="DW35" s="343">
        <f t="shared" si="134"/>
        <v>44.700831015981173</v>
      </c>
      <c r="EB35" s="326"/>
      <c r="EC35" s="326"/>
      <c r="ED35" s="326"/>
      <c r="EE35" s="348">
        <f t="shared" si="76"/>
        <v>17758.2634</v>
      </c>
      <c r="EF35" s="348">
        <f t="shared" si="77"/>
        <v>6705.8117666666667</v>
      </c>
      <c r="EG35" s="348">
        <f t="shared" si="78"/>
        <v>1533.7062056427253</v>
      </c>
      <c r="EH35" s="348">
        <f t="shared" si="79"/>
        <v>2589.8971356984357</v>
      </c>
      <c r="EI35" s="354">
        <f t="shared" si="80"/>
        <v>0.72589146652869929</v>
      </c>
      <c r="EJ35" s="326"/>
      <c r="EK35" s="348">
        <f t="shared" si="81"/>
        <v>1658.9342151144722</v>
      </c>
      <c r="EL35" s="348">
        <f t="shared" si="82"/>
        <v>2512.829683090968</v>
      </c>
      <c r="EM35" s="348">
        <f t="shared" si="83"/>
        <v>1578.7868367593198</v>
      </c>
      <c r="EN35" s="348">
        <f t="shared" si="84"/>
        <v>2432.6823047358157</v>
      </c>
      <c r="EP35" s="326"/>
      <c r="EQ35" s="326"/>
      <c r="ER35" s="326"/>
      <c r="ES35" s="348">
        <f t="shared" si="85"/>
        <v>14098.450866666666</v>
      </c>
      <c r="ET35" s="348">
        <f t="shared" si="86"/>
        <v>4955.5742666666665</v>
      </c>
      <c r="EU35" s="348">
        <f t="shared" si="87"/>
        <v>1037.5254457037156</v>
      </c>
      <c r="EV35" s="348">
        <f t="shared" si="88"/>
        <v>1930.9948350604323</v>
      </c>
      <c r="EW35" s="354">
        <f t="shared" si="89"/>
        <v>0.73991982103574916</v>
      </c>
      <c r="EX35" s="326"/>
      <c r="EY35" s="348">
        <f t="shared" si="90"/>
        <v>1180.3315151655538</v>
      </c>
      <c r="EZ35" s="348">
        <f t="shared" si="91"/>
        <v>1853.8972321588174</v>
      </c>
      <c r="FA35" s="348">
        <f t="shared" si="92"/>
        <v>1073.5941215673254</v>
      </c>
      <c r="FB35" s="348">
        <f t="shared" si="93"/>
        <v>1747.1598385605892</v>
      </c>
      <c r="FD35" s="326"/>
      <c r="FE35" s="326"/>
      <c r="FF35" s="326"/>
      <c r="FG35" s="348">
        <f t="shared" si="94"/>
        <v>13114.681666666665</v>
      </c>
      <c r="FH35" s="348">
        <f t="shared" si="95"/>
        <v>4914.4741999999997</v>
      </c>
      <c r="FI35" s="348">
        <f t="shared" si="96"/>
        <v>589.63150158026485</v>
      </c>
      <c r="FJ35" s="348">
        <f t="shared" si="97"/>
        <v>1038.2226561433824</v>
      </c>
      <c r="FK35" s="354">
        <f t="shared" si="98"/>
        <v>0.72741518036980535</v>
      </c>
      <c r="FL35" s="326"/>
      <c r="FM35" s="348">
        <f t="shared" si="99"/>
        <v>733.26145416835789</v>
      </c>
      <c r="FN35" s="348">
        <f t="shared" si="100"/>
        <v>964.55584152439462</v>
      </c>
      <c r="FO35" s="348">
        <f t="shared" si="101"/>
        <v>612.96990737017995</v>
      </c>
      <c r="FP35" s="348">
        <f t="shared" si="102"/>
        <v>844.26429472621669</v>
      </c>
      <c r="FR35" s="326"/>
      <c r="FS35" s="326"/>
      <c r="FT35" s="326"/>
      <c r="FU35" s="348">
        <f t="shared" si="103"/>
        <v>5496.4683999999997</v>
      </c>
      <c r="FV35" s="348">
        <f t="shared" si="104"/>
        <v>2239.1017000000002</v>
      </c>
      <c r="FW35" s="349">
        <f t="shared" si="105"/>
        <v>155.19119385261564</v>
      </c>
      <c r="FX35" s="349">
        <f t="shared" si="106"/>
        <v>123.52458501383403</v>
      </c>
      <c r="FY35" s="354">
        <f t="shared" si="107"/>
        <v>0.71054470826914229</v>
      </c>
      <c r="FZ35" s="326"/>
      <c r="GA35" s="349">
        <f t="shared" si="108"/>
        <v>148.75074274401962</v>
      </c>
      <c r="GB35" s="349">
        <f t="shared" si="109"/>
        <v>117.21554733846577</v>
      </c>
      <c r="GC35" s="349">
        <f t="shared" si="18"/>
        <v>159.11345875408421</v>
      </c>
      <c r="GD35" s="349">
        <f t="shared" si="19"/>
        <v>127.57826334853034</v>
      </c>
      <c r="GF35" s="326"/>
      <c r="GG35" s="326"/>
      <c r="GH35" s="326"/>
      <c r="GI35" s="348">
        <f t="shared" si="135"/>
        <v>12075.681699999999</v>
      </c>
      <c r="GJ35" s="348">
        <f t="shared" si="136"/>
        <v>4123.9784</v>
      </c>
      <c r="GK35" s="348">
        <f t="shared" si="137"/>
        <v>185.58876352734063</v>
      </c>
      <c r="GL35" s="348">
        <f t="shared" si="138"/>
        <v>249.11434756116432</v>
      </c>
      <c r="GM35" s="354">
        <f t="shared" si="114"/>
        <v>0.7454280908029669</v>
      </c>
      <c r="GN35" s="326"/>
      <c r="GO35" s="348">
        <f t="shared" si="115"/>
        <v>187.60932597556456</v>
      </c>
      <c r="GP35" s="348">
        <f t="shared" si="116"/>
        <v>247.78672192030396</v>
      </c>
      <c r="GQ35" s="348">
        <f t="shared" si="20"/>
        <v>186.22351143364338</v>
      </c>
      <c r="GR35" s="348">
        <f t="shared" si="21"/>
        <v>246.40090737838278</v>
      </c>
    </row>
    <row r="36" spans="1:200" x14ac:dyDescent="0.2">
      <c r="A36" s="320">
        <v>26</v>
      </c>
      <c r="C36" s="350">
        <v>0.96245242373255213</v>
      </c>
      <c r="D36" s="350">
        <v>0.81635815774515508</v>
      </c>
      <c r="E36" s="350">
        <v>0.56133891867075636</v>
      </c>
      <c r="F36" s="350">
        <v>5314.7116666666661</v>
      </c>
      <c r="G36" s="350">
        <v>2288.3224999999993</v>
      </c>
      <c r="H36" s="351">
        <f t="shared" si="22"/>
        <v>987.47618674959847</v>
      </c>
      <c r="I36" s="351">
        <f t="shared" si="23"/>
        <v>1939.6669828024885</v>
      </c>
      <c r="J36" s="352">
        <f t="shared" si="24"/>
        <v>143.14142426104289</v>
      </c>
      <c r="K36" s="352">
        <f t="shared" si="25"/>
        <v>94.852447737619087</v>
      </c>
      <c r="L36" s="353">
        <f t="shared" si="26"/>
        <v>1082.3286344872176</v>
      </c>
      <c r="M36" s="353">
        <f t="shared" si="27"/>
        <v>1891.3780062790647</v>
      </c>
      <c r="N36" s="343">
        <f t="shared" si="117"/>
        <v>1016.030996341382</v>
      </c>
      <c r="O36" s="343">
        <f t="shared" si="118"/>
        <v>1825.0803681332291</v>
      </c>
      <c r="Q36" s="350">
        <v>0.75712243731860807</v>
      </c>
      <c r="R36" s="350">
        <v>0.75836422068342135</v>
      </c>
      <c r="S36" s="350">
        <v>0.80244302004631951</v>
      </c>
      <c r="T36" s="350">
        <v>608.30833333333328</v>
      </c>
      <c r="U36" s="350">
        <v>186.53333333333336</v>
      </c>
      <c r="V36" s="351">
        <f t="shared" si="28"/>
        <v>533.01419587230009</v>
      </c>
      <c r="W36" s="351">
        <f t="shared" si="29"/>
        <v>1272.5351623067811</v>
      </c>
      <c r="X36" s="352">
        <f t="shared" si="30"/>
        <v>154.06905984889335</v>
      </c>
      <c r="Y36" s="352">
        <f t="shared" si="31"/>
        <v>108.58650592581523</v>
      </c>
      <c r="Z36" s="353">
        <f t="shared" si="32"/>
        <v>641.60070179811532</v>
      </c>
      <c r="AA36" s="353">
        <f t="shared" si="33"/>
        <v>1227.052608383703</v>
      </c>
      <c r="AB36" s="343">
        <f t="shared" si="119"/>
        <v>550.37504772279283</v>
      </c>
      <c r="AC36" s="343">
        <f t="shared" si="120"/>
        <v>1135.8269543083804</v>
      </c>
      <c r="AE36" s="350">
        <v>0.69369715533327114</v>
      </c>
      <c r="AF36" s="350">
        <v>0.67800000000000005</v>
      </c>
      <c r="AG36" s="350">
        <v>1.3499005262367612</v>
      </c>
      <c r="AH36" s="350">
        <v>75.183333333333351</v>
      </c>
      <c r="AI36" s="350">
        <v>23.012499999999999</v>
      </c>
      <c r="AJ36" s="351">
        <f t="shared" si="34"/>
        <v>246.95618729864452</v>
      </c>
      <c r="AK36" s="351">
        <f t="shared" si="35"/>
        <v>519.34800000000007</v>
      </c>
      <c r="AL36" s="352">
        <f t="shared" si="36"/>
        <v>160.63816262217458</v>
      </c>
      <c r="AM36" s="352">
        <f t="shared" si="37"/>
        <v>108.8694409665125</v>
      </c>
      <c r="AN36" s="353">
        <f t="shared" si="38"/>
        <v>355.82562826515704</v>
      </c>
      <c r="AO36" s="353">
        <f t="shared" si="39"/>
        <v>467.57927834433798</v>
      </c>
      <c r="AP36" s="343">
        <f t="shared" si="121"/>
        <v>258.21425701276979</v>
      </c>
      <c r="AQ36" s="343">
        <f t="shared" si="122"/>
        <v>369.96790709195074</v>
      </c>
      <c r="AS36" s="350">
        <v>1.3556639071456729</v>
      </c>
      <c r="AT36" s="350">
        <v>1.0350484719269994</v>
      </c>
      <c r="AU36" s="350">
        <v>0.80436150393723505</v>
      </c>
      <c r="AV36" s="350">
        <v>1945.3117</v>
      </c>
      <c r="AW36" s="350">
        <v>712.10080000000005</v>
      </c>
      <c r="AX36" s="351">
        <f t="shared" si="40"/>
        <v>341.62730460070958</v>
      </c>
      <c r="AY36" s="351">
        <f t="shared" si="41"/>
        <v>518.55928443542678</v>
      </c>
      <c r="AZ36" s="352">
        <f t="shared" si="42"/>
        <v>129.50220213389485</v>
      </c>
      <c r="BA36" s="352">
        <f t="shared" si="43"/>
        <v>78.06977012582017</v>
      </c>
      <c r="BB36" s="353">
        <f t="shared" si="44"/>
        <v>419.69707472652976</v>
      </c>
      <c r="BC36" s="353">
        <f t="shared" si="45"/>
        <v>467.12685242735211</v>
      </c>
      <c r="BD36" s="343">
        <f t="shared" si="123"/>
        <v>357.51837821921811</v>
      </c>
      <c r="BE36" s="343">
        <f t="shared" si="124"/>
        <v>404.94815592004045</v>
      </c>
      <c r="BG36" s="350">
        <v>1.3398327883783183</v>
      </c>
      <c r="BH36" s="350">
        <v>1.0394506658580489</v>
      </c>
      <c r="BI36" s="350">
        <v>0.73227271839124153</v>
      </c>
      <c r="BJ36" s="350">
        <v>1979.4567</v>
      </c>
      <c r="BK36" s="350">
        <v>715.85080000000005</v>
      </c>
      <c r="BL36" s="351">
        <f t="shared" si="46"/>
        <v>317.54037084566141</v>
      </c>
      <c r="BM36" s="351">
        <f t="shared" si="47"/>
        <v>501.01522094357955</v>
      </c>
      <c r="BN36" s="352">
        <f t="shared" si="48"/>
        <v>131.80908931042347</v>
      </c>
      <c r="BO36" s="352">
        <f t="shared" si="49"/>
        <v>80.676695224674702</v>
      </c>
      <c r="BP36" s="353">
        <f t="shared" si="50"/>
        <v>398.2170660703361</v>
      </c>
      <c r="BQ36" s="353">
        <f t="shared" si="51"/>
        <v>449.88282685783076</v>
      </c>
      <c r="BR36" s="343">
        <f t="shared" si="125"/>
        <v>335.64362798146095</v>
      </c>
      <c r="BS36" s="343">
        <f t="shared" si="126"/>
        <v>387.30938876895561</v>
      </c>
      <c r="BU36" s="350">
        <v>0.93123574156502309</v>
      </c>
      <c r="BV36" s="350">
        <v>1.1596318454622683</v>
      </c>
      <c r="BW36" s="350">
        <v>1.6059794544508235</v>
      </c>
      <c r="BX36" s="350">
        <v>4934.7475000000004</v>
      </c>
      <c r="BY36" s="350">
        <v>1949.5725</v>
      </c>
      <c r="BZ36" s="351">
        <f t="shared" si="52"/>
        <v>169.48490496483421</v>
      </c>
      <c r="CA36" s="351">
        <f t="shared" si="53"/>
        <v>356.00697655691636</v>
      </c>
      <c r="CB36" s="352">
        <f t="shared" si="54"/>
        <v>107.60062344820517</v>
      </c>
      <c r="CC36" s="352">
        <f t="shared" si="55"/>
        <v>72.896602167295754</v>
      </c>
      <c r="CD36" s="353">
        <f t="shared" si="56"/>
        <v>242.38150713212997</v>
      </c>
      <c r="CE36" s="353">
        <f t="shared" si="57"/>
        <v>321.30295527600697</v>
      </c>
      <c r="CF36" s="343">
        <f t="shared" si="127"/>
        <v>181.01790647059991</v>
      </c>
      <c r="CG36" s="343">
        <f t="shared" si="128"/>
        <v>259.93935461447688</v>
      </c>
      <c r="CI36" s="350">
        <v>0.84075613525121196</v>
      </c>
      <c r="CJ36" s="350">
        <v>0.812504438185217</v>
      </c>
      <c r="CK36" s="350">
        <v>0.55169935532989101</v>
      </c>
      <c r="CL36" s="350">
        <v>10261.9642</v>
      </c>
      <c r="CM36" s="350">
        <v>3578.0817000000002</v>
      </c>
      <c r="CN36" s="351">
        <f t="shared" si="58"/>
        <v>152.17686048046937</v>
      </c>
      <c r="CO36" s="351">
        <f t="shared" si="59"/>
        <v>184.43850746804426</v>
      </c>
      <c r="CP36" s="352">
        <f t="shared" si="60"/>
        <v>2.206797421319564</v>
      </c>
      <c r="CQ36" s="352">
        <f t="shared" si="61"/>
        <v>1.2091498530000686</v>
      </c>
      <c r="CR36" s="353">
        <f t="shared" si="62"/>
        <v>153.38601033346944</v>
      </c>
      <c r="CS36" s="353">
        <f t="shared" si="63"/>
        <v>183.44085989972476</v>
      </c>
      <c r="CT36" s="343">
        <f t="shared" si="129"/>
        <v>152.57016015489071</v>
      </c>
      <c r="CU36" s="343">
        <f t="shared" si="130"/>
        <v>182.62500972114603</v>
      </c>
      <c r="CW36" s="350">
        <v>0.28649999999999998</v>
      </c>
      <c r="CX36" s="350">
        <v>0.34539999999999998</v>
      </c>
      <c r="CY36" s="350">
        <v>0.97668057851074763</v>
      </c>
      <c r="CZ36" s="350">
        <v>4465.5117</v>
      </c>
      <c r="DA36" s="350">
        <v>1492.0708</v>
      </c>
      <c r="DB36" s="351">
        <f t="shared" si="64"/>
        <v>54.721499999999999</v>
      </c>
      <c r="DC36" s="351">
        <f t="shared" si="65"/>
        <v>90.494799999999998</v>
      </c>
      <c r="DD36" s="352">
        <f t="shared" si="66"/>
        <v>2.9300417355322428</v>
      </c>
      <c r="DE36" s="352">
        <f t="shared" si="67"/>
        <v>1.8259213383665831</v>
      </c>
      <c r="DF36" s="353">
        <f t="shared" si="68"/>
        <v>56.547421338366583</v>
      </c>
      <c r="DG36" s="353">
        <f t="shared" si="69"/>
        <v>89.390679602834339</v>
      </c>
      <c r="DH36" s="343">
        <f t="shared" si="131"/>
        <v>55.02331028985175</v>
      </c>
      <c r="DI36" s="343">
        <f t="shared" si="132"/>
        <v>87.8665685543195</v>
      </c>
      <c r="DK36" s="350">
        <v>0.31080000000000002</v>
      </c>
      <c r="DL36" s="350">
        <v>0.32650000000000001</v>
      </c>
      <c r="DM36" s="350">
        <v>0.6248422087469091</v>
      </c>
      <c r="DN36" s="350">
        <v>702.49</v>
      </c>
      <c r="DO36" s="350">
        <v>351.745</v>
      </c>
      <c r="DP36" s="351">
        <f t="shared" si="70"/>
        <v>29.836800000000004</v>
      </c>
      <c r="DQ36" s="351">
        <f t="shared" si="71"/>
        <v>56.811</v>
      </c>
      <c r="DR36" s="352">
        <f t="shared" si="72"/>
        <v>1.2496844174938182</v>
      </c>
      <c r="DS36" s="352">
        <f t="shared" si="73"/>
        <v>0.81936092367309155</v>
      </c>
      <c r="DT36" s="353">
        <f t="shared" si="74"/>
        <v>30.656160923673095</v>
      </c>
      <c r="DU36" s="353">
        <f t="shared" si="75"/>
        <v>56.380676506179277</v>
      </c>
      <c r="DV36" s="343">
        <f t="shared" si="133"/>
        <v>30.093524826004725</v>
      </c>
      <c r="DW36" s="343">
        <f t="shared" si="134"/>
        <v>55.818040408510903</v>
      </c>
      <c r="EB36" s="326"/>
      <c r="EC36" s="326"/>
      <c r="ED36" s="326"/>
      <c r="EE36" s="348">
        <f t="shared" si="76"/>
        <v>21987.499266666666</v>
      </c>
      <c r="EF36" s="348">
        <f t="shared" si="77"/>
        <v>8070.5757999999987</v>
      </c>
      <c r="EG36" s="348">
        <f t="shared" si="78"/>
        <v>1525.0575518307774</v>
      </c>
      <c r="EH36" s="348">
        <f t="shared" si="79"/>
        <v>2715.0606147059598</v>
      </c>
      <c r="EI36" s="354">
        <f t="shared" si="80"/>
        <v>0.73150057739559049</v>
      </c>
      <c r="EJ36" s="326"/>
      <c r="EK36" s="348">
        <f t="shared" si="81"/>
        <v>1700.6496566179101</v>
      </c>
      <c r="EL36" s="348">
        <f t="shared" si="82"/>
        <v>2613.4582622884086</v>
      </c>
      <c r="EM36" s="348">
        <f t="shared" si="83"/>
        <v>1570.1381829473721</v>
      </c>
      <c r="EN36" s="348">
        <f t="shared" si="84"/>
        <v>2482.9467886178709</v>
      </c>
      <c r="EP36" s="326"/>
      <c r="EQ36" s="326"/>
      <c r="ER36" s="326"/>
      <c r="ES36" s="348">
        <f t="shared" si="85"/>
        <v>17315.240933333334</v>
      </c>
      <c r="ET36" s="348">
        <f t="shared" si="86"/>
        <v>5972.5366333333332</v>
      </c>
      <c r="EU36" s="348">
        <f t="shared" si="87"/>
        <v>1041.0364771984309</v>
      </c>
      <c r="EV36" s="348">
        <f t="shared" si="88"/>
        <v>2021.335250718405</v>
      </c>
      <c r="EW36" s="354">
        <f t="shared" si="89"/>
        <v>0.74353342150252166</v>
      </c>
      <c r="EX36" s="326"/>
      <c r="EY36" s="348">
        <f t="shared" si="90"/>
        <v>1232.7869731387775</v>
      </c>
      <c r="EZ36" s="348">
        <f t="shared" si="91"/>
        <v>1922.9497708632427</v>
      </c>
      <c r="FA36" s="348">
        <f t="shared" si="92"/>
        <v>1077.1051530620409</v>
      </c>
      <c r="FB36" s="348">
        <f t="shared" si="93"/>
        <v>1767.2679507865057</v>
      </c>
      <c r="FD36" s="326"/>
      <c r="FE36" s="326"/>
      <c r="FF36" s="326"/>
      <c r="FG36" s="348">
        <f t="shared" si="94"/>
        <v>15974.385033333334</v>
      </c>
      <c r="FH36" s="348">
        <f t="shared" si="95"/>
        <v>5902.4116999999997</v>
      </c>
      <c r="FI36" s="348">
        <f t="shared" si="96"/>
        <v>586.52003274394804</v>
      </c>
      <c r="FJ36" s="348">
        <f t="shared" si="97"/>
        <v>1093.8800840249608</v>
      </c>
      <c r="FK36" s="354">
        <f t="shared" si="98"/>
        <v>0.73019762573345182</v>
      </c>
      <c r="FL36" s="326"/>
      <c r="FM36" s="348">
        <f t="shared" si="99"/>
        <v>769.98684228496029</v>
      </c>
      <c r="FN36" s="348">
        <f t="shared" si="100"/>
        <v>1006.1514994237773</v>
      </c>
      <c r="FO36" s="348">
        <f t="shared" si="101"/>
        <v>609.85843853386325</v>
      </c>
      <c r="FP36" s="348">
        <f t="shared" si="102"/>
        <v>846.02309567268014</v>
      </c>
      <c r="FR36" s="326"/>
      <c r="FS36" s="326"/>
      <c r="FT36" s="326"/>
      <c r="FU36" s="348">
        <f t="shared" si="103"/>
        <v>6880.0592000000006</v>
      </c>
      <c r="FV36" s="348">
        <f t="shared" si="104"/>
        <v>2661.6732999999999</v>
      </c>
      <c r="FW36" s="349">
        <f t="shared" si="105"/>
        <v>154.92815967228782</v>
      </c>
      <c r="FX36" s="349">
        <f t="shared" si="106"/>
        <v>146.29707709065937</v>
      </c>
      <c r="FY36" s="354">
        <f t="shared" si="107"/>
        <v>0.72104926437625461</v>
      </c>
      <c r="FZ36" s="326"/>
      <c r="GA36" s="349">
        <f t="shared" si="108"/>
        <v>159.58401083495983</v>
      </c>
      <c r="GB36" s="349">
        <f t="shared" si="109"/>
        <v>131.24150743621064</v>
      </c>
      <c r="GC36" s="349">
        <f t="shared" si="18"/>
        <v>158.85042457375638</v>
      </c>
      <c r="GD36" s="349">
        <f t="shared" si="19"/>
        <v>130.50792117500723</v>
      </c>
      <c r="GF36" s="326"/>
      <c r="GG36" s="326"/>
      <c r="GH36" s="326"/>
      <c r="GI36" s="348">
        <f t="shared" si="135"/>
        <v>14727.475900000001</v>
      </c>
      <c r="GJ36" s="348">
        <f t="shared" si="136"/>
        <v>5070.1525000000001</v>
      </c>
      <c r="GK36" s="348">
        <f t="shared" si="137"/>
        <v>195.95406048046937</v>
      </c>
      <c r="GL36" s="348">
        <f t="shared" si="138"/>
        <v>256.83434746804426</v>
      </c>
      <c r="GM36" s="354">
        <f t="shared" si="114"/>
        <v>0.7439010169521113</v>
      </c>
      <c r="GN36" s="326"/>
      <c r="GO36" s="348">
        <f t="shared" si="115"/>
        <v>198.62394740416272</v>
      </c>
      <c r="GP36" s="348">
        <f t="shared" si="116"/>
        <v>254.95340358199223</v>
      </c>
      <c r="GQ36" s="348">
        <f t="shared" si="20"/>
        <v>196.58880838677211</v>
      </c>
      <c r="GR36" s="348">
        <f t="shared" si="21"/>
        <v>252.91826456460163</v>
      </c>
    </row>
    <row r="37" spans="1:200" x14ac:dyDescent="0.2">
      <c r="A37" s="320">
        <v>27</v>
      </c>
      <c r="C37" s="350">
        <v>0.94804427889803156</v>
      </c>
      <c r="D37" s="350">
        <v>0.8493762332045347</v>
      </c>
      <c r="E37" s="350">
        <v>0.70093853624487779</v>
      </c>
      <c r="F37" s="350">
        <v>6370.6308333333327</v>
      </c>
      <c r="G37" s="350">
        <v>2616.2249999999999</v>
      </c>
      <c r="H37" s="351">
        <f t="shared" si="22"/>
        <v>972.69343014938033</v>
      </c>
      <c r="I37" s="351">
        <f t="shared" si="23"/>
        <v>2018.1179300939746</v>
      </c>
      <c r="J37" s="352">
        <f t="shared" si="24"/>
        <v>178.73932674244384</v>
      </c>
      <c r="K37" s="352">
        <f t="shared" si="25"/>
        <v>120.60842248589717</v>
      </c>
      <c r="L37" s="353">
        <f t="shared" si="26"/>
        <v>1093.3018526352776</v>
      </c>
      <c r="M37" s="353">
        <f t="shared" si="27"/>
        <v>1959.9870258374278</v>
      </c>
      <c r="N37" s="343">
        <f t="shared" si="117"/>
        <v>1001.2482397411638</v>
      </c>
      <c r="O37" s="343">
        <f t="shared" si="118"/>
        <v>1867.9334129433141</v>
      </c>
      <c r="Q37" s="350">
        <v>0.76408633700449968</v>
      </c>
      <c r="R37" s="350">
        <v>0.79433849197704398</v>
      </c>
      <c r="S37" s="350">
        <v>0.96161516505529809</v>
      </c>
      <c r="T37" s="350">
        <v>703.85916666666674</v>
      </c>
      <c r="U37" s="350">
        <v>264.84750000000003</v>
      </c>
      <c r="V37" s="351">
        <f t="shared" si="28"/>
        <v>537.91678125116778</v>
      </c>
      <c r="W37" s="351">
        <f t="shared" si="29"/>
        <v>1332.8999895374798</v>
      </c>
      <c r="X37" s="352">
        <f t="shared" si="30"/>
        <v>184.63011169061724</v>
      </c>
      <c r="Y37" s="352">
        <f t="shared" si="31"/>
        <v>131.54333325598003</v>
      </c>
      <c r="Z37" s="353">
        <f t="shared" si="32"/>
        <v>669.46011450714786</v>
      </c>
      <c r="AA37" s="353">
        <f t="shared" si="33"/>
        <v>1279.8132111028426</v>
      </c>
      <c r="AB37" s="343">
        <f t="shared" si="119"/>
        <v>555.27763310166051</v>
      </c>
      <c r="AC37" s="343">
        <f t="shared" si="120"/>
        <v>1165.6307296973553</v>
      </c>
      <c r="AE37" s="350">
        <v>0.69563535341163341</v>
      </c>
      <c r="AF37" s="350">
        <v>0.72199999999999998</v>
      </c>
      <c r="AG37" s="350">
        <v>1.6359712431388236</v>
      </c>
      <c r="AH37" s="350">
        <v>89.685000000000002</v>
      </c>
      <c r="AI37" s="350">
        <v>30.716666666666669</v>
      </c>
      <c r="AJ37" s="351">
        <f t="shared" si="34"/>
        <v>247.6461858145415</v>
      </c>
      <c r="AK37" s="351">
        <f t="shared" si="35"/>
        <v>553.05200000000002</v>
      </c>
      <c r="AL37" s="352">
        <f t="shared" si="36"/>
        <v>194.68057793352</v>
      </c>
      <c r="AM37" s="352">
        <f t="shared" si="37"/>
        <v>134.46824895420383</v>
      </c>
      <c r="AN37" s="353">
        <f t="shared" si="38"/>
        <v>382.11443476874535</v>
      </c>
      <c r="AO37" s="353">
        <f t="shared" si="39"/>
        <v>492.83967102068385</v>
      </c>
      <c r="AP37" s="343">
        <f t="shared" si="121"/>
        <v>258.90425552866674</v>
      </c>
      <c r="AQ37" s="343">
        <f t="shared" si="122"/>
        <v>369.62949178060529</v>
      </c>
      <c r="AS37" s="350">
        <v>1.277355459437528</v>
      </c>
      <c r="AT37" s="350">
        <v>1.1052417897623994</v>
      </c>
      <c r="AU37" s="350">
        <v>1.102943028921858</v>
      </c>
      <c r="AV37" s="350">
        <v>2436.3825000000002</v>
      </c>
      <c r="AW37" s="350">
        <v>852.52419999999995</v>
      </c>
      <c r="AX37" s="351">
        <f t="shared" si="40"/>
        <v>321.89357577825706</v>
      </c>
      <c r="AY37" s="351">
        <f t="shared" si="41"/>
        <v>553.72613667096209</v>
      </c>
      <c r="AZ37" s="352">
        <f t="shared" si="42"/>
        <v>177.57382765641916</v>
      </c>
      <c r="BA37" s="352">
        <f t="shared" si="43"/>
        <v>112.29449059230336</v>
      </c>
      <c r="BB37" s="353">
        <f t="shared" si="44"/>
        <v>434.18806637056042</v>
      </c>
      <c r="BC37" s="353">
        <f t="shared" si="45"/>
        <v>488.4467996068463</v>
      </c>
      <c r="BD37" s="343">
        <f t="shared" si="123"/>
        <v>337.78464939676559</v>
      </c>
      <c r="BE37" s="343">
        <f t="shared" si="124"/>
        <v>392.04338263305146</v>
      </c>
      <c r="BG37" s="350">
        <v>1.2861046507399549</v>
      </c>
      <c r="BH37" s="350">
        <v>1.0818214862825402</v>
      </c>
      <c r="BI37" s="350">
        <v>0.9443123708182114</v>
      </c>
      <c r="BJ37" s="350">
        <v>2481.3982999999998</v>
      </c>
      <c r="BK37" s="350">
        <v>877.60749999999996</v>
      </c>
      <c r="BL37" s="351">
        <f t="shared" si="46"/>
        <v>304.80680222536932</v>
      </c>
      <c r="BM37" s="351">
        <f t="shared" si="47"/>
        <v>521.43795638818438</v>
      </c>
      <c r="BN37" s="352">
        <f t="shared" si="48"/>
        <v>169.97622674727805</v>
      </c>
      <c r="BO37" s="352">
        <f t="shared" si="49"/>
        <v>107.27094530487638</v>
      </c>
      <c r="BP37" s="353">
        <f t="shared" si="50"/>
        <v>412.07774753024569</v>
      </c>
      <c r="BQ37" s="353">
        <f t="shared" si="51"/>
        <v>458.73267494578272</v>
      </c>
      <c r="BR37" s="343">
        <f t="shared" si="125"/>
        <v>322.91005936116886</v>
      </c>
      <c r="BS37" s="343">
        <f t="shared" si="126"/>
        <v>369.56498677670589</v>
      </c>
      <c r="BU37" s="350">
        <v>0.89255743622186801</v>
      </c>
      <c r="BV37" s="350">
        <v>1.1908089922295115</v>
      </c>
      <c r="BW37" s="350">
        <v>1.9084020376201551</v>
      </c>
      <c r="BX37" s="350">
        <v>5952.3017</v>
      </c>
      <c r="BY37" s="350">
        <v>2239.8575000000001</v>
      </c>
      <c r="BZ37" s="351">
        <f t="shared" si="52"/>
        <v>162.44545339237999</v>
      </c>
      <c r="CA37" s="351">
        <f t="shared" si="53"/>
        <v>365.57836061446005</v>
      </c>
      <c r="CB37" s="352">
        <f t="shared" si="54"/>
        <v>127.86293652055039</v>
      </c>
      <c r="CC37" s="352">
        <f t="shared" si="55"/>
        <v>88.526163927765694</v>
      </c>
      <c r="CD37" s="353">
        <f t="shared" si="56"/>
        <v>250.9716173201457</v>
      </c>
      <c r="CE37" s="353">
        <f t="shared" si="57"/>
        <v>326.24158802167534</v>
      </c>
      <c r="CF37" s="343">
        <f t="shared" si="127"/>
        <v>173.97845489814569</v>
      </c>
      <c r="CG37" s="343">
        <f t="shared" si="128"/>
        <v>249.24842559967536</v>
      </c>
      <c r="CI37" s="350">
        <v>0.86697413277101743</v>
      </c>
      <c r="CJ37" s="350">
        <v>0.83779362380144151</v>
      </c>
      <c r="CK37" s="350">
        <v>0.76159442898514795</v>
      </c>
      <c r="CL37" s="350">
        <v>12663.376700000001</v>
      </c>
      <c r="CM37" s="350">
        <v>4165.0950000000003</v>
      </c>
      <c r="CN37" s="351">
        <f t="shared" si="58"/>
        <v>156.92231803155414</v>
      </c>
      <c r="CO37" s="351">
        <f t="shared" si="59"/>
        <v>190.17915260292722</v>
      </c>
      <c r="CP37" s="352">
        <f t="shared" si="60"/>
        <v>3.0463777159405918</v>
      </c>
      <c r="CQ37" s="352">
        <f t="shared" si="61"/>
        <v>1.669130158011116</v>
      </c>
      <c r="CR37" s="353">
        <f t="shared" si="62"/>
        <v>158.59144818956526</v>
      </c>
      <c r="CS37" s="353">
        <f t="shared" si="63"/>
        <v>188.80190504499774</v>
      </c>
      <c r="CT37" s="343">
        <f t="shared" si="129"/>
        <v>157.31561770597548</v>
      </c>
      <c r="CU37" s="343">
        <f t="shared" si="130"/>
        <v>187.52607456140797</v>
      </c>
      <c r="CW37" s="350">
        <v>0.33310000000000001</v>
      </c>
      <c r="CX37" s="350">
        <v>0.36030000000000001</v>
      </c>
      <c r="CY37" s="350">
        <v>1.2093689853313241</v>
      </c>
      <c r="CZ37" s="350">
        <v>5553.8316999999997</v>
      </c>
      <c r="DA37" s="350">
        <v>1587.6233</v>
      </c>
      <c r="DB37" s="351">
        <f t="shared" si="64"/>
        <v>63.622100000000003</v>
      </c>
      <c r="DC37" s="351">
        <f t="shared" si="65"/>
        <v>94.398600000000002</v>
      </c>
      <c r="DD37" s="352">
        <f t="shared" si="66"/>
        <v>3.6281069559939723</v>
      </c>
      <c r="DE37" s="352">
        <f t="shared" si="67"/>
        <v>2.167362992924931</v>
      </c>
      <c r="DF37" s="353">
        <f t="shared" si="68"/>
        <v>65.789462992924939</v>
      </c>
      <c r="DG37" s="353">
        <f t="shared" si="69"/>
        <v>92.937856036930967</v>
      </c>
      <c r="DH37" s="343">
        <f t="shared" si="131"/>
        <v>63.923910289851754</v>
      </c>
      <c r="DI37" s="343">
        <f t="shared" si="132"/>
        <v>91.072303333857775</v>
      </c>
      <c r="DK37" s="350">
        <v>0.3674</v>
      </c>
      <c r="DL37" s="350">
        <v>0.40789999999999998</v>
      </c>
      <c r="DM37" s="350">
        <v>0.79623042722407578</v>
      </c>
      <c r="DN37" s="350">
        <v>776.21420000000001</v>
      </c>
      <c r="DO37" s="350">
        <v>389.91419999999999</v>
      </c>
      <c r="DP37" s="351">
        <f t="shared" si="70"/>
        <v>35.270400000000002</v>
      </c>
      <c r="DQ37" s="351">
        <f t="shared" si="71"/>
        <v>70.974599999999995</v>
      </c>
      <c r="DR37" s="352">
        <f t="shared" si="72"/>
        <v>1.5924608544481516</v>
      </c>
      <c r="DS37" s="352">
        <f t="shared" si="73"/>
        <v>1.0638079171736625</v>
      </c>
      <c r="DT37" s="353">
        <f t="shared" si="74"/>
        <v>36.334207917173664</v>
      </c>
      <c r="DU37" s="353">
        <f t="shared" si="75"/>
        <v>70.445947062725509</v>
      </c>
      <c r="DV37" s="343">
        <f t="shared" si="133"/>
        <v>35.527124826004723</v>
      </c>
      <c r="DW37" s="343">
        <f t="shared" si="134"/>
        <v>69.63886397155656</v>
      </c>
      <c r="EB37" s="326"/>
      <c r="EC37" s="326"/>
      <c r="ED37" s="326"/>
      <c r="EE37" s="348">
        <f t="shared" si="76"/>
        <v>27024.221733333332</v>
      </c>
      <c r="EF37" s="348">
        <f t="shared" si="77"/>
        <v>9221.4674999999988</v>
      </c>
      <c r="EG37" s="348">
        <f t="shared" si="78"/>
        <v>1502.4070039591916</v>
      </c>
      <c r="EH37" s="348">
        <f t="shared" si="79"/>
        <v>2837.542099367864</v>
      </c>
      <c r="EI37" s="354">
        <f t="shared" si="80"/>
        <v>0.74558443514106276</v>
      </c>
      <c r="EJ37" s="326"/>
      <c r="EK37" s="348">
        <f t="shared" si="81"/>
        <v>1738.712937589743</v>
      </c>
      <c r="EL37" s="348">
        <f t="shared" si="82"/>
        <v>2711.5860153188169</v>
      </c>
      <c r="EM37" s="348">
        <f t="shared" si="83"/>
        <v>1547.4876350757863</v>
      </c>
      <c r="EN37" s="348">
        <f t="shared" si="84"/>
        <v>2520.3607128048593</v>
      </c>
      <c r="EP37" s="326"/>
      <c r="EQ37" s="326"/>
      <c r="ER37" s="326"/>
      <c r="ES37" s="348">
        <f t="shared" si="85"/>
        <v>21402.465866666666</v>
      </c>
      <c r="ET37" s="348">
        <f t="shared" si="86"/>
        <v>6895.1733000000004</v>
      </c>
      <c r="EU37" s="348">
        <f t="shared" si="87"/>
        <v>1044.1813715080912</v>
      </c>
      <c r="EV37" s="348">
        <f t="shared" si="88"/>
        <v>2110.5961185285914</v>
      </c>
      <c r="EW37" s="354">
        <f t="shared" si="89"/>
        <v>0.7563339733258666</v>
      </c>
      <c r="EX37" s="326"/>
      <c r="EY37" s="348">
        <f t="shared" si="90"/>
        <v>1286.1819343220061</v>
      </c>
      <c r="EZ37" s="348">
        <f t="shared" si="91"/>
        <v>1992.4042903194747</v>
      </c>
      <c r="FA37" s="348">
        <f t="shared" si="92"/>
        <v>1080.2500473717009</v>
      </c>
      <c r="FB37" s="348">
        <f t="shared" si="93"/>
        <v>1786.4724033691696</v>
      </c>
      <c r="FD37" s="326"/>
      <c r="FE37" s="326"/>
      <c r="FF37" s="326"/>
      <c r="FG37" s="348">
        <f t="shared" si="94"/>
        <v>19481.577600000001</v>
      </c>
      <c r="FH37" s="348">
        <f t="shared" si="95"/>
        <v>6825.5833666666667</v>
      </c>
      <c r="FI37" s="348">
        <f t="shared" si="96"/>
        <v>588.17619723847565</v>
      </c>
      <c r="FJ37" s="348">
        <f t="shared" si="97"/>
        <v>1151.3942732173873</v>
      </c>
      <c r="FK37" s="354">
        <f t="shared" si="98"/>
        <v>0.74054276037937961</v>
      </c>
      <c r="FL37" s="326"/>
      <c r="FM37" s="348">
        <f t="shared" si="99"/>
        <v>813.47802502876061</v>
      </c>
      <c r="FN37" s="348">
        <f t="shared" si="100"/>
        <v>1050.1507323249923</v>
      </c>
      <c r="FO37" s="348">
        <f t="shared" si="101"/>
        <v>611.51460302839075</v>
      </c>
      <c r="FP37" s="348">
        <f t="shared" si="102"/>
        <v>848.18731032462256</v>
      </c>
      <c r="FR37" s="326"/>
      <c r="FS37" s="326"/>
      <c r="FT37" s="326"/>
      <c r="FU37" s="348">
        <f t="shared" si="103"/>
        <v>8388.6841999999997</v>
      </c>
      <c r="FV37" s="348">
        <f t="shared" si="104"/>
        <v>3092.3816999999999</v>
      </c>
      <c r="FW37" s="349">
        <f t="shared" si="105"/>
        <v>143.50331014728937</v>
      </c>
      <c r="FX37" s="349">
        <f t="shared" si="106"/>
        <v>169.33299845085185</v>
      </c>
      <c r="FY37" s="354">
        <f t="shared" si="107"/>
        <v>0.73065378015119664</v>
      </c>
      <c r="FZ37" s="326"/>
      <c r="GA37" s="349">
        <f t="shared" si="108"/>
        <v>164.89480414537326</v>
      </c>
      <c r="GB37" s="349">
        <f t="shared" si="109"/>
        <v>145.98469042665386</v>
      </c>
      <c r="GC37" s="349">
        <f t="shared" si="18"/>
        <v>147.42557504875791</v>
      </c>
      <c r="GD37" s="349">
        <f t="shared" si="19"/>
        <v>128.51546133003851</v>
      </c>
      <c r="GF37" s="326"/>
      <c r="GG37" s="326"/>
      <c r="GH37" s="326"/>
      <c r="GI37" s="348">
        <f t="shared" si="135"/>
        <v>18217.2084</v>
      </c>
      <c r="GJ37" s="348">
        <f t="shared" si="136"/>
        <v>5752.7183000000005</v>
      </c>
      <c r="GK37" s="348">
        <f t="shared" si="137"/>
        <v>207.81999803155415</v>
      </c>
      <c r="GL37" s="348">
        <f t="shared" si="138"/>
        <v>265.69803260292724</v>
      </c>
      <c r="GM37" s="354">
        <f t="shared" si="114"/>
        <v>0.76000267451798253</v>
      </c>
      <c r="GN37" s="326"/>
      <c r="GO37" s="348">
        <f t="shared" si="115"/>
        <v>211.2230185839052</v>
      </c>
      <c r="GP37" s="348">
        <f t="shared" si="116"/>
        <v>263.1521898745425</v>
      </c>
      <c r="GQ37" s="348">
        <f t="shared" si="20"/>
        <v>208.4547459378569</v>
      </c>
      <c r="GR37" s="348">
        <f t="shared" si="21"/>
        <v>260.38391722849417</v>
      </c>
    </row>
    <row r="38" spans="1:200" x14ac:dyDescent="0.2">
      <c r="A38" s="320">
        <v>28</v>
      </c>
      <c r="C38" s="350">
        <v>0.92922179799133287</v>
      </c>
      <c r="D38" s="350">
        <v>0.88021848829662341</v>
      </c>
      <c r="E38" s="350">
        <v>0.85127372308134719</v>
      </c>
      <c r="F38" s="350">
        <v>7898.4966666666651</v>
      </c>
      <c r="G38" s="350">
        <v>2974.0850000000005</v>
      </c>
      <c r="H38" s="351">
        <f t="shared" si="22"/>
        <v>953.38156473910749</v>
      </c>
      <c r="I38" s="351">
        <f t="shared" si="23"/>
        <v>2091.3991281927774</v>
      </c>
      <c r="J38" s="352">
        <f t="shared" si="24"/>
        <v>217.07479938574355</v>
      </c>
      <c r="K38" s="352">
        <f t="shared" si="25"/>
        <v>149.10435002489763</v>
      </c>
      <c r="L38" s="353">
        <f t="shared" si="26"/>
        <v>1102.4859147640052</v>
      </c>
      <c r="M38" s="353">
        <f t="shared" si="27"/>
        <v>2023.4286788319316</v>
      </c>
      <c r="N38" s="343">
        <f t="shared" si="117"/>
        <v>981.936374330891</v>
      </c>
      <c r="O38" s="343">
        <f t="shared" si="118"/>
        <v>1902.8791383988173</v>
      </c>
      <c r="Q38" s="350">
        <v>0.7721077659465807</v>
      </c>
      <c r="R38" s="350">
        <v>0.82867731122162924</v>
      </c>
      <c r="S38" s="350">
        <v>1.1304464897928246</v>
      </c>
      <c r="T38" s="350">
        <v>910.65916666666669</v>
      </c>
      <c r="U38" s="350">
        <v>317.86250000000001</v>
      </c>
      <c r="V38" s="351">
        <f t="shared" si="28"/>
        <v>543.56386722639286</v>
      </c>
      <c r="W38" s="351">
        <f t="shared" si="29"/>
        <v>1390.5205282298939</v>
      </c>
      <c r="X38" s="352">
        <f t="shared" si="30"/>
        <v>217.04572604022232</v>
      </c>
      <c r="Y38" s="352">
        <f t="shared" si="31"/>
        <v>156.04620891028335</v>
      </c>
      <c r="Z38" s="353">
        <f t="shared" si="32"/>
        <v>699.61007613667618</v>
      </c>
      <c r="AA38" s="353">
        <f t="shared" si="33"/>
        <v>1329.5210110999551</v>
      </c>
      <c r="AB38" s="343">
        <f t="shared" si="119"/>
        <v>560.92471907688559</v>
      </c>
      <c r="AC38" s="343">
        <f t="shared" si="120"/>
        <v>1190.8356540401644</v>
      </c>
      <c r="AE38" s="350">
        <v>0.69863880284563529</v>
      </c>
      <c r="AF38" s="350">
        <v>0.76400000000000001</v>
      </c>
      <c r="AG38" s="350">
        <v>1.9027250047944129</v>
      </c>
      <c r="AH38" s="350">
        <v>99.779166666666669</v>
      </c>
      <c r="AI38" s="350">
        <v>19.54</v>
      </c>
      <c r="AJ38" s="351">
        <f t="shared" si="34"/>
        <v>248.71541381304615</v>
      </c>
      <c r="AK38" s="351">
        <f t="shared" si="35"/>
        <v>585.22400000000005</v>
      </c>
      <c r="AL38" s="352">
        <f t="shared" si="36"/>
        <v>226.42427557053514</v>
      </c>
      <c r="AM38" s="352">
        <f t="shared" si="37"/>
        <v>158.89514040428469</v>
      </c>
      <c r="AN38" s="353">
        <f t="shared" si="38"/>
        <v>407.61055421733084</v>
      </c>
      <c r="AO38" s="353">
        <f t="shared" si="39"/>
        <v>517.69486483374953</v>
      </c>
      <c r="AP38" s="343">
        <f t="shared" si="121"/>
        <v>259.97348352717142</v>
      </c>
      <c r="AQ38" s="343">
        <f t="shared" si="122"/>
        <v>370.05779414359017</v>
      </c>
      <c r="AS38" s="350">
        <v>1.1770563572473014</v>
      </c>
      <c r="AT38" s="350">
        <v>1.1717619269849573</v>
      </c>
      <c r="AU38" s="350">
        <v>1.4034239573159299</v>
      </c>
      <c r="AV38" s="350">
        <v>3104.7208000000001</v>
      </c>
      <c r="AW38" s="350">
        <v>987.97080000000005</v>
      </c>
      <c r="AX38" s="351">
        <f t="shared" si="40"/>
        <v>296.61820202631998</v>
      </c>
      <c r="AY38" s="351">
        <f t="shared" si="41"/>
        <v>587.05272541946363</v>
      </c>
      <c r="AZ38" s="352">
        <f t="shared" si="42"/>
        <v>225.95125712786472</v>
      </c>
      <c r="BA38" s="352">
        <f t="shared" si="43"/>
        <v>150.10712380486825</v>
      </c>
      <c r="BB38" s="353">
        <f t="shared" si="44"/>
        <v>446.72532583118823</v>
      </c>
      <c r="BC38" s="353">
        <f t="shared" si="45"/>
        <v>511.20859209646716</v>
      </c>
      <c r="BD38" s="343">
        <f t="shared" si="123"/>
        <v>312.50927564482851</v>
      </c>
      <c r="BE38" s="343">
        <f t="shared" si="124"/>
        <v>376.99254191010743</v>
      </c>
      <c r="BG38" s="350">
        <v>1.2242393205620039</v>
      </c>
      <c r="BH38" s="350">
        <v>1.1274818155952506</v>
      </c>
      <c r="BI38" s="350">
        <v>1.169047317805606</v>
      </c>
      <c r="BJ38" s="350">
        <v>3145.8416999999999</v>
      </c>
      <c r="BK38" s="350">
        <v>1017.53</v>
      </c>
      <c r="BL38" s="351">
        <f t="shared" si="46"/>
        <v>290.14471897319493</v>
      </c>
      <c r="BM38" s="351">
        <f t="shared" si="47"/>
        <v>543.44623511691077</v>
      </c>
      <c r="BN38" s="352">
        <f t="shared" si="48"/>
        <v>210.42851720500909</v>
      </c>
      <c r="BO38" s="352">
        <f t="shared" si="49"/>
        <v>137.18549232713372</v>
      </c>
      <c r="BP38" s="353">
        <f t="shared" si="50"/>
        <v>427.33021130032864</v>
      </c>
      <c r="BQ38" s="353">
        <f t="shared" si="51"/>
        <v>470.2032102390354</v>
      </c>
      <c r="BR38" s="343">
        <f t="shared" si="125"/>
        <v>308.24797610899446</v>
      </c>
      <c r="BS38" s="343">
        <f t="shared" si="126"/>
        <v>351.12097504770122</v>
      </c>
      <c r="BU38" s="350">
        <v>0.86537315154485939</v>
      </c>
      <c r="BV38" s="350">
        <v>1.224177120030316</v>
      </c>
      <c r="BW38" s="350">
        <v>2.2059713312101281</v>
      </c>
      <c r="BX38" s="350">
        <v>7063.8125</v>
      </c>
      <c r="BY38" s="350">
        <v>2538.2824999999998</v>
      </c>
      <c r="BZ38" s="351">
        <f t="shared" si="52"/>
        <v>157.4979135811644</v>
      </c>
      <c r="CA38" s="351">
        <f t="shared" si="53"/>
        <v>375.82237584930698</v>
      </c>
      <c r="CB38" s="352">
        <f t="shared" si="54"/>
        <v>147.80007919107859</v>
      </c>
      <c r="CC38" s="352">
        <f t="shared" si="55"/>
        <v>104.15237899841507</v>
      </c>
      <c r="CD38" s="353">
        <f t="shared" si="56"/>
        <v>261.65029257957946</v>
      </c>
      <c r="CE38" s="353">
        <f t="shared" si="57"/>
        <v>332.17467565664344</v>
      </c>
      <c r="CF38" s="343">
        <f t="shared" si="127"/>
        <v>169.03091508693009</v>
      </c>
      <c r="CG38" s="343">
        <f t="shared" si="128"/>
        <v>239.55529816399408</v>
      </c>
      <c r="CI38" s="350">
        <v>0.89424047682948304</v>
      </c>
      <c r="CJ38" s="350">
        <v>0.86473672700170823</v>
      </c>
      <c r="CK38" s="350">
        <v>1.0038146846572529</v>
      </c>
      <c r="CL38" s="350">
        <v>15303.3233</v>
      </c>
      <c r="CM38" s="350">
        <v>5117.5558000000001</v>
      </c>
      <c r="CN38" s="351">
        <f t="shared" si="58"/>
        <v>161.85752630613644</v>
      </c>
      <c r="CO38" s="351">
        <f t="shared" si="59"/>
        <v>196.29523702938778</v>
      </c>
      <c r="CP38" s="352">
        <f t="shared" si="60"/>
        <v>4.0152587386290115</v>
      </c>
      <c r="CQ38" s="352">
        <f t="shared" si="61"/>
        <v>2.2006703466228017</v>
      </c>
      <c r="CR38" s="353">
        <f t="shared" si="62"/>
        <v>164.05819665275925</v>
      </c>
      <c r="CS38" s="353">
        <f t="shared" si="63"/>
        <v>194.48064863738159</v>
      </c>
      <c r="CT38" s="343">
        <f t="shared" si="129"/>
        <v>162.25082598055778</v>
      </c>
      <c r="CU38" s="343">
        <f t="shared" si="130"/>
        <v>192.67327796518012</v>
      </c>
      <c r="CW38" s="350">
        <v>0.38819999999999999</v>
      </c>
      <c r="CX38" s="350">
        <v>0.38429999999999997</v>
      </c>
      <c r="CY38" s="350">
        <v>1.44482645565626</v>
      </c>
      <c r="CZ38" s="350">
        <v>6600.9441999999999</v>
      </c>
      <c r="DA38" s="350">
        <v>2134.0066999999999</v>
      </c>
      <c r="DB38" s="351">
        <f t="shared" si="64"/>
        <v>74.146199999999993</v>
      </c>
      <c r="DC38" s="351">
        <f t="shared" si="65"/>
        <v>100.6866</v>
      </c>
      <c r="DD38" s="352">
        <f t="shared" si="66"/>
        <v>4.3344793669687798</v>
      </c>
      <c r="DE38" s="352">
        <f t="shared" si="67"/>
        <v>2.4962363482723995</v>
      </c>
      <c r="DF38" s="353">
        <f t="shared" si="68"/>
        <v>76.642436348272398</v>
      </c>
      <c r="DG38" s="353">
        <f t="shared" si="69"/>
        <v>98.848356981303624</v>
      </c>
      <c r="DH38" s="343">
        <f t="shared" si="131"/>
        <v>74.448010289851737</v>
      </c>
      <c r="DI38" s="343">
        <f t="shared" si="132"/>
        <v>96.653930922882964</v>
      </c>
      <c r="DK38" s="350">
        <v>0.44919999999999999</v>
      </c>
      <c r="DL38" s="350">
        <v>0.48070000000000002</v>
      </c>
      <c r="DM38" s="350">
        <v>0.95952862285837193</v>
      </c>
      <c r="DN38" s="350">
        <v>820.71169999999995</v>
      </c>
      <c r="DO38" s="350">
        <v>366.9092</v>
      </c>
      <c r="DP38" s="351">
        <f t="shared" si="70"/>
        <v>43.123199999999997</v>
      </c>
      <c r="DQ38" s="351">
        <f t="shared" si="71"/>
        <v>83.641800000000003</v>
      </c>
      <c r="DR38" s="352">
        <f t="shared" si="72"/>
        <v>1.9190572457167439</v>
      </c>
      <c r="DS38" s="352">
        <f t="shared" si="73"/>
        <v>1.2662280782139452</v>
      </c>
      <c r="DT38" s="353">
        <f t="shared" si="74"/>
        <v>44.389428078213939</v>
      </c>
      <c r="DU38" s="353">
        <f t="shared" si="75"/>
        <v>82.988970832497202</v>
      </c>
      <c r="DV38" s="343">
        <f t="shared" si="133"/>
        <v>43.379924826004718</v>
      </c>
      <c r="DW38" s="343">
        <f t="shared" si="134"/>
        <v>81.979467580287974</v>
      </c>
      <c r="EB38" s="326"/>
      <c r="EC38" s="326"/>
      <c r="ED38" s="326"/>
      <c r="EE38" s="348">
        <f t="shared" si="76"/>
        <v>32907.484966666663</v>
      </c>
      <c r="EF38" s="348">
        <f t="shared" si="77"/>
        <v>11213.6183</v>
      </c>
      <c r="EG38" s="348">
        <f t="shared" si="78"/>
        <v>1471.1742530715637</v>
      </c>
      <c r="EH38" s="348">
        <f t="shared" si="79"/>
        <v>2955.296370641629</v>
      </c>
      <c r="EI38" s="354">
        <f t="shared" si="80"/>
        <v>0.74584456258436649</v>
      </c>
      <c r="EJ38" s="326"/>
      <c r="EK38" s="348">
        <f t="shared" si="81"/>
        <v>1774.5833863265707</v>
      </c>
      <c r="EL38" s="348">
        <f t="shared" si="82"/>
        <v>2808.1966051508234</v>
      </c>
      <c r="EM38" s="348">
        <f t="shared" si="83"/>
        <v>1516.2548841881587</v>
      </c>
      <c r="EN38" s="348">
        <f t="shared" si="84"/>
        <v>2549.8681030124112</v>
      </c>
      <c r="EP38" s="326"/>
      <c r="EQ38" s="326"/>
      <c r="ER38" s="326"/>
      <c r="ES38" s="348">
        <f t="shared" si="85"/>
        <v>25960.768366666663</v>
      </c>
      <c r="ET38" s="348">
        <f t="shared" si="86"/>
        <v>8586.9549999999999</v>
      </c>
      <c r="EU38" s="348">
        <f t="shared" si="87"/>
        <v>1047.4684525057244</v>
      </c>
      <c r="EV38" s="348">
        <f t="shared" si="88"/>
        <v>2200.7426203761925</v>
      </c>
      <c r="EW38" s="354">
        <f t="shared" si="89"/>
        <v>0.75144657409509319</v>
      </c>
      <c r="EX38" s="326"/>
      <c r="EY38" s="348">
        <f t="shared" si="90"/>
        <v>1344.6481895335548</v>
      </c>
      <c r="EZ38" s="348">
        <f t="shared" si="91"/>
        <v>2063.3987198632844</v>
      </c>
      <c r="FA38" s="348">
        <f t="shared" si="92"/>
        <v>1083.5371283693339</v>
      </c>
      <c r="FB38" s="348">
        <f t="shared" si="93"/>
        <v>1802.287658699064</v>
      </c>
      <c r="FD38" s="326"/>
      <c r="FE38" s="326"/>
      <c r="FF38" s="326"/>
      <c r="FG38" s="348">
        <f t="shared" si="94"/>
        <v>23287.626666666667</v>
      </c>
      <c r="FH38" s="348">
        <f t="shared" si="95"/>
        <v>8042.2875000000004</v>
      </c>
      <c r="FI38" s="348">
        <f t="shared" si="96"/>
        <v>593.94477370034701</v>
      </c>
      <c r="FJ38" s="348">
        <f t="shared" si="97"/>
        <v>1207.5266928786948</v>
      </c>
      <c r="FK38" s="354">
        <f t="shared" si="98"/>
        <v>0.74330323864862169</v>
      </c>
      <c r="FL38" s="326"/>
      <c r="FM38" s="348">
        <f t="shared" si="99"/>
        <v>859.95270029659798</v>
      </c>
      <c r="FN38" s="348">
        <f t="shared" si="100"/>
        <v>1094.1435716272731</v>
      </c>
      <c r="FO38" s="348">
        <f t="shared" si="101"/>
        <v>617.28317949026223</v>
      </c>
      <c r="FP38" s="348">
        <f t="shared" si="102"/>
        <v>851.47405082093712</v>
      </c>
      <c r="FR38" s="326"/>
      <c r="FS38" s="326"/>
      <c r="FT38" s="326"/>
      <c r="FU38" s="348">
        <f t="shared" si="103"/>
        <v>10168.533299999999</v>
      </c>
      <c r="FV38" s="348">
        <f t="shared" si="104"/>
        <v>3526.2532999999999</v>
      </c>
      <c r="FW38" s="349">
        <f t="shared" si="105"/>
        <v>125.20825960064002</v>
      </c>
      <c r="FX38" s="349">
        <f t="shared" si="106"/>
        <v>190.107314613141</v>
      </c>
      <c r="FY38" s="354">
        <f t="shared" si="107"/>
        <v>0.74251126337375706</v>
      </c>
      <c r="FZ38" s="326"/>
      <c r="GA38" s="349">
        <f t="shared" si="108"/>
        <v>166.56752992644789</v>
      </c>
      <c r="GB38" s="349">
        <f t="shared" si="109"/>
        <v>161.13052479584135</v>
      </c>
      <c r="GC38" s="349">
        <f t="shared" si="18"/>
        <v>129.13052450210859</v>
      </c>
      <c r="GD38" s="349">
        <f t="shared" si="19"/>
        <v>123.69351937150202</v>
      </c>
      <c r="GF38" s="326"/>
      <c r="GG38" s="326"/>
      <c r="GH38" s="326"/>
      <c r="GI38" s="348">
        <f t="shared" si="135"/>
        <v>21904.267500000002</v>
      </c>
      <c r="GJ38" s="348">
        <f t="shared" si="136"/>
        <v>7251.5625</v>
      </c>
      <c r="GK38" s="348">
        <f t="shared" si="137"/>
        <v>221.17448630613643</v>
      </c>
      <c r="GL38" s="348">
        <f t="shared" si="138"/>
        <v>276.84451702938782</v>
      </c>
      <c r="GM38" s="354">
        <f t="shared" si="114"/>
        <v>0.75128259082317328</v>
      </c>
      <c r="GN38" s="326"/>
      <c r="GO38" s="348">
        <f t="shared" si="115"/>
        <v>225.37214573137717</v>
      </c>
      <c r="GP38" s="348">
        <f t="shared" si="116"/>
        <v>273.55933422242447</v>
      </c>
      <c r="GQ38" s="348">
        <f t="shared" si="20"/>
        <v>221.80923421243918</v>
      </c>
      <c r="GR38" s="348">
        <f t="shared" si="21"/>
        <v>269.99642270348647</v>
      </c>
    </row>
    <row r="39" spans="1:200" x14ac:dyDescent="0.2">
      <c r="A39" s="320">
        <v>29</v>
      </c>
      <c r="C39" s="350">
        <v>0.90741490217319909</v>
      </c>
      <c r="D39" s="350">
        <v>0.90852528098384655</v>
      </c>
      <c r="E39" s="350">
        <v>1.0064303026326975</v>
      </c>
      <c r="F39" s="350">
        <v>9388.5924999999988</v>
      </c>
      <c r="G39" s="350">
        <v>3532.6741666666667</v>
      </c>
      <c r="H39" s="351">
        <f t="shared" si="22"/>
        <v>931.00768962970221</v>
      </c>
      <c r="I39" s="351">
        <f t="shared" si="23"/>
        <v>2158.6560676176196</v>
      </c>
      <c r="J39" s="352">
        <f t="shared" si="24"/>
        <v>256.63972717133788</v>
      </c>
      <c r="K39" s="352">
        <f t="shared" si="25"/>
        <v>179.30653552531302</v>
      </c>
      <c r="L39" s="353">
        <f t="shared" si="26"/>
        <v>1110.3142251550153</v>
      </c>
      <c r="M39" s="353">
        <f t="shared" si="27"/>
        <v>2081.3228759715948</v>
      </c>
      <c r="N39" s="343">
        <f t="shared" si="117"/>
        <v>959.56249922148572</v>
      </c>
      <c r="O39" s="343">
        <f t="shared" si="118"/>
        <v>1930.5711500380651</v>
      </c>
      <c r="Q39" s="350">
        <v>0.7814316031840951</v>
      </c>
      <c r="R39" s="350">
        <v>0.86097692244930435</v>
      </c>
      <c r="S39" s="350">
        <v>1.3597767067219007</v>
      </c>
      <c r="T39" s="350">
        <v>1114.7991666666667</v>
      </c>
      <c r="U39" s="350">
        <v>354.27333333333337</v>
      </c>
      <c r="V39" s="351">
        <f t="shared" si="28"/>
        <v>550.1278486416029</v>
      </c>
      <c r="W39" s="351">
        <f t="shared" si="29"/>
        <v>1444.7192758699327</v>
      </c>
      <c r="X39" s="352">
        <f t="shared" si="30"/>
        <v>261.07712769060493</v>
      </c>
      <c r="Y39" s="352">
        <f t="shared" si="31"/>
        <v>189.07872900572815</v>
      </c>
      <c r="Z39" s="353">
        <f t="shared" si="32"/>
        <v>739.20657764733107</v>
      </c>
      <c r="AA39" s="353">
        <f t="shared" si="33"/>
        <v>1372.7208771850558</v>
      </c>
      <c r="AB39" s="343">
        <f t="shared" si="119"/>
        <v>567.48870049209563</v>
      </c>
      <c r="AC39" s="343">
        <f t="shared" si="120"/>
        <v>1201.0030000298204</v>
      </c>
      <c r="AE39" s="350">
        <v>0.70261794610922046</v>
      </c>
      <c r="AF39" s="350">
        <v>0.80400000000000005</v>
      </c>
      <c r="AG39" s="350">
        <v>2.1428228252052648</v>
      </c>
      <c r="AH39" s="350">
        <v>136.95500000000001</v>
      </c>
      <c r="AI39" s="350">
        <v>38.245833333333337</v>
      </c>
      <c r="AJ39" s="351">
        <f t="shared" si="34"/>
        <v>250.13198881488248</v>
      </c>
      <c r="AK39" s="351">
        <f t="shared" si="35"/>
        <v>615.86400000000003</v>
      </c>
      <c r="AL39" s="352">
        <f t="shared" si="36"/>
        <v>254.99591619942652</v>
      </c>
      <c r="AM39" s="352">
        <f t="shared" si="37"/>
        <v>181.34357082780147</v>
      </c>
      <c r="AN39" s="353">
        <f t="shared" si="38"/>
        <v>431.47555964268395</v>
      </c>
      <c r="AO39" s="353">
        <f t="shared" si="39"/>
        <v>542.21165462837496</v>
      </c>
      <c r="AP39" s="343">
        <f t="shared" si="121"/>
        <v>261.39005852900772</v>
      </c>
      <c r="AQ39" s="343">
        <f t="shared" si="122"/>
        <v>372.12615351469879</v>
      </c>
      <c r="AS39" s="350">
        <v>1.0645606079677474</v>
      </c>
      <c r="AT39" s="350">
        <v>1.231762469617963</v>
      </c>
      <c r="AU39" s="350">
        <v>1.6696627547755474</v>
      </c>
      <c r="AV39" s="350">
        <v>3942.4524999999999</v>
      </c>
      <c r="AW39" s="350">
        <v>1275.0983000000001</v>
      </c>
      <c r="AX39" s="351">
        <f t="shared" si="40"/>
        <v>268.26927320787235</v>
      </c>
      <c r="AY39" s="351">
        <f t="shared" si="41"/>
        <v>617.11299727859944</v>
      </c>
      <c r="AZ39" s="352">
        <f t="shared" si="42"/>
        <v>268.81570351886313</v>
      </c>
      <c r="BA39" s="352">
        <f t="shared" si="43"/>
        <v>187.36501739856749</v>
      </c>
      <c r="BB39" s="353">
        <f t="shared" si="44"/>
        <v>455.63429060643983</v>
      </c>
      <c r="BC39" s="353">
        <f t="shared" si="45"/>
        <v>535.66231115830374</v>
      </c>
      <c r="BD39" s="343">
        <f t="shared" si="123"/>
        <v>284.16034682638087</v>
      </c>
      <c r="BE39" s="343">
        <f t="shared" si="124"/>
        <v>364.18836737824483</v>
      </c>
      <c r="BG39" s="350">
        <v>1.1582065682398885</v>
      </c>
      <c r="BH39" s="350">
        <v>1.1785350992305665</v>
      </c>
      <c r="BI39" s="350">
        <v>1.4323458697831464</v>
      </c>
      <c r="BJ39" s="350">
        <v>3980.5250000000001</v>
      </c>
      <c r="BK39" s="350">
        <v>1297.3483000000001</v>
      </c>
      <c r="BL39" s="351">
        <f t="shared" si="46"/>
        <v>274.49495667285356</v>
      </c>
      <c r="BM39" s="351">
        <f t="shared" si="47"/>
        <v>568.05391782913307</v>
      </c>
      <c r="BN39" s="352">
        <f t="shared" si="48"/>
        <v>257.82225656096637</v>
      </c>
      <c r="BO39" s="352">
        <f t="shared" si="49"/>
        <v>173.82605018560207</v>
      </c>
      <c r="BP39" s="353">
        <f t="shared" si="50"/>
        <v>448.32100685845563</v>
      </c>
      <c r="BQ39" s="353">
        <f t="shared" si="51"/>
        <v>484.05771145376877</v>
      </c>
      <c r="BR39" s="343">
        <f t="shared" si="125"/>
        <v>292.5982138086531</v>
      </c>
      <c r="BS39" s="343">
        <f t="shared" si="126"/>
        <v>328.33491840396624</v>
      </c>
      <c r="BU39" s="350">
        <v>0.84886916717466965</v>
      </c>
      <c r="BV39" s="350">
        <v>1.2591014942002254</v>
      </c>
      <c r="BW39" s="350">
        <v>2.4626598274040687</v>
      </c>
      <c r="BX39" s="350">
        <v>8176.5682999999999</v>
      </c>
      <c r="BY39" s="350">
        <v>3013.99</v>
      </c>
      <c r="BZ39" s="351">
        <f t="shared" si="52"/>
        <v>154.49418842578987</v>
      </c>
      <c r="CA39" s="351">
        <f t="shared" si="53"/>
        <v>386.54415871946918</v>
      </c>
      <c r="CB39" s="352">
        <f t="shared" si="54"/>
        <v>164.99820843607262</v>
      </c>
      <c r="CC39" s="352">
        <f t="shared" si="55"/>
        <v>117.88276007914422</v>
      </c>
      <c r="CD39" s="353">
        <f t="shared" si="56"/>
        <v>272.37694850493409</v>
      </c>
      <c r="CE39" s="353">
        <f t="shared" si="57"/>
        <v>339.42871036254076</v>
      </c>
      <c r="CF39" s="343">
        <f t="shared" si="127"/>
        <v>166.02718993155557</v>
      </c>
      <c r="CG39" s="343">
        <f t="shared" si="128"/>
        <v>233.07895178916226</v>
      </c>
      <c r="CI39" s="350">
        <v>0.92180246280554967</v>
      </c>
      <c r="CJ39" s="350">
        <v>0.89293562842955476</v>
      </c>
      <c r="CK39" s="350">
        <v>1.2520068750253561</v>
      </c>
      <c r="CL39" s="350">
        <v>18505.8717</v>
      </c>
      <c r="CM39" s="350">
        <v>5956.9308000000001</v>
      </c>
      <c r="CN39" s="351">
        <f t="shared" si="58"/>
        <v>166.8462457678045</v>
      </c>
      <c r="CO39" s="351">
        <f t="shared" si="59"/>
        <v>202.69638765350894</v>
      </c>
      <c r="CP39" s="352">
        <f t="shared" si="60"/>
        <v>5.0080275001014245</v>
      </c>
      <c r="CQ39" s="352">
        <f t="shared" si="61"/>
        <v>2.7469336193820744</v>
      </c>
      <c r="CR39" s="353">
        <f t="shared" si="62"/>
        <v>169.59317938718658</v>
      </c>
      <c r="CS39" s="353">
        <f t="shared" si="63"/>
        <v>200.43529377278958</v>
      </c>
      <c r="CT39" s="343">
        <f t="shared" si="129"/>
        <v>167.23954544222585</v>
      </c>
      <c r="CU39" s="343">
        <f t="shared" si="130"/>
        <v>198.08165982782884</v>
      </c>
      <c r="CW39" s="350">
        <v>0.44540000000000002</v>
      </c>
      <c r="CX39" s="350">
        <v>0.42299999999999999</v>
      </c>
      <c r="CY39" s="350">
        <v>1.6675405454977841</v>
      </c>
      <c r="CZ39" s="350">
        <v>8078.75</v>
      </c>
      <c r="DA39" s="350">
        <v>2399.5500000000002</v>
      </c>
      <c r="DB39" s="351">
        <f t="shared" si="64"/>
        <v>85.071399999999997</v>
      </c>
      <c r="DC39" s="351">
        <f t="shared" si="65"/>
        <v>110.82599999999999</v>
      </c>
      <c r="DD39" s="352">
        <f t="shared" si="66"/>
        <v>5.0026216364933518</v>
      </c>
      <c r="DE39" s="352">
        <f t="shared" si="67"/>
        <v>2.8301577534260902</v>
      </c>
      <c r="DF39" s="353">
        <f t="shared" si="68"/>
        <v>87.90155775342609</v>
      </c>
      <c r="DG39" s="353">
        <f t="shared" si="69"/>
        <v>108.65353611693273</v>
      </c>
      <c r="DH39" s="343">
        <f t="shared" si="131"/>
        <v>85.373210289851741</v>
      </c>
      <c r="DI39" s="343">
        <f t="shared" si="132"/>
        <v>106.12518865335838</v>
      </c>
      <c r="DK39" s="350">
        <v>0.50819999999999999</v>
      </c>
      <c r="DL39" s="350">
        <v>0.52270000000000005</v>
      </c>
      <c r="DM39" s="350">
        <v>1.0844319139538576</v>
      </c>
      <c r="DN39" s="350">
        <v>892.57</v>
      </c>
      <c r="DO39" s="350">
        <v>373.36329999999998</v>
      </c>
      <c r="DP39" s="351">
        <f t="shared" si="70"/>
        <v>48.787199999999999</v>
      </c>
      <c r="DQ39" s="351">
        <f t="shared" si="71"/>
        <v>90.94980000000001</v>
      </c>
      <c r="DR39" s="352">
        <f t="shared" si="72"/>
        <v>2.1688638279077153</v>
      </c>
      <c r="DS39" s="352">
        <f t="shared" si="73"/>
        <v>1.4116356539459207</v>
      </c>
      <c r="DT39" s="353">
        <f t="shared" si="74"/>
        <v>50.19883565394592</v>
      </c>
      <c r="DU39" s="353">
        <f t="shared" si="75"/>
        <v>90.192571826038218</v>
      </c>
      <c r="DV39" s="343">
        <f t="shared" si="133"/>
        <v>49.043924826004719</v>
      </c>
      <c r="DW39" s="343">
        <f t="shared" si="134"/>
        <v>89.03766099809701</v>
      </c>
      <c r="EB39" s="326"/>
      <c r="EC39" s="326"/>
      <c r="ED39" s="326"/>
      <c r="EE39" s="348">
        <f t="shared" si="76"/>
        <v>39915.666700000002</v>
      </c>
      <c r="EF39" s="348">
        <f t="shared" si="77"/>
        <v>13164.253266666667</v>
      </c>
      <c r="EG39" s="348">
        <f t="shared" si="78"/>
        <v>1434.1803286053789</v>
      </c>
      <c r="EH39" s="348">
        <f t="shared" si="79"/>
        <v>3067.1262525497277</v>
      </c>
      <c r="EI39" s="354">
        <f t="shared" si="80"/>
        <v>0.75199184032429578</v>
      </c>
      <c r="EJ39" s="326"/>
      <c r="EK39" s="348">
        <f t="shared" si="81"/>
        <v>1805.8629413513827</v>
      </c>
      <c r="EL39" s="348">
        <f t="shared" si="82"/>
        <v>2904.3433097962343</v>
      </c>
      <c r="EM39" s="348">
        <f t="shared" si="83"/>
        <v>1479.2609597219737</v>
      </c>
      <c r="EN39" s="348">
        <f t="shared" si="84"/>
        <v>2577.7413281668255</v>
      </c>
      <c r="EP39" s="326"/>
      <c r="EQ39" s="326"/>
      <c r="ER39" s="326"/>
      <c r="ES39" s="348">
        <f t="shared" si="85"/>
        <v>31679.945866666669</v>
      </c>
      <c r="ET39" s="348">
        <f t="shared" si="86"/>
        <v>10008.102433333333</v>
      </c>
      <c r="EU39" s="348">
        <f t="shared" si="87"/>
        <v>1051.0190310822609</v>
      </c>
      <c r="EV39" s="348">
        <f t="shared" si="88"/>
        <v>2293.0477813525745</v>
      </c>
      <c r="EW39" s="354">
        <f t="shared" si="89"/>
        <v>0.75992873637758351</v>
      </c>
      <c r="EX39" s="326"/>
      <c r="EY39" s="348">
        <f t="shared" si="90"/>
        <v>1418.6518543203717</v>
      </c>
      <c r="EZ39" s="348">
        <f t="shared" si="91"/>
        <v>2133.2713576934671</v>
      </c>
      <c r="FA39" s="348">
        <f t="shared" si="92"/>
        <v>1087.0877069458707</v>
      </c>
      <c r="FB39" s="348">
        <f t="shared" si="93"/>
        <v>1801.7072103189664</v>
      </c>
      <c r="FD39" s="326"/>
      <c r="FE39" s="326"/>
      <c r="FF39" s="326"/>
      <c r="FG39" s="348">
        <f t="shared" si="94"/>
        <v>27711.965</v>
      </c>
      <c r="FH39" s="348">
        <f t="shared" si="95"/>
        <v>9382.5299333333351</v>
      </c>
      <c r="FI39" s="348">
        <f t="shared" si="96"/>
        <v>600.74474300847692</v>
      </c>
      <c r="FJ39" s="348">
        <f t="shared" si="97"/>
        <v>1259.6744263729781</v>
      </c>
      <c r="FK39" s="354">
        <f t="shared" si="98"/>
        <v>0.74706408726697238</v>
      </c>
      <c r="FL39" s="326"/>
      <c r="FM39" s="348">
        <f t="shared" si="99"/>
        <v>903.56498892717218</v>
      </c>
      <c r="FN39" s="348">
        <f t="shared" si="100"/>
        <v>1136.1912018593282</v>
      </c>
      <c r="FO39" s="348">
        <f t="shared" si="101"/>
        <v>624.0831487983919</v>
      </c>
      <c r="FP39" s="348">
        <f t="shared" si="102"/>
        <v>856.70936173054815</v>
      </c>
      <c r="FR39" s="326"/>
      <c r="FS39" s="326"/>
      <c r="FT39" s="326"/>
      <c r="FU39" s="348">
        <f t="shared" si="103"/>
        <v>12119.0208</v>
      </c>
      <c r="FV39" s="348">
        <f t="shared" si="104"/>
        <v>4289.0882999999994</v>
      </c>
      <c r="FW39" s="349">
        <f t="shared" si="105"/>
        <v>102.39757630387423</v>
      </c>
      <c r="FX39" s="349">
        <f t="shared" si="106"/>
        <v>207.51195470321724</v>
      </c>
      <c r="FY39" s="354">
        <f t="shared" si="107"/>
        <v>0.73859947701103468</v>
      </c>
      <c r="FZ39" s="326"/>
      <c r="GA39" s="349">
        <f t="shared" si="108"/>
        <v>164.93160789135518</v>
      </c>
      <c r="GB39" s="349">
        <f t="shared" si="109"/>
        <v>176.61024071618669</v>
      </c>
      <c r="GC39" s="349">
        <f t="shared" si="18"/>
        <v>106.31984120534278</v>
      </c>
      <c r="GD39" s="349">
        <f t="shared" si="19"/>
        <v>117.99847403017432</v>
      </c>
      <c r="GF39" s="326"/>
      <c r="GG39" s="326"/>
      <c r="GH39" s="326"/>
      <c r="GI39" s="348">
        <f t="shared" si="135"/>
        <v>26584.6217</v>
      </c>
      <c r="GJ39" s="348">
        <f t="shared" si="136"/>
        <v>8356.4808000000012</v>
      </c>
      <c r="GK39" s="348">
        <f t="shared" si="137"/>
        <v>234.9033657678045</v>
      </c>
      <c r="GL39" s="348">
        <f t="shared" si="138"/>
        <v>291.35718765350896</v>
      </c>
      <c r="GM39" s="354">
        <f t="shared" si="114"/>
        <v>0.76084095228534931</v>
      </c>
      <c r="GN39" s="326"/>
      <c r="GO39" s="348">
        <f t="shared" si="115"/>
        <v>239.91442558992748</v>
      </c>
      <c r="GP39" s="348">
        <f t="shared" si="116"/>
        <v>287.35812266633576</v>
      </c>
      <c r="GQ39" s="348">
        <f t="shared" si="20"/>
        <v>235.53811367410725</v>
      </c>
      <c r="GR39" s="348">
        <f t="shared" si="21"/>
        <v>282.98181075051554</v>
      </c>
    </row>
    <row r="40" spans="1:200" x14ac:dyDescent="0.2">
      <c r="A40" s="320">
        <v>30</v>
      </c>
      <c r="C40" s="350">
        <v>0.88529382361374653</v>
      </c>
      <c r="D40" s="350">
        <v>0.93398906510392032</v>
      </c>
      <c r="E40" s="350">
        <v>1.2429356995351399</v>
      </c>
      <c r="F40" s="350">
        <v>11607.455833333333</v>
      </c>
      <c r="G40" s="350">
        <v>4073.9283333333328</v>
      </c>
      <c r="H40" s="351">
        <f t="shared" si="22"/>
        <v>908.31146302770389</v>
      </c>
      <c r="I40" s="351">
        <f t="shared" si="23"/>
        <v>2219.1580186869146</v>
      </c>
      <c r="J40" s="352">
        <f t="shared" si="24"/>
        <v>316.94860338146066</v>
      </c>
      <c r="K40" s="352">
        <f t="shared" si="25"/>
        <v>224.89716968236382</v>
      </c>
      <c r="L40" s="353">
        <f t="shared" si="26"/>
        <v>1133.2086327100678</v>
      </c>
      <c r="M40" s="353">
        <f t="shared" si="27"/>
        <v>2127.1065849878178</v>
      </c>
      <c r="N40" s="343">
        <f t="shared" si="117"/>
        <v>936.8662726194874</v>
      </c>
      <c r="O40" s="343">
        <f t="shared" si="118"/>
        <v>1930.7642248972375</v>
      </c>
      <c r="Q40" s="350">
        <v>0.79220319802391481</v>
      </c>
      <c r="R40" s="350">
        <v>0.89079292740203564</v>
      </c>
      <c r="S40" s="350">
        <v>1.613660793227504</v>
      </c>
      <c r="T40" s="350">
        <v>1339.5733333333333</v>
      </c>
      <c r="U40" s="350">
        <v>446.66166666666663</v>
      </c>
      <c r="V40" s="351">
        <f t="shared" si="28"/>
        <v>557.71105140883606</v>
      </c>
      <c r="W40" s="351">
        <f t="shared" si="29"/>
        <v>1494.7505321806159</v>
      </c>
      <c r="X40" s="352">
        <f t="shared" si="30"/>
        <v>309.82287229968074</v>
      </c>
      <c r="Y40" s="352">
        <f t="shared" si="31"/>
        <v>225.63535754065978</v>
      </c>
      <c r="Z40" s="353">
        <f t="shared" si="32"/>
        <v>783.34640894949587</v>
      </c>
      <c r="AA40" s="353">
        <f t="shared" si="33"/>
        <v>1410.5630174215949</v>
      </c>
      <c r="AB40" s="343">
        <f t="shared" si="119"/>
        <v>575.07190325932879</v>
      </c>
      <c r="AC40" s="343">
        <f t="shared" si="120"/>
        <v>1202.2885117314279</v>
      </c>
      <c r="AE40" s="350">
        <v>0.70735395291528746</v>
      </c>
      <c r="AF40" s="350">
        <v>0.84099999999999997</v>
      </c>
      <c r="AG40" s="350">
        <v>2.3537542517308756</v>
      </c>
      <c r="AH40" s="350">
        <v>174.19666666666663</v>
      </c>
      <c r="AI40" s="350">
        <v>54.405833333333334</v>
      </c>
      <c r="AJ40" s="351">
        <f t="shared" si="34"/>
        <v>251.81800723784232</v>
      </c>
      <c r="AK40" s="351">
        <f t="shared" si="35"/>
        <v>644.20600000000002</v>
      </c>
      <c r="AL40" s="352">
        <f t="shared" si="36"/>
        <v>280.09675595597417</v>
      </c>
      <c r="AM40" s="352">
        <f t="shared" si="37"/>
        <v>201.37854489369496</v>
      </c>
      <c r="AN40" s="353">
        <f t="shared" si="38"/>
        <v>453.19655213153726</v>
      </c>
      <c r="AO40" s="353">
        <f t="shared" si="39"/>
        <v>565.48778893772078</v>
      </c>
      <c r="AP40" s="343">
        <f t="shared" si="121"/>
        <v>263.07607695196759</v>
      </c>
      <c r="AQ40" s="343">
        <f t="shared" si="122"/>
        <v>375.36731375815111</v>
      </c>
      <c r="AS40" s="350">
        <v>0.95782121195242187</v>
      </c>
      <c r="AT40" s="350">
        <v>1.2846047572001853</v>
      </c>
      <c r="AU40" s="350">
        <v>1.9047605904262896</v>
      </c>
      <c r="AV40" s="350">
        <v>5168.7457999999997</v>
      </c>
      <c r="AW40" s="350">
        <v>1557.9117000000001</v>
      </c>
      <c r="AX40" s="351">
        <f t="shared" si="40"/>
        <v>241.37094541201031</v>
      </c>
      <c r="AY40" s="351">
        <f t="shared" si="41"/>
        <v>643.58698335729287</v>
      </c>
      <c r="AZ40" s="352">
        <f t="shared" si="42"/>
        <v>306.66645505863261</v>
      </c>
      <c r="BA40" s="352">
        <f t="shared" si="43"/>
        <v>223.023640211388</v>
      </c>
      <c r="BB40" s="353">
        <f t="shared" si="44"/>
        <v>464.39458562339831</v>
      </c>
      <c r="BC40" s="353">
        <f t="shared" si="45"/>
        <v>559.94416851004826</v>
      </c>
      <c r="BD40" s="343">
        <f t="shared" si="123"/>
        <v>257.26201903051884</v>
      </c>
      <c r="BE40" s="343">
        <f t="shared" si="124"/>
        <v>352.81160191716879</v>
      </c>
      <c r="BG40" s="350">
        <v>1.0894975197552446</v>
      </c>
      <c r="BH40" s="350">
        <v>1.2320612621850981</v>
      </c>
      <c r="BI40" s="350">
        <v>1.716232005170498</v>
      </c>
      <c r="BJ40" s="350">
        <v>5205.2617</v>
      </c>
      <c r="BK40" s="350">
        <v>1565.14</v>
      </c>
      <c r="BL40" s="351">
        <f t="shared" si="46"/>
        <v>258.21091218199297</v>
      </c>
      <c r="BM40" s="351">
        <f t="shared" si="47"/>
        <v>593.85352837321727</v>
      </c>
      <c r="BN40" s="352">
        <f t="shared" si="48"/>
        <v>308.92176093068963</v>
      </c>
      <c r="BO40" s="352">
        <f t="shared" si="49"/>
        <v>215.3056376820721</v>
      </c>
      <c r="BP40" s="353">
        <f t="shared" si="50"/>
        <v>473.51654986406504</v>
      </c>
      <c r="BQ40" s="353">
        <f t="shared" si="51"/>
        <v>500.23740512459972</v>
      </c>
      <c r="BR40" s="343">
        <f t="shared" si="125"/>
        <v>276.3141693177925</v>
      </c>
      <c r="BS40" s="343">
        <f t="shared" si="126"/>
        <v>303.03502457832718</v>
      </c>
      <c r="BU40" s="350">
        <v>0.84048605541921784</v>
      </c>
      <c r="BV40" s="350">
        <v>1.2972838828058098</v>
      </c>
      <c r="BW40" s="350">
        <v>2.629893748527548</v>
      </c>
      <c r="BX40" s="350">
        <v>9559.7741999999998</v>
      </c>
      <c r="BY40" s="350">
        <v>3296.4767000000002</v>
      </c>
      <c r="BZ40" s="351">
        <f t="shared" si="52"/>
        <v>152.96846208629765</v>
      </c>
      <c r="CA40" s="351">
        <f t="shared" si="53"/>
        <v>398.26615202138362</v>
      </c>
      <c r="CB40" s="352">
        <f t="shared" si="54"/>
        <v>176.20288115134571</v>
      </c>
      <c r="CC40" s="352">
        <f t="shared" si="55"/>
        <v>127.30630779568413</v>
      </c>
      <c r="CD40" s="353">
        <f t="shared" si="56"/>
        <v>280.2747698819818</v>
      </c>
      <c r="CE40" s="353">
        <f t="shared" si="57"/>
        <v>349.36957866572203</v>
      </c>
      <c r="CF40" s="343">
        <f t="shared" si="127"/>
        <v>164.50146359206335</v>
      </c>
      <c r="CG40" s="343">
        <f t="shared" si="128"/>
        <v>233.59627237580361</v>
      </c>
      <c r="CI40" s="350">
        <v>0.9478284789336392</v>
      </c>
      <c r="CJ40" s="350">
        <v>0.92138289389761829</v>
      </c>
      <c r="CK40" s="350">
        <v>1.5174504430804896</v>
      </c>
      <c r="CL40" s="350">
        <v>21794.535</v>
      </c>
      <c r="CM40" s="350">
        <v>6914.3792000000003</v>
      </c>
      <c r="CN40" s="351">
        <f t="shared" si="58"/>
        <v>171.55695468698869</v>
      </c>
      <c r="CO40" s="351">
        <f t="shared" si="59"/>
        <v>209.15391691475935</v>
      </c>
      <c r="CP40" s="352">
        <f t="shared" si="60"/>
        <v>6.0698017723219584</v>
      </c>
      <c r="CQ40" s="352">
        <f t="shared" si="61"/>
        <v>3.3346114079592173</v>
      </c>
      <c r="CR40" s="353">
        <f t="shared" si="62"/>
        <v>174.8915660949479</v>
      </c>
      <c r="CS40" s="353">
        <f t="shared" si="63"/>
        <v>206.4187265503966</v>
      </c>
      <c r="CT40" s="343">
        <f t="shared" si="129"/>
        <v>171.95025436141003</v>
      </c>
      <c r="CU40" s="343">
        <f t="shared" si="130"/>
        <v>203.47741481685873</v>
      </c>
      <c r="CW40" s="350">
        <v>0.50580000000000003</v>
      </c>
      <c r="CX40" s="350">
        <v>0.47749999999999998</v>
      </c>
      <c r="CY40" s="350">
        <v>1.8602167938288305</v>
      </c>
      <c r="CZ40" s="350">
        <v>9518.2425000000003</v>
      </c>
      <c r="DA40" s="350">
        <v>2921.2982999999999</v>
      </c>
      <c r="DB40" s="351">
        <f t="shared" si="64"/>
        <v>96.607800000000012</v>
      </c>
      <c r="DC40" s="351">
        <f t="shared" si="65"/>
        <v>125.10499999999999</v>
      </c>
      <c r="DD40" s="352">
        <f t="shared" si="66"/>
        <v>5.5806503814864916</v>
      </c>
      <c r="DE40" s="352">
        <f t="shared" si="67"/>
        <v>3.1489713989263022</v>
      </c>
      <c r="DF40" s="353">
        <f t="shared" si="68"/>
        <v>99.756771398926318</v>
      </c>
      <c r="DG40" s="353">
        <f t="shared" si="69"/>
        <v>122.6733210174398</v>
      </c>
      <c r="DH40" s="343">
        <f t="shared" si="131"/>
        <v>96.909610289851756</v>
      </c>
      <c r="DI40" s="343">
        <f t="shared" si="132"/>
        <v>119.82615990836524</v>
      </c>
      <c r="DK40" s="350">
        <v>0.55279999999999996</v>
      </c>
      <c r="DL40" s="350">
        <v>0.53800000000000003</v>
      </c>
      <c r="DM40" s="350">
        <v>1.1980589373737172</v>
      </c>
      <c r="DN40" s="350">
        <v>969.07669999999996</v>
      </c>
      <c r="DO40" s="350">
        <v>415.60500000000002</v>
      </c>
      <c r="DP40" s="351">
        <f t="shared" si="70"/>
        <v>53.068799999999996</v>
      </c>
      <c r="DQ40" s="351">
        <f t="shared" si="71"/>
        <v>93.612000000000009</v>
      </c>
      <c r="DR40" s="352">
        <f t="shared" si="72"/>
        <v>2.3961178747474343</v>
      </c>
      <c r="DS40" s="352">
        <f t="shared" si="73"/>
        <v>1.5292075478921361</v>
      </c>
      <c r="DT40" s="353">
        <f t="shared" si="74"/>
        <v>54.598007547892131</v>
      </c>
      <c r="DU40" s="353">
        <f t="shared" si="75"/>
        <v>92.745089673144719</v>
      </c>
      <c r="DV40" s="343">
        <f t="shared" si="133"/>
        <v>53.325524826004717</v>
      </c>
      <c r="DW40" s="343">
        <f t="shared" si="134"/>
        <v>91.472606951257291</v>
      </c>
      <c r="EB40" s="326"/>
      <c r="EC40" s="326"/>
      <c r="ED40" s="326"/>
      <c r="EE40" s="348">
        <f t="shared" si="76"/>
        <v>48088.979133333334</v>
      </c>
      <c r="EF40" s="348">
        <f t="shared" si="77"/>
        <v>15467.517533333334</v>
      </c>
      <c r="EG40" s="348">
        <f t="shared" si="78"/>
        <v>1398.5256031267031</v>
      </c>
      <c r="EH40" s="348">
        <f t="shared" si="79"/>
        <v>3171.9829189589668</v>
      </c>
      <c r="EI40" s="354">
        <f t="shared" si="80"/>
        <v>0.75663357257629427</v>
      </c>
      <c r="EJ40" s="326"/>
      <c r="EK40" s="348">
        <f t="shared" si="81"/>
        <v>1852.3002015475552</v>
      </c>
      <c r="EL40" s="348">
        <f t="shared" si="82"/>
        <v>2991.6081368622145</v>
      </c>
      <c r="EM40" s="348">
        <f t="shared" si="83"/>
        <v>1443.6062342432979</v>
      </c>
      <c r="EN40" s="348">
        <f t="shared" si="84"/>
        <v>2582.9141695579569</v>
      </c>
      <c r="EP40" s="326"/>
      <c r="EQ40" s="326"/>
      <c r="ER40" s="326"/>
      <c r="ES40" s="348">
        <f t="shared" si="85"/>
        <v>37857.612533333333</v>
      </c>
      <c r="ET40" s="348">
        <f t="shared" si="86"/>
        <v>11847.479166666668</v>
      </c>
      <c r="EU40" s="348">
        <f t="shared" si="87"/>
        <v>1055.1043782778177</v>
      </c>
      <c r="EV40" s="348">
        <f t="shared" si="88"/>
        <v>2385.3314774685928</v>
      </c>
      <c r="EW40" s="354">
        <f t="shared" si="89"/>
        <v>0.76164455669505038</v>
      </c>
      <c r="EX40" s="326"/>
      <c r="EY40" s="348">
        <f t="shared" si="90"/>
        <v>1501.5842648877572</v>
      </c>
      <c r="EZ40" s="348">
        <f t="shared" si="91"/>
        <v>2203.0904738087988</v>
      </c>
      <c r="FA40" s="348">
        <f t="shared" si="92"/>
        <v>1091.1730541414277</v>
      </c>
      <c r="FB40" s="348">
        <f t="shared" si="93"/>
        <v>1792.6792630624695</v>
      </c>
      <c r="FD40" s="326"/>
      <c r="FE40" s="326"/>
      <c r="FF40" s="326"/>
      <c r="FG40" s="348">
        <f t="shared" si="94"/>
        <v>32497.582566666668</v>
      </c>
      <c r="FH40" s="348">
        <f t="shared" si="95"/>
        <v>10680.866733333332</v>
      </c>
      <c r="FI40" s="348">
        <f t="shared" si="96"/>
        <v>608.18470401112859</v>
      </c>
      <c r="FJ40" s="348">
        <f t="shared" si="97"/>
        <v>1307.793268936143</v>
      </c>
      <c r="FK40" s="354">
        <f t="shared" si="98"/>
        <v>0.75263431395778879</v>
      </c>
      <c r="FL40" s="326"/>
      <c r="FM40" s="348">
        <f t="shared" si="99"/>
        <v>941.12169263720216</v>
      </c>
      <c r="FN40" s="348">
        <f t="shared" si="100"/>
        <v>1176.9231479577261</v>
      </c>
      <c r="FO40" s="348">
        <f t="shared" si="101"/>
        <v>631.5231098010438</v>
      </c>
      <c r="FP40" s="348">
        <f t="shared" si="102"/>
        <v>867.32456512156796</v>
      </c>
      <c r="FR40" s="326"/>
      <c r="FS40" s="326"/>
      <c r="FT40" s="326"/>
      <c r="FU40" s="348">
        <f t="shared" si="103"/>
        <v>14728.52</v>
      </c>
      <c r="FV40" s="348">
        <f t="shared" si="104"/>
        <v>4854.3883999999998</v>
      </c>
      <c r="FW40" s="349">
        <f t="shared" si="105"/>
        <v>79.562234993141402</v>
      </c>
      <c r="FX40" s="349">
        <f t="shared" si="106"/>
        <v>220.78874820231832</v>
      </c>
      <c r="FY40" s="354">
        <f t="shared" si="107"/>
        <v>0.75211095814552242</v>
      </c>
      <c r="FZ40" s="326"/>
      <c r="GA40" s="349">
        <f t="shared" si="108"/>
        <v>165.70783416727488</v>
      </c>
      <c r="GB40" s="349">
        <f t="shared" si="109"/>
        <v>189.5171308598936</v>
      </c>
      <c r="GC40" s="349">
        <f t="shared" si="18"/>
        <v>83.484499894609954</v>
      </c>
      <c r="GD40" s="349">
        <f t="shared" si="19"/>
        <v>107.29379658722867</v>
      </c>
      <c r="GF40" s="326"/>
      <c r="GG40" s="326"/>
      <c r="GH40" s="326"/>
      <c r="GI40" s="348">
        <f t="shared" si="135"/>
        <v>31312.7775</v>
      </c>
      <c r="GJ40" s="348">
        <f t="shared" si="136"/>
        <v>9835.6774999999998</v>
      </c>
      <c r="GK40" s="348">
        <f t="shared" si="137"/>
        <v>248.84319468698871</v>
      </c>
      <c r="GL40" s="348">
        <f t="shared" si="138"/>
        <v>309.23791691475935</v>
      </c>
      <c r="GM40" s="354">
        <f t="shared" si="114"/>
        <v>0.76097091616197976</v>
      </c>
      <c r="GN40" s="326"/>
      <c r="GO40" s="348">
        <f t="shared" si="115"/>
        <v>254.69698321408896</v>
      </c>
      <c r="GP40" s="348">
        <f t="shared" si="116"/>
        <v>304.55738336434842</v>
      </c>
      <c r="GQ40" s="348">
        <f t="shared" si="20"/>
        <v>249.47794259329146</v>
      </c>
      <c r="GR40" s="348">
        <f t="shared" si="21"/>
        <v>299.33834274355092</v>
      </c>
    </row>
    <row r="41" spans="1:200" x14ac:dyDescent="0.2">
      <c r="A41" s="320">
        <v>31</v>
      </c>
      <c r="C41" s="350">
        <v>0.86795745820634673</v>
      </c>
      <c r="D41" s="350">
        <v>0.95630344235186193</v>
      </c>
      <c r="E41" s="350">
        <v>1.5296575661989618</v>
      </c>
      <c r="F41" s="350">
        <v>13359.574999999997</v>
      </c>
      <c r="G41" s="350">
        <v>4725.0158333333347</v>
      </c>
      <c r="H41" s="351">
        <f t="shared" si="22"/>
        <v>890.52435211971169</v>
      </c>
      <c r="I41" s="351">
        <f t="shared" si="23"/>
        <v>2272.1769790280241</v>
      </c>
      <c r="J41" s="352">
        <f t="shared" si="24"/>
        <v>390.06267938073523</v>
      </c>
      <c r="K41" s="352">
        <f t="shared" si="25"/>
        <v>280.23241769252456</v>
      </c>
      <c r="L41" s="353">
        <f t="shared" si="26"/>
        <v>1170.7567698122361</v>
      </c>
      <c r="M41" s="353">
        <f t="shared" si="27"/>
        <v>2162.3467173398135</v>
      </c>
      <c r="N41" s="343">
        <f t="shared" si="117"/>
        <v>919.0791617114952</v>
      </c>
      <c r="O41" s="343">
        <f t="shared" si="118"/>
        <v>1910.6691092390722</v>
      </c>
      <c r="Q41" s="350">
        <v>0.80439071339144286</v>
      </c>
      <c r="R41" s="350">
        <v>0.91769023948841522</v>
      </c>
      <c r="S41" s="350">
        <v>1.8770780719807929</v>
      </c>
      <c r="T41" s="350">
        <v>1485.4516666666661</v>
      </c>
      <c r="U41" s="350">
        <v>488.39</v>
      </c>
      <c r="V41" s="351">
        <f t="shared" si="28"/>
        <v>566.29106222757582</v>
      </c>
      <c r="W41" s="351">
        <f t="shared" si="29"/>
        <v>1539.8842218615607</v>
      </c>
      <c r="X41" s="352">
        <f t="shared" si="30"/>
        <v>360.39898982031224</v>
      </c>
      <c r="Y41" s="352">
        <f t="shared" si="31"/>
        <v>263.49787797417565</v>
      </c>
      <c r="Z41" s="353">
        <f t="shared" si="32"/>
        <v>829.78894020175153</v>
      </c>
      <c r="AA41" s="353">
        <f t="shared" si="33"/>
        <v>1442.9831100154242</v>
      </c>
      <c r="AB41" s="343">
        <f t="shared" si="119"/>
        <v>583.65191407806856</v>
      </c>
      <c r="AC41" s="343">
        <f t="shared" si="120"/>
        <v>1196.8460838917413</v>
      </c>
      <c r="AE41" s="350">
        <v>0.71342277237358487</v>
      </c>
      <c r="AF41" s="350">
        <v>0.874</v>
      </c>
      <c r="AG41" s="350">
        <v>2.5284612781107212</v>
      </c>
      <c r="AH41" s="350">
        <v>214.89083333333335</v>
      </c>
      <c r="AI41" s="350">
        <v>64.715833333333336</v>
      </c>
      <c r="AJ41" s="351">
        <f t="shared" si="34"/>
        <v>253.9785069649962</v>
      </c>
      <c r="AK41" s="351">
        <f t="shared" si="35"/>
        <v>669.48400000000004</v>
      </c>
      <c r="AL41" s="352">
        <f t="shared" si="36"/>
        <v>300.88689209517582</v>
      </c>
      <c r="AM41" s="352">
        <f t="shared" si="37"/>
        <v>218.1344218613547</v>
      </c>
      <c r="AN41" s="353">
        <f t="shared" si="38"/>
        <v>472.11292882635087</v>
      </c>
      <c r="AO41" s="353">
        <f t="shared" si="39"/>
        <v>586.73152976617894</v>
      </c>
      <c r="AP41" s="343">
        <f t="shared" si="121"/>
        <v>265.23657667912147</v>
      </c>
      <c r="AQ41" s="343">
        <f t="shared" si="122"/>
        <v>379.85517761894948</v>
      </c>
      <c r="AS41" s="350">
        <v>0.87355226490648541</v>
      </c>
      <c r="AT41" s="350">
        <v>1.3292846728528889</v>
      </c>
      <c r="AU41" s="350">
        <v>2.1165858080471445</v>
      </c>
      <c r="AV41" s="350">
        <v>6443.1975000000002</v>
      </c>
      <c r="AW41" s="350">
        <v>1878.4757999999999</v>
      </c>
      <c r="AX41" s="351">
        <f t="shared" si="40"/>
        <v>220.13517075643432</v>
      </c>
      <c r="AY41" s="351">
        <f t="shared" si="41"/>
        <v>665.97162109929729</v>
      </c>
      <c r="AZ41" s="352">
        <f t="shared" si="42"/>
        <v>340.77031509559026</v>
      </c>
      <c r="BA41" s="352">
        <f t="shared" si="43"/>
        <v>256.11287629502516</v>
      </c>
      <c r="BB41" s="353">
        <f t="shared" si="44"/>
        <v>476.24804705145948</v>
      </c>
      <c r="BC41" s="353">
        <f t="shared" si="45"/>
        <v>581.31418229873225</v>
      </c>
      <c r="BD41" s="343">
        <f t="shared" si="123"/>
        <v>236.02624437494285</v>
      </c>
      <c r="BE41" s="343">
        <f t="shared" si="124"/>
        <v>341.09237962221556</v>
      </c>
      <c r="BG41" s="350">
        <v>1.0198154042611929</v>
      </c>
      <c r="BH41" s="350">
        <v>1.2845026127265977</v>
      </c>
      <c r="BI41" s="350">
        <v>1.9845092220069103</v>
      </c>
      <c r="BJ41" s="350">
        <v>6485.1067000000003</v>
      </c>
      <c r="BK41" s="350">
        <v>1897.6824999999999</v>
      </c>
      <c r="BL41" s="351">
        <f t="shared" si="46"/>
        <v>241.69625080990272</v>
      </c>
      <c r="BM41" s="351">
        <f t="shared" si="47"/>
        <v>619.13025933422011</v>
      </c>
      <c r="BN41" s="352">
        <f t="shared" si="48"/>
        <v>357.21165996124387</v>
      </c>
      <c r="BO41" s="352">
        <f t="shared" si="49"/>
        <v>256.91651577038982</v>
      </c>
      <c r="BP41" s="353">
        <f t="shared" si="50"/>
        <v>498.61276658029254</v>
      </c>
      <c r="BQ41" s="353">
        <f t="shared" si="51"/>
        <v>518.83511514336601</v>
      </c>
      <c r="BR41" s="343">
        <f t="shared" si="125"/>
        <v>259.79950794570226</v>
      </c>
      <c r="BS41" s="343">
        <f t="shared" si="126"/>
        <v>280.02185650877578</v>
      </c>
      <c r="BU41" s="350">
        <v>0.83052793307778572</v>
      </c>
      <c r="BV41" s="350">
        <v>1.3281225034436543</v>
      </c>
      <c r="BW41" s="350">
        <v>2.7156850315623826</v>
      </c>
      <c r="BX41" s="350">
        <v>10662.797500000001</v>
      </c>
      <c r="BY41" s="350">
        <v>3669.7982999999999</v>
      </c>
      <c r="BZ41" s="351">
        <f t="shared" si="52"/>
        <v>151.15608382015699</v>
      </c>
      <c r="CA41" s="351">
        <f t="shared" si="53"/>
        <v>407.73360855720188</v>
      </c>
      <c r="CB41" s="352">
        <f t="shared" si="54"/>
        <v>181.95089711467963</v>
      </c>
      <c r="CC41" s="352">
        <f t="shared" si="55"/>
        <v>132.74085543645623</v>
      </c>
      <c r="CD41" s="353">
        <f t="shared" si="56"/>
        <v>283.89693925661322</v>
      </c>
      <c r="CE41" s="353">
        <f t="shared" si="57"/>
        <v>358.5235668789785</v>
      </c>
      <c r="CF41" s="343">
        <f t="shared" si="127"/>
        <v>162.68908532592269</v>
      </c>
      <c r="CG41" s="343">
        <f t="shared" si="128"/>
        <v>237.31571294828794</v>
      </c>
      <c r="CI41" s="350">
        <v>0.97116177944924531</v>
      </c>
      <c r="CJ41" s="350">
        <v>0.94844052077117624</v>
      </c>
      <c r="CK41" s="350">
        <v>1.7480118134321647</v>
      </c>
      <c r="CL41" s="350">
        <v>25224.201700000001</v>
      </c>
      <c r="CM41" s="350">
        <v>7806.7842000000001</v>
      </c>
      <c r="CN41" s="351">
        <f t="shared" si="58"/>
        <v>175.78028208031341</v>
      </c>
      <c r="CO41" s="351">
        <f t="shared" si="59"/>
        <v>215.29599821505701</v>
      </c>
      <c r="CP41" s="352">
        <f t="shared" si="60"/>
        <v>6.9920472537286589</v>
      </c>
      <c r="CQ41" s="352">
        <f t="shared" si="61"/>
        <v>3.8492740902654536</v>
      </c>
      <c r="CR41" s="353">
        <f t="shared" si="62"/>
        <v>179.62955617057887</v>
      </c>
      <c r="CS41" s="353">
        <f t="shared" si="63"/>
        <v>212.15322505159381</v>
      </c>
      <c r="CT41" s="343">
        <f t="shared" si="129"/>
        <v>176.17358175473476</v>
      </c>
      <c r="CU41" s="343">
        <f t="shared" si="130"/>
        <v>208.6972506357497</v>
      </c>
      <c r="CW41" s="350">
        <v>0.56579999999999997</v>
      </c>
      <c r="CX41" s="350">
        <v>0.54779999999999995</v>
      </c>
      <c r="CY41" s="350">
        <v>1.9881875929120685</v>
      </c>
      <c r="CZ41" s="350">
        <v>11287.4208</v>
      </c>
      <c r="DA41" s="350">
        <v>3349.6567</v>
      </c>
      <c r="DB41" s="351">
        <f t="shared" si="64"/>
        <v>108.06779999999999</v>
      </c>
      <c r="DC41" s="351">
        <f t="shared" si="65"/>
        <v>143.52359999999999</v>
      </c>
      <c r="DD41" s="352">
        <f t="shared" si="66"/>
        <v>5.9645627787362052</v>
      </c>
      <c r="DE41" s="352">
        <f t="shared" si="67"/>
        <v>3.4025627363662814</v>
      </c>
      <c r="DF41" s="353">
        <f t="shared" si="68"/>
        <v>111.47036273636627</v>
      </c>
      <c r="DG41" s="353">
        <f t="shared" si="69"/>
        <v>140.96159995763009</v>
      </c>
      <c r="DH41" s="343">
        <f t="shared" si="131"/>
        <v>108.36961028985174</v>
      </c>
      <c r="DI41" s="343">
        <f t="shared" si="132"/>
        <v>137.86084751111554</v>
      </c>
      <c r="DK41" s="350">
        <v>0.61780000000000002</v>
      </c>
      <c r="DL41" s="350">
        <v>0.55420000000000003</v>
      </c>
      <c r="DM41" s="350">
        <v>1.3075832963752232</v>
      </c>
      <c r="DN41" s="350">
        <v>953.54079999999999</v>
      </c>
      <c r="DO41" s="350">
        <v>368.24250000000001</v>
      </c>
      <c r="DP41" s="351">
        <f t="shared" si="70"/>
        <v>59.308800000000005</v>
      </c>
      <c r="DQ41" s="351">
        <f t="shared" si="71"/>
        <v>96.430800000000005</v>
      </c>
      <c r="DR41" s="352">
        <f t="shared" si="72"/>
        <v>2.6151665927504464</v>
      </c>
      <c r="DS41" s="352">
        <f t="shared" si="73"/>
        <v>1.6192580863967789</v>
      </c>
      <c r="DT41" s="353">
        <f t="shared" si="74"/>
        <v>60.928058086396781</v>
      </c>
      <c r="DU41" s="353">
        <f t="shared" si="75"/>
        <v>95.434891493646347</v>
      </c>
      <c r="DV41" s="343">
        <f t="shared" si="133"/>
        <v>59.565524826004726</v>
      </c>
      <c r="DW41" s="343">
        <f t="shared" si="134"/>
        <v>94.072358233254278</v>
      </c>
      <c r="EB41" s="326"/>
      <c r="EC41" s="326"/>
      <c r="ED41" s="326"/>
      <c r="EE41" s="348">
        <f t="shared" si="76"/>
        <v>56314.394999999997</v>
      </c>
      <c r="EF41" s="348">
        <f t="shared" si="77"/>
        <v>17759.932533333336</v>
      </c>
      <c r="EG41" s="348">
        <f t="shared" si="78"/>
        <v>1372.8940449564593</v>
      </c>
      <c r="EH41" s="348">
        <f t="shared" si="79"/>
        <v>3268.2634783423782</v>
      </c>
      <c r="EI41" s="354">
        <f t="shared" si="80"/>
        <v>0.76024173118086846</v>
      </c>
      <c r="EJ41" s="326"/>
      <c r="EK41" s="348">
        <f t="shared" si="81"/>
        <v>1915.8106632233673</v>
      </c>
      <c r="EL41" s="348">
        <f t="shared" si="82"/>
        <v>3068.5834046562436</v>
      </c>
      <c r="EM41" s="348">
        <f t="shared" si="83"/>
        <v>1417.9746760730541</v>
      </c>
      <c r="EN41" s="348">
        <f t="shared" si="84"/>
        <v>2570.7474175059301</v>
      </c>
      <c r="EP41" s="326"/>
      <c r="EQ41" s="326"/>
      <c r="ER41" s="326"/>
      <c r="ES41" s="348">
        <f t="shared" si="85"/>
        <v>44482.180866666669</v>
      </c>
      <c r="ET41" s="348">
        <f t="shared" si="86"/>
        <v>13542.5134</v>
      </c>
      <c r="EU41" s="348">
        <f t="shared" si="87"/>
        <v>1059.415055117792</v>
      </c>
      <c r="EV41" s="348">
        <f t="shared" si="88"/>
        <v>2474.7769994108376</v>
      </c>
      <c r="EW41" s="354">
        <f t="shared" si="89"/>
        <v>0.76660775948664084</v>
      </c>
      <c r="EX41" s="326"/>
      <c r="EY41" s="348">
        <f t="shared" si="90"/>
        <v>1586.0605168680793</v>
      </c>
      <c r="EZ41" s="348">
        <f t="shared" si="91"/>
        <v>2272.6445701807247</v>
      </c>
      <c r="FA41" s="348">
        <f t="shared" si="92"/>
        <v>1095.4837309814018</v>
      </c>
      <c r="FB41" s="348">
        <f t="shared" si="93"/>
        <v>1782.0677842940477</v>
      </c>
      <c r="FD41" s="326"/>
      <c r="FE41" s="326"/>
      <c r="FF41" s="326"/>
      <c r="FG41" s="348">
        <f t="shared" si="94"/>
        <v>37055.430833333339</v>
      </c>
      <c r="FH41" s="348">
        <f t="shared" si="95"/>
        <v>11909.540833333333</v>
      </c>
      <c r="FI41" s="348">
        <f t="shared" si="96"/>
        <v>616.50015286546659</v>
      </c>
      <c r="FJ41" s="348">
        <f t="shared" si="97"/>
        <v>1350.3720867722589</v>
      </c>
      <c r="FK41" s="354">
        <f t="shared" si="98"/>
        <v>0.7567742729556024</v>
      </c>
      <c r="FL41" s="326"/>
      <c r="FM41" s="348">
        <f t="shared" si="99"/>
        <v>972.19625910538105</v>
      </c>
      <c r="FN41" s="348">
        <f t="shared" si="100"/>
        <v>1214.6692565929391</v>
      </c>
      <c r="FO41" s="348">
        <f t="shared" si="101"/>
        <v>639.8385586553818</v>
      </c>
      <c r="FP41" s="348">
        <f t="shared" si="102"/>
        <v>882.31155614293971</v>
      </c>
      <c r="FR41" s="326"/>
      <c r="FS41" s="326"/>
      <c r="FT41" s="326"/>
      <c r="FU41" s="348">
        <f t="shared" si="103"/>
        <v>17105.995000000003</v>
      </c>
      <c r="FV41" s="348">
        <f t="shared" si="104"/>
        <v>5548.2740999999996</v>
      </c>
      <c r="FW41" s="349">
        <f t="shared" si="105"/>
        <v>62.081178242649592</v>
      </c>
      <c r="FX41" s="349">
        <f t="shared" si="106"/>
        <v>232.41421128788588</v>
      </c>
      <c r="FY41" s="354">
        <f t="shared" si="107"/>
        <v>0.75508924717416737</v>
      </c>
      <c r="FZ41" s="326"/>
      <c r="GA41" s="349">
        <f t="shared" si="108"/>
        <v>173.11599701536164</v>
      </c>
      <c r="GB41" s="349">
        <f t="shared" si="109"/>
        <v>200.51155387777837</v>
      </c>
      <c r="GC41" s="349">
        <f t="shared" ref="GC41:GC72" si="139" xml:space="preserve"> MAX( 0, BD41 - CF41 ) * GC$8</f>
        <v>66.003443144118151</v>
      </c>
      <c r="GD41" s="349">
        <f t="shared" ref="GD41:GD72" si="140" xml:space="preserve"> MAX( 0, BE41 - CG41 ) * GD$8</f>
        <v>93.399000006534862</v>
      </c>
      <c r="GF41" s="326"/>
      <c r="GG41" s="326"/>
      <c r="GH41" s="326"/>
      <c r="GI41" s="348">
        <f t="shared" si="135"/>
        <v>36511.622499999998</v>
      </c>
      <c r="GJ41" s="348">
        <f t="shared" si="136"/>
        <v>11156.4409</v>
      </c>
      <c r="GK41" s="348">
        <f t="shared" si="137"/>
        <v>262.23452208031341</v>
      </c>
      <c r="GL41" s="348">
        <f t="shared" si="138"/>
        <v>330.11487821505699</v>
      </c>
      <c r="GM41" s="354">
        <f t="shared" si="114"/>
        <v>0.76595565029814072</v>
      </c>
      <c r="GN41" s="326"/>
      <c r="GO41" s="348">
        <f t="shared" si="115"/>
        <v>268.80584635967188</v>
      </c>
      <c r="GP41" s="348">
        <f t="shared" si="116"/>
        <v>324.92250501769786</v>
      </c>
      <c r="GQ41" s="348">
        <f t="shared" ref="GQ41:GQ72" si="141" xml:space="preserve"> CT41 + GQ$8 * DH41</f>
        <v>262.86926998661613</v>
      </c>
      <c r="GR41" s="348">
        <f t="shared" ref="GR41:GR72" si="142" xml:space="preserve"> CU41 + GR$8 * DI41</f>
        <v>318.98592864464212</v>
      </c>
    </row>
    <row r="42" spans="1:200" x14ac:dyDescent="0.2">
      <c r="A42" s="320">
        <v>32</v>
      </c>
      <c r="C42" s="350">
        <v>0.86028239419543795</v>
      </c>
      <c r="D42" s="350">
        <v>0.97515281275908872</v>
      </c>
      <c r="E42" s="350">
        <v>1.9067903412459324</v>
      </c>
      <c r="F42" s="350">
        <v>15669.815833333332</v>
      </c>
      <c r="G42" s="350">
        <v>5032.53</v>
      </c>
      <c r="H42" s="351">
        <f t="shared" ref="H42:H73" si="143" xml:space="preserve"> C42 * C$8</f>
        <v>882.64973644451936</v>
      </c>
      <c r="I42" s="351">
        <f t="shared" ref="I42:I73" si="144" xml:space="preserve"> D42 * D$8</f>
        <v>2316.9630831155946</v>
      </c>
      <c r="J42" s="352">
        <f t="shared" ref="J42:J73" si="145" xml:space="preserve"> E42 * E$8</f>
        <v>486.23153701771275</v>
      </c>
      <c r="K42" s="352">
        <f t="shared" ref="K42:K73" si="146" xml:space="preserve"> IF(    SUM(H42:I42)=0,    0,   J42 * I42 / SUM(H42:I42)    )</f>
        <v>352.09901467749387</v>
      </c>
      <c r="L42" s="353">
        <f t="shared" ref="L42:L73" si="147" xml:space="preserve"> H42 + K42</f>
        <v>1234.7487511220133</v>
      </c>
      <c r="M42" s="353">
        <f t="shared" ref="M42:M73" si="148" xml:space="preserve"> I42 - J42 + K42</f>
        <v>2182.8305607753755</v>
      </c>
      <c r="N42" s="343">
        <f t="shared" si="117"/>
        <v>911.20454603630287</v>
      </c>
      <c r="O42" s="343">
        <f t="shared" si="118"/>
        <v>1859.2863556896652</v>
      </c>
      <c r="Q42" s="350">
        <v>0.81781006445103865</v>
      </c>
      <c r="R42" s="350">
        <v>0.94123107322087218</v>
      </c>
      <c r="S42" s="350">
        <v>2.1465635046404432</v>
      </c>
      <c r="T42" s="350">
        <v>1763.5608333333334</v>
      </c>
      <c r="U42" s="350">
        <v>626.64583333333326</v>
      </c>
      <c r="V42" s="351">
        <f t="shared" ref="V42:V73" si="149" xml:space="preserve"> Q42 * Q$8</f>
        <v>575.7382853735312</v>
      </c>
      <c r="W42" s="351">
        <f t="shared" ref="W42:W73" si="150" xml:space="preserve"> R42 * R$8</f>
        <v>1579.3857408646236</v>
      </c>
      <c r="X42" s="352">
        <f t="shared" ref="X42:X73" si="151" xml:space="preserve"> S42 * S$8</f>
        <v>412.14019289096507</v>
      </c>
      <c r="Y42" s="352">
        <f t="shared" ref="Y42:Y73" si="152" xml:space="preserve"> IF(    SUM(V42:W42)=0,    0,   X42 * W42 / SUM(V42:W42)    )</f>
        <v>302.03753285856322</v>
      </c>
      <c r="Z42" s="353">
        <f t="shared" ref="Z42:Z73" si="153" xml:space="preserve"> V42 + Y42</f>
        <v>877.77581823209448</v>
      </c>
      <c r="AA42" s="353">
        <f t="shared" ref="AA42:AA73" si="154" xml:space="preserve"> W42 - X42 + Y42</f>
        <v>1469.2830808322219</v>
      </c>
      <c r="AB42" s="343">
        <f t="shared" si="119"/>
        <v>593.09913722402393</v>
      </c>
      <c r="AC42" s="343">
        <f t="shared" si="120"/>
        <v>1184.6063998241514</v>
      </c>
      <c r="AE42" s="350">
        <v>0.72288253535825142</v>
      </c>
      <c r="AF42" s="350">
        <v>0.90300000000000002</v>
      </c>
      <c r="AG42" s="350">
        <v>2.6280150371574753</v>
      </c>
      <c r="AH42" s="350">
        <v>250.44083333333333</v>
      </c>
      <c r="AI42" s="350">
        <v>64</v>
      </c>
      <c r="AJ42" s="351">
        <f t="shared" ref="AJ42:AJ73" si="155" xml:space="preserve"> AE42 * AE$8</f>
        <v>257.3461825875375</v>
      </c>
      <c r="AK42" s="351">
        <f t="shared" ref="AK42:AK73" si="156" xml:space="preserve"> AF42 * AF$8</f>
        <v>691.69799999999998</v>
      </c>
      <c r="AL42" s="352">
        <f t="shared" ref="AL42:AL73" si="157" xml:space="preserve"> AG42 * AG$8</f>
        <v>312.73378942173957</v>
      </c>
      <c r="AM42" s="352">
        <f t="shared" ref="AM42:AM73" si="158" xml:space="preserve"> IF(    SUM(AJ42:AK42)=0,    0,   AL42 * AK42 / SUM(AJ42:AK42)    )</f>
        <v>227.93178720684676</v>
      </c>
      <c r="AN42" s="353">
        <f t="shared" ref="AN42:AN73" si="159" xml:space="preserve"> AJ42 + AM42</f>
        <v>485.27796979438426</v>
      </c>
      <c r="AO42" s="353">
        <f t="shared" ref="AO42:AO73" si="160" xml:space="preserve"> AK42 - AL42 + AM42</f>
        <v>606.89599778510717</v>
      </c>
      <c r="AP42" s="343">
        <f t="shared" si="121"/>
        <v>268.60425230166277</v>
      </c>
      <c r="AQ42" s="343">
        <f t="shared" si="122"/>
        <v>390.22228029238568</v>
      </c>
      <c r="AS42" s="350">
        <v>0.81874814334951262</v>
      </c>
      <c r="AT42" s="350">
        <v>1.3644425070490831</v>
      </c>
      <c r="AU42" s="350">
        <v>2.3138787082254773</v>
      </c>
      <c r="AV42" s="350">
        <v>7886.89</v>
      </c>
      <c r="AW42" s="350">
        <v>2267.0533</v>
      </c>
      <c r="AX42" s="351">
        <f t="shared" ref="AX42:AX73" si="161" xml:space="preserve"> AS42 * AS$8</f>
        <v>206.32453212407719</v>
      </c>
      <c r="AY42" s="351">
        <f t="shared" ref="AY42:AY73" si="162" xml:space="preserve"> AT42 * AT$8</f>
        <v>683.5856960315906</v>
      </c>
      <c r="AZ42" s="352">
        <f t="shared" ref="AZ42:AZ73" si="163" xml:space="preserve"> AU42 * AU$8</f>
        <v>372.53447202430186</v>
      </c>
      <c r="BA42" s="352">
        <f t="shared" ref="BA42:BA73" si="164" xml:space="preserve"> IF(    SUM(AX42:AY42)=0,    0,   AZ42 * AY42 / SUM(AX42:AY42)    )</f>
        <v>286.16283788789889</v>
      </c>
      <c r="BB42" s="353">
        <f t="shared" ref="BB42:BB73" si="165" xml:space="preserve"> AX42 + BA42</f>
        <v>492.48737001197605</v>
      </c>
      <c r="BC42" s="353">
        <f t="shared" ref="BC42:BC73" si="166" xml:space="preserve"> AY42 - AZ42 + BA42</f>
        <v>597.21406189518757</v>
      </c>
      <c r="BD42" s="343">
        <f t="shared" si="123"/>
        <v>222.21560574258572</v>
      </c>
      <c r="BE42" s="343">
        <f t="shared" si="124"/>
        <v>326.94229762579727</v>
      </c>
      <c r="BG42" s="350">
        <v>0.95732686489657814</v>
      </c>
      <c r="BH42" s="350">
        <v>1.3341095115938286</v>
      </c>
      <c r="BI42" s="350">
        <v>2.2434418379123797</v>
      </c>
      <c r="BJ42" s="350">
        <v>7901.7</v>
      </c>
      <c r="BK42" s="350">
        <v>2261.3467000000001</v>
      </c>
      <c r="BL42" s="351">
        <f t="shared" ref="BL42:BL73" si="167" xml:space="preserve"> BG42 * BG$8</f>
        <v>226.88646698048902</v>
      </c>
      <c r="BM42" s="351">
        <f t="shared" ref="BM42:BM73" si="168" xml:space="preserve"> BH42 * BH$8</f>
        <v>643.04078458822539</v>
      </c>
      <c r="BN42" s="352">
        <f t="shared" ref="BN42:BN73" si="169" xml:space="preserve"> BI42 * BI$8</f>
        <v>403.81953082422837</v>
      </c>
      <c r="BO42" s="352">
        <f t="shared" ref="BO42:BO73" si="170" xml:space="preserve"> IF(    SUM(BL42:BM42)=0,    0,   BN42 * BM42 / SUM(BL42:BM42)    )</f>
        <v>298.49901525098932</v>
      </c>
      <c r="BP42" s="353">
        <f t="shared" ref="BP42:BP73" si="171" xml:space="preserve"> BL42 + BO42</f>
        <v>525.38548223147836</v>
      </c>
      <c r="BQ42" s="353">
        <f t="shared" ref="BQ42:BQ73" si="172" xml:space="preserve"> BM42 - BN42 + BO42</f>
        <v>537.72026901498634</v>
      </c>
      <c r="BR42" s="343">
        <f t="shared" si="125"/>
        <v>244.98972411628858</v>
      </c>
      <c r="BS42" s="343">
        <f t="shared" si="126"/>
        <v>257.32451089979656</v>
      </c>
      <c r="BU42" s="350">
        <v>0.8185456294347343</v>
      </c>
      <c r="BV42" s="350">
        <v>1.3420152519102062</v>
      </c>
      <c r="BW42" s="350">
        <v>2.6892110907441378</v>
      </c>
      <c r="BX42" s="350">
        <v>11813.4383</v>
      </c>
      <c r="BY42" s="350">
        <v>3947.1042000000002</v>
      </c>
      <c r="BZ42" s="351">
        <f t="shared" ref="BZ42:BZ73" si="173" xml:space="preserve"> BU42 * BU$8</f>
        <v>148.97530455712163</v>
      </c>
      <c r="CA42" s="351">
        <f t="shared" ref="CA42:CA73" si="174" xml:space="preserve"> BV42 * BV$8</f>
        <v>411.99868233643332</v>
      </c>
      <c r="CB42" s="352">
        <f t="shared" ref="CB42:CB73" si="175" xml:space="preserve"> BW42 * BW$8</f>
        <v>180.17714307985722</v>
      </c>
      <c r="CC42" s="352">
        <f t="shared" ref="CC42:CC73" si="176" xml:space="preserve"> IF(    SUM(BZ42:CA42)=0,    0,   CB42 * CA42 / SUM(BZ42:CA42)    )</f>
        <v>132.32832051110753</v>
      </c>
      <c r="CD42" s="353">
        <f t="shared" ref="CD42:CD73" si="177" xml:space="preserve"> BZ42 + CC42</f>
        <v>281.30362506822917</v>
      </c>
      <c r="CE42" s="353">
        <f t="shared" ref="CE42:CE73" si="178" xml:space="preserve"> CA42 - CB42 + CC42</f>
        <v>364.14985976768367</v>
      </c>
      <c r="CF42" s="343">
        <f t="shared" si="127"/>
        <v>160.50830606288733</v>
      </c>
      <c r="CG42" s="343">
        <f t="shared" si="128"/>
        <v>243.3545407623418</v>
      </c>
      <c r="CI42" s="350">
        <v>0.98999653918836028</v>
      </c>
      <c r="CJ42" s="350">
        <v>0.9708461488494291</v>
      </c>
      <c r="CK42" s="350">
        <v>1.9218322605453289</v>
      </c>
      <c r="CL42" s="350">
        <v>27511.956699999999</v>
      </c>
      <c r="CM42" s="350">
        <v>8201.1808000000001</v>
      </c>
      <c r="CN42" s="351">
        <f t="shared" ref="CN42:CN73" si="179" xml:space="preserve"> CI42 * CI$8</f>
        <v>179.18937359309322</v>
      </c>
      <c r="CO42" s="351">
        <f t="shared" ref="CO42:CO73" si="180" xml:space="preserve"> CJ42 * CJ$8</f>
        <v>220.3820757888204</v>
      </c>
      <c r="CP42" s="352">
        <f t="shared" ref="CP42:CP73" si="181" xml:space="preserve"> CK42 * CK$8</f>
        <v>7.6873290421813154</v>
      </c>
      <c r="CQ42" s="352">
        <f t="shared" ref="CQ42:CQ73" si="182" xml:space="preserve"> IF(    SUM(CN42:CO42)=0,    0,   CP42 * CO42 / SUM(CN42:CO42)    )</f>
        <v>4.2399163759278533</v>
      </c>
      <c r="CR42" s="353">
        <f t="shared" ref="CR42:CR73" si="183" xml:space="preserve"> CN42 + CQ42</f>
        <v>183.42928996902108</v>
      </c>
      <c r="CS42" s="353">
        <f t="shared" ref="CS42:CS73" si="184" xml:space="preserve"> CO42 - CP42 + CQ42</f>
        <v>216.93466312256695</v>
      </c>
      <c r="CT42" s="343">
        <f t="shared" si="129"/>
        <v>179.58267326751456</v>
      </c>
      <c r="CU42" s="343">
        <f t="shared" si="130"/>
        <v>213.08804642106043</v>
      </c>
      <c r="CW42" s="350">
        <v>0.62829999999999997</v>
      </c>
      <c r="CX42" s="350">
        <v>0.62090000000000001</v>
      </c>
      <c r="CY42" s="350">
        <v>2.0595032071382153</v>
      </c>
      <c r="CZ42" s="350">
        <v>12407.8542</v>
      </c>
      <c r="DA42" s="350">
        <v>3511.9850000000001</v>
      </c>
      <c r="DB42" s="351">
        <f t="shared" ref="DB42:DB73" si="185" xml:space="preserve"> CW42 * CW$8</f>
        <v>120.00529999999999</v>
      </c>
      <c r="DC42" s="351">
        <f t="shared" ref="DC42:DC73" si="186" xml:space="preserve"> CX42 * CX$8</f>
        <v>162.67580000000001</v>
      </c>
      <c r="DD42" s="352">
        <f t="shared" ref="DD42:DD73" si="187" xml:space="preserve"> CY42 * CY$8</f>
        <v>6.178509621414646</v>
      </c>
      <c r="DE42" s="352">
        <f t="shared" ref="DE42:DE73" si="188" xml:space="preserve"> IF(    SUM(DB42:DC42)=0,    0,   DD42 * DC42 / SUM(DB42:DC42)    )</f>
        <v>3.5555755070690074</v>
      </c>
      <c r="DF42" s="353">
        <f t="shared" ref="DF42:DF73" si="189" xml:space="preserve"> DB42 + DE42</f>
        <v>123.560875507069</v>
      </c>
      <c r="DG42" s="353">
        <f t="shared" ref="DG42:DG73" si="190" xml:space="preserve"> DC42 - DD42 + DE42</f>
        <v>160.05286588565437</v>
      </c>
      <c r="DH42" s="343">
        <f t="shared" si="131"/>
        <v>120.30711028985174</v>
      </c>
      <c r="DI42" s="343">
        <f t="shared" si="132"/>
        <v>156.79910066843712</v>
      </c>
      <c r="DK42" s="350">
        <v>0.66300000000000003</v>
      </c>
      <c r="DL42" s="350">
        <v>0.58850000000000002</v>
      </c>
      <c r="DM42" s="350">
        <v>1.3959872350342009</v>
      </c>
      <c r="DN42" s="350">
        <v>987.50250000000005</v>
      </c>
      <c r="DO42" s="350">
        <v>388.15499999999997</v>
      </c>
      <c r="DP42" s="351">
        <f t="shared" ref="DP42:DP73" si="191" xml:space="preserve"> DK42 * DK$8</f>
        <v>63.648000000000003</v>
      </c>
      <c r="DQ42" s="351">
        <f t="shared" ref="DQ42:DQ73" si="192" xml:space="preserve"> DL42 * DL$8</f>
        <v>102.399</v>
      </c>
      <c r="DR42" s="352">
        <f t="shared" ref="DR42:DR73" si="193" xml:space="preserve"> DM42 * DM$8</f>
        <v>2.7919744700684017</v>
      </c>
      <c r="DS42" s="352">
        <f t="shared" ref="DS42:DS73" si="194" xml:space="preserve"> IF(    SUM(DP42:DQ42)=0,    0,   DR42 * DQ42 / SUM(DP42:DQ42)    )</f>
        <v>1.7217739179902936</v>
      </c>
      <c r="DT42" s="353">
        <f t="shared" ref="DT42:DT73" si="195" xml:space="preserve"> DP42 + DS42</f>
        <v>65.369773917990301</v>
      </c>
      <c r="DU42" s="353">
        <f t="shared" ref="DU42:DU73" si="196" xml:space="preserve"> DQ42 - DR42 + DS42</f>
        <v>101.3287994479219</v>
      </c>
      <c r="DV42" s="343">
        <f t="shared" si="133"/>
        <v>63.904724826004724</v>
      </c>
      <c r="DW42" s="343">
        <f t="shared" si="134"/>
        <v>99.863750355936318</v>
      </c>
      <c r="EB42" s="326"/>
      <c r="EC42" s="326"/>
      <c r="ED42" s="326"/>
      <c r="EE42" s="348">
        <f t="shared" ref="EE42:EE73" si="197" xml:space="preserve"> F42 + AV42 + CL42 + EE$8 * CZ42</f>
        <v>63476.516733333337</v>
      </c>
      <c r="EF42" s="348">
        <f t="shared" ref="EF42:EF73" si="198" xml:space="preserve"> G42 + AW42 + CM42 + EF$8 * DA42</f>
        <v>19012.749100000001</v>
      </c>
      <c r="EG42" s="348">
        <f t="shared" ref="EG42:EG73" si="199" xml:space="preserve"> H42 + AX42 + CN42 + EG$8 * DB42</f>
        <v>1364.1678821616897</v>
      </c>
      <c r="EH42" s="348">
        <f t="shared" ref="EH42:EH73" si="200" xml:space="preserve"> I42 + AY42 + CO42 + EH$8 * DC42</f>
        <v>3351.0714949360054</v>
      </c>
      <c r="EI42" s="354">
        <f t="shared" ref="EI42:EI73" si="201" xml:space="preserve"> IF(   SUM(EE42:EF42) = 0,    IF( EG42&lt;EH42, lambdax_min, lambdax_max ),
                                                                   MAX( lambdax_min, MIN( lambdax_max, EE42 / SUM(EE42:EF42) ) )     )</f>
        <v>0.76951244615978776</v>
      </c>
      <c r="EJ42" s="326"/>
      <c r="EK42" s="348">
        <f t="shared" ref="EK42:EK73" si="202" xml:space="preserve"> L42 + BB42 + CR42 + EK$8 * DF42</f>
        <v>2009.5141115086656</v>
      </c>
      <c r="EL42" s="348">
        <f t="shared" ref="EL42:EL73" si="203" xml:space="preserve"> M42 + BC42 + CS42 + EL$8 * DG42</f>
        <v>3125.0215785016535</v>
      </c>
      <c r="EM42" s="348">
        <f t="shared" si="83"/>
        <v>1409.2485132782845</v>
      </c>
      <c r="EN42" s="348">
        <f t="shared" si="84"/>
        <v>2524.7559802712726</v>
      </c>
      <c r="EP42" s="326"/>
      <c r="EQ42" s="326"/>
      <c r="ER42" s="326"/>
      <c r="ES42" s="348">
        <f t="shared" ref="ES42:ES73" si="204" xml:space="preserve"> T42 + BJ42 + CL42 + ES$8 * CZ42</f>
        <v>49585.07173333333</v>
      </c>
      <c r="ET42" s="348">
        <f t="shared" ref="ET42:ET73" si="205" xml:space="preserve"> U42 + BK42 + CM42 + ET$8 * DA42</f>
        <v>14601.158333333333</v>
      </c>
      <c r="EU42" s="348">
        <f t="shared" ref="EU42:EU73" si="206" xml:space="preserve"> V42 + BL42 + CN42 + EU$8 * DB42</f>
        <v>1065.8178359471135</v>
      </c>
      <c r="EV42" s="348">
        <f t="shared" ref="EV42:EV73" si="207" xml:space="preserve"> W42 + BM42 + CO42 + EV$8 * DC42</f>
        <v>2556.6816612416692</v>
      </c>
      <c r="EW42" s="354">
        <f t="shared" ref="EW42:EW73" si="208" xml:space="preserve"> IF(   SUM(ES42:ET42) = 0,    IF( EU42&lt;EV42, lambdax_min, lambdax_max ),
                                                                   MAX( lambdax_min, MIN( lambdax_max, ES42 / SUM(ES42:ET42) ) )     )</f>
        <v>0.77251883592216086</v>
      </c>
      <c r="EX42" s="326"/>
      <c r="EY42" s="348">
        <f t="shared" ref="EY42:EY73" si="209" xml:space="preserve"> Z42 + BP42 + CR42 + EY$8 * DF42</f>
        <v>1673.0832032875421</v>
      </c>
      <c r="EZ42" s="348">
        <f t="shared" ref="EZ42:EZ73" si="210" xml:space="preserve"> AA42 + BQ42 + CS42 + EZ$8 * DG42</f>
        <v>2335.975019089733</v>
      </c>
      <c r="FA42" s="348">
        <f t="shared" si="92"/>
        <v>1101.8865118107233</v>
      </c>
      <c r="FB42" s="348">
        <f t="shared" si="93"/>
        <v>1764.7783276129142</v>
      </c>
      <c r="FD42" s="326"/>
      <c r="FE42" s="326"/>
      <c r="FF42" s="326"/>
      <c r="FG42" s="348">
        <f t="shared" ref="FG42:FG73" si="211" xml:space="preserve"> AH42 + BX42 + CL42 + FG$8 * DN42</f>
        <v>40563.338333333333</v>
      </c>
      <c r="FH42" s="348">
        <f t="shared" ref="FH42:FH73" si="212" xml:space="preserve"> AI42 + BY42 + CM42 + FH$8 * DO42</f>
        <v>12600.44</v>
      </c>
      <c r="FI42" s="348">
        <f t="shared" ref="FI42:FI73" si="213" xml:space="preserve"> AJ42 + BZ42 + CN42 + FI$8 * DP42</f>
        <v>623.69966073775242</v>
      </c>
      <c r="FJ42" s="348">
        <f t="shared" ref="FJ42:FJ73" si="214" xml:space="preserve"> AK42 + CA42 + CO42 + FJ$8 * DQ42</f>
        <v>1385.5181581252536</v>
      </c>
      <c r="FK42" s="354">
        <f t="shared" ref="FK42:FK73" si="215" xml:space="preserve"> IF(   SUM(FG42:FH42) = 0,    IF( FI42&lt;FJ42, lambdax_min, lambdax_max ),
                                                                   MAX( lambdax_min, MIN( lambdax_max, FG42 / SUM(FG42:FH42) ) )     )</f>
        <v>0.76298825262199976</v>
      </c>
      <c r="FL42" s="326"/>
      <c r="FM42" s="348">
        <f t="shared" ref="FM42:FM73" si="216" xml:space="preserve"> AN42 + CD42 + CR42 + FM$8 * DT42</f>
        <v>989.23274918242862</v>
      </c>
      <c r="FN42" s="348">
        <f t="shared" ref="FN42:FN73" si="217" xml:space="preserve"> AO42 + CE42 + CS42 + FN$8 * DU42</f>
        <v>1248.777800344111</v>
      </c>
      <c r="FO42" s="348">
        <f t="shared" si="101"/>
        <v>647.03806652766752</v>
      </c>
      <c r="FP42" s="348">
        <f t="shared" si="102"/>
        <v>906.58311768934971</v>
      </c>
      <c r="FR42" s="326"/>
      <c r="FS42" s="326"/>
      <c r="FT42" s="326"/>
      <c r="FU42" s="348">
        <f t="shared" ref="FU42:FU73" si="218" xml:space="preserve"> MAX( 0, AV42 + BX42 ) * FU$8</f>
        <v>19700.328300000001</v>
      </c>
      <c r="FV42" s="348">
        <f t="shared" ref="FV42:FV73" si="219" xml:space="preserve"> MAX( 0, AW42 + BY42 ) * FV$8</f>
        <v>6214.1575000000003</v>
      </c>
      <c r="FW42" s="349">
        <f t="shared" ref="FW42:FW73" si="220" xml:space="preserve"> MAX( 0, AX42 - BZ42 ) * FW$8</f>
        <v>51.614304810260009</v>
      </c>
      <c r="FX42" s="349">
        <f t="shared" ref="FX42:FX73" si="221" xml:space="preserve"> MAX( 0, AY42 - CA42 ) * FX$8</f>
        <v>244.42831232564157</v>
      </c>
      <c r="FY42" s="354">
        <f t="shared" ref="FY42:FY73" si="222" xml:space="preserve"> IF(   SUM(FU42:FV42) = 0,    IF( FW42&lt;FX42, lambdax_min, lambdax_max ),
                                                                   MAX( lambdax_min, MIN( lambdax_max, FU42 / SUM(FU42:FV42) ) )     )</f>
        <v>0.76020525554861673</v>
      </c>
      <c r="FZ42" s="326"/>
      <c r="GA42" s="349">
        <f t="shared" ref="GA42:GA73" si="223" xml:space="preserve"> MAX( 0, BB42 - CD42 ) * GA$8</f>
        <v>190.06537044937221</v>
      </c>
      <c r="GB42" s="349">
        <f t="shared" ref="GB42:GB73" si="224" xml:space="preserve"> MAX( 0, BC42 - CE42 ) * GB$8</f>
        <v>209.75778191475351</v>
      </c>
      <c r="GC42" s="349">
        <f t="shared" si="139"/>
        <v>55.536569711728554</v>
      </c>
      <c r="GD42" s="349">
        <f t="shared" si="140"/>
        <v>75.228981177109929</v>
      </c>
      <c r="GF42" s="326"/>
      <c r="GG42" s="326"/>
      <c r="GH42" s="326"/>
      <c r="GI42" s="348">
        <f t="shared" ref="GI42:GI73" si="225" xml:space="preserve"> CL42 + GI$8 * CZ42</f>
        <v>39919.810899999997</v>
      </c>
      <c r="GJ42" s="348">
        <f t="shared" ref="GJ42:GJ73" si="226" xml:space="preserve"> CM42 + GJ$8 * DA42</f>
        <v>11713.165800000001</v>
      </c>
      <c r="GK42" s="348">
        <f t="shared" ref="GK42:GK73" si="227" xml:space="preserve"> CN42 + GK$8 * DB42</f>
        <v>275.19361359309323</v>
      </c>
      <c r="GL42" s="348">
        <f t="shared" ref="GL42:GL73" si="228" xml:space="preserve"> CO42 + GL$8 * DC42</f>
        <v>350.52271578882039</v>
      </c>
      <c r="GM42" s="354">
        <f t="shared" ref="GM42:GM73" si="229" xml:space="preserve"> IF(   SUM(GI42:GJ42) = 0,    IF( GK42&lt;GL42, lambdax_min, lambdax_max ),
                                                                   MAX( lambdax_min, MIN( lambdax_max, GI42 / SUM(GI42:GJ42) ) )     )</f>
        <v>0.77314564163022581</v>
      </c>
      <c r="GN42" s="326"/>
      <c r="GO42" s="348">
        <f t="shared" ref="GO42:GO73" si="230" xml:space="preserve"> CR42 + GO$8 * DF42</f>
        <v>282.27799037467628</v>
      </c>
      <c r="GP42" s="348">
        <f t="shared" ref="GP42:GP73" si="231" xml:space="preserve"> CS42 + GP$8 * DG42</f>
        <v>344.97695583109044</v>
      </c>
      <c r="GQ42" s="348">
        <f t="shared" si="141"/>
        <v>275.82836149939595</v>
      </c>
      <c r="GR42" s="348">
        <f t="shared" si="142"/>
        <v>338.52732695581011</v>
      </c>
    </row>
    <row r="43" spans="1:200" x14ac:dyDescent="0.2">
      <c r="A43" s="320">
        <v>33</v>
      </c>
      <c r="C43" s="350">
        <v>0.86483534998381428</v>
      </c>
      <c r="D43" s="350">
        <v>0.99036758767950295</v>
      </c>
      <c r="E43" s="350">
        <v>2.2174272081146005</v>
      </c>
      <c r="F43" s="350">
        <v>17094.574166666665</v>
      </c>
      <c r="G43" s="350">
        <v>5413.8783333333331</v>
      </c>
      <c r="H43" s="351">
        <f t="shared" si="143"/>
        <v>887.32106908339347</v>
      </c>
      <c r="I43" s="351">
        <f t="shared" si="144"/>
        <v>2353.1133883264988</v>
      </c>
      <c r="J43" s="352">
        <f t="shared" si="145"/>
        <v>565.44393806922312</v>
      </c>
      <c r="K43" s="352">
        <f t="shared" si="146"/>
        <v>410.60966315062325</v>
      </c>
      <c r="L43" s="353">
        <f t="shared" si="147"/>
        <v>1297.9307322340167</v>
      </c>
      <c r="M43" s="353">
        <f t="shared" si="148"/>
        <v>2198.2791134078989</v>
      </c>
      <c r="N43" s="343">
        <f t="shared" si="117"/>
        <v>915.87587867517698</v>
      </c>
      <c r="O43" s="343">
        <f t="shared" si="118"/>
        <v>1816.2242598490591</v>
      </c>
      <c r="Q43" s="350">
        <v>0.83227448449103059</v>
      </c>
      <c r="R43" s="350">
        <v>0.96103204737366243</v>
      </c>
      <c r="S43" s="350">
        <v>2.3109126977930265</v>
      </c>
      <c r="T43" s="350">
        <v>1937.344166666667</v>
      </c>
      <c r="U43" s="350">
        <v>615.65750000000003</v>
      </c>
      <c r="V43" s="351">
        <f t="shared" si="149"/>
        <v>585.92123708168549</v>
      </c>
      <c r="W43" s="351">
        <f t="shared" si="150"/>
        <v>1612.6117754930056</v>
      </c>
      <c r="X43" s="352">
        <f t="shared" si="151"/>
        <v>443.69523797626107</v>
      </c>
      <c r="Y43" s="352">
        <f t="shared" si="152"/>
        <v>325.44799709546413</v>
      </c>
      <c r="Z43" s="353">
        <f t="shared" si="153"/>
        <v>911.36923417714956</v>
      </c>
      <c r="AA43" s="353">
        <f t="shared" si="154"/>
        <v>1494.3645346122087</v>
      </c>
      <c r="AB43" s="343">
        <f t="shared" si="119"/>
        <v>603.28208893217823</v>
      </c>
      <c r="AC43" s="343">
        <f t="shared" si="120"/>
        <v>1186.2773893672372</v>
      </c>
      <c r="AE43" s="350">
        <v>0.73782963954738778</v>
      </c>
      <c r="AF43" s="350">
        <v>0.92700000000000005</v>
      </c>
      <c r="AG43" s="350">
        <v>2.6332113084517803</v>
      </c>
      <c r="AH43" s="350">
        <v>326.4758333333333</v>
      </c>
      <c r="AI43" s="350">
        <v>97.704166666666652</v>
      </c>
      <c r="AJ43" s="351">
        <f t="shared" si="155"/>
        <v>262.66735167887003</v>
      </c>
      <c r="AK43" s="351">
        <f t="shared" si="156"/>
        <v>710.08199999999999</v>
      </c>
      <c r="AL43" s="352">
        <f t="shared" si="157"/>
        <v>313.35214570576187</v>
      </c>
      <c r="AM43" s="352">
        <f t="shared" si="158"/>
        <v>228.73900449588146</v>
      </c>
      <c r="AN43" s="353">
        <f t="shared" si="159"/>
        <v>491.40635617475152</v>
      </c>
      <c r="AO43" s="353">
        <f t="shared" si="160"/>
        <v>625.46885879011961</v>
      </c>
      <c r="AP43" s="343">
        <f t="shared" si="121"/>
        <v>273.9254213929953</v>
      </c>
      <c r="AQ43" s="343">
        <f t="shared" si="122"/>
        <v>407.98792400836339</v>
      </c>
      <c r="AS43" s="350">
        <v>0.80052818535629999</v>
      </c>
      <c r="AT43" s="350">
        <v>1.3874902913560869</v>
      </c>
      <c r="AU43" s="350">
        <v>2.4530327428928946</v>
      </c>
      <c r="AV43" s="350">
        <v>8678.9174999999996</v>
      </c>
      <c r="AW43" s="350">
        <v>2526.6149999999998</v>
      </c>
      <c r="AX43" s="351">
        <f t="shared" si="161"/>
        <v>201.7331027097876</v>
      </c>
      <c r="AY43" s="351">
        <f t="shared" si="162"/>
        <v>695.13263596939953</v>
      </c>
      <c r="AZ43" s="352">
        <f t="shared" si="163"/>
        <v>394.93827160575603</v>
      </c>
      <c r="BA43" s="352">
        <f t="shared" si="164"/>
        <v>306.10432525922369</v>
      </c>
      <c r="BB43" s="353">
        <f t="shared" si="165"/>
        <v>507.83742796901129</v>
      </c>
      <c r="BC43" s="353">
        <f t="shared" si="166"/>
        <v>606.29868962286719</v>
      </c>
      <c r="BD43" s="343">
        <f t="shared" si="123"/>
        <v>217.62417632829613</v>
      </c>
      <c r="BE43" s="343">
        <f t="shared" si="124"/>
        <v>316.08543798215203</v>
      </c>
      <c r="BG43" s="350">
        <v>0.90705346194548542</v>
      </c>
      <c r="BH43" s="350">
        <v>1.3726843508008642</v>
      </c>
      <c r="BI43" s="350">
        <v>2.4628065578056653</v>
      </c>
      <c r="BJ43" s="350">
        <v>8691.8075000000008</v>
      </c>
      <c r="BK43" s="350">
        <v>2509.3649999999998</v>
      </c>
      <c r="BL43" s="351">
        <f t="shared" si="167"/>
        <v>214.97167048108005</v>
      </c>
      <c r="BM43" s="351">
        <f t="shared" si="168"/>
        <v>661.63385708601652</v>
      </c>
      <c r="BN43" s="352">
        <f t="shared" si="169"/>
        <v>443.30518040501977</v>
      </c>
      <c r="BO43" s="352">
        <f t="shared" si="170"/>
        <v>334.59259285258793</v>
      </c>
      <c r="BP43" s="353">
        <f t="shared" si="171"/>
        <v>549.56426333366801</v>
      </c>
      <c r="BQ43" s="353">
        <f t="shared" si="172"/>
        <v>552.92126953358468</v>
      </c>
      <c r="BR43" s="343">
        <f t="shared" si="125"/>
        <v>233.07492761687962</v>
      </c>
      <c r="BS43" s="343">
        <f t="shared" si="126"/>
        <v>236.43193381679629</v>
      </c>
      <c r="BU43" s="350">
        <v>0.804810163088302</v>
      </c>
      <c r="BV43" s="350">
        <v>1.3350905750788409</v>
      </c>
      <c r="BW43" s="350">
        <v>2.596972819007183</v>
      </c>
      <c r="BX43" s="350">
        <v>12767.043299999999</v>
      </c>
      <c r="BY43" s="350">
        <v>4014.32</v>
      </c>
      <c r="BZ43" s="351">
        <f t="shared" si="173"/>
        <v>146.47544968207097</v>
      </c>
      <c r="CA43" s="351">
        <f t="shared" si="174"/>
        <v>409.87280654920414</v>
      </c>
      <c r="CB43" s="352">
        <f t="shared" si="175"/>
        <v>173.99717887348126</v>
      </c>
      <c r="CC43" s="352">
        <f t="shared" si="176"/>
        <v>128.1871763553639</v>
      </c>
      <c r="CD43" s="353">
        <f t="shared" si="177"/>
        <v>274.66262603743485</v>
      </c>
      <c r="CE43" s="353">
        <f t="shared" si="178"/>
        <v>364.06280403108678</v>
      </c>
      <c r="CF43" s="343">
        <f t="shared" si="127"/>
        <v>158.00845118783667</v>
      </c>
      <c r="CG43" s="343">
        <f t="shared" si="128"/>
        <v>247.40862918148858</v>
      </c>
      <c r="CI43" s="350">
        <v>1.0036973277455641</v>
      </c>
      <c r="CJ43" s="350">
        <v>0.98655479700338955</v>
      </c>
      <c r="CK43" s="350">
        <v>1.985353839678889</v>
      </c>
      <c r="CL43" s="350">
        <v>30749.192500000001</v>
      </c>
      <c r="CM43" s="350">
        <v>8861.4524999999994</v>
      </c>
      <c r="CN43" s="351">
        <f t="shared" si="179"/>
        <v>181.66921632194709</v>
      </c>
      <c r="CO43" s="351">
        <f t="shared" si="180"/>
        <v>223.94793891976943</v>
      </c>
      <c r="CP43" s="352">
        <f t="shared" si="181"/>
        <v>7.941415358715556</v>
      </c>
      <c r="CQ43" s="352">
        <f t="shared" si="182"/>
        <v>4.3845867432069605</v>
      </c>
      <c r="CR43" s="353">
        <f t="shared" si="183"/>
        <v>186.05380306515406</v>
      </c>
      <c r="CS43" s="353">
        <f t="shared" si="184"/>
        <v>220.39111030426085</v>
      </c>
      <c r="CT43" s="343">
        <f t="shared" si="129"/>
        <v>182.06251599636843</v>
      </c>
      <c r="CU43" s="343">
        <f t="shared" si="130"/>
        <v>216.39982323547522</v>
      </c>
      <c r="CW43" s="350">
        <v>0.69740000000000002</v>
      </c>
      <c r="CX43" s="350">
        <v>0.65290000000000004</v>
      </c>
      <c r="CY43" s="350">
        <v>2.062006651876608</v>
      </c>
      <c r="CZ43" s="350">
        <v>14000.619199999999</v>
      </c>
      <c r="DA43" s="350">
        <v>3781.6767</v>
      </c>
      <c r="DB43" s="351">
        <f t="shared" si="185"/>
        <v>133.20340000000002</v>
      </c>
      <c r="DC43" s="351">
        <f t="shared" si="186"/>
        <v>171.0598</v>
      </c>
      <c r="DD43" s="352">
        <f t="shared" si="187"/>
        <v>6.1860199556298241</v>
      </c>
      <c r="DE43" s="352">
        <f t="shared" si="188"/>
        <v>3.4778420012871969</v>
      </c>
      <c r="DF43" s="353">
        <f t="shared" si="189"/>
        <v>136.68124200128722</v>
      </c>
      <c r="DG43" s="353">
        <f t="shared" si="190"/>
        <v>168.35162204565736</v>
      </c>
      <c r="DH43" s="343">
        <f t="shared" si="131"/>
        <v>133.50521028985176</v>
      </c>
      <c r="DI43" s="343">
        <f t="shared" si="132"/>
        <v>165.17559033422191</v>
      </c>
      <c r="DK43" s="350">
        <v>0.65269999999999995</v>
      </c>
      <c r="DL43" s="350">
        <v>0.63859999999999995</v>
      </c>
      <c r="DM43" s="350">
        <v>1.4588514875771659</v>
      </c>
      <c r="DN43" s="350">
        <v>1049.5867000000001</v>
      </c>
      <c r="DO43" s="350">
        <v>380.51330000000002</v>
      </c>
      <c r="DP43" s="351">
        <f t="shared" si="191"/>
        <v>62.659199999999998</v>
      </c>
      <c r="DQ43" s="351">
        <f t="shared" si="192"/>
        <v>111.11639999999998</v>
      </c>
      <c r="DR43" s="352">
        <f t="shared" si="193"/>
        <v>2.9177029751543317</v>
      </c>
      <c r="DS43" s="352">
        <f t="shared" si="194"/>
        <v>1.8656511666104951</v>
      </c>
      <c r="DT43" s="353">
        <f t="shared" si="195"/>
        <v>64.524851166610489</v>
      </c>
      <c r="DU43" s="353">
        <f t="shared" si="196"/>
        <v>110.06434819145615</v>
      </c>
      <c r="DV43" s="343">
        <f t="shared" si="133"/>
        <v>62.915924826004719</v>
      </c>
      <c r="DW43" s="343">
        <f t="shared" si="134"/>
        <v>108.45542185085037</v>
      </c>
      <c r="EB43" s="326"/>
      <c r="EC43" s="326"/>
      <c r="ED43" s="326"/>
      <c r="EE43" s="348">
        <f t="shared" si="197"/>
        <v>70523.30336666666</v>
      </c>
      <c r="EF43" s="348">
        <f t="shared" si="198"/>
        <v>20583.622533333331</v>
      </c>
      <c r="EG43" s="348">
        <f t="shared" si="199"/>
        <v>1377.2861081151282</v>
      </c>
      <c r="EH43" s="348">
        <f t="shared" si="200"/>
        <v>3409.0418032156676</v>
      </c>
      <c r="EI43" s="354">
        <f t="shared" si="201"/>
        <v>0.77407181364097222</v>
      </c>
      <c r="EJ43" s="326"/>
      <c r="EK43" s="348">
        <f t="shared" si="202"/>
        <v>2101.1669568692118</v>
      </c>
      <c r="EL43" s="348">
        <f t="shared" si="203"/>
        <v>3159.650210971553</v>
      </c>
      <c r="EM43" s="348">
        <f t="shared" si="83"/>
        <v>1422.3667392317229</v>
      </c>
      <c r="EN43" s="348">
        <f t="shared" si="84"/>
        <v>2480.8499933340636</v>
      </c>
      <c r="EP43" s="326"/>
      <c r="EQ43" s="326"/>
      <c r="ER43" s="326"/>
      <c r="ES43" s="348">
        <f t="shared" si="204"/>
        <v>55378.96336666667</v>
      </c>
      <c r="ET43" s="348">
        <f t="shared" si="205"/>
        <v>15768.151699999999</v>
      </c>
      <c r="EU43" s="348">
        <f t="shared" si="206"/>
        <v>1075.8045038847126</v>
      </c>
      <c r="EV43" s="348">
        <f t="shared" si="207"/>
        <v>2617.9354314987918</v>
      </c>
      <c r="EW43" s="354">
        <f t="shared" si="208"/>
        <v>0.77837257792919878</v>
      </c>
      <c r="EX43" s="326"/>
      <c r="EY43" s="348">
        <f t="shared" si="209"/>
        <v>1742.6641699768729</v>
      </c>
      <c r="EZ43" s="348">
        <f t="shared" si="210"/>
        <v>2385.5230498820147</v>
      </c>
      <c r="FA43" s="348">
        <f t="shared" si="92"/>
        <v>1111.8731797483224</v>
      </c>
      <c r="FB43" s="348">
        <f t="shared" si="93"/>
        <v>1754.7320596534641</v>
      </c>
      <c r="FD43" s="326"/>
      <c r="FE43" s="326"/>
      <c r="FF43" s="326"/>
      <c r="FG43" s="348">
        <f t="shared" si="211"/>
        <v>44892.298333333332</v>
      </c>
      <c r="FH43" s="348">
        <f t="shared" si="212"/>
        <v>13353.989966666666</v>
      </c>
      <c r="FI43" s="348">
        <f t="shared" si="213"/>
        <v>628.40753768288812</v>
      </c>
      <c r="FJ43" s="348">
        <f t="shared" si="214"/>
        <v>1410.5725854689736</v>
      </c>
      <c r="FK43" s="354">
        <f t="shared" si="215"/>
        <v>0.77073234438757077</v>
      </c>
      <c r="FL43" s="326"/>
      <c r="FM43" s="348">
        <f t="shared" si="216"/>
        <v>990.83769597730668</v>
      </c>
      <c r="FN43" s="348">
        <f t="shared" si="217"/>
        <v>1275.9613820403411</v>
      </c>
      <c r="FO43" s="348">
        <f t="shared" si="101"/>
        <v>651.74594347280322</v>
      </c>
      <c r="FP43" s="348">
        <f t="shared" si="102"/>
        <v>936.86962953583736</v>
      </c>
      <c r="FR43" s="326"/>
      <c r="FS43" s="326"/>
      <c r="FT43" s="326"/>
      <c r="FU43" s="348">
        <f t="shared" si="218"/>
        <v>21445.960800000001</v>
      </c>
      <c r="FV43" s="348">
        <f t="shared" si="219"/>
        <v>6540.9349999999995</v>
      </c>
      <c r="FW43" s="349">
        <f t="shared" si="220"/>
        <v>49.731887724944968</v>
      </c>
      <c r="FX43" s="349">
        <f t="shared" si="221"/>
        <v>256.73384647817585</v>
      </c>
      <c r="FY43" s="354">
        <f t="shared" si="222"/>
        <v>0.76628579865581237</v>
      </c>
      <c r="FZ43" s="326"/>
      <c r="GA43" s="349">
        <f t="shared" si="223"/>
        <v>209.85732173841879</v>
      </c>
      <c r="GB43" s="349">
        <f t="shared" si="224"/>
        <v>218.01229703260236</v>
      </c>
      <c r="GC43" s="349">
        <f t="shared" si="139"/>
        <v>53.654152626413513</v>
      </c>
      <c r="GD43" s="349">
        <f t="shared" si="140"/>
        <v>61.809127920597106</v>
      </c>
      <c r="GF43" s="326"/>
      <c r="GG43" s="326"/>
      <c r="GH43" s="326"/>
      <c r="GI43" s="348">
        <f t="shared" si="225"/>
        <v>44749.811699999998</v>
      </c>
      <c r="GJ43" s="348">
        <f t="shared" si="226"/>
        <v>12643.129199999999</v>
      </c>
      <c r="GK43" s="348">
        <f t="shared" si="227"/>
        <v>288.2319363219471</v>
      </c>
      <c r="GL43" s="348">
        <f t="shared" si="228"/>
        <v>360.79577891976942</v>
      </c>
      <c r="GM43" s="354">
        <f t="shared" si="229"/>
        <v>0.77970933355673355</v>
      </c>
      <c r="GN43" s="326"/>
      <c r="GO43" s="348">
        <f t="shared" si="230"/>
        <v>295.39879666618384</v>
      </c>
      <c r="GP43" s="348">
        <f t="shared" si="231"/>
        <v>355.07240794078677</v>
      </c>
      <c r="GQ43" s="348">
        <f t="shared" si="141"/>
        <v>288.86668422824982</v>
      </c>
      <c r="GR43" s="348">
        <f t="shared" si="142"/>
        <v>348.54029550285276</v>
      </c>
    </row>
    <row r="44" spans="1:200" x14ac:dyDescent="0.2">
      <c r="A44" s="320">
        <v>34</v>
      </c>
      <c r="C44" s="350">
        <v>0.8789536116581671</v>
      </c>
      <c r="D44" s="350">
        <v>1.0018564190274548</v>
      </c>
      <c r="E44" s="350">
        <v>2.2932255650311597</v>
      </c>
      <c r="F44" s="350">
        <v>19244.969166666662</v>
      </c>
      <c r="G44" s="350">
        <v>5864.3508333333339</v>
      </c>
      <c r="H44" s="351">
        <f t="shared" si="143"/>
        <v>901.80640556127946</v>
      </c>
      <c r="I44" s="351">
        <f t="shared" si="144"/>
        <v>2380.4108516092329</v>
      </c>
      <c r="J44" s="352">
        <f t="shared" si="145"/>
        <v>584.77251908294568</v>
      </c>
      <c r="K44" s="352">
        <f t="shared" si="146"/>
        <v>424.10320252471826</v>
      </c>
      <c r="L44" s="353">
        <f t="shared" si="147"/>
        <v>1325.9096080859977</v>
      </c>
      <c r="M44" s="353">
        <f t="shared" si="148"/>
        <v>2219.7415350510055</v>
      </c>
      <c r="N44" s="343">
        <f t="shared" si="117"/>
        <v>930.36121515306297</v>
      </c>
      <c r="O44" s="343">
        <f t="shared" si="118"/>
        <v>1824.1931421180707</v>
      </c>
      <c r="Q44" s="350">
        <v>0.84791933477720027</v>
      </c>
      <c r="R44" s="350">
        <v>0.97678745911697717</v>
      </c>
      <c r="S44" s="350">
        <v>2.3820956384722671</v>
      </c>
      <c r="T44" s="350">
        <v>2221.645</v>
      </c>
      <c r="U44" s="350">
        <v>730.78</v>
      </c>
      <c r="V44" s="351">
        <f t="shared" si="149"/>
        <v>596.93521168314896</v>
      </c>
      <c r="W44" s="351">
        <f t="shared" si="150"/>
        <v>1639.0493563982877</v>
      </c>
      <c r="X44" s="352">
        <f t="shared" si="151"/>
        <v>457.36236258667532</v>
      </c>
      <c r="Y44" s="352">
        <f t="shared" si="152"/>
        <v>335.26147574520638</v>
      </c>
      <c r="Z44" s="353">
        <f t="shared" si="153"/>
        <v>932.19668742835529</v>
      </c>
      <c r="AA44" s="353">
        <f t="shared" si="154"/>
        <v>1516.9484695568187</v>
      </c>
      <c r="AB44" s="343">
        <f t="shared" si="119"/>
        <v>614.2960635336417</v>
      </c>
      <c r="AC44" s="343">
        <f t="shared" si="120"/>
        <v>1199.0478456621051</v>
      </c>
      <c r="AE44" s="350">
        <v>0.76007875255182789</v>
      </c>
      <c r="AF44" s="350">
        <v>0.94599999999999995</v>
      </c>
      <c r="AG44" s="350">
        <v>2.5147265017419005</v>
      </c>
      <c r="AH44" s="350">
        <v>345.48583333333329</v>
      </c>
      <c r="AI44" s="350">
        <v>94.325833333333321</v>
      </c>
      <c r="AJ44" s="351">
        <f t="shared" si="155"/>
        <v>270.58803590845071</v>
      </c>
      <c r="AK44" s="351">
        <f t="shared" si="156"/>
        <v>724.63599999999997</v>
      </c>
      <c r="AL44" s="352">
        <f t="shared" si="157"/>
        <v>299.25245370728618</v>
      </c>
      <c r="AM44" s="352">
        <f t="shared" si="158"/>
        <v>217.88973459296625</v>
      </c>
      <c r="AN44" s="353">
        <f t="shared" si="159"/>
        <v>488.47777050141696</v>
      </c>
      <c r="AO44" s="353">
        <f t="shared" si="160"/>
        <v>643.27328088568004</v>
      </c>
      <c r="AP44" s="343">
        <f t="shared" si="121"/>
        <v>281.84610562257598</v>
      </c>
      <c r="AQ44" s="343">
        <f t="shared" si="122"/>
        <v>436.64161600683906</v>
      </c>
      <c r="AS44" s="350">
        <v>0.82297769886717975</v>
      </c>
      <c r="AT44" s="350">
        <v>1.3916071215632355</v>
      </c>
      <c r="AU44" s="350">
        <v>2.4950914050717459</v>
      </c>
      <c r="AV44" s="350">
        <v>10356.306699999999</v>
      </c>
      <c r="AW44" s="350">
        <v>2843.5742</v>
      </c>
      <c r="AX44" s="351">
        <f t="shared" si="161"/>
        <v>207.39038011452931</v>
      </c>
      <c r="AY44" s="351">
        <f t="shared" si="162"/>
        <v>697.19516790318096</v>
      </c>
      <c r="AZ44" s="352">
        <f t="shared" si="163"/>
        <v>401.7097162165511</v>
      </c>
      <c r="BA44" s="352">
        <f t="shared" si="164"/>
        <v>309.61148302631761</v>
      </c>
      <c r="BB44" s="353">
        <f t="shared" si="165"/>
        <v>517.00186314084692</v>
      </c>
      <c r="BC44" s="353">
        <f t="shared" si="166"/>
        <v>605.09693471294747</v>
      </c>
      <c r="BD44" s="343">
        <f t="shared" si="123"/>
        <v>223.28145373303784</v>
      </c>
      <c r="BE44" s="343">
        <f t="shared" si="124"/>
        <v>311.37652530513839</v>
      </c>
      <c r="BG44" s="350">
        <v>0.87490756594150709</v>
      </c>
      <c r="BH44" s="350">
        <v>1.3942500765955621</v>
      </c>
      <c r="BI44" s="350">
        <v>2.553300904475801</v>
      </c>
      <c r="BJ44" s="350">
        <v>10297.0733</v>
      </c>
      <c r="BK44" s="350">
        <v>2821.7833000000001</v>
      </c>
      <c r="BL44" s="351">
        <f t="shared" si="167"/>
        <v>207.35309312813717</v>
      </c>
      <c r="BM44" s="351">
        <f t="shared" si="168"/>
        <v>672.02853691906091</v>
      </c>
      <c r="BN44" s="352">
        <f t="shared" si="169"/>
        <v>459.5941628056442</v>
      </c>
      <c r="BO44" s="352">
        <f t="shared" si="170"/>
        <v>351.22452215682586</v>
      </c>
      <c r="BP44" s="353">
        <f t="shared" si="171"/>
        <v>558.57761528496303</v>
      </c>
      <c r="BQ44" s="353">
        <f t="shared" si="172"/>
        <v>563.65889627024262</v>
      </c>
      <c r="BR44" s="343">
        <f t="shared" si="125"/>
        <v>225.45635026393671</v>
      </c>
      <c r="BS44" s="343">
        <f t="shared" si="126"/>
        <v>230.53763124921625</v>
      </c>
      <c r="BU44" s="350">
        <v>0.80173833660777016</v>
      </c>
      <c r="BV44" s="350">
        <v>1.3113232972705957</v>
      </c>
      <c r="BW44" s="350">
        <v>2.4715271515021224</v>
      </c>
      <c r="BX44" s="350">
        <v>13670.8575</v>
      </c>
      <c r="BY44" s="350">
        <v>4147.5074999999997</v>
      </c>
      <c r="BZ44" s="351">
        <f t="shared" si="173"/>
        <v>145.91637726261416</v>
      </c>
      <c r="CA44" s="351">
        <f t="shared" si="174"/>
        <v>402.5762522620729</v>
      </c>
      <c r="CB44" s="352">
        <f t="shared" si="175"/>
        <v>165.5923191506422</v>
      </c>
      <c r="CC44" s="352">
        <f t="shared" si="176"/>
        <v>121.53952789633641</v>
      </c>
      <c r="CD44" s="353">
        <f t="shared" si="177"/>
        <v>267.4559051589506</v>
      </c>
      <c r="CE44" s="353">
        <f t="shared" si="178"/>
        <v>358.52346100776708</v>
      </c>
      <c r="CF44" s="343">
        <f t="shared" si="127"/>
        <v>157.44937876837986</v>
      </c>
      <c r="CG44" s="343">
        <f t="shared" si="128"/>
        <v>248.5169346171964</v>
      </c>
      <c r="CI44" s="350">
        <v>1.0119736366991992</v>
      </c>
      <c r="CJ44" s="350">
        <v>0.99594582483569305</v>
      </c>
      <c r="CK44" s="350">
        <v>1.9076361704186575</v>
      </c>
      <c r="CL44" s="350">
        <v>34355.514999999999</v>
      </c>
      <c r="CM44" s="350">
        <v>9805.2175000000007</v>
      </c>
      <c r="CN44" s="351">
        <f t="shared" si="179"/>
        <v>183.16722824255504</v>
      </c>
      <c r="CO44" s="351">
        <f t="shared" si="180"/>
        <v>226.07970223770232</v>
      </c>
      <c r="CP44" s="352">
        <f t="shared" si="181"/>
        <v>7.6305446816746301</v>
      </c>
      <c r="CQ44" s="352">
        <f t="shared" si="182"/>
        <v>4.215330992269239</v>
      </c>
      <c r="CR44" s="353">
        <f t="shared" si="183"/>
        <v>187.38255923482427</v>
      </c>
      <c r="CS44" s="353">
        <f t="shared" si="184"/>
        <v>222.66448854829693</v>
      </c>
      <c r="CT44" s="343">
        <f t="shared" si="129"/>
        <v>183.56052791697638</v>
      </c>
      <c r="CU44" s="343">
        <f t="shared" si="130"/>
        <v>218.84245723044904</v>
      </c>
      <c r="CW44" s="350">
        <v>0.75290000000000001</v>
      </c>
      <c r="CX44" s="350">
        <v>0.71560000000000001</v>
      </c>
      <c r="CY44" s="350">
        <v>1.9936995048676032</v>
      </c>
      <c r="CZ44" s="350">
        <v>15765.0383</v>
      </c>
      <c r="DA44" s="350">
        <v>4214.3441999999995</v>
      </c>
      <c r="DB44" s="351">
        <f t="shared" si="185"/>
        <v>143.8039</v>
      </c>
      <c r="DC44" s="351">
        <f t="shared" si="186"/>
        <v>187.4872</v>
      </c>
      <c r="DD44" s="352">
        <f t="shared" si="187"/>
        <v>5.9810985146028095</v>
      </c>
      <c r="DE44" s="352">
        <f t="shared" si="188"/>
        <v>3.3848763622899614</v>
      </c>
      <c r="DF44" s="353">
        <f t="shared" si="189"/>
        <v>147.18877636228996</v>
      </c>
      <c r="DG44" s="353">
        <f t="shared" si="190"/>
        <v>184.89097784768714</v>
      </c>
      <c r="DH44" s="343">
        <f t="shared" si="131"/>
        <v>144.10571028985174</v>
      </c>
      <c r="DI44" s="343">
        <f t="shared" si="132"/>
        <v>181.80791177524893</v>
      </c>
      <c r="DK44" s="350">
        <v>0.70420000000000005</v>
      </c>
      <c r="DL44" s="350">
        <v>0.69799999999999995</v>
      </c>
      <c r="DM44" s="350">
        <v>1.4742878145228704</v>
      </c>
      <c r="DN44" s="350">
        <v>1092.0542</v>
      </c>
      <c r="DO44" s="350">
        <v>381.5942</v>
      </c>
      <c r="DP44" s="351">
        <f t="shared" si="191"/>
        <v>67.603200000000001</v>
      </c>
      <c r="DQ44" s="351">
        <f t="shared" si="192"/>
        <v>121.452</v>
      </c>
      <c r="DR44" s="352">
        <f t="shared" si="193"/>
        <v>2.9485756290457408</v>
      </c>
      <c r="DS44" s="352">
        <f t="shared" si="194"/>
        <v>1.894210829952645</v>
      </c>
      <c r="DT44" s="353">
        <f t="shared" si="195"/>
        <v>69.497410829952642</v>
      </c>
      <c r="DU44" s="353">
        <f t="shared" si="196"/>
        <v>120.3976352009069</v>
      </c>
      <c r="DV44" s="343">
        <f t="shared" si="133"/>
        <v>67.859924826004715</v>
      </c>
      <c r="DW44" s="343">
        <f t="shared" si="134"/>
        <v>118.76014919695898</v>
      </c>
      <c r="EB44" s="326"/>
      <c r="EC44" s="326"/>
      <c r="ED44" s="326"/>
      <c r="EE44" s="348">
        <f t="shared" si="197"/>
        <v>79721.829166666663</v>
      </c>
      <c r="EF44" s="348">
        <f t="shared" si="198"/>
        <v>22727.486733333331</v>
      </c>
      <c r="EG44" s="348">
        <f t="shared" si="199"/>
        <v>1407.4071339183638</v>
      </c>
      <c r="EH44" s="348">
        <f t="shared" si="200"/>
        <v>3453.675481750116</v>
      </c>
      <c r="EI44" s="354">
        <f t="shared" si="201"/>
        <v>0.77815872625721139</v>
      </c>
      <c r="EJ44" s="326"/>
      <c r="EK44" s="348">
        <f t="shared" si="202"/>
        <v>2148.0450515515013</v>
      </c>
      <c r="EL44" s="348">
        <f t="shared" si="203"/>
        <v>3195.4157405903998</v>
      </c>
      <c r="EM44" s="348">
        <f t="shared" si="83"/>
        <v>1452.4877650349586</v>
      </c>
      <c r="EN44" s="348">
        <f t="shared" si="84"/>
        <v>2499.858454073857</v>
      </c>
      <c r="EP44" s="326"/>
      <c r="EQ44" s="326"/>
      <c r="ER44" s="326"/>
      <c r="ES44" s="348">
        <f t="shared" si="204"/>
        <v>62639.2716</v>
      </c>
      <c r="ET44" s="348">
        <f t="shared" si="205"/>
        <v>17572.125</v>
      </c>
      <c r="EU44" s="348">
        <f t="shared" si="206"/>
        <v>1088.1182630538412</v>
      </c>
      <c r="EV44" s="348">
        <f t="shared" si="207"/>
        <v>2668.398635555051</v>
      </c>
      <c r="EW44" s="354">
        <f t="shared" si="208"/>
        <v>0.78092732772589568</v>
      </c>
      <c r="EX44" s="326"/>
      <c r="EY44" s="348">
        <f t="shared" si="209"/>
        <v>1781.1890054017456</v>
      </c>
      <c r="EZ44" s="348">
        <f t="shared" si="210"/>
        <v>2432.6955388687397</v>
      </c>
      <c r="FA44" s="348">
        <f t="shared" si="92"/>
        <v>1124.186938917451</v>
      </c>
      <c r="FB44" s="348">
        <f t="shared" si="93"/>
        <v>1775.6934723844447</v>
      </c>
      <c r="FD44" s="326"/>
      <c r="FE44" s="326"/>
      <c r="FF44" s="326"/>
      <c r="FG44" s="348">
        <f t="shared" si="211"/>
        <v>49463.912533333336</v>
      </c>
      <c r="FH44" s="348">
        <f t="shared" si="212"/>
        <v>14428.645033333334</v>
      </c>
      <c r="FI44" s="348">
        <f t="shared" si="213"/>
        <v>640.2335614136199</v>
      </c>
      <c r="FJ44" s="348">
        <f t="shared" si="214"/>
        <v>1426.1631544997754</v>
      </c>
      <c r="FK44" s="354">
        <f t="shared" si="215"/>
        <v>0.77417330620584068</v>
      </c>
      <c r="FL44" s="326"/>
      <c r="FM44" s="348">
        <f t="shared" si="216"/>
        <v>985.0146813931633</v>
      </c>
      <c r="FN44" s="348">
        <f t="shared" si="217"/>
        <v>1296.699811562288</v>
      </c>
      <c r="FO44" s="348">
        <f t="shared" si="101"/>
        <v>663.57196720353511</v>
      </c>
      <c r="FP44" s="348">
        <f t="shared" si="102"/>
        <v>975.25709737265981</v>
      </c>
      <c r="FR44" s="326"/>
      <c r="FS44" s="326"/>
      <c r="FT44" s="326"/>
      <c r="FU44" s="348">
        <f t="shared" si="218"/>
        <v>24027.164199999999</v>
      </c>
      <c r="FV44" s="348">
        <f t="shared" si="219"/>
        <v>6991.0816999999997</v>
      </c>
      <c r="FW44" s="349">
        <f t="shared" si="220"/>
        <v>55.326602566723629</v>
      </c>
      <c r="FX44" s="349">
        <f t="shared" si="221"/>
        <v>265.15702407699729</v>
      </c>
      <c r="FY44" s="354">
        <f t="shared" si="222"/>
        <v>0.77461389265728919</v>
      </c>
      <c r="FZ44" s="326"/>
      <c r="GA44" s="349">
        <f t="shared" si="223"/>
        <v>224.59136218370671</v>
      </c>
      <c r="GB44" s="349">
        <f t="shared" si="224"/>
        <v>221.91612633466235</v>
      </c>
      <c r="GC44" s="349">
        <f t="shared" si="139"/>
        <v>59.248867468192181</v>
      </c>
      <c r="GD44" s="349">
        <f t="shared" si="140"/>
        <v>56.57363161914779</v>
      </c>
      <c r="GF44" s="326"/>
      <c r="GG44" s="326"/>
      <c r="GH44" s="326"/>
      <c r="GI44" s="348">
        <f t="shared" si="225"/>
        <v>50120.5533</v>
      </c>
      <c r="GJ44" s="348">
        <f t="shared" si="226"/>
        <v>14019.5617</v>
      </c>
      <c r="GK44" s="348">
        <f t="shared" si="227"/>
        <v>298.21034824255503</v>
      </c>
      <c r="GL44" s="348">
        <f t="shared" si="228"/>
        <v>376.06946223770234</v>
      </c>
      <c r="GM44" s="354">
        <f t="shared" si="229"/>
        <v>0.78142287864622628</v>
      </c>
      <c r="GN44" s="326"/>
      <c r="GO44" s="348">
        <f t="shared" si="230"/>
        <v>305.13358032465624</v>
      </c>
      <c r="GP44" s="348">
        <f t="shared" si="231"/>
        <v>370.57727082644664</v>
      </c>
      <c r="GQ44" s="348">
        <f t="shared" si="141"/>
        <v>298.84509614885781</v>
      </c>
      <c r="GR44" s="348">
        <f t="shared" si="142"/>
        <v>364.28878665064815</v>
      </c>
    </row>
    <row r="45" spans="1:200" x14ac:dyDescent="0.2">
      <c r="A45" s="320">
        <v>35</v>
      </c>
      <c r="C45" s="350">
        <v>0.89837334947527547</v>
      </c>
      <c r="D45" s="350">
        <v>1.0095789014042642</v>
      </c>
      <c r="E45" s="350">
        <v>2.2875205946761823</v>
      </c>
      <c r="F45" s="350">
        <v>21464.212500000005</v>
      </c>
      <c r="G45" s="350">
        <v>6281.744999999999</v>
      </c>
      <c r="H45" s="351">
        <f t="shared" si="143"/>
        <v>921.73105656163261</v>
      </c>
      <c r="I45" s="351">
        <f t="shared" si="144"/>
        <v>2398.7594697365316</v>
      </c>
      <c r="J45" s="352">
        <f t="shared" si="145"/>
        <v>583.31775164242651</v>
      </c>
      <c r="K45" s="352">
        <f t="shared" si="146"/>
        <v>421.39526360210067</v>
      </c>
      <c r="L45" s="353">
        <f t="shared" si="147"/>
        <v>1343.1263201637332</v>
      </c>
      <c r="M45" s="353">
        <f t="shared" si="148"/>
        <v>2236.8369816962058</v>
      </c>
      <c r="N45" s="343">
        <f t="shared" si="117"/>
        <v>950.28586615341612</v>
      </c>
      <c r="O45" s="343">
        <f t="shared" si="118"/>
        <v>1843.9965276858884</v>
      </c>
      <c r="Q45" s="350">
        <v>0.86547970180516487</v>
      </c>
      <c r="R45" s="350">
        <v>0.98842968419913069</v>
      </c>
      <c r="S45" s="350">
        <v>2.3126536025838385</v>
      </c>
      <c r="T45" s="350">
        <v>2489.8258333333333</v>
      </c>
      <c r="U45" s="350">
        <v>831.32416666666654</v>
      </c>
      <c r="V45" s="351">
        <f t="shared" si="149"/>
        <v>609.29771007083605</v>
      </c>
      <c r="W45" s="351">
        <f t="shared" si="150"/>
        <v>1658.5850100861412</v>
      </c>
      <c r="X45" s="352">
        <f t="shared" si="151"/>
        <v>444.02949169609701</v>
      </c>
      <c r="Y45" s="352">
        <f t="shared" si="152"/>
        <v>324.73489586460585</v>
      </c>
      <c r="Z45" s="353">
        <f t="shared" si="153"/>
        <v>934.03260593544189</v>
      </c>
      <c r="AA45" s="353">
        <f t="shared" si="154"/>
        <v>1539.2904142546499</v>
      </c>
      <c r="AB45" s="343">
        <f t="shared" si="119"/>
        <v>626.65856192132878</v>
      </c>
      <c r="AC45" s="343">
        <f t="shared" si="120"/>
        <v>1231.9163702405369</v>
      </c>
      <c r="AE45" s="350">
        <v>0.78995894728971827</v>
      </c>
      <c r="AF45" s="350">
        <v>0.96</v>
      </c>
      <c r="AG45" s="350">
        <v>2.348594793701035</v>
      </c>
      <c r="AH45" s="350">
        <v>377.65750000000003</v>
      </c>
      <c r="AI45" s="350">
        <v>107.68916666666667</v>
      </c>
      <c r="AJ45" s="351">
        <f t="shared" si="155"/>
        <v>281.2253852351397</v>
      </c>
      <c r="AK45" s="351">
        <f t="shared" si="156"/>
        <v>735.36</v>
      </c>
      <c r="AL45" s="352">
        <f t="shared" si="157"/>
        <v>279.48278045042315</v>
      </c>
      <c r="AM45" s="352">
        <f t="shared" si="158"/>
        <v>202.16743267904207</v>
      </c>
      <c r="AN45" s="353">
        <f t="shared" si="159"/>
        <v>483.39281791418176</v>
      </c>
      <c r="AO45" s="353">
        <f t="shared" si="160"/>
        <v>658.04465222861893</v>
      </c>
      <c r="AP45" s="343">
        <f t="shared" si="121"/>
        <v>292.48345494926497</v>
      </c>
      <c r="AQ45" s="343">
        <f t="shared" si="122"/>
        <v>467.13528926370213</v>
      </c>
      <c r="AS45" s="350">
        <v>0.86656471643435917</v>
      </c>
      <c r="AT45" s="350">
        <v>1.3735417416413793</v>
      </c>
      <c r="AU45" s="350">
        <v>2.4135141271638245</v>
      </c>
      <c r="AV45" s="350">
        <v>12068.935799999999</v>
      </c>
      <c r="AW45" s="350">
        <v>3268.1867000000002</v>
      </c>
      <c r="AX45" s="351">
        <f t="shared" si="161"/>
        <v>218.3743085414585</v>
      </c>
      <c r="AY45" s="351">
        <f t="shared" si="162"/>
        <v>688.14441256233101</v>
      </c>
      <c r="AZ45" s="352">
        <f t="shared" si="163"/>
        <v>388.57577447337576</v>
      </c>
      <c r="BA45" s="352">
        <f t="shared" si="164"/>
        <v>294.97046430033862</v>
      </c>
      <c r="BB45" s="353">
        <f t="shared" si="165"/>
        <v>513.34477284179707</v>
      </c>
      <c r="BC45" s="353">
        <f t="shared" si="166"/>
        <v>594.53910238929393</v>
      </c>
      <c r="BD45" s="343">
        <f t="shared" si="123"/>
        <v>234.26538215996703</v>
      </c>
      <c r="BE45" s="343">
        <f t="shared" si="124"/>
        <v>315.45971170746378</v>
      </c>
      <c r="BG45" s="350">
        <v>0.86477842963265006</v>
      </c>
      <c r="BH45" s="350">
        <v>1.3939325239870493</v>
      </c>
      <c r="BI45" s="350">
        <v>2.5338414678473029</v>
      </c>
      <c r="BJ45" s="350">
        <v>11992.2958</v>
      </c>
      <c r="BK45" s="350">
        <v>3240.34</v>
      </c>
      <c r="BL45" s="351">
        <f t="shared" si="167"/>
        <v>204.95248782293805</v>
      </c>
      <c r="BM45" s="351">
        <f t="shared" si="168"/>
        <v>671.87547656175775</v>
      </c>
      <c r="BN45" s="352">
        <f t="shared" si="169"/>
        <v>456.09146421251455</v>
      </c>
      <c r="BO45" s="352">
        <f t="shared" si="170"/>
        <v>349.4832308280354</v>
      </c>
      <c r="BP45" s="353">
        <f t="shared" si="171"/>
        <v>554.43571865097351</v>
      </c>
      <c r="BQ45" s="353">
        <f t="shared" si="172"/>
        <v>565.2672431772786</v>
      </c>
      <c r="BR45" s="343">
        <f t="shared" si="125"/>
        <v>223.05574495873759</v>
      </c>
      <c r="BS45" s="343">
        <f t="shared" si="126"/>
        <v>233.88726948504274</v>
      </c>
      <c r="BU45" s="350">
        <v>0.81651695071085506</v>
      </c>
      <c r="BV45" s="350">
        <v>1.2884898964397724</v>
      </c>
      <c r="BW45" s="350">
        <v>2.3529872496156798</v>
      </c>
      <c r="BX45" s="350">
        <v>14787.905000000001</v>
      </c>
      <c r="BY45" s="350">
        <v>4471.8666999999996</v>
      </c>
      <c r="BZ45" s="351">
        <f t="shared" si="173"/>
        <v>148.60608502937563</v>
      </c>
      <c r="CA45" s="351">
        <f t="shared" si="174"/>
        <v>395.56639820701014</v>
      </c>
      <c r="CB45" s="352">
        <f t="shared" si="175"/>
        <v>157.65014572425054</v>
      </c>
      <c r="CC45" s="352">
        <f t="shared" si="176"/>
        <v>114.59804058828662</v>
      </c>
      <c r="CD45" s="353">
        <f t="shared" si="177"/>
        <v>263.20412561766227</v>
      </c>
      <c r="CE45" s="353">
        <f t="shared" si="178"/>
        <v>352.51429307104621</v>
      </c>
      <c r="CF45" s="343">
        <f t="shared" si="127"/>
        <v>160.13908653514133</v>
      </c>
      <c r="CG45" s="343">
        <f t="shared" si="128"/>
        <v>249.4492539885253</v>
      </c>
      <c r="CI45" s="350">
        <v>1.0148370779970108</v>
      </c>
      <c r="CJ45" s="350">
        <v>0.99996853427758414</v>
      </c>
      <c r="CK45" s="350">
        <v>1.7540625774688572</v>
      </c>
      <c r="CL45" s="350">
        <v>36454.616699999999</v>
      </c>
      <c r="CM45" s="350">
        <v>10299.1067</v>
      </c>
      <c r="CN45" s="351">
        <f t="shared" si="179"/>
        <v>183.68551111745896</v>
      </c>
      <c r="CO45" s="351">
        <f t="shared" si="180"/>
        <v>226.9928572810116</v>
      </c>
      <c r="CP45" s="352">
        <f t="shared" si="181"/>
        <v>7.0162503098754287</v>
      </c>
      <c r="CQ45" s="352">
        <f t="shared" si="182"/>
        <v>3.8780681618275805</v>
      </c>
      <c r="CR45" s="353">
        <f t="shared" si="183"/>
        <v>187.56357927928653</v>
      </c>
      <c r="CS45" s="353">
        <f t="shared" si="184"/>
        <v>223.85467513296373</v>
      </c>
      <c r="CT45" s="343">
        <f t="shared" si="129"/>
        <v>184.0788107918803</v>
      </c>
      <c r="CU45" s="343">
        <f t="shared" si="130"/>
        <v>220.36990664555751</v>
      </c>
      <c r="CW45" s="350">
        <v>0.80400000000000005</v>
      </c>
      <c r="CX45" s="350">
        <v>0.77810000000000001</v>
      </c>
      <c r="CY45" s="350">
        <v>1.8681338205920164</v>
      </c>
      <c r="CZ45" s="350">
        <v>17073.2667</v>
      </c>
      <c r="DA45" s="350">
        <v>4565.3608000000004</v>
      </c>
      <c r="DB45" s="351">
        <f t="shared" si="185"/>
        <v>153.56400000000002</v>
      </c>
      <c r="DC45" s="351">
        <f t="shared" si="186"/>
        <v>203.8622</v>
      </c>
      <c r="DD45" s="352">
        <f t="shared" si="187"/>
        <v>5.6044014617760496</v>
      </c>
      <c r="DE45" s="352">
        <f t="shared" si="188"/>
        <v>3.1965357091362678</v>
      </c>
      <c r="DF45" s="353">
        <f t="shared" si="189"/>
        <v>156.76053570913629</v>
      </c>
      <c r="DG45" s="353">
        <f t="shared" si="190"/>
        <v>201.45433424736021</v>
      </c>
      <c r="DH45" s="343">
        <f t="shared" si="131"/>
        <v>153.86581028985177</v>
      </c>
      <c r="DI45" s="343">
        <f t="shared" si="132"/>
        <v>198.55960882807568</v>
      </c>
      <c r="DK45" s="350">
        <v>0.76659999999999995</v>
      </c>
      <c r="DL45" s="350">
        <v>0.75960000000000005</v>
      </c>
      <c r="DM45" s="350">
        <v>1.4349461968027744</v>
      </c>
      <c r="DN45" s="350">
        <v>1072.2333000000001</v>
      </c>
      <c r="DO45" s="350">
        <v>355.87079999999997</v>
      </c>
      <c r="DP45" s="351">
        <f t="shared" si="191"/>
        <v>73.593599999999995</v>
      </c>
      <c r="DQ45" s="351">
        <f t="shared" si="192"/>
        <v>132.1704</v>
      </c>
      <c r="DR45" s="352">
        <f t="shared" si="193"/>
        <v>2.8698923936055487</v>
      </c>
      <c r="DS45" s="352">
        <f t="shared" si="194"/>
        <v>1.8434460139762194</v>
      </c>
      <c r="DT45" s="353">
        <f t="shared" si="195"/>
        <v>75.437046013976214</v>
      </c>
      <c r="DU45" s="353">
        <f t="shared" si="196"/>
        <v>131.14395362037067</v>
      </c>
      <c r="DV45" s="343">
        <f t="shared" si="133"/>
        <v>73.850324826004709</v>
      </c>
      <c r="DW45" s="343">
        <f t="shared" si="134"/>
        <v>129.55723243239919</v>
      </c>
      <c r="EB45" s="326"/>
      <c r="EC45" s="326"/>
      <c r="ED45" s="326"/>
      <c r="EE45" s="348">
        <f t="shared" si="197"/>
        <v>87061.031699999992</v>
      </c>
      <c r="EF45" s="348">
        <f t="shared" si="198"/>
        <v>24414.3992</v>
      </c>
      <c r="EG45" s="348">
        <f t="shared" si="199"/>
        <v>1446.6420762205501</v>
      </c>
      <c r="EH45" s="348">
        <f t="shared" si="200"/>
        <v>3476.9864995798744</v>
      </c>
      <c r="EI45" s="354">
        <f t="shared" si="201"/>
        <v>0.78098851914821343</v>
      </c>
      <c r="EJ45" s="326"/>
      <c r="EK45" s="348">
        <f t="shared" si="202"/>
        <v>2169.443100852126</v>
      </c>
      <c r="EL45" s="348">
        <f t="shared" si="203"/>
        <v>3216.3942266163517</v>
      </c>
      <c r="EM45" s="348">
        <f t="shared" si="83"/>
        <v>1491.722707337145</v>
      </c>
      <c r="EN45" s="348">
        <f t="shared" si="84"/>
        <v>2538.6738331013698</v>
      </c>
      <c r="EP45" s="326"/>
      <c r="EQ45" s="326"/>
      <c r="ER45" s="326"/>
      <c r="ES45" s="348">
        <f t="shared" si="204"/>
        <v>68010.00503333332</v>
      </c>
      <c r="ET45" s="348">
        <f t="shared" si="205"/>
        <v>18936.131666666668</v>
      </c>
      <c r="EU45" s="348">
        <f t="shared" si="206"/>
        <v>1105.4305090112332</v>
      </c>
      <c r="EV45" s="348">
        <f t="shared" si="207"/>
        <v>2700.1568839289107</v>
      </c>
      <c r="EW45" s="354">
        <f t="shared" si="208"/>
        <v>0.78220847543802752</v>
      </c>
      <c r="EX45" s="326"/>
      <c r="EY45" s="348">
        <f t="shared" si="209"/>
        <v>1785.7642788620974</v>
      </c>
      <c r="EZ45" s="348">
        <f t="shared" si="210"/>
        <v>2469.4303665380444</v>
      </c>
      <c r="FA45" s="348">
        <f t="shared" si="92"/>
        <v>1141.499184874843</v>
      </c>
      <c r="FB45" s="348">
        <f t="shared" si="93"/>
        <v>1825.16527255079</v>
      </c>
      <c r="FD45" s="326"/>
      <c r="FE45" s="326"/>
      <c r="FF45" s="326"/>
      <c r="FG45" s="348">
        <f t="shared" si="211"/>
        <v>52692.412499999999</v>
      </c>
      <c r="FH45" s="348">
        <f t="shared" si="212"/>
        <v>15234.533366666667</v>
      </c>
      <c r="FI45" s="348">
        <f t="shared" si="213"/>
        <v>657.67314138197435</v>
      </c>
      <c r="FJ45" s="348">
        <f t="shared" si="214"/>
        <v>1437.2214954880217</v>
      </c>
      <c r="FK45" s="354">
        <f t="shared" si="215"/>
        <v>0.77572179681726861</v>
      </c>
      <c r="FL45" s="326"/>
      <c r="FM45" s="348">
        <f t="shared" si="216"/>
        <v>979.42275041951632</v>
      </c>
      <c r="FN45" s="348">
        <f t="shared" si="217"/>
        <v>1313.0999926048512</v>
      </c>
      <c r="FO45" s="348">
        <f t="shared" si="101"/>
        <v>681.01154717188945</v>
      </c>
      <c r="FP45" s="348">
        <f t="shared" si="102"/>
        <v>1014.6887893572244</v>
      </c>
      <c r="FR45" s="326"/>
      <c r="FS45" s="326"/>
      <c r="FT45" s="326"/>
      <c r="FU45" s="348">
        <f t="shared" si="218"/>
        <v>26856.840799999998</v>
      </c>
      <c r="FV45" s="348">
        <f t="shared" si="219"/>
        <v>7740.0533999999998</v>
      </c>
      <c r="FW45" s="349">
        <f t="shared" si="220"/>
        <v>62.791401160874585</v>
      </c>
      <c r="FX45" s="349">
        <f t="shared" si="221"/>
        <v>263.32021291978879</v>
      </c>
      <c r="FY45" s="354">
        <f t="shared" si="222"/>
        <v>0.77627895280842873</v>
      </c>
      <c r="FZ45" s="326"/>
      <c r="GA45" s="349">
        <f t="shared" si="223"/>
        <v>225.12658250172132</v>
      </c>
      <c r="GB45" s="349">
        <f t="shared" si="224"/>
        <v>217.82232838642295</v>
      </c>
      <c r="GC45" s="349">
        <f t="shared" si="139"/>
        <v>66.713666062343137</v>
      </c>
      <c r="GD45" s="349">
        <f t="shared" si="140"/>
        <v>59.409411947044639</v>
      </c>
      <c r="GF45" s="326"/>
      <c r="GG45" s="326"/>
      <c r="GH45" s="326"/>
      <c r="GI45" s="348">
        <f t="shared" si="225"/>
        <v>53527.883399999999</v>
      </c>
      <c r="GJ45" s="348">
        <f t="shared" si="226"/>
        <v>14864.467500000001</v>
      </c>
      <c r="GK45" s="348">
        <f t="shared" si="227"/>
        <v>306.53671111745899</v>
      </c>
      <c r="GL45" s="348">
        <f t="shared" si="228"/>
        <v>390.08261728101161</v>
      </c>
      <c r="GM45" s="354">
        <f t="shared" si="229"/>
        <v>0.78265891865986426</v>
      </c>
      <c r="GN45" s="326"/>
      <c r="GO45" s="348">
        <f t="shared" si="230"/>
        <v>312.9720078465956</v>
      </c>
      <c r="GP45" s="348">
        <f t="shared" si="231"/>
        <v>385.01814253085195</v>
      </c>
      <c r="GQ45" s="348">
        <f t="shared" si="141"/>
        <v>307.17145902376171</v>
      </c>
      <c r="GR45" s="348">
        <f t="shared" si="142"/>
        <v>379.21759370801806</v>
      </c>
    </row>
    <row r="46" spans="1:200" x14ac:dyDescent="0.2">
      <c r="A46" s="320">
        <v>36</v>
      </c>
      <c r="C46" s="350">
        <v>0.91971790875048631</v>
      </c>
      <c r="D46" s="350">
        <v>1.0136246998612197</v>
      </c>
      <c r="E46" s="350">
        <v>2.1649532042394157</v>
      </c>
      <c r="F46" s="350">
        <v>22838.337499999998</v>
      </c>
      <c r="G46" s="350">
        <v>6531.97</v>
      </c>
      <c r="H46" s="351">
        <f t="shared" si="143"/>
        <v>943.63057437799898</v>
      </c>
      <c r="I46" s="351">
        <f t="shared" si="144"/>
        <v>2408.372286870258</v>
      </c>
      <c r="J46" s="352">
        <f t="shared" si="145"/>
        <v>552.06306708105103</v>
      </c>
      <c r="K46" s="352">
        <f t="shared" si="146"/>
        <v>396.65043450096516</v>
      </c>
      <c r="L46" s="353">
        <f t="shared" si="147"/>
        <v>1340.2810088789643</v>
      </c>
      <c r="M46" s="353">
        <f t="shared" si="148"/>
        <v>2252.9596542901722</v>
      </c>
      <c r="N46" s="343">
        <f t="shared" si="117"/>
        <v>972.18538396978249</v>
      </c>
      <c r="O46" s="343">
        <f t="shared" si="118"/>
        <v>1884.8640293809904</v>
      </c>
      <c r="Q46" s="350">
        <v>0.88553681505387183</v>
      </c>
      <c r="R46" s="350">
        <v>0.99610609356896618</v>
      </c>
      <c r="S46" s="350">
        <v>2.244029992237075</v>
      </c>
      <c r="T46" s="350">
        <v>2666.1950000000002</v>
      </c>
      <c r="U46" s="350">
        <v>911.89833333333343</v>
      </c>
      <c r="V46" s="351">
        <f t="shared" si="149"/>
        <v>623.41791779792572</v>
      </c>
      <c r="W46" s="351">
        <f t="shared" si="150"/>
        <v>1671.4660250087252</v>
      </c>
      <c r="X46" s="352">
        <f t="shared" si="151"/>
        <v>430.8537585095184</v>
      </c>
      <c r="Y46" s="352">
        <f t="shared" si="152"/>
        <v>313.80995163320506</v>
      </c>
      <c r="Z46" s="353">
        <f t="shared" si="153"/>
        <v>937.22786943113078</v>
      </c>
      <c r="AA46" s="353">
        <f t="shared" si="154"/>
        <v>1554.4222181324117</v>
      </c>
      <c r="AB46" s="343">
        <f t="shared" si="119"/>
        <v>640.77876964841846</v>
      </c>
      <c r="AC46" s="343">
        <f t="shared" si="120"/>
        <v>1257.9731183496995</v>
      </c>
      <c r="AE46" s="350">
        <v>0.8264716825203815</v>
      </c>
      <c r="AF46" s="350">
        <v>0.96899999999999997</v>
      </c>
      <c r="AG46" s="350">
        <v>2.1558675568618701</v>
      </c>
      <c r="AH46" s="350">
        <v>468.15916666666664</v>
      </c>
      <c r="AI46" s="350">
        <v>145.78833333333336</v>
      </c>
      <c r="AJ46" s="351">
        <f t="shared" si="155"/>
        <v>294.22391897725583</v>
      </c>
      <c r="AK46" s="351">
        <f t="shared" si="156"/>
        <v>742.25400000000002</v>
      </c>
      <c r="AL46" s="352">
        <f t="shared" si="157"/>
        <v>256.54823926656258</v>
      </c>
      <c r="AM46" s="352">
        <f t="shared" si="158"/>
        <v>183.72215490751981</v>
      </c>
      <c r="AN46" s="353">
        <f t="shared" si="159"/>
        <v>477.94607388477561</v>
      </c>
      <c r="AO46" s="353">
        <f t="shared" si="160"/>
        <v>669.42791564095728</v>
      </c>
      <c r="AP46" s="343">
        <f t="shared" si="121"/>
        <v>305.4819886913811</v>
      </c>
      <c r="AQ46" s="343">
        <f t="shared" si="122"/>
        <v>496.96383044756271</v>
      </c>
      <c r="AS46" s="350">
        <v>0.90443403248682552</v>
      </c>
      <c r="AT46" s="350">
        <v>1.3310247683038912</v>
      </c>
      <c r="AU46" s="350">
        <v>2.1991807464509807</v>
      </c>
      <c r="AV46" s="350">
        <v>13617.808300000001</v>
      </c>
      <c r="AW46" s="350">
        <v>3627.2782999999999</v>
      </c>
      <c r="AX46" s="351">
        <f t="shared" si="161"/>
        <v>227.91737618668003</v>
      </c>
      <c r="AY46" s="351">
        <f t="shared" si="162"/>
        <v>666.84340892024943</v>
      </c>
      <c r="AZ46" s="352">
        <f t="shared" si="163"/>
        <v>354.06810017860789</v>
      </c>
      <c r="BA46" s="352">
        <f t="shared" si="164"/>
        <v>263.87832685895245</v>
      </c>
      <c r="BB46" s="353">
        <f t="shared" si="165"/>
        <v>491.79570304563248</v>
      </c>
      <c r="BC46" s="353">
        <f t="shared" si="166"/>
        <v>576.65363560059404</v>
      </c>
      <c r="BD46" s="343">
        <f t="shared" si="123"/>
        <v>243.80844980518856</v>
      </c>
      <c r="BE46" s="343">
        <f t="shared" si="124"/>
        <v>328.66638236015007</v>
      </c>
      <c r="BG46" s="350">
        <v>0.87250872564923099</v>
      </c>
      <c r="BH46" s="350">
        <v>1.3617546935407472</v>
      </c>
      <c r="BI46" s="350">
        <v>2.3424886646349421</v>
      </c>
      <c r="BJ46" s="350">
        <v>13581.045</v>
      </c>
      <c r="BK46" s="350">
        <v>3542.4258</v>
      </c>
      <c r="BL46" s="351">
        <f t="shared" si="167"/>
        <v>206.78456797886776</v>
      </c>
      <c r="BM46" s="351">
        <f t="shared" si="168"/>
        <v>656.36576228664012</v>
      </c>
      <c r="BN46" s="352">
        <f t="shared" si="169"/>
        <v>421.64795963428958</v>
      </c>
      <c r="BO46" s="352">
        <f t="shared" si="170"/>
        <v>320.63393216432655</v>
      </c>
      <c r="BP46" s="353">
        <f t="shared" si="171"/>
        <v>527.41850014319425</v>
      </c>
      <c r="BQ46" s="353">
        <f t="shared" si="172"/>
        <v>555.35173481667709</v>
      </c>
      <c r="BR46" s="343">
        <f t="shared" si="125"/>
        <v>224.88782511466729</v>
      </c>
      <c r="BS46" s="343">
        <f t="shared" si="126"/>
        <v>252.82105978815008</v>
      </c>
      <c r="BU46" s="350">
        <v>0.84475082895002518</v>
      </c>
      <c r="BV46" s="350">
        <v>1.2649190979723983</v>
      </c>
      <c r="BW46" s="350">
        <v>2.1798744834758534</v>
      </c>
      <c r="BX46" s="350">
        <v>14857.6067</v>
      </c>
      <c r="BY46" s="350">
        <v>4551.45</v>
      </c>
      <c r="BZ46" s="351">
        <f t="shared" si="173"/>
        <v>153.74465086890459</v>
      </c>
      <c r="CA46" s="351">
        <f t="shared" si="174"/>
        <v>388.33016307752627</v>
      </c>
      <c r="CB46" s="352">
        <f t="shared" si="175"/>
        <v>146.05159039288219</v>
      </c>
      <c r="CC46" s="352">
        <f t="shared" si="176"/>
        <v>104.62806324110984</v>
      </c>
      <c r="CD46" s="353">
        <f t="shared" si="177"/>
        <v>258.37271411001444</v>
      </c>
      <c r="CE46" s="353">
        <f t="shared" si="178"/>
        <v>346.9066359257539</v>
      </c>
      <c r="CF46" s="343">
        <f t="shared" si="127"/>
        <v>165.27765237467028</v>
      </c>
      <c r="CG46" s="343">
        <f t="shared" si="128"/>
        <v>253.81157419040977</v>
      </c>
      <c r="CI46" s="350">
        <v>1.0136159942623229</v>
      </c>
      <c r="CJ46" s="350">
        <v>1.0011856851716656</v>
      </c>
      <c r="CK46" s="350">
        <v>1.5734739253903163</v>
      </c>
      <c r="CL46" s="350">
        <v>38451.459199999998</v>
      </c>
      <c r="CM46" s="350">
        <v>10707.808300000001</v>
      </c>
      <c r="CN46" s="351">
        <f t="shared" si="179"/>
        <v>183.46449496148043</v>
      </c>
      <c r="CO46" s="351">
        <f t="shared" si="180"/>
        <v>227.26915053396809</v>
      </c>
      <c r="CP46" s="352">
        <f t="shared" si="181"/>
        <v>6.2938957015612651</v>
      </c>
      <c r="CQ46" s="352">
        <f t="shared" si="182"/>
        <v>3.4825691669787315</v>
      </c>
      <c r="CR46" s="353">
        <f t="shared" si="183"/>
        <v>186.94706412845915</v>
      </c>
      <c r="CS46" s="353">
        <f t="shared" si="184"/>
        <v>224.45782399938554</v>
      </c>
      <c r="CT46" s="343">
        <f t="shared" si="129"/>
        <v>183.85779463590177</v>
      </c>
      <c r="CU46" s="343">
        <f t="shared" si="130"/>
        <v>221.36855450682816</v>
      </c>
      <c r="CW46" s="350">
        <v>0.85260000000000002</v>
      </c>
      <c r="CX46" s="350">
        <v>0.83889999999999998</v>
      </c>
      <c r="CY46" s="350">
        <v>1.6995612982743242</v>
      </c>
      <c r="CZ46" s="350">
        <v>18019.021700000001</v>
      </c>
      <c r="DA46" s="350">
        <v>4693.8508000000002</v>
      </c>
      <c r="DB46" s="351">
        <f t="shared" si="185"/>
        <v>162.8466</v>
      </c>
      <c r="DC46" s="351">
        <f t="shared" si="186"/>
        <v>219.79179999999999</v>
      </c>
      <c r="DD46" s="352">
        <f t="shared" si="187"/>
        <v>5.0986838948229725</v>
      </c>
      <c r="DE46" s="352">
        <f t="shared" si="188"/>
        <v>2.9287413675003657</v>
      </c>
      <c r="DF46" s="353">
        <f t="shared" si="189"/>
        <v>165.77534136750037</v>
      </c>
      <c r="DG46" s="353">
        <f t="shared" si="190"/>
        <v>217.62185747267739</v>
      </c>
      <c r="DH46" s="343">
        <f t="shared" si="131"/>
        <v>163.14841028985174</v>
      </c>
      <c r="DI46" s="343">
        <f t="shared" si="132"/>
        <v>214.99492639502876</v>
      </c>
      <c r="DK46" s="350">
        <v>0.82550000000000001</v>
      </c>
      <c r="DL46" s="350">
        <v>0.82120000000000004</v>
      </c>
      <c r="DM46" s="350">
        <v>1.3636080269104618</v>
      </c>
      <c r="DN46" s="350">
        <v>1097.2757999999999</v>
      </c>
      <c r="DO46" s="350">
        <v>345.02499999999998</v>
      </c>
      <c r="DP46" s="351">
        <f t="shared" si="191"/>
        <v>79.248000000000005</v>
      </c>
      <c r="DQ46" s="351">
        <f t="shared" si="192"/>
        <v>142.8888</v>
      </c>
      <c r="DR46" s="352">
        <f t="shared" si="193"/>
        <v>2.7272160538209236</v>
      </c>
      <c r="DS46" s="352">
        <f t="shared" si="194"/>
        <v>1.7542731743286444</v>
      </c>
      <c r="DT46" s="353">
        <f t="shared" si="195"/>
        <v>81.00227317432865</v>
      </c>
      <c r="DU46" s="353">
        <f t="shared" si="196"/>
        <v>141.91585712050772</v>
      </c>
      <c r="DV46" s="343">
        <f t="shared" si="133"/>
        <v>79.504724826004718</v>
      </c>
      <c r="DW46" s="343">
        <f t="shared" si="134"/>
        <v>140.41830877218382</v>
      </c>
      <c r="EB46" s="326"/>
      <c r="EC46" s="326"/>
      <c r="ED46" s="326"/>
      <c r="EE46" s="348">
        <f t="shared" si="197"/>
        <v>92926.626699999993</v>
      </c>
      <c r="EF46" s="348">
        <f t="shared" si="198"/>
        <v>25560.9074</v>
      </c>
      <c r="EG46" s="348">
        <f t="shared" si="199"/>
        <v>1485.2897255261594</v>
      </c>
      <c r="EH46" s="348">
        <f t="shared" si="200"/>
        <v>3478.3182863244751</v>
      </c>
      <c r="EI46" s="354">
        <f t="shared" si="201"/>
        <v>0.78427344619707129</v>
      </c>
      <c r="EJ46" s="326"/>
      <c r="EK46" s="348">
        <f t="shared" si="202"/>
        <v>2151.6440491470562</v>
      </c>
      <c r="EL46" s="348">
        <f t="shared" si="203"/>
        <v>3228.1685998682938</v>
      </c>
      <c r="EM46" s="348">
        <f t="shared" si="83"/>
        <v>1530.3703566427541</v>
      </c>
      <c r="EN46" s="348">
        <f t="shared" si="84"/>
        <v>2606.8949073639919</v>
      </c>
      <c r="EP46" s="326"/>
      <c r="EQ46" s="326"/>
      <c r="ER46" s="326"/>
      <c r="ES46" s="348">
        <f t="shared" si="204"/>
        <v>72717.7209</v>
      </c>
      <c r="ET46" s="348">
        <f t="shared" si="205"/>
        <v>19855.983233333332</v>
      </c>
      <c r="EU46" s="348">
        <f t="shared" si="206"/>
        <v>1127.6596007382741</v>
      </c>
      <c r="EV46" s="348">
        <f t="shared" si="207"/>
        <v>2708.9551978293334</v>
      </c>
      <c r="EW46" s="354">
        <f t="shared" si="208"/>
        <v>0.78551162644702122</v>
      </c>
      <c r="EX46" s="326"/>
      <c r="EY46" s="348">
        <f t="shared" si="209"/>
        <v>1767.6361726600346</v>
      </c>
      <c r="EZ46" s="348">
        <f t="shared" si="210"/>
        <v>2486.5670771793484</v>
      </c>
      <c r="FA46" s="348">
        <f t="shared" si="92"/>
        <v>1163.7282766018836</v>
      </c>
      <c r="FB46" s="348">
        <f t="shared" si="93"/>
        <v>1882.6591811211977</v>
      </c>
      <c r="FD46" s="326"/>
      <c r="FE46" s="326"/>
      <c r="FF46" s="326"/>
      <c r="FG46" s="348">
        <f t="shared" si="211"/>
        <v>54874.500866666669</v>
      </c>
      <c r="FH46" s="348">
        <f t="shared" si="212"/>
        <v>15750.071633333333</v>
      </c>
      <c r="FI46" s="348">
        <f t="shared" si="213"/>
        <v>678.98186480764093</v>
      </c>
      <c r="FJ46" s="348">
        <f t="shared" si="214"/>
        <v>1443.5865936114942</v>
      </c>
      <c r="FK46" s="354">
        <f t="shared" si="215"/>
        <v>0.77698878625660583</v>
      </c>
      <c r="FL46" s="326"/>
      <c r="FM46" s="348">
        <f t="shared" si="216"/>
        <v>971.86721602784633</v>
      </c>
      <c r="FN46" s="348">
        <f t="shared" si="217"/>
        <v>1325.9418898384015</v>
      </c>
      <c r="FO46" s="348">
        <f t="shared" si="101"/>
        <v>702.32027059755592</v>
      </c>
      <c r="FP46" s="348">
        <f t="shared" si="102"/>
        <v>1056.3949444081109</v>
      </c>
      <c r="FR46" s="326"/>
      <c r="FS46" s="326"/>
      <c r="FT46" s="326"/>
      <c r="FU46" s="348">
        <f t="shared" si="218"/>
        <v>28475.415000000001</v>
      </c>
      <c r="FV46" s="348">
        <f t="shared" si="219"/>
        <v>8178.7282999999998</v>
      </c>
      <c r="FW46" s="349">
        <f t="shared" si="220"/>
        <v>66.755452785997903</v>
      </c>
      <c r="FX46" s="349">
        <f t="shared" si="221"/>
        <v>250.66192125845086</v>
      </c>
      <c r="FY46" s="354">
        <f t="shared" si="222"/>
        <v>0.77686756356408959</v>
      </c>
      <c r="FZ46" s="326"/>
      <c r="GA46" s="349">
        <f t="shared" si="223"/>
        <v>210.08069004205623</v>
      </c>
      <c r="GB46" s="349">
        <f t="shared" si="224"/>
        <v>206.77229970735613</v>
      </c>
      <c r="GC46" s="349">
        <f t="shared" si="139"/>
        <v>70.677717687466455</v>
      </c>
      <c r="GD46" s="349">
        <f t="shared" si="140"/>
        <v>67.369327352766263</v>
      </c>
      <c r="GF46" s="326"/>
      <c r="GG46" s="326"/>
      <c r="GH46" s="326"/>
      <c r="GI46" s="348">
        <f t="shared" si="225"/>
        <v>56470.480899999995</v>
      </c>
      <c r="GJ46" s="348">
        <f t="shared" si="226"/>
        <v>15401.659100000001</v>
      </c>
      <c r="GK46" s="348">
        <f t="shared" si="227"/>
        <v>313.74177496148042</v>
      </c>
      <c r="GL46" s="348">
        <f t="shared" si="228"/>
        <v>403.10259053396805</v>
      </c>
      <c r="GM46" s="354">
        <f t="shared" si="229"/>
        <v>0.7857075203270697</v>
      </c>
      <c r="GN46" s="326"/>
      <c r="GO46" s="348">
        <f t="shared" si="230"/>
        <v>319.56733722245946</v>
      </c>
      <c r="GP46" s="348">
        <f t="shared" si="231"/>
        <v>398.55530997752749</v>
      </c>
      <c r="GQ46" s="348">
        <f t="shared" si="141"/>
        <v>314.37652286778314</v>
      </c>
      <c r="GR46" s="348">
        <f t="shared" si="142"/>
        <v>393.36449562285117</v>
      </c>
    </row>
    <row r="47" spans="1:200" x14ac:dyDescent="0.2">
      <c r="A47" s="320">
        <v>37</v>
      </c>
      <c r="C47" s="350">
        <v>0.93956208888033155</v>
      </c>
      <c r="D47" s="350">
        <v>1.0141483515201501</v>
      </c>
      <c r="E47" s="350">
        <v>1.9099053424572034</v>
      </c>
      <c r="F47" s="350">
        <v>24482.284166666675</v>
      </c>
      <c r="G47" s="350">
        <v>6671.8158333333322</v>
      </c>
      <c r="H47" s="351">
        <f t="shared" si="143"/>
        <v>963.99070319122018</v>
      </c>
      <c r="I47" s="351">
        <f t="shared" si="144"/>
        <v>2409.6164832118766</v>
      </c>
      <c r="J47" s="352">
        <f t="shared" si="145"/>
        <v>487.02586232658689</v>
      </c>
      <c r="K47" s="352">
        <f t="shared" si="146"/>
        <v>347.86075579351706</v>
      </c>
      <c r="L47" s="353">
        <f t="shared" si="147"/>
        <v>1311.8514589847373</v>
      </c>
      <c r="M47" s="353">
        <f t="shared" si="148"/>
        <v>2270.4513766788068</v>
      </c>
      <c r="N47" s="343">
        <f t="shared" si="117"/>
        <v>992.54551278300369</v>
      </c>
      <c r="O47" s="343">
        <f t="shared" si="118"/>
        <v>1951.1454304770732</v>
      </c>
      <c r="Q47" s="350">
        <v>0.90847434993457588</v>
      </c>
      <c r="R47" s="350">
        <v>1.0002247641515345</v>
      </c>
      <c r="S47" s="350">
        <v>2.0007195698968814</v>
      </c>
      <c r="T47" s="350">
        <v>3005.22</v>
      </c>
      <c r="U47" s="350">
        <v>980.81500000000005</v>
      </c>
      <c r="V47" s="351">
        <f t="shared" si="149"/>
        <v>639.56594235394141</v>
      </c>
      <c r="W47" s="351">
        <f t="shared" si="150"/>
        <v>1678.3771542462748</v>
      </c>
      <c r="X47" s="352">
        <f t="shared" si="151"/>
        <v>384.1381574202012</v>
      </c>
      <c r="Y47" s="352">
        <f t="shared" si="152"/>
        <v>278.14690897026941</v>
      </c>
      <c r="Z47" s="353">
        <f t="shared" si="153"/>
        <v>917.71285132421076</v>
      </c>
      <c r="AA47" s="353">
        <f t="shared" si="154"/>
        <v>1572.385905796343</v>
      </c>
      <c r="AB47" s="343">
        <f t="shared" si="119"/>
        <v>656.92679420443415</v>
      </c>
      <c r="AC47" s="343">
        <f t="shared" si="120"/>
        <v>1311.5998486765664</v>
      </c>
      <c r="AE47" s="350">
        <v>0.86825357477668819</v>
      </c>
      <c r="AF47" s="350">
        <v>0.97499999999999998</v>
      </c>
      <c r="AG47" s="350">
        <v>1.939812508547742</v>
      </c>
      <c r="AH47" s="350">
        <v>439.24333333333334</v>
      </c>
      <c r="AI47" s="350">
        <v>141.33833333333331</v>
      </c>
      <c r="AJ47" s="351">
        <f t="shared" si="155"/>
        <v>309.09827262050101</v>
      </c>
      <c r="AK47" s="351">
        <f t="shared" si="156"/>
        <v>746.85</v>
      </c>
      <c r="AL47" s="352">
        <f t="shared" si="157"/>
        <v>230.83768851718131</v>
      </c>
      <c r="AM47" s="352">
        <f t="shared" si="158"/>
        <v>163.26664112174404</v>
      </c>
      <c r="AN47" s="353">
        <f t="shared" si="159"/>
        <v>472.36491374224505</v>
      </c>
      <c r="AO47" s="353">
        <f t="shared" si="160"/>
        <v>679.27895260456285</v>
      </c>
      <c r="AP47" s="343">
        <f t="shared" si="121"/>
        <v>320.35634233462628</v>
      </c>
      <c r="AQ47" s="343">
        <f t="shared" si="122"/>
        <v>527.27038119694396</v>
      </c>
      <c r="AS47" s="350">
        <v>0.93532551249495632</v>
      </c>
      <c r="AT47" s="350">
        <v>1.2666721350882653</v>
      </c>
      <c r="AU47" s="350">
        <v>1.9324036384280037</v>
      </c>
      <c r="AV47" s="350">
        <v>15102.637500000001</v>
      </c>
      <c r="AW47" s="350">
        <v>3992.31</v>
      </c>
      <c r="AX47" s="351">
        <f t="shared" si="161"/>
        <v>235.702029148729</v>
      </c>
      <c r="AY47" s="351">
        <f t="shared" si="162"/>
        <v>634.60273967922092</v>
      </c>
      <c r="AZ47" s="352">
        <f t="shared" si="163"/>
        <v>311.11698578690857</v>
      </c>
      <c r="BA47" s="352">
        <f t="shared" si="164"/>
        <v>226.85810604830132</v>
      </c>
      <c r="BB47" s="353">
        <f t="shared" si="165"/>
        <v>462.56013519703032</v>
      </c>
      <c r="BC47" s="353">
        <f t="shared" si="166"/>
        <v>550.3438599406137</v>
      </c>
      <c r="BD47" s="343">
        <f t="shared" si="123"/>
        <v>251.59310276723753</v>
      </c>
      <c r="BE47" s="343">
        <f t="shared" si="124"/>
        <v>339.37682751082087</v>
      </c>
      <c r="BG47" s="350">
        <v>0.89035563993172318</v>
      </c>
      <c r="BH47" s="350">
        <v>1.2984851497244676</v>
      </c>
      <c r="BI47" s="350">
        <v>2.0563802070494592</v>
      </c>
      <c r="BJ47" s="350">
        <v>14976.35</v>
      </c>
      <c r="BK47" s="350">
        <v>3907.8642</v>
      </c>
      <c r="BL47" s="351">
        <f t="shared" si="167"/>
        <v>211.01428666381838</v>
      </c>
      <c r="BM47" s="351">
        <f t="shared" si="168"/>
        <v>625.86984216719338</v>
      </c>
      <c r="BN47" s="352">
        <f t="shared" si="169"/>
        <v>370.14843726890268</v>
      </c>
      <c r="BO47" s="352">
        <f t="shared" si="170"/>
        <v>276.81818310441446</v>
      </c>
      <c r="BP47" s="353">
        <f t="shared" si="171"/>
        <v>487.83246976823284</v>
      </c>
      <c r="BQ47" s="353">
        <f t="shared" si="172"/>
        <v>532.53958800270516</v>
      </c>
      <c r="BR47" s="343">
        <f t="shared" si="125"/>
        <v>229.11754379961792</v>
      </c>
      <c r="BS47" s="343">
        <f t="shared" si="126"/>
        <v>273.82466203409024</v>
      </c>
      <c r="BU47" s="350">
        <v>0.87736876149333987</v>
      </c>
      <c r="BV47" s="350">
        <v>1.2287958642128582</v>
      </c>
      <c r="BW47" s="350">
        <v>1.9411228721431224</v>
      </c>
      <c r="BX47" s="350">
        <v>15113.195</v>
      </c>
      <c r="BY47" s="350">
        <v>4447.6850000000004</v>
      </c>
      <c r="BZ47" s="351">
        <f t="shared" si="173"/>
        <v>159.68111459178786</v>
      </c>
      <c r="CA47" s="351">
        <f t="shared" si="174"/>
        <v>377.2403303133475</v>
      </c>
      <c r="CB47" s="352">
        <f t="shared" si="175"/>
        <v>130.0552324335892</v>
      </c>
      <c r="CC47" s="352">
        <f t="shared" si="176"/>
        <v>91.376642352020014</v>
      </c>
      <c r="CD47" s="353">
        <f t="shared" si="177"/>
        <v>251.05775694380787</v>
      </c>
      <c r="CE47" s="353">
        <f t="shared" si="178"/>
        <v>338.56174023177834</v>
      </c>
      <c r="CF47" s="343">
        <f t="shared" si="127"/>
        <v>171.21411609755356</v>
      </c>
      <c r="CG47" s="343">
        <f t="shared" si="128"/>
        <v>258.718099385524</v>
      </c>
      <c r="CI47" s="350">
        <v>1.0097036852409134</v>
      </c>
      <c r="CJ47" s="350">
        <v>1.0013539714736852</v>
      </c>
      <c r="CK47" s="350">
        <v>1.3848038259901725</v>
      </c>
      <c r="CL47" s="350">
        <v>41343.5942</v>
      </c>
      <c r="CM47" s="350">
        <v>11496.002500000001</v>
      </c>
      <c r="CN47" s="351">
        <f t="shared" si="179"/>
        <v>182.75636702860533</v>
      </c>
      <c r="CO47" s="351">
        <f t="shared" si="180"/>
        <v>227.30735152452655</v>
      </c>
      <c r="CP47" s="352">
        <f t="shared" si="181"/>
        <v>5.53921530396069</v>
      </c>
      <c r="CQ47" s="352">
        <f t="shared" si="182"/>
        <v>3.0705090533491997</v>
      </c>
      <c r="CR47" s="353">
        <f t="shared" si="183"/>
        <v>185.82687608195454</v>
      </c>
      <c r="CS47" s="353">
        <f t="shared" si="184"/>
        <v>224.83864527391506</v>
      </c>
      <c r="CT47" s="343">
        <f t="shared" si="129"/>
        <v>183.14966670302667</v>
      </c>
      <c r="CU47" s="343">
        <f t="shared" si="130"/>
        <v>222.16143589498719</v>
      </c>
      <c r="CW47" s="350">
        <v>0.90080000000000005</v>
      </c>
      <c r="CX47" s="350">
        <v>0.89700000000000002</v>
      </c>
      <c r="CY47" s="350">
        <v>1.4970114562505694</v>
      </c>
      <c r="CZ47" s="350">
        <v>19506.1283</v>
      </c>
      <c r="DA47" s="350">
        <v>5019.9492</v>
      </c>
      <c r="DB47" s="351">
        <f t="shared" si="185"/>
        <v>172.05280000000002</v>
      </c>
      <c r="DC47" s="351">
        <f t="shared" si="186"/>
        <v>235.01400000000001</v>
      </c>
      <c r="DD47" s="352">
        <f t="shared" si="187"/>
        <v>4.4910343687517083</v>
      </c>
      <c r="DE47" s="352">
        <f t="shared" si="188"/>
        <v>2.5928323094337684</v>
      </c>
      <c r="DF47" s="353">
        <f t="shared" si="189"/>
        <v>174.64563230943378</v>
      </c>
      <c r="DG47" s="353">
        <f t="shared" si="190"/>
        <v>233.11579794068206</v>
      </c>
      <c r="DH47" s="343">
        <f t="shared" si="131"/>
        <v>172.35461028985176</v>
      </c>
      <c r="DI47" s="343">
        <f t="shared" si="132"/>
        <v>230.82477592110004</v>
      </c>
      <c r="DK47" s="350">
        <v>0.88370000000000004</v>
      </c>
      <c r="DL47" s="350">
        <v>0.88109999999999999</v>
      </c>
      <c r="DM47" s="350">
        <v>1.2543585394605541</v>
      </c>
      <c r="DN47" s="350">
        <v>1025.5425</v>
      </c>
      <c r="DO47" s="350">
        <v>335.81330000000003</v>
      </c>
      <c r="DP47" s="351">
        <f t="shared" si="191"/>
        <v>84.8352</v>
      </c>
      <c r="DQ47" s="351">
        <f t="shared" si="192"/>
        <v>153.31139999999999</v>
      </c>
      <c r="DR47" s="352">
        <f t="shared" si="193"/>
        <v>2.5087170789211082</v>
      </c>
      <c r="DS47" s="352">
        <f t="shared" si="194"/>
        <v>1.6150343006085564</v>
      </c>
      <c r="DT47" s="353">
        <f t="shared" si="195"/>
        <v>86.450234300608557</v>
      </c>
      <c r="DU47" s="353">
        <f t="shared" si="196"/>
        <v>152.41771722168744</v>
      </c>
      <c r="DV47" s="343">
        <f t="shared" si="133"/>
        <v>85.091924826004714</v>
      </c>
      <c r="DW47" s="343">
        <f t="shared" si="134"/>
        <v>151.05940774708361</v>
      </c>
      <c r="EB47" s="326"/>
      <c r="EC47" s="326"/>
      <c r="ED47" s="326"/>
      <c r="EE47" s="348">
        <f t="shared" si="197"/>
        <v>100434.64416666668</v>
      </c>
      <c r="EF47" s="348">
        <f t="shared" si="198"/>
        <v>27180.077533333333</v>
      </c>
      <c r="EG47" s="348">
        <f t="shared" si="199"/>
        <v>1520.0913393685546</v>
      </c>
      <c r="EH47" s="348">
        <f t="shared" si="200"/>
        <v>3459.537774415624</v>
      </c>
      <c r="EI47" s="354">
        <f t="shared" si="201"/>
        <v>0.78701456092793931</v>
      </c>
      <c r="EJ47" s="326"/>
      <c r="EK47" s="348">
        <f t="shared" si="202"/>
        <v>2099.9549761112694</v>
      </c>
      <c r="EL47" s="348">
        <f t="shared" si="203"/>
        <v>3232.1265202458812</v>
      </c>
      <c r="EM47" s="348">
        <f t="shared" si="83"/>
        <v>1565.1719704851494</v>
      </c>
      <c r="EN47" s="348">
        <f t="shared" si="84"/>
        <v>2697.3435146197617</v>
      </c>
      <c r="EP47" s="326"/>
      <c r="EQ47" s="326"/>
      <c r="ER47" s="326"/>
      <c r="ES47" s="348">
        <f t="shared" si="204"/>
        <v>78831.292499999996</v>
      </c>
      <c r="ET47" s="348">
        <f t="shared" si="205"/>
        <v>21404.6309</v>
      </c>
      <c r="EU47" s="348">
        <f t="shared" si="206"/>
        <v>1153.7735560463652</v>
      </c>
      <c r="EV47" s="348">
        <f t="shared" si="207"/>
        <v>2696.0641479379942</v>
      </c>
      <c r="EW47" s="354">
        <f t="shared" si="208"/>
        <v>0.78645748775533297</v>
      </c>
      <c r="EX47" s="326"/>
      <c r="EY47" s="348">
        <f t="shared" si="209"/>
        <v>1713.6241397910017</v>
      </c>
      <c r="EZ47" s="348">
        <f t="shared" si="210"/>
        <v>2492.9451976314408</v>
      </c>
      <c r="FA47" s="348">
        <f t="shared" si="92"/>
        <v>1189.8422319099748</v>
      </c>
      <c r="FB47" s="348">
        <f t="shared" si="93"/>
        <v>1969.1632897504139</v>
      </c>
      <c r="FD47" s="326"/>
      <c r="FE47" s="326"/>
      <c r="FF47" s="326"/>
      <c r="FG47" s="348">
        <f t="shared" si="211"/>
        <v>57921.575033333334</v>
      </c>
      <c r="FH47" s="348">
        <f t="shared" si="212"/>
        <v>16420.839133333335</v>
      </c>
      <c r="FI47" s="348">
        <f t="shared" si="213"/>
        <v>702.43687424089421</v>
      </c>
      <c r="FJ47" s="348">
        <f t="shared" si="214"/>
        <v>1443.3845218378742</v>
      </c>
      <c r="FK47" s="354">
        <f t="shared" si="215"/>
        <v>0.77911883387967729</v>
      </c>
      <c r="FL47" s="326"/>
      <c r="FM47" s="348">
        <f t="shared" si="216"/>
        <v>961.11968734837262</v>
      </c>
      <c r="FN47" s="348">
        <f t="shared" si="217"/>
        <v>1334.1299684432686</v>
      </c>
      <c r="FO47" s="348">
        <f t="shared" si="101"/>
        <v>725.77528003080943</v>
      </c>
      <c r="FP47" s="348">
        <f t="shared" si="102"/>
        <v>1098.7855611257053</v>
      </c>
      <c r="FR47" s="326"/>
      <c r="FS47" s="326"/>
      <c r="FT47" s="326"/>
      <c r="FU47" s="348">
        <f t="shared" si="218"/>
        <v>30215.8325</v>
      </c>
      <c r="FV47" s="348">
        <f t="shared" si="219"/>
        <v>8439.9950000000008</v>
      </c>
      <c r="FW47" s="349">
        <f t="shared" si="220"/>
        <v>68.418823101247028</v>
      </c>
      <c r="FX47" s="349">
        <f t="shared" si="221"/>
        <v>231.62616842928608</v>
      </c>
      <c r="FY47" s="354">
        <f t="shared" si="222"/>
        <v>0.78166306231576599</v>
      </c>
      <c r="FZ47" s="326"/>
      <c r="GA47" s="349">
        <f t="shared" si="223"/>
        <v>190.3521404279002</v>
      </c>
      <c r="GB47" s="349">
        <f t="shared" si="224"/>
        <v>190.60390773795183</v>
      </c>
      <c r="GC47" s="349">
        <f t="shared" si="139"/>
        <v>72.34108800271558</v>
      </c>
      <c r="GD47" s="349">
        <f t="shared" si="140"/>
        <v>72.592855312767185</v>
      </c>
      <c r="GF47" s="326"/>
      <c r="GG47" s="326"/>
      <c r="GH47" s="326"/>
      <c r="GI47" s="348">
        <f t="shared" si="225"/>
        <v>60849.722500000003</v>
      </c>
      <c r="GJ47" s="348">
        <f t="shared" si="226"/>
        <v>16515.951700000001</v>
      </c>
      <c r="GK47" s="348">
        <f t="shared" si="227"/>
        <v>320.39860702860534</v>
      </c>
      <c r="GL47" s="348">
        <f t="shared" si="228"/>
        <v>415.31855152452658</v>
      </c>
      <c r="GM47" s="354">
        <f t="shared" si="229"/>
        <v>0.78652093618024721</v>
      </c>
      <c r="GN47" s="326"/>
      <c r="GO47" s="348">
        <f t="shared" si="230"/>
        <v>325.54338192950161</v>
      </c>
      <c r="GP47" s="348">
        <f t="shared" si="231"/>
        <v>411.33128362646073</v>
      </c>
      <c r="GQ47" s="348">
        <f t="shared" si="141"/>
        <v>321.03335493490806</v>
      </c>
      <c r="GR47" s="348">
        <f t="shared" si="142"/>
        <v>406.82125663186724</v>
      </c>
    </row>
    <row r="48" spans="1:200" x14ac:dyDescent="0.2">
      <c r="A48" s="320">
        <v>38</v>
      </c>
      <c r="C48" s="350">
        <v>0.95769876618366123</v>
      </c>
      <c r="D48" s="350">
        <v>1.0115606849016008</v>
      </c>
      <c r="E48" s="350">
        <v>1.5890223617255212</v>
      </c>
      <c r="F48" s="350">
        <v>25952.534166666668</v>
      </c>
      <c r="G48" s="350">
        <v>7133.24</v>
      </c>
      <c r="H48" s="351">
        <f t="shared" si="143"/>
        <v>982.59893410443647</v>
      </c>
      <c r="I48" s="351">
        <f t="shared" si="144"/>
        <v>2403.4681873262034</v>
      </c>
      <c r="J48" s="352">
        <f t="shared" si="145"/>
        <v>405.2007022400079</v>
      </c>
      <c r="K48" s="352">
        <f t="shared" si="146"/>
        <v>287.61597522751458</v>
      </c>
      <c r="L48" s="353">
        <f t="shared" si="147"/>
        <v>1270.214909331951</v>
      </c>
      <c r="M48" s="353">
        <f t="shared" si="148"/>
        <v>2285.8834603137102</v>
      </c>
      <c r="N48" s="343">
        <f t="shared" si="117"/>
        <v>1011.15374369622</v>
      </c>
      <c r="O48" s="343">
        <f t="shared" si="118"/>
        <v>2026.8222946779788</v>
      </c>
      <c r="Q48" s="350">
        <v>0.93499492736947354</v>
      </c>
      <c r="R48" s="350">
        <v>1.0015630730905429</v>
      </c>
      <c r="S48" s="350">
        <v>1.6064217438044184</v>
      </c>
      <c r="T48" s="350">
        <v>3370.8091666666674</v>
      </c>
      <c r="U48" s="350">
        <v>1048.1808333333333</v>
      </c>
      <c r="V48" s="351">
        <f t="shared" si="149"/>
        <v>658.23642886810933</v>
      </c>
      <c r="W48" s="351">
        <f t="shared" si="150"/>
        <v>1680.6228366459311</v>
      </c>
      <c r="X48" s="352">
        <f t="shared" si="151"/>
        <v>308.43297481044834</v>
      </c>
      <c r="Y48" s="352">
        <f t="shared" si="152"/>
        <v>221.62919705523723</v>
      </c>
      <c r="Z48" s="353">
        <f t="shared" si="153"/>
        <v>879.86562592334656</v>
      </c>
      <c r="AA48" s="353">
        <f t="shared" si="154"/>
        <v>1593.81905889072</v>
      </c>
      <c r="AB48" s="343">
        <f t="shared" si="119"/>
        <v>675.59728071860206</v>
      </c>
      <c r="AC48" s="343">
        <f t="shared" si="120"/>
        <v>1389.5507136859756</v>
      </c>
      <c r="AE48" s="350">
        <v>0.91302085686735679</v>
      </c>
      <c r="AF48" s="350">
        <v>0.98</v>
      </c>
      <c r="AG48" s="350">
        <v>1.6715396129757663</v>
      </c>
      <c r="AH48" s="350">
        <v>478.23916666666662</v>
      </c>
      <c r="AI48" s="350">
        <v>178.36250000000001</v>
      </c>
      <c r="AJ48" s="351">
        <f t="shared" si="155"/>
        <v>325.035425044779</v>
      </c>
      <c r="AK48" s="351">
        <f t="shared" si="156"/>
        <v>750.68</v>
      </c>
      <c r="AL48" s="352">
        <f t="shared" si="157"/>
        <v>198.91321394411619</v>
      </c>
      <c r="AM48" s="352">
        <f t="shared" si="158"/>
        <v>138.81010531884246</v>
      </c>
      <c r="AN48" s="353">
        <f t="shared" si="159"/>
        <v>463.84553036362149</v>
      </c>
      <c r="AO48" s="353">
        <f t="shared" si="160"/>
        <v>690.5768913747263</v>
      </c>
      <c r="AP48" s="343">
        <f t="shared" si="121"/>
        <v>336.29349475890427</v>
      </c>
      <c r="AQ48" s="343">
        <f t="shared" si="122"/>
        <v>563.02485577000903</v>
      </c>
      <c r="AS48" s="350">
        <v>0.97027435095606129</v>
      </c>
      <c r="AT48" s="350">
        <v>1.1832225363583204</v>
      </c>
      <c r="AU48" s="350">
        <v>1.6178192001039386</v>
      </c>
      <c r="AV48" s="350">
        <v>16899.107499999998</v>
      </c>
      <c r="AW48" s="350">
        <v>4474.1817000000001</v>
      </c>
      <c r="AX48" s="351">
        <f t="shared" si="161"/>
        <v>244.50913644092745</v>
      </c>
      <c r="AY48" s="351">
        <f t="shared" si="162"/>
        <v>592.79449071551858</v>
      </c>
      <c r="AZ48" s="352">
        <f t="shared" si="163"/>
        <v>260.46889121673411</v>
      </c>
      <c r="BA48" s="352">
        <f t="shared" si="164"/>
        <v>184.40684921004168</v>
      </c>
      <c r="BB48" s="353">
        <f t="shared" si="165"/>
        <v>428.91598565096911</v>
      </c>
      <c r="BC48" s="353">
        <f t="shared" si="166"/>
        <v>516.73244870882615</v>
      </c>
      <c r="BD48" s="343">
        <f t="shared" si="123"/>
        <v>260.40021005943601</v>
      </c>
      <c r="BE48" s="343">
        <f t="shared" si="124"/>
        <v>348.216673117293</v>
      </c>
      <c r="BG48" s="350">
        <v>0.91931079050121067</v>
      </c>
      <c r="BH48" s="350">
        <v>1.2081038908464248</v>
      </c>
      <c r="BI48" s="350">
        <v>1.7195639155482774</v>
      </c>
      <c r="BJ48" s="350">
        <v>16755.752499999999</v>
      </c>
      <c r="BK48" s="350">
        <v>4366.87</v>
      </c>
      <c r="BL48" s="351">
        <f t="shared" si="167"/>
        <v>217.87665734878692</v>
      </c>
      <c r="BM48" s="351">
        <f t="shared" si="168"/>
        <v>582.30607538797676</v>
      </c>
      <c r="BN48" s="352">
        <f t="shared" si="169"/>
        <v>309.52150479868993</v>
      </c>
      <c r="BO48" s="352">
        <f t="shared" si="170"/>
        <v>225.24386659915382</v>
      </c>
      <c r="BP48" s="353">
        <f t="shared" si="171"/>
        <v>443.12052394794074</v>
      </c>
      <c r="BQ48" s="353">
        <f t="shared" si="172"/>
        <v>498.02843718844065</v>
      </c>
      <c r="BR48" s="343">
        <f t="shared" si="125"/>
        <v>235.97991448458646</v>
      </c>
      <c r="BS48" s="343">
        <f t="shared" si="126"/>
        <v>290.88782772508637</v>
      </c>
      <c r="BU48" s="350">
        <v>0.91355567801375315</v>
      </c>
      <c r="BV48" s="350">
        <v>1.1729423182304348</v>
      </c>
      <c r="BW48" s="350">
        <v>1.6583887800331678</v>
      </c>
      <c r="BX48" s="350">
        <v>15300.272499999999</v>
      </c>
      <c r="BY48" s="350">
        <v>4586.8908000000001</v>
      </c>
      <c r="BZ48" s="351">
        <f t="shared" si="173"/>
        <v>166.26713339850306</v>
      </c>
      <c r="CA48" s="351">
        <f t="shared" si="174"/>
        <v>360.09329169674351</v>
      </c>
      <c r="CB48" s="352">
        <f t="shared" si="175"/>
        <v>111.11204826222225</v>
      </c>
      <c r="CC48" s="352">
        <f t="shared" si="176"/>
        <v>76.013889529538574</v>
      </c>
      <c r="CD48" s="353">
        <f t="shared" si="177"/>
        <v>242.28102292804164</v>
      </c>
      <c r="CE48" s="353">
        <f t="shared" si="178"/>
        <v>324.99513296405985</v>
      </c>
      <c r="CF48" s="343">
        <f t="shared" si="127"/>
        <v>177.80013490426876</v>
      </c>
      <c r="CG48" s="343">
        <f t="shared" si="128"/>
        <v>260.51424494028697</v>
      </c>
      <c r="CI48" s="350">
        <v>1.0046414578857648</v>
      </c>
      <c r="CJ48" s="350">
        <v>1.0008135908336708</v>
      </c>
      <c r="CK48" s="350">
        <v>1.2033135382953093</v>
      </c>
      <c r="CL48" s="350">
        <v>43192.890800000001</v>
      </c>
      <c r="CM48" s="350">
        <v>12120.077499999999</v>
      </c>
      <c r="CN48" s="351">
        <f t="shared" si="179"/>
        <v>181.84010387732343</v>
      </c>
      <c r="CO48" s="351">
        <f t="shared" si="180"/>
        <v>227.18468511924328</v>
      </c>
      <c r="CP48" s="352">
        <f t="shared" si="181"/>
        <v>4.8132541531812372</v>
      </c>
      <c r="CQ48" s="352">
        <f t="shared" si="182"/>
        <v>2.6734263022834734</v>
      </c>
      <c r="CR48" s="353">
        <f t="shared" si="183"/>
        <v>184.5135301796069</v>
      </c>
      <c r="CS48" s="353">
        <f t="shared" si="184"/>
        <v>225.04485726834551</v>
      </c>
      <c r="CT48" s="343">
        <f t="shared" si="129"/>
        <v>182.23340355174477</v>
      </c>
      <c r="CU48" s="343">
        <f t="shared" si="130"/>
        <v>222.76473064048338</v>
      </c>
      <c r="CW48" s="350">
        <v>0.94969999999999999</v>
      </c>
      <c r="CX48" s="350">
        <v>0.95079999999999998</v>
      </c>
      <c r="CY48" s="350">
        <v>1.2628932092365539</v>
      </c>
      <c r="CZ48" s="350">
        <v>20486.215800000002</v>
      </c>
      <c r="DA48" s="350">
        <v>5358.71</v>
      </c>
      <c r="DB48" s="351">
        <f t="shared" si="185"/>
        <v>181.39269999999999</v>
      </c>
      <c r="DC48" s="351">
        <f t="shared" si="186"/>
        <v>249.1096</v>
      </c>
      <c r="DD48" s="352">
        <f t="shared" si="187"/>
        <v>3.7886796277096617</v>
      </c>
      <c r="DE48" s="352">
        <f t="shared" si="188"/>
        <v>2.1923145743632562</v>
      </c>
      <c r="DF48" s="353">
        <f t="shared" si="189"/>
        <v>183.58501457436324</v>
      </c>
      <c r="DG48" s="353">
        <f t="shared" si="190"/>
        <v>247.5132349466536</v>
      </c>
      <c r="DH48" s="343">
        <f t="shared" si="131"/>
        <v>181.69451028985173</v>
      </c>
      <c r="DI48" s="343">
        <f t="shared" si="132"/>
        <v>245.62273066214209</v>
      </c>
      <c r="DK48" s="350">
        <v>0.94220000000000004</v>
      </c>
      <c r="DL48" s="350">
        <v>0.94069999999999998</v>
      </c>
      <c r="DM48" s="350">
        <v>1.1343479659795335</v>
      </c>
      <c r="DN48" s="350">
        <v>999.41250000000002</v>
      </c>
      <c r="DO48" s="350">
        <v>354.42169999999999</v>
      </c>
      <c r="DP48" s="351">
        <f t="shared" si="191"/>
        <v>90.4512</v>
      </c>
      <c r="DQ48" s="351">
        <f t="shared" si="192"/>
        <v>163.68180000000001</v>
      </c>
      <c r="DR48" s="352">
        <f t="shared" si="193"/>
        <v>2.2686959319590669</v>
      </c>
      <c r="DS48" s="352">
        <f t="shared" si="194"/>
        <v>1.4612200453925213</v>
      </c>
      <c r="DT48" s="353">
        <f t="shared" si="195"/>
        <v>91.912420045392523</v>
      </c>
      <c r="DU48" s="353">
        <f t="shared" si="196"/>
        <v>162.87432411343346</v>
      </c>
      <c r="DV48" s="343">
        <f t="shared" si="133"/>
        <v>90.707924826004714</v>
      </c>
      <c r="DW48" s="343">
        <f t="shared" si="134"/>
        <v>161.66982889404568</v>
      </c>
      <c r="EB48" s="326"/>
      <c r="EC48" s="326"/>
      <c r="ED48" s="326"/>
      <c r="EE48" s="348">
        <f t="shared" si="197"/>
        <v>106530.74826666666</v>
      </c>
      <c r="EF48" s="348">
        <f t="shared" si="198"/>
        <v>29086.209199999998</v>
      </c>
      <c r="EG48" s="348">
        <f t="shared" si="199"/>
        <v>1554.0623344226874</v>
      </c>
      <c r="EH48" s="348">
        <f t="shared" si="200"/>
        <v>3422.7350431609652</v>
      </c>
      <c r="EI48" s="354">
        <f t="shared" si="201"/>
        <v>0.7855267531189889</v>
      </c>
      <c r="EJ48" s="326"/>
      <c r="EK48" s="348">
        <f t="shared" si="202"/>
        <v>2030.5124368220177</v>
      </c>
      <c r="EL48" s="348">
        <f t="shared" si="203"/>
        <v>3225.6713542482048</v>
      </c>
      <c r="EM48" s="348">
        <f t="shared" si="83"/>
        <v>1599.1429655392822</v>
      </c>
      <c r="EN48" s="348">
        <f t="shared" si="84"/>
        <v>2794.3018829654688</v>
      </c>
      <c r="EP48" s="326"/>
      <c r="EQ48" s="326"/>
      <c r="ER48" s="326"/>
      <c r="ES48" s="348">
        <f t="shared" si="204"/>
        <v>83805.668266666675</v>
      </c>
      <c r="ET48" s="348">
        <f t="shared" si="205"/>
        <v>22893.838333333333</v>
      </c>
      <c r="EU48" s="348">
        <f t="shared" si="206"/>
        <v>1184.9280800942197</v>
      </c>
      <c r="EV48" s="348">
        <f t="shared" si="207"/>
        <v>2664.4903171531514</v>
      </c>
      <c r="EW48" s="354">
        <f t="shared" si="208"/>
        <v>0.78543632428255927</v>
      </c>
      <c r="EX48" s="326"/>
      <c r="EY48" s="348">
        <f t="shared" si="209"/>
        <v>1636.0091902529487</v>
      </c>
      <c r="EZ48" s="348">
        <f t="shared" si="210"/>
        <v>2490.1516178101638</v>
      </c>
      <c r="FA48" s="348">
        <f t="shared" si="92"/>
        <v>1220.9967559578295</v>
      </c>
      <c r="FB48" s="348">
        <f t="shared" si="93"/>
        <v>2075.1391835150448</v>
      </c>
      <c r="FD48" s="326"/>
      <c r="FE48" s="326"/>
      <c r="FF48" s="326"/>
      <c r="FG48" s="348">
        <f t="shared" si="211"/>
        <v>59970.814966666665</v>
      </c>
      <c r="FH48" s="348">
        <f t="shared" si="212"/>
        <v>17239.752499999999</v>
      </c>
      <c r="FI48" s="348">
        <f t="shared" si="213"/>
        <v>727.41338232060548</v>
      </c>
      <c r="FJ48" s="348">
        <f t="shared" si="214"/>
        <v>1436.1670568159868</v>
      </c>
      <c r="FK48" s="354">
        <f t="shared" si="215"/>
        <v>0.77671770761893777</v>
      </c>
      <c r="FL48" s="326"/>
      <c r="FM48" s="348">
        <f t="shared" si="216"/>
        <v>945.78753549850569</v>
      </c>
      <c r="FN48" s="348">
        <f t="shared" si="217"/>
        <v>1338.3414760751918</v>
      </c>
      <c r="FO48" s="348">
        <f t="shared" si="101"/>
        <v>750.75178811052069</v>
      </c>
      <c r="FP48" s="348">
        <f t="shared" si="102"/>
        <v>1143.3057286872067</v>
      </c>
      <c r="FR48" s="326"/>
      <c r="FS48" s="326"/>
      <c r="FT48" s="326"/>
      <c r="FU48" s="348">
        <f t="shared" si="218"/>
        <v>32199.379999999997</v>
      </c>
      <c r="FV48" s="348">
        <f t="shared" si="219"/>
        <v>9061.0725000000002</v>
      </c>
      <c r="FW48" s="349">
        <f t="shared" si="220"/>
        <v>70.417802738181948</v>
      </c>
      <c r="FX48" s="349">
        <f t="shared" si="221"/>
        <v>209.43107911689756</v>
      </c>
      <c r="FY48" s="354">
        <f t="shared" si="222"/>
        <v>0.78039328337467939</v>
      </c>
      <c r="FZ48" s="326"/>
      <c r="GA48" s="349">
        <f t="shared" si="223"/>
        <v>167.97146645063472</v>
      </c>
      <c r="GB48" s="349">
        <f t="shared" si="224"/>
        <v>172.56358417028969</v>
      </c>
      <c r="GC48" s="349">
        <f t="shared" si="139"/>
        <v>74.340067639650528</v>
      </c>
      <c r="GD48" s="349">
        <f t="shared" si="140"/>
        <v>78.932185359305421</v>
      </c>
      <c r="GF48" s="326"/>
      <c r="GG48" s="326"/>
      <c r="GH48" s="326"/>
      <c r="GI48" s="348">
        <f t="shared" si="225"/>
        <v>63679.106599999999</v>
      </c>
      <c r="GJ48" s="348">
        <f t="shared" si="226"/>
        <v>17478.787499999999</v>
      </c>
      <c r="GK48" s="348">
        <f t="shared" si="227"/>
        <v>326.95426387732346</v>
      </c>
      <c r="GL48" s="348">
        <f t="shared" si="228"/>
        <v>426.47236511924331</v>
      </c>
      <c r="GM48" s="354">
        <f t="shared" si="229"/>
        <v>0.78463231834893055</v>
      </c>
      <c r="GN48" s="326"/>
      <c r="GO48" s="348">
        <f t="shared" si="230"/>
        <v>331.38154183909751</v>
      </c>
      <c r="GP48" s="348">
        <f t="shared" si="231"/>
        <v>423.05544522566839</v>
      </c>
      <c r="GQ48" s="348">
        <f t="shared" si="141"/>
        <v>327.58901178362618</v>
      </c>
      <c r="GR48" s="348">
        <f t="shared" si="142"/>
        <v>419.26291517019706</v>
      </c>
    </row>
    <row r="49" spans="1:200" x14ac:dyDescent="0.2">
      <c r="A49" s="320">
        <v>39</v>
      </c>
      <c r="C49" s="350">
        <v>0.97643271115872454</v>
      </c>
      <c r="D49" s="350">
        <v>1.0064927188024282</v>
      </c>
      <c r="E49" s="350">
        <v>1.309175338307683</v>
      </c>
      <c r="F49" s="350">
        <v>27144.084166666667</v>
      </c>
      <c r="G49" s="350">
        <v>7636.373333333333</v>
      </c>
      <c r="H49" s="351">
        <f t="shared" si="143"/>
        <v>1001.8199616488514</v>
      </c>
      <c r="I49" s="351">
        <f t="shared" si="144"/>
        <v>2391.4266998745693</v>
      </c>
      <c r="J49" s="352">
        <f t="shared" si="145"/>
        <v>333.83971126845915</v>
      </c>
      <c r="K49" s="352">
        <f t="shared" si="146"/>
        <v>235.27708965530502</v>
      </c>
      <c r="L49" s="353">
        <f t="shared" si="147"/>
        <v>1237.0970513041564</v>
      </c>
      <c r="M49" s="353">
        <f t="shared" si="148"/>
        <v>2292.8640782614152</v>
      </c>
      <c r="N49" s="343">
        <f t="shared" si="117"/>
        <v>1030.3747712406348</v>
      </c>
      <c r="O49" s="343">
        <f t="shared" si="118"/>
        <v>2086.1417981978934</v>
      </c>
      <c r="Q49" s="350">
        <v>0.96554029172959344</v>
      </c>
      <c r="R49" s="350">
        <v>1.001097975463531</v>
      </c>
      <c r="S49" s="350">
        <v>1.3219798922188746</v>
      </c>
      <c r="T49" s="350">
        <v>3632.378333333334</v>
      </c>
      <c r="U49" s="350">
        <v>1190.8958333333335</v>
      </c>
      <c r="V49" s="351">
        <f t="shared" si="149"/>
        <v>679.74036537763379</v>
      </c>
      <c r="W49" s="351">
        <f t="shared" si="150"/>
        <v>1679.842402827805</v>
      </c>
      <c r="X49" s="352">
        <f t="shared" si="151"/>
        <v>253.82013930602392</v>
      </c>
      <c r="Y49" s="352">
        <f t="shared" si="152"/>
        <v>180.70051978816474</v>
      </c>
      <c r="Z49" s="353">
        <f t="shared" si="153"/>
        <v>860.44088516579859</v>
      </c>
      <c r="AA49" s="353">
        <f t="shared" si="154"/>
        <v>1606.7227833099457</v>
      </c>
      <c r="AB49" s="343">
        <f t="shared" si="119"/>
        <v>697.10121722812653</v>
      </c>
      <c r="AC49" s="343">
        <f t="shared" si="120"/>
        <v>1443.3831153722738</v>
      </c>
      <c r="AE49" s="350">
        <v>0.95817266251860111</v>
      </c>
      <c r="AF49" s="350">
        <v>0.98799999999999999</v>
      </c>
      <c r="AG49" s="350">
        <v>1.3380770232115204</v>
      </c>
      <c r="AH49" s="350">
        <v>575.33583333333343</v>
      </c>
      <c r="AI49" s="350">
        <v>179.11500000000001</v>
      </c>
      <c r="AJ49" s="351">
        <f t="shared" si="155"/>
        <v>341.10946785662202</v>
      </c>
      <c r="AK49" s="351">
        <f t="shared" si="156"/>
        <v>756.80799999999999</v>
      </c>
      <c r="AL49" s="352">
        <f t="shared" si="157"/>
        <v>159.23116576217095</v>
      </c>
      <c r="AM49" s="352">
        <f t="shared" si="158"/>
        <v>109.75999893087979</v>
      </c>
      <c r="AN49" s="353">
        <f t="shared" si="159"/>
        <v>450.86946678750178</v>
      </c>
      <c r="AO49" s="353">
        <f t="shared" si="160"/>
        <v>707.33683316870884</v>
      </c>
      <c r="AP49" s="343">
        <f t="shared" si="121"/>
        <v>352.36753757074729</v>
      </c>
      <c r="AQ49" s="343">
        <f t="shared" si="122"/>
        <v>608.83490395195429</v>
      </c>
      <c r="AS49" s="350">
        <v>0.99477988685291852</v>
      </c>
      <c r="AT49" s="350">
        <v>1.0913356067839206</v>
      </c>
      <c r="AU49" s="350">
        <v>1.3101402802175586</v>
      </c>
      <c r="AV49" s="350">
        <v>18317.87</v>
      </c>
      <c r="AW49" s="350">
        <v>4957.7741999999998</v>
      </c>
      <c r="AX49" s="351">
        <f t="shared" si="161"/>
        <v>250.68453148693547</v>
      </c>
      <c r="AY49" s="351">
        <f t="shared" si="162"/>
        <v>546.75913899874422</v>
      </c>
      <c r="AZ49" s="352">
        <f t="shared" si="163"/>
        <v>210.93258511502694</v>
      </c>
      <c r="BA49" s="352">
        <f t="shared" si="164"/>
        <v>144.62378082959845</v>
      </c>
      <c r="BB49" s="353">
        <f t="shared" si="165"/>
        <v>395.30831231653394</v>
      </c>
      <c r="BC49" s="353">
        <f t="shared" si="166"/>
        <v>480.45033471331573</v>
      </c>
      <c r="BD49" s="343">
        <f t="shared" si="123"/>
        <v>266.57560510544403</v>
      </c>
      <c r="BE49" s="343">
        <f t="shared" si="124"/>
        <v>351.71762750222581</v>
      </c>
      <c r="BG49" s="350">
        <v>0.95556775764285073</v>
      </c>
      <c r="BH49" s="350">
        <v>1.1021190338805142</v>
      </c>
      <c r="BI49" s="350">
        <v>1.3404518010529263</v>
      </c>
      <c r="BJ49" s="350">
        <v>18217.2192</v>
      </c>
      <c r="BK49" s="350">
        <v>4875.1616999999997</v>
      </c>
      <c r="BL49" s="351">
        <f t="shared" si="167"/>
        <v>226.46955856135563</v>
      </c>
      <c r="BM49" s="351">
        <f t="shared" si="168"/>
        <v>531.22137433040791</v>
      </c>
      <c r="BN49" s="352">
        <f t="shared" si="169"/>
        <v>241.28132418952674</v>
      </c>
      <c r="BO49" s="352">
        <f t="shared" si="170"/>
        <v>169.16369336378315</v>
      </c>
      <c r="BP49" s="353">
        <f t="shared" si="171"/>
        <v>395.63325192513878</v>
      </c>
      <c r="BQ49" s="353">
        <f t="shared" si="172"/>
        <v>459.10374350466429</v>
      </c>
      <c r="BR49" s="343">
        <f t="shared" si="125"/>
        <v>244.57281569715519</v>
      </c>
      <c r="BS49" s="343">
        <f t="shared" si="126"/>
        <v>308.04330727668071</v>
      </c>
      <c r="BU49" s="350">
        <v>0.9508724944136796</v>
      </c>
      <c r="BV49" s="350">
        <v>1.0920352085112111</v>
      </c>
      <c r="BW49" s="350">
        <v>1.3350130930169166</v>
      </c>
      <c r="BX49" s="350">
        <v>15394.498299999999</v>
      </c>
      <c r="BY49" s="350">
        <v>4686.0492000000004</v>
      </c>
      <c r="BZ49" s="351">
        <f t="shared" si="173"/>
        <v>173.05879398328969</v>
      </c>
      <c r="CA49" s="351">
        <f t="shared" si="174"/>
        <v>335.25480901294179</v>
      </c>
      <c r="CB49" s="352">
        <f t="shared" si="175"/>
        <v>89.445877232133412</v>
      </c>
      <c r="CC49" s="352">
        <f t="shared" si="176"/>
        <v>58.993425144823924</v>
      </c>
      <c r="CD49" s="353">
        <f t="shared" si="177"/>
        <v>232.05221912811362</v>
      </c>
      <c r="CE49" s="353">
        <f t="shared" si="178"/>
        <v>304.8023569256323</v>
      </c>
      <c r="CF49" s="343">
        <f t="shared" si="127"/>
        <v>184.59179548905539</v>
      </c>
      <c r="CG49" s="343">
        <f t="shared" si="128"/>
        <v>257.34193328657409</v>
      </c>
      <c r="CI49" s="350">
        <v>1</v>
      </c>
      <c r="CJ49" s="350">
        <v>1</v>
      </c>
      <c r="CK49" s="350">
        <v>1</v>
      </c>
      <c r="CL49" s="350">
        <v>49515.591699999997</v>
      </c>
      <c r="CM49" s="350">
        <v>13596.269200000001</v>
      </c>
      <c r="CN49" s="351">
        <f t="shared" si="179"/>
        <v>181</v>
      </c>
      <c r="CO49" s="351">
        <f t="shared" si="180"/>
        <v>227</v>
      </c>
      <c r="CP49" s="352">
        <f t="shared" si="181"/>
        <v>4</v>
      </c>
      <c r="CQ49" s="352">
        <f t="shared" si="182"/>
        <v>2.2254901960784315</v>
      </c>
      <c r="CR49" s="353">
        <f t="shared" si="183"/>
        <v>183.22549019607843</v>
      </c>
      <c r="CS49" s="353">
        <f t="shared" si="184"/>
        <v>225.22549019607843</v>
      </c>
      <c r="CT49" s="343">
        <f t="shared" si="129"/>
        <v>181.39329967442134</v>
      </c>
      <c r="CU49" s="343">
        <f t="shared" si="130"/>
        <v>223.39329967442134</v>
      </c>
      <c r="CW49" s="350">
        <v>1</v>
      </c>
      <c r="CX49" s="350">
        <v>1</v>
      </c>
      <c r="CY49" s="350">
        <v>1</v>
      </c>
      <c r="CZ49" s="350">
        <v>23749.193299999999</v>
      </c>
      <c r="DA49" s="350">
        <v>6073.1674999999996</v>
      </c>
      <c r="DB49" s="351">
        <f t="shared" si="185"/>
        <v>191</v>
      </c>
      <c r="DC49" s="351">
        <f t="shared" si="186"/>
        <v>262</v>
      </c>
      <c r="DD49" s="352">
        <f t="shared" si="187"/>
        <v>3</v>
      </c>
      <c r="DE49" s="352">
        <f t="shared" si="188"/>
        <v>1.7350993377483444</v>
      </c>
      <c r="DF49" s="353">
        <f t="shared" si="189"/>
        <v>192.73509933774835</v>
      </c>
      <c r="DG49" s="353">
        <f t="shared" si="190"/>
        <v>260.73509933774835</v>
      </c>
      <c r="DH49" s="343">
        <f t="shared" si="131"/>
        <v>191.30181028985174</v>
      </c>
      <c r="DI49" s="343">
        <f t="shared" si="132"/>
        <v>259.30181028985174</v>
      </c>
      <c r="DK49" s="350">
        <v>1</v>
      </c>
      <c r="DL49" s="350">
        <v>1</v>
      </c>
      <c r="DM49" s="350">
        <v>1</v>
      </c>
      <c r="DN49" s="350">
        <v>1072.81</v>
      </c>
      <c r="DO49" s="350">
        <v>361.1583</v>
      </c>
      <c r="DP49" s="351">
        <f t="shared" si="191"/>
        <v>96</v>
      </c>
      <c r="DQ49" s="351">
        <f t="shared" si="192"/>
        <v>174</v>
      </c>
      <c r="DR49" s="352">
        <f t="shared" si="193"/>
        <v>2</v>
      </c>
      <c r="DS49" s="352">
        <f t="shared" si="194"/>
        <v>1.288888888888889</v>
      </c>
      <c r="DT49" s="353">
        <f t="shared" si="195"/>
        <v>97.288888888888891</v>
      </c>
      <c r="DU49" s="353">
        <f t="shared" si="196"/>
        <v>173.28888888888889</v>
      </c>
      <c r="DV49" s="343">
        <f t="shared" si="133"/>
        <v>96.256724826004714</v>
      </c>
      <c r="DW49" s="343">
        <f t="shared" si="134"/>
        <v>172.25672482600473</v>
      </c>
      <c r="EB49" s="326"/>
      <c r="EC49" s="326"/>
      <c r="ED49" s="326"/>
      <c r="EE49" s="348">
        <f t="shared" si="197"/>
        <v>118726.73916666665</v>
      </c>
      <c r="EF49" s="348">
        <f t="shared" si="198"/>
        <v>32263.584233333331</v>
      </c>
      <c r="EG49" s="348">
        <f t="shared" si="199"/>
        <v>1586.3044931357867</v>
      </c>
      <c r="EH49" s="348">
        <f t="shared" si="200"/>
        <v>3374.7858388733134</v>
      </c>
      <c r="EI49" s="354">
        <f t="shared" si="201"/>
        <v>0.78632018591111019</v>
      </c>
      <c r="EJ49" s="326"/>
      <c r="EK49" s="348">
        <f t="shared" si="202"/>
        <v>1969.8189332869676</v>
      </c>
      <c r="EL49" s="348">
        <f t="shared" si="203"/>
        <v>3207.1279826410082</v>
      </c>
      <c r="EM49" s="348">
        <f t="shared" si="83"/>
        <v>1631.3851242523815</v>
      </c>
      <c r="EN49" s="348">
        <f t="shared" si="84"/>
        <v>2868.6941736064218</v>
      </c>
      <c r="EP49" s="326"/>
      <c r="EQ49" s="326"/>
      <c r="ER49" s="326"/>
      <c r="ES49" s="348">
        <f t="shared" si="204"/>
        <v>95114.382533333337</v>
      </c>
      <c r="ET49" s="348">
        <f t="shared" si="205"/>
        <v>25735.494233333335</v>
      </c>
      <c r="EU49" s="348">
        <f t="shared" si="206"/>
        <v>1220.9099239389896</v>
      </c>
      <c r="EV49" s="348">
        <f t="shared" si="207"/>
        <v>2621.4637771582129</v>
      </c>
      <c r="EW49" s="354">
        <f t="shared" si="208"/>
        <v>0.78704575526359322</v>
      </c>
      <c r="EX49" s="326"/>
      <c r="EY49" s="348">
        <f t="shared" si="209"/>
        <v>1574.2141968234396</v>
      </c>
      <c r="EZ49" s="348">
        <f t="shared" si="210"/>
        <v>2473.5665865471124</v>
      </c>
      <c r="FA49" s="348">
        <f t="shared" si="92"/>
        <v>1256.9785998025993</v>
      </c>
      <c r="FB49" s="348">
        <f t="shared" si="93"/>
        <v>2156.3309895262719</v>
      </c>
      <c r="FD49" s="326"/>
      <c r="FE49" s="326"/>
      <c r="FF49" s="326"/>
      <c r="FG49" s="348">
        <f t="shared" si="211"/>
        <v>66558.235833333325</v>
      </c>
      <c r="FH49" s="348">
        <f t="shared" si="212"/>
        <v>18822.591700000001</v>
      </c>
      <c r="FI49" s="348">
        <f t="shared" si="213"/>
        <v>752.7682618399117</v>
      </c>
      <c r="FJ49" s="348">
        <f t="shared" si="214"/>
        <v>1423.4628090129418</v>
      </c>
      <c r="FK49" s="354">
        <f t="shared" si="215"/>
        <v>0.77954545248871565</v>
      </c>
      <c r="FL49" s="326"/>
      <c r="FM49" s="348">
        <f t="shared" si="216"/>
        <v>924.52050944502719</v>
      </c>
      <c r="FN49" s="348">
        <f t="shared" si="217"/>
        <v>1341.3380136237529</v>
      </c>
      <c r="FO49" s="348">
        <f t="shared" si="101"/>
        <v>776.1066676298268</v>
      </c>
      <c r="FP49" s="348">
        <f t="shared" si="102"/>
        <v>1192.9241718085525</v>
      </c>
      <c r="FR49" s="326"/>
      <c r="FS49" s="326"/>
      <c r="FT49" s="326"/>
      <c r="FU49" s="348">
        <f t="shared" si="218"/>
        <v>33712.368300000002</v>
      </c>
      <c r="FV49" s="348">
        <f t="shared" si="219"/>
        <v>9643.8234000000011</v>
      </c>
      <c r="FW49" s="349">
        <f t="shared" si="220"/>
        <v>69.863163753281199</v>
      </c>
      <c r="FX49" s="349">
        <f t="shared" si="221"/>
        <v>190.35389698722219</v>
      </c>
      <c r="FY49" s="354">
        <f t="shared" si="222"/>
        <v>0.77756756251264569</v>
      </c>
      <c r="FZ49" s="326"/>
      <c r="GA49" s="349">
        <f t="shared" si="223"/>
        <v>146.9304838695783</v>
      </c>
      <c r="GB49" s="349">
        <f t="shared" si="224"/>
        <v>158.08318000891509</v>
      </c>
      <c r="GC49" s="349">
        <f t="shared" si="139"/>
        <v>73.785428654749779</v>
      </c>
      <c r="GD49" s="349">
        <f t="shared" si="140"/>
        <v>84.938124794086548</v>
      </c>
      <c r="GF49" s="326"/>
      <c r="GG49" s="326"/>
      <c r="GH49" s="326"/>
      <c r="GI49" s="348">
        <f t="shared" si="225"/>
        <v>73264.785000000003</v>
      </c>
      <c r="GJ49" s="348">
        <f t="shared" si="226"/>
        <v>19669.436699999998</v>
      </c>
      <c r="GK49" s="348">
        <f t="shared" si="227"/>
        <v>333.8</v>
      </c>
      <c r="GL49" s="348">
        <f t="shared" si="228"/>
        <v>436.6</v>
      </c>
      <c r="GM49" s="354">
        <f t="shared" si="229"/>
        <v>0.78835098266067483</v>
      </c>
      <c r="GN49" s="326"/>
      <c r="GO49" s="348">
        <f t="shared" si="230"/>
        <v>337.41356966627711</v>
      </c>
      <c r="GP49" s="348">
        <f t="shared" si="231"/>
        <v>433.81356966627709</v>
      </c>
      <c r="GQ49" s="348">
        <f t="shared" si="141"/>
        <v>334.43474790630273</v>
      </c>
      <c r="GR49" s="348">
        <f t="shared" si="142"/>
        <v>430.83474790630271</v>
      </c>
    </row>
    <row r="50" spans="1:200" x14ac:dyDescent="0.2">
      <c r="A50" s="320">
        <v>40</v>
      </c>
      <c r="C50" s="350">
        <v>1</v>
      </c>
      <c r="D50" s="350">
        <v>1</v>
      </c>
      <c r="E50" s="350">
        <v>1</v>
      </c>
      <c r="F50" s="350">
        <v>31375.744166666667</v>
      </c>
      <c r="G50" s="350">
        <v>8360.5749999999971</v>
      </c>
      <c r="H50" s="351">
        <f t="shared" si="143"/>
        <v>1026</v>
      </c>
      <c r="I50" s="351">
        <f t="shared" si="144"/>
        <v>2376</v>
      </c>
      <c r="J50" s="352">
        <f t="shared" si="145"/>
        <v>255</v>
      </c>
      <c r="K50" s="352">
        <f t="shared" si="146"/>
        <v>178.0952380952381</v>
      </c>
      <c r="L50" s="353">
        <f t="shared" si="147"/>
        <v>1204.0952380952381</v>
      </c>
      <c r="M50" s="353">
        <f t="shared" si="148"/>
        <v>2299.0952380952381</v>
      </c>
      <c r="N50" s="343">
        <f t="shared" si="117"/>
        <v>1054.5548095917834</v>
      </c>
      <c r="O50" s="343">
        <f t="shared" si="118"/>
        <v>2149.5548095917834</v>
      </c>
      <c r="Q50" s="350">
        <v>1</v>
      </c>
      <c r="R50" s="350">
        <v>1</v>
      </c>
      <c r="S50" s="350">
        <v>1</v>
      </c>
      <c r="T50" s="350">
        <v>4523.9191666666675</v>
      </c>
      <c r="U50" s="350">
        <v>1385.9608333333335</v>
      </c>
      <c r="V50" s="351">
        <f t="shared" si="149"/>
        <v>704</v>
      </c>
      <c r="W50" s="351">
        <f t="shared" si="150"/>
        <v>1678</v>
      </c>
      <c r="X50" s="352">
        <f t="shared" si="151"/>
        <v>192</v>
      </c>
      <c r="Y50" s="352">
        <f t="shared" si="152"/>
        <v>135.25440806045341</v>
      </c>
      <c r="Z50" s="353">
        <f t="shared" si="153"/>
        <v>839.25440806045344</v>
      </c>
      <c r="AA50" s="353">
        <f t="shared" si="154"/>
        <v>1621.2544080604534</v>
      </c>
      <c r="AB50" s="343">
        <f t="shared" si="119"/>
        <v>721.36085185049274</v>
      </c>
      <c r="AC50" s="343">
        <f t="shared" si="120"/>
        <v>1503.3608518504927</v>
      </c>
      <c r="AE50" s="350">
        <v>1</v>
      </c>
      <c r="AF50" s="350">
        <v>1</v>
      </c>
      <c r="AG50" s="350">
        <v>1</v>
      </c>
      <c r="AH50" s="350">
        <v>723.90666666666675</v>
      </c>
      <c r="AI50" s="350">
        <v>237.185</v>
      </c>
      <c r="AJ50" s="351">
        <f t="shared" si="155"/>
        <v>356</v>
      </c>
      <c r="AK50" s="351">
        <f t="shared" si="156"/>
        <v>766</v>
      </c>
      <c r="AL50" s="352">
        <f t="shared" si="157"/>
        <v>119</v>
      </c>
      <c r="AM50" s="352">
        <f t="shared" si="158"/>
        <v>81.242424242424249</v>
      </c>
      <c r="AN50" s="353">
        <f t="shared" si="159"/>
        <v>437.24242424242425</v>
      </c>
      <c r="AO50" s="353">
        <f t="shared" si="160"/>
        <v>728.24242424242425</v>
      </c>
      <c r="AP50" s="343">
        <f t="shared" si="121"/>
        <v>367.25806971412527</v>
      </c>
      <c r="AQ50" s="343">
        <f t="shared" si="122"/>
        <v>658.25806971412521</v>
      </c>
      <c r="AS50" s="350">
        <v>1</v>
      </c>
      <c r="AT50" s="350">
        <v>1</v>
      </c>
      <c r="AU50" s="350">
        <v>1</v>
      </c>
      <c r="AV50" s="350">
        <v>21196.513299999999</v>
      </c>
      <c r="AW50" s="350">
        <v>5590.4657999999999</v>
      </c>
      <c r="AX50" s="351">
        <f t="shared" si="161"/>
        <v>252</v>
      </c>
      <c r="AY50" s="351">
        <f t="shared" si="162"/>
        <v>501</v>
      </c>
      <c r="AZ50" s="352">
        <f t="shared" si="163"/>
        <v>161</v>
      </c>
      <c r="BA50" s="352">
        <f t="shared" si="164"/>
        <v>107.11952191235059</v>
      </c>
      <c r="BB50" s="353">
        <f t="shared" si="165"/>
        <v>359.11952191235059</v>
      </c>
      <c r="BC50" s="353">
        <f t="shared" si="166"/>
        <v>447.11952191235059</v>
      </c>
      <c r="BD50" s="343">
        <f t="shared" si="123"/>
        <v>267.89107361850853</v>
      </c>
      <c r="BE50" s="343">
        <f t="shared" si="124"/>
        <v>355.89107361850853</v>
      </c>
      <c r="BG50" s="350">
        <v>1</v>
      </c>
      <c r="BH50" s="350">
        <v>1</v>
      </c>
      <c r="BI50" s="350">
        <v>1</v>
      </c>
      <c r="BJ50" s="350">
        <v>21081.5625</v>
      </c>
      <c r="BK50" s="350">
        <v>5490.3182999999999</v>
      </c>
      <c r="BL50" s="351">
        <f t="shared" si="167"/>
        <v>237</v>
      </c>
      <c r="BM50" s="351">
        <f t="shared" si="168"/>
        <v>482</v>
      </c>
      <c r="BN50" s="352">
        <f t="shared" si="169"/>
        <v>180</v>
      </c>
      <c r="BO50" s="352">
        <f t="shared" si="170"/>
        <v>120.66759388038943</v>
      </c>
      <c r="BP50" s="353">
        <f t="shared" si="171"/>
        <v>357.6675938803894</v>
      </c>
      <c r="BQ50" s="353">
        <f t="shared" si="172"/>
        <v>422.6675938803894</v>
      </c>
      <c r="BR50" s="343">
        <f t="shared" si="125"/>
        <v>255.10325713579954</v>
      </c>
      <c r="BS50" s="343">
        <f t="shared" si="126"/>
        <v>320.10325713579954</v>
      </c>
      <c r="BU50" s="350">
        <v>1</v>
      </c>
      <c r="BV50" s="350">
        <v>1</v>
      </c>
      <c r="BW50" s="350">
        <v>1</v>
      </c>
      <c r="BX50" s="350">
        <v>17346.160800000001</v>
      </c>
      <c r="BY50" s="350">
        <v>5140.7566999999999</v>
      </c>
      <c r="BZ50" s="351">
        <f t="shared" si="173"/>
        <v>182</v>
      </c>
      <c r="CA50" s="351">
        <f t="shared" si="174"/>
        <v>307</v>
      </c>
      <c r="CB50" s="352">
        <f t="shared" si="175"/>
        <v>67</v>
      </c>
      <c r="CC50" s="352">
        <f t="shared" si="176"/>
        <v>42.063394683026587</v>
      </c>
      <c r="CD50" s="353">
        <f t="shared" si="177"/>
        <v>224.06339468302659</v>
      </c>
      <c r="CE50" s="353">
        <f t="shared" si="178"/>
        <v>282.06339468302656</v>
      </c>
      <c r="CF50" s="343">
        <f t="shared" si="127"/>
        <v>193.5330015057657</v>
      </c>
      <c r="CG50" s="343">
        <f t="shared" si="128"/>
        <v>251.5330015057657</v>
      </c>
      <c r="CI50" s="350">
        <v>0.99538557560158736</v>
      </c>
      <c r="CJ50" s="350">
        <v>1.0008104498055355</v>
      </c>
      <c r="CK50" s="350">
        <v>0.74181992606766378</v>
      </c>
      <c r="CL50" s="350">
        <v>56847.978300000002</v>
      </c>
      <c r="CM50" s="350">
        <v>15419.377500000001</v>
      </c>
      <c r="CN50" s="351">
        <f t="shared" si="179"/>
        <v>180.16478918388731</v>
      </c>
      <c r="CO50" s="351">
        <f t="shared" si="180"/>
        <v>227.18397210585655</v>
      </c>
      <c r="CP50" s="352">
        <f t="shared" si="181"/>
        <v>2.9672797042706551</v>
      </c>
      <c r="CQ50" s="352">
        <f t="shared" si="182"/>
        <v>1.6548924499755724</v>
      </c>
      <c r="CR50" s="353">
        <f t="shared" si="183"/>
        <v>181.81968163386287</v>
      </c>
      <c r="CS50" s="353">
        <f t="shared" si="184"/>
        <v>225.87158485156147</v>
      </c>
      <c r="CT50" s="343">
        <f t="shared" si="129"/>
        <v>180.55808885830865</v>
      </c>
      <c r="CU50" s="343">
        <f t="shared" si="130"/>
        <v>224.60999207600725</v>
      </c>
      <c r="CW50" s="350">
        <v>1.0294100633958116</v>
      </c>
      <c r="CX50" s="350">
        <v>1.0343910403997933</v>
      </c>
      <c r="CY50" s="350">
        <v>0.7427365390996814</v>
      </c>
      <c r="CZ50" s="350">
        <v>27721.8017</v>
      </c>
      <c r="DA50" s="350">
        <v>6909.2308000000003</v>
      </c>
      <c r="DB50" s="351">
        <f t="shared" si="185"/>
        <v>196.61732210860004</v>
      </c>
      <c r="DC50" s="351">
        <f t="shared" si="186"/>
        <v>271.01045258474585</v>
      </c>
      <c r="DD50" s="352">
        <f t="shared" si="187"/>
        <v>2.2282096172990444</v>
      </c>
      <c r="DE50" s="352">
        <f t="shared" si="188"/>
        <v>1.2913435204611043</v>
      </c>
      <c r="DF50" s="353">
        <f t="shared" si="189"/>
        <v>197.90866562906115</v>
      </c>
      <c r="DG50" s="353">
        <f t="shared" si="190"/>
        <v>270.0735864879079</v>
      </c>
      <c r="DH50" s="343">
        <f t="shared" si="131"/>
        <v>196.91913239845178</v>
      </c>
      <c r="DI50" s="343">
        <f t="shared" si="132"/>
        <v>269.08405325729854</v>
      </c>
      <c r="DK50" s="350">
        <v>1.0586</v>
      </c>
      <c r="DL50" s="350">
        <v>1.0586</v>
      </c>
      <c r="DM50" s="350">
        <v>0.82136563029688636</v>
      </c>
      <c r="DN50" s="350">
        <v>1038.3150000000001</v>
      </c>
      <c r="DO50" s="350">
        <v>391.9083</v>
      </c>
      <c r="DP50" s="351">
        <f t="shared" si="191"/>
        <v>101.62559999999999</v>
      </c>
      <c r="DQ50" s="351">
        <f t="shared" si="192"/>
        <v>184.19640000000001</v>
      </c>
      <c r="DR50" s="352">
        <f t="shared" si="193"/>
        <v>1.6427312605937727</v>
      </c>
      <c r="DS50" s="352">
        <f t="shared" si="194"/>
        <v>1.0586490346048758</v>
      </c>
      <c r="DT50" s="353">
        <f t="shared" si="195"/>
        <v>102.68424903460486</v>
      </c>
      <c r="DU50" s="353">
        <f t="shared" si="196"/>
        <v>183.61231777401113</v>
      </c>
      <c r="DV50" s="343">
        <f t="shared" si="133"/>
        <v>101.88232482600471</v>
      </c>
      <c r="DW50" s="343">
        <f t="shared" si="134"/>
        <v>182.81039356541098</v>
      </c>
      <c r="EB50" s="326"/>
      <c r="EC50" s="326"/>
      <c r="ED50" s="326"/>
      <c r="EE50" s="348">
        <f t="shared" si="197"/>
        <v>137142.03746666666</v>
      </c>
      <c r="EF50" s="348">
        <f t="shared" si="198"/>
        <v>36279.649099999995</v>
      </c>
      <c r="EG50" s="348">
        <f t="shared" si="199"/>
        <v>1615.4586468707673</v>
      </c>
      <c r="EH50" s="348">
        <f t="shared" si="200"/>
        <v>3320.992334173653</v>
      </c>
      <c r="EI50" s="354">
        <f t="shared" si="201"/>
        <v>0.79080096717861537</v>
      </c>
      <c r="EJ50" s="326"/>
      <c r="EK50" s="348">
        <f t="shared" si="202"/>
        <v>1903.3613741447007</v>
      </c>
      <c r="EL50" s="348">
        <f t="shared" si="203"/>
        <v>3188.1452140494762</v>
      </c>
      <c r="EM50" s="348">
        <f t="shared" si="83"/>
        <v>1660.5392779873619</v>
      </c>
      <c r="EN50" s="348">
        <f t="shared" si="84"/>
        <v>2945.3231178921378</v>
      </c>
      <c r="EP50" s="326"/>
      <c r="EQ50" s="326"/>
      <c r="ER50" s="326"/>
      <c r="ES50" s="348">
        <f t="shared" si="204"/>
        <v>110175.26166666667</v>
      </c>
      <c r="ET50" s="348">
        <f t="shared" si="205"/>
        <v>29204.887433333333</v>
      </c>
      <c r="EU50" s="348">
        <f t="shared" si="206"/>
        <v>1258.7969146599073</v>
      </c>
      <c r="EV50" s="348">
        <f t="shared" si="207"/>
        <v>2576.8912889151784</v>
      </c>
      <c r="EW50" s="354">
        <f t="shared" si="208"/>
        <v>0.7904659478274777</v>
      </c>
      <c r="EX50" s="326"/>
      <c r="EY50" s="348">
        <f t="shared" si="209"/>
        <v>1517.2777495150485</v>
      </c>
      <c r="EZ50" s="348">
        <f t="shared" si="210"/>
        <v>2458.84509733394</v>
      </c>
      <c r="FA50" s="348">
        <f t="shared" si="92"/>
        <v>1294.8655905235171</v>
      </c>
      <c r="FB50" s="348">
        <f t="shared" si="93"/>
        <v>2236.4329383424088</v>
      </c>
      <c r="FD50" s="326"/>
      <c r="FE50" s="326"/>
      <c r="FF50" s="326"/>
      <c r="FG50" s="348">
        <f t="shared" si="211"/>
        <v>75956.360766666679</v>
      </c>
      <c r="FH50" s="348">
        <f t="shared" si="212"/>
        <v>21189.227500000001</v>
      </c>
      <c r="FI50" s="348">
        <f t="shared" si="213"/>
        <v>779.14014918388727</v>
      </c>
      <c r="FJ50" s="348">
        <f t="shared" si="214"/>
        <v>1410.7018121058566</v>
      </c>
      <c r="FK50" s="354">
        <f t="shared" si="215"/>
        <v>0.78188173155290253</v>
      </c>
      <c r="FL50" s="326"/>
      <c r="FM50" s="348">
        <f t="shared" si="216"/>
        <v>904.73604998007659</v>
      </c>
      <c r="FN50" s="348">
        <f t="shared" si="217"/>
        <v>1346.344794441419</v>
      </c>
      <c r="FO50" s="348">
        <f t="shared" si="101"/>
        <v>802.47855497380237</v>
      </c>
      <c r="FP50" s="348">
        <f t="shared" si="102"/>
        <v>1244.0872994351448</v>
      </c>
      <c r="FR50" s="326"/>
      <c r="FS50" s="326"/>
      <c r="FT50" s="326"/>
      <c r="FU50" s="348">
        <f t="shared" si="218"/>
        <v>38542.674100000004</v>
      </c>
      <c r="FV50" s="348">
        <f t="shared" si="219"/>
        <v>10731.2225</v>
      </c>
      <c r="FW50" s="349">
        <f t="shared" si="220"/>
        <v>63</v>
      </c>
      <c r="FX50" s="349">
        <f t="shared" si="221"/>
        <v>174.6</v>
      </c>
      <c r="FY50" s="354">
        <f t="shared" si="222"/>
        <v>0.78221282990637275</v>
      </c>
      <c r="FZ50" s="326"/>
      <c r="GA50" s="349">
        <f t="shared" si="223"/>
        <v>121.55051450639161</v>
      </c>
      <c r="GB50" s="349">
        <f t="shared" si="224"/>
        <v>148.55051450639164</v>
      </c>
      <c r="GC50" s="349">
        <f t="shared" si="139"/>
        <v>66.922264901468552</v>
      </c>
      <c r="GD50" s="349">
        <f t="shared" si="140"/>
        <v>93.922264901468552</v>
      </c>
      <c r="GF50" s="326"/>
      <c r="GG50" s="326"/>
      <c r="GH50" s="326"/>
      <c r="GI50" s="348">
        <f t="shared" si="225"/>
        <v>84569.78</v>
      </c>
      <c r="GJ50" s="348">
        <f t="shared" si="226"/>
        <v>22328.6083</v>
      </c>
      <c r="GK50" s="348">
        <f t="shared" si="227"/>
        <v>337.45864687076732</v>
      </c>
      <c r="GL50" s="348">
        <f t="shared" si="228"/>
        <v>443.99233417365326</v>
      </c>
      <c r="GM50" s="354">
        <f t="shared" si="229"/>
        <v>0.79112305942969963</v>
      </c>
      <c r="GN50" s="326"/>
      <c r="GO50" s="348">
        <f t="shared" si="230"/>
        <v>340.14661413711178</v>
      </c>
      <c r="GP50" s="348">
        <f t="shared" si="231"/>
        <v>441.9304540418878</v>
      </c>
      <c r="GQ50" s="348">
        <f t="shared" si="141"/>
        <v>338.0933947770701</v>
      </c>
      <c r="GR50" s="348">
        <f t="shared" si="142"/>
        <v>439.87723468184606</v>
      </c>
    </row>
    <row r="51" spans="1:200" x14ac:dyDescent="0.2">
      <c r="A51" s="320">
        <v>41</v>
      </c>
      <c r="C51" s="350">
        <v>1.0298294933570229</v>
      </c>
      <c r="D51" s="350">
        <v>1.0003211580880602</v>
      </c>
      <c r="E51" s="350">
        <v>0.67937048224442587</v>
      </c>
      <c r="F51" s="350">
        <v>35602.16750000001</v>
      </c>
      <c r="G51" s="350">
        <v>9532.4783333333344</v>
      </c>
      <c r="H51" s="351">
        <f t="shared" si="143"/>
        <v>1056.6050601843056</v>
      </c>
      <c r="I51" s="351">
        <f t="shared" si="144"/>
        <v>2376.7630716172312</v>
      </c>
      <c r="J51" s="352">
        <f t="shared" si="145"/>
        <v>173.2394729723286</v>
      </c>
      <c r="K51" s="352">
        <f t="shared" si="146"/>
        <v>119.92573068213672</v>
      </c>
      <c r="L51" s="353">
        <f t="shared" si="147"/>
        <v>1176.5307908664422</v>
      </c>
      <c r="M51" s="353">
        <f t="shared" si="148"/>
        <v>2323.4493293270393</v>
      </c>
      <c r="N51" s="343">
        <f t="shared" si="117"/>
        <v>1085.159869776089</v>
      </c>
      <c r="O51" s="343">
        <f t="shared" si="118"/>
        <v>2232.0784082366858</v>
      </c>
      <c r="Q51" s="350">
        <v>1.0480106873445756</v>
      </c>
      <c r="R51" s="350">
        <v>1.0085217894889911</v>
      </c>
      <c r="S51" s="350">
        <v>0.65116018035395096</v>
      </c>
      <c r="T51" s="350">
        <v>5353.1374999999989</v>
      </c>
      <c r="U51" s="350">
        <v>1609.7633333333338</v>
      </c>
      <c r="V51" s="351">
        <f t="shared" si="149"/>
        <v>737.79952389058121</v>
      </c>
      <c r="W51" s="351">
        <f t="shared" si="150"/>
        <v>1692.2995627625271</v>
      </c>
      <c r="X51" s="352">
        <f t="shared" si="151"/>
        <v>125.02275462795859</v>
      </c>
      <c r="Y51" s="352">
        <f t="shared" si="152"/>
        <v>87.064743225617732</v>
      </c>
      <c r="Z51" s="353">
        <f t="shared" si="153"/>
        <v>824.8642671161989</v>
      </c>
      <c r="AA51" s="353">
        <f t="shared" si="154"/>
        <v>1654.3415513601863</v>
      </c>
      <c r="AB51" s="343">
        <f t="shared" si="119"/>
        <v>755.16037574107395</v>
      </c>
      <c r="AC51" s="343">
        <f t="shared" si="120"/>
        <v>1584.6376599850612</v>
      </c>
      <c r="AE51" s="350">
        <v>1.0373815389682155</v>
      </c>
      <c r="AF51" s="350">
        <v>1.025729760110057</v>
      </c>
      <c r="AG51" s="350">
        <v>0.71412202788352563</v>
      </c>
      <c r="AH51" s="350">
        <v>856.87583333333328</v>
      </c>
      <c r="AI51" s="350">
        <v>267.36</v>
      </c>
      <c r="AJ51" s="351">
        <f t="shared" si="155"/>
        <v>369.3078278726847</v>
      </c>
      <c r="AK51" s="351">
        <f t="shared" si="156"/>
        <v>785.70899624430365</v>
      </c>
      <c r="AL51" s="352">
        <f t="shared" si="157"/>
        <v>84.980521318139552</v>
      </c>
      <c r="AM51" s="352">
        <f t="shared" si="158"/>
        <v>57.80864720844113</v>
      </c>
      <c r="AN51" s="353">
        <f t="shared" si="159"/>
        <v>427.11647508112583</v>
      </c>
      <c r="AO51" s="353">
        <f t="shared" si="160"/>
        <v>758.53712213460528</v>
      </c>
      <c r="AP51" s="343">
        <f t="shared" si="121"/>
        <v>380.56589758680997</v>
      </c>
      <c r="AQ51" s="343">
        <f t="shared" si="122"/>
        <v>711.98654464028937</v>
      </c>
      <c r="AS51" s="350">
        <v>1.0468999999999999</v>
      </c>
      <c r="AT51" s="350">
        <v>0.91682860079616801</v>
      </c>
      <c r="AU51" s="350">
        <v>0.68745217771589506</v>
      </c>
      <c r="AV51" s="350">
        <v>24944.942500000001</v>
      </c>
      <c r="AW51" s="350">
        <v>6540.9717000000001</v>
      </c>
      <c r="AX51" s="351">
        <f t="shared" si="161"/>
        <v>263.81880000000001</v>
      </c>
      <c r="AY51" s="351">
        <f t="shared" si="162"/>
        <v>459.33112899888016</v>
      </c>
      <c r="AZ51" s="352">
        <f t="shared" si="163"/>
        <v>110.6798006122591</v>
      </c>
      <c r="BA51" s="352">
        <f t="shared" si="164"/>
        <v>70.301711628431406</v>
      </c>
      <c r="BB51" s="353">
        <f t="shared" si="165"/>
        <v>334.12051162843142</v>
      </c>
      <c r="BC51" s="353">
        <f t="shared" si="166"/>
        <v>418.95304001505247</v>
      </c>
      <c r="BD51" s="343">
        <f t="shared" si="123"/>
        <v>279.70987361850854</v>
      </c>
      <c r="BE51" s="343">
        <f t="shared" si="124"/>
        <v>364.54240200512959</v>
      </c>
      <c r="BG51" s="350">
        <v>1.0545525174880355</v>
      </c>
      <c r="BH51" s="350">
        <v>0.91500696286500594</v>
      </c>
      <c r="BI51" s="350">
        <v>0.68603497169517369</v>
      </c>
      <c r="BJ51" s="350">
        <v>24776.3508</v>
      </c>
      <c r="BK51" s="350">
        <v>6459.0691999999999</v>
      </c>
      <c r="BL51" s="351">
        <f t="shared" si="167"/>
        <v>249.92894664466439</v>
      </c>
      <c r="BM51" s="351">
        <f t="shared" si="168"/>
        <v>441.03335610093285</v>
      </c>
      <c r="BN51" s="352">
        <f t="shared" si="169"/>
        <v>123.48629490513126</v>
      </c>
      <c r="BO51" s="352">
        <f t="shared" si="170"/>
        <v>78.819893441468338</v>
      </c>
      <c r="BP51" s="353">
        <f t="shared" si="171"/>
        <v>328.74884008613276</v>
      </c>
      <c r="BQ51" s="353">
        <f t="shared" si="172"/>
        <v>396.36695463726994</v>
      </c>
      <c r="BR51" s="343">
        <f t="shared" si="125"/>
        <v>268.03220378046393</v>
      </c>
      <c r="BS51" s="343">
        <f t="shared" si="126"/>
        <v>335.65031833160111</v>
      </c>
      <c r="BU51" s="350">
        <v>1.0602194448781952</v>
      </c>
      <c r="BV51" s="350">
        <v>0.92933849151806525</v>
      </c>
      <c r="BW51" s="350">
        <v>0.70890508897957916</v>
      </c>
      <c r="BX51" s="350">
        <v>19468.6283</v>
      </c>
      <c r="BY51" s="350">
        <v>5711.1108000000004</v>
      </c>
      <c r="BZ51" s="351">
        <f t="shared" si="173"/>
        <v>192.95993896783153</v>
      </c>
      <c r="CA51" s="351">
        <f t="shared" si="174"/>
        <v>285.306916896046</v>
      </c>
      <c r="CB51" s="352">
        <f t="shared" si="175"/>
        <v>47.496640961631805</v>
      </c>
      <c r="CC51" s="352">
        <f t="shared" si="176"/>
        <v>28.333805760394334</v>
      </c>
      <c r="CD51" s="353">
        <f t="shared" si="177"/>
        <v>221.29374472822587</v>
      </c>
      <c r="CE51" s="353">
        <f t="shared" si="178"/>
        <v>266.14408169480851</v>
      </c>
      <c r="CF51" s="343">
        <f t="shared" si="127"/>
        <v>204.49294047359723</v>
      </c>
      <c r="CG51" s="343">
        <f t="shared" si="128"/>
        <v>249.34327744017989</v>
      </c>
      <c r="CI51" s="350">
        <v>0.99314302669156829</v>
      </c>
      <c r="CJ51" s="350">
        <v>1.0033499018916046</v>
      </c>
      <c r="CK51" s="350">
        <v>0.46521344074827486</v>
      </c>
      <c r="CL51" s="350">
        <v>59890.285799999998</v>
      </c>
      <c r="CM51" s="350">
        <v>15774.773300000001</v>
      </c>
      <c r="CN51" s="351">
        <f t="shared" si="179"/>
        <v>179.75888783117387</v>
      </c>
      <c r="CO51" s="351">
        <f t="shared" si="180"/>
        <v>227.76042772939422</v>
      </c>
      <c r="CP51" s="352">
        <f t="shared" si="181"/>
        <v>1.8608537629930995</v>
      </c>
      <c r="CQ51" s="352">
        <f t="shared" si="182"/>
        <v>1.0400214979212905</v>
      </c>
      <c r="CR51" s="353">
        <f t="shared" si="183"/>
        <v>180.79890932909515</v>
      </c>
      <c r="CS51" s="353">
        <f t="shared" si="184"/>
        <v>226.93959546432242</v>
      </c>
      <c r="CT51" s="343">
        <f t="shared" si="129"/>
        <v>180.15218750559521</v>
      </c>
      <c r="CU51" s="343">
        <f t="shared" si="130"/>
        <v>226.29287364082248</v>
      </c>
      <c r="CW51" s="350">
        <v>1.0613808698017915</v>
      </c>
      <c r="CX51" s="350">
        <v>1.0680556063656153</v>
      </c>
      <c r="CY51" s="350">
        <v>0.51646766679014122</v>
      </c>
      <c r="CZ51" s="350">
        <v>29345.577499999999</v>
      </c>
      <c r="DA51" s="350">
        <v>7138.6374999999998</v>
      </c>
      <c r="DB51" s="351">
        <f t="shared" si="185"/>
        <v>202.72374613214217</v>
      </c>
      <c r="DC51" s="351">
        <f t="shared" si="186"/>
        <v>279.83056886779121</v>
      </c>
      <c r="DD51" s="352">
        <f t="shared" si="187"/>
        <v>1.5494030003704236</v>
      </c>
      <c r="DE51" s="352">
        <f t="shared" si="188"/>
        <v>0.89849020000821678</v>
      </c>
      <c r="DF51" s="353">
        <f t="shared" si="189"/>
        <v>203.62223633215038</v>
      </c>
      <c r="DG51" s="353">
        <f t="shared" si="190"/>
        <v>279.17965606742899</v>
      </c>
      <c r="DH51" s="343">
        <f t="shared" si="131"/>
        <v>203.02555642199391</v>
      </c>
      <c r="DI51" s="343">
        <f t="shared" si="132"/>
        <v>278.58297615727253</v>
      </c>
      <c r="DK51" s="350">
        <v>1.1189</v>
      </c>
      <c r="DL51" s="350">
        <v>1.1177999999999999</v>
      </c>
      <c r="DM51" s="350">
        <v>0.63380500577483301</v>
      </c>
      <c r="DN51" s="350">
        <v>1119.9007999999999</v>
      </c>
      <c r="DO51" s="350">
        <v>347.0942</v>
      </c>
      <c r="DP51" s="351">
        <f t="shared" si="191"/>
        <v>107.4144</v>
      </c>
      <c r="DQ51" s="351">
        <f t="shared" si="192"/>
        <v>194.49719999999999</v>
      </c>
      <c r="DR51" s="352">
        <f t="shared" si="193"/>
        <v>1.267610011549666</v>
      </c>
      <c r="DS51" s="352">
        <f t="shared" si="194"/>
        <v>0.81661850004563474</v>
      </c>
      <c r="DT51" s="353">
        <f t="shared" si="195"/>
        <v>108.23101850004564</v>
      </c>
      <c r="DU51" s="353">
        <f t="shared" si="196"/>
        <v>194.04620848849595</v>
      </c>
      <c r="DV51" s="343">
        <f t="shared" si="133"/>
        <v>107.67112482600471</v>
      </c>
      <c r="DW51" s="343">
        <f t="shared" si="134"/>
        <v>193.48631481445506</v>
      </c>
      <c r="EB51" s="326"/>
      <c r="EC51" s="326"/>
      <c r="ED51" s="326"/>
      <c r="EE51" s="348">
        <f t="shared" si="197"/>
        <v>149782.97330000001</v>
      </c>
      <c r="EF51" s="348">
        <f t="shared" si="198"/>
        <v>38986.860833333332</v>
      </c>
      <c r="EG51" s="348">
        <f t="shared" si="199"/>
        <v>1662.3617449211931</v>
      </c>
      <c r="EH51" s="348">
        <f t="shared" si="200"/>
        <v>3287.7190834397384</v>
      </c>
      <c r="EI51" s="354">
        <f t="shared" si="201"/>
        <v>0.79346879753151744</v>
      </c>
      <c r="EJ51" s="326"/>
      <c r="EK51" s="348">
        <f t="shared" si="202"/>
        <v>1854.348000889689</v>
      </c>
      <c r="EL51" s="348">
        <f t="shared" si="203"/>
        <v>3192.6856896603572</v>
      </c>
      <c r="EM51" s="348">
        <f t="shared" si="83"/>
        <v>1707.4423760377879</v>
      </c>
      <c r="EN51" s="348">
        <f t="shared" si="84"/>
        <v>3045.7800648084558</v>
      </c>
      <c r="EP51" s="326"/>
      <c r="EQ51" s="326"/>
      <c r="ER51" s="326"/>
      <c r="ES51" s="348">
        <f t="shared" si="204"/>
        <v>119365.35159999999</v>
      </c>
      <c r="ET51" s="348">
        <f t="shared" si="205"/>
        <v>30982.243333333336</v>
      </c>
      <c r="EU51" s="348">
        <f t="shared" si="206"/>
        <v>1309.393980658919</v>
      </c>
      <c r="EV51" s="348">
        <f t="shared" si="207"/>
        <v>2556.9747448003077</v>
      </c>
      <c r="EW51" s="354">
        <f t="shared" si="208"/>
        <v>0.79392923879446564</v>
      </c>
      <c r="EX51" s="326"/>
      <c r="EY51" s="348">
        <f t="shared" si="209"/>
        <v>1476.9475819639322</v>
      </c>
      <c r="EZ51" s="348">
        <f t="shared" si="210"/>
        <v>2473.0738607089788</v>
      </c>
      <c r="FA51" s="348">
        <f t="shared" si="92"/>
        <v>1345.462656522529</v>
      </c>
      <c r="FB51" s="348">
        <f t="shared" si="93"/>
        <v>2341.5889352675754</v>
      </c>
      <c r="FD51" s="326"/>
      <c r="FE51" s="326"/>
      <c r="FF51" s="326"/>
      <c r="FG51" s="348">
        <f t="shared" si="211"/>
        <v>81335.690733333337</v>
      </c>
      <c r="FH51" s="348">
        <f t="shared" si="212"/>
        <v>22100.338299999999</v>
      </c>
      <c r="FI51" s="348">
        <f t="shared" si="213"/>
        <v>806.47529467169011</v>
      </c>
      <c r="FJ51" s="348">
        <f t="shared" si="214"/>
        <v>1415.474660869744</v>
      </c>
      <c r="FK51" s="354">
        <f t="shared" si="215"/>
        <v>0.78633810185348529</v>
      </c>
      <c r="FL51" s="326"/>
      <c r="FM51" s="348">
        <f t="shared" si="216"/>
        <v>894.14774023847428</v>
      </c>
      <c r="FN51" s="348">
        <f t="shared" si="217"/>
        <v>1368.0485243868336</v>
      </c>
      <c r="FO51" s="348">
        <f t="shared" si="101"/>
        <v>829.81370046160521</v>
      </c>
      <c r="FP51" s="348">
        <f t="shared" si="102"/>
        <v>1303.714484609965</v>
      </c>
      <c r="FR51" s="326"/>
      <c r="FS51" s="326"/>
      <c r="FT51" s="326"/>
      <c r="FU51" s="348">
        <f t="shared" si="218"/>
        <v>44413.570800000001</v>
      </c>
      <c r="FV51" s="348">
        <f t="shared" si="219"/>
        <v>12252.0825</v>
      </c>
      <c r="FW51" s="349">
        <f t="shared" si="220"/>
        <v>63.772974928951633</v>
      </c>
      <c r="FX51" s="349">
        <f t="shared" si="221"/>
        <v>156.62179089255073</v>
      </c>
      <c r="FY51" s="354">
        <f t="shared" si="222"/>
        <v>0.78378291281431312</v>
      </c>
      <c r="FZ51" s="326"/>
      <c r="GA51" s="349">
        <f t="shared" si="223"/>
        <v>101.54409021018499</v>
      </c>
      <c r="GB51" s="349">
        <f t="shared" si="224"/>
        <v>137.52806248821958</v>
      </c>
      <c r="GC51" s="349">
        <f t="shared" si="139"/>
        <v>67.695239830420178</v>
      </c>
      <c r="GD51" s="349">
        <f t="shared" si="140"/>
        <v>103.67921210845473</v>
      </c>
      <c r="GF51" s="326"/>
      <c r="GG51" s="326"/>
      <c r="GH51" s="326"/>
      <c r="GI51" s="348">
        <f t="shared" si="225"/>
        <v>89235.863299999997</v>
      </c>
      <c r="GJ51" s="348">
        <f t="shared" si="226"/>
        <v>22913.410800000001</v>
      </c>
      <c r="GK51" s="348">
        <f t="shared" si="227"/>
        <v>341.93788473688761</v>
      </c>
      <c r="GL51" s="348">
        <f t="shared" si="228"/>
        <v>451.62488282362722</v>
      </c>
      <c r="GM51" s="354">
        <f t="shared" si="229"/>
        <v>0.79568828256909785</v>
      </c>
      <c r="GN51" s="326"/>
      <c r="GO51" s="348">
        <f t="shared" si="230"/>
        <v>343.69669839481548</v>
      </c>
      <c r="GP51" s="348">
        <f t="shared" si="231"/>
        <v>450.28332031826562</v>
      </c>
      <c r="GQ51" s="348">
        <f t="shared" si="141"/>
        <v>342.57263264319033</v>
      </c>
      <c r="GR51" s="348">
        <f t="shared" si="142"/>
        <v>449.15925456664047</v>
      </c>
    </row>
    <row r="52" spans="1:200" x14ac:dyDescent="0.2">
      <c r="A52" s="320">
        <v>42</v>
      </c>
      <c r="C52" s="350">
        <v>1.0631174537426069</v>
      </c>
      <c r="D52" s="350">
        <v>1.0021960041081115</v>
      </c>
      <c r="E52" s="350">
        <v>0.41650302729192934</v>
      </c>
      <c r="F52" s="350">
        <v>37515.813333333346</v>
      </c>
      <c r="G52" s="350">
        <v>9566.3050000000003</v>
      </c>
      <c r="H52" s="351">
        <f t="shared" si="143"/>
        <v>1090.7585075399147</v>
      </c>
      <c r="I52" s="351">
        <f t="shared" si="144"/>
        <v>2381.2177057608728</v>
      </c>
      <c r="J52" s="352">
        <f t="shared" si="145"/>
        <v>106.20827195944199</v>
      </c>
      <c r="K52" s="352">
        <f t="shared" si="146"/>
        <v>72.841805977597403</v>
      </c>
      <c r="L52" s="353">
        <f t="shared" si="147"/>
        <v>1163.6003135175122</v>
      </c>
      <c r="M52" s="353">
        <f t="shared" si="148"/>
        <v>2347.8512397790282</v>
      </c>
      <c r="N52" s="343">
        <f t="shared" si="117"/>
        <v>1119.3133171316981</v>
      </c>
      <c r="O52" s="343">
        <f t="shared" si="118"/>
        <v>2303.5642433932144</v>
      </c>
      <c r="Q52" s="350">
        <v>1.0998126390109182</v>
      </c>
      <c r="R52" s="350">
        <v>1.0183301661315021</v>
      </c>
      <c r="S52" s="350">
        <v>0.32635196112562997</v>
      </c>
      <c r="T52" s="350">
        <v>5863.5358333333343</v>
      </c>
      <c r="U52" s="350">
        <v>1741.0333333333333</v>
      </c>
      <c r="V52" s="351">
        <f t="shared" si="149"/>
        <v>774.26809786368642</v>
      </c>
      <c r="W52" s="351">
        <f t="shared" si="150"/>
        <v>1708.7580187686606</v>
      </c>
      <c r="X52" s="352">
        <f t="shared" si="151"/>
        <v>62.659576536120952</v>
      </c>
      <c r="Y52" s="352">
        <f t="shared" si="152"/>
        <v>43.120792464302049</v>
      </c>
      <c r="Z52" s="353">
        <f t="shared" si="153"/>
        <v>817.38889032798852</v>
      </c>
      <c r="AA52" s="353">
        <f t="shared" si="154"/>
        <v>1689.2192346968416</v>
      </c>
      <c r="AB52" s="343">
        <f t="shared" si="119"/>
        <v>791.62894971417916</v>
      </c>
      <c r="AC52" s="343">
        <f t="shared" si="120"/>
        <v>1663.4592940830323</v>
      </c>
      <c r="AE52" s="350">
        <v>1.0757464491236426</v>
      </c>
      <c r="AF52" s="350">
        <v>1.0554133126888372</v>
      </c>
      <c r="AG52" s="350">
        <v>0.4855883723911002</v>
      </c>
      <c r="AH52" s="350">
        <v>957.75</v>
      </c>
      <c r="AI52" s="350">
        <v>274.92500000000001</v>
      </c>
      <c r="AJ52" s="351">
        <f t="shared" si="155"/>
        <v>382.96573588801675</v>
      </c>
      <c r="AK52" s="351">
        <f t="shared" si="156"/>
        <v>808.44659751964934</v>
      </c>
      <c r="AL52" s="352">
        <f t="shared" si="157"/>
        <v>57.785016314540925</v>
      </c>
      <c r="AM52" s="352">
        <f t="shared" si="158"/>
        <v>39.21069013402866</v>
      </c>
      <c r="AN52" s="353">
        <f t="shared" si="159"/>
        <v>422.1764260220454</v>
      </c>
      <c r="AO52" s="353">
        <f t="shared" si="160"/>
        <v>789.87227133913711</v>
      </c>
      <c r="AP52" s="343">
        <f t="shared" si="121"/>
        <v>394.22380560214202</v>
      </c>
      <c r="AQ52" s="343">
        <f t="shared" si="122"/>
        <v>761.91965091923362</v>
      </c>
      <c r="AS52" s="350">
        <v>1.1032999999999999</v>
      </c>
      <c r="AT52" s="350">
        <v>0.84880779811972995</v>
      </c>
      <c r="AU52" s="350">
        <v>0.41808486107765463</v>
      </c>
      <c r="AV52" s="350">
        <v>26460.6708</v>
      </c>
      <c r="AW52" s="350">
        <v>6790.6850000000004</v>
      </c>
      <c r="AX52" s="351">
        <f t="shared" si="161"/>
        <v>278.03159999999997</v>
      </c>
      <c r="AY52" s="351">
        <f t="shared" si="162"/>
        <v>425.25270685798472</v>
      </c>
      <c r="AZ52" s="352">
        <f t="shared" si="163"/>
        <v>67.311662633502394</v>
      </c>
      <c r="BA52" s="352">
        <f t="shared" si="164"/>
        <v>40.701131048824244</v>
      </c>
      <c r="BB52" s="353">
        <f t="shared" si="165"/>
        <v>318.73273104882423</v>
      </c>
      <c r="BC52" s="353">
        <f t="shared" si="166"/>
        <v>398.64217527330658</v>
      </c>
      <c r="BD52" s="343">
        <f t="shared" si="123"/>
        <v>293.9226736185085</v>
      </c>
      <c r="BE52" s="343">
        <f t="shared" si="124"/>
        <v>373.83211784299084</v>
      </c>
      <c r="BG52" s="350">
        <v>1.1169817005434168</v>
      </c>
      <c r="BH52" s="350">
        <v>0.86123030022138358</v>
      </c>
      <c r="BI52" s="350">
        <v>0.43146862785693468</v>
      </c>
      <c r="BJ52" s="350">
        <v>26352.493299999998</v>
      </c>
      <c r="BK52" s="350">
        <v>6706.8167000000003</v>
      </c>
      <c r="BL52" s="351">
        <f t="shared" si="167"/>
        <v>264.72466302878979</v>
      </c>
      <c r="BM52" s="351">
        <f t="shared" si="168"/>
        <v>415.11300470670687</v>
      </c>
      <c r="BN52" s="352">
        <f t="shared" si="169"/>
        <v>77.664353014248249</v>
      </c>
      <c r="BO52" s="352">
        <f t="shared" si="170"/>
        <v>47.422325164380773</v>
      </c>
      <c r="BP52" s="353">
        <f t="shared" si="171"/>
        <v>312.14698819317056</v>
      </c>
      <c r="BQ52" s="353">
        <f t="shared" si="172"/>
        <v>384.87097685683938</v>
      </c>
      <c r="BR52" s="343">
        <f t="shared" si="125"/>
        <v>282.82792016458933</v>
      </c>
      <c r="BS52" s="343">
        <f t="shared" si="126"/>
        <v>355.55190882825815</v>
      </c>
      <c r="BU52" s="350">
        <v>1.1240084847309837</v>
      </c>
      <c r="BV52" s="350">
        <v>0.88850918349091224</v>
      </c>
      <c r="BW52" s="350">
        <v>0.46063487630992678</v>
      </c>
      <c r="BX52" s="350">
        <v>20346.2317</v>
      </c>
      <c r="BY52" s="350">
        <v>5815.415</v>
      </c>
      <c r="BZ52" s="351">
        <f t="shared" si="173"/>
        <v>204.56954422103902</v>
      </c>
      <c r="CA52" s="351">
        <f t="shared" si="174"/>
        <v>272.77231933171004</v>
      </c>
      <c r="CB52" s="352">
        <f t="shared" si="175"/>
        <v>30.862536712765095</v>
      </c>
      <c r="CC52" s="352">
        <f t="shared" si="176"/>
        <v>17.636093463381506</v>
      </c>
      <c r="CD52" s="353">
        <f t="shared" si="177"/>
        <v>222.20563768442054</v>
      </c>
      <c r="CE52" s="353">
        <f t="shared" si="178"/>
        <v>259.54587608232646</v>
      </c>
      <c r="CF52" s="343">
        <f t="shared" si="127"/>
        <v>216.10254572680472</v>
      </c>
      <c r="CG52" s="343">
        <f t="shared" si="128"/>
        <v>253.44278412471064</v>
      </c>
      <c r="CI52" s="350">
        <v>0.99499223537770309</v>
      </c>
      <c r="CJ52" s="350">
        <v>1.0053422140761448</v>
      </c>
      <c r="CK52" s="350">
        <v>0.26423823040931815</v>
      </c>
      <c r="CL52" s="350">
        <v>64932.294199999997</v>
      </c>
      <c r="CM52" s="350">
        <v>17644.936699999998</v>
      </c>
      <c r="CN52" s="351">
        <f t="shared" si="179"/>
        <v>180.09359460336427</v>
      </c>
      <c r="CO52" s="351">
        <f t="shared" si="180"/>
        <v>228.21268259528486</v>
      </c>
      <c r="CP52" s="352">
        <f t="shared" si="181"/>
        <v>1.0569529216372726</v>
      </c>
      <c r="CQ52" s="352">
        <f t="shared" si="182"/>
        <v>0.59075766181868516</v>
      </c>
      <c r="CR52" s="353">
        <f t="shared" si="183"/>
        <v>180.68435226518295</v>
      </c>
      <c r="CS52" s="353">
        <f t="shared" si="184"/>
        <v>227.74648733546627</v>
      </c>
      <c r="CT52" s="343">
        <f t="shared" si="129"/>
        <v>180.48689427778561</v>
      </c>
      <c r="CU52" s="343">
        <f t="shared" si="130"/>
        <v>227.54902934806893</v>
      </c>
      <c r="CW52" s="350">
        <v>1.0962765075430501</v>
      </c>
      <c r="CX52" s="350">
        <v>1.1019886432432737</v>
      </c>
      <c r="CY52" s="350">
        <v>0.33341557347576556</v>
      </c>
      <c r="CZ52" s="350">
        <v>32062.845000000001</v>
      </c>
      <c r="DA52" s="350">
        <v>7991.58</v>
      </c>
      <c r="DB52" s="351">
        <f t="shared" si="185"/>
        <v>209.38881294072257</v>
      </c>
      <c r="DC52" s="351">
        <f t="shared" si="186"/>
        <v>288.72102452973769</v>
      </c>
      <c r="DD52" s="352">
        <f t="shared" si="187"/>
        <v>1.0002467204272967</v>
      </c>
      <c r="DE52" s="352">
        <f t="shared" si="188"/>
        <v>0.57977625852732861</v>
      </c>
      <c r="DF52" s="353">
        <f t="shared" si="189"/>
        <v>209.96858919924989</v>
      </c>
      <c r="DG52" s="353">
        <f t="shared" si="190"/>
        <v>288.30055406783771</v>
      </c>
      <c r="DH52" s="343">
        <f t="shared" si="131"/>
        <v>209.69062323057432</v>
      </c>
      <c r="DI52" s="343">
        <f t="shared" si="132"/>
        <v>288.02258809916214</v>
      </c>
      <c r="DK52" s="350">
        <v>1.1803999999999999</v>
      </c>
      <c r="DL52" s="350">
        <v>1.1771</v>
      </c>
      <c r="DM52" s="350">
        <v>0.45003445249929858</v>
      </c>
      <c r="DN52" s="350">
        <v>1122.9549999999999</v>
      </c>
      <c r="DO52" s="350">
        <v>370.08330000000001</v>
      </c>
      <c r="DP52" s="351">
        <f t="shared" si="191"/>
        <v>113.3184</v>
      </c>
      <c r="DQ52" s="351">
        <f t="shared" si="192"/>
        <v>204.81540000000001</v>
      </c>
      <c r="DR52" s="352">
        <f t="shared" si="193"/>
        <v>0.90006890499859715</v>
      </c>
      <c r="DS52" s="352">
        <f t="shared" si="194"/>
        <v>0.57946679291810455</v>
      </c>
      <c r="DT52" s="353">
        <f t="shared" si="195"/>
        <v>113.89786679291811</v>
      </c>
      <c r="DU52" s="353">
        <f t="shared" si="196"/>
        <v>204.49479788791953</v>
      </c>
      <c r="DV52" s="343">
        <f t="shared" si="133"/>
        <v>113.57512482600471</v>
      </c>
      <c r="DW52" s="343">
        <f t="shared" si="134"/>
        <v>204.17205592100615</v>
      </c>
      <c r="EB52" s="326"/>
      <c r="EC52" s="326"/>
      <c r="ED52" s="326"/>
      <c r="EE52" s="348">
        <f t="shared" si="197"/>
        <v>160971.62333333335</v>
      </c>
      <c r="EF52" s="348">
        <f t="shared" si="198"/>
        <v>41993.506699999998</v>
      </c>
      <c r="EG52" s="348">
        <f t="shared" si="199"/>
        <v>1716.3947524958571</v>
      </c>
      <c r="EH52" s="348">
        <f t="shared" si="200"/>
        <v>3265.6599148379328</v>
      </c>
      <c r="EI52" s="354">
        <f t="shared" si="201"/>
        <v>0.79309989507506373</v>
      </c>
      <c r="EJ52" s="326"/>
      <c r="EK52" s="348">
        <f t="shared" si="202"/>
        <v>1830.9922681909193</v>
      </c>
      <c r="EL52" s="348">
        <f t="shared" si="203"/>
        <v>3204.880345642071</v>
      </c>
      <c r="EM52" s="348">
        <f t="shared" si="83"/>
        <v>1761.4753836124517</v>
      </c>
      <c r="EN52" s="348">
        <f t="shared" si="84"/>
        <v>3135.3634610636041</v>
      </c>
      <c r="EP52" s="326"/>
      <c r="EQ52" s="326"/>
      <c r="ER52" s="326"/>
      <c r="ES52" s="348">
        <f t="shared" si="204"/>
        <v>129211.16833333333</v>
      </c>
      <c r="ET52" s="348">
        <f t="shared" si="205"/>
        <v>34084.366733333336</v>
      </c>
      <c r="EU52" s="348">
        <f t="shared" si="206"/>
        <v>1365.6585245543463</v>
      </c>
      <c r="EV52" s="348">
        <f t="shared" si="207"/>
        <v>2554.1884232414691</v>
      </c>
      <c r="EW52" s="354">
        <f t="shared" si="208"/>
        <v>0.7912719002425993</v>
      </c>
      <c r="EX52" s="326"/>
      <c r="EY52" s="348">
        <f t="shared" si="209"/>
        <v>1457.1982432258169</v>
      </c>
      <c r="EZ52" s="348">
        <f t="shared" si="210"/>
        <v>2503.6470867366334</v>
      </c>
      <c r="FA52" s="348">
        <f t="shared" si="92"/>
        <v>1401.7272004179563</v>
      </c>
      <c r="FB52" s="348">
        <f t="shared" si="93"/>
        <v>2448.1760439287732</v>
      </c>
      <c r="FD52" s="326"/>
      <c r="FE52" s="326"/>
      <c r="FF52" s="326"/>
      <c r="FG52" s="348">
        <f t="shared" si="211"/>
        <v>87359.230899999995</v>
      </c>
      <c r="FH52" s="348">
        <f t="shared" si="212"/>
        <v>24105.359999999997</v>
      </c>
      <c r="FI52" s="348">
        <f t="shared" si="213"/>
        <v>835.61991471242004</v>
      </c>
      <c r="FJ52" s="348">
        <f t="shared" si="214"/>
        <v>1432.3208394466442</v>
      </c>
      <c r="FK52" s="354">
        <f t="shared" si="215"/>
        <v>0.78373975263923923</v>
      </c>
      <c r="FL52" s="326"/>
      <c r="FM52" s="348">
        <f t="shared" si="216"/>
        <v>893.40513604739976</v>
      </c>
      <c r="FN52" s="348">
        <f t="shared" si="217"/>
        <v>1399.8615134896816</v>
      </c>
      <c r="FO52" s="348">
        <f t="shared" si="101"/>
        <v>858.95832050233525</v>
      </c>
      <c r="FP52" s="348">
        <f t="shared" si="102"/>
        <v>1365.4146979446168</v>
      </c>
      <c r="FR52" s="326"/>
      <c r="FS52" s="326"/>
      <c r="FT52" s="326"/>
      <c r="FU52" s="348">
        <f t="shared" si="218"/>
        <v>46806.902499999997</v>
      </c>
      <c r="FV52" s="348">
        <f t="shared" si="219"/>
        <v>12606.1</v>
      </c>
      <c r="FW52" s="349">
        <f t="shared" si="220"/>
        <v>66.115850201064859</v>
      </c>
      <c r="FX52" s="349">
        <f t="shared" si="221"/>
        <v>137.23234877364723</v>
      </c>
      <c r="FY52" s="354">
        <f t="shared" si="222"/>
        <v>0.78782253935070867</v>
      </c>
      <c r="FZ52" s="326"/>
      <c r="GA52" s="349">
        <f t="shared" si="223"/>
        <v>86.87438402796333</v>
      </c>
      <c r="GB52" s="349">
        <f t="shared" si="224"/>
        <v>125.18666927188211</v>
      </c>
      <c r="GC52" s="349">
        <f t="shared" si="139"/>
        <v>70.038115102533396</v>
      </c>
      <c r="GD52" s="349">
        <f t="shared" si="140"/>
        <v>108.35040034645218</v>
      </c>
      <c r="GF52" s="326"/>
      <c r="GG52" s="326"/>
      <c r="GH52" s="326"/>
      <c r="GI52" s="348">
        <f t="shared" si="225"/>
        <v>96995.139200000005</v>
      </c>
      <c r="GJ52" s="348">
        <f t="shared" si="226"/>
        <v>25636.5167</v>
      </c>
      <c r="GK52" s="348">
        <f t="shared" si="227"/>
        <v>347.60464495594238</v>
      </c>
      <c r="GL52" s="348">
        <f t="shared" si="228"/>
        <v>459.18950221907505</v>
      </c>
      <c r="GM52" s="354">
        <f t="shared" si="229"/>
        <v>0.79094699071090335</v>
      </c>
      <c r="GN52" s="326"/>
      <c r="GO52" s="348">
        <f t="shared" si="230"/>
        <v>348.65922362458286</v>
      </c>
      <c r="GP52" s="348">
        <f t="shared" si="231"/>
        <v>458.38693058973644</v>
      </c>
      <c r="GQ52" s="348">
        <f t="shared" si="141"/>
        <v>348.23939286224504</v>
      </c>
      <c r="GR52" s="348">
        <f t="shared" si="142"/>
        <v>457.96709982739867</v>
      </c>
    </row>
    <row r="53" spans="1:200" x14ac:dyDescent="0.2">
      <c r="A53" s="320">
        <v>43</v>
      </c>
      <c r="C53" s="350">
        <v>1.096272527773853</v>
      </c>
      <c r="D53" s="350">
        <v>1.0063578250240977</v>
      </c>
      <c r="E53" s="350">
        <v>0.23100247597605367</v>
      </c>
      <c r="F53" s="350">
        <v>40530.564166666678</v>
      </c>
      <c r="G53" s="350">
        <v>10594.662500000002</v>
      </c>
      <c r="H53" s="351">
        <f t="shared" si="143"/>
        <v>1124.7756134959732</v>
      </c>
      <c r="I53" s="351">
        <f t="shared" si="144"/>
        <v>2391.1061922572562</v>
      </c>
      <c r="J53" s="352">
        <f t="shared" si="145"/>
        <v>58.905631373893684</v>
      </c>
      <c r="K53" s="352">
        <f t="shared" si="146"/>
        <v>40.06096556103239</v>
      </c>
      <c r="L53" s="353">
        <f t="shared" si="147"/>
        <v>1164.8365790570056</v>
      </c>
      <c r="M53" s="353">
        <f t="shared" si="148"/>
        <v>2372.2615264443948</v>
      </c>
      <c r="N53" s="343">
        <f t="shared" si="117"/>
        <v>1153.3304230877566</v>
      </c>
      <c r="O53" s="343">
        <f t="shared" si="118"/>
        <v>2360.7553704751458</v>
      </c>
      <c r="Q53" s="350">
        <v>1.1558242671206149</v>
      </c>
      <c r="R53" s="350">
        <v>1.0302213095976815</v>
      </c>
      <c r="S53" s="350">
        <v>0.18134029814472313</v>
      </c>
      <c r="T53" s="350">
        <v>6597.9158333333344</v>
      </c>
      <c r="U53" s="350">
        <v>1931.01</v>
      </c>
      <c r="V53" s="351">
        <f t="shared" si="149"/>
        <v>813.70028405291293</v>
      </c>
      <c r="W53" s="351">
        <f t="shared" si="150"/>
        <v>1728.7113575049095</v>
      </c>
      <c r="X53" s="352">
        <f t="shared" si="151"/>
        <v>34.817337243786838</v>
      </c>
      <c r="Y53" s="352">
        <f t="shared" si="152"/>
        <v>23.6740287637029</v>
      </c>
      <c r="Z53" s="353">
        <f t="shared" si="153"/>
        <v>837.37431281661588</v>
      </c>
      <c r="AA53" s="353">
        <f t="shared" si="154"/>
        <v>1717.5680490248255</v>
      </c>
      <c r="AB53" s="343">
        <f t="shared" si="119"/>
        <v>831.06113590340567</v>
      </c>
      <c r="AC53" s="343">
        <f t="shared" si="120"/>
        <v>1711.2548721116154</v>
      </c>
      <c r="AE53" s="350">
        <v>1.1180626901038271</v>
      </c>
      <c r="AF53" s="350">
        <v>1.0899559650202038</v>
      </c>
      <c r="AG53" s="350">
        <v>0.2952971845464018</v>
      </c>
      <c r="AH53" s="350">
        <v>1117.8558333333333</v>
      </c>
      <c r="AI53" s="350">
        <v>301.70999999999998</v>
      </c>
      <c r="AJ53" s="351">
        <f t="shared" si="155"/>
        <v>398.03031767696245</v>
      </c>
      <c r="AK53" s="351">
        <f t="shared" si="156"/>
        <v>834.90626920547606</v>
      </c>
      <c r="AL53" s="352">
        <f t="shared" si="157"/>
        <v>35.140364961021817</v>
      </c>
      <c r="AM53" s="352">
        <f t="shared" si="158"/>
        <v>23.795961057746638</v>
      </c>
      <c r="AN53" s="353">
        <f t="shared" si="159"/>
        <v>421.82627873470909</v>
      </c>
      <c r="AO53" s="353">
        <f t="shared" si="160"/>
        <v>823.56186530220089</v>
      </c>
      <c r="AP53" s="343">
        <f t="shared" si="121"/>
        <v>409.28838739108772</v>
      </c>
      <c r="AQ53" s="343">
        <f t="shared" si="122"/>
        <v>811.02397395857952</v>
      </c>
      <c r="AS53" s="350">
        <v>1.1688000000000001</v>
      </c>
      <c r="AT53" s="350">
        <v>0.81096420583647333</v>
      </c>
      <c r="AU53" s="350">
        <v>0.23491894870083604</v>
      </c>
      <c r="AV53" s="350">
        <v>29266.855</v>
      </c>
      <c r="AW53" s="350">
        <v>7726.8</v>
      </c>
      <c r="AX53" s="351">
        <f t="shared" si="161"/>
        <v>294.5376</v>
      </c>
      <c r="AY53" s="351">
        <f t="shared" si="162"/>
        <v>406.29306712407316</v>
      </c>
      <c r="AZ53" s="352">
        <f t="shared" si="163"/>
        <v>37.821950740834602</v>
      </c>
      <c r="BA53" s="352">
        <f t="shared" si="164"/>
        <v>21.926546727997</v>
      </c>
      <c r="BB53" s="353">
        <f t="shared" si="165"/>
        <v>316.46414672799699</v>
      </c>
      <c r="BC53" s="353">
        <f t="shared" si="166"/>
        <v>390.39766311123554</v>
      </c>
      <c r="BD53" s="343">
        <f t="shared" si="123"/>
        <v>310.42867361850853</v>
      </c>
      <c r="BE53" s="343">
        <f t="shared" si="124"/>
        <v>384.36219000174708</v>
      </c>
      <c r="BG53" s="350">
        <v>1.2008596101373379</v>
      </c>
      <c r="BH53" s="350">
        <v>0.82819902636888232</v>
      </c>
      <c r="BI53" s="350">
        <v>0.25317770230965531</v>
      </c>
      <c r="BJ53" s="350">
        <v>29111.919999999998</v>
      </c>
      <c r="BK53" s="350">
        <v>7648.0258000000003</v>
      </c>
      <c r="BL53" s="351">
        <f t="shared" si="167"/>
        <v>284.6037276025491</v>
      </c>
      <c r="BM53" s="351">
        <f t="shared" si="168"/>
        <v>399.19193070980128</v>
      </c>
      <c r="BN53" s="352">
        <f t="shared" si="169"/>
        <v>45.571986415737953</v>
      </c>
      <c r="BO53" s="352">
        <f t="shared" si="170"/>
        <v>26.604394196474086</v>
      </c>
      <c r="BP53" s="353">
        <f t="shared" si="171"/>
        <v>311.20812179902316</v>
      </c>
      <c r="BQ53" s="353">
        <f t="shared" si="172"/>
        <v>380.22433849053738</v>
      </c>
      <c r="BR53" s="343">
        <f t="shared" si="125"/>
        <v>302.70698473834864</v>
      </c>
      <c r="BS53" s="343">
        <f t="shared" si="126"/>
        <v>371.72320142986285</v>
      </c>
      <c r="BU53" s="350">
        <v>1.1725358796345922</v>
      </c>
      <c r="BV53" s="350">
        <v>0.87103196034894392</v>
      </c>
      <c r="BW53" s="350">
        <v>0.27851148405243353</v>
      </c>
      <c r="BX53" s="350">
        <v>21430.952499999999</v>
      </c>
      <c r="BY53" s="350">
        <v>6344.4549999999999</v>
      </c>
      <c r="BZ53" s="351">
        <f t="shared" si="173"/>
        <v>213.40153009349578</v>
      </c>
      <c r="CA53" s="351">
        <f t="shared" si="174"/>
        <v>267.40681182712581</v>
      </c>
      <c r="CB53" s="352">
        <f t="shared" si="175"/>
        <v>18.660269431513047</v>
      </c>
      <c r="CC53" s="352">
        <f t="shared" si="176"/>
        <v>10.378112693685075</v>
      </c>
      <c r="CD53" s="353">
        <f t="shared" si="177"/>
        <v>223.77964278718085</v>
      </c>
      <c r="CE53" s="353">
        <f t="shared" si="178"/>
        <v>259.12465508929785</v>
      </c>
      <c r="CF53" s="343">
        <f t="shared" si="127"/>
        <v>224.93453159926148</v>
      </c>
      <c r="CG53" s="343">
        <f t="shared" si="128"/>
        <v>260.27954390137847</v>
      </c>
      <c r="CI53" s="350">
        <v>0.99993179588083914</v>
      </c>
      <c r="CJ53" s="350">
        <v>1.0046777789222081</v>
      </c>
      <c r="CK53" s="350">
        <v>0.13840174720903051</v>
      </c>
      <c r="CL53" s="350">
        <v>68510.005799999999</v>
      </c>
      <c r="CM53" s="350">
        <v>18676.578300000001</v>
      </c>
      <c r="CN53" s="351">
        <f t="shared" si="179"/>
        <v>180.98765505443188</v>
      </c>
      <c r="CO53" s="351">
        <f t="shared" si="180"/>
        <v>228.06185581534123</v>
      </c>
      <c r="CP53" s="352">
        <f t="shared" si="181"/>
        <v>0.55360698883612203</v>
      </c>
      <c r="CQ53" s="352">
        <f t="shared" si="182"/>
        <v>0.30865857044504452</v>
      </c>
      <c r="CR53" s="353">
        <f t="shared" si="183"/>
        <v>181.29631362487692</v>
      </c>
      <c r="CS53" s="353">
        <f t="shared" si="184"/>
        <v>227.81690739695014</v>
      </c>
      <c r="CT53" s="343">
        <f t="shared" si="129"/>
        <v>181.38095472885323</v>
      </c>
      <c r="CU53" s="343">
        <f t="shared" si="130"/>
        <v>227.90154850092645</v>
      </c>
      <c r="CW53" s="350">
        <v>1.1347434128703033</v>
      </c>
      <c r="CX53" s="350">
        <v>1.1362424493164176</v>
      </c>
      <c r="CY53" s="350">
        <v>0.19819711285516192</v>
      </c>
      <c r="CZ53" s="350">
        <v>33947.880799999999</v>
      </c>
      <c r="DA53" s="350">
        <v>8569.6808000000001</v>
      </c>
      <c r="DB53" s="351">
        <f t="shared" si="185"/>
        <v>216.73599185822795</v>
      </c>
      <c r="DC53" s="351">
        <f t="shared" si="186"/>
        <v>297.69552172090141</v>
      </c>
      <c r="DD53" s="352">
        <f t="shared" si="187"/>
        <v>0.59459133856548574</v>
      </c>
      <c r="DE53" s="352">
        <f t="shared" si="188"/>
        <v>0.34408307825751877</v>
      </c>
      <c r="DF53" s="353">
        <f t="shared" si="189"/>
        <v>217.08007493648546</v>
      </c>
      <c r="DG53" s="353">
        <f t="shared" si="190"/>
        <v>297.44501346059349</v>
      </c>
      <c r="DH53" s="343">
        <f t="shared" si="131"/>
        <v>217.03780214807969</v>
      </c>
      <c r="DI53" s="343">
        <f t="shared" si="132"/>
        <v>297.40274067218769</v>
      </c>
      <c r="DK53" s="350">
        <v>1.2456</v>
      </c>
      <c r="DL53" s="350">
        <v>1.2352000000000001</v>
      </c>
      <c r="DM53" s="350">
        <v>0.29094189534977571</v>
      </c>
      <c r="DN53" s="350">
        <v>1208.6483000000001</v>
      </c>
      <c r="DO53" s="350">
        <v>349.75</v>
      </c>
      <c r="DP53" s="351">
        <f t="shared" si="191"/>
        <v>119.5776</v>
      </c>
      <c r="DQ53" s="351">
        <f t="shared" si="192"/>
        <v>214.9248</v>
      </c>
      <c r="DR53" s="352">
        <f t="shared" si="193"/>
        <v>0.58188379069955143</v>
      </c>
      <c r="DS53" s="352">
        <f t="shared" si="194"/>
        <v>0.37387252629381118</v>
      </c>
      <c r="DT53" s="353">
        <f t="shared" si="195"/>
        <v>119.95147252629381</v>
      </c>
      <c r="DU53" s="353">
        <f t="shared" si="196"/>
        <v>214.71678873559426</v>
      </c>
      <c r="DV53" s="343">
        <f t="shared" si="133"/>
        <v>119.83432482600472</v>
      </c>
      <c r="DW53" s="343">
        <f t="shared" si="134"/>
        <v>214.59964103530518</v>
      </c>
      <c r="EB53" s="326"/>
      <c r="EC53" s="326"/>
      <c r="ED53" s="326"/>
      <c r="EE53" s="348">
        <f t="shared" si="197"/>
        <v>172255.30576666666</v>
      </c>
      <c r="EF53" s="348">
        <f t="shared" si="198"/>
        <v>45567.721600000004</v>
      </c>
      <c r="EG53" s="348">
        <f t="shared" si="199"/>
        <v>1773.6896620369876</v>
      </c>
      <c r="EH53" s="348">
        <f t="shared" si="200"/>
        <v>3263.6175325733921</v>
      </c>
      <c r="EI53" s="354">
        <f t="shared" si="201"/>
        <v>0.79080392853371384</v>
      </c>
      <c r="EJ53" s="326"/>
      <c r="EK53" s="348">
        <f t="shared" si="202"/>
        <v>1836.2610993590679</v>
      </c>
      <c r="EL53" s="348">
        <f t="shared" si="203"/>
        <v>3228.4321077210552</v>
      </c>
      <c r="EM53" s="348">
        <f t="shared" si="83"/>
        <v>1818.7702931535823</v>
      </c>
      <c r="EN53" s="348">
        <f t="shared" si="84"/>
        <v>3210.9413015155692</v>
      </c>
      <c r="EP53" s="326"/>
      <c r="EQ53" s="326"/>
      <c r="ER53" s="326"/>
      <c r="ES53" s="348">
        <f t="shared" si="204"/>
        <v>138167.72243333334</v>
      </c>
      <c r="ET53" s="348">
        <f t="shared" si="205"/>
        <v>36825.294900000001</v>
      </c>
      <c r="EU53" s="348">
        <f t="shared" si="206"/>
        <v>1431.0068610106534</v>
      </c>
      <c r="EV53" s="348">
        <f t="shared" si="207"/>
        <v>2564.352009234683</v>
      </c>
      <c r="EW53" s="354">
        <f t="shared" si="208"/>
        <v>0.78956134672588796</v>
      </c>
      <c r="EX53" s="326"/>
      <c r="EY53" s="348">
        <f t="shared" si="209"/>
        <v>1481.8348006960557</v>
      </c>
      <c r="EZ53" s="348">
        <f t="shared" si="210"/>
        <v>2533.8208043347286</v>
      </c>
      <c r="FA53" s="348">
        <f t="shared" si="92"/>
        <v>1467.0755368742634</v>
      </c>
      <c r="FB53" s="348">
        <f t="shared" si="93"/>
        <v>2519.0615405129361</v>
      </c>
      <c r="FD53" s="326"/>
      <c r="FE53" s="326"/>
      <c r="FF53" s="326"/>
      <c r="FG53" s="348">
        <f t="shared" si="211"/>
        <v>92267.462433333334</v>
      </c>
      <c r="FH53" s="348">
        <f t="shared" si="212"/>
        <v>25672.493300000002</v>
      </c>
      <c r="FI53" s="348">
        <f t="shared" si="213"/>
        <v>864.16606282489022</v>
      </c>
      <c r="FJ53" s="348">
        <f t="shared" si="214"/>
        <v>1459.3298168479432</v>
      </c>
      <c r="FK53" s="354">
        <f t="shared" si="215"/>
        <v>0.78232573396884708</v>
      </c>
      <c r="FL53" s="326"/>
      <c r="FM53" s="348">
        <f t="shared" si="216"/>
        <v>898.87311866254322</v>
      </c>
      <c r="FN53" s="348">
        <f t="shared" si="217"/>
        <v>1439.3335010298056</v>
      </c>
      <c r="FO53" s="348">
        <f t="shared" si="101"/>
        <v>887.50446861480521</v>
      </c>
      <c r="FP53" s="348">
        <f t="shared" si="102"/>
        <v>1427.9648509820677</v>
      </c>
      <c r="FR53" s="326"/>
      <c r="FS53" s="326"/>
      <c r="FT53" s="326"/>
      <c r="FU53" s="348">
        <f t="shared" si="218"/>
        <v>50697.807499999995</v>
      </c>
      <c r="FV53" s="348">
        <f t="shared" si="219"/>
        <v>14071.255000000001</v>
      </c>
      <c r="FW53" s="349">
        <f t="shared" si="220"/>
        <v>73.022462915853794</v>
      </c>
      <c r="FX53" s="349">
        <f t="shared" si="221"/>
        <v>124.99762976725262</v>
      </c>
      <c r="FY53" s="354">
        <f t="shared" si="222"/>
        <v>0.78274727999961391</v>
      </c>
      <c r="FZ53" s="326"/>
      <c r="GA53" s="349">
        <f t="shared" si="223"/>
        <v>83.416053546734531</v>
      </c>
      <c r="GB53" s="349">
        <f t="shared" si="224"/>
        <v>118.14570721974393</v>
      </c>
      <c r="GC53" s="349">
        <f t="shared" si="139"/>
        <v>76.944727817322345</v>
      </c>
      <c r="GD53" s="349">
        <f t="shared" si="140"/>
        <v>111.67438149033175</v>
      </c>
      <c r="GF53" s="326"/>
      <c r="GG53" s="326"/>
      <c r="GH53" s="326"/>
      <c r="GI53" s="348">
        <f t="shared" si="225"/>
        <v>102457.8866</v>
      </c>
      <c r="GJ53" s="348">
        <f t="shared" si="226"/>
        <v>27246.259100000003</v>
      </c>
      <c r="GK53" s="348">
        <f t="shared" si="227"/>
        <v>354.37644854101427</v>
      </c>
      <c r="GL53" s="348">
        <f t="shared" si="228"/>
        <v>466.21827319206238</v>
      </c>
      <c r="GM53" s="354">
        <f t="shared" si="229"/>
        <v>0.78993532586830806</v>
      </c>
      <c r="GN53" s="326"/>
      <c r="GO53" s="348">
        <f t="shared" si="230"/>
        <v>354.96037357406533</v>
      </c>
      <c r="GP53" s="348">
        <f t="shared" si="231"/>
        <v>465.77291816542493</v>
      </c>
      <c r="GQ53" s="348">
        <f t="shared" si="141"/>
        <v>355.01119644731699</v>
      </c>
      <c r="GR53" s="348">
        <f t="shared" si="142"/>
        <v>465.82374103867664</v>
      </c>
    </row>
    <row r="54" spans="1:200" x14ac:dyDescent="0.2">
      <c r="A54" s="320">
        <v>44</v>
      </c>
      <c r="C54" s="350">
        <v>1.1309729938896267</v>
      </c>
      <c r="D54" s="350">
        <v>1.0133971406628395</v>
      </c>
      <c r="E54" s="350">
        <v>0.11369386831222718</v>
      </c>
      <c r="F54" s="350">
        <v>42125.114166666666</v>
      </c>
      <c r="G54" s="350">
        <v>11122.044166666665</v>
      </c>
      <c r="H54" s="351">
        <f t="shared" si="143"/>
        <v>1160.3782917307569</v>
      </c>
      <c r="I54" s="351">
        <f t="shared" si="144"/>
        <v>2407.8316062149065</v>
      </c>
      <c r="J54" s="352">
        <f t="shared" si="145"/>
        <v>28.991936419617929</v>
      </c>
      <c r="K54" s="352">
        <f t="shared" si="146"/>
        <v>19.563787678723635</v>
      </c>
      <c r="L54" s="353">
        <f t="shared" si="147"/>
        <v>1179.9420794094806</v>
      </c>
      <c r="M54" s="353">
        <f t="shared" si="148"/>
        <v>2398.4034574740122</v>
      </c>
      <c r="N54" s="343">
        <f t="shared" si="117"/>
        <v>1188.9331013225403</v>
      </c>
      <c r="O54" s="343">
        <f t="shared" si="118"/>
        <v>2407.3944793870719</v>
      </c>
      <c r="Q54" s="350">
        <v>1.2164557319481257</v>
      </c>
      <c r="R54" s="350">
        <v>1.0448716808223308</v>
      </c>
      <c r="S54" s="350">
        <v>0.11450121390849353</v>
      </c>
      <c r="T54" s="350">
        <v>7134.0733333333337</v>
      </c>
      <c r="U54" s="350">
        <v>2042.0233333333333</v>
      </c>
      <c r="V54" s="351">
        <f t="shared" si="149"/>
        <v>856.3848352914805</v>
      </c>
      <c r="W54" s="351">
        <f t="shared" si="150"/>
        <v>1753.2946804198712</v>
      </c>
      <c r="X54" s="352">
        <f t="shared" si="151"/>
        <v>21.984233070430758</v>
      </c>
      <c r="Y54" s="352">
        <f t="shared" si="152"/>
        <v>14.769951123669005</v>
      </c>
      <c r="Z54" s="353">
        <f t="shared" si="153"/>
        <v>871.15478641514949</v>
      </c>
      <c r="AA54" s="353">
        <f t="shared" si="154"/>
        <v>1746.0803984731094</v>
      </c>
      <c r="AB54" s="343">
        <f t="shared" si="119"/>
        <v>873.74568714197324</v>
      </c>
      <c r="AC54" s="343">
        <f t="shared" si="120"/>
        <v>1748.6712991999332</v>
      </c>
      <c r="AE54" s="350">
        <v>1.1655842854382752</v>
      </c>
      <c r="AF54" s="350">
        <v>1.1301096294460393</v>
      </c>
      <c r="AG54" s="350">
        <v>0.15407759970078064</v>
      </c>
      <c r="AH54" s="350">
        <v>1201.385</v>
      </c>
      <c r="AI54" s="350">
        <v>309.76333333333332</v>
      </c>
      <c r="AJ54" s="351">
        <f t="shared" si="155"/>
        <v>414.94800561602597</v>
      </c>
      <c r="AK54" s="351">
        <f t="shared" si="156"/>
        <v>865.66397615566609</v>
      </c>
      <c r="AL54" s="352">
        <f t="shared" si="157"/>
        <v>18.335234364392896</v>
      </c>
      <c r="AM54" s="352">
        <f t="shared" si="158"/>
        <v>12.394192862124925</v>
      </c>
      <c r="AN54" s="353">
        <f t="shared" si="159"/>
        <v>427.34219847815086</v>
      </c>
      <c r="AO54" s="353">
        <f t="shared" si="160"/>
        <v>859.72293465339806</v>
      </c>
      <c r="AP54" s="343">
        <f t="shared" si="121"/>
        <v>426.20607533015124</v>
      </c>
      <c r="AQ54" s="343">
        <f t="shared" si="122"/>
        <v>858.58681150539837</v>
      </c>
      <c r="AS54" s="350">
        <v>1.2414000000000001</v>
      </c>
      <c r="AT54" s="350">
        <v>0.80364500632290803</v>
      </c>
      <c r="AU54" s="350">
        <v>0.12516531182099352</v>
      </c>
      <c r="AV54" s="350">
        <v>30858.33</v>
      </c>
      <c r="AW54" s="350">
        <v>8288.8907999999992</v>
      </c>
      <c r="AX54" s="351">
        <f t="shared" si="161"/>
        <v>312.83280000000002</v>
      </c>
      <c r="AY54" s="351">
        <f t="shared" si="162"/>
        <v>402.62614816777693</v>
      </c>
      <c r="AZ54" s="352">
        <f t="shared" si="163"/>
        <v>20.151615203179958</v>
      </c>
      <c r="BA54" s="352">
        <f t="shared" si="164"/>
        <v>11.340367227768473</v>
      </c>
      <c r="BB54" s="353">
        <f t="shared" si="165"/>
        <v>324.17316722776849</v>
      </c>
      <c r="BC54" s="353">
        <f t="shared" si="166"/>
        <v>393.81490019236543</v>
      </c>
      <c r="BD54" s="343">
        <f t="shared" si="123"/>
        <v>328.72387361850855</v>
      </c>
      <c r="BE54" s="343">
        <f t="shared" si="124"/>
        <v>398.36560658310549</v>
      </c>
      <c r="BG54" s="350">
        <v>1.3082026565294749</v>
      </c>
      <c r="BH54" s="350">
        <v>0.81779350226268488</v>
      </c>
      <c r="BI54" s="350">
        <v>0.13988732505207518</v>
      </c>
      <c r="BJ54" s="350">
        <v>30774.084999999999</v>
      </c>
      <c r="BK54" s="350">
        <v>8180.3074999999999</v>
      </c>
      <c r="BL54" s="351">
        <f t="shared" si="167"/>
        <v>310.04402959748552</v>
      </c>
      <c r="BM54" s="351">
        <f t="shared" si="168"/>
        <v>394.17646809061409</v>
      </c>
      <c r="BN54" s="352">
        <f t="shared" si="169"/>
        <v>25.179718509373533</v>
      </c>
      <c r="BO54" s="352">
        <f t="shared" si="170"/>
        <v>14.093955717171744</v>
      </c>
      <c r="BP54" s="353">
        <f t="shared" si="171"/>
        <v>324.13798531465727</v>
      </c>
      <c r="BQ54" s="353">
        <f t="shared" si="172"/>
        <v>383.09070529841233</v>
      </c>
      <c r="BR54" s="343">
        <f t="shared" si="125"/>
        <v>328.14728673328506</v>
      </c>
      <c r="BS54" s="343">
        <f t="shared" si="126"/>
        <v>387.10000671704012</v>
      </c>
      <c r="BU54" s="350">
        <v>1.2118580623394106</v>
      </c>
      <c r="BV54" s="350">
        <v>0.87097326861541191</v>
      </c>
      <c r="BW54" s="350">
        <v>0.15469065973168528</v>
      </c>
      <c r="BX54" s="350">
        <v>22688.76</v>
      </c>
      <c r="BY54" s="350">
        <v>6597.3807999999999</v>
      </c>
      <c r="BZ54" s="351">
        <f t="shared" si="173"/>
        <v>220.55816734577274</v>
      </c>
      <c r="CA54" s="351">
        <f t="shared" si="174"/>
        <v>267.38879346493144</v>
      </c>
      <c r="CB54" s="352">
        <f t="shared" si="175"/>
        <v>10.364274202022914</v>
      </c>
      <c r="CC54" s="352">
        <f t="shared" si="176"/>
        <v>5.6794918230748568</v>
      </c>
      <c r="CD54" s="353">
        <f t="shared" si="177"/>
        <v>226.23765916884761</v>
      </c>
      <c r="CE54" s="353">
        <f t="shared" si="178"/>
        <v>262.70401108598338</v>
      </c>
      <c r="CF54" s="343">
        <f t="shared" si="127"/>
        <v>232.09116885153844</v>
      </c>
      <c r="CG54" s="343">
        <f t="shared" si="128"/>
        <v>268.55752076867424</v>
      </c>
      <c r="CI54" s="350">
        <v>1.0025860562273388</v>
      </c>
      <c r="CJ54" s="350">
        <v>1.0000966145486565</v>
      </c>
      <c r="CK54" s="350">
        <v>7.7403549946913369E-2</v>
      </c>
      <c r="CL54" s="350">
        <v>69709.799199999994</v>
      </c>
      <c r="CM54" s="350">
        <v>19208.255000000001</v>
      </c>
      <c r="CN54" s="351">
        <f t="shared" si="179"/>
        <v>181.4680761771483</v>
      </c>
      <c r="CO54" s="351">
        <f t="shared" si="180"/>
        <v>227.02193150254502</v>
      </c>
      <c r="CP54" s="352">
        <f t="shared" si="181"/>
        <v>0.30961419978765348</v>
      </c>
      <c r="CQ54" s="352">
        <f t="shared" si="182"/>
        <v>0.17207082752321173</v>
      </c>
      <c r="CR54" s="353">
        <f t="shared" si="183"/>
        <v>181.64014700467152</v>
      </c>
      <c r="CS54" s="353">
        <f t="shared" si="184"/>
        <v>226.88438813028057</v>
      </c>
      <c r="CT54" s="343">
        <f t="shared" si="129"/>
        <v>181.86137585156965</v>
      </c>
      <c r="CU54" s="343">
        <f t="shared" si="130"/>
        <v>227.1056169771787</v>
      </c>
      <c r="CW54" s="350">
        <v>1.1770377109925834</v>
      </c>
      <c r="CX54" s="350">
        <v>1.1704649046953544</v>
      </c>
      <c r="CY54" s="350">
        <v>0.10903670700544703</v>
      </c>
      <c r="CZ54" s="350">
        <v>34698.599199999997</v>
      </c>
      <c r="DA54" s="350">
        <v>8807.1574999999993</v>
      </c>
      <c r="DB54" s="351">
        <f t="shared" si="185"/>
        <v>224.81420279958343</v>
      </c>
      <c r="DC54" s="351">
        <f t="shared" si="186"/>
        <v>306.66180503018285</v>
      </c>
      <c r="DD54" s="352">
        <f t="shared" si="187"/>
        <v>0.32711012101634107</v>
      </c>
      <c r="DE54" s="352">
        <f t="shared" si="188"/>
        <v>0.18874263123208199</v>
      </c>
      <c r="DF54" s="353">
        <f t="shared" si="189"/>
        <v>225.00294543081552</v>
      </c>
      <c r="DG54" s="353">
        <f t="shared" si="190"/>
        <v>306.52343754039856</v>
      </c>
      <c r="DH54" s="343">
        <f t="shared" si="131"/>
        <v>225.11601308943517</v>
      </c>
      <c r="DI54" s="343">
        <f t="shared" si="132"/>
        <v>306.63650519901825</v>
      </c>
      <c r="DK54" s="350">
        <v>1.3164</v>
      </c>
      <c r="DL54" s="350">
        <v>1.2932999999999999</v>
      </c>
      <c r="DM54" s="350">
        <v>0.16480229236616251</v>
      </c>
      <c r="DN54" s="350">
        <v>1170.6075000000001</v>
      </c>
      <c r="DO54" s="350">
        <v>345.32249999999999</v>
      </c>
      <c r="DP54" s="351">
        <f t="shared" si="191"/>
        <v>126.37440000000001</v>
      </c>
      <c r="DQ54" s="351">
        <f t="shared" si="192"/>
        <v>225.03419999999997</v>
      </c>
      <c r="DR54" s="352">
        <f t="shared" si="193"/>
        <v>0.32960458473232501</v>
      </c>
      <c r="DS54" s="352">
        <f t="shared" si="194"/>
        <v>0.21107139677734402</v>
      </c>
      <c r="DT54" s="353">
        <f t="shared" si="195"/>
        <v>126.58547139677735</v>
      </c>
      <c r="DU54" s="353">
        <f t="shared" si="196"/>
        <v>224.915666812045</v>
      </c>
      <c r="DV54" s="343">
        <f t="shared" si="133"/>
        <v>126.63112482600472</v>
      </c>
      <c r="DW54" s="343">
        <f t="shared" si="134"/>
        <v>224.96132024127238</v>
      </c>
      <c r="EB54" s="326"/>
      <c r="EC54" s="326"/>
      <c r="ED54" s="326"/>
      <c r="EE54" s="348">
        <f t="shared" si="197"/>
        <v>177391.84256666666</v>
      </c>
      <c r="EF54" s="348">
        <f t="shared" si="198"/>
        <v>47426.347466666666</v>
      </c>
      <c r="EG54" s="348">
        <f t="shared" si="199"/>
        <v>1834.5305301475719</v>
      </c>
      <c r="EH54" s="348">
        <f t="shared" si="200"/>
        <v>3282.8091299093749</v>
      </c>
      <c r="EI54" s="354">
        <f t="shared" si="201"/>
        <v>0.7890457731216729</v>
      </c>
      <c r="EJ54" s="326"/>
      <c r="EK54" s="348">
        <f t="shared" si="202"/>
        <v>1865.7577499865729</v>
      </c>
      <c r="EL54" s="348">
        <f t="shared" si="203"/>
        <v>3264.3214958289768</v>
      </c>
      <c r="EM54" s="348">
        <f t="shared" si="83"/>
        <v>1879.6111612641666</v>
      </c>
      <c r="EN54" s="348">
        <f t="shared" si="84"/>
        <v>3278.1749071065706</v>
      </c>
      <c r="EP54" s="326"/>
      <c r="EQ54" s="326"/>
      <c r="ER54" s="326"/>
      <c r="ES54" s="348">
        <f t="shared" si="204"/>
        <v>142316.55673333333</v>
      </c>
      <c r="ET54" s="348">
        <f t="shared" si="205"/>
        <v>38237.743333333332</v>
      </c>
      <c r="EU54" s="348">
        <f t="shared" si="206"/>
        <v>1505.2668830258226</v>
      </c>
      <c r="EV54" s="348">
        <f t="shared" si="207"/>
        <v>2589.1563435341586</v>
      </c>
      <c r="EW54" s="354">
        <f t="shared" si="208"/>
        <v>0.78822025662521089</v>
      </c>
      <c r="EX54" s="326"/>
      <c r="EY54" s="348">
        <f t="shared" si="209"/>
        <v>1534.4349805360489</v>
      </c>
      <c r="EZ54" s="348">
        <f t="shared" si="210"/>
        <v>2570.6218981800812</v>
      </c>
      <c r="FA54" s="348">
        <f t="shared" si="92"/>
        <v>1541.3355588894326</v>
      </c>
      <c r="FB54" s="348">
        <f t="shared" si="93"/>
        <v>2577.5224765334647</v>
      </c>
      <c r="FD54" s="326"/>
      <c r="FE54" s="326"/>
      <c r="FF54" s="326"/>
      <c r="FG54" s="348">
        <f t="shared" si="211"/>
        <v>94770.551699999996</v>
      </c>
      <c r="FH54" s="348">
        <f t="shared" si="212"/>
        <v>26460.721633333331</v>
      </c>
      <c r="FI54" s="348">
        <f t="shared" si="213"/>
        <v>892.79888913894706</v>
      </c>
      <c r="FJ54" s="348">
        <f t="shared" si="214"/>
        <v>1495.0952211231424</v>
      </c>
      <c r="FK54" s="354">
        <f t="shared" si="215"/>
        <v>0.78173353371800491</v>
      </c>
      <c r="FL54" s="326"/>
      <c r="FM54" s="348">
        <f t="shared" si="216"/>
        <v>911.17128748973641</v>
      </c>
      <c r="FN54" s="348">
        <f t="shared" si="217"/>
        <v>1484.260733956889</v>
      </c>
      <c r="FO54" s="348">
        <f t="shared" si="101"/>
        <v>916.13729492886205</v>
      </c>
      <c r="FP54" s="348">
        <f t="shared" si="102"/>
        <v>1489.2267413960149</v>
      </c>
      <c r="FR54" s="326"/>
      <c r="FS54" s="326"/>
      <c r="FT54" s="326"/>
      <c r="FU54" s="348">
        <f t="shared" si="218"/>
        <v>53547.09</v>
      </c>
      <c r="FV54" s="348">
        <f t="shared" si="219"/>
        <v>14886.2716</v>
      </c>
      <c r="FW54" s="349">
        <f t="shared" si="220"/>
        <v>83.047169388804548</v>
      </c>
      <c r="FX54" s="349">
        <f t="shared" si="221"/>
        <v>121.71361923256094</v>
      </c>
      <c r="FY54" s="354">
        <f t="shared" si="222"/>
        <v>0.78247054869214538</v>
      </c>
      <c r="FZ54" s="326"/>
      <c r="GA54" s="349">
        <f t="shared" si="223"/>
        <v>88.141957253028792</v>
      </c>
      <c r="GB54" s="349">
        <f t="shared" si="224"/>
        <v>117.99980019574384</v>
      </c>
      <c r="GC54" s="349">
        <f t="shared" si="139"/>
        <v>86.969434290273099</v>
      </c>
      <c r="GD54" s="349">
        <f t="shared" si="140"/>
        <v>116.82727723298812</v>
      </c>
      <c r="GF54" s="326"/>
      <c r="GG54" s="326"/>
      <c r="GH54" s="326"/>
      <c r="GI54" s="348">
        <f t="shared" si="225"/>
        <v>104408.39839999999</v>
      </c>
      <c r="GJ54" s="348">
        <f t="shared" si="226"/>
        <v>28015.412499999999</v>
      </c>
      <c r="GK54" s="348">
        <f t="shared" si="227"/>
        <v>361.31943841681505</v>
      </c>
      <c r="GL54" s="348">
        <f t="shared" si="228"/>
        <v>472.3513755266913</v>
      </c>
      <c r="GM54" s="354">
        <f t="shared" si="229"/>
        <v>0.78844127570716216</v>
      </c>
      <c r="GN54" s="326"/>
      <c r="GO54" s="348">
        <f t="shared" si="230"/>
        <v>361.64250334932393</v>
      </c>
      <c r="GP54" s="348">
        <f t="shared" si="231"/>
        <v>472.10313816259941</v>
      </c>
      <c r="GQ54" s="348">
        <f t="shared" si="141"/>
        <v>361.95418632311782</v>
      </c>
      <c r="GR54" s="348">
        <f t="shared" si="142"/>
        <v>472.4148211363933</v>
      </c>
    </row>
    <row r="55" spans="1:200" x14ac:dyDescent="0.2">
      <c r="A55" s="320">
        <v>45</v>
      </c>
      <c r="C55" s="350">
        <v>1.1704364199864434</v>
      </c>
      <c r="D55" s="350">
        <v>1.0238547614421714</v>
      </c>
      <c r="E55" s="350">
        <v>6.8028033645374672E-2</v>
      </c>
      <c r="F55" s="350">
        <v>42849.561666666668</v>
      </c>
      <c r="G55" s="350">
        <v>11315.441666666668</v>
      </c>
      <c r="H55" s="351">
        <f t="shared" si="143"/>
        <v>1200.867766906091</v>
      </c>
      <c r="I55" s="351">
        <f t="shared" si="144"/>
        <v>2432.6789131865989</v>
      </c>
      <c r="J55" s="352">
        <f t="shared" si="145"/>
        <v>17.34714857957054</v>
      </c>
      <c r="K55" s="352">
        <f t="shared" si="146"/>
        <v>11.614008644677606</v>
      </c>
      <c r="L55" s="353">
        <f t="shared" si="147"/>
        <v>1212.4817755507686</v>
      </c>
      <c r="M55" s="353">
        <f t="shared" si="148"/>
        <v>2426.9457732517062</v>
      </c>
      <c r="N55" s="343">
        <f t="shared" si="117"/>
        <v>1229.4225764978744</v>
      </c>
      <c r="O55" s="343">
        <f t="shared" si="118"/>
        <v>2443.886574198812</v>
      </c>
      <c r="Q55" s="350">
        <v>1.2822001139617039</v>
      </c>
      <c r="R55" s="350">
        <v>1.0627760440614287</v>
      </c>
      <c r="S55" s="350">
        <v>6.8078014103776133E-2</v>
      </c>
      <c r="T55" s="350">
        <v>7658.8158333333349</v>
      </c>
      <c r="U55" s="350">
        <v>2168.5700000000002</v>
      </c>
      <c r="V55" s="351">
        <f t="shared" si="149"/>
        <v>902.66888022903947</v>
      </c>
      <c r="W55" s="351">
        <f t="shared" si="150"/>
        <v>1783.3382019350772</v>
      </c>
      <c r="X55" s="352">
        <f t="shared" si="151"/>
        <v>13.070978707925018</v>
      </c>
      <c r="Y55" s="352">
        <f t="shared" si="152"/>
        <v>8.6783001509220998</v>
      </c>
      <c r="Z55" s="353">
        <f t="shared" si="153"/>
        <v>911.34718037996163</v>
      </c>
      <c r="AA55" s="353">
        <f t="shared" si="154"/>
        <v>1778.9455233780743</v>
      </c>
      <c r="AB55" s="343">
        <f t="shared" si="119"/>
        <v>920.02973207953221</v>
      </c>
      <c r="AC55" s="343">
        <f t="shared" si="120"/>
        <v>1787.628075077645</v>
      </c>
      <c r="AE55" s="350">
        <v>1.2218021114796302</v>
      </c>
      <c r="AF55" s="350">
        <v>1.1763506130284975</v>
      </c>
      <c r="AG55" s="350">
        <v>6.5110494020471255E-2</v>
      </c>
      <c r="AH55" s="350">
        <v>1244.7941666666668</v>
      </c>
      <c r="AI55" s="350">
        <v>368.3391666666667</v>
      </c>
      <c r="AJ55" s="351">
        <f t="shared" si="155"/>
        <v>434.96155168674835</v>
      </c>
      <c r="AK55" s="351">
        <f t="shared" si="156"/>
        <v>901.08456957982912</v>
      </c>
      <c r="AL55" s="352">
        <f t="shared" si="157"/>
        <v>7.7481487884360796</v>
      </c>
      <c r="AM55" s="352">
        <f t="shared" si="158"/>
        <v>5.2256708843626463</v>
      </c>
      <c r="AN55" s="353">
        <f t="shared" si="159"/>
        <v>440.18722257111102</v>
      </c>
      <c r="AO55" s="353">
        <f t="shared" si="160"/>
        <v>898.56209167575571</v>
      </c>
      <c r="AP55" s="343">
        <f t="shared" si="121"/>
        <v>446.21962140087362</v>
      </c>
      <c r="AQ55" s="343">
        <f t="shared" si="122"/>
        <v>904.59449050551825</v>
      </c>
      <c r="AS55" s="350">
        <v>1.3220000000000001</v>
      </c>
      <c r="AT55" s="350">
        <v>0.81981446459986096</v>
      </c>
      <c r="AU55" s="350">
        <v>7.3597194804058977E-2</v>
      </c>
      <c r="AV55" s="350">
        <v>31676.289199999999</v>
      </c>
      <c r="AW55" s="350">
        <v>8614.01</v>
      </c>
      <c r="AX55" s="351">
        <f t="shared" si="161"/>
        <v>333.14400000000001</v>
      </c>
      <c r="AY55" s="351">
        <f t="shared" si="162"/>
        <v>410.72704676453031</v>
      </c>
      <c r="AZ55" s="352">
        <f t="shared" si="163"/>
        <v>11.849148363453494</v>
      </c>
      <c r="BA55" s="352">
        <f t="shared" si="164"/>
        <v>6.5424857374998471</v>
      </c>
      <c r="BB55" s="353">
        <f t="shared" si="165"/>
        <v>339.68648573749988</v>
      </c>
      <c r="BC55" s="353">
        <f t="shared" si="166"/>
        <v>405.42038413857671</v>
      </c>
      <c r="BD55" s="343">
        <f t="shared" si="123"/>
        <v>349.03507361850853</v>
      </c>
      <c r="BE55" s="343">
        <f t="shared" si="124"/>
        <v>414.76897201958536</v>
      </c>
      <c r="BG55" s="350">
        <v>1.4225935884180723</v>
      </c>
      <c r="BH55" s="350">
        <v>0.83474967701432445</v>
      </c>
      <c r="BI55" s="350">
        <v>8.9674038484645238E-2</v>
      </c>
      <c r="BJ55" s="350">
        <v>31597.942500000001</v>
      </c>
      <c r="BK55" s="350">
        <v>8531.8433000000005</v>
      </c>
      <c r="BL55" s="351">
        <f t="shared" si="167"/>
        <v>337.15468045508311</v>
      </c>
      <c r="BM55" s="351">
        <f t="shared" si="168"/>
        <v>402.34934432090438</v>
      </c>
      <c r="BN55" s="352">
        <f t="shared" si="169"/>
        <v>16.141326927236143</v>
      </c>
      <c r="BO55" s="352">
        <f t="shared" si="170"/>
        <v>8.782173034974539</v>
      </c>
      <c r="BP55" s="353">
        <f t="shared" si="171"/>
        <v>345.93685349005767</v>
      </c>
      <c r="BQ55" s="353">
        <f t="shared" si="172"/>
        <v>394.99019042864279</v>
      </c>
      <c r="BR55" s="343">
        <f t="shared" si="125"/>
        <v>355.25793759088265</v>
      </c>
      <c r="BS55" s="343">
        <f t="shared" si="126"/>
        <v>404.31127452946777</v>
      </c>
      <c r="BU55" s="350">
        <v>1.2549765731752154</v>
      </c>
      <c r="BV55" s="350">
        <v>0.8840919674612524</v>
      </c>
      <c r="BW55" s="350">
        <v>8.0759586534069353E-2</v>
      </c>
      <c r="BX55" s="350">
        <v>23013.4558</v>
      </c>
      <c r="BY55" s="350">
        <v>6780.3024999999998</v>
      </c>
      <c r="BZ55" s="351">
        <f t="shared" si="173"/>
        <v>228.40573631788919</v>
      </c>
      <c r="CA55" s="351">
        <f t="shared" si="174"/>
        <v>271.41623401060451</v>
      </c>
      <c r="CB55" s="352">
        <f t="shared" si="175"/>
        <v>5.410892297782647</v>
      </c>
      <c r="CC55" s="352">
        <f t="shared" si="176"/>
        <v>2.9382542130670135</v>
      </c>
      <c r="CD55" s="353">
        <f t="shared" si="177"/>
        <v>231.34399053095621</v>
      </c>
      <c r="CE55" s="353">
        <f t="shared" si="178"/>
        <v>268.94359592588887</v>
      </c>
      <c r="CF55" s="343">
        <f t="shared" si="127"/>
        <v>239.93873782365489</v>
      </c>
      <c r="CG55" s="343">
        <f t="shared" si="128"/>
        <v>277.53834321858756</v>
      </c>
      <c r="CI55" s="350">
        <v>1.0009122806182589</v>
      </c>
      <c r="CJ55" s="350">
        <v>0.99535290175953406</v>
      </c>
      <c r="CK55" s="350">
        <v>5.983759427964367E-2</v>
      </c>
      <c r="CL55" s="350">
        <v>69610.121700000003</v>
      </c>
      <c r="CM55" s="350">
        <v>19238.140800000001</v>
      </c>
      <c r="CN55" s="351">
        <f t="shared" si="179"/>
        <v>181.16512279190485</v>
      </c>
      <c r="CO55" s="351">
        <f t="shared" si="180"/>
        <v>225.94510869941422</v>
      </c>
      <c r="CP55" s="352">
        <f t="shared" si="181"/>
        <v>0.23935037711857468</v>
      </c>
      <c r="CQ55" s="352">
        <f t="shared" si="182"/>
        <v>0.13283883035117311</v>
      </c>
      <c r="CR55" s="353">
        <f t="shared" si="183"/>
        <v>181.29796162225603</v>
      </c>
      <c r="CS55" s="353">
        <f t="shared" si="184"/>
        <v>225.83859715264683</v>
      </c>
      <c r="CT55" s="343">
        <f t="shared" si="129"/>
        <v>181.55842246632619</v>
      </c>
      <c r="CU55" s="343">
        <f t="shared" si="130"/>
        <v>226.09905799671699</v>
      </c>
      <c r="CW55" s="350">
        <v>1.223434883444998</v>
      </c>
      <c r="CX55" s="350">
        <v>1.205210226593399</v>
      </c>
      <c r="CY55" s="350">
        <v>5.425371321585979E-2</v>
      </c>
      <c r="CZ55" s="350">
        <v>34200.166700000002</v>
      </c>
      <c r="DA55" s="350">
        <v>8938.6849999999995</v>
      </c>
      <c r="DB55" s="351">
        <f t="shared" si="185"/>
        <v>233.67606273799461</v>
      </c>
      <c r="DC55" s="351">
        <f t="shared" si="186"/>
        <v>315.76507936747055</v>
      </c>
      <c r="DD55" s="352">
        <f t="shared" si="187"/>
        <v>0.16276113964757938</v>
      </c>
      <c r="DE55" s="352">
        <f t="shared" si="188"/>
        <v>9.3539198724388081E-2</v>
      </c>
      <c r="DF55" s="353">
        <f t="shared" si="189"/>
        <v>233.769601936719</v>
      </c>
      <c r="DG55" s="353">
        <f t="shared" si="190"/>
        <v>315.69585742654738</v>
      </c>
      <c r="DH55" s="343">
        <f t="shared" si="131"/>
        <v>233.97787302784636</v>
      </c>
      <c r="DI55" s="343">
        <f t="shared" si="132"/>
        <v>315.90412851767474</v>
      </c>
      <c r="DK55" s="350">
        <v>1.3937999999999999</v>
      </c>
      <c r="DL55" s="350">
        <v>1.3523000000000001</v>
      </c>
      <c r="DM55" s="350">
        <v>7.2973711280091849E-2</v>
      </c>
      <c r="DN55" s="350">
        <v>1168.4974999999999</v>
      </c>
      <c r="DO55" s="350">
        <v>389.66669999999999</v>
      </c>
      <c r="DP55" s="351">
        <f t="shared" si="191"/>
        <v>133.8048</v>
      </c>
      <c r="DQ55" s="351">
        <f t="shared" si="192"/>
        <v>235.30020000000002</v>
      </c>
      <c r="DR55" s="352">
        <f t="shared" si="193"/>
        <v>0.1459474225601837</v>
      </c>
      <c r="DS55" s="352">
        <f t="shared" si="194"/>
        <v>9.303980633666771E-2</v>
      </c>
      <c r="DT55" s="353">
        <f t="shared" si="195"/>
        <v>133.89783980633666</v>
      </c>
      <c r="DU55" s="353">
        <f t="shared" si="196"/>
        <v>235.24729238377651</v>
      </c>
      <c r="DV55" s="343">
        <f t="shared" si="133"/>
        <v>134.06152482600473</v>
      </c>
      <c r="DW55" s="343">
        <f t="shared" si="134"/>
        <v>235.41097740344458</v>
      </c>
      <c r="EB55" s="326"/>
      <c r="EC55" s="326"/>
      <c r="ED55" s="326"/>
      <c r="EE55" s="348">
        <f t="shared" si="197"/>
        <v>178336.13926666667</v>
      </c>
      <c r="EF55" s="348">
        <f t="shared" si="198"/>
        <v>48106.277466666666</v>
      </c>
      <c r="EG55" s="348">
        <f t="shared" si="199"/>
        <v>1902.1177398883915</v>
      </c>
      <c r="EH55" s="348">
        <f t="shared" si="200"/>
        <v>3321.9631321445199</v>
      </c>
      <c r="EI55" s="354">
        <f t="shared" si="201"/>
        <v>0.78755624427327009</v>
      </c>
      <c r="EJ55" s="326"/>
      <c r="EK55" s="348">
        <f t="shared" si="202"/>
        <v>1920.4819044598996</v>
      </c>
      <c r="EL55" s="348">
        <f t="shared" si="203"/>
        <v>3310.7614404841675</v>
      </c>
      <c r="EM55" s="348">
        <f t="shared" si="83"/>
        <v>1947.1983710049863</v>
      </c>
      <c r="EN55" s="348">
        <f t="shared" si="84"/>
        <v>3337.4779070292543</v>
      </c>
      <c r="EP55" s="326"/>
      <c r="EQ55" s="326"/>
      <c r="ER55" s="326"/>
      <c r="ES55" s="348">
        <f t="shared" si="204"/>
        <v>143067.04673333335</v>
      </c>
      <c r="ET55" s="348">
        <f t="shared" si="205"/>
        <v>38877.239099999999</v>
      </c>
      <c r="EU55" s="348">
        <f t="shared" si="206"/>
        <v>1584.5619273926238</v>
      </c>
      <c r="EV55" s="348">
        <f t="shared" si="207"/>
        <v>2632.6682105126247</v>
      </c>
      <c r="EW55" s="354">
        <f t="shared" si="208"/>
        <v>0.78632338508496624</v>
      </c>
      <c r="EX55" s="326"/>
      <c r="EY55" s="348">
        <f t="shared" si="209"/>
        <v>1602.2207168479786</v>
      </c>
      <c r="EZ55" s="348">
        <f t="shared" si="210"/>
        <v>2620.7614111579469</v>
      </c>
      <c r="FA55" s="348">
        <f t="shared" si="92"/>
        <v>1620.6306032562334</v>
      </c>
      <c r="FB55" s="348">
        <f t="shared" si="93"/>
        <v>2639.1712975662022</v>
      </c>
      <c r="FD55" s="326"/>
      <c r="FE55" s="326"/>
      <c r="FF55" s="326"/>
      <c r="FG55" s="348">
        <f t="shared" si="211"/>
        <v>95036.869166666671</v>
      </c>
      <c r="FH55" s="348">
        <f t="shared" si="212"/>
        <v>26776.449166666669</v>
      </c>
      <c r="FI55" s="348">
        <f t="shared" si="213"/>
        <v>924.8152907965424</v>
      </c>
      <c r="FJ55" s="348">
        <f t="shared" si="214"/>
        <v>1539.6260322898479</v>
      </c>
      <c r="FK55" s="354">
        <f t="shared" si="215"/>
        <v>0.78018455179593049</v>
      </c>
      <c r="FL55" s="326"/>
      <c r="FM55" s="348">
        <f t="shared" si="216"/>
        <v>933.16787860812519</v>
      </c>
      <c r="FN55" s="348">
        <f t="shared" si="217"/>
        <v>1534.4926601845573</v>
      </c>
      <c r="FO55" s="348">
        <f t="shared" si="101"/>
        <v>948.15369658645761</v>
      </c>
      <c r="FP55" s="348">
        <f t="shared" si="102"/>
        <v>1549.4784781628894</v>
      </c>
      <c r="FR55" s="326"/>
      <c r="FS55" s="326"/>
      <c r="FT55" s="326"/>
      <c r="FU55" s="348">
        <f t="shared" si="218"/>
        <v>54689.744999999995</v>
      </c>
      <c r="FV55" s="348">
        <f t="shared" si="219"/>
        <v>15394.3125</v>
      </c>
      <c r="FW55" s="349">
        <f t="shared" si="220"/>
        <v>94.264437313899734</v>
      </c>
      <c r="FX55" s="349">
        <f t="shared" si="221"/>
        <v>125.37973147853323</v>
      </c>
      <c r="FY55" s="354">
        <f t="shared" si="222"/>
        <v>0.78034501641118592</v>
      </c>
      <c r="FZ55" s="326"/>
      <c r="GA55" s="349">
        <f t="shared" si="223"/>
        <v>97.508245685889307</v>
      </c>
      <c r="GB55" s="349">
        <f t="shared" si="224"/>
        <v>122.82910939141905</v>
      </c>
      <c r="GC55" s="349">
        <f t="shared" si="139"/>
        <v>98.186702215368285</v>
      </c>
      <c r="GD55" s="349">
        <f t="shared" si="140"/>
        <v>123.50756592089803</v>
      </c>
      <c r="GF55" s="326"/>
      <c r="GG55" s="326"/>
      <c r="GH55" s="326"/>
      <c r="GI55" s="348">
        <f t="shared" si="225"/>
        <v>103810.2884</v>
      </c>
      <c r="GJ55" s="348">
        <f t="shared" si="226"/>
        <v>28176.825799999999</v>
      </c>
      <c r="GK55" s="348">
        <f t="shared" si="227"/>
        <v>368.10597298230056</v>
      </c>
      <c r="GL55" s="348">
        <f t="shared" si="228"/>
        <v>478.55717219339067</v>
      </c>
      <c r="GM55" s="354">
        <f t="shared" si="229"/>
        <v>0.78651835847169382</v>
      </c>
      <c r="GN55" s="326"/>
      <c r="GO55" s="348">
        <f t="shared" si="230"/>
        <v>368.31364317163127</v>
      </c>
      <c r="GP55" s="348">
        <f t="shared" si="231"/>
        <v>478.3952830938847</v>
      </c>
      <c r="GQ55" s="348">
        <f t="shared" si="141"/>
        <v>368.74072088860328</v>
      </c>
      <c r="GR55" s="348">
        <f t="shared" si="142"/>
        <v>478.82236081085682</v>
      </c>
    </row>
    <row r="56" spans="1:200" x14ac:dyDescent="0.2">
      <c r="A56" s="320">
        <v>46</v>
      </c>
      <c r="C56" s="350">
        <v>1.2159759741336948</v>
      </c>
      <c r="D56" s="350">
        <v>1.0380836699365401</v>
      </c>
      <c r="E56" s="350">
        <v>4.6588065295781959E-2</v>
      </c>
      <c r="F56" s="350">
        <v>42249.604166666657</v>
      </c>
      <c r="G56" s="350">
        <v>11559.2925</v>
      </c>
      <c r="H56" s="351">
        <f t="shared" si="143"/>
        <v>1247.5913494611709</v>
      </c>
      <c r="I56" s="351">
        <f t="shared" si="144"/>
        <v>2466.4867997692195</v>
      </c>
      <c r="J56" s="352">
        <f t="shared" si="145"/>
        <v>11.879956650424401</v>
      </c>
      <c r="K56" s="352">
        <f t="shared" si="146"/>
        <v>7.8893752588846509</v>
      </c>
      <c r="L56" s="353">
        <f t="shared" si="147"/>
        <v>1255.4807247200556</v>
      </c>
      <c r="M56" s="353">
        <f t="shared" si="148"/>
        <v>2462.4962183776797</v>
      </c>
      <c r="N56" s="343">
        <f t="shared" si="117"/>
        <v>1276.1461590529543</v>
      </c>
      <c r="O56" s="343">
        <f t="shared" si="118"/>
        <v>2483.1616527105784</v>
      </c>
      <c r="Q56" s="350">
        <v>1.3532652786323336</v>
      </c>
      <c r="R56" s="350">
        <v>1.0842782800940429</v>
      </c>
      <c r="S56" s="350">
        <v>4.7017596367439372E-2</v>
      </c>
      <c r="T56" s="350">
        <v>7925.6224999999995</v>
      </c>
      <c r="U56" s="350">
        <v>2182.0908333333336</v>
      </c>
      <c r="V56" s="351">
        <f t="shared" si="149"/>
        <v>952.69875615716285</v>
      </c>
      <c r="W56" s="351">
        <f t="shared" si="150"/>
        <v>1819.418953997804</v>
      </c>
      <c r="X56" s="352">
        <f t="shared" si="151"/>
        <v>9.0273785025483591</v>
      </c>
      <c r="Y56" s="352">
        <f t="shared" si="152"/>
        <v>5.924922845909971</v>
      </c>
      <c r="Z56" s="353">
        <f t="shared" si="153"/>
        <v>958.62367900307277</v>
      </c>
      <c r="AA56" s="353">
        <f t="shared" si="154"/>
        <v>1816.3164983411657</v>
      </c>
      <c r="AB56" s="343">
        <f t="shared" si="119"/>
        <v>970.05960800765558</v>
      </c>
      <c r="AC56" s="343">
        <f t="shared" si="120"/>
        <v>1827.7524273457484</v>
      </c>
      <c r="AE56" s="350">
        <v>1.2884353424613912</v>
      </c>
      <c r="AF56" s="350">
        <v>1.228496628959302</v>
      </c>
      <c r="AG56" s="350">
        <v>1.8212507094923096E-2</v>
      </c>
      <c r="AH56" s="350">
        <v>1299.5516666666665</v>
      </c>
      <c r="AI56" s="350">
        <v>315.78500000000003</v>
      </c>
      <c r="AJ56" s="351">
        <f t="shared" si="155"/>
        <v>458.6829819162553</v>
      </c>
      <c r="AK56" s="351">
        <f t="shared" si="156"/>
        <v>941.02841778282539</v>
      </c>
      <c r="AL56" s="352">
        <f t="shared" si="157"/>
        <v>2.1672883442958484</v>
      </c>
      <c r="AM56" s="352">
        <f t="shared" si="158"/>
        <v>1.4570717377527558</v>
      </c>
      <c r="AN56" s="353">
        <f t="shared" si="159"/>
        <v>460.14005365400806</v>
      </c>
      <c r="AO56" s="353">
        <f t="shared" si="160"/>
        <v>940.3182011762824</v>
      </c>
      <c r="AP56" s="343">
        <f t="shared" si="121"/>
        <v>469.94105163038057</v>
      </c>
      <c r="AQ56" s="343">
        <f t="shared" si="122"/>
        <v>950.1191991526548</v>
      </c>
      <c r="AS56" s="350">
        <v>1.4106000000000001</v>
      </c>
      <c r="AT56" s="350">
        <v>0.84682756238694457</v>
      </c>
      <c r="AU56" s="350">
        <v>4.0072403502230902E-2</v>
      </c>
      <c r="AV56" s="350">
        <v>31316.979200000002</v>
      </c>
      <c r="AW56" s="350">
        <v>8537.3150000000005</v>
      </c>
      <c r="AX56" s="351">
        <f t="shared" si="161"/>
        <v>355.47120000000001</v>
      </c>
      <c r="AY56" s="351">
        <f t="shared" si="162"/>
        <v>424.26060875585921</v>
      </c>
      <c r="AZ56" s="352">
        <f t="shared" si="163"/>
        <v>6.4516569638591754</v>
      </c>
      <c r="BA56" s="352">
        <f t="shared" si="164"/>
        <v>3.5104171462984501</v>
      </c>
      <c r="BB56" s="353">
        <f t="shared" si="165"/>
        <v>358.98161714629845</v>
      </c>
      <c r="BC56" s="353">
        <f t="shared" si="166"/>
        <v>421.31936893829845</v>
      </c>
      <c r="BD56" s="343">
        <f t="shared" si="123"/>
        <v>371.36227361850854</v>
      </c>
      <c r="BE56" s="343">
        <f t="shared" si="124"/>
        <v>433.70002541050854</v>
      </c>
      <c r="BG56" s="350">
        <v>1.5471976189234915</v>
      </c>
      <c r="BH56" s="350">
        <v>0.87687371883677456</v>
      </c>
      <c r="BI56" s="350">
        <v>6.3690283902296196E-2</v>
      </c>
      <c r="BJ56" s="350">
        <v>31285.7408</v>
      </c>
      <c r="BK56" s="350">
        <v>8479.3983000000007</v>
      </c>
      <c r="BL56" s="351">
        <f t="shared" si="167"/>
        <v>366.68583568486747</v>
      </c>
      <c r="BM56" s="351">
        <f t="shared" si="168"/>
        <v>422.65313247932534</v>
      </c>
      <c r="BN56" s="352">
        <f t="shared" si="169"/>
        <v>11.464251102413316</v>
      </c>
      <c r="BO56" s="352">
        <f t="shared" si="170"/>
        <v>6.1385562291872562</v>
      </c>
      <c r="BP56" s="353">
        <f t="shared" si="171"/>
        <v>372.82439191405473</v>
      </c>
      <c r="BQ56" s="353">
        <f t="shared" si="172"/>
        <v>417.32743760609929</v>
      </c>
      <c r="BR56" s="343">
        <f t="shared" si="125"/>
        <v>384.78909282066701</v>
      </c>
      <c r="BS56" s="343">
        <f t="shared" si="126"/>
        <v>429.29213851271157</v>
      </c>
      <c r="BU56" s="350">
        <v>1.3099746272364068</v>
      </c>
      <c r="BV56" s="350">
        <v>0.90361378129753578</v>
      </c>
      <c r="BW56" s="350">
        <v>4.2328355577502939E-2</v>
      </c>
      <c r="BX56" s="350">
        <v>23355.985799999999</v>
      </c>
      <c r="BY56" s="350">
        <v>6941.6908000000003</v>
      </c>
      <c r="BZ56" s="351">
        <f t="shared" si="173"/>
        <v>238.41538215702604</v>
      </c>
      <c r="CA56" s="351">
        <f t="shared" si="174"/>
        <v>277.40943085834351</v>
      </c>
      <c r="CB56" s="352">
        <f t="shared" si="175"/>
        <v>2.8359998236926969</v>
      </c>
      <c r="CC56" s="352">
        <f t="shared" si="176"/>
        <v>1.5251943628030009</v>
      </c>
      <c r="CD56" s="353">
        <f t="shared" si="177"/>
        <v>239.94057651982905</v>
      </c>
      <c r="CE56" s="353">
        <f t="shared" si="178"/>
        <v>276.09862539745382</v>
      </c>
      <c r="CF56" s="343">
        <f t="shared" si="127"/>
        <v>249.94838366279174</v>
      </c>
      <c r="CG56" s="343">
        <f t="shared" si="128"/>
        <v>286.10643254041651</v>
      </c>
      <c r="CI56" s="350">
        <v>0.99878340690448486</v>
      </c>
      <c r="CJ56" s="350">
        <v>0.99125990655017349</v>
      </c>
      <c r="CK56" s="350">
        <v>5.0854112136397379E-2</v>
      </c>
      <c r="CL56" s="350">
        <v>67641.0867</v>
      </c>
      <c r="CM56" s="350">
        <v>19074.23</v>
      </c>
      <c r="CN56" s="351">
        <f t="shared" si="179"/>
        <v>180.77979664971176</v>
      </c>
      <c r="CO56" s="351">
        <f t="shared" si="180"/>
        <v>225.01599878688938</v>
      </c>
      <c r="CP56" s="352">
        <f t="shared" si="181"/>
        <v>0.20341644854558952</v>
      </c>
      <c r="CQ56" s="352">
        <f t="shared" si="182"/>
        <v>0.11279553867708526</v>
      </c>
      <c r="CR56" s="353">
        <f t="shared" si="183"/>
        <v>180.89259218838885</v>
      </c>
      <c r="CS56" s="353">
        <f t="shared" si="184"/>
        <v>224.92537787702088</v>
      </c>
      <c r="CT56" s="343">
        <f t="shared" si="129"/>
        <v>181.1730963241331</v>
      </c>
      <c r="CU56" s="343">
        <f t="shared" si="130"/>
        <v>225.20588201276513</v>
      </c>
      <c r="CW56" s="350">
        <v>1.2737539549722263</v>
      </c>
      <c r="CX56" s="350">
        <v>1.240360460713579</v>
      </c>
      <c r="CY56" s="350">
        <v>2.3595060787937192E-2</v>
      </c>
      <c r="CZ56" s="350">
        <v>33163.1083</v>
      </c>
      <c r="DA56" s="350">
        <v>8635.2132999999994</v>
      </c>
      <c r="DB56" s="351">
        <f t="shared" si="185"/>
        <v>243.28700539969523</v>
      </c>
      <c r="DC56" s="351">
        <f t="shared" si="186"/>
        <v>324.97444070695769</v>
      </c>
      <c r="DD56" s="352">
        <f t="shared" si="187"/>
        <v>7.078518236381158E-2</v>
      </c>
      <c r="DE56" s="352">
        <f t="shared" si="188"/>
        <v>4.0480266973280353E-2</v>
      </c>
      <c r="DF56" s="353">
        <f t="shared" si="189"/>
        <v>243.32748566666851</v>
      </c>
      <c r="DG56" s="353">
        <f t="shared" si="190"/>
        <v>324.94413579156719</v>
      </c>
      <c r="DH56" s="343">
        <f t="shared" si="131"/>
        <v>243.58881568954698</v>
      </c>
      <c r="DI56" s="343">
        <f t="shared" si="132"/>
        <v>325.20546581444563</v>
      </c>
      <c r="DK56" s="350">
        <v>1.4784999999999999</v>
      </c>
      <c r="DL56" s="350">
        <v>1.4111</v>
      </c>
      <c r="DM56" s="350">
        <v>1.1598390747079169E-2</v>
      </c>
      <c r="DN56" s="350">
        <v>1146.4224999999999</v>
      </c>
      <c r="DO56" s="350">
        <v>374.29829999999998</v>
      </c>
      <c r="DP56" s="351">
        <f t="shared" si="191"/>
        <v>141.93599999999998</v>
      </c>
      <c r="DQ56" s="351">
        <f t="shared" si="192"/>
        <v>245.53139999999999</v>
      </c>
      <c r="DR56" s="352">
        <f t="shared" si="193"/>
        <v>2.3196781494158339E-2</v>
      </c>
      <c r="DS56" s="352">
        <f t="shared" si="194"/>
        <v>1.4699399835327535E-2</v>
      </c>
      <c r="DT56" s="353">
        <f t="shared" si="195"/>
        <v>141.95069939983532</v>
      </c>
      <c r="DU56" s="353">
        <f t="shared" si="196"/>
        <v>245.52290261834116</v>
      </c>
      <c r="DV56" s="343">
        <f t="shared" si="133"/>
        <v>142.19272482600471</v>
      </c>
      <c r="DW56" s="343">
        <f t="shared" si="134"/>
        <v>245.76492804451055</v>
      </c>
      <c r="EB56" s="326"/>
      <c r="EC56" s="326"/>
      <c r="ED56" s="326"/>
      <c r="EE56" s="348">
        <f t="shared" si="197"/>
        <v>174370.77836666667</v>
      </c>
      <c r="EF56" s="348">
        <f t="shared" si="198"/>
        <v>47806.050799999997</v>
      </c>
      <c r="EG56" s="348">
        <f t="shared" si="199"/>
        <v>1978.4719504306388</v>
      </c>
      <c r="EH56" s="348">
        <f t="shared" si="200"/>
        <v>3375.7429598775343</v>
      </c>
      <c r="EI56" s="354">
        <f t="shared" si="201"/>
        <v>0.78482881865175003</v>
      </c>
      <c r="EJ56" s="326"/>
      <c r="EK56" s="348">
        <f t="shared" si="202"/>
        <v>1990.0169225880777</v>
      </c>
      <c r="EL56" s="348">
        <f t="shared" si="203"/>
        <v>3368.6962738262528</v>
      </c>
      <c r="EM56" s="348">
        <f t="shared" si="83"/>
        <v>2023.5525815472333</v>
      </c>
      <c r="EN56" s="348">
        <f t="shared" si="84"/>
        <v>3402.2319327854084</v>
      </c>
      <c r="EP56" s="326"/>
      <c r="EQ56" s="326"/>
      <c r="ER56" s="326"/>
      <c r="ES56" s="348">
        <f t="shared" si="204"/>
        <v>140015.5583</v>
      </c>
      <c r="ET56" s="348">
        <f t="shared" si="205"/>
        <v>38370.932433333335</v>
      </c>
      <c r="EU56" s="348">
        <f t="shared" si="206"/>
        <v>1670.4652922715286</v>
      </c>
      <c r="EV56" s="348">
        <f t="shared" si="207"/>
        <v>2694.5701937588888</v>
      </c>
      <c r="EW56" s="354">
        <f t="shared" si="208"/>
        <v>0.78490000966108286</v>
      </c>
      <c r="EX56" s="326"/>
      <c r="EY56" s="348">
        <f t="shared" si="209"/>
        <v>1682.6699030721843</v>
      </c>
      <c r="EZ56" s="348">
        <f t="shared" si="210"/>
        <v>2686.0302088783828</v>
      </c>
      <c r="FA56" s="348">
        <f t="shared" si="92"/>
        <v>1706.5339681351386</v>
      </c>
      <c r="FB56" s="348">
        <f t="shared" si="93"/>
        <v>2709.8942739413369</v>
      </c>
      <c r="FD56" s="326"/>
      <c r="FE56" s="326"/>
      <c r="FF56" s="326"/>
      <c r="FG56" s="348">
        <f t="shared" si="211"/>
        <v>93443.046666666662</v>
      </c>
      <c r="FH56" s="348">
        <f t="shared" si="212"/>
        <v>26706.004099999998</v>
      </c>
      <c r="FI56" s="348">
        <f t="shared" si="213"/>
        <v>963.03976072299315</v>
      </c>
      <c r="FJ56" s="348">
        <f t="shared" si="214"/>
        <v>1590.7726874280581</v>
      </c>
      <c r="FK56" s="354">
        <f t="shared" si="215"/>
        <v>0.7777260500221187</v>
      </c>
      <c r="FL56" s="326"/>
      <c r="FM56" s="348">
        <f t="shared" si="216"/>
        <v>966.14364200212708</v>
      </c>
      <c r="FN56" s="348">
        <f t="shared" si="217"/>
        <v>1588.6559460217618</v>
      </c>
      <c r="FO56" s="348">
        <f t="shared" si="101"/>
        <v>986.37816651290814</v>
      </c>
      <c r="FP56" s="348">
        <f t="shared" si="102"/>
        <v>1608.8904705325428</v>
      </c>
      <c r="FR56" s="326"/>
      <c r="FS56" s="326"/>
      <c r="FT56" s="326"/>
      <c r="FU56" s="348">
        <f t="shared" si="218"/>
        <v>54672.964999999997</v>
      </c>
      <c r="FV56" s="348">
        <f t="shared" si="219"/>
        <v>15479.005800000001</v>
      </c>
      <c r="FW56" s="349">
        <f t="shared" si="220"/>
        <v>105.35023605867657</v>
      </c>
      <c r="FX56" s="349">
        <f t="shared" si="221"/>
        <v>132.16606010776414</v>
      </c>
      <c r="FY56" s="354">
        <f t="shared" si="222"/>
        <v>0.77935037856413292</v>
      </c>
      <c r="FZ56" s="326"/>
      <c r="GA56" s="349">
        <f t="shared" si="223"/>
        <v>107.13693656382246</v>
      </c>
      <c r="GB56" s="349">
        <f t="shared" si="224"/>
        <v>130.69866918676018</v>
      </c>
      <c r="GC56" s="349">
        <f t="shared" si="139"/>
        <v>109.27250096014512</v>
      </c>
      <c r="GD56" s="349">
        <f t="shared" si="140"/>
        <v>132.83423358308283</v>
      </c>
      <c r="GF56" s="326"/>
      <c r="GG56" s="326"/>
      <c r="GH56" s="326"/>
      <c r="GI56" s="348">
        <f t="shared" si="225"/>
        <v>100804.19500000001</v>
      </c>
      <c r="GJ56" s="348">
        <f t="shared" si="226"/>
        <v>27709.443299999999</v>
      </c>
      <c r="GK56" s="348">
        <f t="shared" si="227"/>
        <v>375.40940096946792</v>
      </c>
      <c r="GL56" s="348">
        <f t="shared" si="228"/>
        <v>484.99555135245555</v>
      </c>
      <c r="GM56" s="354">
        <f t="shared" si="229"/>
        <v>0.78438519314723976</v>
      </c>
      <c r="GN56" s="326"/>
      <c r="GO56" s="348">
        <f t="shared" si="230"/>
        <v>375.55458072172365</v>
      </c>
      <c r="GP56" s="348">
        <f t="shared" si="231"/>
        <v>484.88068651027464</v>
      </c>
      <c r="GQ56" s="348">
        <f t="shared" si="141"/>
        <v>376.0441488757707</v>
      </c>
      <c r="GR56" s="348">
        <f t="shared" si="142"/>
        <v>485.37025466432164</v>
      </c>
    </row>
    <row r="57" spans="1:200" x14ac:dyDescent="0.2">
      <c r="A57" s="320">
        <v>47</v>
      </c>
      <c r="C57" s="350">
        <v>1.2680201664891178</v>
      </c>
      <c r="D57" s="350">
        <v>1.0562651967026493</v>
      </c>
      <c r="E57" s="350">
        <v>3.8910771414955761E-2</v>
      </c>
      <c r="F57" s="350">
        <v>40876.456666666672</v>
      </c>
      <c r="G57" s="350">
        <v>11386.238333333335</v>
      </c>
      <c r="H57" s="351">
        <f t="shared" si="143"/>
        <v>1300.9886908178348</v>
      </c>
      <c r="I57" s="351">
        <f t="shared" si="144"/>
        <v>2509.6861073654945</v>
      </c>
      <c r="J57" s="352">
        <f t="shared" si="145"/>
        <v>9.9222467108137185</v>
      </c>
      <c r="K57" s="352">
        <f t="shared" si="146"/>
        <v>6.5347283730045946</v>
      </c>
      <c r="L57" s="353">
        <f t="shared" si="147"/>
        <v>1307.5234191908394</v>
      </c>
      <c r="M57" s="353">
        <f t="shared" si="148"/>
        <v>2506.2985890276855</v>
      </c>
      <c r="N57" s="343">
        <f t="shared" si="117"/>
        <v>1329.5435004096182</v>
      </c>
      <c r="O57" s="343">
        <f t="shared" si="118"/>
        <v>2528.3186702464641</v>
      </c>
      <c r="Q57" s="350">
        <v>1.430148678895123</v>
      </c>
      <c r="R57" s="350">
        <v>1.1095355581525403</v>
      </c>
      <c r="S57" s="350">
        <v>2.8790797321735295E-2</v>
      </c>
      <c r="T57" s="350">
        <v>7832.0324999999993</v>
      </c>
      <c r="U57" s="350">
        <v>2136.09</v>
      </c>
      <c r="V57" s="351">
        <f t="shared" si="149"/>
        <v>1006.8246699421666</v>
      </c>
      <c r="W57" s="351">
        <f t="shared" si="150"/>
        <v>1861.8006665799628</v>
      </c>
      <c r="X57" s="352">
        <f t="shared" si="151"/>
        <v>5.5278330857731763</v>
      </c>
      <c r="Y57" s="352">
        <f t="shared" si="152"/>
        <v>3.5876847327552288</v>
      </c>
      <c r="Z57" s="353">
        <f t="shared" si="153"/>
        <v>1010.4123546749217</v>
      </c>
      <c r="AA57" s="353">
        <f t="shared" si="154"/>
        <v>1859.8605182269448</v>
      </c>
      <c r="AB57" s="343">
        <f t="shared" si="119"/>
        <v>1024.1855217926593</v>
      </c>
      <c r="AC57" s="343">
        <f t="shared" si="120"/>
        <v>1873.6336853446824</v>
      </c>
      <c r="AE57" s="350">
        <v>1.3664557699989672</v>
      </c>
      <c r="AF57" s="350">
        <v>1.2861213464249353</v>
      </c>
      <c r="AG57" s="350">
        <v>0</v>
      </c>
      <c r="AH57" s="350">
        <v>1260.2149999999999</v>
      </c>
      <c r="AI57" s="350">
        <v>361.90666666666664</v>
      </c>
      <c r="AJ57" s="351">
        <f t="shared" si="155"/>
        <v>486.45825411963233</v>
      </c>
      <c r="AK57" s="351">
        <f t="shared" si="156"/>
        <v>985.16895136150038</v>
      </c>
      <c r="AL57" s="352">
        <f t="shared" si="157"/>
        <v>0</v>
      </c>
      <c r="AM57" s="352">
        <f t="shared" si="158"/>
        <v>0</v>
      </c>
      <c r="AN57" s="353">
        <f t="shared" si="159"/>
        <v>486.45825411963233</v>
      </c>
      <c r="AO57" s="353">
        <f t="shared" si="160"/>
        <v>985.16895136150038</v>
      </c>
      <c r="AP57" s="343">
        <f t="shared" si="121"/>
        <v>497.7163238337576</v>
      </c>
      <c r="AQ57" s="343">
        <f t="shared" si="122"/>
        <v>996.42702107562559</v>
      </c>
      <c r="AS57" s="350">
        <v>1.5085999999999999</v>
      </c>
      <c r="AT57" s="350">
        <v>0.88564427657881062</v>
      </c>
      <c r="AU57" s="350">
        <v>2.2595324133094039E-2</v>
      </c>
      <c r="AV57" s="350">
        <v>30318.26</v>
      </c>
      <c r="AW57" s="350">
        <v>8431.1816999999992</v>
      </c>
      <c r="AX57" s="351">
        <f t="shared" si="161"/>
        <v>380.16719999999998</v>
      </c>
      <c r="AY57" s="351">
        <f t="shared" si="162"/>
        <v>443.70778256598413</v>
      </c>
      <c r="AZ57" s="352">
        <f t="shared" si="163"/>
        <v>3.6378471854281402</v>
      </c>
      <c r="BA57" s="352">
        <f t="shared" si="164"/>
        <v>1.9592063627577747</v>
      </c>
      <c r="BB57" s="353">
        <f t="shared" si="165"/>
        <v>382.12640636275773</v>
      </c>
      <c r="BC57" s="353">
        <f t="shared" si="166"/>
        <v>442.02914174331374</v>
      </c>
      <c r="BD57" s="343">
        <f t="shared" si="123"/>
        <v>396.05827361850851</v>
      </c>
      <c r="BE57" s="343">
        <f t="shared" si="124"/>
        <v>455.96100899906452</v>
      </c>
      <c r="BG57" s="350">
        <v>1.6744812982813382</v>
      </c>
      <c r="BH57" s="350">
        <v>0.93463073528575502</v>
      </c>
      <c r="BI57" s="350">
        <v>4.5417950483757581E-2</v>
      </c>
      <c r="BJ57" s="350">
        <v>30351.773300000001</v>
      </c>
      <c r="BK57" s="350">
        <v>8388.5442000000003</v>
      </c>
      <c r="BL57" s="351">
        <f t="shared" si="167"/>
        <v>396.85206769267717</v>
      </c>
      <c r="BM57" s="351">
        <f t="shared" si="168"/>
        <v>450.4920144077339</v>
      </c>
      <c r="BN57" s="352">
        <f t="shared" si="169"/>
        <v>8.175231087076364</v>
      </c>
      <c r="BO57" s="352">
        <f t="shared" si="170"/>
        <v>4.3463763994628755</v>
      </c>
      <c r="BP57" s="353">
        <f t="shared" si="171"/>
        <v>401.19844409214005</v>
      </c>
      <c r="BQ57" s="353">
        <f t="shared" si="172"/>
        <v>446.6631597201204</v>
      </c>
      <c r="BR57" s="343">
        <f t="shared" si="125"/>
        <v>414.95532482847671</v>
      </c>
      <c r="BS57" s="343">
        <f t="shared" si="126"/>
        <v>460.42004045645706</v>
      </c>
      <c r="BU57" s="350">
        <v>1.3982006654361341</v>
      </c>
      <c r="BV57" s="350">
        <v>0.93739293151739467</v>
      </c>
      <c r="BW57" s="350">
        <v>2.2319844145047618E-2</v>
      </c>
      <c r="BX57" s="350">
        <v>22891.485000000001</v>
      </c>
      <c r="BY57" s="350">
        <v>6917.12</v>
      </c>
      <c r="BZ57" s="351">
        <f t="shared" si="173"/>
        <v>254.4725211093764</v>
      </c>
      <c r="CA57" s="351">
        <f t="shared" si="174"/>
        <v>287.77962997584018</v>
      </c>
      <c r="CB57" s="352">
        <f t="shared" si="175"/>
        <v>1.4954295577181904</v>
      </c>
      <c r="CC57" s="352">
        <f t="shared" si="176"/>
        <v>0.79364215321931231</v>
      </c>
      <c r="CD57" s="353">
        <f t="shared" si="177"/>
        <v>255.26616326259571</v>
      </c>
      <c r="CE57" s="353">
        <f t="shared" si="178"/>
        <v>287.07784257134131</v>
      </c>
      <c r="CF57" s="343">
        <f t="shared" si="127"/>
        <v>266.00552261514213</v>
      </c>
      <c r="CG57" s="343">
        <f t="shared" si="128"/>
        <v>297.81720192388769</v>
      </c>
      <c r="CI57" s="350">
        <v>1.0000917494250561</v>
      </c>
      <c r="CJ57" s="350">
        <v>0.99048953472043533</v>
      </c>
      <c r="CK57" s="350">
        <v>3.8090005310319537E-2</v>
      </c>
      <c r="CL57" s="350">
        <v>66062.463300000003</v>
      </c>
      <c r="CM57" s="350">
        <v>19394.560799999999</v>
      </c>
      <c r="CN57" s="351">
        <f t="shared" si="179"/>
        <v>181.01660664593516</v>
      </c>
      <c r="CO57" s="351">
        <f t="shared" si="180"/>
        <v>224.84112438153883</v>
      </c>
      <c r="CP57" s="352">
        <f t="shared" si="181"/>
        <v>0.15236002124127815</v>
      </c>
      <c r="CQ57" s="352">
        <f t="shared" si="182"/>
        <v>8.4405928156054161E-2</v>
      </c>
      <c r="CR57" s="353">
        <f t="shared" si="183"/>
        <v>181.10101257409121</v>
      </c>
      <c r="CS57" s="353">
        <f t="shared" si="184"/>
        <v>224.77317028845363</v>
      </c>
      <c r="CT57" s="343">
        <f t="shared" si="129"/>
        <v>181.4099063203565</v>
      </c>
      <c r="CU57" s="343">
        <f t="shared" si="130"/>
        <v>225.08206403471891</v>
      </c>
      <c r="CW57" s="350">
        <v>1.3288648568523898</v>
      </c>
      <c r="CX57" s="350">
        <v>1.277579062491158</v>
      </c>
      <c r="CY57" s="350">
        <v>1.0796265020875287E-2</v>
      </c>
      <c r="CZ57" s="350">
        <v>31919.161700000001</v>
      </c>
      <c r="DA57" s="350">
        <v>8863.2482999999993</v>
      </c>
      <c r="DB57" s="351">
        <f t="shared" si="185"/>
        <v>253.81318765880644</v>
      </c>
      <c r="DC57" s="351">
        <f t="shared" si="186"/>
        <v>334.7257143726834</v>
      </c>
      <c r="DD57" s="352">
        <f t="shared" si="187"/>
        <v>3.2388795062625861E-2</v>
      </c>
      <c r="DE57" s="352">
        <f t="shared" si="188"/>
        <v>1.8420808764868721E-2</v>
      </c>
      <c r="DF57" s="353">
        <f t="shared" si="189"/>
        <v>253.8316084675713</v>
      </c>
      <c r="DG57" s="353">
        <f t="shared" si="190"/>
        <v>334.71174638638564</v>
      </c>
      <c r="DH57" s="343">
        <f t="shared" si="131"/>
        <v>254.11499794865819</v>
      </c>
      <c r="DI57" s="343">
        <f t="shared" si="132"/>
        <v>334.99513586747253</v>
      </c>
      <c r="DK57" s="350">
        <v>1.5690999999999999</v>
      </c>
      <c r="DL57" s="350">
        <v>1.4691000000000001</v>
      </c>
      <c r="DM57" s="350">
        <v>0</v>
      </c>
      <c r="DN57" s="350">
        <v>1135.5157999999999</v>
      </c>
      <c r="DO57" s="350">
        <v>380.66669999999999</v>
      </c>
      <c r="DP57" s="351">
        <f t="shared" si="191"/>
        <v>150.6336</v>
      </c>
      <c r="DQ57" s="351">
        <f t="shared" si="192"/>
        <v>255.6234</v>
      </c>
      <c r="DR57" s="352">
        <f t="shared" si="193"/>
        <v>0</v>
      </c>
      <c r="DS57" s="352">
        <f t="shared" si="194"/>
        <v>0</v>
      </c>
      <c r="DT57" s="353">
        <f t="shared" si="195"/>
        <v>150.6336</v>
      </c>
      <c r="DU57" s="353">
        <f t="shared" si="196"/>
        <v>255.6234</v>
      </c>
      <c r="DV57" s="343">
        <f t="shared" si="133"/>
        <v>150.89032482600473</v>
      </c>
      <c r="DW57" s="343">
        <f t="shared" si="134"/>
        <v>255.88012482600473</v>
      </c>
      <c r="EB57" s="326"/>
      <c r="EC57" s="326"/>
      <c r="ED57" s="326"/>
      <c r="EE57" s="348">
        <f t="shared" si="197"/>
        <v>169176.34166666667</v>
      </c>
      <c r="EF57" s="348">
        <f t="shared" si="198"/>
        <v>48075.229133333334</v>
      </c>
      <c r="EG57" s="348">
        <f t="shared" si="199"/>
        <v>2065.223047590815</v>
      </c>
      <c r="EH57" s="348">
        <f t="shared" si="200"/>
        <v>3446.0155858111643</v>
      </c>
      <c r="EI57" s="354">
        <f t="shared" si="201"/>
        <v>0.77871170755496633</v>
      </c>
      <c r="EJ57" s="326"/>
      <c r="EK57" s="348">
        <f t="shared" si="202"/>
        <v>2073.8161249017453</v>
      </c>
      <c r="EL57" s="348">
        <f t="shared" si="203"/>
        <v>3440.870298168561</v>
      </c>
      <c r="EM57" s="348">
        <f t="shared" si="83"/>
        <v>2110.3036787074097</v>
      </c>
      <c r="EN57" s="348">
        <f t="shared" si="84"/>
        <v>3477.3578519742255</v>
      </c>
      <c r="EP57" s="326"/>
      <c r="EQ57" s="326"/>
      <c r="ER57" s="326"/>
      <c r="ES57" s="348">
        <f t="shared" si="204"/>
        <v>136165.4308</v>
      </c>
      <c r="ET57" s="348">
        <f t="shared" si="205"/>
        <v>38782.443299999999</v>
      </c>
      <c r="EU57" s="348">
        <f t="shared" si="206"/>
        <v>1762.3625756419433</v>
      </c>
      <c r="EV57" s="348">
        <f t="shared" si="207"/>
        <v>2771.4418054301141</v>
      </c>
      <c r="EW57" s="354">
        <f t="shared" si="208"/>
        <v>0.77832000817665259</v>
      </c>
      <c r="EX57" s="326"/>
      <c r="EY57" s="348">
        <f t="shared" si="209"/>
        <v>1770.3939372684529</v>
      </c>
      <c r="EZ57" s="348">
        <f t="shared" si="210"/>
        <v>2765.5950707059887</v>
      </c>
      <c r="FA57" s="348">
        <f t="shared" si="92"/>
        <v>1798.4312515055531</v>
      </c>
      <c r="FB57" s="348">
        <f t="shared" si="93"/>
        <v>2793.6323849430892</v>
      </c>
      <c r="FD57" s="326"/>
      <c r="FE57" s="326"/>
      <c r="FF57" s="326"/>
      <c r="FG57" s="348">
        <f t="shared" si="211"/>
        <v>91349.679099999994</v>
      </c>
      <c r="FH57" s="348">
        <f t="shared" si="212"/>
        <v>27054.254166666666</v>
      </c>
      <c r="FI57" s="348">
        <f t="shared" si="213"/>
        <v>1012.3275418749439</v>
      </c>
      <c r="FJ57" s="348">
        <f t="shared" si="214"/>
        <v>1651.1637457188792</v>
      </c>
      <c r="FK57" s="354">
        <f t="shared" si="215"/>
        <v>0.77150882221339989</v>
      </c>
      <c r="FL57" s="326"/>
      <c r="FM57" s="348">
        <f t="shared" si="216"/>
        <v>1013.2055899563193</v>
      </c>
      <c r="FN57" s="348">
        <f t="shared" si="217"/>
        <v>1650.3940042212953</v>
      </c>
      <c r="FO57" s="348">
        <f t="shared" si="101"/>
        <v>1035.665947664859</v>
      </c>
      <c r="FP57" s="348">
        <f t="shared" si="102"/>
        <v>1672.8543619298352</v>
      </c>
      <c r="FR57" s="326"/>
      <c r="FS57" s="326"/>
      <c r="FT57" s="326"/>
      <c r="FU57" s="348">
        <f t="shared" si="218"/>
        <v>53209.744999999995</v>
      </c>
      <c r="FV57" s="348">
        <f t="shared" si="219"/>
        <v>15348.3017</v>
      </c>
      <c r="FW57" s="349">
        <f t="shared" si="220"/>
        <v>113.12521100156123</v>
      </c>
      <c r="FX57" s="349">
        <f t="shared" si="221"/>
        <v>140.33533733112955</v>
      </c>
      <c r="FY57" s="354">
        <f t="shared" si="222"/>
        <v>0.77612691086194552</v>
      </c>
      <c r="FZ57" s="326"/>
      <c r="GA57" s="349">
        <f t="shared" si="223"/>
        <v>114.17421879014583</v>
      </c>
      <c r="GB57" s="349">
        <f t="shared" si="224"/>
        <v>139.4561692547752</v>
      </c>
      <c r="GC57" s="349">
        <f t="shared" si="139"/>
        <v>117.04747590302975</v>
      </c>
      <c r="GD57" s="349">
        <f t="shared" si="140"/>
        <v>142.32942636765915</v>
      </c>
      <c r="GF57" s="326"/>
      <c r="GG57" s="326"/>
      <c r="GH57" s="326"/>
      <c r="GI57" s="348">
        <f t="shared" si="225"/>
        <v>97981.625</v>
      </c>
      <c r="GJ57" s="348">
        <f t="shared" si="226"/>
        <v>28257.809099999999</v>
      </c>
      <c r="GK57" s="348">
        <f t="shared" si="227"/>
        <v>384.0671567729803</v>
      </c>
      <c r="GL57" s="348">
        <f t="shared" si="228"/>
        <v>492.6216958796856</v>
      </c>
      <c r="GM57" s="354">
        <f t="shared" si="229"/>
        <v>0.7761570360208071</v>
      </c>
      <c r="GN57" s="326"/>
      <c r="GO57" s="348">
        <f t="shared" si="230"/>
        <v>384.1662993481483</v>
      </c>
      <c r="GP57" s="348">
        <f t="shared" si="231"/>
        <v>492.54256739756215</v>
      </c>
      <c r="GQ57" s="348">
        <f t="shared" si="141"/>
        <v>384.70190467928307</v>
      </c>
      <c r="GR57" s="348">
        <f t="shared" si="142"/>
        <v>493.07817272869693</v>
      </c>
    </row>
    <row r="58" spans="1:200" x14ac:dyDescent="0.2">
      <c r="A58" s="320">
        <v>48</v>
      </c>
      <c r="C58" s="350">
        <v>1.3253184710450714</v>
      </c>
      <c r="D58" s="350">
        <v>1.0784190677395196</v>
      </c>
      <c r="E58" s="350">
        <v>2.1987212458761844E-2</v>
      </c>
      <c r="F58" s="350">
        <v>40039.575833333336</v>
      </c>
      <c r="G58" s="350">
        <v>11533.935833333337</v>
      </c>
      <c r="H58" s="351">
        <f t="shared" si="143"/>
        <v>1359.7767512922433</v>
      </c>
      <c r="I58" s="351">
        <f t="shared" si="144"/>
        <v>2562.3237049490986</v>
      </c>
      <c r="J58" s="352">
        <f t="shared" si="145"/>
        <v>5.60673917698427</v>
      </c>
      <c r="K58" s="352">
        <f t="shared" si="146"/>
        <v>3.6629048289143524</v>
      </c>
      <c r="L58" s="353">
        <f t="shared" si="147"/>
        <v>1363.4396561211577</v>
      </c>
      <c r="M58" s="353">
        <f t="shared" si="148"/>
        <v>2560.3798706010284</v>
      </c>
      <c r="N58" s="343">
        <f t="shared" si="117"/>
        <v>1388.3315608840267</v>
      </c>
      <c r="O58" s="343">
        <f t="shared" si="118"/>
        <v>2585.2717753638976</v>
      </c>
      <c r="Q58" s="350">
        <v>1.5132720584441248</v>
      </c>
      <c r="R58" s="350">
        <v>1.1385467971496699</v>
      </c>
      <c r="S58" s="350">
        <v>0</v>
      </c>
      <c r="T58" s="350">
        <v>7839.1491666666652</v>
      </c>
      <c r="U58" s="350">
        <v>2200.0716666666672</v>
      </c>
      <c r="V58" s="351">
        <f t="shared" si="149"/>
        <v>1065.343529144664</v>
      </c>
      <c r="W58" s="351">
        <f t="shared" si="150"/>
        <v>1910.481525617146</v>
      </c>
      <c r="X58" s="352">
        <f t="shared" si="151"/>
        <v>0</v>
      </c>
      <c r="Y58" s="352">
        <f t="shared" si="152"/>
        <v>0</v>
      </c>
      <c r="Z58" s="353">
        <f t="shared" si="153"/>
        <v>1065.343529144664</v>
      </c>
      <c r="AA58" s="353">
        <f t="shared" si="154"/>
        <v>1910.481525617146</v>
      </c>
      <c r="AB58" s="343">
        <f t="shared" si="119"/>
        <v>1082.7043809951567</v>
      </c>
      <c r="AC58" s="343">
        <f t="shared" si="120"/>
        <v>1927.8423774676387</v>
      </c>
      <c r="AE58" s="350">
        <v>1.4540354326947362</v>
      </c>
      <c r="AF58" s="350">
        <v>1.3490901168810689</v>
      </c>
      <c r="AG58" s="350">
        <v>0</v>
      </c>
      <c r="AH58" s="350">
        <v>1372.3558333333333</v>
      </c>
      <c r="AI58" s="350">
        <v>348.26666666666671</v>
      </c>
      <c r="AJ58" s="351">
        <f t="shared" si="155"/>
        <v>517.6366140393261</v>
      </c>
      <c r="AK58" s="351">
        <f t="shared" si="156"/>
        <v>1033.4030295308987</v>
      </c>
      <c r="AL58" s="352">
        <f t="shared" si="157"/>
        <v>0</v>
      </c>
      <c r="AM58" s="352">
        <f t="shared" si="158"/>
        <v>0</v>
      </c>
      <c r="AN58" s="353">
        <f t="shared" si="159"/>
        <v>517.6366140393261</v>
      </c>
      <c r="AO58" s="353">
        <f t="shared" si="160"/>
        <v>1033.4030295308987</v>
      </c>
      <c r="AP58" s="343">
        <f t="shared" si="121"/>
        <v>528.89468375345132</v>
      </c>
      <c r="AQ58" s="343">
        <f t="shared" si="122"/>
        <v>1044.6610992450239</v>
      </c>
      <c r="AS58" s="350">
        <v>1.6155999999999999</v>
      </c>
      <c r="AT58" s="350">
        <v>0.93666741082282301</v>
      </c>
      <c r="AU58" s="350">
        <v>1.776856298836324E-2</v>
      </c>
      <c r="AV58" s="350">
        <v>29434.925800000001</v>
      </c>
      <c r="AW58" s="350">
        <v>8546.44</v>
      </c>
      <c r="AX58" s="351">
        <f t="shared" si="161"/>
        <v>407.13119999999998</v>
      </c>
      <c r="AY58" s="351">
        <f t="shared" si="162"/>
        <v>469.27037282223432</v>
      </c>
      <c r="AZ58" s="352">
        <f t="shared" si="163"/>
        <v>2.8607386411264817</v>
      </c>
      <c r="BA58" s="352">
        <f t="shared" si="164"/>
        <v>1.5317862613428868</v>
      </c>
      <c r="BB58" s="353">
        <f t="shared" si="165"/>
        <v>408.66298626134284</v>
      </c>
      <c r="BC58" s="353">
        <f t="shared" si="166"/>
        <v>467.94142044245069</v>
      </c>
      <c r="BD58" s="343">
        <f t="shared" si="123"/>
        <v>423.02227361850851</v>
      </c>
      <c r="BE58" s="343">
        <f t="shared" si="124"/>
        <v>482.30070779961636</v>
      </c>
      <c r="BG58" s="350">
        <v>1.8068356251182709</v>
      </c>
      <c r="BH58" s="350">
        <v>0.98868817773238238</v>
      </c>
      <c r="BI58" s="350">
        <v>4.6092712592264024E-2</v>
      </c>
      <c r="BJ58" s="350">
        <v>29484.9283</v>
      </c>
      <c r="BK58" s="350">
        <v>8549.0933000000005</v>
      </c>
      <c r="BL58" s="351">
        <f t="shared" si="167"/>
        <v>428.22004315303019</v>
      </c>
      <c r="BM58" s="351">
        <f t="shared" si="168"/>
        <v>476.54770166700831</v>
      </c>
      <c r="BN58" s="352">
        <f t="shared" si="169"/>
        <v>8.296688266607525</v>
      </c>
      <c r="BO58" s="352">
        <f t="shared" si="170"/>
        <v>4.3699255942041448</v>
      </c>
      <c r="BP58" s="353">
        <f t="shared" si="171"/>
        <v>432.58996874723431</v>
      </c>
      <c r="BQ58" s="353">
        <f t="shared" si="172"/>
        <v>472.6209389946049</v>
      </c>
      <c r="BR58" s="343">
        <f t="shared" si="125"/>
        <v>446.32330028882973</v>
      </c>
      <c r="BS58" s="343">
        <f t="shared" si="126"/>
        <v>486.35427053620032</v>
      </c>
      <c r="BU58" s="350">
        <v>1.5232531560516698</v>
      </c>
      <c r="BV58" s="350">
        <v>0.99221048977497139</v>
      </c>
      <c r="BW58" s="350">
        <v>8.9657368372721216E-3</v>
      </c>
      <c r="BX58" s="350">
        <v>22833.7942</v>
      </c>
      <c r="BY58" s="350">
        <v>7169.165</v>
      </c>
      <c r="BZ58" s="351">
        <f t="shared" si="173"/>
        <v>277.23207440140391</v>
      </c>
      <c r="CA58" s="351">
        <f t="shared" si="174"/>
        <v>304.60862036091623</v>
      </c>
      <c r="CB58" s="352">
        <f t="shared" si="175"/>
        <v>0.60070436809723216</v>
      </c>
      <c r="CC58" s="352">
        <f t="shared" si="176"/>
        <v>0.31448424020190002</v>
      </c>
      <c r="CD58" s="353">
        <f t="shared" si="177"/>
        <v>277.54655864160583</v>
      </c>
      <c r="CE58" s="353">
        <f t="shared" si="178"/>
        <v>304.32240023302091</v>
      </c>
      <c r="CF58" s="343">
        <f t="shared" si="127"/>
        <v>288.7650759071696</v>
      </c>
      <c r="CG58" s="343">
        <f t="shared" si="128"/>
        <v>315.54091749858469</v>
      </c>
      <c r="CI58" s="350">
        <v>1.004864608553474</v>
      </c>
      <c r="CJ58" s="350">
        <v>0.99476681327925121</v>
      </c>
      <c r="CK58" s="350">
        <v>3.1128775080255144E-2</v>
      </c>
      <c r="CL58" s="350">
        <v>62918.400800000003</v>
      </c>
      <c r="CM58" s="350">
        <v>18712.618299999998</v>
      </c>
      <c r="CN58" s="351">
        <f t="shared" si="179"/>
        <v>181.8804941481788</v>
      </c>
      <c r="CO58" s="351">
        <f t="shared" si="180"/>
        <v>225.81206661439003</v>
      </c>
      <c r="CP58" s="352">
        <f t="shared" si="181"/>
        <v>0.12451510032102057</v>
      </c>
      <c r="CQ58" s="352">
        <f t="shared" si="182"/>
        <v>6.8966213353504099E-2</v>
      </c>
      <c r="CR58" s="353">
        <f t="shared" si="183"/>
        <v>181.94946036153229</v>
      </c>
      <c r="CS58" s="353">
        <f t="shared" si="184"/>
        <v>225.75651772742251</v>
      </c>
      <c r="CT58" s="343">
        <f t="shared" si="129"/>
        <v>182.27379382260014</v>
      </c>
      <c r="CU58" s="343">
        <f t="shared" si="130"/>
        <v>226.08085118849036</v>
      </c>
      <c r="CW58" s="350">
        <v>1.3882048994173852</v>
      </c>
      <c r="CX58" s="350">
        <v>1.317338814315371</v>
      </c>
      <c r="CY58" s="350">
        <v>9.4584194960179203E-3</v>
      </c>
      <c r="CZ58" s="350">
        <v>30108.732499999998</v>
      </c>
      <c r="DA58" s="350">
        <v>8500.6983</v>
      </c>
      <c r="DB58" s="351">
        <f t="shared" si="185"/>
        <v>265.14713578872056</v>
      </c>
      <c r="DC58" s="351">
        <f t="shared" si="186"/>
        <v>345.14276935062719</v>
      </c>
      <c r="DD58" s="352">
        <f t="shared" si="187"/>
        <v>2.8375258488053761E-2</v>
      </c>
      <c r="DE58" s="352">
        <f t="shared" si="188"/>
        <v>1.6047316550927723E-2</v>
      </c>
      <c r="DF58" s="353">
        <f t="shared" si="189"/>
        <v>265.16318310527151</v>
      </c>
      <c r="DG58" s="353">
        <f t="shared" si="190"/>
        <v>345.1304414086901</v>
      </c>
      <c r="DH58" s="343">
        <f t="shared" si="131"/>
        <v>265.44894607857231</v>
      </c>
      <c r="DI58" s="343">
        <f t="shared" si="132"/>
        <v>345.41620438199089</v>
      </c>
      <c r="DK58" s="350">
        <v>1.6640999999999999</v>
      </c>
      <c r="DL58" s="350">
        <v>1.526</v>
      </c>
      <c r="DM58" s="350">
        <v>0</v>
      </c>
      <c r="DN58" s="350">
        <v>1124.3783000000001</v>
      </c>
      <c r="DO58" s="350">
        <v>383.77080000000001</v>
      </c>
      <c r="DP58" s="351">
        <f t="shared" si="191"/>
        <v>159.75360000000001</v>
      </c>
      <c r="DQ58" s="351">
        <f t="shared" si="192"/>
        <v>265.524</v>
      </c>
      <c r="DR58" s="352">
        <f t="shared" si="193"/>
        <v>0</v>
      </c>
      <c r="DS58" s="352">
        <f t="shared" si="194"/>
        <v>0</v>
      </c>
      <c r="DT58" s="353">
        <f t="shared" si="195"/>
        <v>159.75360000000001</v>
      </c>
      <c r="DU58" s="353">
        <f t="shared" si="196"/>
        <v>265.524</v>
      </c>
      <c r="DV58" s="343">
        <f t="shared" si="133"/>
        <v>160.01032482600473</v>
      </c>
      <c r="DW58" s="343">
        <f t="shared" si="134"/>
        <v>265.7807248260047</v>
      </c>
      <c r="EB58" s="326"/>
      <c r="EC58" s="326"/>
      <c r="ED58" s="326"/>
      <c r="EE58" s="348">
        <f t="shared" si="197"/>
        <v>162501.63493333332</v>
      </c>
      <c r="EF58" s="348">
        <f t="shared" si="198"/>
        <v>47293.692433333345</v>
      </c>
      <c r="EG58" s="348">
        <f t="shared" si="199"/>
        <v>2160.9061540713983</v>
      </c>
      <c r="EH58" s="348">
        <f t="shared" si="200"/>
        <v>3533.5203598662247</v>
      </c>
      <c r="EI58" s="354">
        <f t="shared" si="201"/>
        <v>0.77457223177007894</v>
      </c>
      <c r="EJ58" s="326"/>
      <c r="EK58" s="348">
        <f t="shared" si="202"/>
        <v>2166.1826492282503</v>
      </c>
      <c r="EL58" s="348">
        <f t="shared" si="203"/>
        <v>3530.1821618978533</v>
      </c>
      <c r="EM58" s="348">
        <f t="shared" si="83"/>
        <v>2205.9867851879931</v>
      </c>
      <c r="EN58" s="348">
        <f t="shared" si="84"/>
        <v>3569.9862978575966</v>
      </c>
      <c r="EP58" s="326"/>
      <c r="EQ58" s="326"/>
      <c r="ER58" s="326"/>
      <c r="ES58" s="348">
        <f t="shared" si="204"/>
        <v>130351.21076666667</v>
      </c>
      <c r="ET58" s="348">
        <f t="shared" si="205"/>
        <v>37962.481566666669</v>
      </c>
      <c r="EU58" s="348">
        <f t="shared" si="206"/>
        <v>1861.0470614979774</v>
      </c>
      <c r="EV58" s="348">
        <f t="shared" si="207"/>
        <v>2854.4412324439832</v>
      </c>
      <c r="EW58" s="354">
        <f t="shared" si="208"/>
        <v>0.77445399099507206</v>
      </c>
      <c r="EX58" s="326"/>
      <c r="EY58" s="348">
        <f t="shared" si="209"/>
        <v>1865.4971864271206</v>
      </c>
      <c r="EZ58" s="348">
        <f t="shared" si="210"/>
        <v>2850.4502913252563</v>
      </c>
      <c r="FA58" s="348">
        <f t="shared" si="92"/>
        <v>1897.1157373615872</v>
      </c>
      <c r="FB58" s="348">
        <f t="shared" si="93"/>
        <v>2882.0688422597227</v>
      </c>
      <c r="FD58" s="326"/>
      <c r="FE58" s="326"/>
      <c r="FF58" s="326"/>
      <c r="FG58" s="348">
        <f t="shared" si="211"/>
        <v>88248.929133333339</v>
      </c>
      <c r="FH58" s="348">
        <f t="shared" si="212"/>
        <v>26613.820766666664</v>
      </c>
      <c r="FI58" s="348">
        <f t="shared" si="213"/>
        <v>1072.6013425889087</v>
      </c>
      <c r="FJ58" s="348">
        <f t="shared" si="214"/>
        <v>1723.1381165062051</v>
      </c>
      <c r="FK58" s="354">
        <f t="shared" si="215"/>
        <v>0.7682989412160447</v>
      </c>
      <c r="FL58" s="326"/>
      <c r="FM58" s="348">
        <f t="shared" si="216"/>
        <v>1072.9847930424642</v>
      </c>
      <c r="FN58" s="348">
        <f t="shared" si="217"/>
        <v>1722.7963474913422</v>
      </c>
      <c r="FO58" s="348">
        <f t="shared" si="101"/>
        <v>1095.9397483788239</v>
      </c>
      <c r="FP58" s="348">
        <f t="shared" si="102"/>
        <v>1745.7513028277017</v>
      </c>
      <c r="FR58" s="326"/>
      <c r="FS58" s="326"/>
      <c r="FT58" s="326"/>
      <c r="FU58" s="348">
        <f t="shared" si="218"/>
        <v>52268.72</v>
      </c>
      <c r="FV58" s="348">
        <f t="shared" si="219"/>
        <v>15715.605</v>
      </c>
      <c r="FW58" s="349">
        <f t="shared" si="220"/>
        <v>116.90921303873647</v>
      </c>
      <c r="FX58" s="349">
        <f t="shared" si="221"/>
        <v>148.19557721518629</v>
      </c>
      <c r="FY58" s="354">
        <f t="shared" si="222"/>
        <v>0.76883487480386103</v>
      </c>
      <c r="FZ58" s="326"/>
      <c r="GA58" s="349">
        <f t="shared" si="223"/>
        <v>118.00478485776331</v>
      </c>
      <c r="GB58" s="349">
        <f t="shared" si="224"/>
        <v>147.2571181884868</v>
      </c>
      <c r="GC58" s="349">
        <f t="shared" si="139"/>
        <v>120.83147794020502</v>
      </c>
      <c r="GD58" s="349">
        <f t="shared" si="140"/>
        <v>150.08381127092852</v>
      </c>
      <c r="GF58" s="326"/>
      <c r="GG58" s="326"/>
      <c r="GH58" s="326"/>
      <c r="GI58" s="348">
        <f t="shared" si="225"/>
        <v>93027.133300000001</v>
      </c>
      <c r="GJ58" s="348">
        <f t="shared" si="226"/>
        <v>27213.316599999998</v>
      </c>
      <c r="GK58" s="348">
        <f t="shared" si="227"/>
        <v>393.99820277915524</v>
      </c>
      <c r="GL58" s="348">
        <f t="shared" si="228"/>
        <v>501.9262820948918</v>
      </c>
      <c r="GM58" s="354">
        <f t="shared" si="229"/>
        <v>0.77367585847664067</v>
      </c>
      <c r="GN58" s="326"/>
      <c r="GO58" s="348">
        <f t="shared" si="230"/>
        <v>394.08000684574949</v>
      </c>
      <c r="GP58" s="348">
        <f t="shared" si="231"/>
        <v>501.86087085437464</v>
      </c>
      <c r="GQ58" s="348">
        <f t="shared" si="141"/>
        <v>394.63295068545801</v>
      </c>
      <c r="GR58" s="348">
        <f t="shared" si="142"/>
        <v>502.41381469408304</v>
      </c>
    </row>
    <row r="59" spans="1:200" x14ac:dyDescent="0.2">
      <c r="A59" s="320">
        <v>49</v>
      </c>
      <c r="C59" s="350">
        <v>1.3877327238748713</v>
      </c>
      <c r="D59" s="350">
        <v>1.1043278187895471</v>
      </c>
      <c r="E59" s="350">
        <v>1.2869841134704702E-2</v>
      </c>
      <c r="F59" s="350">
        <v>37778.181666666678</v>
      </c>
      <c r="G59" s="350">
        <v>11285.6875</v>
      </c>
      <c r="H59" s="351">
        <f t="shared" si="143"/>
        <v>1423.8137746956179</v>
      </c>
      <c r="I59" s="351">
        <f t="shared" si="144"/>
        <v>2623.8828974439639</v>
      </c>
      <c r="J59" s="352">
        <f t="shared" si="145"/>
        <v>3.281809489349699</v>
      </c>
      <c r="K59" s="352">
        <f t="shared" si="146"/>
        <v>2.127403431942994</v>
      </c>
      <c r="L59" s="353">
        <f t="shared" si="147"/>
        <v>1425.941178127561</v>
      </c>
      <c r="M59" s="353">
        <f t="shared" si="148"/>
        <v>2622.7284913865574</v>
      </c>
      <c r="N59" s="343">
        <f t="shared" si="117"/>
        <v>1452.3685842874013</v>
      </c>
      <c r="O59" s="343">
        <f t="shared" si="118"/>
        <v>2649.1558975463977</v>
      </c>
      <c r="Q59" s="350">
        <v>1.6031290418912236</v>
      </c>
      <c r="R59" s="350">
        <v>1.1711954100192201</v>
      </c>
      <c r="S59" s="350">
        <v>0</v>
      </c>
      <c r="T59" s="350">
        <v>7610.0025000000005</v>
      </c>
      <c r="U59" s="350">
        <v>2146.7658333333329</v>
      </c>
      <c r="V59" s="351">
        <f t="shared" si="149"/>
        <v>1128.6028454914215</v>
      </c>
      <c r="W59" s="351">
        <f t="shared" si="150"/>
        <v>1965.2658980122515</v>
      </c>
      <c r="X59" s="352">
        <f t="shared" si="151"/>
        <v>0</v>
      </c>
      <c r="Y59" s="352">
        <f t="shared" si="152"/>
        <v>0</v>
      </c>
      <c r="Z59" s="353">
        <f t="shared" si="153"/>
        <v>1128.6028454914215</v>
      </c>
      <c r="AA59" s="353">
        <f t="shared" si="154"/>
        <v>1965.2658980122515</v>
      </c>
      <c r="AB59" s="343">
        <f t="shared" si="119"/>
        <v>1145.9636973419142</v>
      </c>
      <c r="AC59" s="343">
        <f t="shared" si="120"/>
        <v>1982.6267498627442</v>
      </c>
      <c r="AE59" s="350">
        <v>1.5503798243363485</v>
      </c>
      <c r="AF59" s="350">
        <v>1.4172639714692681</v>
      </c>
      <c r="AG59" s="350">
        <v>0</v>
      </c>
      <c r="AH59" s="350">
        <v>1254.2625</v>
      </c>
      <c r="AI59" s="350">
        <v>347.55</v>
      </c>
      <c r="AJ59" s="351">
        <f t="shared" si="155"/>
        <v>551.93521746374006</v>
      </c>
      <c r="AK59" s="351">
        <f t="shared" si="156"/>
        <v>1085.6242021454593</v>
      </c>
      <c r="AL59" s="352">
        <f t="shared" si="157"/>
        <v>0</v>
      </c>
      <c r="AM59" s="352">
        <f t="shared" si="158"/>
        <v>0</v>
      </c>
      <c r="AN59" s="353">
        <f t="shared" si="159"/>
        <v>551.93521746374006</v>
      </c>
      <c r="AO59" s="353">
        <f t="shared" si="160"/>
        <v>1085.6242021454593</v>
      </c>
      <c r="AP59" s="343">
        <f t="shared" si="121"/>
        <v>563.19328717786527</v>
      </c>
      <c r="AQ59" s="343">
        <f t="shared" si="122"/>
        <v>1096.8822718595845</v>
      </c>
      <c r="AS59" s="350">
        <v>1.7315</v>
      </c>
      <c r="AT59" s="350">
        <v>0.99506350604796678</v>
      </c>
      <c r="AU59" s="350">
        <v>1.7955646332102202E-2</v>
      </c>
      <c r="AV59" s="350">
        <v>27986.633300000001</v>
      </c>
      <c r="AW59" s="350">
        <v>8224.9825000000001</v>
      </c>
      <c r="AX59" s="351">
        <f t="shared" si="161"/>
        <v>436.33800000000002</v>
      </c>
      <c r="AY59" s="351">
        <f t="shared" si="162"/>
        <v>498.52681653003134</v>
      </c>
      <c r="AZ59" s="352">
        <f t="shared" si="163"/>
        <v>2.8908590594684545</v>
      </c>
      <c r="BA59" s="352">
        <f t="shared" si="164"/>
        <v>1.5415819896860066</v>
      </c>
      <c r="BB59" s="353">
        <f t="shared" si="165"/>
        <v>437.87958198968602</v>
      </c>
      <c r="BC59" s="353">
        <f t="shared" si="166"/>
        <v>497.17753946024885</v>
      </c>
      <c r="BD59" s="343">
        <f t="shared" si="123"/>
        <v>452.22907361850855</v>
      </c>
      <c r="BE59" s="343">
        <f t="shared" si="124"/>
        <v>511.52703108907139</v>
      </c>
      <c r="BG59" s="350">
        <v>1.9242796717620829</v>
      </c>
      <c r="BH59" s="350">
        <v>1.0367579115274552</v>
      </c>
      <c r="BI59" s="350">
        <v>4.2337228725513612E-2</v>
      </c>
      <c r="BJ59" s="350">
        <v>28104.310799999999</v>
      </c>
      <c r="BK59" s="350">
        <v>8220.4825000000001</v>
      </c>
      <c r="BL59" s="351">
        <f t="shared" si="167"/>
        <v>456.05428220761365</v>
      </c>
      <c r="BM59" s="351">
        <f t="shared" si="168"/>
        <v>499.71731335623343</v>
      </c>
      <c r="BN59" s="352">
        <f t="shared" si="169"/>
        <v>7.6207011705924499</v>
      </c>
      <c r="BO59" s="352">
        <f t="shared" si="170"/>
        <v>3.984420893584474</v>
      </c>
      <c r="BP59" s="353">
        <f t="shared" si="171"/>
        <v>460.03870310119811</v>
      </c>
      <c r="BQ59" s="353">
        <f t="shared" si="172"/>
        <v>496.08103307922545</v>
      </c>
      <c r="BR59" s="343">
        <f t="shared" si="125"/>
        <v>474.15753934341319</v>
      </c>
      <c r="BS59" s="343">
        <f t="shared" si="126"/>
        <v>510.19986932144053</v>
      </c>
      <c r="BU59" s="350">
        <v>1.6887463899785808</v>
      </c>
      <c r="BV59" s="350">
        <v>1.0547773911030638</v>
      </c>
      <c r="BW59" s="350">
        <v>3.2705122046525017E-3</v>
      </c>
      <c r="BX59" s="350">
        <v>22042.692500000001</v>
      </c>
      <c r="BY59" s="350">
        <v>6962.0658000000003</v>
      </c>
      <c r="BZ59" s="351">
        <f t="shared" si="173"/>
        <v>307.35184297610169</v>
      </c>
      <c r="CA59" s="351">
        <f t="shared" si="174"/>
        <v>323.8166590686406</v>
      </c>
      <c r="CB59" s="352">
        <f t="shared" si="175"/>
        <v>0.21912431771171761</v>
      </c>
      <c r="CC59" s="352">
        <f t="shared" si="176"/>
        <v>0.11242022415921162</v>
      </c>
      <c r="CD59" s="353">
        <f t="shared" si="177"/>
        <v>307.46426320026092</v>
      </c>
      <c r="CE59" s="353">
        <f t="shared" si="178"/>
        <v>323.70995497508812</v>
      </c>
      <c r="CF59" s="343">
        <f t="shared" si="127"/>
        <v>318.88484448186739</v>
      </c>
      <c r="CG59" s="343">
        <f t="shared" si="128"/>
        <v>335.1305362566946</v>
      </c>
      <c r="CI59" s="350">
        <v>1.0101808387243703</v>
      </c>
      <c r="CJ59" s="350">
        <v>1.0021386291941254</v>
      </c>
      <c r="CK59" s="350">
        <v>2.3252578806023775E-2</v>
      </c>
      <c r="CL59" s="350">
        <v>57865.402499999997</v>
      </c>
      <c r="CM59" s="350">
        <v>17445.7075</v>
      </c>
      <c r="CN59" s="351">
        <f t="shared" si="179"/>
        <v>182.84273180911103</v>
      </c>
      <c r="CO59" s="351">
        <f t="shared" si="180"/>
        <v>227.48546882706648</v>
      </c>
      <c r="CP59" s="352">
        <f t="shared" si="181"/>
        <v>9.30103152240951E-2</v>
      </c>
      <c r="CQ59" s="352">
        <f t="shared" si="182"/>
        <v>5.1564808686563927E-2</v>
      </c>
      <c r="CR59" s="353">
        <f t="shared" si="183"/>
        <v>182.89429661779761</v>
      </c>
      <c r="CS59" s="353">
        <f t="shared" si="184"/>
        <v>227.44402332052897</v>
      </c>
      <c r="CT59" s="343">
        <f t="shared" si="129"/>
        <v>183.23603148353237</v>
      </c>
      <c r="CU59" s="343">
        <f t="shared" si="130"/>
        <v>227.78575818626373</v>
      </c>
      <c r="CW59" s="350">
        <v>1.4489358893873396</v>
      </c>
      <c r="CX59" s="350">
        <v>1.3600137424882084</v>
      </c>
      <c r="CY59" s="350">
        <v>1.4135465802075092E-2</v>
      </c>
      <c r="CZ59" s="350">
        <v>27383.2775</v>
      </c>
      <c r="DA59" s="350">
        <v>7926.1049999999996</v>
      </c>
      <c r="DB59" s="351">
        <f t="shared" si="185"/>
        <v>276.74675487298185</v>
      </c>
      <c r="DC59" s="351">
        <f t="shared" si="186"/>
        <v>356.32360053191059</v>
      </c>
      <c r="DD59" s="352">
        <f t="shared" si="187"/>
        <v>4.2406397406225274E-2</v>
      </c>
      <c r="DE59" s="352">
        <f t="shared" si="188"/>
        <v>2.3868437497296984E-2</v>
      </c>
      <c r="DF59" s="353">
        <f t="shared" si="189"/>
        <v>276.77062331047915</v>
      </c>
      <c r="DG59" s="353">
        <f t="shared" si="190"/>
        <v>356.30506257200165</v>
      </c>
      <c r="DH59" s="343">
        <f t="shared" si="131"/>
        <v>277.0485651628336</v>
      </c>
      <c r="DI59" s="343">
        <f t="shared" si="132"/>
        <v>356.58300442435609</v>
      </c>
      <c r="DK59" s="350">
        <v>1.762</v>
      </c>
      <c r="DL59" s="350">
        <v>1.5864</v>
      </c>
      <c r="DM59" s="350">
        <v>0</v>
      </c>
      <c r="DN59" s="350">
        <v>1041.3824999999999</v>
      </c>
      <c r="DO59" s="350">
        <v>389.70420000000001</v>
      </c>
      <c r="DP59" s="351">
        <f t="shared" si="191"/>
        <v>169.15199999999999</v>
      </c>
      <c r="DQ59" s="351">
        <f t="shared" si="192"/>
        <v>276.03359999999998</v>
      </c>
      <c r="DR59" s="352">
        <f t="shared" si="193"/>
        <v>0</v>
      </c>
      <c r="DS59" s="352">
        <f t="shared" si="194"/>
        <v>0</v>
      </c>
      <c r="DT59" s="353">
        <f t="shared" si="195"/>
        <v>169.15199999999999</v>
      </c>
      <c r="DU59" s="353">
        <f t="shared" si="196"/>
        <v>276.03359999999998</v>
      </c>
      <c r="DV59" s="343">
        <f t="shared" si="133"/>
        <v>169.40872482600471</v>
      </c>
      <c r="DW59" s="343">
        <f t="shared" si="134"/>
        <v>276.29032482600468</v>
      </c>
      <c r="EB59" s="326"/>
      <c r="EC59" s="326"/>
      <c r="ED59" s="326"/>
      <c r="EE59" s="348">
        <f t="shared" si="197"/>
        <v>151013.49496666668</v>
      </c>
      <c r="EF59" s="348">
        <f t="shared" si="198"/>
        <v>44882.482499999998</v>
      </c>
      <c r="EG59" s="348">
        <f t="shared" si="199"/>
        <v>2264.3919104031143</v>
      </c>
      <c r="EH59" s="348">
        <f t="shared" si="200"/>
        <v>3634.9540632265903</v>
      </c>
      <c r="EI59" s="354">
        <f t="shared" si="201"/>
        <v>0.77088614538990663</v>
      </c>
      <c r="EJ59" s="326"/>
      <c r="EK59" s="348">
        <f t="shared" si="202"/>
        <v>2268.1315553834279</v>
      </c>
      <c r="EL59" s="348">
        <f t="shared" si="203"/>
        <v>3632.3941042249367</v>
      </c>
      <c r="EM59" s="348">
        <f t="shared" si="83"/>
        <v>2309.472541519709</v>
      </c>
      <c r="EN59" s="348">
        <f t="shared" si="84"/>
        <v>3673.7350903612178</v>
      </c>
      <c r="EP59" s="326"/>
      <c r="EQ59" s="326"/>
      <c r="ER59" s="326"/>
      <c r="ES59" s="348">
        <f t="shared" si="204"/>
        <v>120962.9933</v>
      </c>
      <c r="ET59" s="348">
        <f t="shared" si="205"/>
        <v>35739.060833333337</v>
      </c>
      <c r="EU59" s="348">
        <f t="shared" si="206"/>
        <v>1961.2225879192333</v>
      </c>
      <c r="EV59" s="348">
        <f t="shared" si="207"/>
        <v>2941.8952005678889</v>
      </c>
      <c r="EW59" s="354">
        <f t="shared" si="208"/>
        <v>0.77192985100933031</v>
      </c>
      <c r="EX59" s="326"/>
      <c r="EY59" s="348">
        <f t="shared" si="209"/>
        <v>1965.2752815277527</v>
      </c>
      <c r="EZ59" s="348">
        <f t="shared" si="210"/>
        <v>2938.2044982124071</v>
      </c>
      <c r="FA59" s="348">
        <f t="shared" si="92"/>
        <v>1997.2912637828433</v>
      </c>
      <c r="FB59" s="348">
        <f t="shared" si="93"/>
        <v>2970.2204804674975</v>
      </c>
      <c r="FD59" s="326"/>
      <c r="FE59" s="326"/>
      <c r="FF59" s="326"/>
      <c r="FG59" s="348">
        <f t="shared" si="211"/>
        <v>82203.740000000005</v>
      </c>
      <c r="FH59" s="348">
        <f t="shared" si="212"/>
        <v>25145.0275</v>
      </c>
      <c r="FI59" s="348">
        <f t="shared" si="213"/>
        <v>1143.6209922489527</v>
      </c>
      <c r="FJ59" s="348">
        <f t="shared" si="214"/>
        <v>1802.5464900411662</v>
      </c>
      <c r="FK59" s="354">
        <f t="shared" si="215"/>
        <v>0.76576323989933093</v>
      </c>
      <c r="FL59" s="326"/>
      <c r="FM59" s="348">
        <f t="shared" si="216"/>
        <v>1143.7849772817985</v>
      </c>
      <c r="FN59" s="348">
        <f t="shared" si="217"/>
        <v>1802.3983404410762</v>
      </c>
      <c r="FO59" s="348">
        <f t="shared" si="101"/>
        <v>1166.9593980388679</v>
      </c>
      <c r="FP59" s="348">
        <f t="shared" si="102"/>
        <v>1825.5727611981456</v>
      </c>
      <c r="FR59" s="326"/>
      <c r="FS59" s="326"/>
      <c r="FT59" s="326"/>
      <c r="FU59" s="348">
        <f t="shared" si="218"/>
        <v>50029.325800000006</v>
      </c>
      <c r="FV59" s="348">
        <f t="shared" si="219"/>
        <v>15187.0483</v>
      </c>
      <c r="FW59" s="349">
        <f t="shared" si="220"/>
        <v>116.0875413215085</v>
      </c>
      <c r="FX59" s="349">
        <f t="shared" si="221"/>
        <v>157.23914171525166</v>
      </c>
      <c r="FY59" s="354">
        <f t="shared" si="222"/>
        <v>0.76712829393561766</v>
      </c>
      <c r="FZ59" s="326"/>
      <c r="GA59" s="349">
        <f t="shared" si="223"/>
        <v>117.37378691048259</v>
      </c>
      <c r="GB59" s="349">
        <f t="shared" si="224"/>
        <v>156.12082603664467</v>
      </c>
      <c r="GC59" s="349">
        <f t="shared" si="139"/>
        <v>120.00980622297705</v>
      </c>
      <c r="GD59" s="349">
        <f t="shared" si="140"/>
        <v>158.75684534913913</v>
      </c>
      <c r="GF59" s="326"/>
      <c r="GG59" s="326"/>
      <c r="GH59" s="326"/>
      <c r="GI59" s="348">
        <f t="shared" si="225"/>
        <v>85248.68</v>
      </c>
      <c r="GJ59" s="348">
        <f t="shared" si="226"/>
        <v>25371.8125</v>
      </c>
      <c r="GK59" s="348">
        <f t="shared" si="227"/>
        <v>404.24013570749651</v>
      </c>
      <c r="GL59" s="348">
        <f t="shared" si="228"/>
        <v>512.54434925259488</v>
      </c>
      <c r="GM59" s="354">
        <f t="shared" si="229"/>
        <v>0.77064093707592196</v>
      </c>
      <c r="GN59" s="326"/>
      <c r="GO59" s="348">
        <f t="shared" si="230"/>
        <v>404.31079526618095</v>
      </c>
      <c r="GP59" s="348">
        <f t="shared" si="231"/>
        <v>512.48807337813037</v>
      </c>
      <c r="GQ59" s="348">
        <f t="shared" si="141"/>
        <v>404.87488361379928</v>
      </c>
      <c r="GR59" s="348">
        <f t="shared" si="142"/>
        <v>513.05216172574865</v>
      </c>
    </row>
    <row r="60" spans="1:200" x14ac:dyDescent="0.2">
      <c r="A60" s="320">
        <v>50</v>
      </c>
      <c r="C60" s="350">
        <v>1.450827482998726</v>
      </c>
      <c r="D60" s="350">
        <v>1.1336033272679358</v>
      </c>
      <c r="E60" s="350">
        <v>0</v>
      </c>
      <c r="F60" s="350">
        <v>34648.235833333332</v>
      </c>
      <c r="G60" s="350">
        <v>10667.138333333329</v>
      </c>
      <c r="H60" s="351">
        <f t="shared" si="143"/>
        <v>1488.5489975566929</v>
      </c>
      <c r="I60" s="351">
        <f t="shared" si="144"/>
        <v>2693.4415055886152</v>
      </c>
      <c r="J60" s="352">
        <f t="shared" si="145"/>
        <v>0</v>
      </c>
      <c r="K60" s="352">
        <f t="shared" si="146"/>
        <v>0</v>
      </c>
      <c r="L60" s="353">
        <f t="shared" si="147"/>
        <v>1488.5489975566929</v>
      </c>
      <c r="M60" s="353">
        <f t="shared" si="148"/>
        <v>2693.4415055886152</v>
      </c>
      <c r="N60" s="343">
        <f t="shared" si="117"/>
        <v>1517.1038071484763</v>
      </c>
      <c r="O60" s="343">
        <f t="shared" si="118"/>
        <v>2721.9963151803986</v>
      </c>
      <c r="Q60" s="350">
        <v>1.6997447147017133</v>
      </c>
      <c r="R60" s="350">
        <v>1.2071907499328174</v>
      </c>
      <c r="S60" s="350">
        <v>0</v>
      </c>
      <c r="T60" s="350">
        <v>7224.3250000000007</v>
      </c>
      <c r="U60" s="350">
        <v>2008.1466666666668</v>
      </c>
      <c r="V60" s="351">
        <f t="shared" si="149"/>
        <v>1196.6202791500061</v>
      </c>
      <c r="W60" s="351">
        <f t="shared" si="150"/>
        <v>2025.6660783872676</v>
      </c>
      <c r="X60" s="352">
        <f t="shared" si="151"/>
        <v>0</v>
      </c>
      <c r="Y60" s="352">
        <f t="shared" si="152"/>
        <v>0</v>
      </c>
      <c r="Z60" s="353">
        <f t="shared" si="153"/>
        <v>1196.6202791500061</v>
      </c>
      <c r="AA60" s="353">
        <f t="shared" si="154"/>
        <v>2025.6660783872676</v>
      </c>
      <c r="AB60" s="343">
        <f t="shared" si="119"/>
        <v>1213.9811310004989</v>
      </c>
      <c r="AC60" s="343">
        <f t="shared" si="120"/>
        <v>2043.0269302377603</v>
      </c>
      <c r="AE60" s="350">
        <v>1.6598067588912684</v>
      </c>
      <c r="AF60" s="350">
        <v>1.4902527440137423</v>
      </c>
      <c r="AG60" s="350">
        <v>0</v>
      </c>
      <c r="AH60" s="350">
        <v>1163.9916666666666</v>
      </c>
      <c r="AI60" s="350">
        <v>320.04916666666668</v>
      </c>
      <c r="AJ60" s="351">
        <f t="shared" si="155"/>
        <v>590.89120616529158</v>
      </c>
      <c r="AK60" s="351">
        <f t="shared" si="156"/>
        <v>1141.5336019145266</v>
      </c>
      <c r="AL60" s="352">
        <f t="shared" si="157"/>
        <v>0</v>
      </c>
      <c r="AM60" s="352">
        <f t="shared" si="158"/>
        <v>0</v>
      </c>
      <c r="AN60" s="353">
        <f t="shared" si="159"/>
        <v>590.89120616529158</v>
      </c>
      <c r="AO60" s="353">
        <f t="shared" si="160"/>
        <v>1141.5336019145266</v>
      </c>
      <c r="AP60" s="343">
        <f t="shared" si="121"/>
        <v>602.14927587941679</v>
      </c>
      <c r="AQ60" s="343">
        <f t="shared" si="122"/>
        <v>1152.7916716286518</v>
      </c>
      <c r="AS60" s="350">
        <v>1.8568</v>
      </c>
      <c r="AT60" s="350">
        <v>1.046050025927147</v>
      </c>
      <c r="AU60" s="350">
        <v>2.127087313105977E-2</v>
      </c>
      <c r="AV60" s="350">
        <v>25551.539199999999</v>
      </c>
      <c r="AW60" s="350">
        <v>7496.7775000000001</v>
      </c>
      <c r="AX60" s="351">
        <f t="shared" si="161"/>
        <v>467.91359999999997</v>
      </c>
      <c r="AY60" s="351">
        <f t="shared" si="162"/>
        <v>524.07106298950066</v>
      </c>
      <c r="AZ60" s="352">
        <f t="shared" si="163"/>
        <v>3.424610574100623</v>
      </c>
      <c r="BA60" s="352">
        <f t="shared" si="164"/>
        <v>1.8092409800825655</v>
      </c>
      <c r="BB60" s="353">
        <f t="shared" si="165"/>
        <v>469.72284098008254</v>
      </c>
      <c r="BC60" s="353">
        <f t="shared" si="166"/>
        <v>522.45569339548263</v>
      </c>
      <c r="BD60" s="343">
        <f t="shared" si="123"/>
        <v>483.8046736185085</v>
      </c>
      <c r="BE60" s="343">
        <f t="shared" si="124"/>
        <v>536.53752603390865</v>
      </c>
      <c r="BG60" s="350">
        <v>2.0255966077693555</v>
      </c>
      <c r="BH60" s="350">
        <v>1.0842933391502221</v>
      </c>
      <c r="BI60" s="350">
        <v>3.1379433333640336E-2</v>
      </c>
      <c r="BJ60" s="350">
        <v>25723.334999999999</v>
      </c>
      <c r="BK60" s="350">
        <v>7519.9224999999997</v>
      </c>
      <c r="BL60" s="351">
        <f t="shared" si="167"/>
        <v>480.06639604133727</v>
      </c>
      <c r="BM60" s="351">
        <f t="shared" si="168"/>
        <v>522.62938947040709</v>
      </c>
      <c r="BN60" s="352">
        <f t="shared" si="169"/>
        <v>5.6482980000552603</v>
      </c>
      <c r="BO60" s="352">
        <f t="shared" si="170"/>
        <v>2.9440300617292525</v>
      </c>
      <c r="BP60" s="353">
        <f t="shared" si="171"/>
        <v>483.01042610306655</v>
      </c>
      <c r="BQ60" s="353">
        <f t="shared" si="172"/>
        <v>519.92512153208111</v>
      </c>
      <c r="BR60" s="343">
        <f t="shared" si="125"/>
        <v>498.16965317713681</v>
      </c>
      <c r="BS60" s="343">
        <f t="shared" si="126"/>
        <v>535.08434860615148</v>
      </c>
      <c r="BU60" s="350">
        <v>1.8703192509701241</v>
      </c>
      <c r="BV60" s="350">
        <v>1.1072309824978226</v>
      </c>
      <c r="BW60" s="350">
        <v>2.9275263712535064E-3</v>
      </c>
      <c r="BX60" s="350">
        <v>20611.543300000001</v>
      </c>
      <c r="BY60" s="350">
        <v>6713.6324999999997</v>
      </c>
      <c r="BZ60" s="351">
        <f t="shared" si="173"/>
        <v>340.39810367656258</v>
      </c>
      <c r="CA60" s="351">
        <f t="shared" si="174"/>
        <v>339.91991162683155</v>
      </c>
      <c r="CB60" s="352">
        <f t="shared" si="175"/>
        <v>0.19614426687398492</v>
      </c>
      <c r="CC60" s="352">
        <f t="shared" si="176"/>
        <v>9.8003199036528571E-2</v>
      </c>
      <c r="CD60" s="353">
        <f t="shared" si="177"/>
        <v>340.49610687559914</v>
      </c>
      <c r="CE60" s="353">
        <f t="shared" si="178"/>
        <v>339.8217705589941</v>
      </c>
      <c r="CF60" s="343">
        <f t="shared" si="127"/>
        <v>351.93110518232828</v>
      </c>
      <c r="CG60" s="343">
        <f t="shared" si="128"/>
        <v>351.25676886572325</v>
      </c>
      <c r="CI60" s="350">
        <v>1.0152558019291971</v>
      </c>
      <c r="CJ60" s="350">
        <v>1.0092499136102773</v>
      </c>
      <c r="CK60" s="350">
        <v>0</v>
      </c>
      <c r="CL60" s="350">
        <v>54381.458299999998</v>
      </c>
      <c r="CM60" s="350">
        <v>16795.153300000002</v>
      </c>
      <c r="CN60" s="351">
        <f t="shared" si="179"/>
        <v>183.76130014918468</v>
      </c>
      <c r="CO60" s="351">
        <f t="shared" si="180"/>
        <v>229.09973038953294</v>
      </c>
      <c r="CP60" s="352">
        <f t="shared" si="181"/>
        <v>0</v>
      </c>
      <c r="CQ60" s="352">
        <f t="shared" si="182"/>
        <v>0</v>
      </c>
      <c r="CR60" s="353">
        <f t="shared" si="183"/>
        <v>183.76130014918468</v>
      </c>
      <c r="CS60" s="353">
        <f t="shared" si="184"/>
        <v>229.09973038953294</v>
      </c>
      <c r="CT60" s="343">
        <f t="shared" si="129"/>
        <v>184.15459982360602</v>
      </c>
      <c r="CU60" s="343">
        <f t="shared" si="130"/>
        <v>229.49303006395428</v>
      </c>
      <c r="CW60" s="350">
        <v>1.5104002891016175</v>
      </c>
      <c r="CX60" s="350">
        <v>1.404382510225038</v>
      </c>
      <c r="CY60" s="350">
        <v>0</v>
      </c>
      <c r="CZ60" s="350">
        <v>25561.7958</v>
      </c>
      <c r="DA60" s="350">
        <v>7775.2866999999997</v>
      </c>
      <c r="DB60" s="351">
        <f t="shared" si="185"/>
        <v>288.48645521840893</v>
      </c>
      <c r="DC60" s="351">
        <f t="shared" si="186"/>
        <v>367.94821767895996</v>
      </c>
      <c r="DD60" s="352">
        <f t="shared" si="187"/>
        <v>0</v>
      </c>
      <c r="DE60" s="352">
        <f t="shared" si="188"/>
        <v>0</v>
      </c>
      <c r="DF60" s="353">
        <f t="shared" si="189"/>
        <v>288.48645521840893</v>
      </c>
      <c r="DG60" s="353">
        <f t="shared" si="190"/>
        <v>367.94821767895996</v>
      </c>
      <c r="DH60" s="343">
        <f t="shared" si="131"/>
        <v>288.78826550826068</v>
      </c>
      <c r="DI60" s="343">
        <f t="shared" si="132"/>
        <v>368.25002796881171</v>
      </c>
      <c r="DK60" s="350">
        <v>1.8595999999999999</v>
      </c>
      <c r="DL60" s="350">
        <v>1.6521999999999999</v>
      </c>
      <c r="DM60" s="350">
        <v>0</v>
      </c>
      <c r="DN60" s="350">
        <v>932.49170000000004</v>
      </c>
      <c r="DO60" s="350">
        <v>374.6533</v>
      </c>
      <c r="DP60" s="351">
        <f t="shared" si="191"/>
        <v>178.52159999999998</v>
      </c>
      <c r="DQ60" s="351">
        <f t="shared" si="192"/>
        <v>287.4828</v>
      </c>
      <c r="DR60" s="352">
        <f t="shared" si="193"/>
        <v>0</v>
      </c>
      <c r="DS60" s="352">
        <f t="shared" si="194"/>
        <v>0</v>
      </c>
      <c r="DT60" s="353">
        <f t="shared" si="195"/>
        <v>178.52159999999998</v>
      </c>
      <c r="DU60" s="353">
        <f t="shared" si="196"/>
        <v>287.4828</v>
      </c>
      <c r="DV60" s="343">
        <f t="shared" si="133"/>
        <v>178.77832482600471</v>
      </c>
      <c r="DW60" s="343">
        <f t="shared" si="134"/>
        <v>287.7395248260047</v>
      </c>
      <c r="EB60" s="326"/>
      <c r="EC60" s="326"/>
      <c r="ED60" s="326"/>
      <c r="EE60" s="348">
        <f t="shared" si="197"/>
        <v>140143.02913333333</v>
      </c>
      <c r="EF60" s="348">
        <f t="shared" si="198"/>
        <v>42734.355833333328</v>
      </c>
      <c r="EG60" s="348">
        <f t="shared" si="199"/>
        <v>2371.0130618806043</v>
      </c>
      <c r="EH60" s="348">
        <f t="shared" si="200"/>
        <v>3740.9708731108167</v>
      </c>
      <c r="EI60" s="354">
        <f t="shared" si="201"/>
        <v>0.76632235942611171</v>
      </c>
      <c r="EJ60" s="326"/>
      <c r="EK60" s="348">
        <f t="shared" si="202"/>
        <v>2372.8223028606872</v>
      </c>
      <c r="EL60" s="348">
        <f t="shared" si="203"/>
        <v>3739.3555035167988</v>
      </c>
      <c r="EM60" s="348">
        <f t="shared" si="83"/>
        <v>2416.0936929971995</v>
      </c>
      <c r="EN60" s="348">
        <f t="shared" si="84"/>
        <v>3782.6268936533111</v>
      </c>
      <c r="EP60" s="326"/>
      <c r="EQ60" s="326"/>
      <c r="ER60" s="326"/>
      <c r="ES60" s="348">
        <f t="shared" si="204"/>
        <v>112890.91409999999</v>
      </c>
      <c r="ET60" s="348">
        <f t="shared" si="205"/>
        <v>34098.509166666663</v>
      </c>
      <c r="EU60" s="348">
        <f t="shared" si="206"/>
        <v>2062.3884939934146</v>
      </c>
      <c r="EV60" s="348">
        <f t="shared" si="207"/>
        <v>3034.9589506224797</v>
      </c>
      <c r="EW60" s="354">
        <f t="shared" si="208"/>
        <v>0.76802066156280169</v>
      </c>
      <c r="EX60" s="326"/>
      <c r="EY60" s="348">
        <f t="shared" si="209"/>
        <v>2065.3325240551435</v>
      </c>
      <c r="EZ60" s="348">
        <f t="shared" si="210"/>
        <v>3032.2546826841535</v>
      </c>
      <c r="FA60" s="348">
        <f t="shared" si="92"/>
        <v>2098.4571698570244</v>
      </c>
      <c r="FB60" s="348">
        <f t="shared" si="93"/>
        <v>3065.3793284860344</v>
      </c>
      <c r="FD60" s="326"/>
      <c r="FE60" s="326"/>
      <c r="FF60" s="326"/>
      <c r="FG60" s="348">
        <f t="shared" si="211"/>
        <v>77089.484966666656</v>
      </c>
      <c r="FH60" s="348">
        <f t="shared" si="212"/>
        <v>24203.488266666671</v>
      </c>
      <c r="FI60" s="348">
        <f t="shared" si="213"/>
        <v>1222.1635699910389</v>
      </c>
      <c r="FJ60" s="348">
        <f t="shared" si="214"/>
        <v>1883.0429239308908</v>
      </c>
      <c r="FK60" s="354">
        <f t="shared" si="215"/>
        <v>0.76105461717553946</v>
      </c>
      <c r="FL60" s="326"/>
      <c r="FM60" s="348">
        <f t="shared" si="216"/>
        <v>1222.2615731900753</v>
      </c>
      <c r="FN60" s="348">
        <f t="shared" si="217"/>
        <v>1882.9447828630534</v>
      </c>
      <c r="FO60" s="348">
        <f t="shared" si="101"/>
        <v>1245.5019757809541</v>
      </c>
      <c r="FP60" s="348">
        <f t="shared" si="102"/>
        <v>1906.1851854539323</v>
      </c>
      <c r="FR60" s="326"/>
      <c r="FS60" s="326"/>
      <c r="FT60" s="326"/>
      <c r="FU60" s="348">
        <f t="shared" si="218"/>
        <v>46163.082500000004</v>
      </c>
      <c r="FV60" s="348">
        <f t="shared" si="219"/>
        <v>14210.41</v>
      </c>
      <c r="FW60" s="349">
        <f t="shared" si="220"/>
        <v>114.76394669109365</v>
      </c>
      <c r="FX60" s="349">
        <f t="shared" si="221"/>
        <v>165.73603622640221</v>
      </c>
      <c r="FY60" s="354">
        <f t="shared" si="222"/>
        <v>0.76462501320426346</v>
      </c>
      <c r="FZ60" s="326"/>
      <c r="GA60" s="349">
        <f t="shared" si="223"/>
        <v>116.30406069403506</v>
      </c>
      <c r="GB60" s="349">
        <f t="shared" si="224"/>
        <v>164.37053055283968</v>
      </c>
      <c r="GC60" s="349">
        <f t="shared" si="139"/>
        <v>118.6862115925622</v>
      </c>
      <c r="GD60" s="349">
        <f t="shared" si="140"/>
        <v>166.75268145136687</v>
      </c>
      <c r="GF60" s="326"/>
      <c r="GG60" s="326"/>
      <c r="GH60" s="326"/>
      <c r="GI60" s="348">
        <f t="shared" si="225"/>
        <v>79943.254099999991</v>
      </c>
      <c r="GJ60" s="348">
        <f t="shared" si="226"/>
        <v>24570.440000000002</v>
      </c>
      <c r="GK60" s="348">
        <f t="shared" si="227"/>
        <v>414.5504643239118</v>
      </c>
      <c r="GL60" s="348">
        <f t="shared" si="228"/>
        <v>523.45830453270094</v>
      </c>
      <c r="GM60" s="354">
        <f t="shared" si="229"/>
        <v>0.76490697978304445</v>
      </c>
      <c r="GN60" s="326"/>
      <c r="GO60" s="348">
        <f t="shared" si="230"/>
        <v>414.5504643239118</v>
      </c>
      <c r="GP60" s="348">
        <f t="shared" si="231"/>
        <v>523.45830453270094</v>
      </c>
      <c r="GQ60" s="348">
        <f t="shared" si="141"/>
        <v>415.18521223021457</v>
      </c>
      <c r="GR60" s="348">
        <f t="shared" si="142"/>
        <v>524.09305243900371</v>
      </c>
    </row>
    <row r="61" spans="1:200" x14ac:dyDescent="0.2">
      <c r="A61" s="320">
        <v>51</v>
      </c>
      <c r="C61" s="350">
        <v>1.6043532461427503</v>
      </c>
      <c r="D61" s="350">
        <v>1.1657984625515636</v>
      </c>
      <c r="E61" s="350">
        <v>0</v>
      </c>
      <c r="F61" s="350">
        <v>32440.28</v>
      </c>
      <c r="G61" s="350">
        <v>10538.221666666668</v>
      </c>
      <c r="H61" s="351">
        <f t="shared" si="143"/>
        <v>1646.0664305424618</v>
      </c>
      <c r="I61" s="351">
        <f t="shared" si="144"/>
        <v>2769.9371470225151</v>
      </c>
      <c r="J61" s="352">
        <f t="shared" si="145"/>
        <v>0</v>
      </c>
      <c r="K61" s="352">
        <f t="shared" si="146"/>
        <v>0</v>
      </c>
      <c r="L61" s="353">
        <f t="shared" si="147"/>
        <v>1646.0664305424618</v>
      </c>
      <c r="M61" s="353">
        <f t="shared" si="148"/>
        <v>2769.9371470225151</v>
      </c>
      <c r="N61" s="343">
        <f t="shared" si="117"/>
        <v>1674.6212401342452</v>
      </c>
      <c r="O61" s="343">
        <f t="shared" si="118"/>
        <v>2798.4919566142985</v>
      </c>
      <c r="Q61" s="350">
        <v>1.8051444286045009</v>
      </c>
      <c r="R61" s="350">
        <v>1.2462823231897071</v>
      </c>
      <c r="S61" s="350">
        <v>0</v>
      </c>
      <c r="T61" s="350">
        <v>6883.5441666666675</v>
      </c>
      <c r="U61" s="350">
        <v>1862.6058333333333</v>
      </c>
      <c r="V61" s="351">
        <f t="shared" si="149"/>
        <v>1270.8216777375685</v>
      </c>
      <c r="W61" s="351">
        <f t="shared" si="150"/>
        <v>2091.2617383123284</v>
      </c>
      <c r="X61" s="352">
        <f t="shared" si="151"/>
        <v>0</v>
      </c>
      <c r="Y61" s="352">
        <f t="shared" si="152"/>
        <v>0</v>
      </c>
      <c r="Z61" s="353">
        <f t="shared" si="153"/>
        <v>1270.8216777375685</v>
      </c>
      <c r="AA61" s="353">
        <f t="shared" si="154"/>
        <v>2091.2617383123284</v>
      </c>
      <c r="AB61" s="343">
        <f t="shared" si="119"/>
        <v>1288.1825295880612</v>
      </c>
      <c r="AC61" s="343">
        <f t="shared" si="120"/>
        <v>2108.6225901628213</v>
      </c>
      <c r="AE61" s="350">
        <v>1.8512483069600203</v>
      </c>
      <c r="AF61" s="350">
        <v>1.5674542365629105</v>
      </c>
      <c r="AG61" s="350">
        <v>0</v>
      </c>
      <c r="AH61" s="350">
        <v>1138.7583333333334</v>
      </c>
      <c r="AI61" s="350">
        <v>318.63083333333333</v>
      </c>
      <c r="AJ61" s="351">
        <f t="shared" si="155"/>
        <v>659.04439727776719</v>
      </c>
      <c r="AK61" s="351">
        <f t="shared" si="156"/>
        <v>1200.6699452071894</v>
      </c>
      <c r="AL61" s="352">
        <f t="shared" si="157"/>
        <v>0</v>
      </c>
      <c r="AM61" s="352">
        <f t="shared" si="158"/>
        <v>0</v>
      </c>
      <c r="AN61" s="353">
        <f t="shared" si="159"/>
        <v>659.04439727776719</v>
      </c>
      <c r="AO61" s="353">
        <f t="shared" si="160"/>
        <v>1200.6699452071894</v>
      </c>
      <c r="AP61" s="343">
        <f t="shared" si="121"/>
        <v>670.3024669918924</v>
      </c>
      <c r="AQ61" s="343">
        <f t="shared" si="122"/>
        <v>1211.9280149213146</v>
      </c>
      <c r="AS61" s="350">
        <v>1.9934000000000001</v>
      </c>
      <c r="AT61" s="350">
        <v>1.099664577492206</v>
      </c>
      <c r="AU61" s="350">
        <v>1.3849746569894166E-2</v>
      </c>
      <c r="AV61" s="350">
        <v>23990.043300000001</v>
      </c>
      <c r="AW61" s="350">
        <v>7222.7966999999999</v>
      </c>
      <c r="AX61" s="351">
        <f t="shared" si="161"/>
        <v>502.33680000000004</v>
      </c>
      <c r="AY61" s="351">
        <f t="shared" si="162"/>
        <v>550.93195332359517</v>
      </c>
      <c r="AZ61" s="352">
        <f t="shared" si="163"/>
        <v>2.2298091977529606</v>
      </c>
      <c r="BA61" s="352">
        <f t="shared" si="164"/>
        <v>1.1663434740473442</v>
      </c>
      <c r="BB61" s="353">
        <f t="shared" si="165"/>
        <v>503.50314347404736</v>
      </c>
      <c r="BC61" s="353">
        <f t="shared" si="166"/>
        <v>549.86848759988959</v>
      </c>
      <c r="BD61" s="343">
        <f t="shared" si="123"/>
        <v>518.22787361850862</v>
      </c>
      <c r="BE61" s="343">
        <f t="shared" si="124"/>
        <v>564.5932177443508</v>
      </c>
      <c r="BG61" s="350">
        <v>2.1375217026544711</v>
      </c>
      <c r="BH61" s="350">
        <v>1.2084998024602098</v>
      </c>
      <c r="BI61" s="350">
        <v>3.1379433333640336E-2</v>
      </c>
      <c r="BJ61" s="350">
        <v>24183.911700000001</v>
      </c>
      <c r="BK61" s="350">
        <v>7258.3257999999996</v>
      </c>
      <c r="BL61" s="351">
        <f t="shared" si="167"/>
        <v>506.59264352910964</v>
      </c>
      <c r="BM61" s="351">
        <f t="shared" si="168"/>
        <v>582.49690478582113</v>
      </c>
      <c r="BN61" s="352">
        <f t="shared" si="169"/>
        <v>5.6482980000552603</v>
      </c>
      <c r="BO61" s="352">
        <f t="shared" si="170"/>
        <v>3.0209784929353982</v>
      </c>
      <c r="BP61" s="353">
        <f t="shared" si="171"/>
        <v>509.61362202204504</v>
      </c>
      <c r="BQ61" s="353">
        <f t="shared" si="172"/>
        <v>579.86958527870127</v>
      </c>
      <c r="BR61" s="343">
        <f t="shared" si="125"/>
        <v>524.69590066490923</v>
      </c>
      <c r="BS61" s="343">
        <f t="shared" si="126"/>
        <v>594.95186392156552</v>
      </c>
      <c r="BU61" s="350">
        <v>1.9273030265535027</v>
      </c>
      <c r="BV61" s="350">
        <v>1.1628609277841695</v>
      </c>
      <c r="BW61" s="350">
        <v>2.9275263712535064E-3</v>
      </c>
      <c r="BX61" s="350">
        <v>19378.502499999999</v>
      </c>
      <c r="BY61" s="350">
        <v>6500.4674999999997</v>
      </c>
      <c r="BZ61" s="351">
        <f t="shared" si="173"/>
        <v>350.76915083273752</v>
      </c>
      <c r="CA61" s="351">
        <f t="shared" si="174"/>
        <v>356.99830482974005</v>
      </c>
      <c r="CB61" s="352">
        <f t="shared" si="175"/>
        <v>0.19614426687398492</v>
      </c>
      <c r="CC61" s="352">
        <f t="shared" si="176"/>
        <v>9.8935279117266489E-2</v>
      </c>
      <c r="CD61" s="353">
        <f t="shared" si="177"/>
        <v>350.86808611185478</v>
      </c>
      <c r="CE61" s="353">
        <f t="shared" si="178"/>
        <v>356.90109584198331</v>
      </c>
      <c r="CF61" s="343">
        <f t="shared" si="127"/>
        <v>362.30215233850322</v>
      </c>
      <c r="CG61" s="343">
        <f t="shared" si="128"/>
        <v>368.33516206863175</v>
      </c>
      <c r="CI61" s="350">
        <v>1.0203923286999379</v>
      </c>
      <c r="CJ61" s="350">
        <v>1.0151140725064516</v>
      </c>
      <c r="CK61" s="350">
        <v>0</v>
      </c>
      <c r="CL61" s="350">
        <v>49956.775000000001</v>
      </c>
      <c r="CM61" s="350">
        <v>15608.977500000001</v>
      </c>
      <c r="CN61" s="351">
        <f t="shared" si="179"/>
        <v>184.69101149468875</v>
      </c>
      <c r="CO61" s="351">
        <f t="shared" si="180"/>
        <v>230.4308944589645</v>
      </c>
      <c r="CP61" s="352">
        <f t="shared" si="181"/>
        <v>0</v>
      </c>
      <c r="CQ61" s="352">
        <f t="shared" si="182"/>
        <v>0</v>
      </c>
      <c r="CR61" s="353">
        <f t="shared" si="183"/>
        <v>184.69101149468875</v>
      </c>
      <c r="CS61" s="353">
        <f t="shared" si="184"/>
        <v>230.4308944589645</v>
      </c>
      <c r="CT61" s="343">
        <f t="shared" si="129"/>
        <v>185.08431116911009</v>
      </c>
      <c r="CU61" s="343">
        <f t="shared" si="130"/>
        <v>230.82419413338584</v>
      </c>
      <c r="CW61" s="350">
        <v>1.5720217495330946</v>
      </c>
      <c r="CX61" s="350">
        <v>1.4488830158464223</v>
      </c>
      <c r="CY61" s="350">
        <v>0</v>
      </c>
      <c r="CZ61" s="350">
        <v>23620.991699999999</v>
      </c>
      <c r="DA61" s="350">
        <v>7204.0457999999999</v>
      </c>
      <c r="DB61" s="351">
        <f t="shared" si="185"/>
        <v>300.25615416082104</v>
      </c>
      <c r="DC61" s="351">
        <f t="shared" si="186"/>
        <v>379.60735015176266</v>
      </c>
      <c r="DD61" s="352">
        <f t="shared" si="187"/>
        <v>0</v>
      </c>
      <c r="DE61" s="352">
        <f t="shared" si="188"/>
        <v>0</v>
      </c>
      <c r="DF61" s="353">
        <f t="shared" si="189"/>
        <v>300.25615416082104</v>
      </c>
      <c r="DG61" s="353">
        <f t="shared" si="190"/>
        <v>379.60735015176266</v>
      </c>
      <c r="DH61" s="343">
        <f t="shared" si="131"/>
        <v>300.55796445067278</v>
      </c>
      <c r="DI61" s="343">
        <f t="shared" si="132"/>
        <v>379.9091604416144</v>
      </c>
      <c r="DK61" s="350">
        <v>1.9554</v>
      </c>
      <c r="DL61" s="350">
        <v>1.7209000000000001</v>
      </c>
      <c r="DM61" s="350">
        <v>0</v>
      </c>
      <c r="DN61" s="350">
        <v>948.95749999999998</v>
      </c>
      <c r="DO61" s="350">
        <v>337.61750000000001</v>
      </c>
      <c r="DP61" s="351">
        <f t="shared" si="191"/>
        <v>187.7184</v>
      </c>
      <c r="DQ61" s="351">
        <f t="shared" si="192"/>
        <v>299.4366</v>
      </c>
      <c r="DR61" s="352">
        <f t="shared" si="193"/>
        <v>0</v>
      </c>
      <c r="DS61" s="352">
        <f t="shared" si="194"/>
        <v>0</v>
      </c>
      <c r="DT61" s="353">
        <f t="shared" si="195"/>
        <v>187.7184</v>
      </c>
      <c r="DU61" s="353">
        <f t="shared" si="196"/>
        <v>299.4366</v>
      </c>
      <c r="DV61" s="343">
        <f t="shared" si="133"/>
        <v>187.97512482600473</v>
      </c>
      <c r="DW61" s="343">
        <f t="shared" si="134"/>
        <v>299.6933248260047</v>
      </c>
      <c r="EB61" s="326"/>
      <c r="EC61" s="326"/>
      <c r="ED61" s="326"/>
      <c r="EE61" s="348">
        <f t="shared" si="197"/>
        <v>130008.09000000001</v>
      </c>
      <c r="EF61" s="348">
        <f t="shared" si="198"/>
        <v>40574.041666666664</v>
      </c>
      <c r="EG61" s="348">
        <f t="shared" si="199"/>
        <v>2573.2991653658073</v>
      </c>
      <c r="EH61" s="348">
        <f t="shared" si="200"/>
        <v>3854.9858749264849</v>
      </c>
      <c r="EI61" s="354">
        <f t="shared" si="201"/>
        <v>0.7621436590676911</v>
      </c>
      <c r="EJ61" s="326"/>
      <c r="EK61" s="348">
        <f t="shared" si="202"/>
        <v>2574.4655088398549</v>
      </c>
      <c r="EL61" s="348">
        <f t="shared" si="203"/>
        <v>3853.9224092027794</v>
      </c>
      <c r="EM61" s="348">
        <f t="shared" si="83"/>
        <v>2618.3797964824025</v>
      </c>
      <c r="EN61" s="348">
        <f t="shared" si="84"/>
        <v>3897.8366968453265</v>
      </c>
      <c r="EP61" s="326"/>
      <c r="EQ61" s="326"/>
      <c r="ER61" s="326"/>
      <c r="ES61" s="348">
        <f t="shared" si="204"/>
        <v>104645.22256666666</v>
      </c>
      <c r="ET61" s="348">
        <f t="shared" si="205"/>
        <v>31933.954933333334</v>
      </c>
      <c r="EU61" s="348">
        <f t="shared" si="206"/>
        <v>2172.2846406739418</v>
      </c>
      <c r="EV61" s="348">
        <f t="shared" si="207"/>
        <v>3169.9146826633478</v>
      </c>
      <c r="EW61" s="354">
        <f t="shared" si="208"/>
        <v>0.76618723645972076</v>
      </c>
      <c r="EX61" s="326"/>
      <c r="EY61" s="348">
        <f t="shared" si="209"/>
        <v>2175.305619166877</v>
      </c>
      <c r="EZ61" s="348">
        <f t="shared" si="210"/>
        <v>3167.2873631562279</v>
      </c>
      <c r="FA61" s="348">
        <f t="shared" si="92"/>
        <v>2208.3533165375516</v>
      </c>
      <c r="FB61" s="348">
        <f t="shared" si="93"/>
        <v>3200.3350605269029</v>
      </c>
      <c r="FD61" s="326"/>
      <c r="FE61" s="326"/>
      <c r="FF61" s="326"/>
      <c r="FG61" s="348">
        <f t="shared" si="211"/>
        <v>71422.993333333332</v>
      </c>
      <c r="FH61" s="348">
        <f t="shared" si="212"/>
        <v>22765.693333333336</v>
      </c>
      <c r="FI61" s="348">
        <f t="shared" si="213"/>
        <v>1307.1355996051934</v>
      </c>
      <c r="FJ61" s="348">
        <f t="shared" si="214"/>
        <v>1967.7611044958937</v>
      </c>
      <c r="FK61" s="354">
        <f t="shared" si="215"/>
        <v>0.75829694479230791</v>
      </c>
      <c r="FL61" s="326"/>
      <c r="FM61" s="348">
        <f t="shared" si="216"/>
        <v>1307.2345348843107</v>
      </c>
      <c r="FN61" s="348">
        <f t="shared" si="217"/>
        <v>1967.6638955081371</v>
      </c>
      <c r="FO61" s="348">
        <f t="shared" si="101"/>
        <v>1330.4740053951084</v>
      </c>
      <c r="FP61" s="348">
        <f t="shared" si="102"/>
        <v>1990.903366018935</v>
      </c>
      <c r="FR61" s="326"/>
      <c r="FS61" s="326"/>
      <c r="FT61" s="326"/>
      <c r="FU61" s="348">
        <f t="shared" si="218"/>
        <v>43368.5458</v>
      </c>
      <c r="FV61" s="348">
        <f t="shared" si="219"/>
        <v>13723.2642</v>
      </c>
      <c r="FW61" s="349">
        <f t="shared" si="220"/>
        <v>136.41088425053627</v>
      </c>
      <c r="FX61" s="349">
        <f t="shared" si="221"/>
        <v>174.54028364446961</v>
      </c>
      <c r="FY61" s="354">
        <f t="shared" si="222"/>
        <v>0.75962814631380582</v>
      </c>
      <c r="FZ61" s="326"/>
      <c r="GA61" s="349">
        <f t="shared" si="223"/>
        <v>137.37155162597332</v>
      </c>
      <c r="GB61" s="349">
        <f t="shared" si="224"/>
        <v>173.67065258211565</v>
      </c>
      <c r="GC61" s="349">
        <f t="shared" si="139"/>
        <v>140.33314915200486</v>
      </c>
      <c r="GD61" s="349">
        <f t="shared" si="140"/>
        <v>176.63225010814716</v>
      </c>
      <c r="GF61" s="326"/>
      <c r="GG61" s="326"/>
      <c r="GH61" s="326"/>
      <c r="GI61" s="348">
        <f t="shared" si="225"/>
        <v>73577.766700000007</v>
      </c>
      <c r="GJ61" s="348">
        <f t="shared" si="226"/>
        <v>22813.023300000001</v>
      </c>
      <c r="GK61" s="348">
        <f t="shared" si="227"/>
        <v>424.89593482334556</v>
      </c>
      <c r="GL61" s="348">
        <f t="shared" si="228"/>
        <v>534.11677458037468</v>
      </c>
      <c r="GM61" s="354">
        <f t="shared" si="229"/>
        <v>0.76332776917794742</v>
      </c>
      <c r="GN61" s="326"/>
      <c r="GO61" s="348">
        <f t="shared" si="230"/>
        <v>424.89593482334556</v>
      </c>
      <c r="GP61" s="348">
        <f t="shared" si="231"/>
        <v>534.11677458037468</v>
      </c>
      <c r="GQ61" s="348">
        <f t="shared" si="141"/>
        <v>425.53068272964833</v>
      </c>
      <c r="GR61" s="348">
        <f t="shared" si="142"/>
        <v>534.75152248667746</v>
      </c>
    </row>
    <row r="62" spans="1:200" x14ac:dyDescent="0.2">
      <c r="A62" s="320">
        <v>52</v>
      </c>
      <c r="C62" s="350">
        <v>1.6900192592449539</v>
      </c>
      <c r="D62" s="350">
        <v>1.2005110944276938</v>
      </c>
      <c r="E62" s="350">
        <v>0</v>
      </c>
      <c r="F62" s="350">
        <v>30197.355000000007</v>
      </c>
      <c r="G62" s="350">
        <v>9825.0433333333349</v>
      </c>
      <c r="H62" s="351">
        <f t="shared" si="143"/>
        <v>1733.9597599853228</v>
      </c>
      <c r="I62" s="351">
        <f t="shared" si="144"/>
        <v>2852.4143603602006</v>
      </c>
      <c r="J62" s="352">
        <f t="shared" si="145"/>
        <v>0</v>
      </c>
      <c r="K62" s="352">
        <f t="shared" si="146"/>
        <v>0</v>
      </c>
      <c r="L62" s="353">
        <f t="shared" si="147"/>
        <v>1733.9597599853228</v>
      </c>
      <c r="M62" s="353">
        <f t="shared" si="148"/>
        <v>2852.4143603602006</v>
      </c>
      <c r="N62" s="343">
        <f t="shared" si="117"/>
        <v>1762.5145695771062</v>
      </c>
      <c r="O62" s="343">
        <f t="shared" si="118"/>
        <v>2880.969169951984</v>
      </c>
      <c r="Q62" s="350">
        <v>1.917464037573533</v>
      </c>
      <c r="R62" s="350">
        <v>1.2883055328562676</v>
      </c>
      <c r="S62" s="350">
        <v>0</v>
      </c>
      <c r="T62" s="350">
        <v>6527.6666666666652</v>
      </c>
      <c r="U62" s="350">
        <v>1842.999166666667</v>
      </c>
      <c r="V62" s="351">
        <f t="shared" si="149"/>
        <v>1349.8946824517673</v>
      </c>
      <c r="W62" s="351">
        <f t="shared" si="150"/>
        <v>2161.7766841328171</v>
      </c>
      <c r="X62" s="352">
        <f t="shared" si="151"/>
        <v>0</v>
      </c>
      <c r="Y62" s="352">
        <f t="shared" si="152"/>
        <v>0</v>
      </c>
      <c r="Z62" s="353">
        <f t="shared" si="153"/>
        <v>1349.8946824517673</v>
      </c>
      <c r="AA62" s="353">
        <f t="shared" si="154"/>
        <v>2161.7766841328171</v>
      </c>
      <c r="AB62" s="343">
        <f t="shared" si="119"/>
        <v>1367.25553430226</v>
      </c>
      <c r="AC62" s="343">
        <f t="shared" si="120"/>
        <v>2179.13753598331</v>
      </c>
      <c r="AE62" s="350">
        <v>2.012317444531146</v>
      </c>
      <c r="AF62" s="350">
        <v>1.648386322523774</v>
      </c>
      <c r="AG62" s="350">
        <v>0</v>
      </c>
      <c r="AH62" s="350">
        <v>1086.7608333333335</v>
      </c>
      <c r="AI62" s="350">
        <v>247.04833333333335</v>
      </c>
      <c r="AJ62" s="351">
        <f t="shared" si="155"/>
        <v>716.38501025308801</v>
      </c>
      <c r="AK62" s="351">
        <f t="shared" si="156"/>
        <v>1262.663923053211</v>
      </c>
      <c r="AL62" s="352">
        <f t="shared" si="157"/>
        <v>0</v>
      </c>
      <c r="AM62" s="352">
        <f t="shared" si="158"/>
        <v>0</v>
      </c>
      <c r="AN62" s="353">
        <f t="shared" si="159"/>
        <v>716.38501025308801</v>
      </c>
      <c r="AO62" s="353">
        <f t="shared" si="160"/>
        <v>1262.663923053211</v>
      </c>
      <c r="AP62" s="343">
        <f t="shared" si="121"/>
        <v>727.64307996721323</v>
      </c>
      <c r="AQ62" s="343">
        <f t="shared" si="122"/>
        <v>1273.9219927673362</v>
      </c>
      <c r="AS62" s="350">
        <v>2.1442000000000001</v>
      </c>
      <c r="AT62" s="350">
        <v>1.1691794881295068</v>
      </c>
      <c r="AU62" s="350">
        <v>9.7497065042642574E-3</v>
      </c>
      <c r="AV62" s="350">
        <v>22411.005000000001</v>
      </c>
      <c r="AW62" s="350">
        <v>6733.7367000000004</v>
      </c>
      <c r="AX62" s="351">
        <f t="shared" si="161"/>
        <v>540.33839999999998</v>
      </c>
      <c r="AY62" s="351">
        <f t="shared" si="162"/>
        <v>585.75892355288295</v>
      </c>
      <c r="AZ62" s="352">
        <f t="shared" si="163"/>
        <v>1.5697027471865455</v>
      </c>
      <c r="BA62" s="352">
        <f t="shared" si="164"/>
        <v>0.81650792720920162</v>
      </c>
      <c r="BB62" s="353">
        <f t="shared" si="165"/>
        <v>541.15490792720914</v>
      </c>
      <c r="BC62" s="353">
        <f t="shared" si="166"/>
        <v>585.0057287329056</v>
      </c>
      <c r="BD62" s="343">
        <f t="shared" si="123"/>
        <v>556.22947361850856</v>
      </c>
      <c r="BE62" s="343">
        <f t="shared" si="124"/>
        <v>600.08029442420502</v>
      </c>
      <c r="BG62" s="350">
        <v>2.2849972862793426</v>
      </c>
      <c r="BH62" s="350">
        <v>1.2849547625133535</v>
      </c>
      <c r="BI62" s="350">
        <v>3.1379433333640336E-2</v>
      </c>
      <c r="BJ62" s="350">
        <v>22519.005000000001</v>
      </c>
      <c r="BK62" s="350">
        <v>6775.0483000000004</v>
      </c>
      <c r="BL62" s="351">
        <f t="shared" si="167"/>
        <v>541.54435684820419</v>
      </c>
      <c r="BM62" s="351">
        <f t="shared" si="168"/>
        <v>619.34819553143643</v>
      </c>
      <c r="BN62" s="352">
        <f t="shared" si="169"/>
        <v>5.6482980000552603</v>
      </c>
      <c r="BO62" s="352">
        <f t="shared" si="170"/>
        <v>3.0134254604245476</v>
      </c>
      <c r="BP62" s="353">
        <f t="shared" si="171"/>
        <v>544.5577823086287</v>
      </c>
      <c r="BQ62" s="353">
        <f t="shared" si="172"/>
        <v>616.71332299180574</v>
      </c>
      <c r="BR62" s="343">
        <f t="shared" si="125"/>
        <v>559.64761398400378</v>
      </c>
      <c r="BS62" s="343">
        <f t="shared" si="126"/>
        <v>631.80315466718082</v>
      </c>
      <c r="BU62" s="350">
        <v>2.0538864126886032</v>
      </c>
      <c r="BV62" s="350">
        <v>1.2136806184868771</v>
      </c>
      <c r="BW62" s="350">
        <v>2.9275263712535064E-3</v>
      </c>
      <c r="BX62" s="350">
        <v>17796.1433</v>
      </c>
      <c r="BY62" s="350">
        <v>6058.9782999999998</v>
      </c>
      <c r="BZ62" s="351">
        <f t="shared" si="173"/>
        <v>373.8073271093258</v>
      </c>
      <c r="CA62" s="351">
        <f t="shared" si="174"/>
        <v>372.59994987547128</v>
      </c>
      <c r="CB62" s="352">
        <f t="shared" si="175"/>
        <v>0.19614426687398492</v>
      </c>
      <c r="CC62" s="352">
        <f t="shared" si="176"/>
        <v>9.7913493422568026E-2</v>
      </c>
      <c r="CD62" s="353">
        <f t="shared" si="177"/>
        <v>373.90524060274839</v>
      </c>
      <c r="CE62" s="353">
        <f t="shared" si="178"/>
        <v>372.50171910201988</v>
      </c>
      <c r="CF62" s="343">
        <f t="shared" si="127"/>
        <v>385.34032861509149</v>
      </c>
      <c r="CG62" s="343">
        <f t="shared" si="128"/>
        <v>383.93680711436298</v>
      </c>
      <c r="CI62" s="350">
        <v>1.0257519414315441</v>
      </c>
      <c r="CJ62" s="350">
        <v>1.0198059323132591</v>
      </c>
      <c r="CK62" s="350">
        <v>0</v>
      </c>
      <c r="CL62" s="350">
        <v>46493.853300000002</v>
      </c>
      <c r="CM62" s="350">
        <v>14575.2925</v>
      </c>
      <c r="CN62" s="351">
        <f t="shared" si="179"/>
        <v>185.6611013991095</v>
      </c>
      <c r="CO62" s="351">
        <f t="shared" si="180"/>
        <v>231.49594663510982</v>
      </c>
      <c r="CP62" s="352">
        <f t="shared" si="181"/>
        <v>0</v>
      </c>
      <c r="CQ62" s="352">
        <f t="shared" si="182"/>
        <v>0</v>
      </c>
      <c r="CR62" s="353">
        <f t="shared" si="183"/>
        <v>185.6611013991095</v>
      </c>
      <c r="CS62" s="353">
        <f t="shared" si="184"/>
        <v>231.49594663510982</v>
      </c>
      <c r="CT62" s="343">
        <f t="shared" si="129"/>
        <v>186.05440107353084</v>
      </c>
      <c r="CU62" s="343">
        <f t="shared" si="130"/>
        <v>231.88924630953116</v>
      </c>
      <c r="CW62" s="350">
        <v>1.6329891441151363</v>
      </c>
      <c r="CX62" s="350">
        <v>1.4928082468289381</v>
      </c>
      <c r="CY62" s="350">
        <v>0</v>
      </c>
      <c r="CZ62" s="350">
        <v>22068.540799999999</v>
      </c>
      <c r="DA62" s="350">
        <v>6910.7916999999998</v>
      </c>
      <c r="DB62" s="351">
        <f t="shared" si="185"/>
        <v>311.90092652599105</v>
      </c>
      <c r="DC62" s="351">
        <f t="shared" si="186"/>
        <v>391.11576066918178</v>
      </c>
      <c r="DD62" s="352">
        <f t="shared" si="187"/>
        <v>0</v>
      </c>
      <c r="DE62" s="352">
        <f t="shared" si="188"/>
        <v>0</v>
      </c>
      <c r="DF62" s="353">
        <f t="shared" si="189"/>
        <v>311.90092652599105</v>
      </c>
      <c r="DG62" s="353">
        <f t="shared" si="190"/>
        <v>391.11576066918178</v>
      </c>
      <c r="DH62" s="343">
        <f t="shared" si="131"/>
        <v>312.2027368158428</v>
      </c>
      <c r="DI62" s="343">
        <f t="shared" si="132"/>
        <v>391.41757095903353</v>
      </c>
      <c r="DK62" s="350">
        <v>2.0461999999999998</v>
      </c>
      <c r="DL62" s="350">
        <v>1.7904</v>
      </c>
      <c r="DM62" s="350">
        <v>0</v>
      </c>
      <c r="DN62" s="350">
        <v>918.93420000000003</v>
      </c>
      <c r="DO62" s="350">
        <v>319.7525</v>
      </c>
      <c r="DP62" s="351">
        <f t="shared" si="191"/>
        <v>196.43519999999998</v>
      </c>
      <c r="DQ62" s="351">
        <f t="shared" si="192"/>
        <v>311.52960000000002</v>
      </c>
      <c r="DR62" s="352">
        <f t="shared" si="193"/>
        <v>0</v>
      </c>
      <c r="DS62" s="352">
        <f t="shared" si="194"/>
        <v>0</v>
      </c>
      <c r="DT62" s="353">
        <f t="shared" si="195"/>
        <v>196.43519999999998</v>
      </c>
      <c r="DU62" s="353">
        <f t="shared" si="196"/>
        <v>311.52960000000002</v>
      </c>
      <c r="DV62" s="343">
        <f t="shared" si="133"/>
        <v>196.69192482600471</v>
      </c>
      <c r="DW62" s="343">
        <f t="shared" si="134"/>
        <v>311.78632482600472</v>
      </c>
      <c r="EB62" s="326"/>
      <c r="EC62" s="326"/>
      <c r="ED62" s="326"/>
      <c r="EE62" s="348">
        <f t="shared" si="197"/>
        <v>121170.75410000001</v>
      </c>
      <c r="EF62" s="348">
        <f t="shared" si="198"/>
        <v>38044.864233333334</v>
      </c>
      <c r="EG62" s="348">
        <f t="shared" si="199"/>
        <v>2709.4800026052253</v>
      </c>
      <c r="EH62" s="348">
        <f t="shared" si="200"/>
        <v>3982.5618390835389</v>
      </c>
      <c r="EI62" s="354">
        <f t="shared" si="201"/>
        <v>0.7610481645482623</v>
      </c>
      <c r="EJ62" s="326"/>
      <c r="EK62" s="348">
        <f t="shared" si="202"/>
        <v>2710.2965105324342</v>
      </c>
      <c r="EL62" s="348">
        <f t="shared" si="203"/>
        <v>3981.8086442635613</v>
      </c>
      <c r="EM62" s="348">
        <f t="shared" si="83"/>
        <v>2754.5606337218196</v>
      </c>
      <c r="EN62" s="348">
        <f t="shared" si="84"/>
        <v>4026.0727674529471</v>
      </c>
      <c r="EP62" s="326"/>
      <c r="EQ62" s="326"/>
      <c r="ER62" s="326"/>
      <c r="ES62" s="348">
        <f t="shared" si="204"/>
        <v>97609.065766666667</v>
      </c>
      <c r="ET62" s="348">
        <f t="shared" si="205"/>
        <v>30104.131666666668</v>
      </c>
      <c r="EU62" s="348">
        <f t="shared" si="206"/>
        <v>2295.4307892672746</v>
      </c>
      <c r="EV62" s="348">
        <f t="shared" si="207"/>
        <v>3286.4018587677906</v>
      </c>
      <c r="EW62" s="354">
        <f t="shared" si="208"/>
        <v>0.76428331392782556</v>
      </c>
      <c r="EX62" s="326"/>
      <c r="EY62" s="348">
        <f t="shared" si="209"/>
        <v>2298.4442147276991</v>
      </c>
      <c r="EZ62" s="348">
        <f t="shared" si="210"/>
        <v>3283.76698622816</v>
      </c>
      <c r="FA62" s="348">
        <f t="shared" si="92"/>
        <v>2331.4994651308843</v>
      </c>
      <c r="FB62" s="348">
        <f t="shared" si="93"/>
        <v>3316.8222366313457</v>
      </c>
      <c r="FD62" s="326"/>
      <c r="FE62" s="326"/>
      <c r="FF62" s="326"/>
      <c r="FG62" s="348">
        <f t="shared" si="211"/>
        <v>66295.691633333336</v>
      </c>
      <c r="FH62" s="348">
        <f t="shared" si="212"/>
        <v>21201.071633333329</v>
      </c>
      <c r="FI62" s="348">
        <f t="shared" si="213"/>
        <v>1393.7145587615232</v>
      </c>
      <c r="FJ62" s="348">
        <f t="shared" si="214"/>
        <v>2053.6775795637918</v>
      </c>
      <c r="FK62" s="354">
        <f t="shared" si="215"/>
        <v>0.75769307524304474</v>
      </c>
      <c r="FL62" s="326"/>
      <c r="FM62" s="348">
        <f t="shared" si="216"/>
        <v>1393.812472254946</v>
      </c>
      <c r="FN62" s="348">
        <f t="shared" si="217"/>
        <v>2053.5793487903406</v>
      </c>
      <c r="FO62" s="348">
        <f t="shared" si="101"/>
        <v>1417.0529645514384</v>
      </c>
      <c r="FP62" s="348">
        <f t="shared" si="102"/>
        <v>2076.8198410868335</v>
      </c>
      <c r="FR62" s="326"/>
      <c r="FS62" s="326"/>
      <c r="FT62" s="326"/>
      <c r="FU62" s="348">
        <f t="shared" si="218"/>
        <v>40207.148300000001</v>
      </c>
      <c r="FV62" s="348">
        <f t="shared" si="219"/>
        <v>12792.715</v>
      </c>
      <c r="FW62" s="349">
        <f t="shared" si="220"/>
        <v>149.87796560160677</v>
      </c>
      <c r="FX62" s="349">
        <f t="shared" si="221"/>
        <v>191.84307630967049</v>
      </c>
      <c r="FY62" s="354">
        <f t="shared" si="222"/>
        <v>0.75862739630877507</v>
      </c>
      <c r="FZ62" s="326"/>
      <c r="GA62" s="349">
        <f t="shared" si="223"/>
        <v>150.52470059201468</v>
      </c>
      <c r="GB62" s="349">
        <f t="shared" si="224"/>
        <v>191.25360866779715</v>
      </c>
      <c r="GC62" s="349">
        <f t="shared" si="139"/>
        <v>153.80023050307537</v>
      </c>
      <c r="GD62" s="349">
        <f t="shared" si="140"/>
        <v>194.52913857885784</v>
      </c>
      <c r="GF62" s="326"/>
      <c r="GG62" s="326"/>
      <c r="GH62" s="326"/>
      <c r="GI62" s="348">
        <f t="shared" si="225"/>
        <v>68562.394100000005</v>
      </c>
      <c r="GJ62" s="348">
        <f t="shared" si="226"/>
        <v>21486.084199999998</v>
      </c>
      <c r="GK62" s="348">
        <f t="shared" si="227"/>
        <v>435.18184261990234</v>
      </c>
      <c r="GL62" s="348">
        <f t="shared" si="228"/>
        <v>544.38855517045522</v>
      </c>
      <c r="GM62" s="354">
        <f t="shared" si="229"/>
        <v>0.76139425556511597</v>
      </c>
      <c r="GN62" s="326"/>
      <c r="GO62" s="348">
        <f t="shared" si="230"/>
        <v>435.18184261990234</v>
      </c>
      <c r="GP62" s="348">
        <f t="shared" si="231"/>
        <v>544.38855517045522</v>
      </c>
      <c r="GQ62" s="348">
        <f t="shared" si="141"/>
        <v>435.81659052620512</v>
      </c>
      <c r="GR62" s="348">
        <f t="shared" si="142"/>
        <v>545.023303076758</v>
      </c>
    </row>
    <row r="63" spans="1:200" x14ac:dyDescent="0.2">
      <c r="A63" s="320">
        <v>53</v>
      </c>
      <c r="C63" s="350">
        <v>1.7815324014346492</v>
      </c>
      <c r="D63" s="350">
        <v>1.237415338299894</v>
      </c>
      <c r="E63" s="350">
        <v>0</v>
      </c>
      <c r="F63" s="350">
        <v>28163.30333333333</v>
      </c>
      <c r="G63" s="350">
        <v>9344.2166666666653</v>
      </c>
      <c r="H63" s="351">
        <f t="shared" si="143"/>
        <v>1827.8522438719501</v>
      </c>
      <c r="I63" s="351">
        <f t="shared" si="144"/>
        <v>2940.0988438005484</v>
      </c>
      <c r="J63" s="352">
        <f t="shared" si="145"/>
        <v>0</v>
      </c>
      <c r="K63" s="352">
        <f t="shared" si="146"/>
        <v>0</v>
      </c>
      <c r="L63" s="353">
        <f t="shared" si="147"/>
        <v>1827.8522438719501</v>
      </c>
      <c r="M63" s="353">
        <f t="shared" si="148"/>
        <v>2940.0988438005484</v>
      </c>
      <c r="N63" s="343">
        <f t="shared" si="117"/>
        <v>1856.4070534637335</v>
      </c>
      <c r="O63" s="343">
        <f t="shared" si="118"/>
        <v>2968.6536533923318</v>
      </c>
      <c r="Q63" s="350">
        <v>2.0371544310149616</v>
      </c>
      <c r="R63" s="350">
        <v>1.3331600283270451</v>
      </c>
      <c r="S63" s="350">
        <v>0</v>
      </c>
      <c r="T63" s="350">
        <v>6257.9283333333324</v>
      </c>
      <c r="U63" s="350">
        <v>1683.5324999999998</v>
      </c>
      <c r="V63" s="351">
        <f t="shared" si="149"/>
        <v>1434.156719434533</v>
      </c>
      <c r="W63" s="351">
        <f t="shared" si="150"/>
        <v>2237.0425275327816</v>
      </c>
      <c r="X63" s="352">
        <f t="shared" si="151"/>
        <v>0</v>
      </c>
      <c r="Y63" s="352">
        <f t="shared" si="152"/>
        <v>0</v>
      </c>
      <c r="Z63" s="353">
        <f t="shared" si="153"/>
        <v>1434.156719434533</v>
      </c>
      <c r="AA63" s="353">
        <f t="shared" si="154"/>
        <v>2237.0425275327816</v>
      </c>
      <c r="AB63" s="343">
        <f t="shared" si="119"/>
        <v>1451.5175712850257</v>
      </c>
      <c r="AC63" s="343">
        <f t="shared" si="120"/>
        <v>2254.4033793832746</v>
      </c>
      <c r="AE63" s="350">
        <v>2.1930468332050959</v>
      </c>
      <c r="AF63" s="350">
        <v>1.7326264854540372</v>
      </c>
      <c r="AG63" s="350">
        <v>0</v>
      </c>
      <c r="AH63" s="350">
        <v>1032.9058333333332</v>
      </c>
      <c r="AI63" s="350">
        <v>232.8</v>
      </c>
      <c r="AJ63" s="351">
        <f t="shared" si="155"/>
        <v>780.72467262101418</v>
      </c>
      <c r="AK63" s="351">
        <f t="shared" si="156"/>
        <v>1327.1918878577924</v>
      </c>
      <c r="AL63" s="352">
        <f t="shared" si="157"/>
        <v>0</v>
      </c>
      <c r="AM63" s="352">
        <f t="shared" si="158"/>
        <v>0</v>
      </c>
      <c r="AN63" s="353">
        <f t="shared" si="159"/>
        <v>780.72467262101418</v>
      </c>
      <c r="AO63" s="353">
        <f t="shared" si="160"/>
        <v>1327.1918878577924</v>
      </c>
      <c r="AP63" s="343">
        <f t="shared" si="121"/>
        <v>791.98274233513939</v>
      </c>
      <c r="AQ63" s="343">
        <f t="shared" si="122"/>
        <v>1338.4499575719176</v>
      </c>
      <c r="AS63" s="350">
        <v>2.3128000000000002</v>
      </c>
      <c r="AT63" s="350">
        <v>1.2415716632593239</v>
      </c>
      <c r="AU63" s="350">
        <v>9.7497065042642574E-3</v>
      </c>
      <c r="AV63" s="350">
        <v>20886.793300000001</v>
      </c>
      <c r="AW63" s="350">
        <v>6415.5066999999999</v>
      </c>
      <c r="AX63" s="351">
        <f t="shared" si="161"/>
        <v>582.82560000000001</v>
      </c>
      <c r="AY63" s="351">
        <f t="shared" si="162"/>
        <v>622.02740329292124</v>
      </c>
      <c r="AZ63" s="352">
        <f t="shared" si="163"/>
        <v>1.5697027471865455</v>
      </c>
      <c r="BA63" s="352">
        <f t="shared" si="164"/>
        <v>0.81038775776436522</v>
      </c>
      <c r="BB63" s="353">
        <f t="shared" si="165"/>
        <v>583.63598775776438</v>
      </c>
      <c r="BC63" s="353">
        <f t="shared" si="166"/>
        <v>621.2680883034991</v>
      </c>
      <c r="BD63" s="343">
        <f t="shared" si="123"/>
        <v>598.71667361850859</v>
      </c>
      <c r="BE63" s="343">
        <f t="shared" si="124"/>
        <v>636.34877416424331</v>
      </c>
      <c r="BG63" s="350">
        <v>2.4672021860440982</v>
      </c>
      <c r="BH63" s="350">
        <v>1.3454143852449842</v>
      </c>
      <c r="BI63" s="350">
        <v>1.8361314546080774E-2</v>
      </c>
      <c r="BJ63" s="350">
        <v>21051.293300000001</v>
      </c>
      <c r="BK63" s="350">
        <v>6442.09</v>
      </c>
      <c r="BL63" s="351">
        <f t="shared" si="167"/>
        <v>584.72691809245123</v>
      </c>
      <c r="BM63" s="351">
        <f t="shared" si="168"/>
        <v>648.48973368808242</v>
      </c>
      <c r="BN63" s="352">
        <f t="shared" si="169"/>
        <v>3.3050366182945394</v>
      </c>
      <c r="BO63" s="352">
        <f t="shared" si="170"/>
        <v>1.7379608954620331</v>
      </c>
      <c r="BP63" s="353">
        <f t="shared" si="171"/>
        <v>586.46487898791327</v>
      </c>
      <c r="BQ63" s="353">
        <f t="shared" si="172"/>
        <v>646.92265796524987</v>
      </c>
      <c r="BR63" s="343">
        <f t="shared" si="125"/>
        <v>602.83017522825082</v>
      </c>
      <c r="BS63" s="343">
        <f t="shared" si="126"/>
        <v>663.28795420558743</v>
      </c>
      <c r="BU63" s="350">
        <v>2.2102477965794685</v>
      </c>
      <c r="BV63" s="350">
        <v>1.2730265898538902</v>
      </c>
      <c r="BW63" s="350">
        <v>2.9275263712535064E-3</v>
      </c>
      <c r="BX63" s="350">
        <v>16374.08</v>
      </c>
      <c r="BY63" s="350">
        <v>5577.6149999999998</v>
      </c>
      <c r="BZ63" s="351">
        <f t="shared" si="173"/>
        <v>402.26509897746325</v>
      </c>
      <c r="CA63" s="351">
        <f t="shared" si="174"/>
        <v>390.81916308514428</v>
      </c>
      <c r="CB63" s="352">
        <f t="shared" si="175"/>
        <v>0.19614426687398492</v>
      </c>
      <c r="CC63" s="352">
        <f t="shared" si="176"/>
        <v>9.66567386222935E-2</v>
      </c>
      <c r="CD63" s="353">
        <f t="shared" si="177"/>
        <v>402.36175571608555</v>
      </c>
      <c r="CE63" s="353">
        <f t="shared" si="178"/>
        <v>390.71967555689258</v>
      </c>
      <c r="CF63" s="343">
        <f t="shared" si="127"/>
        <v>413.79810048322895</v>
      </c>
      <c r="CG63" s="343">
        <f t="shared" si="128"/>
        <v>402.15602032403598</v>
      </c>
      <c r="CI63" s="350">
        <v>1.0315979470898919</v>
      </c>
      <c r="CJ63" s="350">
        <v>1.0214085710776002</v>
      </c>
      <c r="CK63" s="350">
        <v>0</v>
      </c>
      <c r="CL63" s="350">
        <v>41803.39</v>
      </c>
      <c r="CM63" s="350">
        <v>13578.3233</v>
      </c>
      <c r="CN63" s="351">
        <f t="shared" si="179"/>
        <v>186.71922842327044</v>
      </c>
      <c r="CO63" s="351">
        <f t="shared" si="180"/>
        <v>231.85974563461525</v>
      </c>
      <c r="CP63" s="352">
        <f t="shared" si="181"/>
        <v>0</v>
      </c>
      <c r="CQ63" s="352">
        <f t="shared" si="182"/>
        <v>0</v>
      </c>
      <c r="CR63" s="353">
        <f t="shared" si="183"/>
        <v>186.71922842327044</v>
      </c>
      <c r="CS63" s="353">
        <f t="shared" si="184"/>
        <v>231.85974563461525</v>
      </c>
      <c r="CT63" s="343">
        <f t="shared" si="129"/>
        <v>187.11252809769178</v>
      </c>
      <c r="CU63" s="343">
        <f t="shared" si="130"/>
        <v>232.25304530903659</v>
      </c>
      <c r="CW63" s="350">
        <v>1.6919473578966373</v>
      </c>
      <c r="CX63" s="350">
        <v>1.5355501728239824</v>
      </c>
      <c r="CY63" s="350">
        <v>0</v>
      </c>
      <c r="CZ63" s="350">
        <v>19897.083299999998</v>
      </c>
      <c r="DA63" s="350">
        <v>6483.42</v>
      </c>
      <c r="DB63" s="351">
        <f t="shared" si="185"/>
        <v>323.16194535825775</v>
      </c>
      <c r="DC63" s="351">
        <f t="shared" si="186"/>
        <v>402.31414527988341</v>
      </c>
      <c r="DD63" s="352">
        <f t="shared" si="187"/>
        <v>0</v>
      </c>
      <c r="DE63" s="352">
        <f t="shared" si="188"/>
        <v>0</v>
      </c>
      <c r="DF63" s="353">
        <f t="shared" si="189"/>
        <v>323.16194535825775</v>
      </c>
      <c r="DG63" s="353">
        <f t="shared" si="190"/>
        <v>402.31414527988341</v>
      </c>
      <c r="DH63" s="343">
        <f t="shared" si="131"/>
        <v>323.4637556481095</v>
      </c>
      <c r="DI63" s="343">
        <f t="shared" si="132"/>
        <v>402.61595556973515</v>
      </c>
      <c r="DK63" s="350">
        <v>2.1335999999999999</v>
      </c>
      <c r="DL63" s="350">
        <v>1.8580000000000001</v>
      </c>
      <c r="DM63" s="350">
        <v>0</v>
      </c>
      <c r="DN63" s="350">
        <v>791.01080000000002</v>
      </c>
      <c r="DO63" s="350">
        <v>318.31420000000003</v>
      </c>
      <c r="DP63" s="351">
        <f t="shared" si="191"/>
        <v>204.82560000000001</v>
      </c>
      <c r="DQ63" s="351">
        <f t="shared" si="192"/>
        <v>323.29200000000003</v>
      </c>
      <c r="DR63" s="352">
        <f t="shared" si="193"/>
        <v>0</v>
      </c>
      <c r="DS63" s="352">
        <f t="shared" si="194"/>
        <v>0</v>
      </c>
      <c r="DT63" s="353">
        <f t="shared" si="195"/>
        <v>204.82560000000001</v>
      </c>
      <c r="DU63" s="353">
        <f t="shared" si="196"/>
        <v>323.29200000000003</v>
      </c>
      <c r="DV63" s="343">
        <f t="shared" si="133"/>
        <v>205.08232482600474</v>
      </c>
      <c r="DW63" s="343">
        <f t="shared" si="134"/>
        <v>323.54872482600473</v>
      </c>
      <c r="EB63" s="326"/>
      <c r="EC63" s="326"/>
      <c r="ED63" s="326"/>
      <c r="EE63" s="348">
        <f t="shared" si="197"/>
        <v>110750.56993333333</v>
      </c>
      <c r="EF63" s="348">
        <f t="shared" si="198"/>
        <v>35821.466666666667</v>
      </c>
      <c r="EG63" s="348">
        <f t="shared" si="199"/>
        <v>2855.9266285818271</v>
      </c>
      <c r="EH63" s="348">
        <f t="shared" si="200"/>
        <v>4115.8373089519919</v>
      </c>
      <c r="EI63" s="354">
        <f t="shared" si="201"/>
        <v>0.75560504242412452</v>
      </c>
      <c r="EJ63" s="326"/>
      <c r="EK63" s="348">
        <f t="shared" si="202"/>
        <v>2856.7370163395913</v>
      </c>
      <c r="EL63" s="348">
        <f t="shared" si="203"/>
        <v>4115.0779939625691</v>
      </c>
      <c r="EM63" s="348">
        <f t="shared" si="83"/>
        <v>2901.0072596984214</v>
      </c>
      <c r="EN63" s="348">
        <f t="shared" si="84"/>
        <v>4159.3482373214001</v>
      </c>
      <c r="EP63" s="326"/>
      <c r="EQ63" s="326"/>
      <c r="ER63" s="326"/>
      <c r="ES63" s="348">
        <f t="shared" si="204"/>
        <v>89009.694933333332</v>
      </c>
      <c r="ET63" s="348">
        <f t="shared" si="205"/>
        <v>28187.3658</v>
      </c>
      <c r="EU63" s="348">
        <f t="shared" si="206"/>
        <v>2431.8162277010351</v>
      </c>
      <c r="EV63" s="348">
        <f t="shared" si="207"/>
        <v>3399.0119085513975</v>
      </c>
      <c r="EW63" s="354">
        <f t="shared" si="208"/>
        <v>0.75948743403952179</v>
      </c>
      <c r="EX63" s="326"/>
      <c r="EY63" s="348">
        <f t="shared" si="209"/>
        <v>2433.5541885964972</v>
      </c>
      <c r="EZ63" s="348">
        <f t="shared" si="210"/>
        <v>3397.4448328285653</v>
      </c>
      <c r="FA63" s="348">
        <f t="shared" si="92"/>
        <v>2467.8849035646449</v>
      </c>
      <c r="FB63" s="348">
        <f t="shared" si="93"/>
        <v>3431.7755477967135</v>
      </c>
      <c r="FD63" s="326"/>
      <c r="FE63" s="326"/>
      <c r="FF63" s="326"/>
      <c r="FG63" s="348">
        <f t="shared" si="211"/>
        <v>60001.386633333328</v>
      </c>
      <c r="FH63" s="348">
        <f t="shared" si="212"/>
        <v>19707.052500000002</v>
      </c>
      <c r="FI63" s="348">
        <f t="shared" si="213"/>
        <v>1492.6043600217479</v>
      </c>
      <c r="FJ63" s="348">
        <f t="shared" si="214"/>
        <v>2143.8459965775519</v>
      </c>
      <c r="FK63" s="354">
        <f t="shared" si="215"/>
        <v>0.75276077772599748</v>
      </c>
      <c r="FL63" s="326"/>
      <c r="FM63" s="348">
        <f t="shared" si="216"/>
        <v>1492.7010167603701</v>
      </c>
      <c r="FN63" s="348">
        <f t="shared" si="217"/>
        <v>2143.7465090493001</v>
      </c>
      <c r="FO63" s="348">
        <f t="shared" si="101"/>
        <v>1515.9427658116629</v>
      </c>
      <c r="FP63" s="348">
        <f t="shared" si="102"/>
        <v>2166.9882581005932</v>
      </c>
      <c r="FR63" s="326"/>
      <c r="FS63" s="326"/>
      <c r="FT63" s="326"/>
      <c r="FU63" s="348">
        <f t="shared" si="218"/>
        <v>37260.873299999999</v>
      </c>
      <c r="FV63" s="348">
        <f t="shared" si="219"/>
        <v>11993.1217</v>
      </c>
      <c r="FW63" s="349">
        <f t="shared" si="220"/>
        <v>162.50445092028309</v>
      </c>
      <c r="FX63" s="349">
        <f t="shared" si="221"/>
        <v>208.08741618699926</v>
      </c>
      <c r="FY63" s="354">
        <f t="shared" si="222"/>
        <v>0.75650459013527738</v>
      </c>
      <c r="FZ63" s="326"/>
      <c r="GA63" s="349">
        <f t="shared" si="223"/>
        <v>163.14680883751095</v>
      </c>
      <c r="GB63" s="349">
        <f t="shared" si="224"/>
        <v>207.49357147194587</v>
      </c>
      <c r="GC63" s="349">
        <f t="shared" si="139"/>
        <v>166.42671582175169</v>
      </c>
      <c r="GD63" s="349">
        <f t="shared" si="140"/>
        <v>210.77347845618661</v>
      </c>
      <c r="GF63" s="326"/>
      <c r="GG63" s="326"/>
      <c r="GH63" s="326"/>
      <c r="GI63" s="348">
        <f t="shared" si="225"/>
        <v>61700.473299999998</v>
      </c>
      <c r="GJ63" s="348">
        <f t="shared" si="226"/>
        <v>20061.743300000002</v>
      </c>
      <c r="GK63" s="348">
        <f t="shared" si="227"/>
        <v>445.24878470987665</v>
      </c>
      <c r="GL63" s="348">
        <f t="shared" si="228"/>
        <v>553.71106185852204</v>
      </c>
      <c r="GM63" s="354">
        <f t="shared" si="229"/>
        <v>0.75463307950484304</v>
      </c>
      <c r="GN63" s="326"/>
      <c r="GO63" s="348">
        <f t="shared" si="230"/>
        <v>445.24878470987665</v>
      </c>
      <c r="GP63" s="348">
        <f t="shared" si="231"/>
        <v>553.71106185852204</v>
      </c>
      <c r="GQ63" s="348">
        <f t="shared" si="141"/>
        <v>445.88353261617937</v>
      </c>
      <c r="GR63" s="348">
        <f t="shared" si="142"/>
        <v>554.34580976482471</v>
      </c>
    </row>
    <row r="64" spans="1:200" x14ac:dyDescent="0.2">
      <c r="A64" s="320">
        <v>54</v>
      </c>
      <c r="C64" s="350">
        <v>1.8790188271445545</v>
      </c>
      <c r="D64" s="350">
        <v>1.2762243057645017</v>
      </c>
      <c r="E64" s="350">
        <v>0</v>
      </c>
      <c r="F64" s="350">
        <v>25605.648333333331</v>
      </c>
      <c r="G64" s="350">
        <v>8734.5091666666667</v>
      </c>
      <c r="H64" s="351">
        <f t="shared" si="143"/>
        <v>1927.873316650313</v>
      </c>
      <c r="I64" s="351">
        <f t="shared" si="144"/>
        <v>3032.308950496456</v>
      </c>
      <c r="J64" s="352">
        <f t="shared" si="145"/>
        <v>0</v>
      </c>
      <c r="K64" s="352">
        <f t="shared" si="146"/>
        <v>0</v>
      </c>
      <c r="L64" s="353">
        <f t="shared" si="147"/>
        <v>1927.873316650313</v>
      </c>
      <c r="M64" s="353">
        <f t="shared" si="148"/>
        <v>3032.308950496456</v>
      </c>
      <c r="N64" s="343">
        <f t="shared" si="117"/>
        <v>1956.4281262420964</v>
      </c>
      <c r="O64" s="343">
        <f t="shared" si="118"/>
        <v>3060.8637600882394</v>
      </c>
      <c r="Q64" s="350">
        <v>2.1644453739575078</v>
      </c>
      <c r="R64" s="350">
        <v>1.3806679425982575</v>
      </c>
      <c r="S64" s="350">
        <v>0</v>
      </c>
      <c r="T64" s="350">
        <v>5789.2858333333334</v>
      </c>
      <c r="U64" s="350">
        <v>1608.9375</v>
      </c>
      <c r="V64" s="351">
        <f t="shared" si="149"/>
        <v>1523.7695432660855</v>
      </c>
      <c r="W64" s="351">
        <f t="shared" si="150"/>
        <v>2316.7608076798761</v>
      </c>
      <c r="X64" s="352">
        <f t="shared" si="151"/>
        <v>0</v>
      </c>
      <c r="Y64" s="352">
        <f t="shared" si="152"/>
        <v>0</v>
      </c>
      <c r="Z64" s="353">
        <f t="shared" si="153"/>
        <v>1523.7695432660855</v>
      </c>
      <c r="AA64" s="353">
        <f t="shared" si="154"/>
        <v>2316.7608076798761</v>
      </c>
      <c r="AB64" s="343">
        <f t="shared" si="119"/>
        <v>1541.1303951165783</v>
      </c>
      <c r="AC64" s="343">
        <f t="shared" si="120"/>
        <v>2334.121659530369</v>
      </c>
      <c r="AE64" s="350">
        <v>2.3928471122259092</v>
      </c>
      <c r="AF64" s="350">
        <v>1.8199135415169567</v>
      </c>
      <c r="AG64" s="350">
        <v>0</v>
      </c>
      <c r="AH64" s="350">
        <v>977.625</v>
      </c>
      <c r="AI64" s="350">
        <v>254.87666666666667</v>
      </c>
      <c r="AJ64" s="351">
        <f t="shared" si="155"/>
        <v>851.85357195242364</v>
      </c>
      <c r="AK64" s="351">
        <f t="shared" si="156"/>
        <v>1394.0537728019888</v>
      </c>
      <c r="AL64" s="352">
        <f t="shared" si="157"/>
        <v>0</v>
      </c>
      <c r="AM64" s="352">
        <f t="shared" si="158"/>
        <v>0</v>
      </c>
      <c r="AN64" s="353">
        <f t="shared" si="159"/>
        <v>851.85357195242364</v>
      </c>
      <c r="AO64" s="353">
        <f t="shared" si="160"/>
        <v>1394.0537728019888</v>
      </c>
      <c r="AP64" s="343">
        <f t="shared" si="121"/>
        <v>863.11164166654885</v>
      </c>
      <c r="AQ64" s="343">
        <f t="shared" si="122"/>
        <v>1405.311842516114</v>
      </c>
      <c r="AS64" s="350">
        <v>2.5026000000000002</v>
      </c>
      <c r="AT64" s="350">
        <v>1.3117144644270902</v>
      </c>
      <c r="AU64" s="350">
        <v>9.7497065042642574E-3</v>
      </c>
      <c r="AV64" s="350">
        <v>19070.095000000001</v>
      </c>
      <c r="AW64" s="350">
        <v>6177.0857999999998</v>
      </c>
      <c r="AX64" s="351">
        <f t="shared" si="161"/>
        <v>630.65520000000004</v>
      </c>
      <c r="AY64" s="351">
        <f t="shared" si="162"/>
        <v>657.16894667797214</v>
      </c>
      <c r="AZ64" s="352">
        <f t="shared" si="163"/>
        <v>1.5697027471865455</v>
      </c>
      <c r="BA64" s="352">
        <f t="shared" si="164"/>
        <v>0.80100990777900716</v>
      </c>
      <c r="BB64" s="353">
        <f t="shared" si="165"/>
        <v>631.456209907779</v>
      </c>
      <c r="BC64" s="353">
        <f t="shared" si="166"/>
        <v>656.40025383856459</v>
      </c>
      <c r="BD64" s="343">
        <f t="shared" si="123"/>
        <v>646.54627361850862</v>
      </c>
      <c r="BE64" s="343">
        <f t="shared" si="124"/>
        <v>671.49031754929422</v>
      </c>
      <c r="BG64" s="350">
        <v>2.6723295908780815</v>
      </c>
      <c r="BH64" s="350">
        <v>1.3941729748920215</v>
      </c>
      <c r="BI64" s="350">
        <v>1.2967751738050747E-2</v>
      </c>
      <c r="BJ64" s="350">
        <v>19181.845000000001</v>
      </c>
      <c r="BK64" s="350">
        <v>6210.0857999999998</v>
      </c>
      <c r="BL64" s="351">
        <f t="shared" si="167"/>
        <v>633.34211303810537</v>
      </c>
      <c r="BM64" s="351">
        <f t="shared" si="168"/>
        <v>671.99137389795442</v>
      </c>
      <c r="BN64" s="352">
        <f t="shared" si="169"/>
        <v>2.3341953128491344</v>
      </c>
      <c r="BO64" s="352">
        <f t="shared" si="170"/>
        <v>1.2016539305288576</v>
      </c>
      <c r="BP64" s="353">
        <f t="shared" si="171"/>
        <v>634.54376696863426</v>
      </c>
      <c r="BQ64" s="353">
        <f t="shared" si="172"/>
        <v>670.85883251563416</v>
      </c>
      <c r="BR64" s="343">
        <f t="shared" si="125"/>
        <v>651.44537017390496</v>
      </c>
      <c r="BS64" s="343">
        <f t="shared" si="126"/>
        <v>687.76043572090487</v>
      </c>
      <c r="BU64" s="350">
        <v>2.3830237226558721</v>
      </c>
      <c r="BV64" s="350">
        <v>1.3465141151729274</v>
      </c>
      <c r="BW64" s="350">
        <v>2.9275263712535064E-3</v>
      </c>
      <c r="BX64" s="350">
        <v>14428.5358</v>
      </c>
      <c r="BY64" s="350">
        <v>5039.2092000000002</v>
      </c>
      <c r="BZ64" s="351">
        <f t="shared" si="173"/>
        <v>433.71031752336876</v>
      </c>
      <c r="CA64" s="351">
        <f t="shared" si="174"/>
        <v>413.37983335808872</v>
      </c>
      <c r="CB64" s="352">
        <f t="shared" si="175"/>
        <v>0.19614426687398492</v>
      </c>
      <c r="CC64" s="352">
        <f t="shared" si="176"/>
        <v>9.5718365123405938E-2</v>
      </c>
      <c r="CD64" s="353">
        <f t="shared" si="177"/>
        <v>433.80603588849215</v>
      </c>
      <c r="CE64" s="353">
        <f t="shared" si="178"/>
        <v>413.27940745633811</v>
      </c>
      <c r="CF64" s="343">
        <f t="shared" si="127"/>
        <v>445.24331902913445</v>
      </c>
      <c r="CG64" s="343">
        <f t="shared" si="128"/>
        <v>424.71669059698041</v>
      </c>
      <c r="CI64" s="350">
        <v>1.0373045754325769</v>
      </c>
      <c r="CJ64" s="350">
        <v>1.0222239466764169</v>
      </c>
      <c r="CK64" s="350">
        <v>0</v>
      </c>
      <c r="CL64" s="350">
        <v>39161.476699999999</v>
      </c>
      <c r="CM64" s="350">
        <v>12938.627500000001</v>
      </c>
      <c r="CN64" s="351">
        <f t="shared" si="179"/>
        <v>187.75212815329641</v>
      </c>
      <c r="CO64" s="351">
        <f t="shared" si="180"/>
        <v>232.04483589554664</v>
      </c>
      <c r="CP64" s="352">
        <f t="shared" si="181"/>
        <v>0</v>
      </c>
      <c r="CQ64" s="352">
        <f t="shared" si="182"/>
        <v>0</v>
      </c>
      <c r="CR64" s="353">
        <f t="shared" si="183"/>
        <v>187.75212815329641</v>
      </c>
      <c r="CS64" s="353">
        <f t="shared" si="184"/>
        <v>232.04483589554664</v>
      </c>
      <c r="CT64" s="343">
        <f t="shared" si="129"/>
        <v>188.14542782771775</v>
      </c>
      <c r="CU64" s="343">
        <f t="shared" si="130"/>
        <v>232.43813556996798</v>
      </c>
      <c r="CW64" s="350">
        <v>1.7505560213585312</v>
      </c>
      <c r="CX64" s="350">
        <v>1.5771365180443162</v>
      </c>
      <c r="CY64" s="350">
        <v>0</v>
      </c>
      <c r="CZ64" s="350">
        <v>18660.3158</v>
      </c>
      <c r="DA64" s="350">
        <v>6246.585</v>
      </c>
      <c r="DB64" s="351">
        <f t="shared" si="185"/>
        <v>334.35620007947944</v>
      </c>
      <c r="DC64" s="351">
        <f t="shared" si="186"/>
        <v>413.20976772761082</v>
      </c>
      <c r="DD64" s="352">
        <f t="shared" si="187"/>
        <v>0</v>
      </c>
      <c r="DE64" s="352">
        <f t="shared" si="188"/>
        <v>0</v>
      </c>
      <c r="DF64" s="353">
        <f t="shared" si="189"/>
        <v>334.35620007947944</v>
      </c>
      <c r="DG64" s="353">
        <f t="shared" si="190"/>
        <v>413.20976772761082</v>
      </c>
      <c r="DH64" s="343">
        <f t="shared" si="131"/>
        <v>334.65801036933118</v>
      </c>
      <c r="DI64" s="343">
        <f t="shared" si="132"/>
        <v>413.51157801746257</v>
      </c>
      <c r="DK64" s="350">
        <v>2.2162999999999999</v>
      </c>
      <c r="DL64" s="350">
        <v>1.9198</v>
      </c>
      <c r="DM64" s="350">
        <v>0</v>
      </c>
      <c r="DN64" s="350">
        <v>764.85500000000002</v>
      </c>
      <c r="DO64" s="350">
        <v>312.92829999999998</v>
      </c>
      <c r="DP64" s="351">
        <f t="shared" si="191"/>
        <v>212.76479999999998</v>
      </c>
      <c r="DQ64" s="351">
        <f t="shared" si="192"/>
        <v>334.04519999999997</v>
      </c>
      <c r="DR64" s="352">
        <f t="shared" si="193"/>
        <v>0</v>
      </c>
      <c r="DS64" s="352">
        <f t="shared" si="194"/>
        <v>0</v>
      </c>
      <c r="DT64" s="353">
        <f t="shared" si="195"/>
        <v>212.76479999999998</v>
      </c>
      <c r="DU64" s="353">
        <f t="shared" si="196"/>
        <v>334.04519999999997</v>
      </c>
      <c r="DV64" s="343">
        <f t="shared" si="133"/>
        <v>213.02152482600471</v>
      </c>
      <c r="DW64" s="343">
        <f t="shared" si="134"/>
        <v>334.30192482600467</v>
      </c>
      <c r="EB64" s="326"/>
      <c r="EC64" s="326"/>
      <c r="ED64" s="326"/>
      <c r="EE64" s="348">
        <f t="shared" si="197"/>
        <v>102497.53583333333</v>
      </c>
      <c r="EF64" s="348">
        <f t="shared" si="198"/>
        <v>34096.807466666665</v>
      </c>
      <c r="EG64" s="348">
        <f t="shared" si="199"/>
        <v>3013.7656048671929</v>
      </c>
      <c r="EH64" s="348">
        <f t="shared" si="200"/>
        <v>4252.0905472520635</v>
      </c>
      <c r="EI64" s="354">
        <f t="shared" si="201"/>
        <v>0.75037906663689291</v>
      </c>
      <c r="EJ64" s="326"/>
      <c r="EK64" s="348">
        <f t="shared" si="202"/>
        <v>3014.5666147749716</v>
      </c>
      <c r="EL64" s="348">
        <f t="shared" si="203"/>
        <v>4251.3218544126557</v>
      </c>
      <c r="EM64" s="348">
        <f t="shared" si="83"/>
        <v>3058.8462359837877</v>
      </c>
      <c r="EN64" s="348">
        <f t="shared" si="84"/>
        <v>4295.6014756214718</v>
      </c>
      <c r="EP64" s="326"/>
      <c r="EQ64" s="326"/>
      <c r="ER64" s="326"/>
      <c r="ES64" s="348">
        <f t="shared" si="204"/>
        <v>82792.92333333334</v>
      </c>
      <c r="ET64" s="348">
        <f t="shared" si="205"/>
        <v>27004.235799999999</v>
      </c>
      <c r="EU64" s="348">
        <f t="shared" si="206"/>
        <v>2578.913124513123</v>
      </c>
      <c r="EV64" s="348">
        <f t="shared" si="207"/>
        <v>3510.0438548827051</v>
      </c>
      <c r="EW64" s="354">
        <f t="shared" si="208"/>
        <v>0.75405341984115348</v>
      </c>
      <c r="EX64" s="326"/>
      <c r="EY64" s="348">
        <f t="shared" si="209"/>
        <v>2580.1147784436516</v>
      </c>
      <c r="EZ64" s="348">
        <f t="shared" si="210"/>
        <v>3508.9113135003845</v>
      </c>
      <c r="FA64" s="348">
        <f t="shared" si="92"/>
        <v>2614.9818003767327</v>
      </c>
      <c r="FB64" s="348">
        <f t="shared" si="93"/>
        <v>3543.7783354334656</v>
      </c>
      <c r="FD64" s="326"/>
      <c r="FE64" s="326"/>
      <c r="FF64" s="326"/>
      <c r="FG64" s="348">
        <f t="shared" si="211"/>
        <v>55332.4925</v>
      </c>
      <c r="FH64" s="348">
        <f t="shared" si="212"/>
        <v>18545.641666666666</v>
      </c>
      <c r="FI64" s="348">
        <f t="shared" si="213"/>
        <v>1600.9748976290887</v>
      </c>
      <c r="FJ64" s="348">
        <f t="shared" si="214"/>
        <v>2239.9055620556242</v>
      </c>
      <c r="FK64" s="354">
        <f t="shared" si="215"/>
        <v>0.74896981527946682</v>
      </c>
      <c r="FL64" s="326"/>
      <c r="FM64" s="348">
        <f t="shared" si="216"/>
        <v>1601.0706159942119</v>
      </c>
      <c r="FN64" s="348">
        <f t="shared" si="217"/>
        <v>2239.8051361538733</v>
      </c>
      <c r="FO64" s="348">
        <f t="shared" si="101"/>
        <v>1624.3133034190037</v>
      </c>
      <c r="FP64" s="348">
        <f t="shared" si="102"/>
        <v>2263.047823578665</v>
      </c>
      <c r="FR64" s="326"/>
      <c r="FS64" s="326"/>
      <c r="FT64" s="326"/>
      <c r="FU64" s="348">
        <f t="shared" si="218"/>
        <v>33498.630799999999</v>
      </c>
      <c r="FV64" s="348">
        <f t="shared" si="219"/>
        <v>11216.295</v>
      </c>
      <c r="FW64" s="349">
        <f t="shared" si="220"/>
        <v>177.25039422896816</v>
      </c>
      <c r="FX64" s="349">
        <f t="shared" si="221"/>
        <v>219.41020198789508</v>
      </c>
      <c r="FY64" s="354">
        <f t="shared" si="222"/>
        <v>0.74915993263260661</v>
      </c>
      <c r="FZ64" s="326"/>
      <c r="GA64" s="349">
        <f t="shared" si="223"/>
        <v>177.88515661735818</v>
      </c>
      <c r="GB64" s="349">
        <f t="shared" si="224"/>
        <v>218.80876174400385</v>
      </c>
      <c r="GC64" s="349">
        <f t="shared" si="139"/>
        <v>181.17265913043676</v>
      </c>
      <c r="GD64" s="349">
        <f t="shared" si="140"/>
        <v>222.09626425708242</v>
      </c>
      <c r="GF64" s="326"/>
      <c r="GG64" s="326"/>
      <c r="GH64" s="326"/>
      <c r="GI64" s="348">
        <f t="shared" si="225"/>
        <v>57821.792499999996</v>
      </c>
      <c r="GJ64" s="348">
        <f t="shared" si="226"/>
        <v>19185.212500000001</v>
      </c>
      <c r="GK64" s="348">
        <f t="shared" si="227"/>
        <v>455.23708821688001</v>
      </c>
      <c r="GL64" s="348">
        <f t="shared" si="228"/>
        <v>562.61265007763529</v>
      </c>
      <c r="GM64" s="354">
        <f t="shared" si="229"/>
        <v>0.7508640610032814</v>
      </c>
      <c r="GN64" s="326"/>
      <c r="GO64" s="348">
        <f t="shared" si="230"/>
        <v>455.23708821688001</v>
      </c>
      <c r="GP64" s="348">
        <f t="shared" si="231"/>
        <v>562.61265007763529</v>
      </c>
      <c r="GQ64" s="348">
        <f t="shared" si="141"/>
        <v>455.87183612318273</v>
      </c>
      <c r="GR64" s="348">
        <f t="shared" si="142"/>
        <v>563.24739798393807</v>
      </c>
    </row>
    <row r="65" spans="1:200" x14ac:dyDescent="0.2">
      <c r="A65" s="320">
        <v>55</v>
      </c>
      <c r="C65" s="350">
        <v>1.982476712949077</v>
      </c>
      <c r="D65" s="350">
        <v>1.3168865100346316</v>
      </c>
      <c r="E65" s="350">
        <v>0</v>
      </c>
      <c r="F65" s="350">
        <v>23951.245833333327</v>
      </c>
      <c r="G65" s="350">
        <v>8488.77</v>
      </c>
      <c r="H65" s="351">
        <f t="shared" si="143"/>
        <v>2034.021107485753</v>
      </c>
      <c r="I65" s="351">
        <f t="shared" si="144"/>
        <v>3128.9223478422846</v>
      </c>
      <c r="J65" s="352">
        <f t="shared" si="145"/>
        <v>0</v>
      </c>
      <c r="K65" s="352">
        <f t="shared" si="146"/>
        <v>0</v>
      </c>
      <c r="L65" s="353">
        <f t="shared" si="147"/>
        <v>2034.021107485753</v>
      </c>
      <c r="M65" s="353">
        <f t="shared" si="148"/>
        <v>3128.9223478422846</v>
      </c>
      <c r="N65" s="343">
        <f t="shared" si="117"/>
        <v>2062.5759170775364</v>
      </c>
      <c r="O65" s="343">
        <f t="shared" si="118"/>
        <v>3157.477157434068</v>
      </c>
      <c r="Q65" s="350">
        <v>2.2995373154907224</v>
      </c>
      <c r="R65" s="350">
        <v>1.4305833855033845</v>
      </c>
      <c r="S65" s="350">
        <v>0</v>
      </c>
      <c r="T65" s="350">
        <v>5583.2883333333339</v>
      </c>
      <c r="U65" s="350">
        <v>1536.7308333333335</v>
      </c>
      <c r="V65" s="351">
        <f t="shared" si="149"/>
        <v>1618.8742701054684</v>
      </c>
      <c r="W65" s="351">
        <f t="shared" si="150"/>
        <v>2400.5189208746792</v>
      </c>
      <c r="X65" s="352">
        <f t="shared" si="151"/>
        <v>0</v>
      </c>
      <c r="Y65" s="352">
        <f t="shared" si="152"/>
        <v>0</v>
      </c>
      <c r="Z65" s="353">
        <f t="shared" si="153"/>
        <v>1618.8742701054684</v>
      </c>
      <c r="AA65" s="353">
        <f t="shared" si="154"/>
        <v>2400.5189208746792</v>
      </c>
      <c r="AB65" s="343">
        <f t="shared" si="119"/>
        <v>1636.2351219559612</v>
      </c>
      <c r="AC65" s="343">
        <f t="shared" si="120"/>
        <v>2417.8797727251722</v>
      </c>
      <c r="AE65" s="350">
        <v>2.6105555158875804</v>
      </c>
      <c r="AF65" s="350">
        <v>1.9101403212148118</v>
      </c>
      <c r="AG65" s="350">
        <v>0</v>
      </c>
      <c r="AH65" s="350">
        <v>865.94749999999999</v>
      </c>
      <c r="AI65" s="350">
        <v>196.25416666666666</v>
      </c>
      <c r="AJ65" s="351">
        <f t="shared" si="155"/>
        <v>929.3577636559786</v>
      </c>
      <c r="AK65" s="351">
        <f t="shared" si="156"/>
        <v>1463.1674860505459</v>
      </c>
      <c r="AL65" s="352">
        <f t="shared" si="157"/>
        <v>0</v>
      </c>
      <c r="AM65" s="352">
        <f t="shared" si="158"/>
        <v>0</v>
      </c>
      <c r="AN65" s="353">
        <f t="shared" si="159"/>
        <v>929.3577636559786</v>
      </c>
      <c r="AO65" s="353">
        <f t="shared" si="160"/>
        <v>1463.1674860505459</v>
      </c>
      <c r="AP65" s="343">
        <f t="shared" si="121"/>
        <v>940.61583337010381</v>
      </c>
      <c r="AQ65" s="343">
        <f t="shared" si="122"/>
        <v>1474.4255557646711</v>
      </c>
      <c r="AS65" s="350">
        <v>2.7143000000000002</v>
      </c>
      <c r="AT65" s="350">
        <v>1.3800381922325335</v>
      </c>
      <c r="AU65" s="350">
        <v>7.6931201612808042E-3</v>
      </c>
      <c r="AV65" s="350">
        <v>17822.415799999999</v>
      </c>
      <c r="AW65" s="350">
        <v>5767.24</v>
      </c>
      <c r="AX65" s="351">
        <f t="shared" si="161"/>
        <v>684.00360000000001</v>
      </c>
      <c r="AY65" s="351">
        <f t="shared" si="162"/>
        <v>691.39913430849936</v>
      </c>
      <c r="AZ65" s="352">
        <f t="shared" si="163"/>
        <v>1.2385923459662094</v>
      </c>
      <c r="BA65" s="352">
        <f t="shared" si="164"/>
        <v>0.62262612571634646</v>
      </c>
      <c r="BB65" s="353">
        <f t="shared" si="165"/>
        <v>684.62622612571636</v>
      </c>
      <c r="BC65" s="353">
        <f t="shared" si="166"/>
        <v>690.78316808824945</v>
      </c>
      <c r="BD65" s="343">
        <f t="shared" si="123"/>
        <v>699.89467361850859</v>
      </c>
      <c r="BE65" s="343">
        <f t="shared" si="124"/>
        <v>706.05161558104169</v>
      </c>
      <c r="BG65" s="350">
        <v>2.8926017935154995</v>
      </c>
      <c r="BH65" s="350">
        <v>1.4352304324522804</v>
      </c>
      <c r="BI65" s="350">
        <v>9.5835098278385551E-3</v>
      </c>
      <c r="BJ65" s="350">
        <v>17925.1692</v>
      </c>
      <c r="BK65" s="350">
        <v>5802.9066999999995</v>
      </c>
      <c r="BL65" s="351">
        <f t="shared" si="167"/>
        <v>685.54662506317334</v>
      </c>
      <c r="BM65" s="351">
        <f t="shared" si="168"/>
        <v>691.7810684419992</v>
      </c>
      <c r="BN65" s="352">
        <f t="shared" si="169"/>
        <v>1.72503176901094</v>
      </c>
      <c r="BO65" s="352">
        <f t="shared" si="170"/>
        <v>0.86642004360329683</v>
      </c>
      <c r="BP65" s="353">
        <f t="shared" si="171"/>
        <v>686.41304510677662</v>
      </c>
      <c r="BQ65" s="353">
        <f t="shared" si="172"/>
        <v>690.92245671659157</v>
      </c>
      <c r="BR65" s="343">
        <f t="shared" si="125"/>
        <v>703.64988219897293</v>
      </c>
      <c r="BS65" s="343">
        <f t="shared" si="126"/>
        <v>708.15929380878788</v>
      </c>
      <c r="BU65" s="350">
        <v>2.5640267777346373</v>
      </c>
      <c r="BV65" s="350">
        <v>1.4318473172410271</v>
      </c>
      <c r="BW65" s="350">
        <v>2.9275263712535064E-3</v>
      </c>
      <c r="BX65" s="350">
        <v>13468.4375</v>
      </c>
      <c r="BY65" s="350">
        <v>4796.1525000000001</v>
      </c>
      <c r="BZ65" s="351">
        <f t="shared" si="173"/>
        <v>466.65287354770396</v>
      </c>
      <c r="CA65" s="351">
        <f t="shared" si="174"/>
        <v>439.5771263929953</v>
      </c>
      <c r="CB65" s="352">
        <f t="shared" si="175"/>
        <v>0.19614426687398492</v>
      </c>
      <c r="CC65" s="352">
        <f t="shared" si="176"/>
        <v>9.5141998385144019E-2</v>
      </c>
      <c r="CD65" s="353">
        <f t="shared" si="177"/>
        <v>466.74801554608911</v>
      </c>
      <c r="CE65" s="353">
        <f t="shared" si="178"/>
        <v>439.47612412450644</v>
      </c>
      <c r="CF65" s="343">
        <f t="shared" si="127"/>
        <v>478.18587505346966</v>
      </c>
      <c r="CG65" s="343">
        <f t="shared" si="128"/>
        <v>450.91398363188699</v>
      </c>
      <c r="CI65" s="350">
        <v>1.0423115984272093</v>
      </c>
      <c r="CJ65" s="350">
        <v>1.0244302109460284</v>
      </c>
      <c r="CK65" s="350">
        <v>0</v>
      </c>
      <c r="CL65" s="350">
        <v>37061.5167</v>
      </c>
      <c r="CM65" s="350">
        <v>12657.8825</v>
      </c>
      <c r="CN65" s="351">
        <f t="shared" si="179"/>
        <v>188.65839931532489</v>
      </c>
      <c r="CO65" s="351">
        <f t="shared" si="180"/>
        <v>232.54565788474844</v>
      </c>
      <c r="CP65" s="352">
        <f t="shared" si="181"/>
        <v>0</v>
      </c>
      <c r="CQ65" s="352">
        <f t="shared" si="182"/>
        <v>0</v>
      </c>
      <c r="CR65" s="353">
        <f t="shared" si="183"/>
        <v>188.65839931532489</v>
      </c>
      <c r="CS65" s="353">
        <f t="shared" si="184"/>
        <v>232.54565788474844</v>
      </c>
      <c r="CT65" s="343">
        <f t="shared" si="129"/>
        <v>189.05169898974623</v>
      </c>
      <c r="CU65" s="343">
        <f t="shared" si="130"/>
        <v>232.93895755916978</v>
      </c>
      <c r="CW65" s="350">
        <v>1.8091912078777457</v>
      </c>
      <c r="CX65" s="350">
        <v>1.6182667477274582</v>
      </c>
      <c r="CY65" s="350">
        <v>0</v>
      </c>
      <c r="CZ65" s="350">
        <v>17561.162499999999</v>
      </c>
      <c r="DA65" s="350">
        <v>6333.5775000000003</v>
      </c>
      <c r="DB65" s="351">
        <f t="shared" si="185"/>
        <v>345.55552070464944</v>
      </c>
      <c r="DC65" s="351">
        <f t="shared" si="186"/>
        <v>423.98588790459405</v>
      </c>
      <c r="DD65" s="352">
        <f t="shared" si="187"/>
        <v>0</v>
      </c>
      <c r="DE65" s="352">
        <f t="shared" si="188"/>
        <v>0</v>
      </c>
      <c r="DF65" s="353">
        <f t="shared" si="189"/>
        <v>345.55552070464944</v>
      </c>
      <c r="DG65" s="353">
        <f t="shared" si="190"/>
        <v>423.98588790459405</v>
      </c>
      <c r="DH65" s="343">
        <f t="shared" si="131"/>
        <v>345.85733099450118</v>
      </c>
      <c r="DI65" s="343">
        <f t="shared" si="132"/>
        <v>424.2876981944458</v>
      </c>
      <c r="DK65" s="350">
        <v>2.2936000000000001</v>
      </c>
      <c r="DL65" s="350">
        <v>1.9767999999999999</v>
      </c>
      <c r="DM65" s="350">
        <v>0</v>
      </c>
      <c r="DN65" s="350">
        <v>746.09500000000003</v>
      </c>
      <c r="DO65" s="350">
        <v>312.33080000000001</v>
      </c>
      <c r="DP65" s="351">
        <f t="shared" si="191"/>
        <v>220.18560000000002</v>
      </c>
      <c r="DQ65" s="351">
        <f t="shared" si="192"/>
        <v>343.96319999999997</v>
      </c>
      <c r="DR65" s="352">
        <f t="shared" si="193"/>
        <v>0</v>
      </c>
      <c r="DS65" s="352">
        <f t="shared" si="194"/>
        <v>0</v>
      </c>
      <c r="DT65" s="353">
        <f t="shared" si="195"/>
        <v>220.18560000000002</v>
      </c>
      <c r="DU65" s="353">
        <f t="shared" si="196"/>
        <v>343.96319999999997</v>
      </c>
      <c r="DV65" s="343">
        <f t="shared" si="133"/>
        <v>220.44232482600475</v>
      </c>
      <c r="DW65" s="343">
        <f t="shared" si="134"/>
        <v>344.21992482600467</v>
      </c>
      <c r="EB65" s="326"/>
      <c r="EC65" s="326"/>
      <c r="ED65" s="326"/>
      <c r="EE65" s="348">
        <f t="shared" si="197"/>
        <v>96396.340833333321</v>
      </c>
      <c r="EF65" s="348">
        <f t="shared" si="198"/>
        <v>33247.47</v>
      </c>
      <c r="EG65" s="348">
        <f t="shared" si="199"/>
        <v>3183.1275233647975</v>
      </c>
      <c r="EH65" s="348">
        <f t="shared" si="200"/>
        <v>4392.0558503592074</v>
      </c>
      <c r="EI65" s="354">
        <f t="shared" si="201"/>
        <v>0.74354757248888592</v>
      </c>
      <c r="EJ65" s="326"/>
      <c r="EK65" s="348">
        <f t="shared" si="202"/>
        <v>3183.7501494905141</v>
      </c>
      <c r="EL65" s="348">
        <f t="shared" si="203"/>
        <v>4391.4398841389575</v>
      </c>
      <c r="EM65" s="348">
        <f t="shared" si="83"/>
        <v>3228.2081544813923</v>
      </c>
      <c r="EN65" s="348">
        <f t="shared" si="84"/>
        <v>4435.8978891298357</v>
      </c>
      <c r="EP65" s="326"/>
      <c r="EQ65" s="326"/>
      <c r="ER65" s="326"/>
      <c r="ES65" s="348">
        <f t="shared" si="204"/>
        <v>78131.136733333333</v>
      </c>
      <c r="ET65" s="348">
        <f t="shared" si="205"/>
        <v>26331.097533333334</v>
      </c>
      <c r="EU65" s="348">
        <f t="shared" si="206"/>
        <v>2734.9681589772213</v>
      </c>
      <c r="EV65" s="348">
        <f t="shared" si="207"/>
        <v>3621.6357687346426</v>
      </c>
      <c r="EW65" s="354">
        <f t="shared" si="208"/>
        <v>0.74793668048381534</v>
      </c>
      <c r="EX65" s="326"/>
      <c r="EY65" s="348">
        <f t="shared" si="209"/>
        <v>2735.8345790208245</v>
      </c>
      <c r="EZ65" s="348">
        <f t="shared" si="210"/>
        <v>3620.777157009235</v>
      </c>
      <c r="FA65" s="348">
        <f t="shared" si="92"/>
        <v>2771.036834840831</v>
      </c>
      <c r="FB65" s="348">
        <f t="shared" si="93"/>
        <v>3655.9794128292419</v>
      </c>
      <c r="FD65" s="326"/>
      <c r="FE65" s="326"/>
      <c r="FF65" s="326"/>
      <c r="FG65" s="348">
        <f t="shared" si="211"/>
        <v>52141.996700000003</v>
      </c>
      <c r="FH65" s="348">
        <f t="shared" si="212"/>
        <v>17962.619966666665</v>
      </c>
      <c r="FI65" s="348">
        <f t="shared" si="213"/>
        <v>1716.7803965190076</v>
      </c>
      <c r="FJ65" s="348">
        <f t="shared" si="214"/>
        <v>2341.6681903282897</v>
      </c>
      <c r="FK65" s="354">
        <f t="shared" si="215"/>
        <v>0.74377407907277626</v>
      </c>
      <c r="FL65" s="326"/>
      <c r="FM65" s="348">
        <f t="shared" si="216"/>
        <v>1716.8755385173927</v>
      </c>
      <c r="FN65" s="348">
        <f t="shared" si="217"/>
        <v>2341.5671880598006</v>
      </c>
      <c r="FO65" s="348">
        <f t="shared" si="101"/>
        <v>1740.1188023089226</v>
      </c>
      <c r="FP65" s="348">
        <f t="shared" si="102"/>
        <v>2364.8104518513305</v>
      </c>
      <c r="FR65" s="326"/>
      <c r="FS65" s="326"/>
      <c r="FT65" s="326"/>
      <c r="FU65" s="348">
        <f t="shared" si="218"/>
        <v>31290.853299999999</v>
      </c>
      <c r="FV65" s="348">
        <f t="shared" si="219"/>
        <v>10563.3925</v>
      </c>
      <c r="FW65" s="349">
        <f t="shared" si="220"/>
        <v>195.61565380706645</v>
      </c>
      <c r="FX65" s="349">
        <f t="shared" si="221"/>
        <v>226.63980712395366</v>
      </c>
      <c r="FY65" s="354">
        <f t="shared" si="222"/>
        <v>0.74761479276255416</v>
      </c>
      <c r="FZ65" s="326"/>
      <c r="GA65" s="349">
        <f t="shared" si="223"/>
        <v>196.09038952166452</v>
      </c>
      <c r="GB65" s="349">
        <f t="shared" si="224"/>
        <v>226.17633956736873</v>
      </c>
      <c r="GC65" s="349">
        <f t="shared" si="139"/>
        <v>199.53791870853505</v>
      </c>
      <c r="GD65" s="349">
        <f t="shared" si="140"/>
        <v>229.62386875423923</v>
      </c>
      <c r="GF65" s="326"/>
      <c r="GG65" s="326"/>
      <c r="GH65" s="326"/>
      <c r="GI65" s="348">
        <f t="shared" si="225"/>
        <v>54622.679199999999</v>
      </c>
      <c r="GJ65" s="348">
        <f t="shared" si="226"/>
        <v>18991.46</v>
      </c>
      <c r="GK65" s="348">
        <f t="shared" si="227"/>
        <v>465.10281587904444</v>
      </c>
      <c r="GL65" s="348">
        <f t="shared" si="228"/>
        <v>571.73436820842369</v>
      </c>
      <c r="GM65" s="354">
        <f t="shared" si="229"/>
        <v>0.74201342016100069</v>
      </c>
      <c r="GN65" s="326"/>
      <c r="GO65" s="348">
        <f t="shared" si="230"/>
        <v>465.10281587904444</v>
      </c>
      <c r="GP65" s="348">
        <f t="shared" si="231"/>
        <v>571.73436820842369</v>
      </c>
      <c r="GQ65" s="348">
        <f t="shared" si="141"/>
        <v>465.73756378534716</v>
      </c>
      <c r="GR65" s="348">
        <f t="shared" si="142"/>
        <v>572.36911611472647</v>
      </c>
    </row>
    <row r="66" spans="1:200" x14ac:dyDescent="0.2">
      <c r="A66" s="320">
        <v>56</v>
      </c>
      <c r="C66" s="350">
        <v>2.0917688295341579</v>
      </c>
      <c r="D66" s="350">
        <v>1.3592858024691101</v>
      </c>
      <c r="E66" s="350">
        <v>0</v>
      </c>
      <c r="F66" s="350">
        <v>22838.804166666665</v>
      </c>
      <c r="G66" s="350">
        <v>8340.6983333333337</v>
      </c>
      <c r="H66" s="351">
        <f t="shared" si="143"/>
        <v>2146.1548191020461</v>
      </c>
      <c r="I66" s="351">
        <f t="shared" si="144"/>
        <v>3229.6630666666056</v>
      </c>
      <c r="J66" s="352">
        <f t="shared" si="145"/>
        <v>0</v>
      </c>
      <c r="K66" s="352">
        <f t="shared" si="146"/>
        <v>0</v>
      </c>
      <c r="L66" s="353">
        <f t="shared" si="147"/>
        <v>2146.1548191020461</v>
      </c>
      <c r="M66" s="353">
        <f t="shared" si="148"/>
        <v>3229.6630666666056</v>
      </c>
      <c r="N66" s="343">
        <f t="shared" si="117"/>
        <v>2174.7096286938295</v>
      </c>
      <c r="O66" s="343">
        <f t="shared" si="118"/>
        <v>3258.217876258389</v>
      </c>
      <c r="Q66" s="350">
        <v>2.4461550112029049</v>
      </c>
      <c r="R66" s="350">
        <v>1.4828074748065514</v>
      </c>
      <c r="S66" s="350">
        <v>0</v>
      </c>
      <c r="T66" s="350">
        <v>5438.3883333333333</v>
      </c>
      <c r="U66" s="350">
        <v>1469.8625</v>
      </c>
      <c r="V66" s="351">
        <f t="shared" si="149"/>
        <v>1722.093127886845</v>
      </c>
      <c r="W66" s="351">
        <f t="shared" si="150"/>
        <v>2488.1509427253932</v>
      </c>
      <c r="X66" s="352">
        <f t="shared" si="151"/>
        <v>0</v>
      </c>
      <c r="Y66" s="352">
        <f t="shared" si="152"/>
        <v>0</v>
      </c>
      <c r="Z66" s="353">
        <f t="shared" si="153"/>
        <v>1722.093127886845</v>
      </c>
      <c r="AA66" s="353">
        <f t="shared" si="154"/>
        <v>2488.1509427253932</v>
      </c>
      <c r="AB66" s="343">
        <f t="shared" si="119"/>
        <v>1739.4539797373377</v>
      </c>
      <c r="AC66" s="343">
        <f t="shared" si="120"/>
        <v>2505.5117945758861</v>
      </c>
      <c r="AE66" s="350">
        <v>2.844882631439356</v>
      </c>
      <c r="AF66" s="350">
        <v>2.0027875756645743</v>
      </c>
      <c r="AG66" s="350">
        <v>0</v>
      </c>
      <c r="AH66" s="350">
        <v>845.74</v>
      </c>
      <c r="AI66" s="350">
        <v>228.61250000000001</v>
      </c>
      <c r="AJ66" s="351">
        <f t="shared" si="155"/>
        <v>1012.7782167924107</v>
      </c>
      <c r="AK66" s="351">
        <f t="shared" si="156"/>
        <v>1534.1352829590639</v>
      </c>
      <c r="AL66" s="352">
        <f t="shared" si="157"/>
        <v>0</v>
      </c>
      <c r="AM66" s="352">
        <f t="shared" si="158"/>
        <v>0</v>
      </c>
      <c r="AN66" s="353">
        <f t="shared" si="159"/>
        <v>1012.7782167924107</v>
      </c>
      <c r="AO66" s="353">
        <f t="shared" si="160"/>
        <v>1534.1352829590639</v>
      </c>
      <c r="AP66" s="343">
        <f t="shared" si="121"/>
        <v>1024.036286506536</v>
      </c>
      <c r="AQ66" s="343">
        <f t="shared" si="122"/>
        <v>1545.3933526731892</v>
      </c>
      <c r="AS66" s="350">
        <v>2.9506000000000001</v>
      </c>
      <c r="AT66" s="350">
        <v>1.4444070230859496</v>
      </c>
      <c r="AU66" s="350">
        <v>6.4352115902477358E-3</v>
      </c>
      <c r="AV66" s="350">
        <v>16941.046699999999</v>
      </c>
      <c r="AW66" s="350">
        <v>5822.4107999999997</v>
      </c>
      <c r="AX66" s="351">
        <f t="shared" si="161"/>
        <v>743.55119999999999</v>
      </c>
      <c r="AY66" s="351">
        <f t="shared" si="162"/>
        <v>723.64791856606075</v>
      </c>
      <c r="AZ66" s="352">
        <f t="shared" si="163"/>
        <v>1.0360690660298855</v>
      </c>
      <c r="BA66" s="352">
        <f t="shared" si="164"/>
        <v>0.51100713845572798</v>
      </c>
      <c r="BB66" s="353">
        <f t="shared" si="165"/>
        <v>744.06220713845573</v>
      </c>
      <c r="BC66" s="353">
        <f t="shared" si="166"/>
        <v>723.12285663848661</v>
      </c>
      <c r="BD66" s="343">
        <f t="shared" si="123"/>
        <v>759.44227361850858</v>
      </c>
      <c r="BE66" s="343">
        <f t="shared" si="124"/>
        <v>738.50292311853946</v>
      </c>
      <c r="BG66" s="350">
        <v>3.1269890477352091</v>
      </c>
      <c r="BH66" s="350">
        <v>1.4830169316090016</v>
      </c>
      <c r="BI66" s="350">
        <v>9.5835098278385551E-3</v>
      </c>
      <c r="BJ66" s="350">
        <v>16998.13</v>
      </c>
      <c r="BK66" s="350">
        <v>5893.8357999999998</v>
      </c>
      <c r="BL66" s="351">
        <f t="shared" si="167"/>
        <v>741.09640431324453</v>
      </c>
      <c r="BM66" s="351">
        <f t="shared" si="168"/>
        <v>714.81416103553875</v>
      </c>
      <c r="BN66" s="352">
        <f t="shared" si="169"/>
        <v>1.72503176901094</v>
      </c>
      <c r="BO66" s="352">
        <f t="shared" si="170"/>
        <v>0.84694566141142469</v>
      </c>
      <c r="BP66" s="353">
        <f t="shared" si="171"/>
        <v>741.94334997465592</v>
      </c>
      <c r="BQ66" s="353">
        <f t="shared" si="172"/>
        <v>713.93607492793922</v>
      </c>
      <c r="BR66" s="343">
        <f t="shared" si="125"/>
        <v>759.19966144904413</v>
      </c>
      <c r="BS66" s="343">
        <f t="shared" si="126"/>
        <v>731.19238640232743</v>
      </c>
      <c r="BU66" s="350">
        <v>2.7706594953872368</v>
      </c>
      <c r="BV66" s="350">
        <v>1.510708664929564</v>
      </c>
      <c r="BW66" s="350">
        <v>2.9275263712535064E-3</v>
      </c>
      <c r="BX66" s="350">
        <v>12684.15</v>
      </c>
      <c r="BY66" s="350">
        <v>4680.9691999999995</v>
      </c>
      <c r="BZ66" s="351">
        <f t="shared" si="173"/>
        <v>504.26002816047708</v>
      </c>
      <c r="CA66" s="351">
        <f t="shared" si="174"/>
        <v>463.78756013337613</v>
      </c>
      <c r="CB66" s="352">
        <f t="shared" si="175"/>
        <v>0.19614426687398492</v>
      </c>
      <c r="CC66" s="352">
        <f t="shared" si="176"/>
        <v>9.3971899798815789E-2</v>
      </c>
      <c r="CD66" s="353">
        <f t="shared" si="177"/>
        <v>504.35400006027589</v>
      </c>
      <c r="CE66" s="353">
        <f t="shared" si="178"/>
        <v>463.68538776630095</v>
      </c>
      <c r="CF66" s="343">
        <f t="shared" si="127"/>
        <v>515.79302966624277</v>
      </c>
      <c r="CG66" s="343">
        <f t="shared" si="128"/>
        <v>475.12441737226783</v>
      </c>
      <c r="CI66" s="350">
        <v>1.0456398610815625</v>
      </c>
      <c r="CJ66" s="350">
        <v>1.0290139455667366</v>
      </c>
      <c r="CK66" s="350">
        <v>0</v>
      </c>
      <c r="CL66" s="350">
        <v>35475.648300000001</v>
      </c>
      <c r="CM66" s="350">
        <v>12139.87</v>
      </c>
      <c r="CN66" s="351">
        <f t="shared" si="179"/>
        <v>189.26081485576282</v>
      </c>
      <c r="CO66" s="351">
        <f t="shared" si="180"/>
        <v>233.58616564364922</v>
      </c>
      <c r="CP66" s="352">
        <f t="shared" si="181"/>
        <v>0</v>
      </c>
      <c r="CQ66" s="352">
        <f t="shared" si="182"/>
        <v>0</v>
      </c>
      <c r="CR66" s="353">
        <f t="shared" si="183"/>
        <v>189.26081485576282</v>
      </c>
      <c r="CS66" s="353">
        <f t="shared" si="184"/>
        <v>233.58616564364922</v>
      </c>
      <c r="CT66" s="343">
        <f t="shared" si="129"/>
        <v>189.65411453018416</v>
      </c>
      <c r="CU66" s="343">
        <f t="shared" si="130"/>
        <v>233.97946531807057</v>
      </c>
      <c r="CW66" s="350">
        <v>1.8691353020793822</v>
      </c>
      <c r="CX66" s="350">
        <v>1.6596523102167768</v>
      </c>
      <c r="CY66" s="350">
        <v>0</v>
      </c>
      <c r="CZ66" s="350">
        <v>17074.112499999999</v>
      </c>
      <c r="DA66" s="350">
        <v>6037.8675000000003</v>
      </c>
      <c r="DB66" s="351">
        <f t="shared" si="185"/>
        <v>357.00484269716202</v>
      </c>
      <c r="DC66" s="351">
        <f t="shared" si="186"/>
        <v>434.82890527679552</v>
      </c>
      <c r="DD66" s="352">
        <f t="shared" si="187"/>
        <v>0</v>
      </c>
      <c r="DE66" s="352">
        <f t="shared" si="188"/>
        <v>0</v>
      </c>
      <c r="DF66" s="353">
        <f t="shared" si="189"/>
        <v>357.00484269716202</v>
      </c>
      <c r="DG66" s="353">
        <f t="shared" si="190"/>
        <v>434.82890527679552</v>
      </c>
      <c r="DH66" s="343">
        <f t="shared" si="131"/>
        <v>357.30665298701376</v>
      </c>
      <c r="DI66" s="343">
        <f t="shared" si="132"/>
        <v>435.13071556664727</v>
      </c>
      <c r="DK66" s="350">
        <v>2.3668</v>
      </c>
      <c r="DL66" s="350">
        <v>2.0318000000000001</v>
      </c>
      <c r="DM66" s="350">
        <v>0</v>
      </c>
      <c r="DN66" s="350">
        <v>735.5</v>
      </c>
      <c r="DO66" s="350">
        <v>368.58330000000001</v>
      </c>
      <c r="DP66" s="351">
        <f t="shared" si="191"/>
        <v>227.21280000000002</v>
      </c>
      <c r="DQ66" s="351">
        <f t="shared" si="192"/>
        <v>353.53320000000002</v>
      </c>
      <c r="DR66" s="352">
        <f t="shared" si="193"/>
        <v>0</v>
      </c>
      <c r="DS66" s="352">
        <f t="shared" si="194"/>
        <v>0</v>
      </c>
      <c r="DT66" s="353">
        <f t="shared" si="195"/>
        <v>227.21280000000002</v>
      </c>
      <c r="DU66" s="353">
        <f t="shared" si="196"/>
        <v>353.53320000000002</v>
      </c>
      <c r="DV66" s="343">
        <f t="shared" si="133"/>
        <v>227.46952482600474</v>
      </c>
      <c r="DW66" s="343">
        <f t="shared" si="134"/>
        <v>353.78992482600472</v>
      </c>
      <c r="EB66" s="326"/>
      <c r="EC66" s="326"/>
      <c r="ED66" s="326"/>
      <c r="EE66" s="348">
        <f t="shared" si="197"/>
        <v>92329.611666666664</v>
      </c>
      <c r="EF66" s="348">
        <f t="shared" si="198"/>
        <v>32340.846633333334</v>
      </c>
      <c r="EG66" s="348">
        <f t="shared" si="199"/>
        <v>3364.5707081155383</v>
      </c>
      <c r="EH66" s="348">
        <f t="shared" si="200"/>
        <v>4534.7602750977512</v>
      </c>
      <c r="EI66" s="354">
        <f t="shared" si="201"/>
        <v>0.7405893338780376</v>
      </c>
      <c r="EJ66" s="326"/>
      <c r="EK66" s="348">
        <f t="shared" si="202"/>
        <v>3365.0817152539939</v>
      </c>
      <c r="EL66" s="348">
        <f t="shared" si="203"/>
        <v>4534.2352131701773</v>
      </c>
      <c r="EM66" s="348">
        <f t="shared" si="83"/>
        <v>3409.6513392321331</v>
      </c>
      <c r="EN66" s="348">
        <f t="shared" si="84"/>
        <v>4578.8048371483164</v>
      </c>
      <c r="EP66" s="326"/>
      <c r="EQ66" s="326"/>
      <c r="ER66" s="326"/>
      <c r="ES66" s="348">
        <f t="shared" si="204"/>
        <v>74986.27913333333</v>
      </c>
      <c r="ET66" s="348">
        <f t="shared" si="205"/>
        <v>25541.435799999999</v>
      </c>
      <c r="EU66" s="348">
        <f t="shared" si="206"/>
        <v>2902.3537369438659</v>
      </c>
      <c r="EV66" s="348">
        <f t="shared" si="207"/>
        <v>3740.931503098338</v>
      </c>
      <c r="EW66" s="354">
        <f t="shared" si="208"/>
        <v>0.74592642619064564</v>
      </c>
      <c r="EX66" s="326"/>
      <c r="EY66" s="348">
        <f t="shared" si="209"/>
        <v>2903.2006826052771</v>
      </c>
      <c r="EZ66" s="348">
        <f t="shared" si="210"/>
        <v>3740.0534169907387</v>
      </c>
      <c r="FA66" s="348">
        <f t="shared" si="92"/>
        <v>2938.4224128074752</v>
      </c>
      <c r="FB66" s="348">
        <f t="shared" si="93"/>
        <v>3775.2751471929373</v>
      </c>
      <c r="FD66" s="326"/>
      <c r="FE66" s="326"/>
      <c r="FF66" s="326"/>
      <c r="FG66" s="348">
        <f t="shared" si="211"/>
        <v>49741.0383</v>
      </c>
      <c r="FH66" s="348">
        <f t="shared" si="212"/>
        <v>17418.035</v>
      </c>
      <c r="FI66" s="348">
        <f t="shared" si="213"/>
        <v>1842.6267398086509</v>
      </c>
      <c r="FJ66" s="348">
        <f t="shared" si="214"/>
        <v>2443.6289287360892</v>
      </c>
      <c r="FK66" s="354">
        <f t="shared" si="215"/>
        <v>0.74064509612582752</v>
      </c>
      <c r="FL66" s="326"/>
      <c r="FM66" s="348">
        <f t="shared" si="216"/>
        <v>1842.7207117084497</v>
      </c>
      <c r="FN66" s="348">
        <f t="shared" si="217"/>
        <v>2443.526756369014</v>
      </c>
      <c r="FO66" s="348">
        <f t="shared" si="101"/>
        <v>1865.9651455985659</v>
      </c>
      <c r="FP66" s="348">
        <f t="shared" si="102"/>
        <v>2466.7711902591304</v>
      </c>
      <c r="FR66" s="326"/>
      <c r="FS66" s="326"/>
      <c r="FT66" s="326"/>
      <c r="FU66" s="348">
        <f t="shared" si="218"/>
        <v>29625.1967</v>
      </c>
      <c r="FV66" s="348">
        <f t="shared" si="219"/>
        <v>10503.38</v>
      </c>
      <c r="FW66" s="349">
        <f t="shared" si="220"/>
        <v>215.36205465557063</v>
      </c>
      <c r="FX66" s="349">
        <f t="shared" si="221"/>
        <v>233.87432258941615</v>
      </c>
      <c r="FY66" s="354">
        <f t="shared" si="222"/>
        <v>0.73825685175621991</v>
      </c>
      <c r="FZ66" s="326"/>
      <c r="GA66" s="349">
        <f t="shared" si="223"/>
        <v>215.73738637036186</v>
      </c>
      <c r="GB66" s="349">
        <f t="shared" si="224"/>
        <v>233.4937219849671</v>
      </c>
      <c r="GC66" s="349">
        <f t="shared" si="139"/>
        <v>219.28431955703923</v>
      </c>
      <c r="GD66" s="349">
        <f t="shared" si="140"/>
        <v>237.04065517164446</v>
      </c>
      <c r="GF66" s="326"/>
      <c r="GG66" s="326"/>
      <c r="GH66" s="326"/>
      <c r="GI66" s="348">
        <f t="shared" si="225"/>
        <v>52549.760800000004</v>
      </c>
      <c r="GJ66" s="348">
        <f t="shared" si="226"/>
        <v>18177.737500000003</v>
      </c>
      <c r="GK66" s="348">
        <f t="shared" si="227"/>
        <v>474.86468901349247</v>
      </c>
      <c r="GL66" s="348">
        <f t="shared" si="228"/>
        <v>581.44928986508569</v>
      </c>
      <c r="GM66" s="354">
        <f t="shared" si="229"/>
        <v>0.742989106968032</v>
      </c>
      <c r="GN66" s="326"/>
      <c r="GO66" s="348">
        <f t="shared" si="230"/>
        <v>474.86468901349247</v>
      </c>
      <c r="GP66" s="348">
        <f t="shared" si="231"/>
        <v>581.44928986508569</v>
      </c>
      <c r="GQ66" s="348">
        <f t="shared" si="141"/>
        <v>475.49943691979513</v>
      </c>
      <c r="GR66" s="348">
        <f t="shared" si="142"/>
        <v>582.08403777138835</v>
      </c>
    </row>
    <row r="67" spans="1:200" x14ac:dyDescent="0.2">
      <c r="A67" s="320">
        <v>57</v>
      </c>
      <c r="C67" s="350">
        <v>2.2066920921422359</v>
      </c>
      <c r="D67" s="350">
        <v>1.4033246513527236</v>
      </c>
      <c r="E67" s="350">
        <v>0</v>
      </c>
      <c r="F67" s="350">
        <v>21944.978333333329</v>
      </c>
      <c r="G67" s="350">
        <v>8226.246666666666</v>
      </c>
      <c r="H67" s="351">
        <f t="shared" si="143"/>
        <v>2264.0660865379341</v>
      </c>
      <c r="I67" s="351">
        <f t="shared" si="144"/>
        <v>3334.2993716140713</v>
      </c>
      <c r="J67" s="352">
        <f t="shared" si="145"/>
        <v>0</v>
      </c>
      <c r="K67" s="352">
        <f t="shared" si="146"/>
        <v>0</v>
      </c>
      <c r="L67" s="353">
        <f t="shared" si="147"/>
        <v>2264.0660865379341</v>
      </c>
      <c r="M67" s="353">
        <f t="shared" si="148"/>
        <v>3334.2993716140713</v>
      </c>
      <c r="N67" s="343">
        <f t="shared" si="117"/>
        <v>2292.6208961297175</v>
      </c>
      <c r="O67" s="343">
        <f t="shared" si="118"/>
        <v>3362.8541812058547</v>
      </c>
      <c r="Q67" s="350">
        <v>2.6023737915456149</v>
      </c>
      <c r="R67" s="350">
        <v>1.537343816709235</v>
      </c>
      <c r="S67" s="350">
        <v>0</v>
      </c>
      <c r="T67" s="350">
        <v>5284.3874999999989</v>
      </c>
      <c r="U67" s="350">
        <v>1369.1125</v>
      </c>
      <c r="V67" s="351">
        <f t="shared" si="149"/>
        <v>1832.0711492481128</v>
      </c>
      <c r="W67" s="351">
        <f t="shared" si="150"/>
        <v>2579.6629244380965</v>
      </c>
      <c r="X67" s="352">
        <f t="shared" si="151"/>
        <v>0</v>
      </c>
      <c r="Y67" s="352">
        <f t="shared" si="152"/>
        <v>0</v>
      </c>
      <c r="Z67" s="353">
        <f t="shared" si="153"/>
        <v>1832.0711492481128</v>
      </c>
      <c r="AA67" s="353">
        <f t="shared" si="154"/>
        <v>2579.6629244380965</v>
      </c>
      <c r="AB67" s="343">
        <f t="shared" si="119"/>
        <v>1849.4320010986055</v>
      </c>
      <c r="AC67" s="343">
        <f t="shared" si="120"/>
        <v>2597.0237762885895</v>
      </c>
      <c r="AE67" s="350">
        <v>3.0948313575138906</v>
      </c>
      <c r="AF67" s="350">
        <v>2.0973165425168778</v>
      </c>
      <c r="AG67" s="350">
        <v>0</v>
      </c>
      <c r="AH67" s="350">
        <v>761.7791666666667</v>
      </c>
      <c r="AI67" s="350">
        <v>193.36583333333331</v>
      </c>
      <c r="AJ67" s="351">
        <f t="shared" si="155"/>
        <v>1101.759963274945</v>
      </c>
      <c r="AK67" s="351">
        <f t="shared" si="156"/>
        <v>1606.5444715679284</v>
      </c>
      <c r="AL67" s="352">
        <f t="shared" si="157"/>
        <v>0</v>
      </c>
      <c r="AM67" s="352">
        <f t="shared" si="158"/>
        <v>0</v>
      </c>
      <c r="AN67" s="353">
        <f t="shared" si="159"/>
        <v>1101.759963274945</v>
      </c>
      <c r="AO67" s="353">
        <f t="shared" si="160"/>
        <v>1606.5444715679284</v>
      </c>
      <c r="AP67" s="343">
        <f t="shared" si="121"/>
        <v>1113.0180329890702</v>
      </c>
      <c r="AQ67" s="343">
        <f t="shared" si="122"/>
        <v>1617.8025412820537</v>
      </c>
      <c r="AS67" s="350">
        <v>3.2107000000000001</v>
      </c>
      <c r="AT67" s="350">
        <v>1.5175314085911049</v>
      </c>
      <c r="AU67" s="350">
        <v>6.4352115902477358E-3</v>
      </c>
      <c r="AV67" s="350">
        <v>16083.3717</v>
      </c>
      <c r="AW67" s="350">
        <v>5541.1508000000003</v>
      </c>
      <c r="AX67" s="351">
        <f t="shared" si="161"/>
        <v>809.09640000000002</v>
      </c>
      <c r="AY67" s="351">
        <f t="shared" si="162"/>
        <v>760.28323570414352</v>
      </c>
      <c r="AZ67" s="352">
        <f t="shared" si="163"/>
        <v>1.0360690660298855</v>
      </c>
      <c r="BA67" s="352">
        <f t="shared" si="164"/>
        <v>0.50192185753751428</v>
      </c>
      <c r="BB67" s="353">
        <f t="shared" si="165"/>
        <v>809.59832185753748</v>
      </c>
      <c r="BC67" s="353">
        <f t="shared" si="166"/>
        <v>759.74908849565111</v>
      </c>
      <c r="BD67" s="343">
        <f t="shared" si="123"/>
        <v>824.9874736185086</v>
      </c>
      <c r="BE67" s="343">
        <f t="shared" si="124"/>
        <v>775.13824025662223</v>
      </c>
      <c r="BG67" s="350">
        <v>3.4060980228744211</v>
      </c>
      <c r="BH67" s="350">
        <v>1.5435226682277317</v>
      </c>
      <c r="BI67" s="350">
        <v>8.4081971210486859E-3</v>
      </c>
      <c r="BJ67" s="350">
        <v>16167.8467</v>
      </c>
      <c r="BK67" s="350">
        <v>5566.5675000000001</v>
      </c>
      <c r="BL67" s="351">
        <f t="shared" si="167"/>
        <v>807.2452314212378</v>
      </c>
      <c r="BM67" s="351">
        <f t="shared" si="168"/>
        <v>743.97792608576663</v>
      </c>
      <c r="BN67" s="352">
        <f t="shared" si="169"/>
        <v>1.5134754817887635</v>
      </c>
      <c r="BO67" s="352">
        <f t="shared" si="170"/>
        <v>0.72587386584175351</v>
      </c>
      <c r="BP67" s="353">
        <f t="shared" si="171"/>
        <v>807.97110528707958</v>
      </c>
      <c r="BQ67" s="353">
        <f t="shared" si="172"/>
        <v>743.19032446981964</v>
      </c>
      <c r="BR67" s="343">
        <f t="shared" si="125"/>
        <v>825.3484885570374</v>
      </c>
      <c r="BS67" s="343">
        <f t="shared" si="126"/>
        <v>760.56770773977746</v>
      </c>
      <c r="BU67" s="350">
        <v>2.9989309661240093</v>
      </c>
      <c r="BV67" s="350">
        <v>1.5893280082588463</v>
      </c>
      <c r="BW67" s="350">
        <v>2.9275263712535064E-3</v>
      </c>
      <c r="BX67" s="350">
        <v>12177.0658</v>
      </c>
      <c r="BY67" s="350">
        <v>4571.8167000000003</v>
      </c>
      <c r="BZ67" s="351">
        <f t="shared" si="173"/>
        <v>545.80543583456972</v>
      </c>
      <c r="CA67" s="351">
        <f t="shared" si="174"/>
        <v>487.9236985354658</v>
      </c>
      <c r="CB67" s="352">
        <f t="shared" si="175"/>
        <v>0.19614426687398492</v>
      </c>
      <c r="CC67" s="352">
        <f t="shared" si="176"/>
        <v>9.2580767009149606E-2</v>
      </c>
      <c r="CD67" s="353">
        <f t="shared" si="177"/>
        <v>545.89801660157889</v>
      </c>
      <c r="CE67" s="353">
        <f t="shared" si="178"/>
        <v>487.82013503560097</v>
      </c>
      <c r="CF67" s="343">
        <f t="shared" si="127"/>
        <v>557.33843734033542</v>
      </c>
      <c r="CG67" s="343">
        <f t="shared" si="128"/>
        <v>499.2605557743575</v>
      </c>
      <c r="CI67" s="350">
        <v>1.0494124104736136</v>
      </c>
      <c r="CJ67" s="350">
        <v>1.0337780900274751</v>
      </c>
      <c r="CK67" s="350">
        <v>0</v>
      </c>
      <c r="CL67" s="350">
        <v>34102.695800000001</v>
      </c>
      <c r="CM67" s="350">
        <v>11975.695</v>
      </c>
      <c r="CN67" s="351">
        <f t="shared" si="179"/>
        <v>189.94364629572405</v>
      </c>
      <c r="CO67" s="351">
        <f t="shared" si="180"/>
        <v>234.66762643623684</v>
      </c>
      <c r="CP67" s="352">
        <f t="shared" si="181"/>
        <v>0</v>
      </c>
      <c r="CQ67" s="352">
        <f t="shared" si="182"/>
        <v>0</v>
      </c>
      <c r="CR67" s="353">
        <f t="shared" si="183"/>
        <v>189.94364629572405</v>
      </c>
      <c r="CS67" s="353">
        <f t="shared" si="184"/>
        <v>234.66762643623684</v>
      </c>
      <c r="CT67" s="343">
        <f t="shared" si="129"/>
        <v>190.33694597014539</v>
      </c>
      <c r="CU67" s="343">
        <f t="shared" si="130"/>
        <v>235.06092611065819</v>
      </c>
      <c r="CW67" s="350">
        <v>1.9322470376596759</v>
      </c>
      <c r="CX67" s="350">
        <v>1.7012561361546943</v>
      </c>
      <c r="CY67" s="350">
        <v>0</v>
      </c>
      <c r="CZ67" s="350">
        <v>16339.4133</v>
      </c>
      <c r="DA67" s="350">
        <v>5825.8275000000003</v>
      </c>
      <c r="DB67" s="351">
        <f t="shared" si="185"/>
        <v>369.05918419299809</v>
      </c>
      <c r="DC67" s="351">
        <f t="shared" si="186"/>
        <v>445.72910767252989</v>
      </c>
      <c r="DD67" s="352">
        <f t="shared" si="187"/>
        <v>0</v>
      </c>
      <c r="DE67" s="352">
        <f t="shared" si="188"/>
        <v>0</v>
      </c>
      <c r="DF67" s="353">
        <f t="shared" si="189"/>
        <v>369.05918419299809</v>
      </c>
      <c r="DG67" s="353">
        <f t="shared" si="190"/>
        <v>445.72910767252989</v>
      </c>
      <c r="DH67" s="343">
        <f t="shared" si="131"/>
        <v>369.36099448284983</v>
      </c>
      <c r="DI67" s="343">
        <f t="shared" si="132"/>
        <v>446.03091796238164</v>
      </c>
      <c r="DK67" s="350">
        <v>2.4376000000000002</v>
      </c>
      <c r="DL67" s="350">
        <v>2.0838999999999999</v>
      </c>
      <c r="DM67" s="350">
        <v>0</v>
      </c>
      <c r="DN67" s="350">
        <v>734.09</v>
      </c>
      <c r="DO67" s="350">
        <v>399.56920000000002</v>
      </c>
      <c r="DP67" s="351">
        <f t="shared" si="191"/>
        <v>234.00960000000003</v>
      </c>
      <c r="DQ67" s="351">
        <f t="shared" si="192"/>
        <v>362.59859999999998</v>
      </c>
      <c r="DR67" s="352">
        <f t="shared" si="193"/>
        <v>0</v>
      </c>
      <c r="DS67" s="352">
        <f t="shared" si="194"/>
        <v>0</v>
      </c>
      <c r="DT67" s="353">
        <f t="shared" si="195"/>
        <v>234.00960000000003</v>
      </c>
      <c r="DU67" s="353">
        <f t="shared" si="196"/>
        <v>362.59859999999998</v>
      </c>
      <c r="DV67" s="343">
        <f t="shared" si="133"/>
        <v>234.26632482600476</v>
      </c>
      <c r="DW67" s="343">
        <f t="shared" si="134"/>
        <v>362.85532482600468</v>
      </c>
      <c r="EB67" s="326"/>
      <c r="EC67" s="326"/>
      <c r="ED67" s="326"/>
      <c r="EE67" s="348">
        <f t="shared" si="197"/>
        <v>88470.459133333337</v>
      </c>
      <c r="EF67" s="348">
        <f t="shared" si="198"/>
        <v>31568.919966666665</v>
      </c>
      <c r="EG67" s="348">
        <f t="shared" si="199"/>
        <v>3558.3534801880569</v>
      </c>
      <c r="EH67" s="348">
        <f t="shared" si="200"/>
        <v>4685.833519892476</v>
      </c>
      <c r="EI67" s="354">
        <f t="shared" si="201"/>
        <v>0.73701196887758091</v>
      </c>
      <c r="EJ67" s="326"/>
      <c r="EK67" s="348">
        <f t="shared" si="202"/>
        <v>3558.855402045594</v>
      </c>
      <c r="EL67" s="348">
        <f t="shared" si="203"/>
        <v>4685.2993726839832</v>
      </c>
      <c r="EM67" s="348">
        <f t="shared" si="83"/>
        <v>3603.4341113046517</v>
      </c>
      <c r="EN67" s="348">
        <f t="shared" si="84"/>
        <v>4729.8780819430403</v>
      </c>
      <c r="EP67" s="326"/>
      <c r="EQ67" s="326"/>
      <c r="ER67" s="326"/>
      <c r="ES67" s="348">
        <f t="shared" si="204"/>
        <v>71894.343300000008</v>
      </c>
      <c r="ET67" s="348">
        <f t="shared" si="205"/>
        <v>24737.202499999999</v>
      </c>
      <c r="EU67" s="348">
        <f t="shared" si="206"/>
        <v>3087.6014559001733</v>
      </c>
      <c r="EV67" s="348">
        <f t="shared" si="207"/>
        <v>3870.3188523308709</v>
      </c>
      <c r="EW67" s="354">
        <f t="shared" si="208"/>
        <v>0.74400489720821583</v>
      </c>
      <c r="EX67" s="326"/>
      <c r="EY67" s="348">
        <f t="shared" si="209"/>
        <v>3088.3273297660148</v>
      </c>
      <c r="EZ67" s="348">
        <f t="shared" si="210"/>
        <v>3869.5312507149238</v>
      </c>
      <c r="FA67" s="348">
        <f t="shared" si="92"/>
        <v>3123.6701317637826</v>
      </c>
      <c r="FB67" s="348">
        <f t="shared" si="93"/>
        <v>3904.874052712692</v>
      </c>
      <c r="FD67" s="326"/>
      <c r="FE67" s="326"/>
      <c r="FF67" s="326"/>
      <c r="FG67" s="348">
        <f t="shared" si="211"/>
        <v>47775.630766666669</v>
      </c>
      <c r="FH67" s="348">
        <f t="shared" si="212"/>
        <v>17140.446733333334</v>
      </c>
      <c r="FI67" s="348">
        <f t="shared" si="213"/>
        <v>1977.9148054052387</v>
      </c>
      <c r="FJ67" s="348">
        <f t="shared" si="214"/>
        <v>2546.6949565396308</v>
      </c>
      <c r="FK67" s="354">
        <f t="shared" si="215"/>
        <v>0.73595991326904597</v>
      </c>
      <c r="FL67" s="326"/>
      <c r="FM67" s="348">
        <f t="shared" si="216"/>
        <v>1978.0073861722478</v>
      </c>
      <c r="FN67" s="348">
        <f t="shared" si="217"/>
        <v>2546.591393039766</v>
      </c>
      <c r="FO67" s="348">
        <f t="shared" si="101"/>
        <v>2001.2532111951537</v>
      </c>
      <c r="FP67" s="348">
        <f t="shared" si="102"/>
        <v>2569.8372180626725</v>
      </c>
      <c r="FR67" s="326"/>
      <c r="FS67" s="326"/>
      <c r="FT67" s="326"/>
      <c r="FU67" s="348">
        <f t="shared" si="218"/>
        <v>28260.4375</v>
      </c>
      <c r="FV67" s="348">
        <f t="shared" si="219"/>
        <v>10112.967500000001</v>
      </c>
      <c r="FW67" s="349">
        <f t="shared" si="220"/>
        <v>236.96186774888727</v>
      </c>
      <c r="FX67" s="349">
        <f t="shared" si="221"/>
        <v>245.12358345180996</v>
      </c>
      <c r="FY67" s="354">
        <f t="shared" si="222"/>
        <v>0.73645894858691852</v>
      </c>
      <c r="FZ67" s="326"/>
      <c r="GA67" s="349">
        <f t="shared" si="223"/>
        <v>237.33027473036273</v>
      </c>
      <c r="GB67" s="349">
        <f t="shared" si="224"/>
        <v>244.73605811404514</v>
      </c>
      <c r="GC67" s="349">
        <f t="shared" si="139"/>
        <v>240.88413265035587</v>
      </c>
      <c r="GD67" s="349">
        <f t="shared" si="140"/>
        <v>248.28991603403827</v>
      </c>
      <c r="GF67" s="326"/>
      <c r="GG67" s="326"/>
      <c r="GH67" s="326"/>
      <c r="GI67" s="348">
        <f t="shared" si="225"/>
        <v>50442.109100000001</v>
      </c>
      <c r="GJ67" s="348">
        <f t="shared" si="226"/>
        <v>17801.522499999999</v>
      </c>
      <c r="GK67" s="348">
        <f t="shared" si="227"/>
        <v>485.19099365012255</v>
      </c>
      <c r="GL67" s="348">
        <f t="shared" si="228"/>
        <v>591.25091257426084</v>
      </c>
      <c r="GM67" s="354">
        <f t="shared" si="229"/>
        <v>0.73914749138291769</v>
      </c>
      <c r="GN67" s="326"/>
      <c r="GO67" s="348">
        <f t="shared" si="230"/>
        <v>485.19099365012255</v>
      </c>
      <c r="GP67" s="348">
        <f t="shared" si="231"/>
        <v>591.25091257426084</v>
      </c>
      <c r="GQ67" s="348">
        <f t="shared" si="141"/>
        <v>485.82574155642527</v>
      </c>
      <c r="GR67" s="348">
        <f t="shared" si="142"/>
        <v>591.8856604805635</v>
      </c>
    </row>
    <row r="68" spans="1:200" x14ac:dyDescent="0.2">
      <c r="A68" s="320">
        <v>58</v>
      </c>
      <c r="C68" s="350">
        <v>2.3269707104110751</v>
      </c>
      <c r="D68" s="350">
        <v>1.4488221367507026</v>
      </c>
      <c r="E68" s="350">
        <v>0</v>
      </c>
      <c r="F68" s="350">
        <v>21218.671666666673</v>
      </c>
      <c r="G68" s="350">
        <v>8025.1291666666657</v>
      </c>
      <c r="H68" s="351">
        <f t="shared" si="143"/>
        <v>2387.4719488817632</v>
      </c>
      <c r="I68" s="351">
        <f t="shared" si="144"/>
        <v>3442.4013969196694</v>
      </c>
      <c r="J68" s="352">
        <f t="shared" si="145"/>
        <v>0</v>
      </c>
      <c r="K68" s="352">
        <f t="shared" si="146"/>
        <v>0</v>
      </c>
      <c r="L68" s="353">
        <f t="shared" si="147"/>
        <v>2387.4719488817632</v>
      </c>
      <c r="M68" s="353">
        <f t="shared" si="148"/>
        <v>3442.4013969196694</v>
      </c>
      <c r="N68" s="343">
        <f t="shared" si="117"/>
        <v>2416.0267584735466</v>
      </c>
      <c r="O68" s="343">
        <f t="shared" si="118"/>
        <v>3470.9562065114528</v>
      </c>
      <c r="Q68" s="350">
        <v>2.7693638521983646</v>
      </c>
      <c r="R68" s="350">
        <v>1.5942083435966465</v>
      </c>
      <c r="S68" s="350">
        <v>0</v>
      </c>
      <c r="T68" s="350">
        <v>5281.6916666666648</v>
      </c>
      <c r="U68" s="350">
        <v>1435.8433333333335</v>
      </c>
      <c r="V68" s="351">
        <f t="shared" si="149"/>
        <v>1949.6321519476487</v>
      </c>
      <c r="W68" s="351">
        <f t="shared" si="150"/>
        <v>2675.0816005551728</v>
      </c>
      <c r="X68" s="352">
        <f t="shared" si="151"/>
        <v>0</v>
      </c>
      <c r="Y68" s="352">
        <f t="shared" si="152"/>
        <v>0</v>
      </c>
      <c r="Z68" s="353">
        <f t="shared" si="153"/>
        <v>1949.6321519476487</v>
      </c>
      <c r="AA68" s="353">
        <f t="shared" si="154"/>
        <v>2675.0816005551728</v>
      </c>
      <c r="AB68" s="343">
        <f t="shared" si="119"/>
        <v>1966.9930037981414</v>
      </c>
      <c r="AC68" s="343">
        <f t="shared" si="120"/>
        <v>2692.4424524056658</v>
      </c>
      <c r="AE68" s="350">
        <v>3.360044607516635</v>
      </c>
      <c r="AF68" s="350">
        <v>2.1933811843708577</v>
      </c>
      <c r="AG68" s="350">
        <v>0</v>
      </c>
      <c r="AH68" s="350">
        <v>736.65666666666664</v>
      </c>
      <c r="AI68" s="350">
        <v>174.66333333333336</v>
      </c>
      <c r="AJ68" s="351">
        <f t="shared" si="155"/>
        <v>1196.1758802759221</v>
      </c>
      <c r="AK68" s="351">
        <f t="shared" si="156"/>
        <v>1680.129987228077</v>
      </c>
      <c r="AL68" s="352">
        <f t="shared" si="157"/>
        <v>0</v>
      </c>
      <c r="AM68" s="352">
        <f t="shared" si="158"/>
        <v>0</v>
      </c>
      <c r="AN68" s="353">
        <f t="shared" si="159"/>
        <v>1196.1758802759221</v>
      </c>
      <c r="AO68" s="353">
        <f t="shared" si="160"/>
        <v>1680.129987228077</v>
      </c>
      <c r="AP68" s="343">
        <f t="shared" si="121"/>
        <v>1207.4339499900473</v>
      </c>
      <c r="AQ68" s="343">
        <f t="shared" si="122"/>
        <v>1691.3880569422022</v>
      </c>
      <c r="AS68" s="350">
        <v>3.4918</v>
      </c>
      <c r="AT68" s="350">
        <v>1.6105702852003085</v>
      </c>
      <c r="AU68" s="350">
        <v>6.3770985397385935E-3</v>
      </c>
      <c r="AV68" s="350">
        <v>15661.646699999999</v>
      </c>
      <c r="AW68" s="350">
        <v>5490.3482999999997</v>
      </c>
      <c r="AX68" s="351">
        <f t="shared" si="161"/>
        <v>879.93359999999996</v>
      </c>
      <c r="AY68" s="351">
        <f t="shared" si="162"/>
        <v>806.89571288535456</v>
      </c>
      <c r="AZ68" s="352">
        <f t="shared" si="163"/>
        <v>1.0267128648979136</v>
      </c>
      <c r="BA68" s="352">
        <f t="shared" si="164"/>
        <v>0.49112865345770307</v>
      </c>
      <c r="BB68" s="353">
        <f t="shared" si="165"/>
        <v>880.42472865345769</v>
      </c>
      <c r="BC68" s="353">
        <f t="shared" si="166"/>
        <v>806.36012867391435</v>
      </c>
      <c r="BD68" s="343">
        <f t="shared" si="123"/>
        <v>895.82467361850854</v>
      </c>
      <c r="BE68" s="343">
        <f t="shared" si="124"/>
        <v>821.7600736389652</v>
      </c>
      <c r="BG68" s="350">
        <v>3.7256205539742098</v>
      </c>
      <c r="BH68" s="350">
        <v>1.6180468453648849</v>
      </c>
      <c r="BI68" s="350">
        <v>6.3453469791939056E-3</v>
      </c>
      <c r="BJ68" s="350">
        <v>15701.98</v>
      </c>
      <c r="BK68" s="350">
        <v>5528.8482999999997</v>
      </c>
      <c r="BL68" s="351">
        <f t="shared" si="167"/>
        <v>882.97207129188769</v>
      </c>
      <c r="BM68" s="351">
        <f t="shared" si="168"/>
        <v>779.89857946587449</v>
      </c>
      <c r="BN68" s="352">
        <f t="shared" si="169"/>
        <v>1.1421624562549031</v>
      </c>
      <c r="BO68" s="352">
        <f t="shared" si="170"/>
        <v>0.53568260209928709</v>
      </c>
      <c r="BP68" s="353">
        <f t="shared" si="171"/>
        <v>883.507753893987</v>
      </c>
      <c r="BQ68" s="353">
        <f t="shared" si="172"/>
        <v>779.29209961171887</v>
      </c>
      <c r="BR68" s="343">
        <f t="shared" si="125"/>
        <v>901.07532842768728</v>
      </c>
      <c r="BS68" s="343">
        <f t="shared" si="126"/>
        <v>796.85967414541915</v>
      </c>
      <c r="BU68" s="350">
        <v>3.2383686039393642</v>
      </c>
      <c r="BV68" s="350">
        <v>1.6880464696282627</v>
      </c>
      <c r="BW68" s="350">
        <v>2.9275263712535064E-3</v>
      </c>
      <c r="BX68" s="350">
        <v>11602.244199999999</v>
      </c>
      <c r="BY68" s="350">
        <v>4462.1633000000002</v>
      </c>
      <c r="BZ68" s="351">
        <f t="shared" si="173"/>
        <v>589.38308591696432</v>
      </c>
      <c r="CA68" s="351">
        <f t="shared" si="174"/>
        <v>518.23026617587664</v>
      </c>
      <c r="CB68" s="352">
        <f t="shared" si="175"/>
        <v>0.19614426687398492</v>
      </c>
      <c r="CC68" s="352">
        <f t="shared" si="176"/>
        <v>9.1772002783203341E-2</v>
      </c>
      <c r="CD68" s="353">
        <f t="shared" si="177"/>
        <v>589.47485791974748</v>
      </c>
      <c r="CE68" s="353">
        <f t="shared" si="178"/>
        <v>518.12589391178585</v>
      </c>
      <c r="CF68" s="343">
        <f t="shared" si="127"/>
        <v>600.91608742273002</v>
      </c>
      <c r="CG68" s="343">
        <f t="shared" si="128"/>
        <v>529.56712341476839</v>
      </c>
      <c r="CI68" s="350">
        <v>1.0533110127401182</v>
      </c>
      <c r="CJ68" s="350">
        <v>1.0364274849060231</v>
      </c>
      <c r="CK68" s="350">
        <v>0</v>
      </c>
      <c r="CL68" s="350">
        <v>31955.984199999999</v>
      </c>
      <c r="CM68" s="350">
        <v>11149.8092</v>
      </c>
      <c r="CN68" s="351">
        <f t="shared" si="179"/>
        <v>190.64929330596138</v>
      </c>
      <c r="CO68" s="351">
        <f t="shared" si="180"/>
        <v>235.26903907366724</v>
      </c>
      <c r="CP68" s="352">
        <f t="shared" si="181"/>
        <v>0</v>
      </c>
      <c r="CQ68" s="352">
        <f t="shared" si="182"/>
        <v>0</v>
      </c>
      <c r="CR68" s="353">
        <f t="shared" si="183"/>
        <v>190.64929330596138</v>
      </c>
      <c r="CS68" s="353">
        <f t="shared" si="184"/>
        <v>235.26903907366724</v>
      </c>
      <c r="CT68" s="343">
        <f t="shared" si="129"/>
        <v>191.04259298038272</v>
      </c>
      <c r="CU68" s="343">
        <f t="shared" si="130"/>
        <v>235.66233874808859</v>
      </c>
      <c r="CW68" s="350">
        <v>1.9988910805996658</v>
      </c>
      <c r="CX68" s="350">
        <v>1.7440722187472546</v>
      </c>
      <c r="CY68" s="350">
        <v>0</v>
      </c>
      <c r="CZ68" s="350">
        <v>15517.441699999999</v>
      </c>
      <c r="DA68" s="350">
        <v>5534.0342000000001</v>
      </c>
      <c r="DB68" s="351">
        <f t="shared" si="185"/>
        <v>381.78819639453616</v>
      </c>
      <c r="DC68" s="351">
        <f t="shared" si="186"/>
        <v>456.94692131178073</v>
      </c>
      <c r="DD68" s="352">
        <f t="shared" si="187"/>
        <v>0</v>
      </c>
      <c r="DE68" s="352">
        <f t="shared" si="188"/>
        <v>0</v>
      </c>
      <c r="DF68" s="353">
        <f t="shared" si="189"/>
        <v>381.78819639453616</v>
      </c>
      <c r="DG68" s="353">
        <f t="shared" si="190"/>
        <v>456.94692131178073</v>
      </c>
      <c r="DH68" s="343">
        <f t="shared" si="131"/>
        <v>382.0900066843879</v>
      </c>
      <c r="DI68" s="343">
        <f t="shared" si="132"/>
        <v>457.24873160163247</v>
      </c>
      <c r="DK68" s="350">
        <v>2.5085000000000002</v>
      </c>
      <c r="DL68" s="350">
        <v>2.1334</v>
      </c>
      <c r="DM68" s="350">
        <v>0</v>
      </c>
      <c r="DN68" s="350">
        <v>761.75</v>
      </c>
      <c r="DO68" s="350">
        <v>414.5</v>
      </c>
      <c r="DP68" s="351">
        <f t="shared" si="191"/>
        <v>240.81600000000003</v>
      </c>
      <c r="DQ68" s="351">
        <f t="shared" si="192"/>
        <v>371.21159999999998</v>
      </c>
      <c r="DR68" s="352">
        <f t="shared" si="193"/>
        <v>0</v>
      </c>
      <c r="DS68" s="352">
        <f t="shared" si="194"/>
        <v>0</v>
      </c>
      <c r="DT68" s="353">
        <f t="shared" si="195"/>
        <v>240.81600000000003</v>
      </c>
      <c r="DU68" s="353">
        <f t="shared" si="196"/>
        <v>371.21159999999998</v>
      </c>
      <c r="DV68" s="343">
        <f t="shared" si="133"/>
        <v>241.07272482600476</v>
      </c>
      <c r="DW68" s="343">
        <f t="shared" si="134"/>
        <v>371.46832482600468</v>
      </c>
      <c r="EB68" s="326"/>
      <c r="EC68" s="326"/>
      <c r="ED68" s="326"/>
      <c r="EE68" s="348">
        <f t="shared" si="197"/>
        <v>84353.744266666676</v>
      </c>
      <c r="EF68" s="348">
        <f t="shared" si="198"/>
        <v>30199.320866666669</v>
      </c>
      <c r="EG68" s="348">
        <f t="shared" si="199"/>
        <v>3763.485399303353</v>
      </c>
      <c r="EH68" s="348">
        <f t="shared" si="200"/>
        <v>4850.1236859281153</v>
      </c>
      <c r="EI68" s="354">
        <f t="shared" si="201"/>
        <v>0.73637265112446915</v>
      </c>
      <c r="EJ68" s="326"/>
      <c r="EK68" s="348">
        <f t="shared" si="202"/>
        <v>3763.976527956811</v>
      </c>
      <c r="EL68" s="348">
        <f t="shared" si="203"/>
        <v>4849.5881017166748</v>
      </c>
      <c r="EM68" s="348">
        <f t="shared" si="83"/>
        <v>3808.5660304199482</v>
      </c>
      <c r="EN68" s="348">
        <f t="shared" si="84"/>
        <v>4894.177604179813</v>
      </c>
      <c r="EP68" s="326"/>
      <c r="EQ68" s="326"/>
      <c r="ER68" s="326"/>
      <c r="ES68" s="348">
        <f t="shared" si="204"/>
        <v>68457.097566666664</v>
      </c>
      <c r="ET68" s="348">
        <f t="shared" si="205"/>
        <v>23648.535033333334</v>
      </c>
      <c r="EU68" s="348">
        <f t="shared" si="206"/>
        <v>3290.505254021673</v>
      </c>
      <c r="EV68" s="348">
        <f t="shared" si="207"/>
        <v>4010.1120640129607</v>
      </c>
      <c r="EW68" s="354">
        <f t="shared" si="208"/>
        <v>0.7432455066452327</v>
      </c>
      <c r="EX68" s="326"/>
      <c r="EY68" s="348">
        <f t="shared" si="209"/>
        <v>3291.0409366237718</v>
      </c>
      <c r="EZ68" s="348">
        <f t="shared" si="210"/>
        <v>4009.505584158805</v>
      </c>
      <c r="FA68" s="348">
        <f t="shared" si="92"/>
        <v>3326.5739298852832</v>
      </c>
      <c r="FB68" s="348">
        <f t="shared" si="93"/>
        <v>4045.0385774203164</v>
      </c>
      <c r="FD68" s="326"/>
      <c r="FE68" s="326"/>
      <c r="FF68" s="326"/>
      <c r="FG68" s="348">
        <f t="shared" si="211"/>
        <v>45056.635066666662</v>
      </c>
      <c r="FH68" s="348">
        <f t="shared" si="212"/>
        <v>16201.135833333334</v>
      </c>
      <c r="FI68" s="348">
        <f t="shared" si="213"/>
        <v>2120.6978594988477</v>
      </c>
      <c r="FJ68" s="348">
        <f t="shared" si="214"/>
        <v>2656.3562524776207</v>
      </c>
      <c r="FK68" s="354">
        <f t="shared" si="215"/>
        <v>0.73552521426578166</v>
      </c>
      <c r="FL68" s="326"/>
      <c r="FM68" s="348">
        <f t="shared" si="216"/>
        <v>2120.789631501631</v>
      </c>
      <c r="FN68" s="348">
        <f t="shared" si="217"/>
        <v>2656.2518802135301</v>
      </c>
      <c r="FO68" s="348">
        <f t="shared" si="101"/>
        <v>2144.0362652887629</v>
      </c>
      <c r="FP68" s="348">
        <f t="shared" si="102"/>
        <v>2679.498514000662</v>
      </c>
      <c r="FR68" s="326"/>
      <c r="FS68" s="326"/>
      <c r="FT68" s="326"/>
      <c r="FU68" s="348">
        <f t="shared" si="218"/>
        <v>27263.890899999999</v>
      </c>
      <c r="FV68" s="348">
        <f t="shared" si="219"/>
        <v>9952.5115999999998</v>
      </c>
      <c r="FW68" s="349">
        <f t="shared" si="220"/>
        <v>261.4954626747321</v>
      </c>
      <c r="FX68" s="349">
        <f t="shared" si="221"/>
        <v>259.79890203853012</v>
      </c>
      <c r="FY68" s="354">
        <f t="shared" si="222"/>
        <v>0.73257727960138008</v>
      </c>
      <c r="FZ68" s="326"/>
      <c r="GA68" s="349">
        <f t="shared" si="223"/>
        <v>261.85488366033923</v>
      </c>
      <c r="GB68" s="349">
        <f t="shared" si="224"/>
        <v>259.41081128591566</v>
      </c>
      <c r="GC68" s="349">
        <f t="shared" si="139"/>
        <v>265.41772757620066</v>
      </c>
      <c r="GD68" s="349">
        <f t="shared" si="140"/>
        <v>262.97365520177715</v>
      </c>
      <c r="GF68" s="326"/>
      <c r="GG68" s="326"/>
      <c r="GH68" s="326"/>
      <c r="GI68" s="348">
        <f t="shared" si="225"/>
        <v>47473.425900000002</v>
      </c>
      <c r="GJ68" s="348">
        <f t="shared" si="226"/>
        <v>16683.843399999998</v>
      </c>
      <c r="GK68" s="348">
        <f t="shared" si="227"/>
        <v>496.07985042159032</v>
      </c>
      <c r="GL68" s="348">
        <f t="shared" si="228"/>
        <v>600.82657612309185</v>
      </c>
      <c r="GM68" s="354">
        <f t="shared" si="229"/>
        <v>0.73995396652581658</v>
      </c>
      <c r="GN68" s="326"/>
      <c r="GO68" s="348">
        <f t="shared" si="230"/>
        <v>496.07985042159032</v>
      </c>
      <c r="GP68" s="348">
        <f t="shared" si="231"/>
        <v>600.82657612309185</v>
      </c>
      <c r="GQ68" s="348">
        <f t="shared" si="141"/>
        <v>496.71459832789304</v>
      </c>
      <c r="GR68" s="348">
        <f t="shared" si="142"/>
        <v>601.46132402939452</v>
      </c>
    </row>
    <row r="69" spans="1:200" x14ac:dyDescent="0.2">
      <c r="A69" s="320">
        <v>59</v>
      </c>
      <c r="C69" s="350">
        <v>2.4522426231040608</v>
      </c>
      <c r="D69" s="350">
        <v>1.4955126324617984</v>
      </c>
      <c r="E69" s="350">
        <v>0</v>
      </c>
      <c r="F69" s="350">
        <v>20399.995833333334</v>
      </c>
      <c r="G69" s="350">
        <v>7744.1725000000006</v>
      </c>
      <c r="H69" s="351">
        <f t="shared" si="143"/>
        <v>2516.0009313047663</v>
      </c>
      <c r="I69" s="351">
        <f t="shared" si="144"/>
        <v>3553.3380147292332</v>
      </c>
      <c r="J69" s="352">
        <f t="shared" si="145"/>
        <v>0</v>
      </c>
      <c r="K69" s="352">
        <f t="shared" si="146"/>
        <v>0</v>
      </c>
      <c r="L69" s="353">
        <f t="shared" si="147"/>
        <v>2516.0009313047663</v>
      </c>
      <c r="M69" s="353">
        <f t="shared" si="148"/>
        <v>3553.3380147292332</v>
      </c>
      <c r="N69" s="343">
        <f t="shared" si="117"/>
        <v>2544.5557408965497</v>
      </c>
      <c r="O69" s="343">
        <f t="shared" si="118"/>
        <v>3581.8928243210166</v>
      </c>
      <c r="Q69" s="350">
        <v>2.9484518035886378</v>
      </c>
      <c r="R69" s="350">
        <v>1.6534273322895561</v>
      </c>
      <c r="S69" s="350">
        <v>0</v>
      </c>
      <c r="T69" s="350">
        <v>5032.001666666667</v>
      </c>
      <c r="U69" s="350">
        <v>1318.3991666666668</v>
      </c>
      <c r="V69" s="351">
        <f t="shared" si="149"/>
        <v>2075.7100697264009</v>
      </c>
      <c r="W69" s="351">
        <f t="shared" si="150"/>
        <v>2774.4510635818751</v>
      </c>
      <c r="X69" s="352">
        <f t="shared" si="151"/>
        <v>0</v>
      </c>
      <c r="Y69" s="352">
        <f t="shared" si="152"/>
        <v>0</v>
      </c>
      <c r="Z69" s="353">
        <f t="shared" si="153"/>
        <v>2075.7100697264009</v>
      </c>
      <c r="AA69" s="353">
        <f t="shared" si="154"/>
        <v>2774.4510635818751</v>
      </c>
      <c r="AB69" s="343">
        <f t="shared" si="119"/>
        <v>2093.0709215768939</v>
      </c>
      <c r="AC69" s="343">
        <f t="shared" si="120"/>
        <v>2791.8119154323681</v>
      </c>
      <c r="AE69" s="350">
        <v>3.639985765621002</v>
      </c>
      <c r="AF69" s="350">
        <v>2.2908408204779644</v>
      </c>
      <c r="AG69" s="350">
        <v>0</v>
      </c>
      <c r="AH69" s="350">
        <v>656.39916666666659</v>
      </c>
      <c r="AI69" s="350">
        <v>157.39916666666667</v>
      </c>
      <c r="AJ69" s="351">
        <f t="shared" si="155"/>
        <v>1295.8349325610766</v>
      </c>
      <c r="AK69" s="351">
        <f t="shared" si="156"/>
        <v>1754.7840684861208</v>
      </c>
      <c r="AL69" s="352">
        <f t="shared" si="157"/>
        <v>0</v>
      </c>
      <c r="AM69" s="352">
        <f t="shared" si="158"/>
        <v>0</v>
      </c>
      <c r="AN69" s="353">
        <f t="shared" si="159"/>
        <v>1295.8349325610766</v>
      </c>
      <c r="AO69" s="353">
        <f t="shared" si="160"/>
        <v>1754.7840684861208</v>
      </c>
      <c r="AP69" s="343">
        <f t="shared" si="121"/>
        <v>1307.0930022752018</v>
      </c>
      <c r="AQ69" s="343">
        <f t="shared" si="122"/>
        <v>1766.042138200246</v>
      </c>
      <c r="AS69" s="350">
        <v>3.7949000000000002</v>
      </c>
      <c r="AT69" s="350">
        <v>1.7151306722054407</v>
      </c>
      <c r="AU69" s="350">
        <v>5.9932079398631677E-3</v>
      </c>
      <c r="AV69" s="350">
        <v>14590.3933</v>
      </c>
      <c r="AW69" s="350">
        <v>5042.3517000000002</v>
      </c>
      <c r="AX69" s="351">
        <f t="shared" si="161"/>
        <v>956.31479999999999</v>
      </c>
      <c r="AY69" s="351">
        <f t="shared" si="162"/>
        <v>859.2804667749258</v>
      </c>
      <c r="AZ69" s="352">
        <f t="shared" si="163"/>
        <v>0.96490647831797005</v>
      </c>
      <c r="BA69" s="352">
        <f t="shared" si="164"/>
        <v>0.45666856719449656</v>
      </c>
      <c r="BB69" s="353">
        <f t="shared" si="165"/>
        <v>956.77146856719446</v>
      </c>
      <c r="BC69" s="353">
        <f t="shared" si="166"/>
        <v>858.7722288638023</v>
      </c>
      <c r="BD69" s="343">
        <f t="shared" si="123"/>
        <v>972.20587361850858</v>
      </c>
      <c r="BE69" s="343">
        <f t="shared" si="124"/>
        <v>874.20663391511641</v>
      </c>
      <c r="BG69" s="350">
        <v>4.0541406999322325</v>
      </c>
      <c r="BH69" s="350">
        <v>1.7100844243191244</v>
      </c>
      <c r="BI69" s="350">
        <v>2.2780993063455757E-3</v>
      </c>
      <c r="BJ69" s="350">
        <v>14566.31</v>
      </c>
      <c r="BK69" s="350">
        <v>5066.4350000000004</v>
      </c>
      <c r="BL69" s="351">
        <f t="shared" si="167"/>
        <v>960.83134588393909</v>
      </c>
      <c r="BM69" s="351">
        <f t="shared" si="168"/>
        <v>824.26069252181799</v>
      </c>
      <c r="BN69" s="352">
        <f t="shared" si="169"/>
        <v>0.4100578751422036</v>
      </c>
      <c r="BO69" s="352">
        <f t="shared" si="170"/>
        <v>0.18934294751580236</v>
      </c>
      <c r="BP69" s="353">
        <f t="shared" si="171"/>
        <v>961.02068883145489</v>
      </c>
      <c r="BQ69" s="353">
        <f t="shared" si="172"/>
        <v>824.03997759419155</v>
      </c>
      <c r="BR69" s="343">
        <f t="shared" si="125"/>
        <v>978.93460301973869</v>
      </c>
      <c r="BS69" s="343">
        <f t="shared" si="126"/>
        <v>841.95389178247535</v>
      </c>
      <c r="BU69" s="350">
        <v>3.5127082706241377</v>
      </c>
      <c r="BV69" s="350">
        <v>1.8067806530097761</v>
      </c>
      <c r="BW69" s="350">
        <v>2.9275263712535064E-3</v>
      </c>
      <c r="BX69" s="350">
        <v>11079.3675</v>
      </c>
      <c r="BY69" s="350">
        <v>4349.2183000000005</v>
      </c>
      <c r="BZ69" s="351">
        <f t="shared" si="173"/>
        <v>639.31290525359304</v>
      </c>
      <c r="CA69" s="351">
        <f t="shared" si="174"/>
        <v>554.68166047400121</v>
      </c>
      <c r="CB69" s="352">
        <f t="shared" si="175"/>
        <v>0.19614426687398492</v>
      </c>
      <c r="CC69" s="352">
        <f t="shared" si="176"/>
        <v>9.1120705876763075E-2</v>
      </c>
      <c r="CD69" s="353">
        <f t="shared" si="177"/>
        <v>639.40402595946978</v>
      </c>
      <c r="CE69" s="353">
        <f t="shared" si="178"/>
        <v>554.57663691300399</v>
      </c>
      <c r="CF69" s="343">
        <f t="shared" si="127"/>
        <v>650.84590675935874</v>
      </c>
      <c r="CG69" s="343">
        <f t="shared" si="128"/>
        <v>566.01851771289296</v>
      </c>
      <c r="CI69" s="350">
        <v>1.0573587808182718</v>
      </c>
      <c r="CJ69" s="350">
        <v>1.0380499078612457</v>
      </c>
      <c r="CK69" s="350">
        <v>0</v>
      </c>
      <c r="CL69" s="350">
        <v>30328</v>
      </c>
      <c r="CM69" s="350">
        <v>10628.0008</v>
      </c>
      <c r="CN69" s="351">
        <f t="shared" si="179"/>
        <v>191.38193932810719</v>
      </c>
      <c r="CO69" s="351">
        <f t="shared" si="180"/>
        <v>235.6373290845028</v>
      </c>
      <c r="CP69" s="352">
        <f t="shared" si="181"/>
        <v>0</v>
      </c>
      <c r="CQ69" s="352">
        <f t="shared" si="182"/>
        <v>0</v>
      </c>
      <c r="CR69" s="353">
        <f t="shared" si="183"/>
        <v>191.38193932810719</v>
      </c>
      <c r="CS69" s="353">
        <f t="shared" si="184"/>
        <v>235.6373290845028</v>
      </c>
      <c r="CT69" s="343">
        <f t="shared" si="129"/>
        <v>191.77523900252854</v>
      </c>
      <c r="CU69" s="343">
        <f t="shared" si="130"/>
        <v>236.03062875892414</v>
      </c>
      <c r="CW69" s="350">
        <v>2.0683093028638102</v>
      </c>
      <c r="CX69" s="350">
        <v>1.7866530026309404</v>
      </c>
      <c r="CY69" s="350">
        <v>0</v>
      </c>
      <c r="CZ69" s="350">
        <v>15013.154200000001</v>
      </c>
      <c r="DA69" s="350">
        <v>5409.4092000000001</v>
      </c>
      <c r="DB69" s="351">
        <f t="shared" si="185"/>
        <v>395.04707684698775</v>
      </c>
      <c r="DC69" s="351">
        <f t="shared" si="186"/>
        <v>468.10308668930639</v>
      </c>
      <c r="DD69" s="352">
        <f t="shared" si="187"/>
        <v>0</v>
      </c>
      <c r="DE69" s="352">
        <f t="shared" si="188"/>
        <v>0</v>
      </c>
      <c r="DF69" s="353">
        <f t="shared" si="189"/>
        <v>395.04707684698775</v>
      </c>
      <c r="DG69" s="353">
        <f t="shared" si="190"/>
        <v>468.10308668930639</v>
      </c>
      <c r="DH69" s="343">
        <f t="shared" si="131"/>
        <v>395.34888713683949</v>
      </c>
      <c r="DI69" s="343">
        <f t="shared" si="132"/>
        <v>468.40489697915814</v>
      </c>
      <c r="DK69" s="350">
        <v>2.5827</v>
      </c>
      <c r="DL69" s="350">
        <v>2.1825999999999999</v>
      </c>
      <c r="DM69" s="350">
        <v>0</v>
      </c>
      <c r="DN69" s="350">
        <v>802.66669999999999</v>
      </c>
      <c r="DO69" s="350">
        <v>398.91669999999999</v>
      </c>
      <c r="DP69" s="351">
        <f t="shared" si="191"/>
        <v>247.9392</v>
      </c>
      <c r="DQ69" s="351">
        <f t="shared" si="192"/>
        <v>379.7724</v>
      </c>
      <c r="DR69" s="352">
        <f t="shared" si="193"/>
        <v>0</v>
      </c>
      <c r="DS69" s="352">
        <f t="shared" si="194"/>
        <v>0</v>
      </c>
      <c r="DT69" s="353">
        <f t="shared" si="195"/>
        <v>247.9392</v>
      </c>
      <c r="DU69" s="353">
        <f t="shared" si="196"/>
        <v>379.7724</v>
      </c>
      <c r="DV69" s="343">
        <f t="shared" si="133"/>
        <v>248.19592482600473</v>
      </c>
      <c r="DW69" s="343">
        <f t="shared" si="134"/>
        <v>380.0291248260047</v>
      </c>
      <c r="EB69" s="326"/>
      <c r="EC69" s="326"/>
      <c r="ED69" s="326"/>
      <c r="EE69" s="348">
        <f t="shared" si="197"/>
        <v>80331.543333333335</v>
      </c>
      <c r="EF69" s="348">
        <f t="shared" si="198"/>
        <v>28823.934200000003</v>
      </c>
      <c r="EG69" s="348">
        <f t="shared" si="199"/>
        <v>3979.7353321104638</v>
      </c>
      <c r="EH69" s="348">
        <f t="shared" si="200"/>
        <v>5022.7382799401075</v>
      </c>
      <c r="EI69" s="354">
        <f t="shared" si="201"/>
        <v>0.73593689614707702</v>
      </c>
      <c r="EJ69" s="326"/>
      <c r="EK69" s="348">
        <f t="shared" si="202"/>
        <v>3980.1920006776581</v>
      </c>
      <c r="EL69" s="348">
        <f t="shared" si="203"/>
        <v>5022.230042028983</v>
      </c>
      <c r="EM69" s="348">
        <f t="shared" si="83"/>
        <v>4024.8159632270581</v>
      </c>
      <c r="EN69" s="348">
        <f t="shared" si="84"/>
        <v>5066.854004578383</v>
      </c>
      <c r="EP69" s="326"/>
      <c r="EQ69" s="326"/>
      <c r="ER69" s="326"/>
      <c r="ES69" s="348">
        <f t="shared" si="204"/>
        <v>64939.465866666666</v>
      </c>
      <c r="ET69" s="348">
        <f t="shared" si="205"/>
        <v>22422.244166666671</v>
      </c>
      <c r="EU69" s="348">
        <f t="shared" si="206"/>
        <v>3504.4563087313386</v>
      </c>
      <c r="EV69" s="348">
        <f t="shared" si="207"/>
        <v>4162.0212458707101</v>
      </c>
      <c r="EW69" s="354">
        <f t="shared" si="208"/>
        <v>0.74334014114294078</v>
      </c>
      <c r="EX69" s="326"/>
      <c r="EY69" s="348">
        <f t="shared" si="209"/>
        <v>3504.6456516788544</v>
      </c>
      <c r="EZ69" s="348">
        <f t="shared" si="210"/>
        <v>4161.8005309430837</v>
      </c>
      <c r="FA69" s="348">
        <f t="shared" si="92"/>
        <v>3540.5249845949484</v>
      </c>
      <c r="FB69" s="348">
        <f t="shared" si="93"/>
        <v>4197.6798638591781</v>
      </c>
      <c r="FD69" s="326"/>
      <c r="FE69" s="326"/>
      <c r="FF69" s="326"/>
      <c r="FG69" s="348">
        <f t="shared" si="211"/>
        <v>42866.433366666664</v>
      </c>
      <c r="FH69" s="348">
        <f t="shared" si="212"/>
        <v>15533.534966666668</v>
      </c>
      <c r="FI69" s="348">
        <f t="shared" si="213"/>
        <v>2275.2932971427767</v>
      </c>
      <c r="FJ69" s="348">
        <f t="shared" si="214"/>
        <v>2772.9664980446246</v>
      </c>
      <c r="FK69" s="354">
        <f t="shared" si="215"/>
        <v>0.73401466798740556</v>
      </c>
      <c r="FL69" s="326"/>
      <c r="FM69" s="348">
        <f t="shared" si="216"/>
        <v>2275.3844178486538</v>
      </c>
      <c r="FN69" s="348">
        <f t="shared" si="217"/>
        <v>2772.8614744836273</v>
      </c>
      <c r="FO69" s="348">
        <f t="shared" si="101"/>
        <v>2298.631702932692</v>
      </c>
      <c r="FP69" s="348">
        <f t="shared" si="102"/>
        <v>2796.1087595676659</v>
      </c>
      <c r="FR69" s="326"/>
      <c r="FS69" s="326"/>
      <c r="FT69" s="326"/>
      <c r="FU69" s="348">
        <f t="shared" si="218"/>
        <v>25669.7608</v>
      </c>
      <c r="FV69" s="348">
        <f t="shared" si="219"/>
        <v>9391.57</v>
      </c>
      <c r="FW69" s="349">
        <f t="shared" si="220"/>
        <v>285.30170527176625</v>
      </c>
      <c r="FX69" s="349">
        <f t="shared" si="221"/>
        <v>274.13892567083212</v>
      </c>
      <c r="FY69" s="354">
        <f t="shared" si="222"/>
        <v>0.73213880404106058</v>
      </c>
      <c r="FZ69" s="326"/>
      <c r="GA69" s="349">
        <f t="shared" si="223"/>
        <v>285.63069834695222</v>
      </c>
      <c r="GB69" s="349">
        <f t="shared" si="224"/>
        <v>273.77603275571846</v>
      </c>
      <c r="GC69" s="349">
        <f t="shared" si="139"/>
        <v>289.22397017323487</v>
      </c>
      <c r="GD69" s="349">
        <f t="shared" si="140"/>
        <v>277.36930458200112</v>
      </c>
      <c r="GF69" s="326"/>
      <c r="GG69" s="326"/>
      <c r="GH69" s="326"/>
      <c r="GI69" s="348">
        <f t="shared" si="225"/>
        <v>45341.154200000004</v>
      </c>
      <c r="GJ69" s="348">
        <f t="shared" si="226"/>
        <v>16037.41</v>
      </c>
      <c r="GK69" s="348">
        <f t="shared" si="227"/>
        <v>507.41960080569743</v>
      </c>
      <c r="GL69" s="348">
        <f t="shared" si="228"/>
        <v>610.11979843594793</v>
      </c>
      <c r="GM69" s="354">
        <f t="shared" si="229"/>
        <v>0.73871317765364086</v>
      </c>
      <c r="GN69" s="326"/>
      <c r="GO69" s="348">
        <f t="shared" si="230"/>
        <v>507.41960080569743</v>
      </c>
      <c r="GP69" s="348">
        <f t="shared" si="231"/>
        <v>610.11979843594793</v>
      </c>
      <c r="GQ69" s="348">
        <f t="shared" si="141"/>
        <v>508.05434871200021</v>
      </c>
      <c r="GR69" s="348">
        <f t="shared" si="142"/>
        <v>610.75454634225071</v>
      </c>
    </row>
    <row r="70" spans="1:200" x14ac:dyDescent="0.2">
      <c r="A70" s="320">
        <v>60</v>
      </c>
      <c r="C70" s="350">
        <v>2.5820846372894555</v>
      </c>
      <c r="D70" s="350">
        <v>1.5429633924337027</v>
      </c>
      <c r="E70" s="350">
        <v>0</v>
      </c>
      <c r="F70" s="350">
        <v>19738.182500000003</v>
      </c>
      <c r="G70" s="350">
        <v>7627.1275000000023</v>
      </c>
      <c r="H70" s="351">
        <f t="shared" si="143"/>
        <v>2649.2188378589813</v>
      </c>
      <c r="I70" s="351">
        <f t="shared" si="144"/>
        <v>3666.0810204224776</v>
      </c>
      <c r="J70" s="352">
        <f t="shared" si="145"/>
        <v>0</v>
      </c>
      <c r="K70" s="352">
        <f t="shared" si="146"/>
        <v>0</v>
      </c>
      <c r="L70" s="353">
        <f t="shared" si="147"/>
        <v>2649.2188378589813</v>
      </c>
      <c r="M70" s="353">
        <f t="shared" si="148"/>
        <v>3666.0810204224776</v>
      </c>
      <c r="N70" s="343">
        <f t="shared" si="117"/>
        <v>2677.7736474507647</v>
      </c>
      <c r="O70" s="343">
        <f t="shared" si="118"/>
        <v>3694.635830014261</v>
      </c>
      <c r="Q70" s="350">
        <v>3.1407576055989077</v>
      </c>
      <c r="R70" s="350">
        <v>1.7149132665302251</v>
      </c>
      <c r="S70" s="350">
        <v>0</v>
      </c>
      <c r="T70" s="350">
        <v>4704.1341666666667</v>
      </c>
      <c r="U70" s="350">
        <v>1217.7216666666668</v>
      </c>
      <c r="V70" s="351">
        <f t="shared" si="149"/>
        <v>2211.0933543416309</v>
      </c>
      <c r="W70" s="351">
        <f t="shared" si="150"/>
        <v>2877.6244612377177</v>
      </c>
      <c r="X70" s="352">
        <f t="shared" si="151"/>
        <v>0</v>
      </c>
      <c r="Y70" s="352">
        <f t="shared" si="152"/>
        <v>0</v>
      </c>
      <c r="Z70" s="353">
        <f t="shared" si="153"/>
        <v>2211.0933543416309</v>
      </c>
      <c r="AA70" s="353">
        <f t="shared" si="154"/>
        <v>2877.6244612377177</v>
      </c>
      <c r="AB70" s="343">
        <f t="shared" si="119"/>
        <v>2228.4542061921238</v>
      </c>
      <c r="AC70" s="343">
        <f t="shared" si="120"/>
        <v>2894.9853130882107</v>
      </c>
      <c r="AE70" s="350">
        <v>3.9339281950514269</v>
      </c>
      <c r="AF70" s="350">
        <v>2.3893404224783548</v>
      </c>
      <c r="AG70" s="350">
        <v>0</v>
      </c>
      <c r="AH70" s="350">
        <v>643.47249999999997</v>
      </c>
      <c r="AI70" s="350">
        <v>157.49666666666667</v>
      </c>
      <c r="AJ70" s="351">
        <f t="shared" si="155"/>
        <v>1400.478437438308</v>
      </c>
      <c r="AK70" s="351">
        <f t="shared" si="156"/>
        <v>1830.2347636184197</v>
      </c>
      <c r="AL70" s="352">
        <f t="shared" si="157"/>
        <v>0</v>
      </c>
      <c r="AM70" s="352">
        <f t="shared" si="158"/>
        <v>0</v>
      </c>
      <c r="AN70" s="353">
        <f t="shared" si="159"/>
        <v>1400.478437438308</v>
      </c>
      <c r="AO70" s="353">
        <f t="shared" si="160"/>
        <v>1830.2347636184197</v>
      </c>
      <c r="AP70" s="343">
        <f t="shared" si="121"/>
        <v>1411.7365071524332</v>
      </c>
      <c r="AQ70" s="343">
        <f t="shared" si="122"/>
        <v>1841.4928333325449</v>
      </c>
      <c r="AS70" s="350">
        <v>4.1205999999999996</v>
      </c>
      <c r="AT70" s="350">
        <v>1.8235247299229511</v>
      </c>
      <c r="AU70" s="350">
        <v>5.3825383947076044E-3</v>
      </c>
      <c r="AV70" s="350">
        <v>13988.0108</v>
      </c>
      <c r="AW70" s="350">
        <v>4963.4308000000001</v>
      </c>
      <c r="AX70" s="351">
        <f t="shared" si="161"/>
        <v>1038.3911999999998</v>
      </c>
      <c r="AY70" s="351">
        <f t="shared" si="162"/>
        <v>913.58588969139851</v>
      </c>
      <c r="AZ70" s="352">
        <f t="shared" si="163"/>
        <v>0.86658868154792434</v>
      </c>
      <c r="BA70" s="352">
        <f t="shared" si="164"/>
        <v>0.40559041179813354</v>
      </c>
      <c r="BB70" s="353">
        <f t="shared" si="165"/>
        <v>1038.7967904117979</v>
      </c>
      <c r="BC70" s="353">
        <f t="shared" si="166"/>
        <v>913.12489142164873</v>
      </c>
      <c r="BD70" s="343">
        <f t="shared" si="123"/>
        <v>1054.2822736185083</v>
      </c>
      <c r="BE70" s="343">
        <f t="shared" si="124"/>
        <v>928.61037462835918</v>
      </c>
      <c r="BG70" s="350">
        <v>4.3697596407975636</v>
      </c>
      <c r="BH70" s="350">
        <v>1.8360071076449709</v>
      </c>
      <c r="BI70" s="350">
        <v>2.0671329314205479E-4</v>
      </c>
      <c r="BJ70" s="350">
        <v>14007.4275</v>
      </c>
      <c r="BK70" s="350">
        <v>5003.1808000000001</v>
      </c>
      <c r="BL70" s="351">
        <f t="shared" si="167"/>
        <v>1035.6330348690226</v>
      </c>
      <c r="BM70" s="351">
        <f t="shared" si="168"/>
        <v>884.95542588487592</v>
      </c>
      <c r="BN70" s="352">
        <f t="shared" si="169"/>
        <v>3.7208392765569864E-2</v>
      </c>
      <c r="BO70" s="352">
        <f t="shared" si="170"/>
        <v>1.7144625066330611E-2</v>
      </c>
      <c r="BP70" s="353">
        <f t="shared" si="171"/>
        <v>1035.6501794940889</v>
      </c>
      <c r="BQ70" s="353">
        <f t="shared" si="172"/>
        <v>884.93536211717662</v>
      </c>
      <c r="BR70" s="343">
        <f t="shared" si="125"/>
        <v>1053.7362920048222</v>
      </c>
      <c r="BS70" s="343">
        <f t="shared" si="126"/>
        <v>903.02147462790992</v>
      </c>
      <c r="BU70" s="350">
        <v>3.8309947321502582</v>
      </c>
      <c r="BV70" s="350">
        <v>1.9433922283866498</v>
      </c>
      <c r="BW70" s="350">
        <v>1.4413616234299636E-3</v>
      </c>
      <c r="BX70" s="350">
        <v>10386.055</v>
      </c>
      <c r="BY70" s="350">
        <v>4043.3166999999999</v>
      </c>
      <c r="BZ70" s="351">
        <f t="shared" si="173"/>
        <v>697.24104125134704</v>
      </c>
      <c r="CA70" s="351">
        <f t="shared" si="174"/>
        <v>596.62141411470145</v>
      </c>
      <c r="CB70" s="352">
        <f t="shared" si="175"/>
        <v>9.657122876980756E-2</v>
      </c>
      <c r="CC70" s="352">
        <f t="shared" si="176"/>
        <v>4.4530593520573696E-2</v>
      </c>
      <c r="CD70" s="353">
        <f t="shared" si="177"/>
        <v>697.2855718448676</v>
      </c>
      <c r="CE70" s="353">
        <f t="shared" si="178"/>
        <v>596.56937347945222</v>
      </c>
      <c r="CF70" s="343">
        <f t="shared" si="127"/>
        <v>708.77404275711274</v>
      </c>
      <c r="CG70" s="343">
        <f t="shared" si="128"/>
        <v>608.05784439169736</v>
      </c>
      <c r="CI70" s="350">
        <v>1.0642560468039262</v>
      </c>
      <c r="CJ70" s="350">
        <v>1.0379240023654688</v>
      </c>
      <c r="CK70" s="350">
        <v>0</v>
      </c>
      <c r="CL70" s="350">
        <v>28526.487499999999</v>
      </c>
      <c r="CM70" s="350">
        <v>10235.8758</v>
      </c>
      <c r="CN70" s="351">
        <f t="shared" si="179"/>
        <v>192.63034447151063</v>
      </c>
      <c r="CO70" s="351">
        <f t="shared" si="180"/>
        <v>235.6087485369614</v>
      </c>
      <c r="CP70" s="352">
        <f t="shared" si="181"/>
        <v>0</v>
      </c>
      <c r="CQ70" s="352">
        <f t="shared" si="182"/>
        <v>0</v>
      </c>
      <c r="CR70" s="353">
        <f t="shared" si="183"/>
        <v>192.63034447151063</v>
      </c>
      <c r="CS70" s="353">
        <f t="shared" si="184"/>
        <v>235.6087485369614</v>
      </c>
      <c r="CT70" s="343">
        <f t="shared" si="129"/>
        <v>193.02364414593197</v>
      </c>
      <c r="CU70" s="343">
        <f t="shared" si="130"/>
        <v>236.00204821138274</v>
      </c>
      <c r="CW70" s="350">
        <v>2.1397187931209349</v>
      </c>
      <c r="CX70" s="350">
        <v>1.8282892723437172</v>
      </c>
      <c r="CY70" s="350">
        <v>0</v>
      </c>
      <c r="CZ70" s="350">
        <v>13856.8125</v>
      </c>
      <c r="DA70" s="350">
        <v>5306.0567000000001</v>
      </c>
      <c r="DB70" s="351">
        <f t="shared" si="185"/>
        <v>408.68628948609859</v>
      </c>
      <c r="DC70" s="351">
        <f t="shared" si="186"/>
        <v>479.01178935405392</v>
      </c>
      <c r="DD70" s="352">
        <f t="shared" si="187"/>
        <v>0</v>
      </c>
      <c r="DE70" s="352">
        <f t="shared" si="188"/>
        <v>0</v>
      </c>
      <c r="DF70" s="353">
        <f t="shared" si="189"/>
        <v>408.68628948609859</v>
      </c>
      <c r="DG70" s="353">
        <f t="shared" si="190"/>
        <v>479.01178935405392</v>
      </c>
      <c r="DH70" s="343">
        <f t="shared" si="131"/>
        <v>408.98809977595033</v>
      </c>
      <c r="DI70" s="343">
        <f t="shared" si="132"/>
        <v>479.31359964390566</v>
      </c>
      <c r="DK70" s="350">
        <v>2.6631</v>
      </c>
      <c r="DL70" s="350">
        <v>2.2374999999999998</v>
      </c>
      <c r="DM70" s="350">
        <v>0</v>
      </c>
      <c r="DN70" s="350">
        <v>782.53499999999997</v>
      </c>
      <c r="DO70" s="350">
        <v>410.75</v>
      </c>
      <c r="DP70" s="351">
        <f t="shared" si="191"/>
        <v>255.6576</v>
      </c>
      <c r="DQ70" s="351">
        <f t="shared" si="192"/>
        <v>389.32499999999999</v>
      </c>
      <c r="DR70" s="352">
        <f t="shared" si="193"/>
        <v>0</v>
      </c>
      <c r="DS70" s="352">
        <f t="shared" si="194"/>
        <v>0</v>
      </c>
      <c r="DT70" s="353">
        <f t="shared" si="195"/>
        <v>255.6576</v>
      </c>
      <c r="DU70" s="353">
        <f t="shared" si="196"/>
        <v>389.32499999999999</v>
      </c>
      <c r="DV70" s="343">
        <f t="shared" si="133"/>
        <v>255.91432482600473</v>
      </c>
      <c r="DW70" s="343">
        <f t="shared" si="134"/>
        <v>389.58172482600469</v>
      </c>
      <c r="EB70" s="326"/>
      <c r="EC70" s="326"/>
      <c r="ED70" s="326"/>
      <c r="EE70" s="348">
        <f t="shared" si="197"/>
        <v>76109.493300000002</v>
      </c>
      <c r="EF70" s="348">
        <f t="shared" si="198"/>
        <v>28132.490800000003</v>
      </c>
      <c r="EG70" s="348">
        <f t="shared" si="199"/>
        <v>4207.1894139193701</v>
      </c>
      <c r="EH70" s="348">
        <f t="shared" si="200"/>
        <v>5198.4850901340806</v>
      </c>
      <c r="EI70" s="354">
        <f t="shared" si="201"/>
        <v>0.73012322201184965</v>
      </c>
      <c r="EJ70" s="326"/>
      <c r="EK70" s="348">
        <f t="shared" si="202"/>
        <v>4207.5950043311686</v>
      </c>
      <c r="EL70" s="348">
        <f t="shared" si="203"/>
        <v>5198.0240918643312</v>
      </c>
      <c r="EM70" s="348">
        <f t="shared" si="83"/>
        <v>4252.2700450359653</v>
      </c>
      <c r="EN70" s="348">
        <f t="shared" si="84"/>
        <v>5242.699132569127</v>
      </c>
      <c r="EP70" s="326"/>
      <c r="EQ70" s="326"/>
      <c r="ER70" s="326"/>
      <c r="ES70" s="348">
        <f t="shared" si="204"/>
        <v>61094.861666666664</v>
      </c>
      <c r="ET70" s="348">
        <f t="shared" si="205"/>
        <v>21762.834966666669</v>
      </c>
      <c r="EU70" s="348">
        <f t="shared" si="206"/>
        <v>3725.4371363224332</v>
      </c>
      <c r="EV70" s="348">
        <f t="shared" si="207"/>
        <v>4333.4968882073927</v>
      </c>
      <c r="EW70" s="354">
        <f t="shared" si="208"/>
        <v>0.73734685067371797</v>
      </c>
      <c r="EX70" s="326"/>
      <c r="EY70" s="348">
        <f t="shared" si="209"/>
        <v>3725.4542809474992</v>
      </c>
      <c r="EZ70" s="348">
        <f t="shared" si="210"/>
        <v>4333.4768244396937</v>
      </c>
      <c r="FA70" s="348">
        <f t="shared" si="92"/>
        <v>3761.5058121860429</v>
      </c>
      <c r="FB70" s="348">
        <f t="shared" si="93"/>
        <v>4369.5283556782369</v>
      </c>
      <c r="FD70" s="326"/>
      <c r="FE70" s="326"/>
      <c r="FF70" s="326"/>
      <c r="FG70" s="348">
        <f t="shared" si="211"/>
        <v>40338.550000000003</v>
      </c>
      <c r="FH70" s="348">
        <f t="shared" si="212"/>
        <v>14847.439166666667</v>
      </c>
      <c r="FI70" s="348">
        <f t="shared" si="213"/>
        <v>2443.7443831611658</v>
      </c>
      <c r="FJ70" s="348">
        <f t="shared" si="214"/>
        <v>2896.0599262700821</v>
      </c>
      <c r="FK70" s="354">
        <f t="shared" si="215"/>
        <v>0.73095636427162591</v>
      </c>
      <c r="FL70" s="326"/>
      <c r="FM70" s="348">
        <f t="shared" si="216"/>
        <v>2443.7889137546867</v>
      </c>
      <c r="FN70" s="348">
        <f t="shared" si="217"/>
        <v>2896.0078856348327</v>
      </c>
      <c r="FO70" s="348">
        <f t="shared" si="101"/>
        <v>2467.0827889510811</v>
      </c>
      <c r="FP70" s="348">
        <f t="shared" si="102"/>
        <v>2919.3017608312275</v>
      </c>
      <c r="FR70" s="326"/>
      <c r="FS70" s="326"/>
      <c r="FT70" s="326"/>
      <c r="FU70" s="348">
        <f t="shared" si="218"/>
        <v>24374.0658</v>
      </c>
      <c r="FV70" s="348">
        <f t="shared" si="219"/>
        <v>9006.7474999999995</v>
      </c>
      <c r="FW70" s="349">
        <f t="shared" si="220"/>
        <v>307.03514287378749</v>
      </c>
      <c r="FX70" s="349">
        <f t="shared" si="221"/>
        <v>285.26802801902738</v>
      </c>
      <c r="FY70" s="354">
        <f t="shared" si="222"/>
        <v>0.73018190362665603</v>
      </c>
      <c r="FZ70" s="326"/>
      <c r="GA70" s="349">
        <f t="shared" si="223"/>
        <v>307.36009671023731</v>
      </c>
      <c r="GB70" s="349">
        <f t="shared" si="224"/>
        <v>284.89996614797684</v>
      </c>
      <c r="GC70" s="349">
        <f t="shared" si="139"/>
        <v>310.957407775256</v>
      </c>
      <c r="GD70" s="349">
        <f t="shared" si="140"/>
        <v>288.49727721299564</v>
      </c>
      <c r="GF70" s="326"/>
      <c r="GG70" s="326"/>
      <c r="GH70" s="326"/>
      <c r="GI70" s="348">
        <f t="shared" si="225"/>
        <v>42383.3</v>
      </c>
      <c r="GJ70" s="348">
        <f t="shared" si="226"/>
        <v>15541.932499999999</v>
      </c>
      <c r="GK70" s="348">
        <f t="shared" si="227"/>
        <v>519.57937606038945</v>
      </c>
      <c r="GL70" s="348">
        <f t="shared" si="228"/>
        <v>618.81818002020464</v>
      </c>
      <c r="GM70" s="354">
        <f t="shared" si="229"/>
        <v>0.73168976922103857</v>
      </c>
      <c r="GN70" s="326"/>
      <c r="GO70" s="348">
        <f t="shared" si="230"/>
        <v>519.57937606038945</v>
      </c>
      <c r="GP70" s="348">
        <f t="shared" si="231"/>
        <v>618.81818002020464</v>
      </c>
      <c r="GQ70" s="348">
        <f t="shared" si="141"/>
        <v>520.21412396669223</v>
      </c>
      <c r="GR70" s="348">
        <f t="shared" si="142"/>
        <v>619.4529279265073</v>
      </c>
    </row>
    <row r="71" spans="1:200" x14ac:dyDescent="0.2">
      <c r="A71" s="320">
        <v>61</v>
      </c>
      <c r="C71" s="350">
        <v>2.7160376983997199</v>
      </c>
      <c r="D71" s="350">
        <v>1.5909031470484944</v>
      </c>
      <c r="E71" s="350">
        <v>0</v>
      </c>
      <c r="F71" s="350">
        <v>18716.713333333333</v>
      </c>
      <c r="G71" s="350">
        <v>7320.0116666666681</v>
      </c>
      <c r="H71" s="351">
        <f t="shared" si="143"/>
        <v>2786.6546785581127</v>
      </c>
      <c r="I71" s="351">
        <f t="shared" si="144"/>
        <v>3779.9858773872229</v>
      </c>
      <c r="J71" s="352">
        <f t="shared" si="145"/>
        <v>0</v>
      </c>
      <c r="K71" s="352">
        <f t="shared" si="146"/>
        <v>0</v>
      </c>
      <c r="L71" s="353">
        <f t="shared" si="147"/>
        <v>2786.6546785581127</v>
      </c>
      <c r="M71" s="353">
        <f t="shared" si="148"/>
        <v>3779.9858773872229</v>
      </c>
      <c r="N71" s="343">
        <f t="shared" si="117"/>
        <v>2815.2094881498961</v>
      </c>
      <c r="O71" s="343">
        <f t="shared" si="118"/>
        <v>3808.5406869790063</v>
      </c>
      <c r="Q71" s="350">
        <v>3.3309453480732465</v>
      </c>
      <c r="R71" s="350">
        <v>1.8051716696762874</v>
      </c>
      <c r="S71" s="350">
        <v>0</v>
      </c>
      <c r="T71" s="350">
        <v>4399.7841666666664</v>
      </c>
      <c r="U71" s="350">
        <v>1135.9116666666666</v>
      </c>
      <c r="V71" s="351">
        <f t="shared" si="149"/>
        <v>2344.9855250435658</v>
      </c>
      <c r="W71" s="351">
        <f t="shared" si="150"/>
        <v>3029.0780617168102</v>
      </c>
      <c r="X71" s="352">
        <f t="shared" si="151"/>
        <v>0</v>
      </c>
      <c r="Y71" s="352">
        <f t="shared" si="152"/>
        <v>0</v>
      </c>
      <c r="Z71" s="353">
        <f t="shared" si="153"/>
        <v>2344.9855250435658</v>
      </c>
      <c r="AA71" s="353">
        <f t="shared" si="154"/>
        <v>3029.0780617168102</v>
      </c>
      <c r="AB71" s="343">
        <f t="shared" si="119"/>
        <v>2362.3463768940587</v>
      </c>
      <c r="AC71" s="343">
        <f t="shared" si="120"/>
        <v>3046.4389135673032</v>
      </c>
      <c r="AE71" s="350">
        <v>4.24132166071304</v>
      </c>
      <c r="AF71" s="350">
        <v>2.4887699001392649</v>
      </c>
      <c r="AG71" s="350">
        <v>0</v>
      </c>
      <c r="AH71" s="350">
        <v>587.9325</v>
      </c>
      <c r="AI71" s="350">
        <v>151.22166666666669</v>
      </c>
      <c r="AJ71" s="351">
        <f t="shared" si="155"/>
        <v>1509.9105112138423</v>
      </c>
      <c r="AK71" s="351">
        <f t="shared" si="156"/>
        <v>1906.397743506677</v>
      </c>
      <c r="AL71" s="352">
        <f t="shared" si="157"/>
        <v>0</v>
      </c>
      <c r="AM71" s="352">
        <f t="shared" si="158"/>
        <v>0</v>
      </c>
      <c r="AN71" s="353">
        <f t="shared" si="159"/>
        <v>1509.9105112138423</v>
      </c>
      <c r="AO71" s="353">
        <f t="shared" si="160"/>
        <v>1906.397743506677</v>
      </c>
      <c r="AP71" s="343">
        <f t="shared" si="121"/>
        <v>1521.1685809279675</v>
      </c>
      <c r="AQ71" s="343">
        <f t="shared" si="122"/>
        <v>1917.6558132208022</v>
      </c>
      <c r="AS71" s="350">
        <v>4.4687000000000001</v>
      </c>
      <c r="AT71" s="350">
        <v>1.9435591228960343</v>
      </c>
      <c r="AU71" s="350">
        <v>4.8299105768662507E-3</v>
      </c>
      <c r="AV71" s="350">
        <v>13220.067499999999</v>
      </c>
      <c r="AW71" s="350">
        <v>4804.7107999999998</v>
      </c>
      <c r="AX71" s="351">
        <f t="shared" si="161"/>
        <v>1126.1124</v>
      </c>
      <c r="AY71" s="351">
        <f t="shared" si="162"/>
        <v>973.72312057091312</v>
      </c>
      <c r="AZ71" s="352">
        <f t="shared" si="163"/>
        <v>0.77761560287546638</v>
      </c>
      <c r="BA71" s="352">
        <f t="shared" si="164"/>
        <v>0.36059123870362225</v>
      </c>
      <c r="BB71" s="353">
        <f t="shared" si="165"/>
        <v>1126.4729912387036</v>
      </c>
      <c r="BC71" s="353">
        <f t="shared" si="166"/>
        <v>973.30609620674124</v>
      </c>
      <c r="BD71" s="343">
        <f t="shared" si="123"/>
        <v>1142.0034736185085</v>
      </c>
      <c r="BE71" s="343">
        <f t="shared" si="124"/>
        <v>988.83657858654624</v>
      </c>
      <c r="BG71" s="350">
        <v>4.6882972909305902</v>
      </c>
      <c r="BH71" s="350">
        <v>1.9968631989591663</v>
      </c>
      <c r="BI71" s="350">
        <v>2.0671329314205479E-4</v>
      </c>
      <c r="BJ71" s="350">
        <v>13232.7883</v>
      </c>
      <c r="BK71" s="350">
        <v>4819.7107999999998</v>
      </c>
      <c r="BL71" s="351">
        <f t="shared" si="167"/>
        <v>1111.1264579505498</v>
      </c>
      <c r="BM71" s="351">
        <f t="shared" si="168"/>
        <v>962.48806189831816</v>
      </c>
      <c r="BN71" s="352">
        <f t="shared" si="169"/>
        <v>3.7208392765569864E-2</v>
      </c>
      <c r="BO71" s="352">
        <f t="shared" si="170"/>
        <v>1.7270632268670115E-2</v>
      </c>
      <c r="BP71" s="353">
        <f t="shared" si="171"/>
        <v>1111.1437285828185</v>
      </c>
      <c r="BQ71" s="353">
        <f t="shared" si="172"/>
        <v>962.46812413782129</v>
      </c>
      <c r="BR71" s="343">
        <f t="shared" si="125"/>
        <v>1129.2297150863494</v>
      </c>
      <c r="BS71" s="343">
        <f t="shared" si="126"/>
        <v>980.55411064135217</v>
      </c>
      <c r="BU71" s="350">
        <v>4.1594043922354134</v>
      </c>
      <c r="BV71" s="350">
        <v>2.09901139436582</v>
      </c>
      <c r="BW71" s="350">
        <v>0</v>
      </c>
      <c r="BX71" s="350">
        <v>9970.2083000000002</v>
      </c>
      <c r="BY71" s="350">
        <v>3888.4792000000002</v>
      </c>
      <c r="BZ71" s="351">
        <f t="shared" si="173"/>
        <v>757.01159938684521</v>
      </c>
      <c r="CA71" s="351">
        <f t="shared" si="174"/>
        <v>644.39649807030673</v>
      </c>
      <c r="CB71" s="352">
        <f t="shared" si="175"/>
        <v>0</v>
      </c>
      <c r="CC71" s="352">
        <f t="shared" si="176"/>
        <v>0</v>
      </c>
      <c r="CD71" s="353">
        <f t="shared" si="177"/>
        <v>757.01159938684521</v>
      </c>
      <c r="CE71" s="353">
        <f t="shared" si="178"/>
        <v>644.39649807030673</v>
      </c>
      <c r="CF71" s="343">
        <f t="shared" si="127"/>
        <v>768.5446008926109</v>
      </c>
      <c r="CG71" s="343">
        <f t="shared" si="128"/>
        <v>655.92949957607243</v>
      </c>
      <c r="CI71" s="350">
        <v>1.0745357933332056</v>
      </c>
      <c r="CJ71" s="350">
        <v>1.0375282333399412</v>
      </c>
      <c r="CK71" s="350">
        <v>0</v>
      </c>
      <c r="CL71" s="350">
        <v>27705.831699999999</v>
      </c>
      <c r="CM71" s="350">
        <v>9977.4758000000002</v>
      </c>
      <c r="CN71" s="351">
        <f t="shared" si="179"/>
        <v>194.49097859331022</v>
      </c>
      <c r="CO71" s="351">
        <f t="shared" si="180"/>
        <v>235.51890896816664</v>
      </c>
      <c r="CP71" s="352">
        <f t="shared" si="181"/>
        <v>0</v>
      </c>
      <c r="CQ71" s="352">
        <f t="shared" si="182"/>
        <v>0</v>
      </c>
      <c r="CR71" s="353">
        <f t="shared" si="183"/>
        <v>194.49097859331022</v>
      </c>
      <c r="CS71" s="353">
        <f t="shared" si="184"/>
        <v>235.51890896816664</v>
      </c>
      <c r="CT71" s="343">
        <f t="shared" si="129"/>
        <v>194.88427826773156</v>
      </c>
      <c r="CU71" s="343">
        <f t="shared" si="130"/>
        <v>235.91220864258798</v>
      </c>
      <c r="CW71" s="350">
        <v>2.2126094195037616</v>
      </c>
      <c r="CX71" s="350">
        <v>1.8667375627558398</v>
      </c>
      <c r="CY71" s="350">
        <v>0</v>
      </c>
      <c r="CZ71" s="350">
        <v>13663.555</v>
      </c>
      <c r="DA71" s="350">
        <v>5145.9367000000002</v>
      </c>
      <c r="DB71" s="351">
        <f t="shared" si="185"/>
        <v>422.60839912521845</v>
      </c>
      <c r="DC71" s="351">
        <f t="shared" si="186"/>
        <v>489.08524144203005</v>
      </c>
      <c r="DD71" s="352">
        <f t="shared" si="187"/>
        <v>0</v>
      </c>
      <c r="DE71" s="352">
        <f t="shared" si="188"/>
        <v>0</v>
      </c>
      <c r="DF71" s="353">
        <f t="shared" si="189"/>
        <v>422.60839912521845</v>
      </c>
      <c r="DG71" s="353">
        <f t="shared" si="190"/>
        <v>489.08524144203005</v>
      </c>
      <c r="DH71" s="343">
        <f t="shared" si="131"/>
        <v>422.9102094150702</v>
      </c>
      <c r="DI71" s="343">
        <f t="shared" si="132"/>
        <v>489.3870517318818</v>
      </c>
      <c r="DK71" s="350">
        <v>2.7528000000000001</v>
      </c>
      <c r="DL71" s="350">
        <v>2.2989999999999999</v>
      </c>
      <c r="DM71" s="350">
        <v>0</v>
      </c>
      <c r="DN71" s="350">
        <v>884.6825</v>
      </c>
      <c r="DO71" s="350">
        <v>491.7475</v>
      </c>
      <c r="DP71" s="351">
        <f t="shared" si="191"/>
        <v>264.2688</v>
      </c>
      <c r="DQ71" s="351">
        <f t="shared" si="192"/>
        <v>400.02600000000001</v>
      </c>
      <c r="DR71" s="352">
        <f t="shared" si="193"/>
        <v>0</v>
      </c>
      <c r="DS71" s="352">
        <f t="shared" si="194"/>
        <v>0</v>
      </c>
      <c r="DT71" s="353">
        <f t="shared" si="195"/>
        <v>264.2688</v>
      </c>
      <c r="DU71" s="353">
        <f t="shared" si="196"/>
        <v>400.02600000000001</v>
      </c>
      <c r="DV71" s="343">
        <f t="shared" si="133"/>
        <v>264.5255248260047</v>
      </c>
      <c r="DW71" s="343">
        <f t="shared" si="134"/>
        <v>400.28272482600471</v>
      </c>
      <c r="EB71" s="326"/>
      <c r="EC71" s="326"/>
      <c r="ED71" s="326"/>
      <c r="EE71" s="348">
        <f t="shared" si="197"/>
        <v>73306.167533333326</v>
      </c>
      <c r="EF71" s="348">
        <f t="shared" si="198"/>
        <v>27248.134966666665</v>
      </c>
      <c r="EG71" s="348">
        <f t="shared" si="199"/>
        <v>4445.3447764515977</v>
      </c>
      <c r="EH71" s="348">
        <f t="shared" si="200"/>
        <v>5380.4961000799267</v>
      </c>
      <c r="EI71" s="354">
        <f t="shared" si="201"/>
        <v>0.72902069539325121</v>
      </c>
      <c r="EJ71" s="326"/>
      <c r="EK71" s="348">
        <f t="shared" si="202"/>
        <v>4445.7053676903015</v>
      </c>
      <c r="EL71" s="348">
        <f t="shared" si="203"/>
        <v>5380.0790757157547</v>
      </c>
      <c r="EM71" s="348">
        <f t="shared" si="83"/>
        <v>4490.425407568192</v>
      </c>
      <c r="EN71" s="348">
        <f t="shared" si="84"/>
        <v>5424.7991155936452</v>
      </c>
      <c r="EP71" s="326"/>
      <c r="EQ71" s="326"/>
      <c r="ER71" s="326"/>
      <c r="ES71" s="348">
        <f t="shared" si="204"/>
        <v>59001.95916666666</v>
      </c>
      <c r="ET71" s="348">
        <f t="shared" si="205"/>
        <v>21079.034966666666</v>
      </c>
      <c r="EU71" s="348">
        <f t="shared" si="206"/>
        <v>3946.4288409750784</v>
      </c>
      <c r="EV71" s="348">
        <f t="shared" si="207"/>
        <v>4569.4447015927153</v>
      </c>
      <c r="EW71" s="354">
        <f t="shared" si="208"/>
        <v>0.73677855532649261</v>
      </c>
      <c r="EX71" s="326"/>
      <c r="EY71" s="348">
        <f t="shared" si="209"/>
        <v>3946.4461116073476</v>
      </c>
      <c r="EZ71" s="348">
        <f t="shared" si="210"/>
        <v>4569.4247638322186</v>
      </c>
      <c r="FA71" s="348">
        <f t="shared" si="92"/>
        <v>3982.4975168386886</v>
      </c>
      <c r="FB71" s="348">
        <f t="shared" si="93"/>
        <v>4605.4761690635605</v>
      </c>
      <c r="FD71" s="326"/>
      <c r="FE71" s="326"/>
      <c r="FF71" s="326"/>
      <c r="FG71" s="348">
        <f t="shared" si="211"/>
        <v>39148.655000000006</v>
      </c>
      <c r="FH71" s="348">
        <f t="shared" si="212"/>
        <v>14508.924166666666</v>
      </c>
      <c r="FI71" s="348">
        <f t="shared" si="213"/>
        <v>2619.9743691939975</v>
      </c>
      <c r="FJ71" s="348">
        <f t="shared" si="214"/>
        <v>3026.3287505451508</v>
      </c>
      <c r="FK71" s="354">
        <f t="shared" si="215"/>
        <v>0.72960158859198132</v>
      </c>
      <c r="FL71" s="326"/>
      <c r="FM71" s="348">
        <f t="shared" si="216"/>
        <v>2619.9743691939975</v>
      </c>
      <c r="FN71" s="348">
        <f t="shared" si="217"/>
        <v>3026.3287505451508</v>
      </c>
      <c r="FO71" s="348">
        <f t="shared" si="101"/>
        <v>2643.3127749839127</v>
      </c>
      <c r="FP71" s="348">
        <f t="shared" si="102"/>
        <v>3049.6671563350656</v>
      </c>
      <c r="FR71" s="326"/>
      <c r="FS71" s="326"/>
      <c r="FT71" s="326"/>
      <c r="FU71" s="348">
        <f t="shared" si="218"/>
        <v>23190.275799999999</v>
      </c>
      <c r="FV71" s="348">
        <f t="shared" si="219"/>
        <v>8693.19</v>
      </c>
      <c r="FW71" s="349">
        <f t="shared" si="220"/>
        <v>332.19072055183932</v>
      </c>
      <c r="FX71" s="349">
        <f t="shared" si="221"/>
        <v>296.39396025054577</v>
      </c>
      <c r="FY71" s="354">
        <f t="shared" si="222"/>
        <v>0.72734488607571646</v>
      </c>
      <c r="FZ71" s="326"/>
      <c r="GA71" s="349">
        <f t="shared" si="223"/>
        <v>332.51525266667255</v>
      </c>
      <c r="GB71" s="349">
        <f t="shared" si="224"/>
        <v>296.01863832279105</v>
      </c>
      <c r="GC71" s="349">
        <f t="shared" si="139"/>
        <v>336.11298545330783</v>
      </c>
      <c r="GD71" s="349">
        <f t="shared" si="140"/>
        <v>299.61637110942644</v>
      </c>
      <c r="GF71" s="326"/>
      <c r="GG71" s="326"/>
      <c r="GH71" s="326"/>
      <c r="GI71" s="348">
        <f t="shared" si="225"/>
        <v>41369.386700000003</v>
      </c>
      <c r="GJ71" s="348">
        <f t="shared" si="226"/>
        <v>15123.4125</v>
      </c>
      <c r="GK71" s="348">
        <f t="shared" si="227"/>
        <v>532.57769789348504</v>
      </c>
      <c r="GL71" s="348">
        <f t="shared" si="228"/>
        <v>626.78710212179067</v>
      </c>
      <c r="GM71" s="354">
        <f t="shared" si="229"/>
        <v>0.73229486387355369</v>
      </c>
      <c r="GN71" s="326"/>
      <c r="GO71" s="348">
        <f t="shared" si="230"/>
        <v>532.57769789348504</v>
      </c>
      <c r="GP71" s="348">
        <f t="shared" si="231"/>
        <v>626.78710212179067</v>
      </c>
      <c r="GQ71" s="348">
        <f t="shared" si="141"/>
        <v>533.2124457997877</v>
      </c>
      <c r="GR71" s="348">
        <f t="shared" si="142"/>
        <v>627.42185002809344</v>
      </c>
    </row>
    <row r="72" spans="1:200" x14ac:dyDescent="0.2">
      <c r="A72" s="320">
        <v>62</v>
      </c>
      <c r="C72" s="350">
        <v>2.8536466671288481</v>
      </c>
      <c r="D72" s="350">
        <v>1.6391844741764667</v>
      </c>
      <c r="E72" s="350">
        <v>0</v>
      </c>
      <c r="F72" s="350">
        <v>18601.380833333336</v>
      </c>
      <c r="G72" s="350">
        <v>7429.0041666666675</v>
      </c>
      <c r="H72" s="351">
        <f t="shared" si="143"/>
        <v>2927.8414804741983</v>
      </c>
      <c r="I72" s="351">
        <f t="shared" si="144"/>
        <v>3894.7023106432848</v>
      </c>
      <c r="J72" s="352">
        <f t="shared" si="145"/>
        <v>0</v>
      </c>
      <c r="K72" s="352">
        <f t="shared" si="146"/>
        <v>0</v>
      </c>
      <c r="L72" s="353">
        <f t="shared" si="147"/>
        <v>2927.8414804741983</v>
      </c>
      <c r="M72" s="353">
        <f t="shared" si="148"/>
        <v>3894.7023106432848</v>
      </c>
      <c r="N72" s="343">
        <f t="shared" si="117"/>
        <v>2956.3962900659817</v>
      </c>
      <c r="O72" s="343">
        <f t="shared" si="118"/>
        <v>3923.2571202350682</v>
      </c>
      <c r="Q72" s="350">
        <v>3.5327910925201711</v>
      </c>
      <c r="R72" s="350">
        <v>1.8736824487068815</v>
      </c>
      <c r="S72" s="350">
        <v>0</v>
      </c>
      <c r="T72" s="350">
        <v>4498.9666666666672</v>
      </c>
      <c r="U72" s="350">
        <v>1155.6008333333332</v>
      </c>
      <c r="V72" s="351">
        <f t="shared" si="149"/>
        <v>2487.0849291342006</v>
      </c>
      <c r="W72" s="351">
        <f t="shared" si="150"/>
        <v>3144.0391489301473</v>
      </c>
      <c r="X72" s="352">
        <f t="shared" si="151"/>
        <v>0</v>
      </c>
      <c r="Y72" s="352">
        <f t="shared" si="152"/>
        <v>0</v>
      </c>
      <c r="Z72" s="353">
        <f t="shared" si="153"/>
        <v>2487.0849291342006</v>
      </c>
      <c r="AA72" s="353">
        <f t="shared" si="154"/>
        <v>3144.0391489301473</v>
      </c>
      <c r="AB72" s="343">
        <f t="shared" si="119"/>
        <v>2504.4457809846936</v>
      </c>
      <c r="AC72" s="343">
        <f t="shared" si="120"/>
        <v>3161.4000007806403</v>
      </c>
      <c r="AE72" s="350">
        <v>4.5625138247594732</v>
      </c>
      <c r="AF72" s="350">
        <v>2.5888932291236051</v>
      </c>
      <c r="AG72" s="350">
        <v>0</v>
      </c>
      <c r="AH72" s="350">
        <v>523.26166666666666</v>
      </c>
      <c r="AI72" s="350">
        <v>115</v>
      </c>
      <c r="AJ72" s="351">
        <f t="shared" si="155"/>
        <v>1624.2549216143725</v>
      </c>
      <c r="AK72" s="351">
        <f t="shared" si="156"/>
        <v>1983.0922135086814</v>
      </c>
      <c r="AL72" s="352">
        <f t="shared" si="157"/>
        <v>0</v>
      </c>
      <c r="AM72" s="352">
        <f t="shared" si="158"/>
        <v>0</v>
      </c>
      <c r="AN72" s="353">
        <f t="shared" si="159"/>
        <v>1624.2549216143725</v>
      </c>
      <c r="AO72" s="353">
        <f t="shared" si="160"/>
        <v>1983.0922135086814</v>
      </c>
      <c r="AP72" s="343">
        <f t="shared" si="121"/>
        <v>1635.5129913284977</v>
      </c>
      <c r="AQ72" s="343">
        <f t="shared" si="122"/>
        <v>1994.3502832228066</v>
      </c>
      <c r="AS72" s="350">
        <v>4.8428000000000004</v>
      </c>
      <c r="AT72" s="350">
        <v>2.0752675239480047</v>
      </c>
      <c r="AU72" s="350">
        <v>4.8299105768662507E-3</v>
      </c>
      <c r="AV72" s="350">
        <v>13015.37</v>
      </c>
      <c r="AW72" s="350">
        <v>4720.8441999999995</v>
      </c>
      <c r="AX72" s="351">
        <f t="shared" si="161"/>
        <v>1220.3856000000001</v>
      </c>
      <c r="AY72" s="351">
        <f t="shared" si="162"/>
        <v>1039.7090294979503</v>
      </c>
      <c r="AZ72" s="352">
        <f t="shared" si="163"/>
        <v>0.77761560287546638</v>
      </c>
      <c r="BA72" s="352">
        <f t="shared" si="164"/>
        <v>0.35772571344400333</v>
      </c>
      <c r="BB72" s="353">
        <f t="shared" si="165"/>
        <v>1220.7433257134442</v>
      </c>
      <c r="BC72" s="353">
        <f t="shared" si="166"/>
        <v>1039.289139608519</v>
      </c>
      <c r="BD72" s="343">
        <f t="shared" si="123"/>
        <v>1236.2766736185085</v>
      </c>
      <c r="BE72" s="343">
        <f t="shared" si="124"/>
        <v>1054.8224875135834</v>
      </c>
      <c r="BG72" s="350">
        <v>5.0434627928050615</v>
      </c>
      <c r="BH72" s="350">
        <v>2.1871088040931714</v>
      </c>
      <c r="BI72" s="350">
        <v>2.0671329314205479E-4</v>
      </c>
      <c r="BJ72" s="350">
        <v>13002.536700000001</v>
      </c>
      <c r="BK72" s="350">
        <v>4731.6774999999998</v>
      </c>
      <c r="BL72" s="351">
        <f t="shared" si="167"/>
        <v>1195.3006818947995</v>
      </c>
      <c r="BM72" s="351">
        <f t="shared" si="168"/>
        <v>1054.1864435729087</v>
      </c>
      <c r="BN72" s="352">
        <f t="shared" si="169"/>
        <v>3.7208392765569864E-2</v>
      </c>
      <c r="BO72" s="352">
        <f t="shared" si="170"/>
        <v>1.7437122798577721E-2</v>
      </c>
      <c r="BP72" s="353">
        <f t="shared" si="171"/>
        <v>1195.3181190175981</v>
      </c>
      <c r="BQ72" s="353">
        <f t="shared" si="172"/>
        <v>1054.1666723029418</v>
      </c>
      <c r="BR72" s="343">
        <f t="shared" si="125"/>
        <v>1213.4039390305991</v>
      </c>
      <c r="BS72" s="343">
        <f t="shared" si="126"/>
        <v>1072.2524923159428</v>
      </c>
      <c r="BU72" s="350">
        <v>4.5113526295582167</v>
      </c>
      <c r="BV72" s="350">
        <v>2.2503654976532208</v>
      </c>
      <c r="BW72" s="350">
        <v>0</v>
      </c>
      <c r="BX72" s="350">
        <v>9606.9675000000007</v>
      </c>
      <c r="BY72" s="350">
        <v>3787.0675000000001</v>
      </c>
      <c r="BZ72" s="351">
        <f t="shared" si="173"/>
        <v>821.06617857959543</v>
      </c>
      <c r="CA72" s="351">
        <f t="shared" si="174"/>
        <v>690.86220777953883</v>
      </c>
      <c r="CB72" s="352">
        <f t="shared" si="175"/>
        <v>0</v>
      </c>
      <c r="CC72" s="352">
        <f t="shared" si="176"/>
        <v>0</v>
      </c>
      <c r="CD72" s="353">
        <f t="shared" si="177"/>
        <v>821.06617857959543</v>
      </c>
      <c r="CE72" s="353">
        <f t="shared" si="178"/>
        <v>690.86220777953883</v>
      </c>
      <c r="CF72" s="343">
        <f t="shared" si="127"/>
        <v>832.59918008536113</v>
      </c>
      <c r="CG72" s="343">
        <f t="shared" si="128"/>
        <v>702.39520928530453</v>
      </c>
      <c r="CI72" s="350">
        <v>1.090024322724376</v>
      </c>
      <c r="CJ72" s="350">
        <v>1.0397485955155183</v>
      </c>
      <c r="CK72" s="350">
        <v>0</v>
      </c>
      <c r="CL72" s="350">
        <v>26914.910800000001</v>
      </c>
      <c r="CM72" s="350">
        <v>9370.3449999999993</v>
      </c>
      <c r="CN72" s="351">
        <f t="shared" si="179"/>
        <v>197.29440241311207</v>
      </c>
      <c r="CO72" s="351">
        <f t="shared" si="180"/>
        <v>236.02293118202266</v>
      </c>
      <c r="CP72" s="352">
        <f t="shared" si="181"/>
        <v>0</v>
      </c>
      <c r="CQ72" s="352">
        <f t="shared" si="182"/>
        <v>0</v>
      </c>
      <c r="CR72" s="353">
        <f t="shared" si="183"/>
        <v>197.29440241311207</v>
      </c>
      <c r="CS72" s="353">
        <f t="shared" si="184"/>
        <v>236.02293118202266</v>
      </c>
      <c r="CT72" s="343">
        <f t="shared" si="129"/>
        <v>197.68770208753341</v>
      </c>
      <c r="CU72" s="343">
        <f t="shared" si="130"/>
        <v>236.416230856444</v>
      </c>
      <c r="CW72" s="350">
        <v>2.2863738250194787</v>
      </c>
      <c r="CX72" s="350">
        <v>1.89976150700502</v>
      </c>
      <c r="CY72" s="350">
        <v>0</v>
      </c>
      <c r="CZ72" s="350">
        <v>13554.594999999999</v>
      </c>
      <c r="DA72" s="350">
        <v>4887.5033000000003</v>
      </c>
      <c r="DB72" s="351">
        <f t="shared" si="185"/>
        <v>436.69740057872042</v>
      </c>
      <c r="DC72" s="351">
        <f t="shared" si="186"/>
        <v>497.73751483531527</v>
      </c>
      <c r="DD72" s="352">
        <f t="shared" si="187"/>
        <v>0</v>
      </c>
      <c r="DE72" s="352">
        <f t="shared" si="188"/>
        <v>0</v>
      </c>
      <c r="DF72" s="353">
        <f t="shared" si="189"/>
        <v>436.69740057872042</v>
      </c>
      <c r="DG72" s="353">
        <f t="shared" si="190"/>
        <v>497.73751483531527</v>
      </c>
      <c r="DH72" s="343">
        <f t="shared" si="131"/>
        <v>436.99921086857216</v>
      </c>
      <c r="DI72" s="343">
        <f t="shared" si="132"/>
        <v>498.03932512516701</v>
      </c>
      <c r="DK72" s="350">
        <v>2.8513000000000002</v>
      </c>
      <c r="DL72" s="350">
        <v>2.3656999999999999</v>
      </c>
      <c r="DM72" s="350">
        <v>0</v>
      </c>
      <c r="DN72" s="350">
        <v>984.08330000000001</v>
      </c>
      <c r="DO72" s="350">
        <v>558.57579999999996</v>
      </c>
      <c r="DP72" s="351">
        <f t="shared" si="191"/>
        <v>273.72480000000002</v>
      </c>
      <c r="DQ72" s="351">
        <f t="shared" si="192"/>
        <v>411.6318</v>
      </c>
      <c r="DR72" s="352">
        <f t="shared" si="193"/>
        <v>0</v>
      </c>
      <c r="DS72" s="352">
        <f t="shared" si="194"/>
        <v>0</v>
      </c>
      <c r="DT72" s="353">
        <f t="shared" si="195"/>
        <v>273.72480000000002</v>
      </c>
      <c r="DU72" s="353">
        <f t="shared" si="196"/>
        <v>411.6318</v>
      </c>
      <c r="DV72" s="343">
        <f t="shared" si="133"/>
        <v>273.98152482600472</v>
      </c>
      <c r="DW72" s="343">
        <f t="shared" si="134"/>
        <v>411.8885248260047</v>
      </c>
      <c r="EB72" s="326"/>
      <c r="EC72" s="326"/>
      <c r="ED72" s="326"/>
      <c r="EE72" s="348">
        <f t="shared" si="197"/>
        <v>72086.256633333338</v>
      </c>
      <c r="EF72" s="348">
        <f t="shared" si="198"/>
        <v>26407.696666666667</v>
      </c>
      <c r="EG72" s="348">
        <f t="shared" si="199"/>
        <v>4694.8794033502872</v>
      </c>
      <c r="EH72" s="348">
        <f t="shared" si="200"/>
        <v>5568.6242831915106</v>
      </c>
      <c r="EI72" s="354">
        <f t="shared" si="201"/>
        <v>0.73188509769496002</v>
      </c>
      <c r="EJ72" s="326"/>
      <c r="EK72" s="348">
        <f t="shared" si="202"/>
        <v>4695.2371290637311</v>
      </c>
      <c r="EL72" s="348">
        <f t="shared" si="203"/>
        <v>5568.2043933020796</v>
      </c>
      <c r="EM72" s="348">
        <f t="shared" si="83"/>
        <v>4739.9600344668816</v>
      </c>
      <c r="EN72" s="348">
        <f t="shared" si="84"/>
        <v>5612.9272987052291</v>
      </c>
      <c r="EP72" s="326"/>
      <c r="EQ72" s="326"/>
      <c r="ER72" s="326"/>
      <c r="ES72" s="348">
        <f t="shared" si="204"/>
        <v>57971.00916666667</v>
      </c>
      <c r="ET72" s="348">
        <f t="shared" si="205"/>
        <v>20145.126633333333</v>
      </c>
      <c r="EU72" s="348">
        <f t="shared" si="206"/>
        <v>4185.3681938472164</v>
      </c>
      <c r="EV72" s="348">
        <f t="shared" si="207"/>
        <v>4782.6647840697997</v>
      </c>
      <c r="EW72" s="354">
        <f t="shared" si="208"/>
        <v>0.74211311879391084</v>
      </c>
      <c r="EX72" s="326"/>
      <c r="EY72" s="348">
        <f t="shared" si="209"/>
        <v>4185.385630970015</v>
      </c>
      <c r="EZ72" s="348">
        <f t="shared" si="210"/>
        <v>4782.6450127998332</v>
      </c>
      <c r="FA72" s="348">
        <f t="shared" si="92"/>
        <v>4221.4368697108266</v>
      </c>
      <c r="FB72" s="348">
        <f t="shared" si="93"/>
        <v>4818.696251540644</v>
      </c>
      <c r="FD72" s="326"/>
      <c r="FE72" s="326"/>
      <c r="FF72" s="326"/>
      <c r="FG72" s="348">
        <f t="shared" si="211"/>
        <v>38029.223266666668</v>
      </c>
      <c r="FH72" s="348">
        <f t="shared" si="212"/>
        <v>13830.988299999999</v>
      </c>
      <c r="FI72" s="348">
        <f t="shared" si="213"/>
        <v>2806.8503826070801</v>
      </c>
      <c r="FJ72" s="348">
        <f t="shared" si="214"/>
        <v>3156.9564324702428</v>
      </c>
      <c r="FK72" s="354">
        <f t="shared" si="215"/>
        <v>0.73330250914576067</v>
      </c>
      <c r="FL72" s="326"/>
      <c r="FM72" s="348">
        <f t="shared" si="216"/>
        <v>2806.8503826070801</v>
      </c>
      <c r="FN72" s="348">
        <f t="shared" si="217"/>
        <v>3156.9564324702428</v>
      </c>
      <c r="FO72" s="348">
        <f t="shared" si="101"/>
        <v>2830.1887883969953</v>
      </c>
      <c r="FP72" s="348">
        <f t="shared" si="102"/>
        <v>3180.294838260158</v>
      </c>
      <c r="FR72" s="326"/>
      <c r="FS72" s="326"/>
      <c r="FT72" s="326"/>
      <c r="FU72" s="348">
        <f t="shared" si="218"/>
        <v>22622.337500000001</v>
      </c>
      <c r="FV72" s="348">
        <f t="shared" si="219"/>
        <v>8507.9117000000006</v>
      </c>
      <c r="FW72" s="349">
        <f t="shared" si="220"/>
        <v>359.3874792783642</v>
      </c>
      <c r="FX72" s="349">
        <f t="shared" si="221"/>
        <v>313.96213954657031</v>
      </c>
      <c r="FY72" s="354">
        <f t="shared" si="222"/>
        <v>0.72669953120709363</v>
      </c>
      <c r="FZ72" s="326"/>
      <c r="GA72" s="349">
        <f t="shared" si="223"/>
        <v>359.70943242046388</v>
      </c>
      <c r="GB72" s="349">
        <f t="shared" si="224"/>
        <v>313.58423864608216</v>
      </c>
      <c r="GC72" s="349">
        <f t="shared" si="139"/>
        <v>363.30974417983271</v>
      </c>
      <c r="GD72" s="349">
        <f t="shared" si="140"/>
        <v>317.18455040545098</v>
      </c>
      <c r="GF72" s="326"/>
      <c r="GG72" s="326"/>
      <c r="GH72" s="326"/>
      <c r="GI72" s="348">
        <f t="shared" si="225"/>
        <v>40469.505799999999</v>
      </c>
      <c r="GJ72" s="348">
        <f t="shared" si="226"/>
        <v>14257.8483</v>
      </c>
      <c r="GK72" s="348">
        <f t="shared" si="227"/>
        <v>546.65232287608842</v>
      </c>
      <c r="GL72" s="348">
        <f t="shared" si="228"/>
        <v>634.21294305027482</v>
      </c>
      <c r="GM72" s="354">
        <f t="shared" si="229"/>
        <v>0.73947492009302163</v>
      </c>
      <c r="GN72" s="326"/>
      <c r="GO72" s="348">
        <f t="shared" si="230"/>
        <v>546.65232287608842</v>
      </c>
      <c r="GP72" s="348">
        <f t="shared" si="231"/>
        <v>634.21294305027482</v>
      </c>
      <c r="GQ72" s="348">
        <f t="shared" si="141"/>
        <v>547.28707078239108</v>
      </c>
      <c r="GR72" s="348">
        <f t="shared" si="142"/>
        <v>634.84769095657759</v>
      </c>
    </row>
    <row r="73" spans="1:200" x14ac:dyDescent="0.2">
      <c r="A73" s="320">
        <v>63</v>
      </c>
      <c r="C73" s="350">
        <v>2.9944458869578856</v>
      </c>
      <c r="D73" s="350">
        <v>1.6876092243467904</v>
      </c>
      <c r="E73" s="350">
        <v>0</v>
      </c>
      <c r="F73" s="350">
        <v>18172.7575</v>
      </c>
      <c r="G73" s="350">
        <v>6949.3050000000012</v>
      </c>
      <c r="H73" s="351">
        <f t="shared" si="143"/>
        <v>3072.3014800187907</v>
      </c>
      <c r="I73" s="351">
        <f t="shared" si="144"/>
        <v>4009.759517047974</v>
      </c>
      <c r="J73" s="352">
        <f t="shared" si="145"/>
        <v>0</v>
      </c>
      <c r="K73" s="352">
        <f t="shared" si="146"/>
        <v>0</v>
      </c>
      <c r="L73" s="353">
        <f t="shared" si="147"/>
        <v>3072.3014800187907</v>
      </c>
      <c r="M73" s="353">
        <f t="shared" si="148"/>
        <v>4009.759517047974</v>
      </c>
      <c r="N73" s="343">
        <f t="shared" si="117"/>
        <v>3100.8562896105741</v>
      </c>
      <c r="O73" s="343">
        <f t="shared" si="118"/>
        <v>4038.3143266397574</v>
      </c>
      <c r="Q73" s="350">
        <v>3.7449546704898591</v>
      </c>
      <c r="R73" s="350">
        <v>1.9431370222626594</v>
      </c>
      <c r="S73" s="350">
        <v>0</v>
      </c>
      <c r="T73" s="350">
        <v>4327.5741666666672</v>
      </c>
      <c r="U73" s="350">
        <v>1046.6524999999999</v>
      </c>
      <c r="V73" s="351">
        <f t="shared" si="149"/>
        <v>2636.4480880248607</v>
      </c>
      <c r="W73" s="351">
        <f t="shared" si="150"/>
        <v>3260.5839233567426</v>
      </c>
      <c r="X73" s="352">
        <f t="shared" si="151"/>
        <v>0</v>
      </c>
      <c r="Y73" s="352">
        <f t="shared" si="152"/>
        <v>0</v>
      </c>
      <c r="Z73" s="353">
        <f t="shared" si="153"/>
        <v>2636.4480880248607</v>
      </c>
      <c r="AA73" s="353">
        <f t="shared" si="154"/>
        <v>3260.5839233567426</v>
      </c>
      <c r="AB73" s="343">
        <f t="shared" si="119"/>
        <v>2653.8089398753536</v>
      </c>
      <c r="AC73" s="343">
        <f t="shared" si="120"/>
        <v>3277.9447752072356</v>
      </c>
      <c r="AE73" s="350">
        <v>4.8979388360351965</v>
      </c>
      <c r="AF73" s="350">
        <v>2.6898925583929567</v>
      </c>
      <c r="AG73" s="350">
        <v>0</v>
      </c>
      <c r="AH73" s="350">
        <v>527.06500000000005</v>
      </c>
      <c r="AI73" s="350">
        <v>134.73916666666668</v>
      </c>
      <c r="AJ73" s="351">
        <f t="shared" si="155"/>
        <v>1743.6662256285299</v>
      </c>
      <c r="AK73" s="351">
        <f t="shared" si="156"/>
        <v>2060.4576997290046</v>
      </c>
      <c r="AL73" s="352">
        <f t="shared" si="157"/>
        <v>0</v>
      </c>
      <c r="AM73" s="352">
        <f t="shared" si="158"/>
        <v>0</v>
      </c>
      <c r="AN73" s="353">
        <f t="shared" si="159"/>
        <v>1743.6662256285299</v>
      </c>
      <c r="AO73" s="353">
        <f t="shared" si="160"/>
        <v>2060.4576997290046</v>
      </c>
      <c r="AP73" s="343">
        <f t="shared" si="121"/>
        <v>1754.9242953426551</v>
      </c>
      <c r="AQ73" s="343">
        <f t="shared" si="122"/>
        <v>2071.7157694431298</v>
      </c>
      <c r="AS73" s="350">
        <v>5.2436999999999996</v>
      </c>
      <c r="AT73" s="350">
        <v>2.224388397861337</v>
      </c>
      <c r="AU73" s="350">
        <v>4.8299105768662507E-3</v>
      </c>
      <c r="AV73" s="350">
        <v>12977.7508</v>
      </c>
      <c r="AW73" s="350">
        <v>4655.0108</v>
      </c>
      <c r="AX73" s="351">
        <f t="shared" si="161"/>
        <v>1321.4123999999999</v>
      </c>
      <c r="AY73" s="351">
        <f t="shared" si="162"/>
        <v>1114.4185873285298</v>
      </c>
      <c r="AZ73" s="352">
        <f t="shared" si="163"/>
        <v>0.77761560287546638</v>
      </c>
      <c r="BA73" s="352">
        <f t="shared" si="164"/>
        <v>0.35576741003345325</v>
      </c>
      <c r="BB73" s="353">
        <f t="shared" si="165"/>
        <v>1321.7681674100334</v>
      </c>
      <c r="BC73" s="353">
        <f t="shared" si="166"/>
        <v>1113.9967391356879</v>
      </c>
      <c r="BD73" s="343">
        <f t="shared" si="123"/>
        <v>1337.3034736185084</v>
      </c>
      <c r="BE73" s="343">
        <f t="shared" si="124"/>
        <v>1129.532045344163</v>
      </c>
      <c r="BG73" s="350">
        <v>5.441183661833155</v>
      </c>
      <c r="BH73" s="350">
        <v>2.3999912260023124</v>
      </c>
      <c r="BI73" s="350">
        <v>2.0671329314205479E-4</v>
      </c>
      <c r="BJ73" s="350">
        <v>12918.084199999999</v>
      </c>
      <c r="BK73" s="350">
        <v>4678.7608</v>
      </c>
      <c r="BL73" s="351">
        <f t="shared" si="167"/>
        <v>1289.5605278544579</v>
      </c>
      <c r="BM73" s="351">
        <f t="shared" si="168"/>
        <v>1156.7957709331147</v>
      </c>
      <c r="BN73" s="352">
        <f t="shared" si="169"/>
        <v>3.7208392765569864E-2</v>
      </c>
      <c r="BO73" s="352">
        <f t="shared" si="170"/>
        <v>1.7594539035773987E-2</v>
      </c>
      <c r="BP73" s="353">
        <f t="shared" si="171"/>
        <v>1289.5781223934937</v>
      </c>
      <c r="BQ73" s="353">
        <f t="shared" si="172"/>
        <v>1156.776157079385</v>
      </c>
      <c r="BR73" s="343">
        <f t="shared" si="125"/>
        <v>1307.6637849902575</v>
      </c>
      <c r="BS73" s="343">
        <f t="shared" si="126"/>
        <v>1174.8618196761488</v>
      </c>
      <c r="BU73" s="350">
        <v>4.8743140509492981</v>
      </c>
      <c r="BV73" s="350">
        <v>2.3789228730730319</v>
      </c>
      <c r="BW73" s="350">
        <v>0</v>
      </c>
      <c r="BX73" s="350">
        <v>9316.11</v>
      </c>
      <c r="BY73" s="350">
        <v>3480.2975000000001</v>
      </c>
      <c r="BZ73" s="351">
        <f t="shared" si="173"/>
        <v>887.1251572727723</v>
      </c>
      <c r="CA73" s="351">
        <f t="shared" si="174"/>
        <v>730.32932203342079</v>
      </c>
      <c r="CB73" s="352">
        <f t="shared" si="175"/>
        <v>0</v>
      </c>
      <c r="CC73" s="352">
        <f t="shared" si="176"/>
        <v>0</v>
      </c>
      <c r="CD73" s="353">
        <f t="shared" si="177"/>
        <v>887.1251572727723</v>
      </c>
      <c r="CE73" s="353">
        <f t="shared" si="178"/>
        <v>730.32932203342079</v>
      </c>
      <c r="CF73" s="343">
        <f t="shared" si="127"/>
        <v>898.658158778538</v>
      </c>
      <c r="CG73" s="343">
        <f t="shared" si="128"/>
        <v>741.86232353918649</v>
      </c>
      <c r="CI73" s="350">
        <v>1.1084692441861947</v>
      </c>
      <c r="CJ73" s="350">
        <v>1.0453875390862151</v>
      </c>
      <c r="CK73" s="350">
        <v>0</v>
      </c>
      <c r="CL73" s="350">
        <v>23882.36</v>
      </c>
      <c r="CM73" s="350">
        <v>8152.1049999999996</v>
      </c>
      <c r="CN73" s="351">
        <f t="shared" si="179"/>
        <v>200.63293319770125</v>
      </c>
      <c r="CO73" s="351">
        <f t="shared" si="180"/>
        <v>237.30297137257082</v>
      </c>
      <c r="CP73" s="352">
        <f t="shared" si="181"/>
        <v>0</v>
      </c>
      <c r="CQ73" s="352">
        <f t="shared" si="182"/>
        <v>0</v>
      </c>
      <c r="CR73" s="353">
        <f t="shared" si="183"/>
        <v>200.63293319770125</v>
      </c>
      <c r="CS73" s="353">
        <f t="shared" si="184"/>
        <v>237.30297137257082</v>
      </c>
      <c r="CT73" s="343">
        <f t="shared" si="129"/>
        <v>201.02623287212259</v>
      </c>
      <c r="CU73" s="343">
        <f t="shared" si="130"/>
        <v>237.69627104699217</v>
      </c>
      <c r="CW73" s="350">
        <v>2.3559143610669953</v>
      </c>
      <c r="CX73" s="350">
        <v>1.9267312396340848</v>
      </c>
      <c r="CY73" s="350">
        <v>0</v>
      </c>
      <c r="CZ73" s="350">
        <v>11936.5533</v>
      </c>
      <c r="DA73" s="350">
        <v>4390.1307999999999</v>
      </c>
      <c r="DB73" s="351">
        <f t="shared" si="185"/>
        <v>449.9796429637961</v>
      </c>
      <c r="DC73" s="351">
        <f t="shared" si="186"/>
        <v>504.80358478413024</v>
      </c>
      <c r="DD73" s="352">
        <f t="shared" si="187"/>
        <v>0</v>
      </c>
      <c r="DE73" s="352">
        <f t="shared" si="188"/>
        <v>0</v>
      </c>
      <c r="DF73" s="353">
        <f t="shared" si="189"/>
        <v>449.9796429637961</v>
      </c>
      <c r="DG73" s="353">
        <f t="shared" si="190"/>
        <v>504.80358478413024</v>
      </c>
      <c r="DH73" s="343">
        <f t="shared" si="131"/>
        <v>450.28145325364784</v>
      </c>
      <c r="DI73" s="343">
        <f t="shared" si="132"/>
        <v>505.10539507398198</v>
      </c>
      <c r="DK73" s="350">
        <v>2.9582000000000002</v>
      </c>
      <c r="DL73" s="350">
        <v>2.4363999999999999</v>
      </c>
      <c r="DM73" s="350">
        <v>0</v>
      </c>
      <c r="DN73" s="350">
        <v>1075.1692</v>
      </c>
      <c r="DO73" s="350">
        <v>585.91669999999999</v>
      </c>
      <c r="DP73" s="351">
        <f t="shared" si="191"/>
        <v>283.98720000000003</v>
      </c>
      <c r="DQ73" s="351">
        <f t="shared" si="192"/>
        <v>423.93359999999996</v>
      </c>
      <c r="DR73" s="352">
        <f t="shared" si="193"/>
        <v>0</v>
      </c>
      <c r="DS73" s="352">
        <f t="shared" si="194"/>
        <v>0</v>
      </c>
      <c r="DT73" s="353">
        <f t="shared" si="195"/>
        <v>283.98720000000003</v>
      </c>
      <c r="DU73" s="353">
        <f t="shared" si="196"/>
        <v>423.93359999999996</v>
      </c>
      <c r="DV73" s="343">
        <f t="shared" si="133"/>
        <v>284.24392482600473</v>
      </c>
      <c r="DW73" s="343">
        <f t="shared" si="134"/>
        <v>424.19032482600466</v>
      </c>
      <c r="EB73" s="326"/>
      <c r="EC73" s="326"/>
      <c r="ED73" s="326"/>
      <c r="EE73" s="348">
        <f t="shared" si="197"/>
        <v>66969.421600000001</v>
      </c>
      <c r="EF73" s="348">
        <f t="shared" si="198"/>
        <v>24146.551599999999</v>
      </c>
      <c r="EG73" s="348">
        <f t="shared" si="199"/>
        <v>4954.3305275875282</v>
      </c>
      <c r="EH73" s="348">
        <f t="shared" si="200"/>
        <v>5765.323943576379</v>
      </c>
      <c r="EI73" s="354">
        <f t="shared" si="201"/>
        <v>0.73499101472583506</v>
      </c>
      <c r="EJ73" s="326"/>
      <c r="EK73" s="348">
        <f t="shared" si="202"/>
        <v>4954.6862949975621</v>
      </c>
      <c r="EL73" s="348">
        <f t="shared" si="203"/>
        <v>5764.902095383537</v>
      </c>
      <c r="EM73" s="348">
        <f t="shared" si="83"/>
        <v>4999.4111587041234</v>
      </c>
      <c r="EN73" s="348">
        <f t="shared" si="84"/>
        <v>5809.6269590900984</v>
      </c>
      <c r="EP73" s="326"/>
      <c r="EQ73" s="326"/>
      <c r="ER73" s="326"/>
      <c r="ES73" s="348">
        <f t="shared" si="204"/>
        <v>53064.57166666667</v>
      </c>
      <c r="ET73" s="348">
        <f t="shared" si="205"/>
        <v>18267.649099999999</v>
      </c>
      <c r="EU73" s="348">
        <f t="shared" si="206"/>
        <v>4441.6272991516771</v>
      </c>
      <c r="EV73" s="348">
        <f t="shared" si="207"/>
        <v>5008.0451750113189</v>
      </c>
      <c r="EW73" s="354">
        <f t="shared" si="208"/>
        <v>0.74390746700912458</v>
      </c>
      <c r="EX73" s="326"/>
      <c r="EY73" s="348">
        <f t="shared" si="209"/>
        <v>4441.6448936907127</v>
      </c>
      <c r="EZ73" s="348">
        <f t="shared" si="210"/>
        <v>5008.0255611575894</v>
      </c>
      <c r="FA73" s="348">
        <f t="shared" si="92"/>
        <v>4477.6959750152873</v>
      </c>
      <c r="FB73" s="348">
        <f t="shared" si="93"/>
        <v>5044.0766424821641</v>
      </c>
      <c r="FD73" s="326"/>
      <c r="FE73" s="326"/>
      <c r="FF73" s="326"/>
      <c r="FG73" s="348">
        <f t="shared" si="211"/>
        <v>34800.7042</v>
      </c>
      <c r="FH73" s="348">
        <f t="shared" si="212"/>
        <v>12353.058366666666</v>
      </c>
      <c r="FI73" s="348">
        <f t="shared" si="213"/>
        <v>3001.8166360990035</v>
      </c>
      <c r="FJ73" s="348">
        <f t="shared" si="214"/>
        <v>3282.4501531349961</v>
      </c>
      <c r="FK73" s="354">
        <f t="shared" si="215"/>
        <v>0.73802603028333669</v>
      </c>
      <c r="FL73" s="326"/>
      <c r="FM73" s="348">
        <f t="shared" si="216"/>
        <v>3001.8166360990035</v>
      </c>
      <c r="FN73" s="348">
        <f t="shared" si="217"/>
        <v>3282.4501531349961</v>
      </c>
      <c r="FO73" s="348">
        <f t="shared" si="101"/>
        <v>3025.1550418889187</v>
      </c>
      <c r="FP73" s="348">
        <f t="shared" si="102"/>
        <v>3305.7885589249113</v>
      </c>
      <c r="FR73" s="326"/>
      <c r="FS73" s="326"/>
      <c r="FT73" s="326"/>
      <c r="FU73" s="348">
        <f t="shared" si="218"/>
        <v>22293.860800000002</v>
      </c>
      <c r="FV73" s="348">
        <f t="shared" si="219"/>
        <v>8135.3083000000006</v>
      </c>
      <c r="FW73" s="349">
        <f t="shared" si="220"/>
        <v>390.85851845450486</v>
      </c>
      <c r="FX73" s="349">
        <f t="shared" si="221"/>
        <v>345.68033876559815</v>
      </c>
      <c r="FY73" s="354">
        <f t="shared" si="222"/>
        <v>0.73264770151085068</v>
      </c>
      <c r="FZ73" s="326"/>
      <c r="GA73" s="349">
        <f t="shared" si="223"/>
        <v>391.17870912353499</v>
      </c>
      <c r="GB73" s="349">
        <f t="shared" si="224"/>
        <v>345.30067539204043</v>
      </c>
      <c r="GC73" s="349">
        <f t="shared" ref="GC73:GC104" si="232" xml:space="preserve"> MAX( 0, BD73 - CF73 ) * GC$8</f>
        <v>394.78078335597337</v>
      </c>
      <c r="GD73" s="349">
        <f t="shared" ref="GD73:GD104" si="233" xml:space="preserve"> MAX( 0, BE73 - CG73 ) * GD$8</f>
        <v>348.90274962447882</v>
      </c>
      <c r="GF73" s="326"/>
      <c r="GG73" s="326"/>
      <c r="GH73" s="326"/>
      <c r="GI73" s="348">
        <f t="shared" si="225"/>
        <v>35818.9133</v>
      </c>
      <c r="GJ73" s="348">
        <f t="shared" si="226"/>
        <v>12542.235799999999</v>
      </c>
      <c r="GK73" s="348">
        <f t="shared" si="227"/>
        <v>560.61664756873813</v>
      </c>
      <c r="GL73" s="348">
        <f t="shared" si="228"/>
        <v>641.14583919987501</v>
      </c>
      <c r="GM73" s="354">
        <f t="shared" si="229"/>
        <v>0.74065471905836089</v>
      </c>
      <c r="GN73" s="326"/>
      <c r="GO73" s="348">
        <f t="shared" si="230"/>
        <v>560.61664756873813</v>
      </c>
      <c r="GP73" s="348">
        <f t="shared" si="231"/>
        <v>641.14583919987501</v>
      </c>
      <c r="GQ73" s="348">
        <f t="shared" ref="GQ73:GQ104" si="234" xml:space="preserve"> CT73 + GQ$8 * DH73</f>
        <v>561.25139547504091</v>
      </c>
      <c r="GR73" s="348">
        <f t="shared" ref="GR73:GR104" si="235" xml:space="preserve"> CU73 + GR$8 * DI73</f>
        <v>641.78058710617779</v>
      </c>
    </row>
    <row r="74" spans="1:200" x14ac:dyDescent="0.2">
      <c r="A74" s="320">
        <v>64</v>
      </c>
      <c r="C74" s="350">
        <v>3.1379641195982328</v>
      </c>
      <c r="D74" s="350">
        <v>1.7359358949152086</v>
      </c>
      <c r="E74" s="350">
        <v>0</v>
      </c>
      <c r="F74" s="350">
        <v>16174.502499999995</v>
      </c>
      <c r="G74" s="350">
        <v>6238.849166666666</v>
      </c>
      <c r="H74" s="351">
        <f t="shared" ref="H74:H110" si="236" xml:space="preserve"> C74 * C$8</f>
        <v>3219.5511867077871</v>
      </c>
      <c r="I74" s="351">
        <f t="shared" ref="I74:I110" si="237" xml:space="preserve"> D74 * D$8</f>
        <v>4124.5836863185359</v>
      </c>
      <c r="J74" s="352">
        <f t="shared" ref="J74:J110" si="238" xml:space="preserve"> E74 * E$8</f>
        <v>0</v>
      </c>
      <c r="K74" s="352">
        <f t="shared" ref="K74:K105" si="239" xml:space="preserve"> IF(    SUM(H74:I74)=0,    0,   J74 * I74 / SUM(H74:I74)    )</f>
        <v>0</v>
      </c>
      <c r="L74" s="353">
        <f t="shared" ref="L74:L105" si="240" xml:space="preserve"> H74 + K74</f>
        <v>3219.5511867077871</v>
      </c>
      <c r="M74" s="353">
        <f t="shared" ref="M74:M110" si="241" xml:space="preserve"> I74 - J74 + K74</f>
        <v>4124.5836863185359</v>
      </c>
      <c r="N74" s="343">
        <f t="shared" si="117"/>
        <v>3248.1059962995705</v>
      </c>
      <c r="O74" s="343">
        <f t="shared" si="118"/>
        <v>4153.1384959103198</v>
      </c>
      <c r="Q74" s="350">
        <v>3.9658261657740979</v>
      </c>
      <c r="R74" s="350">
        <v>2.0130869522201604</v>
      </c>
      <c r="S74" s="350">
        <v>0</v>
      </c>
      <c r="T74" s="350">
        <v>3834.4249999999997</v>
      </c>
      <c r="U74" s="350">
        <v>922.76</v>
      </c>
      <c r="V74" s="351">
        <f t="shared" ref="V74:V110" si="242" xml:space="preserve"> Q74 * Q$8</f>
        <v>2791.9416207049649</v>
      </c>
      <c r="W74" s="351">
        <f t="shared" ref="W74:W110" si="243" xml:space="preserve"> R74 * R$8</f>
        <v>3377.9599058254294</v>
      </c>
      <c r="X74" s="352">
        <f t="shared" ref="X74:X110" si="244" xml:space="preserve"> S74 * S$8</f>
        <v>0</v>
      </c>
      <c r="Y74" s="352">
        <f t="shared" ref="Y74:Y105" si="245" xml:space="preserve"> IF(    SUM(V74:W74)=0,    0,   X74 * W74 / SUM(V74:W74)    )</f>
        <v>0</v>
      </c>
      <c r="Z74" s="353">
        <f t="shared" ref="Z74:Z105" si="246" xml:space="preserve"> V74 + Y74</f>
        <v>2791.9416207049649</v>
      </c>
      <c r="AA74" s="353">
        <f t="shared" ref="AA74:AA110" si="247" xml:space="preserve"> W74 - X74 + Y74</f>
        <v>3377.9599058254294</v>
      </c>
      <c r="AB74" s="343">
        <f t="shared" si="119"/>
        <v>2809.3024725554578</v>
      </c>
      <c r="AC74" s="343">
        <f t="shared" si="120"/>
        <v>3395.3207576759223</v>
      </c>
      <c r="AE74" s="350">
        <v>5.2472298597698472</v>
      </c>
      <c r="AF74" s="350">
        <v>2.7917563789453181</v>
      </c>
      <c r="AG74" s="350">
        <v>0</v>
      </c>
      <c r="AH74" s="350">
        <v>436.70666666666671</v>
      </c>
      <c r="AI74" s="350">
        <v>105.66333333333333</v>
      </c>
      <c r="AJ74" s="351">
        <f t="shared" ref="AJ74:AJ110" si="248" xml:space="preserve"> AE74 * AE$8</f>
        <v>1868.0138300780657</v>
      </c>
      <c r="AK74" s="351">
        <f t="shared" ref="AK74:AK110" si="249" xml:space="preserve"> AF74 * AF$8</f>
        <v>2138.4853862721138</v>
      </c>
      <c r="AL74" s="352">
        <f t="shared" ref="AL74:AL110" si="250" xml:space="preserve"> AG74 * AG$8</f>
        <v>0</v>
      </c>
      <c r="AM74" s="352">
        <f t="shared" ref="AM74:AM105" si="251" xml:space="preserve"> IF(    SUM(AJ74:AK74)=0,    0,   AL74 * AK74 / SUM(AJ74:AK74)    )</f>
        <v>0</v>
      </c>
      <c r="AN74" s="353">
        <f t="shared" ref="AN74:AN105" si="252" xml:space="preserve"> AJ74 + AM74</f>
        <v>1868.0138300780657</v>
      </c>
      <c r="AO74" s="353">
        <f t="shared" ref="AO74:AO110" si="253" xml:space="preserve"> AK74 - AL74 + AM74</f>
        <v>2138.4853862721138</v>
      </c>
      <c r="AP74" s="343">
        <f t="shared" si="121"/>
        <v>1879.2718997921909</v>
      </c>
      <c r="AQ74" s="343">
        <f t="shared" si="122"/>
        <v>2149.743455986239</v>
      </c>
      <c r="AS74" s="350">
        <v>5.6661000000000001</v>
      </c>
      <c r="AT74" s="350">
        <v>2.3786388074393536</v>
      </c>
      <c r="AU74" s="350">
        <v>4.8299105768662507E-3</v>
      </c>
      <c r="AV74" s="350">
        <v>11504.5383</v>
      </c>
      <c r="AW74" s="350">
        <v>4104.53</v>
      </c>
      <c r="AX74" s="351">
        <f t="shared" ref="AX74:AX110" si="254" xml:space="preserve"> AS74 * AS$8</f>
        <v>1427.8571999999999</v>
      </c>
      <c r="AY74" s="351">
        <f t="shared" ref="AY74:AY110" si="255" xml:space="preserve"> AT74 * AT$8</f>
        <v>1191.6980425271161</v>
      </c>
      <c r="AZ74" s="352">
        <f t="shared" ref="AZ74:AZ110" si="256" xml:space="preserve"> AU74 * AU$8</f>
        <v>0.77761560287546638</v>
      </c>
      <c r="BA74" s="352">
        <f t="shared" ref="BA74:BA105" si="257" xml:space="preserve"> IF(    SUM(AX74:AY74)=0,    0,   AZ74 * AY74 / SUM(AX74:AY74)    )</f>
        <v>0.35375585013097655</v>
      </c>
      <c r="BB74" s="353">
        <f t="shared" ref="BB74:BB105" si="258" xml:space="preserve"> AX74 + BA74</f>
        <v>1428.2109558501309</v>
      </c>
      <c r="BC74" s="353">
        <f t="shared" ref="BC74:BC110" si="259" xml:space="preserve"> AY74 - AZ74 + BA74</f>
        <v>1191.2741827743716</v>
      </c>
      <c r="BD74" s="343">
        <f t="shared" si="123"/>
        <v>1443.7482736185084</v>
      </c>
      <c r="BE74" s="343">
        <f t="shared" si="124"/>
        <v>1206.8115005427492</v>
      </c>
      <c r="BG74" s="350">
        <v>5.8494309193864229</v>
      </c>
      <c r="BH74" s="350">
        <v>2.6208051236534615</v>
      </c>
      <c r="BI74" s="350">
        <v>2.0671329314205479E-4</v>
      </c>
      <c r="BJ74" s="350">
        <v>11495.7883</v>
      </c>
      <c r="BK74" s="350">
        <v>4117.6967000000004</v>
      </c>
      <c r="BL74" s="351">
        <f t="shared" ref="BL74:BL110" si="260" xml:space="preserve"> BG74 * BG$8</f>
        <v>1386.3151278945822</v>
      </c>
      <c r="BM74" s="351">
        <f t="shared" ref="BM74:BM110" si="261" xml:space="preserve"> BH74 * BH$8</f>
        <v>1263.2280696009684</v>
      </c>
      <c r="BN74" s="352">
        <f t="shared" ref="BN74:BN110" si="262" xml:space="preserve"> BI74 * BI$8</f>
        <v>3.7208392765569864E-2</v>
      </c>
      <c r="BO74" s="352">
        <f t="shared" ref="BO74:BO105" si="263" xml:space="preserve"> IF(    SUM(BL74:BM74)=0,    0,   BN74 * BM74 / SUM(BL74:BM74)    )</f>
        <v>1.773992068166097E-2</v>
      </c>
      <c r="BP74" s="353">
        <f t="shared" ref="BP74:BP105" si="264" xml:space="preserve"> BL74 + BO74</f>
        <v>1386.3328678152639</v>
      </c>
      <c r="BQ74" s="353">
        <f t="shared" ref="BQ74:BQ110" si="265" xml:space="preserve"> BM74 - BN74 + BO74</f>
        <v>1263.2086011288845</v>
      </c>
      <c r="BR74" s="343">
        <f t="shared" si="125"/>
        <v>1404.4183850303818</v>
      </c>
      <c r="BS74" s="343">
        <f t="shared" si="126"/>
        <v>1281.2941183440025</v>
      </c>
      <c r="BU74" s="350">
        <v>5.2300276903443281</v>
      </c>
      <c r="BV74" s="350">
        <v>2.5058143552421068</v>
      </c>
      <c r="BW74" s="350">
        <v>0</v>
      </c>
      <c r="BX74" s="350">
        <v>8332.5457999999999</v>
      </c>
      <c r="BY74" s="350">
        <v>3075.9733000000001</v>
      </c>
      <c r="BZ74" s="351">
        <f t="shared" ref="BZ74:BZ110" si="266" xml:space="preserve"> BU74 * BU$8</f>
        <v>951.86503964266774</v>
      </c>
      <c r="CA74" s="351">
        <f t="shared" ref="CA74:CA110" si="267" xml:space="preserve"> BV74 * BV$8</f>
        <v>769.28500705932674</v>
      </c>
      <c r="CB74" s="352">
        <f t="shared" ref="CB74:CB110" si="268" xml:space="preserve"> BW74 * BW$8</f>
        <v>0</v>
      </c>
      <c r="CC74" s="352">
        <f t="shared" ref="CC74:CC105" si="269" xml:space="preserve"> IF(    SUM(BZ74:CA74)=0,    0,   CB74 * CA74 / SUM(BZ74:CA74)    )</f>
        <v>0</v>
      </c>
      <c r="CD74" s="353">
        <f t="shared" ref="CD74:CD105" si="270" xml:space="preserve"> BZ74 + CC74</f>
        <v>951.86503964266774</v>
      </c>
      <c r="CE74" s="353">
        <f t="shared" ref="CE74:CE110" si="271" xml:space="preserve"> CA74 - CB74 + CC74</f>
        <v>769.28500705932674</v>
      </c>
      <c r="CF74" s="343">
        <f t="shared" si="127"/>
        <v>963.39804114843344</v>
      </c>
      <c r="CG74" s="343">
        <f t="shared" si="128"/>
        <v>780.81800856509244</v>
      </c>
      <c r="CI74" s="350">
        <v>1.1262377427302424</v>
      </c>
      <c r="CJ74" s="350">
        <v>1.052758604209592</v>
      </c>
      <c r="CK74" s="350">
        <v>0</v>
      </c>
      <c r="CL74" s="350">
        <v>21409.555</v>
      </c>
      <c r="CM74" s="350">
        <v>7359.6374999999998</v>
      </c>
      <c r="CN74" s="351">
        <f t="shared" ref="CN74:CN110" si="272" xml:space="preserve"> CI74 * CI$8</f>
        <v>203.84903143417387</v>
      </c>
      <c r="CO74" s="351">
        <f t="shared" ref="CO74:CO110" si="273" xml:space="preserve"> CJ74 * CJ$8</f>
        <v>238.97620315557739</v>
      </c>
      <c r="CP74" s="352">
        <f t="shared" ref="CP74:CP110" si="274" xml:space="preserve"> CK74 * CK$8</f>
        <v>0</v>
      </c>
      <c r="CQ74" s="352">
        <f t="shared" ref="CQ74:CQ105" si="275" xml:space="preserve"> IF(    SUM(CN74:CO74)=0,    0,   CP74 * CO74 / SUM(CN74:CO74)    )</f>
        <v>0</v>
      </c>
      <c r="CR74" s="353">
        <f t="shared" ref="CR74:CR105" si="276" xml:space="preserve"> CN74 + CQ74</f>
        <v>203.84903143417387</v>
      </c>
      <c r="CS74" s="353">
        <f t="shared" ref="CS74:CS110" si="277" xml:space="preserve"> CO74 - CP74 + CQ74</f>
        <v>238.97620315557739</v>
      </c>
      <c r="CT74" s="343">
        <f t="shared" si="129"/>
        <v>204.24233110859521</v>
      </c>
      <c r="CU74" s="343">
        <f t="shared" si="130"/>
        <v>239.36950282999874</v>
      </c>
      <c r="CW74" s="350">
        <v>2.4161939887657402</v>
      </c>
      <c r="CX74" s="350">
        <v>1.9482936568210805</v>
      </c>
      <c r="CY74" s="350">
        <v>0</v>
      </c>
      <c r="CZ74" s="350">
        <v>10699.808300000001</v>
      </c>
      <c r="DA74" s="350">
        <v>3953.8341999999998</v>
      </c>
      <c r="DB74" s="351">
        <f t="shared" ref="DB74:DB110" si="278" xml:space="preserve"> CW74 * CW$8</f>
        <v>461.49305185425641</v>
      </c>
      <c r="DC74" s="351">
        <f t="shared" ref="DC74:DC110" si="279" xml:space="preserve"> CX74 * CX$8</f>
        <v>510.45293808712307</v>
      </c>
      <c r="DD74" s="352">
        <f t="shared" ref="DD74:DD110" si="280" xml:space="preserve"> CY74 * CY$8</f>
        <v>0</v>
      </c>
      <c r="DE74" s="352">
        <f t="shared" ref="DE74:DE105" si="281" xml:space="preserve"> IF(    SUM(DB74:DC74)=0,    0,   DD74 * DC74 / SUM(DB74:DC74)    )</f>
        <v>0</v>
      </c>
      <c r="DF74" s="353">
        <f t="shared" ref="DF74:DF105" si="282" xml:space="preserve"> DB74 + DE74</f>
        <v>461.49305185425641</v>
      </c>
      <c r="DG74" s="353">
        <f t="shared" ref="DG74:DG110" si="283" xml:space="preserve"> DC74 - DD74 + DE74</f>
        <v>510.45293808712307</v>
      </c>
      <c r="DH74" s="343">
        <f t="shared" si="131"/>
        <v>461.79486214410815</v>
      </c>
      <c r="DI74" s="343">
        <f t="shared" si="132"/>
        <v>510.75474837697482</v>
      </c>
      <c r="DK74" s="350">
        <v>3.0703</v>
      </c>
      <c r="DL74" s="350">
        <v>2.5112999999999999</v>
      </c>
      <c r="DM74" s="350">
        <v>0</v>
      </c>
      <c r="DN74" s="350">
        <v>1185.3992000000001</v>
      </c>
      <c r="DO74" s="350">
        <v>561.91669999999999</v>
      </c>
      <c r="DP74" s="351">
        <f t="shared" ref="DP74:DP110" si="284" xml:space="preserve"> DK74 * DK$8</f>
        <v>294.74880000000002</v>
      </c>
      <c r="DQ74" s="351">
        <f t="shared" ref="DQ74:DQ110" si="285" xml:space="preserve"> DL74 * DL$8</f>
        <v>436.96619999999996</v>
      </c>
      <c r="DR74" s="352">
        <f t="shared" ref="DR74:DR110" si="286" xml:space="preserve"> DM74 * DM$8</f>
        <v>0</v>
      </c>
      <c r="DS74" s="352">
        <f t="shared" ref="DS74:DS105" si="287" xml:space="preserve"> IF(    SUM(DP74:DQ74)=0,    0,   DR74 * DQ74 / SUM(DP74:DQ74)    )</f>
        <v>0</v>
      </c>
      <c r="DT74" s="353">
        <f t="shared" ref="DT74:DT105" si="288" xml:space="preserve"> DP74 + DS74</f>
        <v>294.74880000000002</v>
      </c>
      <c r="DU74" s="353">
        <f t="shared" ref="DU74:DU110" si="289" xml:space="preserve"> DQ74 - DR74 + DS74</f>
        <v>436.96619999999996</v>
      </c>
      <c r="DV74" s="343">
        <f t="shared" si="133"/>
        <v>295.00552482600472</v>
      </c>
      <c r="DW74" s="343">
        <f t="shared" si="134"/>
        <v>437.22292482600466</v>
      </c>
      <c r="EB74" s="326"/>
      <c r="EC74" s="326"/>
      <c r="ED74" s="326"/>
      <c r="EE74" s="348">
        <f t="shared" ref="EE74:EE110" si="290" xml:space="preserve"> F74 + AV74 + CL74 + EE$8 * CZ74</f>
        <v>59788.4041</v>
      </c>
      <c r="EF74" s="348">
        <f t="shared" ref="EF74:EF110" si="291" xml:space="preserve"> G74 + AW74 + CM74 + EF$8 * DA74</f>
        <v>21656.850866666668</v>
      </c>
      <c r="EG74" s="348">
        <f t="shared" ref="EG74:EG110" si="292" xml:space="preserve"> H74 + AX74 + CN74 + EG$8 * DB74</f>
        <v>5220.4518596253656</v>
      </c>
      <c r="EH74" s="348">
        <f t="shared" ref="EH74:EH110" si="293" xml:space="preserve"> I74 + AY74 + CO74 + EH$8 * DC74</f>
        <v>5963.620282470928</v>
      </c>
      <c r="EI74" s="354">
        <f t="shared" ref="EI74:EI105" si="294" xml:space="preserve"> IF(   SUM(EE74:EF74) = 0,    IF( EG74&lt;EH74, lambdax_min, lambdax_max ),
                                                                   MAX( lambdax_min, MIN( lambdax_max, EE74 / SUM(EE74:EF74) ) )     )</f>
        <v>0.73409315403911224</v>
      </c>
      <c r="EJ74" s="326"/>
      <c r="EK74" s="348">
        <f t="shared" ref="EK74:EK110" si="295" xml:space="preserve"> L74 + BB74 + CR74 + EK$8 * DF74</f>
        <v>5220.8056154754977</v>
      </c>
      <c r="EL74" s="348">
        <f t="shared" ref="EL74:EL110" si="296" xml:space="preserve"> M74 + BC74 + CS74 + EL$8 * DG74</f>
        <v>5963.1964227181843</v>
      </c>
      <c r="EM74" s="348">
        <f t="shared" ref="EM74:EM110" si="297" xml:space="preserve"> N74 + BD74 + CT74 + EM$8 * DH74</f>
        <v>5265.5324907419599</v>
      </c>
      <c r="EN74" s="348">
        <f t="shared" ref="EN74:EN110" si="298" xml:space="preserve"> O74 + BE74 + CU74 + EN$8 * DI74</f>
        <v>6007.9232979846474</v>
      </c>
      <c r="EP74" s="326"/>
      <c r="EQ74" s="326"/>
      <c r="ER74" s="326"/>
      <c r="ES74" s="348">
        <f t="shared" ref="ES74:ES110" si="299" xml:space="preserve"> T74 + BJ74 + CL74 + ES$8 * CZ74</f>
        <v>47439.5766</v>
      </c>
      <c r="ET74" s="348">
        <f t="shared" ref="ET74:ET110" si="300" xml:space="preserve"> U74 + BK74 + CM74 + ET$8 * DA74</f>
        <v>16353.928399999999</v>
      </c>
      <c r="EU74" s="348">
        <f t="shared" ref="EU74:EU110" si="301" xml:space="preserve"> V74 + BL74 + CN74 + EU$8 * DB74</f>
        <v>4705.1509163316996</v>
      </c>
      <c r="EV74" s="348">
        <f t="shared" ref="EV74:EV110" si="302" xml:space="preserve"> W74 + BM74 + CO74 + EV$8 * DC74</f>
        <v>5237.4812352429608</v>
      </c>
      <c r="EW74" s="354">
        <f t="shared" ref="EW74:EW105" si="303" xml:space="preserve"> IF(   SUM(ES74:ET74) = 0,    IF( EU74&lt;EV74, lambdax_min, lambdax_max ),
                                                                   MAX( lambdax_min, MIN( lambdax_max, ES74 / SUM(ES74:ET74) ) )     )</f>
        <v>0.74364273604342646</v>
      </c>
      <c r="EX74" s="326"/>
      <c r="EY74" s="348">
        <f t="shared" ref="EY74:EY110" si="304" xml:space="preserve"> Z74 + BP74 + CR74 + EY$8 * DF74</f>
        <v>4705.1686562523819</v>
      </c>
      <c r="EZ74" s="348">
        <f t="shared" ref="EZ74:EZ110" si="305" xml:space="preserve"> AA74 + BQ74 + CS74 + EZ$8 * DG74</f>
        <v>5237.4617667708771</v>
      </c>
      <c r="FA74" s="348">
        <f t="shared" ref="FA74:FA110" si="306" xml:space="preserve"> AB74 + BR74 + CT74 + FA$8 * DH74</f>
        <v>4741.2195921953098</v>
      </c>
      <c r="FB74" s="348">
        <f t="shared" ref="FB74:FB110" si="307" xml:space="preserve"> AC74 + BS74 + CU74 + FB$8 * DI74</f>
        <v>5273.512702713806</v>
      </c>
      <c r="FD74" s="326"/>
      <c r="FE74" s="326"/>
      <c r="FF74" s="326"/>
      <c r="FG74" s="348">
        <f t="shared" ref="FG74:FG110" si="308" xml:space="preserve"> AH74 + BX74 + CL74 + FG$8 * DN74</f>
        <v>31364.206666666665</v>
      </c>
      <c r="FH74" s="348">
        <f t="shared" ref="FH74:FH110" si="309" xml:space="preserve"> AI74 + BY74 + CM74 + FH$8 * DO74</f>
        <v>11103.190833333332</v>
      </c>
      <c r="FI74" s="348">
        <f t="shared" ref="FI74:FI110" si="310" xml:space="preserve"> AJ74 + BZ74 + CN74 + FI$8 * DP74</f>
        <v>3200.5771811549071</v>
      </c>
      <c r="FJ74" s="348">
        <f t="shared" ref="FJ74:FJ110" si="311" xml:space="preserve"> AK74 + CA74 + CO74 + FJ$8 * DQ74</f>
        <v>3408.9263164870181</v>
      </c>
      <c r="FK74" s="354">
        <f t="shared" ref="FK74:FK105" si="312" xml:space="preserve"> IF(   SUM(FG74:FH74) = 0,    IF( FI74&lt;FJ74, lambdax_min, lambdax_max ),
                                                                   MAX( lambdax_min, MIN( lambdax_max, FG74 / SUM(FG74:FH74) ) )     )</f>
        <v>0.73854788645022729</v>
      </c>
      <c r="FL74" s="326"/>
      <c r="FM74" s="348">
        <f t="shared" ref="FM74:FM110" si="313" xml:space="preserve"> AN74 + CD74 + CR74 + FM$8 * DT74</f>
        <v>3200.5771811549071</v>
      </c>
      <c r="FN74" s="348">
        <f t="shared" ref="FN74:FN110" si="314" xml:space="preserve"> AO74 + CE74 + CS74 + FN$8 * DU74</f>
        <v>3408.9263164870181</v>
      </c>
      <c r="FO74" s="348">
        <f t="shared" ref="FO74:FO110" si="315" xml:space="preserve"> AP74 + CF74 + CT74 + FO$8 * DV74</f>
        <v>3223.9155869448223</v>
      </c>
      <c r="FP74" s="348">
        <f t="shared" ref="FP74:FP110" si="316" xml:space="preserve"> AQ74 + CG74 + CU74 + FP$8 * DW74</f>
        <v>3432.2647222769333</v>
      </c>
      <c r="FR74" s="326"/>
      <c r="FS74" s="326"/>
      <c r="FT74" s="326"/>
      <c r="FU74" s="348">
        <f t="shared" ref="FU74:FU110" si="317" xml:space="preserve"> MAX( 0, AV74 + BX74 ) * FU$8</f>
        <v>19837.0841</v>
      </c>
      <c r="FV74" s="348">
        <f t="shared" ref="FV74:FV110" si="318" xml:space="preserve"> MAX( 0, AW74 + BY74 ) * FV$8</f>
        <v>7180.5033000000003</v>
      </c>
      <c r="FW74" s="349">
        <f t="shared" ref="FW74:FW110" si="319" xml:space="preserve"> MAX( 0, AX74 - BZ74 ) * FW$8</f>
        <v>428.39294432159897</v>
      </c>
      <c r="FX74" s="349">
        <f t="shared" ref="FX74:FX110" si="320" xml:space="preserve"> MAX( 0, AY74 - CA74 ) * FX$8</f>
        <v>380.17173192101041</v>
      </c>
      <c r="FY74" s="354">
        <f t="shared" ref="FY74:FY105" si="321" xml:space="preserve"> IF(   SUM(FU74:FV74) = 0,    IF( FW74&lt;FX74, lambdax_min, lambdax_max ),
                                                                   MAX( lambdax_min, MIN( lambdax_max, FU74 / SUM(FU74:FV74) ) )     )</f>
        <v>0.73422855291660871</v>
      </c>
      <c r="FZ74" s="326"/>
      <c r="GA74" s="349">
        <f t="shared" ref="GA74:GA110" si="322" xml:space="preserve"> MAX( 0, BB74 - CD74 ) * GA$8</f>
        <v>428.71132458671684</v>
      </c>
      <c r="GB74" s="349">
        <f t="shared" ref="GB74:GB110" si="323" xml:space="preserve"> MAX( 0, BC74 - CE74 ) * GB$8</f>
        <v>379.79025814354043</v>
      </c>
      <c r="GC74" s="349">
        <f t="shared" si="232"/>
        <v>432.31520922306748</v>
      </c>
      <c r="GD74" s="349">
        <f t="shared" si="233"/>
        <v>383.39414277989107</v>
      </c>
      <c r="GF74" s="326"/>
      <c r="GG74" s="326"/>
      <c r="GH74" s="326"/>
      <c r="GI74" s="348">
        <f t="shared" ref="GI74:GI110" si="324" xml:space="preserve"> CL74 + GI$8 * CZ74</f>
        <v>32109.363300000001</v>
      </c>
      <c r="GJ74" s="348">
        <f t="shared" ref="GJ74:GJ110" si="325" xml:space="preserve"> CM74 + GJ$8 * DA74</f>
        <v>11313.4717</v>
      </c>
      <c r="GK74" s="348">
        <f t="shared" ref="GK74:GK110" si="326" xml:space="preserve"> CN74 + GK$8 * DB74</f>
        <v>573.04347291757904</v>
      </c>
      <c r="GL74" s="348">
        <f t="shared" ref="GL74:GL110" si="327" xml:space="preserve"> CO74 + GL$8 * DC74</f>
        <v>647.33855362527584</v>
      </c>
      <c r="GM74" s="354">
        <f t="shared" ref="GM74:GM105" si="328" xml:space="preserve"> IF(   SUM(GI74:GJ74) = 0,    IF( GK74&lt;GL74, lambdax_min, lambdax_max ),
                                                                   MAX( lambdax_min, MIN( lambdax_max, GI74 / SUM(GI74:GJ74) ) )     )</f>
        <v>0.73945801327803684</v>
      </c>
      <c r="GN74" s="326"/>
      <c r="GO74" s="348">
        <f t="shared" ref="GO74:GO110" si="329" xml:space="preserve"> CR74 + GO$8 * DF74</f>
        <v>573.04347291757904</v>
      </c>
      <c r="GP74" s="348">
        <f t="shared" ref="GP74:GP110" si="330" xml:space="preserve"> CS74 + GP$8 * DG74</f>
        <v>647.33855362527584</v>
      </c>
      <c r="GQ74" s="348">
        <f t="shared" si="234"/>
        <v>573.6782208238817</v>
      </c>
      <c r="GR74" s="348">
        <f t="shared" si="235"/>
        <v>647.97330153157861</v>
      </c>
    </row>
    <row r="75" spans="1:200" x14ac:dyDescent="0.2">
      <c r="A75" s="320">
        <v>65</v>
      </c>
      <c r="C75" s="350">
        <v>3.2836317008798246</v>
      </c>
      <c r="D75" s="350">
        <v>1.7839570330443668</v>
      </c>
      <c r="E75" s="350">
        <v>0</v>
      </c>
      <c r="F75" s="350">
        <v>14531.985833333334</v>
      </c>
      <c r="G75" s="350">
        <v>5732.3949999999995</v>
      </c>
      <c r="H75" s="351">
        <f t="shared" si="236"/>
        <v>3369.0061251027</v>
      </c>
      <c r="I75" s="351">
        <f t="shared" si="237"/>
        <v>4238.6819105134155</v>
      </c>
      <c r="J75" s="352">
        <f t="shared" si="238"/>
        <v>0</v>
      </c>
      <c r="K75" s="352">
        <f t="shared" si="239"/>
        <v>0</v>
      </c>
      <c r="L75" s="353">
        <f t="shared" si="240"/>
        <v>3369.0061251027</v>
      </c>
      <c r="M75" s="353">
        <f t="shared" si="241"/>
        <v>4238.6819105134155</v>
      </c>
      <c r="N75" s="343">
        <f t="shared" ref="N75:N110" si="331" xml:space="preserve"> H75 + IF( OR( $A75&lt;=14, $A75&gt;=65 ),0, IF( $A75&lt;=19, N$8, N$9 ) )</f>
        <v>3369.0061251027</v>
      </c>
      <c r="O75" s="343">
        <f t="shared" ref="O75:O110" si="332" xml:space="preserve"> I75 - J75 + IF( OR( $A75&lt;=14, $A75&gt;=65 ),0, IF( $A75&lt;=19, O$8, O$9 ) )</f>
        <v>4238.6819105134155</v>
      </c>
      <c r="Q75" s="350">
        <v>4.1936492259321918</v>
      </c>
      <c r="R75" s="350">
        <v>2.0830685154033106</v>
      </c>
      <c r="S75" s="350">
        <v>0</v>
      </c>
      <c r="T75" s="350">
        <v>3496.6183333333329</v>
      </c>
      <c r="U75" s="350">
        <v>862.005</v>
      </c>
      <c r="V75" s="351">
        <f t="shared" si="242"/>
        <v>2952.3290550562629</v>
      </c>
      <c r="W75" s="351">
        <f t="shared" si="243"/>
        <v>3495.3889688467552</v>
      </c>
      <c r="X75" s="352">
        <f t="shared" si="244"/>
        <v>0</v>
      </c>
      <c r="Y75" s="352">
        <f t="shared" si="245"/>
        <v>0</v>
      </c>
      <c r="Z75" s="353">
        <f t="shared" si="246"/>
        <v>2952.3290550562629</v>
      </c>
      <c r="AA75" s="353">
        <f t="shared" si="247"/>
        <v>3495.3889688467552</v>
      </c>
      <c r="AB75" s="343">
        <f t="shared" ref="AB75:AB110" si="333" xml:space="preserve"> V75 + IF( OR( $A75&lt;=14, $A75&gt;=65 ),0, IF( $A75&lt;=19, AB$8, AB$9 ) )</f>
        <v>2952.3290550562629</v>
      </c>
      <c r="AC75" s="343">
        <f t="shared" ref="AC75:AC110" si="334" xml:space="preserve"> W75 - X75 + IF( OR( $A75&lt;=14, $A75&gt;=65 ),0, IF( $A75&lt;=19, AC$8, AC$9 ) )</f>
        <v>3495.3889688467552</v>
      </c>
      <c r="AE75" s="350">
        <v>5.6098971201034038</v>
      </c>
      <c r="AF75" s="350">
        <v>2.894988518970139</v>
      </c>
      <c r="AG75" s="350">
        <v>0</v>
      </c>
      <c r="AH75" s="350">
        <v>379.8683333333334</v>
      </c>
      <c r="AI75" s="350">
        <v>103.73083333333334</v>
      </c>
      <c r="AJ75" s="351">
        <f t="shared" si="248"/>
        <v>1997.1233747568117</v>
      </c>
      <c r="AK75" s="351">
        <f t="shared" si="249"/>
        <v>2217.5612055311262</v>
      </c>
      <c r="AL75" s="352">
        <f t="shared" si="250"/>
        <v>0</v>
      </c>
      <c r="AM75" s="352">
        <f t="shared" si="251"/>
        <v>0</v>
      </c>
      <c r="AN75" s="353">
        <f t="shared" si="252"/>
        <v>1997.1233747568117</v>
      </c>
      <c r="AO75" s="353">
        <f t="shared" si="253"/>
        <v>2217.5612055311262</v>
      </c>
      <c r="AP75" s="343">
        <f t="shared" ref="AP75:AP110" si="335" xml:space="preserve"> AJ75 + IF( OR( $A75&lt;=14, $A75&gt;=65 ),0, IF( $A75&lt;=19, AP$8, AP$9 ) )</f>
        <v>1997.1233747568117</v>
      </c>
      <c r="AQ75" s="343">
        <f t="shared" ref="AQ75:AQ110" si="336" xml:space="preserve"> AK75 - AL75 + IF( OR( $A75&lt;=14, $A75&gt;=65 ),0, IF( $A75&lt;=19, AQ$8, AQ$9 ) )</f>
        <v>2217.5612055311262</v>
      </c>
      <c r="AS75" s="350">
        <v>6.1048999999999998</v>
      </c>
      <c r="AT75" s="350">
        <v>2.5328580305485762</v>
      </c>
      <c r="AU75" s="350">
        <v>4.8299105768662507E-3</v>
      </c>
      <c r="AV75" s="350">
        <v>10170.466700000001</v>
      </c>
      <c r="AW75" s="350">
        <v>3794.9267</v>
      </c>
      <c r="AX75" s="351">
        <f t="shared" si="254"/>
        <v>1538.4348</v>
      </c>
      <c r="AY75" s="351">
        <f t="shared" si="255"/>
        <v>1268.9618733048367</v>
      </c>
      <c r="AZ75" s="352">
        <f t="shared" si="256"/>
        <v>0.77761560287546638</v>
      </c>
      <c r="BA75" s="352">
        <f t="shared" si="257"/>
        <v>0.35148739810050195</v>
      </c>
      <c r="BB75" s="353">
        <f t="shared" si="258"/>
        <v>1538.7862873981005</v>
      </c>
      <c r="BC75" s="353">
        <f t="shared" si="259"/>
        <v>1268.5357451000618</v>
      </c>
      <c r="BD75" s="343">
        <f t="shared" ref="BD75:BD110" si="337" xml:space="preserve"> AX75 + IF( OR( $A75&lt;=14, $A75&gt;=65 ),0, IF( $A75&lt;=19, BD$8, BD$9 ) )</f>
        <v>1538.4348</v>
      </c>
      <c r="BE75" s="343">
        <f t="shared" ref="BE75:BE110" si="338" xml:space="preserve"> AY75 - AZ75 + IF( OR( $A75&lt;=14, $A75&gt;=65 ),0, IF( $A75&lt;=19, BE$8, BE$9 ) )</f>
        <v>1268.1842577019613</v>
      </c>
      <c r="BG75" s="350">
        <v>6.2626924445176773</v>
      </c>
      <c r="BH75" s="350">
        <v>2.8397431500167847</v>
      </c>
      <c r="BI75" s="350">
        <v>2.0671329314205479E-4</v>
      </c>
      <c r="BJ75" s="350">
        <v>10204.3025</v>
      </c>
      <c r="BK75" s="350">
        <v>3802.8649999999998</v>
      </c>
      <c r="BL75" s="351">
        <f t="shared" si="260"/>
        <v>1484.2581093506894</v>
      </c>
      <c r="BM75" s="351">
        <f t="shared" si="261"/>
        <v>1368.7561983080902</v>
      </c>
      <c r="BN75" s="352">
        <f t="shared" si="262"/>
        <v>3.7208392765569864E-2</v>
      </c>
      <c r="BO75" s="352">
        <f t="shared" si="263"/>
        <v>1.7851020967626634E-2</v>
      </c>
      <c r="BP75" s="353">
        <f t="shared" si="264"/>
        <v>1484.275960371657</v>
      </c>
      <c r="BQ75" s="353">
        <f t="shared" si="265"/>
        <v>1368.7368409362923</v>
      </c>
      <c r="BR75" s="343">
        <f t="shared" ref="BR75:BR110" si="339" xml:space="preserve"> BL75 + IF( OR( $A75&lt;=14, $A75&gt;=65 ),0, IF( $A75&lt;=19, BR$8, BR$9 ) )</f>
        <v>1484.2581093506894</v>
      </c>
      <c r="BS75" s="343">
        <f t="shared" ref="BS75:BS110" si="340" xml:space="preserve"> BM75 - BN75 + IF( OR( $A75&lt;=14, $A75&gt;=65 ),0, IF( $A75&lt;=19, BS$8, BS$9 ) )</f>
        <v>1368.7189899153248</v>
      </c>
      <c r="BU75" s="350">
        <v>5.5843796010429392</v>
      </c>
      <c r="BV75" s="350">
        <v>2.6548797877997194</v>
      </c>
      <c r="BW75" s="350">
        <v>0</v>
      </c>
      <c r="BX75" s="350">
        <v>7791.3742000000002</v>
      </c>
      <c r="BY75" s="350">
        <v>2721.6217000000001</v>
      </c>
      <c r="BZ75" s="351">
        <f t="shared" si="266"/>
        <v>1016.357087389815</v>
      </c>
      <c r="CA75" s="351">
        <f t="shared" si="267"/>
        <v>815.04809485451392</v>
      </c>
      <c r="CB75" s="352">
        <f t="shared" si="268"/>
        <v>0</v>
      </c>
      <c r="CC75" s="352">
        <f t="shared" si="269"/>
        <v>0</v>
      </c>
      <c r="CD75" s="353">
        <f t="shared" si="270"/>
        <v>1016.357087389815</v>
      </c>
      <c r="CE75" s="353">
        <f t="shared" si="271"/>
        <v>815.04809485451392</v>
      </c>
      <c r="CF75" s="343">
        <f t="shared" ref="CF75:CF110" si="341" xml:space="preserve"> BZ75 + IF( OR( $A75&lt;=14, $A75&gt;=65 ),0, IF( $A75&lt;=19, CF$8, CF$9 ) )</f>
        <v>1016.357087389815</v>
      </c>
      <c r="CG75" s="343">
        <f t="shared" ref="CG75:CG110" si="342" xml:space="preserve"> CA75 - CB75 + IF( OR( $A75&lt;=14, $A75&gt;=65 ),0, IF( $A75&lt;=19, CG$8, CG$9 ) )</f>
        <v>815.04809485451392</v>
      </c>
      <c r="CI75" s="350">
        <v>1.1409835779890443</v>
      </c>
      <c r="CJ75" s="350">
        <v>1.0596420462128699</v>
      </c>
      <c r="CK75" s="350">
        <v>0</v>
      </c>
      <c r="CL75" s="350">
        <v>17683.898300000001</v>
      </c>
      <c r="CM75" s="350">
        <v>6333.1</v>
      </c>
      <c r="CN75" s="351">
        <f t="shared" si="272"/>
        <v>206.51802761601701</v>
      </c>
      <c r="CO75" s="351">
        <f t="shared" si="273"/>
        <v>240.53874449032148</v>
      </c>
      <c r="CP75" s="352">
        <f t="shared" si="274"/>
        <v>0</v>
      </c>
      <c r="CQ75" s="352">
        <f t="shared" si="275"/>
        <v>0</v>
      </c>
      <c r="CR75" s="353">
        <f t="shared" si="276"/>
        <v>206.51802761601701</v>
      </c>
      <c r="CS75" s="353">
        <f t="shared" si="277"/>
        <v>240.53874449032148</v>
      </c>
      <c r="CT75" s="343">
        <f t="shared" ref="CT75:CT110" si="343" xml:space="preserve"> CN75 + IF( OR( $A75&lt;=14, $A75&gt;=65 ),0, IF( $A75&lt;=19, CT$8, CT$9 ) )</f>
        <v>206.51802761601701</v>
      </c>
      <c r="CU75" s="343">
        <f t="shared" ref="CU75:CU110" si="344" xml:space="preserve"> CO75 - CP75 + IF( OR( $A75&lt;=14, $A75&gt;=65 ),0, IF( $A75&lt;=19, CU$8, CU$9 ) )</f>
        <v>240.53874449032148</v>
      </c>
      <c r="CW75" s="350">
        <v>2.4646454333908547</v>
      </c>
      <c r="CX75" s="350">
        <v>1.9646201615195218</v>
      </c>
      <c r="CY75" s="350">
        <v>0</v>
      </c>
      <c r="CZ75" s="350">
        <v>8746.3425000000007</v>
      </c>
      <c r="DA75" s="350">
        <v>3468.6242000000002</v>
      </c>
      <c r="DB75" s="351">
        <f t="shared" si="278"/>
        <v>470.74727777765327</v>
      </c>
      <c r="DC75" s="351">
        <f t="shared" si="279"/>
        <v>514.7304823181147</v>
      </c>
      <c r="DD75" s="352">
        <f t="shared" si="280"/>
        <v>0</v>
      </c>
      <c r="DE75" s="352">
        <f t="shared" si="281"/>
        <v>0</v>
      </c>
      <c r="DF75" s="353">
        <f t="shared" si="282"/>
        <v>470.74727777765327</v>
      </c>
      <c r="DG75" s="353">
        <f t="shared" si="283"/>
        <v>514.7304823181147</v>
      </c>
      <c r="DH75" s="343">
        <f t="shared" ref="DH75:DH110" si="345" xml:space="preserve"> DB75 + IF( OR( $A75&lt;=14, $A75&gt;=65 ),0, IF( $A75&lt;=19, DH$8, DH$9 ) )</f>
        <v>470.74727777765327</v>
      </c>
      <c r="DI75" s="343">
        <f t="shared" ref="DI75:DI110" si="346" xml:space="preserve"> DC75 - DD75 + IF( OR( $A75&lt;=14, $A75&gt;=65 ),0, IF( $A75&lt;=19, DI$8, DI$9 ) )</f>
        <v>514.7304823181147</v>
      </c>
      <c r="DK75" s="350">
        <v>3.1863999999999999</v>
      </c>
      <c r="DL75" s="350">
        <v>2.5844</v>
      </c>
      <c r="DM75" s="350">
        <v>0</v>
      </c>
      <c r="DN75" s="350">
        <v>1017.8492</v>
      </c>
      <c r="DO75" s="350">
        <v>569.66669999999999</v>
      </c>
      <c r="DP75" s="351">
        <f t="shared" si="284"/>
        <v>305.89440000000002</v>
      </c>
      <c r="DQ75" s="351">
        <f t="shared" si="285"/>
        <v>449.68560000000002</v>
      </c>
      <c r="DR75" s="352">
        <f t="shared" si="286"/>
        <v>0</v>
      </c>
      <c r="DS75" s="352">
        <f t="shared" si="287"/>
        <v>0</v>
      </c>
      <c r="DT75" s="353">
        <f t="shared" si="288"/>
        <v>305.89440000000002</v>
      </c>
      <c r="DU75" s="353">
        <f t="shared" si="289"/>
        <v>449.68560000000002</v>
      </c>
      <c r="DV75" s="343">
        <f t="shared" ref="DV75:DV110" si="347" xml:space="preserve"> DP75 + IF( OR( $A75&lt;=14, $A75&gt;=65 ),0, IF( $A75&lt;=19, DV$8, DV$9 ) )</f>
        <v>305.89440000000002</v>
      </c>
      <c r="DW75" s="343">
        <f t="shared" ref="DW75:DW110" si="348" xml:space="preserve"> DQ75 - DR75 + IF( OR( $A75&lt;=14, $A75&gt;=65 ),0, IF( $A75&lt;=19, DW$8, DW$9 ) )</f>
        <v>449.68560000000002</v>
      </c>
      <c r="EB75" s="326"/>
      <c r="EC75" s="326"/>
      <c r="ED75" s="326"/>
      <c r="EE75" s="348">
        <f t="shared" si="290"/>
        <v>51132.693333333336</v>
      </c>
      <c r="EF75" s="348">
        <f t="shared" si="291"/>
        <v>19329.045900000001</v>
      </c>
      <c r="EG75" s="348">
        <f t="shared" si="292"/>
        <v>5490.5567749408401</v>
      </c>
      <c r="EH75" s="348">
        <f t="shared" si="293"/>
        <v>6159.9669141630657</v>
      </c>
      <c r="EI75" s="354">
        <f t="shared" si="294"/>
        <v>0.72568026122670537</v>
      </c>
      <c r="EJ75" s="326"/>
      <c r="EK75" s="348">
        <f t="shared" si="295"/>
        <v>5490.9082623389404</v>
      </c>
      <c r="EL75" s="348">
        <f t="shared" si="296"/>
        <v>6159.5407859582911</v>
      </c>
      <c r="EM75" s="348">
        <f t="shared" si="297"/>
        <v>5490.5567749408401</v>
      </c>
      <c r="EN75" s="348">
        <f t="shared" si="298"/>
        <v>6159.1892985601908</v>
      </c>
      <c r="EP75" s="326"/>
      <c r="EQ75" s="326"/>
      <c r="ER75" s="326"/>
      <c r="ES75" s="348">
        <f t="shared" si="299"/>
        <v>40131.161633333337</v>
      </c>
      <c r="ET75" s="348">
        <f t="shared" si="300"/>
        <v>14466.594200000001</v>
      </c>
      <c r="EU75" s="348">
        <f t="shared" si="301"/>
        <v>4972.6282864673267</v>
      </c>
      <c r="EV75" s="348">
        <f t="shared" si="302"/>
        <v>5464.9952492678476</v>
      </c>
      <c r="EW75" s="354">
        <f t="shared" si="303"/>
        <v>0.73503317161677606</v>
      </c>
      <c r="EX75" s="326"/>
      <c r="EY75" s="348">
        <f t="shared" si="304"/>
        <v>4972.6461374882947</v>
      </c>
      <c r="EZ75" s="348">
        <f t="shared" si="305"/>
        <v>5464.9758918960497</v>
      </c>
      <c r="FA75" s="348">
        <f t="shared" si="306"/>
        <v>4972.6282864673267</v>
      </c>
      <c r="FB75" s="348">
        <f t="shared" si="307"/>
        <v>5464.9580408750817</v>
      </c>
      <c r="FD75" s="326"/>
      <c r="FE75" s="326"/>
      <c r="FF75" s="326"/>
      <c r="FG75" s="348">
        <f t="shared" si="308"/>
        <v>26872.990033333335</v>
      </c>
      <c r="FH75" s="348">
        <f t="shared" si="309"/>
        <v>9728.1192333333329</v>
      </c>
      <c r="FI75" s="348">
        <f t="shared" si="310"/>
        <v>3403.5351297626435</v>
      </c>
      <c r="FJ75" s="348">
        <f t="shared" si="311"/>
        <v>3542.9594048759618</v>
      </c>
      <c r="FK75" s="354">
        <f t="shared" si="312"/>
        <v>0.7342124479764629</v>
      </c>
      <c r="FL75" s="326"/>
      <c r="FM75" s="348">
        <f t="shared" si="313"/>
        <v>3403.5351297626435</v>
      </c>
      <c r="FN75" s="348">
        <f t="shared" si="314"/>
        <v>3542.9594048759618</v>
      </c>
      <c r="FO75" s="348">
        <f t="shared" si="315"/>
        <v>3403.5351297626435</v>
      </c>
      <c r="FP75" s="348">
        <f t="shared" si="316"/>
        <v>3542.9594048759618</v>
      </c>
      <c r="FR75" s="326"/>
      <c r="FS75" s="326"/>
      <c r="FT75" s="326"/>
      <c r="FU75" s="348">
        <f t="shared" si="317"/>
        <v>17961.840900000003</v>
      </c>
      <c r="FV75" s="348">
        <f t="shared" si="318"/>
        <v>6516.5483999999997</v>
      </c>
      <c r="FW75" s="349">
        <f t="shared" si="319"/>
        <v>469.86994134916654</v>
      </c>
      <c r="FX75" s="349">
        <f t="shared" si="320"/>
        <v>408.5224006052905</v>
      </c>
      <c r="FY75" s="354">
        <f t="shared" si="321"/>
        <v>0.73378361132609327</v>
      </c>
      <c r="FZ75" s="326"/>
      <c r="GA75" s="349">
        <f t="shared" si="322"/>
        <v>470.18628000745701</v>
      </c>
      <c r="GB75" s="349">
        <f t="shared" si="323"/>
        <v>408.13888522099313</v>
      </c>
      <c r="GC75" s="349">
        <f t="shared" si="232"/>
        <v>469.86994134916654</v>
      </c>
      <c r="GD75" s="349">
        <f t="shared" si="233"/>
        <v>407.82254656270266</v>
      </c>
      <c r="GF75" s="326"/>
      <c r="GG75" s="326"/>
      <c r="GH75" s="326"/>
      <c r="GI75" s="348">
        <f t="shared" si="324"/>
        <v>26430.2408</v>
      </c>
      <c r="GJ75" s="348">
        <f t="shared" si="325"/>
        <v>9801.7242000000006</v>
      </c>
      <c r="GK75" s="348">
        <f t="shared" si="326"/>
        <v>583.11584983813964</v>
      </c>
      <c r="GL75" s="348">
        <f t="shared" si="327"/>
        <v>652.32313034481331</v>
      </c>
      <c r="GM75" s="354">
        <f t="shared" si="328"/>
        <v>0.72947301643728135</v>
      </c>
      <c r="GN75" s="326"/>
      <c r="GO75" s="348">
        <f t="shared" si="329"/>
        <v>583.11584983813964</v>
      </c>
      <c r="GP75" s="348">
        <f t="shared" si="330"/>
        <v>652.32313034481331</v>
      </c>
      <c r="GQ75" s="348">
        <f t="shared" si="234"/>
        <v>583.11584983813964</v>
      </c>
      <c r="GR75" s="348">
        <f t="shared" si="235"/>
        <v>652.32313034481331</v>
      </c>
    </row>
    <row r="76" spans="1:200" x14ac:dyDescent="0.2">
      <c r="A76" s="320">
        <v>66</v>
      </c>
      <c r="C76" s="350">
        <v>3.4308256253920315</v>
      </c>
      <c r="D76" s="350">
        <v>1.8314771593951535</v>
      </c>
      <c r="E76" s="350">
        <v>0</v>
      </c>
      <c r="F76" s="350">
        <v>11775.03</v>
      </c>
      <c r="G76" s="350">
        <v>4922.6641666666665</v>
      </c>
      <c r="H76" s="351">
        <f t="shared" si="236"/>
        <v>3520.0270916522245</v>
      </c>
      <c r="I76" s="351">
        <f t="shared" si="237"/>
        <v>4351.5897307228852</v>
      </c>
      <c r="J76" s="352">
        <f t="shared" si="238"/>
        <v>0</v>
      </c>
      <c r="K76" s="352">
        <f t="shared" si="239"/>
        <v>0</v>
      </c>
      <c r="L76" s="353">
        <f t="shared" si="240"/>
        <v>3520.0270916522245</v>
      </c>
      <c r="M76" s="353">
        <f t="shared" si="241"/>
        <v>4351.5897307228852</v>
      </c>
      <c r="N76" s="343">
        <f t="shared" si="331"/>
        <v>3520.0270916522245</v>
      </c>
      <c r="O76" s="343">
        <f t="shared" si="332"/>
        <v>4351.5897307228852</v>
      </c>
      <c r="Q76" s="350">
        <v>4.4265105235283988</v>
      </c>
      <c r="R76" s="350">
        <v>2.1526627682788959</v>
      </c>
      <c r="S76" s="350">
        <v>0</v>
      </c>
      <c r="T76" s="350">
        <v>2939.9491666666668</v>
      </c>
      <c r="U76" s="350">
        <v>694.72500000000002</v>
      </c>
      <c r="V76" s="351">
        <f t="shared" si="242"/>
        <v>3116.2634085639929</v>
      </c>
      <c r="W76" s="351">
        <f t="shared" si="243"/>
        <v>3612.1681251719874</v>
      </c>
      <c r="X76" s="352">
        <f t="shared" si="244"/>
        <v>0</v>
      </c>
      <c r="Y76" s="352">
        <f t="shared" si="245"/>
        <v>0</v>
      </c>
      <c r="Z76" s="353">
        <f t="shared" si="246"/>
        <v>3116.2634085639929</v>
      </c>
      <c r="AA76" s="353">
        <f t="shared" si="247"/>
        <v>3612.1681251719874</v>
      </c>
      <c r="AB76" s="343">
        <f t="shared" si="333"/>
        <v>3116.2634085639929</v>
      </c>
      <c r="AC76" s="343">
        <f t="shared" si="334"/>
        <v>3612.1681251719874</v>
      </c>
      <c r="AE76" s="350">
        <v>5.985104625387617</v>
      </c>
      <c r="AF76" s="350">
        <v>3.0000730385673555</v>
      </c>
      <c r="AG76" s="350">
        <v>0</v>
      </c>
      <c r="AH76" s="350">
        <v>319.005</v>
      </c>
      <c r="AI76" s="350">
        <v>72.416666666666671</v>
      </c>
      <c r="AJ76" s="351">
        <f t="shared" si="248"/>
        <v>2130.6972466379916</v>
      </c>
      <c r="AK76" s="351">
        <f t="shared" si="249"/>
        <v>2298.0559475425944</v>
      </c>
      <c r="AL76" s="352">
        <f t="shared" si="250"/>
        <v>0</v>
      </c>
      <c r="AM76" s="352">
        <f t="shared" si="251"/>
        <v>0</v>
      </c>
      <c r="AN76" s="353">
        <f t="shared" si="252"/>
        <v>2130.6972466379916</v>
      </c>
      <c r="AO76" s="353">
        <f t="shared" si="253"/>
        <v>2298.0559475425944</v>
      </c>
      <c r="AP76" s="343">
        <f t="shared" si="335"/>
        <v>2130.6972466379916</v>
      </c>
      <c r="AQ76" s="343">
        <f t="shared" si="336"/>
        <v>2298.0559475425944</v>
      </c>
      <c r="AS76" s="350">
        <v>6.5548999999999999</v>
      </c>
      <c r="AT76" s="350">
        <v>2.6890208279953436</v>
      </c>
      <c r="AU76" s="350">
        <v>3.7818171789467357E-3</v>
      </c>
      <c r="AV76" s="350">
        <v>8579.9850000000006</v>
      </c>
      <c r="AW76" s="350">
        <v>3325.0925000000002</v>
      </c>
      <c r="AX76" s="351">
        <f t="shared" si="254"/>
        <v>1651.8348000000001</v>
      </c>
      <c r="AY76" s="351">
        <f t="shared" si="255"/>
        <v>1347.1994348256671</v>
      </c>
      <c r="AZ76" s="352">
        <f t="shared" si="256"/>
        <v>0.60887256581042448</v>
      </c>
      <c r="BA76" s="352">
        <f t="shared" si="257"/>
        <v>0.27351230840095425</v>
      </c>
      <c r="BB76" s="353">
        <f t="shared" si="258"/>
        <v>1652.1083123084011</v>
      </c>
      <c r="BC76" s="353">
        <f t="shared" si="259"/>
        <v>1346.8640745682578</v>
      </c>
      <c r="BD76" s="343">
        <f t="shared" si="337"/>
        <v>1651.8348000000001</v>
      </c>
      <c r="BE76" s="343">
        <f t="shared" si="338"/>
        <v>1346.5905622598568</v>
      </c>
      <c r="BG76" s="350">
        <v>6.6739152875389207</v>
      </c>
      <c r="BH76" s="350">
        <v>3.0551189900109157</v>
      </c>
      <c r="BI76" s="350">
        <v>2.0671329314205479E-4</v>
      </c>
      <c r="BJ76" s="350">
        <v>8587.0683000000008</v>
      </c>
      <c r="BK76" s="350">
        <v>3337.2592</v>
      </c>
      <c r="BL76" s="351">
        <f t="shared" si="260"/>
        <v>1581.7179231467242</v>
      </c>
      <c r="BM76" s="351">
        <f t="shared" si="261"/>
        <v>1472.5673531852613</v>
      </c>
      <c r="BN76" s="352">
        <f t="shared" si="262"/>
        <v>3.7208392765569864E-2</v>
      </c>
      <c r="BO76" s="352">
        <f t="shared" si="263"/>
        <v>1.793934079297092E-2</v>
      </c>
      <c r="BP76" s="353">
        <f t="shared" si="264"/>
        <v>1581.7358624875171</v>
      </c>
      <c r="BQ76" s="353">
        <f t="shared" si="265"/>
        <v>1472.5480841332887</v>
      </c>
      <c r="BR76" s="343">
        <f t="shared" si="339"/>
        <v>1581.7179231467242</v>
      </c>
      <c r="BS76" s="343">
        <f t="shared" si="340"/>
        <v>1472.5301447924958</v>
      </c>
      <c r="BU76" s="350">
        <v>5.9256089779188086</v>
      </c>
      <c r="BV76" s="350">
        <v>2.8233265385395798</v>
      </c>
      <c r="BW76" s="350">
        <v>0</v>
      </c>
      <c r="BX76" s="350">
        <v>6223.4607999999998</v>
      </c>
      <c r="BY76" s="350">
        <v>2389.6457999999998</v>
      </c>
      <c r="BZ76" s="351">
        <f t="shared" si="266"/>
        <v>1078.4608339812232</v>
      </c>
      <c r="CA76" s="351">
        <f t="shared" si="267"/>
        <v>866.76124733165102</v>
      </c>
      <c r="CB76" s="352">
        <f t="shared" si="268"/>
        <v>0</v>
      </c>
      <c r="CC76" s="352">
        <f t="shared" si="269"/>
        <v>0</v>
      </c>
      <c r="CD76" s="353">
        <f t="shared" si="270"/>
        <v>1078.4608339812232</v>
      </c>
      <c r="CE76" s="353">
        <f t="shared" si="271"/>
        <v>866.76124733165102</v>
      </c>
      <c r="CF76" s="343">
        <f t="shared" si="341"/>
        <v>1078.4608339812232</v>
      </c>
      <c r="CG76" s="343">
        <f t="shared" si="342"/>
        <v>866.76124733165102</v>
      </c>
      <c r="CI76" s="350">
        <v>1.1517505531018934</v>
      </c>
      <c r="CJ76" s="350">
        <v>1.0632158248958035</v>
      </c>
      <c r="CK76" s="350">
        <v>0</v>
      </c>
      <c r="CL76" s="350">
        <v>14178.4375</v>
      </c>
      <c r="CM76" s="350">
        <v>5268.5275000000001</v>
      </c>
      <c r="CN76" s="351">
        <f t="shared" si="272"/>
        <v>208.46685011144271</v>
      </c>
      <c r="CO76" s="351">
        <f t="shared" si="273"/>
        <v>241.34999225134737</v>
      </c>
      <c r="CP76" s="352">
        <f t="shared" si="274"/>
        <v>0</v>
      </c>
      <c r="CQ76" s="352">
        <f t="shared" si="275"/>
        <v>0</v>
      </c>
      <c r="CR76" s="353">
        <f t="shared" si="276"/>
        <v>208.46685011144271</v>
      </c>
      <c r="CS76" s="353">
        <f t="shared" si="277"/>
        <v>241.34999225134737</v>
      </c>
      <c r="CT76" s="343">
        <f t="shared" si="343"/>
        <v>208.46685011144271</v>
      </c>
      <c r="CU76" s="343">
        <f t="shared" si="344"/>
        <v>241.34999225134737</v>
      </c>
      <c r="CW76" s="350">
        <v>2.5018700646063885</v>
      </c>
      <c r="CX76" s="350">
        <v>1.9744725676373727</v>
      </c>
      <c r="CY76" s="350">
        <v>0</v>
      </c>
      <c r="CZ76" s="350">
        <v>7015.1032999999998</v>
      </c>
      <c r="DA76" s="350">
        <v>2811.665</v>
      </c>
      <c r="DB76" s="351">
        <f t="shared" si="278"/>
        <v>477.85718233982021</v>
      </c>
      <c r="DC76" s="351">
        <f t="shared" si="279"/>
        <v>517.31181272099161</v>
      </c>
      <c r="DD76" s="352">
        <f t="shared" si="280"/>
        <v>0</v>
      </c>
      <c r="DE76" s="352">
        <f t="shared" si="281"/>
        <v>0</v>
      </c>
      <c r="DF76" s="353">
        <f t="shared" si="282"/>
        <v>477.85718233982021</v>
      </c>
      <c r="DG76" s="353">
        <f t="shared" si="283"/>
        <v>517.31181272099161</v>
      </c>
      <c r="DH76" s="343">
        <f t="shared" si="345"/>
        <v>477.85718233982021</v>
      </c>
      <c r="DI76" s="343">
        <f t="shared" si="346"/>
        <v>517.31181272099161</v>
      </c>
      <c r="DK76" s="350">
        <v>3.3014999999999999</v>
      </c>
      <c r="DL76" s="350">
        <v>2.6518000000000002</v>
      </c>
      <c r="DM76" s="350">
        <v>0</v>
      </c>
      <c r="DN76" s="350">
        <v>944.5</v>
      </c>
      <c r="DO76" s="350">
        <v>498</v>
      </c>
      <c r="DP76" s="351">
        <f t="shared" si="284"/>
        <v>316.94399999999996</v>
      </c>
      <c r="DQ76" s="351">
        <f t="shared" si="285"/>
        <v>461.41320000000002</v>
      </c>
      <c r="DR76" s="352">
        <f t="shared" si="286"/>
        <v>0</v>
      </c>
      <c r="DS76" s="352">
        <f t="shared" si="287"/>
        <v>0</v>
      </c>
      <c r="DT76" s="353">
        <f t="shared" si="288"/>
        <v>316.94399999999996</v>
      </c>
      <c r="DU76" s="353">
        <f t="shared" si="289"/>
        <v>461.41320000000002</v>
      </c>
      <c r="DV76" s="343">
        <f t="shared" si="347"/>
        <v>316.94399999999996</v>
      </c>
      <c r="DW76" s="343">
        <f t="shared" si="348"/>
        <v>461.41320000000002</v>
      </c>
      <c r="EB76" s="326"/>
      <c r="EC76" s="326"/>
      <c r="ED76" s="326"/>
      <c r="EE76" s="348">
        <f t="shared" si="290"/>
        <v>41548.555800000002</v>
      </c>
      <c r="EF76" s="348">
        <f t="shared" si="291"/>
        <v>16327.949166666665</v>
      </c>
      <c r="EG76" s="348">
        <f t="shared" si="292"/>
        <v>5762.6144876355238</v>
      </c>
      <c r="EH76" s="348">
        <f t="shared" si="293"/>
        <v>6353.9886079766939</v>
      </c>
      <c r="EI76" s="354">
        <f t="shared" si="294"/>
        <v>0.71788294445093792</v>
      </c>
      <c r="EJ76" s="326"/>
      <c r="EK76" s="348">
        <f t="shared" si="295"/>
        <v>5762.887999943925</v>
      </c>
      <c r="EL76" s="348">
        <f t="shared" si="296"/>
        <v>6353.6532477192841</v>
      </c>
      <c r="EM76" s="348">
        <f t="shared" si="297"/>
        <v>5762.6144876355238</v>
      </c>
      <c r="EN76" s="348">
        <f t="shared" si="298"/>
        <v>6353.3797354108829</v>
      </c>
      <c r="EP76" s="326"/>
      <c r="EQ76" s="326"/>
      <c r="ER76" s="326"/>
      <c r="ES76" s="348">
        <f t="shared" si="299"/>
        <v>32720.558266666667</v>
      </c>
      <c r="ET76" s="348">
        <f t="shared" si="300"/>
        <v>12112.1767</v>
      </c>
      <c r="EU76" s="348">
        <f t="shared" si="301"/>
        <v>5240.9482094600344</v>
      </c>
      <c r="EV76" s="348">
        <f t="shared" si="302"/>
        <v>5688.2037395132902</v>
      </c>
      <c r="EW76" s="354">
        <f t="shared" si="303"/>
        <v>0.72983631917603375</v>
      </c>
      <c r="EX76" s="326"/>
      <c r="EY76" s="348">
        <f t="shared" si="304"/>
        <v>5240.9661488008269</v>
      </c>
      <c r="EZ76" s="348">
        <f t="shared" si="305"/>
        <v>5688.1844704613177</v>
      </c>
      <c r="FA76" s="348">
        <f t="shared" si="306"/>
        <v>5240.9482094600344</v>
      </c>
      <c r="FB76" s="348">
        <f t="shared" si="307"/>
        <v>5688.1665311205252</v>
      </c>
      <c r="FD76" s="326"/>
      <c r="FE76" s="326"/>
      <c r="FF76" s="326"/>
      <c r="FG76" s="348">
        <f t="shared" si="308"/>
        <v>21665.403299999998</v>
      </c>
      <c r="FH76" s="348">
        <f t="shared" si="309"/>
        <v>8228.5899666666664</v>
      </c>
      <c r="FI76" s="348">
        <f t="shared" si="310"/>
        <v>3607.791330730658</v>
      </c>
      <c r="FJ76" s="348">
        <f t="shared" si="311"/>
        <v>3683.0151071255932</v>
      </c>
      <c r="FK76" s="354">
        <f t="shared" si="312"/>
        <v>0.72474102428323062</v>
      </c>
      <c r="FL76" s="326"/>
      <c r="FM76" s="348">
        <f t="shared" si="313"/>
        <v>3607.791330730658</v>
      </c>
      <c r="FN76" s="348">
        <f t="shared" si="314"/>
        <v>3683.0151071255932</v>
      </c>
      <c r="FO76" s="348">
        <f t="shared" si="315"/>
        <v>3607.791330730658</v>
      </c>
      <c r="FP76" s="348">
        <f t="shared" si="316"/>
        <v>3683.0151071255932</v>
      </c>
      <c r="FR76" s="326"/>
      <c r="FS76" s="326"/>
      <c r="FT76" s="326"/>
      <c r="FU76" s="348">
        <f t="shared" si="317"/>
        <v>14803.445800000001</v>
      </c>
      <c r="FV76" s="348">
        <f t="shared" si="318"/>
        <v>5714.7383</v>
      </c>
      <c r="FW76" s="349">
        <f t="shared" si="319"/>
        <v>516.03656941689917</v>
      </c>
      <c r="FX76" s="349">
        <f t="shared" si="320"/>
        <v>432.3943687446145</v>
      </c>
      <c r="FY76" s="354">
        <f t="shared" si="321"/>
        <v>0.72147933403131903</v>
      </c>
      <c r="FZ76" s="326"/>
      <c r="GA76" s="349">
        <f t="shared" si="322"/>
        <v>516.28273049446011</v>
      </c>
      <c r="GB76" s="349">
        <f t="shared" si="323"/>
        <v>432.09254451294612</v>
      </c>
      <c r="GC76" s="349">
        <f t="shared" si="232"/>
        <v>516.03656941689917</v>
      </c>
      <c r="GD76" s="349">
        <f t="shared" si="233"/>
        <v>431.84638343538523</v>
      </c>
      <c r="GF76" s="326"/>
      <c r="GG76" s="326"/>
      <c r="GH76" s="326"/>
      <c r="GI76" s="348">
        <f t="shared" si="324"/>
        <v>21193.540799999999</v>
      </c>
      <c r="GJ76" s="348">
        <f t="shared" si="325"/>
        <v>8080.1925000000001</v>
      </c>
      <c r="GK76" s="348">
        <f t="shared" si="326"/>
        <v>590.75259598329887</v>
      </c>
      <c r="GL76" s="348">
        <f t="shared" si="327"/>
        <v>655.19944242814063</v>
      </c>
      <c r="GM76" s="354">
        <f t="shared" si="328"/>
        <v>0.72397806534638343</v>
      </c>
      <c r="GN76" s="326"/>
      <c r="GO76" s="348">
        <f t="shared" si="329"/>
        <v>590.75259598329887</v>
      </c>
      <c r="GP76" s="348">
        <f t="shared" si="330"/>
        <v>655.19944242814063</v>
      </c>
      <c r="GQ76" s="348">
        <f t="shared" si="234"/>
        <v>590.75259598329887</v>
      </c>
      <c r="GR76" s="348">
        <f t="shared" si="235"/>
        <v>655.19944242814063</v>
      </c>
    </row>
    <row r="77" spans="1:200" x14ac:dyDescent="0.2">
      <c r="A77" s="320">
        <v>67</v>
      </c>
      <c r="C77" s="350">
        <v>3.5790128238435317</v>
      </c>
      <c r="D77" s="350">
        <v>1.87830599102327</v>
      </c>
      <c r="E77" s="350">
        <v>0</v>
      </c>
      <c r="F77" s="350">
        <v>10434.248333333335</v>
      </c>
      <c r="G77" s="350">
        <v>4428.0575000000008</v>
      </c>
      <c r="H77" s="351">
        <f t="shared" si="236"/>
        <v>3672.0671572634637</v>
      </c>
      <c r="I77" s="351">
        <f t="shared" si="237"/>
        <v>4462.8550346712891</v>
      </c>
      <c r="J77" s="352">
        <f t="shared" si="238"/>
        <v>0</v>
      </c>
      <c r="K77" s="352">
        <f t="shared" si="239"/>
        <v>0</v>
      </c>
      <c r="L77" s="353">
        <f t="shared" si="240"/>
        <v>3672.0671572634637</v>
      </c>
      <c r="M77" s="353">
        <f t="shared" si="241"/>
        <v>4462.8550346712891</v>
      </c>
      <c r="N77" s="343">
        <f t="shared" si="331"/>
        <v>3672.0671572634637</v>
      </c>
      <c r="O77" s="343">
        <f t="shared" si="332"/>
        <v>4462.8550346712891</v>
      </c>
      <c r="Q77" s="350">
        <v>4.6625617380747242</v>
      </c>
      <c r="R77" s="350">
        <v>2.2214654547591288</v>
      </c>
      <c r="S77" s="350">
        <v>0</v>
      </c>
      <c r="T77" s="350">
        <v>2417.5908333333327</v>
      </c>
      <c r="U77" s="350">
        <v>641.50833333333344</v>
      </c>
      <c r="V77" s="351">
        <f t="shared" si="242"/>
        <v>3282.4434636046058</v>
      </c>
      <c r="W77" s="351">
        <f t="shared" si="243"/>
        <v>3727.619033085818</v>
      </c>
      <c r="X77" s="352">
        <f t="shared" si="244"/>
        <v>0</v>
      </c>
      <c r="Y77" s="352">
        <f t="shared" si="245"/>
        <v>0</v>
      </c>
      <c r="Z77" s="353">
        <f t="shared" si="246"/>
        <v>3282.4434636046058</v>
      </c>
      <c r="AA77" s="353">
        <f t="shared" si="247"/>
        <v>3727.619033085818</v>
      </c>
      <c r="AB77" s="343">
        <f t="shared" si="333"/>
        <v>3282.4434636046058</v>
      </c>
      <c r="AC77" s="343">
        <f t="shared" si="334"/>
        <v>3727.619033085818</v>
      </c>
      <c r="AE77" s="350">
        <v>6.3714335999149112</v>
      </c>
      <c r="AF77" s="350">
        <v>3.1075752087155393</v>
      </c>
      <c r="AG77" s="350">
        <v>0</v>
      </c>
      <c r="AH77" s="350">
        <v>241.62</v>
      </c>
      <c r="AI77" s="350">
        <v>64.330833333333331</v>
      </c>
      <c r="AJ77" s="351">
        <f t="shared" si="248"/>
        <v>2268.2303615697083</v>
      </c>
      <c r="AK77" s="351">
        <f t="shared" si="249"/>
        <v>2380.4026098761033</v>
      </c>
      <c r="AL77" s="352">
        <f t="shared" si="250"/>
        <v>0</v>
      </c>
      <c r="AM77" s="352">
        <f t="shared" si="251"/>
        <v>0</v>
      </c>
      <c r="AN77" s="353">
        <f t="shared" si="252"/>
        <v>2268.2303615697083</v>
      </c>
      <c r="AO77" s="353">
        <f t="shared" si="253"/>
        <v>2380.4026098761033</v>
      </c>
      <c r="AP77" s="343">
        <f t="shared" si="335"/>
        <v>2268.2303615697083</v>
      </c>
      <c r="AQ77" s="343">
        <f t="shared" si="336"/>
        <v>2380.4026098761033</v>
      </c>
      <c r="AS77" s="350">
        <v>7.0122999999999998</v>
      </c>
      <c r="AT77" s="350">
        <v>2.8530958077648925</v>
      </c>
      <c r="AU77" s="350">
        <v>1.3486889687634421E-3</v>
      </c>
      <c r="AV77" s="350">
        <v>6770.3982999999998</v>
      </c>
      <c r="AW77" s="350">
        <v>2725.5608000000002</v>
      </c>
      <c r="AX77" s="351">
        <f t="shared" si="254"/>
        <v>1767.0996</v>
      </c>
      <c r="AY77" s="351">
        <f t="shared" si="255"/>
        <v>1429.4009996902112</v>
      </c>
      <c r="AZ77" s="352">
        <f t="shared" si="256"/>
        <v>0.21713892397091417</v>
      </c>
      <c r="BA77" s="352">
        <f t="shared" si="257"/>
        <v>9.7099495312393119E-2</v>
      </c>
      <c r="BB77" s="353">
        <f t="shared" si="258"/>
        <v>1767.1966994953125</v>
      </c>
      <c r="BC77" s="353">
        <f t="shared" si="259"/>
        <v>1429.2809602615528</v>
      </c>
      <c r="BD77" s="343">
        <f t="shared" si="337"/>
        <v>1767.0996</v>
      </c>
      <c r="BE77" s="343">
        <f t="shared" si="338"/>
        <v>1429.1838607662403</v>
      </c>
      <c r="BG77" s="350">
        <v>7.1155919705170128</v>
      </c>
      <c r="BH77" s="350">
        <v>3.2711071642715552</v>
      </c>
      <c r="BI77" s="350">
        <v>2.0671329314205479E-4</v>
      </c>
      <c r="BJ77" s="350">
        <v>6781.9817000000003</v>
      </c>
      <c r="BK77" s="350">
        <v>2744.3108000000002</v>
      </c>
      <c r="BL77" s="351">
        <f t="shared" si="260"/>
        <v>1686.395297012532</v>
      </c>
      <c r="BM77" s="351">
        <f t="shared" si="261"/>
        <v>1576.6736531788897</v>
      </c>
      <c r="BN77" s="352">
        <f t="shared" si="262"/>
        <v>3.7208392765569864E-2</v>
      </c>
      <c r="BO77" s="352">
        <f t="shared" si="263"/>
        <v>1.7978624860858217E-2</v>
      </c>
      <c r="BP77" s="353">
        <f t="shared" si="264"/>
        <v>1686.4132756373929</v>
      </c>
      <c r="BQ77" s="353">
        <f t="shared" si="265"/>
        <v>1576.6544234109851</v>
      </c>
      <c r="BR77" s="343">
        <f t="shared" si="339"/>
        <v>1686.395297012532</v>
      </c>
      <c r="BS77" s="343">
        <f t="shared" si="340"/>
        <v>1576.6364447861242</v>
      </c>
      <c r="BU77" s="350">
        <v>6.2953586092061897</v>
      </c>
      <c r="BV77" s="350">
        <v>2.984282281376113</v>
      </c>
      <c r="BW77" s="350">
        <v>0</v>
      </c>
      <c r="BX77" s="350">
        <v>5272.2392</v>
      </c>
      <c r="BY77" s="350">
        <v>2010.3883000000001</v>
      </c>
      <c r="BZ77" s="351">
        <f t="shared" si="266"/>
        <v>1145.7552668755266</v>
      </c>
      <c r="CA77" s="351">
        <f t="shared" si="267"/>
        <v>916.17466038246664</v>
      </c>
      <c r="CB77" s="352">
        <f t="shared" si="268"/>
        <v>0</v>
      </c>
      <c r="CC77" s="352">
        <f t="shared" si="269"/>
        <v>0</v>
      </c>
      <c r="CD77" s="353">
        <f t="shared" si="270"/>
        <v>1145.7552668755266</v>
      </c>
      <c r="CE77" s="353">
        <f t="shared" si="271"/>
        <v>916.17466038246664</v>
      </c>
      <c r="CF77" s="343">
        <f t="shared" si="341"/>
        <v>1145.7552668755266</v>
      </c>
      <c r="CG77" s="343">
        <f t="shared" si="342"/>
        <v>916.17466038246664</v>
      </c>
      <c r="CI77" s="350">
        <v>1.1595638529685939</v>
      </c>
      <c r="CJ77" s="350">
        <v>1.0619589593231875</v>
      </c>
      <c r="CK77" s="350">
        <v>0</v>
      </c>
      <c r="CL77" s="350">
        <v>18039.035800000001</v>
      </c>
      <c r="CM77" s="350">
        <v>6728.7808000000005</v>
      </c>
      <c r="CN77" s="351">
        <f t="shared" si="272"/>
        <v>209.88105738731548</v>
      </c>
      <c r="CO77" s="351">
        <f t="shared" si="273"/>
        <v>241.06468376636357</v>
      </c>
      <c r="CP77" s="352">
        <f t="shared" si="274"/>
        <v>0</v>
      </c>
      <c r="CQ77" s="352">
        <f t="shared" si="275"/>
        <v>0</v>
      </c>
      <c r="CR77" s="353">
        <f t="shared" si="276"/>
        <v>209.88105738731548</v>
      </c>
      <c r="CS77" s="353">
        <f t="shared" si="277"/>
        <v>241.06468376636357</v>
      </c>
      <c r="CT77" s="343">
        <f t="shared" si="343"/>
        <v>209.88105738731548</v>
      </c>
      <c r="CU77" s="343">
        <f t="shared" si="344"/>
        <v>241.06468376636357</v>
      </c>
      <c r="CW77" s="350">
        <v>2.5303121318576078</v>
      </c>
      <c r="CX77" s="350">
        <v>1.9774276757025178</v>
      </c>
      <c r="CY77" s="350">
        <v>0</v>
      </c>
      <c r="CZ77" s="350">
        <v>9105.7108000000007</v>
      </c>
      <c r="DA77" s="350">
        <v>3755.9883</v>
      </c>
      <c r="DB77" s="351">
        <f t="shared" si="278"/>
        <v>483.28961718480309</v>
      </c>
      <c r="DC77" s="351">
        <f t="shared" si="279"/>
        <v>518.08605103405966</v>
      </c>
      <c r="DD77" s="352">
        <f t="shared" si="280"/>
        <v>0</v>
      </c>
      <c r="DE77" s="352">
        <f t="shared" si="281"/>
        <v>0</v>
      </c>
      <c r="DF77" s="353">
        <f t="shared" si="282"/>
        <v>483.28961718480309</v>
      </c>
      <c r="DG77" s="353">
        <f t="shared" si="283"/>
        <v>518.08605103405966</v>
      </c>
      <c r="DH77" s="343">
        <f t="shared" si="345"/>
        <v>483.28961718480309</v>
      </c>
      <c r="DI77" s="343">
        <f t="shared" si="346"/>
        <v>518.08605103405966</v>
      </c>
      <c r="DK77" s="350">
        <v>3.4114</v>
      </c>
      <c r="DL77" s="350">
        <v>2.7088000000000001</v>
      </c>
      <c r="DM77" s="350">
        <v>0</v>
      </c>
      <c r="DN77" s="350">
        <v>1270.3499999999999</v>
      </c>
      <c r="DO77" s="350">
        <v>692.39919999999995</v>
      </c>
      <c r="DP77" s="351">
        <f t="shared" si="284"/>
        <v>327.49439999999998</v>
      </c>
      <c r="DQ77" s="351">
        <f t="shared" si="285"/>
        <v>471.33120000000002</v>
      </c>
      <c r="DR77" s="352">
        <f t="shared" si="286"/>
        <v>0</v>
      </c>
      <c r="DS77" s="352">
        <f t="shared" si="287"/>
        <v>0</v>
      </c>
      <c r="DT77" s="353">
        <f t="shared" si="288"/>
        <v>327.49439999999998</v>
      </c>
      <c r="DU77" s="353">
        <f t="shared" si="289"/>
        <v>471.33120000000002</v>
      </c>
      <c r="DV77" s="343">
        <f t="shared" si="347"/>
        <v>327.49439999999998</v>
      </c>
      <c r="DW77" s="343">
        <f t="shared" si="348"/>
        <v>471.33120000000002</v>
      </c>
      <c r="EB77" s="326"/>
      <c r="EC77" s="326"/>
      <c r="ED77" s="326"/>
      <c r="EE77" s="348">
        <f t="shared" si="290"/>
        <v>44349.393233333336</v>
      </c>
      <c r="EF77" s="348">
        <f t="shared" si="291"/>
        <v>17638.387400000003</v>
      </c>
      <c r="EG77" s="348">
        <f t="shared" si="292"/>
        <v>6035.6795083986208</v>
      </c>
      <c r="EH77" s="348">
        <f t="shared" si="293"/>
        <v>6547.7895589551117</v>
      </c>
      <c r="EI77" s="354">
        <f t="shared" si="294"/>
        <v>0.71545380041376849</v>
      </c>
      <c r="EJ77" s="326"/>
      <c r="EK77" s="348">
        <f t="shared" si="295"/>
        <v>6035.7766078939339</v>
      </c>
      <c r="EL77" s="348">
        <f t="shared" si="296"/>
        <v>6547.6695195264529</v>
      </c>
      <c r="EM77" s="348">
        <f t="shared" si="297"/>
        <v>6035.6795083986208</v>
      </c>
      <c r="EN77" s="348">
        <f t="shared" si="298"/>
        <v>6547.5724200311406</v>
      </c>
      <c r="EP77" s="326"/>
      <c r="EQ77" s="326"/>
      <c r="ER77" s="326"/>
      <c r="ES77" s="348">
        <f t="shared" si="299"/>
        <v>36344.319133333338</v>
      </c>
      <c r="ET77" s="348">
        <f t="shared" si="300"/>
        <v>13870.588233333336</v>
      </c>
      <c r="EU77" s="348">
        <f t="shared" si="301"/>
        <v>5517.0225500338156</v>
      </c>
      <c r="EV77" s="348">
        <f t="shared" si="302"/>
        <v>5908.0176057549124</v>
      </c>
      <c r="EW77" s="354">
        <f t="shared" si="303"/>
        <v>0.72377548897878052</v>
      </c>
      <c r="EX77" s="326"/>
      <c r="EY77" s="348">
        <f t="shared" si="304"/>
        <v>5517.0405286586765</v>
      </c>
      <c r="EZ77" s="348">
        <f t="shared" si="305"/>
        <v>5907.9983759870083</v>
      </c>
      <c r="FA77" s="348">
        <f t="shared" si="306"/>
        <v>5517.0225500338156</v>
      </c>
      <c r="FB77" s="348">
        <f t="shared" si="307"/>
        <v>5907.9803973621474</v>
      </c>
      <c r="FD77" s="326"/>
      <c r="FE77" s="326"/>
      <c r="FF77" s="326"/>
      <c r="FG77" s="348">
        <f t="shared" si="308"/>
        <v>24823.244999999999</v>
      </c>
      <c r="FH77" s="348">
        <f t="shared" si="309"/>
        <v>9495.8991333333342</v>
      </c>
      <c r="FI77" s="348">
        <f t="shared" si="310"/>
        <v>3820.3633258325503</v>
      </c>
      <c r="FJ77" s="348">
        <f t="shared" si="311"/>
        <v>3820.4406740249333</v>
      </c>
      <c r="FK77" s="354">
        <f t="shared" si="312"/>
        <v>0.72330606216632876</v>
      </c>
      <c r="FL77" s="326"/>
      <c r="FM77" s="348">
        <f t="shared" si="313"/>
        <v>3820.3633258325503</v>
      </c>
      <c r="FN77" s="348">
        <f t="shared" si="314"/>
        <v>3820.4406740249333</v>
      </c>
      <c r="FO77" s="348">
        <f t="shared" si="315"/>
        <v>3820.3633258325503</v>
      </c>
      <c r="FP77" s="348">
        <f t="shared" si="316"/>
        <v>3820.4406740249333</v>
      </c>
      <c r="FR77" s="326"/>
      <c r="FS77" s="326"/>
      <c r="FT77" s="326"/>
      <c r="FU77" s="348">
        <f t="shared" si="317"/>
        <v>12042.637500000001</v>
      </c>
      <c r="FV77" s="348">
        <f t="shared" si="318"/>
        <v>4735.9490999999998</v>
      </c>
      <c r="FW77" s="349">
        <f t="shared" si="319"/>
        <v>559.20989981202615</v>
      </c>
      <c r="FX77" s="349">
        <f t="shared" si="320"/>
        <v>461.90370537697009</v>
      </c>
      <c r="FY77" s="354">
        <f t="shared" si="321"/>
        <v>0.71773849532713319</v>
      </c>
      <c r="FZ77" s="326"/>
      <c r="GA77" s="349">
        <f t="shared" si="322"/>
        <v>559.29728935780736</v>
      </c>
      <c r="GB77" s="349">
        <f t="shared" si="323"/>
        <v>461.79566989117751</v>
      </c>
      <c r="GC77" s="349">
        <f t="shared" si="232"/>
        <v>559.20989981202615</v>
      </c>
      <c r="GD77" s="349">
        <f t="shared" si="233"/>
        <v>461.7082803453963</v>
      </c>
      <c r="GF77" s="326"/>
      <c r="GG77" s="326"/>
      <c r="GH77" s="326"/>
      <c r="GI77" s="348">
        <f t="shared" si="324"/>
        <v>27144.746600000002</v>
      </c>
      <c r="GJ77" s="348">
        <f t="shared" si="325"/>
        <v>10484.769100000001</v>
      </c>
      <c r="GK77" s="348">
        <f t="shared" si="326"/>
        <v>596.51275113515794</v>
      </c>
      <c r="GL77" s="348">
        <f t="shared" si="327"/>
        <v>655.53352459361133</v>
      </c>
      <c r="GM77" s="354">
        <f t="shared" si="328"/>
        <v>0.72136848149762389</v>
      </c>
      <c r="GN77" s="326"/>
      <c r="GO77" s="348">
        <f t="shared" si="329"/>
        <v>596.51275113515794</v>
      </c>
      <c r="GP77" s="348">
        <f t="shared" si="330"/>
        <v>655.53352459361133</v>
      </c>
      <c r="GQ77" s="348">
        <f t="shared" si="234"/>
        <v>596.51275113515794</v>
      </c>
      <c r="GR77" s="348">
        <f t="shared" si="235"/>
        <v>655.53352459361133</v>
      </c>
    </row>
    <row r="78" spans="1:200" x14ac:dyDescent="0.2">
      <c r="A78" s="320">
        <v>68</v>
      </c>
      <c r="C78" s="350">
        <v>3.7277557711296074</v>
      </c>
      <c r="D78" s="350">
        <v>1.9242995017538151</v>
      </c>
      <c r="E78" s="350">
        <v>0</v>
      </c>
      <c r="F78" s="350">
        <v>12985.460833333336</v>
      </c>
      <c r="G78" s="350">
        <v>5573.0824999999995</v>
      </c>
      <c r="H78" s="351">
        <f t="shared" si="236"/>
        <v>3824.6774211789771</v>
      </c>
      <c r="I78" s="351">
        <f t="shared" si="237"/>
        <v>4572.1356161670647</v>
      </c>
      <c r="J78" s="352">
        <f t="shared" si="238"/>
        <v>0</v>
      </c>
      <c r="K78" s="352">
        <f t="shared" si="239"/>
        <v>0</v>
      </c>
      <c r="L78" s="353">
        <f t="shared" si="240"/>
        <v>3824.6774211789771</v>
      </c>
      <c r="M78" s="353">
        <f t="shared" si="241"/>
        <v>4572.1356161670647</v>
      </c>
      <c r="N78" s="343">
        <f t="shared" si="331"/>
        <v>3824.6774211789771</v>
      </c>
      <c r="O78" s="343">
        <f t="shared" si="332"/>
        <v>4572.1356161670647</v>
      </c>
      <c r="Q78" s="350">
        <v>4.900448627362044</v>
      </c>
      <c r="R78" s="350">
        <v>2.2891286197850387</v>
      </c>
      <c r="S78" s="350">
        <v>0</v>
      </c>
      <c r="T78" s="350">
        <v>2976.8841666666672</v>
      </c>
      <c r="U78" s="350">
        <v>775.6583333333333</v>
      </c>
      <c r="V78" s="351">
        <f t="shared" si="242"/>
        <v>3449.9158336628789</v>
      </c>
      <c r="W78" s="351">
        <f t="shared" si="243"/>
        <v>3841.157823999295</v>
      </c>
      <c r="X78" s="352">
        <f t="shared" si="244"/>
        <v>0</v>
      </c>
      <c r="Y78" s="352">
        <f t="shared" si="245"/>
        <v>0</v>
      </c>
      <c r="Z78" s="353">
        <f t="shared" si="246"/>
        <v>3449.9158336628789</v>
      </c>
      <c r="AA78" s="353">
        <f t="shared" si="247"/>
        <v>3841.157823999295</v>
      </c>
      <c r="AB78" s="343">
        <f t="shared" si="333"/>
        <v>3449.9158336628789</v>
      </c>
      <c r="AC78" s="343">
        <f t="shared" si="334"/>
        <v>3841.157823999295</v>
      </c>
      <c r="AE78" s="350">
        <v>6.766820212585273</v>
      </c>
      <c r="AF78" s="350">
        <v>3.2174144360875809</v>
      </c>
      <c r="AG78" s="350">
        <v>0</v>
      </c>
      <c r="AH78" s="350">
        <v>292.97833333333335</v>
      </c>
      <c r="AI78" s="350">
        <v>95.14</v>
      </c>
      <c r="AJ78" s="351">
        <f t="shared" si="248"/>
        <v>2408.987995680357</v>
      </c>
      <c r="AK78" s="351">
        <f t="shared" si="249"/>
        <v>2464.5394580430871</v>
      </c>
      <c r="AL78" s="352">
        <f t="shared" si="250"/>
        <v>0</v>
      </c>
      <c r="AM78" s="352">
        <f t="shared" si="251"/>
        <v>0</v>
      </c>
      <c r="AN78" s="353">
        <f t="shared" si="252"/>
        <v>2408.987995680357</v>
      </c>
      <c r="AO78" s="353">
        <f t="shared" si="253"/>
        <v>2464.5394580430871</v>
      </c>
      <c r="AP78" s="343">
        <f t="shared" si="335"/>
        <v>2408.987995680357</v>
      </c>
      <c r="AQ78" s="343">
        <f t="shared" si="336"/>
        <v>2464.5394580430871</v>
      </c>
      <c r="AS78" s="350">
        <v>7.4757999999999996</v>
      </c>
      <c r="AT78" s="350">
        <v>3.0274329410497192</v>
      </c>
      <c r="AU78" s="350">
        <v>4.7742797814679451E-4</v>
      </c>
      <c r="AV78" s="350">
        <v>8954.18</v>
      </c>
      <c r="AW78" s="350">
        <v>3592.0491999999999</v>
      </c>
      <c r="AX78" s="351">
        <f t="shared" si="254"/>
        <v>1883.9015999999999</v>
      </c>
      <c r="AY78" s="351">
        <f t="shared" si="255"/>
        <v>1516.7439034659094</v>
      </c>
      <c r="AZ78" s="352">
        <f t="shared" si="256"/>
        <v>7.6865904481633912E-2</v>
      </c>
      <c r="BA78" s="352">
        <f t="shared" si="257"/>
        <v>3.4283459386780478E-2</v>
      </c>
      <c r="BB78" s="353">
        <f t="shared" si="258"/>
        <v>1883.9358834593868</v>
      </c>
      <c r="BC78" s="353">
        <f t="shared" si="259"/>
        <v>1516.7013210208147</v>
      </c>
      <c r="BD78" s="343">
        <f t="shared" si="337"/>
        <v>1883.9015999999999</v>
      </c>
      <c r="BE78" s="343">
        <f t="shared" si="338"/>
        <v>1516.6670375614278</v>
      </c>
      <c r="BG78" s="350">
        <v>7.6035457778333662</v>
      </c>
      <c r="BH78" s="350">
        <v>3.4618168475296671</v>
      </c>
      <c r="BI78" s="350">
        <v>0</v>
      </c>
      <c r="BJ78" s="350">
        <v>8930.5133000000005</v>
      </c>
      <c r="BK78" s="350">
        <v>3613.0491999999999</v>
      </c>
      <c r="BL78" s="351">
        <f t="shared" si="260"/>
        <v>1802.0403493465078</v>
      </c>
      <c r="BM78" s="351">
        <f t="shared" si="261"/>
        <v>1668.5957205092996</v>
      </c>
      <c r="BN78" s="352">
        <f t="shared" si="262"/>
        <v>0</v>
      </c>
      <c r="BO78" s="352">
        <f t="shared" si="263"/>
        <v>0</v>
      </c>
      <c r="BP78" s="353">
        <f t="shared" si="264"/>
        <v>1802.0403493465078</v>
      </c>
      <c r="BQ78" s="353">
        <f t="shared" si="265"/>
        <v>1668.5957205092996</v>
      </c>
      <c r="BR78" s="343">
        <f t="shared" si="339"/>
        <v>1802.0403493465078</v>
      </c>
      <c r="BS78" s="343">
        <f t="shared" si="340"/>
        <v>1668.5957205092996</v>
      </c>
      <c r="BU78" s="350">
        <v>6.7212468481200576</v>
      </c>
      <c r="BV78" s="350">
        <v>3.145465677123001</v>
      </c>
      <c r="BW78" s="350">
        <v>0</v>
      </c>
      <c r="BX78" s="350">
        <v>6610.0816999999997</v>
      </c>
      <c r="BY78" s="350">
        <v>2454.6242000000002</v>
      </c>
      <c r="BZ78" s="351">
        <f t="shared" si="266"/>
        <v>1223.2669263578505</v>
      </c>
      <c r="CA78" s="351">
        <f t="shared" si="267"/>
        <v>965.6579628767613</v>
      </c>
      <c r="CB78" s="352">
        <f t="shared" si="268"/>
        <v>0</v>
      </c>
      <c r="CC78" s="352">
        <f t="shared" si="269"/>
        <v>0</v>
      </c>
      <c r="CD78" s="353">
        <f t="shared" si="270"/>
        <v>1223.2669263578505</v>
      </c>
      <c r="CE78" s="353">
        <f t="shared" si="271"/>
        <v>965.6579628767613</v>
      </c>
      <c r="CF78" s="343">
        <f t="shared" si="341"/>
        <v>1223.2669263578505</v>
      </c>
      <c r="CG78" s="343">
        <f t="shared" si="342"/>
        <v>965.6579628767613</v>
      </c>
      <c r="CI78" s="350">
        <v>1.1640160620426148</v>
      </c>
      <c r="CJ78" s="350">
        <v>1.0556272390541337</v>
      </c>
      <c r="CK78" s="350">
        <v>0</v>
      </c>
      <c r="CL78" s="350">
        <v>16716.349999999999</v>
      </c>
      <c r="CM78" s="350">
        <v>6434.8008</v>
      </c>
      <c r="CN78" s="351">
        <f t="shared" si="272"/>
        <v>210.68690722971328</v>
      </c>
      <c r="CO78" s="351">
        <f t="shared" si="273"/>
        <v>239.62738326528836</v>
      </c>
      <c r="CP78" s="352">
        <f t="shared" si="274"/>
        <v>0</v>
      </c>
      <c r="CQ78" s="352">
        <f t="shared" si="275"/>
        <v>0</v>
      </c>
      <c r="CR78" s="353">
        <f t="shared" si="276"/>
        <v>210.68690722971328</v>
      </c>
      <c r="CS78" s="353">
        <f t="shared" si="277"/>
        <v>239.62738326528836</v>
      </c>
      <c r="CT78" s="343">
        <f t="shared" si="343"/>
        <v>210.68690722971328</v>
      </c>
      <c r="CU78" s="343">
        <f t="shared" si="344"/>
        <v>239.62738326528836</v>
      </c>
      <c r="CW78" s="350">
        <v>2.5507028050372811</v>
      </c>
      <c r="CX78" s="350">
        <v>1.974308178819256</v>
      </c>
      <c r="CY78" s="350">
        <v>0</v>
      </c>
      <c r="CZ78" s="350">
        <v>8530.83</v>
      </c>
      <c r="DA78" s="350">
        <v>3502.3274999999999</v>
      </c>
      <c r="DB78" s="351">
        <f t="shared" si="278"/>
        <v>487.18423576212069</v>
      </c>
      <c r="DC78" s="351">
        <f t="shared" si="279"/>
        <v>517.26874285064503</v>
      </c>
      <c r="DD78" s="352">
        <f t="shared" si="280"/>
        <v>0</v>
      </c>
      <c r="DE78" s="352">
        <f t="shared" si="281"/>
        <v>0</v>
      </c>
      <c r="DF78" s="353">
        <f t="shared" si="282"/>
        <v>487.18423576212069</v>
      </c>
      <c r="DG78" s="353">
        <f t="shared" si="283"/>
        <v>517.26874285064503</v>
      </c>
      <c r="DH78" s="343">
        <f t="shared" si="345"/>
        <v>487.18423576212069</v>
      </c>
      <c r="DI78" s="343">
        <f t="shared" si="346"/>
        <v>517.26874285064503</v>
      </c>
      <c r="DK78" s="350">
        <v>3.5156000000000001</v>
      </c>
      <c r="DL78" s="350">
        <v>2.7536999999999998</v>
      </c>
      <c r="DM78" s="350">
        <v>0</v>
      </c>
      <c r="DN78" s="350">
        <v>1285.9167</v>
      </c>
      <c r="DO78" s="350">
        <v>656.33330000000001</v>
      </c>
      <c r="DP78" s="351">
        <f t="shared" si="284"/>
        <v>337.49760000000003</v>
      </c>
      <c r="DQ78" s="351">
        <f t="shared" si="285"/>
        <v>479.14379999999994</v>
      </c>
      <c r="DR78" s="352">
        <f t="shared" si="286"/>
        <v>0</v>
      </c>
      <c r="DS78" s="352">
        <f t="shared" si="287"/>
        <v>0</v>
      </c>
      <c r="DT78" s="353">
        <f t="shared" si="288"/>
        <v>337.49760000000003</v>
      </c>
      <c r="DU78" s="353">
        <f t="shared" si="289"/>
        <v>479.14379999999994</v>
      </c>
      <c r="DV78" s="343">
        <f t="shared" si="347"/>
        <v>337.49760000000003</v>
      </c>
      <c r="DW78" s="343">
        <f t="shared" si="348"/>
        <v>479.14379999999994</v>
      </c>
      <c r="EB78" s="326"/>
      <c r="EC78" s="326"/>
      <c r="ED78" s="326"/>
      <c r="EE78" s="348">
        <f t="shared" si="290"/>
        <v>47186.820833333339</v>
      </c>
      <c r="EF78" s="348">
        <f t="shared" si="291"/>
        <v>19102.259999999998</v>
      </c>
      <c r="EG78" s="348">
        <f t="shared" si="292"/>
        <v>6309.0133170183872</v>
      </c>
      <c r="EH78" s="348">
        <f t="shared" si="293"/>
        <v>6742.3218971787783</v>
      </c>
      <c r="EI78" s="354">
        <f t="shared" si="294"/>
        <v>0.71183398894868266</v>
      </c>
      <c r="EJ78" s="326"/>
      <c r="EK78" s="348">
        <f t="shared" si="295"/>
        <v>6309.0476004777738</v>
      </c>
      <c r="EL78" s="348">
        <f t="shared" si="296"/>
        <v>6742.2793147336843</v>
      </c>
      <c r="EM78" s="348">
        <f t="shared" si="297"/>
        <v>6309.0133170183872</v>
      </c>
      <c r="EN78" s="348">
        <f t="shared" si="298"/>
        <v>6742.2450312742967</v>
      </c>
      <c r="EP78" s="326"/>
      <c r="EQ78" s="326"/>
      <c r="ER78" s="326"/>
      <c r="ES78" s="348">
        <f t="shared" si="299"/>
        <v>37154.577466666669</v>
      </c>
      <c r="ET78" s="348">
        <f t="shared" si="300"/>
        <v>14325.835833333333</v>
      </c>
      <c r="EU78" s="348">
        <f t="shared" si="301"/>
        <v>5803.6720552725837</v>
      </c>
      <c r="EV78" s="348">
        <f t="shared" si="302"/>
        <v>6111.4690477693348</v>
      </c>
      <c r="EW78" s="354">
        <f t="shared" si="303"/>
        <v>0.72172259476919676</v>
      </c>
      <c r="EX78" s="326"/>
      <c r="EY78" s="348">
        <f t="shared" si="304"/>
        <v>5803.6720552725837</v>
      </c>
      <c r="EZ78" s="348">
        <f t="shared" si="305"/>
        <v>6111.4690477693348</v>
      </c>
      <c r="FA78" s="348">
        <f t="shared" si="306"/>
        <v>5803.6720552725837</v>
      </c>
      <c r="FB78" s="348">
        <f t="shared" si="307"/>
        <v>6111.4690477693348</v>
      </c>
      <c r="FD78" s="326"/>
      <c r="FE78" s="326"/>
      <c r="FF78" s="326"/>
      <c r="FG78" s="348">
        <f t="shared" si="308"/>
        <v>24905.326733333335</v>
      </c>
      <c r="FH78" s="348">
        <f t="shared" si="309"/>
        <v>9640.8983000000007</v>
      </c>
      <c r="FI78" s="348">
        <f t="shared" si="310"/>
        <v>4045.4403892679206</v>
      </c>
      <c r="FJ78" s="348">
        <f t="shared" si="311"/>
        <v>3957.3110841851367</v>
      </c>
      <c r="FK78" s="354">
        <f t="shared" si="312"/>
        <v>0.7209275893184397</v>
      </c>
      <c r="FL78" s="326"/>
      <c r="FM78" s="348">
        <f t="shared" si="313"/>
        <v>4045.4403892679206</v>
      </c>
      <c r="FN78" s="348">
        <f t="shared" si="314"/>
        <v>3957.3110841851367</v>
      </c>
      <c r="FO78" s="348">
        <f t="shared" si="315"/>
        <v>4045.4403892679206</v>
      </c>
      <c r="FP78" s="348">
        <f t="shared" si="316"/>
        <v>3957.3110841851367</v>
      </c>
      <c r="FR78" s="326"/>
      <c r="FS78" s="326"/>
      <c r="FT78" s="326"/>
      <c r="FU78" s="348">
        <f t="shared" si="317"/>
        <v>15564.261699999999</v>
      </c>
      <c r="FV78" s="348">
        <f t="shared" si="318"/>
        <v>6046.6733999999997</v>
      </c>
      <c r="FW78" s="349">
        <f t="shared" si="319"/>
        <v>594.57120627793449</v>
      </c>
      <c r="FX78" s="349">
        <f t="shared" si="320"/>
        <v>495.97734653023332</v>
      </c>
      <c r="FY78" s="354">
        <f t="shared" si="321"/>
        <v>0.72020306516028543</v>
      </c>
      <c r="FZ78" s="326"/>
      <c r="GA78" s="349">
        <f t="shared" si="322"/>
        <v>594.60206139138268</v>
      </c>
      <c r="GB78" s="349">
        <f t="shared" si="323"/>
        <v>495.93902232964808</v>
      </c>
      <c r="GC78" s="349">
        <f t="shared" si="232"/>
        <v>594.57120627793449</v>
      </c>
      <c r="GD78" s="349">
        <f t="shared" si="233"/>
        <v>495.9081672161999</v>
      </c>
      <c r="GF78" s="326"/>
      <c r="GG78" s="326"/>
      <c r="GH78" s="326"/>
      <c r="GI78" s="348">
        <f t="shared" si="324"/>
        <v>25247.18</v>
      </c>
      <c r="GJ78" s="348">
        <f t="shared" si="325"/>
        <v>9937.1283000000003</v>
      </c>
      <c r="GK78" s="348">
        <f t="shared" si="326"/>
        <v>600.43429583940986</v>
      </c>
      <c r="GL78" s="348">
        <f t="shared" si="327"/>
        <v>653.44237754580445</v>
      </c>
      <c r="GM78" s="354">
        <f t="shared" si="328"/>
        <v>0.71756931484141173</v>
      </c>
      <c r="GN78" s="326"/>
      <c r="GO78" s="348">
        <f t="shared" si="329"/>
        <v>600.43429583940986</v>
      </c>
      <c r="GP78" s="348">
        <f t="shared" si="330"/>
        <v>653.44237754580445</v>
      </c>
      <c r="GQ78" s="348">
        <f t="shared" si="234"/>
        <v>600.43429583940986</v>
      </c>
      <c r="GR78" s="348">
        <f t="shared" si="235"/>
        <v>653.44237754580445</v>
      </c>
    </row>
    <row r="79" spans="1:200" x14ac:dyDescent="0.2">
      <c r="A79" s="320">
        <v>69</v>
      </c>
      <c r="C79" s="350">
        <v>3.9270265412968892</v>
      </c>
      <c r="D79" s="350">
        <v>1.9693797274386218</v>
      </c>
      <c r="E79" s="350">
        <v>0</v>
      </c>
      <c r="F79" s="350">
        <v>12009.783333333331</v>
      </c>
      <c r="G79" s="350">
        <v>5561.9049999999997</v>
      </c>
      <c r="H79" s="351">
        <f t="shared" si="236"/>
        <v>4029.1292313706085</v>
      </c>
      <c r="I79" s="351">
        <f t="shared" si="237"/>
        <v>4679.2462323941654</v>
      </c>
      <c r="J79" s="352">
        <f t="shared" si="238"/>
        <v>0</v>
      </c>
      <c r="K79" s="352">
        <f t="shared" si="239"/>
        <v>0</v>
      </c>
      <c r="L79" s="353">
        <f t="shared" si="240"/>
        <v>4029.1292313706085</v>
      </c>
      <c r="M79" s="353">
        <f t="shared" si="241"/>
        <v>4679.2462323941654</v>
      </c>
      <c r="N79" s="343">
        <f t="shared" si="331"/>
        <v>4029.1292313706085</v>
      </c>
      <c r="O79" s="343">
        <f t="shared" si="332"/>
        <v>4679.2462323941654</v>
      </c>
      <c r="Q79" s="350">
        <v>5.1391006630945766</v>
      </c>
      <c r="R79" s="350">
        <v>2.3552569378779493</v>
      </c>
      <c r="S79" s="350">
        <v>0</v>
      </c>
      <c r="T79" s="350">
        <v>2771.9349999999995</v>
      </c>
      <c r="U79" s="350">
        <v>714.10249999999996</v>
      </c>
      <c r="V79" s="351">
        <f t="shared" si="242"/>
        <v>3617.9268668185819</v>
      </c>
      <c r="W79" s="351">
        <f t="shared" si="243"/>
        <v>3952.121141759199</v>
      </c>
      <c r="X79" s="352">
        <f t="shared" si="244"/>
        <v>0</v>
      </c>
      <c r="Y79" s="352">
        <f t="shared" si="245"/>
        <v>0</v>
      </c>
      <c r="Z79" s="353">
        <f t="shared" si="246"/>
        <v>3617.9268668185819</v>
      </c>
      <c r="AA79" s="353">
        <f t="shared" si="247"/>
        <v>3952.121141759199</v>
      </c>
      <c r="AB79" s="343">
        <f t="shared" si="333"/>
        <v>3617.9268668185819</v>
      </c>
      <c r="AC79" s="343">
        <f t="shared" si="334"/>
        <v>3952.121141759199</v>
      </c>
      <c r="AE79" s="350">
        <v>7.1701600070982092</v>
      </c>
      <c r="AF79" s="350">
        <v>3.3294130922420551</v>
      </c>
      <c r="AG79" s="350">
        <v>0</v>
      </c>
      <c r="AH79" s="350">
        <v>276.41416666666669</v>
      </c>
      <c r="AI79" s="350">
        <v>85.5</v>
      </c>
      <c r="AJ79" s="351">
        <f t="shared" si="248"/>
        <v>2552.5769625269627</v>
      </c>
      <c r="AK79" s="351">
        <f t="shared" si="249"/>
        <v>2550.3304286574144</v>
      </c>
      <c r="AL79" s="352">
        <f t="shared" si="250"/>
        <v>0</v>
      </c>
      <c r="AM79" s="352">
        <f t="shared" si="251"/>
        <v>0</v>
      </c>
      <c r="AN79" s="353">
        <f t="shared" si="252"/>
        <v>2552.5769625269627</v>
      </c>
      <c r="AO79" s="353">
        <f t="shared" si="253"/>
        <v>2550.3304286574144</v>
      </c>
      <c r="AP79" s="343">
        <f t="shared" si="335"/>
        <v>2552.5769625269627</v>
      </c>
      <c r="AQ79" s="343">
        <f t="shared" si="336"/>
        <v>2550.3304286574144</v>
      </c>
      <c r="AS79" s="350">
        <v>7.9425999999999997</v>
      </c>
      <c r="AT79" s="350">
        <v>3.2087385598155267</v>
      </c>
      <c r="AU79" s="350">
        <v>4.7742797814679451E-4</v>
      </c>
      <c r="AV79" s="350">
        <v>8286.1232999999993</v>
      </c>
      <c r="AW79" s="350">
        <v>3521.4032999999999</v>
      </c>
      <c r="AX79" s="351">
        <f t="shared" si="254"/>
        <v>2001.5351999999998</v>
      </c>
      <c r="AY79" s="351">
        <f t="shared" si="255"/>
        <v>1607.5780184675789</v>
      </c>
      <c r="AZ79" s="352">
        <f t="shared" si="256"/>
        <v>7.6865904481633912E-2</v>
      </c>
      <c r="BA79" s="352">
        <f t="shared" si="257"/>
        <v>3.4237756183988569E-2</v>
      </c>
      <c r="BB79" s="353">
        <f t="shared" si="258"/>
        <v>2001.5694377561838</v>
      </c>
      <c r="BC79" s="353">
        <f t="shared" si="259"/>
        <v>1607.5353903192813</v>
      </c>
      <c r="BD79" s="343">
        <f t="shared" si="337"/>
        <v>2001.5351999999998</v>
      </c>
      <c r="BE79" s="343">
        <f t="shared" si="338"/>
        <v>1607.5011525630973</v>
      </c>
      <c r="BG79" s="350">
        <v>8.1564899532330113</v>
      </c>
      <c r="BH79" s="350">
        <v>3.6436392273892806</v>
      </c>
      <c r="BI79" s="350">
        <v>0</v>
      </c>
      <c r="BJ79" s="350">
        <v>8278.7067000000006</v>
      </c>
      <c r="BK79" s="350">
        <v>3521.32</v>
      </c>
      <c r="BL79" s="351">
        <f t="shared" si="260"/>
        <v>1933.0881189162237</v>
      </c>
      <c r="BM79" s="351">
        <f t="shared" si="261"/>
        <v>1756.2341076016332</v>
      </c>
      <c r="BN79" s="352">
        <f t="shared" si="262"/>
        <v>0</v>
      </c>
      <c r="BO79" s="352">
        <f t="shared" si="263"/>
        <v>0</v>
      </c>
      <c r="BP79" s="353">
        <f t="shared" si="264"/>
        <v>1933.0881189162237</v>
      </c>
      <c r="BQ79" s="353">
        <f t="shared" si="265"/>
        <v>1756.2341076016332</v>
      </c>
      <c r="BR79" s="343">
        <f t="shared" si="339"/>
        <v>1933.0881189162237</v>
      </c>
      <c r="BS79" s="343">
        <f t="shared" si="340"/>
        <v>1756.2341076016332</v>
      </c>
      <c r="BU79" s="350">
        <v>7.1805032382541176</v>
      </c>
      <c r="BV79" s="350">
        <v>3.3152620652809732</v>
      </c>
      <c r="BW79" s="350">
        <v>0</v>
      </c>
      <c r="BX79" s="350">
        <v>6283.97</v>
      </c>
      <c r="BY79" s="350">
        <v>2333.8242</v>
      </c>
      <c r="BZ79" s="351">
        <f t="shared" si="266"/>
        <v>1306.8515893622493</v>
      </c>
      <c r="CA79" s="351">
        <f t="shared" si="267"/>
        <v>1017.7854540412587</v>
      </c>
      <c r="CB79" s="352">
        <f t="shared" si="268"/>
        <v>0</v>
      </c>
      <c r="CC79" s="352">
        <f t="shared" si="269"/>
        <v>0</v>
      </c>
      <c r="CD79" s="353">
        <f t="shared" si="270"/>
        <v>1306.8515893622493</v>
      </c>
      <c r="CE79" s="353">
        <f t="shared" si="271"/>
        <v>1017.7854540412587</v>
      </c>
      <c r="CF79" s="343">
        <f t="shared" si="341"/>
        <v>1306.8515893622493</v>
      </c>
      <c r="CG79" s="343">
        <f t="shared" si="342"/>
        <v>1017.7854540412587</v>
      </c>
      <c r="CI79" s="350">
        <v>1.165247945025859</v>
      </c>
      <c r="CJ79" s="350">
        <v>1.0462284920111404</v>
      </c>
      <c r="CK79" s="350">
        <v>0</v>
      </c>
      <c r="CL79" s="350">
        <v>13826.51</v>
      </c>
      <c r="CM79" s="350">
        <v>5424.4107999999997</v>
      </c>
      <c r="CN79" s="351">
        <f t="shared" si="272"/>
        <v>210.90987804968049</v>
      </c>
      <c r="CO79" s="351">
        <f t="shared" si="273"/>
        <v>237.49386768652889</v>
      </c>
      <c r="CP79" s="352">
        <f t="shared" si="274"/>
        <v>0</v>
      </c>
      <c r="CQ79" s="352">
        <f t="shared" si="275"/>
        <v>0</v>
      </c>
      <c r="CR79" s="353">
        <f t="shared" si="276"/>
        <v>210.90987804968049</v>
      </c>
      <c r="CS79" s="353">
        <f t="shared" si="277"/>
        <v>237.49386768652889</v>
      </c>
      <c r="CT79" s="343">
        <f t="shared" si="343"/>
        <v>210.90987804968049</v>
      </c>
      <c r="CU79" s="343">
        <f t="shared" si="344"/>
        <v>237.49386768652889</v>
      </c>
      <c r="CW79" s="350">
        <v>2.5637373001373303</v>
      </c>
      <c r="CX79" s="350">
        <v>1.9659512077104202</v>
      </c>
      <c r="CY79" s="350">
        <v>0</v>
      </c>
      <c r="CZ79" s="350">
        <v>7004.1958000000004</v>
      </c>
      <c r="DA79" s="350">
        <v>3069.54</v>
      </c>
      <c r="DB79" s="351">
        <f t="shared" si="278"/>
        <v>489.67382432623009</v>
      </c>
      <c r="DC79" s="351">
        <f t="shared" si="279"/>
        <v>515.07921642013014</v>
      </c>
      <c r="DD79" s="352">
        <f t="shared" si="280"/>
        <v>0</v>
      </c>
      <c r="DE79" s="352">
        <f t="shared" si="281"/>
        <v>0</v>
      </c>
      <c r="DF79" s="353">
        <f t="shared" si="282"/>
        <v>489.67382432623009</v>
      </c>
      <c r="DG79" s="353">
        <f t="shared" si="283"/>
        <v>515.07921642013014</v>
      </c>
      <c r="DH79" s="343">
        <f t="shared" si="345"/>
        <v>489.67382432623009</v>
      </c>
      <c r="DI79" s="343">
        <f t="shared" si="346"/>
        <v>515.07921642013014</v>
      </c>
      <c r="DK79" s="350">
        <v>3.6122000000000001</v>
      </c>
      <c r="DL79" s="350">
        <v>2.7850000000000001</v>
      </c>
      <c r="DM79" s="350">
        <v>0</v>
      </c>
      <c r="DN79" s="350">
        <v>1169.7357999999999</v>
      </c>
      <c r="DO79" s="350">
        <v>640.41669999999999</v>
      </c>
      <c r="DP79" s="351">
        <f t="shared" si="284"/>
        <v>346.77120000000002</v>
      </c>
      <c r="DQ79" s="351">
        <f t="shared" si="285"/>
        <v>484.59000000000003</v>
      </c>
      <c r="DR79" s="352">
        <f t="shared" si="286"/>
        <v>0</v>
      </c>
      <c r="DS79" s="352">
        <f t="shared" si="287"/>
        <v>0</v>
      </c>
      <c r="DT79" s="353">
        <f t="shared" si="288"/>
        <v>346.77120000000002</v>
      </c>
      <c r="DU79" s="353">
        <f t="shared" si="289"/>
        <v>484.59000000000003</v>
      </c>
      <c r="DV79" s="343">
        <f t="shared" si="347"/>
        <v>346.77120000000002</v>
      </c>
      <c r="DW79" s="343">
        <f t="shared" si="348"/>
        <v>484.59000000000003</v>
      </c>
      <c r="EB79" s="326"/>
      <c r="EC79" s="326"/>
      <c r="ED79" s="326"/>
      <c r="EE79" s="348">
        <f t="shared" si="290"/>
        <v>41126.612433333336</v>
      </c>
      <c r="EF79" s="348">
        <f t="shared" si="291"/>
        <v>17577.259099999999</v>
      </c>
      <c r="EG79" s="348">
        <f t="shared" si="292"/>
        <v>6633.3133688812732</v>
      </c>
      <c r="EH79" s="348">
        <f t="shared" si="293"/>
        <v>6936.3814916843767</v>
      </c>
      <c r="EI79" s="354">
        <f t="shared" si="294"/>
        <v>0.70057751489151354</v>
      </c>
      <c r="EJ79" s="326"/>
      <c r="EK79" s="348">
        <f t="shared" si="295"/>
        <v>6633.3476066374569</v>
      </c>
      <c r="EL79" s="348">
        <f t="shared" si="296"/>
        <v>6936.3388635360789</v>
      </c>
      <c r="EM79" s="348">
        <f t="shared" si="297"/>
        <v>6633.3133688812732</v>
      </c>
      <c r="EN79" s="348">
        <f t="shared" si="298"/>
        <v>6936.3046257798951</v>
      </c>
      <c r="EP79" s="326"/>
      <c r="EQ79" s="326"/>
      <c r="ER79" s="326"/>
      <c r="ES79" s="348">
        <f t="shared" si="299"/>
        <v>31881.347500000003</v>
      </c>
      <c r="ET79" s="348">
        <f t="shared" si="300"/>
        <v>12729.373299999999</v>
      </c>
      <c r="EU79" s="348">
        <f t="shared" si="301"/>
        <v>6104.6965408128481</v>
      </c>
      <c r="EV79" s="348">
        <f t="shared" si="302"/>
        <v>6306.4045685414521</v>
      </c>
      <c r="EW79" s="354">
        <f t="shared" si="303"/>
        <v>0.71465663249269895</v>
      </c>
      <c r="EX79" s="326"/>
      <c r="EY79" s="348">
        <f t="shared" si="304"/>
        <v>6104.6965408128481</v>
      </c>
      <c r="EZ79" s="348">
        <f t="shared" si="305"/>
        <v>6306.4045685414521</v>
      </c>
      <c r="FA79" s="348">
        <f t="shared" si="306"/>
        <v>6104.6965408128481</v>
      </c>
      <c r="FB79" s="348">
        <f t="shared" si="307"/>
        <v>6306.4045685414521</v>
      </c>
      <c r="FD79" s="326"/>
      <c r="FE79" s="326"/>
      <c r="FF79" s="326"/>
      <c r="FG79" s="348">
        <f t="shared" si="308"/>
        <v>21556.629966666664</v>
      </c>
      <c r="FH79" s="348">
        <f t="shared" si="309"/>
        <v>8484.1517000000003</v>
      </c>
      <c r="FI79" s="348">
        <f t="shared" si="310"/>
        <v>4278.4011499388926</v>
      </c>
      <c r="FJ79" s="348">
        <f t="shared" si="311"/>
        <v>4096.3637503852024</v>
      </c>
      <c r="FK79" s="354">
        <f t="shared" si="312"/>
        <v>0.71757886348829469</v>
      </c>
      <c r="FL79" s="326"/>
      <c r="FM79" s="348">
        <f t="shared" si="313"/>
        <v>4278.4011499388926</v>
      </c>
      <c r="FN79" s="348">
        <f t="shared" si="314"/>
        <v>4096.3637503852024</v>
      </c>
      <c r="FO79" s="348">
        <f t="shared" si="315"/>
        <v>4278.4011499388926</v>
      </c>
      <c r="FP79" s="348">
        <f t="shared" si="316"/>
        <v>4096.3637503852024</v>
      </c>
      <c r="FR79" s="326"/>
      <c r="FS79" s="326"/>
      <c r="FT79" s="326"/>
      <c r="FU79" s="348">
        <f t="shared" si="317"/>
        <v>14570.0933</v>
      </c>
      <c r="FV79" s="348">
        <f t="shared" si="318"/>
        <v>5855.2275</v>
      </c>
      <c r="FW79" s="349">
        <f t="shared" si="319"/>
        <v>625.21524957397548</v>
      </c>
      <c r="FX79" s="349">
        <f t="shared" si="320"/>
        <v>530.81330798368811</v>
      </c>
      <c r="FY79" s="354">
        <f t="shared" si="321"/>
        <v>0.71333485738936353</v>
      </c>
      <c r="FZ79" s="326"/>
      <c r="GA79" s="349">
        <f t="shared" si="322"/>
        <v>625.24606355454102</v>
      </c>
      <c r="GB79" s="349">
        <f t="shared" si="323"/>
        <v>530.77494265022028</v>
      </c>
      <c r="GC79" s="349">
        <f t="shared" si="232"/>
        <v>625.21524957397548</v>
      </c>
      <c r="GD79" s="349">
        <f t="shared" si="233"/>
        <v>530.74412866965474</v>
      </c>
      <c r="GF79" s="326"/>
      <c r="GG79" s="326"/>
      <c r="GH79" s="326"/>
      <c r="GI79" s="348">
        <f t="shared" si="324"/>
        <v>20830.7058</v>
      </c>
      <c r="GJ79" s="348">
        <f t="shared" si="325"/>
        <v>8493.9507999999987</v>
      </c>
      <c r="GK79" s="348">
        <f t="shared" si="326"/>
        <v>602.64893751066461</v>
      </c>
      <c r="GL79" s="348">
        <f t="shared" si="327"/>
        <v>649.55724082263305</v>
      </c>
      <c r="GM79" s="354">
        <f t="shared" si="328"/>
        <v>0.71034781699711369</v>
      </c>
      <c r="GN79" s="326"/>
      <c r="GO79" s="348">
        <f t="shared" si="329"/>
        <v>602.64893751066461</v>
      </c>
      <c r="GP79" s="348">
        <f t="shared" si="330"/>
        <v>649.55724082263305</v>
      </c>
      <c r="GQ79" s="348">
        <f t="shared" si="234"/>
        <v>602.64893751066461</v>
      </c>
      <c r="GR79" s="348">
        <f t="shared" si="235"/>
        <v>649.55724082263305</v>
      </c>
    </row>
    <row r="80" spans="1:200" x14ac:dyDescent="0.2">
      <c r="A80" s="320">
        <v>70</v>
      </c>
      <c r="C80" s="350">
        <v>4.0797731313667835</v>
      </c>
      <c r="D80" s="350">
        <v>2.0134282417152374</v>
      </c>
      <c r="E80" s="350">
        <v>0</v>
      </c>
      <c r="F80" s="350">
        <v>10573.814999999999</v>
      </c>
      <c r="G80" s="350">
        <v>5066.8116666666674</v>
      </c>
      <c r="H80" s="351">
        <f t="shared" si="236"/>
        <v>4185.8472327823201</v>
      </c>
      <c r="I80" s="351">
        <f t="shared" si="237"/>
        <v>4783.9055023154042</v>
      </c>
      <c r="J80" s="352">
        <f t="shared" si="238"/>
        <v>0</v>
      </c>
      <c r="K80" s="352">
        <f t="shared" si="239"/>
        <v>0</v>
      </c>
      <c r="L80" s="353">
        <f t="shared" si="240"/>
        <v>4185.8472327823201</v>
      </c>
      <c r="M80" s="353">
        <f t="shared" si="241"/>
        <v>4783.9055023154042</v>
      </c>
      <c r="N80" s="343">
        <f t="shared" si="331"/>
        <v>4185.8472327823201</v>
      </c>
      <c r="O80" s="343">
        <f t="shared" si="332"/>
        <v>4783.9055023154042</v>
      </c>
      <c r="Q80" s="350">
        <v>5.3775688397428318</v>
      </c>
      <c r="R80" s="350">
        <v>2.4194742994976273</v>
      </c>
      <c r="S80" s="350">
        <v>0</v>
      </c>
      <c r="T80" s="350">
        <v>2406.0291666666667</v>
      </c>
      <c r="U80" s="350">
        <v>608.73749999999995</v>
      </c>
      <c r="V80" s="351">
        <f t="shared" si="242"/>
        <v>3785.8084631789534</v>
      </c>
      <c r="W80" s="351">
        <f t="shared" si="243"/>
        <v>4059.8778745570185</v>
      </c>
      <c r="X80" s="352">
        <f t="shared" si="244"/>
        <v>0</v>
      </c>
      <c r="Y80" s="352">
        <f t="shared" si="245"/>
        <v>0</v>
      </c>
      <c r="Z80" s="353">
        <f t="shared" si="246"/>
        <v>3785.8084631789534</v>
      </c>
      <c r="AA80" s="353">
        <f t="shared" si="247"/>
        <v>4059.8778745570185</v>
      </c>
      <c r="AB80" s="343">
        <f t="shared" si="333"/>
        <v>3785.8084631789534</v>
      </c>
      <c r="AC80" s="343">
        <f t="shared" si="334"/>
        <v>4059.8778745570185</v>
      </c>
      <c r="AE80" s="350">
        <v>7.5797970088654285</v>
      </c>
      <c r="AF80" s="350">
        <v>3.4430256549395262</v>
      </c>
      <c r="AG80" s="350">
        <v>0</v>
      </c>
      <c r="AH80" s="350">
        <v>208.23583333333332</v>
      </c>
      <c r="AI80" s="350">
        <v>80.916666666666657</v>
      </c>
      <c r="AJ80" s="351">
        <f t="shared" si="248"/>
        <v>2698.4077351560927</v>
      </c>
      <c r="AK80" s="351">
        <f t="shared" si="249"/>
        <v>2637.357651683677</v>
      </c>
      <c r="AL80" s="352">
        <f t="shared" si="250"/>
        <v>0</v>
      </c>
      <c r="AM80" s="352">
        <f t="shared" si="251"/>
        <v>0</v>
      </c>
      <c r="AN80" s="353">
        <f t="shared" si="252"/>
        <v>2698.4077351560927</v>
      </c>
      <c r="AO80" s="353">
        <f t="shared" si="253"/>
        <v>2637.357651683677</v>
      </c>
      <c r="AP80" s="343">
        <f t="shared" si="335"/>
        <v>2698.4077351560927</v>
      </c>
      <c r="AQ80" s="343">
        <f t="shared" si="336"/>
        <v>2637.357651683677</v>
      </c>
      <c r="AS80" s="350">
        <v>8.4101999999999997</v>
      </c>
      <c r="AT80" s="350">
        <v>3.3999863992525392</v>
      </c>
      <c r="AU80" s="350">
        <v>4.7742797814679451E-4</v>
      </c>
      <c r="AV80" s="350">
        <v>6956.6</v>
      </c>
      <c r="AW80" s="350">
        <v>2992.0192000000002</v>
      </c>
      <c r="AX80" s="351">
        <f t="shared" si="254"/>
        <v>2119.3703999999998</v>
      </c>
      <c r="AY80" s="351">
        <f t="shared" si="255"/>
        <v>1703.3931860255223</v>
      </c>
      <c r="AZ80" s="352">
        <f t="shared" si="256"/>
        <v>7.6865904481633912E-2</v>
      </c>
      <c r="BA80" s="352">
        <f t="shared" si="257"/>
        <v>3.4250838427555774E-2</v>
      </c>
      <c r="BB80" s="353">
        <f t="shared" si="258"/>
        <v>2119.4046508384272</v>
      </c>
      <c r="BC80" s="353">
        <f t="shared" si="259"/>
        <v>1703.3505709594683</v>
      </c>
      <c r="BD80" s="343">
        <f t="shared" si="337"/>
        <v>2119.3703999999998</v>
      </c>
      <c r="BE80" s="343">
        <f t="shared" si="338"/>
        <v>1703.3163201210407</v>
      </c>
      <c r="BG80" s="350">
        <v>8.7546523543231309</v>
      </c>
      <c r="BH80" s="350">
        <v>3.8285248264622078</v>
      </c>
      <c r="BI80" s="350">
        <v>0</v>
      </c>
      <c r="BJ80" s="350">
        <v>6972.0167000000001</v>
      </c>
      <c r="BK80" s="350">
        <v>3005.8525</v>
      </c>
      <c r="BL80" s="351">
        <f t="shared" si="260"/>
        <v>2074.852607974582</v>
      </c>
      <c r="BM80" s="351">
        <f t="shared" si="261"/>
        <v>1845.3489663547841</v>
      </c>
      <c r="BN80" s="352">
        <f t="shared" si="262"/>
        <v>0</v>
      </c>
      <c r="BO80" s="352">
        <f t="shared" si="263"/>
        <v>0</v>
      </c>
      <c r="BP80" s="353">
        <f t="shared" si="264"/>
        <v>2074.852607974582</v>
      </c>
      <c r="BQ80" s="353">
        <f t="shared" si="265"/>
        <v>1845.3489663547841</v>
      </c>
      <c r="BR80" s="343">
        <f t="shared" si="339"/>
        <v>2074.852607974582</v>
      </c>
      <c r="BS80" s="343">
        <f t="shared" si="340"/>
        <v>1845.3489663547841</v>
      </c>
      <c r="BU80" s="350">
        <v>7.6726955028395727</v>
      </c>
      <c r="BV80" s="350">
        <v>3.5104258435474902</v>
      </c>
      <c r="BW80" s="350">
        <v>0</v>
      </c>
      <c r="BX80" s="350">
        <v>5254.8725000000004</v>
      </c>
      <c r="BY80" s="350">
        <v>2055.4050000000002</v>
      </c>
      <c r="BZ80" s="351">
        <f t="shared" si="266"/>
        <v>1396.4305815168022</v>
      </c>
      <c r="CA80" s="351">
        <f t="shared" si="267"/>
        <v>1077.7007339690795</v>
      </c>
      <c r="CB80" s="352">
        <f t="shared" si="268"/>
        <v>0</v>
      </c>
      <c r="CC80" s="352">
        <f t="shared" si="269"/>
        <v>0</v>
      </c>
      <c r="CD80" s="353">
        <f t="shared" si="270"/>
        <v>1396.4305815168022</v>
      </c>
      <c r="CE80" s="353">
        <f t="shared" si="271"/>
        <v>1077.7007339690795</v>
      </c>
      <c r="CF80" s="343">
        <f t="shared" si="341"/>
        <v>1396.4305815168022</v>
      </c>
      <c r="CG80" s="343">
        <f t="shared" si="342"/>
        <v>1077.7007339690795</v>
      </c>
      <c r="CI80" s="350">
        <v>1.1639051959847535</v>
      </c>
      <c r="CJ80" s="350">
        <v>1.0349823336692141</v>
      </c>
      <c r="CK80" s="350">
        <v>0</v>
      </c>
      <c r="CL80" s="350">
        <v>14629.796700000001</v>
      </c>
      <c r="CM80" s="350">
        <v>5705.3950000000004</v>
      </c>
      <c r="CN80" s="351">
        <f t="shared" si="272"/>
        <v>210.66684047324037</v>
      </c>
      <c r="CO80" s="351">
        <f t="shared" si="273"/>
        <v>234.9409897429116</v>
      </c>
      <c r="CP80" s="352">
        <f t="shared" si="274"/>
        <v>0</v>
      </c>
      <c r="CQ80" s="352">
        <f t="shared" si="275"/>
        <v>0</v>
      </c>
      <c r="CR80" s="353">
        <f t="shared" si="276"/>
        <v>210.66684047324037</v>
      </c>
      <c r="CS80" s="353">
        <f t="shared" si="277"/>
        <v>234.9409897429116</v>
      </c>
      <c r="CT80" s="343">
        <f t="shared" si="343"/>
        <v>210.66684047324037</v>
      </c>
      <c r="CU80" s="343">
        <f t="shared" si="344"/>
        <v>234.9409897429116</v>
      </c>
      <c r="CW80" s="350">
        <v>2.5709291912270209</v>
      </c>
      <c r="CX80" s="350">
        <v>1.9527888504752189</v>
      </c>
      <c r="CY80" s="350">
        <v>0</v>
      </c>
      <c r="CZ80" s="350">
        <v>7424.1216999999997</v>
      </c>
      <c r="DA80" s="350">
        <v>3292.6066999999998</v>
      </c>
      <c r="DB80" s="351">
        <f t="shared" si="278"/>
        <v>491.047475524361</v>
      </c>
      <c r="DC80" s="351">
        <f t="shared" si="279"/>
        <v>511.63067882450736</v>
      </c>
      <c r="DD80" s="352">
        <f t="shared" si="280"/>
        <v>0</v>
      </c>
      <c r="DE80" s="352">
        <f t="shared" si="281"/>
        <v>0</v>
      </c>
      <c r="DF80" s="353">
        <f t="shared" si="282"/>
        <v>491.047475524361</v>
      </c>
      <c r="DG80" s="353">
        <f t="shared" si="283"/>
        <v>511.63067882450736</v>
      </c>
      <c r="DH80" s="343">
        <f t="shared" si="345"/>
        <v>491.047475524361</v>
      </c>
      <c r="DI80" s="343">
        <f t="shared" si="346"/>
        <v>511.63067882450736</v>
      </c>
      <c r="DK80" s="350">
        <v>3.6991999999999998</v>
      </c>
      <c r="DL80" s="350">
        <v>2.8016000000000001</v>
      </c>
      <c r="DM80" s="350">
        <v>0</v>
      </c>
      <c r="DN80" s="350">
        <v>1301.9558</v>
      </c>
      <c r="DO80" s="350">
        <v>737</v>
      </c>
      <c r="DP80" s="351">
        <f t="shared" si="284"/>
        <v>355.1232</v>
      </c>
      <c r="DQ80" s="351">
        <f t="shared" si="285"/>
        <v>487.47840000000002</v>
      </c>
      <c r="DR80" s="352">
        <f t="shared" si="286"/>
        <v>0</v>
      </c>
      <c r="DS80" s="352">
        <f t="shared" si="287"/>
        <v>0</v>
      </c>
      <c r="DT80" s="353">
        <f t="shared" si="288"/>
        <v>355.1232</v>
      </c>
      <c r="DU80" s="353">
        <f t="shared" si="289"/>
        <v>487.47840000000002</v>
      </c>
      <c r="DV80" s="343">
        <f t="shared" si="347"/>
        <v>355.1232</v>
      </c>
      <c r="DW80" s="343">
        <f t="shared" si="348"/>
        <v>487.47840000000002</v>
      </c>
      <c r="EB80" s="326"/>
      <c r="EC80" s="326"/>
      <c r="ED80" s="326"/>
      <c r="EE80" s="348">
        <f t="shared" si="290"/>
        <v>39584.333400000003</v>
      </c>
      <c r="EF80" s="348">
        <f t="shared" si="291"/>
        <v>17056.832566666668</v>
      </c>
      <c r="EG80" s="348">
        <f t="shared" si="292"/>
        <v>6908.7224536750491</v>
      </c>
      <c r="EH80" s="348">
        <f t="shared" si="293"/>
        <v>7131.5442211434438</v>
      </c>
      <c r="EI80" s="354">
        <f t="shared" si="294"/>
        <v>0.69886155633334579</v>
      </c>
      <c r="EJ80" s="326"/>
      <c r="EK80" s="348">
        <f t="shared" si="295"/>
        <v>6908.7567045134765</v>
      </c>
      <c r="EL80" s="348">
        <f t="shared" si="296"/>
        <v>7131.5016060773896</v>
      </c>
      <c r="EM80" s="348">
        <f t="shared" si="297"/>
        <v>6908.7224536750491</v>
      </c>
      <c r="EN80" s="348">
        <f t="shared" si="298"/>
        <v>7131.4673552389622</v>
      </c>
      <c r="EP80" s="326"/>
      <c r="EQ80" s="326"/>
      <c r="ER80" s="326"/>
      <c r="ES80" s="348">
        <f t="shared" si="299"/>
        <v>31431.964266666666</v>
      </c>
      <c r="ET80" s="348">
        <f t="shared" si="300"/>
        <v>12612.591700000001</v>
      </c>
      <c r="EU80" s="348">
        <f t="shared" si="301"/>
        <v>6415.0611444938286</v>
      </c>
      <c r="EV80" s="348">
        <f t="shared" si="302"/>
        <v>6498.3093058318691</v>
      </c>
      <c r="EW80" s="354">
        <f t="shared" si="303"/>
        <v>0.71364016679960796</v>
      </c>
      <c r="EX80" s="326"/>
      <c r="EY80" s="348">
        <f t="shared" si="304"/>
        <v>6415.0611444938286</v>
      </c>
      <c r="EZ80" s="348">
        <f t="shared" si="305"/>
        <v>6498.3093058318691</v>
      </c>
      <c r="FA80" s="348">
        <f t="shared" si="306"/>
        <v>6415.0611444938286</v>
      </c>
      <c r="FB80" s="348">
        <f t="shared" si="307"/>
        <v>6498.3093058318691</v>
      </c>
      <c r="FD80" s="326"/>
      <c r="FE80" s="326"/>
      <c r="FF80" s="326"/>
      <c r="FG80" s="348">
        <f t="shared" si="308"/>
        <v>21394.860833333336</v>
      </c>
      <c r="FH80" s="348">
        <f t="shared" si="309"/>
        <v>8578.7166666666672</v>
      </c>
      <c r="FI80" s="348">
        <f t="shared" si="310"/>
        <v>4518.5790771461352</v>
      </c>
      <c r="FJ80" s="348">
        <f t="shared" si="311"/>
        <v>4242.4864153956678</v>
      </c>
      <c r="FK80" s="354">
        <f t="shared" si="312"/>
        <v>0.71379069893586555</v>
      </c>
      <c r="FL80" s="326"/>
      <c r="FM80" s="348">
        <f t="shared" si="313"/>
        <v>4518.5790771461352</v>
      </c>
      <c r="FN80" s="348">
        <f t="shared" si="314"/>
        <v>4242.4864153956678</v>
      </c>
      <c r="FO80" s="348">
        <f t="shared" si="315"/>
        <v>4518.5790771461352</v>
      </c>
      <c r="FP80" s="348">
        <f t="shared" si="316"/>
        <v>4242.4864153956678</v>
      </c>
      <c r="FR80" s="326"/>
      <c r="FS80" s="326"/>
      <c r="FT80" s="326"/>
      <c r="FU80" s="348">
        <f t="shared" si="317"/>
        <v>12211.4725</v>
      </c>
      <c r="FV80" s="348">
        <f t="shared" si="318"/>
        <v>5047.4242000000004</v>
      </c>
      <c r="FW80" s="349">
        <f t="shared" si="319"/>
        <v>650.64583663487781</v>
      </c>
      <c r="FX80" s="349">
        <f t="shared" si="320"/>
        <v>563.12320685079851</v>
      </c>
      <c r="FY80" s="354">
        <f t="shared" si="321"/>
        <v>0.70754653163895465</v>
      </c>
      <c r="FZ80" s="326"/>
      <c r="GA80" s="349">
        <f t="shared" si="322"/>
        <v>650.67666238946242</v>
      </c>
      <c r="GB80" s="349">
        <f t="shared" si="323"/>
        <v>563.08485329134999</v>
      </c>
      <c r="GC80" s="349">
        <f t="shared" si="232"/>
        <v>650.64583663487781</v>
      </c>
      <c r="GD80" s="349">
        <f t="shared" si="233"/>
        <v>563.05402753676515</v>
      </c>
      <c r="GF80" s="326"/>
      <c r="GG80" s="326"/>
      <c r="GH80" s="326"/>
      <c r="GI80" s="348">
        <f t="shared" si="324"/>
        <v>22053.918400000002</v>
      </c>
      <c r="GJ80" s="348">
        <f t="shared" si="325"/>
        <v>8998.0017000000007</v>
      </c>
      <c r="GK80" s="348">
        <f t="shared" si="326"/>
        <v>603.50482089272919</v>
      </c>
      <c r="GL80" s="348">
        <f t="shared" si="327"/>
        <v>644.24553280251757</v>
      </c>
      <c r="GM80" s="354">
        <f t="shared" si="328"/>
        <v>0.71022720427520358</v>
      </c>
      <c r="GN80" s="326"/>
      <c r="GO80" s="348">
        <f t="shared" si="329"/>
        <v>603.50482089272919</v>
      </c>
      <c r="GP80" s="348">
        <f t="shared" si="330"/>
        <v>644.24553280251757</v>
      </c>
      <c r="GQ80" s="348">
        <f t="shared" si="234"/>
        <v>603.50482089272919</v>
      </c>
      <c r="GR80" s="348">
        <f t="shared" si="235"/>
        <v>644.24553280251757</v>
      </c>
    </row>
    <row r="81" spans="1:200" x14ac:dyDescent="0.2">
      <c r="A81" s="320">
        <v>71</v>
      </c>
      <c r="C81" s="350">
        <v>4.230873076484766</v>
      </c>
      <c r="D81" s="350">
        <v>2.0562682113412523</v>
      </c>
      <c r="E81" s="350">
        <v>0</v>
      </c>
      <c r="F81" s="350">
        <v>11080.952499999996</v>
      </c>
      <c r="G81" s="350">
        <v>5487.9083333333328</v>
      </c>
      <c r="H81" s="351">
        <f t="shared" si="236"/>
        <v>4340.87577647337</v>
      </c>
      <c r="I81" s="351">
        <f t="shared" si="237"/>
        <v>4885.6932701468149</v>
      </c>
      <c r="J81" s="352">
        <f t="shared" si="238"/>
        <v>0</v>
      </c>
      <c r="K81" s="352">
        <f t="shared" si="239"/>
        <v>0</v>
      </c>
      <c r="L81" s="353">
        <f t="shared" si="240"/>
        <v>4340.87577647337</v>
      </c>
      <c r="M81" s="353">
        <f t="shared" si="241"/>
        <v>4885.6932701468149</v>
      </c>
      <c r="N81" s="343">
        <f t="shared" si="331"/>
        <v>4340.87577647337</v>
      </c>
      <c r="O81" s="343">
        <f t="shared" si="332"/>
        <v>4885.6932701468149</v>
      </c>
      <c r="Q81" s="350">
        <v>5.6150977588890409</v>
      </c>
      <c r="R81" s="350">
        <v>2.4814340307383422</v>
      </c>
      <c r="S81" s="350">
        <v>0</v>
      </c>
      <c r="T81" s="350">
        <v>2478.6175000000003</v>
      </c>
      <c r="U81" s="350">
        <v>645.5575</v>
      </c>
      <c r="V81" s="351">
        <f t="shared" si="242"/>
        <v>3953.0288222578847</v>
      </c>
      <c r="W81" s="351">
        <f t="shared" si="243"/>
        <v>4163.8463035789382</v>
      </c>
      <c r="X81" s="352">
        <f t="shared" si="244"/>
        <v>0</v>
      </c>
      <c r="Y81" s="352">
        <f t="shared" si="245"/>
        <v>0</v>
      </c>
      <c r="Z81" s="353">
        <f t="shared" si="246"/>
        <v>3953.0288222578847</v>
      </c>
      <c r="AA81" s="353">
        <f t="shared" si="247"/>
        <v>4163.8463035789382</v>
      </c>
      <c r="AB81" s="343">
        <f t="shared" si="333"/>
        <v>3953.0288222578847</v>
      </c>
      <c r="AC81" s="343">
        <f t="shared" si="334"/>
        <v>4163.8463035789382</v>
      </c>
      <c r="AE81" s="350">
        <v>7.9937366181702796</v>
      </c>
      <c r="AF81" s="350">
        <v>3.5699331880924969</v>
      </c>
      <c r="AG81" s="350">
        <v>0</v>
      </c>
      <c r="AH81" s="350">
        <v>229.89416666666665</v>
      </c>
      <c r="AI81" s="350">
        <v>74.997500000000002</v>
      </c>
      <c r="AJ81" s="351">
        <f t="shared" si="248"/>
        <v>2845.7702360686194</v>
      </c>
      <c r="AK81" s="351">
        <f t="shared" si="249"/>
        <v>2734.5688220788525</v>
      </c>
      <c r="AL81" s="352">
        <f t="shared" si="250"/>
        <v>0</v>
      </c>
      <c r="AM81" s="352">
        <f t="shared" si="251"/>
        <v>0</v>
      </c>
      <c r="AN81" s="353">
        <f t="shared" si="252"/>
        <v>2845.7702360686194</v>
      </c>
      <c r="AO81" s="353">
        <f t="shared" si="253"/>
        <v>2734.5688220788525</v>
      </c>
      <c r="AP81" s="343">
        <f t="shared" si="335"/>
        <v>2845.7702360686194</v>
      </c>
      <c r="AQ81" s="343">
        <f t="shared" si="336"/>
        <v>2734.5688220788525</v>
      </c>
      <c r="AS81" s="350">
        <v>8.7449999999999992</v>
      </c>
      <c r="AT81" s="350">
        <v>3.6156430409786586</v>
      </c>
      <c r="AU81" s="350">
        <v>4.7742797814679451E-4</v>
      </c>
      <c r="AV81" s="350">
        <v>7570.9867000000004</v>
      </c>
      <c r="AW81" s="350">
        <v>3290.0832999999998</v>
      </c>
      <c r="AX81" s="351">
        <f t="shared" si="254"/>
        <v>2203.7399999999998</v>
      </c>
      <c r="AY81" s="351">
        <f t="shared" si="255"/>
        <v>1811.437163530308</v>
      </c>
      <c r="AZ81" s="352">
        <f t="shared" si="256"/>
        <v>7.6865904481633912E-2</v>
      </c>
      <c r="BA81" s="352">
        <f t="shared" si="257"/>
        <v>3.4677861104384998E-2</v>
      </c>
      <c r="BB81" s="353">
        <f t="shared" si="258"/>
        <v>2203.774677861104</v>
      </c>
      <c r="BC81" s="353">
        <f t="shared" si="259"/>
        <v>1811.3949754869309</v>
      </c>
      <c r="BD81" s="343">
        <f t="shared" si="337"/>
        <v>2203.7399999999998</v>
      </c>
      <c r="BE81" s="343">
        <f t="shared" si="338"/>
        <v>1811.3602976258264</v>
      </c>
      <c r="BG81" s="350">
        <v>9.3912962660880321</v>
      </c>
      <c r="BH81" s="350">
        <v>4.0098650975868093</v>
      </c>
      <c r="BI81" s="350">
        <v>0</v>
      </c>
      <c r="BJ81" s="350">
        <v>7589.82</v>
      </c>
      <c r="BK81" s="350">
        <v>3309.25</v>
      </c>
      <c r="BL81" s="351">
        <f t="shared" si="260"/>
        <v>2225.7372150628635</v>
      </c>
      <c r="BM81" s="351">
        <f t="shared" si="261"/>
        <v>1932.7549770368421</v>
      </c>
      <c r="BN81" s="352">
        <f t="shared" si="262"/>
        <v>0</v>
      </c>
      <c r="BO81" s="352">
        <f t="shared" si="263"/>
        <v>0</v>
      </c>
      <c r="BP81" s="353">
        <f t="shared" si="264"/>
        <v>2225.7372150628635</v>
      </c>
      <c r="BQ81" s="353">
        <f t="shared" si="265"/>
        <v>1932.7549770368421</v>
      </c>
      <c r="BR81" s="343">
        <f t="shared" si="339"/>
        <v>2225.7372150628635</v>
      </c>
      <c r="BS81" s="343">
        <f t="shared" si="340"/>
        <v>1932.7549770368421</v>
      </c>
      <c r="BU81" s="350">
        <v>8.2044899218737051</v>
      </c>
      <c r="BV81" s="350">
        <v>3.7298934417499616</v>
      </c>
      <c r="BW81" s="350">
        <v>0</v>
      </c>
      <c r="BX81" s="350">
        <v>5357.6266999999998</v>
      </c>
      <c r="BY81" s="350">
        <v>2041.0733</v>
      </c>
      <c r="BZ81" s="351">
        <f t="shared" si="266"/>
        <v>1493.2171657810143</v>
      </c>
      <c r="CA81" s="351">
        <f t="shared" si="267"/>
        <v>1145.0772866172383</v>
      </c>
      <c r="CB81" s="352">
        <f t="shared" si="268"/>
        <v>0</v>
      </c>
      <c r="CC81" s="352">
        <f t="shared" si="269"/>
        <v>0</v>
      </c>
      <c r="CD81" s="353">
        <f t="shared" si="270"/>
        <v>1493.2171657810143</v>
      </c>
      <c r="CE81" s="353">
        <f t="shared" si="271"/>
        <v>1145.0772866172383</v>
      </c>
      <c r="CF81" s="343">
        <f t="shared" si="341"/>
        <v>1493.2171657810143</v>
      </c>
      <c r="CG81" s="343">
        <f t="shared" si="342"/>
        <v>1145.0772866172383</v>
      </c>
      <c r="CI81" s="350">
        <v>1.1598840925167484</v>
      </c>
      <c r="CJ81" s="350">
        <v>1.0198224298918679</v>
      </c>
      <c r="CK81" s="350">
        <v>0</v>
      </c>
      <c r="CL81" s="350">
        <v>13060.2017</v>
      </c>
      <c r="CM81" s="350">
        <v>5312.4291999999996</v>
      </c>
      <c r="CN81" s="351">
        <f t="shared" si="272"/>
        <v>209.93902074553145</v>
      </c>
      <c r="CO81" s="351">
        <f t="shared" si="273"/>
        <v>231.499691585454</v>
      </c>
      <c r="CP81" s="352">
        <f t="shared" si="274"/>
        <v>0</v>
      </c>
      <c r="CQ81" s="352">
        <f t="shared" si="275"/>
        <v>0</v>
      </c>
      <c r="CR81" s="353">
        <f t="shared" si="276"/>
        <v>209.93902074553145</v>
      </c>
      <c r="CS81" s="353">
        <f t="shared" si="277"/>
        <v>231.499691585454</v>
      </c>
      <c r="CT81" s="343">
        <f t="shared" si="343"/>
        <v>209.93902074553145</v>
      </c>
      <c r="CU81" s="343">
        <f t="shared" si="344"/>
        <v>231.499691585454</v>
      </c>
      <c r="CW81" s="350">
        <v>2.5731559953030705</v>
      </c>
      <c r="CX81" s="350">
        <v>1.9346507423087795</v>
      </c>
      <c r="CY81" s="350">
        <v>0</v>
      </c>
      <c r="CZ81" s="350">
        <v>6847.2524999999996</v>
      </c>
      <c r="DA81" s="350">
        <v>2991.4832999999999</v>
      </c>
      <c r="DB81" s="351">
        <f t="shared" si="278"/>
        <v>491.47279510288644</v>
      </c>
      <c r="DC81" s="351">
        <f t="shared" si="279"/>
        <v>506.87849448490022</v>
      </c>
      <c r="DD81" s="352">
        <f t="shared" si="280"/>
        <v>0</v>
      </c>
      <c r="DE81" s="352">
        <f t="shared" si="281"/>
        <v>0</v>
      </c>
      <c r="DF81" s="353">
        <f t="shared" si="282"/>
        <v>491.47279510288644</v>
      </c>
      <c r="DG81" s="353">
        <f t="shared" si="283"/>
        <v>506.87849448490022</v>
      </c>
      <c r="DH81" s="343">
        <f t="shared" si="345"/>
        <v>491.47279510288644</v>
      </c>
      <c r="DI81" s="343">
        <f t="shared" si="346"/>
        <v>506.87849448490022</v>
      </c>
      <c r="DK81" s="350">
        <v>3.7757000000000001</v>
      </c>
      <c r="DL81" s="350">
        <v>2.8058999999999998</v>
      </c>
      <c r="DM81" s="350">
        <v>0</v>
      </c>
      <c r="DN81" s="350">
        <v>1307.0308</v>
      </c>
      <c r="DO81" s="350">
        <v>720.55079999999998</v>
      </c>
      <c r="DP81" s="351">
        <f t="shared" si="284"/>
        <v>362.46719999999999</v>
      </c>
      <c r="DQ81" s="351">
        <f t="shared" si="285"/>
        <v>488.22659999999996</v>
      </c>
      <c r="DR81" s="352">
        <f t="shared" si="286"/>
        <v>0</v>
      </c>
      <c r="DS81" s="352">
        <f t="shared" si="287"/>
        <v>0</v>
      </c>
      <c r="DT81" s="353">
        <f t="shared" si="288"/>
        <v>362.46719999999999</v>
      </c>
      <c r="DU81" s="353">
        <f t="shared" si="289"/>
        <v>488.22659999999996</v>
      </c>
      <c r="DV81" s="343">
        <f t="shared" si="347"/>
        <v>362.46719999999999</v>
      </c>
      <c r="DW81" s="343">
        <f t="shared" si="348"/>
        <v>488.22659999999996</v>
      </c>
      <c r="EB81" s="326"/>
      <c r="EC81" s="326"/>
      <c r="ED81" s="326"/>
      <c r="EE81" s="348">
        <f t="shared" si="290"/>
        <v>38559.393400000001</v>
      </c>
      <c r="EF81" s="348">
        <f t="shared" si="291"/>
        <v>17081.904133333333</v>
      </c>
      <c r="EG81" s="348">
        <f t="shared" si="292"/>
        <v>7147.7330333012105</v>
      </c>
      <c r="EH81" s="348">
        <f t="shared" si="293"/>
        <v>7334.1329208504967</v>
      </c>
      <c r="EI81" s="354">
        <f t="shared" si="294"/>
        <v>0.69299953648456913</v>
      </c>
      <c r="EJ81" s="326"/>
      <c r="EK81" s="348">
        <f t="shared" si="295"/>
        <v>7147.7677111623152</v>
      </c>
      <c r="EL81" s="348">
        <f t="shared" si="296"/>
        <v>7334.0907328071198</v>
      </c>
      <c r="EM81" s="348">
        <f t="shared" si="297"/>
        <v>7147.7330333012105</v>
      </c>
      <c r="EN81" s="348">
        <f t="shared" si="298"/>
        <v>7334.056054946016</v>
      </c>
      <c r="EP81" s="326"/>
      <c r="EQ81" s="326"/>
      <c r="ER81" s="326"/>
      <c r="ES81" s="348">
        <f t="shared" si="299"/>
        <v>29975.891699999996</v>
      </c>
      <c r="ET81" s="348">
        <f t="shared" si="300"/>
        <v>12258.72</v>
      </c>
      <c r="EU81" s="348">
        <f t="shared" si="301"/>
        <v>6732.7360146383007</v>
      </c>
      <c r="EV81" s="348">
        <f t="shared" si="302"/>
        <v>6682.9159183406655</v>
      </c>
      <c r="EW81" s="354">
        <f t="shared" si="303"/>
        <v>0.70974706510679253</v>
      </c>
      <c r="EX81" s="326"/>
      <c r="EY81" s="348">
        <f t="shared" si="304"/>
        <v>6732.7360146383007</v>
      </c>
      <c r="EZ81" s="348">
        <f t="shared" si="305"/>
        <v>6682.9159183406655</v>
      </c>
      <c r="FA81" s="348">
        <f t="shared" si="306"/>
        <v>6732.7360146383007</v>
      </c>
      <c r="FB81" s="348">
        <f t="shared" si="307"/>
        <v>6682.9159183406655</v>
      </c>
      <c r="FD81" s="326"/>
      <c r="FE81" s="326"/>
      <c r="FF81" s="326"/>
      <c r="FG81" s="348">
        <f t="shared" si="308"/>
        <v>19954.753366666668</v>
      </c>
      <c r="FH81" s="348">
        <f t="shared" si="309"/>
        <v>8149.0508</v>
      </c>
      <c r="FI81" s="348">
        <f t="shared" si="310"/>
        <v>4766.4067425951653</v>
      </c>
      <c r="FJ81" s="348">
        <f t="shared" si="311"/>
        <v>4404.081760281545</v>
      </c>
      <c r="FK81" s="354">
        <f t="shared" si="312"/>
        <v>0.71003744718427053</v>
      </c>
      <c r="FL81" s="326"/>
      <c r="FM81" s="348">
        <f t="shared" si="313"/>
        <v>4766.4067425951653</v>
      </c>
      <c r="FN81" s="348">
        <f t="shared" si="314"/>
        <v>4404.081760281545</v>
      </c>
      <c r="FO81" s="348">
        <f t="shared" si="315"/>
        <v>4766.4067425951653</v>
      </c>
      <c r="FP81" s="348">
        <f t="shared" si="316"/>
        <v>4404.081760281545</v>
      </c>
      <c r="FR81" s="326"/>
      <c r="FS81" s="326"/>
      <c r="FT81" s="326"/>
      <c r="FU81" s="348">
        <f t="shared" si="317"/>
        <v>12928.6134</v>
      </c>
      <c r="FV81" s="348">
        <f t="shared" si="318"/>
        <v>5331.1566000000003</v>
      </c>
      <c r="FW81" s="349">
        <f t="shared" si="319"/>
        <v>639.47055079708696</v>
      </c>
      <c r="FX81" s="349">
        <f t="shared" si="320"/>
        <v>599.72388922176276</v>
      </c>
      <c r="FY81" s="354">
        <f t="shared" si="321"/>
        <v>0.70803812972452551</v>
      </c>
      <c r="FZ81" s="326"/>
      <c r="GA81" s="349">
        <f t="shared" si="322"/>
        <v>639.50176087208081</v>
      </c>
      <c r="GB81" s="349">
        <f t="shared" si="323"/>
        <v>599.68591998272336</v>
      </c>
      <c r="GC81" s="349">
        <f t="shared" si="232"/>
        <v>639.47055079708696</v>
      </c>
      <c r="GD81" s="349">
        <f t="shared" si="233"/>
        <v>599.65470990772928</v>
      </c>
      <c r="GF81" s="326"/>
      <c r="GG81" s="326"/>
      <c r="GH81" s="326"/>
      <c r="GI81" s="348">
        <f t="shared" si="324"/>
        <v>19907.4542</v>
      </c>
      <c r="GJ81" s="348">
        <f t="shared" si="325"/>
        <v>8303.9124999999985</v>
      </c>
      <c r="GK81" s="348">
        <f t="shared" si="326"/>
        <v>603.11725682784061</v>
      </c>
      <c r="GL81" s="348">
        <f t="shared" si="327"/>
        <v>637.00248717337422</v>
      </c>
      <c r="GM81" s="354">
        <f t="shared" si="328"/>
        <v>0.70565366122443129</v>
      </c>
      <c r="GN81" s="326"/>
      <c r="GO81" s="348">
        <f t="shared" si="329"/>
        <v>603.11725682784061</v>
      </c>
      <c r="GP81" s="348">
        <f t="shared" si="330"/>
        <v>637.00248717337422</v>
      </c>
      <c r="GQ81" s="348">
        <f t="shared" si="234"/>
        <v>603.11725682784061</v>
      </c>
      <c r="GR81" s="348">
        <f t="shared" si="235"/>
        <v>637.00248717337422</v>
      </c>
    </row>
    <row r="82" spans="1:200" x14ac:dyDescent="0.2">
      <c r="A82" s="320">
        <v>72</v>
      </c>
      <c r="C82" s="350">
        <v>4.3799473695010551</v>
      </c>
      <c r="D82" s="350">
        <v>2.0977154735442864</v>
      </c>
      <c r="E82" s="350">
        <v>0</v>
      </c>
      <c r="F82" s="350">
        <v>10329.305833333336</v>
      </c>
      <c r="G82" s="350">
        <v>5114.6908333333322</v>
      </c>
      <c r="H82" s="351">
        <f t="shared" si="236"/>
        <v>4493.8260011080829</v>
      </c>
      <c r="I82" s="351">
        <f t="shared" si="237"/>
        <v>4984.171965141225</v>
      </c>
      <c r="J82" s="352">
        <f t="shared" si="238"/>
        <v>0</v>
      </c>
      <c r="K82" s="352">
        <f t="shared" si="239"/>
        <v>0</v>
      </c>
      <c r="L82" s="353">
        <f t="shared" si="240"/>
        <v>4493.8260011080829</v>
      </c>
      <c r="M82" s="353">
        <f t="shared" si="241"/>
        <v>4984.171965141225</v>
      </c>
      <c r="N82" s="343">
        <f t="shared" si="331"/>
        <v>4493.8260011080829</v>
      </c>
      <c r="O82" s="343">
        <f t="shared" si="332"/>
        <v>4984.171965141225</v>
      </c>
      <c r="Q82" s="350">
        <v>5.8510443641491205</v>
      </c>
      <c r="R82" s="350">
        <v>2.5407932044033941</v>
      </c>
      <c r="S82" s="350">
        <v>0</v>
      </c>
      <c r="T82" s="350">
        <v>2280.4183333333326</v>
      </c>
      <c r="U82" s="350">
        <v>627.995</v>
      </c>
      <c r="V82" s="351">
        <f t="shared" si="242"/>
        <v>4119.1352323609808</v>
      </c>
      <c r="W82" s="351">
        <f t="shared" si="243"/>
        <v>4263.450996988895</v>
      </c>
      <c r="X82" s="352">
        <f t="shared" si="244"/>
        <v>0</v>
      </c>
      <c r="Y82" s="352">
        <f t="shared" si="245"/>
        <v>0</v>
      </c>
      <c r="Z82" s="353">
        <f t="shared" si="246"/>
        <v>4119.1352323609808</v>
      </c>
      <c r="AA82" s="353">
        <f t="shared" si="247"/>
        <v>4263.450996988895</v>
      </c>
      <c r="AB82" s="343">
        <f t="shared" si="333"/>
        <v>4119.1352323609808</v>
      </c>
      <c r="AC82" s="343">
        <f t="shared" si="334"/>
        <v>4263.450996988895</v>
      </c>
      <c r="AE82" s="350">
        <v>8.409862771822727</v>
      </c>
      <c r="AF82" s="350">
        <v>3.6983969722741326</v>
      </c>
      <c r="AG82" s="350">
        <v>0</v>
      </c>
      <c r="AH82" s="350">
        <v>224.00583333333333</v>
      </c>
      <c r="AI82" s="350">
        <v>96.25</v>
      </c>
      <c r="AJ82" s="351">
        <f t="shared" si="248"/>
        <v>2993.9111467688908</v>
      </c>
      <c r="AK82" s="351">
        <f t="shared" si="249"/>
        <v>2832.9720807619856</v>
      </c>
      <c r="AL82" s="352">
        <f t="shared" si="250"/>
        <v>0</v>
      </c>
      <c r="AM82" s="352">
        <f t="shared" si="251"/>
        <v>0</v>
      </c>
      <c r="AN82" s="353">
        <f t="shared" si="252"/>
        <v>2993.9111467688908</v>
      </c>
      <c r="AO82" s="353">
        <f t="shared" si="253"/>
        <v>2832.9720807619856</v>
      </c>
      <c r="AP82" s="343">
        <f t="shared" si="335"/>
        <v>2993.9111467688908</v>
      </c>
      <c r="AQ82" s="343">
        <f t="shared" si="336"/>
        <v>2832.9720807619856</v>
      </c>
      <c r="AS82" s="350">
        <v>9.3706999999999994</v>
      </c>
      <c r="AT82" s="350">
        <v>3.8686320558942611</v>
      </c>
      <c r="AU82" s="350">
        <v>4.7742797814679451E-4</v>
      </c>
      <c r="AV82" s="350">
        <v>6734.6274999999996</v>
      </c>
      <c r="AW82" s="350">
        <v>2995.5958000000001</v>
      </c>
      <c r="AX82" s="351">
        <f t="shared" si="254"/>
        <v>2361.4164000000001</v>
      </c>
      <c r="AY82" s="351">
        <f t="shared" si="255"/>
        <v>1938.1846600030249</v>
      </c>
      <c r="AZ82" s="352">
        <f t="shared" si="256"/>
        <v>7.6865904481633912E-2</v>
      </c>
      <c r="BA82" s="352">
        <f t="shared" si="257"/>
        <v>3.4649800031320996E-2</v>
      </c>
      <c r="BB82" s="353">
        <f t="shared" si="258"/>
        <v>2361.4510498000313</v>
      </c>
      <c r="BC82" s="353">
        <f t="shared" si="259"/>
        <v>1938.1424438985746</v>
      </c>
      <c r="BD82" s="343">
        <f t="shared" si="337"/>
        <v>2361.4164000000001</v>
      </c>
      <c r="BE82" s="343">
        <f t="shared" si="338"/>
        <v>1938.1077940985433</v>
      </c>
      <c r="BG82" s="350">
        <v>10.037173746029906</v>
      </c>
      <c r="BH82" s="350">
        <v>4.2044360314711637</v>
      </c>
      <c r="BI82" s="350">
        <v>0</v>
      </c>
      <c r="BJ82" s="350">
        <v>6751.45</v>
      </c>
      <c r="BK82" s="350">
        <v>3003.5958000000001</v>
      </c>
      <c r="BL82" s="351">
        <f t="shared" si="260"/>
        <v>2378.8101778090877</v>
      </c>
      <c r="BM82" s="351">
        <f t="shared" si="261"/>
        <v>2026.5381671691009</v>
      </c>
      <c r="BN82" s="352">
        <f t="shared" si="262"/>
        <v>0</v>
      </c>
      <c r="BO82" s="352">
        <f t="shared" si="263"/>
        <v>0</v>
      </c>
      <c r="BP82" s="353">
        <f t="shared" si="264"/>
        <v>2378.8101778090877</v>
      </c>
      <c r="BQ82" s="353">
        <f t="shared" si="265"/>
        <v>2026.5381671691009</v>
      </c>
      <c r="BR82" s="343">
        <f t="shared" si="339"/>
        <v>2378.8101778090877</v>
      </c>
      <c r="BS82" s="343">
        <f t="shared" si="340"/>
        <v>2026.5381671691009</v>
      </c>
      <c r="BU82" s="350">
        <v>8.7807854796399738</v>
      </c>
      <c r="BV82" s="350">
        <v>3.9734023802833138</v>
      </c>
      <c r="BW82" s="350">
        <v>0</v>
      </c>
      <c r="BX82" s="350">
        <v>5058.5742</v>
      </c>
      <c r="BY82" s="350">
        <v>2017.7266999999999</v>
      </c>
      <c r="BZ82" s="351">
        <f t="shared" si="266"/>
        <v>1598.1029572944753</v>
      </c>
      <c r="CA82" s="351">
        <f t="shared" si="267"/>
        <v>1219.8345307469774</v>
      </c>
      <c r="CB82" s="352">
        <f t="shared" si="268"/>
        <v>0</v>
      </c>
      <c r="CC82" s="352">
        <f t="shared" si="269"/>
        <v>0</v>
      </c>
      <c r="CD82" s="353">
        <f t="shared" si="270"/>
        <v>1598.1029572944753</v>
      </c>
      <c r="CE82" s="353">
        <f t="shared" si="271"/>
        <v>1219.8345307469774</v>
      </c>
      <c r="CF82" s="343">
        <f t="shared" si="341"/>
        <v>1598.1029572944753</v>
      </c>
      <c r="CG82" s="343">
        <f t="shared" si="342"/>
        <v>1219.8345307469774</v>
      </c>
      <c r="CI82" s="350">
        <v>1.1526742031688972</v>
      </c>
      <c r="CJ82" s="350">
        <v>0.99981620690913686</v>
      </c>
      <c r="CK82" s="350">
        <v>0</v>
      </c>
      <c r="CL82" s="350">
        <v>11078.6167</v>
      </c>
      <c r="CM82" s="350">
        <v>4476.7416999999996</v>
      </c>
      <c r="CN82" s="351">
        <f t="shared" si="272"/>
        <v>208.6340307735704</v>
      </c>
      <c r="CO82" s="351">
        <f t="shared" si="273"/>
        <v>226.95827896837406</v>
      </c>
      <c r="CP82" s="352">
        <f t="shared" si="274"/>
        <v>0</v>
      </c>
      <c r="CQ82" s="352">
        <f t="shared" si="275"/>
        <v>0</v>
      </c>
      <c r="CR82" s="353">
        <f t="shared" si="276"/>
        <v>208.6340307735704</v>
      </c>
      <c r="CS82" s="353">
        <f t="shared" si="277"/>
        <v>226.95827896837406</v>
      </c>
      <c r="CT82" s="343">
        <f t="shared" si="343"/>
        <v>208.6340307735704</v>
      </c>
      <c r="CU82" s="343">
        <f t="shared" si="344"/>
        <v>226.95827896837406</v>
      </c>
      <c r="CW82" s="350">
        <v>2.5691442145964065</v>
      </c>
      <c r="CX82" s="350">
        <v>1.9112872874153106</v>
      </c>
      <c r="CY82" s="350">
        <v>0</v>
      </c>
      <c r="CZ82" s="350">
        <v>5773.5842000000002</v>
      </c>
      <c r="DA82" s="350">
        <v>2552.4450000000002</v>
      </c>
      <c r="DB82" s="351">
        <f t="shared" si="278"/>
        <v>490.70654498791362</v>
      </c>
      <c r="DC82" s="351">
        <f t="shared" si="279"/>
        <v>500.75726930281138</v>
      </c>
      <c r="DD82" s="352">
        <f t="shared" si="280"/>
        <v>0</v>
      </c>
      <c r="DE82" s="352">
        <f t="shared" si="281"/>
        <v>0</v>
      </c>
      <c r="DF82" s="353">
        <f t="shared" si="282"/>
        <v>490.70654498791362</v>
      </c>
      <c r="DG82" s="353">
        <f t="shared" si="283"/>
        <v>500.75726930281138</v>
      </c>
      <c r="DH82" s="343">
        <f t="shared" si="345"/>
        <v>490.70654498791362</v>
      </c>
      <c r="DI82" s="343">
        <f t="shared" si="346"/>
        <v>500.75726930281138</v>
      </c>
      <c r="DK82" s="350">
        <v>3.8378999999999999</v>
      </c>
      <c r="DL82" s="350">
        <v>2.7976000000000001</v>
      </c>
      <c r="DM82" s="350">
        <v>0</v>
      </c>
      <c r="DN82" s="350">
        <v>1142.6400000000001</v>
      </c>
      <c r="DO82" s="350">
        <v>717.41669999999999</v>
      </c>
      <c r="DP82" s="351">
        <f t="shared" si="284"/>
        <v>368.4384</v>
      </c>
      <c r="DQ82" s="351">
        <f t="shared" si="285"/>
        <v>486.7824</v>
      </c>
      <c r="DR82" s="352">
        <f t="shared" si="286"/>
        <v>0</v>
      </c>
      <c r="DS82" s="352">
        <f t="shared" si="287"/>
        <v>0</v>
      </c>
      <c r="DT82" s="353">
        <f t="shared" si="288"/>
        <v>368.4384</v>
      </c>
      <c r="DU82" s="353">
        <f t="shared" si="289"/>
        <v>486.7824</v>
      </c>
      <c r="DV82" s="343">
        <f t="shared" si="347"/>
        <v>368.4384</v>
      </c>
      <c r="DW82" s="343">
        <f t="shared" si="348"/>
        <v>486.7824</v>
      </c>
      <c r="EB82" s="326"/>
      <c r="EC82" s="326"/>
      <c r="ED82" s="326"/>
      <c r="EE82" s="348">
        <f t="shared" si="290"/>
        <v>33916.13423333333</v>
      </c>
      <c r="EF82" s="348">
        <f t="shared" si="291"/>
        <v>15139.473333333332</v>
      </c>
      <c r="EG82" s="348">
        <f t="shared" si="292"/>
        <v>7456.4416678719836</v>
      </c>
      <c r="EH82" s="348">
        <f t="shared" si="293"/>
        <v>7549.9207195548724</v>
      </c>
      <c r="EI82" s="354">
        <f t="shared" si="294"/>
        <v>0.69138139176527869</v>
      </c>
      <c r="EJ82" s="326"/>
      <c r="EK82" s="348">
        <f t="shared" si="295"/>
        <v>7456.4763176720153</v>
      </c>
      <c r="EL82" s="348">
        <f t="shared" si="296"/>
        <v>7549.8785034504226</v>
      </c>
      <c r="EM82" s="348">
        <f t="shared" si="297"/>
        <v>7456.4416678719836</v>
      </c>
      <c r="EN82" s="348">
        <f t="shared" si="298"/>
        <v>7549.8438536503909</v>
      </c>
      <c r="EP82" s="326"/>
      <c r="EQ82" s="326"/>
      <c r="ER82" s="326"/>
      <c r="ES82" s="348">
        <f t="shared" si="299"/>
        <v>25884.069233333332</v>
      </c>
      <c r="ET82" s="348">
        <f t="shared" si="300"/>
        <v>10660.7775</v>
      </c>
      <c r="EU82" s="348">
        <f t="shared" si="301"/>
        <v>7050.0740224351775</v>
      </c>
      <c r="EV82" s="348">
        <f t="shared" si="302"/>
        <v>6867.4775316383375</v>
      </c>
      <c r="EW82" s="354">
        <f t="shared" si="303"/>
        <v>0.70828233108237182</v>
      </c>
      <c r="EX82" s="326"/>
      <c r="EY82" s="348">
        <f t="shared" si="304"/>
        <v>7050.0740224351775</v>
      </c>
      <c r="EZ82" s="348">
        <f t="shared" si="305"/>
        <v>6867.4775316383375</v>
      </c>
      <c r="FA82" s="348">
        <f t="shared" si="306"/>
        <v>7050.0740224351775</v>
      </c>
      <c r="FB82" s="348">
        <f t="shared" si="307"/>
        <v>6867.4775316383375</v>
      </c>
      <c r="FD82" s="326"/>
      <c r="FE82" s="326"/>
      <c r="FF82" s="326"/>
      <c r="FG82" s="348">
        <f t="shared" si="308"/>
        <v>17503.836733333334</v>
      </c>
      <c r="FH82" s="348">
        <f t="shared" si="309"/>
        <v>7308.1350999999995</v>
      </c>
      <c r="FI82" s="348">
        <f t="shared" si="310"/>
        <v>5021.7111748369362</v>
      </c>
      <c r="FJ82" s="348">
        <f t="shared" si="311"/>
        <v>4571.8343304773371</v>
      </c>
      <c r="FK82" s="354">
        <f t="shared" si="312"/>
        <v>0.70545931822387542</v>
      </c>
      <c r="FL82" s="326"/>
      <c r="FM82" s="348">
        <f t="shared" si="313"/>
        <v>5021.7111748369362</v>
      </c>
      <c r="FN82" s="348">
        <f t="shared" si="314"/>
        <v>4571.8343304773371</v>
      </c>
      <c r="FO82" s="348">
        <f t="shared" si="315"/>
        <v>5021.7111748369362</v>
      </c>
      <c r="FP82" s="348">
        <f t="shared" si="316"/>
        <v>4571.8343304773371</v>
      </c>
      <c r="FR82" s="326"/>
      <c r="FS82" s="326"/>
      <c r="FT82" s="326"/>
      <c r="FU82" s="348">
        <f t="shared" si="317"/>
        <v>11793.2017</v>
      </c>
      <c r="FV82" s="348">
        <f t="shared" si="318"/>
        <v>5013.3225000000002</v>
      </c>
      <c r="FW82" s="349">
        <f t="shared" si="319"/>
        <v>686.98209843497227</v>
      </c>
      <c r="FX82" s="349">
        <f t="shared" si="320"/>
        <v>646.51511633044277</v>
      </c>
      <c r="FY82" s="354">
        <f t="shared" si="321"/>
        <v>0.70170378834191072</v>
      </c>
      <c r="FZ82" s="326"/>
      <c r="GA82" s="349">
        <f t="shared" si="322"/>
        <v>687.01328325500037</v>
      </c>
      <c r="GB82" s="349">
        <f t="shared" si="323"/>
        <v>646.4771218364375</v>
      </c>
      <c r="GC82" s="349">
        <f t="shared" si="232"/>
        <v>686.98209843497227</v>
      </c>
      <c r="GD82" s="349">
        <f t="shared" si="233"/>
        <v>646.44593701640929</v>
      </c>
      <c r="GF82" s="326"/>
      <c r="GG82" s="326"/>
      <c r="GH82" s="326"/>
      <c r="GI82" s="348">
        <f t="shared" si="324"/>
        <v>16852.2009</v>
      </c>
      <c r="GJ82" s="348">
        <f t="shared" si="325"/>
        <v>7029.1867000000002</v>
      </c>
      <c r="GK82" s="348">
        <f t="shared" si="326"/>
        <v>601.19926676390128</v>
      </c>
      <c r="GL82" s="348">
        <f t="shared" si="327"/>
        <v>627.56409441062317</v>
      </c>
      <c r="GM82" s="354">
        <f t="shared" si="328"/>
        <v>0.70566255119949561</v>
      </c>
      <c r="GN82" s="326"/>
      <c r="GO82" s="348">
        <f t="shared" si="329"/>
        <v>601.19926676390128</v>
      </c>
      <c r="GP82" s="348">
        <f t="shared" si="330"/>
        <v>627.56409441062317</v>
      </c>
      <c r="GQ82" s="348">
        <f t="shared" si="234"/>
        <v>601.19926676390128</v>
      </c>
      <c r="GR82" s="348">
        <f t="shared" si="235"/>
        <v>627.56409441062317</v>
      </c>
    </row>
    <row r="83" spans="1:200" x14ac:dyDescent="0.2">
      <c r="A83" s="320">
        <v>73</v>
      </c>
      <c r="C83" s="350">
        <v>4.5266731953976178</v>
      </c>
      <c r="D83" s="350">
        <v>2.1377820481171157</v>
      </c>
      <c r="E83" s="350">
        <v>0</v>
      </c>
      <c r="F83" s="350">
        <v>8906.3716666666623</v>
      </c>
      <c r="G83" s="350">
        <v>4627.4733333333334</v>
      </c>
      <c r="H83" s="351">
        <f t="shared" si="236"/>
        <v>4644.3666984779557</v>
      </c>
      <c r="I83" s="351">
        <f t="shared" si="237"/>
        <v>5079.3701463262669</v>
      </c>
      <c r="J83" s="352">
        <f t="shared" si="238"/>
        <v>0</v>
      </c>
      <c r="K83" s="352">
        <f t="shared" si="239"/>
        <v>0</v>
      </c>
      <c r="L83" s="353">
        <f t="shared" si="240"/>
        <v>4644.3666984779557</v>
      </c>
      <c r="M83" s="353">
        <f t="shared" si="241"/>
        <v>5079.3701463262669</v>
      </c>
      <c r="N83" s="343">
        <f t="shared" si="331"/>
        <v>4644.3666984779557</v>
      </c>
      <c r="O83" s="343">
        <f t="shared" si="332"/>
        <v>5079.3701463262669</v>
      </c>
      <c r="Q83" s="350">
        <v>6.0849311694234665</v>
      </c>
      <c r="R83" s="350">
        <v>2.5972775208266787</v>
      </c>
      <c r="S83" s="350">
        <v>0</v>
      </c>
      <c r="T83" s="350">
        <v>1963.7916666666665</v>
      </c>
      <c r="U83" s="350">
        <v>521.95583333333332</v>
      </c>
      <c r="V83" s="351">
        <f t="shared" si="242"/>
        <v>4283.7915432741202</v>
      </c>
      <c r="W83" s="351">
        <f t="shared" si="243"/>
        <v>4358.2316799471673</v>
      </c>
      <c r="X83" s="352">
        <f t="shared" si="244"/>
        <v>0</v>
      </c>
      <c r="Y83" s="352">
        <f t="shared" si="245"/>
        <v>0</v>
      </c>
      <c r="Z83" s="353">
        <f t="shared" si="246"/>
        <v>4283.7915432741202</v>
      </c>
      <c r="AA83" s="353">
        <f t="shared" si="247"/>
        <v>4358.2316799471673</v>
      </c>
      <c r="AB83" s="343">
        <f t="shared" si="333"/>
        <v>4283.7915432741202</v>
      </c>
      <c r="AC83" s="343">
        <f t="shared" si="334"/>
        <v>4358.2316799471673</v>
      </c>
      <c r="AE83" s="350">
        <v>8.8258369365137401</v>
      </c>
      <c r="AF83" s="350">
        <v>3.8270499960462931</v>
      </c>
      <c r="AG83" s="350">
        <v>0</v>
      </c>
      <c r="AH83" s="350">
        <v>175.45666666666665</v>
      </c>
      <c r="AI83" s="350">
        <v>64</v>
      </c>
      <c r="AJ83" s="351">
        <f t="shared" si="248"/>
        <v>3141.9979493988917</v>
      </c>
      <c r="AK83" s="351">
        <f t="shared" si="249"/>
        <v>2931.5202969714605</v>
      </c>
      <c r="AL83" s="352">
        <f t="shared" si="250"/>
        <v>0</v>
      </c>
      <c r="AM83" s="352">
        <f t="shared" si="251"/>
        <v>0</v>
      </c>
      <c r="AN83" s="353">
        <f t="shared" si="252"/>
        <v>3141.9979493988917</v>
      </c>
      <c r="AO83" s="353">
        <f t="shared" si="253"/>
        <v>2931.5202969714605</v>
      </c>
      <c r="AP83" s="343">
        <f t="shared" si="335"/>
        <v>3141.9979493988917</v>
      </c>
      <c r="AQ83" s="343">
        <f t="shared" si="336"/>
        <v>2931.5202969714605</v>
      </c>
      <c r="AS83" s="350">
        <v>10.0069</v>
      </c>
      <c r="AT83" s="350">
        <v>4.1481280425619032</v>
      </c>
      <c r="AU83" s="350">
        <v>4.7742797814679451E-4</v>
      </c>
      <c r="AV83" s="350">
        <v>5849.1774999999998</v>
      </c>
      <c r="AW83" s="350">
        <v>2544.2557999999999</v>
      </c>
      <c r="AX83" s="351">
        <f t="shared" si="254"/>
        <v>2521.7388000000001</v>
      </c>
      <c r="AY83" s="351">
        <f t="shared" si="255"/>
        <v>2078.2121493235136</v>
      </c>
      <c r="AZ83" s="352">
        <f t="shared" si="256"/>
        <v>7.6865904481633912E-2</v>
      </c>
      <c r="BA83" s="352">
        <f t="shared" si="257"/>
        <v>3.4727252164713798E-2</v>
      </c>
      <c r="BB83" s="353">
        <f t="shared" si="258"/>
        <v>2521.773527252165</v>
      </c>
      <c r="BC83" s="353">
        <f t="shared" si="259"/>
        <v>2078.1700106711969</v>
      </c>
      <c r="BD83" s="343">
        <f t="shared" si="337"/>
        <v>2521.7388000000001</v>
      </c>
      <c r="BE83" s="343">
        <f t="shared" si="338"/>
        <v>2078.135283419032</v>
      </c>
      <c r="BG83" s="350">
        <v>10.686507031495795</v>
      </c>
      <c r="BH83" s="350">
        <v>4.4222295044756539</v>
      </c>
      <c r="BI83" s="350">
        <v>0</v>
      </c>
      <c r="BJ83" s="350">
        <v>5888.8549999999996</v>
      </c>
      <c r="BK83" s="350">
        <v>2564.0057999999999</v>
      </c>
      <c r="BL83" s="351">
        <f t="shared" si="260"/>
        <v>2532.7021664645035</v>
      </c>
      <c r="BM83" s="351">
        <f t="shared" si="261"/>
        <v>2131.5146211572651</v>
      </c>
      <c r="BN83" s="352">
        <f t="shared" si="262"/>
        <v>0</v>
      </c>
      <c r="BO83" s="352">
        <f t="shared" si="263"/>
        <v>0</v>
      </c>
      <c r="BP83" s="353">
        <f t="shared" si="264"/>
        <v>2532.7021664645035</v>
      </c>
      <c r="BQ83" s="353">
        <f t="shared" si="265"/>
        <v>2131.5146211572651</v>
      </c>
      <c r="BR83" s="343">
        <f t="shared" si="339"/>
        <v>2532.7021664645035</v>
      </c>
      <c r="BS83" s="343">
        <f t="shared" si="340"/>
        <v>2131.5146211572651</v>
      </c>
      <c r="BU83" s="350">
        <v>9.4055337476442702</v>
      </c>
      <c r="BV83" s="350">
        <v>4.25414356328446</v>
      </c>
      <c r="BW83" s="350">
        <v>0</v>
      </c>
      <c r="BX83" s="350">
        <v>4194.6441999999997</v>
      </c>
      <c r="BY83" s="350">
        <v>1638</v>
      </c>
      <c r="BZ83" s="351">
        <f t="shared" si="266"/>
        <v>1711.8071420712572</v>
      </c>
      <c r="CA83" s="351">
        <f t="shared" si="267"/>
        <v>1306.0220739283293</v>
      </c>
      <c r="CB83" s="352">
        <f t="shared" si="268"/>
        <v>0</v>
      </c>
      <c r="CC83" s="352">
        <f t="shared" si="269"/>
        <v>0</v>
      </c>
      <c r="CD83" s="353">
        <f t="shared" si="270"/>
        <v>1711.8071420712572</v>
      </c>
      <c r="CE83" s="353">
        <f t="shared" si="271"/>
        <v>1306.0220739283293</v>
      </c>
      <c r="CF83" s="343">
        <f t="shared" si="341"/>
        <v>1711.8071420712572</v>
      </c>
      <c r="CG83" s="343">
        <f t="shared" si="342"/>
        <v>1306.0220739283293</v>
      </c>
      <c r="CI83" s="350">
        <v>1.1410497322416076</v>
      </c>
      <c r="CJ83" s="350">
        <v>0.97588511683538459</v>
      </c>
      <c r="CK83" s="350">
        <v>0</v>
      </c>
      <c r="CL83" s="350">
        <v>8940.2682999999997</v>
      </c>
      <c r="CM83" s="350">
        <v>3658.2833000000001</v>
      </c>
      <c r="CN83" s="351">
        <f t="shared" si="272"/>
        <v>206.53000153573097</v>
      </c>
      <c r="CO83" s="351">
        <f t="shared" si="273"/>
        <v>221.52592152163231</v>
      </c>
      <c r="CP83" s="352">
        <f t="shared" si="274"/>
        <v>0</v>
      </c>
      <c r="CQ83" s="352">
        <f t="shared" si="275"/>
        <v>0</v>
      </c>
      <c r="CR83" s="353">
        <f t="shared" si="276"/>
        <v>206.53000153573097</v>
      </c>
      <c r="CS83" s="353">
        <f t="shared" si="277"/>
        <v>221.52592152163231</v>
      </c>
      <c r="CT83" s="343">
        <f t="shared" si="343"/>
        <v>206.53000153573097</v>
      </c>
      <c r="CU83" s="343">
        <f t="shared" si="344"/>
        <v>221.52592152163231</v>
      </c>
      <c r="CW83" s="350">
        <v>2.5579618002960891</v>
      </c>
      <c r="CX83" s="350">
        <v>1.8823234073996555</v>
      </c>
      <c r="CY83" s="350">
        <v>0</v>
      </c>
      <c r="CZ83" s="350">
        <v>4686.9867000000004</v>
      </c>
      <c r="DA83" s="350">
        <v>2167.0383000000002</v>
      </c>
      <c r="DB83" s="351">
        <f t="shared" si="278"/>
        <v>488.570703856553</v>
      </c>
      <c r="DC83" s="351">
        <f t="shared" si="279"/>
        <v>493.16873273870976</v>
      </c>
      <c r="DD83" s="352">
        <f t="shared" si="280"/>
        <v>0</v>
      </c>
      <c r="DE83" s="352">
        <f t="shared" si="281"/>
        <v>0</v>
      </c>
      <c r="DF83" s="353">
        <f t="shared" si="282"/>
        <v>488.570703856553</v>
      </c>
      <c r="DG83" s="353">
        <f t="shared" si="283"/>
        <v>493.16873273870976</v>
      </c>
      <c r="DH83" s="343">
        <f t="shared" si="345"/>
        <v>488.570703856553</v>
      </c>
      <c r="DI83" s="343">
        <f t="shared" si="346"/>
        <v>493.16873273870976</v>
      </c>
      <c r="DK83" s="350">
        <v>3.8824000000000001</v>
      </c>
      <c r="DL83" s="350">
        <v>2.7753000000000001</v>
      </c>
      <c r="DM83" s="350">
        <v>0</v>
      </c>
      <c r="DN83" s="350">
        <v>989.51829999999995</v>
      </c>
      <c r="DO83" s="350">
        <v>583.86580000000004</v>
      </c>
      <c r="DP83" s="351">
        <f t="shared" si="284"/>
        <v>372.71039999999999</v>
      </c>
      <c r="DQ83" s="351">
        <f t="shared" si="285"/>
        <v>482.90219999999999</v>
      </c>
      <c r="DR83" s="352">
        <f t="shared" si="286"/>
        <v>0</v>
      </c>
      <c r="DS83" s="352">
        <f t="shared" si="287"/>
        <v>0</v>
      </c>
      <c r="DT83" s="353">
        <f t="shared" si="288"/>
        <v>372.71039999999999</v>
      </c>
      <c r="DU83" s="353">
        <f t="shared" si="289"/>
        <v>482.90219999999999</v>
      </c>
      <c r="DV83" s="343">
        <f t="shared" si="347"/>
        <v>372.71039999999999</v>
      </c>
      <c r="DW83" s="343">
        <f t="shared" si="348"/>
        <v>482.90219999999999</v>
      </c>
      <c r="EB83" s="326"/>
      <c r="EC83" s="326"/>
      <c r="ED83" s="326"/>
      <c r="EE83" s="348">
        <f t="shared" si="290"/>
        <v>28382.804166666661</v>
      </c>
      <c r="EF83" s="348">
        <f t="shared" si="291"/>
        <v>12997.050733333333</v>
      </c>
      <c r="EG83" s="348">
        <f t="shared" si="292"/>
        <v>7763.4920630989291</v>
      </c>
      <c r="EH83" s="348">
        <f t="shared" si="293"/>
        <v>7773.6432033623805</v>
      </c>
      <c r="EI83" s="354">
        <f t="shared" si="294"/>
        <v>0.68590874074492392</v>
      </c>
      <c r="EJ83" s="326"/>
      <c r="EK83" s="348">
        <f t="shared" si="295"/>
        <v>7763.526790351094</v>
      </c>
      <c r="EL83" s="348">
        <f t="shared" si="296"/>
        <v>7773.6010647100638</v>
      </c>
      <c r="EM83" s="348">
        <f t="shared" si="297"/>
        <v>7763.4920630989291</v>
      </c>
      <c r="EN83" s="348">
        <f t="shared" si="298"/>
        <v>7773.566337457899</v>
      </c>
      <c r="EP83" s="326"/>
      <c r="EQ83" s="326"/>
      <c r="ER83" s="326"/>
      <c r="ES83" s="348">
        <f t="shared" si="299"/>
        <v>21479.901666666665</v>
      </c>
      <c r="ET83" s="348">
        <f t="shared" si="300"/>
        <v>8911.2832333333336</v>
      </c>
      <c r="EU83" s="348">
        <f t="shared" si="301"/>
        <v>7365.0232039739412</v>
      </c>
      <c r="EV83" s="348">
        <f t="shared" si="302"/>
        <v>7056.4903355431616</v>
      </c>
      <c r="EW83" s="354">
        <f t="shared" si="303"/>
        <v>0.70678065818574465</v>
      </c>
      <c r="EX83" s="326"/>
      <c r="EY83" s="348">
        <f t="shared" si="304"/>
        <v>7365.0232039739412</v>
      </c>
      <c r="EZ83" s="348">
        <f t="shared" si="305"/>
        <v>7056.4903355431616</v>
      </c>
      <c r="FA83" s="348">
        <f t="shared" si="306"/>
        <v>7365.0232039739412</v>
      </c>
      <c r="FB83" s="348">
        <f t="shared" si="307"/>
        <v>7056.4903355431616</v>
      </c>
      <c r="FD83" s="326"/>
      <c r="FE83" s="326"/>
      <c r="FF83" s="326"/>
      <c r="FG83" s="348">
        <f t="shared" si="308"/>
        <v>14299.887466666667</v>
      </c>
      <c r="FH83" s="348">
        <f t="shared" si="309"/>
        <v>5944.1491000000005</v>
      </c>
      <c r="FI83" s="348">
        <f t="shared" si="310"/>
        <v>5283.9613330058792</v>
      </c>
      <c r="FJ83" s="348">
        <f t="shared" si="311"/>
        <v>4748.8096124214217</v>
      </c>
      <c r="FK83" s="354">
        <f t="shared" si="312"/>
        <v>0.70637530314544628</v>
      </c>
      <c r="FL83" s="326"/>
      <c r="FM83" s="348">
        <f t="shared" si="313"/>
        <v>5283.9613330058792</v>
      </c>
      <c r="FN83" s="348">
        <f t="shared" si="314"/>
        <v>4748.8096124214217</v>
      </c>
      <c r="FO83" s="348">
        <f t="shared" si="315"/>
        <v>5283.9613330058792</v>
      </c>
      <c r="FP83" s="348">
        <f t="shared" si="316"/>
        <v>4748.8096124214217</v>
      </c>
      <c r="FR83" s="326"/>
      <c r="FS83" s="326"/>
      <c r="FT83" s="326"/>
      <c r="FU83" s="348">
        <f t="shared" si="317"/>
        <v>10043.8217</v>
      </c>
      <c r="FV83" s="348">
        <f t="shared" si="318"/>
        <v>4182.2557999999999</v>
      </c>
      <c r="FW83" s="349">
        <f t="shared" si="319"/>
        <v>728.93849213586861</v>
      </c>
      <c r="FX83" s="349">
        <f t="shared" si="320"/>
        <v>694.97106785566586</v>
      </c>
      <c r="FY83" s="354">
        <f t="shared" si="321"/>
        <v>0.70601483086254813</v>
      </c>
      <c r="FZ83" s="326"/>
      <c r="GA83" s="349">
        <f t="shared" si="322"/>
        <v>728.96974666281699</v>
      </c>
      <c r="GB83" s="349">
        <f t="shared" si="323"/>
        <v>694.93314306858088</v>
      </c>
      <c r="GC83" s="349">
        <f t="shared" si="232"/>
        <v>728.93849213586861</v>
      </c>
      <c r="GD83" s="349">
        <f t="shared" si="233"/>
        <v>694.9018885416325</v>
      </c>
      <c r="GF83" s="326"/>
      <c r="GG83" s="326"/>
      <c r="GH83" s="326"/>
      <c r="GI83" s="348">
        <f t="shared" si="324"/>
        <v>13627.255000000001</v>
      </c>
      <c r="GJ83" s="348">
        <f t="shared" si="325"/>
        <v>5825.3216000000002</v>
      </c>
      <c r="GK83" s="348">
        <f t="shared" si="326"/>
        <v>597.38656462097345</v>
      </c>
      <c r="GL83" s="348">
        <f t="shared" si="327"/>
        <v>616.06090771260017</v>
      </c>
      <c r="GM83" s="354">
        <f t="shared" si="328"/>
        <v>0.70053727484101003</v>
      </c>
      <c r="GN83" s="326"/>
      <c r="GO83" s="348">
        <f t="shared" si="329"/>
        <v>597.38656462097345</v>
      </c>
      <c r="GP83" s="348">
        <f t="shared" si="330"/>
        <v>616.06090771260017</v>
      </c>
      <c r="GQ83" s="348">
        <f t="shared" si="234"/>
        <v>597.38656462097345</v>
      </c>
      <c r="GR83" s="348">
        <f t="shared" si="235"/>
        <v>616.06090771260017</v>
      </c>
    </row>
    <row r="84" spans="1:200" x14ac:dyDescent="0.2">
      <c r="A84" s="320">
        <v>74</v>
      </c>
      <c r="C84" s="350">
        <v>4.6709032780772963</v>
      </c>
      <c r="D84" s="350">
        <v>2.176587048873432</v>
      </c>
      <c r="E84" s="350">
        <v>0</v>
      </c>
      <c r="F84" s="350">
        <v>7545.6016666666665</v>
      </c>
      <c r="G84" s="350">
        <v>4035.1441666666665</v>
      </c>
      <c r="H84" s="351">
        <f t="shared" si="236"/>
        <v>4792.346763307306</v>
      </c>
      <c r="I84" s="351">
        <f t="shared" si="237"/>
        <v>5171.5708281232746</v>
      </c>
      <c r="J84" s="352">
        <f t="shared" si="238"/>
        <v>0</v>
      </c>
      <c r="K84" s="352">
        <f t="shared" si="239"/>
        <v>0</v>
      </c>
      <c r="L84" s="353">
        <f t="shared" si="240"/>
        <v>4792.346763307306</v>
      </c>
      <c r="M84" s="353">
        <f t="shared" si="241"/>
        <v>5171.5708281232746</v>
      </c>
      <c r="N84" s="343">
        <f t="shared" si="331"/>
        <v>4792.346763307306</v>
      </c>
      <c r="O84" s="343">
        <f t="shared" si="332"/>
        <v>5171.5708281232746</v>
      </c>
      <c r="Q84" s="350">
        <v>6.3165296674575924</v>
      </c>
      <c r="R84" s="350">
        <v>2.650750581716613</v>
      </c>
      <c r="S84" s="350">
        <v>0</v>
      </c>
      <c r="T84" s="350">
        <v>1540.8933333333334</v>
      </c>
      <c r="U84" s="350">
        <v>445.60083333333336</v>
      </c>
      <c r="V84" s="351">
        <f t="shared" si="242"/>
        <v>4446.8368858901449</v>
      </c>
      <c r="W84" s="351">
        <f t="shared" si="243"/>
        <v>4447.9594761204771</v>
      </c>
      <c r="X84" s="352">
        <f t="shared" si="244"/>
        <v>0</v>
      </c>
      <c r="Y84" s="352">
        <f t="shared" si="245"/>
        <v>0</v>
      </c>
      <c r="Z84" s="353">
        <f t="shared" si="246"/>
        <v>4446.8368858901449</v>
      </c>
      <c r="AA84" s="353">
        <f t="shared" si="247"/>
        <v>4447.9594761204771</v>
      </c>
      <c r="AB84" s="343">
        <f t="shared" si="333"/>
        <v>4446.8368858901449</v>
      </c>
      <c r="AC84" s="343">
        <f t="shared" si="334"/>
        <v>4447.9594761204771</v>
      </c>
      <c r="AE84" s="350">
        <v>9.2398593089211403</v>
      </c>
      <c r="AF84" s="350">
        <v>3.9539965207863532</v>
      </c>
      <c r="AG84" s="350">
        <v>0</v>
      </c>
      <c r="AH84" s="350">
        <v>156.66499999999999</v>
      </c>
      <c r="AI84" s="350">
        <v>70</v>
      </c>
      <c r="AJ84" s="351">
        <f t="shared" si="248"/>
        <v>3289.389913975926</v>
      </c>
      <c r="AK84" s="351">
        <f t="shared" si="249"/>
        <v>3028.7613349223466</v>
      </c>
      <c r="AL84" s="352">
        <f t="shared" si="250"/>
        <v>0</v>
      </c>
      <c r="AM84" s="352">
        <f t="shared" si="251"/>
        <v>0</v>
      </c>
      <c r="AN84" s="353">
        <f t="shared" si="252"/>
        <v>3289.389913975926</v>
      </c>
      <c r="AO84" s="353">
        <f t="shared" si="253"/>
        <v>3028.7613349223466</v>
      </c>
      <c r="AP84" s="343">
        <f t="shared" si="335"/>
        <v>3289.389913975926</v>
      </c>
      <c r="AQ84" s="343">
        <f t="shared" si="336"/>
        <v>3028.7613349223466</v>
      </c>
      <c r="AS84" s="350">
        <v>10.656499999999999</v>
      </c>
      <c r="AT84" s="350">
        <v>4.4438535016838552</v>
      </c>
      <c r="AU84" s="350">
        <v>4.7742797814679451E-4</v>
      </c>
      <c r="AV84" s="350">
        <v>4741.2066999999997</v>
      </c>
      <c r="AW84" s="350">
        <v>2231.4924999999998</v>
      </c>
      <c r="AX84" s="351">
        <f t="shared" si="254"/>
        <v>2685.4379999999996</v>
      </c>
      <c r="AY84" s="351">
        <f t="shared" si="255"/>
        <v>2226.3706043436114</v>
      </c>
      <c r="AZ84" s="352">
        <f t="shared" si="256"/>
        <v>7.6865904481633912E-2</v>
      </c>
      <c r="BA84" s="352">
        <f t="shared" si="257"/>
        <v>3.4840932128922565E-2</v>
      </c>
      <c r="BB84" s="353">
        <f t="shared" si="258"/>
        <v>2685.4728409321287</v>
      </c>
      <c r="BC84" s="353">
        <f t="shared" si="259"/>
        <v>2226.3285793712589</v>
      </c>
      <c r="BD84" s="343">
        <f t="shared" si="337"/>
        <v>2685.4379999999996</v>
      </c>
      <c r="BE84" s="343">
        <f t="shared" si="338"/>
        <v>2226.2937384391298</v>
      </c>
      <c r="BG84" s="350">
        <v>11.341025321178675</v>
      </c>
      <c r="BH84" s="350">
        <v>4.6751204589411515</v>
      </c>
      <c r="BI84" s="350">
        <v>0</v>
      </c>
      <c r="BJ84" s="350">
        <v>4747.6233000000002</v>
      </c>
      <c r="BK84" s="350">
        <v>2247.6592000000001</v>
      </c>
      <c r="BL84" s="351">
        <f t="shared" si="260"/>
        <v>2687.8230011193459</v>
      </c>
      <c r="BM84" s="351">
        <f t="shared" si="261"/>
        <v>2253.408061209635</v>
      </c>
      <c r="BN84" s="352">
        <f t="shared" si="262"/>
        <v>0</v>
      </c>
      <c r="BO84" s="352">
        <f t="shared" si="263"/>
        <v>0</v>
      </c>
      <c r="BP84" s="353">
        <f t="shared" si="264"/>
        <v>2687.8230011193459</v>
      </c>
      <c r="BQ84" s="353">
        <f t="shared" si="265"/>
        <v>2253.408061209635</v>
      </c>
      <c r="BR84" s="343">
        <f t="shared" si="339"/>
        <v>2687.8230011193459</v>
      </c>
      <c r="BS84" s="343">
        <f t="shared" si="340"/>
        <v>2253.408061209635</v>
      </c>
      <c r="BU84" s="350">
        <v>10.01749404551914</v>
      </c>
      <c r="BV84" s="350">
        <v>4.5705079937992537</v>
      </c>
      <c r="BW84" s="350">
        <v>0</v>
      </c>
      <c r="BX84" s="350">
        <v>3381.6367</v>
      </c>
      <c r="BY84" s="350">
        <v>1339.0907999999999</v>
      </c>
      <c r="BZ84" s="351">
        <f t="shared" si="266"/>
        <v>1823.1839162844835</v>
      </c>
      <c r="CA84" s="351">
        <f t="shared" si="267"/>
        <v>1403.1459540963708</v>
      </c>
      <c r="CB84" s="352">
        <f t="shared" si="268"/>
        <v>0</v>
      </c>
      <c r="CC84" s="352">
        <f t="shared" si="269"/>
        <v>0</v>
      </c>
      <c r="CD84" s="353">
        <f t="shared" si="270"/>
        <v>1823.1839162844835</v>
      </c>
      <c r="CE84" s="353">
        <f t="shared" si="271"/>
        <v>1403.1459540963708</v>
      </c>
      <c r="CF84" s="343">
        <f t="shared" si="341"/>
        <v>1823.1839162844835</v>
      </c>
      <c r="CG84" s="343">
        <f t="shared" si="342"/>
        <v>1403.1459540963708</v>
      </c>
      <c r="CI84" s="350">
        <v>1.1244718625904653</v>
      </c>
      <c r="CJ84" s="350">
        <v>0.94772636434461566</v>
      </c>
      <c r="CK84" s="350">
        <v>0</v>
      </c>
      <c r="CL84" s="350">
        <v>7474.3158000000003</v>
      </c>
      <c r="CM84" s="350">
        <v>3279.6367</v>
      </c>
      <c r="CN84" s="351">
        <f t="shared" si="272"/>
        <v>203.52940712887423</v>
      </c>
      <c r="CO84" s="351">
        <f t="shared" si="273"/>
        <v>215.13388470622775</v>
      </c>
      <c r="CP84" s="352">
        <f t="shared" si="274"/>
        <v>0</v>
      </c>
      <c r="CQ84" s="352">
        <f t="shared" si="275"/>
        <v>0</v>
      </c>
      <c r="CR84" s="353">
        <f t="shared" si="276"/>
        <v>203.52940712887423</v>
      </c>
      <c r="CS84" s="353">
        <f t="shared" si="277"/>
        <v>215.13388470622775</v>
      </c>
      <c r="CT84" s="343">
        <f t="shared" si="343"/>
        <v>203.52940712887423</v>
      </c>
      <c r="CU84" s="343">
        <f t="shared" si="344"/>
        <v>215.13388470622775</v>
      </c>
      <c r="CW84" s="350">
        <v>2.5397058119178952</v>
      </c>
      <c r="CX84" s="350">
        <v>1.8476496724366227</v>
      </c>
      <c r="CY84" s="350">
        <v>0</v>
      </c>
      <c r="CZ84" s="350">
        <v>3931.6975000000002</v>
      </c>
      <c r="DA84" s="350">
        <v>1826.375</v>
      </c>
      <c r="DB84" s="351">
        <f t="shared" si="278"/>
        <v>485.083810076318</v>
      </c>
      <c r="DC84" s="351">
        <f t="shared" si="279"/>
        <v>484.08421417839514</v>
      </c>
      <c r="DD84" s="352">
        <f t="shared" si="280"/>
        <v>0</v>
      </c>
      <c r="DE84" s="352">
        <f t="shared" si="281"/>
        <v>0</v>
      </c>
      <c r="DF84" s="353">
        <f t="shared" si="282"/>
        <v>485.083810076318</v>
      </c>
      <c r="DG84" s="353">
        <f t="shared" si="283"/>
        <v>484.08421417839514</v>
      </c>
      <c r="DH84" s="343">
        <f t="shared" si="345"/>
        <v>485.083810076318</v>
      </c>
      <c r="DI84" s="343">
        <f t="shared" si="346"/>
        <v>484.08421417839514</v>
      </c>
      <c r="DK84" s="350">
        <v>3.9094000000000002</v>
      </c>
      <c r="DL84" s="350">
        <v>2.738</v>
      </c>
      <c r="DM84" s="350">
        <v>0</v>
      </c>
      <c r="DN84" s="350">
        <v>888.60500000000002</v>
      </c>
      <c r="DO84" s="350">
        <v>570.26580000000001</v>
      </c>
      <c r="DP84" s="351">
        <f t="shared" si="284"/>
        <v>375.30240000000003</v>
      </c>
      <c r="DQ84" s="351">
        <f t="shared" si="285"/>
        <v>476.41199999999998</v>
      </c>
      <c r="DR84" s="352">
        <f t="shared" si="286"/>
        <v>0</v>
      </c>
      <c r="DS84" s="352">
        <f t="shared" si="287"/>
        <v>0</v>
      </c>
      <c r="DT84" s="353">
        <f t="shared" si="288"/>
        <v>375.30240000000003</v>
      </c>
      <c r="DU84" s="353">
        <f t="shared" si="289"/>
        <v>476.41199999999998</v>
      </c>
      <c r="DV84" s="343">
        <f t="shared" si="347"/>
        <v>375.30240000000003</v>
      </c>
      <c r="DW84" s="343">
        <f t="shared" si="348"/>
        <v>476.41199999999998</v>
      </c>
      <c r="EB84" s="326"/>
      <c r="EC84" s="326"/>
      <c r="ED84" s="326"/>
      <c r="EE84" s="348">
        <f t="shared" si="290"/>
        <v>23692.82166666667</v>
      </c>
      <c r="EF84" s="348">
        <f t="shared" si="291"/>
        <v>11372.648366666666</v>
      </c>
      <c r="EG84" s="348">
        <f t="shared" si="292"/>
        <v>8069.3812184972339</v>
      </c>
      <c r="EH84" s="348">
        <f t="shared" si="293"/>
        <v>8000.3426885158296</v>
      </c>
      <c r="EI84" s="354">
        <f t="shared" si="294"/>
        <v>0.67567386503429738</v>
      </c>
      <c r="EJ84" s="326"/>
      <c r="EK84" s="348">
        <f t="shared" si="295"/>
        <v>8069.4160594293635</v>
      </c>
      <c r="EL84" s="348">
        <f t="shared" si="296"/>
        <v>8000.3006635434776</v>
      </c>
      <c r="EM84" s="348">
        <f t="shared" si="297"/>
        <v>8069.3812184972339</v>
      </c>
      <c r="EN84" s="348">
        <f t="shared" si="298"/>
        <v>8000.265822611349</v>
      </c>
      <c r="EP84" s="326"/>
      <c r="EQ84" s="326"/>
      <c r="ER84" s="326"/>
      <c r="ES84" s="348">
        <f t="shared" si="299"/>
        <v>17694.529933333331</v>
      </c>
      <c r="ET84" s="348">
        <f t="shared" si="300"/>
        <v>7799.271733333333</v>
      </c>
      <c r="EU84" s="348">
        <f t="shared" si="301"/>
        <v>7677.7479611917879</v>
      </c>
      <c r="EV84" s="348">
        <f t="shared" si="302"/>
        <v>7255.3603719612165</v>
      </c>
      <c r="EW84" s="354">
        <f t="shared" si="303"/>
        <v>0.69407184399920474</v>
      </c>
      <c r="EX84" s="326"/>
      <c r="EY84" s="348">
        <f t="shared" si="304"/>
        <v>7677.7479611917879</v>
      </c>
      <c r="EZ84" s="348">
        <f t="shared" si="305"/>
        <v>7255.3603719612165</v>
      </c>
      <c r="FA84" s="348">
        <f t="shared" si="306"/>
        <v>7677.7479611917879</v>
      </c>
      <c r="FB84" s="348">
        <f t="shared" si="307"/>
        <v>7255.3603719612165</v>
      </c>
      <c r="FD84" s="326"/>
      <c r="FE84" s="326"/>
      <c r="FF84" s="326"/>
      <c r="FG84" s="348">
        <f t="shared" si="308"/>
        <v>11901.2225</v>
      </c>
      <c r="FH84" s="348">
        <f t="shared" si="309"/>
        <v>5258.9933000000001</v>
      </c>
      <c r="FI84" s="348">
        <f t="shared" si="310"/>
        <v>5541.2846773892843</v>
      </c>
      <c r="FJ84" s="348">
        <f t="shared" si="311"/>
        <v>4932.8883737249453</v>
      </c>
      <c r="FK84" s="354">
        <f t="shared" si="312"/>
        <v>0.69353571299493799</v>
      </c>
      <c r="FL84" s="326"/>
      <c r="FM84" s="348">
        <f t="shared" si="313"/>
        <v>5541.2846773892843</v>
      </c>
      <c r="FN84" s="348">
        <f t="shared" si="314"/>
        <v>4932.8883737249453</v>
      </c>
      <c r="FO84" s="348">
        <f t="shared" si="315"/>
        <v>5541.2846773892843</v>
      </c>
      <c r="FP84" s="348">
        <f t="shared" si="316"/>
        <v>4932.8883737249453</v>
      </c>
      <c r="FR84" s="326"/>
      <c r="FS84" s="326"/>
      <c r="FT84" s="326"/>
      <c r="FU84" s="348">
        <f t="shared" si="317"/>
        <v>8122.8433999999997</v>
      </c>
      <c r="FV84" s="348">
        <f t="shared" si="318"/>
        <v>3570.5832999999998</v>
      </c>
      <c r="FW84" s="349">
        <f t="shared" si="319"/>
        <v>776.02867534396455</v>
      </c>
      <c r="FX84" s="349">
        <f t="shared" si="320"/>
        <v>740.90218522251655</v>
      </c>
      <c r="FY84" s="354">
        <f t="shared" si="321"/>
        <v>0.69465038849561522</v>
      </c>
      <c r="FZ84" s="326"/>
      <c r="GA84" s="349">
        <f t="shared" si="322"/>
        <v>776.06003218288072</v>
      </c>
      <c r="GB84" s="349">
        <f t="shared" si="323"/>
        <v>740.86436274739935</v>
      </c>
      <c r="GC84" s="349">
        <f t="shared" si="232"/>
        <v>776.02867534396455</v>
      </c>
      <c r="GD84" s="349">
        <f t="shared" si="233"/>
        <v>740.83300590848307</v>
      </c>
      <c r="GF84" s="326"/>
      <c r="GG84" s="326"/>
      <c r="GH84" s="326"/>
      <c r="GI84" s="348">
        <f t="shared" si="324"/>
        <v>11406.013300000001</v>
      </c>
      <c r="GJ84" s="348">
        <f t="shared" si="325"/>
        <v>5106.0117</v>
      </c>
      <c r="GK84" s="348">
        <f t="shared" si="326"/>
        <v>591.59645518992863</v>
      </c>
      <c r="GL84" s="348">
        <f t="shared" si="327"/>
        <v>602.40125604894388</v>
      </c>
      <c r="GM84" s="354">
        <f t="shared" si="328"/>
        <v>0.69077010845126507</v>
      </c>
      <c r="GN84" s="326"/>
      <c r="GO84" s="348">
        <f t="shared" si="329"/>
        <v>591.59645518992863</v>
      </c>
      <c r="GP84" s="348">
        <f t="shared" si="330"/>
        <v>602.40125604894388</v>
      </c>
      <c r="GQ84" s="348">
        <f t="shared" si="234"/>
        <v>591.59645518992863</v>
      </c>
      <c r="GR84" s="348">
        <f t="shared" si="235"/>
        <v>602.40125604894388</v>
      </c>
    </row>
    <row r="85" spans="1:200" x14ac:dyDescent="0.2">
      <c r="A85" s="320">
        <v>75</v>
      </c>
      <c r="C85" s="350">
        <v>4.812697213380674</v>
      </c>
      <c r="D85" s="350">
        <v>2.2143133299396491</v>
      </c>
      <c r="E85" s="350">
        <v>0</v>
      </c>
      <c r="F85" s="350">
        <v>6453.9650000000001</v>
      </c>
      <c r="G85" s="350">
        <v>3733.5349999999989</v>
      </c>
      <c r="H85" s="351">
        <f t="shared" si="236"/>
        <v>4937.8273409285712</v>
      </c>
      <c r="I85" s="351">
        <f t="shared" si="237"/>
        <v>5261.2084719366067</v>
      </c>
      <c r="J85" s="352">
        <f t="shared" si="238"/>
        <v>0</v>
      </c>
      <c r="K85" s="352">
        <f t="shared" si="239"/>
        <v>0</v>
      </c>
      <c r="L85" s="353">
        <f t="shared" si="240"/>
        <v>4937.8273409285712</v>
      </c>
      <c r="M85" s="353">
        <f t="shared" si="241"/>
        <v>5261.2084719366067</v>
      </c>
      <c r="N85" s="343">
        <f t="shared" si="331"/>
        <v>4937.8273409285712</v>
      </c>
      <c r="O85" s="343">
        <f t="shared" si="332"/>
        <v>5261.2084719366067</v>
      </c>
      <c r="Q85" s="350">
        <v>6.545774835479933</v>
      </c>
      <c r="R85" s="350">
        <v>2.7012603964534856</v>
      </c>
      <c r="S85" s="350">
        <v>0</v>
      </c>
      <c r="T85" s="350">
        <v>1341.4966666666667</v>
      </c>
      <c r="U85" s="350">
        <v>357.48750000000001</v>
      </c>
      <c r="V85" s="351">
        <f t="shared" si="242"/>
        <v>4608.2254841778731</v>
      </c>
      <c r="W85" s="351">
        <f t="shared" si="243"/>
        <v>4532.7149452489484</v>
      </c>
      <c r="X85" s="352">
        <f t="shared" si="244"/>
        <v>0</v>
      </c>
      <c r="Y85" s="352">
        <f t="shared" si="245"/>
        <v>0</v>
      </c>
      <c r="Z85" s="353">
        <f t="shared" si="246"/>
        <v>4608.2254841778731</v>
      </c>
      <c r="AA85" s="353">
        <f t="shared" si="247"/>
        <v>4532.7149452489484</v>
      </c>
      <c r="AB85" s="343">
        <f t="shared" si="333"/>
        <v>4608.2254841778731</v>
      </c>
      <c r="AC85" s="343">
        <f t="shared" si="334"/>
        <v>4532.7149452489484</v>
      </c>
      <c r="AE85" s="350">
        <v>9.6501648803995757</v>
      </c>
      <c r="AF85" s="350">
        <v>4.0779382921845455</v>
      </c>
      <c r="AG85" s="350">
        <v>0</v>
      </c>
      <c r="AH85" s="350">
        <v>147.40916666666666</v>
      </c>
      <c r="AI85" s="350">
        <v>67.441666666666663</v>
      </c>
      <c r="AJ85" s="351">
        <f t="shared" si="248"/>
        <v>3435.4586974222489</v>
      </c>
      <c r="AK85" s="351">
        <f t="shared" si="249"/>
        <v>3123.7007318133619</v>
      </c>
      <c r="AL85" s="352">
        <f t="shared" si="250"/>
        <v>0</v>
      </c>
      <c r="AM85" s="352">
        <f t="shared" si="251"/>
        <v>0</v>
      </c>
      <c r="AN85" s="353">
        <f t="shared" si="252"/>
        <v>3435.4586974222489</v>
      </c>
      <c r="AO85" s="353">
        <f t="shared" si="253"/>
        <v>3123.7007318133619</v>
      </c>
      <c r="AP85" s="343">
        <f t="shared" si="335"/>
        <v>3435.4586974222489</v>
      </c>
      <c r="AQ85" s="343">
        <f t="shared" si="336"/>
        <v>3123.7007318133619</v>
      </c>
      <c r="AS85" s="350">
        <v>11.3141</v>
      </c>
      <c r="AT85" s="350">
        <v>4.7394329566881908</v>
      </c>
      <c r="AU85" s="350">
        <v>4.7742797814679451E-4</v>
      </c>
      <c r="AV85" s="350">
        <v>3989.4067</v>
      </c>
      <c r="AW85" s="350">
        <v>1997.7025000000001</v>
      </c>
      <c r="AX85" s="351">
        <f t="shared" si="254"/>
        <v>2851.1531999999997</v>
      </c>
      <c r="AY85" s="351">
        <f t="shared" si="255"/>
        <v>2374.4559113007836</v>
      </c>
      <c r="AZ85" s="352">
        <f t="shared" si="256"/>
        <v>7.6865904481633912E-2</v>
      </c>
      <c r="BA85" s="352">
        <f t="shared" si="257"/>
        <v>3.4926971647993132E-2</v>
      </c>
      <c r="BB85" s="353">
        <f t="shared" si="258"/>
        <v>2851.1881269716478</v>
      </c>
      <c r="BC85" s="353">
        <f t="shared" si="259"/>
        <v>2374.41397236795</v>
      </c>
      <c r="BD85" s="343">
        <f t="shared" si="337"/>
        <v>2851.1531999999997</v>
      </c>
      <c r="BE85" s="343">
        <f t="shared" si="338"/>
        <v>2374.379045396302</v>
      </c>
      <c r="BG85" s="350">
        <v>12.095246111234031</v>
      </c>
      <c r="BH85" s="350">
        <v>4.9598028396674394</v>
      </c>
      <c r="BI85" s="350">
        <v>0</v>
      </c>
      <c r="BJ85" s="350">
        <v>4007.0733</v>
      </c>
      <c r="BK85" s="350">
        <v>2002.6192000000001</v>
      </c>
      <c r="BL85" s="351">
        <f t="shared" si="260"/>
        <v>2866.5733283624654</v>
      </c>
      <c r="BM85" s="351">
        <f t="shared" si="261"/>
        <v>2390.624968719706</v>
      </c>
      <c r="BN85" s="352">
        <f t="shared" si="262"/>
        <v>0</v>
      </c>
      <c r="BO85" s="352">
        <f t="shared" si="263"/>
        <v>0</v>
      </c>
      <c r="BP85" s="353">
        <f t="shared" si="264"/>
        <v>2866.5733283624654</v>
      </c>
      <c r="BQ85" s="353">
        <f t="shared" si="265"/>
        <v>2390.624968719706</v>
      </c>
      <c r="BR85" s="343">
        <f t="shared" si="339"/>
        <v>2866.5733283624654</v>
      </c>
      <c r="BS85" s="343">
        <f t="shared" si="340"/>
        <v>2390.624968719706</v>
      </c>
      <c r="BU85" s="350">
        <v>10.569107068717305</v>
      </c>
      <c r="BV85" s="350">
        <v>4.9085895941903486</v>
      </c>
      <c r="BW85" s="350">
        <v>0</v>
      </c>
      <c r="BX85" s="350">
        <v>2831.1342</v>
      </c>
      <c r="BY85" s="350">
        <v>1159.0582999999999</v>
      </c>
      <c r="BZ85" s="351">
        <f t="shared" si="266"/>
        <v>1923.5774865065493</v>
      </c>
      <c r="CA85" s="351">
        <f t="shared" si="267"/>
        <v>1506.9370054164369</v>
      </c>
      <c r="CB85" s="352">
        <f t="shared" si="268"/>
        <v>0</v>
      </c>
      <c r="CC85" s="352">
        <f t="shared" si="269"/>
        <v>0</v>
      </c>
      <c r="CD85" s="353">
        <f t="shared" si="270"/>
        <v>1923.5774865065493</v>
      </c>
      <c r="CE85" s="353">
        <f t="shared" si="271"/>
        <v>1506.9370054164369</v>
      </c>
      <c r="CF85" s="343">
        <f t="shared" si="341"/>
        <v>1923.5774865065493</v>
      </c>
      <c r="CG85" s="343">
        <f t="shared" si="342"/>
        <v>1506.9370054164369</v>
      </c>
      <c r="CI85" s="350">
        <v>1.1026944907581628</v>
      </c>
      <c r="CJ85" s="350">
        <v>0.91569228948752412</v>
      </c>
      <c r="CK85" s="350">
        <v>0</v>
      </c>
      <c r="CL85" s="350">
        <v>6453.7449999999999</v>
      </c>
      <c r="CM85" s="350">
        <v>2840.6125000000002</v>
      </c>
      <c r="CN85" s="351">
        <f t="shared" si="272"/>
        <v>199.58770282722747</v>
      </c>
      <c r="CO85" s="351">
        <f t="shared" si="273"/>
        <v>207.86214971366797</v>
      </c>
      <c r="CP85" s="352">
        <f t="shared" si="274"/>
        <v>0</v>
      </c>
      <c r="CQ85" s="352">
        <f t="shared" si="275"/>
        <v>0</v>
      </c>
      <c r="CR85" s="353">
        <f t="shared" si="276"/>
        <v>199.58770282722747</v>
      </c>
      <c r="CS85" s="353">
        <f t="shared" si="277"/>
        <v>207.86214971366797</v>
      </c>
      <c r="CT85" s="343">
        <f t="shared" si="343"/>
        <v>199.58770282722747</v>
      </c>
      <c r="CU85" s="343">
        <f t="shared" si="344"/>
        <v>207.86214971366797</v>
      </c>
      <c r="CW85" s="350">
        <v>2.5134638763464716</v>
      </c>
      <c r="CX85" s="350">
        <v>1.8074241492071463</v>
      </c>
      <c r="CY85" s="350">
        <v>0</v>
      </c>
      <c r="CZ85" s="350">
        <v>3407.63</v>
      </c>
      <c r="DA85" s="350">
        <v>1675.1641999999999</v>
      </c>
      <c r="DB85" s="351">
        <f t="shared" si="278"/>
        <v>480.07160038217609</v>
      </c>
      <c r="DC85" s="351">
        <f t="shared" si="279"/>
        <v>473.54512709227237</v>
      </c>
      <c r="DD85" s="352">
        <f t="shared" si="280"/>
        <v>0</v>
      </c>
      <c r="DE85" s="352">
        <f t="shared" si="281"/>
        <v>0</v>
      </c>
      <c r="DF85" s="353">
        <f t="shared" si="282"/>
        <v>480.07160038217609</v>
      </c>
      <c r="DG85" s="353">
        <f t="shared" si="283"/>
        <v>473.54512709227237</v>
      </c>
      <c r="DH85" s="343">
        <f t="shared" si="345"/>
        <v>480.07160038217609</v>
      </c>
      <c r="DI85" s="343">
        <f t="shared" si="346"/>
        <v>473.54512709227237</v>
      </c>
      <c r="DK85" s="350">
        <v>3.9188000000000001</v>
      </c>
      <c r="DL85" s="350">
        <v>2.6852999999999998</v>
      </c>
      <c r="DM85" s="350">
        <v>0</v>
      </c>
      <c r="DN85" s="350">
        <v>834.95420000000001</v>
      </c>
      <c r="DO85" s="350">
        <v>480.25</v>
      </c>
      <c r="DP85" s="351">
        <f t="shared" si="284"/>
        <v>376.20479999999998</v>
      </c>
      <c r="DQ85" s="351">
        <f t="shared" si="285"/>
        <v>467.24219999999997</v>
      </c>
      <c r="DR85" s="352">
        <f t="shared" si="286"/>
        <v>0</v>
      </c>
      <c r="DS85" s="352">
        <f t="shared" si="287"/>
        <v>0</v>
      </c>
      <c r="DT85" s="353">
        <f t="shared" si="288"/>
        <v>376.20479999999998</v>
      </c>
      <c r="DU85" s="353">
        <f t="shared" si="289"/>
        <v>467.24219999999997</v>
      </c>
      <c r="DV85" s="343">
        <f t="shared" si="347"/>
        <v>376.20479999999998</v>
      </c>
      <c r="DW85" s="343">
        <f t="shared" si="348"/>
        <v>467.24219999999997</v>
      </c>
      <c r="EB85" s="326"/>
      <c r="EC85" s="326"/>
      <c r="ED85" s="326"/>
      <c r="EE85" s="348">
        <f t="shared" si="290"/>
        <v>20304.7467</v>
      </c>
      <c r="EF85" s="348">
        <f t="shared" si="291"/>
        <v>10247.014199999998</v>
      </c>
      <c r="EG85" s="348">
        <f t="shared" si="292"/>
        <v>8372.6255240615392</v>
      </c>
      <c r="EH85" s="348">
        <f t="shared" si="293"/>
        <v>8222.3626346248766</v>
      </c>
      <c r="EI85" s="354">
        <f t="shared" si="294"/>
        <v>0.66460151892586983</v>
      </c>
      <c r="EJ85" s="326"/>
      <c r="EK85" s="348">
        <f t="shared" si="295"/>
        <v>8372.6604510331872</v>
      </c>
      <c r="EL85" s="348">
        <f t="shared" si="296"/>
        <v>8222.3206956920421</v>
      </c>
      <c r="EM85" s="348">
        <f t="shared" si="297"/>
        <v>8372.6255240615392</v>
      </c>
      <c r="EN85" s="348">
        <f t="shared" si="298"/>
        <v>8222.2857687203941</v>
      </c>
      <c r="EP85" s="326"/>
      <c r="EQ85" s="326"/>
      <c r="ER85" s="326"/>
      <c r="ES85" s="348">
        <f t="shared" si="299"/>
        <v>15209.944966666666</v>
      </c>
      <c r="ET85" s="348">
        <f t="shared" si="300"/>
        <v>6875.8834000000006</v>
      </c>
      <c r="EU85" s="348">
        <f t="shared" si="301"/>
        <v>8010.4366356350893</v>
      </c>
      <c r="EV85" s="348">
        <f t="shared" si="302"/>
        <v>7462.6836526469133</v>
      </c>
      <c r="EW85" s="354">
        <f t="shared" si="303"/>
        <v>0.6886744166509271</v>
      </c>
      <c r="EX85" s="326"/>
      <c r="EY85" s="348">
        <f t="shared" si="304"/>
        <v>8010.4366356350893</v>
      </c>
      <c r="EZ85" s="348">
        <f t="shared" si="305"/>
        <v>7462.6836526469133</v>
      </c>
      <c r="FA85" s="348">
        <f t="shared" si="306"/>
        <v>8010.4366356350893</v>
      </c>
      <c r="FB85" s="348">
        <f t="shared" si="307"/>
        <v>7462.6836526469133</v>
      </c>
      <c r="FD85" s="326"/>
      <c r="FE85" s="326"/>
      <c r="FF85" s="326"/>
      <c r="FG85" s="348">
        <f t="shared" si="308"/>
        <v>10267.242566666668</v>
      </c>
      <c r="FH85" s="348">
        <f t="shared" si="309"/>
        <v>4547.3624666666665</v>
      </c>
      <c r="FI85" s="348">
        <f t="shared" si="310"/>
        <v>5784.3467667560253</v>
      </c>
      <c r="FJ85" s="348">
        <f t="shared" si="311"/>
        <v>5118.8452069434679</v>
      </c>
      <c r="FK85" s="354">
        <f t="shared" si="312"/>
        <v>0.69304868699267008</v>
      </c>
      <c r="FL85" s="326"/>
      <c r="FM85" s="348">
        <f t="shared" si="313"/>
        <v>5784.3467667560253</v>
      </c>
      <c r="FN85" s="348">
        <f t="shared" si="314"/>
        <v>5118.8452069434679</v>
      </c>
      <c r="FO85" s="348">
        <f t="shared" si="315"/>
        <v>5784.3467667560253</v>
      </c>
      <c r="FP85" s="348">
        <f t="shared" si="316"/>
        <v>5118.8452069434679</v>
      </c>
      <c r="FR85" s="326"/>
      <c r="FS85" s="326"/>
      <c r="FT85" s="326"/>
      <c r="FU85" s="348">
        <f t="shared" si="317"/>
        <v>6820.5409</v>
      </c>
      <c r="FV85" s="348">
        <f t="shared" si="318"/>
        <v>3156.7608</v>
      </c>
      <c r="FW85" s="349">
        <f t="shared" si="319"/>
        <v>834.81814214410542</v>
      </c>
      <c r="FX85" s="349">
        <f t="shared" si="320"/>
        <v>780.76701529591196</v>
      </c>
      <c r="FY85" s="354">
        <f t="shared" si="321"/>
        <v>0.68360575885963237</v>
      </c>
      <c r="FZ85" s="326"/>
      <c r="GA85" s="349">
        <f t="shared" si="322"/>
        <v>834.84957641858864</v>
      </c>
      <c r="GB85" s="349">
        <f t="shared" si="323"/>
        <v>780.72927025636181</v>
      </c>
      <c r="GC85" s="349">
        <f t="shared" si="232"/>
        <v>834.81814214410542</v>
      </c>
      <c r="GD85" s="349">
        <f t="shared" si="233"/>
        <v>780.6978359818786</v>
      </c>
      <c r="GF85" s="326"/>
      <c r="GG85" s="326"/>
      <c r="GH85" s="326"/>
      <c r="GI85" s="348">
        <f t="shared" si="324"/>
        <v>9861.375</v>
      </c>
      <c r="GJ85" s="348">
        <f t="shared" si="325"/>
        <v>4515.7767000000003</v>
      </c>
      <c r="GK85" s="348">
        <f t="shared" si="326"/>
        <v>583.64498313296838</v>
      </c>
      <c r="GL85" s="348">
        <f t="shared" si="327"/>
        <v>586.69825138748593</v>
      </c>
      <c r="GM85" s="354">
        <f t="shared" si="328"/>
        <v>0.6859060268523145</v>
      </c>
      <c r="GN85" s="326"/>
      <c r="GO85" s="348">
        <f t="shared" si="329"/>
        <v>583.64498313296838</v>
      </c>
      <c r="GP85" s="348">
        <f t="shared" si="330"/>
        <v>586.69825138748593</v>
      </c>
      <c r="GQ85" s="348">
        <f t="shared" si="234"/>
        <v>583.64498313296838</v>
      </c>
      <c r="GR85" s="348">
        <f t="shared" si="235"/>
        <v>586.69825138748593</v>
      </c>
    </row>
    <row r="86" spans="1:200" x14ac:dyDescent="0.2">
      <c r="A86" s="320">
        <v>76</v>
      </c>
      <c r="C86" s="350">
        <v>4.9522307894589979</v>
      </c>
      <c r="D86" s="350">
        <v>2.2511113545621817</v>
      </c>
      <c r="E86" s="350">
        <v>0</v>
      </c>
      <c r="F86" s="350">
        <v>5757.4341666666678</v>
      </c>
      <c r="G86" s="350">
        <v>3229.475833333333</v>
      </c>
      <c r="H86" s="351">
        <f t="shared" si="236"/>
        <v>5080.9887899849318</v>
      </c>
      <c r="I86" s="351">
        <f t="shared" si="237"/>
        <v>5348.6405784397439</v>
      </c>
      <c r="J86" s="352">
        <f t="shared" si="238"/>
        <v>0</v>
      </c>
      <c r="K86" s="352">
        <f t="shared" si="239"/>
        <v>0</v>
      </c>
      <c r="L86" s="353">
        <f t="shared" si="240"/>
        <v>5080.9887899849318</v>
      </c>
      <c r="M86" s="353">
        <f t="shared" si="241"/>
        <v>5348.6405784397439</v>
      </c>
      <c r="N86" s="343">
        <f t="shared" si="331"/>
        <v>5080.9887899849318</v>
      </c>
      <c r="O86" s="343">
        <f t="shared" si="332"/>
        <v>5348.6405784397439</v>
      </c>
      <c r="Q86" s="350">
        <v>6.7476742029833368</v>
      </c>
      <c r="R86" s="350">
        <v>2.7585311795174765</v>
      </c>
      <c r="S86" s="350">
        <v>0</v>
      </c>
      <c r="T86" s="350">
        <v>1121.1158333333333</v>
      </c>
      <c r="U86" s="350">
        <v>342.86666666666667</v>
      </c>
      <c r="V86" s="351">
        <f t="shared" si="242"/>
        <v>4750.3626389002693</v>
      </c>
      <c r="W86" s="351">
        <f t="shared" si="243"/>
        <v>4628.8153192303253</v>
      </c>
      <c r="X86" s="352">
        <f t="shared" si="244"/>
        <v>0</v>
      </c>
      <c r="Y86" s="352">
        <f t="shared" si="245"/>
        <v>0</v>
      </c>
      <c r="Z86" s="353">
        <f t="shared" si="246"/>
        <v>4750.3626389002693</v>
      </c>
      <c r="AA86" s="353">
        <f t="shared" si="247"/>
        <v>4628.8153192303253</v>
      </c>
      <c r="AB86" s="343">
        <f t="shared" si="333"/>
        <v>4750.3626389002693</v>
      </c>
      <c r="AC86" s="343">
        <f t="shared" si="334"/>
        <v>4628.8153192303253</v>
      </c>
      <c r="AE86" s="350">
        <v>10.054552617026163</v>
      </c>
      <c r="AF86" s="350">
        <v>4.2126432208244626</v>
      </c>
      <c r="AG86" s="350">
        <v>0</v>
      </c>
      <c r="AH86" s="350">
        <v>116.70833333333331</v>
      </c>
      <c r="AI86" s="350">
        <v>59.25</v>
      </c>
      <c r="AJ86" s="351">
        <f t="shared" si="248"/>
        <v>3579.4207316613138</v>
      </c>
      <c r="AK86" s="351">
        <f t="shared" si="249"/>
        <v>3226.8847071515384</v>
      </c>
      <c r="AL86" s="352">
        <f t="shared" si="250"/>
        <v>0</v>
      </c>
      <c r="AM86" s="352">
        <f t="shared" si="251"/>
        <v>0</v>
      </c>
      <c r="AN86" s="353">
        <f t="shared" si="252"/>
        <v>3579.4207316613138</v>
      </c>
      <c r="AO86" s="353">
        <f t="shared" si="253"/>
        <v>3226.8847071515384</v>
      </c>
      <c r="AP86" s="343">
        <f t="shared" si="335"/>
        <v>3579.4207316613138</v>
      </c>
      <c r="AQ86" s="343">
        <f t="shared" si="336"/>
        <v>3226.8847071515384</v>
      </c>
      <c r="AS86" s="350">
        <v>11.974399999999999</v>
      </c>
      <c r="AT86" s="350">
        <v>5.0215212956263571</v>
      </c>
      <c r="AU86" s="350">
        <v>4.7742797814679451E-4</v>
      </c>
      <c r="AV86" s="350">
        <v>3567.1532999999999</v>
      </c>
      <c r="AW86" s="350">
        <v>1783.3317</v>
      </c>
      <c r="AX86" s="351">
        <f t="shared" si="254"/>
        <v>3017.5488</v>
      </c>
      <c r="AY86" s="351">
        <f t="shared" si="255"/>
        <v>2515.7821691088047</v>
      </c>
      <c r="AZ86" s="352">
        <f t="shared" si="256"/>
        <v>7.6865904481633912E-2</v>
      </c>
      <c r="BA86" s="352">
        <f t="shared" si="257"/>
        <v>3.494782310815947E-2</v>
      </c>
      <c r="BB86" s="353">
        <f t="shared" si="258"/>
        <v>3017.5837478231083</v>
      </c>
      <c r="BC86" s="353">
        <f t="shared" si="259"/>
        <v>2515.7402510274314</v>
      </c>
      <c r="BD86" s="343">
        <f t="shared" si="337"/>
        <v>3017.5488</v>
      </c>
      <c r="BE86" s="343">
        <f t="shared" si="338"/>
        <v>2515.7053032043232</v>
      </c>
      <c r="BG86" s="350">
        <v>12.724670244653982</v>
      </c>
      <c r="BH86" s="350">
        <v>5.2487995919004948</v>
      </c>
      <c r="BI86" s="350">
        <v>0</v>
      </c>
      <c r="BJ86" s="350">
        <v>3577.4032999999999</v>
      </c>
      <c r="BK86" s="350">
        <v>1791.5817</v>
      </c>
      <c r="BL86" s="351">
        <f t="shared" si="260"/>
        <v>3015.7468479829936</v>
      </c>
      <c r="BM86" s="351">
        <f t="shared" si="261"/>
        <v>2529.9214032960385</v>
      </c>
      <c r="BN86" s="352">
        <f t="shared" si="262"/>
        <v>0</v>
      </c>
      <c r="BO86" s="352">
        <f t="shared" si="263"/>
        <v>0</v>
      </c>
      <c r="BP86" s="353">
        <f t="shared" si="264"/>
        <v>3015.7468479829936</v>
      </c>
      <c r="BQ86" s="353">
        <f t="shared" si="265"/>
        <v>2529.9214032960385</v>
      </c>
      <c r="BR86" s="343">
        <f t="shared" si="339"/>
        <v>3015.7468479829936</v>
      </c>
      <c r="BS86" s="343">
        <f t="shared" si="340"/>
        <v>2529.9214032960385</v>
      </c>
      <c r="BU86" s="350">
        <v>11.055648639968364</v>
      </c>
      <c r="BV86" s="350">
        <v>5.2735296055226861</v>
      </c>
      <c r="BW86" s="350">
        <v>0</v>
      </c>
      <c r="BX86" s="350">
        <v>2489.0974999999999</v>
      </c>
      <c r="BY86" s="350">
        <v>1009.9775</v>
      </c>
      <c r="BZ86" s="351">
        <f t="shared" si="266"/>
        <v>2012.1280524742424</v>
      </c>
      <c r="CA86" s="351">
        <f t="shared" si="267"/>
        <v>1618.9735888954647</v>
      </c>
      <c r="CB86" s="352">
        <f t="shared" si="268"/>
        <v>0</v>
      </c>
      <c r="CC86" s="352">
        <f t="shared" si="269"/>
        <v>0</v>
      </c>
      <c r="CD86" s="353">
        <f t="shared" si="270"/>
        <v>2012.1280524742424</v>
      </c>
      <c r="CE86" s="353">
        <f t="shared" si="271"/>
        <v>1618.9735888954647</v>
      </c>
      <c r="CF86" s="343">
        <f t="shared" si="341"/>
        <v>2012.1280524742424</v>
      </c>
      <c r="CG86" s="343">
        <f t="shared" si="342"/>
        <v>1618.9735888954647</v>
      </c>
      <c r="CI86" s="350">
        <v>1.0762532241604581</v>
      </c>
      <c r="CJ86" s="350">
        <v>0.88007259890654888</v>
      </c>
      <c r="CK86" s="350">
        <v>0</v>
      </c>
      <c r="CL86" s="350">
        <v>5249.3950000000004</v>
      </c>
      <c r="CM86" s="350">
        <v>2542.1025</v>
      </c>
      <c r="CN86" s="351">
        <f t="shared" si="272"/>
        <v>194.80183357304293</v>
      </c>
      <c r="CO86" s="351">
        <f t="shared" si="273"/>
        <v>199.7764799517866</v>
      </c>
      <c r="CP86" s="352">
        <f t="shared" si="274"/>
        <v>0</v>
      </c>
      <c r="CQ86" s="352">
        <f t="shared" si="275"/>
        <v>0</v>
      </c>
      <c r="CR86" s="353">
        <f t="shared" si="276"/>
        <v>194.80183357304293</v>
      </c>
      <c r="CS86" s="353">
        <f t="shared" si="277"/>
        <v>199.7764799517866</v>
      </c>
      <c r="CT86" s="343">
        <f t="shared" si="343"/>
        <v>194.80183357304293</v>
      </c>
      <c r="CU86" s="343">
        <f t="shared" si="344"/>
        <v>199.7764799517866</v>
      </c>
      <c r="CW86" s="350">
        <v>2.4794952595490525</v>
      </c>
      <c r="CX86" s="350">
        <v>1.7615931837130137</v>
      </c>
      <c r="CY86" s="350">
        <v>0</v>
      </c>
      <c r="CZ86" s="350">
        <v>2770.0592000000001</v>
      </c>
      <c r="DA86" s="350">
        <v>1510.2874999999999</v>
      </c>
      <c r="DB86" s="351">
        <f t="shared" si="278"/>
        <v>473.58359457386905</v>
      </c>
      <c r="DC86" s="351">
        <f t="shared" si="279"/>
        <v>461.5374141328096</v>
      </c>
      <c r="DD86" s="352">
        <f t="shared" si="280"/>
        <v>0</v>
      </c>
      <c r="DE86" s="352">
        <f t="shared" si="281"/>
        <v>0</v>
      </c>
      <c r="DF86" s="353">
        <f t="shared" si="282"/>
        <v>473.58359457386905</v>
      </c>
      <c r="DG86" s="353">
        <f t="shared" si="283"/>
        <v>461.5374141328096</v>
      </c>
      <c r="DH86" s="343">
        <f t="shared" si="345"/>
        <v>473.58359457386905</v>
      </c>
      <c r="DI86" s="343">
        <f t="shared" si="346"/>
        <v>461.5374141328096</v>
      </c>
      <c r="DK86" s="350">
        <v>3.9104999999999999</v>
      </c>
      <c r="DL86" s="350">
        <v>2.6208999999999998</v>
      </c>
      <c r="DM86" s="350">
        <v>0</v>
      </c>
      <c r="DN86" s="350">
        <v>712.88750000000005</v>
      </c>
      <c r="DO86" s="350">
        <v>486.20249999999999</v>
      </c>
      <c r="DP86" s="351">
        <f t="shared" si="284"/>
        <v>375.40800000000002</v>
      </c>
      <c r="DQ86" s="351">
        <f t="shared" si="285"/>
        <v>456.03659999999996</v>
      </c>
      <c r="DR86" s="352">
        <f t="shared" si="286"/>
        <v>0</v>
      </c>
      <c r="DS86" s="352">
        <f t="shared" si="287"/>
        <v>0</v>
      </c>
      <c r="DT86" s="353">
        <f t="shared" si="288"/>
        <v>375.40800000000002</v>
      </c>
      <c r="DU86" s="353">
        <f t="shared" si="289"/>
        <v>456.03659999999996</v>
      </c>
      <c r="DV86" s="343">
        <f t="shared" si="347"/>
        <v>375.40800000000002</v>
      </c>
      <c r="DW86" s="343">
        <f t="shared" si="348"/>
        <v>456.03659999999996</v>
      </c>
      <c r="EB86" s="326"/>
      <c r="EC86" s="326"/>
      <c r="ED86" s="326"/>
      <c r="EE86" s="348">
        <f t="shared" si="290"/>
        <v>17344.041666666668</v>
      </c>
      <c r="EF86" s="348">
        <f t="shared" si="291"/>
        <v>9065.1975333333321</v>
      </c>
      <c r="EG86" s="348">
        <f t="shared" si="292"/>
        <v>8672.2062992170704</v>
      </c>
      <c r="EH86" s="348">
        <f t="shared" si="293"/>
        <v>8433.4291588065826</v>
      </c>
      <c r="EI86" s="354">
        <f t="shared" si="294"/>
        <v>0.65674143565130294</v>
      </c>
      <c r="EJ86" s="326"/>
      <c r="EK86" s="348">
        <f t="shared" si="295"/>
        <v>8672.2412470401796</v>
      </c>
      <c r="EL86" s="348">
        <f t="shared" si="296"/>
        <v>8433.3872407252093</v>
      </c>
      <c r="EM86" s="348">
        <f t="shared" si="297"/>
        <v>8672.2062992170704</v>
      </c>
      <c r="EN86" s="348">
        <f t="shared" si="298"/>
        <v>8433.3522929021019</v>
      </c>
      <c r="EP86" s="326"/>
      <c r="EQ86" s="326"/>
      <c r="ER86" s="326"/>
      <c r="ES86" s="348">
        <f t="shared" si="299"/>
        <v>12717.973333333333</v>
      </c>
      <c r="ET86" s="348">
        <f t="shared" si="300"/>
        <v>6186.8383666666668</v>
      </c>
      <c r="EU86" s="348">
        <f t="shared" si="301"/>
        <v>8292.4198366580131</v>
      </c>
      <c r="EV86" s="348">
        <f t="shared" si="302"/>
        <v>7681.5893923711174</v>
      </c>
      <c r="EW86" s="354">
        <f t="shared" si="303"/>
        <v>0.67273737158320035</v>
      </c>
      <c r="EX86" s="326"/>
      <c r="EY86" s="348">
        <f t="shared" si="304"/>
        <v>8292.4198366580131</v>
      </c>
      <c r="EZ86" s="348">
        <f t="shared" si="305"/>
        <v>7681.5893923711174</v>
      </c>
      <c r="FA86" s="348">
        <f t="shared" si="306"/>
        <v>8292.4198366580131</v>
      </c>
      <c r="FB86" s="348">
        <f t="shared" si="307"/>
        <v>7681.5893923711174</v>
      </c>
      <c r="FD86" s="326"/>
      <c r="FE86" s="326"/>
      <c r="FF86" s="326"/>
      <c r="FG86" s="348">
        <f t="shared" si="308"/>
        <v>8568.088333333335</v>
      </c>
      <c r="FH86" s="348">
        <f t="shared" si="309"/>
        <v>4097.5325000000003</v>
      </c>
      <c r="FI86" s="348">
        <f t="shared" si="310"/>
        <v>6011.5954177085996</v>
      </c>
      <c r="FJ86" s="348">
        <f t="shared" si="311"/>
        <v>5319.2567359987897</v>
      </c>
      <c r="FK86" s="354">
        <f t="shared" si="312"/>
        <v>0.67648388074146915</v>
      </c>
      <c r="FL86" s="326"/>
      <c r="FM86" s="348">
        <f t="shared" si="313"/>
        <v>6011.5954177085996</v>
      </c>
      <c r="FN86" s="348">
        <f t="shared" si="314"/>
        <v>5319.2567359987897</v>
      </c>
      <c r="FO86" s="348">
        <f t="shared" si="315"/>
        <v>6011.5954177085996</v>
      </c>
      <c r="FP86" s="348">
        <f t="shared" si="316"/>
        <v>5319.2567359987897</v>
      </c>
      <c r="FR86" s="326"/>
      <c r="FS86" s="326"/>
      <c r="FT86" s="326"/>
      <c r="FU86" s="348">
        <f t="shared" si="317"/>
        <v>6056.2507999999998</v>
      </c>
      <c r="FV86" s="348">
        <f t="shared" si="318"/>
        <v>2793.3091999999997</v>
      </c>
      <c r="FW86" s="349">
        <f t="shared" si="319"/>
        <v>904.87867277318185</v>
      </c>
      <c r="FX86" s="349">
        <f t="shared" si="320"/>
        <v>807.1277221920061</v>
      </c>
      <c r="FY86" s="354">
        <f t="shared" si="321"/>
        <v>0.68435614878027839</v>
      </c>
      <c r="FZ86" s="326"/>
      <c r="GA86" s="349">
        <f t="shared" si="322"/>
        <v>904.91012581397933</v>
      </c>
      <c r="GB86" s="349">
        <f t="shared" si="323"/>
        <v>807.08999591877011</v>
      </c>
      <c r="GC86" s="349">
        <f t="shared" si="232"/>
        <v>904.87867277318185</v>
      </c>
      <c r="GD86" s="349">
        <f t="shared" si="233"/>
        <v>807.05854287797263</v>
      </c>
      <c r="GF86" s="326"/>
      <c r="GG86" s="326"/>
      <c r="GH86" s="326"/>
      <c r="GI86" s="348">
        <f t="shared" si="324"/>
        <v>8019.4542000000001</v>
      </c>
      <c r="GJ86" s="348">
        <f t="shared" si="325"/>
        <v>4052.39</v>
      </c>
      <c r="GK86" s="348">
        <f t="shared" si="326"/>
        <v>573.66870923213821</v>
      </c>
      <c r="GL86" s="348">
        <f t="shared" si="327"/>
        <v>569.00641125803429</v>
      </c>
      <c r="GM86" s="354">
        <f t="shared" si="328"/>
        <v>0.66431061129831348</v>
      </c>
      <c r="GN86" s="326"/>
      <c r="GO86" s="348">
        <f t="shared" si="329"/>
        <v>573.66870923213821</v>
      </c>
      <c r="GP86" s="348">
        <f t="shared" si="330"/>
        <v>569.00641125803429</v>
      </c>
      <c r="GQ86" s="348">
        <f t="shared" si="234"/>
        <v>573.66870923213821</v>
      </c>
      <c r="GR86" s="348">
        <f t="shared" si="235"/>
        <v>569.00641125803429</v>
      </c>
    </row>
    <row r="87" spans="1:200" x14ac:dyDescent="0.2">
      <c r="A87" s="320">
        <v>77</v>
      </c>
      <c r="C87" s="350">
        <v>5.0898152709344515</v>
      </c>
      <c r="D87" s="350">
        <v>2.2871370770526802</v>
      </c>
      <c r="E87" s="350">
        <v>0</v>
      </c>
      <c r="F87" s="350">
        <v>4833.9958333333343</v>
      </c>
      <c r="G87" s="350">
        <v>2997.4891666666667</v>
      </c>
      <c r="H87" s="351">
        <f t="shared" si="236"/>
        <v>5222.1504679787477</v>
      </c>
      <c r="I87" s="351">
        <f t="shared" si="237"/>
        <v>5434.2376950771686</v>
      </c>
      <c r="J87" s="352">
        <f t="shared" si="238"/>
        <v>0</v>
      </c>
      <c r="K87" s="352">
        <f t="shared" si="239"/>
        <v>0</v>
      </c>
      <c r="L87" s="353">
        <f t="shared" si="240"/>
        <v>5222.1504679787477</v>
      </c>
      <c r="M87" s="353">
        <f t="shared" si="241"/>
        <v>5434.2376950771686</v>
      </c>
      <c r="N87" s="343">
        <f t="shared" si="331"/>
        <v>5222.1504679787477</v>
      </c>
      <c r="O87" s="343">
        <f t="shared" si="332"/>
        <v>5434.2376950771686</v>
      </c>
      <c r="Q87" s="350">
        <v>6.9449973752158698</v>
      </c>
      <c r="R87" s="350">
        <v>2.8133572424448947</v>
      </c>
      <c r="S87" s="350">
        <v>0</v>
      </c>
      <c r="T87" s="350">
        <v>914.93166666666673</v>
      </c>
      <c r="U87" s="350">
        <v>294.33</v>
      </c>
      <c r="V87" s="351">
        <f t="shared" si="242"/>
        <v>4889.2781521519719</v>
      </c>
      <c r="W87" s="351">
        <f t="shared" si="243"/>
        <v>4720.8134528225337</v>
      </c>
      <c r="X87" s="352">
        <f t="shared" si="244"/>
        <v>0</v>
      </c>
      <c r="Y87" s="352">
        <f t="shared" si="245"/>
        <v>0</v>
      </c>
      <c r="Z87" s="353">
        <f t="shared" si="246"/>
        <v>4889.2781521519719</v>
      </c>
      <c r="AA87" s="353">
        <f t="shared" si="247"/>
        <v>4720.8134528225337</v>
      </c>
      <c r="AB87" s="343">
        <f t="shared" si="333"/>
        <v>4889.2781521519719</v>
      </c>
      <c r="AC87" s="343">
        <f t="shared" si="334"/>
        <v>4720.8134528225337</v>
      </c>
      <c r="AE87" s="350">
        <v>10.45062149624656</v>
      </c>
      <c r="AF87" s="350">
        <v>4.3439438697689532</v>
      </c>
      <c r="AG87" s="350">
        <v>0</v>
      </c>
      <c r="AH87" s="350">
        <v>75.5</v>
      </c>
      <c r="AI87" s="350">
        <v>34.782499999999999</v>
      </c>
      <c r="AJ87" s="351">
        <f t="shared" si="248"/>
        <v>3720.4212526637752</v>
      </c>
      <c r="AK87" s="351">
        <f t="shared" si="249"/>
        <v>3327.4610042430181</v>
      </c>
      <c r="AL87" s="352">
        <f t="shared" si="250"/>
        <v>0</v>
      </c>
      <c r="AM87" s="352">
        <f t="shared" si="251"/>
        <v>0</v>
      </c>
      <c r="AN87" s="353">
        <f t="shared" si="252"/>
        <v>3720.4212526637752</v>
      </c>
      <c r="AO87" s="353">
        <f t="shared" si="253"/>
        <v>3327.4610042430181</v>
      </c>
      <c r="AP87" s="343">
        <f t="shared" si="335"/>
        <v>3720.4212526637752</v>
      </c>
      <c r="AQ87" s="343">
        <f t="shared" si="336"/>
        <v>3327.4610042430181</v>
      </c>
      <c r="AS87" s="350">
        <v>12.6396</v>
      </c>
      <c r="AT87" s="350">
        <v>5.2802778839713511</v>
      </c>
      <c r="AU87" s="350">
        <v>4.7742797814679451E-4</v>
      </c>
      <c r="AV87" s="350">
        <v>3032.8467000000001</v>
      </c>
      <c r="AW87" s="350">
        <v>1600.2508</v>
      </c>
      <c r="AX87" s="351">
        <f t="shared" si="254"/>
        <v>3185.1792</v>
      </c>
      <c r="AY87" s="351">
        <f t="shared" si="255"/>
        <v>2645.4192198696469</v>
      </c>
      <c r="AZ87" s="352">
        <f t="shared" si="256"/>
        <v>7.6865904481633912E-2</v>
      </c>
      <c r="BA87" s="352">
        <f t="shared" si="257"/>
        <v>3.4875072235368398E-2</v>
      </c>
      <c r="BB87" s="353">
        <f t="shared" si="258"/>
        <v>3185.2140750722356</v>
      </c>
      <c r="BC87" s="353">
        <f t="shared" si="259"/>
        <v>2645.3772290374009</v>
      </c>
      <c r="BD87" s="343">
        <f t="shared" si="337"/>
        <v>3185.1792</v>
      </c>
      <c r="BE87" s="343">
        <f t="shared" si="338"/>
        <v>2645.3423539651653</v>
      </c>
      <c r="BG87" s="350">
        <v>13.309671945473111</v>
      </c>
      <c r="BH87" s="350">
        <v>5.5041282921791437</v>
      </c>
      <c r="BI87" s="350">
        <v>0</v>
      </c>
      <c r="BJ87" s="350">
        <v>3043.7633000000001</v>
      </c>
      <c r="BK87" s="350">
        <v>1601.0008</v>
      </c>
      <c r="BL87" s="351">
        <f t="shared" si="260"/>
        <v>3154.3922510771272</v>
      </c>
      <c r="BM87" s="351">
        <f t="shared" si="261"/>
        <v>2652.989836830347</v>
      </c>
      <c r="BN87" s="352">
        <f t="shared" si="262"/>
        <v>0</v>
      </c>
      <c r="BO87" s="352">
        <f t="shared" si="263"/>
        <v>0</v>
      </c>
      <c r="BP87" s="353">
        <f t="shared" si="264"/>
        <v>3154.3922510771272</v>
      </c>
      <c r="BQ87" s="353">
        <f t="shared" si="265"/>
        <v>2652.989836830347</v>
      </c>
      <c r="BR87" s="343">
        <f t="shared" si="339"/>
        <v>3154.3922510771272</v>
      </c>
      <c r="BS87" s="343">
        <f t="shared" si="340"/>
        <v>2652.989836830347</v>
      </c>
      <c r="BU87" s="350">
        <v>11.453559283309559</v>
      </c>
      <c r="BV87" s="350">
        <v>5.6733400120182731</v>
      </c>
      <c r="BW87" s="350">
        <v>0</v>
      </c>
      <c r="BX87" s="350">
        <v>1950.0450000000001</v>
      </c>
      <c r="BY87" s="350">
        <v>947.00750000000005</v>
      </c>
      <c r="BZ87" s="351">
        <f t="shared" si="266"/>
        <v>2084.5477895623399</v>
      </c>
      <c r="CA87" s="351">
        <f t="shared" si="267"/>
        <v>1741.7153836896098</v>
      </c>
      <c r="CB87" s="352">
        <f t="shared" si="268"/>
        <v>0</v>
      </c>
      <c r="CC87" s="352">
        <f t="shared" si="269"/>
        <v>0</v>
      </c>
      <c r="CD87" s="353">
        <f t="shared" si="270"/>
        <v>2084.5477895623399</v>
      </c>
      <c r="CE87" s="353">
        <f t="shared" si="271"/>
        <v>1741.7153836896098</v>
      </c>
      <c r="CF87" s="343">
        <f t="shared" si="341"/>
        <v>2084.5477895623399</v>
      </c>
      <c r="CG87" s="343">
        <f t="shared" si="342"/>
        <v>1741.7153836896098</v>
      </c>
      <c r="CI87" s="350">
        <v>1.0459925667835777</v>
      </c>
      <c r="CJ87" s="350">
        <v>0.84180539746039851</v>
      </c>
      <c r="CK87" s="350">
        <v>0</v>
      </c>
      <c r="CL87" s="350">
        <v>4265.7267000000002</v>
      </c>
      <c r="CM87" s="350">
        <v>2166.2075</v>
      </c>
      <c r="CN87" s="351">
        <f t="shared" si="272"/>
        <v>189.32465458782755</v>
      </c>
      <c r="CO87" s="351">
        <f t="shared" si="273"/>
        <v>191.08982522351047</v>
      </c>
      <c r="CP87" s="352">
        <f t="shared" si="274"/>
        <v>0</v>
      </c>
      <c r="CQ87" s="352">
        <f t="shared" si="275"/>
        <v>0</v>
      </c>
      <c r="CR87" s="353">
        <f t="shared" si="276"/>
        <v>189.32465458782755</v>
      </c>
      <c r="CS87" s="353">
        <f t="shared" si="277"/>
        <v>191.08982522351047</v>
      </c>
      <c r="CT87" s="343">
        <f t="shared" si="343"/>
        <v>189.32465458782755</v>
      </c>
      <c r="CU87" s="343">
        <f t="shared" si="344"/>
        <v>191.08982522351047</v>
      </c>
      <c r="CW87" s="350">
        <v>2.437951588969177</v>
      </c>
      <c r="CX87" s="350">
        <v>1.7100326593192352</v>
      </c>
      <c r="CY87" s="350">
        <v>0</v>
      </c>
      <c r="CZ87" s="350">
        <v>2306.1824999999999</v>
      </c>
      <c r="DA87" s="350">
        <v>1233.6433</v>
      </c>
      <c r="DB87" s="351">
        <f t="shared" si="278"/>
        <v>465.64875349311279</v>
      </c>
      <c r="DC87" s="351">
        <f t="shared" si="279"/>
        <v>448.02855674163965</v>
      </c>
      <c r="DD87" s="352">
        <f t="shared" si="280"/>
        <v>0</v>
      </c>
      <c r="DE87" s="352">
        <f t="shared" si="281"/>
        <v>0</v>
      </c>
      <c r="DF87" s="353">
        <f t="shared" si="282"/>
        <v>465.64875349311279</v>
      </c>
      <c r="DG87" s="353">
        <f t="shared" si="283"/>
        <v>448.02855674163965</v>
      </c>
      <c r="DH87" s="343">
        <f t="shared" si="345"/>
        <v>465.64875349311279</v>
      </c>
      <c r="DI87" s="343">
        <f t="shared" si="346"/>
        <v>448.02855674163965</v>
      </c>
      <c r="DK87" s="350">
        <v>3.8866000000000001</v>
      </c>
      <c r="DL87" s="350">
        <v>2.5476999999999999</v>
      </c>
      <c r="DM87" s="350">
        <v>0</v>
      </c>
      <c r="DN87" s="350">
        <v>645.70420000000001</v>
      </c>
      <c r="DO87" s="350">
        <v>432.66669999999999</v>
      </c>
      <c r="DP87" s="351">
        <f t="shared" si="284"/>
        <v>373.11360000000002</v>
      </c>
      <c r="DQ87" s="351">
        <f t="shared" si="285"/>
        <v>443.29979999999995</v>
      </c>
      <c r="DR87" s="352">
        <f t="shared" si="286"/>
        <v>0</v>
      </c>
      <c r="DS87" s="352">
        <f t="shared" si="287"/>
        <v>0</v>
      </c>
      <c r="DT87" s="353">
        <f t="shared" si="288"/>
        <v>373.11360000000002</v>
      </c>
      <c r="DU87" s="353">
        <f t="shared" si="289"/>
        <v>443.29979999999995</v>
      </c>
      <c r="DV87" s="343">
        <f t="shared" si="347"/>
        <v>373.11360000000002</v>
      </c>
      <c r="DW87" s="343">
        <f t="shared" si="348"/>
        <v>443.29979999999995</v>
      </c>
      <c r="EB87" s="326"/>
      <c r="EC87" s="326"/>
      <c r="ED87" s="326"/>
      <c r="EE87" s="348">
        <f t="shared" si="290"/>
        <v>14438.751733333334</v>
      </c>
      <c r="EF87" s="348">
        <f t="shared" si="291"/>
        <v>7997.5907666666662</v>
      </c>
      <c r="EG87" s="348">
        <f t="shared" si="292"/>
        <v>8969.1733253610655</v>
      </c>
      <c r="EH87" s="348">
        <f t="shared" si="293"/>
        <v>8629.169585563639</v>
      </c>
      <c r="EI87" s="354">
        <f t="shared" si="294"/>
        <v>0.64354302548792586</v>
      </c>
      <c r="EJ87" s="326"/>
      <c r="EK87" s="348">
        <f t="shared" si="295"/>
        <v>8969.2082004333006</v>
      </c>
      <c r="EL87" s="348">
        <f t="shared" si="296"/>
        <v>8629.1275947313916</v>
      </c>
      <c r="EM87" s="348">
        <f t="shared" si="297"/>
        <v>8969.1733253610655</v>
      </c>
      <c r="EN87" s="348">
        <f t="shared" si="298"/>
        <v>8629.0927196591565</v>
      </c>
      <c r="EP87" s="326"/>
      <c r="EQ87" s="326"/>
      <c r="ER87" s="326"/>
      <c r="ES87" s="348">
        <f t="shared" si="299"/>
        <v>10530.604166666668</v>
      </c>
      <c r="ET87" s="348">
        <f t="shared" si="300"/>
        <v>5295.1815999999999</v>
      </c>
      <c r="EU87" s="348">
        <f t="shared" si="301"/>
        <v>8558.9491852621049</v>
      </c>
      <c r="EV87" s="348">
        <f t="shared" si="302"/>
        <v>7878.5131045955386</v>
      </c>
      <c r="EW87" s="354">
        <f t="shared" si="303"/>
        <v>0.66540798175386229</v>
      </c>
      <c r="EX87" s="326"/>
      <c r="EY87" s="348">
        <f t="shared" si="304"/>
        <v>8558.9491852621049</v>
      </c>
      <c r="EZ87" s="348">
        <f t="shared" si="305"/>
        <v>7878.5131045955386</v>
      </c>
      <c r="FA87" s="348">
        <f t="shared" si="306"/>
        <v>8558.9491852621049</v>
      </c>
      <c r="FB87" s="348">
        <f t="shared" si="307"/>
        <v>7878.5131045955386</v>
      </c>
      <c r="FD87" s="326"/>
      <c r="FE87" s="326"/>
      <c r="FF87" s="326"/>
      <c r="FG87" s="348">
        <f t="shared" si="308"/>
        <v>6936.9759000000004</v>
      </c>
      <c r="FH87" s="348">
        <f t="shared" si="309"/>
        <v>3580.6642000000002</v>
      </c>
      <c r="FI87" s="348">
        <f t="shared" si="310"/>
        <v>6218.1618568139429</v>
      </c>
      <c r="FJ87" s="348">
        <f t="shared" si="311"/>
        <v>5526.2460931561382</v>
      </c>
      <c r="FK87" s="354">
        <f t="shared" si="312"/>
        <v>0.65955631054536656</v>
      </c>
      <c r="FL87" s="326"/>
      <c r="FM87" s="348">
        <f t="shared" si="313"/>
        <v>6218.1618568139429</v>
      </c>
      <c r="FN87" s="348">
        <f t="shared" si="314"/>
        <v>5526.2460931561382</v>
      </c>
      <c r="FO87" s="348">
        <f t="shared" si="315"/>
        <v>6218.1618568139429</v>
      </c>
      <c r="FP87" s="348">
        <f t="shared" si="316"/>
        <v>5526.2460931561382</v>
      </c>
      <c r="FR87" s="326"/>
      <c r="FS87" s="326"/>
      <c r="FT87" s="326"/>
      <c r="FU87" s="348">
        <f t="shared" si="317"/>
        <v>4982.8917000000001</v>
      </c>
      <c r="FV87" s="348">
        <f t="shared" si="318"/>
        <v>2547.2583</v>
      </c>
      <c r="FW87" s="349">
        <f t="shared" si="319"/>
        <v>990.56826939389418</v>
      </c>
      <c r="FX87" s="349">
        <f t="shared" si="320"/>
        <v>813.33345256203347</v>
      </c>
      <c r="FY87" s="354">
        <f t="shared" si="321"/>
        <v>0.66172542379633881</v>
      </c>
      <c r="FZ87" s="326"/>
      <c r="GA87" s="349">
        <f t="shared" si="322"/>
        <v>990.59965695890617</v>
      </c>
      <c r="GB87" s="349">
        <f t="shared" si="323"/>
        <v>813.29566081301198</v>
      </c>
      <c r="GC87" s="349">
        <f t="shared" si="232"/>
        <v>990.56826939389418</v>
      </c>
      <c r="GD87" s="349">
        <f t="shared" si="233"/>
        <v>813.26427324799999</v>
      </c>
      <c r="GF87" s="326"/>
      <c r="GG87" s="326"/>
      <c r="GH87" s="326"/>
      <c r="GI87" s="348">
        <f t="shared" si="324"/>
        <v>6571.9092000000001</v>
      </c>
      <c r="GJ87" s="348">
        <f t="shared" si="325"/>
        <v>3399.8508000000002</v>
      </c>
      <c r="GK87" s="348">
        <f t="shared" si="326"/>
        <v>561.84365738231782</v>
      </c>
      <c r="GL87" s="348">
        <f t="shared" si="327"/>
        <v>549.51267061682222</v>
      </c>
      <c r="GM87" s="354">
        <f t="shared" si="328"/>
        <v>0.65905208308262531</v>
      </c>
      <c r="GN87" s="326"/>
      <c r="GO87" s="348">
        <f t="shared" si="329"/>
        <v>561.84365738231782</v>
      </c>
      <c r="GP87" s="348">
        <f t="shared" si="330"/>
        <v>549.51267061682222</v>
      </c>
      <c r="GQ87" s="348">
        <f t="shared" si="234"/>
        <v>561.84365738231782</v>
      </c>
      <c r="GR87" s="348">
        <f t="shared" si="235"/>
        <v>549.51267061682222</v>
      </c>
    </row>
    <row r="88" spans="1:200" x14ac:dyDescent="0.2">
      <c r="A88" s="320">
        <v>78</v>
      </c>
      <c r="C88" s="350">
        <v>5.2257737884776132</v>
      </c>
      <c r="D88" s="350">
        <v>2.3225524608769845</v>
      </c>
      <c r="E88" s="350">
        <v>0</v>
      </c>
      <c r="F88" s="350">
        <v>4041.2366666666658</v>
      </c>
      <c r="G88" s="350">
        <v>2535.335</v>
      </c>
      <c r="H88" s="351">
        <f t="shared" si="236"/>
        <v>5361.6439069780308</v>
      </c>
      <c r="I88" s="351">
        <f t="shared" si="237"/>
        <v>5518.3846470437156</v>
      </c>
      <c r="J88" s="352">
        <f t="shared" si="238"/>
        <v>0</v>
      </c>
      <c r="K88" s="352">
        <f t="shared" si="239"/>
        <v>0</v>
      </c>
      <c r="L88" s="353">
        <f t="shared" si="240"/>
        <v>5361.6439069780308</v>
      </c>
      <c r="M88" s="353">
        <f t="shared" si="241"/>
        <v>5518.3846470437156</v>
      </c>
      <c r="N88" s="343">
        <f t="shared" si="331"/>
        <v>5361.6439069780308</v>
      </c>
      <c r="O88" s="343">
        <f t="shared" si="332"/>
        <v>5518.3846470437156</v>
      </c>
      <c r="Q88" s="350">
        <v>7.1376339356277407</v>
      </c>
      <c r="R88" s="350">
        <v>2.865861646687621</v>
      </c>
      <c r="S88" s="350">
        <v>0</v>
      </c>
      <c r="T88" s="350">
        <v>744.32416666666666</v>
      </c>
      <c r="U88" s="350">
        <v>239.08166666666668</v>
      </c>
      <c r="V88" s="351">
        <f t="shared" si="242"/>
        <v>5024.8942906819293</v>
      </c>
      <c r="W88" s="351">
        <f t="shared" si="243"/>
        <v>4808.9158431418282</v>
      </c>
      <c r="X88" s="352">
        <f t="shared" si="244"/>
        <v>0</v>
      </c>
      <c r="Y88" s="352">
        <f t="shared" si="245"/>
        <v>0</v>
      </c>
      <c r="Z88" s="353">
        <f t="shared" si="246"/>
        <v>5024.8942906819293</v>
      </c>
      <c r="AA88" s="353">
        <f t="shared" si="247"/>
        <v>4808.9158431418282</v>
      </c>
      <c r="AB88" s="343">
        <f t="shared" si="333"/>
        <v>5024.8942906819293</v>
      </c>
      <c r="AC88" s="343">
        <f t="shared" si="334"/>
        <v>4808.9158431418282</v>
      </c>
      <c r="AE88" s="350">
        <v>10.836387401810088</v>
      </c>
      <c r="AF88" s="350">
        <v>4.4719304446267536</v>
      </c>
      <c r="AG88" s="350">
        <v>0</v>
      </c>
      <c r="AH88" s="350">
        <v>81.748333333333335</v>
      </c>
      <c r="AI88" s="350">
        <v>59.080833333333331</v>
      </c>
      <c r="AJ88" s="351">
        <f t="shared" si="248"/>
        <v>3857.7539150443913</v>
      </c>
      <c r="AK88" s="351">
        <f t="shared" si="249"/>
        <v>3425.4987205840935</v>
      </c>
      <c r="AL88" s="352">
        <f t="shared" si="250"/>
        <v>0</v>
      </c>
      <c r="AM88" s="352">
        <f t="shared" si="251"/>
        <v>0</v>
      </c>
      <c r="AN88" s="353">
        <f t="shared" si="252"/>
        <v>3857.7539150443913</v>
      </c>
      <c r="AO88" s="353">
        <f t="shared" si="253"/>
        <v>3425.4987205840935</v>
      </c>
      <c r="AP88" s="343">
        <f t="shared" si="335"/>
        <v>3857.7539150443913</v>
      </c>
      <c r="AQ88" s="343">
        <f t="shared" si="336"/>
        <v>3425.4987205840935</v>
      </c>
      <c r="AS88" s="350">
        <v>13.3026</v>
      </c>
      <c r="AT88" s="350">
        <v>5.5087574692345918</v>
      </c>
      <c r="AU88" s="350">
        <v>4.5751284576491435E-4</v>
      </c>
      <c r="AV88" s="350">
        <v>2387.5482999999999</v>
      </c>
      <c r="AW88" s="350">
        <v>1392.4942000000001</v>
      </c>
      <c r="AX88" s="351">
        <f t="shared" si="254"/>
        <v>3352.2552000000001</v>
      </c>
      <c r="AY88" s="351">
        <f t="shared" si="255"/>
        <v>2759.8874920865305</v>
      </c>
      <c r="AZ88" s="352">
        <f t="shared" si="256"/>
        <v>7.365956816815121E-2</v>
      </c>
      <c r="BA88" s="352">
        <f t="shared" si="257"/>
        <v>3.3260368924793032E-2</v>
      </c>
      <c r="BB88" s="353">
        <f t="shared" si="258"/>
        <v>3352.2884603689249</v>
      </c>
      <c r="BC88" s="353">
        <f t="shared" si="259"/>
        <v>2759.8470928872871</v>
      </c>
      <c r="BD88" s="343">
        <f t="shared" si="337"/>
        <v>3352.2552000000001</v>
      </c>
      <c r="BE88" s="343">
        <f t="shared" si="338"/>
        <v>2759.8138325183622</v>
      </c>
      <c r="BG88" s="350">
        <v>13.826878229559179</v>
      </c>
      <c r="BH88" s="350">
        <v>5.7299589908992035</v>
      </c>
      <c r="BI88" s="350">
        <v>0</v>
      </c>
      <c r="BJ88" s="350">
        <v>2394.9650000000001</v>
      </c>
      <c r="BK88" s="350">
        <v>1396.3275000000001</v>
      </c>
      <c r="BL88" s="351">
        <f t="shared" si="260"/>
        <v>3276.9701404055254</v>
      </c>
      <c r="BM88" s="351">
        <f t="shared" si="261"/>
        <v>2761.8402336134159</v>
      </c>
      <c r="BN88" s="352">
        <f t="shared" si="262"/>
        <v>0</v>
      </c>
      <c r="BO88" s="352">
        <f t="shared" si="263"/>
        <v>0</v>
      </c>
      <c r="BP88" s="353">
        <f t="shared" si="264"/>
        <v>3276.9701404055254</v>
      </c>
      <c r="BQ88" s="353">
        <f t="shared" si="265"/>
        <v>2761.8402336134159</v>
      </c>
      <c r="BR88" s="343">
        <f t="shared" si="339"/>
        <v>3276.9701404055254</v>
      </c>
      <c r="BS88" s="343">
        <f t="shared" si="340"/>
        <v>2761.8402336134159</v>
      </c>
      <c r="BU88" s="350">
        <v>11.773583387816384</v>
      </c>
      <c r="BV88" s="350">
        <v>5.9504213930203571</v>
      </c>
      <c r="BW88" s="350">
        <v>0</v>
      </c>
      <c r="BX88" s="350">
        <v>1678.4783</v>
      </c>
      <c r="BY88" s="350">
        <v>821.13250000000005</v>
      </c>
      <c r="BZ88" s="351">
        <f t="shared" si="266"/>
        <v>2142.7921765825818</v>
      </c>
      <c r="CA88" s="351">
        <f t="shared" si="267"/>
        <v>1826.7793676572496</v>
      </c>
      <c r="CB88" s="352">
        <f t="shared" si="268"/>
        <v>0</v>
      </c>
      <c r="CC88" s="352">
        <f t="shared" si="269"/>
        <v>0</v>
      </c>
      <c r="CD88" s="353">
        <f t="shared" si="270"/>
        <v>2142.7921765825818</v>
      </c>
      <c r="CE88" s="353">
        <f t="shared" si="271"/>
        <v>1826.7793676572496</v>
      </c>
      <c r="CF88" s="343">
        <f t="shared" si="341"/>
        <v>2142.7921765825818</v>
      </c>
      <c r="CG88" s="343">
        <f t="shared" si="342"/>
        <v>1826.7793676572496</v>
      </c>
      <c r="CI88" s="350">
        <v>1.012381437940377</v>
      </c>
      <c r="CJ88" s="350">
        <v>0.80288765530105155</v>
      </c>
      <c r="CK88" s="350">
        <v>0</v>
      </c>
      <c r="CL88" s="350">
        <v>2910.1624999999999</v>
      </c>
      <c r="CM88" s="350">
        <v>1533.1608000000001</v>
      </c>
      <c r="CN88" s="351">
        <f t="shared" si="272"/>
        <v>183.24104026720823</v>
      </c>
      <c r="CO88" s="351">
        <f t="shared" si="273"/>
        <v>182.25549775333872</v>
      </c>
      <c r="CP88" s="352">
        <f t="shared" si="274"/>
        <v>0</v>
      </c>
      <c r="CQ88" s="352">
        <f t="shared" si="275"/>
        <v>0</v>
      </c>
      <c r="CR88" s="353">
        <f t="shared" si="276"/>
        <v>183.24104026720823</v>
      </c>
      <c r="CS88" s="353">
        <f t="shared" si="277"/>
        <v>182.25549775333872</v>
      </c>
      <c r="CT88" s="343">
        <f t="shared" si="343"/>
        <v>183.24104026720823</v>
      </c>
      <c r="CU88" s="343">
        <f t="shared" si="344"/>
        <v>182.25549775333872</v>
      </c>
      <c r="CW88" s="350">
        <v>2.3885139316925246</v>
      </c>
      <c r="CX88" s="350">
        <v>1.6531291202365028</v>
      </c>
      <c r="CY88" s="350">
        <v>0</v>
      </c>
      <c r="CZ88" s="350">
        <v>1560.6608000000001</v>
      </c>
      <c r="DA88" s="350">
        <v>859.02080000000001</v>
      </c>
      <c r="DB88" s="351">
        <f t="shared" si="278"/>
        <v>456.20616095327222</v>
      </c>
      <c r="DC88" s="351">
        <f t="shared" si="279"/>
        <v>433.11982950196375</v>
      </c>
      <c r="DD88" s="352">
        <f t="shared" si="280"/>
        <v>0</v>
      </c>
      <c r="DE88" s="352">
        <f t="shared" si="281"/>
        <v>0</v>
      </c>
      <c r="DF88" s="353">
        <f t="shared" si="282"/>
        <v>456.20616095327222</v>
      </c>
      <c r="DG88" s="353">
        <f t="shared" si="283"/>
        <v>433.11982950196375</v>
      </c>
      <c r="DH88" s="343">
        <f t="shared" si="345"/>
        <v>456.20616095327222</v>
      </c>
      <c r="DI88" s="343">
        <f t="shared" si="346"/>
        <v>433.11982950196375</v>
      </c>
      <c r="DK88" s="350">
        <v>3.8477000000000001</v>
      </c>
      <c r="DL88" s="350">
        <v>2.4676</v>
      </c>
      <c r="DM88" s="350">
        <v>0</v>
      </c>
      <c r="DN88" s="350">
        <v>523.89250000000004</v>
      </c>
      <c r="DO88" s="350">
        <v>321.91669999999999</v>
      </c>
      <c r="DP88" s="351">
        <f t="shared" si="284"/>
        <v>369.37920000000003</v>
      </c>
      <c r="DQ88" s="351">
        <f t="shared" si="285"/>
        <v>429.36239999999998</v>
      </c>
      <c r="DR88" s="352">
        <f t="shared" si="286"/>
        <v>0</v>
      </c>
      <c r="DS88" s="352">
        <f t="shared" si="287"/>
        <v>0</v>
      </c>
      <c r="DT88" s="353">
        <f t="shared" si="288"/>
        <v>369.37920000000003</v>
      </c>
      <c r="DU88" s="353">
        <f t="shared" si="289"/>
        <v>429.36239999999998</v>
      </c>
      <c r="DV88" s="343">
        <f t="shared" si="347"/>
        <v>369.37920000000003</v>
      </c>
      <c r="DW88" s="343">
        <f t="shared" si="348"/>
        <v>429.36239999999998</v>
      </c>
      <c r="EB88" s="326"/>
      <c r="EC88" s="326"/>
      <c r="ED88" s="326"/>
      <c r="EE88" s="348">
        <f t="shared" si="290"/>
        <v>10899.608266666666</v>
      </c>
      <c r="EF88" s="348">
        <f t="shared" si="291"/>
        <v>6320.0108</v>
      </c>
      <c r="EG88" s="348">
        <f t="shared" si="292"/>
        <v>9262.1050760078579</v>
      </c>
      <c r="EH88" s="348">
        <f t="shared" si="293"/>
        <v>8807.0235004851547</v>
      </c>
      <c r="EI88" s="354">
        <f t="shared" si="294"/>
        <v>0.63297615495837956</v>
      </c>
      <c r="EJ88" s="326"/>
      <c r="EK88" s="348">
        <f t="shared" si="295"/>
        <v>9262.1383363767818</v>
      </c>
      <c r="EL88" s="348">
        <f t="shared" si="296"/>
        <v>8806.9831012859122</v>
      </c>
      <c r="EM88" s="348">
        <f t="shared" si="297"/>
        <v>9262.1050760078579</v>
      </c>
      <c r="EN88" s="348">
        <f t="shared" si="298"/>
        <v>8806.9498409169864</v>
      </c>
      <c r="EP88" s="326"/>
      <c r="EQ88" s="326"/>
      <c r="ER88" s="326"/>
      <c r="ES88" s="348">
        <f t="shared" si="299"/>
        <v>7610.1124666666674</v>
      </c>
      <c r="ET88" s="348">
        <f t="shared" si="300"/>
        <v>4027.5907666666672</v>
      </c>
      <c r="EU88" s="348">
        <f t="shared" si="301"/>
        <v>8804.4497840219537</v>
      </c>
      <c r="EV88" s="348">
        <f t="shared" si="302"/>
        <v>8056.1954551599574</v>
      </c>
      <c r="EW88" s="354">
        <f t="shared" si="303"/>
        <v>0.65391875992071835</v>
      </c>
      <c r="EX88" s="326"/>
      <c r="EY88" s="348">
        <f t="shared" si="304"/>
        <v>8804.4497840219537</v>
      </c>
      <c r="EZ88" s="348">
        <f t="shared" si="305"/>
        <v>8056.1954551599574</v>
      </c>
      <c r="FA88" s="348">
        <f t="shared" si="306"/>
        <v>8804.4497840219537</v>
      </c>
      <c r="FB88" s="348">
        <f t="shared" si="307"/>
        <v>8056.1954551599574</v>
      </c>
      <c r="FD88" s="326"/>
      <c r="FE88" s="326"/>
      <c r="FF88" s="326"/>
      <c r="FG88" s="348">
        <f t="shared" si="308"/>
        <v>5194.281633333333</v>
      </c>
      <c r="FH88" s="348">
        <f t="shared" si="309"/>
        <v>2735.2908333333335</v>
      </c>
      <c r="FI88" s="348">
        <f t="shared" si="310"/>
        <v>6405.4146518941816</v>
      </c>
      <c r="FJ88" s="348">
        <f t="shared" si="311"/>
        <v>5692.1510259946817</v>
      </c>
      <c r="FK88" s="354">
        <f t="shared" si="312"/>
        <v>0.65505191549335062</v>
      </c>
      <c r="FL88" s="326"/>
      <c r="FM88" s="348">
        <f t="shared" si="313"/>
        <v>6405.4146518941816</v>
      </c>
      <c r="FN88" s="348">
        <f t="shared" si="314"/>
        <v>5692.1510259946817</v>
      </c>
      <c r="FO88" s="348">
        <f t="shared" si="315"/>
        <v>6405.4146518941816</v>
      </c>
      <c r="FP88" s="348">
        <f t="shared" si="316"/>
        <v>5692.1510259946817</v>
      </c>
      <c r="FR88" s="326"/>
      <c r="FS88" s="326"/>
      <c r="FT88" s="326"/>
      <c r="FU88" s="348">
        <f t="shared" si="317"/>
        <v>4066.0266000000001</v>
      </c>
      <c r="FV88" s="348">
        <f t="shared" si="318"/>
        <v>2213.6267000000003</v>
      </c>
      <c r="FW88" s="349">
        <f t="shared" si="319"/>
        <v>1088.5167210756765</v>
      </c>
      <c r="FX88" s="349">
        <f t="shared" si="320"/>
        <v>839.79731198635284</v>
      </c>
      <c r="FY88" s="354">
        <f t="shared" si="321"/>
        <v>0.64749221107477384</v>
      </c>
      <c r="FZ88" s="326"/>
      <c r="GA88" s="349">
        <f t="shared" si="322"/>
        <v>1088.5466554077088</v>
      </c>
      <c r="GB88" s="349">
        <f t="shared" si="323"/>
        <v>839.76095270703377</v>
      </c>
      <c r="GC88" s="349">
        <f t="shared" si="232"/>
        <v>1088.5167210756765</v>
      </c>
      <c r="GD88" s="349">
        <f t="shared" si="233"/>
        <v>839.73101837500133</v>
      </c>
      <c r="GF88" s="326"/>
      <c r="GG88" s="326"/>
      <c r="GH88" s="326"/>
      <c r="GI88" s="348">
        <f t="shared" si="324"/>
        <v>4470.8233</v>
      </c>
      <c r="GJ88" s="348">
        <f t="shared" si="325"/>
        <v>2392.1815999999999</v>
      </c>
      <c r="GK88" s="348">
        <f t="shared" si="326"/>
        <v>548.20596902982606</v>
      </c>
      <c r="GL88" s="348">
        <f t="shared" si="327"/>
        <v>528.7513613549097</v>
      </c>
      <c r="GM88" s="354">
        <f t="shared" si="328"/>
        <v>0.65143816231283769</v>
      </c>
      <c r="GN88" s="326"/>
      <c r="GO88" s="348">
        <f t="shared" si="329"/>
        <v>548.20596902982606</v>
      </c>
      <c r="GP88" s="348">
        <f t="shared" si="330"/>
        <v>528.7513613549097</v>
      </c>
      <c r="GQ88" s="348">
        <f t="shared" si="234"/>
        <v>548.20596902982606</v>
      </c>
      <c r="GR88" s="348">
        <f t="shared" si="235"/>
        <v>528.7513613549097</v>
      </c>
    </row>
    <row r="89" spans="1:200" x14ac:dyDescent="0.2">
      <c r="A89" s="320">
        <v>79</v>
      </c>
      <c r="C89" s="350">
        <v>5.3603374401987596</v>
      </c>
      <c r="D89" s="350">
        <v>2.3574866348771555</v>
      </c>
      <c r="E89" s="350">
        <v>0</v>
      </c>
      <c r="F89" s="350">
        <v>3065.7624999999998</v>
      </c>
      <c r="G89" s="350">
        <v>1984.8316666666667</v>
      </c>
      <c r="H89" s="351">
        <f t="shared" si="236"/>
        <v>5499.7062136439272</v>
      </c>
      <c r="I89" s="351">
        <f t="shared" si="237"/>
        <v>5601.3882444681212</v>
      </c>
      <c r="J89" s="352">
        <f t="shared" si="238"/>
        <v>0</v>
      </c>
      <c r="K89" s="352">
        <f t="shared" si="239"/>
        <v>0</v>
      </c>
      <c r="L89" s="353">
        <f t="shared" si="240"/>
        <v>5499.7062136439272</v>
      </c>
      <c r="M89" s="353">
        <f t="shared" si="241"/>
        <v>5601.3882444681212</v>
      </c>
      <c r="N89" s="343">
        <f t="shared" si="331"/>
        <v>5499.7062136439272</v>
      </c>
      <c r="O89" s="343">
        <f t="shared" si="332"/>
        <v>5601.3882444681212</v>
      </c>
      <c r="Q89" s="350">
        <v>7.3257358675693931</v>
      </c>
      <c r="R89" s="350">
        <v>2.9162388148929246</v>
      </c>
      <c r="S89" s="350">
        <v>0</v>
      </c>
      <c r="T89" s="350">
        <v>466.03500000000003</v>
      </c>
      <c r="U89" s="350">
        <v>181.55333333333334</v>
      </c>
      <c r="V89" s="351">
        <f t="shared" si="242"/>
        <v>5157.318050768853</v>
      </c>
      <c r="W89" s="351">
        <f t="shared" si="243"/>
        <v>4893.4487313903273</v>
      </c>
      <c r="X89" s="352">
        <f t="shared" si="244"/>
        <v>0</v>
      </c>
      <c r="Y89" s="352">
        <f t="shared" si="245"/>
        <v>0</v>
      </c>
      <c r="Z89" s="353">
        <f t="shared" si="246"/>
        <v>5157.318050768853</v>
      </c>
      <c r="AA89" s="353">
        <f t="shared" si="247"/>
        <v>4893.4487313903273</v>
      </c>
      <c r="AB89" s="343">
        <f t="shared" si="333"/>
        <v>5157.318050768853</v>
      </c>
      <c r="AC89" s="343">
        <f t="shared" si="334"/>
        <v>4893.4487313903273</v>
      </c>
      <c r="AE89" s="350">
        <v>11.210492694474279</v>
      </c>
      <c r="AF89" s="350">
        <v>4.5968652255070603</v>
      </c>
      <c r="AG89" s="350">
        <v>0</v>
      </c>
      <c r="AH89" s="350">
        <v>68.923333333333332</v>
      </c>
      <c r="AI89" s="350">
        <v>35</v>
      </c>
      <c r="AJ89" s="351">
        <f t="shared" si="248"/>
        <v>3990.9353992328433</v>
      </c>
      <c r="AK89" s="351">
        <f t="shared" si="249"/>
        <v>3521.1987627384083</v>
      </c>
      <c r="AL89" s="352">
        <f t="shared" si="250"/>
        <v>0</v>
      </c>
      <c r="AM89" s="352">
        <f t="shared" si="251"/>
        <v>0</v>
      </c>
      <c r="AN89" s="353">
        <f t="shared" si="252"/>
        <v>3990.9353992328433</v>
      </c>
      <c r="AO89" s="353">
        <f t="shared" si="253"/>
        <v>3521.1987627384083</v>
      </c>
      <c r="AP89" s="343">
        <f t="shared" si="335"/>
        <v>3990.9353992328433</v>
      </c>
      <c r="AQ89" s="343">
        <f t="shared" si="336"/>
        <v>3521.1987627384083</v>
      </c>
      <c r="AS89" s="350">
        <v>13.952299999999999</v>
      </c>
      <c r="AT89" s="350">
        <v>5.7091333200627679</v>
      </c>
      <c r="AU89" s="350">
        <v>7.1477880662201848E-5</v>
      </c>
      <c r="AV89" s="350">
        <v>1721.6383000000001</v>
      </c>
      <c r="AW89" s="350">
        <v>983.20669999999996</v>
      </c>
      <c r="AX89" s="351">
        <f t="shared" si="254"/>
        <v>3515.9795999999997</v>
      </c>
      <c r="AY89" s="351">
        <f t="shared" si="255"/>
        <v>2860.2757933514467</v>
      </c>
      <c r="AZ89" s="352">
        <f t="shared" si="256"/>
        <v>1.1507938786614498E-2</v>
      </c>
      <c r="BA89" s="352">
        <f t="shared" si="257"/>
        <v>5.1622585219916412E-3</v>
      </c>
      <c r="BB89" s="353">
        <f t="shared" si="258"/>
        <v>3515.9847622585216</v>
      </c>
      <c r="BC89" s="353">
        <f t="shared" si="259"/>
        <v>2860.2694476711822</v>
      </c>
      <c r="BD89" s="343">
        <f t="shared" si="337"/>
        <v>3515.9795999999997</v>
      </c>
      <c r="BE89" s="343">
        <f t="shared" si="338"/>
        <v>2860.2642854126602</v>
      </c>
      <c r="BG89" s="350">
        <v>14.27268164618236</v>
      </c>
      <c r="BH89" s="350">
        <v>5.9523389938701996</v>
      </c>
      <c r="BI89" s="350">
        <v>0</v>
      </c>
      <c r="BJ89" s="350">
        <v>1716.4717000000001</v>
      </c>
      <c r="BK89" s="350">
        <v>977.79</v>
      </c>
      <c r="BL89" s="351">
        <f t="shared" si="260"/>
        <v>3382.6255501452192</v>
      </c>
      <c r="BM89" s="351">
        <f t="shared" si="261"/>
        <v>2869.0273950454362</v>
      </c>
      <c r="BN89" s="352">
        <f t="shared" si="262"/>
        <v>0</v>
      </c>
      <c r="BO89" s="352">
        <f t="shared" si="263"/>
        <v>0</v>
      </c>
      <c r="BP89" s="353">
        <f t="shared" si="264"/>
        <v>3382.6255501452192</v>
      </c>
      <c r="BQ89" s="353">
        <f t="shared" si="265"/>
        <v>2869.0273950454362</v>
      </c>
      <c r="BR89" s="343">
        <f t="shared" si="339"/>
        <v>3382.6255501452192</v>
      </c>
      <c r="BS89" s="343">
        <f t="shared" si="340"/>
        <v>2869.0273950454362</v>
      </c>
      <c r="BU89" s="350">
        <v>12.022859679400097</v>
      </c>
      <c r="BV89" s="350">
        <v>6.2084238725080487</v>
      </c>
      <c r="BW89" s="350">
        <v>0</v>
      </c>
      <c r="BX89" s="350">
        <v>1218.42</v>
      </c>
      <c r="BY89" s="350">
        <v>571.73419999999999</v>
      </c>
      <c r="BZ89" s="351">
        <f t="shared" si="266"/>
        <v>2188.1604616508175</v>
      </c>
      <c r="CA89" s="351">
        <f t="shared" si="267"/>
        <v>1905.9861288599709</v>
      </c>
      <c r="CB89" s="352">
        <f t="shared" si="268"/>
        <v>0</v>
      </c>
      <c r="CC89" s="352">
        <f t="shared" si="269"/>
        <v>0</v>
      </c>
      <c r="CD89" s="353">
        <f t="shared" si="270"/>
        <v>2188.1604616508175</v>
      </c>
      <c r="CE89" s="353">
        <f t="shared" si="271"/>
        <v>1905.9861288599709</v>
      </c>
      <c r="CF89" s="343">
        <f t="shared" si="341"/>
        <v>2188.1604616508175</v>
      </c>
      <c r="CG89" s="343">
        <f t="shared" si="342"/>
        <v>1905.9861288599709</v>
      </c>
      <c r="CI89" s="350">
        <v>0.97602749442013381</v>
      </c>
      <c r="CJ89" s="350">
        <v>0.76459355464427214</v>
      </c>
      <c r="CK89" s="350">
        <v>0</v>
      </c>
      <c r="CL89" s="350">
        <v>2580.1491999999998</v>
      </c>
      <c r="CM89" s="350">
        <v>1439.9217000000001</v>
      </c>
      <c r="CN89" s="351">
        <f t="shared" si="272"/>
        <v>176.66097649004422</v>
      </c>
      <c r="CO89" s="351">
        <f t="shared" si="273"/>
        <v>173.56273690424979</v>
      </c>
      <c r="CP89" s="352">
        <f t="shared" si="274"/>
        <v>0</v>
      </c>
      <c r="CQ89" s="352">
        <f t="shared" si="275"/>
        <v>0</v>
      </c>
      <c r="CR89" s="353">
        <f t="shared" si="276"/>
        <v>176.66097649004422</v>
      </c>
      <c r="CS89" s="353">
        <f t="shared" si="277"/>
        <v>173.56273690424979</v>
      </c>
      <c r="CT89" s="343">
        <f t="shared" si="343"/>
        <v>176.66097649004422</v>
      </c>
      <c r="CU89" s="343">
        <f t="shared" si="344"/>
        <v>173.56273690424979</v>
      </c>
      <c r="CW89" s="350">
        <v>2.3313176752117815</v>
      </c>
      <c r="CX89" s="350">
        <v>1.59166539918392</v>
      </c>
      <c r="CY89" s="350">
        <v>0</v>
      </c>
      <c r="CZ89" s="350">
        <v>1325.4617000000001</v>
      </c>
      <c r="DA89" s="350">
        <v>824.40329999999994</v>
      </c>
      <c r="DB89" s="351">
        <f t="shared" si="278"/>
        <v>445.28167596545023</v>
      </c>
      <c r="DC89" s="351">
        <f t="shared" si="279"/>
        <v>417.01633458618704</v>
      </c>
      <c r="DD89" s="352">
        <f t="shared" si="280"/>
        <v>0</v>
      </c>
      <c r="DE89" s="352">
        <f t="shared" si="281"/>
        <v>0</v>
      </c>
      <c r="DF89" s="353">
        <f t="shared" si="282"/>
        <v>445.28167596545023</v>
      </c>
      <c r="DG89" s="353">
        <f t="shared" si="283"/>
        <v>417.01633458618704</v>
      </c>
      <c r="DH89" s="343">
        <f t="shared" si="345"/>
        <v>445.28167596545023</v>
      </c>
      <c r="DI89" s="343">
        <f t="shared" si="346"/>
        <v>417.01633458618704</v>
      </c>
      <c r="DK89" s="350">
        <v>3.7947000000000002</v>
      </c>
      <c r="DL89" s="350">
        <v>2.3826000000000001</v>
      </c>
      <c r="DM89" s="350">
        <v>0</v>
      </c>
      <c r="DN89" s="350">
        <v>462.22750000000002</v>
      </c>
      <c r="DO89" s="350">
        <v>331.66669999999999</v>
      </c>
      <c r="DP89" s="351">
        <f t="shared" si="284"/>
        <v>364.2912</v>
      </c>
      <c r="DQ89" s="351">
        <f t="shared" si="285"/>
        <v>414.57240000000002</v>
      </c>
      <c r="DR89" s="352">
        <f t="shared" si="286"/>
        <v>0</v>
      </c>
      <c r="DS89" s="352">
        <f t="shared" si="287"/>
        <v>0</v>
      </c>
      <c r="DT89" s="353">
        <f t="shared" si="288"/>
        <v>364.2912</v>
      </c>
      <c r="DU89" s="353">
        <f t="shared" si="289"/>
        <v>414.57240000000002</v>
      </c>
      <c r="DV89" s="343">
        <f t="shared" si="347"/>
        <v>364.2912</v>
      </c>
      <c r="DW89" s="343">
        <f t="shared" si="348"/>
        <v>414.57240000000002</v>
      </c>
      <c r="EB89" s="326"/>
      <c r="EC89" s="326"/>
      <c r="ED89" s="326"/>
      <c r="EE89" s="348">
        <f t="shared" si="290"/>
        <v>8693.0116999999991</v>
      </c>
      <c r="EF89" s="348">
        <f t="shared" si="291"/>
        <v>5232.3633666666665</v>
      </c>
      <c r="EG89" s="348">
        <f t="shared" si="292"/>
        <v>9548.5721309063301</v>
      </c>
      <c r="EH89" s="348">
        <f t="shared" si="293"/>
        <v>8968.8398423927683</v>
      </c>
      <c r="EI89" s="354">
        <f t="shared" si="294"/>
        <v>0.62425691648396342</v>
      </c>
      <c r="EJ89" s="326"/>
      <c r="EK89" s="348">
        <f t="shared" si="295"/>
        <v>9548.5772931648535</v>
      </c>
      <c r="EL89" s="348">
        <f t="shared" si="296"/>
        <v>8968.8334967125029</v>
      </c>
      <c r="EM89" s="348">
        <f t="shared" si="297"/>
        <v>9548.5721309063301</v>
      </c>
      <c r="EN89" s="348">
        <f t="shared" si="298"/>
        <v>8968.8283344539814</v>
      </c>
      <c r="EP89" s="326"/>
      <c r="EQ89" s="326"/>
      <c r="ER89" s="326"/>
      <c r="ES89" s="348">
        <f t="shared" si="299"/>
        <v>6088.1175999999996</v>
      </c>
      <c r="ET89" s="348">
        <f t="shared" si="300"/>
        <v>3423.6683333333331</v>
      </c>
      <c r="EU89" s="348">
        <f t="shared" si="301"/>
        <v>9028.3017505799307</v>
      </c>
      <c r="EV89" s="348">
        <f t="shared" si="302"/>
        <v>8227.9502975503437</v>
      </c>
      <c r="EW89" s="354">
        <f t="shared" si="303"/>
        <v>0.64006040954566201</v>
      </c>
      <c r="EX89" s="326"/>
      <c r="EY89" s="348">
        <f t="shared" si="304"/>
        <v>9028.3017505799307</v>
      </c>
      <c r="EZ89" s="348">
        <f t="shared" si="305"/>
        <v>8227.9502975503437</v>
      </c>
      <c r="FA89" s="348">
        <f t="shared" si="306"/>
        <v>9028.3017505799307</v>
      </c>
      <c r="FB89" s="348">
        <f t="shared" si="307"/>
        <v>8227.9502975503437</v>
      </c>
      <c r="FD89" s="326"/>
      <c r="FE89" s="326"/>
      <c r="FF89" s="326"/>
      <c r="FG89" s="348">
        <f t="shared" si="308"/>
        <v>4329.720033333333</v>
      </c>
      <c r="FH89" s="348">
        <f t="shared" si="309"/>
        <v>2378.3226000000004</v>
      </c>
      <c r="FI89" s="348">
        <f t="shared" si="310"/>
        <v>6574.3315573737045</v>
      </c>
      <c r="FJ89" s="348">
        <f t="shared" si="311"/>
        <v>5849.4910685026289</v>
      </c>
      <c r="FK89" s="354">
        <f t="shared" si="312"/>
        <v>0.64545207447225572</v>
      </c>
      <c r="FL89" s="326"/>
      <c r="FM89" s="348">
        <f t="shared" si="313"/>
        <v>6574.3315573737045</v>
      </c>
      <c r="FN89" s="348">
        <f t="shared" si="314"/>
        <v>5849.4910685026289</v>
      </c>
      <c r="FO89" s="348">
        <f t="shared" si="315"/>
        <v>6574.3315573737045</v>
      </c>
      <c r="FP89" s="348">
        <f t="shared" si="316"/>
        <v>5849.4910685026289</v>
      </c>
      <c r="FR89" s="326"/>
      <c r="FS89" s="326"/>
      <c r="FT89" s="326"/>
      <c r="FU89" s="348">
        <f t="shared" si="317"/>
        <v>2940.0583000000001</v>
      </c>
      <c r="FV89" s="348">
        <f t="shared" si="318"/>
        <v>1554.9409000000001</v>
      </c>
      <c r="FW89" s="349">
        <f t="shared" si="319"/>
        <v>1195.0372245142639</v>
      </c>
      <c r="FX89" s="349">
        <f t="shared" si="320"/>
        <v>858.86069804232829</v>
      </c>
      <c r="FY89" s="354">
        <f t="shared" si="321"/>
        <v>0.65407315311646774</v>
      </c>
      <c r="FZ89" s="326"/>
      <c r="GA89" s="349">
        <f t="shared" si="322"/>
        <v>1195.0418705469338</v>
      </c>
      <c r="GB89" s="349">
        <f t="shared" si="323"/>
        <v>858.85498693009015</v>
      </c>
      <c r="GC89" s="349">
        <f t="shared" si="232"/>
        <v>1195.0372245142639</v>
      </c>
      <c r="GD89" s="349">
        <f t="shared" si="233"/>
        <v>858.85034089742044</v>
      </c>
      <c r="GF89" s="326"/>
      <c r="GG89" s="326"/>
      <c r="GH89" s="326"/>
      <c r="GI89" s="348">
        <f t="shared" si="324"/>
        <v>3905.6108999999997</v>
      </c>
      <c r="GJ89" s="348">
        <f t="shared" si="325"/>
        <v>2264.3249999999998</v>
      </c>
      <c r="GK89" s="348">
        <f t="shared" si="326"/>
        <v>532.88631726240442</v>
      </c>
      <c r="GL89" s="348">
        <f t="shared" si="327"/>
        <v>507.17580457319946</v>
      </c>
      <c r="GM89" s="354">
        <f t="shared" si="328"/>
        <v>0.63300672216059817</v>
      </c>
      <c r="GN89" s="326"/>
      <c r="GO89" s="348">
        <f t="shared" si="329"/>
        <v>532.88631726240442</v>
      </c>
      <c r="GP89" s="348">
        <f t="shared" si="330"/>
        <v>507.17580457319946</v>
      </c>
      <c r="GQ89" s="348">
        <f t="shared" si="234"/>
        <v>532.88631726240442</v>
      </c>
      <c r="GR89" s="348">
        <f t="shared" si="235"/>
        <v>507.17580457319946</v>
      </c>
    </row>
    <row r="90" spans="1:200" x14ac:dyDescent="0.2">
      <c r="A90" s="320">
        <v>80</v>
      </c>
      <c r="C90" s="350">
        <v>5.4937793484742503</v>
      </c>
      <c r="D90" s="350">
        <v>2.3920063930685984</v>
      </c>
      <c r="E90" s="350">
        <v>0</v>
      </c>
      <c r="F90" s="350">
        <v>2856.32</v>
      </c>
      <c r="G90" s="350">
        <v>1923.5608333333337</v>
      </c>
      <c r="H90" s="351">
        <f t="shared" si="236"/>
        <v>5636.6176115345806</v>
      </c>
      <c r="I90" s="351">
        <f t="shared" si="237"/>
        <v>5683.4071899309902</v>
      </c>
      <c r="J90" s="352">
        <f t="shared" si="238"/>
        <v>0</v>
      </c>
      <c r="K90" s="352">
        <f t="shared" si="239"/>
        <v>0</v>
      </c>
      <c r="L90" s="353">
        <f t="shared" si="240"/>
        <v>5636.6176115345806</v>
      </c>
      <c r="M90" s="353">
        <f t="shared" si="241"/>
        <v>5683.4071899309902</v>
      </c>
      <c r="N90" s="343">
        <f t="shared" si="331"/>
        <v>5636.6176115345806</v>
      </c>
      <c r="O90" s="343">
        <f t="shared" si="332"/>
        <v>5683.4071899309902</v>
      </c>
      <c r="Q90" s="350">
        <v>7.5094035869711488</v>
      </c>
      <c r="R90" s="350">
        <v>2.9647272123979032</v>
      </c>
      <c r="S90" s="350">
        <v>0</v>
      </c>
      <c r="T90" s="350">
        <v>436.57583333333338</v>
      </c>
      <c r="U90" s="350">
        <v>177.4975</v>
      </c>
      <c r="V90" s="351">
        <f t="shared" si="242"/>
        <v>5286.6201252276887</v>
      </c>
      <c r="W90" s="351">
        <f t="shared" si="243"/>
        <v>4974.8122624036814</v>
      </c>
      <c r="X90" s="352">
        <f t="shared" si="244"/>
        <v>0</v>
      </c>
      <c r="Y90" s="352">
        <f t="shared" si="245"/>
        <v>0</v>
      </c>
      <c r="Z90" s="353">
        <f t="shared" si="246"/>
        <v>5286.6201252276887</v>
      </c>
      <c r="AA90" s="353">
        <f t="shared" si="247"/>
        <v>4974.8122624036814</v>
      </c>
      <c r="AB90" s="343">
        <f t="shared" si="333"/>
        <v>5286.6201252276887</v>
      </c>
      <c r="AC90" s="343">
        <f t="shared" si="334"/>
        <v>4974.8122624036814</v>
      </c>
      <c r="AE90" s="350">
        <v>11.572673164619317</v>
      </c>
      <c r="AF90" s="350">
        <v>4.7190307564148108</v>
      </c>
      <c r="AG90" s="350">
        <v>0</v>
      </c>
      <c r="AH90" s="350">
        <v>60.611666666666665</v>
      </c>
      <c r="AI90" s="350">
        <v>31</v>
      </c>
      <c r="AJ90" s="351">
        <f t="shared" si="248"/>
        <v>4119.8716466044771</v>
      </c>
      <c r="AK90" s="351">
        <f t="shared" si="249"/>
        <v>3614.7775594137452</v>
      </c>
      <c r="AL90" s="352">
        <f t="shared" si="250"/>
        <v>0</v>
      </c>
      <c r="AM90" s="352">
        <f t="shared" si="251"/>
        <v>0</v>
      </c>
      <c r="AN90" s="353">
        <f t="shared" si="252"/>
        <v>4119.8716466044771</v>
      </c>
      <c r="AO90" s="353">
        <f t="shared" si="253"/>
        <v>3614.7775594137452</v>
      </c>
      <c r="AP90" s="343">
        <f t="shared" si="335"/>
        <v>4119.8716466044771</v>
      </c>
      <c r="AQ90" s="343">
        <f t="shared" si="336"/>
        <v>3614.7775594137452</v>
      </c>
      <c r="AS90" s="350">
        <v>14.5784</v>
      </c>
      <c r="AT90" s="350">
        <v>5.8963192546226724</v>
      </c>
      <c r="AU90" s="350">
        <v>0</v>
      </c>
      <c r="AV90" s="350">
        <v>1515.4492</v>
      </c>
      <c r="AW90" s="350">
        <v>983.35749999999996</v>
      </c>
      <c r="AX90" s="351">
        <f t="shared" si="254"/>
        <v>3673.7568000000001</v>
      </c>
      <c r="AY90" s="351">
        <f t="shared" si="255"/>
        <v>2954.0559465659589</v>
      </c>
      <c r="AZ90" s="352">
        <f t="shared" si="256"/>
        <v>0</v>
      </c>
      <c r="BA90" s="352">
        <f t="shared" si="257"/>
        <v>0</v>
      </c>
      <c r="BB90" s="353">
        <f t="shared" si="258"/>
        <v>3673.7568000000001</v>
      </c>
      <c r="BC90" s="353">
        <f t="shared" si="259"/>
        <v>2954.0559465659589</v>
      </c>
      <c r="BD90" s="343">
        <f t="shared" si="337"/>
        <v>3673.7568000000001</v>
      </c>
      <c r="BE90" s="343">
        <f t="shared" si="338"/>
        <v>2954.0559465659589</v>
      </c>
      <c r="BG90" s="350">
        <v>14.652376130023189</v>
      </c>
      <c r="BH90" s="350">
        <v>6.1836919951179743</v>
      </c>
      <c r="BI90" s="350">
        <v>0</v>
      </c>
      <c r="BJ90" s="350">
        <v>1518.8658</v>
      </c>
      <c r="BK90" s="350">
        <v>986.02419999999995</v>
      </c>
      <c r="BL90" s="351">
        <f t="shared" si="260"/>
        <v>3472.6131428154958</v>
      </c>
      <c r="BM90" s="351">
        <f t="shared" si="261"/>
        <v>2980.5395416468637</v>
      </c>
      <c r="BN90" s="352">
        <f t="shared" si="262"/>
        <v>0</v>
      </c>
      <c r="BO90" s="352">
        <f t="shared" si="263"/>
        <v>0</v>
      </c>
      <c r="BP90" s="353">
        <f t="shared" si="264"/>
        <v>3472.6131428154958</v>
      </c>
      <c r="BQ90" s="353">
        <f t="shared" si="265"/>
        <v>2980.5395416468637</v>
      </c>
      <c r="BR90" s="343">
        <f t="shared" si="339"/>
        <v>3472.6131428154958</v>
      </c>
      <c r="BS90" s="343">
        <f t="shared" si="340"/>
        <v>2980.5395416468637</v>
      </c>
      <c r="BU90" s="350">
        <v>12.221975899150332</v>
      </c>
      <c r="BV90" s="350">
        <v>6.4135348092518543</v>
      </c>
      <c r="BW90" s="350">
        <v>0</v>
      </c>
      <c r="BX90" s="350">
        <v>1075.4108000000001</v>
      </c>
      <c r="BY90" s="350">
        <v>573.49249999999995</v>
      </c>
      <c r="BZ90" s="351">
        <f t="shared" si="266"/>
        <v>2224.3996136453602</v>
      </c>
      <c r="CA90" s="351">
        <f t="shared" si="267"/>
        <v>1968.9551864403193</v>
      </c>
      <c r="CB90" s="352">
        <f t="shared" si="268"/>
        <v>0</v>
      </c>
      <c r="CC90" s="352">
        <f t="shared" si="269"/>
        <v>0</v>
      </c>
      <c r="CD90" s="353">
        <f t="shared" si="270"/>
        <v>2224.3996136453602</v>
      </c>
      <c r="CE90" s="353">
        <f t="shared" si="271"/>
        <v>1968.9551864403193</v>
      </c>
      <c r="CF90" s="343">
        <f t="shared" si="341"/>
        <v>2224.3996136453602</v>
      </c>
      <c r="CG90" s="343">
        <f t="shared" si="342"/>
        <v>1968.9551864403193</v>
      </c>
      <c r="CI90" s="350">
        <v>0.93881126996670738</v>
      </c>
      <c r="CJ90" s="350">
        <v>0.72645247058432594</v>
      </c>
      <c r="CK90" s="350">
        <v>0</v>
      </c>
      <c r="CL90" s="350">
        <v>2449.2157999999999</v>
      </c>
      <c r="CM90" s="350">
        <v>1419.6175000000001</v>
      </c>
      <c r="CN90" s="351">
        <f t="shared" si="272"/>
        <v>169.92483986397403</v>
      </c>
      <c r="CO90" s="351">
        <f t="shared" si="273"/>
        <v>164.90471082264199</v>
      </c>
      <c r="CP90" s="352">
        <f t="shared" si="274"/>
        <v>0</v>
      </c>
      <c r="CQ90" s="352">
        <f t="shared" si="275"/>
        <v>0</v>
      </c>
      <c r="CR90" s="353">
        <f t="shared" si="276"/>
        <v>169.92483986397403</v>
      </c>
      <c r="CS90" s="353">
        <f t="shared" si="277"/>
        <v>164.90471082264199</v>
      </c>
      <c r="CT90" s="343">
        <f t="shared" si="343"/>
        <v>169.92483986397403</v>
      </c>
      <c r="CU90" s="343">
        <f t="shared" si="344"/>
        <v>164.90471082264199</v>
      </c>
      <c r="CW90" s="350">
        <v>2.2668944245747467</v>
      </c>
      <c r="CX90" s="350">
        <v>1.5265593636314267</v>
      </c>
      <c r="CY90" s="350">
        <v>0</v>
      </c>
      <c r="CZ90" s="350">
        <v>1288.8399999999999</v>
      </c>
      <c r="DA90" s="350">
        <v>840.24419999999998</v>
      </c>
      <c r="DB90" s="351">
        <f t="shared" si="278"/>
        <v>432.97683509377663</v>
      </c>
      <c r="DC90" s="351">
        <f t="shared" si="279"/>
        <v>399.9585532714338</v>
      </c>
      <c r="DD90" s="352">
        <f t="shared" si="280"/>
        <v>0</v>
      </c>
      <c r="DE90" s="352">
        <f t="shared" si="281"/>
        <v>0</v>
      </c>
      <c r="DF90" s="353">
        <f t="shared" si="282"/>
        <v>432.97683509377663</v>
      </c>
      <c r="DG90" s="353">
        <f t="shared" si="283"/>
        <v>399.9585532714338</v>
      </c>
      <c r="DH90" s="343">
        <f t="shared" si="345"/>
        <v>432.97683509377663</v>
      </c>
      <c r="DI90" s="343">
        <f t="shared" si="346"/>
        <v>399.9585532714338</v>
      </c>
      <c r="DK90" s="350">
        <v>3.7277</v>
      </c>
      <c r="DL90" s="350">
        <v>2.2936999999999999</v>
      </c>
      <c r="DM90" s="350">
        <v>0</v>
      </c>
      <c r="DN90" s="350">
        <v>476.61</v>
      </c>
      <c r="DO90" s="350">
        <v>315.75</v>
      </c>
      <c r="DP90" s="351">
        <f t="shared" si="284"/>
        <v>357.85919999999999</v>
      </c>
      <c r="DQ90" s="351">
        <f t="shared" si="285"/>
        <v>399.10379999999998</v>
      </c>
      <c r="DR90" s="352">
        <f t="shared" si="286"/>
        <v>0</v>
      </c>
      <c r="DS90" s="352">
        <f t="shared" si="287"/>
        <v>0</v>
      </c>
      <c r="DT90" s="353">
        <f t="shared" si="288"/>
        <v>357.85919999999999</v>
      </c>
      <c r="DU90" s="353">
        <f t="shared" si="289"/>
        <v>399.10379999999998</v>
      </c>
      <c r="DV90" s="343">
        <f t="shared" si="347"/>
        <v>357.85919999999999</v>
      </c>
      <c r="DW90" s="343">
        <f t="shared" si="348"/>
        <v>399.10379999999998</v>
      </c>
      <c r="EB90" s="326"/>
      <c r="EC90" s="326"/>
      <c r="ED90" s="326"/>
      <c r="EE90" s="348">
        <f t="shared" si="290"/>
        <v>8109.8250000000007</v>
      </c>
      <c r="EF90" s="348">
        <f t="shared" si="291"/>
        <v>5166.7800333333334</v>
      </c>
      <c r="EG90" s="348">
        <f t="shared" si="292"/>
        <v>9826.6807194735757</v>
      </c>
      <c r="EH90" s="348">
        <f t="shared" si="293"/>
        <v>9122.3346899367389</v>
      </c>
      <c r="EI90" s="354">
        <f t="shared" si="294"/>
        <v>0.61083575052800088</v>
      </c>
      <c r="EJ90" s="326"/>
      <c r="EK90" s="348">
        <f t="shared" si="295"/>
        <v>9826.6807194735757</v>
      </c>
      <c r="EL90" s="348">
        <f t="shared" si="296"/>
        <v>9122.3346899367389</v>
      </c>
      <c r="EM90" s="348">
        <f t="shared" si="297"/>
        <v>9826.6807194735757</v>
      </c>
      <c r="EN90" s="348">
        <f t="shared" si="298"/>
        <v>9122.3346899367389</v>
      </c>
      <c r="EP90" s="326"/>
      <c r="EQ90" s="326"/>
      <c r="ER90" s="326"/>
      <c r="ES90" s="348">
        <f t="shared" si="299"/>
        <v>5693.4974333333339</v>
      </c>
      <c r="ET90" s="348">
        <f t="shared" si="300"/>
        <v>3423.3834000000002</v>
      </c>
      <c r="EU90" s="348">
        <f t="shared" si="301"/>
        <v>9232.2418924728026</v>
      </c>
      <c r="EV90" s="348">
        <f t="shared" si="302"/>
        <v>8400.2275021631904</v>
      </c>
      <c r="EW90" s="354">
        <f t="shared" si="303"/>
        <v>0.62450058714342815</v>
      </c>
      <c r="EX90" s="326"/>
      <c r="EY90" s="348">
        <f t="shared" si="304"/>
        <v>9232.2418924728026</v>
      </c>
      <c r="EZ90" s="348">
        <f t="shared" si="305"/>
        <v>8400.2275021631904</v>
      </c>
      <c r="FA90" s="348">
        <f t="shared" si="306"/>
        <v>9232.2418924728026</v>
      </c>
      <c r="FB90" s="348">
        <f t="shared" si="307"/>
        <v>8400.2275021631904</v>
      </c>
      <c r="FD90" s="326"/>
      <c r="FE90" s="326"/>
      <c r="FF90" s="326"/>
      <c r="FG90" s="348">
        <f t="shared" si="308"/>
        <v>4061.8482666666669</v>
      </c>
      <c r="FH90" s="348">
        <f t="shared" si="309"/>
        <v>2339.86</v>
      </c>
      <c r="FI90" s="348">
        <f t="shared" si="310"/>
        <v>6728.9116201138113</v>
      </c>
      <c r="FJ90" s="348">
        <f t="shared" si="311"/>
        <v>5988.099736676706</v>
      </c>
      <c r="FK90" s="354">
        <f t="shared" si="312"/>
        <v>0.63449443452718413</v>
      </c>
      <c r="FL90" s="326"/>
      <c r="FM90" s="348">
        <f t="shared" si="313"/>
        <v>6728.9116201138113</v>
      </c>
      <c r="FN90" s="348">
        <f t="shared" si="314"/>
        <v>5988.099736676706</v>
      </c>
      <c r="FO90" s="348">
        <f t="shared" si="315"/>
        <v>6728.9116201138113</v>
      </c>
      <c r="FP90" s="348">
        <f t="shared" si="316"/>
        <v>5988.099736676706</v>
      </c>
      <c r="FR90" s="326"/>
      <c r="FS90" s="326"/>
      <c r="FT90" s="326"/>
      <c r="FU90" s="348">
        <f t="shared" si="317"/>
        <v>2590.86</v>
      </c>
      <c r="FV90" s="348">
        <f t="shared" si="318"/>
        <v>1556.85</v>
      </c>
      <c r="FW90" s="349">
        <f t="shared" si="319"/>
        <v>1304.421467719176</v>
      </c>
      <c r="FX90" s="349">
        <f t="shared" si="320"/>
        <v>886.59068411307578</v>
      </c>
      <c r="FY90" s="354">
        <f t="shared" si="321"/>
        <v>0.62464829990524895</v>
      </c>
      <c r="FZ90" s="326"/>
      <c r="GA90" s="349">
        <f t="shared" si="322"/>
        <v>1304.421467719176</v>
      </c>
      <c r="GB90" s="349">
        <f t="shared" si="323"/>
        <v>886.59068411307578</v>
      </c>
      <c r="GC90" s="349">
        <f t="shared" si="232"/>
        <v>1304.421467719176</v>
      </c>
      <c r="GD90" s="349">
        <f t="shared" si="233"/>
        <v>886.59068411307578</v>
      </c>
      <c r="GF90" s="326"/>
      <c r="GG90" s="326"/>
      <c r="GH90" s="326"/>
      <c r="GI90" s="348">
        <f t="shared" si="324"/>
        <v>3738.0558000000001</v>
      </c>
      <c r="GJ90" s="348">
        <f t="shared" si="325"/>
        <v>2259.8616999999999</v>
      </c>
      <c r="GK90" s="348">
        <f t="shared" si="326"/>
        <v>516.30630793899536</v>
      </c>
      <c r="GL90" s="348">
        <f t="shared" si="327"/>
        <v>484.87155343978907</v>
      </c>
      <c r="GM90" s="354">
        <f t="shared" si="328"/>
        <v>0.62322561122256193</v>
      </c>
      <c r="GN90" s="326"/>
      <c r="GO90" s="348">
        <f t="shared" si="329"/>
        <v>516.30630793899536</v>
      </c>
      <c r="GP90" s="348">
        <f t="shared" si="330"/>
        <v>484.87155343978907</v>
      </c>
      <c r="GQ90" s="348">
        <f t="shared" si="234"/>
        <v>516.30630793899536</v>
      </c>
      <c r="GR90" s="348">
        <f t="shared" si="235"/>
        <v>484.87155343978907</v>
      </c>
    </row>
    <row r="91" spans="1:200" x14ac:dyDescent="0.2">
      <c r="A91" s="320">
        <v>81</v>
      </c>
      <c r="C91" s="350">
        <v>5.6263369731690629</v>
      </c>
      <c r="D91" s="350">
        <v>2.4261934912315435</v>
      </c>
      <c r="E91" s="350">
        <v>0</v>
      </c>
      <c r="F91" s="350">
        <v>2688.5374999999999</v>
      </c>
      <c r="G91" s="350">
        <v>1912.4016666666669</v>
      </c>
      <c r="H91" s="351">
        <f t="shared" si="236"/>
        <v>5772.6217344714587</v>
      </c>
      <c r="I91" s="351">
        <f t="shared" si="237"/>
        <v>5764.6357351661472</v>
      </c>
      <c r="J91" s="352">
        <f t="shared" si="238"/>
        <v>0</v>
      </c>
      <c r="K91" s="352">
        <f t="shared" si="239"/>
        <v>0</v>
      </c>
      <c r="L91" s="353">
        <f t="shared" si="240"/>
        <v>5772.6217344714587</v>
      </c>
      <c r="M91" s="353">
        <f t="shared" si="241"/>
        <v>5764.6357351661472</v>
      </c>
      <c r="N91" s="343">
        <f t="shared" si="331"/>
        <v>5772.6217344714587</v>
      </c>
      <c r="O91" s="343">
        <f t="shared" si="332"/>
        <v>5764.6357351661472</v>
      </c>
      <c r="Q91" s="350">
        <v>7.7078760837274141</v>
      </c>
      <c r="R91" s="350">
        <v>3.011505777666593</v>
      </c>
      <c r="S91" s="350">
        <v>0</v>
      </c>
      <c r="T91" s="350">
        <v>444.92333333333329</v>
      </c>
      <c r="U91" s="350">
        <v>167.60833333333335</v>
      </c>
      <c r="V91" s="351">
        <f t="shared" si="242"/>
        <v>5426.3447629440998</v>
      </c>
      <c r="W91" s="351">
        <f t="shared" si="243"/>
        <v>5053.3066949245431</v>
      </c>
      <c r="X91" s="352">
        <f t="shared" si="244"/>
        <v>0</v>
      </c>
      <c r="Y91" s="352">
        <f t="shared" si="245"/>
        <v>0</v>
      </c>
      <c r="Z91" s="353">
        <f t="shared" si="246"/>
        <v>5426.3447629440998</v>
      </c>
      <c r="AA91" s="353">
        <f t="shared" si="247"/>
        <v>5053.3066949245431</v>
      </c>
      <c r="AB91" s="343">
        <f t="shared" si="333"/>
        <v>5426.3447629440998</v>
      </c>
      <c r="AC91" s="343">
        <f t="shared" si="334"/>
        <v>5053.3066949245431</v>
      </c>
      <c r="AE91" s="350">
        <v>11.922658087289562</v>
      </c>
      <c r="AF91" s="350">
        <v>4.8386494713679609</v>
      </c>
      <c r="AG91" s="350">
        <v>0</v>
      </c>
      <c r="AH91" s="350">
        <v>44.601666666666667</v>
      </c>
      <c r="AI91" s="350">
        <v>32.333333333333336</v>
      </c>
      <c r="AJ91" s="351">
        <f t="shared" si="248"/>
        <v>4244.4662790750845</v>
      </c>
      <c r="AK91" s="351">
        <f t="shared" si="249"/>
        <v>3706.4054950678578</v>
      </c>
      <c r="AL91" s="352">
        <f t="shared" si="250"/>
        <v>0</v>
      </c>
      <c r="AM91" s="352">
        <f t="shared" si="251"/>
        <v>0</v>
      </c>
      <c r="AN91" s="353">
        <f t="shared" si="252"/>
        <v>4244.4662790750845</v>
      </c>
      <c r="AO91" s="353">
        <f t="shared" si="253"/>
        <v>3706.4054950678578</v>
      </c>
      <c r="AP91" s="343">
        <f t="shared" si="335"/>
        <v>4244.4662790750845</v>
      </c>
      <c r="AQ91" s="343">
        <f t="shared" si="336"/>
        <v>3706.4054950678578</v>
      </c>
      <c r="AS91" s="350">
        <v>15.168200000000001</v>
      </c>
      <c r="AT91" s="350">
        <v>6.0823504005102302</v>
      </c>
      <c r="AU91" s="350">
        <v>0</v>
      </c>
      <c r="AV91" s="350">
        <v>1487.84</v>
      </c>
      <c r="AW91" s="350">
        <v>963.26419999999996</v>
      </c>
      <c r="AX91" s="351">
        <f t="shared" si="254"/>
        <v>3822.3864000000003</v>
      </c>
      <c r="AY91" s="351">
        <f t="shared" si="255"/>
        <v>3047.2575506556254</v>
      </c>
      <c r="AZ91" s="352">
        <f t="shared" si="256"/>
        <v>0</v>
      </c>
      <c r="BA91" s="352">
        <f t="shared" si="257"/>
        <v>0</v>
      </c>
      <c r="BB91" s="353">
        <f t="shared" si="258"/>
        <v>3822.3864000000003</v>
      </c>
      <c r="BC91" s="353">
        <f t="shared" si="259"/>
        <v>3047.2575506556254</v>
      </c>
      <c r="BD91" s="343">
        <f t="shared" si="337"/>
        <v>3822.3864000000003</v>
      </c>
      <c r="BE91" s="343">
        <f t="shared" si="338"/>
        <v>3047.2575506556254</v>
      </c>
      <c r="BG91" s="350">
        <v>14.985490919850378</v>
      </c>
      <c r="BH91" s="350">
        <v>6.4037968959260185</v>
      </c>
      <c r="BI91" s="350">
        <v>0</v>
      </c>
      <c r="BJ91" s="350">
        <v>1493.09</v>
      </c>
      <c r="BK91" s="350">
        <v>964.26419999999996</v>
      </c>
      <c r="BL91" s="351">
        <f t="shared" si="260"/>
        <v>3551.5613480045395</v>
      </c>
      <c r="BM91" s="351">
        <f t="shared" si="261"/>
        <v>3086.6301038363408</v>
      </c>
      <c r="BN91" s="352">
        <f t="shared" si="262"/>
        <v>0</v>
      </c>
      <c r="BO91" s="352">
        <f t="shared" si="263"/>
        <v>0</v>
      </c>
      <c r="BP91" s="353">
        <f t="shared" si="264"/>
        <v>3551.5613480045395</v>
      </c>
      <c r="BQ91" s="353">
        <f t="shared" si="265"/>
        <v>3086.6301038363408</v>
      </c>
      <c r="BR91" s="343">
        <f t="shared" si="339"/>
        <v>3551.5613480045395</v>
      </c>
      <c r="BS91" s="343">
        <f t="shared" si="340"/>
        <v>3086.6301038363408</v>
      </c>
      <c r="BU91" s="350">
        <v>12.394923705488942</v>
      </c>
      <c r="BV91" s="350">
        <v>6.5671271786799528</v>
      </c>
      <c r="BW91" s="350">
        <v>0</v>
      </c>
      <c r="BX91" s="350">
        <v>1005.5033</v>
      </c>
      <c r="BY91" s="350">
        <v>519.69169999999997</v>
      </c>
      <c r="BZ91" s="351">
        <f t="shared" si="266"/>
        <v>2255.8761143989873</v>
      </c>
      <c r="CA91" s="351">
        <f t="shared" si="267"/>
        <v>2016.1080438547456</v>
      </c>
      <c r="CB91" s="352">
        <f t="shared" si="268"/>
        <v>0</v>
      </c>
      <c r="CC91" s="352">
        <f t="shared" si="269"/>
        <v>0</v>
      </c>
      <c r="CD91" s="353">
        <f t="shared" si="270"/>
        <v>2255.8761143989873</v>
      </c>
      <c r="CE91" s="353">
        <f t="shared" si="271"/>
        <v>2016.1080438547456</v>
      </c>
      <c r="CF91" s="343">
        <f t="shared" si="341"/>
        <v>2255.8761143989873</v>
      </c>
      <c r="CG91" s="343">
        <f t="shared" si="342"/>
        <v>2016.1080438547456</v>
      </c>
      <c r="CI91" s="350">
        <v>0.90218154455467314</v>
      </c>
      <c r="CJ91" s="350">
        <v>0.68885329405252604</v>
      </c>
      <c r="CK91" s="350">
        <v>0</v>
      </c>
      <c r="CL91" s="350">
        <v>2188.7849999999999</v>
      </c>
      <c r="CM91" s="350">
        <v>1383.6592000000001</v>
      </c>
      <c r="CN91" s="351">
        <f t="shared" si="272"/>
        <v>163.29485956439584</v>
      </c>
      <c r="CO91" s="351">
        <f t="shared" si="273"/>
        <v>156.3696977499234</v>
      </c>
      <c r="CP91" s="352">
        <f t="shared" si="274"/>
        <v>0</v>
      </c>
      <c r="CQ91" s="352">
        <f t="shared" si="275"/>
        <v>0</v>
      </c>
      <c r="CR91" s="353">
        <f t="shared" si="276"/>
        <v>163.29485956439584</v>
      </c>
      <c r="CS91" s="353">
        <f t="shared" si="277"/>
        <v>156.3696977499234</v>
      </c>
      <c r="CT91" s="343">
        <f t="shared" si="343"/>
        <v>163.29485956439584</v>
      </c>
      <c r="CU91" s="343">
        <f t="shared" si="344"/>
        <v>156.3696977499234</v>
      </c>
      <c r="CW91" s="350">
        <v>2.1965732955017612</v>
      </c>
      <c r="CX91" s="350">
        <v>1.4589392032839441</v>
      </c>
      <c r="CY91" s="350">
        <v>0</v>
      </c>
      <c r="CZ91" s="350">
        <v>1186.7842000000001</v>
      </c>
      <c r="DA91" s="350">
        <v>785.67250000000001</v>
      </c>
      <c r="DB91" s="351">
        <f t="shared" si="278"/>
        <v>419.54549944083641</v>
      </c>
      <c r="DC91" s="351">
        <f t="shared" si="279"/>
        <v>382.24207126039335</v>
      </c>
      <c r="DD91" s="352">
        <f t="shared" si="280"/>
        <v>0</v>
      </c>
      <c r="DE91" s="352">
        <f t="shared" si="281"/>
        <v>0</v>
      </c>
      <c r="DF91" s="353">
        <f t="shared" si="282"/>
        <v>419.54549944083641</v>
      </c>
      <c r="DG91" s="353">
        <f t="shared" si="283"/>
        <v>382.24207126039335</v>
      </c>
      <c r="DH91" s="343">
        <f t="shared" si="345"/>
        <v>419.54549944083641</v>
      </c>
      <c r="DI91" s="343">
        <f t="shared" si="346"/>
        <v>382.24207126039335</v>
      </c>
      <c r="DK91" s="350">
        <v>3.6480000000000001</v>
      </c>
      <c r="DL91" s="350">
        <v>2.2014999999999998</v>
      </c>
      <c r="DM91" s="350">
        <v>0</v>
      </c>
      <c r="DN91" s="350">
        <v>457.55079999999998</v>
      </c>
      <c r="DO91" s="350">
        <v>369.9717</v>
      </c>
      <c r="DP91" s="351">
        <f t="shared" si="284"/>
        <v>350.20800000000003</v>
      </c>
      <c r="DQ91" s="351">
        <f t="shared" si="285"/>
        <v>383.06099999999998</v>
      </c>
      <c r="DR91" s="352">
        <f t="shared" si="286"/>
        <v>0</v>
      </c>
      <c r="DS91" s="352">
        <f t="shared" si="287"/>
        <v>0</v>
      </c>
      <c r="DT91" s="353">
        <f t="shared" si="288"/>
        <v>350.20800000000003</v>
      </c>
      <c r="DU91" s="353">
        <f t="shared" si="289"/>
        <v>383.06099999999998</v>
      </c>
      <c r="DV91" s="343">
        <f t="shared" si="347"/>
        <v>350.20800000000003</v>
      </c>
      <c r="DW91" s="343">
        <f t="shared" si="348"/>
        <v>383.06099999999998</v>
      </c>
      <c r="EB91" s="326"/>
      <c r="EC91" s="326"/>
      <c r="ED91" s="326"/>
      <c r="EE91" s="348">
        <f t="shared" si="290"/>
        <v>7551.9466999999995</v>
      </c>
      <c r="EF91" s="348">
        <f t="shared" si="291"/>
        <v>5044.997566666666</v>
      </c>
      <c r="EG91" s="348">
        <f t="shared" si="292"/>
        <v>10093.939393588525</v>
      </c>
      <c r="EH91" s="348">
        <f t="shared" si="293"/>
        <v>9274.0566405800109</v>
      </c>
      <c r="EI91" s="354">
        <f t="shared" si="294"/>
        <v>0.59950624057165525</v>
      </c>
      <c r="EJ91" s="326"/>
      <c r="EK91" s="348">
        <f t="shared" si="295"/>
        <v>10093.939393588525</v>
      </c>
      <c r="EL91" s="348">
        <f t="shared" si="296"/>
        <v>9274.0566405800109</v>
      </c>
      <c r="EM91" s="348">
        <f t="shared" si="297"/>
        <v>10093.939393588525</v>
      </c>
      <c r="EN91" s="348">
        <f t="shared" si="298"/>
        <v>9274.0566405800109</v>
      </c>
      <c r="EP91" s="326"/>
      <c r="EQ91" s="326"/>
      <c r="ER91" s="326"/>
      <c r="ES91" s="348">
        <f t="shared" si="299"/>
        <v>5313.5825333333332</v>
      </c>
      <c r="ET91" s="348">
        <f t="shared" si="300"/>
        <v>3301.2042333333334</v>
      </c>
      <c r="EU91" s="348">
        <f t="shared" si="301"/>
        <v>9434.8828201216202</v>
      </c>
      <c r="EV91" s="348">
        <f t="shared" si="302"/>
        <v>8563.8759463930837</v>
      </c>
      <c r="EW91" s="354">
        <f t="shared" si="303"/>
        <v>0.61679791702950371</v>
      </c>
      <c r="EX91" s="326"/>
      <c r="EY91" s="348">
        <f t="shared" si="304"/>
        <v>9434.8828201216202</v>
      </c>
      <c r="EZ91" s="348">
        <f t="shared" si="305"/>
        <v>8563.8759463930837</v>
      </c>
      <c r="FA91" s="348">
        <f t="shared" si="306"/>
        <v>9434.8828201216202</v>
      </c>
      <c r="FB91" s="348">
        <f t="shared" si="307"/>
        <v>8563.8759463930837</v>
      </c>
      <c r="FD91" s="326"/>
      <c r="FE91" s="326"/>
      <c r="FF91" s="326"/>
      <c r="FG91" s="348">
        <f t="shared" si="308"/>
        <v>3696.4407666666666</v>
      </c>
      <c r="FH91" s="348">
        <f t="shared" si="309"/>
        <v>2305.6559333333335</v>
      </c>
      <c r="FI91" s="348">
        <f t="shared" si="310"/>
        <v>6873.7620530384665</v>
      </c>
      <c r="FJ91" s="348">
        <f t="shared" si="311"/>
        <v>6108.7198366725261</v>
      </c>
      <c r="FK91" s="354">
        <f t="shared" si="312"/>
        <v>0.61585824944584222</v>
      </c>
      <c r="FL91" s="326"/>
      <c r="FM91" s="348">
        <f t="shared" si="313"/>
        <v>6873.7620530384665</v>
      </c>
      <c r="FN91" s="348">
        <f t="shared" si="314"/>
        <v>6108.7198366725261</v>
      </c>
      <c r="FO91" s="348">
        <f t="shared" si="315"/>
        <v>6873.7620530384665</v>
      </c>
      <c r="FP91" s="348">
        <f t="shared" si="316"/>
        <v>6108.7198366725261</v>
      </c>
      <c r="FR91" s="326"/>
      <c r="FS91" s="326"/>
      <c r="FT91" s="326"/>
      <c r="FU91" s="348">
        <f t="shared" si="317"/>
        <v>2493.3433</v>
      </c>
      <c r="FV91" s="348">
        <f t="shared" si="318"/>
        <v>1482.9558999999999</v>
      </c>
      <c r="FW91" s="349">
        <f t="shared" si="319"/>
        <v>1409.8592570409119</v>
      </c>
      <c r="FX91" s="349">
        <f t="shared" si="320"/>
        <v>928.03455612079188</v>
      </c>
      <c r="FY91" s="354">
        <f t="shared" si="321"/>
        <v>0.62705122894172549</v>
      </c>
      <c r="FZ91" s="326"/>
      <c r="GA91" s="349">
        <f t="shared" si="322"/>
        <v>1409.8592570409119</v>
      </c>
      <c r="GB91" s="349">
        <f t="shared" si="323"/>
        <v>928.03455612079188</v>
      </c>
      <c r="GC91" s="349">
        <f t="shared" si="232"/>
        <v>1409.8592570409119</v>
      </c>
      <c r="GD91" s="349">
        <f t="shared" si="233"/>
        <v>928.03455612079188</v>
      </c>
      <c r="GF91" s="326"/>
      <c r="GG91" s="326"/>
      <c r="GH91" s="326"/>
      <c r="GI91" s="348">
        <f t="shared" si="324"/>
        <v>3375.5691999999999</v>
      </c>
      <c r="GJ91" s="348">
        <f t="shared" si="325"/>
        <v>2169.3317000000002</v>
      </c>
      <c r="GK91" s="348">
        <f t="shared" si="326"/>
        <v>498.931259117065</v>
      </c>
      <c r="GL91" s="348">
        <f t="shared" si="327"/>
        <v>462.16335475823814</v>
      </c>
      <c r="GM91" s="354">
        <f t="shared" si="328"/>
        <v>0.60876997819744616</v>
      </c>
      <c r="GN91" s="326"/>
      <c r="GO91" s="348">
        <f t="shared" si="329"/>
        <v>498.931259117065</v>
      </c>
      <c r="GP91" s="348">
        <f t="shared" si="330"/>
        <v>462.16335475823814</v>
      </c>
      <c r="GQ91" s="348">
        <f t="shared" si="234"/>
        <v>498.931259117065</v>
      </c>
      <c r="GR91" s="348">
        <f t="shared" si="235"/>
        <v>462.16335475823814</v>
      </c>
    </row>
    <row r="92" spans="1:200" x14ac:dyDescent="0.2">
      <c r="A92" s="320">
        <v>82</v>
      </c>
      <c r="C92" s="350">
        <v>5.758146933009642</v>
      </c>
      <c r="D92" s="350">
        <v>2.4600960048861573</v>
      </c>
      <c r="E92" s="350">
        <v>0</v>
      </c>
      <c r="F92" s="350">
        <v>2558.9841666666666</v>
      </c>
      <c r="G92" s="350">
        <v>2027.1275000000001</v>
      </c>
      <c r="H92" s="351">
        <f t="shared" si="236"/>
        <v>5907.858753267893</v>
      </c>
      <c r="I92" s="351">
        <f t="shared" si="237"/>
        <v>5845.1881076095096</v>
      </c>
      <c r="J92" s="352">
        <f t="shared" si="238"/>
        <v>0</v>
      </c>
      <c r="K92" s="352">
        <f t="shared" si="239"/>
        <v>0</v>
      </c>
      <c r="L92" s="353">
        <f t="shared" si="240"/>
        <v>5907.858753267893</v>
      </c>
      <c r="M92" s="353">
        <f t="shared" si="241"/>
        <v>5845.1881076095096</v>
      </c>
      <c r="N92" s="343">
        <f t="shared" si="331"/>
        <v>5907.858753267893</v>
      </c>
      <c r="O92" s="343">
        <f t="shared" si="332"/>
        <v>5845.1881076095096</v>
      </c>
      <c r="Q92" s="350">
        <v>7.902940880327221</v>
      </c>
      <c r="R92" s="350">
        <v>3.0566901658764891</v>
      </c>
      <c r="S92" s="350">
        <v>0</v>
      </c>
      <c r="T92" s="350">
        <v>386.50333333333333</v>
      </c>
      <c r="U92" s="350">
        <v>159.22499999999999</v>
      </c>
      <c r="V92" s="351">
        <f t="shared" si="242"/>
        <v>5563.6703797503633</v>
      </c>
      <c r="W92" s="351">
        <f t="shared" si="243"/>
        <v>5129.1260983407483</v>
      </c>
      <c r="X92" s="352">
        <f t="shared" si="244"/>
        <v>0</v>
      </c>
      <c r="Y92" s="352">
        <f t="shared" si="245"/>
        <v>0</v>
      </c>
      <c r="Z92" s="353">
        <f t="shared" si="246"/>
        <v>5563.6703797503633</v>
      </c>
      <c r="AA92" s="353">
        <f t="shared" si="247"/>
        <v>5129.1260983407483</v>
      </c>
      <c r="AB92" s="343">
        <f t="shared" si="333"/>
        <v>5563.6703797503633</v>
      </c>
      <c r="AC92" s="343">
        <f t="shared" si="334"/>
        <v>5129.1260983407483</v>
      </c>
      <c r="AE92" s="350">
        <v>12.260078238142704</v>
      </c>
      <c r="AF92" s="350">
        <v>4.9555530413171853</v>
      </c>
      <c r="AG92" s="350">
        <v>0</v>
      </c>
      <c r="AH92" s="350">
        <v>55.790833333333332</v>
      </c>
      <c r="AI92" s="350">
        <v>43</v>
      </c>
      <c r="AJ92" s="351">
        <f t="shared" si="248"/>
        <v>4364.5878527788027</v>
      </c>
      <c r="AK92" s="351">
        <f t="shared" si="249"/>
        <v>3795.9536296489641</v>
      </c>
      <c r="AL92" s="352">
        <f t="shared" si="250"/>
        <v>0</v>
      </c>
      <c r="AM92" s="352">
        <f t="shared" si="251"/>
        <v>0</v>
      </c>
      <c r="AN92" s="353">
        <f t="shared" si="252"/>
        <v>4364.5878527788027</v>
      </c>
      <c r="AO92" s="353">
        <f t="shared" si="253"/>
        <v>3795.9536296489641</v>
      </c>
      <c r="AP92" s="343">
        <f t="shared" si="335"/>
        <v>4364.5878527788027</v>
      </c>
      <c r="AQ92" s="343">
        <f t="shared" si="336"/>
        <v>3795.9536296489641</v>
      </c>
      <c r="AS92" s="350">
        <v>15.7073</v>
      </c>
      <c r="AT92" s="350">
        <v>6.2703207458979771</v>
      </c>
      <c r="AU92" s="350">
        <v>0</v>
      </c>
      <c r="AV92" s="350">
        <v>1369.915</v>
      </c>
      <c r="AW92" s="350">
        <v>964.22580000000005</v>
      </c>
      <c r="AX92" s="351">
        <f t="shared" si="254"/>
        <v>3958.2395999999999</v>
      </c>
      <c r="AY92" s="351">
        <f t="shared" si="255"/>
        <v>3141.4306936948865</v>
      </c>
      <c r="AZ92" s="352">
        <f t="shared" si="256"/>
        <v>0</v>
      </c>
      <c r="BA92" s="352">
        <f t="shared" si="257"/>
        <v>0</v>
      </c>
      <c r="BB92" s="353">
        <f t="shared" si="258"/>
        <v>3958.2395999999999</v>
      </c>
      <c r="BC92" s="353">
        <f t="shared" si="259"/>
        <v>3141.4306936948865</v>
      </c>
      <c r="BD92" s="343">
        <f t="shared" si="337"/>
        <v>3958.2395999999999</v>
      </c>
      <c r="BE92" s="343">
        <f t="shared" si="338"/>
        <v>3141.4306936948865</v>
      </c>
      <c r="BG92" s="350">
        <v>15.279829308225262</v>
      </c>
      <c r="BH92" s="350">
        <v>6.6011378585428773</v>
      </c>
      <c r="BI92" s="350">
        <v>0</v>
      </c>
      <c r="BJ92" s="350">
        <v>1370.2483</v>
      </c>
      <c r="BK92" s="350">
        <v>964.30920000000003</v>
      </c>
      <c r="BL92" s="351">
        <f t="shared" si="260"/>
        <v>3621.3195460493871</v>
      </c>
      <c r="BM92" s="351">
        <f t="shared" si="261"/>
        <v>3181.7484478176671</v>
      </c>
      <c r="BN92" s="352">
        <f t="shared" si="262"/>
        <v>0</v>
      </c>
      <c r="BO92" s="352">
        <f t="shared" si="263"/>
        <v>0</v>
      </c>
      <c r="BP92" s="353">
        <f t="shared" si="264"/>
        <v>3621.3195460493871</v>
      </c>
      <c r="BQ92" s="353">
        <f t="shared" si="265"/>
        <v>3181.7484478176671</v>
      </c>
      <c r="BR92" s="343">
        <f t="shared" si="339"/>
        <v>3621.3195460493871</v>
      </c>
      <c r="BS92" s="343">
        <f t="shared" si="340"/>
        <v>3181.7484478176671</v>
      </c>
      <c r="BU92" s="350">
        <v>12.568317604587314</v>
      </c>
      <c r="BV92" s="350">
        <v>6.6997863398784041</v>
      </c>
      <c r="BW92" s="350">
        <v>0</v>
      </c>
      <c r="BX92" s="350">
        <v>868.8075</v>
      </c>
      <c r="BY92" s="350">
        <v>530.91750000000002</v>
      </c>
      <c r="BZ92" s="351">
        <f t="shared" si="266"/>
        <v>2287.4338040348912</v>
      </c>
      <c r="CA92" s="351">
        <f t="shared" si="267"/>
        <v>2056.8344063426703</v>
      </c>
      <c r="CB92" s="352">
        <f t="shared" si="268"/>
        <v>0</v>
      </c>
      <c r="CC92" s="352">
        <f t="shared" si="269"/>
        <v>0</v>
      </c>
      <c r="CD92" s="353">
        <f t="shared" si="270"/>
        <v>2287.4338040348912</v>
      </c>
      <c r="CE92" s="353">
        <f t="shared" si="271"/>
        <v>2056.8344063426703</v>
      </c>
      <c r="CF92" s="343">
        <f t="shared" si="341"/>
        <v>2287.4338040348912</v>
      </c>
      <c r="CG92" s="343">
        <f t="shared" si="342"/>
        <v>2056.8344063426703</v>
      </c>
      <c r="CI92" s="350">
        <v>0.86667783335686233</v>
      </c>
      <c r="CJ92" s="350">
        <v>0.65170150173328079</v>
      </c>
      <c r="CK92" s="350">
        <v>0</v>
      </c>
      <c r="CL92" s="350">
        <v>1903.2017000000001</v>
      </c>
      <c r="CM92" s="350">
        <v>1356.2217000000001</v>
      </c>
      <c r="CN92" s="351">
        <f t="shared" si="272"/>
        <v>156.86868783759209</v>
      </c>
      <c r="CO92" s="351">
        <f t="shared" si="273"/>
        <v>147.93624089345474</v>
      </c>
      <c r="CP92" s="352">
        <f t="shared" si="274"/>
        <v>0</v>
      </c>
      <c r="CQ92" s="352">
        <f t="shared" si="275"/>
        <v>0</v>
      </c>
      <c r="CR92" s="353">
        <f t="shared" si="276"/>
        <v>156.86868783759209</v>
      </c>
      <c r="CS92" s="353">
        <f t="shared" si="277"/>
        <v>147.93624089345474</v>
      </c>
      <c r="CT92" s="343">
        <f t="shared" si="343"/>
        <v>156.86868783759209</v>
      </c>
      <c r="CU92" s="343">
        <f t="shared" si="344"/>
        <v>147.93624089345474</v>
      </c>
      <c r="CW92" s="350">
        <v>2.121542831227655</v>
      </c>
      <c r="CX92" s="350">
        <v>1.3894328401035767</v>
      </c>
      <c r="CY92" s="350">
        <v>0</v>
      </c>
      <c r="CZ92" s="350">
        <v>1010.7375</v>
      </c>
      <c r="DA92" s="350">
        <v>752.89750000000004</v>
      </c>
      <c r="DB92" s="351">
        <f t="shared" si="278"/>
        <v>405.21468076448213</v>
      </c>
      <c r="DC92" s="351">
        <f t="shared" si="279"/>
        <v>364.03140410713712</v>
      </c>
      <c r="DD92" s="352">
        <f t="shared" si="280"/>
        <v>0</v>
      </c>
      <c r="DE92" s="352">
        <f t="shared" si="281"/>
        <v>0</v>
      </c>
      <c r="DF92" s="353">
        <f t="shared" si="282"/>
        <v>405.21468076448213</v>
      </c>
      <c r="DG92" s="353">
        <f t="shared" si="283"/>
        <v>364.03140410713712</v>
      </c>
      <c r="DH92" s="343">
        <f t="shared" si="345"/>
        <v>405.21468076448213</v>
      </c>
      <c r="DI92" s="343">
        <f t="shared" si="346"/>
        <v>364.03140410713712</v>
      </c>
      <c r="DK92" s="350">
        <v>3.5568</v>
      </c>
      <c r="DL92" s="350">
        <v>2.1072000000000002</v>
      </c>
      <c r="DM92" s="350">
        <v>0</v>
      </c>
      <c r="DN92" s="350">
        <v>457.48419999999999</v>
      </c>
      <c r="DO92" s="350">
        <v>387.81079999999997</v>
      </c>
      <c r="DP92" s="351">
        <f t="shared" si="284"/>
        <v>341.45280000000002</v>
      </c>
      <c r="DQ92" s="351">
        <f t="shared" si="285"/>
        <v>366.65280000000001</v>
      </c>
      <c r="DR92" s="352">
        <f t="shared" si="286"/>
        <v>0</v>
      </c>
      <c r="DS92" s="352">
        <f t="shared" si="287"/>
        <v>0</v>
      </c>
      <c r="DT92" s="353">
        <f t="shared" si="288"/>
        <v>341.45280000000002</v>
      </c>
      <c r="DU92" s="353">
        <f t="shared" si="289"/>
        <v>366.65280000000001</v>
      </c>
      <c r="DV92" s="343">
        <f t="shared" si="347"/>
        <v>341.45280000000002</v>
      </c>
      <c r="DW92" s="343">
        <f t="shared" si="348"/>
        <v>366.65280000000001</v>
      </c>
      <c r="EB92" s="326"/>
      <c r="EC92" s="326"/>
      <c r="ED92" s="326"/>
      <c r="EE92" s="348">
        <f t="shared" si="290"/>
        <v>6842.8383666666668</v>
      </c>
      <c r="EF92" s="348">
        <f t="shared" si="291"/>
        <v>5100.4725000000008</v>
      </c>
      <c r="EG92" s="348">
        <f t="shared" si="292"/>
        <v>10347.13878571707</v>
      </c>
      <c r="EH92" s="348">
        <f t="shared" si="293"/>
        <v>9425.7801654835584</v>
      </c>
      <c r="EI92" s="354">
        <f t="shared" si="294"/>
        <v>0.57294316819340041</v>
      </c>
      <c r="EJ92" s="326"/>
      <c r="EK92" s="348">
        <f t="shared" si="295"/>
        <v>10347.13878571707</v>
      </c>
      <c r="EL92" s="348">
        <f t="shared" si="296"/>
        <v>9425.7801654835584</v>
      </c>
      <c r="EM92" s="348">
        <f t="shared" si="297"/>
        <v>10347.13878571707</v>
      </c>
      <c r="EN92" s="348">
        <f t="shared" si="298"/>
        <v>9425.7801654835584</v>
      </c>
      <c r="EP92" s="326"/>
      <c r="EQ92" s="326"/>
      <c r="ER92" s="326"/>
      <c r="ES92" s="348">
        <f t="shared" si="299"/>
        <v>4670.6908333333331</v>
      </c>
      <c r="ET92" s="348">
        <f t="shared" si="300"/>
        <v>3232.6534000000001</v>
      </c>
      <c r="EU92" s="348">
        <f t="shared" si="301"/>
        <v>9625.5088901724794</v>
      </c>
      <c r="EV92" s="348">
        <f t="shared" si="302"/>
        <v>8713.6327699268641</v>
      </c>
      <c r="EW92" s="354">
        <f t="shared" si="303"/>
        <v>0.59097651518633287</v>
      </c>
      <c r="EX92" s="326"/>
      <c r="EY92" s="348">
        <f t="shared" si="304"/>
        <v>9625.5088901724794</v>
      </c>
      <c r="EZ92" s="348">
        <f t="shared" si="305"/>
        <v>8713.6327699268641</v>
      </c>
      <c r="FA92" s="348">
        <f t="shared" si="306"/>
        <v>9625.5088901724794</v>
      </c>
      <c r="FB92" s="348">
        <f t="shared" si="307"/>
        <v>8713.6327699268641</v>
      </c>
      <c r="FD92" s="326"/>
      <c r="FE92" s="326"/>
      <c r="FF92" s="326"/>
      <c r="FG92" s="348">
        <f t="shared" si="308"/>
        <v>3285.2842333333333</v>
      </c>
      <c r="FH92" s="348">
        <f t="shared" si="309"/>
        <v>2317.9499999999998</v>
      </c>
      <c r="FI92" s="348">
        <f t="shared" si="310"/>
        <v>7013.7620246512861</v>
      </c>
      <c r="FJ92" s="348">
        <f t="shared" si="311"/>
        <v>6220.7159568850893</v>
      </c>
      <c r="FK92" s="354">
        <f t="shared" si="312"/>
        <v>0.58631927499824255</v>
      </c>
      <c r="FL92" s="326"/>
      <c r="FM92" s="348">
        <f t="shared" si="313"/>
        <v>7013.7620246512861</v>
      </c>
      <c r="FN92" s="348">
        <f t="shared" si="314"/>
        <v>6220.7159568850893</v>
      </c>
      <c r="FO92" s="348">
        <f t="shared" si="315"/>
        <v>7013.7620246512861</v>
      </c>
      <c r="FP92" s="348">
        <f t="shared" si="316"/>
        <v>6220.7159568850893</v>
      </c>
      <c r="FR92" s="326"/>
      <c r="FS92" s="326"/>
      <c r="FT92" s="326"/>
      <c r="FU92" s="348">
        <f t="shared" si="317"/>
        <v>2238.7224999999999</v>
      </c>
      <c r="FV92" s="348">
        <f t="shared" si="318"/>
        <v>1495.1433000000002</v>
      </c>
      <c r="FW92" s="349">
        <f t="shared" si="319"/>
        <v>1503.7252163685978</v>
      </c>
      <c r="FX92" s="349">
        <f t="shared" si="320"/>
        <v>976.13665861699462</v>
      </c>
      <c r="FY92" s="354">
        <f t="shared" si="321"/>
        <v>0.5995722985009263</v>
      </c>
      <c r="FZ92" s="326"/>
      <c r="GA92" s="349">
        <f t="shared" si="322"/>
        <v>1503.7252163685978</v>
      </c>
      <c r="GB92" s="349">
        <f t="shared" si="323"/>
        <v>976.13665861699462</v>
      </c>
      <c r="GC92" s="349">
        <f t="shared" si="232"/>
        <v>1503.7252163685978</v>
      </c>
      <c r="GD92" s="349">
        <f t="shared" si="233"/>
        <v>976.13665861699462</v>
      </c>
      <c r="GF92" s="326"/>
      <c r="GG92" s="326"/>
      <c r="GH92" s="326"/>
      <c r="GI92" s="348">
        <f t="shared" si="324"/>
        <v>2913.9391999999998</v>
      </c>
      <c r="GJ92" s="348">
        <f t="shared" si="325"/>
        <v>2109.1192000000001</v>
      </c>
      <c r="GK92" s="348">
        <f t="shared" si="326"/>
        <v>481.04043244917784</v>
      </c>
      <c r="GL92" s="348">
        <f t="shared" si="327"/>
        <v>439.16136417916442</v>
      </c>
      <c r="GM92" s="354">
        <f t="shared" si="328"/>
        <v>0.58011254657122835</v>
      </c>
      <c r="GN92" s="326"/>
      <c r="GO92" s="348">
        <f t="shared" si="329"/>
        <v>481.04043244917784</v>
      </c>
      <c r="GP92" s="348">
        <f t="shared" si="330"/>
        <v>439.16136417916442</v>
      </c>
      <c r="GQ92" s="348">
        <f t="shared" si="234"/>
        <v>481.04043244917784</v>
      </c>
      <c r="GR92" s="348">
        <f t="shared" si="235"/>
        <v>439.16136417916442</v>
      </c>
    </row>
    <row r="93" spans="1:200" x14ac:dyDescent="0.2">
      <c r="A93" s="320">
        <v>83</v>
      </c>
      <c r="C93" s="350">
        <v>5.8895821638861818</v>
      </c>
      <c r="D93" s="350">
        <v>2.4936685527355733</v>
      </c>
      <c r="E93" s="350">
        <v>0</v>
      </c>
      <c r="F93" s="350">
        <v>2344.4883333333337</v>
      </c>
      <c r="G93" s="350">
        <v>1927.6766666666667</v>
      </c>
      <c r="H93" s="351">
        <f t="shared" si="236"/>
        <v>6042.7113001472226</v>
      </c>
      <c r="I93" s="351">
        <f t="shared" si="237"/>
        <v>5924.9564812997223</v>
      </c>
      <c r="J93" s="352">
        <f t="shared" si="238"/>
        <v>0</v>
      </c>
      <c r="K93" s="352">
        <f t="shared" si="239"/>
        <v>0</v>
      </c>
      <c r="L93" s="353">
        <f t="shared" si="240"/>
        <v>6042.7113001472226</v>
      </c>
      <c r="M93" s="353">
        <f t="shared" si="241"/>
        <v>5924.9564812997223</v>
      </c>
      <c r="N93" s="343">
        <f t="shared" si="331"/>
        <v>6042.7113001472226</v>
      </c>
      <c r="O93" s="343">
        <f t="shared" si="332"/>
        <v>5924.9564812997223</v>
      </c>
      <c r="Q93" s="350">
        <v>8.094730795416865</v>
      </c>
      <c r="R93" s="350">
        <v>3.100389404808841</v>
      </c>
      <c r="S93" s="350">
        <v>0</v>
      </c>
      <c r="T93" s="350">
        <v>317.125</v>
      </c>
      <c r="U93" s="350">
        <v>167.65833333333336</v>
      </c>
      <c r="V93" s="351">
        <f t="shared" si="242"/>
        <v>5698.690479973473</v>
      </c>
      <c r="W93" s="351">
        <f t="shared" si="243"/>
        <v>5202.4534212692352</v>
      </c>
      <c r="X93" s="352">
        <f t="shared" si="244"/>
        <v>0</v>
      </c>
      <c r="Y93" s="352">
        <f t="shared" si="245"/>
        <v>0</v>
      </c>
      <c r="Z93" s="353">
        <f t="shared" si="246"/>
        <v>5698.690479973473</v>
      </c>
      <c r="AA93" s="353">
        <f t="shared" si="247"/>
        <v>5202.4534212692352</v>
      </c>
      <c r="AB93" s="343">
        <f t="shared" si="333"/>
        <v>5698.690479973473</v>
      </c>
      <c r="AC93" s="343">
        <f t="shared" si="334"/>
        <v>5202.4534212692352</v>
      </c>
      <c r="AE93" s="350">
        <v>12.584387502516879</v>
      </c>
      <c r="AF93" s="350">
        <v>5.069360704812456</v>
      </c>
      <c r="AG93" s="350">
        <v>0</v>
      </c>
      <c r="AH93" s="350">
        <v>48.666666666666671</v>
      </c>
      <c r="AI93" s="350">
        <v>36.25</v>
      </c>
      <c r="AJ93" s="351">
        <f t="shared" si="248"/>
        <v>4480.0419508960094</v>
      </c>
      <c r="AK93" s="351">
        <f t="shared" si="249"/>
        <v>3883.1302998863412</v>
      </c>
      <c r="AL93" s="352">
        <f t="shared" si="250"/>
        <v>0</v>
      </c>
      <c r="AM93" s="352">
        <f t="shared" si="251"/>
        <v>0</v>
      </c>
      <c r="AN93" s="353">
        <f t="shared" si="252"/>
        <v>4480.0419508960094</v>
      </c>
      <c r="AO93" s="353">
        <f t="shared" si="253"/>
        <v>3883.1302998863412</v>
      </c>
      <c r="AP93" s="343">
        <f t="shared" si="335"/>
        <v>4480.0419508960094</v>
      </c>
      <c r="AQ93" s="343">
        <f t="shared" si="336"/>
        <v>3883.1302998863412</v>
      </c>
      <c r="AS93" s="350">
        <v>16.1875</v>
      </c>
      <c r="AT93" s="350">
        <v>6.4451059617178155</v>
      </c>
      <c r="AU93" s="350">
        <v>0</v>
      </c>
      <c r="AV93" s="350">
        <v>1225.9933000000001</v>
      </c>
      <c r="AW93" s="350">
        <v>968.42330000000004</v>
      </c>
      <c r="AX93" s="351">
        <f t="shared" si="254"/>
        <v>4079.25</v>
      </c>
      <c r="AY93" s="351">
        <f t="shared" si="255"/>
        <v>3228.9980868206258</v>
      </c>
      <c r="AZ93" s="352">
        <f t="shared" si="256"/>
        <v>0</v>
      </c>
      <c r="BA93" s="352">
        <f t="shared" si="257"/>
        <v>0</v>
      </c>
      <c r="BB93" s="353">
        <f t="shared" si="258"/>
        <v>4079.25</v>
      </c>
      <c r="BC93" s="353">
        <f t="shared" si="259"/>
        <v>3228.9980868206258</v>
      </c>
      <c r="BD93" s="343">
        <f t="shared" si="337"/>
        <v>4079.25</v>
      </c>
      <c r="BE93" s="343">
        <f t="shared" si="338"/>
        <v>3228.9980868206258</v>
      </c>
      <c r="BG93" s="350">
        <v>15.536493284597185</v>
      </c>
      <c r="BH93" s="350">
        <v>6.7569571864813316</v>
      </c>
      <c r="BI93" s="350">
        <v>0</v>
      </c>
      <c r="BJ93" s="350">
        <v>1224.5767000000001</v>
      </c>
      <c r="BK93" s="350">
        <v>967.25670000000002</v>
      </c>
      <c r="BL93" s="351">
        <f t="shared" si="260"/>
        <v>3682.1489084495329</v>
      </c>
      <c r="BM93" s="351">
        <f t="shared" si="261"/>
        <v>3256.8533638840017</v>
      </c>
      <c r="BN93" s="352">
        <f t="shared" si="262"/>
        <v>0</v>
      </c>
      <c r="BO93" s="352">
        <f t="shared" si="263"/>
        <v>0</v>
      </c>
      <c r="BP93" s="353">
        <f t="shared" si="264"/>
        <v>3682.1489084495329</v>
      </c>
      <c r="BQ93" s="353">
        <f t="shared" si="265"/>
        <v>3256.8533638840017</v>
      </c>
      <c r="BR93" s="343">
        <f t="shared" si="339"/>
        <v>3682.1489084495329</v>
      </c>
      <c r="BS93" s="343">
        <f t="shared" si="340"/>
        <v>3256.8533638840017</v>
      </c>
      <c r="BU93" s="350">
        <v>12.768932329114406</v>
      </c>
      <c r="BV93" s="350">
        <v>6.8149242601622966</v>
      </c>
      <c r="BW93" s="350">
        <v>0</v>
      </c>
      <c r="BX93" s="350">
        <v>816.67</v>
      </c>
      <c r="BY93" s="350">
        <v>545.61500000000001</v>
      </c>
      <c r="BZ93" s="351">
        <f t="shared" si="266"/>
        <v>2323.9456838988222</v>
      </c>
      <c r="CA93" s="351">
        <f t="shared" si="267"/>
        <v>2092.1817478698249</v>
      </c>
      <c r="CB93" s="352">
        <f t="shared" si="268"/>
        <v>0</v>
      </c>
      <c r="CC93" s="352">
        <f t="shared" si="269"/>
        <v>0</v>
      </c>
      <c r="CD93" s="353">
        <f t="shared" si="270"/>
        <v>2323.9456838988222</v>
      </c>
      <c r="CE93" s="353">
        <f t="shared" si="271"/>
        <v>2092.1817478698249</v>
      </c>
      <c r="CF93" s="343">
        <f t="shared" si="341"/>
        <v>2323.9456838988222</v>
      </c>
      <c r="CG93" s="343">
        <f t="shared" si="342"/>
        <v>2092.1817478698249</v>
      </c>
      <c r="CI93" s="350">
        <v>0.8320271149866626</v>
      </c>
      <c r="CJ93" s="350">
        <v>0.61486383883887596</v>
      </c>
      <c r="CK93" s="350">
        <v>0</v>
      </c>
      <c r="CL93" s="350">
        <v>1754.2742000000001</v>
      </c>
      <c r="CM93" s="350">
        <v>1286.2967000000001</v>
      </c>
      <c r="CN93" s="351">
        <f t="shared" si="272"/>
        <v>150.59690781258593</v>
      </c>
      <c r="CO93" s="351">
        <f t="shared" si="273"/>
        <v>139.57409141642484</v>
      </c>
      <c r="CP93" s="352">
        <f t="shared" si="274"/>
        <v>0</v>
      </c>
      <c r="CQ93" s="352">
        <f t="shared" si="275"/>
        <v>0</v>
      </c>
      <c r="CR93" s="353">
        <f t="shared" si="276"/>
        <v>150.59690781258593</v>
      </c>
      <c r="CS93" s="353">
        <f t="shared" si="277"/>
        <v>139.57409141642484</v>
      </c>
      <c r="CT93" s="343">
        <f t="shared" si="343"/>
        <v>150.59690781258593</v>
      </c>
      <c r="CU93" s="343">
        <f t="shared" si="344"/>
        <v>139.57409141642484</v>
      </c>
      <c r="CW93" s="350">
        <v>2.0424461440635824</v>
      </c>
      <c r="CX93" s="350">
        <v>1.3184131231986993</v>
      </c>
      <c r="CY93" s="350">
        <v>0</v>
      </c>
      <c r="CZ93" s="350">
        <v>927.76829999999995</v>
      </c>
      <c r="DA93" s="350">
        <v>742.01170000000002</v>
      </c>
      <c r="DB93" s="351">
        <f t="shared" si="278"/>
        <v>390.10721351614421</v>
      </c>
      <c r="DC93" s="351">
        <f t="shared" si="279"/>
        <v>345.42423827805919</v>
      </c>
      <c r="DD93" s="352">
        <f t="shared" si="280"/>
        <v>0</v>
      </c>
      <c r="DE93" s="352">
        <f t="shared" si="281"/>
        <v>0</v>
      </c>
      <c r="DF93" s="353">
        <f t="shared" si="282"/>
        <v>390.10721351614421</v>
      </c>
      <c r="DG93" s="353">
        <f t="shared" si="283"/>
        <v>345.42423827805919</v>
      </c>
      <c r="DH93" s="343">
        <f t="shared" si="345"/>
        <v>390.10721351614421</v>
      </c>
      <c r="DI93" s="343">
        <f t="shared" si="346"/>
        <v>345.42423827805919</v>
      </c>
      <c r="DK93" s="350">
        <v>3.456</v>
      </c>
      <c r="DL93" s="350">
        <v>2.0114000000000001</v>
      </c>
      <c r="DM93" s="350">
        <v>0</v>
      </c>
      <c r="DN93" s="350">
        <v>413.27420000000001</v>
      </c>
      <c r="DO93" s="350">
        <v>340.87329999999997</v>
      </c>
      <c r="DP93" s="351">
        <f t="shared" si="284"/>
        <v>331.77600000000001</v>
      </c>
      <c r="DQ93" s="351">
        <f t="shared" si="285"/>
        <v>349.98360000000002</v>
      </c>
      <c r="DR93" s="352">
        <f t="shared" si="286"/>
        <v>0</v>
      </c>
      <c r="DS93" s="352">
        <f t="shared" si="287"/>
        <v>0</v>
      </c>
      <c r="DT93" s="353">
        <f t="shared" si="288"/>
        <v>331.77600000000001</v>
      </c>
      <c r="DU93" s="353">
        <f t="shared" si="289"/>
        <v>349.98360000000002</v>
      </c>
      <c r="DV93" s="343">
        <f t="shared" si="347"/>
        <v>331.77600000000001</v>
      </c>
      <c r="DW93" s="343">
        <f t="shared" si="348"/>
        <v>349.98360000000002</v>
      </c>
      <c r="EB93" s="326"/>
      <c r="EC93" s="326"/>
      <c r="ED93" s="326"/>
      <c r="EE93" s="348">
        <f t="shared" si="290"/>
        <v>6252.5241333333333</v>
      </c>
      <c r="EF93" s="348">
        <f t="shared" si="291"/>
        <v>4924.4083666666666</v>
      </c>
      <c r="EG93" s="348">
        <f t="shared" si="292"/>
        <v>10584.643978772723</v>
      </c>
      <c r="EH93" s="348">
        <f t="shared" si="293"/>
        <v>9569.8680501592207</v>
      </c>
      <c r="EI93" s="354">
        <f t="shared" si="294"/>
        <v>0.55941324986380059</v>
      </c>
      <c r="EJ93" s="326"/>
      <c r="EK93" s="348">
        <f t="shared" si="295"/>
        <v>10584.643978772723</v>
      </c>
      <c r="EL93" s="348">
        <f t="shared" si="296"/>
        <v>9569.8680501592207</v>
      </c>
      <c r="EM93" s="348">
        <f t="shared" si="297"/>
        <v>10584.643978772723</v>
      </c>
      <c r="EN93" s="348">
        <f t="shared" si="298"/>
        <v>9569.8680501592207</v>
      </c>
      <c r="EP93" s="326"/>
      <c r="EQ93" s="326"/>
      <c r="ER93" s="326"/>
      <c r="ES93" s="348">
        <f t="shared" si="299"/>
        <v>4223.7442000000001</v>
      </c>
      <c r="ET93" s="348">
        <f t="shared" si="300"/>
        <v>3163.2234333333336</v>
      </c>
      <c r="EU93" s="348">
        <f t="shared" si="301"/>
        <v>9804.511345696892</v>
      </c>
      <c r="EV93" s="348">
        <f t="shared" si="302"/>
        <v>8840.677843364303</v>
      </c>
      <c r="EW93" s="354">
        <f t="shared" si="303"/>
        <v>0.57178322820050798</v>
      </c>
      <c r="EX93" s="326"/>
      <c r="EY93" s="348">
        <f t="shared" si="304"/>
        <v>9804.511345696892</v>
      </c>
      <c r="EZ93" s="348">
        <f t="shared" si="305"/>
        <v>8840.677843364303</v>
      </c>
      <c r="FA93" s="348">
        <f t="shared" si="306"/>
        <v>9804.511345696892</v>
      </c>
      <c r="FB93" s="348">
        <f t="shared" si="307"/>
        <v>8840.677843364303</v>
      </c>
      <c r="FD93" s="326"/>
      <c r="FE93" s="326"/>
      <c r="FF93" s="326"/>
      <c r="FG93" s="348">
        <f t="shared" si="308"/>
        <v>3032.8850666666667</v>
      </c>
      <c r="FH93" s="348">
        <f t="shared" si="309"/>
        <v>2209.0349999999999</v>
      </c>
      <c r="FI93" s="348">
        <f t="shared" si="310"/>
        <v>7153.6501426074183</v>
      </c>
      <c r="FJ93" s="348">
        <f t="shared" si="311"/>
        <v>6324.8762991725916</v>
      </c>
      <c r="FK93" s="354">
        <f t="shared" si="312"/>
        <v>0.57858285286583477</v>
      </c>
      <c r="FL93" s="326"/>
      <c r="FM93" s="348">
        <f t="shared" si="313"/>
        <v>7153.6501426074183</v>
      </c>
      <c r="FN93" s="348">
        <f t="shared" si="314"/>
        <v>6324.8762991725916</v>
      </c>
      <c r="FO93" s="348">
        <f t="shared" si="315"/>
        <v>7153.6501426074183</v>
      </c>
      <c r="FP93" s="348">
        <f t="shared" si="316"/>
        <v>6324.8762991725916</v>
      </c>
      <c r="FR93" s="326"/>
      <c r="FS93" s="326"/>
      <c r="FT93" s="326"/>
      <c r="FU93" s="348">
        <f t="shared" si="317"/>
        <v>2042.6633000000002</v>
      </c>
      <c r="FV93" s="348">
        <f t="shared" si="318"/>
        <v>1514.0383000000002</v>
      </c>
      <c r="FW93" s="349">
        <f t="shared" si="319"/>
        <v>1579.77388449106</v>
      </c>
      <c r="FX93" s="349">
        <f t="shared" si="320"/>
        <v>1023.1347050557208</v>
      </c>
      <c r="FY93" s="354">
        <f t="shared" si="321"/>
        <v>0.57431393738513237</v>
      </c>
      <c r="FZ93" s="326"/>
      <c r="GA93" s="349">
        <f t="shared" si="322"/>
        <v>1579.77388449106</v>
      </c>
      <c r="GB93" s="349">
        <f t="shared" si="323"/>
        <v>1023.1347050557208</v>
      </c>
      <c r="GC93" s="349">
        <f t="shared" si="232"/>
        <v>1579.77388449106</v>
      </c>
      <c r="GD93" s="349">
        <f t="shared" si="233"/>
        <v>1023.1347050557208</v>
      </c>
      <c r="GF93" s="326"/>
      <c r="GG93" s="326"/>
      <c r="GH93" s="326"/>
      <c r="GI93" s="348">
        <f t="shared" si="324"/>
        <v>2682.0425</v>
      </c>
      <c r="GJ93" s="348">
        <f t="shared" si="325"/>
        <v>2028.3084000000001</v>
      </c>
      <c r="GK93" s="348">
        <f t="shared" si="326"/>
        <v>462.6826786255013</v>
      </c>
      <c r="GL93" s="348">
        <f t="shared" si="327"/>
        <v>415.91348203887219</v>
      </c>
      <c r="GM93" s="354">
        <f t="shared" si="328"/>
        <v>0.5693933545375568</v>
      </c>
      <c r="GN93" s="326"/>
      <c r="GO93" s="348">
        <f t="shared" si="329"/>
        <v>462.6826786255013</v>
      </c>
      <c r="GP93" s="348">
        <f t="shared" si="330"/>
        <v>415.91348203887219</v>
      </c>
      <c r="GQ93" s="348">
        <f t="shared" si="234"/>
        <v>462.6826786255013</v>
      </c>
      <c r="GR93" s="348">
        <f t="shared" si="235"/>
        <v>415.91348203887219</v>
      </c>
    </row>
    <row r="94" spans="1:200" x14ac:dyDescent="0.2">
      <c r="A94" s="320">
        <v>84</v>
      </c>
      <c r="C94" s="350">
        <v>6.029064612880096</v>
      </c>
      <c r="D94" s="350">
        <v>2.5268024968553759</v>
      </c>
      <c r="E94" s="350">
        <v>0</v>
      </c>
      <c r="F94" s="350">
        <v>2172.6816666666664</v>
      </c>
      <c r="G94" s="350">
        <v>1870.9783333333332</v>
      </c>
      <c r="H94" s="351">
        <f t="shared" si="236"/>
        <v>6185.8202928149785</v>
      </c>
      <c r="I94" s="351">
        <f t="shared" si="237"/>
        <v>6003.682732528373</v>
      </c>
      <c r="J94" s="352">
        <f t="shared" si="238"/>
        <v>0</v>
      </c>
      <c r="K94" s="352">
        <f t="shared" si="239"/>
        <v>0</v>
      </c>
      <c r="L94" s="353">
        <f t="shared" si="240"/>
        <v>6185.8202928149785</v>
      </c>
      <c r="M94" s="353">
        <f t="shared" si="241"/>
        <v>6003.682732528373</v>
      </c>
      <c r="N94" s="343">
        <f t="shared" si="331"/>
        <v>6185.8202928149785</v>
      </c>
      <c r="O94" s="343">
        <f t="shared" si="332"/>
        <v>6003.682732528373</v>
      </c>
      <c r="Q94" s="350">
        <v>8.2835555970835131</v>
      </c>
      <c r="R94" s="350">
        <v>3.1427366613439696</v>
      </c>
      <c r="S94" s="350">
        <v>0</v>
      </c>
      <c r="T94" s="350">
        <v>301.7591666666666</v>
      </c>
      <c r="U94" s="350">
        <v>168.16916666666668</v>
      </c>
      <c r="V94" s="351">
        <f t="shared" si="242"/>
        <v>5831.6231403467937</v>
      </c>
      <c r="W94" s="351">
        <f t="shared" si="243"/>
        <v>5273.5121177351812</v>
      </c>
      <c r="X94" s="352">
        <f t="shared" si="244"/>
        <v>0</v>
      </c>
      <c r="Y94" s="352">
        <f t="shared" si="245"/>
        <v>0</v>
      </c>
      <c r="Z94" s="353">
        <f t="shared" si="246"/>
        <v>5831.6231403467937</v>
      </c>
      <c r="AA94" s="353">
        <f t="shared" si="247"/>
        <v>5273.5121177351812</v>
      </c>
      <c r="AB94" s="343">
        <f t="shared" si="333"/>
        <v>5831.6231403467937</v>
      </c>
      <c r="AC94" s="343">
        <f t="shared" si="334"/>
        <v>5273.5121177351812</v>
      </c>
      <c r="AE94" s="350">
        <v>12.895504669002086</v>
      </c>
      <c r="AF94" s="350">
        <v>5.1795259520509864</v>
      </c>
      <c r="AG94" s="350">
        <v>0</v>
      </c>
      <c r="AH94" s="350">
        <v>43.583333333333336</v>
      </c>
      <c r="AI94" s="350">
        <v>46.303333333333335</v>
      </c>
      <c r="AJ94" s="351">
        <f t="shared" si="248"/>
        <v>4590.7996621647426</v>
      </c>
      <c r="AK94" s="351">
        <f t="shared" si="249"/>
        <v>3967.5168792710556</v>
      </c>
      <c r="AL94" s="352">
        <f t="shared" si="250"/>
        <v>0</v>
      </c>
      <c r="AM94" s="352">
        <f t="shared" si="251"/>
        <v>0</v>
      </c>
      <c r="AN94" s="353">
        <f t="shared" si="252"/>
        <v>4590.7996621647426</v>
      </c>
      <c r="AO94" s="353">
        <f t="shared" si="253"/>
        <v>3967.5168792710556</v>
      </c>
      <c r="AP94" s="343">
        <f t="shared" si="335"/>
        <v>4590.7996621647426</v>
      </c>
      <c r="AQ94" s="343">
        <f t="shared" si="336"/>
        <v>3967.5168792710556</v>
      </c>
      <c r="AS94" s="350">
        <v>16.604800000000001</v>
      </c>
      <c r="AT94" s="350">
        <v>6.5934586935623267</v>
      </c>
      <c r="AU94" s="350">
        <v>0</v>
      </c>
      <c r="AV94" s="350">
        <v>1147.2750000000001</v>
      </c>
      <c r="AW94" s="350">
        <v>861.42250000000001</v>
      </c>
      <c r="AX94" s="351">
        <f t="shared" si="254"/>
        <v>4184.4096</v>
      </c>
      <c r="AY94" s="351">
        <f t="shared" si="255"/>
        <v>3303.3228054747256</v>
      </c>
      <c r="AZ94" s="352">
        <f t="shared" si="256"/>
        <v>0</v>
      </c>
      <c r="BA94" s="352">
        <f t="shared" si="257"/>
        <v>0</v>
      </c>
      <c r="BB94" s="353">
        <f t="shared" si="258"/>
        <v>4184.4096</v>
      </c>
      <c r="BC94" s="353">
        <f t="shared" si="259"/>
        <v>3303.3228054747256</v>
      </c>
      <c r="BD94" s="343">
        <f t="shared" si="337"/>
        <v>4184.4096</v>
      </c>
      <c r="BE94" s="343">
        <f t="shared" si="338"/>
        <v>3303.3228054747256</v>
      </c>
      <c r="BG94" s="350">
        <v>15.749550485385766</v>
      </c>
      <c r="BH94" s="350">
        <v>6.87609575426782</v>
      </c>
      <c r="BI94" s="350">
        <v>0</v>
      </c>
      <c r="BJ94" s="350">
        <v>1146.7750000000001</v>
      </c>
      <c r="BK94" s="350">
        <v>860.67250000000001</v>
      </c>
      <c r="BL94" s="351">
        <f t="shared" si="260"/>
        <v>3732.6434650364267</v>
      </c>
      <c r="BM94" s="351">
        <f t="shared" si="261"/>
        <v>3314.2781535570894</v>
      </c>
      <c r="BN94" s="352">
        <f t="shared" si="262"/>
        <v>0</v>
      </c>
      <c r="BO94" s="352">
        <f t="shared" si="263"/>
        <v>0</v>
      </c>
      <c r="BP94" s="353">
        <f t="shared" si="264"/>
        <v>3732.6434650364267</v>
      </c>
      <c r="BQ94" s="353">
        <f t="shared" si="265"/>
        <v>3314.2781535570894</v>
      </c>
      <c r="BR94" s="343">
        <f t="shared" si="339"/>
        <v>3732.6434650364267</v>
      </c>
      <c r="BS94" s="343">
        <f t="shared" si="340"/>
        <v>3314.2781535570894</v>
      </c>
      <c r="BU94" s="350">
        <v>12.995401559106178</v>
      </c>
      <c r="BV94" s="350">
        <v>6.9440782957388967</v>
      </c>
      <c r="BW94" s="350">
        <v>0</v>
      </c>
      <c r="BX94" s="350">
        <v>709.95</v>
      </c>
      <c r="BY94" s="350">
        <v>541.60419999999999</v>
      </c>
      <c r="BZ94" s="351">
        <f t="shared" si="266"/>
        <v>2365.1630837573243</v>
      </c>
      <c r="CA94" s="351">
        <f t="shared" si="267"/>
        <v>2131.8320367918413</v>
      </c>
      <c r="CB94" s="352">
        <f t="shared" si="268"/>
        <v>0</v>
      </c>
      <c r="CC94" s="352">
        <f t="shared" si="269"/>
        <v>0</v>
      </c>
      <c r="CD94" s="353">
        <f t="shared" si="270"/>
        <v>2365.1630837573243</v>
      </c>
      <c r="CE94" s="353">
        <f t="shared" si="271"/>
        <v>2131.8320367918413</v>
      </c>
      <c r="CF94" s="343">
        <f t="shared" si="341"/>
        <v>2365.1630837573243</v>
      </c>
      <c r="CG94" s="343">
        <f t="shared" si="342"/>
        <v>2131.8320367918413</v>
      </c>
      <c r="CI94" s="350">
        <v>0.7979387629081931</v>
      </c>
      <c r="CJ94" s="350">
        <v>0.57912302628328727</v>
      </c>
      <c r="CK94" s="350">
        <v>0</v>
      </c>
      <c r="CL94" s="350">
        <v>1343.3633</v>
      </c>
      <c r="CM94" s="350">
        <v>1169.6483000000001</v>
      </c>
      <c r="CN94" s="351">
        <f t="shared" si="272"/>
        <v>144.42691608638296</v>
      </c>
      <c r="CO94" s="351">
        <f t="shared" si="273"/>
        <v>131.4609269663062</v>
      </c>
      <c r="CP94" s="352">
        <f t="shared" si="274"/>
        <v>0</v>
      </c>
      <c r="CQ94" s="352">
        <f t="shared" si="275"/>
        <v>0</v>
      </c>
      <c r="CR94" s="353">
        <f t="shared" si="276"/>
        <v>144.42691608638296</v>
      </c>
      <c r="CS94" s="353">
        <f t="shared" si="277"/>
        <v>131.4609269663062</v>
      </c>
      <c r="CT94" s="343">
        <f t="shared" si="343"/>
        <v>144.42691608638296</v>
      </c>
      <c r="CU94" s="343">
        <f t="shared" si="344"/>
        <v>131.4609269663062</v>
      </c>
      <c r="CW94" s="350">
        <v>1.9598605927416834</v>
      </c>
      <c r="CX94" s="350">
        <v>1.2462967702523426</v>
      </c>
      <c r="CY94" s="350">
        <v>0</v>
      </c>
      <c r="CZ94" s="350">
        <v>683.52670000000001</v>
      </c>
      <c r="DA94" s="350">
        <v>674.5992</v>
      </c>
      <c r="DB94" s="351">
        <f t="shared" si="278"/>
        <v>374.33337321366156</v>
      </c>
      <c r="DC94" s="351">
        <f t="shared" si="279"/>
        <v>326.52975380611377</v>
      </c>
      <c r="DD94" s="352">
        <f t="shared" si="280"/>
        <v>0</v>
      </c>
      <c r="DE94" s="352">
        <f t="shared" si="281"/>
        <v>0</v>
      </c>
      <c r="DF94" s="353">
        <f t="shared" si="282"/>
        <v>374.33337321366156</v>
      </c>
      <c r="DG94" s="353">
        <f t="shared" si="283"/>
        <v>326.52975380611377</v>
      </c>
      <c r="DH94" s="343">
        <f t="shared" si="345"/>
        <v>374.33337321366156</v>
      </c>
      <c r="DI94" s="343">
        <f t="shared" si="346"/>
        <v>326.52975380611377</v>
      </c>
      <c r="DK94" s="350">
        <v>3.3483000000000001</v>
      </c>
      <c r="DL94" s="350">
        <v>1.9154</v>
      </c>
      <c r="DM94" s="350">
        <v>0</v>
      </c>
      <c r="DN94" s="350">
        <v>351.24250000000001</v>
      </c>
      <c r="DO94" s="350">
        <v>362.78500000000003</v>
      </c>
      <c r="DP94" s="351">
        <f t="shared" si="284"/>
        <v>321.43680000000001</v>
      </c>
      <c r="DQ94" s="351">
        <f t="shared" si="285"/>
        <v>333.27960000000002</v>
      </c>
      <c r="DR94" s="352">
        <f t="shared" si="286"/>
        <v>0</v>
      </c>
      <c r="DS94" s="352">
        <f t="shared" si="287"/>
        <v>0</v>
      </c>
      <c r="DT94" s="353">
        <f t="shared" si="288"/>
        <v>321.43680000000001</v>
      </c>
      <c r="DU94" s="353">
        <f t="shared" si="289"/>
        <v>333.27960000000002</v>
      </c>
      <c r="DV94" s="343">
        <f t="shared" si="347"/>
        <v>321.43680000000001</v>
      </c>
      <c r="DW94" s="343">
        <f t="shared" si="348"/>
        <v>333.27960000000002</v>
      </c>
      <c r="EB94" s="326"/>
      <c r="EC94" s="326"/>
      <c r="ED94" s="326"/>
      <c r="EE94" s="348">
        <f t="shared" si="290"/>
        <v>5346.8466666666664</v>
      </c>
      <c r="EF94" s="348">
        <f t="shared" si="291"/>
        <v>4576.6483333333326</v>
      </c>
      <c r="EG94" s="348">
        <f t="shared" si="292"/>
        <v>10814.123507472292</v>
      </c>
      <c r="EH94" s="348">
        <f t="shared" si="293"/>
        <v>9699.6902680142975</v>
      </c>
      <c r="EI94" s="354">
        <f t="shared" si="294"/>
        <v>0.53880680815243687</v>
      </c>
      <c r="EJ94" s="326"/>
      <c r="EK94" s="348">
        <f t="shared" si="295"/>
        <v>10814.123507472292</v>
      </c>
      <c r="EL94" s="348">
        <f t="shared" si="296"/>
        <v>9699.6902680142975</v>
      </c>
      <c r="EM94" s="348">
        <f t="shared" si="297"/>
        <v>10814.123507472292</v>
      </c>
      <c r="EN94" s="348">
        <f t="shared" si="298"/>
        <v>9699.6902680142975</v>
      </c>
      <c r="EP94" s="326"/>
      <c r="EQ94" s="326"/>
      <c r="ER94" s="326"/>
      <c r="ES94" s="348">
        <f t="shared" si="299"/>
        <v>3475.4241666666667</v>
      </c>
      <c r="ET94" s="348">
        <f t="shared" si="300"/>
        <v>2873.0891666666671</v>
      </c>
      <c r="EU94" s="348">
        <f t="shared" si="301"/>
        <v>9970.7268827191656</v>
      </c>
      <c r="EV94" s="348">
        <f t="shared" si="302"/>
        <v>8947.8220259228565</v>
      </c>
      <c r="EW94" s="354">
        <f t="shared" si="303"/>
        <v>0.54743905922331415</v>
      </c>
      <c r="EX94" s="326"/>
      <c r="EY94" s="348">
        <f t="shared" si="304"/>
        <v>9970.7268827191656</v>
      </c>
      <c r="EZ94" s="348">
        <f t="shared" si="305"/>
        <v>8947.8220259228565</v>
      </c>
      <c r="FA94" s="348">
        <f t="shared" si="306"/>
        <v>9970.7268827191656</v>
      </c>
      <c r="FB94" s="348">
        <f t="shared" si="307"/>
        <v>8947.8220259228565</v>
      </c>
      <c r="FD94" s="326"/>
      <c r="FE94" s="326"/>
      <c r="FF94" s="326"/>
      <c r="FG94" s="348">
        <f t="shared" si="308"/>
        <v>2448.1391333333331</v>
      </c>
      <c r="FH94" s="348">
        <f t="shared" si="309"/>
        <v>2120.3408333333332</v>
      </c>
      <c r="FI94" s="348">
        <f t="shared" si="310"/>
        <v>7293.2517420084496</v>
      </c>
      <c r="FJ94" s="348">
        <f t="shared" si="311"/>
        <v>6430.7776030292025</v>
      </c>
      <c r="FK94" s="354">
        <f t="shared" si="312"/>
        <v>0.53587607939530646</v>
      </c>
      <c r="FL94" s="326"/>
      <c r="FM94" s="348">
        <f t="shared" si="313"/>
        <v>7293.2517420084496</v>
      </c>
      <c r="FN94" s="348">
        <f t="shared" si="314"/>
        <v>6430.7776030292025</v>
      </c>
      <c r="FO94" s="348">
        <f t="shared" si="315"/>
        <v>7293.2517420084496</v>
      </c>
      <c r="FP94" s="348">
        <f t="shared" si="316"/>
        <v>6430.7776030292025</v>
      </c>
      <c r="FR94" s="326"/>
      <c r="FS94" s="326"/>
      <c r="FT94" s="326"/>
      <c r="FU94" s="348">
        <f t="shared" si="317"/>
        <v>1857.2250000000001</v>
      </c>
      <c r="FV94" s="348">
        <f t="shared" si="318"/>
        <v>1403.0266999999999</v>
      </c>
      <c r="FW94" s="349">
        <f t="shared" si="319"/>
        <v>1637.3218646184082</v>
      </c>
      <c r="FX94" s="349">
        <f t="shared" si="320"/>
        <v>1054.3416918145958</v>
      </c>
      <c r="FY94" s="354">
        <f t="shared" si="321"/>
        <v>0.56965693783703886</v>
      </c>
      <c r="FZ94" s="326"/>
      <c r="GA94" s="349">
        <f t="shared" si="322"/>
        <v>1637.3218646184082</v>
      </c>
      <c r="GB94" s="349">
        <f t="shared" si="323"/>
        <v>1054.3416918145958</v>
      </c>
      <c r="GC94" s="349">
        <f t="shared" si="232"/>
        <v>1637.3218646184082</v>
      </c>
      <c r="GD94" s="349">
        <f t="shared" si="233"/>
        <v>1054.3416918145958</v>
      </c>
      <c r="GF94" s="326"/>
      <c r="GG94" s="326"/>
      <c r="GH94" s="326"/>
      <c r="GI94" s="348">
        <f t="shared" si="324"/>
        <v>2026.8899999999999</v>
      </c>
      <c r="GJ94" s="348">
        <f t="shared" si="325"/>
        <v>1844.2474999999999</v>
      </c>
      <c r="GK94" s="348">
        <f t="shared" si="326"/>
        <v>443.89361465731224</v>
      </c>
      <c r="GL94" s="348">
        <f t="shared" si="327"/>
        <v>392.68473001119725</v>
      </c>
      <c r="GM94" s="354">
        <f t="shared" si="328"/>
        <v>0.52359028838422816</v>
      </c>
      <c r="GN94" s="326"/>
      <c r="GO94" s="348">
        <f t="shared" si="329"/>
        <v>443.89361465731224</v>
      </c>
      <c r="GP94" s="348">
        <f t="shared" si="330"/>
        <v>392.68473001119725</v>
      </c>
      <c r="GQ94" s="348">
        <f t="shared" si="234"/>
        <v>443.89361465731224</v>
      </c>
      <c r="GR94" s="348">
        <f t="shared" si="235"/>
        <v>392.68473001119725</v>
      </c>
    </row>
    <row r="95" spans="1:200" x14ac:dyDescent="0.2">
      <c r="A95" s="320">
        <v>85</v>
      </c>
      <c r="C95" s="350">
        <v>6.1682574855521173</v>
      </c>
      <c r="D95" s="350">
        <v>2.5593120961996125</v>
      </c>
      <c r="E95" s="350">
        <v>0</v>
      </c>
      <c r="F95" s="350">
        <v>1763.7149999999999</v>
      </c>
      <c r="G95" s="350">
        <v>1858.8274999999999</v>
      </c>
      <c r="H95" s="351">
        <f t="shared" si="236"/>
        <v>6328.6321801764725</v>
      </c>
      <c r="I95" s="351">
        <f t="shared" si="237"/>
        <v>6080.9255405702797</v>
      </c>
      <c r="J95" s="352">
        <f t="shared" si="238"/>
        <v>0</v>
      </c>
      <c r="K95" s="352">
        <f t="shared" si="239"/>
        <v>0</v>
      </c>
      <c r="L95" s="353">
        <f t="shared" si="240"/>
        <v>6328.6321801764725</v>
      </c>
      <c r="M95" s="353">
        <f t="shared" si="241"/>
        <v>6080.9255405702797</v>
      </c>
      <c r="N95" s="343">
        <f t="shared" si="331"/>
        <v>6328.6321801764725</v>
      </c>
      <c r="O95" s="343">
        <f t="shared" si="332"/>
        <v>6080.9255405702797</v>
      </c>
      <c r="Q95" s="350">
        <v>8.4698217643510674</v>
      </c>
      <c r="R95" s="350">
        <v>3.1839663791013146</v>
      </c>
      <c r="S95" s="350">
        <v>0</v>
      </c>
      <c r="T95" s="350">
        <v>255.68416666666664</v>
      </c>
      <c r="U95" s="350">
        <v>164.57166666666666</v>
      </c>
      <c r="V95" s="351">
        <f t="shared" si="242"/>
        <v>5962.7545221031514</v>
      </c>
      <c r="W95" s="351">
        <f t="shared" si="243"/>
        <v>5342.6955841320059</v>
      </c>
      <c r="X95" s="352">
        <f t="shared" si="244"/>
        <v>0</v>
      </c>
      <c r="Y95" s="352">
        <f t="shared" si="245"/>
        <v>0</v>
      </c>
      <c r="Z95" s="353">
        <f t="shared" si="246"/>
        <v>5962.7545221031514</v>
      </c>
      <c r="AA95" s="353">
        <f t="shared" si="247"/>
        <v>5342.6955841320059</v>
      </c>
      <c r="AB95" s="343">
        <f t="shared" si="333"/>
        <v>5962.7545221031514</v>
      </c>
      <c r="AC95" s="343">
        <f t="shared" si="334"/>
        <v>5342.6955841320059</v>
      </c>
      <c r="AE95" s="350">
        <v>13.19433156606039</v>
      </c>
      <c r="AF95" s="350">
        <v>5.2856058518147444</v>
      </c>
      <c r="AG95" s="350">
        <v>0</v>
      </c>
      <c r="AH95" s="350">
        <v>41</v>
      </c>
      <c r="AI95" s="350">
        <v>50.166666666666664</v>
      </c>
      <c r="AJ95" s="351">
        <f t="shared" si="248"/>
        <v>4697.1820375174984</v>
      </c>
      <c r="AK95" s="351">
        <f t="shared" si="249"/>
        <v>4048.7740824900943</v>
      </c>
      <c r="AL95" s="352">
        <f t="shared" si="250"/>
        <v>0</v>
      </c>
      <c r="AM95" s="352">
        <f t="shared" si="251"/>
        <v>0</v>
      </c>
      <c r="AN95" s="353">
        <f t="shared" si="252"/>
        <v>4697.1820375174984</v>
      </c>
      <c r="AO95" s="353">
        <f t="shared" si="253"/>
        <v>4048.7740824900943</v>
      </c>
      <c r="AP95" s="343">
        <f t="shared" si="335"/>
        <v>4697.1820375174984</v>
      </c>
      <c r="AQ95" s="343">
        <f t="shared" si="336"/>
        <v>4048.7740824900943</v>
      </c>
      <c r="AS95" s="350">
        <v>16.9617</v>
      </c>
      <c r="AT95" s="350">
        <v>6.7130934058954184</v>
      </c>
      <c r="AU95" s="350">
        <v>0</v>
      </c>
      <c r="AV95" s="350">
        <v>889.13</v>
      </c>
      <c r="AW95" s="350">
        <v>873.62580000000003</v>
      </c>
      <c r="AX95" s="351">
        <f t="shared" si="254"/>
        <v>4274.3483999999999</v>
      </c>
      <c r="AY95" s="351">
        <f t="shared" si="255"/>
        <v>3363.2597963536045</v>
      </c>
      <c r="AZ95" s="352">
        <f t="shared" si="256"/>
        <v>0</v>
      </c>
      <c r="BA95" s="352">
        <f t="shared" si="257"/>
        <v>0</v>
      </c>
      <c r="BB95" s="353">
        <f t="shared" si="258"/>
        <v>4274.3483999999999</v>
      </c>
      <c r="BC95" s="353">
        <f t="shared" si="259"/>
        <v>3363.2597963536045</v>
      </c>
      <c r="BD95" s="343">
        <f t="shared" si="337"/>
        <v>4274.3483999999999</v>
      </c>
      <c r="BE95" s="343">
        <f t="shared" si="338"/>
        <v>3363.2597963536045</v>
      </c>
      <c r="BG95" s="350">
        <v>15.908999149495843</v>
      </c>
      <c r="BH95" s="350">
        <v>6.9606090961462197</v>
      </c>
      <c r="BI95" s="350">
        <v>0</v>
      </c>
      <c r="BJ95" s="350">
        <v>889.13</v>
      </c>
      <c r="BK95" s="350">
        <v>876.87580000000003</v>
      </c>
      <c r="BL95" s="351">
        <f t="shared" si="260"/>
        <v>3770.4327984305146</v>
      </c>
      <c r="BM95" s="351">
        <f t="shared" si="261"/>
        <v>3355.0135843424778</v>
      </c>
      <c r="BN95" s="352">
        <f t="shared" si="262"/>
        <v>0</v>
      </c>
      <c r="BO95" s="352">
        <f t="shared" si="263"/>
        <v>0</v>
      </c>
      <c r="BP95" s="353">
        <f t="shared" si="264"/>
        <v>3770.4327984305146</v>
      </c>
      <c r="BQ95" s="353">
        <f t="shared" si="265"/>
        <v>3355.0135843424778</v>
      </c>
      <c r="BR95" s="343">
        <f t="shared" si="339"/>
        <v>3770.4327984305146</v>
      </c>
      <c r="BS95" s="343">
        <f t="shared" si="340"/>
        <v>3355.0135843424778</v>
      </c>
      <c r="BU95" s="350">
        <v>13.243746228483072</v>
      </c>
      <c r="BV95" s="350">
        <v>7.0785366404446926</v>
      </c>
      <c r="BW95" s="350">
        <v>0</v>
      </c>
      <c r="BX95" s="350">
        <v>614.62670000000003</v>
      </c>
      <c r="BY95" s="350">
        <v>473.82420000000002</v>
      </c>
      <c r="BZ95" s="351">
        <f t="shared" si="266"/>
        <v>2410.3618135839192</v>
      </c>
      <c r="CA95" s="351">
        <f t="shared" si="267"/>
        <v>2173.1107486165206</v>
      </c>
      <c r="CB95" s="352">
        <f t="shared" si="268"/>
        <v>0</v>
      </c>
      <c r="CC95" s="352">
        <f t="shared" si="269"/>
        <v>0</v>
      </c>
      <c r="CD95" s="353">
        <f t="shared" si="270"/>
        <v>2410.3618135839192</v>
      </c>
      <c r="CE95" s="353">
        <f t="shared" si="271"/>
        <v>2173.1107486165206</v>
      </c>
      <c r="CF95" s="343">
        <f t="shared" si="341"/>
        <v>2410.3618135839192</v>
      </c>
      <c r="CG95" s="343">
        <f t="shared" si="342"/>
        <v>2173.1107486165206</v>
      </c>
      <c r="CI95" s="350">
        <v>0.76447558506723767</v>
      </c>
      <c r="CJ95" s="350">
        <v>0.54557537135233114</v>
      </c>
      <c r="CK95" s="350">
        <v>0</v>
      </c>
      <c r="CL95" s="350">
        <v>1177.5925</v>
      </c>
      <c r="CM95" s="350">
        <v>1130.4217000000001</v>
      </c>
      <c r="CN95" s="351">
        <f t="shared" si="272"/>
        <v>138.37008089717003</v>
      </c>
      <c r="CO95" s="351">
        <f t="shared" si="273"/>
        <v>123.84560929697916</v>
      </c>
      <c r="CP95" s="352">
        <f t="shared" si="274"/>
        <v>0</v>
      </c>
      <c r="CQ95" s="352">
        <f t="shared" si="275"/>
        <v>0</v>
      </c>
      <c r="CR95" s="353">
        <f t="shared" si="276"/>
        <v>138.37008089717003</v>
      </c>
      <c r="CS95" s="353">
        <f t="shared" si="277"/>
        <v>123.84560929697916</v>
      </c>
      <c r="CT95" s="343">
        <f t="shared" si="343"/>
        <v>138.37008089717003</v>
      </c>
      <c r="CU95" s="343">
        <f t="shared" si="344"/>
        <v>123.84560929697916</v>
      </c>
      <c r="CW95" s="350">
        <v>1.8741634531447375</v>
      </c>
      <c r="CX95" s="350">
        <v>1.1737996921098621</v>
      </c>
      <c r="CY95" s="350">
        <v>0</v>
      </c>
      <c r="CZ95" s="350">
        <v>675.54420000000005</v>
      </c>
      <c r="DA95" s="350">
        <v>693.2183</v>
      </c>
      <c r="DB95" s="351">
        <f t="shared" si="278"/>
        <v>357.96521955064486</v>
      </c>
      <c r="DC95" s="351">
        <f t="shared" si="279"/>
        <v>307.53551933278385</v>
      </c>
      <c r="DD95" s="352">
        <f t="shared" si="280"/>
        <v>0</v>
      </c>
      <c r="DE95" s="352">
        <f t="shared" si="281"/>
        <v>0</v>
      </c>
      <c r="DF95" s="353">
        <f t="shared" si="282"/>
        <v>357.96521955064486</v>
      </c>
      <c r="DG95" s="353">
        <f t="shared" si="283"/>
        <v>307.53551933278385</v>
      </c>
      <c r="DH95" s="343">
        <f t="shared" si="345"/>
        <v>357.96521955064486</v>
      </c>
      <c r="DI95" s="343">
        <f t="shared" si="346"/>
        <v>307.53551933278385</v>
      </c>
      <c r="DK95" s="350">
        <v>3.2359</v>
      </c>
      <c r="DL95" s="350">
        <v>1.8208</v>
      </c>
      <c r="DM95" s="350">
        <v>0</v>
      </c>
      <c r="DN95" s="350">
        <v>317.57499999999999</v>
      </c>
      <c r="DO95" s="350">
        <v>348.83420000000001</v>
      </c>
      <c r="DP95" s="351">
        <f t="shared" si="284"/>
        <v>310.64639999999997</v>
      </c>
      <c r="DQ95" s="351">
        <f t="shared" si="285"/>
        <v>316.81920000000002</v>
      </c>
      <c r="DR95" s="352">
        <f t="shared" si="286"/>
        <v>0</v>
      </c>
      <c r="DS95" s="352">
        <f t="shared" si="287"/>
        <v>0</v>
      </c>
      <c r="DT95" s="353">
        <f t="shared" si="288"/>
        <v>310.64639999999997</v>
      </c>
      <c r="DU95" s="353">
        <f t="shared" si="289"/>
        <v>316.81920000000002</v>
      </c>
      <c r="DV95" s="343">
        <f t="shared" si="347"/>
        <v>310.64639999999997</v>
      </c>
      <c r="DW95" s="343">
        <f t="shared" si="348"/>
        <v>316.81920000000002</v>
      </c>
      <c r="EB95" s="326"/>
      <c r="EC95" s="326"/>
      <c r="ED95" s="326"/>
      <c r="EE95" s="348">
        <f t="shared" si="290"/>
        <v>4505.9817000000003</v>
      </c>
      <c r="EF95" s="348">
        <f t="shared" si="291"/>
        <v>4556.0933000000005</v>
      </c>
      <c r="EG95" s="348">
        <f t="shared" si="292"/>
        <v>11027.722836714158</v>
      </c>
      <c r="EH95" s="348">
        <f t="shared" si="293"/>
        <v>9814.059361687092</v>
      </c>
      <c r="EI95" s="354">
        <f t="shared" si="294"/>
        <v>0.49723509240433345</v>
      </c>
      <c r="EJ95" s="326"/>
      <c r="EK95" s="348">
        <f t="shared" si="295"/>
        <v>11027.722836714158</v>
      </c>
      <c r="EL95" s="348">
        <f t="shared" si="296"/>
        <v>9814.059361687092</v>
      </c>
      <c r="EM95" s="348">
        <f t="shared" si="297"/>
        <v>11027.722836714158</v>
      </c>
      <c r="EN95" s="348">
        <f t="shared" si="298"/>
        <v>9814.059361687092</v>
      </c>
      <c r="EP95" s="326"/>
      <c r="EQ95" s="326"/>
      <c r="ER95" s="326"/>
      <c r="ES95" s="348">
        <f t="shared" si="299"/>
        <v>2997.950866666667</v>
      </c>
      <c r="ET95" s="348">
        <f t="shared" si="300"/>
        <v>2865.0874666666668</v>
      </c>
      <c r="EU95" s="348">
        <f t="shared" si="301"/>
        <v>10122.133055116288</v>
      </c>
      <c r="EV95" s="348">
        <f t="shared" si="302"/>
        <v>9036.8296413044118</v>
      </c>
      <c r="EW95" s="354">
        <f t="shared" si="303"/>
        <v>0.51133059281265714</v>
      </c>
      <c r="EX95" s="326"/>
      <c r="EY95" s="348">
        <f t="shared" si="304"/>
        <v>10122.133055116288</v>
      </c>
      <c r="EZ95" s="348">
        <f t="shared" si="305"/>
        <v>9036.8296413044118</v>
      </c>
      <c r="FA95" s="348">
        <f t="shared" si="306"/>
        <v>10122.133055116288</v>
      </c>
      <c r="FB95" s="348">
        <f t="shared" si="307"/>
        <v>9036.8296413044118</v>
      </c>
      <c r="FD95" s="326"/>
      <c r="FE95" s="326"/>
      <c r="FF95" s="326"/>
      <c r="FG95" s="348">
        <f t="shared" si="308"/>
        <v>2150.7941999999998</v>
      </c>
      <c r="FH95" s="348">
        <f t="shared" si="309"/>
        <v>2003.2467666666669</v>
      </c>
      <c r="FI95" s="348">
        <f t="shared" si="310"/>
        <v>7432.3017719985883</v>
      </c>
      <c r="FJ95" s="348">
        <f t="shared" si="311"/>
        <v>6535.8219604035939</v>
      </c>
      <c r="FK95" s="354">
        <f t="shared" si="312"/>
        <v>0.51775950628764866</v>
      </c>
      <c r="FL95" s="326"/>
      <c r="FM95" s="348">
        <f t="shared" si="313"/>
        <v>7432.3017719985883</v>
      </c>
      <c r="FN95" s="348">
        <f t="shared" si="314"/>
        <v>6535.8219604035939</v>
      </c>
      <c r="FO95" s="348">
        <f t="shared" si="315"/>
        <v>7432.3017719985883</v>
      </c>
      <c r="FP95" s="348">
        <f t="shared" si="316"/>
        <v>6535.8219604035939</v>
      </c>
      <c r="FR95" s="326"/>
      <c r="FS95" s="326"/>
      <c r="FT95" s="326"/>
      <c r="FU95" s="348">
        <f t="shared" si="317"/>
        <v>1503.7566999999999</v>
      </c>
      <c r="FV95" s="348">
        <f t="shared" si="318"/>
        <v>1347.45</v>
      </c>
      <c r="FW95" s="349">
        <f t="shared" si="319"/>
        <v>1677.5879277744725</v>
      </c>
      <c r="FX95" s="349">
        <f t="shared" si="320"/>
        <v>1071.1341429633756</v>
      </c>
      <c r="FY95" s="354">
        <f t="shared" si="321"/>
        <v>0.52741062231650904</v>
      </c>
      <c r="FZ95" s="326"/>
      <c r="GA95" s="349">
        <f t="shared" si="322"/>
        <v>1677.5879277744725</v>
      </c>
      <c r="GB95" s="349">
        <f t="shared" si="323"/>
        <v>1071.1341429633756</v>
      </c>
      <c r="GC95" s="349">
        <f t="shared" si="232"/>
        <v>1677.5879277744725</v>
      </c>
      <c r="GD95" s="349">
        <f t="shared" si="233"/>
        <v>1071.1341429633756</v>
      </c>
      <c r="GF95" s="326"/>
      <c r="GG95" s="326"/>
      <c r="GH95" s="326"/>
      <c r="GI95" s="348">
        <f t="shared" si="324"/>
        <v>1853.1367</v>
      </c>
      <c r="GJ95" s="348">
        <f t="shared" si="325"/>
        <v>1823.64</v>
      </c>
      <c r="GK95" s="348">
        <f t="shared" si="326"/>
        <v>424.74225653768588</v>
      </c>
      <c r="GL95" s="348">
        <f t="shared" si="327"/>
        <v>369.87402476320625</v>
      </c>
      <c r="GM95" s="354">
        <f t="shared" si="328"/>
        <v>0.50401121721642761</v>
      </c>
      <c r="GN95" s="326"/>
      <c r="GO95" s="348">
        <f t="shared" si="329"/>
        <v>424.74225653768588</v>
      </c>
      <c r="GP95" s="348">
        <f t="shared" si="330"/>
        <v>369.87402476320625</v>
      </c>
      <c r="GQ95" s="348">
        <f t="shared" si="234"/>
        <v>424.74225653768588</v>
      </c>
      <c r="GR95" s="348">
        <f t="shared" si="235"/>
        <v>369.87402476320625</v>
      </c>
    </row>
    <row r="96" spans="1:200" x14ac:dyDescent="0.2">
      <c r="A96" s="320">
        <v>86</v>
      </c>
      <c r="C96" s="350">
        <v>6.307201947320654</v>
      </c>
      <c r="D96" s="350">
        <v>2.5910348581140004</v>
      </c>
      <c r="E96" s="350">
        <v>0</v>
      </c>
      <c r="F96" s="350">
        <v>1504.5066666666669</v>
      </c>
      <c r="G96" s="350">
        <v>1886.5083333333332</v>
      </c>
      <c r="H96" s="351">
        <f t="shared" si="236"/>
        <v>6471.189197950991</v>
      </c>
      <c r="I96" s="351">
        <f t="shared" si="237"/>
        <v>6156.2988228788645</v>
      </c>
      <c r="J96" s="352">
        <f t="shared" si="238"/>
        <v>0</v>
      </c>
      <c r="K96" s="352">
        <f t="shared" si="239"/>
        <v>0</v>
      </c>
      <c r="L96" s="353">
        <f t="shared" si="240"/>
        <v>6471.189197950991</v>
      </c>
      <c r="M96" s="353">
        <f t="shared" si="241"/>
        <v>6156.2988228788645</v>
      </c>
      <c r="N96" s="343">
        <f t="shared" si="331"/>
        <v>6471.189197950991</v>
      </c>
      <c r="O96" s="343">
        <f t="shared" si="332"/>
        <v>6156.2988228788645</v>
      </c>
      <c r="Q96" s="350">
        <v>8.642842536865194</v>
      </c>
      <c r="R96" s="350">
        <v>3.2242994606881319</v>
      </c>
      <c r="S96" s="350">
        <v>0</v>
      </c>
      <c r="T96" s="350">
        <v>223.38499999999999</v>
      </c>
      <c r="U96" s="350">
        <v>156.90416666666664</v>
      </c>
      <c r="V96" s="351">
        <f t="shared" si="242"/>
        <v>6084.5611459530965</v>
      </c>
      <c r="W96" s="351">
        <f t="shared" si="243"/>
        <v>5410.3744950346854</v>
      </c>
      <c r="X96" s="352">
        <f t="shared" si="244"/>
        <v>0</v>
      </c>
      <c r="Y96" s="352">
        <f t="shared" si="245"/>
        <v>0</v>
      </c>
      <c r="Z96" s="353">
        <f t="shared" si="246"/>
        <v>6084.5611459530965</v>
      </c>
      <c r="AA96" s="353">
        <f t="shared" si="247"/>
        <v>5410.3744950346854</v>
      </c>
      <c r="AB96" s="343">
        <f t="shared" si="333"/>
        <v>6084.5611459530965</v>
      </c>
      <c r="AC96" s="343">
        <f t="shared" si="334"/>
        <v>5410.3744950346854</v>
      </c>
      <c r="AE96" s="350">
        <v>13.482186209544288</v>
      </c>
      <c r="AF96" s="350">
        <v>5.3878152316213868</v>
      </c>
      <c r="AG96" s="350">
        <v>0</v>
      </c>
      <c r="AH96" s="350">
        <v>43.755000000000003</v>
      </c>
      <c r="AI96" s="350">
        <v>45.392499999999998</v>
      </c>
      <c r="AJ96" s="351">
        <f t="shared" si="248"/>
        <v>4799.6582905977666</v>
      </c>
      <c r="AK96" s="351">
        <f t="shared" si="249"/>
        <v>4127.0664674219825</v>
      </c>
      <c r="AL96" s="352">
        <f t="shared" si="250"/>
        <v>0</v>
      </c>
      <c r="AM96" s="352">
        <f t="shared" si="251"/>
        <v>0</v>
      </c>
      <c r="AN96" s="353">
        <f t="shared" si="252"/>
        <v>4799.6582905977666</v>
      </c>
      <c r="AO96" s="353">
        <f t="shared" si="253"/>
        <v>4127.0664674219825</v>
      </c>
      <c r="AP96" s="343">
        <f t="shared" si="335"/>
        <v>4799.6582905977666</v>
      </c>
      <c r="AQ96" s="343">
        <f t="shared" si="336"/>
        <v>4127.0664674219825</v>
      </c>
      <c r="AS96" s="350">
        <v>17.259799999999998</v>
      </c>
      <c r="AT96" s="350">
        <v>6.8042483446767692</v>
      </c>
      <c r="AU96" s="350">
        <v>0</v>
      </c>
      <c r="AV96" s="350">
        <v>796.5317</v>
      </c>
      <c r="AW96" s="350">
        <v>838.95</v>
      </c>
      <c r="AX96" s="351">
        <f t="shared" si="254"/>
        <v>4349.4695999999994</v>
      </c>
      <c r="AY96" s="351">
        <f t="shared" si="255"/>
        <v>3408.9284206830612</v>
      </c>
      <c r="AZ96" s="352">
        <f t="shared" si="256"/>
        <v>0</v>
      </c>
      <c r="BA96" s="352">
        <f t="shared" si="257"/>
        <v>0</v>
      </c>
      <c r="BB96" s="353">
        <f t="shared" si="258"/>
        <v>4349.4695999999994</v>
      </c>
      <c r="BC96" s="353">
        <f t="shared" si="259"/>
        <v>3408.9284206830612</v>
      </c>
      <c r="BD96" s="343">
        <f t="shared" si="337"/>
        <v>4349.4695999999994</v>
      </c>
      <c r="BE96" s="343">
        <f t="shared" si="338"/>
        <v>3408.9284206830612</v>
      </c>
      <c r="BG96" s="350">
        <v>16.024588774735204</v>
      </c>
      <c r="BH96" s="350">
        <v>7.0098797239171713</v>
      </c>
      <c r="BI96" s="350">
        <v>0</v>
      </c>
      <c r="BJ96" s="350">
        <v>791.94830000000002</v>
      </c>
      <c r="BK96" s="350">
        <v>837.03330000000005</v>
      </c>
      <c r="BL96" s="351">
        <f t="shared" si="260"/>
        <v>3797.8275396122431</v>
      </c>
      <c r="BM96" s="351">
        <f t="shared" si="261"/>
        <v>3378.7620269280765</v>
      </c>
      <c r="BN96" s="352">
        <f t="shared" si="262"/>
        <v>0</v>
      </c>
      <c r="BO96" s="352">
        <f t="shared" si="263"/>
        <v>0</v>
      </c>
      <c r="BP96" s="353">
        <f t="shared" si="264"/>
        <v>3797.8275396122431</v>
      </c>
      <c r="BQ96" s="353">
        <f t="shared" si="265"/>
        <v>3378.7620269280765</v>
      </c>
      <c r="BR96" s="343">
        <f t="shared" si="339"/>
        <v>3797.8275396122431</v>
      </c>
      <c r="BS96" s="343">
        <f t="shared" si="340"/>
        <v>3378.7620269280765</v>
      </c>
      <c r="BU96" s="350">
        <v>13.480474989349288</v>
      </c>
      <c r="BV96" s="350">
        <v>7.195313009376151</v>
      </c>
      <c r="BW96" s="350">
        <v>0</v>
      </c>
      <c r="BX96" s="350">
        <v>527.88250000000005</v>
      </c>
      <c r="BY96" s="350">
        <v>545.2183</v>
      </c>
      <c r="BZ96" s="351">
        <f t="shared" si="266"/>
        <v>2453.4464480615702</v>
      </c>
      <c r="CA96" s="351">
        <f t="shared" si="267"/>
        <v>2208.9610938784786</v>
      </c>
      <c r="CB96" s="352">
        <f t="shared" si="268"/>
        <v>0</v>
      </c>
      <c r="CC96" s="352">
        <f t="shared" si="269"/>
        <v>0</v>
      </c>
      <c r="CD96" s="353">
        <f t="shared" si="270"/>
        <v>2453.4464480615702</v>
      </c>
      <c r="CE96" s="353">
        <f t="shared" si="271"/>
        <v>2208.9610938784786</v>
      </c>
      <c r="CF96" s="343">
        <f t="shared" si="341"/>
        <v>2453.4464480615702</v>
      </c>
      <c r="CG96" s="343">
        <f t="shared" si="342"/>
        <v>2208.9610938784786</v>
      </c>
      <c r="CI96" s="350">
        <v>0.73164610169513178</v>
      </c>
      <c r="CJ96" s="350">
        <v>0.51426989645871202</v>
      </c>
      <c r="CK96" s="350">
        <v>0</v>
      </c>
      <c r="CL96" s="350">
        <v>972.29579999999999</v>
      </c>
      <c r="CM96" s="350">
        <v>1080.2392</v>
      </c>
      <c r="CN96" s="351">
        <f t="shared" si="272"/>
        <v>132.42794440681885</v>
      </c>
      <c r="CO96" s="351">
        <f t="shared" si="273"/>
        <v>116.73926649612763</v>
      </c>
      <c r="CP96" s="352">
        <f t="shared" si="274"/>
        <v>0</v>
      </c>
      <c r="CQ96" s="352">
        <f t="shared" si="275"/>
        <v>0</v>
      </c>
      <c r="CR96" s="353">
        <f t="shared" si="276"/>
        <v>132.42794440681885</v>
      </c>
      <c r="CS96" s="353">
        <f t="shared" si="277"/>
        <v>116.73926649612763</v>
      </c>
      <c r="CT96" s="343">
        <f t="shared" si="343"/>
        <v>132.42794440681885</v>
      </c>
      <c r="CU96" s="343">
        <f t="shared" si="344"/>
        <v>116.73926649612763</v>
      </c>
      <c r="CW96" s="350">
        <v>1.7859746519634854</v>
      </c>
      <c r="CX96" s="350">
        <v>1.1014920198276719</v>
      </c>
      <c r="CY96" s="350">
        <v>0</v>
      </c>
      <c r="CZ96" s="350">
        <v>565.17830000000004</v>
      </c>
      <c r="DA96" s="350">
        <v>618.08579999999995</v>
      </c>
      <c r="DB96" s="351">
        <f t="shared" si="278"/>
        <v>341.12115852502569</v>
      </c>
      <c r="DC96" s="351">
        <f t="shared" si="279"/>
        <v>288.59090919485004</v>
      </c>
      <c r="DD96" s="352">
        <f t="shared" si="280"/>
        <v>0</v>
      </c>
      <c r="DE96" s="352">
        <f t="shared" si="281"/>
        <v>0</v>
      </c>
      <c r="DF96" s="353">
        <f t="shared" si="282"/>
        <v>341.12115852502569</v>
      </c>
      <c r="DG96" s="353">
        <f t="shared" si="283"/>
        <v>288.59090919485004</v>
      </c>
      <c r="DH96" s="343">
        <f t="shared" si="345"/>
        <v>341.12115852502569</v>
      </c>
      <c r="DI96" s="343">
        <f t="shared" si="346"/>
        <v>288.59090919485004</v>
      </c>
      <c r="DK96" s="350">
        <v>3.1204999999999998</v>
      </c>
      <c r="DL96" s="350">
        <v>1.7285999999999999</v>
      </c>
      <c r="DM96" s="350">
        <v>0</v>
      </c>
      <c r="DN96" s="350">
        <v>283.55919999999998</v>
      </c>
      <c r="DO96" s="350">
        <v>350.0342</v>
      </c>
      <c r="DP96" s="351">
        <f t="shared" si="284"/>
        <v>299.56799999999998</v>
      </c>
      <c r="DQ96" s="351">
        <f t="shared" si="285"/>
        <v>300.77639999999997</v>
      </c>
      <c r="DR96" s="352">
        <f t="shared" si="286"/>
        <v>0</v>
      </c>
      <c r="DS96" s="352">
        <f t="shared" si="287"/>
        <v>0</v>
      </c>
      <c r="DT96" s="353">
        <f t="shared" si="288"/>
        <v>299.56799999999998</v>
      </c>
      <c r="DU96" s="353">
        <f t="shared" si="289"/>
        <v>300.77639999999997</v>
      </c>
      <c r="DV96" s="343">
        <f t="shared" si="347"/>
        <v>299.56799999999998</v>
      </c>
      <c r="DW96" s="343">
        <f t="shared" si="348"/>
        <v>300.77639999999997</v>
      </c>
      <c r="EB96" s="326"/>
      <c r="EC96" s="326"/>
      <c r="ED96" s="326"/>
      <c r="EE96" s="348">
        <f t="shared" si="290"/>
        <v>3838.5124666666666</v>
      </c>
      <c r="EF96" s="348">
        <f t="shared" si="291"/>
        <v>4423.7833333333328</v>
      </c>
      <c r="EG96" s="348">
        <f t="shared" si="292"/>
        <v>11225.983669177829</v>
      </c>
      <c r="EH96" s="348">
        <f t="shared" si="293"/>
        <v>9912.839237413933</v>
      </c>
      <c r="EI96" s="354">
        <f t="shared" si="294"/>
        <v>0.46458182563091804</v>
      </c>
      <c r="EJ96" s="326"/>
      <c r="EK96" s="348">
        <f t="shared" si="295"/>
        <v>11225.983669177829</v>
      </c>
      <c r="EL96" s="348">
        <f t="shared" si="296"/>
        <v>9912.839237413933</v>
      </c>
      <c r="EM96" s="348">
        <f t="shared" si="297"/>
        <v>11225.983669177829</v>
      </c>
      <c r="EN96" s="348">
        <f t="shared" si="298"/>
        <v>9912.839237413933</v>
      </c>
      <c r="EP96" s="326"/>
      <c r="EQ96" s="326"/>
      <c r="ER96" s="326"/>
      <c r="ES96" s="348">
        <f t="shared" si="299"/>
        <v>2552.8074000000001</v>
      </c>
      <c r="ET96" s="348">
        <f t="shared" si="300"/>
        <v>2692.2624666666666</v>
      </c>
      <c r="EU96" s="348">
        <f t="shared" si="301"/>
        <v>10253.601440939678</v>
      </c>
      <c r="EV96" s="348">
        <f t="shared" si="302"/>
        <v>9107.8894248952856</v>
      </c>
      <c r="EW96" s="354">
        <f t="shared" si="303"/>
        <v>0.48670608111886865</v>
      </c>
      <c r="EX96" s="326"/>
      <c r="EY96" s="348">
        <f t="shared" si="304"/>
        <v>10253.601440939678</v>
      </c>
      <c r="EZ96" s="348">
        <f t="shared" si="305"/>
        <v>9107.8894248952856</v>
      </c>
      <c r="FA96" s="348">
        <f t="shared" si="306"/>
        <v>10253.601440939678</v>
      </c>
      <c r="FB96" s="348">
        <f t="shared" si="307"/>
        <v>9107.8894248952856</v>
      </c>
      <c r="FD96" s="326"/>
      <c r="FE96" s="326"/>
      <c r="FF96" s="326"/>
      <c r="FG96" s="348">
        <f t="shared" si="308"/>
        <v>1827.4925000000001</v>
      </c>
      <c r="FH96" s="348">
        <f t="shared" si="309"/>
        <v>2020.8842</v>
      </c>
      <c r="FI96" s="348">
        <f t="shared" si="310"/>
        <v>7565.2734830661548</v>
      </c>
      <c r="FJ96" s="348">
        <f t="shared" si="311"/>
        <v>6633.2326677965893</v>
      </c>
      <c r="FK96" s="354">
        <f t="shared" si="312"/>
        <v>0.47487360060152117</v>
      </c>
      <c r="FL96" s="326"/>
      <c r="FM96" s="348">
        <f t="shared" si="313"/>
        <v>7565.2734830661548</v>
      </c>
      <c r="FN96" s="348">
        <f t="shared" si="314"/>
        <v>6633.2326677965893</v>
      </c>
      <c r="FO96" s="348">
        <f t="shared" si="315"/>
        <v>7565.2734830661548</v>
      </c>
      <c r="FP96" s="348">
        <f t="shared" si="316"/>
        <v>6633.2326677965893</v>
      </c>
      <c r="FR96" s="326"/>
      <c r="FS96" s="326"/>
      <c r="FT96" s="326"/>
      <c r="FU96" s="348">
        <f t="shared" si="317"/>
        <v>1324.4142000000002</v>
      </c>
      <c r="FV96" s="348">
        <f t="shared" si="318"/>
        <v>1384.1683</v>
      </c>
      <c r="FW96" s="349">
        <f t="shared" si="319"/>
        <v>1706.4208367445863</v>
      </c>
      <c r="FX96" s="349">
        <f t="shared" si="320"/>
        <v>1079.9705941241243</v>
      </c>
      <c r="FY96" s="354">
        <f t="shared" si="321"/>
        <v>0.48896948865319773</v>
      </c>
      <c r="FZ96" s="326"/>
      <c r="GA96" s="349">
        <f t="shared" si="322"/>
        <v>1706.4208367445863</v>
      </c>
      <c r="GB96" s="349">
        <f t="shared" si="323"/>
        <v>1079.9705941241243</v>
      </c>
      <c r="GC96" s="349">
        <f t="shared" si="232"/>
        <v>1706.4208367445863</v>
      </c>
      <c r="GD96" s="349">
        <f t="shared" si="233"/>
        <v>1079.9705941241243</v>
      </c>
      <c r="GF96" s="326"/>
      <c r="GG96" s="326"/>
      <c r="GH96" s="326"/>
      <c r="GI96" s="348">
        <f t="shared" si="324"/>
        <v>1537.4740999999999</v>
      </c>
      <c r="GJ96" s="348">
        <f t="shared" si="325"/>
        <v>1698.3249999999998</v>
      </c>
      <c r="GK96" s="348">
        <f t="shared" si="326"/>
        <v>405.32487122683938</v>
      </c>
      <c r="GL96" s="348">
        <f t="shared" si="327"/>
        <v>347.61199385200769</v>
      </c>
      <c r="GM96" s="354">
        <f t="shared" si="328"/>
        <v>0.47514510403318921</v>
      </c>
      <c r="GN96" s="326"/>
      <c r="GO96" s="348">
        <f t="shared" si="329"/>
        <v>405.32487122683938</v>
      </c>
      <c r="GP96" s="348">
        <f t="shared" si="330"/>
        <v>347.61199385200769</v>
      </c>
      <c r="GQ96" s="348">
        <f t="shared" si="234"/>
        <v>405.32487122683938</v>
      </c>
      <c r="GR96" s="348">
        <f t="shared" si="235"/>
        <v>347.61199385200769</v>
      </c>
    </row>
    <row r="97" spans="1:200" x14ac:dyDescent="0.2">
      <c r="A97" s="320">
        <v>87</v>
      </c>
      <c r="C97" s="350">
        <v>6.4459312882445996</v>
      </c>
      <c r="D97" s="350">
        <v>2.6219477204963493</v>
      </c>
      <c r="E97" s="350">
        <v>0</v>
      </c>
      <c r="F97" s="350">
        <v>1281.52</v>
      </c>
      <c r="G97" s="350">
        <v>1761.835</v>
      </c>
      <c r="H97" s="351">
        <f t="shared" si="236"/>
        <v>6613.5255017389591</v>
      </c>
      <c r="I97" s="351">
        <f t="shared" si="237"/>
        <v>6229.7477838993254</v>
      </c>
      <c r="J97" s="352">
        <f t="shared" si="238"/>
        <v>0</v>
      </c>
      <c r="K97" s="352">
        <f t="shared" si="239"/>
        <v>0</v>
      </c>
      <c r="L97" s="353">
        <f t="shared" si="240"/>
        <v>6613.5255017389591</v>
      </c>
      <c r="M97" s="353">
        <f t="shared" si="241"/>
        <v>6229.7477838993254</v>
      </c>
      <c r="N97" s="343">
        <f t="shared" si="331"/>
        <v>6613.5255017389591</v>
      </c>
      <c r="O97" s="343">
        <f t="shared" si="332"/>
        <v>6229.7477838993254</v>
      </c>
      <c r="Q97" s="350">
        <v>8.8136535922267427</v>
      </c>
      <c r="R97" s="350">
        <v>3.263951837263154</v>
      </c>
      <c r="S97" s="350">
        <v>0</v>
      </c>
      <c r="T97" s="350">
        <v>185.33500000000001</v>
      </c>
      <c r="U97" s="350">
        <v>140.30500000000001</v>
      </c>
      <c r="V97" s="351">
        <f t="shared" si="242"/>
        <v>6204.8121289276269</v>
      </c>
      <c r="W97" s="351">
        <f t="shared" si="243"/>
        <v>5476.9111829275726</v>
      </c>
      <c r="X97" s="352">
        <f t="shared" si="244"/>
        <v>0</v>
      </c>
      <c r="Y97" s="352">
        <f t="shared" si="245"/>
        <v>0</v>
      </c>
      <c r="Z97" s="353">
        <f t="shared" si="246"/>
        <v>6204.8121289276269</v>
      </c>
      <c r="AA97" s="353">
        <f t="shared" si="247"/>
        <v>5476.9111829275726</v>
      </c>
      <c r="AB97" s="343">
        <f t="shared" si="333"/>
        <v>6204.8121289276269</v>
      </c>
      <c r="AC97" s="343">
        <f t="shared" si="334"/>
        <v>5476.9111829275726</v>
      </c>
      <c r="AE97" s="350">
        <v>13.760640635018467</v>
      </c>
      <c r="AF97" s="350">
        <v>5.4863691322366508</v>
      </c>
      <c r="AG97" s="350">
        <v>0</v>
      </c>
      <c r="AH97" s="350">
        <v>38.036666666666662</v>
      </c>
      <c r="AI97" s="350">
        <v>32.083333333333336</v>
      </c>
      <c r="AJ97" s="351">
        <f t="shared" si="248"/>
        <v>4898.7880660665742</v>
      </c>
      <c r="AK97" s="351">
        <f t="shared" si="249"/>
        <v>4202.5587552932748</v>
      </c>
      <c r="AL97" s="352">
        <f t="shared" si="250"/>
        <v>0</v>
      </c>
      <c r="AM97" s="352">
        <f t="shared" si="251"/>
        <v>0</v>
      </c>
      <c r="AN97" s="353">
        <f t="shared" si="252"/>
        <v>4898.7880660665742</v>
      </c>
      <c r="AO97" s="353">
        <f t="shared" si="253"/>
        <v>4202.5587552932748</v>
      </c>
      <c r="AP97" s="343">
        <f t="shared" si="335"/>
        <v>4898.7880660665742</v>
      </c>
      <c r="AQ97" s="343">
        <f t="shared" si="336"/>
        <v>4202.5587552932748</v>
      </c>
      <c r="AS97" s="350">
        <v>17.5029</v>
      </c>
      <c r="AT97" s="350">
        <v>6.8654625380236238</v>
      </c>
      <c r="AU97" s="350">
        <v>0</v>
      </c>
      <c r="AV97" s="350">
        <v>640.70249999999999</v>
      </c>
      <c r="AW97" s="350">
        <v>749.0317</v>
      </c>
      <c r="AX97" s="351">
        <f t="shared" si="254"/>
        <v>4410.7308000000003</v>
      </c>
      <c r="AY97" s="351">
        <f t="shared" si="255"/>
        <v>3439.5967315498356</v>
      </c>
      <c r="AZ97" s="352">
        <f t="shared" si="256"/>
        <v>0</v>
      </c>
      <c r="BA97" s="352">
        <f t="shared" si="257"/>
        <v>0</v>
      </c>
      <c r="BB97" s="353">
        <f t="shared" si="258"/>
        <v>4410.7308000000003</v>
      </c>
      <c r="BC97" s="353">
        <f t="shared" si="259"/>
        <v>3439.5967315498356</v>
      </c>
      <c r="BD97" s="343">
        <f t="shared" si="337"/>
        <v>4410.7308000000003</v>
      </c>
      <c r="BE97" s="343">
        <f t="shared" si="338"/>
        <v>3439.5967315498356</v>
      </c>
      <c r="BG97" s="350">
        <v>16.109420976385916</v>
      </c>
      <c r="BH97" s="350">
        <v>7.0167554331577158</v>
      </c>
      <c r="BI97" s="350">
        <v>0</v>
      </c>
      <c r="BJ97" s="350">
        <v>635.36919999999998</v>
      </c>
      <c r="BK97" s="350">
        <v>747.0317</v>
      </c>
      <c r="BL97" s="351">
        <f t="shared" si="260"/>
        <v>3817.9327714034621</v>
      </c>
      <c r="BM97" s="351">
        <f t="shared" si="261"/>
        <v>3382.076118782019</v>
      </c>
      <c r="BN97" s="352">
        <f t="shared" si="262"/>
        <v>0</v>
      </c>
      <c r="BO97" s="352">
        <f t="shared" si="263"/>
        <v>0</v>
      </c>
      <c r="BP97" s="353">
        <f t="shared" si="264"/>
        <v>3817.9327714034621</v>
      </c>
      <c r="BQ97" s="353">
        <f t="shared" si="265"/>
        <v>3382.076118782019</v>
      </c>
      <c r="BR97" s="343">
        <f t="shared" si="339"/>
        <v>3817.9327714034621</v>
      </c>
      <c r="BS97" s="343">
        <f t="shared" si="340"/>
        <v>3382.076118782019</v>
      </c>
      <c r="BU97" s="350">
        <v>13.692505506604986</v>
      </c>
      <c r="BV97" s="350">
        <v>7.2719273443730703</v>
      </c>
      <c r="BW97" s="350">
        <v>0</v>
      </c>
      <c r="BX97" s="350">
        <v>493.88170000000002</v>
      </c>
      <c r="BY97" s="350">
        <v>548.71669999999995</v>
      </c>
      <c r="BZ97" s="351">
        <f t="shared" si="266"/>
        <v>2492.0360022021073</v>
      </c>
      <c r="CA97" s="351">
        <f t="shared" si="267"/>
        <v>2232.4816947225327</v>
      </c>
      <c r="CB97" s="352">
        <f t="shared" si="268"/>
        <v>0</v>
      </c>
      <c r="CC97" s="352">
        <f t="shared" si="269"/>
        <v>0</v>
      </c>
      <c r="CD97" s="353">
        <f t="shared" si="270"/>
        <v>2492.0360022021073</v>
      </c>
      <c r="CE97" s="353">
        <f t="shared" si="271"/>
        <v>2232.4816947225327</v>
      </c>
      <c r="CF97" s="343">
        <f t="shared" si="341"/>
        <v>2492.0360022021073</v>
      </c>
      <c r="CG97" s="343">
        <f t="shared" si="342"/>
        <v>2232.4816947225327</v>
      </c>
      <c r="CI97" s="350">
        <v>0.69995646914230858</v>
      </c>
      <c r="CJ97" s="350">
        <v>0.48483515121822207</v>
      </c>
      <c r="CK97" s="350">
        <v>0</v>
      </c>
      <c r="CL97" s="350">
        <v>656.3492</v>
      </c>
      <c r="CM97" s="350">
        <v>922.51329999999996</v>
      </c>
      <c r="CN97" s="351">
        <f t="shared" si="272"/>
        <v>126.69212091475785</v>
      </c>
      <c r="CO97" s="351">
        <f t="shared" si="273"/>
        <v>110.05757932653641</v>
      </c>
      <c r="CP97" s="352">
        <f t="shared" si="274"/>
        <v>0</v>
      </c>
      <c r="CQ97" s="352">
        <f t="shared" si="275"/>
        <v>0</v>
      </c>
      <c r="CR97" s="353">
        <f t="shared" si="276"/>
        <v>126.69212091475785</v>
      </c>
      <c r="CS97" s="353">
        <f t="shared" si="277"/>
        <v>110.05757932653641</v>
      </c>
      <c r="CT97" s="343">
        <f t="shared" si="343"/>
        <v>126.69212091475785</v>
      </c>
      <c r="CU97" s="343">
        <f t="shared" si="344"/>
        <v>110.05757932653641</v>
      </c>
      <c r="CW97" s="350">
        <v>1.6957912643080575</v>
      </c>
      <c r="CX97" s="350">
        <v>1.0297209621539432</v>
      </c>
      <c r="CY97" s="350">
        <v>0</v>
      </c>
      <c r="CZ97" s="350">
        <v>383.55079999999998</v>
      </c>
      <c r="DA97" s="350">
        <v>567.21669999999995</v>
      </c>
      <c r="DB97" s="351">
        <f t="shared" si="278"/>
        <v>323.896131482839</v>
      </c>
      <c r="DC97" s="351">
        <f t="shared" si="279"/>
        <v>269.78689208433309</v>
      </c>
      <c r="DD97" s="352">
        <f t="shared" si="280"/>
        <v>0</v>
      </c>
      <c r="DE97" s="352">
        <f t="shared" si="281"/>
        <v>0</v>
      </c>
      <c r="DF97" s="353">
        <f t="shared" si="282"/>
        <v>323.896131482839</v>
      </c>
      <c r="DG97" s="353">
        <f t="shared" si="283"/>
        <v>269.78689208433309</v>
      </c>
      <c r="DH97" s="343">
        <f t="shared" si="345"/>
        <v>323.896131482839</v>
      </c>
      <c r="DI97" s="343">
        <f t="shared" si="346"/>
        <v>269.78689208433309</v>
      </c>
      <c r="DK97" s="350">
        <v>3.0026999999999999</v>
      </c>
      <c r="DL97" s="350">
        <v>1.6396999999999999</v>
      </c>
      <c r="DM97" s="350">
        <v>0</v>
      </c>
      <c r="DN97" s="350">
        <v>211.04499999999999</v>
      </c>
      <c r="DO97" s="350">
        <v>352.45749999999998</v>
      </c>
      <c r="DP97" s="351">
        <f t="shared" si="284"/>
        <v>288.25919999999996</v>
      </c>
      <c r="DQ97" s="351">
        <f t="shared" si="285"/>
        <v>285.30779999999999</v>
      </c>
      <c r="DR97" s="352">
        <f t="shared" si="286"/>
        <v>0</v>
      </c>
      <c r="DS97" s="352">
        <f t="shared" si="287"/>
        <v>0</v>
      </c>
      <c r="DT97" s="353">
        <f t="shared" si="288"/>
        <v>288.25919999999996</v>
      </c>
      <c r="DU97" s="353">
        <f t="shared" si="289"/>
        <v>285.30779999999999</v>
      </c>
      <c r="DV97" s="343">
        <f t="shared" si="347"/>
        <v>288.25919999999996</v>
      </c>
      <c r="DW97" s="343">
        <f t="shared" si="348"/>
        <v>285.30779999999999</v>
      </c>
      <c r="EB97" s="326"/>
      <c r="EC97" s="326"/>
      <c r="ED97" s="326"/>
      <c r="EE97" s="348">
        <f t="shared" si="290"/>
        <v>2962.1224999999999</v>
      </c>
      <c r="EF97" s="348">
        <f t="shared" si="291"/>
        <v>4000.5967000000001</v>
      </c>
      <c r="EG97" s="348">
        <f t="shared" si="292"/>
        <v>11410.065327839988</v>
      </c>
      <c r="EH97" s="348">
        <f t="shared" si="293"/>
        <v>9995.2316084431623</v>
      </c>
      <c r="EI97" s="354">
        <f t="shared" si="294"/>
        <v>0.42542610364065814</v>
      </c>
      <c r="EJ97" s="326"/>
      <c r="EK97" s="348">
        <f t="shared" si="295"/>
        <v>11410.065327839988</v>
      </c>
      <c r="EL97" s="348">
        <f t="shared" si="296"/>
        <v>9995.2316084431623</v>
      </c>
      <c r="EM97" s="348">
        <f t="shared" si="297"/>
        <v>11410.065327839988</v>
      </c>
      <c r="EN97" s="348">
        <f t="shared" si="298"/>
        <v>9995.2316084431623</v>
      </c>
      <c r="EP97" s="326"/>
      <c r="EQ97" s="326"/>
      <c r="ER97" s="326"/>
      <c r="ES97" s="348">
        <f t="shared" si="299"/>
        <v>1860.6042</v>
      </c>
      <c r="ET97" s="348">
        <f t="shared" si="300"/>
        <v>2377.0666999999999</v>
      </c>
      <c r="EU97" s="348">
        <f t="shared" si="301"/>
        <v>10376.164313283834</v>
      </c>
      <c r="EV97" s="348">
        <f t="shared" si="302"/>
        <v>9157.8957054951625</v>
      </c>
      <c r="EW97" s="354">
        <f t="shared" si="303"/>
        <v>0.43906292959181892</v>
      </c>
      <c r="EX97" s="326"/>
      <c r="EY97" s="348">
        <f t="shared" si="304"/>
        <v>10376.164313283834</v>
      </c>
      <c r="EZ97" s="348">
        <f t="shared" si="305"/>
        <v>9157.8957054951625</v>
      </c>
      <c r="FA97" s="348">
        <f t="shared" si="306"/>
        <v>10376.164313283834</v>
      </c>
      <c r="FB97" s="348">
        <f t="shared" si="307"/>
        <v>9157.8957054951625</v>
      </c>
      <c r="FD97" s="326"/>
      <c r="FE97" s="326"/>
      <c r="FF97" s="326"/>
      <c r="FG97" s="348">
        <f t="shared" si="308"/>
        <v>1399.3125666666667</v>
      </c>
      <c r="FH97" s="348">
        <f t="shared" si="309"/>
        <v>1855.7708333333333</v>
      </c>
      <c r="FI97" s="348">
        <f t="shared" si="310"/>
        <v>7690.4717091834391</v>
      </c>
      <c r="FJ97" s="348">
        <f t="shared" si="311"/>
        <v>6716.2827093423439</v>
      </c>
      <c r="FK97" s="354">
        <f t="shared" si="312"/>
        <v>0.42988531927220874</v>
      </c>
      <c r="FL97" s="326"/>
      <c r="FM97" s="348">
        <f t="shared" si="313"/>
        <v>7690.4717091834391</v>
      </c>
      <c r="FN97" s="348">
        <f t="shared" si="314"/>
        <v>6716.2827093423439</v>
      </c>
      <c r="FO97" s="348">
        <f t="shared" si="315"/>
        <v>7690.4717091834391</v>
      </c>
      <c r="FP97" s="348">
        <f t="shared" si="316"/>
        <v>6716.2827093423439</v>
      </c>
      <c r="FR97" s="326"/>
      <c r="FS97" s="326"/>
      <c r="FT97" s="326"/>
      <c r="FU97" s="348">
        <f t="shared" si="317"/>
        <v>1134.5842</v>
      </c>
      <c r="FV97" s="348">
        <f t="shared" si="318"/>
        <v>1297.7483999999999</v>
      </c>
      <c r="FW97" s="349">
        <f t="shared" si="319"/>
        <v>1726.8253180181036</v>
      </c>
      <c r="FX97" s="349">
        <f t="shared" si="320"/>
        <v>1086.4035331445727</v>
      </c>
      <c r="FY97" s="354">
        <f t="shared" si="321"/>
        <v>0.46645931563800119</v>
      </c>
      <c r="FZ97" s="326"/>
      <c r="GA97" s="349">
        <f t="shared" si="322"/>
        <v>1726.8253180181036</v>
      </c>
      <c r="GB97" s="349">
        <f t="shared" si="323"/>
        <v>1086.4035331445727</v>
      </c>
      <c r="GC97" s="349">
        <f t="shared" si="232"/>
        <v>1726.8253180181036</v>
      </c>
      <c r="GD97" s="349">
        <f t="shared" si="233"/>
        <v>1086.4035331445727</v>
      </c>
      <c r="GF97" s="326"/>
      <c r="GG97" s="326"/>
      <c r="GH97" s="326"/>
      <c r="GI97" s="348">
        <f t="shared" si="324"/>
        <v>1039.9000000000001</v>
      </c>
      <c r="GJ97" s="348">
        <f t="shared" si="325"/>
        <v>1489.73</v>
      </c>
      <c r="GK97" s="348">
        <f t="shared" si="326"/>
        <v>385.80902610102908</v>
      </c>
      <c r="GL97" s="348">
        <f t="shared" si="327"/>
        <v>325.8870929940029</v>
      </c>
      <c r="GM97" s="354">
        <f t="shared" si="328"/>
        <v>0.41108778754205161</v>
      </c>
      <c r="GN97" s="326"/>
      <c r="GO97" s="348">
        <f t="shared" si="329"/>
        <v>385.80902610102908</v>
      </c>
      <c r="GP97" s="348">
        <f t="shared" si="330"/>
        <v>325.8870929940029</v>
      </c>
      <c r="GQ97" s="348">
        <f t="shared" si="234"/>
        <v>385.80902610102908</v>
      </c>
      <c r="GR97" s="348">
        <f t="shared" si="235"/>
        <v>325.8870929940029</v>
      </c>
    </row>
    <row r="98" spans="1:200" x14ac:dyDescent="0.2">
      <c r="A98" s="320">
        <v>88</v>
      </c>
      <c r="C98" s="350">
        <v>6.5844595116107554</v>
      </c>
      <c r="D98" s="350">
        <v>2.6520844935439651</v>
      </c>
      <c r="E98" s="350">
        <v>0</v>
      </c>
      <c r="F98" s="350">
        <v>957.72083333333319</v>
      </c>
      <c r="G98" s="350">
        <v>1588.3116666666665</v>
      </c>
      <c r="H98" s="351">
        <f t="shared" si="236"/>
        <v>6755.6554589126354</v>
      </c>
      <c r="I98" s="351">
        <f t="shared" si="237"/>
        <v>6301.3527566604607</v>
      </c>
      <c r="J98" s="352">
        <f t="shared" si="238"/>
        <v>0</v>
      </c>
      <c r="K98" s="352">
        <f t="shared" si="239"/>
        <v>0</v>
      </c>
      <c r="L98" s="353">
        <f t="shared" si="240"/>
        <v>6755.6554589126354</v>
      </c>
      <c r="M98" s="353">
        <f t="shared" si="241"/>
        <v>6301.3527566604607</v>
      </c>
      <c r="N98" s="343">
        <f t="shared" si="331"/>
        <v>6755.6554589126354</v>
      </c>
      <c r="O98" s="343">
        <f t="shared" si="332"/>
        <v>6301.3527566604607</v>
      </c>
      <c r="Q98" s="350">
        <v>8.9826385812131342</v>
      </c>
      <c r="R98" s="350">
        <v>3.3030963749927857</v>
      </c>
      <c r="S98" s="350">
        <v>0</v>
      </c>
      <c r="T98" s="350">
        <v>112.34833333333333</v>
      </c>
      <c r="U98" s="350">
        <v>140.59416666666667</v>
      </c>
      <c r="V98" s="351">
        <f t="shared" si="242"/>
        <v>6323.7775611740462</v>
      </c>
      <c r="W98" s="351">
        <f t="shared" si="243"/>
        <v>5542.5957172378949</v>
      </c>
      <c r="X98" s="352">
        <f t="shared" si="244"/>
        <v>0</v>
      </c>
      <c r="Y98" s="352">
        <f t="shared" si="245"/>
        <v>0</v>
      </c>
      <c r="Z98" s="353">
        <f t="shared" si="246"/>
        <v>6323.7775611740462</v>
      </c>
      <c r="AA98" s="353">
        <f t="shared" si="247"/>
        <v>5542.5957172378949</v>
      </c>
      <c r="AB98" s="343">
        <f t="shared" si="333"/>
        <v>6323.7775611740462</v>
      </c>
      <c r="AC98" s="343">
        <f t="shared" si="334"/>
        <v>5542.5957172378949</v>
      </c>
      <c r="AE98" s="350">
        <v>14.031258429040179</v>
      </c>
      <c r="AF98" s="350">
        <v>5.5812759799918066</v>
      </c>
      <c r="AG98" s="350">
        <v>0</v>
      </c>
      <c r="AH98" s="350">
        <v>23</v>
      </c>
      <c r="AI98" s="350">
        <v>33.916666666666664</v>
      </c>
      <c r="AJ98" s="351">
        <f t="shared" si="248"/>
        <v>4995.1280007383039</v>
      </c>
      <c r="AK98" s="351">
        <f t="shared" si="249"/>
        <v>4275.2574006737241</v>
      </c>
      <c r="AL98" s="352">
        <f t="shared" si="250"/>
        <v>0</v>
      </c>
      <c r="AM98" s="352">
        <f t="shared" si="251"/>
        <v>0</v>
      </c>
      <c r="AN98" s="353">
        <f t="shared" si="252"/>
        <v>4995.1280007383039</v>
      </c>
      <c r="AO98" s="353">
        <f t="shared" si="253"/>
        <v>4275.2574006737241</v>
      </c>
      <c r="AP98" s="343">
        <f t="shared" si="335"/>
        <v>4995.1280007383039</v>
      </c>
      <c r="AQ98" s="343">
        <f t="shared" si="336"/>
        <v>4275.2574006737241</v>
      </c>
      <c r="AS98" s="350">
        <v>17.689599999999999</v>
      </c>
      <c r="AT98" s="350">
        <v>6.8915932557205304</v>
      </c>
      <c r="AU98" s="350">
        <v>0</v>
      </c>
      <c r="AV98" s="350">
        <v>452.4325</v>
      </c>
      <c r="AW98" s="350">
        <v>650.18920000000003</v>
      </c>
      <c r="AX98" s="351">
        <f t="shared" si="254"/>
        <v>4457.7791999999999</v>
      </c>
      <c r="AY98" s="351">
        <f t="shared" si="255"/>
        <v>3452.6882211159859</v>
      </c>
      <c r="AZ98" s="352">
        <f t="shared" si="256"/>
        <v>0</v>
      </c>
      <c r="BA98" s="352">
        <f t="shared" si="257"/>
        <v>0</v>
      </c>
      <c r="BB98" s="353">
        <f t="shared" si="258"/>
        <v>4457.7791999999999</v>
      </c>
      <c r="BC98" s="353">
        <f t="shared" si="259"/>
        <v>3452.6882211159859</v>
      </c>
      <c r="BD98" s="343">
        <f t="shared" si="337"/>
        <v>4457.7791999999999</v>
      </c>
      <c r="BE98" s="343">
        <f t="shared" si="338"/>
        <v>3452.6882211159859</v>
      </c>
      <c r="BG98" s="350">
        <v>16.169450158455763</v>
      </c>
      <c r="BH98" s="350">
        <v>7.0167554331577158</v>
      </c>
      <c r="BI98" s="350">
        <v>0</v>
      </c>
      <c r="BJ98" s="350">
        <v>446.4325</v>
      </c>
      <c r="BK98" s="350">
        <v>652.68920000000003</v>
      </c>
      <c r="BL98" s="351">
        <f t="shared" si="260"/>
        <v>3832.1596875540158</v>
      </c>
      <c r="BM98" s="351">
        <f t="shared" si="261"/>
        <v>3382.076118782019</v>
      </c>
      <c r="BN98" s="352">
        <f t="shared" si="262"/>
        <v>0</v>
      </c>
      <c r="BO98" s="352">
        <f t="shared" si="263"/>
        <v>0</v>
      </c>
      <c r="BP98" s="353">
        <f t="shared" si="264"/>
        <v>3832.1596875540158</v>
      </c>
      <c r="BQ98" s="353">
        <f t="shared" si="265"/>
        <v>3382.076118782019</v>
      </c>
      <c r="BR98" s="343">
        <f t="shared" si="339"/>
        <v>3832.1596875540158</v>
      </c>
      <c r="BS98" s="343">
        <f t="shared" si="340"/>
        <v>3382.076118782019</v>
      </c>
      <c r="BU98" s="350">
        <v>13.88504923203033</v>
      </c>
      <c r="BV98" s="350">
        <v>7.2942686462974358</v>
      </c>
      <c r="BW98" s="350">
        <v>0</v>
      </c>
      <c r="BX98" s="350">
        <v>340.98829999999998</v>
      </c>
      <c r="BY98" s="350">
        <v>502.06830000000002</v>
      </c>
      <c r="BZ98" s="351">
        <f t="shared" si="266"/>
        <v>2527.0789602295199</v>
      </c>
      <c r="CA98" s="351">
        <f t="shared" si="267"/>
        <v>2239.3404744133127</v>
      </c>
      <c r="CB98" s="352">
        <f t="shared" si="268"/>
        <v>0</v>
      </c>
      <c r="CC98" s="352">
        <f t="shared" si="269"/>
        <v>0</v>
      </c>
      <c r="CD98" s="353">
        <f t="shared" si="270"/>
        <v>2527.0789602295199</v>
      </c>
      <c r="CE98" s="353">
        <f t="shared" si="271"/>
        <v>2239.3404744133127</v>
      </c>
      <c r="CF98" s="343">
        <f t="shared" si="341"/>
        <v>2527.0789602295199</v>
      </c>
      <c r="CG98" s="343">
        <f t="shared" si="342"/>
        <v>2239.3404744133127</v>
      </c>
      <c r="CI98" s="350">
        <v>0.66979178801033379</v>
      </c>
      <c r="CJ98" s="350">
        <v>0.45707963876346863</v>
      </c>
      <c r="CK98" s="350">
        <v>0</v>
      </c>
      <c r="CL98" s="350">
        <v>549.32079999999996</v>
      </c>
      <c r="CM98" s="350">
        <v>833.07</v>
      </c>
      <c r="CN98" s="351">
        <f t="shared" si="272"/>
        <v>121.23231362987042</v>
      </c>
      <c r="CO98" s="351">
        <f t="shared" si="273"/>
        <v>103.75707799930738</v>
      </c>
      <c r="CP98" s="352">
        <f t="shared" si="274"/>
        <v>0</v>
      </c>
      <c r="CQ98" s="352">
        <f t="shared" si="275"/>
        <v>0</v>
      </c>
      <c r="CR98" s="353">
        <f t="shared" si="276"/>
        <v>121.23231362987042</v>
      </c>
      <c r="CS98" s="353">
        <f t="shared" si="277"/>
        <v>103.75707799930738</v>
      </c>
      <c r="CT98" s="343">
        <f t="shared" si="343"/>
        <v>121.23231362987042</v>
      </c>
      <c r="CU98" s="343">
        <f t="shared" si="344"/>
        <v>103.75707799930738</v>
      </c>
      <c r="CW98" s="350">
        <v>1.6040881777309115</v>
      </c>
      <c r="CX98" s="350">
        <v>0.95858365327917805</v>
      </c>
      <c r="CY98" s="350">
        <v>0</v>
      </c>
      <c r="CZ98" s="350">
        <v>304.06</v>
      </c>
      <c r="DA98" s="350">
        <v>504.19749999999999</v>
      </c>
      <c r="DB98" s="351">
        <f t="shared" si="278"/>
        <v>306.38084194660411</v>
      </c>
      <c r="DC98" s="351">
        <f t="shared" si="279"/>
        <v>251.14891715914464</v>
      </c>
      <c r="DD98" s="352">
        <f t="shared" si="280"/>
        <v>0</v>
      </c>
      <c r="DE98" s="352">
        <f t="shared" si="281"/>
        <v>0</v>
      </c>
      <c r="DF98" s="353">
        <f t="shared" si="282"/>
        <v>306.38084194660411</v>
      </c>
      <c r="DG98" s="353">
        <f t="shared" si="283"/>
        <v>251.14891715914464</v>
      </c>
      <c r="DH98" s="343">
        <f t="shared" si="345"/>
        <v>306.38084194660411</v>
      </c>
      <c r="DI98" s="343">
        <f t="shared" si="346"/>
        <v>251.14891715914464</v>
      </c>
      <c r="DK98" s="350">
        <v>2.8824999999999998</v>
      </c>
      <c r="DL98" s="350">
        <v>1.5545</v>
      </c>
      <c r="DM98" s="350">
        <v>0</v>
      </c>
      <c r="DN98" s="350">
        <v>202.2808</v>
      </c>
      <c r="DO98" s="350">
        <v>319.70420000000001</v>
      </c>
      <c r="DP98" s="351">
        <f t="shared" si="284"/>
        <v>276.71999999999997</v>
      </c>
      <c r="DQ98" s="351">
        <f t="shared" si="285"/>
        <v>270.483</v>
      </c>
      <c r="DR98" s="352">
        <f t="shared" si="286"/>
        <v>0</v>
      </c>
      <c r="DS98" s="352">
        <f t="shared" si="287"/>
        <v>0</v>
      </c>
      <c r="DT98" s="353">
        <f t="shared" si="288"/>
        <v>276.71999999999997</v>
      </c>
      <c r="DU98" s="353">
        <f t="shared" si="289"/>
        <v>270.483</v>
      </c>
      <c r="DV98" s="343">
        <f t="shared" si="347"/>
        <v>276.71999999999997</v>
      </c>
      <c r="DW98" s="343">
        <f t="shared" si="348"/>
        <v>270.483</v>
      </c>
      <c r="EB98" s="326"/>
      <c r="EC98" s="326"/>
      <c r="ED98" s="326"/>
      <c r="EE98" s="348">
        <f t="shared" si="290"/>
        <v>2263.5341333333331</v>
      </c>
      <c r="EF98" s="348">
        <f t="shared" si="291"/>
        <v>3575.7683666666662</v>
      </c>
      <c r="EG98" s="348">
        <f t="shared" si="292"/>
        <v>11579.771646099791</v>
      </c>
      <c r="EH98" s="348">
        <f t="shared" si="293"/>
        <v>10058.71718950307</v>
      </c>
      <c r="EI98" s="354">
        <f t="shared" si="294"/>
        <v>0.38763775867637157</v>
      </c>
      <c r="EJ98" s="326"/>
      <c r="EK98" s="348">
        <f t="shared" si="295"/>
        <v>11579.771646099791</v>
      </c>
      <c r="EL98" s="348">
        <f t="shared" si="296"/>
        <v>10058.71718950307</v>
      </c>
      <c r="EM98" s="348">
        <f t="shared" si="297"/>
        <v>11579.771646099791</v>
      </c>
      <c r="EN98" s="348">
        <f t="shared" si="298"/>
        <v>10058.71718950307</v>
      </c>
      <c r="EP98" s="326"/>
      <c r="EQ98" s="326"/>
      <c r="ER98" s="326"/>
      <c r="ES98" s="348">
        <f t="shared" si="299"/>
        <v>1412.1616333333332</v>
      </c>
      <c r="ET98" s="348">
        <f t="shared" si="300"/>
        <v>2130.5508666666665</v>
      </c>
      <c r="EU98" s="348">
        <f t="shared" si="301"/>
        <v>10491.636151720555</v>
      </c>
      <c r="EV98" s="348">
        <f t="shared" si="302"/>
        <v>9204.2331560306229</v>
      </c>
      <c r="EW98" s="354">
        <f t="shared" si="303"/>
        <v>0.39861028331633835</v>
      </c>
      <c r="EX98" s="326"/>
      <c r="EY98" s="348">
        <f t="shared" si="304"/>
        <v>10491.636151720555</v>
      </c>
      <c r="EZ98" s="348">
        <f t="shared" si="305"/>
        <v>9204.2331560306229</v>
      </c>
      <c r="FA98" s="348">
        <f t="shared" si="306"/>
        <v>10491.636151720555</v>
      </c>
      <c r="FB98" s="348">
        <f t="shared" si="307"/>
        <v>9204.2331560306229</v>
      </c>
      <c r="FD98" s="326"/>
      <c r="FE98" s="326"/>
      <c r="FF98" s="326"/>
      <c r="FG98" s="348">
        <f t="shared" si="308"/>
        <v>1115.5898999999999</v>
      </c>
      <c r="FH98" s="348">
        <f t="shared" si="309"/>
        <v>1688.7591666666667</v>
      </c>
      <c r="FI98" s="348">
        <f t="shared" si="310"/>
        <v>7809.471274597694</v>
      </c>
      <c r="FJ98" s="348">
        <f t="shared" si="311"/>
        <v>6780.6447530863434</v>
      </c>
      <c r="FK98" s="354">
        <f t="shared" si="312"/>
        <v>0.39780707518198638</v>
      </c>
      <c r="FL98" s="326"/>
      <c r="FM98" s="348">
        <f t="shared" si="313"/>
        <v>7809.471274597694</v>
      </c>
      <c r="FN98" s="348">
        <f t="shared" si="314"/>
        <v>6780.6447530863434</v>
      </c>
      <c r="FO98" s="348">
        <f t="shared" si="315"/>
        <v>7809.471274597694</v>
      </c>
      <c r="FP98" s="348">
        <f t="shared" si="316"/>
        <v>6780.6447530863434</v>
      </c>
      <c r="FR98" s="326"/>
      <c r="FS98" s="326"/>
      <c r="FT98" s="326"/>
      <c r="FU98" s="348">
        <f t="shared" si="317"/>
        <v>793.42079999999999</v>
      </c>
      <c r="FV98" s="348">
        <f t="shared" si="318"/>
        <v>1152.2575000000002</v>
      </c>
      <c r="FW98" s="349">
        <f t="shared" si="319"/>
        <v>1737.6302157934322</v>
      </c>
      <c r="FX98" s="349">
        <f t="shared" si="320"/>
        <v>1092.012972032406</v>
      </c>
      <c r="FY98" s="354">
        <f t="shared" si="321"/>
        <v>0.40778622036335604</v>
      </c>
      <c r="FZ98" s="326"/>
      <c r="GA98" s="349">
        <f t="shared" si="322"/>
        <v>1737.6302157934322</v>
      </c>
      <c r="GB98" s="349">
        <f t="shared" si="323"/>
        <v>1092.012972032406</v>
      </c>
      <c r="GC98" s="349">
        <f t="shared" si="232"/>
        <v>1737.6302157934322</v>
      </c>
      <c r="GD98" s="349">
        <f t="shared" si="233"/>
        <v>1092.012972032406</v>
      </c>
      <c r="GF98" s="326"/>
      <c r="GG98" s="326"/>
      <c r="GH98" s="326"/>
      <c r="GI98" s="348">
        <f t="shared" si="324"/>
        <v>853.38079999999991</v>
      </c>
      <c r="GJ98" s="348">
        <f t="shared" si="325"/>
        <v>1337.2674999999999</v>
      </c>
      <c r="GK98" s="348">
        <f t="shared" si="326"/>
        <v>366.33698718715368</v>
      </c>
      <c r="GL98" s="348">
        <f t="shared" si="327"/>
        <v>304.67621172662314</v>
      </c>
      <c r="GM98" s="354">
        <f t="shared" si="328"/>
        <v>0.3895562788422039</v>
      </c>
      <c r="GN98" s="326"/>
      <c r="GO98" s="348">
        <f t="shared" si="329"/>
        <v>366.33698718715368</v>
      </c>
      <c r="GP98" s="348">
        <f t="shared" si="330"/>
        <v>304.67621172662314</v>
      </c>
      <c r="GQ98" s="348">
        <f t="shared" si="234"/>
        <v>366.33698718715368</v>
      </c>
      <c r="GR98" s="348">
        <f t="shared" si="235"/>
        <v>304.67621172662314</v>
      </c>
    </row>
    <row r="99" spans="1:200" x14ac:dyDescent="0.2">
      <c r="A99" s="320">
        <v>89</v>
      </c>
      <c r="C99" s="350">
        <v>6.722804606093101</v>
      </c>
      <c r="D99" s="350">
        <v>2.681454750394257</v>
      </c>
      <c r="E99" s="350">
        <v>0</v>
      </c>
      <c r="F99" s="350">
        <v>882.13</v>
      </c>
      <c r="G99" s="350">
        <v>1430.7249999999999</v>
      </c>
      <c r="H99" s="351">
        <f t="shared" si="236"/>
        <v>6897.5975258515218</v>
      </c>
      <c r="I99" s="351">
        <f t="shared" si="237"/>
        <v>6371.1364869367544</v>
      </c>
      <c r="J99" s="352">
        <f t="shared" si="238"/>
        <v>0</v>
      </c>
      <c r="K99" s="352">
        <f t="shared" si="239"/>
        <v>0</v>
      </c>
      <c r="L99" s="353">
        <f t="shared" si="240"/>
        <v>6897.5975258515218</v>
      </c>
      <c r="M99" s="353">
        <f t="shared" si="241"/>
        <v>6371.1364869367544</v>
      </c>
      <c r="N99" s="343">
        <f t="shared" si="331"/>
        <v>6897.5975258515218</v>
      </c>
      <c r="O99" s="343">
        <f t="shared" si="332"/>
        <v>6371.1364869367544</v>
      </c>
      <c r="Q99" s="350">
        <v>9.1501047242520102</v>
      </c>
      <c r="R99" s="350">
        <v>3.3418647648038666</v>
      </c>
      <c r="S99" s="350">
        <v>0</v>
      </c>
      <c r="T99" s="350">
        <v>90.360833333333332</v>
      </c>
      <c r="U99" s="350">
        <v>105.2625</v>
      </c>
      <c r="V99" s="351">
        <f t="shared" si="242"/>
        <v>6441.6737258734156</v>
      </c>
      <c r="W99" s="351">
        <f t="shared" si="243"/>
        <v>5607.649075340888</v>
      </c>
      <c r="X99" s="352">
        <f t="shared" si="244"/>
        <v>0</v>
      </c>
      <c r="Y99" s="352">
        <f t="shared" si="245"/>
        <v>0</v>
      </c>
      <c r="Z99" s="353">
        <f t="shared" si="246"/>
        <v>6441.6737258734156</v>
      </c>
      <c r="AA99" s="353">
        <f t="shared" si="247"/>
        <v>5607.649075340888</v>
      </c>
      <c r="AB99" s="343">
        <f t="shared" si="333"/>
        <v>6441.6737258734156</v>
      </c>
      <c r="AC99" s="343">
        <f t="shared" si="334"/>
        <v>5607.649075340888</v>
      </c>
      <c r="AE99" s="350">
        <v>14.295713804474918</v>
      </c>
      <c r="AF99" s="350">
        <v>5.6722865396220588</v>
      </c>
      <c r="AG99" s="350">
        <v>0</v>
      </c>
      <c r="AH99" s="350">
        <v>15.7925</v>
      </c>
      <c r="AI99" s="350">
        <v>25.166666666666664</v>
      </c>
      <c r="AJ99" s="351">
        <f t="shared" si="248"/>
        <v>5089.2741143930707</v>
      </c>
      <c r="AK99" s="351">
        <f t="shared" si="249"/>
        <v>4344.971489350497</v>
      </c>
      <c r="AL99" s="352">
        <f t="shared" si="250"/>
        <v>0</v>
      </c>
      <c r="AM99" s="352">
        <f t="shared" si="251"/>
        <v>0</v>
      </c>
      <c r="AN99" s="353">
        <f t="shared" si="252"/>
        <v>5089.2741143930707</v>
      </c>
      <c r="AO99" s="353">
        <f t="shared" si="253"/>
        <v>4344.971489350497</v>
      </c>
      <c r="AP99" s="343">
        <f t="shared" si="335"/>
        <v>5089.2741143930707</v>
      </c>
      <c r="AQ99" s="343">
        <f t="shared" si="336"/>
        <v>4344.971489350497</v>
      </c>
      <c r="AS99" s="350">
        <v>17.825399999999998</v>
      </c>
      <c r="AT99" s="350">
        <v>6.8915932557205304</v>
      </c>
      <c r="AU99" s="350">
        <v>0</v>
      </c>
      <c r="AV99" s="350">
        <v>379.46</v>
      </c>
      <c r="AW99" s="350">
        <v>587.52170000000001</v>
      </c>
      <c r="AX99" s="351">
        <f t="shared" si="254"/>
        <v>4492.0007999999998</v>
      </c>
      <c r="AY99" s="351">
        <f t="shared" si="255"/>
        <v>3452.6882211159859</v>
      </c>
      <c r="AZ99" s="352">
        <f t="shared" si="256"/>
        <v>0</v>
      </c>
      <c r="BA99" s="352">
        <f t="shared" si="257"/>
        <v>0</v>
      </c>
      <c r="BB99" s="353">
        <f t="shared" si="258"/>
        <v>4492.0007999999998</v>
      </c>
      <c r="BC99" s="353">
        <f t="shared" si="259"/>
        <v>3452.6882211159859</v>
      </c>
      <c r="BD99" s="343">
        <f t="shared" si="337"/>
        <v>4492.0007999999998</v>
      </c>
      <c r="BE99" s="343">
        <f t="shared" si="338"/>
        <v>3452.6882211159859</v>
      </c>
      <c r="BG99" s="350">
        <v>16.206867078145894</v>
      </c>
      <c r="BH99" s="350">
        <v>7.0167554331577158</v>
      </c>
      <c r="BI99" s="350">
        <v>0</v>
      </c>
      <c r="BJ99" s="350">
        <v>378.21</v>
      </c>
      <c r="BK99" s="350">
        <v>582.27170000000001</v>
      </c>
      <c r="BL99" s="351">
        <f t="shared" si="260"/>
        <v>3841.0274975205771</v>
      </c>
      <c r="BM99" s="351">
        <f t="shared" si="261"/>
        <v>3382.076118782019</v>
      </c>
      <c r="BN99" s="352">
        <f t="shared" si="262"/>
        <v>0</v>
      </c>
      <c r="BO99" s="352">
        <f t="shared" si="263"/>
        <v>0</v>
      </c>
      <c r="BP99" s="353">
        <f t="shared" si="264"/>
        <v>3841.0274975205771</v>
      </c>
      <c r="BQ99" s="353">
        <f t="shared" si="265"/>
        <v>3382.076118782019</v>
      </c>
      <c r="BR99" s="343">
        <f t="shared" si="339"/>
        <v>3841.0274975205771</v>
      </c>
      <c r="BS99" s="343">
        <f t="shared" si="340"/>
        <v>3382.076118782019</v>
      </c>
      <c r="BU99" s="350">
        <v>14.047540829195421</v>
      </c>
      <c r="BV99" s="350">
        <v>7.3097107658116593</v>
      </c>
      <c r="BW99" s="350">
        <v>0</v>
      </c>
      <c r="BX99" s="350">
        <v>316.70330000000001</v>
      </c>
      <c r="BY99" s="350">
        <v>473.3433</v>
      </c>
      <c r="BZ99" s="351">
        <f t="shared" si="266"/>
        <v>2556.6524309135666</v>
      </c>
      <c r="CA99" s="351">
        <f t="shared" si="267"/>
        <v>2244.0812051041794</v>
      </c>
      <c r="CB99" s="352">
        <f t="shared" si="268"/>
        <v>0</v>
      </c>
      <c r="CC99" s="352">
        <f t="shared" si="269"/>
        <v>0</v>
      </c>
      <c r="CD99" s="353">
        <f t="shared" si="270"/>
        <v>2556.6524309135666</v>
      </c>
      <c r="CE99" s="353">
        <f t="shared" si="271"/>
        <v>2244.0812051041794</v>
      </c>
      <c r="CF99" s="343">
        <f t="shared" si="341"/>
        <v>2556.6524309135666</v>
      </c>
      <c r="CG99" s="343">
        <f t="shared" si="342"/>
        <v>2244.0812051041794</v>
      </c>
      <c r="CI99" s="350">
        <v>0.64134466886058139</v>
      </c>
      <c r="CJ99" s="350">
        <v>0.430885806862701</v>
      </c>
      <c r="CK99" s="350">
        <v>0</v>
      </c>
      <c r="CL99" s="350">
        <v>458.97329999999999</v>
      </c>
      <c r="CM99" s="350">
        <v>663.42920000000004</v>
      </c>
      <c r="CN99" s="351">
        <f t="shared" si="272"/>
        <v>116.08338506376523</v>
      </c>
      <c r="CO99" s="351">
        <f t="shared" si="273"/>
        <v>97.811078157833123</v>
      </c>
      <c r="CP99" s="352">
        <f t="shared" si="274"/>
        <v>0</v>
      </c>
      <c r="CQ99" s="352">
        <f t="shared" si="275"/>
        <v>0</v>
      </c>
      <c r="CR99" s="353">
        <f t="shared" si="276"/>
        <v>116.08338506376523</v>
      </c>
      <c r="CS99" s="353">
        <f t="shared" si="277"/>
        <v>97.811078157833123</v>
      </c>
      <c r="CT99" s="343">
        <f t="shared" si="343"/>
        <v>116.08338506376523</v>
      </c>
      <c r="CU99" s="343">
        <f t="shared" si="344"/>
        <v>97.811078157833123</v>
      </c>
      <c r="CW99" s="350">
        <v>1.5113692689343419</v>
      </c>
      <c r="CX99" s="350">
        <v>0.88810103977353771</v>
      </c>
      <c r="CY99" s="350">
        <v>0</v>
      </c>
      <c r="CZ99" s="350">
        <v>263.60000000000002</v>
      </c>
      <c r="DA99" s="350">
        <v>393.45080000000002</v>
      </c>
      <c r="DB99" s="351">
        <f t="shared" si="278"/>
        <v>288.67153036645931</v>
      </c>
      <c r="DC99" s="351">
        <f t="shared" si="279"/>
        <v>232.68247242066687</v>
      </c>
      <c r="DD99" s="352">
        <f t="shared" si="280"/>
        <v>0</v>
      </c>
      <c r="DE99" s="352">
        <f t="shared" si="281"/>
        <v>0</v>
      </c>
      <c r="DF99" s="353">
        <f t="shared" si="282"/>
        <v>288.67153036645931</v>
      </c>
      <c r="DG99" s="353">
        <f t="shared" si="283"/>
        <v>232.68247242066687</v>
      </c>
      <c r="DH99" s="343">
        <f t="shared" si="345"/>
        <v>288.67153036645931</v>
      </c>
      <c r="DI99" s="343">
        <f t="shared" si="346"/>
        <v>232.68247242066687</v>
      </c>
      <c r="DK99" s="350">
        <v>2.7606999999999999</v>
      </c>
      <c r="DL99" s="350">
        <v>1.4726999999999999</v>
      </c>
      <c r="DM99" s="350">
        <v>0</v>
      </c>
      <c r="DN99" s="350">
        <v>177.655</v>
      </c>
      <c r="DO99" s="350">
        <v>279.49329999999998</v>
      </c>
      <c r="DP99" s="351">
        <f t="shared" si="284"/>
        <v>265.02719999999999</v>
      </c>
      <c r="DQ99" s="351">
        <f t="shared" si="285"/>
        <v>256.24979999999999</v>
      </c>
      <c r="DR99" s="352">
        <f t="shared" si="286"/>
        <v>0</v>
      </c>
      <c r="DS99" s="352">
        <f t="shared" si="287"/>
        <v>0</v>
      </c>
      <c r="DT99" s="353">
        <f t="shared" si="288"/>
        <v>265.02719999999999</v>
      </c>
      <c r="DU99" s="353">
        <f t="shared" si="289"/>
        <v>256.24979999999999</v>
      </c>
      <c r="DV99" s="343">
        <f t="shared" si="347"/>
        <v>265.02719999999999</v>
      </c>
      <c r="DW99" s="343">
        <f t="shared" si="348"/>
        <v>256.24979999999999</v>
      </c>
      <c r="EB99" s="326"/>
      <c r="EC99" s="326"/>
      <c r="ED99" s="326"/>
      <c r="EE99" s="348">
        <f t="shared" si="290"/>
        <v>1984.1632999999997</v>
      </c>
      <c r="EF99" s="348">
        <f t="shared" si="291"/>
        <v>3075.1267000000003</v>
      </c>
      <c r="EG99" s="348">
        <f t="shared" si="292"/>
        <v>11736.618935208455</v>
      </c>
      <c r="EH99" s="348">
        <f t="shared" si="293"/>
        <v>10107.781764147107</v>
      </c>
      <c r="EI99" s="354">
        <f t="shared" si="294"/>
        <v>0.39218216390046817</v>
      </c>
      <c r="EJ99" s="326"/>
      <c r="EK99" s="348">
        <f t="shared" si="295"/>
        <v>11736.618935208455</v>
      </c>
      <c r="EL99" s="348">
        <f t="shared" si="296"/>
        <v>10107.781764147107</v>
      </c>
      <c r="EM99" s="348">
        <f t="shared" si="297"/>
        <v>11736.618935208455</v>
      </c>
      <c r="EN99" s="348">
        <f t="shared" si="298"/>
        <v>10107.781764147107</v>
      </c>
      <c r="EP99" s="326"/>
      <c r="EQ99" s="326"/>
      <c r="ER99" s="326"/>
      <c r="ES99" s="348">
        <f t="shared" si="299"/>
        <v>1191.1441333333332</v>
      </c>
      <c r="ET99" s="348">
        <f t="shared" si="300"/>
        <v>1744.4142000000002</v>
      </c>
      <c r="EU99" s="348">
        <f t="shared" si="301"/>
        <v>10600.854679714279</v>
      </c>
      <c r="EV99" s="348">
        <f t="shared" si="302"/>
        <v>9250.414002975207</v>
      </c>
      <c r="EW99" s="354">
        <f t="shared" si="303"/>
        <v>0.40576408235798411</v>
      </c>
      <c r="EX99" s="326"/>
      <c r="EY99" s="348">
        <f t="shared" si="304"/>
        <v>10600.854679714279</v>
      </c>
      <c r="EZ99" s="348">
        <f t="shared" si="305"/>
        <v>9250.414002975207</v>
      </c>
      <c r="FA99" s="348">
        <f t="shared" si="306"/>
        <v>10600.854679714279</v>
      </c>
      <c r="FB99" s="348">
        <f t="shared" si="307"/>
        <v>9250.414002975207</v>
      </c>
      <c r="FD99" s="326"/>
      <c r="FE99" s="326"/>
      <c r="FF99" s="326"/>
      <c r="FG99" s="348">
        <f t="shared" si="308"/>
        <v>969.1241</v>
      </c>
      <c r="FH99" s="348">
        <f t="shared" si="309"/>
        <v>1441.4324666666666</v>
      </c>
      <c r="FI99" s="348">
        <f t="shared" si="310"/>
        <v>7921.0262503704025</v>
      </c>
      <c r="FJ99" s="348">
        <f t="shared" si="311"/>
        <v>6840.6136526125101</v>
      </c>
      <c r="FK99" s="354">
        <f t="shared" si="312"/>
        <v>0.40203333678251374</v>
      </c>
      <c r="FL99" s="326"/>
      <c r="FM99" s="348">
        <f t="shared" si="313"/>
        <v>7921.0262503704025</v>
      </c>
      <c r="FN99" s="348">
        <f t="shared" si="314"/>
        <v>6840.6136526125101</v>
      </c>
      <c r="FO99" s="348">
        <f t="shared" si="315"/>
        <v>7921.0262503704025</v>
      </c>
      <c r="FP99" s="348">
        <f t="shared" si="316"/>
        <v>6840.6136526125101</v>
      </c>
      <c r="FR99" s="326"/>
      <c r="FS99" s="326"/>
      <c r="FT99" s="326"/>
      <c r="FU99" s="348">
        <f t="shared" si="317"/>
        <v>696.16329999999994</v>
      </c>
      <c r="FV99" s="348">
        <f t="shared" si="318"/>
        <v>1060.865</v>
      </c>
      <c r="FW99" s="349">
        <f t="shared" si="319"/>
        <v>1741.81353217779</v>
      </c>
      <c r="FX99" s="349">
        <f t="shared" si="320"/>
        <v>1087.7463144106259</v>
      </c>
      <c r="FY99" s="354">
        <f t="shared" si="321"/>
        <v>0.39621632730673717</v>
      </c>
      <c r="FZ99" s="326"/>
      <c r="GA99" s="349">
        <f t="shared" si="322"/>
        <v>1741.81353217779</v>
      </c>
      <c r="GB99" s="349">
        <f t="shared" si="323"/>
        <v>1087.7463144106259</v>
      </c>
      <c r="GC99" s="349">
        <f t="shared" si="232"/>
        <v>1741.81353217779</v>
      </c>
      <c r="GD99" s="349">
        <f t="shared" si="233"/>
        <v>1087.7463144106259</v>
      </c>
      <c r="GF99" s="326"/>
      <c r="GG99" s="326"/>
      <c r="GH99" s="326"/>
      <c r="GI99" s="348">
        <f t="shared" si="324"/>
        <v>722.57330000000002</v>
      </c>
      <c r="GJ99" s="348">
        <f t="shared" si="325"/>
        <v>1056.8800000000001</v>
      </c>
      <c r="GK99" s="348">
        <f t="shared" si="326"/>
        <v>347.02060935693271</v>
      </c>
      <c r="GL99" s="348">
        <f t="shared" si="327"/>
        <v>283.95705609436664</v>
      </c>
      <c r="GM99" s="354">
        <f t="shared" si="328"/>
        <v>0.40606477281533604</v>
      </c>
      <c r="GN99" s="326"/>
      <c r="GO99" s="348">
        <f t="shared" si="329"/>
        <v>347.02060935693271</v>
      </c>
      <c r="GP99" s="348">
        <f t="shared" si="330"/>
        <v>283.95705609436664</v>
      </c>
      <c r="GQ99" s="348">
        <f t="shared" si="234"/>
        <v>347.02060935693271</v>
      </c>
      <c r="GR99" s="348">
        <f t="shared" si="235"/>
        <v>283.95705609436664</v>
      </c>
    </row>
    <row r="100" spans="1:200" x14ac:dyDescent="0.2">
      <c r="A100" s="320">
        <v>90</v>
      </c>
      <c r="C100" s="350">
        <v>6.8610045565820217</v>
      </c>
      <c r="D100" s="350">
        <v>2.7101313246771785</v>
      </c>
      <c r="E100" s="350">
        <v>0</v>
      </c>
      <c r="F100" s="350">
        <v>679.54499999999996</v>
      </c>
      <c r="G100" s="350">
        <v>1210.261666666667</v>
      </c>
      <c r="H100" s="351">
        <f t="shared" si="236"/>
        <v>7039.3906750531542</v>
      </c>
      <c r="I100" s="351">
        <f t="shared" si="237"/>
        <v>6439.2720274329758</v>
      </c>
      <c r="J100" s="352">
        <f t="shared" si="238"/>
        <v>0</v>
      </c>
      <c r="K100" s="352">
        <f t="shared" si="239"/>
        <v>0</v>
      </c>
      <c r="L100" s="353">
        <f t="shared" si="240"/>
        <v>7039.3906750531542</v>
      </c>
      <c r="M100" s="353">
        <f t="shared" si="241"/>
        <v>6439.2720274329758</v>
      </c>
      <c r="N100" s="343">
        <f t="shared" si="331"/>
        <v>7039.3906750531542</v>
      </c>
      <c r="O100" s="343">
        <f t="shared" si="332"/>
        <v>6439.2720274329758</v>
      </c>
      <c r="Q100" s="350">
        <v>9.3163075415659264</v>
      </c>
      <c r="R100" s="350">
        <v>3.380332021478202</v>
      </c>
      <c r="S100" s="350">
        <v>0</v>
      </c>
      <c r="T100" s="350">
        <v>96.052499999999995</v>
      </c>
      <c r="U100" s="350">
        <v>84.317499999999995</v>
      </c>
      <c r="V100" s="351">
        <f t="shared" si="242"/>
        <v>6558.6805092624127</v>
      </c>
      <c r="W100" s="351">
        <f t="shared" si="243"/>
        <v>5672.1971320404227</v>
      </c>
      <c r="X100" s="352">
        <f t="shared" si="244"/>
        <v>0</v>
      </c>
      <c r="Y100" s="352">
        <f t="shared" si="245"/>
        <v>0</v>
      </c>
      <c r="Z100" s="353">
        <f t="shared" si="246"/>
        <v>6558.6805092624127</v>
      </c>
      <c r="AA100" s="353">
        <f t="shared" si="247"/>
        <v>5672.1971320404227</v>
      </c>
      <c r="AB100" s="343">
        <f t="shared" si="333"/>
        <v>6558.6805092624127</v>
      </c>
      <c r="AC100" s="343">
        <f t="shared" si="334"/>
        <v>5672.1971320404227</v>
      </c>
      <c r="AE100" s="350">
        <v>14.555552181521769</v>
      </c>
      <c r="AF100" s="350">
        <v>5.7591754916520665</v>
      </c>
      <c r="AG100" s="350">
        <v>0</v>
      </c>
      <c r="AH100" s="350">
        <v>13.741666666666667</v>
      </c>
      <c r="AI100" s="350">
        <v>23.388333333333335</v>
      </c>
      <c r="AJ100" s="351">
        <f t="shared" si="248"/>
        <v>5181.7765766217499</v>
      </c>
      <c r="AK100" s="351">
        <f t="shared" si="249"/>
        <v>4411.5284266054832</v>
      </c>
      <c r="AL100" s="352">
        <f t="shared" si="250"/>
        <v>0</v>
      </c>
      <c r="AM100" s="352">
        <f t="shared" si="251"/>
        <v>0</v>
      </c>
      <c r="AN100" s="353">
        <f t="shared" si="252"/>
        <v>5181.7765766217499</v>
      </c>
      <c r="AO100" s="353">
        <f t="shared" si="253"/>
        <v>4411.5284266054832</v>
      </c>
      <c r="AP100" s="343">
        <f t="shared" si="335"/>
        <v>5181.7765766217499</v>
      </c>
      <c r="AQ100" s="343">
        <f t="shared" si="336"/>
        <v>4411.5284266054832</v>
      </c>
      <c r="AS100" s="350">
        <v>17.924299999999999</v>
      </c>
      <c r="AT100" s="350">
        <v>6.8915932557205304</v>
      </c>
      <c r="AU100" s="350">
        <v>0</v>
      </c>
      <c r="AV100" s="350">
        <v>304.70249999999999</v>
      </c>
      <c r="AW100" s="350">
        <v>507.40170000000001</v>
      </c>
      <c r="AX100" s="351">
        <f t="shared" si="254"/>
        <v>4516.9236000000001</v>
      </c>
      <c r="AY100" s="351">
        <f t="shared" si="255"/>
        <v>3452.6882211159859</v>
      </c>
      <c r="AZ100" s="352">
        <f t="shared" si="256"/>
        <v>0</v>
      </c>
      <c r="BA100" s="352">
        <f t="shared" si="257"/>
        <v>0</v>
      </c>
      <c r="BB100" s="353">
        <f t="shared" si="258"/>
        <v>4516.9236000000001</v>
      </c>
      <c r="BC100" s="353">
        <f t="shared" si="259"/>
        <v>3452.6882211159859</v>
      </c>
      <c r="BD100" s="343">
        <f t="shared" si="337"/>
        <v>4516.9236000000001</v>
      </c>
      <c r="BE100" s="343">
        <f t="shared" si="338"/>
        <v>3452.6882211159859</v>
      </c>
      <c r="BG100" s="350">
        <v>16.223658816510302</v>
      </c>
      <c r="BH100" s="350">
        <v>7.0167554331577158</v>
      </c>
      <c r="BI100" s="350">
        <v>0</v>
      </c>
      <c r="BJ100" s="350">
        <v>304.28579999999999</v>
      </c>
      <c r="BK100" s="350">
        <v>509.15170000000001</v>
      </c>
      <c r="BL100" s="351">
        <f t="shared" si="260"/>
        <v>3845.0071395129416</v>
      </c>
      <c r="BM100" s="351">
        <f t="shared" si="261"/>
        <v>3382.076118782019</v>
      </c>
      <c r="BN100" s="352">
        <f t="shared" si="262"/>
        <v>0</v>
      </c>
      <c r="BO100" s="352">
        <f t="shared" si="263"/>
        <v>0</v>
      </c>
      <c r="BP100" s="353">
        <f t="shared" si="264"/>
        <v>3845.0071395129416</v>
      </c>
      <c r="BQ100" s="353">
        <f t="shared" si="265"/>
        <v>3382.076118782019</v>
      </c>
      <c r="BR100" s="343">
        <f t="shared" si="339"/>
        <v>3845.0071395129416</v>
      </c>
      <c r="BS100" s="343">
        <f t="shared" si="340"/>
        <v>3382.076118782019</v>
      </c>
      <c r="BU100" s="350">
        <v>14.166120280871722</v>
      </c>
      <c r="BV100" s="350">
        <v>7.3199053952103075</v>
      </c>
      <c r="BW100" s="350">
        <v>0</v>
      </c>
      <c r="BX100" s="350">
        <v>281.9117</v>
      </c>
      <c r="BY100" s="350">
        <v>386.51670000000001</v>
      </c>
      <c r="BZ100" s="351">
        <f t="shared" si="266"/>
        <v>2578.2338911186534</v>
      </c>
      <c r="CA100" s="351">
        <f t="shared" si="267"/>
        <v>2247.2109563295644</v>
      </c>
      <c r="CB100" s="352">
        <f t="shared" si="268"/>
        <v>0</v>
      </c>
      <c r="CC100" s="352">
        <f t="shared" si="269"/>
        <v>0</v>
      </c>
      <c r="CD100" s="353">
        <f t="shared" si="270"/>
        <v>2578.2338911186534</v>
      </c>
      <c r="CE100" s="353">
        <f t="shared" si="271"/>
        <v>2247.2109563295644</v>
      </c>
      <c r="CF100" s="343">
        <f t="shared" si="341"/>
        <v>2578.2338911186534</v>
      </c>
      <c r="CG100" s="343">
        <f t="shared" si="342"/>
        <v>2247.2109563295644</v>
      </c>
      <c r="CI100" s="350">
        <v>0.61445061229648956</v>
      </c>
      <c r="CJ100" s="350">
        <v>0.40606456596830659</v>
      </c>
      <c r="CK100" s="350">
        <v>0</v>
      </c>
      <c r="CL100" s="350">
        <v>333.88</v>
      </c>
      <c r="CM100" s="350">
        <v>615.67830000000004</v>
      </c>
      <c r="CN100" s="351">
        <f t="shared" si="272"/>
        <v>111.21556082566461</v>
      </c>
      <c r="CO100" s="351">
        <f t="shared" si="273"/>
        <v>92.176656474805597</v>
      </c>
      <c r="CP100" s="352">
        <f t="shared" si="274"/>
        <v>0</v>
      </c>
      <c r="CQ100" s="352">
        <f t="shared" si="275"/>
        <v>0</v>
      </c>
      <c r="CR100" s="353">
        <f t="shared" si="276"/>
        <v>111.21556082566461</v>
      </c>
      <c r="CS100" s="353">
        <f t="shared" si="277"/>
        <v>92.176656474805597</v>
      </c>
      <c r="CT100" s="343">
        <f t="shared" si="343"/>
        <v>111.21556082566461</v>
      </c>
      <c r="CU100" s="343">
        <f t="shared" si="344"/>
        <v>92.176656474805597</v>
      </c>
      <c r="CW100" s="350">
        <v>1.4179250543285615</v>
      </c>
      <c r="CX100" s="350">
        <v>0.81836316737976134</v>
      </c>
      <c r="CY100" s="350">
        <v>0</v>
      </c>
      <c r="CZ100" s="350">
        <v>188.11670000000001</v>
      </c>
      <c r="DA100" s="350">
        <v>342.70749999999998</v>
      </c>
      <c r="DB100" s="351">
        <f t="shared" si="278"/>
        <v>270.82368537675524</v>
      </c>
      <c r="DC100" s="351">
        <f t="shared" si="279"/>
        <v>214.41114985349748</v>
      </c>
      <c r="DD100" s="352">
        <f t="shared" si="280"/>
        <v>0</v>
      </c>
      <c r="DE100" s="352">
        <f t="shared" si="281"/>
        <v>0</v>
      </c>
      <c r="DF100" s="353">
        <f t="shared" si="282"/>
        <v>270.82368537675524</v>
      </c>
      <c r="DG100" s="353">
        <f t="shared" si="283"/>
        <v>214.41114985349748</v>
      </c>
      <c r="DH100" s="343">
        <f t="shared" si="345"/>
        <v>270.82368537675524</v>
      </c>
      <c r="DI100" s="343">
        <f t="shared" si="346"/>
        <v>214.41114985349748</v>
      </c>
      <c r="DK100" s="350">
        <v>2.6379999999999999</v>
      </c>
      <c r="DL100" s="350">
        <v>1.3943000000000001</v>
      </c>
      <c r="DM100" s="350">
        <v>0</v>
      </c>
      <c r="DN100" s="350">
        <v>162.3142</v>
      </c>
      <c r="DO100" s="350">
        <v>231.8433</v>
      </c>
      <c r="DP100" s="351">
        <f t="shared" si="284"/>
        <v>253.24799999999999</v>
      </c>
      <c r="DQ100" s="351">
        <f t="shared" si="285"/>
        <v>242.60820000000001</v>
      </c>
      <c r="DR100" s="352">
        <f t="shared" si="286"/>
        <v>0</v>
      </c>
      <c r="DS100" s="352">
        <f t="shared" si="287"/>
        <v>0</v>
      </c>
      <c r="DT100" s="353">
        <f t="shared" si="288"/>
        <v>253.24799999999999</v>
      </c>
      <c r="DU100" s="353">
        <f t="shared" si="289"/>
        <v>242.60820000000001</v>
      </c>
      <c r="DV100" s="343">
        <f t="shared" si="347"/>
        <v>253.24799999999999</v>
      </c>
      <c r="DW100" s="343">
        <f t="shared" si="348"/>
        <v>242.60820000000001</v>
      </c>
      <c r="EB100" s="326"/>
      <c r="EC100" s="326"/>
      <c r="ED100" s="326"/>
      <c r="EE100" s="348">
        <f t="shared" si="290"/>
        <v>1506.2442000000001</v>
      </c>
      <c r="EF100" s="348">
        <f t="shared" si="291"/>
        <v>2676.0491666666671</v>
      </c>
      <c r="EG100" s="348">
        <f t="shared" si="292"/>
        <v>11884.188784180225</v>
      </c>
      <c r="EH100" s="348">
        <f t="shared" si="293"/>
        <v>10155.665824906564</v>
      </c>
      <c r="EI100" s="354">
        <f t="shared" si="294"/>
        <v>0.36014790641061439</v>
      </c>
      <c r="EJ100" s="326"/>
      <c r="EK100" s="348">
        <f t="shared" si="295"/>
        <v>11884.188784180225</v>
      </c>
      <c r="EL100" s="348">
        <f t="shared" si="296"/>
        <v>10155.665824906564</v>
      </c>
      <c r="EM100" s="348">
        <f t="shared" si="297"/>
        <v>11884.188784180225</v>
      </c>
      <c r="EN100" s="348">
        <f t="shared" si="298"/>
        <v>10155.665824906564</v>
      </c>
      <c r="EP100" s="326"/>
      <c r="EQ100" s="326"/>
      <c r="ER100" s="326"/>
      <c r="ES100" s="348">
        <f t="shared" si="299"/>
        <v>922.33500000000004</v>
      </c>
      <c r="ET100" s="348">
        <f t="shared" si="300"/>
        <v>1551.855</v>
      </c>
      <c r="EU100" s="348">
        <f t="shared" si="301"/>
        <v>10704.479789364748</v>
      </c>
      <c r="EV100" s="348">
        <f t="shared" si="302"/>
        <v>9296.5377121946949</v>
      </c>
      <c r="EW100" s="354">
        <f t="shared" si="303"/>
        <v>0.37278260764128868</v>
      </c>
      <c r="EX100" s="326"/>
      <c r="EY100" s="348">
        <f t="shared" si="304"/>
        <v>10704.479789364748</v>
      </c>
      <c r="EZ100" s="348">
        <f t="shared" si="305"/>
        <v>9296.5377121946949</v>
      </c>
      <c r="FA100" s="348">
        <f t="shared" si="306"/>
        <v>10704.479789364748</v>
      </c>
      <c r="FB100" s="348">
        <f t="shared" si="307"/>
        <v>9296.5377121946949</v>
      </c>
      <c r="FD100" s="326"/>
      <c r="FE100" s="326"/>
      <c r="FF100" s="326"/>
      <c r="FG100" s="348">
        <f t="shared" si="308"/>
        <v>791.84756666666669</v>
      </c>
      <c r="FH100" s="348">
        <f t="shared" si="309"/>
        <v>1257.4266333333335</v>
      </c>
      <c r="FI100" s="348">
        <f t="shared" si="310"/>
        <v>8023.1748285660678</v>
      </c>
      <c r="FJ100" s="348">
        <f t="shared" si="311"/>
        <v>6896.4809594098533</v>
      </c>
      <c r="FK100" s="354">
        <f t="shared" si="312"/>
        <v>0.38640391152470793</v>
      </c>
      <c r="FL100" s="326"/>
      <c r="FM100" s="348">
        <f t="shared" si="313"/>
        <v>8023.1748285660678</v>
      </c>
      <c r="FN100" s="348">
        <f t="shared" si="314"/>
        <v>6896.4809594098533</v>
      </c>
      <c r="FO100" s="348">
        <f t="shared" si="315"/>
        <v>8023.1748285660678</v>
      </c>
      <c r="FP100" s="348">
        <f t="shared" si="316"/>
        <v>6896.4809594098533</v>
      </c>
      <c r="FR100" s="326"/>
      <c r="FS100" s="326"/>
      <c r="FT100" s="326"/>
      <c r="FU100" s="348">
        <f t="shared" si="317"/>
        <v>586.61419999999998</v>
      </c>
      <c r="FV100" s="348">
        <f t="shared" si="318"/>
        <v>893.91840000000002</v>
      </c>
      <c r="FW100" s="349">
        <f t="shared" si="319"/>
        <v>1744.8207379932121</v>
      </c>
      <c r="FX100" s="349">
        <f t="shared" si="320"/>
        <v>1084.9295383077795</v>
      </c>
      <c r="FY100" s="354">
        <f t="shared" si="321"/>
        <v>0.39621836087905121</v>
      </c>
      <c r="FZ100" s="326"/>
      <c r="GA100" s="349">
        <f t="shared" si="322"/>
        <v>1744.8207379932121</v>
      </c>
      <c r="GB100" s="349">
        <f t="shared" si="323"/>
        <v>1084.9295383077795</v>
      </c>
      <c r="GC100" s="349">
        <f t="shared" si="232"/>
        <v>1744.8207379932121</v>
      </c>
      <c r="GD100" s="349">
        <f t="shared" si="233"/>
        <v>1084.9295383077795</v>
      </c>
      <c r="GF100" s="326"/>
      <c r="GG100" s="326"/>
      <c r="GH100" s="326"/>
      <c r="GI100" s="348">
        <f t="shared" si="324"/>
        <v>521.99670000000003</v>
      </c>
      <c r="GJ100" s="348">
        <f t="shared" si="325"/>
        <v>958.38580000000002</v>
      </c>
      <c r="GK100" s="348">
        <f t="shared" si="326"/>
        <v>327.87450912706879</v>
      </c>
      <c r="GL100" s="348">
        <f t="shared" si="327"/>
        <v>263.7055763576036</v>
      </c>
      <c r="GM100" s="354">
        <f t="shared" si="328"/>
        <v>0.35260934251789655</v>
      </c>
      <c r="GN100" s="326"/>
      <c r="GO100" s="348">
        <f t="shared" si="329"/>
        <v>327.87450912706879</v>
      </c>
      <c r="GP100" s="348">
        <f t="shared" si="330"/>
        <v>263.7055763576036</v>
      </c>
      <c r="GQ100" s="348">
        <f t="shared" si="234"/>
        <v>327.87450912706879</v>
      </c>
      <c r="GR100" s="348">
        <f t="shared" si="235"/>
        <v>263.7055763576036</v>
      </c>
    </row>
    <row r="101" spans="1:200" x14ac:dyDescent="0.2">
      <c r="A101" s="320">
        <v>91</v>
      </c>
      <c r="C101" s="350">
        <v>6.9990996926730888</v>
      </c>
      <c r="D101" s="350">
        <v>2.7382192886915693</v>
      </c>
      <c r="E101" s="350">
        <v>0</v>
      </c>
      <c r="F101" s="350">
        <v>598.04416666666657</v>
      </c>
      <c r="G101" s="350">
        <v>1082.1199999999999</v>
      </c>
      <c r="H101" s="351">
        <f t="shared" si="236"/>
        <v>7181.0762846825892</v>
      </c>
      <c r="I101" s="351">
        <f t="shared" si="237"/>
        <v>6506.0090299311687</v>
      </c>
      <c r="J101" s="352">
        <f t="shared" si="238"/>
        <v>0</v>
      </c>
      <c r="K101" s="352">
        <f t="shared" si="239"/>
        <v>0</v>
      </c>
      <c r="L101" s="353">
        <f t="shared" si="240"/>
        <v>7181.0762846825892</v>
      </c>
      <c r="M101" s="353">
        <f t="shared" si="241"/>
        <v>6506.0090299311687</v>
      </c>
      <c r="N101" s="343">
        <f t="shared" si="331"/>
        <v>7181.0762846825892</v>
      </c>
      <c r="O101" s="343">
        <f t="shared" si="332"/>
        <v>6506.0090299311687</v>
      </c>
      <c r="Q101" s="350">
        <v>9.4683649989054182</v>
      </c>
      <c r="R101" s="350">
        <v>3.4185546146309145</v>
      </c>
      <c r="S101" s="350">
        <v>0</v>
      </c>
      <c r="T101" s="350">
        <v>70.948333333333323</v>
      </c>
      <c r="U101" s="350">
        <v>69.530833333333334</v>
      </c>
      <c r="V101" s="351">
        <f t="shared" si="242"/>
        <v>6665.7289592294146</v>
      </c>
      <c r="W101" s="351">
        <f t="shared" si="243"/>
        <v>5736.3346433506749</v>
      </c>
      <c r="X101" s="352">
        <f t="shared" si="244"/>
        <v>0</v>
      </c>
      <c r="Y101" s="352">
        <f t="shared" si="245"/>
        <v>0</v>
      </c>
      <c r="Z101" s="353">
        <f t="shared" si="246"/>
        <v>6665.7289592294146</v>
      </c>
      <c r="AA101" s="353">
        <f t="shared" si="247"/>
        <v>5736.3346433506749</v>
      </c>
      <c r="AB101" s="343">
        <f t="shared" si="333"/>
        <v>6665.7289592294146</v>
      </c>
      <c r="AC101" s="343">
        <f t="shared" si="334"/>
        <v>5736.3346433506749</v>
      </c>
      <c r="AE101" s="350">
        <v>14.812114373020576</v>
      </c>
      <c r="AF101" s="350">
        <v>5.842060823910308</v>
      </c>
      <c r="AG101" s="350">
        <v>0</v>
      </c>
      <c r="AH101" s="350">
        <v>18.774166666666666</v>
      </c>
      <c r="AI101" s="350">
        <v>24.416666666666668</v>
      </c>
      <c r="AJ101" s="351">
        <f t="shared" si="248"/>
        <v>5273.1127167953246</v>
      </c>
      <c r="AK101" s="351">
        <f t="shared" si="249"/>
        <v>4475.0185911152957</v>
      </c>
      <c r="AL101" s="352">
        <f t="shared" si="250"/>
        <v>0</v>
      </c>
      <c r="AM101" s="352">
        <f t="shared" si="251"/>
        <v>0</v>
      </c>
      <c r="AN101" s="353">
        <f t="shared" si="252"/>
        <v>5273.1127167953246</v>
      </c>
      <c r="AO101" s="353">
        <f t="shared" si="253"/>
        <v>4475.0185911152957</v>
      </c>
      <c r="AP101" s="343">
        <f t="shared" si="335"/>
        <v>5273.1127167953246</v>
      </c>
      <c r="AQ101" s="343">
        <f t="shared" si="336"/>
        <v>4475.0185911152957</v>
      </c>
      <c r="AS101" s="350">
        <v>17.996700000000001</v>
      </c>
      <c r="AT101" s="350">
        <v>6.8915932557205304</v>
      </c>
      <c r="AU101" s="350">
        <v>0</v>
      </c>
      <c r="AV101" s="350">
        <v>217.9033</v>
      </c>
      <c r="AW101" s="350">
        <v>440.02249999999998</v>
      </c>
      <c r="AX101" s="351">
        <f t="shared" si="254"/>
        <v>4535.1684000000005</v>
      </c>
      <c r="AY101" s="351">
        <f t="shared" si="255"/>
        <v>3452.6882211159859</v>
      </c>
      <c r="AZ101" s="352">
        <f t="shared" si="256"/>
        <v>0</v>
      </c>
      <c r="BA101" s="352">
        <f t="shared" si="257"/>
        <v>0</v>
      </c>
      <c r="BB101" s="353">
        <f t="shared" si="258"/>
        <v>4535.1684000000005</v>
      </c>
      <c r="BC101" s="353">
        <f t="shared" si="259"/>
        <v>3452.6882211159859</v>
      </c>
      <c r="BD101" s="343">
        <f t="shared" si="337"/>
        <v>4535.1684000000005</v>
      </c>
      <c r="BE101" s="343">
        <f t="shared" si="338"/>
        <v>3452.6882211159859</v>
      </c>
      <c r="BG101" s="350">
        <v>16.22850557291191</v>
      </c>
      <c r="BH101" s="350">
        <v>7.0167554331577158</v>
      </c>
      <c r="BI101" s="350">
        <v>0</v>
      </c>
      <c r="BJ101" s="350">
        <v>218.07</v>
      </c>
      <c r="BK101" s="350">
        <v>441.27249999999998</v>
      </c>
      <c r="BL101" s="351">
        <f t="shared" si="260"/>
        <v>3846.1558207801227</v>
      </c>
      <c r="BM101" s="351">
        <f t="shared" si="261"/>
        <v>3382.076118782019</v>
      </c>
      <c r="BN101" s="352">
        <f t="shared" si="262"/>
        <v>0</v>
      </c>
      <c r="BO101" s="352">
        <f t="shared" si="263"/>
        <v>0</v>
      </c>
      <c r="BP101" s="353">
        <f t="shared" si="264"/>
        <v>3846.1558207801227</v>
      </c>
      <c r="BQ101" s="353">
        <f t="shared" si="265"/>
        <v>3382.076118782019</v>
      </c>
      <c r="BR101" s="343">
        <f t="shared" si="339"/>
        <v>3846.1558207801227</v>
      </c>
      <c r="BS101" s="343">
        <f t="shared" si="340"/>
        <v>3382.076118782019</v>
      </c>
      <c r="BU101" s="350">
        <v>14.242696311769384</v>
      </c>
      <c r="BV101" s="350">
        <v>7.3276595715768131</v>
      </c>
      <c r="BW101" s="350">
        <v>0</v>
      </c>
      <c r="BX101" s="350">
        <v>252.2775</v>
      </c>
      <c r="BY101" s="350">
        <v>326.1925</v>
      </c>
      <c r="BZ101" s="351">
        <f t="shared" si="266"/>
        <v>2592.1707287420281</v>
      </c>
      <c r="CA101" s="351">
        <f t="shared" si="267"/>
        <v>2249.5914884740814</v>
      </c>
      <c r="CB101" s="352">
        <f t="shared" si="268"/>
        <v>0</v>
      </c>
      <c r="CC101" s="352">
        <f t="shared" si="269"/>
        <v>0</v>
      </c>
      <c r="CD101" s="353">
        <f t="shared" si="270"/>
        <v>2592.1707287420281</v>
      </c>
      <c r="CE101" s="353">
        <f t="shared" si="271"/>
        <v>2249.5914884740814</v>
      </c>
      <c r="CF101" s="343">
        <f t="shared" si="341"/>
        <v>2592.1707287420281</v>
      </c>
      <c r="CG101" s="343">
        <f t="shared" si="342"/>
        <v>2249.5914884740814</v>
      </c>
      <c r="CI101" s="350">
        <v>0.58856857030822551</v>
      </c>
      <c r="CJ101" s="350">
        <v>0.38226530428771416</v>
      </c>
      <c r="CK101" s="350">
        <v>0</v>
      </c>
      <c r="CL101" s="350">
        <v>275.08080000000001</v>
      </c>
      <c r="CM101" s="350">
        <v>479.76080000000002</v>
      </c>
      <c r="CN101" s="351">
        <f t="shared" si="272"/>
        <v>106.53091122578881</v>
      </c>
      <c r="CO101" s="351">
        <f t="shared" si="273"/>
        <v>86.774224073311117</v>
      </c>
      <c r="CP101" s="352">
        <f t="shared" si="274"/>
        <v>0</v>
      </c>
      <c r="CQ101" s="352">
        <f t="shared" si="275"/>
        <v>0</v>
      </c>
      <c r="CR101" s="353">
        <f t="shared" si="276"/>
        <v>106.53091122578881</v>
      </c>
      <c r="CS101" s="353">
        <f t="shared" si="277"/>
        <v>86.774224073311117</v>
      </c>
      <c r="CT101" s="343">
        <f t="shared" si="343"/>
        <v>106.53091122578881</v>
      </c>
      <c r="CU101" s="343">
        <f t="shared" si="344"/>
        <v>86.774224073311117</v>
      </c>
      <c r="CW101" s="350">
        <v>1.3239441333357156</v>
      </c>
      <c r="CX101" s="350">
        <v>0.74938061277794943</v>
      </c>
      <c r="CY101" s="350">
        <v>0</v>
      </c>
      <c r="CZ101" s="350">
        <v>181.67830000000001</v>
      </c>
      <c r="DA101" s="350">
        <v>247.82919999999999</v>
      </c>
      <c r="DB101" s="351">
        <f t="shared" si="278"/>
        <v>252.87332946712166</v>
      </c>
      <c r="DC101" s="351">
        <f t="shared" si="279"/>
        <v>196.33772054782276</v>
      </c>
      <c r="DD101" s="352">
        <f t="shared" si="280"/>
        <v>0</v>
      </c>
      <c r="DE101" s="352">
        <f t="shared" si="281"/>
        <v>0</v>
      </c>
      <c r="DF101" s="353">
        <f t="shared" si="282"/>
        <v>252.87332946712166</v>
      </c>
      <c r="DG101" s="353">
        <f t="shared" si="283"/>
        <v>196.33772054782276</v>
      </c>
      <c r="DH101" s="343">
        <f t="shared" si="345"/>
        <v>252.87332946712166</v>
      </c>
      <c r="DI101" s="343">
        <f t="shared" si="346"/>
        <v>196.33772054782276</v>
      </c>
      <c r="DK101" s="350">
        <v>2.5146999999999999</v>
      </c>
      <c r="DL101" s="350">
        <v>1.3196000000000001</v>
      </c>
      <c r="DM101" s="350">
        <v>0</v>
      </c>
      <c r="DN101" s="350">
        <v>125.07</v>
      </c>
      <c r="DO101" s="350">
        <v>210.25</v>
      </c>
      <c r="DP101" s="351">
        <f t="shared" si="284"/>
        <v>241.41120000000001</v>
      </c>
      <c r="DQ101" s="351">
        <f t="shared" si="285"/>
        <v>229.61040000000003</v>
      </c>
      <c r="DR101" s="352">
        <f t="shared" si="286"/>
        <v>0</v>
      </c>
      <c r="DS101" s="352">
        <f t="shared" si="287"/>
        <v>0</v>
      </c>
      <c r="DT101" s="353">
        <f t="shared" si="288"/>
        <v>241.41120000000001</v>
      </c>
      <c r="DU101" s="353">
        <f t="shared" si="289"/>
        <v>229.61040000000003</v>
      </c>
      <c r="DV101" s="343">
        <f t="shared" si="347"/>
        <v>241.41120000000001</v>
      </c>
      <c r="DW101" s="343">
        <f t="shared" si="348"/>
        <v>229.61040000000003</v>
      </c>
      <c r="EB101" s="326"/>
      <c r="EC101" s="326"/>
      <c r="ED101" s="326"/>
      <c r="EE101" s="348">
        <f t="shared" si="290"/>
        <v>1272.7065666666665</v>
      </c>
      <c r="EF101" s="348">
        <f t="shared" si="291"/>
        <v>2249.7325000000001</v>
      </c>
      <c r="EG101" s="348">
        <f t="shared" si="292"/>
        <v>12025.074259482077</v>
      </c>
      <c r="EH101" s="348">
        <f t="shared" si="293"/>
        <v>10202.541651558724</v>
      </c>
      <c r="EI101" s="354">
        <f t="shared" si="294"/>
        <v>0.3613140050343146</v>
      </c>
      <c r="EJ101" s="326"/>
      <c r="EK101" s="348">
        <f t="shared" si="295"/>
        <v>12025.074259482077</v>
      </c>
      <c r="EL101" s="348">
        <f t="shared" si="296"/>
        <v>10202.541651558724</v>
      </c>
      <c r="EM101" s="348">
        <f t="shared" si="297"/>
        <v>12025.074259482077</v>
      </c>
      <c r="EN101" s="348">
        <f t="shared" si="298"/>
        <v>10202.541651558724</v>
      </c>
      <c r="EP101" s="326"/>
      <c r="EQ101" s="326"/>
      <c r="ER101" s="326"/>
      <c r="ES101" s="348">
        <f t="shared" si="299"/>
        <v>745.77743333333342</v>
      </c>
      <c r="ET101" s="348">
        <f t="shared" si="300"/>
        <v>1238.3933333333332</v>
      </c>
      <c r="EU101" s="348">
        <f t="shared" si="301"/>
        <v>10795.427021862311</v>
      </c>
      <c r="EV101" s="348">
        <f t="shared" si="302"/>
        <v>9342.621390589482</v>
      </c>
      <c r="EW101" s="354">
        <f t="shared" si="303"/>
        <v>0.37586353244494769</v>
      </c>
      <c r="EX101" s="326"/>
      <c r="EY101" s="348">
        <f t="shared" si="304"/>
        <v>10795.427021862311</v>
      </c>
      <c r="EZ101" s="348">
        <f t="shared" si="305"/>
        <v>9342.621390589482</v>
      </c>
      <c r="FA101" s="348">
        <f t="shared" si="306"/>
        <v>10795.427021862311</v>
      </c>
      <c r="FB101" s="348">
        <f t="shared" si="307"/>
        <v>9342.621390589482</v>
      </c>
      <c r="FD101" s="326"/>
      <c r="FE101" s="326"/>
      <c r="FF101" s="326"/>
      <c r="FG101" s="348">
        <f t="shared" si="308"/>
        <v>671.20246666666662</v>
      </c>
      <c r="FH101" s="348">
        <f t="shared" si="309"/>
        <v>1040.6199666666666</v>
      </c>
      <c r="FI101" s="348">
        <f t="shared" si="310"/>
        <v>8116.661076763141</v>
      </c>
      <c r="FJ101" s="348">
        <f t="shared" si="311"/>
        <v>6949.1505436626885</v>
      </c>
      <c r="FK101" s="354">
        <f t="shared" si="312"/>
        <v>0.39209818354797038</v>
      </c>
      <c r="FL101" s="326"/>
      <c r="FM101" s="348">
        <f t="shared" si="313"/>
        <v>8116.661076763141</v>
      </c>
      <c r="FN101" s="348">
        <f t="shared" si="314"/>
        <v>6949.1505436626885</v>
      </c>
      <c r="FO101" s="348">
        <f t="shared" si="315"/>
        <v>8116.661076763141</v>
      </c>
      <c r="FP101" s="348">
        <f t="shared" si="316"/>
        <v>6949.1505436626885</v>
      </c>
      <c r="FR101" s="326"/>
      <c r="FS101" s="326"/>
      <c r="FT101" s="326"/>
      <c r="FU101" s="348">
        <f t="shared" si="317"/>
        <v>470.18079999999998</v>
      </c>
      <c r="FV101" s="348">
        <f t="shared" si="318"/>
        <v>766.21499999999992</v>
      </c>
      <c r="FW101" s="349">
        <f t="shared" si="319"/>
        <v>1748.6979041321752</v>
      </c>
      <c r="FX101" s="349">
        <f t="shared" si="320"/>
        <v>1082.7870593777141</v>
      </c>
      <c r="FY101" s="354">
        <f t="shared" si="321"/>
        <v>0.38028340115681408</v>
      </c>
      <c r="FZ101" s="326"/>
      <c r="GA101" s="349">
        <f t="shared" si="322"/>
        <v>1748.6979041321752</v>
      </c>
      <c r="GB101" s="349">
        <f t="shared" si="323"/>
        <v>1082.7870593777141</v>
      </c>
      <c r="GC101" s="349">
        <f t="shared" si="232"/>
        <v>1748.6979041321752</v>
      </c>
      <c r="GD101" s="349">
        <f t="shared" si="233"/>
        <v>1082.7870593777141</v>
      </c>
      <c r="GF101" s="326"/>
      <c r="GG101" s="326"/>
      <c r="GH101" s="326"/>
      <c r="GI101" s="348">
        <f t="shared" si="324"/>
        <v>456.75909999999999</v>
      </c>
      <c r="GJ101" s="348">
        <f t="shared" si="325"/>
        <v>727.59</v>
      </c>
      <c r="GK101" s="348">
        <f t="shared" si="326"/>
        <v>308.82957479948618</v>
      </c>
      <c r="GL101" s="348">
        <f t="shared" si="327"/>
        <v>243.84440051156935</v>
      </c>
      <c r="GM101" s="354">
        <f t="shared" si="328"/>
        <v>0.38566255506927816</v>
      </c>
      <c r="GN101" s="326"/>
      <c r="GO101" s="348">
        <f t="shared" si="329"/>
        <v>308.82957479948618</v>
      </c>
      <c r="GP101" s="348">
        <f t="shared" si="330"/>
        <v>243.84440051156935</v>
      </c>
      <c r="GQ101" s="348">
        <f t="shared" si="234"/>
        <v>308.82957479948618</v>
      </c>
      <c r="GR101" s="348">
        <f t="shared" si="235"/>
        <v>243.84440051156935</v>
      </c>
    </row>
    <row r="102" spans="1:200" x14ac:dyDescent="0.2">
      <c r="A102" s="320">
        <v>92</v>
      </c>
      <c r="C102" s="350">
        <v>7.1371211293620682</v>
      </c>
      <c r="D102" s="350">
        <v>2.7658393756419266</v>
      </c>
      <c r="E102" s="350">
        <v>0</v>
      </c>
      <c r="F102" s="350">
        <v>451.20499999999998</v>
      </c>
      <c r="G102" s="350">
        <v>885.37333333333322</v>
      </c>
      <c r="H102" s="351">
        <f t="shared" si="236"/>
        <v>7322.6862787254822</v>
      </c>
      <c r="I102" s="351">
        <f t="shared" si="237"/>
        <v>6571.6343565252173</v>
      </c>
      <c r="J102" s="352">
        <f t="shared" si="238"/>
        <v>0</v>
      </c>
      <c r="K102" s="352">
        <f t="shared" si="239"/>
        <v>0</v>
      </c>
      <c r="L102" s="353">
        <f t="shared" si="240"/>
        <v>7322.6862787254822</v>
      </c>
      <c r="M102" s="353">
        <f t="shared" si="241"/>
        <v>6571.6343565252173</v>
      </c>
      <c r="N102" s="343">
        <f t="shared" si="331"/>
        <v>7322.6862787254822</v>
      </c>
      <c r="O102" s="343">
        <f t="shared" si="332"/>
        <v>6571.6343565252173</v>
      </c>
      <c r="Q102" s="350">
        <v>9.6191344508798728</v>
      </c>
      <c r="R102" s="350">
        <v>3.4566169657649102</v>
      </c>
      <c r="S102" s="350">
        <v>0</v>
      </c>
      <c r="T102" s="350">
        <v>47.970833333333331</v>
      </c>
      <c r="U102" s="350">
        <v>71.768333333333331</v>
      </c>
      <c r="V102" s="351">
        <f t="shared" si="242"/>
        <v>6771.8706534194307</v>
      </c>
      <c r="W102" s="351">
        <f t="shared" si="243"/>
        <v>5800.2032685535196</v>
      </c>
      <c r="X102" s="352">
        <f t="shared" si="244"/>
        <v>0</v>
      </c>
      <c r="Y102" s="352">
        <f t="shared" si="245"/>
        <v>0</v>
      </c>
      <c r="Z102" s="353">
        <f t="shared" si="246"/>
        <v>6771.8706534194307</v>
      </c>
      <c r="AA102" s="353">
        <f t="shared" si="247"/>
        <v>5800.2032685535196</v>
      </c>
      <c r="AB102" s="343">
        <f t="shared" si="333"/>
        <v>6771.8706534194307</v>
      </c>
      <c r="AC102" s="343">
        <f t="shared" si="334"/>
        <v>5800.2032685535196</v>
      </c>
      <c r="AE102" s="350">
        <v>15.066384895174329</v>
      </c>
      <c r="AF102" s="350">
        <v>5.9213347339644304</v>
      </c>
      <c r="AG102" s="350">
        <v>0</v>
      </c>
      <c r="AH102" s="350">
        <v>13</v>
      </c>
      <c r="AI102" s="350">
        <v>15.58</v>
      </c>
      <c r="AJ102" s="351">
        <f t="shared" si="248"/>
        <v>5363.633022682061</v>
      </c>
      <c r="AK102" s="351">
        <f t="shared" si="249"/>
        <v>4535.7424062167538</v>
      </c>
      <c r="AL102" s="352">
        <f t="shared" si="250"/>
        <v>0</v>
      </c>
      <c r="AM102" s="352">
        <f t="shared" si="251"/>
        <v>0</v>
      </c>
      <c r="AN102" s="353">
        <f t="shared" si="252"/>
        <v>5363.633022682061</v>
      </c>
      <c r="AO102" s="353">
        <f t="shared" si="253"/>
        <v>4535.7424062167538</v>
      </c>
      <c r="AP102" s="343">
        <f t="shared" si="335"/>
        <v>5363.633022682061</v>
      </c>
      <c r="AQ102" s="343">
        <f t="shared" si="336"/>
        <v>4535.7424062167538</v>
      </c>
      <c r="AS102" s="350">
        <v>18.047899999999998</v>
      </c>
      <c r="AT102" s="350">
        <v>6.8915932557205304</v>
      </c>
      <c r="AU102" s="350">
        <v>0</v>
      </c>
      <c r="AV102" s="350">
        <v>186.95670000000001</v>
      </c>
      <c r="AW102" s="350">
        <v>360.91750000000002</v>
      </c>
      <c r="AX102" s="351">
        <f t="shared" si="254"/>
        <v>4548.0707999999995</v>
      </c>
      <c r="AY102" s="351">
        <f t="shared" si="255"/>
        <v>3452.6882211159859</v>
      </c>
      <c r="AZ102" s="352">
        <f t="shared" si="256"/>
        <v>0</v>
      </c>
      <c r="BA102" s="352">
        <f t="shared" si="257"/>
        <v>0</v>
      </c>
      <c r="BB102" s="353">
        <f t="shared" si="258"/>
        <v>4548.0707999999995</v>
      </c>
      <c r="BC102" s="353">
        <f t="shared" si="259"/>
        <v>3452.6882211159859</v>
      </c>
      <c r="BD102" s="343">
        <f t="shared" si="337"/>
        <v>4548.0707999999995</v>
      </c>
      <c r="BE102" s="343">
        <f t="shared" si="338"/>
        <v>3452.6882211159859</v>
      </c>
      <c r="BG102" s="350">
        <v>16.230574417000234</v>
      </c>
      <c r="BH102" s="350">
        <v>7.0167554331577158</v>
      </c>
      <c r="BI102" s="350">
        <v>0</v>
      </c>
      <c r="BJ102" s="350">
        <v>184.70670000000001</v>
      </c>
      <c r="BK102" s="350">
        <v>360.91750000000002</v>
      </c>
      <c r="BL102" s="351">
        <f t="shared" si="260"/>
        <v>3846.6461368290556</v>
      </c>
      <c r="BM102" s="351">
        <f t="shared" si="261"/>
        <v>3382.076118782019</v>
      </c>
      <c r="BN102" s="352">
        <f t="shared" si="262"/>
        <v>0</v>
      </c>
      <c r="BO102" s="352">
        <f t="shared" si="263"/>
        <v>0</v>
      </c>
      <c r="BP102" s="353">
        <f t="shared" si="264"/>
        <v>3846.6461368290556</v>
      </c>
      <c r="BQ102" s="353">
        <f t="shared" si="265"/>
        <v>3382.076118782019</v>
      </c>
      <c r="BR102" s="343">
        <f t="shared" si="339"/>
        <v>3846.6461368290556</v>
      </c>
      <c r="BS102" s="343">
        <f t="shared" si="340"/>
        <v>3382.076118782019</v>
      </c>
      <c r="BU102" s="350">
        <v>14.274734742795973</v>
      </c>
      <c r="BV102" s="350">
        <v>7.3332748608840737</v>
      </c>
      <c r="BW102" s="350">
        <v>0</v>
      </c>
      <c r="BX102" s="350">
        <v>203.21</v>
      </c>
      <c r="BY102" s="350">
        <v>278.76749999999998</v>
      </c>
      <c r="BZ102" s="351">
        <f t="shared" si="266"/>
        <v>2598.0017231888669</v>
      </c>
      <c r="CA102" s="351">
        <f t="shared" si="267"/>
        <v>2251.3153822914105</v>
      </c>
      <c r="CB102" s="352">
        <f t="shared" si="268"/>
        <v>0</v>
      </c>
      <c r="CC102" s="352">
        <f t="shared" si="269"/>
        <v>0</v>
      </c>
      <c r="CD102" s="353">
        <f t="shared" si="270"/>
        <v>2598.0017231888669</v>
      </c>
      <c r="CE102" s="353">
        <f t="shared" si="271"/>
        <v>2251.3153822914105</v>
      </c>
      <c r="CF102" s="343">
        <f t="shared" si="341"/>
        <v>2598.0017231888669</v>
      </c>
      <c r="CG102" s="343">
        <f t="shared" si="342"/>
        <v>2251.3153822914105</v>
      </c>
      <c r="CI102" s="350">
        <v>0.56337848126792434</v>
      </c>
      <c r="CJ102" s="350">
        <v>0.3593827458600487</v>
      </c>
      <c r="CK102" s="350">
        <v>0</v>
      </c>
      <c r="CL102" s="350">
        <v>144.6</v>
      </c>
      <c r="CM102" s="350">
        <v>252.01499999999999</v>
      </c>
      <c r="CN102" s="351">
        <f t="shared" si="272"/>
        <v>101.9715051094943</v>
      </c>
      <c r="CO102" s="351">
        <f t="shared" si="273"/>
        <v>81.579883310231054</v>
      </c>
      <c r="CP102" s="352">
        <f t="shared" si="274"/>
        <v>0</v>
      </c>
      <c r="CQ102" s="352">
        <f t="shared" si="275"/>
        <v>0</v>
      </c>
      <c r="CR102" s="353">
        <f t="shared" si="276"/>
        <v>101.9715051094943</v>
      </c>
      <c r="CS102" s="353">
        <f t="shared" si="277"/>
        <v>81.579883310231054</v>
      </c>
      <c r="CT102" s="343">
        <f t="shared" si="343"/>
        <v>101.9715051094943</v>
      </c>
      <c r="CU102" s="343">
        <f t="shared" si="344"/>
        <v>81.579883310231054</v>
      </c>
      <c r="CW102" s="350">
        <v>1.2295820544410723</v>
      </c>
      <c r="CX102" s="350">
        <v>0.68112932265919057</v>
      </c>
      <c r="CY102" s="350">
        <v>0</v>
      </c>
      <c r="CZ102" s="350">
        <v>89.287499999999994</v>
      </c>
      <c r="DA102" s="350">
        <v>148.9008</v>
      </c>
      <c r="DB102" s="351">
        <f t="shared" si="278"/>
        <v>234.85017239824481</v>
      </c>
      <c r="DC102" s="351">
        <f t="shared" si="279"/>
        <v>178.45588253670792</v>
      </c>
      <c r="DD102" s="352">
        <f t="shared" si="280"/>
        <v>0</v>
      </c>
      <c r="DE102" s="352">
        <f t="shared" si="281"/>
        <v>0</v>
      </c>
      <c r="DF102" s="353">
        <f t="shared" si="282"/>
        <v>234.85017239824481</v>
      </c>
      <c r="DG102" s="353">
        <f t="shared" si="283"/>
        <v>178.45588253670792</v>
      </c>
      <c r="DH102" s="343">
        <f t="shared" si="345"/>
        <v>234.85017239824481</v>
      </c>
      <c r="DI102" s="343">
        <f t="shared" si="346"/>
        <v>178.45588253670792</v>
      </c>
      <c r="DK102" s="350">
        <v>2.391</v>
      </c>
      <c r="DL102" s="350">
        <v>1.2472000000000001</v>
      </c>
      <c r="DM102" s="350">
        <v>0</v>
      </c>
      <c r="DN102" s="350">
        <v>71.25</v>
      </c>
      <c r="DO102" s="350">
        <v>124.89919999999999</v>
      </c>
      <c r="DP102" s="351">
        <f t="shared" si="284"/>
        <v>229.536</v>
      </c>
      <c r="DQ102" s="351">
        <f t="shared" si="285"/>
        <v>217.01280000000003</v>
      </c>
      <c r="DR102" s="352">
        <f t="shared" si="286"/>
        <v>0</v>
      </c>
      <c r="DS102" s="352">
        <f t="shared" si="287"/>
        <v>0</v>
      </c>
      <c r="DT102" s="353">
        <f t="shared" si="288"/>
        <v>229.536</v>
      </c>
      <c r="DU102" s="353">
        <f t="shared" si="289"/>
        <v>217.01280000000003</v>
      </c>
      <c r="DV102" s="343">
        <f t="shared" si="347"/>
        <v>229.536</v>
      </c>
      <c r="DW102" s="343">
        <f t="shared" si="348"/>
        <v>217.01280000000003</v>
      </c>
      <c r="EB102" s="326"/>
      <c r="EC102" s="326"/>
      <c r="ED102" s="326"/>
      <c r="EE102" s="348">
        <f t="shared" si="290"/>
        <v>872.04920000000004</v>
      </c>
      <c r="EF102" s="348">
        <f t="shared" si="291"/>
        <v>1647.2066333333332</v>
      </c>
      <c r="EG102" s="348">
        <f t="shared" si="292"/>
        <v>12160.60872175357</v>
      </c>
      <c r="EH102" s="348">
        <f t="shared" si="293"/>
        <v>10248.6671669808</v>
      </c>
      <c r="EI102" s="354">
        <f t="shared" si="294"/>
        <v>0.34615349043219446</v>
      </c>
      <c r="EJ102" s="326"/>
      <c r="EK102" s="348">
        <f t="shared" si="295"/>
        <v>12160.60872175357</v>
      </c>
      <c r="EL102" s="348">
        <f t="shared" si="296"/>
        <v>10248.6671669808</v>
      </c>
      <c r="EM102" s="348">
        <f t="shared" si="297"/>
        <v>12160.60872175357</v>
      </c>
      <c r="EN102" s="348">
        <f t="shared" si="298"/>
        <v>10248.6671669808</v>
      </c>
      <c r="EP102" s="326"/>
      <c r="EQ102" s="326"/>
      <c r="ER102" s="326"/>
      <c r="ES102" s="348">
        <f t="shared" si="299"/>
        <v>466.5650333333333</v>
      </c>
      <c r="ET102" s="348">
        <f t="shared" si="300"/>
        <v>833.60163333333333</v>
      </c>
      <c r="EU102" s="348">
        <f t="shared" si="301"/>
        <v>10884.883416036751</v>
      </c>
      <c r="EV102" s="348">
        <f t="shared" si="302"/>
        <v>9388.7783884214641</v>
      </c>
      <c r="EW102" s="354">
        <f t="shared" si="303"/>
        <v>0.3588501730547366</v>
      </c>
      <c r="EX102" s="326"/>
      <c r="EY102" s="348">
        <f t="shared" si="304"/>
        <v>10884.883416036751</v>
      </c>
      <c r="EZ102" s="348">
        <f t="shared" si="305"/>
        <v>9388.7783884214641</v>
      </c>
      <c r="FA102" s="348">
        <f t="shared" si="306"/>
        <v>10884.883416036751</v>
      </c>
      <c r="FB102" s="348">
        <f t="shared" si="307"/>
        <v>9388.7783884214641</v>
      </c>
      <c r="FD102" s="326"/>
      <c r="FE102" s="326"/>
      <c r="FF102" s="326"/>
      <c r="FG102" s="348">
        <f t="shared" si="308"/>
        <v>432.06</v>
      </c>
      <c r="FH102" s="348">
        <f t="shared" si="309"/>
        <v>671.26169999999991</v>
      </c>
      <c r="FI102" s="348">
        <f t="shared" si="310"/>
        <v>8201.3278509804222</v>
      </c>
      <c r="FJ102" s="348">
        <f t="shared" si="311"/>
        <v>6998.8453518183951</v>
      </c>
      <c r="FK102" s="354">
        <f t="shared" si="312"/>
        <v>0.39159929511039254</v>
      </c>
      <c r="FL102" s="326"/>
      <c r="FM102" s="348">
        <f t="shared" si="313"/>
        <v>8201.3278509804222</v>
      </c>
      <c r="FN102" s="348">
        <f t="shared" si="314"/>
        <v>6998.8453518183951</v>
      </c>
      <c r="FO102" s="348">
        <f t="shared" si="315"/>
        <v>8201.3278509804222</v>
      </c>
      <c r="FP102" s="348">
        <f t="shared" si="316"/>
        <v>6998.8453518183951</v>
      </c>
      <c r="FR102" s="326"/>
      <c r="FS102" s="326"/>
      <c r="FT102" s="326"/>
      <c r="FU102" s="348">
        <f t="shared" si="317"/>
        <v>390.16669999999999</v>
      </c>
      <c r="FV102" s="348">
        <f t="shared" si="318"/>
        <v>639.68499999999995</v>
      </c>
      <c r="FW102" s="349">
        <f t="shared" si="319"/>
        <v>1755.0621691300194</v>
      </c>
      <c r="FX102" s="349">
        <f t="shared" si="320"/>
        <v>1081.2355549421179</v>
      </c>
      <c r="FY102" s="354">
        <f t="shared" si="321"/>
        <v>0.37885716943517211</v>
      </c>
      <c r="FZ102" s="326"/>
      <c r="GA102" s="349">
        <f t="shared" si="322"/>
        <v>1755.0621691300194</v>
      </c>
      <c r="GB102" s="349">
        <f t="shared" si="323"/>
        <v>1081.2355549421179</v>
      </c>
      <c r="GC102" s="349">
        <f t="shared" si="232"/>
        <v>1755.0621691300194</v>
      </c>
      <c r="GD102" s="349">
        <f t="shared" si="233"/>
        <v>1081.2355549421179</v>
      </c>
      <c r="GF102" s="326"/>
      <c r="GG102" s="326"/>
      <c r="GH102" s="326"/>
      <c r="GI102" s="348">
        <f t="shared" si="324"/>
        <v>233.88749999999999</v>
      </c>
      <c r="GJ102" s="348">
        <f t="shared" si="325"/>
        <v>400.91579999999999</v>
      </c>
      <c r="GK102" s="348">
        <f t="shared" si="326"/>
        <v>289.85164302809017</v>
      </c>
      <c r="GL102" s="348">
        <f t="shared" si="327"/>
        <v>224.34458933959741</v>
      </c>
      <c r="GM102" s="354">
        <f t="shared" si="328"/>
        <v>0.36844090129966239</v>
      </c>
      <c r="GN102" s="326"/>
      <c r="GO102" s="348">
        <f t="shared" si="329"/>
        <v>289.85164302809017</v>
      </c>
      <c r="GP102" s="348">
        <f t="shared" si="330"/>
        <v>224.34458933959741</v>
      </c>
      <c r="GQ102" s="348">
        <f t="shared" si="234"/>
        <v>289.85164302809017</v>
      </c>
      <c r="GR102" s="348">
        <f t="shared" si="235"/>
        <v>224.34458933959741</v>
      </c>
    </row>
    <row r="103" spans="1:200" x14ac:dyDescent="0.2">
      <c r="A103" s="320">
        <v>93</v>
      </c>
      <c r="C103" s="350">
        <v>7.2750897671530712</v>
      </c>
      <c r="D103" s="350">
        <v>2.7931056523695608</v>
      </c>
      <c r="E103" s="350">
        <v>0</v>
      </c>
      <c r="F103" s="350">
        <v>258.07416666666666</v>
      </c>
      <c r="G103" s="350">
        <v>479.39833333333326</v>
      </c>
      <c r="H103" s="351">
        <f t="shared" si="236"/>
        <v>7464.2421010990511</v>
      </c>
      <c r="I103" s="351">
        <f t="shared" si="237"/>
        <v>6636.4190300300761</v>
      </c>
      <c r="J103" s="352">
        <f t="shared" si="238"/>
        <v>0</v>
      </c>
      <c r="K103" s="352">
        <f t="shared" si="239"/>
        <v>0</v>
      </c>
      <c r="L103" s="353">
        <f t="shared" si="240"/>
        <v>7464.2421010990511</v>
      </c>
      <c r="M103" s="353">
        <f t="shared" si="241"/>
        <v>6636.4190300300761</v>
      </c>
      <c r="N103" s="343">
        <f t="shared" si="331"/>
        <v>7464.2421010990511</v>
      </c>
      <c r="O103" s="343">
        <f t="shared" si="332"/>
        <v>6636.4190300300761</v>
      </c>
      <c r="Q103" s="350">
        <v>9.7687660759246793</v>
      </c>
      <c r="R103" s="350">
        <v>3.4946063331064128</v>
      </c>
      <c r="S103" s="350">
        <v>0</v>
      </c>
      <c r="T103" s="350">
        <v>24.921666666666667</v>
      </c>
      <c r="U103" s="350">
        <v>23.891666666666666</v>
      </c>
      <c r="V103" s="351">
        <f t="shared" si="242"/>
        <v>6877.2113174509741</v>
      </c>
      <c r="W103" s="351">
        <f t="shared" si="243"/>
        <v>5863.9494269525603</v>
      </c>
      <c r="X103" s="352">
        <f t="shared" si="244"/>
        <v>0</v>
      </c>
      <c r="Y103" s="352">
        <f t="shared" si="245"/>
        <v>0</v>
      </c>
      <c r="Z103" s="353">
        <f t="shared" si="246"/>
        <v>6877.2113174509741</v>
      </c>
      <c r="AA103" s="353">
        <f t="shared" si="247"/>
        <v>5863.9494269525603</v>
      </c>
      <c r="AB103" s="343">
        <f t="shared" si="333"/>
        <v>6877.2113174509741</v>
      </c>
      <c r="AC103" s="343">
        <f t="shared" si="334"/>
        <v>5863.9494269525603</v>
      </c>
      <c r="AE103" s="350">
        <v>15.318989972362377</v>
      </c>
      <c r="AF103" s="350">
        <v>5.9975852801508962</v>
      </c>
      <c r="AG103" s="350">
        <v>0</v>
      </c>
      <c r="AH103" s="350">
        <v>5.75</v>
      </c>
      <c r="AI103" s="350">
        <v>11</v>
      </c>
      <c r="AJ103" s="351">
        <f t="shared" si="248"/>
        <v>5453.5604301610065</v>
      </c>
      <c r="AK103" s="351">
        <f t="shared" si="249"/>
        <v>4594.1503245955864</v>
      </c>
      <c r="AL103" s="352">
        <f t="shared" si="250"/>
        <v>0</v>
      </c>
      <c r="AM103" s="352">
        <f t="shared" si="251"/>
        <v>0</v>
      </c>
      <c r="AN103" s="353">
        <f t="shared" si="252"/>
        <v>5453.5604301610065</v>
      </c>
      <c r="AO103" s="353">
        <f t="shared" si="253"/>
        <v>4594.1503245955864</v>
      </c>
      <c r="AP103" s="343">
        <f t="shared" si="335"/>
        <v>5453.5604301610065</v>
      </c>
      <c r="AQ103" s="343">
        <f t="shared" si="336"/>
        <v>4594.1503245955864</v>
      </c>
      <c r="AS103" s="350">
        <v>18.084399999999999</v>
      </c>
      <c r="AT103" s="350">
        <v>6.8915932557205304</v>
      </c>
      <c r="AU103" s="350">
        <v>0</v>
      </c>
      <c r="AV103" s="350">
        <v>104.77500000000001</v>
      </c>
      <c r="AW103" s="350">
        <v>203.04</v>
      </c>
      <c r="AX103" s="351">
        <f t="shared" si="254"/>
        <v>4557.2687999999998</v>
      </c>
      <c r="AY103" s="351">
        <f t="shared" si="255"/>
        <v>3452.6882211159859</v>
      </c>
      <c r="AZ103" s="352">
        <f t="shared" si="256"/>
        <v>0</v>
      </c>
      <c r="BA103" s="352">
        <f t="shared" si="257"/>
        <v>0</v>
      </c>
      <c r="BB103" s="353">
        <f t="shared" si="258"/>
        <v>4557.2687999999998</v>
      </c>
      <c r="BC103" s="353">
        <f t="shared" si="259"/>
        <v>3452.6882211159859</v>
      </c>
      <c r="BD103" s="343">
        <f t="shared" si="337"/>
        <v>4557.2687999999998</v>
      </c>
      <c r="BE103" s="343">
        <f t="shared" si="338"/>
        <v>3452.6882211159859</v>
      </c>
      <c r="BG103" s="350">
        <v>16.231575393062741</v>
      </c>
      <c r="BH103" s="350">
        <v>7.0167554331577158</v>
      </c>
      <c r="BI103" s="350">
        <v>0</v>
      </c>
      <c r="BJ103" s="350">
        <v>103.77500000000001</v>
      </c>
      <c r="BK103" s="350">
        <v>203.95670000000001</v>
      </c>
      <c r="BL103" s="351">
        <f t="shared" si="260"/>
        <v>3846.8833681558694</v>
      </c>
      <c r="BM103" s="351">
        <f t="shared" si="261"/>
        <v>3382.076118782019</v>
      </c>
      <c r="BN103" s="352">
        <f t="shared" si="262"/>
        <v>0</v>
      </c>
      <c r="BO103" s="352">
        <f t="shared" si="263"/>
        <v>0</v>
      </c>
      <c r="BP103" s="353">
        <f t="shared" si="264"/>
        <v>3846.8833681558694</v>
      </c>
      <c r="BQ103" s="353">
        <f t="shared" si="265"/>
        <v>3382.076118782019</v>
      </c>
      <c r="BR103" s="343">
        <f t="shared" si="339"/>
        <v>3846.8833681558694</v>
      </c>
      <c r="BS103" s="343">
        <f t="shared" si="340"/>
        <v>3382.076118782019</v>
      </c>
      <c r="BU103" s="350">
        <v>14.274734742795973</v>
      </c>
      <c r="BV103" s="350">
        <v>7.337029705270389</v>
      </c>
      <c r="BW103" s="350">
        <v>0</v>
      </c>
      <c r="BX103" s="350">
        <v>112.25830000000001</v>
      </c>
      <c r="BY103" s="350">
        <v>179.79329999999999</v>
      </c>
      <c r="BZ103" s="351">
        <f t="shared" si="266"/>
        <v>2598.0017231888669</v>
      </c>
      <c r="CA103" s="351">
        <f t="shared" si="267"/>
        <v>2252.4681195180096</v>
      </c>
      <c r="CB103" s="352">
        <f t="shared" si="268"/>
        <v>0</v>
      </c>
      <c r="CC103" s="352">
        <f t="shared" si="269"/>
        <v>0</v>
      </c>
      <c r="CD103" s="353">
        <f t="shared" si="270"/>
        <v>2598.0017231888669</v>
      </c>
      <c r="CE103" s="353">
        <f t="shared" si="271"/>
        <v>2252.4681195180096</v>
      </c>
      <c r="CF103" s="343">
        <f t="shared" si="341"/>
        <v>2598.0017231888669</v>
      </c>
      <c r="CG103" s="343">
        <f t="shared" si="342"/>
        <v>2252.4681195180096</v>
      </c>
      <c r="CI103" s="350">
        <v>0.53868724348890351</v>
      </c>
      <c r="CJ103" s="350">
        <v>0.33721249308268403</v>
      </c>
      <c r="CK103" s="350">
        <v>0</v>
      </c>
      <c r="CL103" s="350">
        <v>87.633300000000006</v>
      </c>
      <c r="CM103" s="350">
        <v>112.0142</v>
      </c>
      <c r="CN103" s="351">
        <f t="shared" si="272"/>
        <v>97.50239107149153</v>
      </c>
      <c r="CO103" s="351">
        <f t="shared" si="273"/>
        <v>76.547235929769272</v>
      </c>
      <c r="CP103" s="352">
        <f t="shared" si="274"/>
        <v>0</v>
      </c>
      <c r="CQ103" s="352">
        <f t="shared" si="275"/>
        <v>0</v>
      </c>
      <c r="CR103" s="353">
        <f t="shared" si="276"/>
        <v>97.50239107149153</v>
      </c>
      <c r="CS103" s="353">
        <f t="shared" si="277"/>
        <v>76.547235929769272</v>
      </c>
      <c r="CT103" s="343">
        <f t="shared" si="343"/>
        <v>97.50239107149153</v>
      </c>
      <c r="CU103" s="343">
        <f t="shared" si="344"/>
        <v>76.547235929769272</v>
      </c>
      <c r="CW103" s="350">
        <v>1.1349581622690221</v>
      </c>
      <c r="CX103" s="350">
        <v>0.61347403975607162</v>
      </c>
      <c r="CY103" s="350">
        <v>0</v>
      </c>
      <c r="CZ103" s="350">
        <v>56.896700000000003</v>
      </c>
      <c r="DA103" s="350">
        <v>79.099199999999996</v>
      </c>
      <c r="DB103" s="351">
        <f t="shared" si="278"/>
        <v>216.77700899338322</v>
      </c>
      <c r="DC103" s="351">
        <f t="shared" si="279"/>
        <v>160.73019841609076</v>
      </c>
      <c r="DD103" s="352">
        <f t="shared" si="280"/>
        <v>0</v>
      </c>
      <c r="DE103" s="352">
        <f t="shared" si="281"/>
        <v>0</v>
      </c>
      <c r="DF103" s="353">
        <f t="shared" si="282"/>
        <v>216.77700899338322</v>
      </c>
      <c r="DG103" s="353">
        <f t="shared" si="283"/>
        <v>160.73019841609076</v>
      </c>
      <c r="DH103" s="343">
        <f t="shared" si="345"/>
        <v>216.77700899338322</v>
      </c>
      <c r="DI103" s="343">
        <f t="shared" si="346"/>
        <v>160.73019841609076</v>
      </c>
      <c r="DK103" s="350">
        <v>2.2669000000000001</v>
      </c>
      <c r="DL103" s="350">
        <v>1.1758</v>
      </c>
      <c r="DM103" s="350">
        <v>0</v>
      </c>
      <c r="DN103" s="350">
        <v>47.416699999999999</v>
      </c>
      <c r="DO103" s="350">
        <v>56.659199999999998</v>
      </c>
      <c r="DP103" s="351">
        <f t="shared" si="284"/>
        <v>217.62240000000003</v>
      </c>
      <c r="DQ103" s="351">
        <f t="shared" si="285"/>
        <v>204.58920000000001</v>
      </c>
      <c r="DR103" s="352">
        <f t="shared" si="286"/>
        <v>0</v>
      </c>
      <c r="DS103" s="352">
        <f t="shared" si="287"/>
        <v>0</v>
      </c>
      <c r="DT103" s="353">
        <f t="shared" si="288"/>
        <v>217.62240000000003</v>
      </c>
      <c r="DU103" s="353">
        <f t="shared" si="289"/>
        <v>204.58920000000001</v>
      </c>
      <c r="DV103" s="343">
        <f t="shared" si="347"/>
        <v>217.62240000000003</v>
      </c>
      <c r="DW103" s="343">
        <f t="shared" si="348"/>
        <v>204.58920000000001</v>
      </c>
      <c r="EB103" s="326"/>
      <c r="EC103" s="326"/>
      <c r="ED103" s="326"/>
      <c r="EE103" s="348">
        <f t="shared" si="290"/>
        <v>507.37916666666666</v>
      </c>
      <c r="EF103" s="348">
        <f t="shared" si="291"/>
        <v>873.55173333333323</v>
      </c>
      <c r="EG103" s="348">
        <f t="shared" si="292"/>
        <v>12292.434899365249</v>
      </c>
      <c r="EH103" s="348">
        <f t="shared" si="293"/>
        <v>10294.238645808704</v>
      </c>
      <c r="EI103" s="354">
        <f t="shared" si="294"/>
        <v>0.36741821525368629</v>
      </c>
      <c r="EJ103" s="326"/>
      <c r="EK103" s="348">
        <f t="shared" si="295"/>
        <v>12292.434899365249</v>
      </c>
      <c r="EL103" s="348">
        <f t="shared" si="296"/>
        <v>10294.238645808704</v>
      </c>
      <c r="EM103" s="348">
        <f t="shared" si="297"/>
        <v>12292.434899365249</v>
      </c>
      <c r="EN103" s="348">
        <f t="shared" si="298"/>
        <v>10294.238645808704</v>
      </c>
      <c r="EP103" s="326"/>
      <c r="EQ103" s="326"/>
      <c r="ER103" s="326"/>
      <c r="ES103" s="348">
        <f t="shared" si="299"/>
        <v>273.22666666666669</v>
      </c>
      <c r="ET103" s="348">
        <f t="shared" si="300"/>
        <v>418.96176666666668</v>
      </c>
      <c r="EU103" s="348">
        <f t="shared" si="301"/>
        <v>10973.340982973705</v>
      </c>
      <c r="EV103" s="348">
        <f t="shared" si="302"/>
        <v>9435.0839205556113</v>
      </c>
      <c r="EW103" s="354">
        <f t="shared" si="303"/>
        <v>0.39472873788269508</v>
      </c>
      <c r="EX103" s="326"/>
      <c r="EY103" s="348">
        <f t="shared" si="304"/>
        <v>10973.340982973705</v>
      </c>
      <c r="EZ103" s="348">
        <f t="shared" si="305"/>
        <v>9435.0839205556113</v>
      </c>
      <c r="FA103" s="348">
        <f t="shared" si="306"/>
        <v>10973.340982973705</v>
      </c>
      <c r="FB103" s="348">
        <f t="shared" si="307"/>
        <v>9435.0839205556113</v>
      </c>
      <c r="FD103" s="326"/>
      <c r="FE103" s="326"/>
      <c r="FF103" s="326"/>
      <c r="FG103" s="348">
        <f t="shared" si="308"/>
        <v>253.0583</v>
      </c>
      <c r="FH103" s="348">
        <f t="shared" si="309"/>
        <v>359.4667</v>
      </c>
      <c r="FI103" s="348">
        <f t="shared" si="310"/>
        <v>8279.6379844213643</v>
      </c>
      <c r="FJ103" s="348">
        <f t="shared" si="311"/>
        <v>7045.919200043365</v>
      </c>
      <c r="FK103" s="354">
        <f t="shared" si="312"/>
        <v>0.41313954532468067</v>
      </c>
      <c r="FL103" s="326"/>
      <c r="FM103" s="348">
        <f t="shared" si="313"/>
        <v>8279.6379844213643</v>
      </c>
      <c r="FN103" s="348">
        <f t="shared" si="314"/>
        <v>7045.919200043365</v>
      </c>
      <c r="FO103" s="348">
        <f t="shared" si="315"/>
        <v>8279.6379844213643</v>
      </c>
      <c r="FP103" s="348">
        <f t="shared" si="316"/>
        <v>7045.919200043365</v>
      </c>
      <c r="FR103" s="326"/>
      <c r="FS103" s="326"/>
      <c r="FT103" s="326"/>
      <c r="FU103" s="348">
        <f t="shared" si="317"/>
        <v>217.0333</v>
      </c>
      <c r="FV103" s="348">
        <f t="shared" si="318"/>
        <v>382.83330000000001</v>
      </c>
      <c r="FW103" s="349">
        <f t="shared" si="319"/>
        <v>1763.3403691300198</v>
      </c>
      <c r="FX103" s="349">
        <f t="shared" si="320"/>
        <v>1080.1980914381786</v>
      </c>
      <c r="FY103" s="354">
        <f t="shared" si="321"/>
        <v>0.36180260744638887</v>
      </c>
      <c r="FZ103" s="326"/>
      <c r="GA103" s="349">
        <f t="shared" si="322"/>
        <v>1763.3403691300198</v>
      </c>
      <c r="GB103" s="349">
        <f t="shared" si="323"/>
        <v>1080.1980914381786</v>
      </c>
      <c r="GC103" s="349">
        <f t="shared" si="232"/>
        <v>1763.3403691300198</v>
      </c>
      <c r="GD103" s="349">
        <f t="shared" si="233"/>
        <v>1080.1980914381786</v>
      </c>
      <c r="GF103" s="326"/>
      <c r="GG103" s="326"/>
      <c r="GH103" s="326"/>
      <c r="GI103" s="348">
        <f t="shared" si="324"/>
        <v>144.53</v>
      </c>
      <c r="GJ103" s="348">
        <f t="shared" si="325"/>
        <v>191.11340000000001</v>
      </c>
      <c r="GK103" s="348">
        <f t="shared" si="326"/>
        <v>270.92399826619811</v>
      </c>
      <c r="GL103" s="348">
        <f t="shared" si="327"/>
        <v>205.1313946626419</v>
      </c>
      <c r="GM103" s="354">
        <f t="shared" si="328"/>
        <v>0.43060581557688898</v>
      </c>
      <c r="GN103" s="326"/>
      <c r="GO103" s="348">
        <f t="shared" si="329"/>
        <v>270.92399826619811</v>
      </c>
      <c r="GP103" s="348">
        <f t="shared" si="330"/>
        <v>205.1313946626419</v>
      </c>
      <c r="GQ103" s="348">
        <f t="shared" si="234"/>
        <v>270.92399826619811</v>
      </c>
      <c r="GR103" s="348">
        <f t="shared" si="235"/>
        <v>205.1313946626419</v>
      </c>
    </row>
    <row r="104" spans="1:200" x14ac:dyDescent="0.2">
      <c r="A104" s="320">
        <v>94</v>
      </c>
      <c r="C104" s="350">
        <v>7.4130166982819254</v>
      </c>
      <c r="D104" s="350">
        <v>2.8201343851230902</v>
      </c>
      <c r="E104" s="350">
        <v>0</v>
      </c>
      <c r="F104" s="350">
        <v>155.995</v>
      </c>
      <c r="G104" s="350">
        <v>230.9325</v>
      </c>
      <c r="H104" s="351">
        <f t="shared" si="236"/>
        <v>7605.7551324372553</v>
      </c>
      <c r="I104" s="351">
        <f t="shared" si="237"/>
        <v>6700.6392990524628</v>
      </c>
      <c r="J104" s="352">
        <f t="shared" si="238"/>
        <v>0</v>
      </c>
      <c r="K104" s="352">
        <f t="shared" si="239"/>
        <v>0</v>
      </c>
      <c r="L104" s="353">
        <f t="shared" si="240"/>
        <v>7605.7551324372553</v>
      </c>
      <c r="M104" s="353">
        <f t="shared" si="241"/>
        <v>6700.6392990524628</v>
      </c>
      <c r="N104" s="343">
        <f t="shared" si="331"/>
        <v>7605.7551324372553</v>
      </c>
      <c r="O104" s="343">
        <f t="shared" si="332"/>
        <v>6700.6392990524628</v>
      </c>
      <c r="Q104" s="350">
        <v>9.9173651445268955</v>
      </c>
      <c r="R104" s="350">
        <v>3.5325938035198301</v>
      </c>
      <c r="S104" s="350">
        <v>0</v>
      </c>
      <c r="T104" s="350">
        <v>10.125833333333334</v>
      </c>
      <c r="U104" s="350">
        <v>9.2458333333333318</v>
      </c>
      <c r="V104" s="351">
        <f t="shared" si="242"/>
        <v>6981.8250617469348</v>
      </c>
      <c r="W104" s="351">
        <f t="shared" si="243"/>
        <v>5927.6924023062747</v>
      </c>
      <c r="X104" s="352">
        <f t="shared" si="244"/>
        <v>0</v>
      </c>
      <c r="Y104" s="352">
        <f t="shared" si="245"/>
        <v>0</v>
      </c>
      <c r="Z104" s="353">
        <f t="shared" si="246"/>
        <v>6981.8250617469348</v>
      </c>
      <c r="AA104" s="353">
        <f t="shared" si="247"/>
        <v>5927.6924023062747</v>
      </c>
      <c r="AB104" s="343">
        <f t="shared" si="333"/>
        <v>6981.8250617469348</v>
      </c>
      <c r="AC104" s="343">
        <f t="shared" si="334"/>
        <v>5927.6924023062747</v>
      </c>
      <c r="AE104" s="350">
        <v>15.57029014506727</v>
      </c>
      <c r="AF104" s="350">
        <v>6.0714345103284302</v>
      </c>
      <c r="AG104" s="350">
        <v>0</v>
      </c>
      <c r="AH104" s="350">
        <v>4</v>
      </c>
      <c r="AI104" s="350">
        <v>8.8333333333333321</v>
      </c>
      <c r="AJ104" s="351">
        <f t="shared" si="248"/>
        <v>5543.0232916439481</v>
      </c>
      <c r="AK104" s="351">
        <f t="shared" si="249"/>
        <v>4650.7188349115777</v>
      </c>
      <c r="AL104" s="352">
        <f t="shared" si="250"/>
        <v>0</v>
      </c>
      <c r="AM104" s="352">
        <f t="shared" si="251"/>
        <v>0</v>
      </c>
      <c r="AN104" s="353">
        <f t="shared" si="252"/>
        <v>5543.0232916439481</v>
      </c>
      <c r="AO104" s="353">
        <f t="shared" si="253"/>
        <v>4650.7188349115777</v>
      </c>
      <c r="AP104" s="343">
        <f t="shared" si="335"/>
        <v>5543.0232916439481</v>
      </c>
      <c r="AQ104" s="343">
        <f t="shared" si="336"/>
        <v>4650.7188349115777</v>
      </c>
      <c r="AS104" s="350">
        <v>18.111000000000001</v>
      </c>
      <c r="AT104" s="350">
        <v>6.8915932557205304</v>
      </c>
      <c r="AU104" s="350">
        <v>0</v>
      </c>
      <c r="AV104" s="350">
        <v>66.558300000000003</v>
      </c>
      <c r="AW104" s="350">
        <v>101.02330000000001</v>
      </c>
      <c r="AX104" s="351">
        <f t="shared" si="254"/>
        <v>4563.9719999999998</v>
      </c>
      <c r="AY104" s="351">
        <f t="shared" si="255"/>
        <v>3452.6882211159859</v>
      </c>
      <c r="AZ104" s="352">
        <f t="shared" si="256"/>
        <v>0</v>
      </c>
      <c r="BA104" s="352">
        <f t="shared" si="257"/>
        <v>0</v>
      </c>
      <c r="BB104" s="353">
        <f t="shared" si="258"/>
        <v>4563.9719999999998</v>
      </c>
      <c r="BC104" s="353">
        <f t="shared" si="259"/>
        <v>3452.6882211159859</v>
      </c>
      <c r="BD104" s="343">
        <f t="shared" si="337"/>
        <v>4563.9719999999998</v>
      </c>
      <c r="BE104" s="343">
        <f t="shared" si="338"/>
        <v>3452.6882211159859</v>
      </c>
      <c r="BG104" s="350">
        <v>16.232738534375869</v>
      </c>
      <c r="BH104" s="350">
        <v>7.0167554331577158</v>
      </c>
      <c r="BI104" s="350">
        <v>0</v>
      </c>
      <c r="BJ104" s="350">
        <v>66.558300000000003</v>
      </c>
      <c r="BK104" s="350">
        <v>101.02330000000001</v>
      </c>
      <c r="BL104" s="351">
        <f t="shared" si="260"/>
        <v>3847.1590326470809</v>
      </c>
      <c r="BM104" s="351">
        <f t="shared" si="261"/>
        <v>3382.076118782019</v>
      </c>
      <c r="BN104" s="352">
        <f t="shared" si="262"/>
        <v>0</v>
      </c>
      <c r="BO104" s="352">
        <f t="shared" si="263"/>
        <v>0</v>
      </c>
      <c r="BP104" s="353">
        <f t="shared" si="264"/>
        <v>3847.1590326470809</v>
      </c>
      <c r="BQ104" s="353">
        <f t="shared" si="265"/>
        <v>3382.076118782019</v>
      </c>
      <c r="BR104" s="343">
        <f t="shared" si="339"/>
        <v>3847.1590326470809</v>
      </c>
      <c r="BS104" s="343">
        <f t="shared" si="340"/>
        <v>3382.076118782019</v>
      </c>
      <c r="BU104" s="350">
        <v>14.274734742795973</v>
      </c>
      <c r="BV104" s="350">
        <v>7.339195647520917</v>
      </c>
      <c r="BW104" s="350">
        <v>0</v>
      </c>
      <c r="BX104" s="350">
        <v>74.765799999999999</v>
      </c>
      <c r="BY104" s="350">
        <v>73.938299999999998</v>
      </c>
      <c r="BZ104" s="351">
        <f t="shared" si="266"/>
        <v>2598.0017231888669</v>
      </c>
      <c r="CA104" s="351">
        <f t="shared" si="267"/>
        <v>2253.1330637889214</v>
      </c>
      <c r="CB104" s="352">
        <f t="shared" si="268"/>
        <v>0</v>
      </c>
      <c r="CC104" s="352">
        <f t="shared" si="269"/>
        <v>0</v>
      </c>
      <c r="CD104" s="353">
        <f t="shared" si="270"/>
        <v>2598.0017231888669</v>
      </c>
      <c r="CE104" s="353">
        <f t="shared" si="271"/>
        <v>2253.1330637889214</v>
      </c>
      <c r="CF104" s="343">
        <f t="shared" si="341"/>
        <v>2598.0017231888669</v>
      </c>
      <c r="CG104" s="343">
        <f t="shared" si="342"/>
        <v>2253.1330637889214</v>
      </c>
      <c r="CI104" s="350">
        <v>0.51434057639041075</v>
      </c>
      <c r="CJ104" s="350">
        <v>0.31546151321179022</v>
      </c>
      <c r="CK104" s="350">
        <v>0</v>
      </c>
      <c r="CL104" s="350">
        <v>59.871699999999997</v>
      </c>
      <c r="CM104" s="350">
        <v>94.165000000000006</v>
      </c>
      <c r="CN104" s="351">
        <f t="shared" si="272"/>
        <v>93.095644326664342</v>
      </c>
      <c r="CO104" s="351">
        <f t="shared" si="273"/>
        <v>71.609763499076379</v>
      </c>
      <c r="CP104" s="352">
        <f t="shared" si="274"/>
        <v>0</v>
      </c>
      <c r="CQ104" s="352">
        <f t="shared" si="275"/>
        <v>0</v>
      </c>
      <c r="CR104" s="353">
        <f t="shared" si="276"/>
        <v>93.095644326664342</v>
      </c>
      <c r="CS104" s="353">
        <f t="shared" si="277"/>
        <v>71.609763499076379</v>
      </c>
      <c r="CT104" s="343">
        <f t="shared" si="343"/>
        <v>93.095644326664342</v>
      </c>
      <c r="CU104" s="343">
        <f t="shared" si="344"/>
        <v>71.609763499076379</v>
      </c>
      <c r="CW104" s="350">
        <v>1.0401607199555249</v>
      </c>
      <c r="CX104" s="350">
        <v>0.54632176163298207</v>
      </c>
      <c r="CY104" s="350">
        <v>0</v>
      </c>
      <c r="CZ104" s="350">
        <v>31.032499999999999</v>
      </c>
      <c r="DA104" s="350">
        <v>64.083299999999994</v>
      </c>
      <c r="DB104" s="351">
        <f t="shared" si="278"/>
        <v>198.67069751150527</v>
      </c>
      <c r="DC104" s="351">
        <f t="shared" si="279"/>
        <v>143.1363015478413</v>
      </c>
      <c r="DD104" s="352">
        <f t="shared" si="280"/>
        <v>0</v>
      </c>
      <c r="DE104" s="352">
        <f t="shared" si="281"/>
        <v>0</v>
      </c>
      <c r="DF104" s="353">
        <f t="shared" si="282"/>
        <v>198.67069751150527</v>
      </c>
      <c r="DG104" s="353">
        <f t="shared" si="283"/>
        <v>143.1363015478413</v>
      </c>
      <c r="DH104" s="343">
        <f t="shared" si="345"/>
        <v>198.67069751150527</v>
      </c>
      <c r="DI104" s="343">
        <f t="shared" si="346"/>
        <v>143.1363015478413</v>
      </c>
      <c r="DK104" s="350">
        <v>2.1427</v>
      </c>
      <c r="DL104" s="350">
        <v>1.1052999999999999</v>
      </c>
      <c r="DM104" s="350">
        <v>0</v>
      </c>
      <c r="DN104" s="350">
        <v>34</v>
      </c>
      <c r="DO104" s="350">
        <v>42.75</v>
      </c>
      <c r="DP104" s="351">
        <f t="shared" si="284"/>
        <v>205.69920000000002</v>
      </c>
      <c r="DQ104" s="351">
        <f t="shared" si="285"/>
        <v>192.32219999999998</v>
      </c>
      <c r="DR104" s="352">
        <f t="shared" si="286"/>
        <v>0</v>
      </c>
      <c r="DS104" s="352">
        <f t="shared" si="287"/>
        <v>0</v>
      </c>
      <c r="DT104" s="353">
        <f t="shared" si="288"/>
        <v>205.69920000000002</v>
      </c>
      <c r="DU104" s="353">
        <f t="shared" si="289"/>
        <v>192.32219999999998</v>
      </c>
      <c r="DV104" s="343">
        <f t="shared" si="347"/>
        <v>205.69920000000002</v>
      </c>
      <c r="DW104" s="343">
        <f t="shared" si="348"/>
        <v>192.32219999999998</v>
      </c>
      <c r="EB104" s="326"/>
      <c r="EC104" s="326"/>
      <c r="ED104" s="326"/>
      <c r="EE104" s="348">
        <f t="shared" si="290"/>
        <v>313.45749999999998</v>
      </c>
      <c r="EF104" s="348">
        <f t="shared" si="291"/>
        <v>490.20410000000004</v>
      </c>
      <c r="EG104" s="348">
        <f t="shared" si="292"/>
        <v>12421.759334773124</v>
      </c>
      <c r="EH104" s="348">
        <f t="shared" si="293"/>
        <v>10339.446324905797</v>
      </c>
      <c r="EI104" s="354">
        <f t="shared" si="294"/>
        <v>0.39003667712878154</v>
      </c>
      <c r="EJ104" s="326"/>
      <c r="EK104" s="348">
        <f t="shared" si="295"/>
        <v>12421.759334773124</v>
      </c>
      <c r="EL104" s="348">
        <f t="shared" si="296"/>
        <v>10339.446324905797</v>
      </c>
      <c r="EM104" s="348">
        <f t="shared" si="297"/>
        <v>12421.759334773124</v>
      </c>
      <c r="EN104" s="348">
        <f t="shared" si="298"/>
        <v>10339.446324905797</v>
      </c>
      <c r="EP104" s="326"/>
      <c r="EQ104" s="326"/>
      <c r="ER104" s="326"/>
      <c r="ES104" s="348">
        <f t="shared" si="299"/>
        <v>167.58833333333334</v>
      </c>
      <c r="ET104" s="348">
        <f t="shared" si="300"/>
        <v>268.51743333333337</v>
      </c>
      <c r="EU104" s="348">
        <f t="shared" si="301"/>
        <v>11061.149226978734</v>
      </c>
      <c r="EV104" s="348">
        <f t="shared" si="302"/>
        <v>9481.5736956708588</v>
      </c>
      <c r="EW104" s="354">
        <f t="shared" si="303"/>
        <v>0.38428369020267483</v>
      </c>
      <c r="EX104" s="326"/>
      <c r="EY104" s="348">
        <f t="shared" si="304"/>
        <v>11061.149226978734</v>
      </c>
      <c r="EZ104" s="348">
        <f t="shared" si="305"/>
        <v>9481.5736956708588</v>
      </c>
      <c r="FA104" s="348">
        <f t="shared" si="306"/>
        <v>11061.149226978734</v>
      </c>
      <c r="FB104" s="348">
        <f t="shared" si="307"/>
        <v>9481.5736956708588</v>
      </c>
      <c r="FD104" s="326"/>
      <c r="FE104" s="326"/>
      <c r="FF104" s="326"/>
      <c r="FG104" s="348">
        <f t="shared" si="308"/>
        <v>172.63749999999999</v>
      </c>
      <c r="FH104" s="348">
        <f t="shared" si="309"/>
        <v>219.68663333333333</v>
      </c>
      <c r="FI104" s="348">
        <f t="shared" si="310"/>
        <v>8357.5401791594795</v>
      </c>
      <c r="FJ104" s="348">
        <f t="shared" si="311"/>
        <v>7090.8549821995757</v>
      </c>
      <c r="FK104" s="354">
        <f t="shared" si="312"/>
        <v>0.44003793122081708</v>
      </c>
      <c r="FL104" s="326"/>
      <c r="FM104" s="348">
        <f t="shared" si="313"/>
        <v>8357.5401791594795</v>
      </c>
      <c r="FN104" s="348">
        <f t="shared" si="314"/>
        <v>7090.8549821995757</v>
      </c>
      <c r="FO104" s="348">
        <f t="shared" si="315"/>
        <v>8357.5401791594795</v>
      </c>
      <c r="FP104" s="348">
        <f t="shared" si="316"/>
        <v>7090.8549821995757</v>
      </c>
      <c r="FR104" s="326"/>
      <c r="FS104" s="326"/>
      <c r="FT104" s="326"/>
      <c r="FU104" s="348">
        <f t="shared" si="317"/>
        <v>141.32409999999999</v>
      </c>
      <c r="FV104" s="348">
        <f t="shared" si="318"/>
        <v>174.9616</v>
      </c>
      <c r="FW104" s="349">
        <f t="shared" si="319"/>
        <v>1769.3732491300195</v>
      </c>
      <c r="FX104" s="349">
        <f t="shared" si="320"/>
        <v>1079.5996415943582</v>
      </c>
      <c r="FY104" s="354">
        <f t="shared" si="321"/>
        <v>0.4468241845900715</v>
      </c>
      <c r="FZ104" s="326"/>
      <c r="GA104" s="349">
        <f t="shared" si="322"/>
        <v>1769.3732491300195</v>
      </c>
      <c r="GB104" s="349">
        <f t="shared" si="323"/>
        <v>1079.5996415943582</v>
      </c>
      <c r="GC104" s="349">
        <f t="shared" si="232"/>
        <v>1769.3732491300195</v>
      </c>
      <c r="GD104" s="349">
        <f t="shared" si="233"/>
        <v>1079.5996415943582</v>
      </c>
      <c r="GF104" s="326"/>
      <c r="GG104" s="326"/>
      <c r="GH104" s="326"/>
      <c r="GI104" s="348">
        <f t="shared" si="324"/>
        <v>90.904200000000003</v>
      </c>
      <c r="GJ104" s="348">
        <f t="shared" si="325"/>
        <v>158.2483</v>
      </c>
      <c r="GK104" s="348">
        <f t="shared" si="326"/>
        <v>252.03220233586856</v>
      </c>
      <c r="GL104" s="348">
        <f t="shared" si="327"/>
        <v>186.11880473734942</v>
      </c>
      <c r="GM104" s="354">
        <f t="shared" si="328"/>
        <v>0.36485365388667584</v>
      </c>
      <c r="GN104" s="326"/>
      <c r="GO104" s="348">
        <f t="shared" si="329"/>
        <v>252.03220233586856</v>
      </c>
      <c r="GP104" s="348">
        <f t="shared" si="330"/>
        <v>186.11880473734942</v>
      </c>
      <c r="GQ104" s="348">
        <f t="shared" si="234"/>
        <v>252.03220233586856</v>
      </c>
      <c r="GR104" s="348">
        <f t="shared" si="235"/>
        <v>186.11880473734942</v>
      </c>
    </row>
    <row r="105" spans="1:200" x14ac:dyDescent="0.2">
      <c r="A105" s="320">
        <v>95</v>
      </c>
      <c r="C105" s="350">
        <v>7.5509144403644779</v>
      </c>
      <c r="D105" s="350">
        <v>2.8470045383095104</v>
      </c>
      <c r="E105" s="350">
        <v>0</v>
      </c>
      <c r="F105" s="350">
        <v>101.95333333333335</v>
      </c>
      <c r="G105" s="350">
        <v>189.49250000000001</v>
      </c>
      <c r="H105" s="351">
        <f t="shared" si="236"/>
        <v>7747.2382158139544</v>
      </c>
      <c r="I105" s="351">
        <f t="shared" si="237"/>
        <v>6764.4827830233971</v>
      </c>
      <c r="J105" s="352">
        <f t="shared" si="238"/>
        <v>0</v>
      </c>
      <c r="K105" s="352">
        <f t="shared" si="239"/>
        <v>0</v>
      </c>
      <c r="L105" s="353">
        <f t="shared" si="240"/>
        <v>7747.2382158139544</v>
      </c>
      <c r="M105" s="353">
        <f t="shared" si="241"/>
        <v>6764.4827830233971</v>
      </c>
      <c r="N105" s="343">
        <f t="shared" si="331"/>
        <v>7747.2382158139544</v>
      </c>
      <c r="O105" s="343">
        <f t="shared" si="332"/>
        <v>6764.4827830233971</v>
      </c>
      <c r="Q105" s="350">
        <v>10.064977314395204</v>
      </c>
      <c r="R105" s="350">
        <v>3.5706401584490588</v>
      </c>
      <c r="S105" s="350">
        <v>0</v>
      </c>
      <c r="T105" s="350">
        <v>8.6150000000000002</v>
      </c>
      <c r="U105" s="350">
        <v>14.833333333333332</v>
      </c>
      <c r="V105" s="351">
        <f t="shared" si="242"/>
        <v>7085.7440293342233</v>
      </c>
      <c r="W105" s="351">
        <f t="shared" si="243"/>
        <v>5991.5341858775209</v>
      </c>
      <c r="X105" s="352">
        <f t="shared" si="244"/>
        <v>0</v>
      </c>
      <c r="Y105" s="352">
        <f t="shared" si="245"/>
        <v>0</v>
      </c>
      <c r="Z105" s="353">
        <f t="shared" si="246"/>
        <v>7085.7440293342233</v>
      </c>
      <c r="AA105" s="353">
        <f t="shared" si="247"/>
        <v>5991.5341858775209</v>
      </c>
      <c r="AB105" s="343">
        <f t="shared" si="333"/>
        <v>7085.7440293342233</v>
      </c>
      <c r="AC105" s="343">
        <f t="shared" si="334"/>
        <v>5991.5341858775209</v>
      </c>
      <c r="AE105" s="350">
        <v>15.820625494570599</v>
      </c>
      <c r="AF105" s="350">
        <v>6.1434993589280333</v>
      </c>
      <c r="AG105" s="350">
        <v>0</v>
      </c>
      <c r="AH105" s="350">
        <v>2.75</v>
      </c>
      <c r="AI105" s="350">
        <v>5</v>
      </c>
      <c r="AJ105" s="351">
        <f t="shared" si="248"/>
        <v>5632.1426760671329</v>
      </c>
      <c r="AK105" s="351">
        <f t="shared" si="249"/>
        <v>4705.9205089388734</v>
      </c>
      <c r="AL105" s="352">
        <f t="shared" si="250"/>
        <v>0</v>
      </c>
      <c r="AM105" s="352">
        <f t="shared" si="251"/>
        <v>0</v>
      </c>
      <c r="AN105" s="353">
        <f t="shared" si="252"/>
        <v>5632.1426760671329</v>
      </c>
      <c r="AO105" s="353">
        <f t="shared" si="253"/>
        <v>4705.9205089388734</v>
      </c>
      <c r="AP105" s="343">
        <f t="shared" si="335"/>
        <v>5632.1426760671329</v>
      </c>
      <c r="AQ105" s="343">
        <f t="shared" si="336"/>
        <v>4705.9205089388734</v>
      </c>
      <c r="AS105" s="350">
        <v>18.131</v>
      </c>
      <c r="AT105" s="350">
        <v>6.8915932557205304</v>
      </c>
      <c r="AU105" s="350">
        <v>0</v>
      </c>
      <c r="AV105" s="350">
        <v>42.614199999999997</v>
      </c>
      <c r="AW105" s="350">
        <v>91.258300000000006</v>
      </c>
      <c r="AX105" s="351">
        <f t="shared" si="254"/>
        <v>4569.0119999999997</v>
      </c>
      <c r="AY105" s="351">
        <f t="shared" si="255"/>
        <v>3452.6882211159859</v>
      </c>
      <c r="AZ105" s="352">
        <f t="shared" si="256"/>
        <v>0</v>
      </c>
      <c r="BA105" s="352">
        <f t="shared" si="257"/>
        <v>0</v>
      </c>
      <c r="BB105" s="353">
        <f t="shared" si="258"/>
        <v>4569.0119999999997</v>
      </c>
      <c r="BC105" s="353">
        <f t="shared" si="259"/>
        <v>3452.6882211159859</v>
      </c>
      <c r="BD105" s="343">
        <f t="shared" si="337"/>
        <v>4569.0119999999997</v>
      </c>
      <c r="BE105" s="343">
        <f t="shared" si="338"/>
        <v>3452.6882211159859</v>
      </c>
      <c r="BG105" s="350">
        <v>16.235694954949313</v>
      </c>
      <c r="BH105" s="350">
        <v>7.0167554331577158</v>
      </c>
      <c r="BI105" s="350">
        <v>0</v>
      </c>
      <c r="BJ105" s="350">
        <v>42.614199999999997</v>
      </c>
      <c r="BK105" s="350">
        <v>91.258300000000006</v>
      </c>
      <c r="BL105" s="351">
        <f t="shared" si="260"/>
        <v>3847.859704322987</v>
      </c>
      <c r="BM105" s="351">
        <f t="shared" si="261"/>
        <v>3382.076118782019</v>
      </c>
      <c r="BN105" s="352">
        <f t="shared" si="262"/>
        <v>0</v>
      </c>
      <c r="BO105" s="352">
        <f t="shared" si="263"/>
        <v>0</v>
      </c>
      <c r="BP105" s="353">
        <f t="shared" si="264"/>
        <v>3847.859704322987</v>
      </c>
      <c r="BQ105" s="353">
        <f t="shared" si="265"/>
        <v>3382.076118782019</v>
      </c>
      <c r="BR105" s="343">
        <f t="shared" si="339"/>
        <v>3847.859704322987</v>
      </c>
      <c r="BS105" s="343">
        <f t="shared" si="340"/>
        <v>3382.076118782019</v>
      </c>
      <c r="BU105" s="350">
        <v>14.274734742795973</v>
      </c>
      <c r="BV105" s="350">
        <v>7.340090211154533</v>
      </c>
      <c r="BW105" s="350">
        <v>0</v>
      </c>
      <c r="BX105" s="350">
        <v>53.059199999999997</v>
      </c>
      <c r="BY105" s="350">
        <v>54.8033</v>
      </c>
      <c r="BZ105" s="351">
        <f t="shared" si="266"/>
        <v>2598.0017231888669</v>
      </c>
      <c r="CA105" s="351">
        <f t="shared" si="267"/>
        <v>2253.4076948244415</v>
      </c>
      <c r="CB105" s="352">
        <f t="shared" si="268"/>
        <v>0</v>
      </c>
      <c r="CC105" s="352">
        <f t="shared" si="269"/>
        <v>0</v>
      </c>
      <c r="CD105" s="353">
        <f t="shared" si="270"/>
        <v>2598.0017231888669</v>
      </c>
      <c r="CE105" s="353">
        <f t="shared" si="271"/>
        <v>2253.4076948244415</v>
      </c>
      <c r="CF105" s="343">
        <f t="shared" si="341"/>
        <v>2598.0017231888669</v>
      </c>
      <c r="CG105" s="343">
        <f t="shared" si="342"/>
        <v>2253.4076948244415</v>
      </c>
      <c r="CI105" s="350">
        <v>0.49020615230286596</v>
      </c>
      <c r="CJ105" s="350">
        <v>0.29399333319414789</v>
      </c>
      <c r="CK105" s="350">
        <v>0</v>
      </c>
      <c r="CL105" s="350">
        <v>32.0092</v>
      </c>
      <c r="CM105" s="350">
        <v>58.096699999999998</v>
      </c>
      <c r="CN105" s="351">
        <f t="shared" si="272"/>
        <v>88.727313566818736</v>
      </c>
      <c r="CO105" s="351">
        <f t="shared" si="273"/>
        <v>66.736486635071572</v>
      </c>
      <c r="CP105" s="352">
        <f t="shared" si="274"/>
        <v>0</v>
      </c>
      <c r="CQ105" s="352">
        <f t="shared" si="275"/>
        <v>0</v>
      </c>
      <c r="CR105" s="353">
        <f t="shared" si="276"/>
        <v>88.727313566818736</v>
      </c>
      <c r="CS105" s="353">
        <f t="shared" si="277"/>
        <v>66.736486635071572</v>
      </c>
      <c r="CT105" s="343">
        <f t="shared" si="343"/>
        <v>88.727313566818736</v>
      </c>
      <c r="CU105" s="343">
        <f t="shared" si="344"/>
        <v>66.736486635071572</v>
      </c>
      <c r="CW105" s="350">
        <v>0.94525742257788226</v>
      </c>
      <c r="CX105" s="350">
        <v>0.47959747010557641</v>
      </c>
      <c r="CY105" s="350">
        <v>0</v>
      </c>
      <c r="CZ105" s="350">
        <v>15.2225</v>
      </c>
      <c r="DA105" s="350">
        <v>40.236699999999999</v>
      </c>
      <c r="DB105" s="351">
        <f t="shared" si="278"/>
        <v>180.5441677123755</v>
      </c>
      <c r="DC105" s="351">
        <f t="shared" si="279"/>
        <v>125.65453716766102</v>
      </c>
      <c r="DD105" s="352">
        <f t="shared" si="280"/>
        <v>0</v>
      </c>
      <c r="DE105" s="352">
        <f t="shared" si="281"/>
        <v>0</v>
      </c>
      <c r="DF105" s="353">
        <f t="shared" si="282"/>
        <v>180.5441677123755</v>
      </c>
      <c r="DG105" s="353">
        <f t="shared" si="283"/>
        <v>125.65453716766102</v>
      </c>
      <c r="DH105" s="343">
        <f t="shared" si="345"/>
        <v>180.5441677123755</v>
      </c>
      <c r="DI105" s="343">
        <f t="shared" si="346"/>
        <v>125.65453716766102</v>
      </c>
      <c r="DK105" s="350">
        <v>2.0182000000000002</v>
      </c>
      <c r="DL105" s="350">
        <v>1.0357000000000001</v>
      </c>
      <c r="DM105" s="350">
        <v>0</v>
      </c>
      <c r="DN105" s="350">
        <v>26.5</v>
      </c>
      <c r="DO105" s="350">
        <v>41.916699999999999</v>
      </c>
      <c r="DP105" s="351">
        <f t="shared" si="284"/>
        <v>193.74720000000002</v>
      </c>
      <c r="DQ105" s="351">
        <f t="shared" si="285"/>
        <v>180.21180000000001</v>
      </c>
      <c r="DR105" s="352">
        <f t="shared" si="286"/>
        <v>0</v>
      </c>
      <c r="DS105" s="352">
        <f t="shared" si="287"/>
        <v>0</v>
      </c>
      <c r="DT105" s="353">
        <f t="shared" si="288"/>
        <v>193.74720000000002</v>
      </c>
      <c r="DU105" s="353">
        <f t="shared" si="289"/>
        <v>180.21180000000001</v>
      </c>
      <c r="DV105" s="343">
        <f t="shared" si="347"/>
        <v>193.74720000000002</v>
      </c>
      <c r="DW105" s="343">
        <f t="shared" si="348"/>
        <v>180.21180000000001</v>
      </c>
      <c r="EB105" s="326"/>
      <c r="EC105" s="326"/>
      <c r="ED105" s="326"/>
      <c r="EE105" s="348">
        <f t="shared" si="290"/>
        <v>191.79923333333335</v>
      </c>
      <c r="EF105" s="348">
        <f t="shared" si="291"/>
        <v>379.08420000000001</v>
      </c>
      <c r="EG105" s="348">
        <f t="shared" si="292"/>
        <v>12549.412863550673</v>
      </c>
      <c r="EH105" s="348">
        <f t="shared" si="293"/>
        <v>10384.431120508583</v>
      </c>
      <c r="EI105" s="354">
        <f t="shared" si="294"/>
        <v>0.33596917012188648</v>
      </c>
      <c r="EJ105" s="326"/>
      <c r="EK105" s="348">
        <f t="shared" si="295"/>
        <v>12549.412863550673</v>
      </c>
      <c r="EL105" s="348">
        <f t="shared" si="296"/>
        <v>10384.431120508583</v>
      </c>
      <c r="EM105" s="348">
        <f t="shared" si="297"/>
        <v>12549.412863550673</v>
      </c>
      <c r="EN105" s="348">
        <f t="shared" si="298"/>
        <v>10384.431120508583</v>
      </c>
      <c r="EP105" s="326"/>
      <c r="EQ105" s="326"/>
      <c r="ER105" s="326"/>
      <c r="ES105" s="348">
        <f t="shared" si="299"/>
        <v>98.460899999999995</v>
      </c>
      <c r="ET105" s="348">
        <f t="shared" si="300"/>
        <v>204.42503333333332</v>
      </c>
      <c r="EU105" s="348">
        <f t="shared" si="301"/>
        <v>11148.711964622691</v>
      </c>
      <c r="EV105" s="348">
        <f t="shared" si="302"/>
        <v>9528.3049673119731</v>
      </c>
      <c r="EW105" s="354">
        <f t="shared" si="303"/>
        <v>0.3250758426329472</v>
      </c>
      <c r="EX105" s="326"/>
      <c r="EY105" s="348">
        <f t="shared" si="304"/>
        <v>11148.711964622691</v>
      </c>
      <c r="EZ105" s="348">
        <f t="shared" si="305"/>
        <v>9528.3049673119731</v>
      </c>
      <c r="FA105" s="348">
        <f t="shared" si="306"/>
        <v>11148.711964622691</v>
      </c>
      <c r="FB105" s="348">
        <f t="shared" si="307"/>
        <v>9528.3049673119731</v>
      </c>
      <c r="FD105" s="326"/>
      <c r="FE105" s="326"/>
      <c r="FF105" s="326"/>
      <c r="FG105" s="348">
        <f t="shared" si="308"/>
        <v>114.3184</v>
      </c>
      <c r="FH105" s="348">
        <f t="shared" si="309"/>
        <v>159.8167</v>
      </c>
      <c r="FI105" s="348">
        <f t="shared" si="310"/>
        <v>8435.1200328228188</v>
      </c>
      <c r="FJ105" s="348">
        <f t="shared" si="311"/>
        <v>7134.1917703983863</v>
      </c>
      <c r="FK105" s="354">
        <f t="shared" si="312"/>
        <v>0.41701482225369901</v>
      </c>
      <c r="FL105" s="326"/>
      <c r="FM105" s="348">
        <f t="shared" si="313"/>
        <v>8435.1200328228188</v>
      </c>
      <c r="FN105" s="348">
        <f t="shared" si="314"/>
        <v>7134.1917703983863</v>
      </c>
      <c r="FO105" s="348">
        <f t="shared" si="315"/>
        <v>8435.1200328228188</v>
      </c>
      <c r="FP105" s="348">
        <f t="shared" si="316"/>
        <v>7134.1917703983863</v>
      </c>
      <c r="FR105" s="326"/>
      <c r="FS105" s="326"/>
      <c r="FT105" s="326"/>
      <c r="FU105" s="348">
        <f t="shared" si="317"/>
        <v>95.673399999999987</v>
      </c>
      <c r="FV105" s="348">
        <f t="shared" si="318"/>
        <v>146.0616</v>
      </c>
      <c r="FW105" s="349">
        <f t="shared" si="319"/>
        <v>1773.9092491300196</v>
      </c>
      <c r="FX105" s="349">
        <f t="shared" si="320"/>
        <v>1079.3524736623901</v>
      </c>
      <c r="FY105" s="354">
        <f t="shared" si="321"/>
        <v>0.39577802138705603</v>
      </c>
      <c r="FZ105" s="326"/>
      <c r="GA105" s="349">
        <f t="shared" si="322"/>
        <v>1773.9092491300196</v>
      </c>
      <c r="GB105" s="349">
        <f t="shared" si="323"/>
        <v>1079.3524736623901</v>
      </c>
      <c r="GC105" s="349">
        <f t="shared" ref="GC105:GC110" si="349" xml:space="preserve"> MAX( 0, BD105 - CF105 ) * GC$8</f>
        <v>1773.9092491300196</v>
      </c>
      <c r="GD105" s="349">
        <f t="shared" ref="GD105:GD110" si="350" xml:space="preserve"> MAX( 0, BE105 - CG105 ) * GD$8</f>
        <v>1079.3524736623901</v>
      </c>
      <c r="GF105" s="326"/>
      <c r="GG105" s="326"/>
      <c r="GH105" s="326"/>
      <c r="GI105" s="348">
        <f t="shared" si="324"/>
        <v>47.231700000000004</v>
      </c>
      <c r="GJ105" s="348">
        <f t="shared" si="325"/>
        <v>98.333399999999997</v>
      </c>
      <c r="GK105" s="348">
        <f t="shared" si="326"/>
        <v>233.16264773671915</v>
      </c>
      <c r="GL105" s="348">
        <f t="shared" si="327"/>
        <v>167.26011636920038</v>
      </c>
      <c r="GM105" s="354">
        <f t="shared" si="328"/>
        <v>0.32447131901808884</v>
      </c>
      <c r="GN105" s="326"/>
      <c r="GO105" s="348">
        <f t="shared" si="329"/>
        <v>233.16264773671915</v>
      </c>
      <c r="GP105" s="348">
        <f t="shared" si="330"/>
        <v>167.26011636920038</v>
      </c>
      <c r="GQ105" s="348">
        <f t="shared" ref="GQ105:GQ110" si="351" xml:space="preserve"> CT105 + GQ$8 * DH105</f>
        <v>233.16264773671915</v>
      </c>
      <c r="GR105" s="348">
        <f t="shared" ref="GR105:GR110" si="352" xml:space="preserve"> CU105 + GR$8 * DI105</f>
        <v>167.26011636920038</v>
      </c>
    </row>
    <row r="106" spans="1:200" x14ac:dyDescent="0.2">
      <c r="A106" s="320">
        <v>96</v>
      </c>
      <c r="C106" s="350">
        <v>7.6887946616362397</v>
      </c>
      <c r="D106" s="350">
        <v>2.8737592422189109</v>
      </c>
      <c r="E106" s="350">
        <v>0</v>
      </c>
      <c r="F106" s="350">
        <v>74.047499999999999</v>
      </c>
      <c r="G106" s="350">
        <v>154.59833333333336</v>
      </c>
      <c r="H106" s="351">
        <f t="shared" si="236"/>
        <v>7888.7033228387818</v>
      </c>
      <c r="I106" s="351">
        <f t="shared" si="237"/>
        <v>6828.0519595121323</v>
      </c>
      <c r="J106" s="352">
        <f t="shared" si="238"/>
        <v>0</v>
      </c>
      <c r="K106" s="352">
        <f xml:space="preserve"> IF(    SUM(H106:I106)=0,    0,   J106 * I106 / SUM(H106:I106)    )</f>
        <v>0</v>
      </c>
      <c r="L106" s="353">
        <f xml:space="preserve"> H106 + K106</f>
        <v>7888.7033228387818</v>
      </c>
      <c r="M106" s="353">
        <f t="shared" si="241"/>
        <v>6828.0519595121323</v>
      </c>
      <c r="N106" s="343">
        <f t="shared" si="331"/>
        <v>7888.7033228387818</v>
      </c>
      <c r="O106" s="343">
        <f t="shared" si="332"/>
        <v>6828.0519595121323</v>
      </c>
      <c r="Q106" s="350">
        <v>10.211620089438401</v>
      </c>
      <c r="R106" s="350">
        <v>3.5970230108294006</v>
      </c>
      <c r="S106" s="350">
        <v>0</v>
      </c>
      <c r="T106" s="350">
        <v>5</v>
      </c>
      <c r="U106" s="350">
        <v>14.136666666666667</v>
      </c>
      <c r="V106" s="351">
        <f t="shared" si="242"/>
        <v>7188.9805429646349</v>
      </c>
      <c r="W106" s="351">
        <f t="shared" si="243"/>
        <v>6035.8046121717343</v>
      </c>
      <c r="X106" s="352">
        <f t="shared" si="244"/>
        <v>0</v>
      </c>
      <c r="Y106" s="352">
        <f xml:space="preserve"> IF(    SUM(V106:W106)=0,    0,   X106 * W106 / SUM(V106:W106)    )</f>
        <v>0</v>
      </c>
      <c r="Z106" s="353">
        <f xml:space="preserve"> V106 + Y106</f>
        <v>7188.9805429646349</v>
      </c>
      <c r="AA106" s="353">
        <f t="shared" si="247"/>
        <v>6035.8046121717343</v>
      </c>
      <c r="AB106" s="343">
        <f t="shared" si="333"/>
        <v>7188.9805429646349</v>
      </c>
      <c r="AC106" s="343">
        <f t="shared" si="334"/>
        <v>6035.8046121717343</v>
      </c>
      <c r="AE106" s="350">
        <v>16.070325793993177</v>
      </c>
      <c r="AF106" s="350">
        <v>6.1941414787358378</v>
      </c>
      <c r="AG106" s="350">
        <v>0</v>
      </c>
      <c r="AH106" s="350">
        <v>1</v>
      </c>
      <c r="AI106" s="350">
        <v>5.333333333333333</v>
      </c>
      <c r="AJ106" s="351">
        <f t="shared" si="248"/>
        <v>5721.0359826615713</v>
      </c>
      <c r="AK106" s="351">
        <f t="shared" si="249"/>
        <v>4744.7123727116514</v>
      </c>
      <c r="AL106" s="352">
        <f t="shared" si="250"/>
        <v>0</v>
      </c>
      <c r="AM106" s="352">
        <f xml:space="preserve"> IF(    SUM(AJ106:AK106)=0,    0,   AL106 * AK106 / SUM(AJ106:AK106)    )</f>
        <v>0</v>
      </c>
      <c r="AN106" s="353">
        <f xml:space="preserve"> AJ106 + AM106</f>
        <v>5721.0359826615713</v>
      </c>
      <c r="AO106" s="353">
        <f t="shared" si="253"/>
        <v>4744.7123727116514</v>
      </c>
      <c r="AP106" s="343">
        <f t="shared" si="335"/>
        <v>5721.0359826615713</v>
      </c>
      <c r="AQ106" s="343">
        <f t="shared" si="336"/>
        <v>4744.7123727116514</v>
      </c>
      <c r="AS106" s="350">
        <v>18.1477</v>
      </c>
      <c r="AT106" s="350">
        <v>6.8915932557205304</v>
      </c>
      <c r="AU106" s="350">
        <v>0</v>
      </c>
      <c r="AV106" s="350">
        <v>24.441700000000001</v>
      </c>
      <c r="AW106" s="350">
        <v>55.699199999999998</v>
      </c>
      <c r="AX106" s="351">
        <f t="shared" si="254"/>
        <v>4573.2204000000002</v>
      </c>
      <c r="AY106" s="351">
        <f t="shared" si="255"/>
        <v>3452.6882211159859</v>
      </c>
      <c r="AZ106" s="352">
        <f t="shared" si="256"/>
        <v>0</v>
      </c>
      <c r="BA106" s="352">
        <f xml:space="preserve"> IF(    SUM(AX106:AY106)=0,    0,   AZ106 * AY106 / SUM(AX106:AY106)    )</f>
        <v>0</v>
      </c>
      <c r="BB106" s="353">
        <f xml:space="preserve"> AX106 + BA106</f>
        <v>4573.2204000000002</v>
      </c>
      <c r="BC106" s="353">
        <f t="shared" si="259"/>
        <v>3452.6882211159859</v>
      </c>
      <c r="BD106" s="343">
        <f t="shared" si="337"/>
        <v>4573.2204000000002</v>
      </c>
      <c r="BE106" s="343">
        <f t="shared" si="338"/>
        <v>3452.6882211159859</v>
      </c>
      <c r="BG106" s="350">
        <v>16.239923090741293</v>
      </c>
      <c r="BH106" s="350">
        <v>7.0167554331577158</v>
      </c>
      <c r="BI106" s="350">
        <v>0</v>
      </c>
      <c r="BJ106" s="350">
        <v>24.441700000000001</v>
      </c>
      <c r="BK106" s="350">
        <v>55.699199999999998</v>
      </c>
      <c r="BL106" s="351">
        <f t="shared" si="260"/>
        <v>3848.8617725056865</v>
      </c>
      <c r="BM106" s="351">
        <f t="shared" si="261"/>
        <v>3382.076118782019</v>
      </c>
      <c r="BN106" s="352">
        <f t="shared" si="262"/>
        <v>0</v>
      </c>
      <c r="BO106" s="352">
        <f xml:space="preserve"> IF(    SUM(BL106:BM106)=0,    0,   BN106 * BM106 / SUM(BL106:BM106)    )</f>
        <v>0</v>
      </c>
      <c r="BP106" s="353">
        <f xml:space="preserve"> BL106 + BO106</f>
        <v>3848.8617725056865</v>
      </c>
      <c r="BQ106" s="353">
        <f t="shared" si="265"/>
        <v>3382.076118782019</v>
      </c>
      <c r="BR106" s="343">
        <f t="shared" si="339"/>
        <v>3848.8617725056865</v>
      </c>
      <c r="BS106" s="343">
        <f t="shared" si="340"/>
        <v>3382.076118782019</v>
      </c>
      <c r="BU106" s="350">
        <v>14.274734742795973</v>
      </c>
      <c r="BV106" s="350">
        <v>7.3400295089420329</v>
      </c>
      <c r="BW106" s="350">
        <v>0</v>
      </c>
      <c r="BX106" s="350">
        <v>33.875</v>
      </c>
      <c r="BY106" s="350">
        <v>45.827500000000001</v>
      </c>
      <c r="BZ106" s="351">
        <f t="shared" si="266"/>
        <v>2598.0017231888669</v>
      </c>
      <c r="CA106" s="351">
        <f t="shared" si="267"/>
        <v>2253.389059245204</v>
      </c>
      <c r="CB106" s="352">
        <f t="shared" si="268"/>
        <v>0</v>
      </c>
      <c r="CC106" s="352">
        <f xml:space="preserve"> IF(    SUM(BZ106:CA106)=0,    0,   CB106 * CA106 / SUM(BZ106:CA106)    )</f>
        <v>0</v>
      </c>
      <c r="CD106" s="353">
        <f xml:space="preserve"> BZ106 + CC106</f>
        <v>2598.0017231888669</v>
      </c>
      <c r="CE106" s="353">
        <f t="shared" si="271"/>
        <v>2253.389059245204</v>
      </c>
      <c r="CF106" s="343">
        <f t="shared" si="341"/>
        <v>2598.0017231888669</v>
      </c>
      <c r="CG106" s="343">
        <f t="shared" si="342"/>
        <v>2253.389059245204</v>
      </c>
      <c r="CI106" s="350">
        <v>0.4661486522363712</v>
      </c>
      <c r="CJ106" s="350">
        <v>0.27268112671455347</v>
      </c>
      <c r="CK106" s="350">
        <v>0</v>
      </c>
      <c r="CL106" s="350">
        <v>29.770800000000001</v>
      </c>
      <c r="CM106" s="350">
        <v>52.92</v>
      </c>
      <c r="CN106" s="351">
        <f t="shared" si="272"/>
        <v>84.372906054783186</v>
      </c>
      <c r="CO106" s="351">
        <f t="shared" si="273"/>
        <v>61.89861576420364</v>
      </c>
      <c r="CP106" s="352">
        <f t="shared" si="274"/>
        <v>0</v>
      </c>
      <c r="CQ106" s="352">
        <f xml:space="preserve"> IF(    SUM(CN106:CO106)=0,    0,   CP106 * CO106 / SUM(CN106:CO106)    )</f>
        <v>0</v>
      </c>
      <c r="CR106" s="353">
        <f xml:space="preserve"> CN106 + CQ106</f>
        <v>84.372906054783186</v>
      </c>
      <c r="CS106" s="353">
        <f t="shared" si="277"/>
        <v>61.89861576420364</v>
      </c>
      <c r="CT106" s="343">
        <f t="shared" si="343"/>
        <v>84.372906054783186</v>
      </c>
      <c r="CU106" s="343">
        <f t="shared" si="344"/>
        <v>61.89861576420364</v>
      </c>
      <c r="CW106" s="350">
        <v>0.85028841746400419</v>
      </c>
      <c r="CX106" s="350">
        <v>0.4132277267062715</v>
      </c>
      <c r="CY106" s="350">
        <v>0</v>
      </c>
      <c r="CZ106" s="350">
        <v>15.355</v>
      </c>
      <c r="DA106" s="350">
        <v>29.978300000000001</v>
      </c>
      <c r="DB106" s="351">
        <f t="shared" si="278"/>
        <v>162.40508773562479</v>
      </c>
      <c r="DC106" s="351">
        <f t="shared" si="279"/>
        <v>108.26566439704314</v>
      </c>
      <c r="DD106" s="352">
        <f t="shared" si="280"/>
        <v>0</v>
      </c>
      <c r="DE106" s="352">
        <f xml:space="preserve"> IF(    SUM(DB106:DC106)=0,    0,   DD106 * DC106 / SUM(DB106:DC106)    )</f>
        <v>0</v>
      </c>
      <c r="DF106" s="353">
        <f xml:space="preserve"> DB106 + DE106</f>
        <v>162.40508773562479</v>
      </c>
      <c r="DG106" s="353">
        <f t="shared" si="283"/>
        <v>108.26566439704314</v>
      </c>
      <c r="DH106" s="343">
        <f t="shared" si="345"/>
        <v>162.40508773562479</v>
      </c>
      <c r="DI106" s="343">
        <f t="shared" si="346"/>
        <v>108.26566439704314</v>
      </c>
      <c r="DK106" s="350">
        <v>1.8937999999999999</v>
      </c>
      <c r="DL106" s="350">
        <v>0.96719999999999995</v>
      </c>
      <c r="DM106" s="350">
        <v>0</v>
      </c>
      <c r="DN106" s="350">
        <v>20.833300000000001</v>
      </c>
      <c r="DO106" s="350">
        <v>28.833300000000001</v>
      </c>
      <c r="DP106" s="351">
        <f t="shared" si="284"/>
        <v>181.8048</v>
      </c>
      <c r="DQ106" s="351">
        <f t="shared" si="285"/>
        <v>168.2928</v>
      </c>
      <c r="DR106" s="352">
        <f t="shared" si="286"/>
        <v>0</v>
      </c>
      <c r="DS106" s="352">
        <f xml:space="preserve"> IF(    SUM(DP106:DQ106)=0,    0,   DR106 * DQ106 / SUM(DP106:DQ106)    )</f>
        <v>0</v>
      </c>
      <c r="DT106" s="353">
        <f xml:space="preserve"> DP106 + DS106</f>
        <v>181.8048</v>
      </c>
      <c r="DU106" s="353">
        <f t="shared" si="289"/>
        <v>168.2928</v>
      </c>
      <c r="DV106" s="343">
        <f t="shared" si="347"/>
        <v>181.8048</v>
      </c>
      <c r="DW106" s="343">
        <f t="shared" si="348"/>
        <v>168.2928</v>
      </c>
      <c r="EB106" s="326"/>
      <c r="EC106" s="326"/>
      <c r="ED106" s="326"/>
      <c r="EE106" s="348">
        <f t="shared" si="290"/>
        <v>143.61499999999998</v>
      </c>
      <c r="EF106" s="348">
        <f t="shared" si="291"/>
        <v>293.19583333333333</v>
      </c>
      <c r="EG106" s="348">
        <f t="shared" si="292"/>
        <v>12676.220699082065</v>
      </c>
      <c r="EH106" s="348">
        <f t="shared" si="293"/>
        <v>10429.251327909955</v>
      </c>
      <c r="EI106" s="354">
        <f t="shared" ref="EI106:EI110" si="353" xml:space="preserve"> IF(   SUM(EE106:EF106) = 0,    IF( EG106&lt;EH106, lambdax_min, lambdax_max ),
                                                                   MAX( lambdax_min, MIN( lambdax_max, EE106 / SUM(EE106:EF106) ) )     )</f>
        <v>0.32878076512906995</v>
      </c>
      <c r="EJ106" s="326"/>
      <c r="EK106" s="348">
        <f t="shared" si="295"/>
        <v>12676.220699082065</v>
      </c>
      <c r="EL106" s="348">
        <f t="shared" si="296"/>
        <v>10429.251327909955</v>
      </c>
      <c r="EM106" s="348">
        <f t="shared" si="297"/>
        <v>12676.220699082065</v>
      </c>
      <c r="EN106" s="348">
        <f t="shared" si="298"/>
        <v>10429.251327909955</v>
      </c>
      <c r="EP106" s="326"/>
      <c r="EQ106" s="326"/>
      <c r="ER106" s="326"/>
      <c r="ES106" s="348">
        <f t="shared" si="299"/>
        <v>74.56750000000001</v>
      </c>
      <c r="ET106" s="348">
        <f t="shared" si="300"/>
        <v>152.73416666666665</v>
      </c>
      <c r="EU106" s="348">
        <f t="shared" si="301"/>
        <v>11235.898782940041</v>
      </c>
      <c r="EV106" s="348">
        <f t="shared" si="302"/>
        <v>9555.5653117958864</v>
      </c>
      <c r="EW106" s="354">
        <f t="shared" ref="EW106:EW110" si="354" xml:space="preserve"> IF(   SUM(ES106:ET106) = 0,    IF( EU106&lt;EV106, lambdax_min, lambdax_max ),
                                                                   MAX( lambdax_min, MIN( lambdax_max, ES106 / SUM(ES106:ET106) ) )     )</f>
        <v>0.32805522763434791</v>
      </c>
      <c r="EX106" s="326"/>
      <c r="EY106" s="348">
        <f t="shared" si="304"/>
        <v>11235.898782940041</v>
      </c>
      <c r="EZ106" s="348">
        <f t="shared" si="305"/>
        <v>9555.5653117958864</v>
      </c>
      <c r="FA106" s="348">
        <f t="shared" si="306"/>
        <v>11235.898782940041</v>
      </c>
      <c r="FB106" s="348">
        <f t="shared" si="307"/>
        <v>9555.5653117958864</v>
      </c>
      <c r="FD106" s="326"/>
      <c r="FE106" s="326"/>
      <c r="FF106" s="326"/>
      <c r="FG106" s="348">
        <f t="shared" si="308"/>
        <v>85.479100000000017</v>
      </c>
      <c r="FH106" s="348">
        <f t="shared" si="309"/>
        <v>132.91413333333335</v>
      </c>
      <c r="FI106" s="348">
        <f t="shared" si="310"/>
        <v>8512.4934919052212</v>
      </c>
      <c r="FJ106" s="348">
        <f t="shared" si="311"/>
        <v>7160.9757277210583</v>
      </c>
      <c r="FK106" s="354">
        <f t="shared" ref="FK106:FK110" si="355" xml:space="preserve"> IF(   SUM(FG106:FH106) = 0,    IF( FI106&lt;FJ106, lambdax_min, lambdax_max ),
                                                                   MAX( lambdax_min, MIN( lambdax_max, FG106 / SUM(FG106:FH106) ) )     )</f>
        <v>0.39139994722058696</v>
      </c>
      <c r="FL106" s="326"/>
      <c r="FM106" s="348">
        <f t="shared" si="313"/>
        <v>8512.4934919052212</v>
      </c>
      <c r="FN106" s="348">
        <f t="shared" si="314"/>
        <v>7160.9757277210583</v>
      </c>
      <c r="FO106" s="348">
        <f t="shared" si="315"/>
        <v>8512.4934919052212</v>
      </c>
      <c r="FP106" s="348">
        <f t="shared" si="316"/>
        <v>7160.9757277210583</v>
      </c>
      <c r="FR106" s="326"/>
      <c r="FS106" s="326"/>
      <c r="FT106" s="326"/>
      <c r="FU106" s="348">
        <f t="shared" si="317"/>
        <v>58.316699999999997</v>
      </c>
      <c r="FV106" s="348">
        <f t="shared" si="318"/>
        <v>101.52670000000001</v>
      </c>
      <c r="FW106" s="349">
        <f t="shared" si="319"/>
        <v>1777.69680913002</v>
      </c>
      <c r="FX106" s="349">
        <f t="shared" si="320"/>
        <v>1079.3692456837039</v>
      </c>
      <c r="FY106" s="354">
        <f t="shared" ref="FY106:FY110" si="356" xml:space="preserve"> IF(   SUM(FU106:FV106) = 0,    IF( FW106&lt;FX106, lambdax_min, lambdax_max ),
                                                                   MAX( lambdax_min, MIN( lambdax_max, FU106 / SUM(FU106:FV106) ) )     )</f>
        <v>0.36483645868393688</v>
      </c>
      <c r="FZ106" s="326"/>
      <c r="GA106" s="349">
        <f t="shared" si="322"/>
        <v>1777.69680913002</v>
      </c>
      <c r="GB106" s="349">
        <f t="shared" si="323"/>
        <v>1079.3692456837039</v>
      </c>
      <c r="GC106" s="349">
        <f t="shared" si="349"/>
        <v>1777.69680913002</v>
      </c>
      <c r="GD106" s="349">
        <f t="shared" si="350"/>
        <v>1079.3692456837039</v>
      </c>
      <c r="GF106" s="326"/>
      <c r="GG106" s="326"/>
      <c r="GH106" s="326"/>
      <c r="GI106" s="348">
        <f t="shared" si="324"/>
        <v>45.125799999999998</v>
      </c>
      <c r="GJ106" s="348">
        <f t="shared" si="325"/>
        <v>82.898300000000006</v>
      </c>
      <c r="GK106" s="348">
        <f t="shared" si="326"/>
        <v>214.29697624328301</v>
      </c>
      <c r="GL106" s="348">
        <f t="shared" si="327"/>
        <v>148.51114728183816</v>
      </c>
      <c r="GM106" s="354">
        <f t="shared" ref="GM106:GM110" si="357" xml:space="preserve"> IF(   SUM(GI106:GJ106) = 0,    IF( GK106&lt;GL106, lambdax_min, lambdax_max ),
                                                                   MAX( lambdax_min, MIN( lambdax_max, GI106 / SUM(GI106:GJ106) ) )     )</f>
        <v>0.35247894732319929</v>
      </c>
      <c r="GN106" s="326"/>
      <c r="GO106" s="348">
        <f t="shared" si="329"/>
        <v>214.29697624328301</v>
      </c>
      <c r="GP106" s="348">
        <f t="shared" si="330"/>
        <v>148.51114728183816</v>
      </c>
      <c r="GQ106" s="348">
        <f t="shared" si="351"/>
        <v>214.29697624328301</v>
      </c>
      <c r="GR106" s="348">
        <f t="shared" si="352"/>
        <v>148.51114728183816</v>
      </c>
    </row>
    <row r="107" spans="1:200" x14ac:dyDescent="0.2">
      <c r="A107" s="320">
        <v>97</v>
      </c>
      <c r="C107" s="350">
        <v>7.826667337589992</v>
      </c>
      <c r="D107" s="350">
        <v>2.9004228350740511</v>
      </c>
      <c r="E107" s="350">
        <v>0</v>
      </c>
      <c r="F107" s="350">
        <v>64.393333333333345</v>
      </c>
      <c r="G107" s="350">
        <v>146.185</v>
      </c>
      <c r="H107" s="351">
        <f t="shared" si="236"/>
        <v>8030.1606883673321</v>
      </c>
      <c r="I107" s="351">
        <f t="shared" si="237"/>
        <v>6891.4046561359455</v>
      </c>
      <c r="J107" s="352">
        <f t="shared" si="238"/>
        <v>0</v>
      </c>
      <c r="K107" s="352">
        <f xml:space="preserve"> IF(    SUM(H107:I107)=0,    0,   J107 * I107 / SUM(H107:I107)    )</f>
        <v>0</v>
      </c>
      <c r="L107" s="353">
        <f xml:space="preserve"> H107 + K107</f>
        <v>8030.1606883673321</v>
      </c>
      <c r="M107" s="353">
        <f t="shared" si="241"/>
        <v>6891.4046561359455</v>
      </c>
      <c r="N107" s="343">
        <f t="shared" si="331"/>
        <v>8030.1606883673321</v>
      </c>
      <c r="O107" s="343">
        <f t="shared" si="332"/>
        <v>6891.4046561359455</v>
      </c>
      <c r="Q107" s="350">
        <v>10.357270879989537</v>
      </c>
      <c r="R107" s="350">
        <v>3.6233612645224893</v>
      </c>
      <c r="S107" s="350">
        <v>0</v>
      </c>
      <c r="T107" s="350">
        <v>6.3975</v>
      </c>
      <c r="U107" s="350">
        <v>6.9166666666666661</v>
      </c>
      <c r="V107" s="351">
        <f t="shared" si="242"/>
        <v>7291.5186995126342</v>
      </c>
      <c r="W107" s="351">
        <f t="shared" si="243"/>
        <v>6080.0002018687373</v>
      </c>
      <c r="X107" s="352">
        <f t="shared" si="244"/>
        <v>0</v>
      </c>
      <c r="Y107" s="352">
        <f xml:space="preserve"> IF(    SUM(V107:W107)=0,    0,   X107 * W107 / SUM(V107:W107)    )</f>
        <v>0</v>
      </c>
      <c r="Z107" s="353">
        <f xml:space="preserve"> V107 + Y107</f>
        <v>7291.5186995126342</v>
      </c>
      <c r="AA107" s="353">
        <f t="shared" si="247"/>
        <v>6080.0002018687373</v>
      </c>
      <c r="AB107" s="343">
        <f t="shared" si="333"/>
        <v>7291.5186995126342</v>
      </c>
      <c r="AC107" s="343">
        <f t="shared" si="334"/>
        <v>6080.0002018687373</v>
      </c>
      <c r="AE107" s="350">
        <v>16.319652178712591</v>
      </c>
      <c r="AF107" s="350">
        <v>6.2437665383719931</v>
      </c>
      <c r="AG107" s="350">
        <v>0</v>
      </c>
      <c r="AH107" s="350">
        <v>3</v>
      </c>
      <c r="AI107" s="350">
        <v>6.25</v>
      </c>
      <c r="AJ107" s="351">
        <f t="shared" si="248"/>
        <v>5809.7961756216828</v>
      </c>
      <c r="AK107" s="351">
        <f t="shared" si="249"/>
        <v>4782.7251683929471</v>
      </c>
      <c r="AL107" s="352">
        <f t="shared" si="250"/>
        <v>0</v>
      </c>
      <c r="AM107" s="352">
        <f xml:space="preserve"> IF(    SUM(AJ107:AK107)=0,    0,   AL107 * AK107 / SUM(AJ107:AK107)    )</f>
        <v>0</v>
      </c>
      <c r="AN107" s="353">
        <f xml:space="preserve"> AJ107 + AM107</f>
        <v>5809.7961756216828</v>
      </c>
      <c r="AO107" s="353">
        <f t="shared" si="253"/>
        <v>4782.7251683929471</v>
      </c>
      <c r="AP107" s="343">
        <f t="shared" si="335"/>
        <v>5809.7961756216828</v>
      </c>
      <c r="AQ107" s="343">
        <f t="shared" si="336"/>
        <v>4782.7251683929471</v>
      </c>
      <c r="AS107" s="350">
        <v>18.162700000000001</v>
      </c>
      <c r="AT107" s="350">
        <v>6.8915932557205304</v>
      </c>
      <c r="AU107" s="350">
        <v>0</v>
      </c>
      <c r="AV107" s="350">
        <v>17.5242</v>
      </c>
      <c r="AW107" s="350">
        <v>51.495800000000003</v>
      </c>
      <c r="AX107" s="351">
        <f t="shared" si="254"/>
        <v>4577.0003999999999</v>
      </c>
      <c r="AY107" s="351">
        <f t="shared" si="255"/>
        <v>3452.6882211159859</v>
      </c>
      <c r="AZ107" s="352">
        <f t="shared" si="256"/>
        <v>0</v>
      </c>
      <c r="BA107" s="352">
        <f xml:space="preserve"> IF(    SUM(AX107:AY107)=0,    0,   AZ107 * AY107 / SUM(AX107:AY107)    )</f>
        <v>0</v>
      </c>
      <c r="BB107" s="353">
        <f xml:space="preserve"> AX107 + BA107</f>
        <v>4577.0003999999999</v>
      </c>
      <c r="BC107" s="353">
        <f t="shared" si="259"/>
        <v>3452.6882211159859</v>
      </c>
      <c r="BD107" s="343">
        <f t="shared" si="337"/>
        <v>4577.0003999999999</v>
      </c>
      <c r="BE107" s="343">
        <f t="shared" si="338"/>
        <v>3452.6882211159859</v>
      </c>
      <c r="BG107" s="350">
        <v>16.243175773855537</v>
      </c>
      <c r="BH107" s="350">
        <v>7.0167554331577158</v>
      </c>
      <c r="BI107" s="350">
        <v>0</v>
      </c>
      <c r="BJ107" s="350">
        <v>17.5242</v>
      </c>
      <c r="BK107" s="350">
        <v>50.162500000000001</v>
      </c>
      <c r="BL107" s="351">
        <f t="shared" si="260"/>
        <v>3849.6326584037624</v>
      </c>
      <c r="BM107" s="351">
        <f t="shared" si="261"/>
        <v>3382.076118782019</v>
      </c>
      <c r="BN107" s="352">
        <f t="shared" si="262"/>
        <v>0</v>
      </c>
      <c r="BO107" s="352">
        <f xml:space="preserve"> IF(    SUM(BL107:BM107)=0,    0,   BN107 * BM107 / SUM(BL107:BM107)    )</f>
        <v>0</v>
      </c>
      <c r="BP107" s="353">
        <f xml:space="preserve"> BL107 + BO107</f>
        <v>3849.6326584037624</v>
      </c>
      <c r="BQ107" s="353">
        <f t="shared" si="265"/>
        <v>3382.076118782019</v>
      </c>
      <c r="BR107" s="343">
        <f t="shared" si="339"/>
        <v>3849.6326584037624</v>
      </c>
      <c r="BS107" s="343">
        <f t="shared" si="340"/>
        <v>3382.076118782019</v>
      </c>
      <c r="BU107" s="350">
        <v>14.274734742795973</v>
      </c>
      <c r="BV107" s="350">
        <v>7.3400295089420329</v>
      </c>
      <c r="BW107" s="350">
        <v>0</v>
      </c>
      <c r="BX107" s="350">
        <v>31.533300000000001</v>
      </c>
      <c r="BY107" s="350">
        <v>44.051699999999997</v>
      </c>
      <c r="BZ107" s="351">
        <f t="shared" si="266"/>
        <v>2598.0017231888669</v>
      </c>
      <c r="CA107" s="351">
        <f t="shared" si="267"/>
        <v>2253.389059245204</v>
      </c>
      <c r="CB107" s="352">
        <f t="shared" si="268"/>
        <v>0</v>
      </c>
      <c r="CC107" s="352">
        <f xml:space="preserve"> IF(    SUM(BZ107:CA107)=0,    0,   CB107 * CA107 / SUM(BZ107:CA107)    )</f>
        <v>0</v>
      </c>
      <c r="CD107" s="353">
        <f xml:space="preserve"> BZ107 + CC107</f>
        <v>2598.0017231888669</v>
      </c>
      <c r="CE107" s="353">
        <f t="shared" si="271"/>
        <v>2253.389059245204</v>
      </c>
      <c r="CF107" s="343">
        <f t="shared" si="341"/>
        <v>2598.0017231888669</v>
      </c>
      <c r="CG107" s="343">
        <f t="shared" si="342"/>
        <v>2253.389059245204</v>
      </c>
      <c r="CI107" s="350">
        <v>0.44205374875206094</v>
      </c>
      <c r="CJ107" s="350">
        <v>0.25148339441967182</v>
      </c>
      <c r="CK107" s="350">
        <v>0</v>
      </c>
      <c r="CL107" s="350">
        <v>17.986699999999999</v>
      </c>
      <c r="CM107" s="350">
        <v>52.380800000000001</v>
      </c>
      <c r="CN107" s="351">
        <f t="shared" si="272"/>
        <v>80.011728524123029</v>
      </c>
      <c r="CO107" s="351">
        <f t="shared" si="273"/>
        <v>57.086730533265502</v>
      </c>
      <c r="CP107" s="352">
        <f t="shared" si="274"/>
        <v>0</v>
      </c>
      <c r="CQ107" s="352">
        <f xml:space="preserve"> IF(    SUM(CN107:CO107)=0,    0,   CP107 * CO107 / SUM(CN107:CO107)    )</f>
        <v>0</v>
      </c>
      <c r="CR107" s="353">
        <f xml:space="preserve"> CN107 + CQ107</f>
        <v>80.011728524123029</v>
      </c>
      <c r="CS107" s="353">
        <f t="shared" si="277"/>
        <v>57.086730533265502</v>
      </c>
      <c r="CT107" s="343">
        <f t="shared" si="343"/>
        <v>80.011728524123029</v>
      </c>
      <c r="CU107" s="343">
        <f t="shared" si="344"/>
        <v>57.086730533265502</v>
      </c>
      <c r="CW107" s="350">
        <v>0.75527495001193223</v>
      </c>
      <c r="CX107" s="350">
        <v>0.34712238851580179</v>
      </c>
      <c r="CY107" s="350">
        <v>0</v>
      </c>
      <c r="CZ107" s="350">
        <v>11.5</v>
      </c>
      <c r="DA107" s="350">
        <v>31.273299999999999</v>
      </c>
      <c r="DB107" s="351">
        <f t="shared" si="278"/>
        <v>144.25751545227905</v>
      </c>
      <c r="DC107" s="351">
        <f t="shared" si="279"/>
        <v>90.946065791140072</v>
      </c>
      <c r="DD107" s="352">
        <f t="shared" si="280"/>
        <v>0</v>
      </c>
      <c r="DE107" s="352">
        <f xml:space="preserve"> IF(    SUM(DB107:DC107)=0,    0,   DD107 * DC107 / SUM(DB107:DC107)    )</f>
        <v>0</v>
      </c>
      <c r="DF107" s="353">
        <f xml:space="preserve"> DB107 + DE107</f>
        <v>144.25751545227905</v>
      </c>
      <c r="DG107" s="353">
        <f t="shared" si="283"/>
        <v>90.946065791140072</v>
      </c>
      <c r="DH107" s="343">
        <f t="shared" si="345"/>
        <v>144.25751545227905</v>
      </c>
      <c r="DI107" s="343">
        <f t="shared" si="346"/>
        <v>90.946065791140072</v>
      </c>
      <c r="DK107" s="350">
        <v>1.7693000000000001</v>
      </c>
      <c r="DL107" s="350">
        <v>0.89929999999999999</v>
      </c>
      <c r="DM107" s="350">
        <v>0</v>
      </c>
      <c r="DN107" s="350">
        <v>15.5442</v>
      </c>
      <c r="DO107" s="350">
        <v>39.440800000000003</v>
      </c>
      <c r="DP107" s="351">
        <f t="shared" si="284"/>
        <v>169.8528</v>
      </c>
      <c r="DQ107" s="351">
        <f t="shared" si="285"/>
        <v>156.47819999999999</v>
      </c>
      <c r="DR107" s="352">
        <f t="shared" si="286"/>
        <v>0</v>
      </c>
      <c r="DS107" s="352">
        <f xml:space="preserve"> IF(    SUM(DP107:DQ107)=0,    0,   DR107 * DQ107 / SUM(DP107:DQ107)    )</f>
        <v>0</v>
      </c>
      <c r="DT107" s="353">
        <f xml:space="preserve"> DP107 + DS107</f>
        <v>169.8528</v>
      </c>
      <c r="DU107" s="353">
        <f t="shared" si="289"/>
        <v>156.47819999999999</v>
      </c>
      <c r="DV107" s="343">
        <f t="shared" si="347"/>
        <v>169.8528</v>
      </c>
      <c r="DW107" s="343">
        <f t="shared" si="348"/>
        <v>156.47819999999999</v>
      </c>
      <c r="EB107" s="326"/>
      <c r="EC107" s="326"/>
      <c r="ED107" s="326"/>
      <c r="EE107" s="348">
        <f t="shared" si="290"/>
        <v>111.40423333333335</v>
      </c>
      <c r="EF107" s="348">
        <f t="shared" si="291"/>
        <v>281.3349</v>
      </c>
      <c r="EG107" s="348">
        <f t="shared" si="292"/>
        <v>12802.578829253278</v>
      </c>
      <c r="EH107" s="348">
        <f t="shared" si="293"/>
        <v>10473.936460418108</v>
      </c>
      <c r="EI107" s="354">
        <f t="shared" si="353"/>
        <v>0.28365962003277156</v>
      </c>
      <c r="EJ107" s="326"/>
      <c r="EK107" s="348">
        <f t="shared" si="295"/>
        <v>12802.578829253278</v>
      </c>
      <c r="EL107" s="348">
        <f t="shared" si="296"/>
        <v>10473.936460418108</v>
      </c>
      <c r="EM107" s="348">
        <f t="shared" si="297"/>
        <v>12802.578829253278</v>
      </c>
      <c r="EN107" s="348">
        <f t="shared" si="298"/>
        <v>10473.936460418108</v>
      </c>
      <c r="EP107" s="326"/>
      <c r="EQ107" s="326"/>
      <c r="ER107" s="326"/>
      <c r="ES107" s="348">
        <f t="shared" si="299"/>
        <v>53.4084</v>
      </c>
      <c r="ET107" s="348">
        <f t="shared" si="300"/>
        <v>140.73326666666668</v>
      </c>
      <c r="EU107" s="348">
        <f t="shared" si="301"/>
        <v>11322.143347257115</v>
      </c>
      <c r="EV107" s="348">
        <f t="shared" si="302"/>
        <v>9582.8252972378195</v>
      </c>
      <c r="EW107" s="354">
        <f t="shared" si="354"/>
        <v>0.27510014164913937</v>
      </c>
      <c r="EX107" s="326"/>
      <c r="EY107" s="348">
        <f t="shared" si="304"/>
        <v>11322.143347257115</v>
      </c>
      <c r="EZ107" s="348">
        <f t="shared" si="305"/>
        <v>9582.8252972378195</v>
      </c>
      <c r="FA107" s="348">
        <f t="shared" si="306"/>
        <v>11322.143347257115</v>
      </c>
      <c r="FB107" s="348">
        <f t="shared" si="307"/>
        <v>9582.8252972378195</v>
      </c>
      <c r="FD107" s="326"/>
      <c r="FE107" s="326"/>
      <c r="FF107" s="326"/>
      <c r="FG107" s="348">
        <f t="shared" si="308"/>
        <v>68.0642</v>
      </c>
      <c r="FH107" s="348">
        <f t="shared" si="309"/>
        <v>142.1233</v>
      </c>
      <c r="FI107" s="348">
        <f t="shared" si="310"/>
        <v>8589.721307334672</v>
      </c>
      <c r="FJ107" s="348">
        <f t="shared" si="311"/>
        <v>7187.0878781714164</v>
      </c>
      <c r="FK107" s="354">
        <f t="shared" si="355"/>
        <v>0.32382610764198633</v>
      </c>
      <c r="FL107" s="326"/>
      <c r="FM107" s="348">
        <f t="shared" si="313"/>
        <v>8589.721307334672</v>
      </c>
      <c r="FN107" s="348">
        <f t="shared" si="314"/>
        <v>7187.0878781714164</v>
      </c>
      <c r="FO107" s="348">
        <f t="shared" si="315"/>
        <v>8589.721307334672</v>
      </c>
      <c r="FP107" s="348">
        <f t="shared" si="316"/>
        <v>7187.0878781714164</v>
      </c>
      <c r="FR107" s="326"/>
      <c r="FS107" s="326"/>
      <c r="FT107" s="326"/>
      <c r="FU107" s="348">
        <f t="shared" si="317"/>
        <v>49.057500000000005</v>
      </c>
      <c r="FV107" s="348">
        <f t="shared" si="318"/>
        <v>95.547499999999999</v>
      </c>
      <c r="FW107" s="349">
        <f t="shared" si="319"/>
        <v>1781.0988091300198</v>
      </c>
      <c r="FX107" s="349">
        <f t="shared" si="320"/>
        <v>1079.3692456837039</v>
      </c>
      <c r="FY107" s="354">
        <f t="shared" si="356"/>
        <v>0.33925175478026348</v>
      </c>
      <c r="FZ107" s="326"/>
      <c r="GA107" s="349">
        <f t="shared" si="322"/>
        <v>1781.0988091300198</v>
      </c>
      <c r="GB107" s="349">
        <f t="shared" si="323"/>
        <v>1079.3692456837039</v>
      </c>
      <c r="GC107" s="349">
        <f t="shared" si="349"/>
        <v>1781.0988091300198</v>
      </c>
      <c r="GD107" s="349">
        <f t="shared" si="350"/>
        <v>1079.3692456837039</v>
      </c>
      <c r="GF107" s="326"/>
      <c r="GG107" s="326"/>
      <c r="GH107" s="326"/>
      <c r="GI107" s="348">
        <f t="shared" si="324"/>
        <v>29.486699999999999</v>
      </c>
      <c r="GJ107" s="348">
        <f t="shared" si="325"/>
        <v>83.6541</v>
      </c>
      <c r="GK107" s="348">
        <f t="shared" si="326"/>
        <v>195.41774088594627</v>
      </c>
      <c r="GL107" s="348">
        <f t="shared" si="327"/>
        <v>129.84358316617755</v>
      </c>
      <c r="GM107" s="354">
        <f t="shared" si="357"/>
        <v>0.26061951126384114</v>
      </c>
      <c r="GN107" s="326"/>
      <c r="GO107" s="348">
        <f t="shared" si="329"/>
        <v>195.41774088594627</v>
      </c>
      <c r="GP107" s="348">
        <f t="shared" si="330"/>
        <v>129.84358316617755</v>
      </c>
      <c r="GQ107" s="348">
        <f t="shared" si="351"/>
        <v>195.41774088594627</v>
      </c>
      <c r="GR107" s="348">
        <f t="shared" si="352"/>
        <v>129.84358316617755</v>
      </c>
    </row>
    <row r="108" spans="1:200" x14ac:dyDescent="0.2">
      <c r="A108" s="320">
        <v>98</v>
      </c>
      <c r="C108" s="350">
        <v>7.9645376105589696</v>
      </c>
      <c r="D108" s="350">
        <v>2.9270328860522823</v>
      </c>
      <c r="E108" s="350">
        <v>0</v>
      </c>
      <c r="F108" s="350">
        <v>43.876666666666665</v>
      </c>
      <c r="G108" s="350">
        <v>122.83499999999999</v>
      </c>
      <c r="H108" s="351">
        <f t="shared" si="236"/>
        <v>8171.615588433503</v>
      </c>
      <c r="I108" s="351">
        <f t="shared" si="237"/>
        <v>6954.6301372602229</v>
      </c>
      <c r="J108" s="352">
        <f t="shared" si="238"/>
        <v>0</v>
      </c>
      <c r="K108" s="352">
        <f xml:space="preserve"> IF(    SUM(H108:I108)=0,    0,   J108 * I108 / SUM(H108:I108)    )</f>
        <v>0</v>
      </c>
      <c r="L108" s="353">
        <f xml:space="preserve"> H108 + K108</f>
        <v>8171.615588433503</v>
      </c>
      <c r="M108" s="353">
        <f t="shared" si="241"/>
        <v>6954.6301372602229</v>
      </c>
      <c r="N108" s="343">
        <f t="shared" si="331"/>
        <v>8171.615588433503</v>
      </c>
      <c r="O108" s="343">
        <f t="shared" si="332"/>
        <v>6954.6301372602229</v>
      </c>
      <c r="Q108" s="350">
        <v>10.501916034555073</v>
      </c>
      <c r="R108" s="350">
        <v>3.6496605588270059</v>
      </c>
      <c r="S108" s="350">
        <v>0</v>
      </c>
      <c r="T108" s="350">
        <v>6.9716666666666667</v>
      </c>
      <c r="U108" s="350">
        <v>9.6316666666666659</v>
      </c>
      <c r="V108" s="351">
        <f t="shared" si="242"/>
        <v>7393.348888326771</v>
      </c>
      <c r="W108" s="351">
        <f t="shared" si="243"/>
        <v>6124.1304177117163</v>
      </c>
      <c r="X108" s="352">
        <f t="shared" si="244"/>
        <v>0</v>
      </c>
      <c r="Y108" s="352">
        <f xml:space="preserve"> IF(    SUM(V108:W108)=0,    0,   X108 * W108 / SUM(V108:W108)    )</f>
        <v>0</v>
      </c>
      <c r="Z108" s="353">
        <f xml:space="preserve"> V108 + Y108</f>
        <v>7393.348888326771</v>
      </c>
      <c r="AA108" s="353">
        <f t="shared" si="247"/>
        <v>6124.1304177117163</v>
      </c>
      <c r="AB108" s="343">
        <f t="shared" si="333"/>
        <v>7393.348888326771</v>
      </c>
      <c r="AC108" s="343">
        <f t="shared" si="334"/>
        <v>6124.1304177117163</v>
      </c>
      <c r="AE108" s="350">
        <v>16.568792045050017</v>
      </c>
      <c r="AF108" s="350">
        <v>6.2926783159287831</v>
      </c>
      <c r="AG108" s="350">
        <v>0</v>
      </c>
      <c r="AH108" s="350">
        <v>0.16666666666666666</v>
      </c>
      <c r="AI108" s="350">
        <v>2</v>
      </c>
      <c r="AJ108" s="351">
        <f t="shared" si="248"/>
        <v>5898.4899680378057</v>
      </c>
      <c r="AK108" s="351">
        <f t="shared" si="249"/>
        <v>4820.1915900014483</v>
      </c>
      <c r="AL108" s="352">
        <f t="shared" si="250"/>
        <v>0</v>
      </c>
      <c r="AM108" s="352">
        <f xml:space="preserve"> IF(    SUM(AJ108:AK108)=0,    0,   AL108 * AK108 / SUM(AJ108:AK108)    )</f>
        <v>0</v>
      </c>
      <c r="AN108" s="353">
        <f xml:space="preserve"> AJ108 + AM108</f>
        <v>5898.4899680378057</v>
      </c>
      <c r="AO108" s="353">
        <f t="shared" si="253"/>
        <v>4820.1915900014483</v>
      </c>
      <c r="AP108" s="343">
        <f t="shared" si="335"/>
        <v>5898.4899680378057</v>
      </c>
      <c r="AQ108" s="343">
        <f t="shared" si="336"/>
        <v>4820.1915900014483</v>
      </c>
      <c r="AS108" s="350">
        <v>18.177499999999998</v>
      </c>
      <c r="AT108" s="350">
        <v>6.8915932557205304</v>
      </c>
      <c r="AU108" s="350">
        <v>0</v>
      </c>
      <c r="AV108" s="350">
        <v>8.31</v>
      </c>
      <c r="AW108" s="350">
        <v>46.893300000000004</v>
      </c>
      <c r="AX108" s="351">
        <f t="shared" si="254"/>
        <v>4580.7299999999996</v>
      </c>
      <c r="AY108" s="351">
        <f t="shared" si="255"/>
        <v>3452.6882211159859</v>
      </c>
      <c r="AZ108" s="352">
        <f t="shared" si="256"/>
        <v>0</v>
      </c>
      <c r="BA108" s="352">
        <f xml:space="preserve"> IF(    SUM(AX108:AY108)=0,    0,   AZ108 * AY108 / SUM(AX108:AY108)    )</f>
        <v>0</v>
      </c>
      <c r="BB108" s="353">
        <f xml:space="preserve"> AX108 + BA108</f>
        <v>4580.7299999999996</v>
      </c>
      <c r="BC108" s="353">
        <f t="shared" si="259"/>
        <v>3452.6882211159859</v>
      </c>
      <c r="BD108" s="343">
        <f t="shared" si="337"/>
        <v>4580.7299999999996</v>
      </c>
      <c r="BE108" s="343">
        <f t="shared" si="338"/>
        <v>3452.6882211159859</v>
      </c>
      <c r="BG108" s="350">
        <v>16.246517726461736</v>
      </c>
      <c r="BH108" s="350">
        <v>7.0167554331577158</v>
      </c>
      <c r="BI108" s="350">
        <v>0</v>
      </c>
      <c r="BJ108" s="350">
        <v>8.31</v>
      </c>
      <c r="BK108" s="350">
        <v>46.893300000000004</v>
      </c>
      <c r="BL108" s="351">
        <f t="shared" si="260"/>
        <v>3850.4247011714315</v>
      </c>
      <c r="BM108" s="351">
        <f t="shared" si="261"/>
        <v>3382.076118782019</v>
      </c>
      <c r="BN108" s="352">
        <f t="shared" si="262"/>
        <v>0</v>
      </c>
      <c r="BO108" s="352">
        <f xml:space="preserve"> IF(    SUM(BL108:BM108)=0,    0,   BN108 * BM108 / SUM(BL108:BM108)    )</f>
        <v>0</v>
      </c>
      <c r="BP108" s="353">
        <f xml:space="preserve"> BL108 + BO108</f>
        <v>3850.4247011714315</v>
      </c>
      <c r="BQ108" s="353">
        <f t="shared" si="265"/>
        <v>3382.076118782019</v>
      </c>
      <c r="BR108" s="343">
        <f t="shared" si="339"/>
        <v>3850.4247011714315</v>
      </c>
      <c r="BS108" s="343">
        <f t="shared" si="340"/>
        <v>3382.076118782019</v>
      </c>
      <c r="BU108" s="350">
        <v>14.274734742795973</v>
      </c>
      <c r="BV108" s="350">
        <v>7.3400295089420329</v>
      </c>
      <c r="BW108" s="350">
        <v>0</v>
      </c>
      <c r="BX108" s="350">
        <v>25.230799999999999</v>
      </c>
      <c r="BY108" s="350">
        <v>36.989199999999997</v>
      </c>
      <c r="BZ108" s="351">
        <f t="shared" si="266"/>
        <v>2598.0017231888669</v>
      </c>
      <c r="CA108" s="351">
        <f t="shared" si="267"/>
        <v>2253.389059245204</v>
      </c>
      <c r="CB108" s="352">
        <f t="shared" si="268"/>
        <v>0</v>
      </c>
      <c r="CC108" s="352">
        <f xml:space="preserve"> IF(    SUM(BZ108:CA108)=0,    0,   CB108 * CA108 / SUM(BZ108:CA108)    )</f>
        <v>0</v>
      </c>
      <c r="CD108" s="353">
        <f xml:space="preserve"> BZ108 + CC108</f>
        <v>2598.0017231888669</v>
      </c>
      <c r="CE108" s="353">
        <f t="shared" si="271"/>
        <v>2253.389059245204</v>
      </c>
      <c r="CF108" s="343">
        <f t="shared" si="341"/>
        <v>2598.0017231888669</v>
      </c>
      <c r="CG108" s="343">
        <f t="shared" si="342"/>
        <v>2253.389059245204</v>
      </c>
      <c r="CI108" s="350">
        <v>0.41790042900035962</v>
      </c>
      <c r="CJ108" s="350">
        <v>0.23040934210938777</v>
      </c>
      <c r="CK108" s="350">
        <v>0</v>
      </c>
      <c r="CL108" s="350">
        <v>6.58</v>
      </c>
      <c r="CM108" s="350">
        <v>37.973300000000002</v>
      </c>
      <c r="CN108" s="351">
        <f t="shared" si="272"/>
        <v>75.639977649065088</v>
      </c>
      <c r="CO108" s="351">
        <f t="shared" si="273"/>
        <v>52.30292065883102</v>
      </c>
      <c r="CP108" s="352">
        <f t="shared" si="274"/>
        <v>0</v>
      </c>
      <c r="CQ108" s="352">
        <f xml:space="preserve"> IF(    SUM(CN108:CO108)=0,    0,   CP108 * CO108 / SUM(CN108:CO108)    )</f>
        <v>0</v>
      </c>
      <c r="CR108" s="353">
        <f xml:space="preserve"> CN108 + CQ108</f>
        <v>75.639977649065088</v>
      </c>
      <c r="CS108" s="353">
        <f t="shared" si="277"/>
        <v>52.30292065883102</v>
      </c>
      <c r="CT108" s="343">
        <f t="shared" si="343"/>
        <v>75.639977649065088</v>
      </c>
      <c r="CU108" s="343">
        <f t="shared" si="344"/>
        <v>52.30292065883102</v>
      </c>
      <c r="CW108" s="350">
        <v>0.66023688553386073</v>
      </c>
      <c r="CX108" s="350">
        <v>0.28121798217196964</v>
      </c>
      <c r="CY108" s="350">
        <v>0</v>
      </c>
      <c r="CZ108" s="350">
        <v>3.75</v>
      </c>
      <c r="DA108" s="350">
        <v>20.655799999999999</v>
      </c>
      <c r="DB108" s="351">
        <f t="shared" si="278"/>
        <v>126.1052451369674</v>
      </c>
      <c r="DC108" s="351">
        <f t="shared" si="279"/>
        <v>73.679111329056042</v>
      </c>
      <c r="DD108" s="352">
        <f t="shared" si="280"/>
        <v>0</v>
      </c>
      <c r="DE108" s="352">
        <f xml:space="preserve"> IF(    SUM(DB108:DC108)=0,    0,   DD108 * DC108 / SUM(DB108:DC108)    )</f>
        <v>0</v>
      </c>
      <c r="DF108" s="353">
        <f xml:space="preserve"> DB108 + DE108</f>
        <v>126.1052451369674</v>
      </c>
      <c r="DG108" s="353">
        <f t="shared" si="283"/>
        <v>73.679111329056042</v>
      </c>
      <c r="DH108" s="343">
        <f t="shared" si="345"/>
        <v>126.1052451369674</v>
      </c>
      <c r="DI108" s="343">
        <f t="shared" si="346"/>
        <v>73.679111329056042</v>
      </c>
      <c r="DK108" s="350">
        <v>1.6448</v>
      </c>
      <c r="DL108" s="350">
        <v>0.83179999999999998</v>
      </c>
      <c r="DM108" s="350">
        <v>0</v>
      </c>
      <c r="DN108" s="350">
        <v>5.1666999999999996</v>
      </c>
      <c r="DO108" s="350">
        <v>18.583300000000001</v>
      </c>
      <c r="DP108" s="351">
        <f t="shared" si="284"/>
        <v>157.9008</v>
      </c>
      <c r="DQ108" s="351">
        <f t="shared" si="285"/>
        <v>144.73320000000001</v>
      </c>
      <c r="DR108" s="352">
        <f t="shared" si="286"/>
        <v>0</v>
      </c>
      <c r="DS108" s="352">
        <f xml:space="preserve"> IF(    SUM(DP108:DQ108)=0,    0,   DR108 * DQ108 / SUM(DP108:DQ108)    )</f>
        <v>0</v>
      </c>
      <c r="DT108" s="353">
        <f xml:space="preserve"> DP108 + DS108</f>
        <v>157.9008</v>
      </c>
      <c r="DU108" s="353">
        <f t="shared" si="289"/>
        <v>144.73320000000001</v>
      </c>
      <c r="DV108" s="343">
        <f t="shared" si="347"/>
        <v>157.9008</v>
      </c>
      <c r="DW108" s="343">
        <f t="shared" si="348"/>
        <v>144.73320000000001</v>
      </c>
      <c r="EB108" s="326"/>
      <c r="EC108" s="326"/>
      <c r="ED108" s="326"/>
      <c r="EE108" s="348">
        <f t="shared" si="290"/>
        <v>62.516666666666666</v>
      </c>
      <c r="EF108" s="348">
        <f t="shared" si="291"/>
        <v>228.35739999999998</v>
      </c>
      <c r="EG108" s="348">
        <f t="shared" si="292"/>
        <v>12928.86976219214</v>
      </c>
      <c r="EH108" s="348">
        <f t="shared" si="293"/>
        <v>10518.564568098285</v>
      </c>
      <c r="EI108" s="354">
        <f t="shared" si="353"/>
        <v>0.2149269179720617</v>
      </c>
      <c r="EJ108" s="326"/>
      <c r="EK108" s="348">
        <f t="shared" si="295"/>
        <v>12928.86976219214</v>
      </c>
      <c r="EL108" s="348">
        <f t="shared" si="296"/>
        <v>10518.564568098285</v>
      </c>
      <c r="EM108" s="348">
        <f t="shared" si="297"/>
        <v>12928.86976219214</v>
      </c>
      <c r="EN108" s="348">
        <f t="shared" si="298"/>
        <v>10518.564568098285</v>
      </c>
      <c r="EP108" s="326"/>
      <c r="EQ108" s="326"/>
      <c r="ER108" s="326"/>
      <c r="ES108" s="348">
        <f t="shared" si="299"/>
        <v>25.611666666666665</v>
      </c>
      <c r="ET108" s="348">
        <f t="shared" si="300"/>
        <v>115.15406666666667</v>
      </c>
      <c r="EU108" s="348">
        <f t="shared" si="301"/>
        <v>11407.687238743145</v>
      </c>
      <c r="EV108" s="348">
        <f t="shared" si="302"/>
        <v>9610.0848350829056</v>
      </c>
      <c r="EW108" s="354">
        <f t="shared" si="354"/>
        <v>0.18194532192020213</v>
      </c>
      <c r="EX108" s="326"/>
      <c r="EY108" s="348">
        <f t="shared" si="304"/>
        <v>11407.687238743145</v>
      </c>
      <c r="EZ108" s="348">
        <f t="shared" si="305"/>
        <v>9610.0848350829056</v>
      </c>
      <c r="FA108" s="348">
        <f t="shared" si="306"/>
        <v>11407.687238743145</v>
      </c>
      <c r="FB108" s="348">
        <f t="shared" si="307"/>
        <v>9610.0848350829056</v>
      </c>
      <c r="FD108" s="326"/>
      <c r="FE108" s="326"/>
      <c r="FF108" s="326"/>
      <c r="FG108" s="348">
        <f t="shared" si="308"/>
        <v>37.144166666666663</v>
      </c>
      <c r="FH108" s="348">
        <f t="shared" si="309"/>
        <v>95.545800000000014</v>
      </c>
      <c r="FI108" s="348">
        <f t="shared" si="310"/>
        <v>8666.8721488757383</v>
      </c>
      <c r="FJ108" s="348">
        <f t="shared" si="311"/>
        <v>7212.7234899054838</v>
      </c>
      <c r="FK108" s="354">
        <f t="shared" si="355"/>
        <v>0.27993199184364348</v>
      </c>
      <c r="FL108" s="326"/>
      <c r="FM108" s="348">
        <f t="shared" si="313"/>
        <v>8666.8721488757383</v>
      </c>
      <c r="FN108" s="348">
        <f t="shared" si="314"/>
        <v>7212.7234899054838</v>
      </c>
      <c r="FO108" s="348">
        <f t="shared" si="315"/>
        <v>8666.8721488757383</v>
      </c>
      <c r="FP108" s="348">
        <f t="shared" si="316"/>
        <v>7212.7234899054838</v>
      </c>
      <c r="FR108" s="326"/>
      <c r="FS108" s="326"/>
      <c r="FT108" s="326"/>
      <c r="FU108" s="348">
        <f t="shared" si="317"/>
        <v>33.540799999999997</v>
      </c>
      <c r="FV108" s="348">
        <f t="shared" si="318"/>
        <v>83.882499999999993</v>
      </c>
      <c r="FW108" s="349">
        <f t="shared" si="319"/>
        <v>1784.4554491300194</v>
      </c>
      <c r="FX108" s="349">
        <f t="shared" si="320"/>
        <v>1079.3692456837039</v>
      </c>
      <c r="FY108" s="354">
        <f t="shared" si="356"/>
        <v>0.28564007313710316</v>
      </c>
      <c r="FZ108" s="326"/>
      <c r="GA108" s="349">
        <f t="shared" si="322"/>
        <v>1784.4554491300194</v>
      </c>
      <c r="GB108" s="349">
        <f t="shared" si="323"/>
        <v>1079.3692456837039</v>
      </c>
      <c r="GC108" s="349">
        <f t="shared" si="349"/>
        <v>1784.4554491300194</v>
      </c>
      <c r="GD108" s="349">
        <f t="shared" si="350"/>
        <v>1079.3692456837039</v>
      </c>
      <c r="GF108" s="326"/>
      <c r="GG108" s="326"/>
      <c r="GH108" s="326"/>
      <c r="GI108" s="348">
        <f t="shared" si="324"/>
        <v>10.33</v>
      </c>
      <c r="GJ108" s="348">
        <f t="shared" si="325"/>
        <v>58.629100000000001</v>
      </c>
      <c r="GK108" s="348">
        <f t="shared" si="326"/>
        <v>176.52417375863899</v>
      </c>
      <c r="GL108" s="348">
        <f t="shared" si="327"/>
        <v>111.24620972207586</v>
      </c>
      <c r="GM108" s="354">
        <f t="shared" si="357"/>
        <v>0.15</v>
      </c>
      <c r="GN108" s="326"/>
      <c r="GO108" s="348">
        <f t="shared" si="329"/>
        <v>176.52417375863899</v>
      </c>
      <c r="GP108" s="348">
        <f t="shared" si="330"/>
        <v>111.24620972207586</v>
      </c>
      <c r="GQ108" s="348">
        <f t="shared" si="351"/>
        <v>176.52417375863899</v>
      </c>
      <c r="GR108" s="348">
        <f t="shared" si="352"/>
        <v>111.24620972207586</v>
      </c>
    </row>
    <row r="109" spans="1:200" x14ac:dyDescent="0.2">
      <c r="A109" s="320">
        <v>99</v>
      </c>
      <c r="C109" s="350">
        <v>8.1024076630033033</v>
      </c>
      <c r="D109" s="350">
        <v>2.9536248411290797</v>
      </c>
      <c r="E109" s="350">
        <v>0</v>
      </c>
      <c r="F109" s="350">
        <v>16.904166666666669</v>
      </c>
      <c r="G109" s="350">
        <v>81.810833333333335</v>
      </c>
      <c r="H109" s="351">
        <f t="shared" si="236"/>
        <v>8313.0702622413883</v>
      </c>
      <c r="I109" s="351">
        <f t="shared" si="237"/>
        <v>7017.8126225226933</v>
      </c>
      <c r="J109" s="352">
        <f t="shared" si="238"/>
        <v>0</v>
      </c>
      <c r="K109" s="352">
        <f xml:space="preserve"> IF(    SUM(H109:I109)=0,    0,   J109 * I109 / SUM(H109:I109)    )</f>
        <v>0</v>
      </c>
      <c r="L109" s="353">
        <f xml:space="preserve"> H109 + K109</f>
        <v>8313.0702622413883</v>
      </c>
      <c r="M109" s="353">
        <f t="shared" si="241"/>
        <v>7017.8126225226933</v>
      </c>
      <c r="N109" s="343">
        <f t="shared" si="331"/>
        <v>8313.0702622413883</v>
      </c>
      <c r="O109" s="343">
        <f t="shared" si="332"/>
        <v>7017.8126225226933</v>
      </c>
      <c r="Q109" s="350">
        <v>10.645545497929017</v>
      </c>
      <c r="R109" s="350">
        <v>3.6759277764180744</v>
      </c>
      <c r="S109" s="350">
        <v>0</v>
      </c>
      <c r="T109" s="350">
        <v>0</v>
      </c>
      <c r="U109" s="350">
        <v>10.224166666666667</v>
      </c>
      <c r="V109" s="351">
        <f t="shared" si="242"/>
        <v>7494.464030542028</v>
      </c>
      <c r="W109" s="351">
        <f t="shared" si="243"/>
        <v>6168.2068088295291</v>
      </c>
      <c r="X109" s="352">
        <f t="shared" si="244"/>
        <v>0</v>
      </c>
      <c r="Y109" s="352">
        <f xml:space="preserve"> IF(    SUM(V109:W109)=0,    0,   X109 * W109 / SUM(V109:W109)    )</f>
        <v>0</v>
      </c>
      <c r="Z109" s="353">
        <f xml:space="preserve"> V109 + Y109</f>
        <v>7494.464030542028</v>
      </c>
      <c r="AA109" s="353">
        <f t="shared" si="247"/>
        <v>6168.2068088295291</v>
      </c>
      <c r="AB109" s="343">
        <f t="shared" si="333"/>
        <v>7494.464030542028</v>
      </c>
      <c r="AC109" s="343">
        <f t="shared" si="334"/>
        <v>6168.2068088295291</v>
      </c>
      <c r="AE109" s="350">
        <v>16.817841072065928</v>
      </c>
      <c r="AF109" s="350">
        <v>6.3410606857592917</v>
      </c>
      <c r="AG109" s="350">
        <v>0</v>
      </c>
      <c r="AH109" s="350">
        <v>0</v>
      </c>
      <c r="AI109" s="350">
        <v>2.333333333333333</v>
      </c>
      <c r="AJ109" s="351">
        <f t="shared" si="248"/>
        <v>5987.1514216554706</v>
      </c>
      <c r="AK109" s="351">
        <f t="shared" si="249"/>
        <v>4857.2524852916176</v>
      </c>
      <c r="AL109" s="352">
        <f t="shared" si="250"/>
        <v>0</v>
      </c>
      <c r="AM109" s="352">
        <f xml:space="preserve"> IF(    SUM(AJ109:AK109)=0,    0,   AL109 * AK109 / SUM(AJ109:AK109)    )</f>
        <v>0</v>
      </c>
      <c r="AN109" s="353">
        <f xml:space="preserve"> AJ109 + AM109</f>
        <v>5987.1514216554706</v>
      </c>
      <c r="AO109" s="353">
        <f t="shared" si="253"/>
        <v>4857.2524852916176</v>
      </c>
      <c r="AP109" s="343">
        <f t="shared" si="335"/>
        <v>5987.1514216554706</v>
      </c>
      <c r="AQ109" s="343">
        <f t="shared" si="336"/>
        <v>4857.2524852916176</v>
      </c>
      <c r="AS109" s="350">
        <v>18.1921</v>
      </c>
      <c r="AT109" s="350">
        <v>6.8915932557205304</v>
      </c>
      <c r="AU109" s="350">
        <v>0</v>
      </c>
      <c r="AV109" s="350">
        <v>3.6074999999999999</v>
      </c>
      <c r="AW109" s="350">
        <v>31.386700000000001</v>
      </c>
      <c r="AX109" s="351">
        <f t="shared" si="254"/>
        <v>4584.4092000000001</v>
      </c>
      <c r="AY109" s="351">
        <f t="shared" si="255"/>
        <v>3452.6882211159859</v>
      </c>
      <c r="AZ109" s="352">
        <f t="shared" si="256"/>
        <v>0</v>
      </c>
      <c r="BA109" s="352">
        <f xml:space="preserve"> IF(    SUM(AX109:AY109)=0,    0,   AZ109 * AY109 / SUM(AX109:AY109)    )</f>
        <v>0</v>
      </c>
      <c r="BB109" s="353">
        <f xml:space="preserve"> AX109 + BA109</f>
        <v>4584.4092000000001</v>
      </c>
      <c r="BC109" s="353">
        <f t="shared" si="259"/>
        <v>3452.6882211159859</v>
      </c>
      <c r="BD109" s="343">
        <f t="shared" si="337"/>
        <v>4584.4092000000001</v>
      </c>
      <c r="BE109" s="343">
        <f t="shared" si="338"/>
        <v>3452.6882211159859</v>
      </c>
      <c r="BG109" s="350">
        <v>16.249113905343236</v>
      </c>
      <c r="BH109" s="350">
        <v>7.0167554331577158</v>
      </c>
      <c r="BI109" s="350">
        <v>0</v>
      </c>
      <c r="BJ109" s="350">
        <v>3.6074999999999999</v>
      </c>
      <c r="BK109" s="350">
        <v>31.386700000000001</v>
      </c>
      <c r="BL109" s="351">
        <f t="shared" si="260"/>
        <v>3851.039995566347</v>
      </c>
      <c r="BM109" s="351">
        <f t="shared" si="261"/>
        <v>3382.076118782019</v>
      </c>
      <c r="BN109" s="352">
        <f t="shared" si="262"/>
        <v>0</v>
      </c>
      <c r="BO109" s="352">
        <f xml:space="preserve"> IF(    SUM(BL109:BM109)=0,    0,   BN109 * BM109 / SUM(BL109:BM109)    )</f>
        <v>0</v>
      </c>
      <c r="BP109" s="353">
        <f xml:space="preserve"> BL109 + BO109</f>
        <v>3851.039995566347</v>
      </c>
      <c r="BQ109" s="353">
        <f t="shared" si="265"/>
        <v>3382.076118782019</v>
      </c>
      <c r="BR109" s="343">
        <f t="shared" si="339"/>
        <v>3851.039995566347</v>
      </c>
      <c r="BS109" s="343">
        <f t="shared" si="340"/>
        <v>3382.076118782019</v>
      </c>
      <c r="BU109" s="350">
        <v>14.274734742795973</v>
      </c>
      <c r="BV109" s="350">
        <v>7.3400295089420329</v>
      </c>
      <c r="BW109" s="350">
        <v>0</v>
      </c>
      <c r="BX109" s="350">
        <v>7.5</v>
      </c>
      <c r="BY109" s="350">
        <v>22.17</v>
      </c>
      <c r="BZ109" s="351">
        <f t="shared" si="266"/>
        <v>2598.0017231888669</v>
      </c>
      <c r="CA109" s="351">
        <f t="shared" si="267"/>
        <v>2253.389059245204</v>
      </c>
      <c r="CB109" s="352">
        <f t="shared" si="268"/>
        <v>0</v>
      </c>
      <c r="CC109" s="352">
        <f xml:space="preserve"> IF(    SUM(BZ109:CA109)=0,    0,   CB109 * CA109 / SUM(BZ109:CA109)    )</f>
        <v>0</v>
      </c>
      <c r="CD109" s="353">
        <f xml:space="preserve"> BZ109 + CC109</f>
        <v>2598.0017231888669</v>
      </c>
      <c r="CE109" s="353">
        <f t="shared" si="271"/>
        <v>2253.389059245204</v>
      </c>
      <c r="CF109" s="343">
        <f t="shared" si="341"/>
        <v>2598.0017231888669</v>
      </c>
      <c r="CG109" s="343">
        <f t="shared" si="342"/>
        <v>2253.389059245204</v>
      </c>
      <c r="CI109" s="350">
        <v>0.39370838362271787</v>
      </c>
      <c r="CJ109" s="350">
        <v>0.20943400965798065</v>
      </c>
      <c r="CK109" s="350">
        <v>0</v>
      </c>
      <c r="CL109" s="350">
        <v>3.8975</v>
      </c>
      <c r="CM109" s="350">
        <v>18.309200000000001</v>
      </c>
      <c r="CN109" s="351">
        <f t="shared" si="272"/>
        <v>71.261217435711941</v>
      </c>
      <c r="CO109" s="351">
        <f t="shared" si="273"/>
        <v>47.54152019236161</v>
      </c>
      <c r="CP109" s="352">
        <f t="shared" si="274"/>
        <v>0</v>
      </c>
      <c r="CQ109" s="352">
        <f xml:space="preserve"> IF(    SUM(CN109:CO109)=0,    0,   CP109 * CO109 / SUM(CN109:CO109)    )</f>
        <v>0</v>
      </c>
      <c r="CR109" s="353">
        <f xml:space="preserve"> CN109 + CQ109</f>
        <v>71.261217435711941</v>
      </c>
      <c r="CS109" s="353">
        <f t="shared" si="277"/>
        <v>47.54152019236161</v>
      </c>
      <c r="CT109" s="343">
        <f t="shared" si="343"/>
        <v>71.261217435711941</v>
      </c>
      <c r="CU109" s="343">
        <f t="shared" si="344"/>
        <v>47.54152019236161</v>
      </c>
      <c r="CW109" s="350">
        <v>0.56518611121399676</v>
      </c>
      <c r="CX109" s="350">
        <v>0.21545099000141649</v>
      </c>
      <c r="CY109" s="350">
        <v>0</v>
      </c>
      <c r="CZ109" s="350">
        <v>3.75</v>
      </c>
      <c r="DA109" s="350">
        <v>17.166699999999999</v>
      </c>
      <c r="DB109" s="351">
        <f t="shared" si="278"/>
        <v>107.95054724187338</v>
      </c>
      <c r="DC109" s="351">
        <f t="shared" si="279"/>
        <v>56.448159380371116</v>
      </c>
      <c r="DD109" s="352">
        <f t="shared" si="280"/>
        <v>0</v>
      </c>
      <c r="DE109" s="352">
        <f xml:space="preserve"> IF(    SUM(DB109:DC109)=0,    0,   DD109 * DC109 / SUM(DB109:DC109)    )</f>
        <v>0</v>
      </c>
      <c r="DF109" s="353">
        <f xml:space="preserve"> DB109 + DE109</f>
        <v>107.95054724187338</v>
      </c>
      <c r="DG109" s="353">
        <f t="shared" si="283"/>
        <v>56.448159380371116</v>
      </c>
      <c r="DH109" s="343">
        <f t="shared" si="345"/>
        <v>107.95054724187338</v>
      </c>
      <c r="DI109" s="343">
        <f t="shared" si="346"/>
        <v>56.448159380371116</v>
      </c>
      <c r="DK109" s="350">
        <v>1.5202</v>
      </c>
      <c r="DL109" s="350">
        <v>0.76439999999999997</v>
      </c>
      <c r="DM109" s="350">
        <v>0</v>
      </c>
      <c r="DN109" s="350">
        <v>3</v>
      </c>
      <c r="DO109" s="350">
        <v>20.3658</v>
      </c>
      <c r="DP109" s="351">
        <f t="shared" si="284"/>
        <v>145.9392</v>
      </c>
      <c r="DQ109" s="351">
        <f t="shared" si="285"/>
        <v>133.00559999999999</v>
      </c>
      <c r="DR109" s="352">
        <f t="shared" si="286"/>
        <v>0</v>
      </c>
      <c r="DS109" s="352">
        <f xml:space="preserve"> IF(    SUM(DP109:DQ109)=0,    0,   DR109 * DQ109 / SUM(DP109:DQ109)    )</f>
        <v>0</v>
      </c>
      <c r="DT109" s="353">
        <f xml:space="preserve"> DP109 + DS109</f>
        <v>145.9392</v>
      </c>
      <c r="DU109" s="353">
        <f t="shared" si="289"/>
        <v>133.00559999999999</v>
      </c>
      <c r="DV109" s="343">
        <f t="shared" si="347"/>
        <v>145.9392</v>
      </c>
      <c r="DW109" s="343">
        <f t="shared" si="348"/>
        <v>133.00559999999999</v>
      </c>
      <c r="EB109" s="326"/>
      <c r="EC109" s="326"/>
      <c r="ED109" s="326"/>
      <c r="EE109" s="348">
        <f t="shared" si="290"/>
        <v>28.159166666666671</v>
      </c>
      <c r="EF109" s="348">
        <f t="shared" si="291"/>
        <v>148.67343333333332</v>
      </c>
      <c r="EG109" s="348">
        <f t="shared" si="292"/>
        <v>13055.1011174706</v>
      </c>
      <c r="EH109" s="348">
        <f t="shared" si="293"/>
        <v>10563.200891335338</v>
      </c>
      <c r="EI109" s="354">
        <f t="shared" si="353"/>
        <v>0.15924194219090074</v>
      </c>
      <c r="EJ109" s="326"/>
      <c r="EK109" s="348">
        <f t="shared" si="295"/>
        <v>13055.1011174706</v>
      </c>
      <c r="EL109" s="348">
        <f t="shared" si="296"/>
        <v>10563.200891335338</v>
      </c>
      <c r="EM109" s="348">
        <f t="shared" si="297"/>
        <v>13055.1011174706</v>
      </c>
      <c r="EN109" s="348">
        <f t="shared" si="298"/>
        <v>10563.200891335338</v>
      </c>
      <c r="EP109" s="326"/>
      <c r="EQ109" s="326"/>
      <c r="ER109" s="326"/>
      <c r="ES109" s="348">
        <f t="shared" si="299"/>
        <v>11.254999999999999</v>
      </c>
      <c r="ET109" s="348">
        <f t="shared" si="300"/>
        <v>77.086766666666676</v>
      </c>
      <c r="EU109" s="348">
        <f t="shared" si="301"/>
        <v>11492.330626613399</v>
      </c>
      <c r="EV109" s="348">
        <f t="shared" si="302"/>
        <v>9637.3381593701706</v>
      </c>
      <c r="EW109" s="354">
        <f t="shared" si="354"/>
        <v>0.15</v>
      </c>
      <c r="EX109" s="326"/>
      <c r="EY109" s="348">
        <f t="shared" si="304"/>
        <v>11492.330626613399</v>
      </c>
      <c r="EZ109" s="348">
        <f t="shared" si="305"/>
        <v>9637.3381593701706</v>
      </c>
      <c r="FA109" s="348">
        <f t="shared" si="306"/>
        <v>11492.330626613399</v>
      </c>
      <c r="FB109" s="348">
        <f t="shared" si="307"/>
        <v>9637.3381593701706</v>
      </c>
      <c r="FD109" s="326"/>
      <c r="FE109" s="326"/>
      <c r="FF109" s="326"/>
      <c r="FG109" s="348">
        <f t="shared" si="308"/>
        <v>14.397500000000001</v>
      </c>
      <c r="FH109" s="348">
        <f t="shared" si="309"/>
        <v>63.178333333333335</v>
      </c>
      <c r="FI109" s="348">
        <f t="shared" si="310"/>
        <v>8743.9778822800508</v>
      </c>
      <c r="FJ109" s="348">
        <f t="shared" si="311"/>
        <v>7237.9864247291835</v>
      </c>
      <c r="FK109" s="354">
        <f t="shared" si="355"/>
        <v>0.1855925921947342</v>
      </c>
      <c r="FL109" s="326"/>
      <c r="FM109" s="348">
        <f t="shared" si="313"/>
        <v>8743.9778822800508</v>
      </c>
      <c r="FN109" s="348">
        <f t="shared" si="314"/>
        <v>7237.9864247291835</v>
      </c>
      <c r="FO109" s="348">
        <f t="shared" si="315"/>
        <v>8743.9778822800508</v>
      </c>
      <c r="FP109" s="348">
        <f t="shared" si="316"/>
        <v>7237.9864247291835</v>
      </c>
      <c r="FR109" s="326"/>
      <c r="FS109" s="326"/>
      <c r="FT109" s="326"/>
      <c r="FU109" s="348">
        <f t="shared" si="317"/>
        <v>11.1075</v>
      </c>
      <c r="FV109" s="348">
        <f t="shared" si="318"/>
        <v>53.556700000000006</v>
      </c>
      <c r="FW109" s="349">
        <f t="shared" si="319"/>
        <v>1787.7667291300199</v>
      </c>
      <c r="FX109" s="349">
        <f t="shared" si="320"/>
        <v>1079.3692456837039</v>
      </c>
      <c r="FY109" s="354">
        <f t="shared" si="356"/>
        <v>0.17177201604597286</v>
      </c>
      <c r="FZ109" s="326"/>
      <c r="GA109" s="349">
        <f t="shared" si="322"/>
        <v>1787.7667291300199</v>
      </c>
      <c r="GB109" s="349">
        <f t="shared" si="323"/>
        <v>1079.3692456837039</v>
      </c>
      <c r="GC109" s="349">
        <f t="shared" si="349"/>
        <v>1787.7667291300199</v>
      </c>
      <c r="GD109" s="349">
        <f t="shared" si="350"/>
        <v>1079.3692456837039</v>
      </c>
      <c r="GF109" s="326"/>
      <c r="GG109" s="326"/>
      <c r="GH109" s="326"/>
      <c r="GI109" s="348">
        <f t="shared" si="324"/>
        <v>7.6475</v>
      </c>
      <c r="GJ109" s="348">
        <f t="shared" si="325"/>
        <v>35.475899999999996</v>
      </c>
      <c r="GK109" s="348">
        <f t="shared" si="326"/>
        <v>157.62165522921066</v>
      </c>
      <c r="GL109" s="348">
        <f t="shared" si="327"/>
        <v>92.700047696658515</v>
      </c>
      <c r="GM109" s="354">
        <f t="shared" si="357"/>
        <v>0.17733991290111634</v>
      </c>
      <c r="GN109" s="326"/>
      <c r="GO109" s="348">
        <f t="shared" si="329"/>
        <v>157.62165522921066</v>
      </c>
      <c r="GP109" s="348">
        <f t="shared" si="330"/>
        <v>92.700047696658515</v>
      </c>
      <c r="GQ109" s="348">
        <f t="shared" si="351"/>
        <v>157.62165522921066</v>
      </c>
      <c r="GR109" s="348">
        <f t="shared" si="352"/>
        <v>92.700047696658515</v>
      </c>
    </row>
    <row r="110" spans="1:200" x14ac:dyDescent="0.2">
      <c r="A110" s="320">
        <v>100</v>
      </c>
      <c r="C110" s="350">
        <v>8.2402776051853142</v>
      </c>
      <c r="D110" s="350">
        <v>2.980211492964377</v>
      </c>
      <c r="E110" s="350">
        <v>0</v>
      </c>
      <c r="F110" s="350">
        <v>7.1174999999999997</v>
      </c>
      <c r="G110" s="350">
        <v>59.103333333333339</v>
      </c>
      <c r="H110" s="351">
        <f t="shared" si="236"/>
        <v>8454.5248229201316</v>
      </c>
      <c r="I110" s="351">
        <f t="shared" si="237"/>
        <v>7080.9825072833601</v>
      </c>
      <c r="J110" s="352">
        <f t="shared" si="238"/>
        <v>0</v>
      </c>
      <c r="K110" s="352">
        <f xml:space="preserve"> IF(    SUM(H110:I110)=0,    0,   J110 * I110 / SUM(H110:I110)    )</f>
        <v>0</v>
      </c>
      <c r="L110" s="353">
        <f xml:space="preserve"> H110 + K110</f>
        <v>8454.5248229201316</v>
      </c>
      <c r="M110" s="353">
        <f t="shared" si="241"/>
        <v>7080.9825072833601</v>
      </c>
      <c r="N110" s="343">
        <f t="shared" si="331"/>
        <v>8454.5248229201316</v>
      </c>
      <c r="O110" s="343">
        <f t="shared" si="332"/>
        <v>7080.9825072833601</v>
      </c>
      <c r="Q110" s="350">
        <v>10.788156977456158</v>
      </c>
      <c r="R110" s="350">
        <v>3.7021771397719525</v>
      </c>
      <c r="S110" s="350">
        <v>0</v>
      </c>
      <c r="T110" s="350">
        <v>2</v>
      </c>
      <c r="U110" s="350">
        <v>2.333333333333333</v>
      </c>
      <c r="V110" s="351">
        <f t="shared" si="242"/>
        <v>7594.8625121291352</v>
      </c>
      <c r="W110" s="351">
        <f t="shared" si="243"/>
        <v>6212.2532405373368</v>
      </c>
      <c r="X110" s="352">
        <f t="shared" si="244"/>
        <v>0</v>
      </c>
      <c r="Y110" s="352">
        <f xml:space="preserve"> IF(    SUM(V110:W110)=0,    0,   X110 * W110 / SUM(V110:W110)    )</f>
        <v>0</v>
      </c>
      <c r="Z110" s="353">
        <f xml:space="preserve"> V110 + Y110</f>
        <v>7594.8625121291352</v>
      </c>
      <c r="AA110" s="353">
        <f t="shared" si="247"/>
        <v>6212.2532405373368</v>
      </c>
      <c r="AB110" s="343">
        <f t="shared" si="333"/>
        <v>7594.8625121291352</v>
      </c>
      <c r="AC110" s="343">
        <f t="shared" si="334"/>
        <v>6212.2532405373368</v>
      </c>
      <c r="AE110" s="350">
        <v>17.066852465548951</v>
      </c>
      <c r="AF110" s="350">
        <v>6.3890580371308436</v>
      </c>
      <c r="AG110" s="350">
        <v>0</v>
      </c>
      <c r="AH110" s="350">
        <v>0</v>
      </c>
      <c r="AI110" s="350">
        <v>1.97</v>
      </c>
      <c r="AJ110" s="351">
        <f t="shared" si="248"/>
        <v>6075.799477735427</v>
      </c>
      <c r="AK110" s="351">
        <f t="shared" si="249"/>
        <v>4894.0184564422261</v>
      </c>
      <c r="AL110" s="352">
        <f t="shared" si="250"/>
        <v>0</v>
      </c>
      <c r="AM110" s="352">
        <f xml:space="preserve"> IF(    SUM(AJ110:AK110)=0,    0,   AL110 * AK110 / SUM(AJ110:AK110)    )</f>
        <v>0</v>
      </c>
      <c r="AN110" s="353">
        <f xml:space="preserve"> AJ110 + AM110</f>
        <v>6075.799477735427</v>
      </c>
      <c r="AO110" s="353">
        <f t="shared" si="253"/>
        <v>4894.0184564422261</v>
      </c>
      <c r="AP110" s="343">
        <f t="shared" si="335"/>
        <v>6075.799477735427</v>
      </c>
      <c r="AQ110" s="343">
        <f t="shared" si="336"/>
        <v>4894.0184564422261</v>
      </c>
      <c r="AS110" s="350">
        <v>18.206700000000001</v>
      </c>
      <c r="AT110" s="350">
        <v>6.8915932557205304</v>
      </c>
      <c r="AU110" s="350">
        <v>0</v>
      </c>
      <c r="AV110" s="350">
        <v>2.8108</v>
      </c>
      <c r="AW110" s="350">
        <v>22.002500000000001</v>
      </c>
      <c r="AX110" s="351">
        <f t="shared" si="254"/>
        <v>4588.0884000000005</v>
      </c>
      <c r="AY110" s="351">
        <f t="shared" si="255"/>
        <v>3452.6882211159859</v>
      </c>
      <c r="AZ110" s="352">
        <f t="shared" si="256"/>
        <v>0</v>
      </c>
      <c r="BA110" s="352">
        <f xml:space="preserve"> IF(    SUM(AX110:AY110)=0,    0,   AZ110 * AY110 / SUM(AX110:AY110)    )</f>
        <v>0</v>
      </c>
      <c r="BB110" s="353">
        <f xml:space="preserve"> AX110 + BA110</f>
        <v>4588.0884000000005</v>
      </c>
      <c r="BC110" s="353">
        <f t="shared" si="259"/>
        <v>3452.6882211159859</v>
      </c>
      <c r="BD110" s="343">
        <f t="shared" si="337"/>
        <v>4588.0884000000005</v>
      </c>
      <c r="BE110" s="343">
        <f t="shared" si="338"/>
        <v>3452.6882211159859</v>
      </c>
      <c r="BG110" s="350">
        <v>16.250879233596297</v>
      </c>
      <c r="BH110" s="350">
        <v>7.0167554331577158</v>
      </c>
      <c r="BI110" s="350">
        <v>0</v>
      </c>
      <c r="BJ110" s="350">
        <v>2.8108</v>
      </c>
      <c r="BK110" s="350">
        <v>23.002500000000001</v>
      </c>
      <c r="BL110" s="351">
        <f t="shared" si="260"/>
        <v>3851.4583783623225</v>
      </c>
      <c r="BM110" s="351">
        <f t="shared" si="261"/>
        <v>3382.076118782019</v>
      </c>
      <c r="BN110" s="352">
        <f t="shared" si="262"/>
        <v>0</v>
      </c>
      <c r="BO110" s="352">
        <f xml:space="preserve"> IF(    SUM(BL110:BM110)=0,    0,   BN110 * BM110 / SUM(BL110:BM110)    )</f>
        <v>0</v>
      </c>
      <c r="BP110" s="353">
        <f xml:space="preserve"> BL110 + BO110</f>
        <v>3851.4583783623225</v>
      </c>
      <c r="BQ110" s="353">
        <f t="shared" si="265"/>
        <v>3382.076118782019</v>
      </c>
      <c r="BR110" s="343">
        <f t="shared" si="339"/>
        <v>3851.4583783623225</v>
      </c>
      <c r="BS110" s="343">
        <f t="shared" si="340"/>
        <v>3382.076118782019</v>
      </c>
      <c r="BU110" s="350">
        <v>14.274734742795973</v>
      </c>
      <c r="BV110" s="350">
        <v>7.3400295089420329</v>
      </c>
      <c r="BW110" s="350">
        <v>0</v>
      </c>
      <c r="BX110" s="350">
        <v>2.8224999999999998</v>
      </c>
      <c r="BY110" s="350">
        <v>19.22</v>
      </c>
      <c r="BZ110" s="351">
        <f t="shared" si="266"/>
        <v>2598.0017231888669</v>
      </c>
      <c r="CA110" s="351">
        <f t="shared" si="267"/>
        <v>2253.389059245204</v>
      </c>
      <c r="CB110" s="352">
        <f t="shared" si="268"/>
        <v>0</v>
      </c>
      <c r="CC110" s="352">
        <f xml:space="preserve"> IF(    SUM(BZ110:CA110)=0,    0,   CB110 * CA110 / SUM(BZ110:CA110)    )</f>
        <v>0</v>
      </c>
      <c r="CD110" s="353">
        <f xml:space="preserve"> BZ110 + CC110</f>
        <v>2598.0017231888669</v>
      </c>
      <c r="CE110" s="353">
        <f t="shared" si="271"/>
        <v>2253.389059245204</v>
      </c>
      <c r="CF110" s="343">
        <f t="shared" si="341"/>
        <v>2598.0017231888669</v>
      </c>
      <c r="CG110" s="343">
        <f t="shared" si="342"/>
        <v>2253.389059245204</v>
      </c>
      <c r="CI110" s="357">
        <v>0.39370838362271787</v>
      </c>
      <c r="CJ110" s="357">
        <v>0.20943400965798065</v>
      </c>
      <c r="CK110" s="350">
        <v>0</v>
      </c>
      <c r="CL110" s="350">
        <v>2.38</v>
      </c>
      <c r="CM110" s="350">
        <v>2.36</v>
      </c>
      <c r="CN110" s="351">
        <f t="shared" si="272"/>
        <v>71.261217435711941</v>
      </c>
      <c r="CO110" s="351">
        <f t="shared" si="273"/>
        <v>47.54152019236161</v>
      </c>
      <c r="CP110" s="352">
        <f t="shared" si="274"/>
        <v>0</v>
      </c>
      <c r="CQ110" s="352">
        <f xml:space="preserve"> IF(    SUM(CN110:CO110)=0,    0,   CP110 * CO110 / SUM(CN110:CO110)    )</f>
        <v>0</v>
      </c>
      <c r="CR110" s="353">
        <f xml:space="preserve"> CN110 + CQ110</f>
        <v>71.261217435711941</v>
      </c>
      <c r="CS110" s="353">
        <f t="shared" si="277"/>
        <v>47.54152019236161</v>
      </c>
      <c r="CT110" s="343">
        <f t="shared" si="343"/>
        <v>71.261217435711941</v>
      </c>
      <c r="CU110" s="343">
        <f t="shared" si="344"/>
        <v>47.54152019236161</v>
      </c>
      <c r="CW110" s="357">
        <v>0.56518611121399676</v>
      </c>
      <c r="CX110" s="357">
        <v>0.21545099000141649</v>
      </c>
      <c r="CY110" s="350">
        <v>0</v>
      </c>
      <c r="CZ110" s="350">
        <v>2</v>
      </c>
      <c r="DA110" s="350">
        <v>1</v>
      </c>
      <c r="DB110" s="351">
        <f t="shared" si="278"/>
        <v>107.95054724187338</v>
      </c>
      <c r="DC110" s="351">
        <f t="shared" si="279"/>
        <v>56.448159380371116</v>
      </c>
      <c r="DD110" s="352">
        <f t="shared" si="280"/>
        <v>0</v>
      </c>
      <c r="DE110" s="352">
        <f xml:space="preserve"> IF(    SUM(DB110:DC110)=0,    0,   DD110 * DC110 / SUM(DB110:DC110)    )</f>
        <v>0</v>
      </c>
      <c r="DF110" s="353">
        <f xml:space="preserve"> DB110 + DE110</f>
        <v>107.95054724187338</v>
      </c>
      <c r="DG110" s="353">
        <f t="shared" si="283"/>
        <v>56.448159380371116</v>
      </c>
      <c r="DH110" s="343">
        <f t="shared" si="345"/>
        <v>107.95054724187338</v>
      </c>
      <c r="DI110" s="343">
        <f t="shared" si="346"/>
        <v>56.448159380371116</v>
      </c>
      <c r="DK110" s="357">
        <v>1.5202</v>
      </c>
      <c r="DL110" s="357">
        <v>0.76439999999999997</v>
      </c>
      <c r="DM110" s="350">
        <v>0</v>
      </c>
      <c r="DN110" s="350">
        <v>1</v>
      </c>
      <c r="DO110" s="350">
        <v>8.08</v>
      </c>
      <c r="DP110" s="351">
        <f t="shared" si="284"/>
        <v>145.9392</v>
      </c>
      <c r="DQ110" s="351">
        <f t="shared" si="285"/>
        <v>133.00559999999999</v>
      </c>
      <c r="DR110" s="352">
        <f t="shared" si="286"/>
        <v>0</v>
      </c>
      <c r="DS110" s="352">
        <f xml:space="preserve"> IF(    SUM(DP110:DQ110)=0,    0,   DR110 * DQ110 / SUM(DP110:DQ110)    )</f>
        <v>0</v>
      </c>
      <c r="DT110" s="353">
        <f xml:space="preserve"> DP110 + DS110</f>
        <v>145.9392</v>
      </c>
      <c r="DU110" s="353">
        <f t="shared" si="289"/>
        <v>133.00559999999999</v>
      </c>
      <c r="DV110" s="343">
        <f t="shared" si="347"/>
        <v>145.9392</v>
      </c>
      <c r="DW110" s="343">
        <f t="shared" si="348"/>
        <v>133.00559999999999</v>
      </c>
      <c r="EB110" s="326"/>
      <c r="EC110" s="326"/>
      <c r="ED110" s="326"/>
      <c r="EE110" s="348">
        <f t="shared" si="290"/>
        <v>14.308299999999999</v>
      </c>
      <c r="EF110" s="348">
        <f t="shared" si="291"/>
        <v>84.465833333333336</v>
      </c>
      <c r="EG110" s="348">
        <f t="shared" si="292"/>
        <v>13200.234878149344</v>
      </c>
      <c r="EH110" s="348">
        <f t="shared" si="293"/>
        <v>10626.370776096004</v>
      </c>
      <c r="EI110" s="354">
        <f t="shared" si="353"/>
        <v>0.15</v>
      </c>
      <c r="EJ110" s="326"/>
      <c r="EK110" s="348">
        <f t="shared" si="295"/>
        <v>13200.234878149344</v>
      </c>
      <c r="EL110" s="348">
        <f t="shared" si="296"/>
        <v>10626.370776096004</v>
      </c>
      <c r="EM110" s="348">
        <f t="shared" si="297"/>
        <v>13200.234878149344</v>
      </c>
      <c r="EN110" s="348">
        <f t="shared" si="298"/>
        <v>10626.370776096004</v>
      </c>
      <c r="EP110" s="326"/>
      <c r="EQ110" s="326"/>
      <c r="ER110" s="326"/>
      <c r="ES110" s="348">
        <f t="shared" si="299"/>
        <v>9.1907999999999994</v>
      </c>
      <c r="ET110" s="348">
        <f t="shared" si="300"/>
        <v>28.695833333333333</v>
      </c>
      <c r="EU110" s="348">
        <f t="shared" si="301"/>
        <v>11593.147490996482</v>
      </c>
      <c r="EV110" s="348">
        <f t="shared" si="302"/>
        <v>9681.3845910779783</v>
      </c>
      <c r="EW110" s="354">
        <f t="shared" si="354"/>
        <v>0.24258687540636581</v>
      </c>
      <c r="EX110" s="326"/>
      <c r="EY110" s="348">
        <f t="shared" si="304"/>
        <v>11593.147490996482</v>
      </c>
      <c r="EZ110" s="348">
        <f t="shared" si="305"/>
        <v>9681.3845910779783</v>
      </c>
      <c r="FA110" s="348">
        <f t="shared" si="306"/>
        <v>11593.147490996482</v>
      </c>
      <c r="FB110" s="348">
        <f t="shared" si="307"/>
        <v>9681.3845910779783</v>
      </c>
      <c r="FD110" s="326"/>
      <c r="FE110" s="326"/>
      <c r="FF110" s="326"/>
      <c r="FG110" s="348">
        <f t="shared" si="308"/>
        <v>6.2024999999999997</v>
      </c>
      <c r="FH110" s="348">
        <f t="shared" si="309"/>
        <v>31.629999999999995</v>
      </c>
      <c r="FI110" s="348">
        <f t="shared" si="310"/>
        <v>8832.6259383600063</v>
      </c>
      <c r="FJ110" s="348">
        <f t="shared" si="311"/>
        <v>7274.752395879791</v>
      </c>
      <c r="FK110" s="354">
        <f t="shared" si="355"/>
        <v>0.16394634243045003</v>
      </c>
      <c r="FL110" s="326"/>
      <c r="FM110" s="348">
        <f t="shared" si="313"/>
        <v>8832.6259383600063</v>
      </c>
      <c r="FN110" s="348">
        <f t="shared" si="314"/>
        <v>7274.752395879791</v>
      </c>
      <c r="FO110" s="348">
        <f t="shared" si="315"/>
        <v>8832.6259383600063</v>
      </c>
      <c r="FP110" s="348">
        <f t="shared" si="316"/>
        <v>7274.752395879791</v>
      </c>
      <c r="FR110" s="326"/>
      <c r="FS110" s="326"/>
      <c r="FT110" s="326"/>
      <c r="FU110" s="348">
        <f t="shared" si="317"/>
        <v>5.6333000000000002</v>
      </c>
      <c r="FV110" s="348">
        <f t="shared" si="318"/>
        <v>41.222499999999997</v>
      </c>
      <c r="FW110" s="349">
        <f t="shared" si="319"/>
        <v>1791.0780091300203</v>
      </c>
      <c r="FX110" s="349">
        <f t="shared" si="320"/>
        <v>1079.3692456837039</v>
      </c>
      <c r="FY110" s="354">
        <f t="shared" si="356"/>
        <v>0.15</v>
      </c>
      <c r="FZ110" s="326"/>
      <c r="GA110" s="349">
        <f t="shared" si="322"/>
        <v>1791.0780091300203</v>
      </c>
      <c r="GB110" s="349">
        <f t="shared" si="323"/>
        <v>1079.3692456837039</v>
      </c>
      <c r="GC110" s="349">
        <f t="shared" si="349"/>
        <v>1791.0780091300203</v>
      </c>
      <c r="GD110" s="349">
        <f t="shared" si="350"/>
        <v>1079.3692456837039</v>
      </c>
      <c r="GF110" s="326"/>
      <c r="GG110" s="326"/>
      <c r="GH110" s="326"/>
      <c r="GI110" s="348">
        <f t="shared" si="324"/>
        <v>4.38</v>
      </c>
      <c r="GJ110" s="348">
        <f t="shared" si="325"/>
        <v>3.36</v>
      </c>
      <c r="GK110" s="348">
        <f t="shared" si="326"/>
        <v>157.62165522921066</v>
      </c>
      <c r="GL110" s="348">
        <f t="shared" si="327"/>
        <v>92.700047696658515</v>
      </c>
      <c r="GM110" s="354">
        <f t="shared" si="357"/>
        <v>0.56589147286821706</v>
      </c>
      <c r="GN110" s="326"/>
      <c r="GO110" s="348">
        <f t="shared" si="329"/>
        <v>157.62165522921066</v>
      </c>
      <c r="GP110" s="348">
        <f t="shared" si="330"/>
        <v>92.700047696658515</v>
      </c>
      <c r="GQ110" s="348">
        <f t="shared" si="351"/>
        <v>157.62165522921066</v>
      </c>
      <c r="GR110" s="348">
        <f t="shared" si="352"/>
        <v>92.700047696658515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5">
    <tabColor indexed="13"/>
  </sheetPr>
  <dimension ref="A1:HK110"/>
  <sheetViews>
    <sheetView workbookViewId="0">
      <pane xSplit="2" ySplit="9" topLeftCell="C109" activePane="bottomRight" state="frozen"/>
      <selection pane="topRight" activeCell="C1" sqref="C1"/>
      <selection pane="bottomLeft" activeCell="A10" sqref="A10"/>
      <selection pane="bottomRight" sqref="A1:XFD1048576"/>
    </sheetView>
  </sheetViews>
  <sheetFormatPr baseColWidth="10" defaultColWidth="8.6640625" defaultRowHeight="10.199999999999999" x14ac:dyDescent="0.2"/>
  <cols>
    <col min="1" max="5" width="8.6640625" style="320" customWidth="1"/>
    <col min="6" max="7" width="8.6640625" style="323" customWidth="1"/>
    <col min="8" max="19" width="8.6640625" style="320" customWidth="1"/>
    <col min="20" max="21" width="8.6640625" style="323" customWidth="1"/>
    <col min="22" max="33" width="8.6640625" style="320" customWidth="1"/>
    <col min="34" max="35" width="8.6640625" style="323" customWidth="1"/>
    <col min="36" max="47" width="8.6640625" style="320" customWidth="1"/>
    <col min="48" max="49" width="8.6640625" style="323" customWidth="1"/>
    <col min="50" max="61" width="8.6640625" style="320" customWidth="1"/>
    <col min="62" max="63" width="8.6640625" style="323" customWidth="1"/>
    <col min="64" max="75" width="8.6640625" style="320" customWidth="1"/>
    <col min="76" max="77" width="8.6640625" style="323" customWidth="1"/>
    <col min="78" max="89" width="8.6640625" style="320" customWidth="1"/>
    <col min="90" max="91" width="8.6640625" style="323" customWidth="1"/>
    <col min="92" max="103" width="8.6640625" style="320" customWidth="1"/>
    <col min="104" max="105" width="8.6640625" style="323" customWidth="1"/>
    <col min="106" max="117" width="8.6640625" style="320" customWidth="1"/>
    <col min="118" max="119" width="8.6640625" style="323" customWidth="1"/>
    <col min="120" max="130" width="8.6640625" style="320" customWidth="1"/>
    <col min="131" max="138" width="8.6640625" style="329" customWidth="1"/>
    <col min="139" max="139" width="8.6640625" style="323" customWidth="1"/>
    <col min="140" max="152" width="8.6640625" style="329" customWidth="1"/>
    <col min="153" max="153" width="8.6640625" style="323" customWidth="1"/>
    <col min="154" max="166" width="8.6640625" style="329" customWidth="1"/>
    <col min="167" max="167" width="8.6640625" style="323" customWidth="1"/>
    <col min="168" max="208" width="8.6640625" style="329" customWidth="1"/>
    <col min="209" max="211" width="8.6640625" style="320" customWidth="1"/>
    <col min="212" max="213" width="8.6640625" style="323" customWidth="1"/>
    <col min="214" max="16384" width="8.6640625" style="320"/>
  </cols>
  <sheetData>
    <row r="1" spans="1:219" ht="40.799999999999997" x14ac:dyDescent="0.2">
      <c r="EB1" s="358" t="s">
        <v>94</v>
      </c>
      <c r="EC1" s="359" t="str">
        <f xml:space="preserve"> EB1</f>
        <v>Primo kompakt 2013</v>
      </c>
      <c r="ED1" s="359" t="str">
        <f t="shared" ref="ED1:EL1" si="0" xml:space="preserve"> EC1</f>
        <v>Primo kompakt 2013</v>
      </c>
      <c r="EE1" s="359" t="str">
        <f t="shared" si="0"/>
        <v>Primo kompakt 2013</v>
      </c>
      <c r="EF1" s="359" t="str">
        <f t="shared" si="0"/>
        <v>Primo kompakt 2013</v>
      </c>
      <c r="EG1" s="359" t="str">
        <f t="shared" si="0"/>
        <v>Primo kompakt 2013</v>
      </c>
      <c r="EH1" s="359" t="str">
        <f t="shared" si="0"/>
        <v>Primo kompakt 2013</v>
      </c>
      <c r="EI1" s="359" t="str">
        <f t="shared" si="0"/>
        <v>Primo kompakt 2013</v>
      </c>
      <c r="EJ1" s="359" t="str">
        <f t="shared" si="0"/>
        <v>Primo kompakt 2013</v>
      </c>
      <c r="EK1" s="359" t="str">
        <f t="shared" si="0"/>
        <v>Primo kompakt 2013</v>
      </c>
      <c r="EL1" s="359" t="str">
        <f t="shared" si="0"/>
        <v>Primo kompakt 2013</v>
      </c>
      <c r="EM1" s="359" t="str">
        <f xml:space="preserve"> EL1</f>
        <v>Primo kompakt 2013</v>
      </c>
      <c r="EN1" s="359" t="str">
        <f xml:space="preserve"> EM1</f>
        <v>Primo kompakt 2013</v>
      </c>
      <c r="EP1" s="358" t="s">
        <v>95</v>
      </c>
      <c r="EQ1" s="359" t="str">
        <f xml:space="preserve"> EP1</f>
        <v>Secundo kompakt 2013</v>
      </c>
      <c r="ER1" s="359" t="str">
        <f t="shared" ref="ER1:EZ1" si="1" xml:space="preserve"> EQ1</f>
        <v>Secundo kompakt 2013</v>
      </c>
      <c r="ES1" s="359" t="str">
        <f t="shared" si="1"/>
        <v>Secundo kompakt 2013</v>
      </c>
      <c r="ET1" s="359" t="str">
        <f t="shared" si="1"/>
        <v>Secundo kompakt 2013</v>
      </c>
      <c r="EU1" s="359" t="str">
        <f t="shared" si="1"/>
        <v>Secundo kompakt 2013</v>
      </c>
      <c r="EV1" s="359" t="str">
        <f t="shared" si="1"/>
        <v>Secundo kompakt 2013</v>
      </c>
      <c r="EW1" s="359" t="str">
        <f t="shared" si="1"/>
        <v>Secundo kompakt 2013</v>
      </c>
      <c r="EX1" s="359" t="str">
        <f t="shared" si="1"/>
        <v>Secundo kompakt 2013</v>
      </c>
      <c r="EY1" s="359" t="str">
        <f t="shared" si="1"/>
        <v>Secundo kompakt 2013</v>
      </c>
      <c r="EZ1" s="359" t="str">
        <f t="shared" si="1"/>
        <v>Secundo kompakt 2013</v>
      </c>
      <c r="FA1" s="359" t="str">
        <f xml:space="preserve"> EZ1</f>
        <v>Secundo kompakt 2013</v>
      </c>
      <c r="FB1" s="359" t="str">
        <f xml:space="preserve"> FA1</f>
        <v>Secundo kompakt 2013</v>
      </c>
      <c r="FD1" s="358" t="s">
        <v>96</v>
      </c>
      <c r="FE1" s="359" t="str">
        <f xml:space="preserve"> FD1</f>
        <v>Tertio kompakt 2013</v>
      </c>
      <c r="FF1" s="359" t="str">
        <f t="shared" ref="FF1:FN1" si="2" xml:space="preserve"> FE1</f>
        <v>Tertio kompakt 2013</v>
      </c>
      <c r="FG1" s="359" t="str">
        <f t="shared" si="2"/>
        <v>Tertio kompakt 2013</v>
      </c>
      <c r="FH1" s="359" t="str">
        <f t="shared" si="2"/>
        <v>Tertio kompakt 2013</v>
      </c>
      <c r="FI1" s="359" t="str">
        <f t="shared" si="2"/>
        <v>Tertio kompakt 2013</v>
      </c>
      <c r="FJ1" s="359" t="str">
        <f t="shared" si="2"/>
        <v>Tertio kompakt 2013</v>
      </c>
      <c r="FK1" s="359" t="str">
        <f t="shared" si="2"/>
        <v>Tertio kompakt 2013</v>
      </c>
      <c r="FL1" s="359" t="str">
        <f t="shared" si="2"/>
        <v>Tertio kompakt 2013</v>
      </c>
      <c r="FM1" s="359" t="str">
        <f t="shared" si="2"/>
        <v>Tertio kompakt 2013</v>
      </c>
      <c r="FN1" s="359" t="str">
        <f t="shared" si="2"/>
        <v>Tertio kompakt 2013</v>
      </c>
      <c r="FO1" s="359" t="str">
        <f xml:space="preserve"> FN1</f>
        <v>Tertio kompakt 2013</v>
      </c>
      <c r="FP1" s="359" t="str">
        <f xml:space="preserve"> FO1</f>
        <v>Tertio kompakt 2013</v>
      </c>
      <c r="FR1" s="358" t="s">
        <v>129</v>
      </c>
      <c r="FS1" s="359" t="str">
        <f xml:space="preserve"> FR1</f>
        <v>Primo zahn 2013</v>
      </c>
      <c r="FT1" s="359" t="str">
        <f t="shared" ref="FT1:GB1" si="3" xml:space="preserve"> FS1</f>
        <v>Primo zahn 2013</v>
      </c>
      <c r="FU1" s="359" t="str">
        <f t="shared" si="3"/>
        <v>Primo zahn 2013</v>
      </c>
      <c r="FV1" s="359" t="str">
        <f t="shared" si="3"/>
        <v>Primo zahn 2013</v>
      </c>
      <c r="FW1" s="359" t="str">
        <f t="shared" si="3"/>
        <v>Primo zahn 2013</v>
      </c>
      <c r="FX1" s="359" t="str">
        <f t="shared" si="3"/>
        <v>Primo zahn 2013</v>
      </c>
      <c r="FY1" s="359" t="str">
        <f t="shared" si="3"/>
        <v>Primo zahn 2013</v>
      </c>
      <c r="FZ1" s="359" t="str">
        <f t="shared" si="3"/>
        <v>Primo zahn 2013</v>
      </c>
      <c r="GA1" s="359" t="str">
        <f t="shared" si="3"/>
        <v>Primo zahn 2013</v>
      </c>
      <c r="GB1" s="359" t="str">
        <f t="shared" si="3"/>
        <v>Primo zahn 2013</v>
      </c>
      <c r="GC1" s="359" t="str">
        <f xml:space="preserve"> GB1</f>
        <v>Primo zahn 2013</v>
      </c>
      <c r="GD1" s="359" t="str">
        <f xml:space="preserve"> GC1</f>
        <v>Primo zahn 2013</v>
      </c>
      <c r="GF1" s="358" t="s">
        <v>128</v>
      </c>
      <c r="GG1" s="359" t="str">
        <f xml:space="preserve"> GF1</f>
        <v>GKV-Erg Primo stationär 2013</v>
      </c>
      <c r="GH1" s="359" t="str">
        <f t="shared" ref="GH1:GP1" si="4" xml:space="preserve"> GG1</f>
        <v>GKV-Erg Primo stationär 2013</v>
      </c>
      <c r="GI1" s="359" t="str">
        <f t="shared" si="4"/>
        <v>GKV-Erg Primo stationär 2013</v>
      </c>
      <c r="GJ1" s="359" t="str">
        <f t="shared" si="4"/>
        <v>GKV-Erg Primo stationär 2013</v>
      </c>
      <c r="GK1" s="359" t="str">
        <f t="shared" si="4"/>
        <v>GKV-Erg Primo stationär 2013</v>
      </c>
      <c r="GL1" s="359" t="str">
        <f t="shared" si="4"/>
        <v>GKV-Erg Primo stationär 2013</v>
      </c>
      <c r="GM1" s="359" t="str">
        <f t="shared" si="4"/>
        <v>GKV-Erg Primo stationär 2013</v>
      </c>
      <c r="GN1" s="359" t="str">
        <f t="shared" si="4"/>
        <v>GKV-Erg Primo stationär 2013</v>
      </c>
      <c r="GO1" s="359" t="str">
        <f t="shared" si="4"/>
        <v>GKV-Erg Primo stationär 2013</v>
      </c>
      <c r="GP1" s="359" t="str">
        <f t="shared" si="4"/>
        <v>GKV-Erg Primo stationär 2013</v>
      </c>
      <c r="GQ1" s="359" t="str">
        <f xml:space="preserve"> GP1</f>
        <v>GKV-Erg Primo stationär 2013</v>
      </c>
      <c r="GR1" s="359" t="str">
        <f xml:space="preserve"> GQ1</f>
        <v>GKV-Erg Primo stationär 2013</v>
      </c>
    </row>
    <row r="2" spans="1:219" x14ac:dyDescent="0.2">
      <c r="C2" s="360" t="s">
        <v>78</v>
      </c>
      <c r="D2" s="361"/>
      <c r="E2" s="361"/>
      <c r="F2" s="362"/>
      <c r="G2" s="362"/>
      <c r="H2" s="361"/>
      <c r="I2" s="361"/>
      <c r="J2" s="361"/>
      <c r="K2" s="361"/>
      <c r="L2" s="361"/>
      <c r="M2" s="361"/>
      <c r="N2" s="361"/>
      <c r="O2" s="361"/>
      <c r="Q2" s="360" t="s">
        <v>78</v>
      </c>
      <c r="R2" s="361"/>
      <c r="S2" s="361"/>
      <c r="T2" s="362"/>
      <c r="U2" s="362"/>
      <c r="V2" s="361"/>
      <c r="W2" s="361"/>
      <c r="X2" s="361"/>
      <c r="Y2" s="361"/>
      <c r="Z2" s="361"/>
      <c r="AA2" s="361"/>
      <c r="AB2" s="361"/>
      <c r="AC2" s="361"/>
      <c r="AE2" s="360" t="s">
        <v>78</v>
      </c>
      <c r="AF2" s="361"/>
      <c r="AG2" s="361"/>
      <c r="AH2" s="362"/>
      <c r="AI2" s="362"/>
      <c r="AJ2" s="361"/>
      <c r="AK2" s="361"/>
      <c r="AL2" s="361"/>
      <c r="AM2" s="361"/>
      <c r="AN2" s="361"/>
      <c r="AO2" s="361"/>
      <c r="AP2" s="361"/>
      <c r="AQ2" s="361"/>
      <c r="AS2" s="360" t="s">
        <v>78</v>
      </c>
      <c r="AT2" s="361"/>
      <c r="AU2" s="361"/>
      <c r="AV2" s="362"/>
      <c r="AW2" s="362"/>
      <c r="AX2" s="361"/>
      <c r="AY2" s="361"/>
      <c r="AZ2" s="361"/>
      <c r="BA2" s="361"/>
      <c r="BB2" s="361"/>
      <c r="BC2" s="361"/>
      <c r="BD2" s="361"/>
      <c r="BE2" s="361"/>
      <c r="BG2" s="360" t="s">
        <v>78</v>
      </c>
      <c r="BH2" s="361"/>
      <c r="BI2" s="361"/>
      <c r="BJ2" s="362"/>
      <c r="BK2" s="362"/>
      <c r="BL2" s="361"/>
      <c r="BM2" s="361"/>
      <c r="BN2" s="361"/>
      <c r="BO2" s="361"/>
      <c r="BP2" s="361"/>
      <c r="BQ2" s="361"/>
      <c r="BR2" s="361"/>
      <c r="BS2" s="361"/>
      <c r="BU2" s="360" t="s">
        <v>78</v>
      </c>
      <c r="BV2" s="361"/>
      <c r="BW2" s="361"/>
      <c r="BX2" s="362"/>
      <c r="BY2" s="362"/>
      <c r="BZ2" s="361"/>
      <c r="CA2" s="361"/>
      <c r="CB2" s="361"/>
      <c r="CC2" s="361"/>
      <c r="CD2" s="361"/>
      <c r="CE2" s="361"/>
      <c r="CF2" s="361"/>
      <c r="CG2" s="361"/>
      <c r="CI2" s="360" t="s">
        <v>78</v>
      </c>
      <c r="CJ2" s="361"/>
      <c r="CK2" s="361"/>
      <c r="CL2" s="362"/>
      <c r="CM2" s="362"/>
      <c r="CN2" s="361"/>
      <c r="CO2" s="361"/>
      <c r="CP2" s="361"/>
      <c r="CQ2" s="361"/>
      <c r="CR2" s="361"/>
      <c r="CS2" s="361"/>
      <c r="CT2" s="361"/>
      <c r="CU2" s="361"/>
      <c r="CW2" s="360" t="s">
        <v>78</v>
      </c>
      <c r="CX2" s="361"/>
      <c r="CY2" s="361"/>
      <c r="CZ2" s="362"/>
      <c r="DA2" s="362"/>
      <c r="DB2" s="361"/>
      <c r="DC2" s="361"/>
      <c r="DD2" s="361"/>
      <c r="DE2" s="361"/>
      <c r="DF2" s="361"/>
      <c r="DG2" s="361"/>
      <c r="DH2" s="361"/>
      <c r="DI2" s="361"/>
      <c r="DK2" s="360" t="s">
        <v>78</v>
      </c>
      <c r="DL2" s="361"/>
      <c r="DM2" s="361"/>
      <c r="DN2" s="362"/>
      <c r="DO2" s="362"/>
      <c r="DP2" s="361"/>
      <c r="DQ2" s="361"/>
      <c r="DR2" s="361"/>
      <c r="DS2" s="361"/>
      <c r="DT2" s="361"/>
      <c r="DU2" s="361"/>
      <c r="DV2" s="361"/>
      <c r="DW2" s="361"/>
      <c r="EB2" s="363"/>
      <c r="EC2" s="363"/>
      <c r="ED2" s="363"/>
      <c r="EE2" s="363"/>
      <c r="EF2" s="363"/>
      <c r="EG2" s="364" t="str">
        <f t="shared" ref="EG2:EL2" si="5" xml:space="preserve"> EG4</f>
        <v>M mSML</v>
      </c>
      <c r="EH2" s="364" t="str">
        <f t="shared" si="5"/>
        <v>F mSML</v>
      </c>
      <c r="EI2" s="364" t="str">
        <f t="shared" si="5"/>
        <v>λ_x</v>
      </c>
      <c r="EJ2" s="363"/>
      <c r="EK2" s="364" t="str">
        <f t="shared" si="5"/>
        <v>M vSML</v>
      </c>
      <c r="EL2" s="364" t="str">
        <f t="shared" si="5"/>
        <v>F vSML</v>
      </c>
      <c r="EM2" s="364" t="str">
        <f xml:space="preserve"> EM4</f>
        <v>M vSML/glvert</v>
      </c>
      <c r="EN2" s="364" t="str">
        <f xml:space="preserve"> EN4</f>
        <v>F vSML/glvert</v>
      </c>
      <c r="EP2" s="363"/>
      <c r="EQ2" s="363"/>
      <c r="ER2" s="363"/>
      <c r="ES2" s="363"/>
      <c r="ET2" s="363"/>
      <c r="EU2" s="364" t="str">
        <f t="shared" ref="EU2:EZ2" si="6" xml:space="preserve"> EU4</f>
        <v>M mSML</v>
      </c>
      <c r="EV2" s="364" t="str">
        <f t="shared" si="6"/>
        <v>F mSML</v>
      </c>
      <c r="EW2" s="364" t="str">
        <f t="shared" si="6"/>
        <v>λ_x</v>
      </c>
      <c r="EX2" s="363"/>
      <c r="EY2" s="364" t="str">
        <f t="shared" si="6"/>
        <v>M vSML</v>
      </c>
      <c r="EZ2" s="364" t="str">
        <f t="shared" si="6"/>
        <v>F vSML</v>
      </c>
      <c r="FA2" s="364" t="str">
        <f xml:space="preserve"> FA4</f>
        <v>M vSML/glvert</v>
      </c>
      <c r="FB2" s="364" t="str">
        <f xml:space="preserve"> FB4</f>
        <v>F vSML/glvert</v>
      </c>
      <c r="FD2" s="363"/>
      <c r="FE2" s="363"/>
      <c r="FF2" s="363"/>
      <c r="FG2" s="363"/>
      <c r="FH2" s="363"/>
      <c r="FI2" s="364" t="str">
        <f t="shared" ref="FI2:FN2" si="7" xml:space="preserve"> FI4</f>
        <v>M mSML</v>
      </c>
      <c r="FJ2" s="364" t="str">
        <f t="shared" si="7"/>
        <v>F mSML</v>
      </c>
      <c r="FK2" s="364" t="str">
        <f t="shared" si="7"/>
        <v>λ_x</v>
      </c>
      <c r="FL2" s="363"/>
      <c r="FM2" s="364" t="str">
        <f t="shared" si="7"/>
        <v>M vSML</v>
      </c>
      <c r="FN2" s="364" t="str">
        <f t="shared" si="7"/>
        <v>F vSML</v>
      </c>
      <c r="FO2" s="364" t="str">
        <f xml:space="preserve"> FO4</f>
        <v>M vSML/glvert</v>
      </c>
      <c r="FP2" s="364" t="str">
        <f xml:space="preserve"> FP4</f>
        <v>F vSML/glvert</v>
      </c>
      <c r="FR2" s="363"/>
      <c r="FS2" s="363"/>
      <c r="FT2" s="363"/>
      <c r="FU2" s="363"/>
      <c r="FV2" s="363"/>
      <c r="FW2" s="364" t="str">
        <f t="shared" ref="FW2:GB2" si="8" xml:space="preserve"> FW4</f>
        <v>M mSML</v>
      </c>
      <c r="FX2" s="364" t="str">
        <f t="shared" si="8"/>
        <v>F mSML</v>
      </c>
      <c r="FY2" s="364" t="str">
        <f t="shared" si="8"/>
        <v>λ_x</v>
      </c>
      <c r="FZ2" s="363"/>
      <c r="GA2" s="364" t="str">
        <f t="shared" si="8"/>
        <v>M vSML</v>
      </c>
      <c r="GB2" s="364" t="str">
        <f t="shared" si="8"/>
        <v>F vSML</v>
      </c>
      <c r="GC2" s="364" t="str">
        <f xml:space="preserve"> GC4</f>
        <v>M vSML/glvert</v>
      </c>
      <c r="GD2" s="364" t="str">
        <f xml:space="preserve"> GD4</f>
        <v>F vSML/glvert</v>
      </c>
      <c r="GF2" s="363"/>
      <c r="GG2" s="363"/>
      <c r="GH2" s="363"/>
      <c r="GI2" s="363"/>
      <c r="GJ2" s="363"/>
      <c r="GK2" s="364" t="str">
        <f t="shared" ref="GK2:GP2" si="9" xml:space="preserve"> GK4</f>
        <v>M mSML</v>
      </c>
      <c r="GL2" s="364" t="str">
        <f t="shared" si="9"/>
        <v>F mSML</v>
      </c>
      <c r="GM2" s="364" t="str">
        <f t="shared" si="9"/>
        <v>λ_x</v>
      </c>
      <c r="GN2" s="363"/>
      <c r="GO2" s="364" t="str">
        <f t="shared" si="9"/>
        <v>M vSML</v>
      </c>
      <c r="GP2" s="364" t="str">
        <f t="shared" si="9"/>
        <v>F vSML</v>
      </c>
      <c r="GQ2" s="364" t="str">
        <f xml:space="preserve"> GQ4</f>
        <v>M vSML/glvert</v>
      </c>
      <c r="GR2" s="364" t="str">
        <f xml:space="preserve"> GR4</f>
        <v>F vSML/glvert</v>
      </c>
      <c r="HA2" s="360" t="s">
        <v>78</v>
      </c>
      <c r="HB2" s="361"/>
      <c r="HC2" s="361"/>
      <c r="HD2" s="362"/>
      <c r="HE2" s="362"/>
      <c r="HF2" s="361"/>
      <c r="HG2" s="361"/>
      <c r="HH2" s="361"/>
      <c r="HI2" s="361"/>
      <c r="HJ2" s="361"/>
      <c r="HK2" s="361"/>
    </row>
    <row r="3" spans="1:219" s="365" customFormat="1" ht="102" x14ac:dyDescent="0.2">
      <c r="C3" s="313" t="s">
        <v>0</v>
      </c>
      <c r="D3" s="313" t="s">
        <v>1</v>
      </c>
      <c r="E3" s="313" t="s">
        <v>77</v>
      </c>
      <c r="F3" s="313" t="s">
        <v>79</v>
      </c>
      <c r="G3" s="313" t="s">
        <v>80</v>
      </c>
      <c r="H3" s="311" t="str">
        <f xml:space="preserve"> C3 &amp; " " &amp; SML_mSML</f>
        <v>M mSML</v>
      </c>
      <c r="I3" s="311" t="str">
        <f xml:space="preserve"> D3 &amp; " " &amp; SML_mSML</f>
        <v>F mSML</v>
      </c>
      <c r="J3" s="312" t="str">
        <f xml:space="preserve"> E3</f>
        <v>F S-Kosten</v>
      </c>
      <c r="K3" s="313" t="s">
        <v>81</v>
      </c>
      <c r="L3" s="311" t="str">
        <f xml:space="preserve"> C3 &amp; " " &amp; SML_vSML</f>
        <v>M vSML</v>
      </c>
      <c r="M3" s="311" t="str">
        <f xml:space="preserve"> D3 &amp; " " &amp; SML_vSML</f>
        <v>F vSML</v>
      </c>
      <c r="N3" s="311" t="str">
        <f xml:space="preserve"> C3 &amp; " " &amp; SML_vMLglvert</f>
        <v>M vSML/glvert</v>
      </c>
      <c r="O3" s="311" t="str">
        <f xml:space="preserve"> D3 &amp; " " &amp; SML_vMLglvert</f>
        <v>F vSML/glvert</v>
      </c>
      <c r="Q3" s="313" t="s">
        <v>0</v>
      </c>
      <c r="R3" s="313" t="s">
        <v>1</v>
      </c>
      <c r="S3" s="313" t="s">
        <v>77</v>
      </c>
      <c r="T3" s="313" t="s">
        <v>79</v>
      </c>
      <c r="U3" s="313" t="s">
        <v>80</v>
      </c>
      <c r="V3" s="311" t="str">
        <f xml:space="preserve"> Q3 &amp; " " &amp; SML_mSML</f>
        <v>M mSML</v>
      </c>
      <c r="W3" s="311" t="str">
        <f xml:space="preserve"> R3 &amp; " " &amp; SML_mSML</f>
        <v>F mSML</v>
      </c>
      <c r="X3" s="312" t="str">
        <f xml:space="preserve"> S3</f>
        <v>F S-Kosten</v>
      </c>
      <c r="Y3" s="313" t="s">
        <v>81</v>
      </c>
      <c r="Z3" s="311" t="str">
        <f xml:space="preserve"> Q3 &amp; " " &amp; SML_vSML</f>
        <v>M vSML</v>
      </c>
      <c r="AA3" s="311" t="str">
        <f xml:space="preserve"> R3 &amp; " " &amp; SML_vSML</f>
        <v>F vSML</v>
      </c>
      <c r="AB3" s="311" t="str">
        <f xml:space="preserve"> Q3 &amp; " " &amp; SML_vMLglvert</f>
        <v>M vSML/glvert</v>
      </c>
      <c r="AC3" s="311" t="str">
        <f xml:space="preserve"> R3 &amp; " " &amp; SML_vMLglvert</f>
        <v>F vSML/glvert</v>
      </c>
      <c r="AE3" s="313" t="s">
        <v>0</v>
      </c>
      <c r="AF3" s="313" t="s">
        <v>1</v>
      </c>
      <c r="AG3" s="313" t="s">
        <v>77</v>
      </c>
      <c r="AH3" s="313" t="s">
        <v>79</v>
      </c>
      <c r="AI3" s="313" t="s">
        <v>80</v>
      </c>
      <c r="AJ3" s="311" t="str">
        <f xml:space="preserve"> AE3 &amp; " " &amp; SML_mSML</f>
        <v>M mSML</v>
      </c>
      <c r="AK3" s="311" t="str">
        <f xml:space="preserve"> AF3 &amp; " " &amp; SML_mSML</f>
        <v>F mSML</v>
      </c>
      <c r="AL3" s="312" t="str">
        <f xml:space="preserve"> AG3</f>
        <v>F S-Kosten</v>
      </c>
      <c r="AM3" s="313" t="s">
        <v>81</v>
      </c>
      <c r="AN3" s="311" t="str">
        <f xml:space="preserve"> AE3 &amp; " " &amp; SML_vSML</f>
        <v>M vSML</v>
      </c>
      <c r="AO3" s="311" t="str">
        <f xml:space="preserve"> AF3 &amp; " " &amp; SML_vSML</f>
        <v>F vSML</v>
      </c>
      <c r="AP3" s="311" t="str">
        <f xml:space="preserve"> AE3 &amp; " " &amp; SML_vMLglvert</f>
        <v>M vSML/glvert</v>
      </c>
      <c r="AQ3" s="311" t="str">
        <f xml:space="preserve"> AF3 &amp; " " &amp; SML_vMLglvert</f>
        <v>F vSML/glvert</v>
      </c>
      <c r="AS3" s="313" t="s">
        <v>0</v>
      </c>
      <c r="AT3" s="313" t="s">
        <v>1</v>
      </c>
      <c r="AU3" s="313" t="s">
        <v>77</v>
      </c>
      <c r="AV3" s="313" t="s">
        <v>79</v>
      </c>
      <c r="AW3" s="313" t="s">
        <v>80</v>
      </c>
      <c r="AX3" s="311" t="str">
        <f xml:space="preserve"> AS3 &amp; " " &amp; SML_mSML</f>
        <v>M mSML</v>
      </c>
      <c r="AY3" s="311" t="str">
        <f xml:space="preserve"> AT3 &amp; " " &amp; SML_mSML</f>
        <v>F mSML</v>
      </c>
      <c r="AZ3" s="312" t="str">
        <f xml:space="preserve"> AU3</f>
        <v>F S-Kosten</v>
      </c>
      <c r="BA3" s="313" t="s">
        <v>81</v>
      </c>
      <c r="BB3" s="311" t="str">
        <f xml:space="preserve"> AS3 &amp; " " &amp; SML_vSML</f>
        <v>M vSML</v>
      </c>
      <c r="BC3" s="311" t="str">
        <f xml:space="preserve"> AT3 &amp; " " &amp; SML_vSML</f>
        <v>F vSML</v>
      </c>
      <c r="BD3" s="311" t="str">
        <f xml:space="preserve"> AS3 &amp; " " &amp; SML_vMLglvert</f>
        <v>M vSML/glvert</v>
      </c>
      <c r="BE3" s="311" t="str">
        <f xml:space="preserve"> AT3 &amp; " " &amp; SML_vMLglvert</f>
        <v>F vSML/glvert</v>
      </c>
      <c r="BG3" s="313" t="s">
        <v>0</v>
      </c>
      <c r="BH3" s="313" t="s">
        <v>1</v>
      </c>
      <c r="BI3" s="313" t="s">
        <v>77</v>
      </c>
      <c r="BJ3" s="313" t="s">
        <v>79</v>
      </c>
      <c r="BK3" s="313" t="s">
        <v>80</v>
      </c>
      <c r="BL3" s="311" t="str">
        <f xml:space="preserve"> BG3 &amp; " " &amp; SML_mSML</f>
        <v>M mSML</v>
      </c>
      <c r="BM3" s="311" t="str">
        <f xml:space="preserve"> BH3 &amp; " " &amp; SML_mSML</f>
        <v>F mSML</v>
      </c>
      <c r="BN3" s="312" t="str">
        <f xml:space="preserve"> BI3</f>
        <v>F S-Kosten</v>
      </c>
      <c r="BO3" s="313" t="s">
        <v>81</v>
      </c>
      <c r="BP3" s="311" t="str">
        <f xml:space="preserve"> BG3 &amp; " " &amp; SML_vSML</f>
        <v>M vSML</v>
      </c>
      <c r="BQ3" s="311" t="str">
        <f xml:space="preserve"> BH3 &amp; " " &amp; SML_vSML</f>
        <v>F vSML</v>
      </c>
      <c r="BR3" s="311" t="str">
        <f xml:space="preserve"> BG3 &amp; " " &amp; SML_vMLglvert</f>
        <v>M vSML/glvert</v>
      </c>
      <c r="BS3" s="311" t="str">
        <f xml:space="preserve"> BH3 &amp; " " &amp; SML_vMLglvert</f>
        <v>F vSML/glvert</v>
      </c>
      <c r="BU3" s="313" t="s">
        <v>0</v>
      </c>
      <c r="BV3" s="313" t="s">
        <v>1</v>
      </c>
      <c r="BW3" s="313" t="s">
        <v>77</v>
      </c>
      <c r="BX3" s="313" t="s">
        <v>79</v>
      </c>
      <c r="BY3" s="313" t="s">
        <v>80</v>
      </c>
      <c r="BZ3" s="311" t="str">
        <f xml:space="preserve"> BU3 &amp; " " &amp; SML_mSML</f>
        <v>M mSML</v>
      </c>
      <c r="CA3" s="311" t="str">
        <f xml:space="preserve"> BV3 &amp; " " &amp; SML_mSML</f>
        <v>F mSML</v>
      </c>
      <c r="CB3" s="312" t="str">
        <f xml:space="preserve"> BW3</f>
        <v>F S-Kosten</v>
      </c>
      <c r="CC3" s="313" t="s">
        <v>81</v>
      </c>
      <c r="CD3" s="311" t="str">
        <f xml:space="preserve"> BU3 &amp; " " &amp; SML_vSML</f>
        <v>M vSML</v>
      </c>
      <c r="CE3" s="311" t="str">
        <f xml:space="preserve"> BV3 &amp; " " &amp; SML_vSML</f>
        <v>F vSML</v>
      </c>
      <c r="CF3" s="311" t="str">
        <f xml:space="preserve"> BU3 &amp; " " &amp; SML_vMLglvert</f>
        <v>M vSML/glvert</v>
      </c>
      <c r="CG3" s="311" t="str">
        <f xml:space="preserve"> BV3 &amp; " " &amp; SML_vMLglvert</f>
        <v>F vSML/glvert</v>
      </c>
      <c r="CI3" s="313" t="s">
        <v>0</v>
      </c>
      <c r="CJ3" s="313" t="s">
        <v>1</v>
      </c>
      <c r="CK3" s="313" t="s">
        <v>77</v>
      </c>
      <c r="CL3" s="313" t="s">
        <v>79</v>
      </c>
      <c r="CM3" s="313" t="s">
        <v>80</v>
      </c>
      <c r="CN3" s="311" t="str">
        <f xml:space="preserve"> CI3 &amp; " " &amp; SML_mSML</f>
        <v>M mSML</v>
      </c>
      <c r="CO3" s="311" t="str">
        <f xml:space="preserve"> CJ3 &amp; " " &amp; SML_mSML</f>
        <v>F mSML</v>
      </c>
      <c r="CP3" s="312" t="str">
        <f xml:space="preserve"> CK3</f>
        <v>F S-Kosten</v>
      </c>
      <c r="CQ3" s="313" t="s">
        <v>81</v>
      </c>
      <c r="CR3" s="311" t="str">
        <f xml:space="preserve"> CI3 &amp; " " &amp; SML_vSML</f>
        <v>M vSML</v>
      </c>
      <c r="CS3" s="311" t="str">
        <f xml:space="preserve"> CJ3 &amp; " " &amp; SML_vSML</f>
        <v>F vSML</v>
      </c>
      <c r="CT3" s="311" t="str">
        <f xml:space="preserve"> CI3 &amp; " " &amp; SML_vMLglvert</f>
        <v>M vSML/glvert</v>
      </c>
      <c r="CU3" s="311" t="str">
        <f xml:space="preserve"> CJ3 &amp; " " &amp; SML_vMLglvert</f>
        <v>F vSML/glvert</v>
      </c>
      <c r="CW3" s="313" t="s">
        <v>0</v>
      </c>
      <c r="CX3" s="313" t="s">
        <v>1</v>
      </c>
      <c r="CY3" s="313" t="s">
        <v>77</v>
      </c>
      <c r="CZ3" s="313" t="s">
        <v>79</v>
      </c>
      <c r="DA3" s="313" t="s">
        <v>80</v>
      </c>
      <c r="DB3" s="311" t="str">
        <f xml:space="preserve"> CW3 &amp; " " &amp; SML_mSML</f>
        <v>M mSML</v>
      </c>
      <c r="DC3" s="311" t="str">
        <f xml:space="preserve"> CX3 &amp; " " &amp; SML_mSML</f>
        <v>F mSML</v>
      </c>
      <c r="DD3" s="312" t="str">
        <f xml:space="preserve"> CY3</f>
        <v>F S-Kosten</v>
      </c>
      <c r="DE3" s="313" t="s">
        <v>81</v>
      </c>
      <c r="DF3" s="311" t="str">
        <f xml:space="preserve"> CW3 &amp; " " &amp; SML_vSML</f>
        <v>M vSML</v>
      </c>
      <c r="DG3" s="311" t="str">
        <f xml:space="preserve"> CX3 &amp; " " &amp; SML_vSML</f>
        <v>F vSML</v>
      </c>
      <c r="DH3" s="311" t="str">
        <f xml:space="preserve"> CW3 &amp; " " &amp; SML_vMLglvert</f>
        <v>M vSML/glvert</v>
      </c>
      <c r="DI3" s="311" t="str">
        <f xml:space="preserve"> CX3 &amp; " " &amp; SML_vMLglvert</f>
        <v>F vSML/glvert</v>
      </c>
      <c r="DK3" s="313" t="s">
        <v>0</v>
      </c>
      <c r="DL3" s="313" t="s">
        <v>1</v>
      </c>
      <c r="DM3" s="313" t="s">
        <v>77</v>
      </c>
      <c r="DN3" s="313" t="s">
        <v>79</v>
      </c>
      <c r="DO3" s="313" t="s">
        <v>80</v>
      </c>
      <c r="DP3" s="311" t="str">
        <f xml:space="preserve"> DK3 &amp; " " &amp; SML_mSML</f>
        <v>M mSML</v>
      </c>
      <c r="DQ3" s="311" t="str">
        <f xml:space="preserve"> DL3 &amp; " " &amp; SML_mSML</f>
        <v>F mSML</v>
      </c>
      <c r="DR3" s="312" t="str">
        <f xml:space="preserve"> DM3</f>
        <v>F S-Kosten</v>
      </c>
      <c r="DS3" s="313" t="s">
        <v>81</v>
      </c>
      <c r="DT3" s="311" t="str">
        <f xml:space="preserve"> DK3 &amp; " " &amp; SML_vSML</f>
        <v>M vSML</v>
      </c>
      <c r="DU3" s="311" t="str">
        <f xml:space="preserve"> DL3 &amp; " " &amp; SML_vSML</f>
        <v>F vSML</v>
      </c>
      <c r="DV3" s="311" t="str">
        <f xml:space="preserve"> DK3 &amp; " " &amp; SML_vMLglvert</f>
        <v>M vSML/glvert</v>
      </c>
      <c r="DW3" s="311" t="str">
        <f xml:space="preserve"> DL3 &amp; " " &amp; SML_vMLglvert</f>
        <v>F vSML/glvert</v>
      </c>
      <c r="EA3" s="366"/>
      <c r="EB3" s="317"/>
      <c r="EC3" s="317"/>
      <c r="ED3" s="317"/>
      <c r="EE3" s="318" t="str">
        <f xml:space="preserve"> F3 &amp; " + " &amp; AV3 &amp; " + " &amp; CL3 &amp; " + " &amp; EE$8 &amp; " * " &amp; CZ3</f>
        <v>M Bestand + M Bestand + M Bestand + 1 * M Bestand</v>
      </c>
      <c r="EF3" s="318" t="str">
        <f xml:space="preserve"> G3 &amp; " + " &amp; AW3 &amp; " + " &amp; CM3 &amp; " + " &amp; EF$8 &amp; " * " &amp; DA3</f>
        <v>F Bestand + F Bestand + F Bestand + 1 * F Bestand</v>
      </c>
      <c r="EG3" s="318" t="str">
        <f xml:space="preserve"> H3 &amp; " + " &amp; AX3 &amp; " + " &amp; CN3 &amp; " + " &amp; EG$8 &amp; " * " &amp; DB3</f>
        <v>M mSML + M mSML + M mSML + 0,8 * M mSML</v>
      </c>
      <c r="EH3" s="318" t="str">
        <f xml:space="preserve"> I3 &amp; " + " &amp; AY3 &amp; " + " &amp; CO3 &amp; " + " &amp; EH$8 &amp; " * " &amp; DC3</f>
        <v>F mSML + F mSML + F mSML + 0,8 * F mSML</v>
      </c>
      <c r="EI3" s="367" t="str">
        <f xml:space="preserve"> EI4</f>
        <v>λ_x</v>
      </c>
      <c r="EJ3" s="317"/>
      <c r="EK3" s="318" t="str">
        <f xml:space="preserve"> L3 &amp; " + " &amp; BB3 &amp; " + " &amp; CR3 &amp; " + " &amp; EK$8 &amp; " * " &amp; DF3</f>
        <v>M vSML + M vSML + M vSML + 0,8 * M vSML</v>
      </c>
      <c r="EL3" s="318" t="str">
        <f xml:space="preserve"> M3 &amp; " + " &amp; BC3 &amp; " + " &amp; CS3 &amp; " + " &amp; EL$8 &amp; " * " &amp; DG3</f>
        <v>F vSML + F vSML + F vSML + 0,8 * F vSML</v>
      </c>
      <c r="EM3" s="318" t="str">
        <f xml:space="preserve"> N3 &amp; " + " &amp; BD3 &amp; " + " &amp; CT3 &amp; " + " &amp; EM$8 &amp; " * " &amp; DH3</f>
        <v>M vSML/glvert + M vSML/glvert + M vSML/glvert + 0,8 * M vSML/glvert</v>
      </c>
      <c r="EN3" s="318" t="str">
        <f xml:space="preserve"> O3 &amp; " + " &amp; BE3 &amp; " + " &amp; CU3 &amp; " + " &amp; EN$8 &amp; " * " &amp; DI3</f>
        <v>F vSML/glvert + F vSML/glvert + F vSML/glvert + 0,8 * F vSML/glvert</v>
      </c>
      <c r="EO3" s="366"/>
      <c r="EP3" s="317"/>
      <c r="EQ3" s="317"/>
      <c r="ER3" s="317"/>
      <c r="ES3" s="318" t="str">
        <f xml:space="preserve"> T3 &amp; " + " &amp; BJ3 &amp; " + " &amp; CL3 &amp; " + " &amp; ES$8 &amp; " * " &amp; CZ3</f>
        <v>M Bestand + M Bestand + M Bestand + 1 * M Bestand</v>
      </c>
      <c r="ET3" s="318" t="str">
        <f xml:space="preserve"> U3 &amp; " + " &amp; BK3 &amp; " + " &amp; CM3 &amp; " + " &amp; ET$8 &amp; " * " &amp; DA3</f>
        <v>F Bestand + F Bestand + F Bestand + 1 * F Bestand</v>
      </c>
      <c r="EU3" s="318" t="str">
        <f xml:space="preserve"> V3 &amp; " + " &amp; BL3 &amp; " + " &amp; CN3 &amp; " + " &amp; EU$8 &amp; " * " &amp; DB3</f>
        <v>M mSML + M mSML + M mSML + 0,7 * M mSML</v>
      </c>
      <c r="EV3" s="318" t="str">
        <f xml:space="preserve"> W3 &amp; " + " &amp; BM3 &amp; " + " &amp; CO3 &amp; " + " &amp; EV$8 &amp; " * " &amp; DC3</f>
        <v>F mSML + F mSML + F mSML + 0,7 * F mSML</v>
      </c>
      <c r="EW3" s="367" t="str">
        <f xml:space="preserve"> EW4</f>
        <v>λ_x</v>
      </c>
      <c r="EX3" s="317"/>
      <c r="EY3" s="318" t="str">
        <f xml:space="preserve"> Z3 &amp; " + " &amp; BP3 &amp; " + " &amp; CR3 &amp; " + " &amp; EY$8 &amp; " * " &amp; DF3</f>
        <v>M vSML + M vSML + M vSML + 0,7 * M vSML</v>
      </c>
      <c r="EZ3" s="318" t="str">
        <f xml:space="preserve"> AA3 &amp; " + " &amp; BQ3 &amp; " + " &amp; CS3 &amp; " + " &amp; EZ$8 &amp; " * " &amp; DG3</f>
        <v>F vSML + F vSML + F vSML + 0,7 * F vSML</v>
      </c>
      <c r="FA3" s="318" t="str">
        <f xml:space="preserve"> AB3 &amp; " + " &amp; BR3 &amp; " + " &amp; CT3 &amp; " + " &amp; FA$8 &amp; " * " &amp; DH3</f>
        <v>M vSML/glvert + M vSML/glvert + M vSML/glvert + 0,7 * M vSML/glvert</v>
      </c>
      <c r="FB3" s="318" t="str">
        <f xml:space="preserve"> AC3 &amp; " + " &amp; BS3 &amp; " + " &amp; CU3 &amp; " + " &amp; FB$8 &amp; " * " &amp; DI3</f>
        <v>F vSML/glvert + F vSML/glvert + F vSML/glvert + 0,7 * F vSML/glvert</v>
      </c>
      <c r="FC3" s="366"/>
      <c r="FD3" s="317"/>
      <c r="FE3" s="317"/>
      <c r="FF3" s="317"/>
      <c r="FG3" s="318" t="str">
        <f xml:space="preserve"> AH3 &amp; " + " &amp; BX3 &amp; " + " &amp; CL3 &amp; " + " &amp; FG$8 &amp; " * " &amp; DN3</f>
        <v>M Bestand + M Bestand + M Bestand + 1 * M Bestand</v>
      </c>
      <c r="FH3" s="318" t="str">
        <f xml:space="preserve"> AI3 &amp; " + " &amp; BY3 &amp; " + " &amp; CM3 &amp; " + " &amp; FH$8 &amp; " * " &amp; DO3</f>
        <v>F Bestand + F Bestand + F Bestand + 1 * F Bestand</v>
      </c>
      <c r="FI3" s="318" t="str">
        <f xml:space="preserve"> AJ3 &amp; " + " &amp; BZ3 &amp; " + " &amp; CN3 &amp; " + " &amp; FI$8 &amp; " * " &amp; DP3</f>
        <v>M mSML + M mSML + M mSML + 0,6 * M mSML</v>
      </c>
      <c r="FJ3" s="318" t="str">
        <f xml:space="preserve"> AK3 &amp; " + " &amp; CA3 &amp; " + " &amp; CO3 &amp; " + " &amp; FJ$8 &amp; " * " &amp; DQ3</f>
        <v>F mSML + F mSML + F mSML + 0,6 * F mSML</v>
      </c>
      <c r="FK3" s="367" t="str">
        <f xml:space="preserve"> FK4</f>
        <v>λ_x</v>
      </c>
      <c r="FL3" s="317"/>
      <c r="FM3" s="318" t="str">
        <f xml:space="preserve"> AN3 &amp; " + " &amp; CD3 &amp; " + " &amp; CR3 &amp; " + " &amp; FM$8 &amp; " * " &amp; DT3</f>
        <v>M vSML + M vSML + M vSML + 0,6 * M vSML</v>
      </c>
      <c r="FN3" s="318" t="str">
        <f xml:space="preserve"> AO3 &amp; " + " &amp; CE3 &amp; " + " &amp; CS3 &amp; " + " &amp; FN$8 &amp; " * " &amp; DU3</f>
        <v>F vSML + F vSML + F vSML + 0,6 * F vSML</v>
      </c>
      <c r="FO3" s="318" t="str">
        <f xml:space="preserve"> AP3 &amp; " + " &amp; CF3 &amp; " + " &amp; CT3 &amp; " + " &amp; FO$8 &amp; " * " &amp; DV3</f>
        <v>M vSML/glvert + M vSML/glvert + M vSML/glvert + 0,6 * M vSML/glvert</v>
      </c>
      <c r="FP3" s="318" t="str">
        <f xml:space="preserve"> AQ3 &amp; " + " &amp; CG3 &amp; " + " &amp; CU3 &amp; " + " &amp; FP$8 &amp; " * " &amp; DW3</f>
        <v>F vSML/glvert + F vSML/glvert + F vSML/glvert + 0,6 * F vSML/glvert</v>
      </c>
      <c r="FQ3" s="366"/>
      <c r="FR3" s="317"/>
      <c r="FS3" s="317"/>
      <c r="FT3" s="317"/>
      <c r="FU3" s="318" t="str">
        <f xml:space="preserve"> CL3 &amp; " + " &amp; FU$8 &amp; " * " &amp; CZ3</f>
        <v>M Bestand + 1 * M Bestand</v>
      </c>
      <c r="FV3" s="318" t="str">
        <f xml:space="preserve"> CM3 &amp; " + " &amp; FV$8 &amp; " * " &amp; DA3</f>
        <v>F Bestand + 1 * F Bestand</v>
      </c>
      <c r="FW3" s="318" t="str">
        <f xml:space="preserve"> CN3 &amp; " + " &amp; FW$8 &amp; " * " &amp; DB3</f>
        <v>M mSML + 0,8 * M mSML</v>
      </c>
      <c r="FX3" s="318" t="str">
        <f xml:space="preserve"> CO3 &amp; " + " &amp; FX$8 &amp; " * " &amp; DC3</f>
        <v>F mSML + 0,8 * F mSML</v>
      </c>
      <c r="FY3" s="367" t="str">
        <f xml:space="preserve"> FY4</f>
        <v>λ_x</v>
      </c>
      <c r="FZ3" s="317"/>
      <c r="GA3" s="318" t="str">
        <f xml:space="preserve"> CR3 &amp; " + " &amp; GA$8 &amp; " * " &amp; DF3</f>
        <v>M vSML + 0,8 * M vSML</v>
      </c>
      <c r="GB3" s="318" t="str">
        <f xml:space="preserve"> CS3 &amp; " + " &amp; GB$8 &amp; " * " &amp; DG3</f>
        <v>F vSML + 0,8 * F vSML</v>
      </c>
      <c r="GC3" s="318" t="str">
        <f xml:space="preserve"> CT3 &amp; " + " &amp; GC$8 &amp; " * " &amp; DH3</f>
        <v>M vSML/glvert + 0,8 * M vSML/glvert</v>
      </c>
      <c r="GD3" s="318" t="str">
        <f xml:space="preserve"> CU3 &amp; " + " &amp; GD$8 &amp; " * " &amp; DI3</f>
        <v>F vSML/glvert + 0,8 * F vSML/glvert</v>
      </c>
      <c r="GE3" s="366"/>
      <c r="GF3" s="317"/>
      <c r="GG3" s="317"/>
      <c r="GH3" s="317"/>
      <c r="GI3" s="318" t="str">
        <f xml:space="preserve">  AV3 &amp; " + " &amp; BX3 &amp; " / * " &amp; GI$8</f>
        <v>M Bestand + M Bestand / * 1</v>
      </c>
      <c r="GJ3" s="318" t="str">
        <f xml:space="preserve">  AW3 &amp; " + " &amp; BY3 &amp; " / * " &amp; GJ$8</f>
        <v>F Bestand + F Bestand / * 1</v>
      </c>
      <c r="GK3" s="367" t="str">
        <f xml:space="preserve">  AX3 &amp; " - " &amp; BZ3 &amp; " / * " &amp; GK$8</f>
        <v>M mSML - M mSML / * 0,75</v>
      </c>
      <c r="GL3" s="367" t="str">
        <f xml:space="preserve">  AY3 &amp; " - " &amp; CA3 &amp; " / * " &amp; GL$8</f>
        <v>F mSML - F mSML / * 0,75</v>
      </c>
      <c r="GM3" s="367" t="str">
        <f xml:space="preserve"> GM4</f>
        <v>λ_x</v>
      </c>
      <c r="GN3" s="317"/>
      <c r="GO3" s="367" t="str">
        <f xml:space="preserve">  BB3 &amp; " - " &amp; CD3 &amp; " / * " &amp; GO$8</f>
        <v>M vSML - M vSML / * 0,75</v>
      </c>
      <c r="GP3" s="367" t="str">
        <f xml:space="preserve">  BC3 &amp; " - " &amp; CE3 &amp; " / * " &amp; GP$8</f>
        <v>F vSML - F vSML / * 0,75</v>
      </c>
      <c r="GQ3" s="367" t="str">
        <f xml:space="preserve">  BD3 &amp; " - " &amp; CF3 &amp; " / * " &amp; GQ$8</f>
        <v>M vSML/glvert - M vSML/glvert / * 0,75</v>
      </c>
      <c r="GR3" s="367" t="str">
        <f xml:space="preserve">  BE3 &amp; " - " &amp; CG3 &amp; " / * " &amp; GR$8</f>
        <v>F vSML/glvert - F vSML/glvert / * 0,75</v>
      </c>
      <c r="GS3" s="366"/>
      <c r="GT3" s="366"/>
      <c r="GU3" s="366"/>
      <c r="GV3" s="366"/>
      <c r="GW3" s="366"/>
      <c r="GX3" s="366"/>
      <c r="GY3" s="366"/>
      <c r="GZ3" s="366"/>
      <c r="HA3" s="313" t="s">
        <v>0</v>
      </c>
      <c r="HB3" s="313" t="s">
        <v>1</v>
      </c>
      <c r="HC3" s="313" t="s">
        <v>77</v>
      </c>
      <c r="HD3" s="313" t="s">
        <v>79</v>
      </c>
      <c r="HE3" s="313" t="s">
        <v>80</v>
      </c>
      <c r="HF3" s="311" t="str">
        <f xml:space="preserve"> HA3</f>
        <v>M</v>
      </c>
      <c r="HG3" s="311" t="str">
        <f xml:space="preserve"> HB3</f>
        <v>F</v>
      </c>
      <c r="HH3" s="312" t="str">
        <f xml:space="preserve"> HC3</f>
        <v>F S-Kosten</v>
      </c>
      <c r="HI3" s="313" t="s">
        <v>81</v>
      </c>
      <c r="HJ3" s="313" t="s">
        <v>82</v>
      </c>
      <c r="HK3" s="313" t="s">
        <v>83</v>
      </c>
    </row>
    <row r="4" spans="1:219" x14ac:dyDescent="0.2">
      <c r="EB4" s="326"/>
      <c r="EC4" s="326"/>
      <c r="ED4" s="326"/>
      <c r="EE4" s="326"/>
      <c r="EF4" s="326"/>
      <c r="EG4" s="327" t="str">
        <f xml:space="preserve"> TRIM(  LEFT( EG3, SEARCH( "+", EG3 ) - 1 )  )</f>
        <v>M mSML</v>
      </c>
      <c r="EH4" s="327" t="str">
        <f xml:space="preserve"> TRIM(  LEFT( EH3, SEARCH( "+", EH3 ) - 1 )  )</f>
        <v>F mSML</v>
      </c>
      <c r="EI4" s="328" t="str">
        <f xml:space="preserve"> lambdax</f>
        <v>λ_x</v>
      </c>
      <c r="EJ4" s="326"/>
      <c r="EK4" s="327" t="str">
        <f xml:space="preserve"> TRIM(  LEFT( EK3, SEARCH( "+", EK3 ) - 1 )  )</f>
        <v>M vSML</v>
      </c>
      <c r="EL4" s="327" t="str">
        <f xml:space="preserve"> TRIM(  LEFT( EL3, SEARCH( "+", EL3 ) - 1 )  )</f>
        <v>F vSML</v>
      </c>
      <c r="EM4" s="327" t="str">
        <f xml:space="preserve"> TRIM(  LEFT( EM3, SEARCH( "+", EM3 ) - 1 )  )</f>
        <v>M vSML/glvert</v>
      </c>
      <c r="EN4" s="327" t="str">
        <f xml:space="preserve"> TRIM(  LEFT( EN3, SEARCH( "+", EN3 ) - 1 )  )</f>
        <v>F vSML/glvert</v>
      </c>
      <c r="EP4" s="326"/>
      <c r="EQ4" s="326"/>
      <c r="ER4" s="326"/>
      <c r="ES4" s="326"/>
      <c r="ET4" s="326"/>
      <c r="EU4" s="327" t="str">
        <f xml:space="preserve"> TRIM(  LEFT( EU3, SEARCH( "+", EU3 ) - 1 )  )</f>
        <v>M mSML</v>
      </c>
      <c r="EV4" s="327" t="str">
        <f xml:space="preserve"> TRIM(  LEFT( EV3, SEARCH( "+", EV3 ) - 1 )  )</f>
        <v>F mSML</v>
      </c>
      <c r="EW4" s="328" t="str">
        <f xml:space="preserve"> lambdax</f>
        <v>λ_x</v>
      </c>
      <c r="EX4" s="326"/>
      <c r="EY4" s="327" t="str">
        <f xml:space="preserve"> TRIM(  LEFT( EY3, SEARCH( "+", EY3 ) - 1 )  )</f>
        <v>M vSML</v>
      </c>
      <c r="EZ4" s="327" t="str">
        <f xml:space="preserve"> TRIM(  LEFT( EZ3, SEARCH( "+", EZ3 ) - 1 )  )</f>
        <v>F vSML</v>
      </c>
      <c r="FA4" s="327" t="str">
        <f xml:space="preserve"> TRIM(  LEFT( FA3, SEARCH( "+", FA3 ) - 1 )  )</f>
        <v>M vSML/glvert</v>
      </c>
      <c r="FB4" s="327" t="str">
        <f xml:space="preserve"> TRIM(  LEFT( FB3, SEARCH( "+", FB3 ) - 1 )  )</f>
        <v>F vSML/glvert</v>
      </c>
      <c r="FD4" s="326"/>
      <c r="FE4" s="326"/>
      <c r="FF4" s="326"/>
      <c r="FG4" s="326"/>
      <c r="FH4" s="326"/>
      <c r="FI4" s="327" t="str">
        <f xml:space="preserve"> TRIM(  LEFT( FI3, SEARCH( "+", FI3 ) - 1 )  )</f>
        <v>M mSML</v>
      </c>
      <c r="FJ4" s="327" t="str">
        <f xml:space="preserve"> TRIM(  LEFT( FJ3, SEARCH( "+", FJ3 ) - 1 )  )</f>
        <v>F mSML</v>
      </c>
      <c r="FK4" s="328" t="str">
        <f xml:space="preserve"> lambdax</f>
        <v>λ_x</v>
      </c>
      <c r="FL4" s="326"/>
      <c r="FM4" s="327" t="str">
        <f xml:space="preserve"> TRIM(  LEFT( FM3, SEARCH( "+", FM3 ) - 1 )  )</f>
        <v>M vSML</v>
      </c>
      <c r="FN4" s="327" t="str">
        <f xml:space="preserve"> TRIM(  LEFT( FN3, SEARCH( "+", FN3 ) - 1 )  )</f>
        <v>F vSML</v>
      </c>
      <c r="FO4" s="327" t="str">
        <f xml:space="preserve"> TRIM(  LEFT( FO3, SEARCH( "+", FO3 ) - 1 )  )</f>
        <v>M vSML/glvert</v>
      </c>
      <c r="FP4" s="327" t="str">
        <f xml:space="preserve"> TRIM(  LEFT( FP3, SEARCH( "+", FP3 ) - 1 )  )</f>
        <v>F vSML/glvert</v>
      </c>
      <c r="FR4" s="326"/>
      <c r="FS4" s="326"/>
      <c r="FT4" s="326"/>
      <c r="FU4" s="326"/>
      <c r="FV4" s="326"/>
      <c r="FW4" s="327" t="str">
        <f xml:space="preserve"> TRIM(  LEFT( FW3, SEARCH( "+", FW3 ) - 1 )  )</f>
        <v>M mSML</v>
      </c>
      <c r="FX4" s="327" t="str">
        <f xml:space="preserve"> TRIM(  LEFT( FX3, SEARCH( "+", FX3 ) - 1 )  )</f>
        <v>F mSML</v>
      </c>
      <c r="FY4" s="328" t="str">
        <f xml:space="preserve"> lambdax</f>
        <v>λ_x</v>
      </c>
      <c r="FZ4" s="326"/>
      <c r="GA4" s="327" t="str">
        <f xml:space="preserve"> TRIM(  LEFT( GA3, SEARCH( "+", GA3 ) - 1 )  )</f>
        <v>M vSML</v>
      </c>
      <c r="GB4" s="327" t="str">
        <f xml:space="preserve"> TRIM(  LEFT( GB3, SEARCH( "+", GB3 ) - 1 )  )</f>
        <v>F vSML</v>
      </c>
      <c r="GC4" s="327" t="str">
        <f xml:space="preserve"> TRIM(  LEFT( GC3, SEARCH( "+", GC3 ) - 1 )  )</f>
        <v>M vSML/glvert</v>
      </c>
      <c r="GD4" s="327" t="str">
        <f xml:space="preserve"> TRIM(  LEFT( GD3, SEARCH( "+", GD3 ) - 1 )  )</f>
        <v>F vSML/glvert</v>
      </c>
      <c r="GF4" s="326"/>
      <c r="GG4" s="326"/>
      <c r="GH4" s="326"/>
      <c r="GI4" s="326"/>
      <c r="GJ4" s="326"/>
      <c r="GK4" s="330" t="str">
        <f xml:space="preserve"> TRIM(  LEFT( GK3, SEARCH( "-", GK3 ) - 1 )  )</f>
        <v>M mSML</v>
      </c>
      <c r="GL4" s="330" t="str">
        <f xml:space="preserve"> TRIM(  LEFT( GL3, SEARCH( "-", GL3 ) - 1 )  )</f>
        <v>F mSML</v>
      </c>
      <c r="GM4" s="328" t="str">
        <f xml:space="preserve"> lambdax</f>
        <v>λ_x</v>
      </c>
      <c r="GN4" s="326"/>
      <c r="GO4" s="330" t="str">
        <f xml:space="preserve"> TRIM(  LEFT( GO3, SEARCH( "-", GO3 ) - 1 )  )</f>
        <v>M vSML</v>
      </c>
      <c r="GP4" s="330" t="str">
        <f xml:space="preserve"> TRIM(  LEFT( GP3, SEARCH( "-", GP3 ) - 1 )  )</f>
        <v>F vSML</v>
      </c>
      <c r="GQ4" s="330" t="str">
        <f xml:space="preserve"> TRIM(  LEFT( GQ3, SEARCH( "-", GQ3 ) - 1 )  )</f>
        <v>M vSML/glvert</v>
      </c>
      <c r="GR4" s="330" t="str">
        <f xml:space="preserve"> TRIM(  LEFT( GR3, SEARCH( "-", GR3 ) - 1 )  )</f>
        <v>F vSML/glvert</v>
      </c>
    </row>
    <row r="5" spans="1:219" x14ac:dyDescent="0.2">
      <c r="ES5" s="368"/>
      <c r="FG5" s="368"/>
      <c r="GI5" s="368"/>
      <c r="GM5" s="323"/>
    </row>
    <row r="6" spans="1:219" s="365" customFormat="1" ht="77.25" customHeight="1" x14ac:dyDescent="0.2">
      <c r="C6" s="369" t="s">
        <v>76</v>
      </c>
      <c r="D6" s="370" t="str">
        <f xml:space="preserve"> C6</f>
        <v>1_Amb_N_0-100</v>
      </c>
      <c r="E6" s="370" t="str">
        <f t="shared" ref="E6:O6" si="10" xml:space="preserve"> D6</f>
        <v>1_Amb_N_0-100</v>
      </c>
      <c r="F6" s="370" t="str">
        <f t="shared" si="10"/>
        <v>1_Amb_N_0-100</v>
      </c>
      <c r="G6" s="370" t="str">
        <f t="shared" si="10"/>
        <v>1_Amb_N_0-100</v>
      </c>
      <c r="H6" s="370" t="str">
        <f t="shared" si="10"/>
        <v>1_Amb_N_0-100</v>
      </c>
      <c r="I6" s="370" t="str">
        <f t="shared" si="10"/>
        <v>1_Amb_N_0-100</v>
      </c>
      <c r="J6" s="370" t="str">
        <f t="shared" si="10"/>
        <v>1_Amb_N_0-100</v>
      </c>
      <c r="K6" s="370" t="str">
        <f t="shared" si="10"/>
        <v>1_Amb_N_0-100</v>
      </c>
      <c r="L6" s="370" t="str">
        <f t="shared" si="10"/>
        <v>1_Amb_N_0-100</v>
      </c>
      <c r="M6" s="370" t="str">
        <f t="shared" si="10"/>
        <v>1_Amb_N_0-100</v>
      </c>
      <c r="N6" s="370" t="str">
        <f t="shared" si="10"/>
        <v>1_Amb_N_0-100</v>
      </c>
      <c r="O6" s="370" t="str">
        <f t="shared" si="10"/>
        <v>1_Amb_N_0-100</v>
      </c>
      <c r="Q6" s="369" t="s">
        <v>84</v>
      </c>
      <c r="R6" s="370" t="str">
        <f xml:space="preserve"> Q6</f>
        <v>1_Amb_N_251-400</v>
      </c>
      <c r="S6" s="370" t="str">
        <f t="shared" ref="S6:AC6" si="11" xml:space="preserve"> R6</f>
        <v>1_Amb_N_251-400</v>
      </c>
      <c r="T6" s="370" t="str">
        <f t="shared" si="11"/>
        <v>1_Amb_N_251-400</v>
      </c>
      <c r="U6" s="370" t="str">
        <f t="shared" si="11"/>
        <v>1_Amb_N_251-400</v>
      </c>
      <c r="V6" s="370" t="str">
        <f t="shared" si="11"/>
        <v>1_Amb_N_251-400</v>
      </c>
      <c r="W6" s="370" t="str">
        <f t="shared" si="11"/>
        <v>1_Amb_N_251-400</v>
      </c>
      <c r="X6" s="370" t="str">
        <f t="shared" si="11"/>
        <v>1_Amb_N_251-400</v>
      </c>
      <c r="Y6" s="370" t="str">
        <f t="shared" si="11"/>
        <v>1_Amb_N_251-400</v>
      </c>
      <c r="Z6" s="370" t="str">
        <f t="shared" si="11"/>
        <v>1_Amb_N_251-400</v>
      </c>
      <c r="AA6" s="370" t="str">
        <f t="shared" si="11"/>
        <v>1_Amb_N_251-400</v>
      </c>
      <c r="AB6" s="370" t="str">
        <f t="shared" si="11"/>
        <v>1_Amb_N_251-400</v>
      </c>
      <c r="AC6" s="370" t="str">
        <f t="shared" si="11"/>
        <v>1_Amb_N_251-400</v>
      </c>
      <c r="AE6" s="369" t="s">
        <v>85</v>
      </c>
      <c r="AF6" s="370" t="str">
        <f xml:space="preserve"> AE6</f>
        <v>1_Amb_N_901-1100</v>
      </c>
      <c r="AG6" s="370" t="str">
        <f t="shared" ref="AG6:AQ6" si="12" xml:space="preserve"> AF6</f>
        <v>1_Amb_N_901-1100</v>
      </c>
      <c r="AH6" s="370" t="str">
        <f t="shared" si="12"/>
        <v>1_Amb_N_901-1100</v>
      </c>
      <c r="AI6" s="370" t="str">
        <f t="shared" si="12"/>
        <v>1_Amb_N_901-1100</v>
      </c>
      <c r="AJ6" s="370" t="str">
        <f t="shared" si="12"/>
        <v>1_Amb_N_901-1100</v>
      </c>
      <c r="AK6" s="370" t="str">
        <f t="shared" si="12"/>
        <v>1_Amb_N_901-1100</v>
      </c>
      <c r="AL6" s="370" t="str">
        <f t="shared" si="12"/>
        <v>1_Amb_N_901-1100</v>
      </c>
      <c r="AM6" s="370" t="str">
        <f t="shared" si="12"/>
        <v>1_Amb_N_901-1100</v>
      </c>
      <c r="AN6" s="370" t="str">
        <f t="shared" si="12"/>
        <v>1_Amb_N_901-1100</v>
      </c>
      <c r="AO6" s="370" t="str">
        <f t="shared" si="12"/>
        <v>1_Amb_N_901-1100</v>
      </c>
      <c r="AP6" s="370" t="str">
        <f t="shared" si="12"/>
        <v>1_Amb_N_901-1100</v>
      </c>
      <c r="AQ6" s="370" t="str">
        <f t="shared" si="12"/>
        <v>1_Amb_N_901-1100</v>
      </c>
      <c r="AS6" s="369" t="s">
        <v>86</v>
      </c>
      <c r="AT6" s="370" t="str">
        <f xml:space="preserve"> AS6</f>
        <v>2_Stat_N_EB</v>
      </c>
      <c r="AU6" s="370" t="str">
        <f t="shared" ref="AU6:BE6" si="13" xml:space="preserve"> AT6</f>
        <v>2_Stat_N_EB</v>
      </c>
      <c r="AV6" s="370" t="str">
        <f t="shared" si="13"/>
        <v>2_Stat_N_EB</v>
      </c>
      <c r="AW6" s="370" t="str">
        <f t="shared" si="13"/>
        <v>2_Stat_N_EB</v>
      </c>
      <c r="AX6" s="370" t="str">
        <f t="shared" si="13"/>
        <v>2_Stat_N_EB</v>
      </c>
      <c r="AY6" s="370" t="str">
        <f t="shared" si="13"/>
        <v>2_Stat_N_EB</v>
      </c>
      <c r="AZ6" s="370" t="str">
        <f t="shared" si="13"/>
        <v>2_Stat_N_EB</v>
      </c>
      <c r="BA6" s="370" t="str">
        <f t="shared" si="13"/>
        <v>2_Stat_N_EB</v>
      </c>
      <c r="BB6" s="370" t="str">
        <f t="shared" si="13"/>
        <v>2_Stat_N_EB</v>
      </c>
      <c r="BC6" s="370" t="str">
        <f t="shared" si="13"/>
        <v>2_Stat_N_EB</v>
      </c>
      <c r="BD6" s="370" t="str">
        <f t="shared" si="13"/>
        <v>2_Stat_N_EB</v>
      </c>
      <c r="BE6" s="370" t="str">
        <f t="shared" si="13"/>
        <v>2_Stat_N_EB</v>
      </c>
      <c r="BG6" s="369" t="s">
        <v>87</v>
      </c>
      <c r="BH6" s="370" t="str">
        <f xml:space="preserve"> BG6</f>
        <v>2_Stat_N_ZB</v>
      </c>
      <c r="BI6" s="370" t="str">
        <f t="shared" ref="BI6:BS6" si="14" xml:space="preserve"> BH6</f>
        <v>2_Stat_N_ZB</v>
      </c>
      <c r="BJ6" s="370" t="str">
        <f t="shared" si="14"/>
        <v>2_Stat_N_ZB</v>
      </c>
      <c r="BK6" s="370" t="str">
        <f t="shared" si="14"/>
        <v>2_Stat_N_ZB</v>
      </c>
      <c r="BL6" s="370" t="str">
        <f t="shared" si="14"/>
        <v>2_Stat_N_ZB</v>
      </c>
      <c r="BM6" s="370" t="str">
        <f t="shared" si="14"/>
        <v>2_Stat_N_ZB</v>
      </c>
      <c r="BN6" s="370" t="str">
        <f t="shared" si="14"/>
        <v>2_Stat_N_ZB</v>
      </c>
      <c r="BO6" s="370" t="str">
        <f t="shared" si="14"/>
        <v>2_Stat_N_ZB</v>
      </c>
      <c r="BP6" s="370" t="str">
        <f t="shared" si="14"/>
        <v>2_Stat_N_ZB</v>
      </c>
      <c r="BQ6" s="370" t="str">
        <f t="shared" si="14"/>
        <v>2_Stat_N_ZB</v>
      </c>
      <c r="BR6" s="370" t="str">
        <f t="shared" si="14"/>
        <v>2_Stat_N_ZB</v>
      </c>
      <c r="BS6" s="370" t="str">
        <f t="shared" si="14"/>
        <v>2_Stat_N_ZB</v>
      </c>
      <c r="BU6" s="369" t="s">
        <v>88</v>
      </c>
      <c r="BV6" s="370" t="str">
        <f xml:space="preserve"> BU6</f>
        <v>2_Stat_N_MB</v>
      </c>
      <c r="BW6" s="370" t="str">
        <f t="shared" ref="BW6:CG6" si="15" xml:space="preserve"> BV6</f>
        <v>2_Stat_N_MB</v>
      </c>
      <c r="BX6" s="370" t="str">
        <f t="shared" si="15"/>
        <v>2_Stat_N_MB</v>
      </c>
      <c r="BY6" s="370" t="str">
        <f t="shared" si="15"/>
        <v>2_Stat_N_MB</v>
      </c>
      <c r="BZ6" s="370" t="str">
        <f t="shared" si="15"/>
        <v>2_Stat_N_MB</v>
      </c>
      <c r="CA6" s="370" t="str">
        <f t="shared" si="15"/>
        <v>2_Stat_N_MB</v>
      </c>
      <c r="CB6" s="370" t="str">
        <f t="shared" si="15"/>
        <v>2_Stat_N_MB</v>
      </c>
      <c r="CC6" s="370" t="str">
        <f t="shared" si="15"/>
        <v>2_Stat_N_MB</v>
      </c>
      <c r="CD6" s="370" t="str">
        <f t="shared" si="15"/>
        <v>2_Stat_N_MB</v>
      </c>
      <c r="CE6" s="370" t="str">
        <f t="shared" si="15"/>
        <v>2_Stat_N_MB</v>
      </c>
      <c r="CF6" s="370" t="str">
        <f t="shared" si="15"/>
        <v>2_Stat_N_MB</v>
      </c>
      <c r="CG6" s="370" t="str">
        <f t="shared" si="15"/>
        <v>2_Stat_N_MB</v>
      </c>
      <c r="CI6" s="369" t="s">
        <v>91</v>
      </c>
      <c r="CJ6" s="370" t="str">
        <f xml:space="preserve"> CI6</f>
        <v>3_Zahn_N_Beh</v>
      </c>
      <c r="CK6" s="370" t="str">
        <f t="shared" ref="CK6:CU6" si="16" xml:space="preserve"> CJ6</f>
        <v>3_Zahn_N_Beh</v>
      </c>
      <c r="CL6" s="370" t="str">
        <f t="shared" si="16"/>
        <v>3_Zahn_N_Beh</v>
      </c>
      <c r="CM6" s="370" t="str">
        <f t="shared" si="16"/>
        <v>3_Zahn_N_Beh</v>
      </c>
      <c r="CN6" s="370" t="str">
        <f t="shared" si="16"/>
        <v>3_Zahn_N_Beh</v>
      </c>
      <c r="CO6" s="370" t="str">
        <f t="shared" si="16"/>
        <v>3_Zahn_N_Beh</v>
      </c>
      <c r="CP6" s="370" t="str">
        <f t="shared" si="16"/>
        <v>3_Zahn_N_Beh</v>
      </c>
      <c r="CQ6" s="370" t="str">
        <f t="shared" si="16"/>
        <v>3_Zahn_N_Beh</v>
      </c>
      <c r="CR6" s="370" t="str">
        <f t="shared" si="16"/>
        <v>3_Zahn_N_Beh</v>
      </c>
      <c r="CS6" s="370" t="str">
        <f t="shared" si="16"/>
        <v>3_Zahn_N_Beh</v>
      </c>
      <c r="CT6" s="370" t="str">
        <f t="shared" si="16"/>
        <v>3_Zahn_N_Beh</v>
      </c>
      <c r="CU6" s="370" t="str">
        <f t="shared" si="16"/>
        <v>3_Zahn_N_Beh</v>
      </c>
      <c r="CW6" s="369" t="s">
        <v>89</v>
      </c>
      <c r="CX6" s="370" t="str">
        <f xml:space="preserve"> CW6</f>
        <v>3_Zahn_N_Ers_70-80</v>
      </c>
      <c r="CY6" s="370" t="str">
        <f t="shared" ref="CY6:DI6" si="17" xml:space="preserve"> CX6</f>
        <v>3_Zahn_N_Ers_70-80</v>
      </c>
      <c r="CZ6" s="370" t="str">
        <f t="shared" si="17"/>
        <v>3_Zahn_N_Ers_70-80</v>
      </c>
      <c r="DA6" s="370" t="str">
        <f t="shared" si="17"/>
        <v>3_Zahn_N_Ers_70-80</v>
      </c>
      <c r="DB6" s="370" t="str">
        <f t="shared" si="17"/>
        <v>3_Zahn_N_Ers_70-80</v>
      </c>
      <c r="DC6" s="370" t="str">
        <f t="shared" si="17"/>
        <v>3_Zahn_N_Ers_70-80</v>
      </c>
      <c r="DD6" s="370" t="str">
        <f t="shared" si="17"/>
        <v>3_Zahn_N_Ers_70-80</v>
      </c>
      <c r="DE6" s="370" t="str">
        <f t="shared" si="17"/>
        <v>3_Zahn_N_Ers_70-80</v>
      </c>
      <c r="DF6" s="370" t="str">
        <f t="shared" si="17"/>
        <v>3_Zahn_N_Ers_70-80</v>
      </c>
      <c r="DG6" s="370" t="str">
        <f t="shared" si="17"/>
        <v>3_Zahn_N_Ers_70-80</v>
      </c>
      <c r="DH6" s="370" t="str">
        <f t="shared" si="17"/>
        <v>3_Zahn_N_Ers_70-80</v>
      </c>
      <c r="DI6" s="370" t="str">
        <f t="shared" si="17"/>
        <v>3_Zahn_N_Ers_70-80</v>
      </c>
      <c r="DK6" s="369" t="s">
        <v>90</v>
      </c>
      <c r="DL6" s="370" t="str">
        <f xml:space="preserve"> DK6</f>
        <v>3_Zahn_N_Ers_50-65</v>
      </c>
      <c r="DM6" s="370" t="str">
        <f t="shared" ref="DM6:DW6" si="18" xml:space="preserve"> DL6</f>
        <v>3_Zahn_N_Ers_50-65</v>
      </c>
      <c r="DN6" s="370" t="str">
        <f t="shared" si="18"/>
        <v>3_Zahn_N_Ers_50-65</v>
      </c>
      <c r="DO6" s="370" t="str">
        <f t="shared" si="18"/>
        <v>3_Zahn_N_Ers_50-65</v>
      </c>
      <c r="DP6" s="370" t="str">
        <f t="shared" si="18"/>
        <v>3_Zahn_N_Ers_50-65</v>
      </c>
      <c r="DQ6" s="370" t="str">
        <f t="shared" si="18"/>
        <v>3_Zahn_N_Ers_50-65</v>
      </c>
      <c r="DR6" s="370" t="str">
        <f t="shared" si="18"/>
        <v>3_Zahn_N_Ers_50-65</v>
      </c>
      <c r="DS6" s="370" t="str">
        <f t="shared" si="18"/>
        <v>3_Zahn_N_Ers_50-65</v>
      </c>
      <c r="DT6" s="370" t="str">
        <f t="shared" si="18"/>
        <v>3_Zahn_N_Ers_50-65</v>
      </c>
      <c r="DU6" s="370" t="str">
        <f t="shared" si="18"/>
        <v>3_Zahn_N_Ers_50-65</v>
      </c>
      <c r="DV6" s="370" t="str">
        <f t="shared" si="18"/>
        <v>3_Zahn_N_Ers_50-65</v>
      </c>
      <c r="DW6" s="370" t="str">
        <f t="shared" si="18"/>
        <v>3_Zahn_N_Ers_50-65</v>
      </c>
      <c r="EA6" s="366"/>
      <c r="EB6" s="318" t="str">
        <f t="shared" ref="EB6:EN6" si="19" xml:space="preserve"> C6 &amp; " + " &amp; AS6 &amp; " + " &amp; CI6 &amp; " + " &amp; EB$8 &amp; " * " &amp; CW6</f>
        <v>1_Amb_N_0-100 + 2_Stat_N_EB + 3_Zahn_N_Beh +  * 3_Zahn_N_Ers_70-80</v>
      </c>
      <c r="EC6" s="318" t="str">
        <f t="shared" si="19"/>
        <v>1_Amb_N_0-100 + 2_Stat_N_EB + 3_Zahn_N_Beh +  * 3_Zahn_N_Ers_70-80</v>
      </c>
      <c r="ED6" s="318" t="str">
        <f t="shared" si="19"/>
        <v>1_Amb_N_0-100 + 2_Stat_N_EB + 3_Zahn_N_Beh +  * 3_Zahn_N_Ers_70-80</v>
      </c>
      <c r="EE6" s="318" t="str">
        <f t="shared" si="19"/>
        <v>1_Amb_N_0-100 + 2_Stat_N_EB + 3_Zahn_N_Beh + 1 * 3_Zahn_N_Ers_70-80</v>
      </c>
      <c r="EF6" s="318" t="str">
        <f t="shared" si="19"/>
        <v>1_Amb_N_0-100 + 2_Stat_N_EB + 3_Zahn_N_Beh + 1 * 3_Zahn_N_Ers_70-80</v>
      </c>
      <c r="EG6" s="318" t="str">
        <f t="shared" si="19"/>
        <v>1_Amb_N_0-100 + 2_Stat_N_EB + 3_Zahn_N_Beh + 0,8 * 3_Zahn_N_Ers_70-80</v>
      </c>
      <c r="EH6" s="318" t="str">
        <f t="shared" si="19"/>
        <v>1_Amb_N_0-100 + 2_Stat_N_EB + 3_Zahn_N_Beh + 0,8 * 3_Zahn_N_Ers_70-80</v>
      </c>
      <c r="EI6" s="318" t="str">
        <f t="shared" si="19"/>
        <v>1_Amb_N_0-100 + 2_Stat_N_EB + 3_Zahn_N_Beh + 0,8 * 3_Zahn_N_Ers_70-80</v>
      </c>
      <c r="EJ6" s="318" t="str">
        <f t="shared" si="19"/>
        <v>1_Amb_N_0-100 + 2_Stat_N_EB + 3_Zahn_N_Beh + 0,8 * 3_Zahn_N_Ers_70-80</v>
      </c>
      <c r="EK6" s="318" t="str">
        <f t="shared" si="19"/>
        <v>1_Amb_N_0-100 + 2_Stat_N_EB + 3_Zahn_N_Beh + 0,8 * 3_Zahn_N_Ers_70-80</v>
      </c>
      <c r="EL6" s="318" t="str">
        <f t="shared" si="19"/>
        <v>1_Amb_N_0-100 + 2_Stat_N_EB + 3_Zahn_N_Beh + 0,8 * 3_Zahn_N_Ers_70-80</v>
      </c>
      <c r="EM6" s="318" t="str">
        <f t="shared" si="19"/>
        <v>1_Amb_N_0-100 + 2_Stat_N_EB + 3_Zahn_N_Beh + 0,8 * 3_Zahn_N_Ers_70-80</v>
      </c>
      <c r="EN6" s="318" t="str">
        <f t="shared" si="19"/>
        <v>1_Amb_N_0-100 + 2_Stat_N_EB + 3_Zahn_N_Beh + 0,8 * 3_Zahn_N_Ers_70-80</v>
      </c>
      <c r="EO6" s="366"/>
      <c r="EP6" s="318" t="str">
        <f t="shared" ref="EP6:EV6" si="20" xml:space="preserve"> Q6 &amp; " + " &amp; BG6 &amp; " + " &amp; CI6 &amp; " + " &amp; EP$8 &amp; " * " &amp; CW6</f>
        <v>1_Amb_N_251-400 + 2_Stat_N_ZB + 3_Zahn_N_Beh +  * 3_Zahn_N_Ers_70-80</v>
      </c>
      <c r="EQ6" s="318" t="str">
        <f t="shared" si="20"/>
        <v>1_Amb_N_251-400 + 2_Stat_N_ZB + 3_Zahn_N_Beh +  * 3_Zahn_N_Ers_70-80</v>
      </c>
      <c r="ER6" s="318" t="str">
        <f t="shared" si="20"/>
        <v>1_Amb_N_251-400 + 2_Stat_N_ZB + 3_Zahn_N_Beh +  * 3_Zahn_N_Ers_70-80</v>
      </c>
      <c r="ES6" s="318" t="str">
        <f t="shared" si="20"/>
        <v>1_Amb_N_251-400 + 2_Stat_N_ZB + 3_Zahn_N_Beh + 1 * 3_Zahn_N_Ers_70-80</v>
      </c>
      <c r="ET6" s="318" t="str">
        <f t="shared" si="20"/>
        <v>1_Amb_N_251-400 + 2_Stat_N_ZB + 3_Zahn_N_Beh + 1 * 3_Zahn_N_Ers_70-80</v>
      </c>
      <c r="EU6" s="318" t="str">
        <f t="shared" si="20"/>
        <v>1_Amb_N_251-400 + 2_Stat_N_ZB + 3_Zahn_N_Beh + 0,7 * 3_Zahn_N_Ers_70-80</v>
      </c>
      <c r="EV6" s="318" t="str">
        <f t="shared" si="20"/>
        <v>1_Amb_N_251-400 + 2_Stat_N_ZB + 3_Zahn_N_Beh + 0,7 * 3_Zahn_N_Ers_70-80</v>
      </c>
      <c r="EW6" s="318" t="str">
        <f xml:space="preserve"> X6 &amp; " + " &amp; BN6 &amp; " + " &amp; DD6 &amp; " + " &amp; EW$8 &amp; " * " &amp; DR6</f>
        <v>1_Amb_N_251-400 + 2_Stat_N_ZB + 3_Zahn_N_Ers_70-80 + 0,7 * 3_Zahn_N_Ers_50-65</v>
      </c>
      <c r="EX6" s="318" t="str">
        <f xml:space="preserve"> Y6 &amp; " + " &amp; BO6 &amp; " + " &amp; DE6 &amp; " + " &amp; EX$8 &amp; " * " &amp; DS6</f>
        <v>1_Amb_N_251-400 + 2_Stat_N_ZB + 3_Zahn_N_Ers_70-80 + 0,7 * 3_Zahn_N_Ers_50-65</v>
      </c>
      <c r="EY6" s="318" t="str">
        <f xml:space="preserve"> Z6 &amp; " + " &amp; BP6 &amp; " + " &amp; CR6 &amp; " + " &amp; EY$8 &amp; " * " &amp; DF6</f>
        <v>1_Amb_N_251-400 + 2_Stat_N_ZB + 3_Zahn_N_Beh + 0,7 * 3_Zahn_N_Ers_70-80</v>
      </c>
      <c r="EZ6" s="318" t="str">
        <f xml:space="preserve"> AA6 &amp; " + " &amp; BQ6 &amp; " + " &amp; CS6 &amp; " + " &amp; EZ$8 &amp; " * " &amp; DG6</f>
        <v>1_Amb_N_251-400 + 2_Stat_N_ZB + 3_Zahn_N_Beh + 0,7 * 3_Zahn_N_Ers_70-80</v>
      </c>
      <c r="FA6" s="318" t="str">
        <f xml:space="preserve"> AB6 &amp; " + " &amp; BR6 &amp; " + " &amp; CT6 &amp; " + " &amp; FA$8 &amp; " * " &amp; DH6</f>
        <v>1_Amb_N_251-400 + 2_Stat_N_ZB + 3_Zahn_N_Beh + 0,7 * 3_Zahn_N_Ers_70-80</v>
      </c>
      <c r="FB6" s="318" t="str">
        <f xml:space="preserve"> AC6 &amp; " + " &amp; BS6 &amp; " + " &amp; CU6 &amp; " + " &amp; FB$8 &amp; " * " &amp; DI6</f>
        <v>1_Amb_N_251-400 + 2_Stat_N_ZB + 3_Zahn_N_Beh + 0,7 * 3_Zahn_N_Ers_70-80</v>
      </c>
      <c r="FC6" s="366"/>
      <c r="FD6" s="318" t="str">
        <f t="shared" ref="FD6:FJ6" si="21" xml:space="preserve"> AE6 &amp; " + " &amp; BU6 &amp; " + " &amp; CI6 &amp; " + " &amp; FD$8 &amp; " * " &amp; DK6</f>
        <v>1_Amb_N_901-1100 + 2_Stat_N_MB + 3_Zahn_N_Beh +  * 3_Zahn_N_Ers_50-65</v>
      </c>
      <c r="FE6" s="318" t="str">
        <f t="shared" si="21"/>
        <v>1_Amb_N_901-1100 + 2_Stat_N_MB + 3_Zahn_N_Beh +  * 3_Zahn_N_Ers_50-65</v>
      </c>
      <c r="FF6" s="318" t="str">
        <f t="shared" si="21"/>
        <v>1_Amb_N_901-1100 + 2_Stat_N_MB + 3_Zahn_N_Beh +  * 3_Zahn_N_Ers_50-65</v>
      </c>
      <c r="FG6" s="318" t="str">
        <f t="shared" si="21"/>
        <v>1_Amb_N_901-1100 + 2_Stat_N_MB + 3_Zahn_N_Beh + 1 * 3_Zahn_N_Ers_50-65</v>
      </c>
      <c r="FH6" s="318" t="str">
        <f t="shared" si="21"/>
        <v>1_Amb_N_901-1100 + 2_Stat_N_MB + 3_Zahn_N_Beh + 1 * 3_Zahn_N_Ers_50-65</v>
      </c>
      <c r="FI6" s="318" t="str">
        <f t="shared" si="21"/>
        <v>1_Amb_N_901-1100 + 2_Stat_N_MB + 3_Zahn_N_Beh + 0,6 * 3_Zahn_N_Ers_50-65</v>
      </c>
      <c r="FJ6" s="318" t="str">
        <f t="shared" si="21"/>
        <v>1_Amb_N_901-1100 + 2_Stat_N_MB + 3_Zahn_N_Beh + 0,6 * 3_Zahn_N_Ers_50-65</v>
      </c>
      <c r="FK6" s="318" t="str">
        <f xml:space="preserve"> AL6 &amp; " + " &amp; CB6 &amp; " + " &amp; DR6 &amp; " + " &amp; FK$8 &amp; " * " &amp; EH6</f>
        <v>1_Amb_N_901-1100 + 2_Stat_N_MB + 3_Zahn_N_Ers_50-65 + 0,6 * 1_Amb_N_0-100 + 2_Stat_N_EB + 3_Zahn_N_Beh + 0,8 * 3_Zahn_N_Ers_70-80</v>
      </c>
      <c r="FL6" s="318" t="str">
        <f xml:space="preserve"> AM6 &amp; " + " &amp; CC6 &amp; " + " &amp; DS6 &amp; " + " &amp; FL$8 &amp; " * " &amp; EI6</f>
        <v>1_Amb_N_901-1100 + 2_Stat_N_MB + 3_Zahn_N_Ers_50-65 + 0,6 * 1_Amb_N_0-100 + 2_Stat_N_EB + 3_Zahn_N_Beh + 0,8 * 3_Zahn_N_Ers_70-80</v>
      </c>
      <c r="FM6" s="318" t="str">
        <f xml:space="preserve"> AN6 &amp; " + " &amp; CD6 &amp; " + " &amp; CR6 &amp; " + " &amp; FM$8 &amp; " * " &amp; DT6</f>
        <v>1_Amb_N_901-1100 + 2_Stat_N_MB + 3_Zahn_N_Beh + 0,6 * 3_Zahn_N_Ers_50-65</v>
      </c>
      <c r="FN6" s="318" t="str">
        <f xml:space="preserve"> AO6 &amp; " + " &amp; CE6 &amp; " + " &amp; CS6 &amp; " + " &amp; FN$8 &amp; " * " &amp; DU6</f>
        <v>1_Amb_N_901-1100 + 2_Stat_N_MB + 3_Zahn_N_Beh + 0,6 * 3_Zahn_N_Ers_50-65</v>
      </c>
      <c r="FO6" s="318" t="str">
        <f xml:space="preserve"> AP6 &amp; " + " &amp; CF6 &amp; " + " &amp; CT6 &amp; " + " &amp; FO$8 &amp; " * " &amp; DV6</f>
        <v>1_Amb_N_901-1100 + 2_Stat_N_MB + 3_Zahn_N_Beh + 0,6 * 3_Zahn_N_Ers_50-65</v>
      </c>
      <c r="FP6" s="318" t="str">
        <f xml:space="preserve"> AQ6 &amp; " + " &amp; CG6 &amp; " + " &amp; CU6 &amp; " + " &amp; FP$8 &amp; " * " &amp; DW6</f>
        <v>1_Amb_N_901-1100 + 2_Stat_N_MB + 3_Zahn_N_Beh + 0,6 * 3_Zahn_N_Ers_50-65</v>
      </c>
      <c r="FQ6" s="366"/>
      <c r="FR6" s="318" t="str">
        <f t="shared" ref="FR6:GD6" si="22" xml:space="preserve"> CI6 &amp; " + " &amp; FR$8 &amp; " * " &amp; CW6</f>
        <v>3_Zahn_N_Beh +  * 3_Zahn_N_Ers_70-80</v>
      </c>
      <c r="FS6" s="318" t="str">
        <f t="shared" si="22"/>
        <v>3_Zahn_N_Beh +  * 3_Zahn_N_Ers_70-80</v>
      </c>
      <c r="FT6" s="318" t="str">
        <f t="shared" si="22"/>
        <v>3_Zahn_N_Beh +  * 3_Zahn_N_Ers_70-80</v>
      </c>
      <c r="FU6" s="318" t="str">
        <f t="shared" si="22"/>
        <v>3_Zahn_N_Beh + 1 * 3_Zahn_N_Ers_70-80</v>
      </c>
      <c r="FV6" s="318" t="str">
        <f t="shared" si="22"/>
        <v>3_Zahn_N_Beh + 1 * 3_Zahn_N_Ers_70-80</v>
      </c>
      <c r="FW6" s="318" t="str">
        <f t="shared" si="22"/>
        <v>3_Zahn_N_Beh + 0,8 * 3_Zahn_N_Ers_70-80</v>
      </c>
      <c r="FX6" s="318" t="str">
        <f t="shared" si="22"/>
        <v>3_Zahn_N_Beh + 0,8 * 3_Zahn_N_Ers_70-80</v>
      </c>
      <c r="FY6" s="318" t="str">
        <f t="shared" si="22"/>
        <v>3_Zahn_N_Beh + 0,8 * 3_Zahn_N_Ers_70-80</v>
      </c>
      <c r="FZ6" s="318" t="str">
        <f t="shared" si="22"/>
        <v>3_Zahn_N_Beh + 0,8 * 3_Zahn_N_Ers_70-80</v>
      </c>
      <c r="GA6" s="318" t="str">
        <f t="shared" si="22"/>
        <v>3_Zahn_N_Beh + 0,8 * 3_Zahn_N_Ers_70-80</v>
      </c>
      <c r="GB6" s="318" t="str">
        <f t="shared" si="22"/>
        <v>3_Zahn_N_Beh + 0,8 * 3_Zahn_N_Ers_70-80</v>
      </c>
      <c r="GC6" s="318" t="str">
        <f t="shared" si="22"/>
        <v>3_Zahn_N_Beh + 0,8 * 3_Zahn_N_Ers_70-80</v>
      </c>
      <c r="GD6" s="318" t="str">
        <f t="shared" si="22"/>
        <v>3_Zahn_N_Beh + 0,8 * 3_Zahn_N_Ers_70-80</v>
      </c>
      <c r="GE6" s="366"/>
      <c r="GF6" s="367" t="str">
        <f xml:space="preserve">  AS6 &amp; " - " &amp; BU6 &amp; " / * " &amp; GF$8</f>
        <v xml:space="preserve">2_Stat_N_EB - 2_Stat_N_MB / * </v>
      </c>
      <c r="GG6" s="367" t="str">
        <f xml:space="preserve">  AT6 &amp; " - " &amp; BV6 &amp; " / * " &amp; GG$8</f>
        <v xml:space="preserve">2_Stat_N_EB - 2_Stat_N_MB / * </v>
      </c>
      <c r="GH6" s="367" t="str">
        <f xml:space="preserve">  AU6 &amp; " - " &amp; BW6 &amp; " / * " &amp; GH$8</f>
        <v xml:space="preserve">2_Stat_N_EB - 2_Stat_N_MB / * </v>
      </c>
      <c r="GI6" s="318" t="str">
        <f xml:space="preserve">  AV6 &amp; " + " &amp; BX6 &amp; " / * " &amp; GI$8</f>
        <v>2_Stat_N_EB + 2_Stat_N_MB / * 1</v>
      </c>
      <c r="GJ6" s="318" t="str">
        <f xml:space="preserve">  AW6 &amp; " + " &amp; BY6 &amp; " / * " &amp; GJ$8</f>
        <v>2_Stat_N_EB + 2_Stat_N_MB / * 1</v>
      </c>
      <c r="GK6" s="367" t="str">
        <f t="shared" ref="GK6:GR6" si="23" xml:space="preserve">  AX6 &amp; " - " &amp; BZ6 &amp; " / * " &amp; GK$8</f>
        <v>2_Stat_N_EB - 2_Stat_N_MB / * 0,75</v>
      </c>
      <c r="GL6" s="367" t="str">
        <f t="shared" si="23"/>
        <v>2_Stat_N_EB - 2_Stat_N_MB / * 0,75</v>
      </c>
      <c r="GM6" s="367" t="str">
        <f t="shared" si="23"/>
        <v>2_Stat_N_EB - 2_Stat_N_MB / * 0,75</v>
      </c>
      <c r="GN6" s="367" t="str">
        <f t="shared" si="23"/>
        <v>2_Stat_N_EB - 2_Stat_N_MB / * 0,75</v>
      </c>
      <c r="GO6" s="367" t="str">
        <f t="shared" si="23"/>
        <v>2_Stat_N_EB - 2_Stat_N_MB / * 0,75</v>
      </c>
      <c r="GP6" s="367" t="str">
        <f t="shared" si="23"/>
        <v>2_Stat_N_EB - 2_Stat_N_MB / * 0,75</v>
      </c>
      <c r="GQ6" s="367" t="str">
        <f t="shared" si="23"/>
        <v>2_Stat_N_EB - 2_Stat_N_MB / * 0,75</v>
      </c>
      <c r="GR6" s="367" t="str">
        <f t="shared" si="23"/>
        <v>2_Stat_N_EB - 2_Stat_N_MB / * 0,75</v>
      </c>
      <c r="GS6" s="366"/>
      <c r="GT6" s="366"/>
      <c r="GU6" s="366"/>
      <c r="GV6" s="366"/>
      <c r="GW6" s="366"/>
      <c r="GX6" s="366"/>
      <c r="GY6" s="366"/>
      <c r="GZ6" s="366"/>
      <c r="HA6" s="369"/>
      <c r="HB6" s="370">
        <f xml:space="preserve"> HA6</f>
        <v>0</v>
      </c>
      <c r="HC6" s="370">
        <f t="shared" ref="HC6:HK6" si="24" xml:space="preserve"> HB6</f>
        <v>0</v>
      </c>
      <c r="HD6" s="370">
        <f t="shared" si="24"/>
        <v>0</v>
      </c>
      <c r="HE6" s="370">
        <f t="shared" si="24"/>
        <v>0</v>
      </c>
      <c r="HF6" s="370">
        <f t="shared" si="24"/>
        <v>0</v>
      </c>
      <c r="HG6" s="370">
        <f t="shared" si="24"/>
        <v>0</v>
      </c>
      <c r="HH6" s="370">
        <f t="shared" si="24"/>
        <v>0</v>
      </c>
      <c r="HI6" s="370">
        <f t="shared" si="24"/>
        <v>0</v>
      </c>
      <c r="HJ6" s="370">
        <f t="shared" si="24"/>
        <v>0</v>
      </c>
      <c r="HK6" s="370">
        <f t="shared" si="24"/>
        <v>0</v>
      </c>
    </row>
    <row r="7" spans="1:219" x14ac:dyDescent="0.2">
      <c r="FR7" s="318"/>
      <c r="FS7" s="318"/>
      <c r="FT7" s="318"/>
      <c r="FU7" s="318"/>
      <c r="FV7" s="318"/>
      <c r="FW7" s="318"/>
      <c r="FX7" s="318"/>
      <c r="FY7" s="318"/>
      <c r="FZ7" s="318"/>
      <c r="GA7" s="318"/>
      <c r="GB7" s="318"/>
      <c r="GC7" s="318"/>
      <c r="GD7" s="318"/>
      <c r="GK7" s="338" t="s">
        <v>66</v>
      </c>
      <c r="GM7" s="323"/>
    </row>
    <row r="8" spans="1:219" x14ac:dyDescent="0.2">
      <c r="C8" s="347">
        <v>976.1</v>
      </c>
      <c r="D8" s="347">
        <v>1853.69</v>
      </c>
      <c r="E8" s="347">
        <v>171.57</v>
      </c>
      <c r="F8" s="341">
        <f xml:space="preserve"> SUM( F$25:F$29 )</f>
        <v>30670.368399999999</v>
      </c>
      <c r="G8" s="341">
        <f xml:space="preserve"> SUM( G$25:G$29 )</f>
        <v>54289.896699999998</v>
      </c>
      <c r="H8" s="342"/>
      <c r="I8" s="342"/>
      <c r="J8" s="341">
        <f xml:space="preserve"> SUMPRODUCT( G$25:G$29, J$25:J$29 )</f>
        <v>183430.98688738109</v>
      </c>
      <c r="K8" s="343">
        <f xml:space="preserve"> IF(    SUM(F8:G8)=0,    0,   J8 / SUM(F8:G8)    )</f>
        <v>2.159020886663654</v>
      </c>
      <c r="L8" s="342"/>
      <c r="M8" s="342"/>
      <c r="N8" s="344">
        <f xml:space="preserve"> K8</f>
        <v>2.159020886663654</v>
      </c>
      <c r="O8" s="344">
        <f xml:space="preserve"> K8</f>
        <v>2.159020886663654</v>
      </c>
      <c r="Q8" s="371">
        <v>639.4</v>
      </c>
      <c r="R8" s="371">
        <v>1201.3800000000001</v>
      </c>
      <c r="S8" s="371">
        <v>200.38</v>
      </c>
      <c r="T8" s="341">
        <f xml:space="preserve"> SUM( T$25:T$29 )</f>
        <v>5029.4141999999993</v>
      </c>
      <c r="U8" s="341">
        <f xml:space="preserve"> SUM( U$25:U$29 )</f>
        <v>4871.7633000000005</v>
      </c>
      <c r="V8" s="342"/>
      <c r="W8" s="342"/>
      <c r="X8" s="341">
        <f xml:space="preserve"> SUMPRODUCT( U$25:U$29, X$25:X$29 )</f>
        <v>23597.972943461798</v>
      </c>
      <c r="Y8" s="343">
        <f xml:space="preserve"> IF(    SUM(T8:U8)=0,    0,   X8 / SUM(T8:U8)    )</f>
        <v>2.3833501564295561</v>
      </c>
      <c r="Z8" s="342"/>
      <c r="AA8" s="342"/>
      <c r="AB8" s="344">
        <f xml:space="preserve"> Y8</f>
        <v>2.3833501564295561</v>
      </c>
      <c r="AC8" s="344">
        <f xml:space="preserve"> Y8</f>
        <v>2.3833501564295561</v>
      </c>
      <c r="AE8" s="371">
        <v>428.58</v>
      </c>
      <c r="AF8" s="371">
        <v>994.18</v>
      </c>
      <c r="AG8" s="371">
        <v>179.39</v>
      </c>
      <c r="AH8" s="341">
        <f xml:space="preserve"> SUM( AH$25:AH$29 )</f>
        <v>176.29089999999999</v>
      </c>
      <c r="AI8" s="341">
        <f xml:space="preserve"> SUM( AI$25:AI$29 )</f>
        <v>191.5241</v>
      </c>
      <c r="AJ8" s="342"/>
      <c r="AK8" s="342"/>
      <c r="AL8" s="341">
        <f xml:space="preserve"> SUMPRODUCT( AI$25:AI$29, AL$25:AL$29 )</f>
        <v>2707.7162011585997</v>
      </c>
      <c r="AM8" s="343">
        <f xml:space="preserve"> IF(    SUM(AH8:AI8)=0,    0,   AL8 / SUM(AH8:AI8)    )</f>
        <v>7.3616252767249835</v>
      </c>
      <c r="AN8" s="342"/>
      <c r="AO8" s="342"/>
      <c r="AP8" s="344">
        <f xml:space="preserve"> AM8</f>
        <v>7.3616252767249835</v>
      </c>
      <c r="AQ8" s="344">
        <f xml:space="preserve"> AM8</f>
        <v>7.3616252767249835</v>
      </c>
      <c r="AS8" s="371">
        <v>340.67</v>
      </c>
      <c r="AT8" s="371">
        <v>683.12</v>
      </c>
      <c r="AU8" s="371">
        <v>242.67</v>
      </c>
      <c r="AV8" s="341">
        <f xml:space="preserve"> SUM( AV$25:AV$29 )</f>
        <v>33274.358399999997</v>
      </c>
      <c r="AW8" s="341">
        <f xml:space="preserve"> SUM( AW$25:AW$29 )</f>
        <v>32213.480099999997</v>
      </c>
      <c r="AX8" s="342"/>
      <c r="AY8" s="342"/>
      <c r="AZ8" s="341">
        <f xml:space="preserve"> SUMPRODUCT( AW$25:AW$29, AZ$25:AZ$29 )</f>
        <v>77596.034176415997</v>
      </c>
      <c r="BA8" s="343">
        <f xml:space="preserve"> IF(    SUM(AV8:AW8)=0,    0,   AZ8 / SUM(AV8:AW8)    )</f>
        <v>1.1848922785322347</v>
      </c>
      <c r="BB8" s="342"/>
      <c r="BC8" s="342"/>
      <c r="BD8" s="344">
        <f xml:space="preserve"> BA8</f>
        <v>1.1848922785322347</v>
      </c>
      <c r="BE8" s="344">
        <f xml:space="preserve"> BA8</f>
        <v>1.1848922785322347</v>
      </c>
      <c r="BG8" s="371">
        <v>334.77</v>
      </c>
      <c r="BH8" s="371">
        <v>585.91999999999996</v>
      </c>
      <c r="BI8" s="371">
        <v>205.37</v>
      </c>
      <c r="BJ8" s="341">
        <f xml:space="preserve"> SUM( BJ$25:BJ$29 )</f>
        <v>14432.4275</v>
      </c>
      <c r="BK8" s="341">
        <f xml:space="preserve"> SUM( BK$25:BK$29 )</f>
        <v>13764.1242</v>
      </c>
      <c r="BL8" s="342"/>
      <c r="BM8" s="342"/>
      <c r="BN8" s="341">
        <f xml:space="preserve"> SUMPRODUCT( BK$25:BK$29, BN$25:BN$29 )</f>
        <v>28189.875498521003</v>
      </c>
      <c r="BO8" s="343">
        <f xml:space="preserve"> IF(    SUM(BJ8:BK8)=0,    0,   BN8 / SUM(BJ8:BK8)    )</f>
        <v>0.99976322631398229</v>
      </c>
      <c r="BP8" s="342"/>
      <c r="BQ8" s="342"/>
      <c r="BR8" s="344">
        <f xml:space="preserve"> BO8</f>
        <v>0.99976322631398229</v>
      </c>
      <c r="BS8" s="344">
        <f xml:space="preserve"> BO8</f>
        <v>0.99976322631398229</v>
      </c>
      <c r="BU8" s="371">
        <v>232.12</v>
      </c>
      <c r="BV8" s="371">
        <v>381.87</v>
      </c>
      <c r="BW8" s="371">
        <v>99.19</v>
      </c>
      <c r="BX8" s="341">
        <f xml:space="preserve"> SUM( BX$25:BX$29 )</f>
        <v>13130.885799999998</v>
      </c>
      <c r="BY8" s="341">
        <f xml:space="preserve"> SUM( BY$25:BY$29 )</f>
        <v>12705.455</v>
      </c>
      <c r="BZ8" s="342"/>
      <c r="CA8" s="342"/>
      <c r="CB8" s="341">
        <f xml:space="preserve"> SUMPRODUCT( BY$25:BY$29, CB$25:CB$29 )</f>
        <v>40816.681376589295</v>
      </c>
      <c r="CC8" s="343">
        <f xml:space="preserve"> IF(    SUM(BX8:BY8)=0,    0,   CB8 / SUM(BX8:BY8)    )</f>
        <v>1.5798166502196509</v>
      </c>
      <c r="CD8" s="342"/>
      <c r="CE8" s="342"/>
      <c r="CF8" s="344">
        <f xml:space="preserve"> CC8</f>
        <v>1.5798166502196509</v>
      </c>
      <c r="CG8" s="344">
        <f xml:space="preserve"> CC8</f>
        <v>1.5798166502196509</v>
      </c>
      <c r="CI8" s="371">
        <v>212.53</v>
      </c>
      <c r="CJ8" s="371">
        <v>275.45</v>
      </c>
      <c r="CK8" s="371">
        <v>0.4</v>
      </c>
      <c r="CL8" s="341">
        <f xml:space="preserve"> SUM( CL$25:CL$29 )</f>
        <v>64506.684999999998</v>
      </c>
      <c r="CM8" s="341">
        <f xml:space="preserve"> SUM( CM$25:CM$29 )</f>
        <v>62278.016600000003</v>
      </c>
      <c r="CN8" s="342"/>
      <c r="CO8" s="342"/>
      <c r="CP8" s="341">
        <f xml:space="preserve"> SUMPRODUCT( CM$25:CM$29, CP$25:CP$29 )</f>
        <v>955.66135127200005</v>
      </c>
      <c r="CQ8" s="343">
        <f xml:space="preserve"> IF(    SUM(CL8:CM8)=0,    0,   CP8 / SUM(CL8:CM8)    )</f>
        <v>7.5376708641636311E-3</v>
      </c>
      <c r="CR8" s="342"/>
      <c r="CS8" s="342"/>
      <c r="CT8" s="344">
        <f xml:space="preserve"> CQ8</f>
        <v>7.5376708641636311E-3</v>
      </c>
      <c r="CU8" s="344">
        <f xml:space="preserve"> CQ8</f>
        <v>7.5376708641636311E-3</v>
      </c>
      <c r="CW8" s="371">
        <v>224.23</v>
      </c>
      <c r="CX8" s="371">
        <v>310.74</v>
      </c>
      <c r="CY8" s="371">
        <v>0.25</v>
      </c>
      <c r="CZ8" s="341">
        <f xml:space="preserve"> SUM( CZ$25:CZ$29 )</f>
        <v>28076.654200000004</v>
      </c>
      <c r="DA8" s="341">
        <f xml:space="preserve"> SUM( DA$25:DA$29 )</f>
        <v>26747.922500000001</v>
      </c>
      <c r="DB8" s="342"/>
      <c r="DC8" s="342"/>
      <c r="DD8" s="341">
        <f xml:space="preserve"> SUMPRODUCT( DA$25:DA$29, DD$25:DD$29 )</f>
        <v>409.95619292499998</v>
      </c>
      <c r="DE8" s="343">
        <f xml:space="preserve"> IF(    SUM(CZ8:DA8)=0,    0,   DD8 / SUM(CZ8:DA8)    )</f>
        <v>7.4775988726420925E-3</v>
      </c>
      <c r="DF8" s="342"/>
      <c r="DG8" s="342"/>
      <c r="DH8" s="344">
        <f xml:space="preserve"> DE8</f>
        <v>7.4775988726420925E-3</v>
      </c>
      <c r="DI8" s="344">
        <f xml:space="preserve"> DE8</f>
        <v>7.4775988726420925E-3</v>
      </c>
      <c r="DK8" s="371">
        <v>131.77000000000001</v>
      </c>
      <c r="DL8" s="371">
        <v>196.86</v>
      </c>
      <c r="DM8" s="371">
        <v>0.19</v>
      </c>
      <c r="DN8" s="341">
        <f xml:space="preserve"> SUM( DN$25:DN$29 )</f>
        <v>5237.8066999999992</v>
      </c>
      <c r="DO8" s="341">
        <f xml:space="preserve"> SUM( DO$25:DO$29 )</f>
        <v>4922.0725000000011</v>
      </c>
      <c r="DP8" s="342"/>
      <c r="DQ8" s="342"/>
      <c r="DR8" s="341">
        <f xml:space="preserve"> SUMPRODUCT( DO$25:DO$29, DR$25:DR$29 )</f>
        <v>37.868724842799999</v>
      </c>
      <c r="DS8" s="343">
        <f xml:space="preserve"> IF(    SUM(DN8:DO8)=0,    0,   DR8 / SUM(DN8:DO8)    )</f>
        <v>3.7272810136167764E-3</v>
      </c>
      <c r="DT8" s="342"/>
      <c r="DU8" s="342"/>
      <c r="DV8" s="344">
        <f xml:space="preserve"> DS8</f>
        <v>3.7272810136167764E-3</v>
      </c>
      <c r="DW8" s="344">
        <f xml:space="preserve"> DS8</f>
        <v>3.7272810136167764E-3</v>
      </c>
      <c r="EB8" s="326"/>
      <c r="EC8" s="326"/>
      <c r="ED8" s="326"/>
      <c r="EE8" s="345">
        <v>1</v>
      </c>
      <c r="EF8" s="346">
        <f xml:space="preserve"> EE8</f>
        <v>1</v>
      </c>
      <c r="EG8" s="345">
        <v>0.8</v>
      </c>
      <c r="EH8" s="346">
        <f t="shared" ref="EH8:EN8" si="25" xml:space="preserve"> EG8</f>
        <v>0.8</v>
      </c>
      <c r="EI8" s="346">
        <f t="shared" si="25"/>
        <v>0.8</v>
      </c>
      <c r="EJ8" s="346">
        <f t="shared" si="25"/>
        <v>0.8</v>
      </c>
      <c r="EK8" s="346">
        <f t="shared" si="25"/>
        <v>0.8</v>
      </c>
      <c r="EL8" s="346">
        <f t="shared" si="25"/>
        <v>0.8</v>
      </c>
      <c r="EM8" s="346">
        <f t="shared" si="25"/>
        <v>0.8</v>
      </c>
      <c r="EN8" s="346">
        <f t="shared" si="25"/>
        <v>0.8</v>
      </c>
      <c r="EP8" s="326"/>
      <c r="EQ8" s="326"/>
      <c r="ER8" s="326"/>
      <c r="ES8" s="345">
        <v>1</v>
      </c>
      <c r="ET8" s="346">
        <f xml:space="preserve"> ES8</f>
        <v>1</v>
      </c>
      <c r="EU8" s="345">
        <v>0.7</v>
      </c>
      <c r="EV8" s="346">
        <f t="shared" ref="EV8:FB8" si="26" xml:space="preserve"> EU8</f>
        <v>0.7</v>
      </c>
      <c r="EW8" s="346">
        <f t="shared" si="26"/>
        <v>0.7</v>
      </c>
      <c r="EX8" s="346">
        <f t="shared" si="26"/>
        <v>0.7</v>
      </c>
      <c r="EY8" s="346">
        <f t="shared" si="26"/>
        <v>0.7</v>
      </c>
      <c r="EZ8" s="346">
        <f t="shared" si="26"/>
        <v>0.7</v>
      </c>
      <c r="FA8" s="346">
        <f t="shared" si="26"/>
        <v>0.7</v>
      </c>
      <c r="FB8" s="346">
        <f t="shared" si="26"/>
        <v>0.7</v>
      </c>
      <c r="FD8" s="326"/>
      <c r="FE8" s="326"/>
      <c r="FF8" s="326"/>
      <c r="FG8" s="345">
        <v>1</v>
      </c>
      <c r="FH8" s="346">
        <f xml:space="preserve"> FG8</f>
        <v>1</v>
      </c>
      <c r="FI8" s="345">
        <v>0.6</v>
      </c>
      <c r="FJ8" s="346">
        <f t="shared" ref="FJ8:FP8" si="27" xml:space="preserve"> FI8</f>
        <v>0.6</v>
      </c>
      <c r="FK8" s="346">
        <f t="shared" si="27"/>
        <v>0.6</v>
      </c>
      <c r="FL8" s="346">
        <f t="shared" si="27"/>
        <v>0.6</v>
      </c>
      <c r="FM8" s="346">
        <f t="shared" si="27"/>
        <v>0.6</v>
      </c>
      <c r="FN8" s="346">
        <f t="shared" si="27"/>
        <v>0.6</v>
      </c>
      <c r="FO8" s="346">
        <f t="shared" si="27"/>
        <v>0.6</v>
      </c>
      <c r="FP8" s="346">
        <f t="shared" si="27"/>
        <v>0.6</v>
      </c>
      <c r="FR8" s="326"/>
      <c r="FS8" s="326"/>
      <c r="FT8" s="326"/>
      <c r="FU8" s="345">
        <v>1</v>
      </c>
      <c r="FV8" s="346">
        <f xml:space="preserve"> FU8</f>
        <v>1</v>
      </c>
      <c r="FW8" s="345">
        <v>0.8</v>
      </c>
      <c r="FX8" s="346">
        <f t="shared" ref="FX8:GD8" si="28" xml:space="preserve"> FW8</f>
        <v>0.8</v>
      </c>
      <c r="FY8" s="346">
        <f t="shared" si="28"/>
        <v>0.8</v>
      </c>
      <c r="FZ8" s="346">
        <f t="shared" si="28"/>
        <v>0.8</v>
      </c>
      <c r="GA8" s="346">
        <f t="shared" si="28"/>
        <v>0.8</v>
      </c>
      <c r="GB8" s="346">
        <f t="shared" si="28"/>
        <v>0.8</v>
      </c>
      <c r="GC8" s="346">
        <f t="shared" si="28"/>
        <v>0.8</v>
      </c>
      <c r="GD8" s="346">
        <f t="shared" si="28"/>
        <v>0.8</v>
      </c>
      <c r="GF8" s="326"/>
      <c r="GG8" s="326"/>
      <c r="GH8" s="326"/>
      <c r="GI8" s="345">
        <v>1</v>
      </c>
      <c r="GJ8" s="346">
        <f xml:space="preserve"> GI8</f>
        <v>1</v>
      </c>
      <c r="GK8" s="345">
        <v>0.75</v>
      </c>
      <c r="GL8" s="346">
        <f t="shared" ref="GL8:GR8" si="29" xml:space="preserve"> GK8</f>
        <v>0.75</v>
      </c>
      <c r="GM8" s="346">
        <f t="shared" si="29"/>
        <v>0.75</v>
      </c>
      <c r="GN8" s="346">
        <f t="shared" si="29"/>
        <v>0.75</v>
      </c>
      <c r="GO8" s="346">
        <f t="shared" si="29"/>
        <v>0.75</v>
      </c>
      <c r="GP8" s="346">
        <f t="shared" si="29"/>
        <v>0.75</v>
      </c>
      <c r="GQ8" s="346">
        <f t="shared" si="29"/>
        <v>0.75</v>
      </c>
      <c r="GR8" s="346">
        <f t="shared" si="29"/>
        <v>0.75</v>
      </c>
      <c r="HA8" s="371"/>
      <c r="HB8" s="371"/>
      <c r="HC8" s="371"/>
      <c r="HD8" s="372"/>
      <c r="HE8" s="372"/>
      <c r="HF8" s="342"/>
      <c r="HG8" s="342"/>
      <c r="HH8" s="342"/>
      <c r="HI8" s="342"/>
      <c r="HJ8" s="342"/>
      <c r="HK8" s="342"/>
    </row>
    <row r="9" spans="1:219" x14ac:dyDescent="0.2">
      <c r="C9" s="373"/>
      <c r="D9" s="373"/>
      <c r="E9" s="373"/>
      <c r="F9" s="341">
        <f xml:space="preserve"> SUM( F$30:F$74 )</f>
        <v>614165.01080000005</v>
      </c>
      <c r="G9" s="341">
        <f xml:space="preserve"> SUM( G$30:G$74 )</f>
        <v>285897.17729999998</v>
      </c>
      <c r="H9" s="342"/>
      <c r="I9" s="342"/>
      <c r="J9" s="341">
        <f xml:space="preserve"> SUMPRODUCT( G$30:G$74, J$30:J$74 )</f>
        <v>22170841.599747453</v>
      </c>
      <c r="K9" s="343">
        <f xml:space="preserve"> IF(    SUM(F9:G9)=0,    0,   J9 / SUM(F9:G9)    )</f>
        <v>24.63256638582866</v>
      </c>
      <c r="L9" s="342"/>
      <c r="M9" s="342"/>
      <c r="N9" s="344">
        <f xml:space="preserve"> K9</f>
        <v>24.63256638582866</v>
      </c>
      <c r="O9" s="344">
        <f xml:space="preserve"> K9</f>
        <v>24.63256638582866</v>
      </c>
      <c r="Q9" s="373"/>
      <c r="R9" s="373"/>
      <c r="S9" s="373"/>
      <c r="T9" s="341">
        <f xml:space="preserve"> SUM( T$30:T$74 )</f>
        <v>160381.58789999998</v>
      </c>
      <c r="U9" s="341">
        <f xml:space="preserve"> SUM( U$30:U$74 )</f>
        <v>63233.254099999998</v>
      </c>
      <c r="V9" s="342"/>
      <c r="W9" s="342"/>
      <c r="X9" s="341">
        <f xml:space="preserve"> SUMPRODUCT( U$30:U$74, X$30:X$74 )</f>
        <v>3801242.7930155266</v>
      </c>
      <c r="Y9" s="343">
        <f xml:space="preserve"> IF(    SUM(T9:U9)=0,    0,   X9 / SUM(T9:U9)    )</f>
        <v>16.999063027379581</v>
      </c>
      <c r="Z9" s="342"/>
      <c r="AA9" s="342"/>
      <c r="AB9" s="344">
        <f xml:space="preserve"> Y9</f>
        <v>16.999063027379581</v>
      </c>
      <c r="AC9" s="344">
        <f xml:space="preserve"> Y9</f>
        <v>16.999063027379581</v>
      </c>
      <c r="AE9" s="373"/>
      <c r="AF9" s="373"/>
      <c r="AG9" s="373"/>
      <c r="AH9" s="341">
        <f xml:space="preserve"> SUM( AH$30:AH$74 )</f>
        <v>19024.008900000001</v>
      </c>
      <c r="AI9" s="341">
        <f xml:space="preserve"> SUM( AI$30:AI$74 )</f>
        <v>6819.9831000000004</v>
      </c>
      <c r="AJ9" s="342"/>
      <c r="AK9" s="342"/>
      <c r="AL9" s="341">
        <f xml:space="preserve"> SUMPRODUCT( AI$30:AI$74, AL$30:AL$74 )</f>
        <v>388012.94636809325</v>
      </c>
      <c r="AM9" s="343">
        <f xml:space="preserve"> IF(    SUM(AH9:AI9)=0,    0,   AL9 / SUM(AH9:AI9)    )</f>
        <v>15.013661448590961</v>
      </c>
      <c r="AN9" s="342"/>
      <c r="AO9" s="342"/>
      <c r="AP9" s="344">
        <f xml:space="preserve"> AM9</f>
        <v>15.013661448590961</v>
      </c>
      <c r="AQ9" s="344">
        <f xml:space="preserve"> AM9</f>
        <v>15.013661448590961</v>
      </c>
      <c r="AS9" s="373"/>
      <c r="AT9" s="373"/>
      <c r="AU9" s="373"/>
      <c r="AV9" s="341">
        <f xml:space="preserve"> SUM( AV$30:AV$74 )</f>
        <v>733944.80979999993</v>
      </c>
      <c r="AW9" s="341">
        <f xml:space="preserve"> SUM( AW$30:AW$74 )</f>
        <v>222989.50639999998</v>
      </c>
      <c r="AX9" s="342"/>
      <c r="AY9" s="342"/>
      <c r="AZ9" s="341">
        <f xml:space="preserve"> SUMPRODUCT( AW$30:AW$74, AZ$30:AZ$74 )</f>
        <v>17717163.07212178</v>
      </c>
      <c r="BA9" s="343">
        <f xml:space="preserve"> IF(    SUM(AV9:AW9)=0,    0,   AZ9 / SUM(AV9:AW9)    )</f>
        <v>18.514502795214714</v>
      </c>
      <c r="BB9" s="342"/>
      <c r="BC9" s="342"/>
      <c r="BD9" s="344">
        <f xml:space="preserve"> BA9</f>
        <v>18.514502795214714</v>
      </c>
      <c r="BE9" s="344">
        <f xml:space="preserve"> BA9</f>
        <v>18.514502795214714</v>
      </c>
      <c r="BG9" s="373"/>
      <c r="BH9" s="373"/>
      <c r="BI9" s="373"/>
      <c r="BJ9" s="341">
        <f xml:space="preserve"> SUM( BJ$30:BJ$74 )</f>
        <v>370286.80990000005</v>
      </c>
      <c r="BK9" s="341">
        <f xml:space="preserve"> SUM( BK$30:BK$74 )</f>
        <v>114965.02989999999</v>
      </c>
      <c r="BL9" s="342"/>
      <c r="BM9" s="342"/>
      <c r="BN9" s="341">
        <f xml:space="preserve"> SUMPRODUCT( BK$30:BK$74, BN$30:BN$74 )</f>
        <v>8994895.8292720988</v>
      </c>
      <c r="BO9" s="343">
        <f xml:space="preserve"> IF(    SUM(BJ9:BK9)=0,    0,   BN9 / SUM(BJ9:BK9)    )</f>
        <v>18.536551727406962</v>
      </c>
      <c r="BP9" s="342"/>
      <c r="BQ9" s="342"/>
      <c r="BR9" s="344">
        <f xml:space="preserve"> BO9</f>
        <v>18.536551727406962</v>
      </c>
      <c r="BS9" s="344">
        <f xml:space="preserve"> BO9</f>
        <v>18.536551727406962</v>
      </c>
      <c r="BU9" s="373"/>
      <c r="BV9" s="373"/>
      <c r="BW9" s="373"/>
      <c r="BX9" s="341">
        <f xml:space="preserve"> SUM( BX$30:BX$74 )</f>
        <v>452843.17499999993</v>
      </c>
      <c r="BY9" s="341">
        <f xml:space="preserve"> SUM( BY$30:BY$74 )</f>
        <v>150724.66899999997</v>
      </c>
      <c r="BZ9" s="342"/>
      <c r="CA9" s="342"/>
      <c r="CB9" s="341">
        <f xml:space="preserve"> SUMPRODUCT( BY$30:BY$74, CB$30:CB$74 )</f>
        <v>7701750.9405508563</v>
      </c>
      <c r="CC9" s="343">
        <f xml:space="preserve"> IF(    SUM(BX9:BY9)=0,    0,   CB9 / SUM(BX9:BY9)    )</f>
        <v>12.760373199323153</v>
      </c>
      <c r="CD9" s="342"/>
      <c r="CE9" s="342"/>
      <c r="CF9" s="344">
        <f xml:space="preserve"> CC9</f>
        <v>12.760373199323153</v>
      </c>
      <c r="CG9" s="344">
        <f xml:space="preserve"> CC9</f>
        <v>12.760373199323153</v>
      </c>
      <c r="CI9" s="373"/>
      <c r="CJ9" s="373"/>
      <c r="CK9" s="373"/>
      <c r="CL9" s="341">
        <f xml:space="preserve"> SUM( CL$30:CL$74 )</f>
        <v>1642866.0875000004</v>
      </c>
      <c r="CM9" s="341">
        <f xml:space="preserve"> SUM( CM$30:CM$74 )</f>
        <v>536298.66749999998</v>
      </c>
      <c r="CN9" s="342"/>
      <c r="CO9" s="342"/>
      <c r="CP9" s="341">
        <f xml:space="preserve"> SUMPRODUCT( CM$30:CM$74, CP$30:CP$74 )</f>
        <v>78129.71751377602</v>
      </c>
      <c r="CQ9" s="343">
        <f xml:space="preserve"> IF(    SUM(CL9:CM9)=0,    0,   CP9 / SUM(CL9:CM9)    )</f>
        <v>3.585305669730144E-2</v>
      </c>
      <c r="CR9" s="342"/>
      <c r="CS9" s="342"/>
      <c r="CT9" s="344">
        <f xml:space="preserve"> CQ9</f>
        <v>3.585305669730144E-2</v>
      </c>
      <c r="CU9" s="344">
        <f xml:space="preserve"> CQ9</f>
        <v>3.585305669730144E-2</v>
      </c>
      <c r="CW9" s="373"/>
      <c r="CX9" s="373"/>
      <c r="CY9" s="373"/>
      <c r="CZ9" s="341">
        <f xml:space="preserve"> SUM( CZ$30:CZ$74 )</f>
        <v>770217.96710000013</v>
      </c>
      <c r="DA9" s="341">
        <f xml:space="preserve"> SUM( DA$30:DA$74 )</f>
        <v>230017.89850000004</v>
      </c>
      <c r="DB9" s="342"/>
      <c r="DC9" s="342"/>
      <c r="DD9" s="341">
        <f xml:space="preserve"> SUMPRODUCT( DA$30:DA$74, DD$30:DD$74 )</f>
        <v>21745.20036339499</v>
      </c>
      <c r="DE9" s="343">
        <f xml:space="preserve"> IF(    SUM(CZ9:DA9)=0,    0,   DD9 / SUM(CZ9:DA9)    )</f>
        <v>2.1740072628120513E-2</v>
      </c>
      <c r="DF9" s="342"/>
      <c r="DG9" s="342"/>
      <c r="DH9" s="344">
        <f xml:space="preserve"> DE9</f>
        <v>2.1740072628120513E-2</v>
      </c>
      <c r="DI9" s="344">
        <f xml:space="preserve"> DE9</f>
        <v>2.1740072628120513E-2</v>
      </c>
      <c r="DK9" s="373"/>
      <c r="DL9" s="373"/>
      <c r="DM9" s="373"/>
      <c r="DN9" s="341">
        <f xml:space="preserve"> SUM( DN$30:DN$74 )</f>
        <v>198590.7818</v>
      </c>
      <c r="DO9" s="341">
        <f xml:space="preserve"> SUM( DO$30:DO$74 )</f>
        <v>79897.776699999988</v>
      </c>
      <c r="DP9" s="342"/>
      <c r="DQ9" s="342"/>
      <c r="DR9" s="341">
        <f xml:space="preserve"> SUMPRODUCT( DO$30:DO$74, DR$30:DR$74 )</f>
        <v>6472.3179978249982</v>
      </c>
      <c r="DS9" s="343">
        <f xml:space="preserve"> IF(    SUM(DN9:DO9)=0,    0,   DR9 / SUM(DN9:DO9)    )</f>
        <v>2.3240875792837998E-2</v>
      </c>
      <c r="DT9" s="342"/>
      <c r="DU9" s="342"/>
      <c r="DV9" s="344">
        <f xml:space="preserve"> DS9</f>
        <v>2.3240875792837998E-2</v>
      </c>
      <c r="DW9" s="344">
        <f xml:space="preserve"> DS9</f>
        <v>2.3240875792837998E-2</v>
      </c>
      <c r="EM9" s="348">
        <f xml:space="preserve"> N9 + BD9 + CT9 + EM$8 * DH9</f>
        <v>43.200314295843171</v>
      </c>
      <c r="EN9" s="348">
        <f xml:space="preserve"> O9 + BE9 + CU9 + EN$8 * DI9</f>
        <v>43.200314295843171</v>
      </c>
      <c r="FA9" s="348">
        <f xml:space="preserve"> AB9 + BR9 + CT9 + FA$8 * DH9</f>
        <v>35.586685862323527</v>
      </c>
      <c r="FB9" s="348">
        <f xml:space="preserve"> AC9 + BS9 + CU9 + FB$8 * DI9</f>
        <v>35.586685862323527</v>
      </c>
      <c r="FO9" s="348">
        <f xml:space="preserve"> AP9 + CF9 + CT9 + FO$8 * DV9</f>
        <v>27.82383223008712</v>
      </c>
      <c r="FP9" s="348">
        <f xml:space="preserve"> AQ9 + CG9 + CU9 + FP$8 * DW9</f>
        <v>27.82383223008712</v>
      </c>
      <c r="GC9" s="348">
        <f xml:space="preserve"> CT9 + GC$8 * DH9</f>
        <v>5.3245114799797849E-2</v>
      </c>
      <c r="GD9" s="348">
        <f xml:space="preserve"> CU9 + GD$8 * DI9</f>
        <v>5.3245114799797849E-2</v>
      </c>
      <c r="GM9" s="323"/>
      <c r="GQ9" s="349">
        <f xml:space="preserve"> MAX( 0, BD9 - CF9 ) * GQ$8</f>
        <v>4.3155971969186702</v>
      </c>
      <c r="GR9" s="349">
        <f xml:space="preserve"> MAX( 0, BE9 - CG9 ) * GR$8</f>
        <v>4.3155971969186702</v>
      </c>
      <c r="HA9" s="373"/>
      <c r="HB9" s="373"/>
      <c r="HC9" s="373"/>
      <c r="HD9" s="372"/>
      <c r="HE9" s="372"/>
      <c r="HF9" s="342"/>
      <c r="HG9" s="342"/>
      <c r="HH9" s="342"/>
      <c r="HI9" s="342"/>
      <c r="HJ9" s="342"/>
      <c r="HK9" s="342"/>
    </row>
    <row r="10" spans="1:219" x14ac:dyDescent="0.2">
      <c r="A10" s="320">
        <v>0</v>
      </c>
      <c r="C10" s="350">
        <v>1.5745</v>
      </c>
      <c r="D10" s="350">
        <v>0.81169999999999998</v>
      </c>
      <c r="E10" s="350">
        <v>0</v>
      </c>
      <c r="F10" s="350">
        <v>4361.8924999999999</v>
      </c>
      <c r="G10" s="350">
        <v>4124.0316999999995</v>
      </c>
      <c r="H10" s="351">
        <f t="shared" ref="H10:H41" si="30" xml:space="preserve"> C10 * C$8</f>
        <v>1536.8694500000001</v>
      </c>
      <c r="I10" s="351">
        <f t="shared" ref="I10:I41" si="31" xml:space="preserve"> D10 * D$8</f>
        <v>1504.640173</v>
      </c>
      <c r="J10" s="352">
        <f t="shared" ref="J10:J41" si="32" xml:space="preserve"> E10 * E$8</f>
        <v>0</v>
      </c>
      <c r="K10" s="352">
        <f xml:space="preserve"> IF(    SUM(F10:G10)=0,    0,   J10 * G10 / SUM(F10:G10)    )</f>
        <v>0</v>
      </c>
      <c r="L10" s="353">
        <f xml:space="preserve"> H10 + K10</f>
        <v>1536.8694500000001</v>
      </c>
      <c r="M10" s="353">
        <f xml:space="preserve"> I10 - J10 + K10</f>
        <v>1504.640173</v>
      </c>
      <c r="N10" s="343">
        <f xml:space="preserve"> H10 + IF( OR( $A10&lt;=14, $A10&gt;=65 ),0, IF( $A10&lt;=19, N$8, N$9 ) )</f>
        <v>1536.8694500000001</v>
      </c>
      <c r="O10" s="343">
        <f xml:space="preserve"> I10 - J10 + IF( OR( $A10&lt;=14, $A10&gt;=65 ),0, IF( $A10&lt;=19, O$8, O$9 ) )</f>
        <v>1504.640173</v>
      </c>
      <c r="Q10" s="374">
        <v>2.2191000000000001</v>
      </c>
      <c r="R10" s="375">
        <v>1.1008</v>
      </c>
      <c r="S10" s="374">
        <v>0</v>
      </c>
      <c r="T10" s="374">
        <v>361.02080000000001</v>
      </c>
      <c r="U10" s="374">
        <v>373.45249999999999</v>
      </c>
      <c r="V10" s="351">
        <f t="shared" ref="V10:V41" si="33" xml:space="preserve"> Q10 * Q$8</f>
        <v>1418.8925400000001</v>
      </c>
      <c r="W10" s="351">
        <f t="shared" ref="W10:W41" si="34" xml:space="preserve"> R10 * R$8</f>
        <v>1322.4791040000002</v>
      </c>
      <c r="X10" s="352">
        <f t="shared" ref="X10:X41" si="35" xml:space="preserve"> S10 * S$8</f>
        <v>0</v>
      </c>
      <c r="Y10" s="352">
        <f xml:space="preserve"> IF(    SUM(V10:W10)=0,    0,   X10 * W10 / SUM(V10:W10)    )</f>
        <v>0</v>
      </c>
      <c r="Z10" s="353">
        <f xml:space="preserve"> V10 + Y10</f>
        <v>1418.8925400000001</v>
      </c>
      <c r="AA10" s="353">
        <f xml:space="preserve"> W10 - X10 + Y10</f>
        <v>1322.4791040000002</v>
      </c>
      <c r="AB10" s="343">
        <f xml:space="preserve"> V10 + IF( OR( $A10&lt;=14, $A10&gt;=65 ),0, IF( $A10&lt;=19, AB$8, AB$9 ) )</f>
        <v>1418.8925400000001</v>
      </c>
      <c r="AC10" s="343">
        <f xml:space="preserve"> W10 - X10 + IF( OR( $A10&lt;=14, $A10&gt;=65 ),0, IF( $A10&lt;=19, AC$8, AC$9 ) )</f>
        <v>1322.4791040000002</v>
      </c>
      <c r="AE10" s="374">
        <v>0.6079</v>
      </c>
      <c r="AF10" s="375">
        <v>0.3145</v>
      </c>
      <c r="AG10" s="374">
        <v>0</v>
      </c>
      <c r="AH10" s="374">
        <v>28.6967</v>
      </c>
      <c r="AI10" s="374">
        <v>20.4175</v>
      </c>
      <c r="AJ10" s="351">
        <f t="shared" ref="AJ10:AJ41" si="36" xml:space="preserve"> AE10 * AE$8</f>
        <v>260.53378199999997</v>
      </c>
      <c r="AK10" s="351">
        <f t="shared" ref="AK10:AK41" si="37" xml:space="preserve"> AF10 * AF$8</f>
        <v>312.66960999999998</v>
      </c>
      <c r="AL10" s="352">
        <f t="shared" ref="AL10:AL41" si="38" xml:space="preserve"> AG10 * AG$8</f>
        <v>0</v>
      </c>
      <c r="AM10" s="352">
        <f xml:space="preserve"> IF(    SUM(AJ10:AK10)=0,    0,   AL10 * AK10 / SUM(AJ10:AK10)    )</f>
        <v>0</v>
      </c>
      <c r="AN10" s="353">
        <f xml:space="preserve"> AJ10 + AM10</f>
        <v>260.53378199999997</v>
      </c>
      <c r="AO10" s="353">
        <f xml:space="preserve"> AK10 - AL10 + AM10</f>
        <v>312.66960999999998</v>
      </c>
      <c r="AP10" s="343">
        <f xml:space="preserve"> AJ10 + IF( OR( $A10&lt;=14, $A10&gt;=65 ),0, IF( $A10&lt;=19, AP$8, AP$9 ) )</f>
        <v>260.53378199999997</v>
      </c>
      <c r="AQ10" s="343">
        <f xml:space="preserve"> AK10 - AL10 + IF( OR( $A10&lt;=14, $A10&gt;=65 ),0, IF( $A10&lt;=19, AQ$8, AQ$9 ) )</f>
        <v>312.66960999999998</v>
      </c>
      <c r="AS10" s="374">
        <v>8.3805999999999994</v>
      </c>
      <c r="AT10" s="375">
        <v>3.0794999999999999</v>
      </c>
      <c r="AU10" s="374">
        <v>0</v>
      </c>
      <c r="AV10" s="374">
        <v>4043.5025000000001</v>
      </c>
      <c r="AW10" s="374">
        <v>3827.6608000000001</v>
      </c>
      <c r="AX10" s="351">
        <f t="shared" ref="AX10:AX41" si="39" xml:space="preserve"> AS10 * AS$8</f>
        <v>2855.019002</v>
      </c>
      <c r="AY10" s="351">
        <f t="shared" ref="AY10:AY41" si="40" xml:space="preserve"> AT10 * AT$8</f>
        <v>2103.66804</v>
      </c>
      <c r="AZ10" s="352">
        <f t="shared" ref="AZ10:AZ41" si="41" xml:space="preserve"> AU10 * AU$8</f>
        <v>0</v>
      </c>
      <c r="BA10" s="352">
        <f xml:space="preserve"> IF(    SUM(AX10:AY10)=0,    0,   AZ10 * AY10 / SUM(AX10:AY10)    )</f>
        <v>0</v>
      </c>
      <c r="BB10" s="353">
        <f xml:space="preserve"> AX10 + BA10</f>
        <v>2855.019002</v>
      </c>
      <c r="BC10" s="353">
        <f xml:space="preserve"> AY10 - AZ10 + BA10</f>
        <v>2103.66804</v>
      </c>
      <c r="BD10" s="343">
        <f xml:space="preserve"> AX10 + IF( OR( $A10&lt;=14, $A10&gt;=65 ),0, IF( $A10&lt;=19, BD$8, BD$9 ) )</f>
        <v>2855.019002</v>
      </c>
      <c r="BE10" s="343">
        <f xml:space="preserve"> AY10 - AZ10 + IF( OR( $A10&lt;=14, $A10&gt;=65 ),0, IF( $A10&lt;=19, BE$8, BE$9 ) )</f>
        <v>2103.66804</v>
      </c>
      <c r="BG10" s="374">
        <v>7.9596</v>
      </c>
      <c r="BH10" s="375">
        <v>4.7994000000000003</v>
      </c>
      <c r="BI10" s="374">
        <v>0</v>
      </c>
      <c r="BJ10" s="374">
        <v>1746.7125000000001</v>
      </c>
      <c r="BK10" s="374">
        <v>1664</v>
      </c>
      <c r="BL10" s="351">
        <f t="shared" ref="BL10:BL41" si="42" xml:space="preserve"> BG10 * BG$8</f>
        <v>2664.6352919999999</v>
      </c>
      <c r="BM10" s="351">
        <f t="shared" ref="BM10:BM41" si="43" xml:space="preserve"> BH10 * BH$8</f>
        <v>2812.0644480000001</v>
      </c>
      <c r="BN10" s="352">
        <f t="shared" ref="BN10:BN41" si="44" xml:space="preserve"> BI10 * BI$8</f>
        <v>0</v>
      </c>
      <c r="BO10" s="352">
        <f xml:space="preserve"> IF(    SUM(BL10:BM10)=0,    0,   BN10 * BM10 / SUM(BL10:BM10)    )</f>
        <v>0</v>
      </c>
      <c r="BP10" s="353">
        <f xml:space="preserve"> BL10 + BO10</f>
        <v>2664.6352919999999</v>
      </c>
      <c r="BQ10" s="353">
        <f xml:space="preserve"> BM10 - BN10 + BO10</f>
        <v>2812.0644480000001</v>
      </c>
      <c r="BR10" s="343">
        <f xml:space="preserve"> BL10 + IF( OR( $A10&lt;=14, $A10&gt;=65 ),0, IF( $A10&lt;=19, BR$8, BR$9 ) )</f>
        <v>2664.6352919999999</v>
      </c>
      <c r="BS10" s="343">
        <f xml:space="preserve"> BM10 - BN10 + IF( OR( $A10&lt;=14, $A10&gt;=65 ),0, IF( $A10&lt;=19, BS$8, BS$9 ) )</f>
        <v>2812.0644480000001</v>
      </c>
      <c r="BU10" s="374">
        <v>12.940300000000001</v>
      </c>
      <c r="BV10" s="375">
        <v>4.1191000000000004</v>
      </c>
      <c r="BW10" s="374">
        <v>0</v>
      </c>
      <c r="BX10" s="374">
        <v>1187.2533000000001</v>
      </c>
      <c r="BY10" s="374">
        <v>1118.385</v>
      </c>
      <c r="BZ10" s="351">
        <f t="shared" ref="BZ10:BZ41" si="45" xml:space="preserve"> BU10 * BU$8</f>
        <v>3003.702436</v>
      </c>
      <c r="CA10" s="351">
        <f t="shared" ref="CA10:CA41" si="46" xml:space="preserve"> BV10 * BV$8</f>
        <v>1572.9607170000002</v>
      </c>
      <c r="CB10" s="352">
        <f t="shared" ref="CB10:CB41" si="47" xml:space="preserve"> BW10 * BW$8</f>
        <v>0</v>
      </c>
      <c r="CC10" s="352">
        <f xml:space="preserve"> IF(    SUM(BZ10:CA10)=0,    0,   CB10 * CA10 / SUM(BZ10:CA10)    )</f>
        <v>0</v>
      </c>
      <c r="CD10" s="353">
        <f xml:space="preserve"> BZ10 + CC10</f>
        <v>3003.702436</v>
      </c>
      <c r="CE10" s="353">
        <f xml:space="preserve"> CA10 - CB10 + CC10</f>
        <v>1572.9607170000002</v>
      </c>
      <c r="CF10" s="343">
        <f xml:space="preserve"> BZ10 + IF( OR( $A10&lt;=14, $A10&gt;=65 ),0, IF( $A10&lt;=19, CF$8, CF$9 ) )</f>
        <v>3003.702436</v>
      </c>
      <c r="CG10" s="343">
        <f xml:space="preserve"> CA10 - CB10 + IF( OR( $A10&lt;=14, $A10&gt;=65 ),0, IF( $A10&lt;=19, CG$8, CG$9 ) )</f>
        <v>1572.9607170000002</v>
      </c>
      <c r="CI10" s="374">
        <v>0</v>
      </c>
      <c r="CJ10" s="375">
        <v>0</v>
      </c>
      <c r="CK10" s="374">
        <v>0</v>
      </c>
      <c r="CL10" s="374">
        <v>7086.2191999999995</v>
      </c>
      <c r="CM10" s="374">
        <v>6713.9542000000001</v>
      </c>
      <c r="CN10" s="351">
        <f t="shared" ref="CN10:CN41" si="48" xml:space="preserve"> CI10 * CI$8</f>
        <v>0</v>
      </c>
      <c r="CO10" s="351">
        <f t="shared" ref="CO10:CO41" si="49" xml:space="preserve"> CJ10 * CJ$8</f>
        <v>0</v>
      </c>
      <c r="CP10" s="352">
        <f t="shared" ref="CP10:CP41" si="50" xml:space="preserve"> CK10 * CK$8</f>
        <v>0</v>
      </c>
      <c r="CQ10" s="352">
        <f xml:space="preserve"> IF(    SUM(CN10:CO10)=0,    0,   CP10 * CO10 / SUM(CN10:CO10)    )</f>
        <v>0</v>
      </c>
      <c r="CR10" s="353">
        <f xml:space="preserve"> CN10 + CQ10</f>
        <v>0</v>
      </c>
      <c r="CS10" s="353">
        <f xml:space="preserve"> CO10 - CP10 + CQ10</f>
        <v>0</v>
      </c>
      <c r="CT10" s="343">
        <f xml:space="preserve"> CN10 + IF( OR( $A10&lt;=14, $A10&gt;=65 ),0, IF( $A10&lt;=19, CT$8, CT$9 ) )</f>
        <v>0</v>
      </c>
      <c r="CU10" s="343">
        <f xml:space="preserve"> CO10 - CP10 + IF( OR( $A10&lt;=14, $A10&gt;=65 ),0, IF( $A10&lt;=19, CU$8, CU$9 ) )</f>
        <v>0</v>
      </c>
      <c r="CW10" s="374">
        <v>8.0999999999999996E-3</v>
      </c>
      <c r="CX10" s="375">
        <v>1.6000000000000001E-3</v>
      </c>
      <c r="CY10" s="374">
        <v>0</v>
      </c>
      <c r="CZ10" s="374">
        <v>1036.6133</v>
      </c>
      <c r="DA10" s="374">
        <v>990.31</v>
      </c>
      <c r="DB10" s="351">
        <f t="shared" ref="DB10:DB41" si="51" xml:space="preserve"> CW10 * CW$8</f>
        <v>1.8162629999999997</v>
      </c>
      <c r="DC10" s="351">
        <f t="shared" ref="DC10:DC41" si="52" xml:space="preserve"> CX10 * CX$8</f>
        <v>0.49718400000000001</v>
      </c>
      <c r="DD10" s="352">
        <f t="shared" ref="DD10:DD41" si="53" xml:space="preserve"> CY10 * CY$8</f>
        <v>0</v>
      </c>
      <c r="DE10" s="352">
        <f xml:space="preserve"> IF(    SUM(DB10:DC10)=0,    0,   DD10 * DC10 / SUM(DB10:DC10)    )</f>
        <v>0</v>
      </c>
      <c r="DF10" s="353">
        <f xml:space="preserve"> DB10 + DE10</f>
        <v>1.8162629999999997</v>
      </c>
      <c r="DG10" s="353">
        <f xml:space="preserve"> DC10 - DD10 + DE10</f>
        <v>0.49718400000000001</v>
      </c>
      <c r="DH10" s="343">
        <f xml:space="preserve"> DB10 + IF( OR( $A10&lt;=14, $A10&gt;=65 ),0, IF( $A10&lt;=19, DH$8, DH$9 ) )</f>
        <v>1.8162629999999997</v>
      </c>
      <c r="DI10" s="343">
        <f xml:space="preserve"> DC10 - DD10 + IF( OR( $A10&lt;=14, $A10&gt;=65 ),0, IF( $A10&lt;=19, DI$8, DI$9 ) )</f>
        <v>0.49718400000000001</v>
      </c>
      <c r="DK10" s="374">
        <v>8.0999999999999996E-3</v>
      </c>
      <c r="DL10" s="375">
        <v>1.6000000000000001E-3</v>
      </c>
      <c r="DM10" s="374">
        <v>0</v>
      </c>
      <c r="DN10" s="374">
        <v>374.03</v>
      </c>
      <c r="DO10" s="374">
        <v>334.05250000000001</v>
      </c>
      <c r="DP10" s="351">
        <f t="shared" ref="DP10:DP41" si="54" xml:space="preserve"> DK10 * DK$8</f>
        <v>1.067337</v>
      </c>
      <c r="DQ10" s="351">
        <f t="shared" ref="DQ10:DQ41" si="55" xml:space="preserve"> DL10 * DL$8</f>
        <v>0.31497600000000003</v>
      </c>
      <c r="DR10" s="352">
        <f t="shared" ref="DR10:DR41" si="56" xml:space="preserve"> DM10 * DM$8</f>
        <v>0</v>
      </c>
      <c r="DS10" s="352">
        <f xml:space="preserve"> IF(    SUM(DP10:DQ10)=0,    0,   DR10 * DQ10 / SUM(DP10:DQ10)    )</f>
        <v>0</v>
      </c>
      <c r="DT10" s="353">
        <f xml:space="preserve"> DP10 + DS10</f>
        <v>1.067337</v>
      </c>
      <c r="DU10" s="353">
        <f xml:space="preserve"> DQ10 - DR10 + DS10</f>
        <v>0.31497600000000003</v>
      </c>
      <c r="DV10" s="343">
        <f xml:space="preserve"> DP10 + IF( OR( $A10&lt;=14, $A10&gt;=65 ),0, IF( $A10&lt;=19, DV$8, DV$9 ) )</f>
        <v>1.067337</v>
      </c>
      <c r="DW10" s="343">
        <f xml:space="preserve"> DQ10 - DR10 + IF( OR( $A10&lt;=14, $A10&gt;=65 ),0, IF( $A10&lt;=19, DW$8, DW$9 ) )</f>
        <v>0.31497600000000003</v>
      </c>
      <c r="EB10" s="326"/>
      <c r="EC10" s="326"/>
      <c r="ED10" s="326"/>
      <c r="EE10" s="348">
        <f xml:space="preserve"> F10 + AV10 + CL10 + EE$8 * CZ10</f>
        <v>16528.227500000001</v>
      </c>
      <c r="EF10" s="348">
        <f xml:space="preserve"> G10 + AW10 + CM10 + EF$8 * DA10</f>
        <v>15655.956699999999</v>
      </c>
      <c r="EG10" s="348">
        <f xml:space="preserve"> H10 + AX10 + CN10 + EG$8 * DB10</f>
        <v>4393.3414623999997</v>
      </c>
      <c r="EH10" s="348">
        <f xml:space="preserve"> I10 + AY10 + CO10 + EH$8 * DC10</f>
        <v>3608.7059602000004</v>
      </c>
      <c r="EI10" s="354">
        <f t="shared" ref="EI10:EI41" si="57" xml:space="preserve"> IF(   SUM(EE10:EF10) = 0,    IF( EG10&lt;EH10, lambdax_min, lambdax_max ),
                                                                   MAX( lambdax_min, MIN( lambdax_max, EE10 / SUM(EE10:EF10) ) )     )</f>
        <v>0.51355123365221111</v>
      </c>
      <c r="EJ10" s="326"/>
      <c r="EK10" s="348">
        <f xml:space="preserve"> L10 + BB10 + CR10 + EK$8 * DF10</f>
        <v>4393.3414623999997</v>
      </c>
      <c r="EL10" s="348">
        <f xml:space="preserve"> M10 + BC10 + CS10 + EL$8 * DG10</f>
        <v>3608.7059602000004</v>
      </c>
      <c r="EM10" s="348">
        <f t="shared" ref="EM10:EM74" si="58" xml:space="preserve"> N10 + BD10 + CT10 + EM$8 * DH10</f>
        <v>4393.3414623999997</v>
      </c>
      <c r="EN10" s="348">
        <f xml:space="preserve"> O10 + BE10 + CU10 + EN$8 * DI10</f>
        <v>3608.7059602000004</v>
      </c>
      <c r="EP10" s="326"/>
      <c r="EQ10" s="326"/>
      <c r="ER10" s="326"/>
      <c r="ES10" s="348">
        <f t="shared" ref="ES10:ES41" si="59" xml:space="preserve"> T10 + BJ10 + CL10 + ES$8 * CZ10</f>
        <v>10230.5658</v>
      </c>
      <c r="ET10" s="348">
        <f t="shared" ref="ET10:ET41" si="60" xml:space="preserve"> U10 + BK10 + CM10 + ET$8 * DA10</f>
        <v>9741.716699999999</v>
      </c>
      <c r="EU10" s="348">
        <f t="shared" ref="EU10:EU41" si="61" xml:space="preserve"> V10 + BL10 + CN10 + EU$8 * DB10</f>
        <v>4084.7992160999997</v>
      </c>
      <c r="EV10" s="348">
        <f t="shared" ref="EV10:EV41" si="62" xml:space="preserve"> W10 + BM10 + CO10 + EV$8 * DC10</f>
        <v>4134.8915808000002</v>
      </c>
      <c r="EW10" s="354">
        <f t="shared" ref="EW10:EW41" si="63" xml:space="preserve"> IF(   SUM(ES10:ET10) = 0,    IF( EU10&lt;EV10, lambdax_min, lambdax_max ),
                                                                   MAX( lambdax_min, MIN( lambdax_max, ES10 / SUM(ES10:ET10) ) )     )</f>
        <v>0.51223818809893162</v>
      </c>
      <c r="EX10" s="326"/>
      <c r="EY10" s="348">
        <f t="shared" ref="EY10:EY41" si="64" xml:space="preserve"> Z10 + BP10 + CR10 + EY$8 * DF10</f>
        <v>4084.7992160999997</v>
      </c>
      <c r="EZ10" s="348">
        <f t="shared" ref="EZ10:EZ41" si="65" xml:space="preserve"> AA10 + BQ10 + CS10 + EZ$8 * DG10</f>
        <v>4134.8915808000002</v>
      </c>
      <c r="FA10" s="348">
        <f t="shared" ref="FA10:FA73" si="66" xml:space="preserve"> AB10 + BR10 + CT10 + FA$8 * DH10</f>
        <v>4084.7992160999997</v>
      </c>
      <c r="FB10" s="348">
        <f t="shared" ref="FB10:FB73" si="67" xml:space="preserve"> AC10 + BS10 + CU10 + FB$8 * DI10</f>
        <v>4134.8915808000002</v>
      </c>
      <c r="FD10" s="326"/>
      <c r="FE10" s="326"/>
      <c r="FF10" s="326"/>
      <c r="FG10" s="348">
        <f t="shared" ref="FG10:FG41" si="68" xml:space="preserve"> AH10 + BX10 + CL10 + FG$8 * DN10</f>
        <v>8676.1992000000009</v>
      </c>
      <c r="FH10" s="348">
        <f t="shared" ref="FH10:FH41" si="69" xml:space="preserve"> AI10 + BY10 + CM10 + FH$8 * DO10</f>
        <v>8186.8091999999997</v>
      </c>
      <c r="FI10" s="348">
        <f t="shared" ref="FI10:FI41" si="70" xml:space="preserve"> AJ10 + BZ10 + CN10 + FI$8 * DP10</f>
        <v>3264.8766202000002</v>
      </c>
      <c r="FJ10" s="348">
        <f t="shared" ref="FJ10:FJ41" si="71" xml:space="preserve"> AK10 + CA10 + CO10 + FJ$8 * DQ10</f>
        <v>1885.8193126000001</v>
      </c>
      <c r="FK10" s="354">
        <f t="shared" ref="FK10:FK41" si="72" xml:space="preserve"> IF(   SUM(FG10:FH10) = 0,    IF( FI10&lt;FJ10, lambdax_min, lambdax_max ),
                                                                   MAX( lambdax_min, MIN( lambdax_max, FG10 / SUM(FG10:FH10) ) )     )</f>
        <v>0.5145107559811215</v>
      </c>
      <c r="FL10" s="326"/>
      <c r="FM10" s="348">
        <f t="shared" ref="FM10:FM41" si="73" xml:space="preserve"> AN10 + CD10 + CR10 + FM$8 * DT10</f>
        <v>3264.8766202000002</v>
      </c>
      <c r="FN10" s="348">
        <f t="shared" ref="FN10:FN41" si="74" xml:space="preserve"> AO10 + CE10 + CS10 + FN$8 * DU10</f>
        <v>1885.8193126000001</v>
      </c>
      <c r="FO10" s="348">
        <f t="shared" ref="FO10:FO73" si="75" xml:space="preserve"> AP10 + CF10 + CT10 + FO$8 * DV10</f>
        <v>3264.8766202000002</v>
      </c>
      <c r="FP10" s="348">
        <f t="shared" ref="FP10:FP73" si="76" xml:space="preserve"> AQ10 + CG10 + CU10 + FP$8 * DW10</f>
        <v>1885.8193126000001</v>
      </c>
      <c r="FR10" s="326"/>
      <c r="FS10" s="326"/>
      <c r="FT10" s="326"/>
      <c r="FU10" s="348">
        <f t="shared" ref="FU10:FU41" si="77" xml:space="preserve"> CL10 + FU$8 * CZ10</f>
        <v>8122.8324999999995</v>
      </c>
      <c r="FV10" s="348">
        <f t="shared" ref="FV10:FV41" si="78" xml:space="preserve"> CM10 + FV$8 * DA10</f>
        <v>7704.2641999999996</v>
      </c>
      <c r="FW10" s="348">
        <f t="shared" ref="FW10:FW41" si="79" xml:space="preserve"> CN10 + FW$8 * DB10</f>
        <v>1.4530103999999999</v>
      </c>
      <c r="FX10" s="348">
        <f t="shared" ref="FX10:FX41" si="80" xml:space="preserve"> CO10 + FX$8 * DC10</f>
        <v>0.39774720000000002</v>
      </c>
      <c r="FY10" s="354">
        <f t="shared" ref="FY10:FY41" si="81" xml:space="preserve"> IF(   SUM(FU10:FV10) = 0,    IF( FW10&lt;FX10, lambdax_min, lambdax_max ),
                                                                   MAX( lambdax_min, MIN( lambdax_max, FU10 / SUM(FU10:FV10) ) )     )</f>
        <v>0.51322315481903891</v>
      </c>
      <c r="FZ10" s="326"/>
      <c r="GA10" s="348">
        <f t="shared" ref="GA10:GA41" si="82" xml:space="preserve"> CR10 + GA$8 * DF10</f>
        <v>1.4530103999999999</v>
      </c>
      <c r="GB10" s="348">
        <f t="shared" ref="GB10:GB41" si="83" xml:space="preserve"> CS10 + GB$8 * DG10</f>
        <v>0.39774720000000002</v>
      </c>
      <c r="GC10" s="348">
        <f t="shared" ref="GC10:GC73" si="84" xml:space="preserve"> CT10 + GC$8 * DH10</f>
        <v>1.4530103999999999</v>
      </c>
      <c r="GD10" s="348">
        <f t="shared" ref="GD10:GD73" si="85" xml:space="preserve"> CU10 + GD$8 * DI10</f>
        <v>0.39774720000000002</v>
      </c>
      <c r="GF10" s="326"/>
      <c r="GG10" s="326"/>
      <c r="GH10" s="326"/>
      <c r="GI10" s="348">
        <f t="shared" ref="GI10:GI41" si="86" xml:space="preserve"> MAX( 0, AV10 + BX10 ) * GI$8</f>
        <v>5230.7557999999999</v>
      </c>
      <c r="GJ10" s="348">
        <f t="shared" ref="GJ10:GJ41" si="87" xml:space="preserve"> MAX( 0, AW10 + BY10 ) * GJ$8</f>
        <v>4946.0457999999999</v>
      </c>
      <c r="GK10" s="349">
        <f t="shared" ref="GK10:GK41" si="88" xml:space="preserve"> MAX( 0, AX10 - BZ10 ) * GK$8</f>
        <v>0</v>
      </c>
      <c r="GL10" s="349">
        <f t="shared" ref="GL10:GL41" si="89" xml:space="preserve"> MAX( 0, AY10 - CA10 ) * GL$8</f>
        <v>398.0304922499999</v>
      </c>
      <c r="GM10" s="354">
        <f t="shared" ref="GM10:GM41" si="90" xml:space="preserve"> IF(   SUM(GI10:GJ10) = 0,    IF( GK10&lt;GL10, lambdax_min, lambdax_max ),
                                                                   MAX( lambdax_min, MIN( lambdax_max, GI10 / SUM(GI10:GJ10) ) )     )</f>
        <v>0.51398818662240608</v>
      </c>
      <c r="GN10" s="326"/>
      <c r="GO10" s="349">
        <f t="shared" ref="GO10:GO41" si="91" xml:space="preserve"> MAX( 0, BB10 - CD10 ) * GO$8</f>
        <v>0</v>
      </c>
      <c r="GP10" s="349">
        <f t="shared" ref="GP10:GP41" si="92" xml:space="preserve"> MAX( 0, BC10 - CE10 ) * GP$8</f>
        <v>398.0304922499999</v>
      </c>
      <c r="GQ10" s="349">
        <f t="shared" ref="GQ10:GQ73" si="93" xml:space="preserve"> MAX( 0, BD10 - CF10 ) * GQ$8</f>
        <v>0</v>
      </c>
      <c r="GR10" s="349">
        <f t="shared" ref="GR10:GR73" si="94" xml:space="preserve"> MAX( 0, BE10 - CG10 ) * GR$8</f>
        <v>398.0304922499999</v>
      </c>
      <c r="HA10" s="374"/>
      <c r="HB10" s="375"/>
      <c r="HC10" s="374"/>
      <c r="HD10" s="374"/>
      <c r="HE10" s="374"/>
      <c r="HF10" s="351">
        <f t="shared" ref="HF10:HF41" si="95" xml:space="preserve"> HA10 * HA$8</f>
        <v>0</v>
      </c>
      <c r="HG10" s="351">
        <f t="shared" ref="HG10:HG41" si="96" xml:space="preserve"> HB10 * HB$8</f>
        <v>0</v>
      </c>
      <c r="HH10" s="352">
        <f t="shared" ref="HH10:HH41" si="97" xml:space="preserve"> HC10 * HC$8</f>
        <v>0</v>
      </c>
      <c r="HI10" s="352">
        <f xml:space="preserve"> IF(    SUM(HF10:HG10)=0,    0,   HH10 * HG10 / SUM(HF10:HG10)    )</f>
        <v>0</v>
      </c>
      <c r="HJ10" s="353">
        <f xml:space="preserve"> HF10 + HI10</f>
        <v>0</v>
      </c>
      <c r="HK10" s="353">
        <f xml:space="preserve"> HG10 - HH10 + HI10</f>
        <v>0</v>
      </c>
    </row>
    <row r="11" spans="1:219" x14ac:dyDescent="0.2">
      <c r="A11" s="320">
        <v>1</v>
      </c>
      <c r="C11" s="350">
        <v>1.367</v>
      </c>
      <c r="D11" s="350">
        <v>0.66690000000000005</v>
      </c>
      <c r="E11" s="350">
        <v>0</v>
      </c>
      <c r="F11" s="350">
        <v>10141.388300000001</v>
      </c>
      <c r="G11" s="350">
        <v>9762.8241999999991</v>
      </c>
      <c r="H11" s="351">
        <f t="shared" si="30"/>
        <v>1334.3287</v>
      </c>
      <c r="I11" s="351">
        <f t="shared" si="31"/>
        <v>1236.2258610000001</v>
      </c>
      <c r="J11" s="352">
        <f t="shared" si="32"/>
        <v>0</v>
      </c>
      <c r="K11" s="352">
        <f t="shared" ref="K11:K74" si="98" xml:space="preserve"> IF(    SUM(F11:G11)=0,    0,   J11 * G11 / SUM(F11:G11)    )</f>
        <v>0</v>
      </c>
      <c r="L11" s="353">
        <f t="shared" ref="L11:L74" si="99" xml:space="preserve"> H11 + K11</f>
        <v>1334.3287</v>
      </c>
      <c r="M11" s="353">
        <f t="shared" ref="M11:M74" si="100" xml:space="preserve"> I11 - J11 + K11</f>
        <v>1236.2258610000001</v>
      </c>
      <c r="N11" s="343">
        <f t="shared" ref="N11:N74" si="101" xml:space="preserve"> H11 + IF( OR( $A11&lt;=14, $A11&gt;=65 ),0, IF( $A11&lt;=19, N$8, N$9 ) )</f>
        <v>1334.3287</v>
      </c>
      <c r="O11" s="343">
        <f t="shared" ref="O11:O74" si="102" xml:space="preserve"> I11 - J11 + IF( OR( $A11&lt;=14, $A11&gt;=65 ),0, IF( $A11&lt;=19, O$8, O$9 ) )</f>
        <v>1236.2258610000001</v>
      </c>
      <c r="Q11" s="374">
        <v>1.6929000000000001</v>
      </c>
      <c r="R11" s="375">
        <v>0.84309999999999996</v>
      </c>
      <c r="S11" s="374">
        <v>0</v>
      </c>
      <c r="T11" s="374">
        <v>1148.0825</v>
      </c>
      <c r="U11" s="374">
        <v>1100.5867000000001</v>
      </c>
      <c r="V11" s="351">
        <f t="shared" si="33"/>
        <v>1082.4402600000001</v>
      </c>
      <c r="W11" s="351">
        <f t="shared" si="34"/>
        <v>1012.8834780000001</v>
      </c>
      <c r="X11" s="352">
        <f t="shared" si="35"/>
        <v>0</v>
      </c>
      <c r="Y11" s="352">
        <f t="shared" ref="Y11:Y74" si="103" xml:space="preserve"> IF(    SUM(V11:W11)=0,    0,   X11 * W11 / SUM(V11:W11)    )</f>
        <v>0</v>
      </c>
      <c r="Z11" s="353">
        <f t="shared" ref="Z11:Z74" si="104" xml:space="preserve"> V11 + Y11</f>
        <v>1082.4402600000001</v>
      </c>
      <c r="AA11" s="353">
        <f t="shared" ref="AA11:AA74" si="105" xml:space="preserve"> W11 - X11 + Y11</f>
        <v>1012.8834780000001</v>
      </c>
      <c r="AB11" s="343">
        <f t="shared" ref="AB11:AB74" si="106" xml:space="preserve"> V11 + IF( OR( $A11&lt;=14, $A11&gt;=65 ),0, IF( $A11&lt;=19, AB$8, AB$9 ) )</f>
        <v>1082.4402600000001</v>
      </c>
      <c r="AC11" s="343">
        <f t="shared" ref="AC11:AC74" si="107" xml:space="preserve"> W11 - X11 + IF( OR( $A11&lt;=14, $A11&gt;=65 ),0, IF( $A11&lt;=19, AC$8, AC$9 ) )</f>
        <v>1012.8834780000001</v>
      </c>
      <c r="AE11" s="374">
        <v>0.59719999999999995</v>
      </c>
      <c r="AF11" s="375">
        <v>0.2732</v>
      </c>
      <c r="AG11" s="374">
        <v>0</v>
      </c>
      <c r="AH11" s="374">
        <v>67.034999999999997</v>
      </c>
      <c r="AI11" s="374">
        <v>61.22</v>
      </c>
      <c r="AJ11" s="351">
        <f t="shared" si="36"/>
        <v>255.94797599999998</v>
      </c>
      <c r="AK11" s="351">
        <f t="shared" si="37"/>
        <v>271.60997599999996</v>
      </c>
      <c r="AL11" s="352">
        <f t="shared" si="38"/>
        <v>0</v>
      </c>
      <c r="AM11" s="352">
        <f t="shared" ref="AM11:AM74" si="108" xml:space="preserve"> IF(    SUM(AJ11:AK11)=0,    0,   AL11 * AK11 / SUM(AJ11:AK11)    )</f>
        <v>0</v>
      </c>
      <c r="AN11" s="353">
        <f t="shared" ref="AN11:AN74" si="109" xml:space="preserve"> AJ11 + AM11</f>
        <v>255.94797599999998</v>
      </c>
      <c r="AO11" s="353">
        <f t="shared" ref="AO11:AO74" si="110" xml:space="preserve"> AK11 - AL11 + AM11</f>
        <v>271.60997599999996</v>
      </c>
      <c r="AP11" s="343">
        <f t="shared" ref="AP11:AP74" si="111" xml:space="preserve"> AJ11 + IF( OR( $A11&lt;=14, $A11&gt;=65 ),0, IF( $A11&lt;=19, AP$8, AP$9 ) )</f>
        <v>255.94797599999998</v>
      </c>
      <c r="AQ11" s="343">
        <f t="shared" ref="AQ11:AQ74" si="112" xml:space="preserve"> AK11 - AL11 + IF( OR( $A11&lt;=14, $A11&gt;=65 ),0, IF( $A11&lt;=19, AQ$8, AQ$9 ) )</f>
        <v>271.60997599999996</v>
      </c>
      <c r="AS11" s="374">
        <v>2.7357999999999998</v>
      </c>
      <c r="AT11" s="375">
        <v>1.3805000000000001</v>
      </c>
      <c r="AU11" s="374">
        <v>0</v>
      </c>
      <c r="AV11" s="374">
        <v>8337.2042000000001</v>
      </c>
      <c r="AW11" s="374">
        <v>7892.6750000000002</v>
      </c>
      <c r="AX11" s="351">
        <f t="shared" si="39"/>
        <v>932.00498599999992</v>
      </c>
      <c r="AY11" s="351">
        <f t="shared" si="40"/>
        <v>943.04716000000008</v>
      </c>
      <c r="AZ11" s="352">
        <f t="shared" si="41"/>
        <v>0</v>
      </c>
      <c r="BA11" s="352">
        <f t="shared" ref="BA11:BA74" si="113" xml:space="preserve"> IF(    SUM(AX11:AY11)=0,    0,   AZ11 * AY11 / SUM(AX11:AY11)    )</f>
        <v>0</v>
      </c>
      <c r="BB11" s="353">
        <f t="shared" ref="BB11:BB74" si="114" xml:space="preserve"> AX11 + BA11</f>
        <v>932.00498599999992</v>
      </c>
      <c r="BC11" s="353">
        <f t="shared" ref="BC11:BC74" si="115" xml:space="preserve"> AY11 - AZ11 + BA11</f>
        <v>943.04716000000008</v>
      </c>
      <c r="BD11" s="343">
        <f t="shared" ref="BD11:BD74" si="116" xml:space="preserve"> AX11 + IF( OR( $A11&lt;=14, $A11&gt;=65 ),0, IF( $A11&lt;=19, BD$8, BD$9 ) )</f>
        <v>932.00498599999992</v>
      </c>
      <c r="BE11" s="343">
        <f t="shared" ref="BE11:BE74" si="117" xml:space="preserve"> AY11 - AZ11 + IF( OR( $A11&lt;=14, $A11&gt;=65 ),0, IF( $A11&lt;=19, BE$8, BE$9 ) )</f>
        <v>943.04716000000008</v>
      </c>
      <c r="BG11" s="374">
        <v>2.4807999999999999</v>
      </c>
      <c r="BH11" s="375">
        <v>1.1618999999999999</v>
      </c>
      <c r="BI11" s="374">
        <v>0</v>
      </c>
      <c r="BJ11" s="374">
        <v>4772.6058000000003</v>
      </c>
      <c r="BK11" s="374">
        <v>4634.4674999999997</v>
      </c>
      <c r="BL11" s="351">
        <f t="shared" si="42"/>
        <v>830.49741599999993</v>
      </c>
      <c r="BM11" s="351">
        <f t="shared" si="43"/>
        <v>680.78044799999986</v>
      </c>
      <c r="BN11" s="352">
        <f t="shared" si="44"/>
        <v>0</v>
      </c>
      <c r="BO11" s="352">
        <f t="shared" ref="BO11:BO74" si="118" xml:space="preserve"> IF(    SUM(BL11:BM11)=0,    0,   BN11 * BM11 / SUM(BL11:BM11)    )</f>
        <v>0</v>
      </c>
      <c r="BP11" s="353">
        <f t="shared" ref="BP11:BP74" si="119" xml:space="preserve"> BL11 + BO11</f>
        <v>830.49741599999993</v>
      </c>
      <c r="BQ11" s="353">
        <f t="shared" ref="BQ11:BQ74" si="120" xml:space="preserve"> BM11 - BN11 + BO11</f>
        <v>680.78044799999986</v>
      </c>
      <c r="BR11" s="343">
        <f t="shared" ref="BR11:BR74" si="121" xml:space="preserve"> BL11 + IF( OR( $A11&lt;=14, $A11&gt;=65 ),0, IF( $A11&lt;=19, BR$8, BR$9 ) )</f>
        <v>830.49741599999993</v>
      </c>
      <c r="BS11" s="343">
        <f t="shared" ref="BS11:BS74" si="122" xml:space="preserve"> BM11 - BN11 + IF( OR( $A11&lt;=14, $A11&gt;=65 ),0, IF( $A11&lt;=19, BS$8, BS$9 ) )</f>
        <v>680.78044799999986</v>
      </c>
      <c r="BU11" s="374">
        <v>3.0937999999999999</v>
      </c>
      <c r="BV11" s="375">
        <v>2.4655999999999998</v>
      </c>
      <c r="BW11" s="374">
        <v>0</v>
      </c>
      <c r="BX11" s="374">
        <v>2418.4641999999999</v>
      </c>
      <c r="BY11" s="374">
        <v>2360.7058000000002</v>
      </c>
      <c r="BZ11" s="351">
        <f t="shared" si="45"/>
        <v>718.13285599999995</v>
      </c>
      <c r="CA11" s="351">
        <f t="shared" si="46"/>
        <v>941.53867199999991</v>
      </c>
      <c r="CB11" s="352">
        <f t="shared" si="47"/>
        <v>0</v>
      </c>
      <c r="CC11" s="352">
        <f t="shared" ref="CC11:CC74" si="123" xml:space="preserve"> IF(    SUM(BZ11:CA11)=0,    0,   CB11 * CA11 / SUM(BZ11:CA11)    )</f>
        <v>0</v>
      </c>
      <c r="CD11" s="353">
        <f t="shared" ref="CD11:CD74" si="124" xml:space="preserve"> BZ11 + CC11</f>
        <v>718.13285599999995</v>
      </c>
      <c r="CE11" s="353">
        <f t="shared" ref="CE11:CE74" si="125" xml:space="preserve"> CA11 - CB11 + CC11</f>
        <v>941.53867199999991</v>
      </c>
      <c r="CF11" s="343">
        <f t="shared" ref="CF11:CF74" si="126" xml:space="preserve"> BZ11 + IF( OR( $A11&lt;=14, $A11&gt;=65 ),0, IF( $A11&lt;=19, CF$8, CF$9 ) )</f>
        <v>718.13285599999995</v>
      </c>
      <c r="CG11" s="343">
        <f t="shared" ref="CG11:CG74" si="127" xml:space="preserve"> CA11 - CB11 + IF( OR( $A11&lt;=14, $A11&gt;=65 ),0, IF( $A11&lt;=19, CG$8, CG$9 ) )</f>
        <v>941.53867199999991</v>
      </c>
      <c r="CI11" s="374">
        <v>1.0999999999999999E-2</v>
      </c>
      <c r="CJ11" s="375">
        <v>9.4000000000000004E-3</v>
      </c>
      <c r="CK11" s="374">
        <v>0</v>
      </c>
      <c r="CL11" s="374">
        <v>15874.1908</v>
      </c>
      <c r="CM11" s="374">
        <v>15201.3133</v>
      </c>
      <c r="CN11" s="351">
        <f t="shared" si="48"/>
        <v>2.3378299999999999</v>
      </c>
      <c r="CO11" s="351">
        <f t="shared" si="49"/>
        <v>2.5892300000000001</v>
      </c>
      <c r="CP11" s="352">
        <f t="shared" si="50"/>
        <v>0</v>
      </c>
      <c r="CQ11" s="352">
        <f t="shared" ref="CQ11:CQ74" si="128" xml:space="preserve"> IF(    SUM(CN11:CO11)=0,    0,   CP11 * CO11 / SUM(CN11:CO11)    )</f>
        <v>0</v>
      </c>
      <c r="CR11" s="353">
        <f t="shared" ref="CR11:CR74" si="129" xml:space="preserve"> CN11 + CQ11</f>
        <v>2.3378299999999999</v>
      </c>
      <c r="CS11" s="353">
        <f t="shared" ref="CS11:CS74" si="130" xml:space="preserve"> CO11 - CP11 + CQ11</f>
        <v>2.5892300000000001</v>
      </c>
      <c r="CT11" s="343">
        <f t="shared" ref="CT11:CT74" si="131" xml:space="preserve"> CN11 + IF( OR( $A11&lt;=14, $A11&gt;=65 ),0, IF( $A11&lt;=19, CT$8, CT$9 ) )</f>
        <v>2.3378299999999999</v>
      </c>
      <c r="CU11" s="343">
        <f t="shared" ref="CU11:CU74" si="132" xml:space="preserve"> CO11 - CP11 + IF( OR( $A11&lt;=14, $A11&gt;=65 ),0, IF( $A11&lt;=19, CU$8, CU$9 ) )</f>
        <v>2.5892300000000001</v>
      </c>
      <c r="CW11" s="374">
        <v>5.4999999999999997E-3</v>
      </c>
      <c r="CX11" s="375">
        <v>6.9999999999999999E-4</v>
      </c>
      <c r="CY11" s="374">
        <v>0</v>
      </c>
      <c r="CZ11" s="374">
        <v>2927.96</v>
      </c>
      <c r="DA11" s="374">
        <v>2901.9367000000002</v>
      </c>
      <c r="DB11" s="351">
        <f t="shared" si="51"/>
        <v>1.2332649999999998</v>
      </c>
      <c r="DC11" s="351">
        <f t="shared" si="52"/>
        <v>0.21751800000000002</v>
      </c>
      <c r="DD11" s="352">
        <f t="shared" si="53"/>
        <v>0</v>
      </c>
      <c r="DE11" s="352">
        <f t="shared" ref="DE11:DE74" si="133" xml:space="preserve"> IF(    SUM(DB11:DC11)=0,    0,   DD11 * DC11 / SUM(DB11:DC11)    )</f>
        <v>0</v>
      </c>
      <c r="DF11" s="353">
        <f t="shared" ref="DF11:DF74" si="134" xml:space="preserve"> DB11 + DE11</f>
        <v>1.2332649999999998</v>
      </c>
      <c r="DG11" s="353">
        <f t="shared" ref="DG11:DG74" si="135" xml:space="preserve"> DC11 - DD11 + DE11</f>
        <v>0.21751800000000002</v>
      </c>
      <c r="DH11" s="343">
        <f t="shared" ref="DH11:DH74" si="136" xml:space="preserve"> DB11 + IF( OR( $A11&lt;=14, $A11&gt;=65 ),0, IF( $A11&lt;=19, DH$8, DH$9 ) )</f>
        <v>1.2332649999999998</v>
      </c>
      <c r="DI11" s="343">
        <f t="shared" ref="DI11:DI74" si="137" xml:space="preserve"> DC11 - DD11 + IF( OR( $A11&lt;=14, $A11&gt;=65 ),0, IF( $A11&lt;=19, DI$8, DI$9 ) )</f>
        <v>0.21751800000000002</v>
      </c>
      <c r="DK11" s="374">
        <v>5.4999999999999997E-3</v>
      </c>
      <c r="DL11" s="375">
        <v>6.9999999999999999E-4</v>
      </c>
      <c r="DM11" s="374">
        <v>0</v>
      </c>
      <c r="DN11" s="374">
        <v>1359.2183</v>
      </c>
      <c r="DO11" s="374">
        <v>1387.9383</v>
      </c>
      <c r="DP11" s="351">
        <f t="shared" si="54"/>
        <v>0.72473500000000002</v>
      </c>
      <c r="DQ11" s="351">
        <f t="shared" si="55"/>
        <v>0.13780200000000001</v>
      </c>
      <c r="DR11" s="352">
        <f t="shared" si="56"/>
        <v>0</v>
      </c>
      <c r="DS11" s="352">
        <f t="shared" ref="DS11:DS74" si="138" xml:space="preserve"> IF(    SUM(DP11:DQ11)=0,    0,   DR11 * DQ11 / SUM(DP11:DQ11)    )</f>
        <v>0</v>
      </c>
      <c r="DT11" s="353">
        <f t="shared" ref="DT11:DT74" si="139" xml:space="preserve"> DP11 + DS11</f>
        <v>0.72473500000000002</v>
      </c>
      <c r="DU11" s="353">
        <f t="shared" ref="DU11:DU74" si="140" xml:space="preserve"> DQ11 - DR11 + DS11</f>
        <v>0.13780200000000001</v>
      </c>
      <c r="DV11" s="343">
        <f t="shared" ref="DV11:DV74" si="141" xml:space="preserve"> DP11 + IF( OR( $A11&lt;=14, $A11&gt;=65 ),0, IF( $A11&lt;=19, DV$8, DV$9 ) )</f>
        <v>0.72473500000000002</v>
      </c>
      <c r="DW11" s="343">
        <f t="shared" ref="DW11:DW74" si="142" xml:space="preserve"> DQ11 - DR11 + IF( OR( $A11&lt;=14, $A11&gt;=65 ),0, IF( $A11&lt;=19, DW$8, DW$9 ) )</f>
        <v>0.13780200000000001</v>
      </c>
      <c r="EB11" s="326"/>
      <c r="EC11" s="326"/>
      <c r="ED11" s="326"/>
      <c r="EE11" s="348">
        <f t="shared" ref="EE11:EE74" si="143" xml:space="preserve"> F11 + AV11 + CL11 + EE$8 * CZ11</f>
        <v>37280.743299999995</v>
      </c>
      <c r="EF11" s="348">
        <f t="shared" ref="EF11:EF74" si="144" xml:space="preserve"> G11 + AW11 + CM11 + EF$8 * DA11</f>
        <v>35758.749199999998</v>
      </c>
      <c r="EG11" s="348">
        <f t="shared" ref="EG11:EG74" si="145" xml:space="preserve"> H11 + AX11 + CN11 + EG$8 * DB11</f>
        <v>2269.658128</v>
      </c>
      <c r="EH11" s="348">
        <f t="shared" ref="EH11:EH74" si="146" xml:space="preserve"> I11 + AY11 + CO11 + EH$8 * DC11</f>
        <v>2182.0362654</v>
      </c>
      <c r="EI11" s="354">
        <f t="shared" si="57"/>
        <v>0.51041898052618584</v>
      </c>
      <c r="EJ11" s="326"/>
      <c r="EK11" s="348">
        <f t="shared" ref="EK11:EK74" si="147" xml:space="preserve"> L11 + BB11 + CR11 + EK$8 * DF11</f>
        <v>2269.658128</v>
      </c>
      <c r="EL11" s="348">
        <f t="shared" ref="EL11:EL74" si="148" xml:space="preserve"> M11 + BC11 + CS11 + EL$8 * DG11</f>
        <v>2182.0362654</v>
      </c>
      <c r="EM11" s="348">
        <f t="shared" si="58"/>
        <v>2269.658128</v>
      </c>
      <c r="EN11" s="348">
        <f t="shared" ref="EN11:EN74" si="149" xml:space="preserve"> O11 + BE11 + CU11 + EN$8 * DI11</f>
        <v>2182.0362654</v>
      </c>
      <c r="EP11" s="326"/>
      <c r="EQ11" s="326"/>
      <c r="ER11" s="326"/>
      <c r="ES11" s="348">
        <f t="shared" si="59"/>
        <v>24722.839099999997</v>
      </c>
      <c r="ET11" s="348">
        <f t="shared" si="60"/>
        <v>23838.304199999999</v>
      </c>
      <c r="EU11" s="348">
        <f t="shared" si="61"/>
        <v>1916.1387915</v>
      </c>
      <c r="EV11" s="348">
        <f t="shared" si="62"/>
        <v>1696.4054186000001</v>
      </c>
      <c r="EW11" s="354">
        <f t="shared" si="63"/>
        <v>0.50910743487375842</v>
      </c>
      <c r="EX11" s="326"/>
      <c r="EY11" s="348">
        <f t="shared" si="64"/>
        <v>1916.1387915</v>
      </c>
      <c r="EZ11" s="348">
        <f t="shared" si="65"/>
        <v>1696.4054186000001</v>
      </c>
      <c r="FA11" s="348">
        <f t="shared" si="66"/>
        <v>1916.1387915</v>
      </c>
      <c r="FB11" s="348">
        <f t="shared" si="67"/>
        <v>1696.4054186000001</v>
      </c>
      <c r="FD11" s="326"/>
      <c r="FE11" s="326"/>
      <c r="FF11" s="326"/>
      <c r="FG11" s="348">
        <f t="shared" si="68"/>
        <v>19718.908299999999</v>
      </c>
      <c r="FH11" s="348">
        <f t="shared" si="69"/>
        <v>19011.1774</v>
      </c>
      <c r="FI11" s="348">
        <f t="shared" si="70"/>
        <v>976.85350299999993</v>
      </c>
      <c r="FJ11" s="348">
        <f t="shared" si="71"/>
        <v>1215.8205591999999</v>
      </c>
      <c r="FK11" s="354">
        <f t="shared" si="72"/>
        <v>0.5091367071258508</v>
      </c>
      <c r="FL11" s="326"/>
      <c r="FM11" s="348">
        <f t="shared" si="73"/>
        <v>976.85350299999993</v>
      </c>
      <c r="FN11" s="348">
        <f t="shared" si="74"/>
        <v>1215.8205591999999</v>
      </c>
      <c r="FO11" s="348">
        <f t="shared" si="75"/>
        <v>976.85350299999993</v>
      </c>
      <c r="FP11" s="348">
        <f t="shared" si="76"/>
        <v>1215.8205591999999</v>
      </c>
      <c r="FR11" s="326"/>
      <c r="FS11" s="326"/>
      <c r="FT11" s="326"/>
      <c r="FU11" s="348">
        <f t="shared" si="77"/>
        <v>18802.150799999999</v>
      </c>
      <c r="FV11" s="348">
        <f t="shared" si="78"/>
        <v>18103.25</v>
      </c>
      <c r="FW11" s="348">
        <f t="shared" si="79"/>
        <v>3.3244419999999999</v>
      </c>
      <c r="FX11" s="348">
        <f t="shared" si="80"/>
        <v>2.7632444</v>
      </c>
      <c r="FY11" s="354">
        <f t="shared" si="81"/>
        <v>0.50946881465652571</v>
      </c>
      <c r="FZ11" s="326"/>
      <c r="GA11" s="348">
        <f t="shared" si="82"/>
        <v>3.3244419999999999</v>
      </c>
      <c r="GB11" s="348">
        <f t="shared" si="83"/>
        <v>2.7632444</v>
      </c>
      <c r="GC11" s="348">
        <f t="shared" si="84"/>
        <v>3.3244419999999999</v>
      </c>
      <c r="GD11" s="348">
        <f t="shared" si="85"/>
        <v>2.7632444</v>
      </c>
      <c r="GF11" s="326"/>
      <c r="GG11" s="326"/>
      <c r="GH11" s="326"/>
      <c r="GI11" s="348">
        <f t="shared" si="86"/>
        <v>10755.6684</v>
      </c>
      <c r="GJ11" s="348">
        <f t="shared" si="87"/>
        <v>10253.380800000001</v>
      </c>
      <c r="GK11" s="349">
        <f t="shared" si="88"/>
        <v>160.40409749999998</v>
      </c>
      <c r="GL11" s="349">
        <f t="shared" si="89"/>
        <v>1.1313660000001278</v>
      </c>
      <c r="GM11" s="354">
        <f t="shared" si="90"/>
        <v>0.51195407738870924</v>
      </c>
      <c r="GN11" s="326"/>
      <c r="GO11" s="349">
        <f t="shared" si="91"/>
        <v>160.40409749999998</v>
      </c>
      <c r="GP11" s="349">
        <f t="shared" si="92"/>
        <v>1.1313660000001278</v>
      </c>
      <c r="GQ11" s="349">
        <f t="shared" si="93"/>
        <v>160.40409749999998</v>
      </c>
      <c r="GR11" s="349">
        <f t="shared" si="94"/>
        <v>1.1313660000001278</v>
      </c>
      <c r="HA11" s="374"/>
      <c r="HB11" s="375"/>
      <c r="HC11" s="374"/>
      <c r="HD11" s="374"/>
      <c r="HE11" s="374"/>
      <c r="HF11" s="351">
        <f t="shared" si="95"/>
        <v>0</v>
      </c>
      <c r="HG11" s="351">
        <f t="shared" si="96"/>
        <v>0</v>
      </c>
      <c r="HH11" s="352">
        <f t="shared" si="97"/>
        <v>0</v>
      </c>
      <c r="HI11" s="352">
        <f t="shared" ref="HI11:HI74" si="150" xml:space="preserve"> IF(    SUM(HF11:HG11)=0,    0,   HH11 * HG11 / SUM(HF11:HG11)    )</f>
        <v>0</v>
      </c>
      <c r="HJ11" s="353">
        <f t="shared" ref="HJ11:HJ74" si="151" xml:space="preserve"> HF11 + HI11</f>
        <v>0</v>
      </c>
      <c r="HK11" s="353">
        <f t="shared" ref="HK11:HK74" si="152" xml:space="preserve"> HG11 - HH11 + HI11</f>
        <v>0</v>
      </c>
    </row>
    <row r="12" spans="1:219" x14ac:dyDescent="0.2">
      <c r="A12" s="320">
        <v>2</v>
      </c>
      <c r="C12" s="350">
        <v>1.1728000000000001</v>
      </c>
      <c r="D12" s="350">
        <v>0.5343</v>
      </c>
      <c r="E12" s="350">
        <v>0</v>
      </c>
      <c r="F12" s="350">
        <v>11043.2767</v>
      </c>
      <c r="G12" s="350">
        <v>10582.4108</v>
      </c>
      <c r="H12" s="351">
        <f t="shared" si="30"/>
        <v>1144.77008</v>
      </c>
      <c r="I12" s="351">
        <f t="shared" si="31"/>
        <v>990.42656699999998</v>
      </c>
      <c r="J12" s="352">
        <f t="shared" si="32"/>
        <v>0</v>
      </c>
      <c r="K12" s="352">
        <f t="shared" si="98"/>
        <v>0</v>
      </c>
      <c r="L12" s="353">
        <f t="shared" si="99"/>
        <v>1144.77008</v>
      </c>
      <c r="M12" s="353">
        <f t="shared" si="100"/>
        <v>990.42656699999998</v>
      </c>
      <c r="N12" s="343">
        <f t="shared" si="101"/>
        <v>1144.77008</v>
      </c>
      <c r="O12" s="343">
        <f t="shared" si="102"/>
        <v>990.42656699999998</v>
      </c>
      <c r="Q12" s="374">
        <v>1.3209</v>
      </c>
      <c r="R12" s="375">
        <v>0.64410000000000001</v>
      </c>
      <c r="S12" s="374">
        <v>0</v>
      </c>
      <c r="T12" s="374">
        <v>1250.7208000000001</v>
      </c>
      <c r="U12" s="374">
        <v>1208.0658000000001</v>
      </c>
      <c r="V12" s="351">
        <f t="shared" si="33"/>
        <v>844.58345999999995</v>
      </c>
      <c r="W12" s="351">
        <f t="shared" si="34"/>
        <v>773.8088580000001</v>
      </c>
      <c r="X12" s="352">
        <f t="shared" si="35"/>
        <v>0</v>
      </c>
      <c r="Y12" s="352">
        <f t="shared" si="103"/>
        <v>0</v>
      </c>
      <c r="Z12" s="353">
        <f t="shared" si="104"/>
        <v>844.58345999999995</v>
      </c>
      <c r="AA12" s="353">
        <f t="shared" si="105"/>
        <v>773.8088580000001</v>
      </c>
      <c r="AB12" s="343">
        <f t="shared" si="106"/>
        <v>844.58345999999995</v>
      </c>
      <c r="AC12" s="343">
        <f t="shared" si="107"/>
        <v>773.8088580000001</v>
      </c>
      <c r="AE12" s="374">
        <v>0.57050000000000001</v>
      </c>
      <c r="AF12" s="375">
        <v>0.2336</v>
      </c>
      <c r="AG12" s="374">
        <v>0</v>
      </c>
      <c r="AH12" s="374">
        <v>57.914999999999999</v>
      </c>
      <c r="AI12" s="374">
        <v>63.192500000000003</v>
      </c>
      <c r="AJ12" s="351">
        <f t="shared" si="36"/>
        <v>244.50488999999999</v>
      </c>
      <c r="AK12" s="351">
        <f t="shared" si="37"/>
        <v>232.24044799999999</v>
      </c>
      <c r="AL12" s="352">
        <f t="shared" si="38"/>
        <v>0</v>
      </c>
      <c r="AM12" s="352">
        <f t="shared" si="108"/>
        <v>0</v>
      </c>
      <c r="AN12" s="353">
        <f t="shared" si="109"/>
        <v>244.50488999999999</v>
      </c>
      <c r="AO12" s="353">
        <f t="shared" si="110"/>
        <v>232.24044799999999</v>
      </c>
      <c r="AP12" s="343">
        <f t="shared" si="111"/>
        <v>244.50488999999999</v>
      </c>
      <c r="AQ12" s="343">
        <f t="shared" si="112"/>
        <v>232.24044799999999</v>
      </c>
      <c r="AS12" s="374">
        <v>0.90790000000000004</v>
      </c>
      <c r="AT12" s="375">
        <v>0.52249999999999996</v>
      </c>
      <c r="AU12" s="374">
        <v>0</v>
      </c>
      <c r="AV12" s="374">
        <v>8932.25</v>
      </c>
      <c r="AW12" s="374">
        <v>8481.41</v>
      </c>
      <c r="AX12" s="351">
        <f t="shared" si="39"/>
        <v>309.29429300000004</v>
      </c>
      <c r="AY12" s="351">
        <f t="shared" si="40"/>
        <v>356.93019999999996</v>
      </c>
      <c r="AZ12" s="352">
        <f t="shared" si="41"/>
        <v>0</v>
      </c>
      <c r="BA12" s="352">
        <f t="shared" si="113"/>
        <v>0</v>
      </c>
      <c r="BB12" s="353">
        <f t="shared" si="114"/>
        <v>309.29429300000004</v>
      </c>
      <c r="BC12" s="353">
        <f t="shared" si="115"/>
        <v>356.93019999999996</v>
      </c>
      <c r="BD12" s="343">
        <f t="shared" si="116"/>
        <v>309.29429300000004</v>
      </c>
      <c r="BE12" s="343">
        <f t="shared" si="117"/>
        <v>356.93019999999996</v>
      </c>
      <c r="BG12" s="374">
        <v>0.75480000000000003</v>
      </c>
      <c r="BH12" s="375">
        <v>0.45050000000000001</v>
      </c>
      <c r="BI12" s="374">
        <v>0</v>
      </c>
      <c r="BJ12" s="374">
        <v>5213.7542000000003</v>
      </c>
      <c r="BK12" s="374">
        <v>4970.1216999999997</v>
      </c>
      <c r="BL12" s="351">
        <f t="shared" si="42"/>
        <v>252.68439599999999</v>
      </c>
      <c r="BM12" s="351">
        <f t="shared" si="43"/>
        <v>263.95695999999998</v>
      </c>
      <c r="BN12" s="352">
        <f t="shared" si="44"/>
        <v>0</v>
      </c>
      <c r="BO12" s="352">
        <f t="shared" si="118"/>
        <v>0</v>
      </c>
      <c r="BP12" s="353">
        <f t="shared" si="119"/>
        <v>252.68439599999999</v>
      </c>
      <c r="BQ12" s="353">
        <f t="shared" si="120"/>
        <v>263.95695999999998</v>
      </c>
      <c r="BR12" s="343">
        <f t="shared" si="121"/>
        <v>252.68439599999999</v>
      </c>
      <c r="BS12" s="343">
        <f t="shared" si="122"/>
        <v>263.95695999999998</v>
      </c>
      <c r="BU12" s="374">
        <v>1.1944999999999999</v>
      </c>
      <c r="BV12" s="375">
        <v>1.2395</v>
      </c>
      <c r="BW12" s="374">
        <v>0</v>
      </c>
      <c r="BX12" s="374">
        <v>2481.3225000000002</v>
      </c>
      <c r="BY12" s="374">
        <v>2392.6242000000002</v>
      </c>
      <c r="BZ12" s="351">
        <f t="shared" si="45"/>
        <v>277.26733999999999</v>
      </c>
      <c r="CA12" s="351">
        <f t="shared" si="46"/>
        <v>473.32786500000003</v>
      </c>
      <c r="CB12" s="352">
        <f t="shared" si="47"/>
        <v>0</v>
      </c>
      <c r="CC12" s="352">
        <f t="shared" si="123"/>
        <v>0</v>
      </c>
      <c r="CD12" s="353">
        <f t="shared" si="124"/>
        <v>277.26733999999999</v>
      </c>
      <c r="CE12" s="353">
        <f t="shared" si="125"/>
        <v>473.32786500000003</v>
      </c>
      <c r="CF12" s="343">
        <f t="shared" si="126"/>
        <v>277.26733999999999</v>
      </c>
      <c r="CG12" s="343">
        <f t="shared" si="127"/>
        <v>473.32786500000003</v>
      </c>
      <c r="CI12" s="374">
        <v>7.51E-2</v>
      </c>
      <c r="CJ12" s="375">
        <v>4.7800000000000002E-2</v>
      </c>
      <c r="CK12" s="374">
        <v>0</v>
      </c>
      <c r="CL12" s="374">
        <v>17009.0092</v>
      </c>
      <c r="CM12" s="374">
        <v>16197.6883</v>
      </c>
      <c r="CN12" s="351">
        <f t="shared" si="48"/>
        <v>15.961003</v>
      </c>
      <c r="CO12" s="351">
        <f t="shared" si="49"/>
        <v>13.166510000000001</v>
      </c>
      <c r="CP12" s="352">
        <f t="shared" si="50"/>
        <v>0</v>
      </c>
      <c r="CQ12" s="352">
        <f t="shared" si="128"/>
        <v>0</v>
      </c>
      <c r="CR12" s="353">
        <f t="shared" si="129"/>
        <v>15.961003</v>
      </c>
      <c r="CS12" s="353">
        <f t="shared" si="130"/>
        <v>13.166510000000001</v>
      </c>
      <c r="CT12" s="343">
        <f t="shared" si="131"/>
        <v>15.961003</v>
      </c>
      <c r="CU12" s="343">
        <f t="shared" si="132"/>
        <v>13.166510000000001</v>
      </c>
      <c r="CW12" s="374">
        <v>9.9000000000000008E-3</v>
      </c>
      <c r="CX12" s="375">
        <v>4.0000000000000002E-4</v>
      </c>
      <c r="CY12" s="374">
        <v>0</v>
      </c>
      <c r="CZ12" s="374">
        <v>3330.0291999999999</v>
      </c>
      <c r="DA12" s="374">
        <v>3188.0974999999999</v>
      </c>
      <c r="DB12" s="351">
        <f t="shared" si="51"/>
        <v>2.2198769999999999</v>
      </c>
      <c r="DC12" s="351">
        <f t="shared" si="52"/>
        <v>0.124296</v>
      </c>
      <c r="DD12" s="352">
        <f t="shared" si="53"/>
        <v>0</v>
      </c>
      <c r="DE12" s="352">
        <f t="shared" si="133"/>
        <v>0</v>
      </c>
      <c r="DF12" s="353">
        <f t="shared" si="134"/>
        <v>2.2198769999999999</v>
      </c>
      <c r="DG12" s="353">
        <f t="shared" si="135"/>
        <v>0.124296</v>
      </c>
      <c r="DH12" s="343">
        <f t="shared" si="136"/>
        <v>2.2198769999999999</v>
      </c>
      <c r="DI12" s="343">
        <f t="shared" si="137"/>
        <v>0.124296</v>
      </c>
      <c r="DK12" s="374">
        <v>9.9000000000000008E-3</v>
      </c>
      <c r="DL12" s="375">
        <v>4.0000000000000002E-4</v>
      </c>
      <c r="DM12" s="374">
        <v>0</v>
      </c>
      <c r="DN12" s="374">
        <v>1691.0491999999999</v>
      </c>
      <c r="DO12" s="374">
        <v>1604.88</v>
      </c>
      <c r="DP12" s="351">
        <f t="shared" si="54"/>
        <v>1.3045230000000001</v>
      </c>
      <c r="DQ12" s="351">
        <f t="shared" si="55"/>
        <v>7.8744000000000008E-2</v>
      </c>
      <c r="DR12" s="352">
        <f t="shared" si="56"/>
        <v>0</v>
      </c>
      <c r="DS12" s="352">
        <f t="shared" si="138"/>
        <v>0</v>
      </c>
      <c r="DT12" s="353">
        <f t="shared" si="139"/>
        <v>1.3045230000000001</v>
      </c>
      <c r="DU12" s="353">
        <f t="shared" si="140"/>
        <v>7.8744000000000008E-2</v>
      </c>
      <c r="DV12" s="343">
        <f t="shared" si="141"/>
        <v>1.3045230000000001</v>
      </c>
      <c r="DW12" s="343">
        <f t="shared" si="142"/>
        <v>7.8744000000000008E-2</v>
      </c>
      <c r="EB12" s="326"/>
      <c r="EC12" s="326"/>
      <c r="ED12" s="326"/>
      <c r="EE12" s="348">
        <f t="shared" si="143"/>
        <v>40314.5651</v>
      </c>
      <c r="EF12" s="348">
        <f t="shared" si="144"/>
        <v>38449.606599999999</v>
      </c>
      <c r="EG12" s="348">
        <f t="shared" si="145"/>
        <v>1471.8012776</v>
      </c>
      <c r="EH12" s="348">
        <f t="shared" si="146"/>
        <v>1360.6227137999999</v>
      </c>
      <c r="EI12" s="354">
        <f t="shared" si="57"/>
        <v>0.51183887584765897</v>
      </c>
      <c r="EJ12" s="326"/>
      <c r="EK12" s="348">
        <f t="shared" si="147"/>
        <v>1471.8012776</v>
      </c>
      <c r="EL12" s="348">
        <f t="shared" si="148"/>
        <v>1360.6227137999999</v>
      </c>
      <c r="EM12" s="348">
        <f t="shared" si="58"/>
        <v>1471.8012776</v>
      </c>
      <c r="EN12" s="348">
        <f t="shared" si="149"/>
        <v>1360.6227137999999</v>
      </c>
      <c r="EP12" s="326"/>
      <c r="EQ12" s="326"/>
      <c r="ER12" s="326"/>
      <c r="ES12" s="348">
        <f t="shared" si="59"/>
        <v>26803.5134</v>
      </c>
      <c r="ET12" s="348">
        <f t="shared" si="60"/>
        <v>25563.973300000001</v>
      </c>
      <c r="EU12" s="348">
        <f t="shared" si="61"/>
        <v>1114.7827728999998</v>
      </c>
      <c r="EV12" s="348">
        <f t="shared" si="62"/>
        <v>1051.0193352000001</v>
      </c>
      <c r="EW12" s="354">
        <f t="shared" si="63"/>
        <v>0.51183501613416171</v>
      </c>
      <c r="EX12" s="326"/>
      <c r="EY12" s="348">
        <f t="shared" si="64"/>
        <v>1114.7827728999998</v>
      </c>
      <c r="EZ12" s="348">
        <f t="shared" si="65"/>
        <v>1051.0193352000001</v>
      </c>
      <c r="FA12" s="348">
        <f t="shared" si="66"/>
        <v>1114.7827728999998</v>
      </c>
      <c r="FB12" s="348">
        <f t="shared" si="67"/>
        <v>1051.0193352000001</v>
      </c>
      <c r="FD12" s="326"/>
      <c r="FE12" s="326"/>
      <c r="FF12" s="326"/>
      <c r="FG12" s="348">
        <f t="shared" si="68"/>
        <v>21239.295900000001</v>
      </c>
      <c r="FH12" s="348">
        <f t="shared" si="69"/>
        <v>20258.385000000002</v>
      </c>
      <c r="FI12" s="348">
        <f t="shared" si="70"/>
        <v>538.51594680000005</v>
      </c>
      <c r="FJ12" s="348">
        <f t="shared" si="71"/>
        <v>718.78206939999995</v>
      </c>
      <c r="FK12" s="354">
        <f t="shared" si="72"/>
        <v>0.5118188640753657</v>
      </c>
      <c r="FL12" s="326"/>
      <c r="FM12" s="348">
        <f t="shared" si="73"/>
        <v>538.51594680000005</v>
      </c>
      <c r="FN12" s="348">
        <f t="shared" si="74"/>
        <v>718.78206939999995</v>
      </c>
      <c r="FO12" s="348">
        <f t="shared" si="75"/>
        <v>538.51594680000005</v>
      </c>
      <c r="FP12" s="348">
        <f t="shared" si="76"/>
        <v>718.78206939999995</v>
      </c>
      <c r="FR12" s="326"/>
      <c r="FS12" s="326"/>
      <c r="FT12" s="326"/>
      <c r="FU12" s="348">
        <f t="shared" si="77"/>
        <v>20339.038400000001</v>
      </c>
      <c r="FV12" s="348">
        <f t="shared" si="78"/>
        <v>19385.785799999998</v>
      </c>
      <c r="FW12" s="348">
        <f t="shared" si="79"/>
        <v>17.736904599999999</v>
      </c>
      <c r="FX12" s="348">
        <f t="shared" si="80"/>
        <v>13.2659468</v>
      </c>
      <c r="FY12" s="354">
        <f t="shared" si="81"/>
        <v>0.51199819784224498</v>
      </c>
      <c r="FZ12" s="326"/>
      <c r="GA12" s="348">
        <f t="shared" si="82"/>
        <v>17.736904599999999</v>
      </c>
      <c r="GB12" s="348">
        <f t="shared" si="83"/>
        <v>13.2659468</v>
      </c>
      <c r="GC12" s="348">
        <f t="shared" si="84"/>
        <v>17.736904599999999</v>
      </c>
      <c r="GD12" s="348">
        <f t="shared" si="85"/>
        <v>13.2659468</v>
      </c>
      <c r="GF12" s="326"/>
      <c r="GG12" s="326"/>
      <c r="GH12" s="326"/>
      <c r="GI12" s="348">
        <f t="shared" si="86"/>
        <v>11413.5725</v>
      </c>
      <c r="GJ12" s="348">
        <f t="shared" si="87"/>
        <v>10874.0342</v>
      </c>
      <c r="GK12" s="349">
        <f t="shared" si="88"/>
        <v>24.020214750000036</v>
      </c>
      <c r="GL12" s="349">
        <f t="shared" si="89"/>
        <v>0</v>
      </c>
      <c r="GM12" s="354">
        <f t="shared" si="90"/>
        <v>0.51210399813812224</v>
      </c>
      <c r="GN12" s="326"/>
      <c r="GO12" s="349">
        <f t="shared" si="91"/>
        <v>24.020214750000036</v>
      </c>
      <c r="GP12" s="349">
        <f t="shared" si="92"/>
        <v>0</v>
      </c>
      <c r="GQ12" s="349">
        <f t="shared" si="93"/>
        <v>24.020214750000036</v>
      </c>
      <c r="GR12" s="349">
        <f t="shared" si="94"/>
        <v>0</v>
      </c>
      <c r="HA12" s="374"/>
      <c r="HB12" s="375"/>
      <c r="HC12" s="374"/>
      <c r="HD12" s="374"/>
      <c r="HE12" s="374"/>
      <c r="HF12" s="351">
        <f t="shared" si="95"/>
        <v>0</v>
      </c>
      <c r="HG12" s="351">
        <f t="shared" si="96"/>
        <v>0</v>
      </c>
      <c r="HH12" s="352">
        <f t="shared" si="97"/>
        <v>0</v>
      </c>
      <c r="HI12" s="352">
        <f t="shared" si="150"/>
        <v>0</v>
      </c>
      <c r="HJ12" s="353">
        <f t="shared" si="151"/>
        <v>0</v>
      </c>
      <c r="HK12" s="353">
        <f t="shared" si="152"/>
        <v>0</v>
      </c>
    </row>
    <row r="13" spans="1:219" x14ac:dyDescent="0.2">
      <c r="A13" s="320">
        <v>3</v>
      </c>
      <c r="C13" s="350">
        <v>1.0217000000000001</v>
      </c>
      <c r="D13" s="350">
        <v>0.43669999999999998</v>
      </c>
      <c r="E13" s="350">
        <v>0</v>
      </c>
      <c r="F13" s="350">
        <v>8078.5217000000002</v>
      </c>
      <c r="G13" s="350">
        <v>14418.535</v>
      </c>
      <c r="H13" s="351">
        <f t="shared" si="30"/>
        <v>997.28137000000004</v>
      </c>
      <c r="I13" s="351">
        <f t="shared" si="31"/>
        <v>809.50642299999993</v>
      </c>
      <c r="J13" s="352">
        <f t="shared" si="32"/>
        <v>0</v>
      </c>
      <c r="K13" s="352">
        <f t="shared" si="98"/>
        <v>0</v>
      </c>
      <c r="L13" s="353">
        <f t="shared" si="99"/>
        <v>997.28137000000004</v>
      </c>
      <c r="M13" s="353">
        <f t="shared" si="100"/>
        <v>809.50642299999993</v>
      </c>
      <c r="N13" s="343">
        <f t="shared" si="101"/>
        <v>997.28137000000004</v>
      </c>
      <c r="O13" s="343">
        <f t="shared" si="102"/>
        <v>809.50642299999993</v>
      </c>
      <c r="Q13" s="374">
        <v>1.0961000000000001</v>
      </c>
      <c r="R13" s="375">
        <v>0.50180000000000002</v>
      </c>
      <c r="S13" s="374">
        <v>0</v>
      </c>
      <c r="T13" s="374">
        <v>1473.605</v>
      </c>
      <c r="U13" s="374">
        <v>1433.6392000000001</v>
      </c>
      <c r="V13" s="351">
        <f t="shared" si="33"/>
        <v>700.84634000000005</v>
      </c>
      <c r="W13" s="351">
        <f t="shared" si="34"/>
        <v>602.85248400000012</v>
      </c>
      <c r="X13" s="352">
        <f t="shared" si="35"/>
        <v>0</v>
      </c>
      <c r="Y13" s="352">
        <f t="shared" si="103"/>
        <v>0</v>
      </c>
      <c r="Z13" s="353">
        <f t="shared" si="104"/>
        <v>700.84634000000005</v>
      </c>
      <c r="AA13" s="353">
        <f t="shared" si="105"/>
        <v>602.85248400000012</v>
      </c>
      <c r="AB13" s="343">
        <f t="shared" si="106"/>
        <v>700.84634000000005</v>
      </c>
      <c r="AC13" s="343">
        <f t="shared" si="107"/>
        <v>602.85248400000012</v>
      </c>
      <c r="AE13" s="374">
        <v>0.57420000000000004</v>
      </c>
      <c r="AF13" s="375">
        <v>0.20050000000000001</v>
      </c>
      <c r="AG13" s="374">
        <v>0</v>
      </c>
      <c r="AH13" s="374">
        <v>84.397499999999994</v>
      </c>
      <c r="AI13" s="374">
        <v>66.150000000000006</v>
      </c>
      <c r="AJ13" s="351">
        <f t="shared" si="36"/>
        <v>246.09063600000002</v>
      </c>
      <c r="AK13" s="351">
        <f t="shared" si="37"/>
        <v>199.33309</v>
      </c>
      <c r="AL13" s="352">
        <f t="shared" si="38"/>
        <v>0</v>
      </c>
      <c r="AM13" s="352">
        <f t="shared" si="108"/>
        <v>0</v>
      </c>
      <c r="AN13" s="353">
        <f t="shared" si="109"/>
        <v>246.09063600000002</v>
      </c>
      <c r="AO13" s="353">
        <f t="shared" si="110"/>
        <v>199.33309</v>
      </c>
      <c r="AP13" s="343">
        <f t="shared" si="111"/>
        <v>246.09063600000002</v>
      </c>
      <c r="AQ13" s="343">
        <f t="shared" si="112"/>
        <v>199.33309</v>
      </c>
      <c r="AS13" s="374">
        <v>0.66549999999999998</v>
      </c>
      <c r="AT13" s="375">
        <v>0.34849999999999998</v>
      </c>
      <c r="AU13" s="374">
        <v>0</v>
      </c>
      <c r="AV13" s="374">
        <v>8531.4599999999991</v>
      </c>
      <c r="AW13" s="374">
        <v>8044.7691999999997</v>
      </c>
      <c r="AX13" s="351">
        <f t="shared" si="39"/>
        <v>226.71588500000001</v>
      </c>
      <c r="AY13" s="351">
        <f t="shared" si="40"/>
        <v>238.06732</v>
      </c>
      <c r="AZ13" s="352">
        <f t="shared" si="41"/>
        <v>0</v>
      </c>
      <c r="BA13" s="352">
        <f t="shared" si="113"/>
        <v>0</v>
      </c>
      <c r="BB13" s="353">
        <f t="shared" si="114"/>
        <v>226.71588500000001</v>
      </c>
      <c r="BC13" s="353">
        <f t="shared" si="115"/>
        <v>238.06732</v>
      </c>
      <c r="BD13" s="343">
        <f t="shared" si="116"/>
        <v>226.71588500000001</v>
      </c>
      <c r="BE13" s="343">
        <f t="shared" si="117"/>
        <v>238.06732</v>
      </c>
      <c r="BG13" s="374">
        <v>0.7157</v>
      </c>
      <c r="BH13" s="375">
        <v>0.3735</v>
      </c>
      <c r="BI13" s="374">
        <v>0</v>
      </c>
      <c r="BJ13" s="374">
        <v>4003.0216999999998</v>
      </c>
      <c r="BK13" s="374">
        <v>3978.415</v>
      </c>
      <c r="BL13" s="351">
        <f t="shared" si="42"/>
        <v>239.59488899999999</v>
      </c>
      <c r="BM13" s="351">
        <f t="shared" si="43"/>
        <v>218.84111999999999</v>
      </c>
      <c r="BN13" s="352">
        <f t="shared" si="44"/>
        <v>0</v>
      </c>
      <c r="BO13" s="352">
        <f t="shared" si="118"/>
        <v>0</v>
      </c>
      <c r="BP13" s="353">
        <f t="shared" si="119"/>
        <v>239.59488899999999</v>
      </c>
      <c r="BQ13" s="353">
        <f t="shared" si="120"/>
        <v>218.84111999999999</v>
      </c>
      <c r="BR13" s="343">
        <f t="shared" si="121"/>
        <v>239.59488899999999</v>
      </c>
      <c r="BS13" s="343">
        <f t="shared" si="122"/>
        <v>218.84111999999999</v>
      </c>
      <c r="BU13" s="374">
        <v>0.86339999999999995</v>
      </c>
      <c r="BV13" s="375">
        <v>0.54039999999999999</v>
      </c>
      <c r="BW13" s="374">
        <v>0</v>
      </c>
      <c r="BX13" s="374">
        <v>2186.8642</v>
      </c>
      <c r="BY13" s="374">
        <v>2113.6475</v>
      </c>
      <c r="BZ13" s="351">
        <f t="shared" si="45"/>
        <v>200.412408</v>
      </c>
      <c r="CA13" s="351">
        <f t="shared" si="46"/>
        <v>206.362548</v>
      </c>
      <c r="CB13" s="352">
        <f t="shared" si="47"/>
        <v>0</v>
      </c>
      <c r="CC13" s="352">
        <f t="shared" si="123"/>
        <v>0</v>
      </c>
      <c r="CD13" s="353">
        <f t="shared" si="124"/>
        <v>200.412408</v>
      </c>
      <c r="CE13" s="353">
        <f t="shared" si="125"/>
        <v>206.362548</v>
      </c>
      <c r="CF13" s="343">
        <f t="shared" si="126"/>
        <v>200.412408</v>
      </c>
      <c r="CG13" s="343">
        <f t="shared" si="127"/>
        <v>206.362548</v>
      </c>
      <c r="CI13" s="374">
        <v>0.10539999999999999</v>
      </c>
      <c r="CJ13" s="375">
        <v>8.4000000000000005E-2</v>
      </c>
      <c r="CK13" s="374">
        <v>0</v>
      </c>
      <c r="CL13" s="374">
        <v>15329.244199999999</v>
      </c>
      <c r="CM13" s="374">
        <v>14721.921700000001</v>
      </c>
      <c r="CN13" s="351">
        <f t="shared" si="48"/>
        <v>22.400662000000001</v>
      </c>
      <c r="CO13" s="351">
        <f t="shared" si="49"/>
        <v>23.137800000000002</v>
      </c>
      <c r="CP13" s="352">
        <f t="shared" si="50"/>
        <v>0</v>
      </c>
      <c r="CQ13" s="352">
        <f t="shared" si="128"/>
        <v>0</v>
      </c>
      <c r="CR13" s="353">
        <f t="shared" si="129"/>
        <v>22.400662000000001</v>
      </c>
      <c r="CS13" s="353">
        <f t="shared" si="130"/>
        <v>23.137800000000002</v>
      </c>
      <c r="CT13" s="343">
        <f t="shared" si="131"/>
        <v>22.400662000000001</v>
      </c>
      <c r="CU13" s="343">
        <f t="shared" si="132"/>
        <v>23.137800000000002</v>
      </c>
      <c r="CW13" s="374">
        <v>0</v>
      </c>
      <c r="CX13" s="375">
        <v>0</v>
      </c>
      <c r="CY13" s="374">
        <v>0</v>
      </c>
      <c r="CZ13" s="374">
        <v>7011.5708000000004</v>
      </c>
      <c r="DA13" s="374">
        <v>6698.6482999999998</v>
      </c>
      <c r="DB13" s="351">
        <f t="shared" si="51"/>
        <v>0</v>
      </c>
      <c r="DC13" s="351">
        <f t="shared" si="52"/>
        <v>0</v>
      </c>
      <c r="DD13" s="352">
        <f t="shared" si="53"/>
        <v>0</v>
      </c>
      <c r="DE13" s="352">
        <f t="shared" si="133"/>
        <v>0</v>
      </c>
      <c r="DF13" s="353">
        <f t="shared" si="134"/>
        <v>0</v>
      </c>
      <c r="DG13" s="353">
        <f t="shared" si="135"/>
        <v>0</v>
      </c>
      <c r="DH13" s="343">
        <f t="shared" si="136"/>
        <v>0</v>
      </c>
      <c r="DI13" s="343">
        <f t="shared" si="137"/>
        <v>0</v>
      </c>
      <c r="DK13" s="374">
        <v>1.4200000000000001E-2</v>
      </c>
      <c r="DL13" s="375">
        <v>0</v>
      </c>
      <c r="DM13" s="374">
        <v>0</v>
      </c>
      <c r="DN13" s="374">
        <v>1393.9833000000001</v>
      </c>
      <c r="DO13" s="374">
        <v>1403.82</v>
      </c>
      <c r="DP13" s="351">
        <f t="shared" si="54"/>
        <v>1.8711340000000003</v>
      </c>
      <c r="DQ13" s="351">
        <f t="shared" si="55"/>
        <v>0</v>
      </c>
      <c r="DR13" s="352">
        <f t="shared" si="56"/>
        <v>0</v>
      </c>
      <c r="DS13" s="352">
        <f t="shared" si="138"/>
        <v>0</v>
      </c>
      <c r="DT13" s="353">
        <f t="shared" si="139"/>
        <v>1.8711340000000003</v>
      </c>
      <c r="DU13" s="353">
        <f t="shared" si="140"/>
        <v>0</v>
      </c>
      <c r="DV13" s="343">
        <f t="shared" si="141"/>
        <v>1.8711340000000003</v>
      </c>
      <c r="DW13" s="343">
        <f t="shared" si="142"/>
        <v>0</v>
      </c>
      <c r="EB13" s="326"/>
      <c r="EC13" s="326"/>
      <c r="ED13" s="326"/>
      <c r="EE13" s="348">
        <f t="shared" si="143"/>
        <v>38950.796699999999</v>
      </c>
      <c r="EF13" s="348">
        <f t="shared" si="144"/>
        <v>43883.874199999998</v>
      </c>
      <c r="EG13" s="348">
        <f t="shared" si="145"/>
        <v>1246.397917</v>
      </c>
      <c r="EH13" s="348">
        <f t="shared" si="146"/>
        <v>1070.7115429999999</v>
      </c>
      <c r="EI13" s="354">
        <f t="shared" si="57"/>
        <v>0.47022335305734886</v>
      </c>
      <c r="EJ13" s="326"/>
      <c r="EK13" s="348">
        <f t="shared" si="147"/>
        <v>1246.397917</v>
      </c>
      <c r="EL13" s="348">
        <f t="shared" si="148"/>
        <v>1070.7115429999999</v>
      </c>
      <c r="EM13" s="348">
        <f t="shared" si="58"/>
        <v>1246.397917</v>
      </c>
      <c r="EN13" s="348">
        <f t="shared" si="149"/>
        <v>1070.7115429999999</v>
      </c>
      <c r="EP13" s="326"/>
      <c r="EQ13" s="326"/>
      <c r="ER13" s="326"/>
      <c r="ES13" s="348">
        <f t="shared" si="59"/>
        <v>27817.441699999999</v>
      </c>
      <c r="ET13" s="348">
        <f t="shared" si="60"/>
        <v>26832.624200000002</v>
      </c>
      <c r="EU13" s="348">
        <f t="shared" si="61"/>
        <v>962.84189100000003</v>
      </c>
      <c r="EV13" s="348">
        <f t="shared" si="62"/>
        <v>844.83140400000002</v>
      </c>
      <c r="EW13" s="354">
        <f t="shared" si="63"/>
        <v>0.50901021328869067</v>
      </c>
      <c r="EX13" s="326"/>
      <c r="EY13" s="348">
        <f t="shared" si="64"/>
        <v>962.84189100000003</v>
      </c>
      <c r="EZ13" s="348">
        <f t="shared" si="65"/>
        <v>844.83140400000002</v>
      </c>
      <c r="FA13" s="348">
        <f t="shared" si="66"/>
        <v>962.84189100000003</v>
      </c>
      <c r="FB13" s="348">
        <f t="shared" si="67"/>
        <v>844.83140400000002</v>
      </c>
      <c r="FD13" s="326"/>
      <c r="FE13" s="326"/>
      <c r="FF13" s="326"/>
      <c r="FG13" s="348">
        <f t="shared" si="68"/>
        <v>18994.4892</v>
      </c>
      <c r="FH13" s="348">
        <f t="shared" si="69"/>
        <v>18305.539199999999</v>
      </c>
      <c r="FI13" s="348">
        <f t="shared" si="70"/>
        <v>470.02638640000004</v>
      </c>
      <c r="FJ13" s="348">
        <f t="shared" si="71"/>
        <v>428.83343800000006</v>
      </c>
      <c r="FK13" s="354">
        <f t="shared" si="72"/>
        <v>0.50923524766002592</v>
      </c>
      <c r="FL13" s="326"/>
      <c r="FM13" s="348">
        <f t="shared" si="73"/>
        <v>470.02638640000004</v>
      </c>
      <c r="FN13" s="348">
        <f t="shared" si="74"/>
        <v>428.83343800000006</v>
      </c>
      <c r="FO13" s="348">
        <f t="shared" si="75"/>
        <v>470.02638640000004</v>
      </c>
      <c r="FP13" s="348">
        <f t="shared" si="76"/>
        <v>428.83343800000006</v>
      </c>
      <c r="FR13" s="326"/>
      <c r="FS13" s="326"/>
      <c r="FT13" s="326"/>
      <c r="FU13" s="348">
        <f t="shared" si="77"/>
        <v>22340.814999999999</v>
      </c>
      <c r="FV13" s="348">
        <f t="shared" si="78"/>
        <v>21420.57</v>
      </c>
      <c r="FW13" s="348">
        <f t="shared" si="79"/>
        <v>22.400662000000001</v>
      </c>
      <c r="FX13" s="348">
        <f t="shared" si="80"/>
        <v>23.137800000000002</v>
      </c>
      <c r="FY13" s="354">
        <f t="shared" si="81"/>
        <v>0.51051434958011499</v>
      </c>
      <c r="FZ13" s="326"/>
      <c r="GA13" s="348">
        <f t="shared" si="82"/>
        <v>22.400662000000001</v>
      </c>
      <c r="GB13" s="348">
        <f t="shared" si="83"/>
        <v>23.137800000000002</v>
      </c>
      <c r="GC13" s="348">
        <f t="shared" si="84"/>
        <v>22.400662000000001</v>
      </c>
      <c r="GD13" s="348">
        <f t="shared" si="85"/>
        <v>23.137800000000002</v>
      </c>
      <c r="GF13" s="326"/>
      <c r="GG13" s="326"/>
      <c r="GH13" s="326"/>
      <c r="GI13" s="348">
        <f t="shared" si="86"/>
        <v>10718.324199999999</v>
      </c>
      <c r="GJ13" s="348">
        <f t="shared" si="87"/>
        <v>10158.4167</v>
      </c>
      <c r="GK13" s="349">
        <f t="shared" si="88"/>
        <v>19.727607750000011</v>
      </c>
      <c r="GL13" s="349">
        <f t="shared" si="89"/>
        <v>23.778578999999993</v>
      </c>
      <c r="GM13" s="354">
        <f t="shared" si="90"/>
        <v>0.51340983975137622</v>
      </c>
      <c r="GN13" s="326"/>
      <c r="GO13" s="349">
        <f t="shared" si="91"/>
        <v>19.727607750000011</v>
      </c>
      <c r="GP13" s="349">
        <f t="shared" si="92"/>
        <v>23.778578999999993</v>
      </c>
      <c r="GQ13" s="349">
        <f t="shared" si="93"/>
        <v>19.727607750000011</v>
      </c>
      <c r="GR13" s="349">
        <f t="shared" si="94"/>
        <v>23.778578999999993</v>
      </c>
      <c r="HA13" s="374"/>
      <c r="HB13" s="375"/>
      <c r="HC13" s="374"/>
      <c r="HD13" s="374"/>
      <c r="HE13" s="374"/>
      <c r="HF13" s="351">
        <f t="shared" si="95"/>
        <v>0</v>
      </c>
      <c r="HG13" s="351">
        <f t="shared" si="96"/>
        <v>0</v>
      </c>
      <c r="HH13" s="352">
        <f t="shared" si="97"/>
        <v>0</v>
      </c>
      <c r="HI13" s="352">
        <f t="shared" si="150"/>
        <v>0</v>
      </c>
      <c r="HJ13" s="353">
        <f t="shared" si="151"/>
        <v>0</v>
      </c>
      <c r="HK13" s="353">
        <f t="shared" si="152"/>
        <v>0</v>
      </c>
    </row>
    <row r="14" spans="1:219" x14ac:dyDescent="0.2">
      <c r="A14" s="320">
        <v>4</v>
      </c>
      <c r="C14" s="350">
        <v>0.92059999999999997</v>
      </c>
      <c r="D14" s="350">
        <v>0.35859999999999997</v>
      </c>
      <c r="E14" s="350">
        <v>0</v>
      </c>
      <c r="F14" s="350">
        <v>8383.7667000000001</v>
      </c>
      <c r="G14" s="350">
        <v>15026.105</v>
      </c>
      <c r="H14" s="351">
        <f t="shared" si="30"/>
        <v>898.59766000000002</v>
      </c>
      <c r="I14" s="351">
        <f t="shared" si="31"/>
        <v>664.73323399999992</v>
      </c>
      <c r="J14" s="352">
        <f t="shared" si="32"/>
        <v>0</v>
      </c>
      <c r="K14" s="352">
        <f t="shared" si="98"/>
        <v>0</v>
      </c>
      <c r="L14" s="353">
        <f t="shared" si="99"/>
        <v>898.59766000000002</v>
      </c>
      <c r="M14" s="353">
        <f t="shared" si="100"/>
        <v>664.73323399999992</v>
      </c>
      <c r="N14" s="343">
        <f t="shared" si="101"/>
        <v>898.59766000000002</v>
      </c>
      <c r="O14" s="343">
        <f t="shared" si="102"/>
        <v>664.73323399999992</v>
      </c>
      <c r="Q14" s="374">
        <v>0.99139999999999995</v>
      </c>
      <c r="R14" s="375">
        <v>0.40920000000000001</v>
      </c>
      <c r="S14" s="374">
        <v>0</v>
      </c>
      <c r="T14" s="374">
        <v>1694.7557999999999</v>
      </c>
      <c r="U14" s="374">
        <v>1636.875</v>
      </c>
      <c r="V14" s="351">
        <f t="shared" si="33"/>
        <v>633.90115999999989</v>
      </c>
      <c r="W14" s="351">
        <f t="shared" si="34"/>
        <v>491.60469600000005</v>
      </c>
      <c r="X14" s="352">
        <f t="shared" si="35"/>
        <v>0</v>
      </c>
      <c r="Y14" s="352">
        <f t="shared" si="103"/>
        <v>0</v>
      </c>
      <c r="Z14" s="353">
        <f t="shared" si="104"/>
        <v>633.90115999999989</v>
      </c>
      <c r="AA14" s="353">
        <f t="shared" si="105"/>
        <v>491.60469600000005</v>
      </c>
      <c r="AB14" s="343">
        <f t="shared" si="106"/>
        <v>633.90115999999989</v>
      </c>
      <c r="AC14" s="343">
        <f t="shared" si="107"/>
        <v>491.60469600000005</v>
      </c>
      <c r="AE14" s="374">
        <v>0.57799999999999996</v>
      </c>
      <c r="AF14" s="375">
        <v>0.17649999999999999</v>
      </c>
      <c r="AG14" s="374">
        <v>0</v>
      </c>
      <c r="AH14" s="374">
        <v>83.400800000000004</v>
      </c>
      <c r="AI14" s="374">
        <v>84.805800000000005</v>
      </c>
      <c r="AJ14" s="351">
        <f t="shared" si="36"/>
        <v>247.71923999999999</v>
      </c>
      <c r="AK14" s="351">
        <f t="shared" si="37"/>
        <v>175.47276999999997</v>
      </c>
      <c r="AL14" s="352">
        <f t="shared" si="38"/>
        <v>0</v>
      </c>
      <c r="AM14" s="352">
        <f t="shared" si="108"/>
        <v>0</v>
      </c>
      <c r="AN14" s="353">
        <f t="shared" si="109"/>
        <v>247.71923999999999</v>
      </c>
      <c r="AO14" s="353">
        <f t="shared" si="110"/>
        <v>175.47276999999997</v>
      </c>
      <c r="AP14" s="343">
        <f t="shared" si="111"/>
        <v>247.71923999999999</v>
      </c>
      <c r="AQ14" s="343">
        <f t="shared" si="112"/>
        <v>175.47276999999997</v>
      </c>
      <c r="AS14" s="374">
        <v>0.61199999999999999</v>
      </c>
      <c r="AT14" s="375">
        <v>0.2888</v>
      </c>
      <c r="AU14" s="374">
        <v>0</v>
      </c>
      <c r="AV14" s="374">
        <v>9178.8683000000001</v>
      </c>
      <c r="AW14" s="374">
        <v>8817.0033000000003</v>
      </c>
      <c r="AX14" s="351">
        <f t="shared" si="39"/>
        <v>208.49003999999999</v>
      </c>
      <c r="AY14" s="351">
        <f t="shared" si="40"/>
        <v>197.285056</v>
      </c>
      <c r="AZ14" s="352">
        <f t="shared" si="41"/>
        <v>0</v>
      </c>
      <c r="BA14" s="352">
        <f t="shared" si="113"/>
        <v>0</v>
      </c>
      <c r="BB14" s="353">
        <f t="shared" si="114"/>
        <v>208.49003999999999</v>
      </c>
      <c r="BC14" s="353">
        <f t="shared" si="115"/>
        <v>197.285056</v>
      </c>
      <c r="BD14" s="343">
        <f t="shared" si="116"/>
        <v>208.49003999999999</v>
      </c>
      <c r="BE14" s="343">
        <f t="shared" si="117"/>
        <v>197.285056</v>
      </c>
      <c r="BG14" s="374">
        <v>0.63529999999999998</v>
      </c>
      <c r="BH14" s="375">
        <v>0.30969999999999998</v>
      </c>
      <c r="BI14" s="374">
        <v>0</v>
      </c>
      <c r="BJ14" s="374">
        <v>4136.6441999999997</v>
      </c>
      <c r="BK14" s="374">
        <v>4123.6467000000002</v>
      </c>
      <c r="BL14" s="351">
        <f t="shared" si="42"/>
        <v>212.67938099999998</v>
      </c>
      <c r="BM14" s="351">
        <f t="shared" si="43"/>
        <v>181.45942399999998</v>
      </c>
      <c r="BN14" s="352">
        <f t="shared" si="44"/>
        <v>0</v>
      </c>
      <c r="BO14" s="352">
        <f t="shared" si="118"/>
        <v>0</v>
      </c>
      <c r="BP14" s="353">
        <f t="shared" si="119"/>
        <v>212.67938099999998</v>
      </c>
      <c r="BQ14" s="353">
        <f t="shared" si="120"/>
        <v>181.45942399999998</v>
      </c>
      <c r="BR14" s="343">
        <f t="shared" si="121"/>
        <v>212.67938099999998</v>
      </c>
      <c r="BS14" s="343">
        <f t="shared" si="122"/>
        <v>181.45942399999998</v>
      </c>
      <c r="BU14" s="374">
        <v>0.75880000000000003</v>
      </c>
      <c r="BV14" s="375">
        <v>0.32729999999999998</v>
      </c>
      <c r="BW14" s="374">
        <v>0</v>
      </c>
      <c r="BX14" s="374">
        <v>2386.8724999999999</v>
      </c>
      <c r="BY14" s="374">
        <v>2223.9924999999998</v>
      </c>
      <c r="BZ14" s="351">
        <f t="shared" si="45"/>
        <v>176.132656</v>
      </c>
      <c r="CA14" s="351">
        <f t="shared" si="46"/>
        <v>124.98605099999999</v>
      </c>
      <c r="CB14" s="352">
        <f t="shared" si="47"/>
        <v>0</v>
      </c>
      <c r="CC14" s="352">
        <f t="shared" si="123"/>
        <v>0</v>
      </c>
      <c r="CD14" s="353">
        <f t="shared" si="124"/>
        <v>176.132656</v>
      </c>
      <c r="CE14" s="353">
        <f t="shared" si="125"/>
        <v>124.98605099999999</v>
      </c>
      <c r="CF14" s="343">
        <f t="shared" si="126"/>
        <v>176.132656</v>
      </c>
      <c r="CG14" s="343">
        <f t="shared" si="127"/>
        <v>124.98605099999999</v>
      </c>
      <c r="CI14" s="374">
        <v>0.24940000000000001</v>
      </c>
      <c r="CJ14" s="375">
        <v>0.1812</v>
      </c>
      <c r="CK14" s="374">
        <v>0</v>
      </c>
      <c r="CL14" s="374">
        <v>16284.8</v>
      </c>
      <c r="CM14" s="374">
        <v>15699.533299999999</v>
      </c>
      <c r="CN14" s="351">
        <f t="shared" si="48"/>
        <v>53.004982000000005</v>
      </c>
      <c r="CO14" s="351">
        <f t="shared" si="49"/>
        <v>49.911539999999995</v>
      </c>
      <c r="CP14" s="352">
        <f t="shared" si="50"/>
        <v>0</v>
      </c>
      <c r="CQ14" s="352">
        <f t="shared" si="128"/>
        <v>0</v>
      </c>
      <c r="CR14" s="353">
        <f t="shared" si="129"/>
        <v>53.004982000000005</v>
      </c>
      <c r="CS14" s="353">
        <f t="shared" si="130"/>
        <v>49.911539999999995</v>
      </c>
      <c r="CT14" s="343">
        <f t="shared" si="131"/>
        <v>53.004982000000005</v>
      </c>
      <c r="CU14" s="343">
        <f t="shared" si="132"/>
        <v>49.911539999999995</v>
      </c>
      <c r="CW14" s="374">
        <v>4.7000000000000002E-3</v>
      </c>
      <c r="CX14" s="375">
        <v>0</v>
      </c>
      <c r="CY14" s="374">
        <v>0</v>
      </c>
      <c r="CZ14" s="374">
        <v>7307.6642000000002</v>
      </c>
      <c r="DA14" s="374">
        <v>6950.7749999999996</v>
      </c>
      <c r="DB14" s="351">
        <f t="shared" si="51"/>
        <v>1.0538810000000001</v>
      </c>
      <c r="DC14" s="351">
        <f t="shared" si="52"/>
        <v>0</v>
      </c>
      <c r="DD14" s="352">
        <f t="shared" si="53"/>
        <v>0</v>
      </c>
      <c r="DE14" s="352">
        <f t="shared" si="133"/>
        <v>0</v>
      </c>
      <c r="DF14" s="353">
        <f t="shared" si="134"/>
        <v>1.0538810000000001</v>
      </c>
      <c r="DG14" s="353">
        <f t="shared" si="135"/>
        <v>0</v>
      </c>
      <c r="DH14" s="343">
        <f t="shared" si="136"/>
        <v>1.0538810000000001</v>
      </c>
      <c r="DI14" s="343">
        <f t="shared" si="137"/>
        <v>0</v>
      </c>
      <c r="DK14" s="374">
        <v>3.1800000000000002E-2</v>
      </c>
      <c r="DL14" s="375">
        <v>3.7000000000000002E-3</v>
      </c>
      <c r="DM14" s="374">
        <v>0</v>
      </c>
      <c r="DN14" s="374">
        <v>1622.3275000000001</v>
      </c>
      <c r="DO14" s="374">
        <v>1578.8483000000001</v>
      </c>
      <c r="DP14" s="351">
        <f t="shared" si="54"/>
        <v>4.1902860000000004</v>
      </c>
      <c r="DQ14" s="351">
        <f t="shared" si="55"/>
        <v>0.72838200000000008</v>
      </c>
      <c r="DR14" s="352">
        <f t="shared" si="56"/>
        <v>0</v>
      </c>
      <c r="DS14" s="352">
        <f t="shared" si="138"/>
        <v>0</v>
      </c>
      <c r="DT14" s="353">
        <f t="shared" si="139"/>
        <v>4.1902860000000004</v>
      </c>
      <c r="DU14" s="353">
        <f t="shared" si="140"/>
        <v>0.72838200000000008</v>
      </c>
      <c r="DV14" s="343">
        <f t="shared" si="141"/>
        <v>4.1902860000000004</v>
      </c>
      <c r="DW14" s="343">
        <f t="shared" si="142"/>
        <v>0.72838200000000008</v>
      </c>
      <c r="EB14" s="326"/>
      <c r="EC14" s="326"/>
      <c r="ED14" s="326"/>
      <c r="EE14" s="348">
        <f t="shared" si="143"/>
        <v>41155.099199999997</v>
      </c>
      <c r="EF14" s="348">
        <f t="shared" si="144"/>
        <v>46493.416600000004</v>
      </c>
      <c r="EG14" s="348">
        <f t="shared" si="145"/>
        <v>1160.9357868</v>
      </c>
      <c r="EH14" s="348">
        <f t="shared" si="146"/>
        <v>911.92982999999992</v>
      </c>
      <c r="EI14" s="354">
        <f t="shared" si="57"/>
        <v>0.46954701770317941</v>
      </c>
      <c r="EJ14" s="326"/>
      <c r="EK14" s="348">
        <f t="shared" si="147"/>
        <v>1160.9357868</v>
      </c>
      <c r="EL14" s="348">
        <f t="shared" si="148"/>
        <v>911.92982999999992</v>
      </c>
      <c r="EM14" s="348">
        <f t="shared" si="58"/>
        <v>1160.9357868</v>
      </c>
      <c r="EN14" s="348">
        <f t="shared" si="149"/>
        <v>911.92982999999992</v>
      </c>
      <c r="EP14" s="326"/>
      <c r="EQ14" s="326"/>
      <c r="ER14" s="326"/>
      <c r="ES14" s="348">
        <f t="shared" si="59"/>
        <v>29423.864199999996</v>
      </c>
      <c r="ET14" s="348">
        <f t="shared" si="60"/>
        <v>28410.83</v>
      </c>
      <c r="EU14" s="348">
        <f t="shared" si="61"/>
        <v>900.32323969999982</v>
      </c>
      <c r="EV14" s="348">
        <f t="shared" si="62"/>
        <v>722.97565999999995</v>
      </c>
      <c r="EW14" s="354">
        <f t="shared" si="63"/>
        <v>0.508758014665875</v>
      </c>
      <c r="EX14" s="326"/>
      <c r="EY14" s="348">
        <f t="shared" si="64"/>
        <v>900.32323969999982</v>
      </c>
      <c r="EZ14" s="348">
        <f t="shared" si="65"/>
        <v>722.97565999999995</v>
      </c>
      <c r="FA14" s="348">
        <f t="shared" si="66"/>
        <v>900.32323969999982</v>
      </c>
      <c r="FB14" s="348">
        <f t="shared" si="67"/>
        <v>722.97565999999995</v>
      </c>
      <c r="FD14" s="326"/>
      <c r="FE14" s="326"/>
      <c r="FF14" s="326"/>
      <c r="FG14" s="348">
        <f t="shared" si="68"/>
        <v>20377.400799999999</v>
      </c>
      <c r="FH14" s="348">
        <f t="shared" si="69"/>
        <v>19587.179899999999</v>
      </c>
      <c r="FI14" s="348">
        <f t="shared" si="70"/>
        <v>479.37104959999999</v>
      </c>
      <c r="FJ14" s="348">
        <f t="shared" si="71"/>
        <v>350.80739019999993</v>
      </c>
      <c r="FK14" s="354">
        <f t="shared" si="72"/>
        <v>0.50988651558653786</v>
      </c>
      <c r="FL14" s="326"/>
      <c r="FM14" s="348">
        <f t="shared" si="73"/>
        <v>479.37104959999999</v>
      </c>
      <c r="FN14" s="348">
        <f t="shared" si="74"/>
        <v>350.80739019999993</v>
      </c>
      <c r="FO14" s="348">
        <f t="shared" si="75"/>
        <v>479.37104959999999</v>
      </c>
      <c r="FP14" s="348">
        <f t="shared" si="76"/>
        <v>350.80739019999993</v>
      </c>
      <c r="FR14" s="326"/>
      <c r="FS14" s="326"/>
      <c r="FT14" s="326"/>
      <c r="FU14" s="348">
        <f t="shared" si="77"/>
        <v>23592.464199999999</v>
      </c>
      <c r="FV14" s="348">
        <f t="shared" si="78"/>
        <v>22650.308299999997</v>
      </c>
      <c r="FW14" s="348">
        <f t="shared" si="79"/>
        <v>53.848086800000004</v>
      </c>
      <c r="FX14" s="348">
        <f t="shared" si="80"/>
        <v>49.911539999999995</v>
      </c>
      <c r="FY14" s="354">
        <f t="shared" si="81"/>
        <v>0.51018706112398438</v>
      </c>
      <c r="FZ14" s="326"/>
      <c r="GA14" s="348">
        <f t="shared" si="82"/>
        <v>53.848086800000004</v>
      </c>
      <c r="GB14" s="348">
        <f t="shared" si="83"/>
        <v>49.911539999999995</v>
      </c>
      <c r="GC14" s="348">
        <f t="shared" si="84"/>
        <v>53.848086800000004</v>
      </c>
      <c r="GD14" s="348">
        <f t="shared" si="85"/>
        <v>49.911539999999995</v>
      </c>
      <c r="GF14" s="326"/>
      <c r="GG14" s="326"/>
      <c r="GH14" s="326"/>
      <c r="GI14" s="348">
        <f t="shared" si="86"/>
        <v>11565.7408</v>
      </c>
      <c r="GJ14" s="348">
        <f t="shared" si="87"/>
        <v>11040.995800000001</v>
      </c>
      <c r="GK14" s="349">
        <f t="shared" si="88"/>
        <v>24.268037999999997</v>
      </c>
      <c r="GL14" s="349">
        <f t="shared" si="89"/>
        <v>54.224253750000003</v>
      </c>
      <c r="GM14" s="354">
        <f t="shared" si="90"/>
        <v>0.51160594315943853</v>
      </c>
      <c r="GN14" s="326"/>
      <c r="GO14" s="349">
        <f t="shared" si="91"/>
        <v>24.268037999999997</v>
      </c>
      <c r="GP14" s="349">
        <f t="shared" si="92"/>
        <v>54.224253750000003</v>
      </c>
      <c r="GQ14" s="349">
        <f t="shared" si="93"/>
        <v>24.268037999999997</v>
      </c>
      <c r="GR14" s="349">
        <f t="shared" si="94"/>
        <v>54.224253750000003</v>
      </c>
      <c r="HA14" s="374"/>
      <c r="HB14" s="375"/>
      <c r="HC14" s="374"/>
      <c r="HD14" s="374"/>
      <c r="HE14" s="374"/>
      <c r="HF14" s="351">
        <f t="shared" si="95"/>
        <v>0</v>
      </c>
      <c r="HG14" s="351">
        <f t="shared" si="96"/>
        <v>0</v>
      </c>
      <c r="HH14" s="352">
        <f t="shared" si="97"/>
        <v>0</v>
      </c>
      <c r="HI14" s="352">
        <f t="shared" si="150"/>
        <v>0</v>
      </c>
      <c r="HJ14" s="353">
        <f t="shared" si="151"/>
        <v>0</v>
      </c>
      <c r="HK14" s="353">
        <f t="shared" si="152"/>
        <v>0</v>
      </c>
    </row>
    <row r="15" spans="1:219" x14ac:dyDescent="0.2">
      <c r="A15" s="320">
        <v>5</v>
      </c>
      <c r="C15" s="350">
        <v>0.85299999999999998</v>
      </c>
      <c r="D15" s="350">
        <v>0.34329999999999999</v>
      </c>
      <c r="E15" s="350">
        <v>0</v>
      </c>
      <c r="F15" s="350">
        <v>8731.1825000000008</v>
      </c>
      <c r="G15" s="350">
        <v>15250.4458</v>
      </c>
      <c r="H15" s="351">
        <f t="shared" si="30"/>
        <v>832.61329999999998</v>
      </c>
      <c r="I15" s="351">
        <f t="shared" si="31"/>
        <v>636.37177699999995</v>
      </c>
      <c r="J15" s="352">
        <f t="shared" si="32"/>
        <v>0</v>
      </c>
      <c r="K15" s="352">
        <f t="shared" si="98"/>
        <v>0</v>
      </c>
      <c r="L15" s="353">
        <f t="shared" si="99"/>
        <v>832.61329999999998</v>
      </c>
      <c r="M15" s="353">
        <f t="shared" si="100"/>
        <v>636.37177699999995</v>
      </c>
      <c r="N15" s="343">
        <f t="shared" si="101"/>
        <v>832.61329999999998</v>
      </c>
      <c r="O15" s="343">
        <f t="shared" si="102"/>
        <v>636.37177699999995</v>
      </c>
      <c r="Q15" s="374">
        <v>0.92759999999999998</v>
      </c>
      <c r="R15" s="375">
        <v>0.35249999999999998</v>
      </c>
      <c r="S15" s="374">
        <v>0</v>
      </c>
      <c r="T15" s="374">
        <v>1472.8958</v>
      </c>
      <c r="U15" s="374">
        <v>1438.1075000000001</v>
      </c>
      <c r="V15" s="351">
        <f t="shared" si="33"/>
        <v>593.10744</v>
      </c>
      <c r="W15" s="351">
        <f t="shared" si="34"/>
        <v>423.48644999999999</v>
      </c>
      <c r="X15" s="352">
        <f t="shared" si="35"/>
        <v>0</v>
      </c>
      <c r="Y15" s="352">
        <f t="shared" si="103"/>
        <v>0</v>
      </c>
      <c r="Z15" s="353">
        <f t="shared" si="104"/>
        <v>593.10744</v>
      </c>
      <c r="AA15" s="353">
        <f t="shared" si="105"/>
        <v>423.48644999999999</v>
      </c>
      <c r="AB15" s="343">
        <f t="shared" si="106"/>
        <v>593.10744</v>
      </c>
      <c r="AC15" s="343">
        <f t="shared" si="107"/>
        <v>423.48644999999999</v>
      </c>
      <c r="AE15" s="374">
        <v>0.58169999999999999</v>
      </c>
      <c r="AF15" s="375">
        <v>0.15240000000000001</v>
      </c>
      <c r="AG15" s="374">
        <v>0</v>
      </c>
      <c r="AH15" s="374">
        <v>95.5608</v>
      </c>
      <c r="AI15" s="374">
        <v>85.599199999999996</v>
      </c>
      <c r="AJ15" s="351">
        <f t="shared" si="36"/>
        <v>249.30498599999999</v>
      </c>
      <c r="AK15" s="351">
        <f t="shared" si="37"/>
        <v>151.51303200000001</v>
      </c>
      <c r="AL15" s="352">
        <f t="shared" si="38"/>
        <v>0</v>
      </c>
      <c r="AM15" s="352">
        <f t="shared" si="108"/>
        <v>0</v>
      </c>
      <c r="AN15" s="353">
        <f t="shared" si="109"/>
        <v>249.30498599999999</v>
      </c>
      <c r="AO15" s="353">
        <f t="shared" si="110"/>
        <v>151.51303200000001</v>
      </c>
      <c r="AP15" s="343">
        <f t="shared" si="111"/>
        <v>249.30498599999999</v>
      </c>
      <c r="AQ15" s="343">
        <f t="shared" si="112"/>
        <v>151.51303200000001</v>
      </c>
      <c r="AS15" s="374">
        <v>0.61629999999999996</v>
      </c>
      <c r="AT15" s="375">
        <v>0.2402</v>
      </c>
      <c r="AU15" s="374">
        <v>0</v>
      </c>
      <c r="AV15" s="374">
        <v>9535.8241999999991</v>
      </c>
      <c r="AW15" s="374">
        <v>9067.0849999999991</v>
      </c>
      <c r="AX15" s="351">
        <f t="shared" si="39"/>
        <v>209.95492099999998</v>
      </c>
      <c r="AY15" s="351">
        <f t="shared" si="40"/>
        <v>164.08542399999999</v>
      </c>
      <c r="AZ15" s="352">
        <f t="shared" si="41"/>
        <v>0</v>
      </c>
      <c r="BA15" s="352">
        <f t="shared" si="113"/>
        <v>0</v>
      </c>
      <c r="BB15" s="353">
        <f t="shared" si="114"/>
        <v>209.95492099999998</v>
      </c>
      <c r="BC15" s="353">
        <f t="shared" si="115"/>
        <v>164.08542399999999</v>
      </c>
      <c r="BD15" s="343">
        <f t="shared" si="116"/>
        <v>209.95492099999998</v>
      </c>
      <c r="BE15" s="343">
        <f t="shared" si="117"/>
        <v>164.08542399999999</v>
      </c>
      <c r="BG15" s="374">
        <v>0.57199999999999995</v>
      </c>
      <c r="BH15" s="375">
        <v>0.25929999999999997</v>
      </c>
      <c r="BI15" s="374">
        <v>0</v>
      </c>
      <c r="BJ15" s="374">
        <v>4637.5991999999997</v>
      </c>
      <c r="BK15" s="374">
        <v>4337.8325000000004</v>
      </c>
      <c r="BL15" s="351">
        <f t="shared" si="42"/>
        <v>191.48843999999997</v>
      </c>
      <c r="BM15" s="351">
        <f t="shared" si="43"/>
        <v>151.92905599999997</v>
      </c>
      <c r="BN15" s="352">
        <f t="shared" si="44"/>
        <v>0</v>
      </c>
      <c r="BO15" s="352">
        <f t="shared" si="118"/>
        <v>0</v>
      </c>
      <c r="BP15" s="353">
        <f t="shared" si="119"/>
        <v>191.48843999999997</v>
      </c>
      <c r="BQ15" s="353">
        <f t="shared" si="120"/>
        <v>151.92905599999997</v>
      </c>
      <c r="BR15" s="343">
        <f t="shared" si="121"/>
        <v>191.48843999999997</v>
      </c>
      <c r="BS15" s="343">
        <f t="shared" si="122"/>
        <v>151.92905599999997</v>
      </c>
      <c r="BU15" s="374">
        <v>0.67230000000000001</v>
      </c>
      <c r="BV15" s="375">
        <v>0.30209999999999998</v>
      </c>
      <c r="BW15" s="374">
        <v>0</v>
      </c>
      <c r="BX15" s="374">
        <v>2519.6525000000001</v>
      </c>
      <c r="BY15" s="374">
        <v>2392.6082999999999</v>
      </c>
      <c r="BZ15" s="351">
        <f t="shared" si="45"/>
        <v>156.05427600000002</v>
      </c>
      <c r="CA15" s="351">
        <f t="shared" si="46"/>
        <v>115.362927</v>
      </c>
      <c r="CB15" s="352">
        <f t="shared" si="47"/>
        <v>0</v>
      </c>
      <c r="CC15" s="352">
        <f t="shared" si="123"/>
        <v>0</v>
      </c>
      <c r="CD15" s="353">
        <f t="shared" si="124"/>
        <v>156.05427600000002</v>
      </c>
      <c r="CE15" s="353">
        <f t="shared" si="125"/>
        <v>115.362927</v>
      </c>
      <c r="CF15" s="343">
        <f t="shared" si="126"/>
        <v>156.05427600000002</v>
      </c>
      <c r="CG15" s="343">
        <f t="shared" si="127"/>
        <v>115.362927</v>
      </c>
      <c r="CI15" s="374">
        <v>0.37990000000000002</v>
      </c>
      <c r="CJ15" s="375">
        <v>0.27689999999999998</v>
      </c>
      <c r="CK15" s="374">
        <v>0</v>
      </c>
      <c r="CL15" s="374">
        <v>17342.27</v>
      </c>
      <c r="CM15" s="374">
        <v>16406.945</v>
      </c>
      <c r="CN15" s="351">
        <f t="shared" si="48"/>
        <v>80.740147000000007</v>
      </c>
      <c r="CO15" s="351">
        <f t="shared" si="49"/>
        <v>76.272104999999996</v>
      </c>
      <c r="CP15" s="352">
        <f t="shared" si="50"/>
        <v>0</v>
      </c>
      <c r="CQ15" s="352">
        <f t="shared" si="128"/>
        <v>0</v>
      </c>
      <c r="CR15" s="353">
        <f t="shared" si="129"/>
        <v>80.740147000000007</v>
      </c>
      <c r="CS15" s="353">
        <f t="shared" si="130"/>
        <v>76.272104999999996</v>
      </c>
      <c r="CT15" s="343">
        <f t="shared" si="131"/>
        <v>80.740147000000007</v>
      </c>
      <c r="CU15" s="343">
        <f t="shared" si="132"/>
        <v>76.272104999999996</v>
      </c>
      <c r="CW15" s="374">
        <v>3.9300000000000002E-2</v>
      </c>
      <c r="CX15" s="375">
        <v>2.46E-2</v>
      </c>
      <c r="CY15" s="374">
        <v>0</v>
      </c>
      <c r="CZ15" s="374">
        <v>7688.9858000000004</v>
      </c>
      <c r="DA15" s="374">
        <v>7111.5550000000003</v>
      </c>
      <c r="DB15" s="351">
        <f t="shared" si="51"/>
        <v>8.8122389999999999</v>
      </c>
      <c r="DC15" s="351">
        <f t="shared" si="52"/>
        <v>7.6442040000000002</v>
      </c>
      <c r="DD15" s="352">
        <f t="shared" si="53"/>
        <v>0</v>
      </c>
      <c r="DE15" s="352">
        <f t="shared" si="133"/>
        <v>0</v>
      </c>
      <c r="DF15" s="353">
        <f t="shared" si="134"/>
        <v>8.8122389999999999</v>
      </c>
      <c r="DG15" s="353">
        <f t="shared" si="135"/>
        <v>7.6442040000000002</v>
      </c>
      <c r="DH15" s="343">
        <f t="shared" si="136"/>
        <v>8.8122389999999999</v>
      </c>
      <c r="DI15" s="343">
        <f t="shared" si="137"/>
        <v>7.6442040000000002</v>
      </c>
      <c r="DK15" s="374">
        <v>3.5700000000000003E-2</v>
      </c>
      <c r="DL15" s="375">
        <v>2.52E-2</v>
      </c>
      <c r="DM15" s="374">
        <v>0</v>
      </c>
      <c r="DN15" s="374">
        <v>1860.9375</v>
      </c>
      <c r="DO15" s="374">
        <v>1814.2208000000001</v>
      </c>
      <c r="DP15" s="351">
        <f t="shared" si="54"/>
        <v>4.7041890000000004</v>
      </c>
      <c r="DQ15" s="351">
        <f t="shared" si="55"/>
        <v>4.9608720000000002</v>
      </c>
      <c r="DR15" s="352">
        <f t="shared" si="56"/>
        <v>0</v>
      </c>
      <c r="DS15" s="352">
        <f t="shared" si="138"/>
        <v>0</v>
      </c>
      <c r="DT15" s="353">
        <f t="shared" si="139"/>
        <v>4.7041890000000004</v>
      </c>
      <c r="DU15" s="353">
        <f t="shared" si="140"/>
        <v>4.9608720000000002</v>
      </c>
      <c r="DV15" s="343">
        <f t="shared" si="141"/>
        <v>4.7041890000000004</v>
      </c>
      <c r="DW15" s="343">
        <f t="shared" si="142"/>
        <v>4.9608720000000002</v>
      </c>
      <c r="EB15" s="326"/>
      <c r="EC15" s="326"/>
      <c r="ED15" s="326"/>
      <c r="EE15" s="348">
        <f t="shared" si="143"/>
        <v>43298.262500000004</v>
      </c>
      <c r="EF15" s="348">
        <f t="shared" si="144"/>
        <v>47836.0308</v>
      </c>
      <c r="EG15" s="348">
        <f t="shared" si="145"/>
        <v>1130.3581592</v>
      </c>
      <c r="EH15" s="348">
        <f t="shared" si="146"/>
        <v>882.8446692</v>
      </c>
      <c r="EI15" s="354">
        <f t="shared" si="57"/>
        <v>0.47510394750600432</v>
      </c>
      <c r="EJ15" s="326"/>
      <c r="EK15" s="348">
        <f t="shared" si="147"/>
        <v>1130.3581592</v>
      </c>
      <c r="EL15" s="348">
        <f t="shared" si="148"/>
        <v>882.8446692</v>
      </c>
      <c r="EM15" s="348">
        <f t="shared" si="58"/>
        <v>1130.3581592</v>
      </c>
      <c r="EN15" s="348">
        <f t="shared" si="149"/>
        <v>882.8446692</v>
      </c>
      <c r="EP15" s="326"/>
      <c r="EQ15" s="326"/>
      <c r="ER15" s="326"/>
      <c r="ES15" s="348">
        <f t="shared" si="59"/>
        <v>31141.750800000002</v>
      </c>
      <c r="ET15" s="348">
        <f t="shared" si="60"/>
        <v>29294.440000000002</v>
      </c>
      <c r="EU15" s="348">
        <f t="shared" si="61"/>
        <v>871.50459429999989</v>
      </c>
      <c r="EV15" s="348">
        <f t="shared" si="62"/>
        <v>657.03855379999993</v>
      </c>
      <c r="EW15" s="354">
        <f t="shared" si="63"/>
        <v>0.51528315050590512</v>
      </c>
      <c r="EX15" s="326"/>
      <c r="EY15" s="348">
        <f t="shared" si="64"/>
        <v>871.50459429999989</v>
      </c>
      <c r="EZ15" s="348">
        <f t="shared" si="65"/>
        <v>657.03855379999993</v>
      </c>
      <c r="FA15" s="348">
        <f t="shared" si="66"/>
        <v>871.50459429999989</v>
      </c>
      <c r="FB15" s="348">
        <f t="shared" si="67"/>
        <v>657.03855379999993</v>
      </c>
      <c r="FD15" s="326"/>
      <c r="FE15" s="326"/>
      <c r="FF15" s="326"/>
      <c r="FG15" s="348">
        <f t="shared" si="68"/>
        <v>21818.4208</v>
      </c>
      <c r="FH15" s="348">
        <f t="shared" si="69"/>
        <v>20699.373299999999</v>
      </c>
      <c r="FI15" s="348">
        <f t="shared" si="70"/>
        <v>488.92192240000003</v>
      </c>
      <c r="FJ15" s="348">
        <f t="shared" si="71"/>
        <v>346.12458720000001</v>
      </c>
      <c r="FK15" s="354">
        <f t="shared" si="72"/>
        <v>0.51315975491776511</v>
      </c>
      <c r="FL15" s="326"/>
      <c r="FM15" s="348">
        <f t="shared" si="73"/>
        <v>488.92192240000003</v>
      </c>
      <c r="FN15" s="348">
        <f t="shared" si="74"/>
        <v>346.12458720000001</v>
      </c>
      <c r="FO15" s="348">
        <f t="shared" si="75"/>
        <v>488.92192240000003</v>
      </c>
      <c r="FP15" s="348">
        <f t="shared" si="76"/>
        <v>346.12458720000001</v>
      </c>
      <c r="FR15" s="326"/>
      <c r="FS15" s="326"/>
      <c r="FT15" s="326"/>
      <c r="FU15" s="348">
        <f t="shared" si="77"/>
        <v>25031.255799999999</v>
      </c>
      <c r="FV15" s="348">
        <f t="shared" si="78"/>
        <v>23518.5</v>
      </c>
      <c r="FW15" s="348">
        <f t="shared" si="79"/>
        <v>87.789938200000009</v>
      </c>
      <c r="FX15" s="348">
        <f t="shared" si="80"/>
        <v>82.387468200000001</v>
      </c>
      <c r="FY15" s="354">
        <f t="shared" si="81"/>
        <v>0.51557943778576121</v>
      </c>
      <c r="FZ15" s="326"/>
      <c r="GA15" s="348">
        <f t="shared" si="82"/>
        <v>87.789938200000009</v>
      </c>
      <c r="GB15" s="348">
        <f t="shared" si="83"/>
        <v>82.387468200000001</v>
      </c>
      <c r="GC15" s="348">
        <f t="shared" si="84"/>
        <v>87.789938200000009</v>
      </c>
      <c r="GD15" s="348">
        <f t="shared" si="85"/>
        <v>82.387468200000001</v>
      </c>
      <c r="GF15" s="326"/>
      <c r="GG15" s="326"/>
      <c r="GH15" s="326"/>
      <c r="GI15" s="348">
        <f t="shared" si="86"/>
        <v>12055.476699999999</v>
      </c>
      <c r="GJ15" s="348">
        <f t="shared" si="87"/>
        <v>11459.693299999999</v>
      </c>
      <c r="GK15" s="349">
        <f t="shared" si="88"/>
        <v>40.425483749999977</v>
      </c>
      <c r="GL15" s="349">
        <f t="shared" si="89"/>
        <v>36.541872749999996</v>
      </c>
      <c r="GM15" s="354">
        <f t="shared" si="90"/>
        <v>0.51266806491299022</v>
      </c>
      <c r="GN15" s="326"/>
      <c r="GO15" s="349">
        <f t="shared" si="91"/>
        <v>40.425483749999977</v>
      </c>
      <c r="GP15" s="349">
        <f t="shared" si="92"/>
        <v>36.541872749999996</v>
      </c>
      <c r="GQ15" s="349">
        <f t="shared" si="93"/>
        <v>40.425483749999977</v>
      </c>
      <c r="GR15" s="349">
        <f t="shared" si="94"/>
        <v>36.541872749999996</v>
      </c>
      <c r="HA15" s="374"/>
      <c r="HB15" s="375"/>
      <c r="HC15" s="374"/>
      <c r="HD15" s="374"/>
      <c r="HE15" s="374"/>
      <c r="HF15" s="351">
        <f t="shared" si="95"/>
        <v>0</v>
      </c>
      <c r="HG15" s="351">
        <f t="shared" si="96"/>
        <v>0</v>
      </c>
      <c r="HH15" s="352">
        <f t="shared" si="97"/>
        <v>0</v>
      </c>
      <c r="HI15" s="352">
        <f t="shared" si="150"/>
        <v>0</v>
      </c>
      <c r="HJ15" s="353">
        <f t="shared" si="151"/>
        <v>0</v>
      </c>
      <c r="HK15" s="353">
        <f t="shared" si="152"/>
        <v>0</v>
      </c>
    </row>
    <row r="16" spans="1:219" x14ac:dyDescent="0.2">
      <c r="A16" s="320">
        <v>6</v>
      </c>
      <c r="C16" s="350">
        <v>0.83809999999999996</v>
      </c>
      <c r="D16" s="350">
        <v>0.32750000000000001</v>
      </c>
      <c r="E16" s="350">
        <v>0</v>
      </c>
      <c r="F16" s="350">
        <v>8852.0508000000009</v>
      </c>
      <c r="G16" s="350">
        <v>15382.795</v>
      </c>
      <c r="H16" s="351">
        <f t="shared" si="30"/>
        <v>818.06940999999995</v>
      </c>
      <c r="I16" s="351">
        <f t="shared" si="31"/>
        <v>607.08347500000002</v>
      </c>
      <c r="J16" s="352">
        <f t="shared" si="32"/>
        <v>0</v>
      </c>
      <c r="K16" s="352">
        <f t="shared" si="98"/>
        <v>0</v>
      </c>
      <c r="L16" s="353">
        <f t="shared" si="99"/>
        <v>818.06940999999995</v>
      </c>
      <c r="M16" s="353">
        <f t="shared" si="100"/>
        <v>607.08347500000002</v>
      </c>
      <c r="N16" s="343">
        <f t="shared" si="101"/>
        <v>818.06940999999995</v>
      </c>
      <c r="O16" s="343">
        <f t="shared" si="102"/>
        <v>607.08347500000002</v>
      </c>
      <c r="Q16" s="374">
        <v>0.92079999999999995</v>
      </c>
      <c r="R16" s="375">
        <v>0.3417</v>
      </c>
      <c r="S16" s="374">
        <v>0</v>
      </c>
      <c r="T16" s="374">
        <v>1641.9432999999999</v>
      </c>
      <c r="U16" s="374">
        <v>1541.4966999999999</v>
      </c>
      <c r="V16" s="351">
        <f t="shared" si="33"/>
        <v>588.75951999999995</v>
      </c>
      <c r="W16" s="351">
        <f t="shared" si="34"/>
        <v>410.51154600000007</v>
      </c>
      <c r="X16" s="352">
        <f t="shared" si="35"/>
        <v>0</v>
      </c>
      <c r="Y16" s="352">
        <f t="shared" si="103"/>
        <v>0</v>
      </c>
      <c r="Z16" s="353">
        <f t="shared" si="104"/>
        <v>588.75951999999995</v>
      </c>
      <c r="AA16" s="353">
        <f t="shared" si="105"/>
        <v>410.51154600000007</v>
      </c>
      <c r="AB16" s="343">
        <f t="shared" si="106"/>
        <v>588.75951999999995</v>
      </c>
      <c r="AC16" s="343">
        <f t="shared" si="107"/>
        <v>410.51154600000007</v>
      </c>
      <c r="AE16" s="374">
        <v>0.58550000000000002</v>
      </c>
      <c r="AF16" s="375">
        <v>0.12839999999999999</v>
      </c>
      <c r="AG16" s="374">
        <v>0</v>
      </c>
      <c r="AH16" s="374">
        <v>96.351699999999994</v>
      </c>
      <c r="AI16" s="374">
        <v>87.246700000000004</v>
      </c>
      <c r="AJ16" s="351">
        <f t="shared" si="36"/>
        <v>250.93359000000001</v>
      </c>
      <c r="AK16" s="351">
        <f t="shared" si="37"/>
        <v>127.65271199999998</v>
      </c>
      <c r="AL16" s="352">
        <f t="shared" si="38"/>
        <v>0</v>
      </c>
      <c r="AM16" s="352">
        <f t="shared" si="108"/>
        <v>0</v>
      </c>
      <c r="AN16" s="353">
        <f t="shared" si="109"/>
        <v>250.93359000000001</v>
      </c>
      <c r="AO16" s="353">
        <f t="shared" si="110"/>
        <v>127.65271199999998</v>
      </c>
      <c r="AP16" s="343">
        <f t="shared" si="111"/>
        <v>250.93359000000001</v>
      </c>
      <c r="AQ16" s="343">
        <f t="shared" si="112"/>
        <v>127.65271199999998</v>
      </c>
      <c r="AS16" s="374">
        <v>0.57210000000000005</v>
      </c>
      <c r="AT16" s="375">
        <v>0.2036</v>
      </c>
      <c r="AU16" s="374">
        <v>0</v>
      </c>
      <c r="AV16" s="374">
        <v>9917.2558000000008</v>
      </c>
      <c r="AW16" s="374">
        <v>9556.3767000000007</v>
      </c>
      <c r="AX16" s="351">
        <f t="shared" si="39"/>
        <v>194.89730700000004</v>
      </c>
      <c r="AY16" s="351">
        <f t="shared" si="40"/>
        <v>139.08323200000001</v>
      </c>
      <c r="AZ16" s="352">
        <f t="shared" si="41"/>
        <v>0</v>
      </c>
      <c r="BA16" s="352">
        <f t="shared" si="113"/>
        <v>0</v>
      </c>
      <c r="BB16" s="353">
        <f t="shared" si="114"/>
        <v>194.89730700000004</v>
      </c>
      <c r="BC16" s="353">
        <f t="shared" si="115"/>
        <v>139.08323200000001</v>
      </c>
      <c r="BD16" s="343">
        <f t="shared" si="116"/>
        <v>194.89730700000004</v>
      </c>
      <c r="BE16" s="343">
        <f t="shared" si="117"/>
        <v>139.08323200000001</v>
      </c>
      <c r="BG16" s="374">
        <v>0.52559999999999996</v>
      </c>
      <c r="BH16" s="375">
        <v>0.2225</v>
      </c>
      <c r="BI16" s="374">
        <v>0</v>
      </c>
      <c r="BJ16" s="374">
        <v>4622.8307999999997</v>
      </c>
      <c r="BK16" s="374">
        <v>4463.1841999999997</v>
      </c>
      <c r="BL16" s="351">
        <f t="shared" si="42"/>
        <v>175.95511199999999</v>
      </c>
      <c r="BM16" s="351">
        <f t="shared" si="43"/>
        <v>130.3672</v>
      </c>
      <c r="BN16" s="352">
        <f t="shared" si="44"/>
        <v>0</v>
      </c>
      <c r="BO16" s="352">
        <f t="shared" si="118"/>
        <v>0</v>
      </c>
      <c r="BP16" s="353">
        <f t="shared" si="119"/>
        <v>175.95511199999999</v>
      </c>
      <c r="BQ16" s="353">
        <f t="shared" si="120"/>
        <v>130.3672</v>
      </c>
      <c r="BR16" s="343">
        <f t="shared" si="121"/>
        <v>175.95511199999999</v>
      </c>
      <c r="BS16" s="343">
        <f t="shared" si="122"/>
        <v>130.3672</v>
      </c>
      <c r="BU16" s="374">
        <v>0.60440000000000005</v>
      </c>
      <c r="BV16" s="375">
        <v>0.2737</v>
      </c>
      <c r="BW16" s="374">
        <v>0</v>
      </c>
      <c r="BX16" s="374">
        <v>2607.5216999999998</v>
      </c>
      <c r="BY16" s="374">
        <v>2597.1642000000002</v>
      </c>
      <c r="BZ16" s="351">
        <f t="shared" si="45"/>
        <v>140.293328</v>
      </c>
      <c r="CA16" s="351">
        <f t="shared" si="46"/>
        <v>104.517819</v>
      </c>
      <c r="CB16" s="352">
        <f t="shared" si="47"/>
        <v>0</v>
      </c>
      <c r="CC16" s="352">
        <f t="shared" si="123"/>
        <v>0</v>
      </c>
      <c r="CD16" s="353">
        <f t="shared" si="124"/>
        <v>140.293328</v>
      </c>
      <c r="CE16" s="353">
        <f t="shared" si="125"/>
        <v>104.517819</v>
      </c>
      <c r="CF16" s="343">
        <f t="shared" si="126"/>
        <v>140.293328</v>
      </c>
      <c r="CG16" s="343">
        <f t="shared" si="127"/>
        <v>104.517819</v>
      </c>
      <c r="CI16" s="374">
        <v>0.49459999999999998</v>
      </c>
      <c r="CJ16" s="375">
        <v>0.3679</v>
      </c>
      <c r="CK16" s="374">
        <v>0</v>
      </c>
      <c r="CL16" s="374">
        <v>17818.395799999998</v>
      </c>
      <c r="CM16" s="374">
        <v>17237.275799999999</v>
      </c>
      <c r="CN16" s="351">
        <f t="shared" si="48"/>
        <v>105.117338</v>
      </c>
      <c r="CO16" s="351">
        <f t="shared" si="49"/>
        <v>101.338055</v>
      </c>
      <c r="CP16" s="352">
        <f t="shared" si="50"/>
        <v>0</v>
      </c>
      <c r="CQ16" s="352">
        <f t="shared" si="128"/>
        <v>0</v>
      </c>
      <c r="CR16" s="353">
        <f t="shared" si="129"/>
        <v>105.117338</v>
      </c>
      <c r="CS16" s="353">
        <f t="shared" si="130"/>
        <v>101.338055</v>
      </c>
      <c r="CT16" s="343">
        <f t="shared" si="131"/>
        <v>105.117338</v>
      </c>
      <c r="CU16" s="343">
        <f t="shared" si="132"/>
        <v>101.338055</v>
      </c>
      <c r="CW16" s="374">
        <v>0.1171</v>
      </c>
      <c r="CX16" s="375">
        <v>0.1111</v>
      </c>
      <c r="CY16" s="374">
        <v>0</v>
      </c>
      <c r="CZ16" s="374">
        <v>7977.8474999999999</v>
      </c>
      <c r="DA16" s="374">
        <v>7487.7083000000002</v>
      </c>
      <c r="DB16" s="351">
        <f t="shared" si="51"/>
        <v>26.257332999999999</v>
      </c>
      <c r="DC16" s="351">
        <f t="shared" si="52"/>
        <v>34.523214000000003</v>
      </c>
      <c r="DD16" s="352">
        <f t="shared" si="53"/>
        <v>0</v>
      </c>
      <c r="DE16" s="352">
        <f t="shared" si="133"/>
        <v>0</v>
      </c>
      <c r="DF16" s="353">
        <f t="shared" si="134"/>
        <v>26.257332999999999</v>
      </c>
      <c r="DG16" s="353">
        <f t="shared" si="135"/>
        <v>34.523214000000003</v>
      </c>
      <c r="DH16" s="343">
        <f t="shared" si="136"/>
        <v>26.257332999999999</v>
      </c>
      <c r="DI16" s="343">
        <f t="shared" si="137"/>
        <v>34.523214000000003</v>
      </c>
      <c r="DK16" s="374">
        <v>9.9900000000000003E-2</v>
      </c>
      <c r="DL16" s="375">
        <v>9.5200000000000007E-2</v>
      </c>
      <c r="DM16" s="374">
        <v>0</v>
      </c>
      <c r="DN16" s="374">
        <v>1863.1632999999999</v>
      </c>
      <c r="DO16" s="374">
        <v>1933.0574999999999</v>
      </c>
      <c r="DP16" s="351">
        <f t="shared" si="54"/>
        <v>13.163823000000001</v>
      </c>
      <c r="DQ16" s="351">
        <f t="shared" si="55"/>
        <v>18.741072000000003</v>
      </c>
      <c r="DR16" s="352">
        <f t="shared" si="56"/>
        <v>0</v>
      </c>
      <c r="DS16" s="352">
        <f t="shared" si="138"/>
        <v>0</v>
      </c>
      <c r="DT16" s="353">
        <f t="shared" si="139"/>
        <v>13.163823000000001</v>
      </c>
      <c r="DU16" s="353">
        <f t="shared" si="140"/>
        <v>18.741072000000003</v>
      </c>
      <c r="DV16" s="343">
        <f t="shared" si="141"/>
        <v>13.163823000000001</v>
      </c>
      <c r="DW16" s="343">
        <f t="shared" si="142"/>
        <v>18.741072000000003</v>
      </c>
      <c r="EB16" s="326"/>
      <c r="EC16" s="326"/>
      <c r="ED16" s="326"/>
      <c r="EE16" s="348">
        <f t="shared" si="143"/>
        <v>44565.549899999998</v>
      </c>
      <c r="EF16" s="348">
        <f t="shared" si="144"/>
        <v>49664.155799999993</v>
      </c>
      <c r="EG16" s="348">
        <f t="shared" si="145"/>
        <v>1139.0899214000001</v>
      </c>
      <c r="EH16" s="348">
        <f t="shared" si="146"/>
        <v>875.12333320000005</v>
      </c>
      <c r="EI16" s="354">
        <f t="shared" si="57"/>
        <v>0.47294586743042327</v>
      </c>
      <c r="EJ16" s="326"/>
      <c r="EK16" s="348">
        <f t="shared" si="147"/>
        <v>1139.0899214000001</v>
      </c>
      <c r="EL16" s="348">
        <f t="shared" si="148"/>
        <v>875.12333320000005</v>
      </c>
      <c r="EM16" s="348">
        <f t="shared" si="58"/>
        <v>1139.0899214000001</v>
      </c>
      <c r="EN16" s="348">
        <f t="shared" si="149"/>
        <v>875.12333320000005</v>
      </c>
      <c r="EP16" s="326"/>
      <c r="EQ16" s="326"/>
      <c r="ER16" s="326"/>
      <c r="ES16" s="348">
        <f t="shared" si="59"/>
        <v>32061.017399999997</v>
      </c>
      <c r="ET16" s="348">
        <f t="shared" si="60"/>
        <v>30729.665000000001</v>
      </c>
      <c r="EU16" s="348">
        <f t="shared" si="61"/>
        <v>888.21210309999992</v>
      </c>
      <c r="EV16" s="348">
        <f t="shared" si="62"/>
        <v>666.38305079999998</v>
      </c>
      <c r="EW16" s="354">
        <f t="shared" si="63"/>
        <v>0.5106015124307679</v>
      </c>
      <c r="EX16" s="326"/>
      <c r="EY16" s="348">
        <f t="shared" si="64"/>
        <v>888.21210309999992</v>
      </c>
      <c r="EZ16" s="348">
        <f t="shared" si="65"/>
        <v>666.38305079999998</v>
      </c>
      <c r="FA16" s="348">
        <f t="shared" si="66"/>
        <v>888.21210309999992</v>
      </c>
      <c r="FB16" s="348">
        <f t="shared" si="67"/>
        <v>666.38305079999998</v>
      </c>
      <c r="FD16" s="326"/>
      <c r="FE16" s="326"/>
      <c r="FF16" s="326"/>
      <c r="FG16" s="348">
        <f t="shared" si="68"/>
        <v>22385.432499999999</v>
      </c>
      <c r="FH16" s="348">
        <f t="shared" si="69"/>
        <v>21854.744199999997</v>
      </c>
      <c r="FI16" s="348">
        <f t="shared" si="70"/>
        <v>504.24254980000001</v>
      </c>
      <c r="FJ16" s="348">
        <f t="shared" si="71"/>
        <v>344.75322919999996</v>
      </c>
      <c r="FK16" s="354">
        <f t="shared" si="72"/>
        <v>0.50599780945269146</v>
      </c>
      <c r="FL16" s="326"/>
      <c r="FM16" s="348">
        <f t="shared" si="73"/>
        <v>504.24254980000001</v>
      </c>
      <c r="FN16" s="348">
        <f t="shared" si="74"/>
        <v>344.75322919999996</v>
      </c>
      <c r="FO16" s="348">
        <f t="shared" si="75"/>
        <v>504.24254980000001</v>
      </c>
      <c r="FP16" s="348">
        <f t="shared" si="76"/>
        <v>344.75322919999996</v>
      </c>
      <c r="FR16" s="326"/>
      <c r="FS16" s="326"/>
      <c r="FT16" s="326"/>
      <c r="FU16" s="348">
        <f t="shared" si="77"/>
        <v>25796.243299999998</v>
      </c>
      <c r="FV16" s="348">
        <f t="shared" si="78"/>
        <v>24724.984100000001</v>
      </c>
      <c r="FW16" s="348">
        <f t="shared" si="79"/>
        <v>126.12320440000001</v>
      </c>
      <c r="FX16" s="348">
        <f t="shared" si="80"/>
        <v>128.95662620000002</v>
      </c>
      <c r="FY16" s="354">
        <f t="shared" si="81"/>
        <v>0.51060207021019444</v>
      </c>
      <c r="FZ16" s="326"/>
      <c r="GA16" s="348">
        <f t="shared" si="82"/>
        <v>126.12320440000001</v>
      </c>
      <c r="GB16" s="348">
        <f t="shared" si="83"/>
        <v>128.95662620000002</v>
      </c>
      <c r="GC16" s="348">
        <f t="shared" si="84"/>
        <v>126.12320440000001</v>
      </c>
      <c r="GD16" s="348">
        <f t="shared" si="85"/>
        <v>128.95662620000002</v>
      </c>
      <c r="GF16" s="326"/>
      <c r="GG16" s="326"/>
      <c r="GH16" s="326"/>
      <c r="GI16" s="348">
        <f t="shared" si="86"/>
        <v>12524.7775</v>
      </c>
      <c r="GJ16" s="348">
        <f t="shared" si="87"/>
        <v>12153.5409</v>
      </c>
      <c r="GK16" s="349">
        <f t="shared" si="88"/>
        <v>40.952984250000029</v>
      </c>
      <c r="GL16" s="349">
        <f t="shared" si="89"/>
        <v>25.924059750000005</v>
      </c>
      <c r="GM16" s="354">
        <f t="shared" si="90"/>
        <v>0.50752151329727557</v>
      </c>
      <c r="GN16" s="326"/>
      <c r="GO16" s="349">
        <f t="shared" si="91"/>
        <v>40.952984250000029</v>
      </c>
      <c r="GP16" s="349">
        <f t="shared" si="92"/>
        <v>25.924059750000005</v>
      </c>
      <c r="GQ16" s="349">
        <f t="shared" si="93"/>
        <v>40.952984250000029</v>
      </c>
      <c r="GR16" s="349">
        <f t="shared" si="94"/>
        <v>25.924059750000005</v>
      </c>
      <c r="HA16" s="374"/>
      <c r="HB16" s="375"/>
      <c r="HC16" s="374"/>
      <c r="HD16" s="374"/>
      <c r="HE16" s="374"/>
      <c r="HF16" s="351">
        <f t="shared" si="95"/>
        <v>0</v>
      </c>
      <c r="HG16" s="351">
        <f t="shared" si="96"/>
        <v>0</v>
      </c>
      <c r="HH16" s="352">
        <f t="shared" si="97"/>
        <v>0</v>
      </c>
      <c r="HI16" s="352">
        <f t="shared" si="150"/>
        <v>0</v>
      </c>
      <c r="HJ16" s="353">
        <f t="shared" si="151"/>
        <v>0</v>
      </c>
      <c r="HK16" s="353">
        <f t="shared" si="152"/>
        <v>0</v>
      </c>
    </row>
    <row r="17" spans="1:219" x14ac:dyDescent="0.2">
      <c r="A17" s="320">
        <v>7</v>
      </c>
      <c r="C17" s="350">
        <v>0.8226</v>
      </c>
      <c r="D17" s="350">
        <v>0.3135</v>
      </c>
      <c r="E17" s="350">
        <v>0</v>
      </c>
      <c r="F17" s="350">
        <v>8485.9333000000006</v>
      </c>
      <c r="G17" s="350">
        <v>15259.1942</v>
      </c>
      <c r="H17" s="351">
        <f t="shared" si="30"/>
        <v>802.93986000000007</v>
      </c>
      <c r="I17" s="351">
        <f t="shared" si="31"/>
        <v>581.13181500000007</v>
      </c>
      <c r="J17" s="352">
        <f t="shared" si="32"/>
        <v>0</v>
      </c>
      <c r="K17" s="352">
        <f t="shared" si="98"/>
        <v>0</v>
      </c>
      <c r="L17" s="353">
        <f t="shared" si="99"/>
        <v>802.93986000000007</v>
      </c>
      <c r="M17" s="353">
        <f t="shared" si="100"/>
        <v>581.13181500000007</v>
      </c>
      <c r="N17" s="343">
        <f t="shared" si="101"/>
        <v>802.93986000000007</v>
      </c>
      <c r="O17" s="343">
        <f t="shared" si="102"/>
        <v>581.13181500000007</v>
      </c>
      <c r="Q17" s="374">
        <v>0.91069999999999995</v>
      </c>
      <c r="R17" s="375">
        <v>0.33260000000000001</v>
      </c>
      <c r="S17" s="374">
        <v>0</v>
      </c>
      <c r="T17" s="374">
        <v>1696.8191999999999</v>
      </c>
      <c r="U17" s="374">
        <v>1531.4908</v>
      </c>
      <c r="V17" s="351">
        <f t="shared" si="33"/>
        <v>582.30157999999994</v>
      </c>
      <c r="W17" s="351">
        <f t="shared" si="34"/>
        <v>399.57898800000004</v>
      </c>
      <c r="X17" s="352">
        <f t="shared" si="35"/>
        <v>0</v>
      </c>
      <c r="Y17" s="352">
        <f t="shared" si="103"/>
        <v>0</v>
      </c>
      <c r="Z17" s="353">
        <f t="shared" si="104"/>
        <v>582.30157999999994</v>
      </c>
      <c r="AA17" s="353">
        <f t="shared" si="105"/>
        <v>399.57898800000004</v>
      </c>
      <c r="AB17" s="343">
        <f t="shared" si="106"/>
        <v>582.30157999999994</v>
      </c>
      <c r="AC17" s="343">
        <f t="shared" si="107"/>
        <v>399.57898800000004</v>
      </c>
      <c r="AE17" s="374">
        <v>0.58919999999999995</v>
      </c>
      <c r="AF17" s="375">
        <v>0.1043</v>
      </c>
      <c r="AG17" s="374">
        <v>0</v>
      </c>
      <c r="AH17" s="374">
        <v>88.854200000000006</v>
      </c>
      <c r="AI17" s="374">
        <v>92.899199999999993</v>
      </c>
      <c r="AJ17" s="351">
        <f t="shared" si="36"/>
        <v>252.51933599999998</v>
      </c>
      <c r="AK17" s="351">
        <f t="shared" si="37"/>
        <v>103.69297399999999</v>
      </c>
      <c r="AL17" s="352">
        <f t="shared" si="38"/>
        <v>0</v>
      </c>
      <c r="AM17" s="352">
        <f t="shared" si="108"/>
        <v>0</v>
      </c>
      <c r="AN17" s="353">
        <f t="shared" si="109"/>
        <v>252.51933599999998</v>
      </c>
      <c r="AO17" s="353">
        <f t="shared" si="110"/>
        <v>103.69297399999999</v>
      </c>
      <c r="AP17" s="343">
        <f t="shared" si="111"/>
        <v>252.51933599999998</v>
      </c>
      <c r="AQ17" s="343">
        <f t="shared" si="112"/>
        <v>103.69297399999999</v>
      </c>
      <c r="AS17" s="374">
        <v>0.54549999999999998</v>
      </c>
      <c r="AT17" s="375">
        <v>0.1802</v>
      </c>
      <c r="AU17" s="374">
        <v>0</v>
      </c>
      <c r="AV17" s="374">
        <v>9617.0450000000001</v>
      </c>
      <c r="AW17" s="374">
        <v>9306.3233</v>
      </c>
      <c r="AX17" s="351">
        <f t="shared" si="39"/>
        <v>185.83548500000001</v>
      </c>
      <c r="AY17" s="351">
        <f t="shared" si="40"/>
        <v>123.098224</v>
      </c>
      <c r="AZ17" s="352">
        <f t="shared" si="41"/>
        <v>0</v>
      </c>
      <c r="BA17" s="352">
        <f t="shared" si="113"/>
        <v>0</v>
      </c>
      <c r="BB17" s="353">
        <f t="shared" si="114"/>
        <v>185.83548500000001</v>
      </c>
      <c r="BC17" s="353">
        <f t="shared" si="115"/>
        <v>123.098224</v>
      </c>
      <c r="BD17" s="343">
        <f t="shared" si="116"/>
        <v>185.83548500000001</v>
      </c>
      <c r="BE17" s="343">
        <f t="shared" si="117"/>
        <v>123.098224</v>
      </c>
      <c r="BG17" s="374">
        <v>0.49609999999999999</v>
      </c>
      <c r="BH17" s="375">
        <v>0.20030000000000001</v>
      </c>
      <c r="BI17" s="374">
        <v>0</v>
      </c>
      <c r="BJ17" s="374">
        <v>4606.7217000000001</v>
      </c>
      <c r="BK17" s="374">
        <v>4222.6882999999998</v>
      </c>
      <c r="BL17" s="351">
        <f t="shared" si="42"/>
        <v>166.079397</v>
      </c>
      <c r="BM17" s="351">
        <f t="shared" si="43"/>
        <v>117.359776</v>
      </c>
      <c r="BN17" s="352">
        <f t="shared" si="44"/>
        <v>0</v>
      </c>
      <c r="BO17" s="352">
        <f t="shared" si="118"/>
        <v>0</v>
      </c>
      <c r="BP17" s="353">
        <f t="shared" si="119"/>
        <v>166.079397</v>
      </c>
      <c r="BQ17" s="353">
        <f t="shared" si="120"/>
        <v>117.359776</v>
      </c>
      <c r="BR17" s="343">
        <f t="shared" si="121"/>
        <v>166.079397</v>
      </c>
      <c r="BS17" s="343">
        <f t="shared" si="122"/>
        <v>117.359776</v>
      </c>
      <c r="BU17" s="374">
        <v>0.55740000000000001</v>
      </c>
      <c r="BV17" s="375">
        <v>0.24610000000000001</v>
      </c>
      <c r="BW17" s="374">
        <v>0</v>
      </c>
      <c r="BX17" s="374">
        <v>2669.7150000000001</v>
      </c>
      <c r="BY17" s="374">
        <v>2484.2966999999999</v>
      </c>
      <c r="BZ17" s="351">
        <f t="shared" si="45"/>
        <v>129.38368800000001</v>
      </c>
      <c r="CA17" s="351">
        <f t="shared" si="46"/>
        <v>93.978207000000012</v>
      </c>
      <c r="CB17" s="352">
        <f t="shared" si="47"/>
        <v>0</v>
      </c>
      <c r="CC17" s="352">
        <f t="shared" si="123"/>
        <v>0</v>
      </c>
      <c r="CD17" s="353">
        <f t="shared" si="124"/>
        <v>129.38368800000001</v>
      </c>
      <c r="CE17" s="353">
        <f t="shared" si="125"/>
        <v>93.978207000000012</v>
      </c>
      <c r="CF17" s="343">
        <f t="shared" si="126"/>
        <v>129.38368800000001</v>
      </c>
      <c r="CG17" s="343">
        <f t="shared" si="127"/>
        <v>93.978207000000012</v>
      </c>
      <c r="CI17" s="374">
        <v>0.5887</v>
      </c>
      <c r="CJ17" s="375">
        <v>0.44600000000000001</v>
      </c>
      <c r="CK17" s="374">
        <v>0</v>
      </c>
      <c r="CL17" s="374">
        <v>17565.754199999999</v>
      </c>
      <c r="CM17" s="374">
        <v>16614.189999999999</v>
      </c>
      <c r="CN17" s="351">
        <f t="shared" si="48"/>
        <v>125.116411</v>
      </c>
      <c r="CO17" s="351">
        <f t="shared" si="49"/>
        <v>122.8507</v>
      </c>
      <c r="CP17" s="352">
        <f t="shared" si="50"/>
        <v>0</v>
      </c>
      <c r="CQ17" s="352">
        <f t="shared" si="128"/>
        <v>0</v>
      </c>
      <c r="CR17" s="353">
        <f t="shared" si="129"/>
        <v>125.116411</v>
      </c>
      <c r="CS17" s="353">
        <f t="shared" si="130"/>
        <v>122.8507</v>
      </c>
      <c r="CT17" s="343">
        <f t="shared" si="131"/>
        <v>125.116411</v>
      </c>
      <c r="CU17" s="343">
        <f t="shared" si="132"/>
        <v>122.8507</v>
      </c>
      <c r="CW17" s="374">
        <v>0.27179999999999999</v>
      </c>
      <c r="CX17" s="375">
        <v>0.27579999999999999</v>
      </c>
      <c r="CY17" s="374">
        <v>0</v>
      </c>
      <c r="CZ17" s="374">
        <v>7778.0941999999995</v>
      </c>
      <c r="DA17" s="374">
        <v>7353.5807999999997</v>
      </c>
      <c r="DB17" s="351">
        <f t="shared" si="51"/>
        <v>60.945713999999995</v>
      </c>
      <c r="DC17" s="351">
        <f t="shared" si="52"/>
        <v>85.702091999999993</v>
      </c>
      <c r="DD17" s="352">
        <f t="shared" si="53"/>
        <v>0</v>
      </c>
      <c r="DE17" s="352">
        <f t="shared" si="133"/>
        <v>0</v>
      </c>
      <c r="DF17" s="353">
        <f t="shared" si="134"/>
        <v>60.945713999999995</v>
      </c>
      <c r="DG17" s="353">
        <f t="shared" si="135"/>
        <v>85.702091999999993</v>
      </c>
      <c r="DH17" s="343">
        <f t="shared" si="136"/>
        <v>60.945713999999995</v>
      </c>
      <c r="DI17" s="343">
        <f t="shared" si="137"/>
        <v>85.702091999999993</v>
      </c>
      <c r="DK17" s="374">
        <v>0.32069999999999999</v>
      </c>
      <c r="DL17" s="375">
        <v>0.25580000000000003</v>
      </c>
      <c r="DM17" s="374">
        <v>0</v>
      </c>
      <c r="DN17" s="374">
        <v>1923.0142000000001</v>
      </c>
      <c r="DO17" s="374">
        <v>1660.8492000000001</v>
      </c>
      <c r="DP17" s="351">
        <f t="shared" si="54"/>
        <v>42.258639000000002</v>
      </c>
      <c r="DQ17" s="351">
        <f t="shared" si="55"/>
        <v>50.356788000000009</v>
      </c>
      <c r="DR17" s="352">
        <f t="shared" si="56"/>
        <v>0</v>
      </c>
      <c r="DS17" s="352">
        <f t="shared" si="138"/>
        <v>0</v>
      </c>
      <c r="DT17" s="353">
        <f t="shared" si="139"/>
        <v>42.258639000000002</v>
      </c>
      <c r="DU17" s="353">
        <f t="shared" si="140"/>
        <v>50.356788000000009</v>
      </c>
      <c r="DV17" s="343">
        <f t="shared" si="141"/>
        <v>42.258639000000002</v>
      </c>
      <c r="DW17" s="343">
        <f t="shared" si="142"/>
        <v>50.356788000000009</v>
      </c>
      <c r="EA17" s="356"/>
      <c r="EB17" s="326"/>
      <c r="EC17" s="326"/>
      <c r="ED17" s="326"/>
      <c r="EE17" s="348">
        <f t="shared" si="143"/>
        <v>43446.826699999998</v>
      </c>
      <c r="EF17" s="348">
        <f t="shared" si="144"/>
        <v>48533.2883</v>
      </c>
      <c r="EG17" s="348">
        <f t="shared" si="145"/>
        <v>1162.6483272</v>
      </c>
      <c r="EH17" s="348">
        <f t="shared" si="146"/>
        <v>895.64241259999994</v>
      </c>
      <c r="EI17" s="354">
        <f t="shared" si="57"/>
        <v>0.47235021069499644</v>
      </c>
      <c r="EJ17" s="326"/>
      <c r="EK17" s="348">
        <f t="shared" si="147"/>
        <v>1162.6483272</v>
      </c>
      <c r="EL17" s="348">
        <f t="shared" si="148"/>
        <v>895.64241259999994</v>
      </c>
      <c r="EM17" s="348">
        <f t="shared" si="58"/>
        <v>1162.6483272</v>
      </c>
      <c r="EN17" s="348">
        <f t="shared" si="149"/>
        <v>895.64241259999994</v>
      </c>
      <c r="EO17" s="356"/>
      <c r="EP17" s="326"/>
      <c r="EQ17" s="326"/>
      <c r="ER17" s="326"/>
      <c r="ES17" s="348">
        <f t="shared" si="59"/>
        <v>31647.389299999999</v>
      </c>
      <c r="ET17" s="348">
        <f t="shared" si="60"/>
        <v>29721.949899999996</v>
      </c>
      <c r="EU17" s="348">
        <f t="shared" si="61"/>
        <v>916.15938779999988</v>
      </c>
      <c r="EV17" s="348">
        <f t="shared" si="62"/>
        <v>699.78092839999999</v>
      </c>
      <c r="EW17" s="354">
        <f t="shared" si="63"/>
        <v>0.51568730757980852</v>
      </c>
      <c r="EX17" s="326"/>
      <c r="EY17" s="348">
        <f t="shared" si="64"/>
        <v>916.15938779999988</v>
      </c>
      <c r="EZ17" s="348">
        <f t="shared" si="65"/>
        <v>699.78092839999999</v>
      </c>
      <c r="FA17" s="348">
        <f t="shared" si="66"/>
        <v>916.15938779999988</v>
      </c>
      <c r="FB17" s="348">
        <f t="shared" si="67"/>
        <v>699.78092839999999</v>
      </c>
      <c r="FC17" s="356"/>
      <c r="FD17" s="326"/>
      <c r="FE17" s="326"/>
      <c r="FF17" s="326"/>
      <c r="FG17" s="348">
        <f t="shared" si="68"/>
        <v>22247.337600000003</v>
      </c>
      <c r="FH17" s="348">
        <f t="shared" si="69"/>
        <v>20852.235099999998</v>
      </c>
      <c r="FI17" s="348">
        <f t="shared" si="70"/>
        <v>532.37461839999992</v>
      </c>
      <c r="FJ17" s="348">
        <f t="shared" si="71"/>
        <v>350.7359538</v>
      </c>
      <c r="FK17" s="354">
        <f t="shared" si="72"/>
        <v>0.51618464421574184</v>
      </c>
      <c r="FL17" s="326"/>
      <c r="FM17" s="348">
        <f t="shared" si="73"/>
        <v>532.37461839999992</v>
      </c>
      <c r="FN17" s="348">
        <f t="shared" si="74"/>
        <v>350.7359538</v>
      </c>
      <c r="FO17" s="348">
        <f t="shared" si="75"/>
        <v>532.37461839999992</v>
      </c>
      <c r="FP17" s="348">
        <f t="shared" si="76"/>
        <v>350.7359538</v>
      </c>
      <c r="FQ17" s="356"/>
      <c r="FR17" s="326"/>
      <c r="FS17" s="326"/>
      <c r="FT17" s="326"/>
      <c r="FU17" s="348">
        <f t="shared" si="77"/>
        <v>25343.848399999999</v>
      </c>
      <c r="FV17" s="348">
        <f t="shared" si="78"/>
        <v>23967.770799999998</v>
      </c>
      <c r="FW17" s="348">
        <f t="shared" si="79"/>
        <v>173.8729822</v>
      </c>
      <c r="FX17" s="348">
        <f t="shared" si="80"/>
        <v>191.4123736</v>
      </c>
      <c r="FY17" s="354">
        <f t="shared" si="81"/>
        <v>0.51395287380869448</v>
      </c>
      <c r="FZ17" s="326"/>
      <c r="GA17" s="348">
        <f t="shared" si="82"/>
        <v>173.8729822</v>
      </c>
      <c r="GB17" s="348">
        <f t="shared" si="83"/>
        <v>191.4123736</v>
      </c>
      <c r="GC17" s="348">
        <f t="shared" si="84"/>
        <v>173.8729822</v>
      </c>
      <c r="GD17" s="348">
        <f t="shared" si="85"/>
        <v>191.4123736</v>
      </c>
      <c r="GE17" s="356"/>
      <c r="GF17" s="326"/>
      <c r="GG17" s="326"/>
      <c r="GH17" s="326"/>
      <c r="GI17" s="348">
        <f t="shared" si="86"/>
        <v>12286.76</v>
      </c>
      <c r="GJ17" s="348">
        <f t="shared" si="87"/>
        <v>11790.619999999999</v>
      </c>
      <c r="GK17" s="349">
        <f t="shared" si="88"/>
        <v>42.338847749999999</v>
      </c>
      <c r="GL17" s="349">
        <f t="shared" si="89"/>
        <v>21.840012749999993</v>
      </c>
      <c r="GM17" s="354">
        <f t="shared" si="90"/>
        <v>0.51030303130988508</v>
      </c>
      <c r="GN17" s="326"/>
      <c r="GO17" s="349">
        <f t="shared" si="91"/>
        <v>42.338847749999999</v>
      </c>
      <c r="GP17" s="349">
        <f t="shared" si="92"/>
        <v>21.840012749999993</v>
      </c>
      <c r="GQ17" s="349">
        <f t="shared" si="93"/>
        <v>42.338847749999999</v>
      </c>
      <c r="GR17" s="349">
        <f t="shared" si="94"/>
        <v>21.840012749999993</v>
      </c>
      <c r="GS17" s="356"/>
      <c r="GT17" s="356"/>
      <c r="GU17" s="356"/>
      <c r="GV17" s="356"/>
      <c r="GW17" s="356"/>
      <c r="GX17" s="356"/>
      <c r="GY17" s="356"/>
      <c r="GZ17" s="356"/>
      <c r="HA17" s="374"/>
      <c r="HB17" s="375"/>
      <c r="HC17" s="374"/>
      <c r="HD17" s="374"/>
      <c r="HE17" s="374"/>
      <c r="HF17" s="351">
        <f t="shared" si="95"/>
        <v>0</v>
      </c>
      <c r="HG17" s="351">
        <f t="shared" si="96"/>
        <v>0</v>
      </c>
      <c r="HH17" s="352">
        <f t="shared" si="97"/>
        <v>0</v>
      </c>
      <c r="HI17" s="352">
        <f t="shared" si="150"/>
        <v>0</v>
      </c>
      <c r="HJ17" s="353">
        <f t="shared" si="151"/>
        <v>0</v>
      </c>
      <c r="HK17" s="353">
        <f t="shared" si="152"/>
        <v>0</v>
      </c>
    </row>
    <row r="18" spans="1:219" x14ac:dyDescent="0.2">
      <c r="A18" s="320">
        <v>8</v>
      </c>
      <c r="C18" s="350">
        <v>0.80730000000000002</v>
      </c>
      <c r="D18" s="350">
        <v>0.3044</v>
      </c>
      <c r="E18" s="350">
        <v>0</v>
      </c>
      <c r="F18" s="350">
        <v>9104.3292000000001</v>
      </c>
      <c r="G18" s="350">
        <v>15744.49</v>
      </c>
      <c r="H18" s="351">
        <f t="shared" si="30"/>
        <v>788.00553000000002</v>
      </c>
      <c r="I18" s="351">
        <f t="shared" si="31"/>
        <v>564.26323600000001</v>
      </c>
      <c r="J18" s="352">
        <f t="shared" si="32"/>
        <v>0</v>
      </c>
      <c r="K18" s="352">
        <f t="shared" si="98"/>
        <v>0</v>
      </c>
      <c r="L18" s="353">
        <f t="shared" si="99"/>
        <v>788.00553000000002</v>
      </c>
      <c r="M18" s="353">
        <f t="shared" si="100"/>
        <v>564.26323600000001</v>
      </c>
      <c r="N18" s="343">
        <f t="shared" si="101"/>
        <v>788.00553000000002</v>
      </c>
      <c r="O18" s="343">
        <f t="shared" si="102"/>
        <v>564.26323600000001</v>
      </c>
      <c r="Q18" s="374">
        <v>0.89890000000000003</v>
      </c>
      <c r="R18" s="375">
        <v>0.32719999999999999</v>
      </c>
      <c r="S18" s="374">
        <v>0</v>
      </c>
      <c r="T18" s="374">
        <v>1670.2283</v>
      </c>
      <c r="U18" s="374">
        <v>1579.6316999999999</v>
      </c>
      <c r="V18" s="351">
        <f t="shared" si="33"/>
        <v>574.75666000000001</v>
      </c>
      <c r="W18" s="351">
        <f t="shared" si="34"/>
        <v>393.09153600000002</v>
      </c>
      <c r="X18" s="352">
        <f t="shared" si="35"/>
        <v>0</v>
      </c>
      <c r="Y18" s="352">
        <f t="shared" si="103"/>
        <v>0</v>
      </c>
      <c r="Z18" s="353">
        <f t="shared" si="104"/>
        <v>574.75666000000001</v>
      </c>
      <c r="AA18" s="353">
        <f t="shared" si="105"/>
        <v>393.09153600000002</v>
      </c>
      <c r="AB18" s="343">
        <f t="shared" si="106"/>
        <v>574.75666000000001</v>
      </c>
      <c r="AC18" s="343">
        <f t="shared" si="107"/>
        <v>393.09153600000002</v>
      </c>
      <c r="AE18" s="374">
        <v>0.59299999999999997</v>
      </c>
      <c r="AF18" s="375">
        <v>0.111</v>
      </c>
      <c r="AG18" s="374">
        <v>0</v>
      </c>
      <c r="AH18" s="374">
        <v>88.068299999999994</v>
      </c>
      <c r="AI18" s="374">
        <v>86.592500000000001</v>
      </c>
      <c r="AJ18" s="351">
        <f t="shared" si="36"/>
        <v>254.14793999999998</v>
      </c>
      <c r="AK18" s="351">
        <f t="shared" si="37"/>
        <v>110.35397999999999</v>
      </c>
      <c r="AL18" s="352">
        <f t="shared" si="38"/>
        <v>0</v>
      </c>
      <c r="AM18" s="352">
        <f t="shared" si="108"/>
        <v>0</v>
      </c>
      <c r="AN18" s="353">
        <f t="shared" si="109"/>
        <v>254.14793999999998</v>
      </c>
      <c r="AO18" s="353">
        <f t="shared" si="110"/>
        <v>110.35397999999999</v>
      </c>
      <c r="AP18" s="343">
        <f t="shared" si="111"/>
        <v>254.14793999999998</v>
      </c>
      <c r="AQ18" s="343">
        <f t="shared" si="112"/>
        <v>110.35397999999999</v>
      </c>
      <c r="AS18" s="374">
        <v>0.53080000000000005</v>
      </c>
      <c r="AT18" s="375">
        <v>0.17150000000000001</v>
      </c>
      <c r="AU18" s="374">
        <v>0</v>
      </c>
      <c r="AV18" s="374">
        <v>9955.0607999999993</v>
      </c>
      <c r="AW18" s="374">
        <v>9311.1717000000008</v>
      </c>
      <c r="AX18" s="351">
        <f t="shared" si="39"/>
        <v>180.82763600000001</v>
      </c>
      <c r="AY18" s="351">
        <f t="shared" si="40"/>
        <v>117.15508000000001</v>
      </c>
      <c r="AZ18" s="352">
        <f t="shared" si="41"/>
        <v>0</v>
      </c>
      <c r="BA18" s="352">
        <f t="shared" si="113"/>
        <v>0</v>
      </c>
      <c r="BB18" s="353">
        <f t="shared" si="114"/>
        <v>180.82763600000001</v>
      </c>
      <c r="BC18" s="353">
        <f t="shared" si="115"/>
        <v>117.15508000000001</v>
      </c>
      <c r="BD18" s="343">
        <f t="shared" si="116"/>
        <v>180.82763600000001</v>
      </c>
      <c r="BE18" s="343">
        <f t="shared" si="117"/>
        <v>117.15508000000001</v>
      </c>
      <c r="BG18" s="374">
        <v>0.48330000000000001</v>
      </c>
      <c r="BH18" s="375">
        <v>0.19409999999999999</v>
      </c>
      <c r="BI18" s="374">
        <v>0</v>
      </c>
      <c r="BJ18" s="374">
        <v>4488.2466999999997</v>
      </c>
      <c r="BK18" s="374">
        <v>4266.1758</v>
      </c>
      <c r="BL18" s="351">
        <f t="shared" si="42"/>
        <v>161.794341</v>
      </c>
      <c r="BM18" s="351">
        <f t="shared" si="43"/>
        <v>113.72707199999999</v>
      </c>
      <c r="BN18" s="352">
        <f t="shared" si="44"/>
        <v>0</v>
      </c>
      <c r="BO18" s="352">
        <f t="shared" si="118"/>
        <v>0</v>
      </c>
      <c r="BP18" s="353">
        <f t="shared" si="119"/>
        <v>161.794341</v>
      </c>
      <c r="BQ18" s="353">
        <f t="shared" si="120"/>
        <v>113.72707199999999</v>
      </c>
      <c r="BR18" s="343">
        <f t="shared" si="121"/>
        <v>161.794341</v>
      </c>
      <c r="BS18" s="343">
        <f t="shared" si="122"/>
        <v>113.72707199999999</v>
      </c>
      <c r="BU18" s="374">
        <v>0.53339999999999999</v>
      </c>
      <c r="BV18" s="375">
        <v>0.2253</v>
      </c>
      <c r="BW18" s="374">
        <v>0</v>
      </c>
      <c r="BX18" s="374">
        <v>2868.1457999999998</v>
      </c>
      <c r="BY18" s="374">
        <v>2705.5617000000002</v>
      </c>
      <c r="BZ18" s="351">
        <f t="shared" si="45"/>
        <v>123.812808</v>
      </c>
      <c r="CA18" s="351">
        <f t="shared" si="46"/>
        <v>86.035311000000007</v>
      </c>
      <c r="CB18" s="352">
        <f t="shared" si="47"/>
        <v>0</v>
      </c>
      <c r="CC18" s="352">
        <f t="shared" si="123"/>
        <v>0</v>
      </c>
      <c r="CD18" s="353">
        <f t="shared" si="124"/>
        <v>123.812808</v>
      </c>
      <c r="CE18" s="353">
        <f t="shared" si="125"/>
        <v>86.035311000000007</v>
      </c>
      <c r="CF18" s="343">
        <f t="shared" si="126"/>
        <v>123.812808</v>
      </c>
      <c r="CG18" s="343">
        <f t="shared" si="127"/>
        <v>86.035311000000007</v>
      </c>
      <c r="CI18" s="374">
        <v>0.65859999999999996</v>
      </c>
      <c r="CJ18" s="375">
        <v>0.50339999999999996</v>
      </c>
      <c r="CK18" s="374">
        <v>0</v>
      </c>
      <c r="CL18" s="374">
        <v>17957.525000000001</v>
      </c>
      <c r="CM18" s="374">
        <v>16933.805</v>
      </c>
      <c r="CN18" s="351">
        <f t="shared" si="48"/>
        <v>139.97225799999998</v>
      </c>
      <c r="CO18" s="351">
        <f t="shared" si="49"/>
        <v>138.66152999999997</v>
      </c>
      <c r="CP18" s="352">
        <f t="shared" si="50"/>
        <v>0</v>
      </c>
      <c r="CQ18" s="352">
        <f t="shared" si="128"/>
        <v>0</v>
      </c>
      <c r="CR18" s="353">
        <f t="shared" si="129"/>
        <v>139.97225799999998</v>
      </c>
      <c r="CS18" s="353">
        <f t="shared" si="130"/>
        <v>138.66152999999997</v>
      </c>
      <c r="CT18" s="343">
        <f t="shared" si="131"/>
        <v>139.97225799999998</v>
      </c>
      <c r="CU18" s="343">
        <f t="shared" si="132"/>
        <v>138.66152999999997</v>
      </c>
      <c r="CW18" s="374">
        <v>0.51700000000000002</v>
      </c>
      <c r="CX18" s="375">
        <v>0.53969999999999996</v>
      </c>
      <c r="CY18" s="374">
        <v>0</v>
      </c>
      <c r="CZ18" s="374">
        <v>7761.3032999999996</v>
      </c>
      <c r="DA18" s="374">
        <v>7550.7808000000005</v>
      </c>
      <c r="DB18" s="351">
        <f t="shared" si="51"/>
        <v>115.92690999999999</v>
      </c>
      <c r="DC18" s="351">
        <f t="shared" si="52"/>
        <v>167.706378</v>
      </c>
      <c r="DD18" s="352">
        <f t="shared" si="53"/>
        <v>0</v>
      </c>
      <c r="DE18" s="352">
        <f t="shared" si="133"/>
        <v>0</v>
      </c>
      <c r="DF18" s="353">
        <f t="shared" si="134"/>
        <v>115.92690999999999</v>
      </c>
      <c r="DG18" s="353">
        <f t="shared" si="135"/>
        <v>167.706378</v>
      </c>
      <c r="DH18" s="343">
        <f t="shared" si="136"/>
        <v>115.92690999999999</v>
      </c>
      <c r="DI18" s="343">
        <f t="shared" si="137"/>
        <v>167.706378</v>
      </c>
      <c r="DK18" s="374">
        <v>0.67930000000000001</v>
      </c>
      <c r="DL18" s="375">
        <v>0.52659999999999996</v>
      </c>
      <c r="DM18" s="374">
        <v>0</v>
      </c>
      <c r="DN18" s="374">
        <v>1956.1258</v>
      </c>
      <c r="DO18" s="374">
        <v>1710.3833</v>
      </c>
      <c r="DP18" s="351">
        <f t="shared" si="54"/>
        <v>89.511361000000008</v>
      </c>
      <c r="DQ18" s="351">
        <f t="shared" si="55"/>
        <v>103.666476</v>
      </c>
      <c r="DR18" s="352">
        <f t="shared" si="56"/>
        <v>0</v>
      </c>
      <c r="DS18" s="352">
        <f t="shared" si="138"/>
        <v>0</v>
      </c>
      <c r="DT18" s="353">
        <f t="shared" si="139"/>
        <v>89.511361000000008</v>
      </c>
      <c r="DU18" s="353">
        <f t="shared" si="140"/>
        <v>103.666476</v>
      </c>
      <c r="DV18" s="343">
        <f t="shared" si="141"/>
        <v>89.511361000000008</v>
      </c>
      <c r="DW18" s="343">
        <f t="shared" si="142"/>
        <v>103.666476</v>
      </c>
      <c r="EB18" s="326"/>
      <c r="EC18" s="326"/>
      <c r="ED18" s="326"/>
      <c r="EE18" s="348">
        <f t="shared" si="143"/>
        <v>44778.2183</v>
      </c>
      <c r="EF18" s="348">
        <f t="shared" si="144"/>
        <v>49540.247500000005</v>
      </c>
      <c r="EG18" s="348">
        <f t="shared" si="145"/>
        <v>1201.5469519999999</v>
      </c>
      <c r="EH18" s="348">
        <f t="shared" si="146"/>
        <v>954.2449484</v>
      </c>
      <c r="EI18" s="354">
        <f t="shared" si="57"/>
        <v>0.47475558386362132</v>
      </c>
      <c r="EJ18" s="326"/>
      <c r="EK18" s="348">
        <f t="shared" si="147"/>
        <v>1201.5469519999999</v>
      </c>
      <c r="EL18" s="348">
        <f t="shared" si="148"/>
        <v>954.2449484</v>
      </c>
      <c r="EM18" s="348">
        <f t="shared" si="58"/>
        <v>1201.5469519999999</v>
      </c>
      <c r="EN18" s="348">
        <f t="shared" si="149"/>
        <v>954.2449484</v>
      </c>
      <c r="EP18" s="326"/>
      <c r="EQ18" s="326"/>
      <c r="ER18" s="326"/>
      <c r="ES18" s="348">
        <f t="shared" si="59"/>
        <v>31877.3033</v>
      </c>
      <c r="ET18" s="348">
        <f t="shared" si="60"/>
        <v>30330.3933</v>
      </c>
      <c r="EU18" s="348">
        <f t="shared" si="61"/>
        <v>957.67209600000001</v>
      </c>
      <c r="EV18" s="348">
        <f t="shared" si="62"/>
        <v>762.8746026</v>
      </c>
      <c r="EW18" s="354">
        <f t="shared" si="63"/>
        <v>0.51243342933870983</v>
      </c>
      <c r="EX18" s="326"/>
      <c r="EY18" s="348">
        <f t="shared" si="64"/>
        <v>957.67209600000001</v>
      </c>
      <c r="EZ18" s="348">
        <f t="shared" si="65"/>
        <v>762.8746026</v>
      </c>
      <c r="FA18" s="348">
        <f t="shared" si="66"/>
        <v>957.67209600000001</v>
      </c>
      <c r="FB18" s="348">
        <f t="shared" si="67"/>
        <v>762.8746026</v>
      </c>
      <c r="FD18" s="326"/>
      <c r="FE18" s="326"/>
      <c r="FF18" s="326"/>
      <c r="FG18" s="348">
        <f t="shared" si="68"/>
        <v>22869.864900000004</v>
      </c>
      <c r="FH18" s="348">
        <f t="shared" si="69"/>
        <v>21436.342500000002</v>
      </c>
      <c r="FI18" s="348">
        <f t="shared" si="70"/>
        <v>571.6398226</v>
      </c>
      <c r="FJ18" s="348">
        <f t="shared" si="71"/>
        <v>397.2507066</v>
      </c>
      <c r="FK18" s="354">
        <f t="shared" si="72"/>
        <v>0.51617744424678513</v>
      </c>
      <c r="FL18" s="326"/>
      <c r="FM18" s="348">
        <f t="shared" si="73"/>
        <v>571.6398226</v>
      </c>
      <c r="FN18" s="348">
        <f t="shared" si="74"/>
        <v>397.2507066</v>
      </c>
      <c r="FO18" s="348">
        <f t="shared" si="75"/>
        <v>571.6398226</v>
      </c>
      <c r="FP18" s="348">
        <f t="shared" si="76"/>
        <v>397.2507066</v>
      </c>
      <c r="FR18" s="326"/>
      <c r="FS18" s="326"/>
      <c r="FT18" s="326"/>
      <c r="FU18" s="348">
        <f t="shared" si="77"/>
        <v>25718.828300000001</v>
      </c>
      <c r="FV18" s="348">
        <f t="shared" si="78"/>
        <v>24484.585800000001</v>
      </c>
      <c r="FW18" s="348">
        <f t="shared" si="79"/>
        <v>232.71378599999997</v>
      </c>
      <c r="FX18" s="348">
        <f t="shared" si="80"/>
        <v>272.82663239999999</v>
      </c>
      <c r="FY18" s="354">
        <f t="shared" si="81"/>
        <v>0.5122924159853105</v>
      </c>
      <c r="FZ18" s="326"/>
      <c r="GA18" s="348">
        <f t="shared" si="82"/>
        <v>232.71378599999997</v>
      </c>
      <c r="GB18" s="348">
        <f t="shared" si="83"/>
        <v>272.82663239999999</v>
      </c>
      <c r="GC18" s="348">
        <f t="shared" si="84"/>
        <v>232.71378599999997</v>
      </c>
      <c r="GD18" s="348">
        <f t="shared" si="85"/>
        <v>272.82663239999999</v>
      </c>
      <c r="GF18" s="326"/>
      <c r="GG18" s="326"/>
      <c r="GH18" s="326"/>
      <c r="GI18" s="348">
        <f t="shared" si="86"/>
        <v>12823.2066</v>
      </c>
      <c r="GJ18" s="348">
        <f t="shared" si="87"/>
        <v>12016.733400000001</v>
      </c>
      <c r="GK18" s="349">
        <f t="shared" si="88"/>
        <v>42.761121000000003</v>
      </c>
      <c r="GL18" s="349">
        <f t="shared" si="89"/>
        <v>23.339826750000004</v>
      </c>
      <c r="GM18" s="354">
        <f t="shared" si="90"/>
        <v>0.51623339669902579</v>
      </c>
      <c r="GN18" s="326"/>
      <c r="GO18" s="349">
        <f t="shared" si="91"/>
        <v>42.761121000000003</v>
      </c>
      <c r="GP18" s="349">
        <f t="shared" si="92"/>
        <v>23.339826750000004</v>
      </c>
      <c r="GQ18" s="349">
        <f t="shared" si="93"/>
        <v>42.761121000000003</v>
      </c>
      <c r="GR18" s="349">
        <f t="shared" si="94"/>
        <v>23.339826750000004</v>
      </c>
      <c r="HA18" s="374"/>
      <c r="HB18" s="375"/>
      <c r="HC18" s="374"/>
      <c r="HD18" s="374"/>
      <c r="HE18" s="374"/>
      <c r="HF18" s="351">
        <f t="shared" si="95"/>
        <v>0</v>
      </c>
      <c r="HG18" s="351">
        <f t="shared" si="96"/>
        <v>0</v>
      </c>
      <c r="HH18" s="352">
        <f t="shared" si="97"/>
        <v>0</v>
      </c>
      <c r="HI18" s="352">
        <f t="shared" si="150"/>
        <v>0</v>
      </c>
      <c r="HJ18" s="353">
        <f t="shared" si="151"/>
        <v>0</v>
      </c>
      <c r="HK18" s="353">
        <f t="shared" si="152"/>
        <v>0</v>
      </c>
    </row>
    <row r="19" spans="1:219" x14ac:dyDescent="0.2">
      <c r="A19" s="320">
        <v>9</v>
      </c>
      <c r="C19" s="350">
        <v>0.79249999999999998</v>
      </c>
      <c r="D19" s="350">
        <v>0.30180000000000001</v>
      </c>
      <c r="E19" s="350">
        <v>0</v>
      </c>
      <c r="F19" s="350">
        <v>9149.5092000000004</v>
      </c>
      <c r="G19" s="350">
        <v>15573.5383</v>
      </c>
      <c r="H19" s="351">
        <f t="shared" si="30"/>
        <v>773.55925000000002</v>
      </c>
      <c r="I19" s="351">
        <f t="shared" si="31"/>
        <v>559.44364200000007</v>
      </c>
      <c r="J19" s="352">
        <f t="shared" si="32"/>
        <v>0</v>
      </c>
      <c r="K19" s="352">
        <f t="shared" si="98"/>
        <v>0</v>
      </c>
      <c r="L19" s="353">
        <f t="shared" si="99"/>
        <v>773.55925000000002</v>
      </c>
      <c r="M19" s="353">
        <f t="shared" si="100"/>
        <v>559.44364200000007</v>
      </c>
      <c r="N19" s="343">
        <f t="shared" si="101"/>
        <v>773.55925000000002</v>
      </c>
      <c r="O19" s="343">
        <f t="shared" si="102"/>
        <v>559.44364200000007</v>
      </c>
      <c r="Q19" s="374">
        <v>0.88800000000000001</v>
      </c>
      <c r="R19" s="375">
        <v>0.32750000000000001</v>
      </c>
      <c r="S19" s="374">
        <v>0</v>
      </c>
      <c r="T19" s="374">
        <v>1639.7041999999999</v>
      </c>
      <c r="U19" s="374">
        <v>1600.3958</v>
      </c>
      <c r="V19" s="351">
        <f t="shared" si="33"/>
        <v>567.78719999999998</v>
      </c>
      <c r="W19" s="351">
        <f t="shared" si="34"/>
        <v>393.45195000000007</v>
      </c>
      <c r="X19" s="352">
        <f t="shared" si="35"/>
        <v>0</v>
      </c>
      <c r="Y19" s="352">
        <f t="shared" si="103"/>
        <v>0</v>
      </c>
      <c r="Z19" s="353">
        <f t="shared" si="104"/>
        <v>567.78719999999998</v>
      </c>
      <c r="AA19" s="353">
        <f t="shared" si="105"/>
        <v>393.45195000000007</v>
      </c>
      <c r="AB19" s="343">
        <f t="shared" si="106"/>
        <v>567.78719999999998</v>
      </c>
      <c r="AC19" s="343">
        <f t="shared" si="107"/>
        <v>393.45195000000007</v>
      </c>
      <c r="AE19" s="374">
        <v>0.59670000000000001</v>
      </c>
      <c r="AF19" s="375">
        <v>0.1193</v>
      </c>
      <c r="AG19" s="374">
        <v>0</v>
      </c>
      <c r="AH19" s="374">
        <v>120.8342</v>
      </c>
      <c r="AI19" s="374">
        <v>78.074200000000005</v>
      </c>
      <c r="AJ19" s="351">
        <f t="shared" si="36"/>
        <v>255.73368600000001</v>
      </c>
      <c r="AK19" s="351">
        <f t="shared" si="37"/>
        <v>118.60567399999999</v>
      </c>
      <c r="AL19" s="352">
        <f t="shared" si="38"/>
        <v>0</v>
      </c>
      <c r="AM19" s="352">
        <f t="shared" si="108"/>
        <v>0</v>
      </c>
      <c r="AN19" s="353">
        <f t="shared" si="109"/>
        <v>255.73368600000001</v>
      </c>
      <c r="AO19" s="353">
        <f t="shared" si="110"/>
        <v>118.60567399999999</v>
      </c>
      <c r="AP19" s="343">
        <f t="shared" si="111"/>
        <v>255.73368600000001</v>
      </c>
      <c r="AQ19" s="343">
        <f t="shared" si="112"/>
        <v>118.60567399999999</v>
      </c>
      <c r="AS19" s="374">
        <v>0.5252</v>
      </c>
      <c r="AT19" s="375">
        <v>0.17899999999999999</v>
      </c>
      <c r="AU19" s="374">
        <v>0</v>
      </c>
      <c r="AV19" s="374">
        <v>10009.2567</v>
      </c>
      <c r="AW19" s="374">
        <v>9504.9117000000006</v>
      </c>
      <c r="AX19" s="351">
        <f t="shared" si="39"/>
        <v>178.919884</v>
      </c>
      <c r="AY19" s="351">
        <f t="shared" si="40"/>
        <v>122.27848</v>
      </c>
      <c r="AZ19" s="352">
        <f t="shared" si="41"/>
        <v>0</v>
      </c>
      <c r="BA19" s="352">
        <f t="shared" si="113"/>
        <v>0</v>
      </c>
      <c r="BB19" s="353">
        <f t="shared" si="114"/>
        <v>178.919884</v>
      </c>
      <c r="BC19" s="353">
        <f t="shared" si="115"/>
        <v>122.27848</v>
      </c>
      <c r="BD19" s="343">
        <f t="shared" si="116"/>
        <v>178.919884</v>
      </c>
      <c r="BE19" s="343">
        <f t="shared" si="117"/>
        <v>122.27848</v>
      </c>
      <c r="BG19" s="374">
        <v>0.48699999999999999</v>
      </c>
      <c r="BH19" s="375">
        <v>0.22789999999999999</v>
      </c>
      <c r="BI19" s="374">
        <v>0</v>
      </c>
      <c r="BJ19" s="374">
        <v>4345.335</v>
      </c>
      <c r="BK19" s="374">
        <v>4171.6292000000003</v>
      </c>
      <c r="BL19" s="351">
        <f t="shared" si="42"/>
        <v>163.03298999999998</v>
      </c>
      <c r="BM19" s="351">
        <f t="shared" si="43"/>
        <v>133.53116799999998</v>
      </c>
      <c r="BN19" s="352">
        <f t="shared" si="44"/>
        <v>0</v>
      </c>
      <c r="BO19" s="352">
        <f t="shared" si="118"/>
        <v>0</v>
      </c>
      <c r="BP19" s="353">
        <f t="shared" si="119"/>
        <v>163.03298999999998</v>
      </c>
      <c r="BQ19" s="353">
        <f t="shared" si="120"/>
        <v>133.53116799999998</v>
      </c>
      <c r="BR19" s="343">
        <f t="shared" si="121"/>
        <v>163.03298999999998</v>
      </c>
      <c r="BS19" s="343">
        <f t="shared" si="122"/>
        <v>133.53116799999998</v>
      </c>
      <c r="BU19" s="374">
        <v>0.53259999999999996</v>
      </c>
      <c r="BV19" s="375">
        <v>0.21790000000000001</v>
      </c>
      <c r="BW19" s="374">
        <v>0</v>
      </c>
      <c r="BX19" s="374">
        <v>2968.6916999999999</v>
      </c>
      <c r="BY19" s="374">
        <v>2785.6374999999998</v>
      </c>
      <c r="BZ19" s="351">
        <f t="shared" si="45"/>
        <v>123.627112</v>
      </c>
      <c r="CA19" s="351">
        <f t="shared" si="46"/>
        <v>83.209473000000003</v>
      </c>
      <c r="CB19" s="352">
        <f t="shared" si="47"/>
        <v>0</v>
      </c>
      <c r="CC19" s="352">
        <f t="shared" si="123"/>
        <v>0</v>
      </c>
      <c r="CD19" s="353">
        <f t="shared" si="124"/>
        <v>123.627112</v>
      </c>
      <c r="CE19" s="353">
        <f t="shared" si="125"/>
        <v>83.209473000000003</v>
      </c>
      <c r="CF19" s="343">
        <f t="shared" si="126"/>
        <v>123.627112</v>
      </c>
      <c r="CG19" s="343">
        <f t="shared" si="127"/>
        <v>83.209473000000003</v>
      </c>
      <c r="CI19" s="374">
        <v>0.70669999999999999</v>
      </c>
      <c r="CJ19" s="375">
        <v>0.5423</v>
      </c>
      <c r="CK19" s="374">
        <v>0</v>
      </c>
      <c r="CL19" s="374">
        <v>17988.460800000001</v>
      </c>
      <c r="CM19" s="374">
        <v>17125.8783</v>
      </c>
      <c r="CN19" s="351">
        <f t="shared" si="48"/>
        <v>150.194951</v>
      </c>
      <c r="CO19" s="351">
        <f t="shared" si="49"/>
        <v>149.37653499999999</v>
      </c>
      <c r="CP19" s="352">
        <f t="shared" si="50"/>
        <v>0</v>
      </c>
      <c r="CQ19" s="352">
        <f t="shared" si="128"/>
        <v>0</v>
      </c>
      <c r="CR19" s="353">
        <f t="shared" si="129"/>
        <v>150.194951</v>
      </c>
      <c r="CS19" s="353">
        <f t="shared" si="130"/>
        <v>149.37653499999999</v>
      </c>
      <c r="CT19" s="343">
        <f t="shared" si="131"/>
        <v>150.194951</v>
      </c>
      <c r="CU19" s="343">
        <f t="shared" si="132"/>
        <v>149.37653499999999</v>
      </c>
      <c r="CW19" s="374">
        <v>0.84299999999999997</v>
      </c>
      <c r="CX19" s="375">
        <v>0.9032</v>
      </c>
      <c r="CY19" s="374">
        <v>0</v>
      </c>
      <c r="CZ19" s="374">
        <v>7728.96</v>
      </c>
      <c r="DA19" s="374">
        <v>7400.8441999999995</v>
      </c>
      <c r="DB19" s="351">
        <f t="shared" si="51"/>
        <v>189.02588999999998</v>
      </c>
      <c r="DC19" s="351">
        <f t="shared" si="52"/>
        <v>280.66036800000001</v>
      </c>
      <c r="DD19" s="352">
        <f t="shared" si="53"/>
        <v>0</v>
      </c>
      <c r="DE19" s="352">
        <f t="shared" si="133"/>
        <v>0</v>
      </c>
      <c r="DF19" s="353">
        <f t="shared" si="134"/>
        <v>189.02588999999998</v>
      </c>
      <c r="DG19" s="353">
        <f t="shared" si="135"/>
        <v>280.66036800000001</v>
      </c>
      <c r="DH19" s="343">
        <f t="shared" si="136"/>
        <v>189.02588999999998</v>
      </c>
      <c r="DI19" s="343">
        <f t="shared" si="137"/>
        <v>280.66036800000001</v>
      </c>
      <c r="DK19" s="374">
        <v>1.0587</v>
      </c>
      <c r="DL19" s="375">
        <v>0.89159999999999995</v>
      </c>
      <c r="DM19" s="374">
        <v>0</v>
      </c>
      <c r="DN19" s="374">
        <v>1833.7991999999999</v>
      </c>
      <c r="DO19" s="374">
        <v>1746.2508</v>
      </c>
      <c r="DP19" s="351">
        <f t="shared" si="54"/>
        <v>139.50489899999999</v>
      </c>
      <c r="DQ19" s="351">
        <f t="shared" si="55"/>
        <v>175.520376</v>
      </c>
      <c r="DR19" s="352">
        <f t="shared" si="56"/>
        <v>0</v>
      </c>
      <c r="DS19" s="352">
        <f t="shared" si="138"/>
        <v>0</v>
      </c>
      <c r="DT19" s="353">
        <f t="shared" si="139"/>
        <v>139.50489899999999</v>
      </c>
      <c r="DU19" s="353">
        <f t="shared" si="140"/>
        <v>175.520376</v>
      </c>
      <c r="DV19" s="343">
        <f t="shared" si="141"/>
        <v>139.50489899999999</v>
      </c>
      <c r="DW19" s="343">
        <f t="shared" si="142"/>
        <v>175.520376</v>
      </c>
      <c r="EB19" s="326"/>
      <c r="EC19" s="326"/>
      <c r="ED19" s="326"/>
      <c r="EE19" s="348">
        <f t="shared" si="143"/>
        <v>44876.186699999998</v>
      </c>
      <c r="EF19" s="348">
        <f t="shared" si="144"/>
        <v>49605.172500000001</v>
      </c>
      <c r="EG19" s="348">
        <f t="shared" si="145"/>
        <v>1253.8947970000002</v>
      </c>
      <c r="EH19" s="348">
        <f t="shared" si="146"/>
        <v>1055.6269514000001</v>
      </c>
      <c r="EI19" s="354">
        <f t="shared" si="57"/>
        <v>0.4749739745488335</v>
      </c>
      <c r="EJ19" s="326"/>
      <c r="EK19" s="348">
        <f t="shared" si="147"/>
        <v>1253.8947970000002</v>
      </c>
      <c r="EL19" s="348">
        <f t="shared" si="148"/>
        <v>1055.6269514000001</v>
      </c>
      <c r="EM19" s="348">
        <f t="shared" si="58"/>
        <v>1253.8947970000002</v>
      </c>
      <c r="EN19" s="348">
        <f t="shared" si="149"/>
        <v>1055.6269514000001</v>
      </c>
      <c r="EP19" s="326"/>
      <c r="EQ19" s="326"/>
      <c r="ER19" s="326"/>
      <c r="ES19" s="348">
        <f t="shared" si="59"/>
        <v>31702.46</v>
      </c>
      <c r="ET19" s="348">
        <f t="shared" si="60"/>
        <v>30298.747500000001</v>
      </c>
      <c r="EU19" s="348">
        <f t="shared" si="61"/>
        <v>1013.3332639999999</v>
      </c>
      <c r="EV19" s="348">
        <f t="shared" si="62"/>
        <v>872.82191060000014</v>
      </c>
      <c r="EW19" s="354">
        <f t="shared" si="63"/>
        <v>0.51132004162983435</v>
      </c>
      <c r="EX19" s="326"/>
      <c r="EY19" s="348">
        <f t="shared" si="64"/>
        <v>1013.3332639999999</v>
      </c>
      <c r="EZ19" s="348">
        <f t="shared" si="65"/>
        <v>872.82191060000014</v>
      </c>
      <c r="FA19" s="348">
        <f t="shared" si="66"/>
        <v>1013.3332639999999</v>
      </c>
      <c r="FB19" s="348">
        <f t="shared" si="67"/>
        <v>872.82191060000014</v>
      </c>
      <c r="FD19" s="326"/>
      <c r="FE19" s="326"/>
      <c r="FF19" s="326"/>
      <c r="FG19" s="348">
        <f t="shared" si="68"/>
        <v>22911.785900000003</v>
      </c>
      <c r="FH19" s="348">
        <f t="shared" si="69"/>
        <v>21735.840800000002</v>
      </c>
      <c r="FI19" s="348">
        <f t="shared" si="70"/>
        <v>613.25868839999998</v>
      </c>
      <c r="FJ19" s="348">
        <f t="shared" si="71"/>
        <v>456.50390759999999</v>
      </c>
      <c r="FK19" s="354">
        <f t="shared" si="72"/>
        <v>0.51316917815029117</v>
      </c>
      <c r="FL19" s="326"/>
      <c r="FM19" s="348">
        <f t="shared" si="73"/>
        <v>613.25868839999998</v>
      </c>
      <c r="FN19" s="348">
        <f t="shared" si="74"/>
        <v>456.50390759999999</v>
      </c>
      <c r="FO19" s="348">
        <f t="shared" si="75"/>
        <v>613.25868839999998</v>
      </c>
      <c r="FP19" s="348">
        <f t="shared" si="76"/>
        <v>456.50390759999999</v>
      </c>
      <c r="FR19" s="326"/>
      <c r="FS19" s="326"/>
      <c r="FT19" s="326"/>
      <c r="FU19" s="348">
        <f t="shared" si="77"/>
        <v>25717.4208</v>
      </c>
      <c r="FV19" s="348">
        <f t="shared" si="78"/>
        <v>24526.7225</v>
      </c>
      <c r="FW19" s="348">
        <f t="shared" si="79"/>
        <v>301.415663</v>
      </c>
      <c r="FX19" s="348">
        <f t="shared" si="80"/>
        <v>373.90482940000004</v>
      </c>
      <c r="FY19" s="354">
        <f t="shared" si="81"/>
        <v>0.51184912530889948</v>
      </c>
      <c r="FZ19" s="326"/>
      <c r="GA19" s="348">
        <f t="shared" si="82"/>
        <v>301.415663</v>
      </c>
      <c r="GB19" s="348">
        <f t="shared" si="83"/>
        <v>373.90482940000004</v>
      </c>
      <c r="GC19" s="348">
        <f t="shared" si="84"/>
        <v>301.415663</v>
      </c>
      <c r="GD19" s="348">
        <f t="shared" si="85"/>
        <v>373.90482940000004</v>
      </c>
      <c r="GF19" s="326"/>
      <c r="GG19" s="326"/>
      <c r="GH19" s="326"/>
      <c r="GI19" s="348">
        <f t="shared" si="86"/>
        <v>12977.948399999999</v>
      </c>
      <c r="GJ19" s="348">
        <f t="shared" si="87"/>
        <v>12290.549200000001</v>
      </c>
      <c r="GK19" s="349">
        <f t="shared" si="88"/>
        <v>41.469578999999996</v>
      </c>
      <c r="GL19" s="349">
        <f t="shared" si="89"/>
        <v>29.301755249999999</v>
      </c>
      <c r="GM19" s="354">
        <f t="shared" si="90"/>
        <v>0.5136019008902214</v>
      </c>
      <c r="GN19" s="326"/>
      <c r="GO19" s="349">
        <f t="shared" si="91"/>
        <v>41.469578999999996</v>
      </c>
      <c r="GP19" s="349">
        <f t="shared" si="92"/>
        <v>29.301755249999999</v>
      </c>
      <c r="GQ19" s="349">
        <f t="shared" si="93"/>
        <v>41.469578999999996</v>
      </c>
      <c r="GR19" s="349">
        <f t="shared" si="94"/>
        <v>29.301755249999999</v>
      </c>
      <c r="HA19" s="374"/>
      <c r="HB19" s="375"/>
      <c r="HC19" s="374"/>
      <c r="HD19" s="374"/>
      <c r="HE19" s="374"/>
      <c r="HF19" s="351">
        <f t="shared" si="95"/>
        <v>0</v>
      </c>
      <c r="HG19" s="351">
        <f t="shared" si="96"/>
        <v>0</v>
      </c>
      <c r="HH19" s="352">
        <f t="shared" si="97"/>
        <v>0</v>
      </c>
      <c r="HI19" s="352">
        <f t="shared" si="150"/>
        <v>0</v>
      </c>
      <c r="HJ19" s="353">
        <f t="shared" si="151"/>
        <v>0</v>
      </c>
      <c r="HK19" s="353">
        <f t="shared" si="152"/>
        <v>0</v>
      </c>
    </row>
    <row r="20" spans="1:219" x14ac:dyDescent="0.2">
      <c r="A20" s="320">
        <v>10</v>
      </c>
      <c r="C20" s="350">
        <v>0.77829999999999999</v>
      </c>
      <c r="D20" s="350">
        <v>0.30709999999999998</v>
      </c>
      <c r="E20" s="350">
        <v>0</v>
      </c>
      <c r="F20" s="350">
        <v>8915.94</v>
      </c>
      <c r="G20" s="350">
        <v>15291.523300000001</v>
      </c>
      <c r="H20" s="351">
        <f t="shared" si="30"/>
        <v>759.69862999999998</v>
      </c>
      <c r="I20" s="351">
        <f t="shared" si="31"/>
        <v>569.26819899999998</v>
      </c>
      <c r="J20" s="352">
        <f t="shared" si="32"/>
        <v>0</v>
      </c>
      <c r="K20" s="352">
        <f t="shared" si="98"/>
        <v>0</v>
      </c>
      <c r="L20" s="353">
        <f t="shared" si="99"/>
        <v>759.69862999999998</v>
      </c>
      <c r="M20" s="353">
        <f t="shared" si="100"/>
        <v>569.26819899999998</v>
      </c>
      <c r="N20" s="343">
        <f t="shared" si="101"/>
        <v>759.69862999999998</v>
      </c>
      <c r="O20" s="343">
        <f t="shared" si="102"/>
        <v>569.26819899999998</v>
      </c>
      <c r="Q20" s="374">
        <v>0.88100000000000001</v>
      </c>
      <c r="R20" s="375">
        <v>0.33579999999999999</v>
      </c>
      <c r="S20" s="374">
        <v>0</v>
      </c>
      <c r="T20" s="374">
        <v>1673.4408000000001</v>
      </c>
      <c r="U20" s="374">
        <v>1525.9833000000001</v>
      </c>
      <c r="V20" s="351">
        <f t="shared" si="33"/>
        <v>563.31139999999994</v>
      </c>
      <c r="W20" s="351">
        <f t="shared" si="34"/>
        <v>403.423404</v>
      </c>
      <c r="X20" s="352">
        <f t="shared" si="35"/>
        <v>0</v>
      </c>
      <c r="Y20" s="352">
        <f t="shared" si="103"/>
        <v>0</v>
      </c>
      <c r="Z20" s="353">
        <f t="shared" si="104"/>
        <v>563.31139999999994</v>
      </c>
      <c r="AA20" s="353">
        <f t="shared" si="105"/>
        <v>403.423404</v>
      </c>
      <c r="AB20" s="343">
        <f t="shared" si="106"/>
        <v>563.31139999999994</v>
      </c>
      <c r="AC20" s="343">
        <f t="shared" si="107"/>
        <v>403.423404</v>
      </c>
      <c r="AE20" s="374">
        <v>0.61599999999999999</v>
      </c>
      <c r="AF20" s="375">
        <v>0.1295</v>
      </c>
      <c r="AG20" s="374">
        <v>0</v>
      </c>
      <c r="AH20" s="374">
        <v>109.13</v>
      </c>
      <c r="AI20" s="374">
        <v>89.465800000000002</v>
      </c>
      <c r="AJ20" s="351">
        <f t="shared" si="36"/>
        <v>264.00527999999997</v>
      </c>
      <c r="AK20" s="351">
        <f t="shared" si="37"/>
        <v>128.74630999999999</v>
      </c>
      <c r="AL20" s="352">
        <f t="shared" si="38"/>
        <v>0</v>
      </c>
      <c r="AM20" s="352">
        <f t="shared" si="108"/>
        <v>0</v>
      </c>
      <c r="AN20" s="353">
        <f t="shared" si="109"/>
        <v>264.00527999999997</v>
      </c>
      <c r="AO20" s="353">
        <f t="shared" si="110"/>
        <v>128.74630999999999</v>
      </c>
      <c r="AP20" s="343">
        <f t="shared" si="111"/>
        <v>264.00527999999997</v>
      </c>
      <c r="AQ20" s="343">
        <f t="shared" si="112"/>
        <v>128.74630999999999</v>
      </c>
      <c r="AS20" s="374">
        <v>0.53290000000000004</v>
      </c>
      <c r="AT20" s="375">
        <v>0.2044</v>
      </c>
      <c r="AU20" s="374">
        <v>0</v>
      </c>
      <c r="AV20" s="374">
        <v>9761.4424999999992</v>
      </c>
      <c r="AW20" s="374">
        <v>9068.4750000000004</v>
      </c>
      <c r="AX20" s="351">
        <f t="shared" si="39"/>
        <v>181.54304300000001</v>
      </c>
      <c r="AY20" s="351">
        <f t="shared" si="40"/>
        <v>139.629728</v>
      </c>
      <c r="AZ20" s="352">
        <f t="shared" si="41"/>
        <v>0</v>
      </c>
      <c r="BA20" s="352">
        <f t="shared" si="113"/>
        <v>0</v>
      </c>
      <c r="BB20" s="353">
        <f t="shared" si="114"/>
        <v>181.54304300000001</v>
      </c>
      <c r="BC20" s="353">
        <f t="shared" si="115"/>
        <v>139.629728</v>
      </c>
      <c r="BD20" s="343">
        <f t="shared" si="116"/>
        <v>181.54304300000001</v>
      </c>
      <c r="BE20" s="343">
        <f t="shared" si="117"/>
        <v>139.629728</v>
      </c>
      <c r="BG20" s="374">
        <v>0.50600000000000001</v>
      </c>
      <c r="BH20" s="375">
        <v>0.2485</v>
      </c>
      <c r="BI20" s="374">
        <v>0</v>
      </c>
      <c r="BJ20" s="374">
        <v>4234.8416999999999</v>
      </c>
      <c r="BK20" s="374">
        <v>3916.6008000000002</v>
      </c>
      <c r="BL20" s="351">
        <f t="shared" si="42"/>
        <v>169.39362</v>
      </c>
      <c r="BM20" s="351">
        <f t="shared" si="43"/>
        <v>145.60111999999998</v>
      </c>
      <c r="BN20" s="352">
        <f t="shared" si="44"/>
        <v>0</v>
      </c>
      <c r="BO20" s="352">
        <f t="shared" si="118"/>
        <v>0</v>
      </c>
      <c r="BP20" s="353">
        <f t="shared" si="119"/>
        <v>169.39362</v>
      </c>
      <c r="BQ20" s="353">
        <f t="shared" si="120"/>
        <v>145.60111999999998</v>
      </c>
      <c r="BR20" s="343">
        <f t="shared" si="121"/>
        <v>169.39362</v>
      </c>
      <c r="BS20" s="343">
        <f t="shared" si="122"/>
        <v>145.60111999999998</v>
      </c>
      <c r="BU20" s="374">
        <v>0.55330000000000001</v>
      </c>
      <c r="BV20" s="375">
        <v>0.22969999999999999</v>
      </c>
      <c r="BW20" s="374">
        <v>0</v>
      </c>
      <c r="BX20" s="374">
        <v>2882.9308000000001</v>
      </c>
      <c r="BY20" s="374">
        <v>2739.0641999999998</v>
      </c>
      <c r="BZ20" s="351">
        <f t="shared" si="45"/>
        <v>128.431996</v>
      </c>
      <c r="CA20" s="351">
        <f t="shared" si="46"/>
        <v>87.715538999999993</v>
      </c>
      <c r="CB20" s="352">
        <f t="shared" si="47"/>
        <v>0</v>
      </c>
      <c r="CC20" s="352">
        <f t="shared" si="123"/>
        <v>0</v>
      </c>
      <c r="CD20" s="353">
        <f t="shared" si="124"/>
        <v>128.431996</v>
      </c>
      <c r="CE20" s="353">
        <f t="shared" si="125"/>
        <v>87.715538999999993</v>
      </c>
      <c r="CF20" s="343">
        <f t="shared" si="126"/>
        <v>128.431996</v>
      </c>
      <c r="CG20" s="343">
        <f t="shared" si="127"/>
        <v>87.715538999999993</v>
      </c>
      <c r="CI20" s="374">
        <v>0.74219999999999997</v>
      </c>
      <c r="CJ20" s="375">
        <v>0.57399999999999995</v>
      </c>
      <c r="CK20" s="374">
        <v>0</v>
      </c>
      <c r="CL20" s="374">
        <v>17522.782500000001</v>
      </c>
      <c r="CM20" s="374">
        <v>16345.82</v>
      </c>
      <c r="CN20" s="351">
        <f t="shared" si="48"/>
        <v>157.739766</v>
      </c>
      <c r="CO20" s="351">
        <f t="shared" si="49"/>
        <v>158.10829999999999</v>
      </c>
      <c r="CP20" s="352">
        <f t="shared" si="50"/>
        <v>0</v>
      </c>
      <c r="CQ20" s="352">
        <f t="shared" si="128"/>
        <v>0</v>
      </c>
      <c r="CR20" s="353">
        <f t="shared" si="129"/>
        <v>157.739766</v>
      </c>
      <c r="CS20" s="353">
        <f t="shared" si="130"/>
        <v>158.10829999999999</v>
      </c>
      <c r="CT20" s="343">
        <f t="shared" si="131"/>
        <v>157.739766</v>
      </c>
      <c r="CU20" s="343">
        <f t="shared" si="132"/>
        <v>158.10829999999999</v>
      </c>
      <c r="CW20" s="374">
        <v>1.2718</v>
      </c>
      <c r="CX20" s="375">
        <v>1.3668</v>
      </c>
      <c r="CY20" s="374">
        <v>8.0000000000000004E-4</v>
      </c>
      <c r="CZ20" s="374">
        <v>7497.4607999999998</v>
      </c>
      <c r="DA20" s="374">
        <v>7031.3617000000004</v>
      </c>
      <c r="DB20" s="351">
        <f t="shared" si="51"/>
        <v>285.17571399999997</v>
      </c>
      <c r="DC20" s="351">
        <f t="shared" si="52"/>
        <v>424.71943200000004</v>
      </c>
      <c r="DD20" s="352">
        <f t="shared" si="53"/>
        <v>2.0000000000000001E-4</v>
      </c>
      <c r="DE20" s="352">
        <f t="shared" si="133"/>
        <v>1.1965694776000061E-4</v>
      </c>
      <c r="DF20" s="353">
        <f t="shared" si="134"/>
        <v>285.17583365694776</v>
      </c>
      <c r="DG20" s="353">
        <f t="shared" si="135"/>
        <v>424.71935165694782</v>
      </c>
      <c r="DH20" s="343">
        <f t="shared" si="136"/>
        <v>285.17571399999997</v>
      </c>
      <c r="DI20" s="343">
        <f t="shared" si="137"/>
        <v>424.71923200000003</v>
      </c>
      <c r="DK20" s="374">
        <v>1.4313</v>
      </c>
      <c r="DL20" s="375">
        <v>1.4201999999999999</v>
      </c>
      <c r="DM20" s="374">
        <v>0</v>
      </c>
      <c r="DN20" s="374">
        <v>1735.4966999999999</v>
      </c>
      <c r="DO20" s="374">
        <v>1559.2192</v>
      </c>
      <c r="DP20" s="351">
        <f t="shared" si="54"/>
        <v>188.60240100000001</v>
      </c>
      <c r="DQ20" s="351">
        <f t="shared" si="55"/>
        <v>279.58057200000002</v>
      </c>
      <c r="DR20" s="352">
        <f t="shared" si="56"/>
        <v>0</v>
      </c>
      <c r="DS20" s="352">
        <f t="shared" si="138"/>
        <v>0</v>
      </c>
      <c r="DT20" s="353">
        <f t="shared" si="139"/>
        <v>188.60240100000001</v>
      </c>
      <c r="DU20" s="353">
        <f t="shared" si="140"/>
        <v>279.58057200000002</v>
      </c>
      <c r="DV20" s="343">
        <f t="shared" si="141"/>
        <v>188.60240100000001</v>
      </c>
      <c r="DW20" s="343">
        <f t="shared" si="142"/>
        <v>279.58057200000002</v>
      </c>
      <c r="EB20" s="326"/>
      <c r="EC20" s="326"/>
      <c r="ED20" s="326"/>
      <c r="EE20" s="348">
        <f t="shared" si="143"/>
        <v>43697.625800000002</v>
      </c>
      <c r="EF20" s="348">
        <f t="shared" si="144"/>
        <v>47737.18</v>
      </c>
      <c r="EG20" s="348">
        <f t="shared" si="145"/>
        <v>1327.1220102</v>
      </c>
      <c r="EH20" s="348">
        <f t="shared" si="146"/>
        <v>1206.7817726000001</v>
      </c>
      <c r="EI20" s="354">
        <f t="shared" si="57"/>
        <v>0.47791019423808961</v>
      </c>
      <c r="EJ20" s="326"/>
      <c r="EK20" s="348">
        <f t="shared" si="147"/>
        <v>1327.1221059255581</v>
      </c>
      <c r="EL20" s="348">
        <f t="shared" si="148"/>
        <v>1206.7817083255582</v>
      </c>
      <c r="EM20" s="348">
        <f t="shared" si="58"/>
        <v>1327.1220102</v>
      </c>
      <c r="EN20" s="348">
        <f t="shared" si="149"/>
        <v>1206.7816126</v>
      </c>
      <c r="EP20" s="326"/>
      <c r="EQ20" s="326"/>
      <c r="ER20" s="326"/>
      <c r="ES20" s="348">
        <f t="shared" si="59"/>
        <v>30928.525800000003</v>
      </c>
      <c r="ET20" s="348">
        <f t="shared" si="60"/>
        <v>28819.765800000001</v>
      </c>
      <c r="EU20" s="348">
        <f t="shared" si="61"/>
        <v>1090.0677857999999</v>
      </c>
      <c r="EV20" s="348">
        <f t="shared" si="62"/>
        <v>1004.4364263999998</v>
      </c>
      <c r="EW20" s="354">
        <f t="shared" si="63"/>
        <v>0.51764703176885485</v>
      </c>
      <c r="EX20" s="326"/>
      <c r="EY20" s="348">
        <f t="shared" si="64"/>
        <v>1090.0678695598633</v>
      </c>
      <c r="EZ20" s="348">
        <f t="shared" si="65"/>
        <v>1004.4363701598634</v>
      </c>
      <c r="FA20" s="348">
        <f t="shared" si="66"/>
        <v>1090.0677857999999</v>
      </c>
      <c r="FB20" s="348">
        <f t="shared" si="67"/>
        <v>1004.4362864</v>
      </c>
      <c r="FD20" s="326"/>
      <c r="FE20" s="326"/>
      <c r="FF20" s="326"/>
      <c r="FG20" s="348">
        <f t="shared" si="68"/>
        <v>22250.34</v>
      </c>
      <c r="FH20" s="348">
        <f t="shared" si="69"/>
        <v>20733.569199999998</v>
      </c>
      <c r="FI20" s="348">
        <f t="shared" si="70"/>
        <v>663.33848260000002</v>
      </c>
      <c r="FJ20" s="348">
        <f t="shared" si="71"/>
        <v>542.31849219999992</v>
      </c>
      <c r="FK20" s="354">
        <f t="shared" si="72"/>
        <v>0.51764347203674077</v>
      </c>
      <c r="FL20" s="326"/>
      <c r="FM20" s="348">
        <f t="shared" si="73"/>
        <v>663.33848260000002</v>
      </c>
      <c r="FN20" s="348">
        <f t="shared" si="74"/>
        <v>542.31849219999992</v>
      </c>
      <c r="FO20" s="348">
        <f t="shared" si="75"/>
        <v>663.33848260000002</v>
      </c>
      <c r="FP20" s="348">
        <f t="shared" si="76"/>
        <v>542.31849219999992</v>
      </c>
      <c r="FR20" s="326"/>
      <c r="FS20" s="326"/>
      <c r="FT20" s="326"/>
      <c r="FU20" s="348">
        <f t="shared" si="77"/>
        <v>25020.243300000002</v>
      </c>
      <c r="FV20" s="348">
        <f t="shared" si="78"/>
        <v>23377.181700000001</v>
      </c>
      <c r="FW20" s="348">
        <f t="shared" si="79"/>
        <v>385.88033719999999</v>
      </c>
      <c r="FX20" s="348">
        <f t="shared" si="80"/>
        <v>497.88384560000003</v>
      </c>
      <c r="FY20" s="354">
        <f t="shared" si="81"/>
        <v>0.5169746799545637</v>
      </c>
      <c r="FZ20" s="326"/>
      <c r="GA20" s="348">
        <f t="shared" si="82"/>
        <v>385.88043292555824</v>
      </c>
      <c r="GB20" s="348">
        <f t="shared" si="83"/>
        <v>497.88378132555829</v>
      </c>
      <c r="GC20" s="348">
        <f t="shared" si="84"/>
        <v>385.88033719999999</v>
      </c>
      <c r="GD20" s="348">
        <f t="shared" si="85"/>
        <v>497.88368560000004</v>
      </c>
      <c r="GF20" s="326"/>
      <c r="GG20" s="326"/>
      <c r="GH20" s="326"/>
      <c r="GI20" s="348">
        <f t="shared" si="86"/>
        <v>12644.373299999999</v>
      </c>
      <c r="GJ20" s="348">
        <f t="shared" si="87"/>
        <v>11807.539199999999</v>
      </c>
      <c r="GK20" s="349">
        <f t="shared" si="88"/>
        <v>39.83328525000001</v>
      </c>
      <c r="GL20" s="349">
        <f t="shared" si="89"/>
        <v>38.935641750000002</v>
      </c>
      <c r="GM20" s="354">
        <f t="shared" si="90"/>
        <v>0.51711183327684496</v>
      </c>
      <c r="GN20" s="326"/>
      <c r="GO20" s="349">
        <f t="shared" si="91"/>
        <v>39.83328525000001</v>
      </c>
      <c r="GP20" s="349">
        <f t="shared" si="92"/>
        <v>38.935641750000002</v>
      </c>
      <c r="GQ20" s="349">
        <f t="shared" si="93"/>
        <v>39.83328525000001</v>
      </c>
      <c r="GR20" s="349">
        <f t="shared" si="94"/>
        <v>38.935641750000002</v>
      </c>
      <c r="HA20" s="374"/>
      <c r="HB20" s="375"/>
      <c r="HC20" s="374"/>
      <c r="HD20" s="374"/>
      <c r="HE20" s="374"/>
      <c r="HF20" s="351">
        <f t="shared" si="95"/>
        <v>0</v>
      </c>
      <c r="HG20" s="351">
        <f t="shared" si="96"/>
        <v>0</v>
      </c>
      <c r="HH20" s="352">
        <f t="shared" si="97"/>
        <v>0</v>
      </c>
      <c r="HI20" s="352">
        <f t="shared" si="150"/>
        <v>0</v>
      </c>
      <c r="HJ20" s="353">
        <f t="shared" si="151"/>
        <v>0</v>
      </c>
      <c r="HK20" s="353">
        <f t="shared" si="152"/>
        <v>0</v>
      </c>
    </row>
    <row r="21" spans="1:219" x14ac:dyDescent="0.2">
      <c r="A21" s="320">
        <v>11</v>
      </c>
      <c r="C21" s="350">
        <v>0.76559999999999995</v>
      </c>
      <c r="D21" s="350">
        <v>0.32090000000000002</v>
      </c>
      <c r="E21" s="350">
        <v>0</v>
      </c>
      <c r="F21" s="350">
        <v>8733.7950000000001</v>
      </c>
      <c r="G21" s="350">
        <v>15173.671700000001</v>
      </c>
      <c r="H21" s="351">
        <f t="shared" si="30"/>
        <v>747.30215999999996</v>
      </c>
      <c r="I21" s="351">
        <f t="shared" si="31"/>
        <v>594.84912100000008</v>
      </c>
      <c r="J21" s="352">
        <f t="shared" si="32"/>
        <v>0</v>
      </c>
      <c r="K21" s="352">
        <f t="shared" si="98"/>
        <v>0</v>
      </c>
      <c r="L21" s="353">
        <f t="shared" si="99"/>
        <v>747.30215999999996</v>
      </c>
      <c r="M21" s="353">
        <f t="shared" si="100"/>
        <v>594.84912100000008</v>
      </c>
      <c r="N21" s="343">
        <f t="shared" si="101"/>
        <v>747.30215999999996</v>
      </c>
      <c r="O21" s="343">
        <f t="shared" si="102"/>
        <v>594.84912100000008</v>
      </c>
      <c r="Q21" s="374">
        <v>0.87909999999999999</v>
      </c>
      <c r="R21" s="375">
        <v>0.35310000000000002</v>
      </c>
      <c r="S21" s="374">
        <v>0</v>
      </c>
      <c r="T21" s="374">
        <v>1576.6133</v>
      </c>
      <c r="U21" s="374">
        <v>1477.5725</v>
      </c>
      <c r="V21" s="351">
        <f t="shared" si="33"/>
        <v>562.09654</v>
      </c>
      <c r="W21" s="351">
        <f t="shared" si="34"/>
        <v>424.20727800000009</v>
      </c>
      <c r="X21" s="352">
        <f t="shared" si="35"/>
        <v>0</v>
      </c>
      <c r="Y21" s="352">
        <f t="shared" si="103"/>
        <v>0</v>
      </c>
      <c r="Z21" s="353">
        <f t="shared" si="104"/>
        <v>562.09654</v>
      </c>
      <c r="AA21" s="353">
        <f t="shared" si="105"/>
        <v>424.20727800000009</v>
      </c>
      <c r="AB21" s="343">
        <f t="shared" si="106"/>
        <v>562.09654</v>
      </c>
      <c r="AC21" s="343">
        <f t="shared" si="107"/>
        <v>424.20727800000009</v>
      </c>
      <c r="AE21" s="374">
        <v>0.63080000000000003</v>
      </c>
      <c r="AF21" s="375">
        <v>0.14219999999999999</v>
      </c>
      <c r="AG21" s="374">
        <v>0</v>
      </c>
      <c r="AH21" s="374">
        <v>96.35</v>
      </c>
      <c r="AI21" s="374">
        <v>80.024199999999993</v>
      </c>
      <c r="AJ21" s="351">
        <f t="shared" si="36"/>
        <v>270.34826400000003</v>
      </c>
      <c r="AK21" s="351">
        <f t="shared" si="37"/>
        <v>141.37239599999998</v>
      </c>
      <c r="AL21" s="352">
        <f t="shared" si="38"/>
        <v>0</v>
      </c>
      <c r="AM21" s="352">
        <f t="shared" si="108"/>
        <v>0</v>
      </c>
      <c r="AN21" s="353">
        <f t="shared" si="109"/>
        <v>270.34826400000003</v>
      </c>
      <c r="AO21" s="353">
        <f t="shared" si="110"/>
        <v>141.37239599999998</v>
      </c>
      <c r="AP21" s="343">
        <f t="shared" si="111"/>
        <v>270.34826400000003</v>
      </c>
      <c r="AQ21" s="343">
        <f t="shared" si="112"/>
        <v>141.37239599999998</v>
      </c>
      <c r="AS21" s="374">
        <v>0.56310000000000004</v>
      </c>
      <c r="AT21" s="375">
        <v>0.26919999999999999</v>
      </c>
      <c r="AU21" s="374">
        <v>0</v>
      </c>
      <c r="AV21" s="374">
        <v>9513.9217000000008</v>
      </c>
      <c r="AW21" s="374">
        <v>8956.5167000000001</v>
      </c>
      <c r="AX21" s="351">
        <f t="shared" si="39"/>
        <v>191.83127700000003</v>
      </c>
      <c r="AY21" s="351">
        <f t="shared" si="40"/>
        <v>183.895904</v>
      </c>
      <c r="AZ21" s="352">
        <f t="shared" si="41"/>
        <v>0</v>
      </c>
      <c r="BA21" s="352">
        <f t="shared" si="113"/>
        <v>0</v>
      </c>
      <c r="BB21" s="353">
        <f t="shared" si="114"/>
        <v>191.83127700000003</v>
      </c>
      <c r="BC21" s="353">
        <f t="shared" si="115"/>
        <v>183.895904</v>
      </c>
      <c r="BD21" s="343">
        <f t="shared" si="116"/>
        <v>191.83127700000003</v>
      </c>
      <c r="BE21" s="343">
        <f t="shared" si="117"/>
        <v>183.895904</v>
      </c>
      <c r="BG21" s="374">
        <v>0.53849999999999998</v>
      </c>
      <c r="BH21" s="375">
        <v>0.28239999999999998</v>
      </c>
      <c r="BI21" s="374">
        <v>0</v>
      </c>
      <c r="BJ21" s="374">
        <v>3908.8433</v>
      </c>
      <c r="BK21" s="374">
        <v>3890.7692000000002</v>
      </c>
      <c r="BL21" s="351">
        <f t="shared" si="42"/>
        <v>180.27364499999999</v>
      </c>
      <c r="BM21" s="351">
        <f t="shared" si="43"/>
        <v>165.46380799999997</v>
      </c>
      <c r="BN21" s="352">
        <f t="shared" si="44"/>
        <v>0</v>
      </c>
      <c r="BO21" s="352">
        <f t="shared" si="118"/>
        <v>0</v>
      </c>
      <c r="BP21" s="353">
        <f t="shared" si="119"/>
        <v>180.27364499999999</v>
      </c>
      <c r="BQ21" s="353">
        <f t="shared" si="120"/>
        <v>165.46380799999997</v>
      </c>
      <c r="BR21" s="343">
        <f t="shared" si="121"/>
        <v>180.27364499999999</v>
      </c>
      <c r="BS21" s="343">
        <f t="shared" si="122"/>
        <v>165.46380799999997</v>
      </c>
      <c r="BU21" s="374">
        <v>0.60409999999999997</v>
      </c>
      <c r="BV21" s="375">
        <v>0.2656</v>
      </c>
      <c r="BW21" s="374">
        <v>0</v>
      </c>
      <c r="BX21" s="374">
        <v>2971.34</v>
      </c>
      <c r="BY21" s="374">
        <v>2804.6541999999999</v>
      </c>
      <c r="BZ21" s="351">
        <f t="shared" si="45"/>
        <v>140.223692</v>
      </c>
      <c r="CA21" s="351">
        <f t="shared" si="46"/>
        <v>101.424672</v>
      </c>
      <c r="CB21" s="352">
        <f t="shared" si="47"/>
        <v>0</v>
      </c>
      <c r="CC21" s="352">
        <f t="shared" si="123"/>
        <v>0</v>
      </c>
      <c r="CD21" s="353">
        <f t="shared" si="124"/>
        <v>140.223692</v>
      </c>
      <c r="CE21" s="353">
        <f t="shared" si="125"/>
        <v>101.424672</v>
      </c>
      <c r="CF21" s="343">
        <f t="shared" si="126"/>
        <v>140.223692</v>
      </c>
      <c r="CG21" s="343">
        <f t="shared" si="127"/>
        <v>101.424672</v>
      </c>
      <c r="CI21" s="374">
        <v>0.77629999999999999</v>
      </c>
      <c r="CJ21" s="375">
        <v>0.61099999999999999</v>
      </c>
      <c r="CK21" s="374">
        <v>0</v>
      </c>
      <c r="CL21" s="374">
        <v>17039.952499999999</v>
      </c>
      <c r="CM21" s="374">
        <v>16332.234200000001</v>
      </c>
      <c r="CN21" s="351">
        <f t="shared" si="48"/>
        <v>164.98703900000001</v>
      </c>
      <c r="CO21" s="351">
        <f t="shared" si="49"/>
        <v>168.29995</v>
      </c>
      <c r="CP21" s="352">
        <f t="shared" si="50"/>
        <v>0</v>
      </c>
      <c r="CQ21" s="352">
        <f t="shared" si="128"/>
        <v>0</v>
      </c>
      <c r="CR21" s="353">
        <f t="shared" si="129"/>
        <v>164.98703900000001</v>
      </c>
      <c r="CS21" s="353">
        <f t="shared" si="130"/>
        <v>168.29995</v>
      </c>
      <c r="CT21" s="343">
        <f t="shared" si="131"/>
        <v>164.98703900000001</v>
      </c>
      <c r="CU21" s="343">
        <f t="shared" si="132"/>
        <v>168.29995</v>
      </c>
      <c r="CW21" s="374">
        <v>1.8680000000000001</v>
      </c>
      <c r="CX21" s="375">
        <v>1.9094</v>
      </c>
      <c r="CY21" s="374">
        <v>3.7000000000000002E-3</v>
      </c>
      <c r="CZ21" s="374">
        <v>7303.3467000000001</v>
      </c>
      <c r="DA21" s="374">
        <v>7015.3532999999998</v>
      </c>
      <c r="DB21" s="351">
        <f t="shared" si="51"/>
        <v>418.86164000000002</v>
      </c>
      <c r="DC21" s="351">
        <f t="shared" si="52"/>
        <v>593.326956</v>
      </c>
      <c r="DD21" s="352">
        <f t="shared" si="53"/>
        <v>9.2500000000000004E-4</v>
      </c>
      <c r="DE21" s="352">
        <f t="shared" si="133"/>
        <v>5.4221855143287941E-4</v>
      </c>
      <c r="DF21" s="353">
        <f t="shared" si="134"/>
        <v>418.86218221855148</v>
      </c>
      <c r="DG21" s="353">
        <f t="shared" si="135"/>
        <v>593.3265732185514</v>
      </c>
      <c r="DH21" s="343">
        <f t="shared" si="136"/>
        <v>418.86164000000002</v>
      </c>
      <c r="DI21" s="343">
        <f t="shared" si="137"/>
        <v>593.32603099999994</v>
      </c>
      <c r="DK21" s="374">
        <v>1.9944</v>
      </c>
      <c r="DL21" s="375">
        <v>2.1812</v>
      </c>
      <c r="DM21" s="374">
        <v>4.0000000000000002E-4</v>
      </c>
      <c r="DN21" s="374">
        <v>1613.9183</v>
      </c>
      <c r="DO21" s="374">
        <v>1508.3958</v>
      </c>
      <c r="DP21" s="351">
        <f t="shared" si="54"/>
        <v>262.80208800000003</v>
      </c>
      <c r="DQ21" s="351">
        <f t="shared" si="55"/>
        <v>429.39103200000005</v>
      </c>
      <c r="DR21" s="352">
        <f t="shared" si="56"/>
        <v>7.6000000000000004E-5</v>
      </c>
      <c r="DS21" s="352">
        <f t="shared" si="138"/>
        <v>4.7145395539325783E-5</v>
      </c>
      <c r="DT21" s="353">
        <f t="shared" si="139"/>
        <v>262.80213514539554</v>
      </c>
      <c r="DU21" s="353">
        <f t="shared" si="140"/>
        <v>429.39100314539559</v>
      </c>
      <c r="DV21" s="343">
        <f t="shared" si="141"/>
        <v>262.80208800000003</v>
      </c>
      <c r="DW21" s="343">
        <f t="shared" si="142"/>
        <v>429.39095600000007</v>
      </c>
      <c r="EB21" s="326"/>
      <c r="EC21" s="326"/>
      <c r="ED21" s="326"/>
      <c r="EE21" s="348">
        <f t="shared" si="143"/>
        <v>42591.015900000006</v>
      </c>
      <c r="EF21" s="348">
        <f t="shared" si="144"/>
        <v>47477.775900000001</v>
      </c>
      <c r="EG21" s="348">
        <f t="shared" si="145"/>
        <v>1439.2097880000001</v>
      </c>
      <c r="EH21" s="348">
        <f t="shared" si="146"/>
        <v>1421.7065398</v>
      </c>
      <c r="EI21" s="354">
        <f t="shared" si="57"/>
        <v>0.47287206865808101</v>
      </c>
      <c r="EJ21" s="326"/>
      <c r="EK21" s="348">
        <f t="shared" si="147"/>
        <v>1439.2102217748413</v>
      </c>
      <c r="EL21" s="348">
        <f t="shared" si="148"/>
        <v>1421.7062335748412</v>
      </c>
      <c r="EM21" s="348">
        <f t="shared" si="58"/>
        <v>1439.2097880000001</v>
      </c>
      <c r="EN21" s="348">
        <f t="shared" si="149"/>
        <v>1421.7057998</v>
      </c>
      <c r="EP21" s="326"/>
      <c r="EQ21" s="326"/>
      <c r="ER21" s="326"/>
      <c r="ES21" s="348">
        <f t="shared" si="59"/>
        <v>29828.755799999999</v>
      </c>
      <c r="ET21" s="348">
        <f t="shared" si="60"/>
        <v>28715.929199999999</v>
      </c>
      <c r="EU21" s="348">
        <f t="shared" si="61"/>
        <v>1200.5603719999999</v>
      </c>
      <c r="EV21" s="348">
        <f t="shared" si="62"/>
        <v>1173.2999052</v>
      </c>
      <c r="EW21" s="354">
        <f t="shared" si="63"/>
        <v>0.50950407880749549</v>
      </c>
      <c r="EX21" s="326"/>
      <c r="EY21" s="348">
        <f t="shared" si="64"/>
        <v>1200.5607515529859</v>
      </c>
      <c r="EZ21" s="348">
        <f t="shared" si="65"/>
        <v>1173.299637252986</v>
      </c>
      <c r="FA21" s="348">
        <f t="shared" si="66"/>
        <v>1200.5603719999999</v>
      </c>
      <c r="FB21" s="348">
        <f t="shared" si="67"/>
        <v>1173.2992577</v>
      </c>
      <c r="FD21" s="326"/>
      <c r="FE21" s="326"/>
      <c r="FF21" s="326"/>
      <c r="FG21" s="348">
        <f t="shared" si="68"/>
        <v>21721.560799999999</v>
      </c>
      <c r="FH21" s="348">
        <f t="shared" si="69"/>
        <v>20725.308399999998</v>
      </c>
      <c r="FI21" s="348">
        <f t="shared" si="70"/>
        <v>733.24024780000002</v>
      </c>
      <c r="FJ21" s="348">
        <f t="shared" si="71"/>
        <v>668.73163720000002</v>
      </c>
      <c r="FK21" s="354">
        <f t="shared" si="72"/>
        <v>0.51173528718108607</v>
      </c>
      <c r="FL21" s="326"/>
      <c r="FM21" s="348">
        <f t="shared" si="73"/>
        <v>733.24027608723736</v>
      </c>
      <c r="FN21" s="348">
        <f t="shared" si="74"/>
        <v>668.73161988723723</v>
      </c>
      <c r="FO21" s="348">
        <f t="shared" si="75"/>
        <v>733.24024780000002</v>
      </c>
      <c r="FP21" s="348">
        <f t="shared" si="76"/>
        <v>668.7315916</v>
      </c>
      <c r="FR21" s="326"/>
      <c r="FS21" s="326"/>
      <c r="FT21" s="326"/>
      <c r="FU21" s="348">
        <f t="shared" si="77"/>
        <v>24343.299200000001</v>
      </c>
      <c r="FV21" s="348">
        <f t="shared" si="78"/>
        <v>23347.587500000001</v>
      </c>
      <c r="FW21" s="348">
        <f t="shared" si="79"/>
        <v>500.07635100000005</v>
      </c>
      <c r="FX21" s="348">
        <f t="shared" si="80"/>
        <v>642.96151480000003</v>
      </c>
      <c r="FY21" s="354">
        <f t="shared" si="81"/>
        <v>0.51043922402055064</v>
      </c>
      <c r="FZ21" s="326"/>
      <c r="GA21" s="348">
        <f t="shared" si="82"/>
        <v>500.07678477484126</v>
      </c>
      <c r="GB21" s="348">
        <f t="shared" si="83"/>
        <v>642.96120857484118</v>
      </c>
      <c r="GC21" s="348">
        <f t="shared" si="84"/>
        <v>500.07635100000005</v>
      </c>
      <c r="GD21" s="348">
        <f t="shared" si="85"/>
        <v>642.96077479999997</v>
      </c>
      <c r="GF21" s="326"/>
      <c r="GG21" s="326"/>
      <c r="GH21" s="326"/>
      <c r="GI21" s="348">
        <f t="shared" si="86"/>
        <v>12485.261700000001</v>
      </c>
      <c r="GJ21" s="348">
        <f t="shared" si="87"/>
        <v>11761.170900000001</v>
      </c>
      <c r="GK21" s="349">
        <f t="shared" si="88"/>
        <v>38.705688750000022</v>
      </c>
      <c r="GL21" s="349">
        <f t="shared" si="89"/>
        <v>61.853424000000004</v>
      </c>
      <c r="GM21" s="354">
        <f t="shared" si="90"/>
        <v>0.51493190383809295</v>
      </c>
      <c r="GN21" s="326"/>
      <c r="GO21" s="349">
        <f t="shared" si="91"/>
        <v>38.705688750000022</v>
      </c>
      <c r="GP21" s="349">
        <f t="shared" si="92"/>
        <v>61.853424000000004</v>
      </c>
      <c r="GQ21" s="349">
        <f t="shared" si="93"/>
        <v>38.705688750000022</v>
      </c>
      <c r="GR21" s="349">
        <f t="shared" si="94"/>
        <v>61.853424000000004</v>
      </c>
      <c r="HA21" s="374"/>
      <c r="HB21" s="375"/>
      <c r="HC21" s="374"/>
      <c r="HD21" s="374"/>
      <c r="HE21" s="374"/>
      <c r="HF21" s="351">
        <f t="shared" si="95"/>
        <v>0</v>
      </c>
      <c r="HG21" s="351">
        <f t="shared" si="96"/>
        <v>0</v>
      </c>
      <c r="HH21" s="352">
        <f t="shared" si="97"/>
        <v>0</v>
      </c>
      <c r="HI21" s="352">
        <f t="shared" si="150"/>
        <v>0</v>
      </c>
      <c r="HJ21" s="353">
        <f t="shared" si="151"/>
        <v>0</v>
      </c>
      <c r="HK21" s="353">
        <f t="shared" si="152"/>
        <v>0</v>
      </c>
    </row>
    <row r="22" spans="1:219" x14ac:dyDescent="0.2">
      <c r="A22" s="320">
        <v>12</v>
      </c>
      <c r="C22" s="350">
        <v>0.75529999999999997</v>
      </c>
      <c r="D22" s="350">
        <v>0.34289999999999998</v>
      </c>
      <c r="E22" s="350">
        <v>0</v>
      </c>
      <c r="F22" s="350">
        <v>8333.6975000000002</v>
      </c>
      <c r="G22" s="350">
        <v>14839.0633</v>
      </c>
      <c r="H22" s="351">
        <f t="shared" si="30"/>
        <v>737.24833000000001</v>
      </c>
      <c r="I22" s="351">
        <f t="shared" si="31"/>
        <v>635.63030100000003</v>
      </c>
      <c r="J22" s="352">
        <f t="shared" si="32"/>
        <v>0</v>
      </c>
      <c r="K22" s="352">
        <f t="shared" si="98"/>
        <v>0</v>
      </c>
      <c r="L22" s="353">
        <f t="shared" si="99"/>
        <v>737.24833000000001</v>
      </c>
      <c r="M22" s="353">
        <f t="shared" si="100"/>
        <v>635.63030100000003</v>
      </c>
      <c r="N22" s="343">
        <f t="shared" si="101"/>
        <v>737.24833000000001</v>
      </c>
      <c r="O22" s="343">
        <f t="shared" si="102"/>
        <v>635.63030100000003</v>
      </c>
      <c r="Q22" s="374">
        <v>0.8821</v>
      </c>
      <c r="R22" s="375">
        <v>0.3785</v>
      </c>
      <c r="S22" s="374">
        <v>0</v>
      </c>
      <c r="T22" s="374">
        <v>1623.0825</v>
      </c>
      <c r="U22" s="374">
        <v>1587.49</v>
      </c>
      <c r="V22" s="351">
        <f t="shared" si="33"/>
        <v>564.01473999999996</v>
      </c>
      <c r="W22" s="351">
        <f t="shared" si="34"/>
        <v>454.72233000000006</v>
      </c>
      <c r="X22" s="352">
        <f t="shared" si="35"/>
        <v>0</v>
      </c>
      <c r="Y22" s="352">
        <f t="shared" si="103"/>
        <v>0</v>
      </c>
      <c r="Z22" s="353">
        <f t="shared" si="104"/>
        <v>564.01473999999996</v>
      </c>
      <c r="AA22" s="353">
        <f t="shared" si="105"/>
        <v>454.72233000000006</v>
      </c>
      <c r="AB22" s="343">
        <f t="shared" si="106"/>
        <v>564.01473999999996</v>
      </c>
      <c r="AC22" s="343">
        <f t="shared" si="107"/>
        <v>454.72233000000006</v>
      </c>
      <c r="AE22" s="374">
        <v>0.64200000000000002</v>
      </c>
      <c r="AF22" s="375">
        <v>0.1578</v>
      </c>
      <c r="AG22" s="374">
        <v>0</v>
      </c>
      <c r="AH22" s="374">
        <v>108.40170000000001</v>
      </c>
      <c r="AI22" s="374">
        <v>104.4083</v>
      </c>
      <c r="AJ22" s="351">
        <f t="shared" si="36"/>
        <v>275.14835999999997</v>
      </c>
      <c r="AK22" s="351">
        <f t="shared" si="37"/>
        <v>156.88160399999998</v>
      </c>
      <c r="AL22" s="352">
        <f t="shared" si="38"/>
        <v>0</v>
      </c>
      <c r="AM22" s="352">
        <f t="shared" si="108"/>
        <v>0</v>
      </c>
      <c r="AN22" s="353">
        <f t="shared" si="109"/>
        <v>275.14835999999997</v>
      </c>
      <c r="AO22" s="353">
        <f t="shared" si="110"/>
        <v>156.88160399999998</v>
      </c>
      <c r="AP22" s="343">
        <f t="shared" si="111"/>
        <v>275.14835999999997</v>
      </c>
      <c r="AQ22" s="343">
        <f t="shared" si="112"/>
        <v>156.88160399999998</v>
      </c>
      <c r="AS22" s="374">
        <v>0.60760000000000003</v>
      </c>
      <c r="AT22" s="375">
        <v>0.31990000000000002</v>
      </c>
      <c r="AU22" s="374">
        <v>6.9999999999999999E-4</v>
      </c>
      <c r="AV22" s="374">
        <v>9096.5524999999998</v>
      </c>
      <c r="AW22" s="374">
        <v>8710.94</v>
      </c>
      <c r="AX22" s="351">
        <f t="shared" si="39"/>
        <v>206.99109200000001</v>
      </c>
      <c r="AY22" s="351">
        <f t="shared" si="40"/>
        <v>218.53008800000001</v>
      </c>
      <c r="AZ22" s="352">
        <f t="shared" si="41"/>
        <v>0.16986899999999999</v>
      </c>
      <c r="BA22" s="352">
        <f t="shared" si="113"/>
        <v>8.7237696413776628E-2</v>
      </c>
      <c r="BB22" s="353">
        <f t="shared" si="114"/>
        <v>207.07832969641379</v>
      </c>
      <c r="BC22" s="353">
        <f t="shared" si="115"/>
        <v>218.44745669641378</v>
      </c>
      <c r="BD22" s="343">
        <f t="shared" si="116"/>
        <v>206.99109200000001</v>
      </c>
      <c r="BE22" s="343">
        <f t="shared" si="117"/>
        <v>218.360219</v>
      </c>
      <c r="BG22" s="374">
        <v>0.58199999999999996</v>
      </c>
      <c r="BH22" s="375">
        <v>0.3276</v>
      </c>
      <c r="BI22" s="374">
        <v>0</v>
      </c>
      <c r="BJ22" s="374">
        <v>3878.31</v>
      </c>
      <c r="BK22" s="374">
        <v>3849.2325000000001</v>
      </c>
      <c r="BL22" s="351">
        <f t="shared" si="42"/>
        <v>194.83613999999997</v>
      </c>
      <c r="BM22" s="351">
        <f t="shared" si="43"/>
        <v>191.94739199999998</v>
      </c>
      <c r="BN22" s="352">
        <f t="shared" si="44"/>
        <v>0</v>
      </c>
      <c r="BO22" s="352">
        <f t="shared" si="118"/>
        <v>0</v>
      </c>
      <c r="BP22" s="353">
        <f t="shared" si="119"/>
        <v>194.83613999999997</v>
      </c>
      <c r="BQ22" s="353">
        <f t="shared" si="120"/>
        <v>191.94739199999998</v>
      </c>
      <c r="BR22" s="343">
        <f t="shared" si="121"/>
        <v>194.83613999999997</v>
      </c>
      <c r="BS22" s="343">
        <f t="shared" si="122"/>
        <v>191.94739199999998</v>
      </c>
      <c r="BU22" s="374">
        <v>0.6512</v>
      </c>
      <c r="BV22" s="375">
        <v>0.32719999999999999</v>
      </c>
      <c r="BW22" s="374">
        <v>0</v>
      </c>
      <c r="BX22" s="374">
        <v>2978.2725</v>
      </c>
      <c r="BY22" s="374">
        <v>2847.4283</v>
      </c>
      <c r="BZ22" s="351">
        <f t="shared" si="45"/>
        <v>151.156544</v>
      </c>
      <c r="CA22" s="351">
        <f t="shared" si="46"/>
        <v>124.947864</v>
      </c>
      <c r="CB22" s="352">
        <f t="shared" si="47"/>
        <v>0</v>
      </c>
      <c r="CC22" s="352">
        <f t="shared" si="123"/>
        <v>0</v>
      </c>
      <c r="CD22" s="353">
        <f t="shared" si="124"/>
        <v>151.156544</v>
      </c>
      <c r="CE22" s="353">
        <f t="shared" si="125"/>
        <v>124.947864</v>
      </c>
      <c r="CF22" s="343">
        <f t="shared" si="126"/>
        <v>151.156544</v>
      </c>
      <c r="CG22" s="343">
        <f t="shared" si="127"/>
        <v>124.947864</v>
      </c>
      <c r="CI22" s="374">
        <v>0.81520000000000004</v>
      </c>
      <c r="CJ22" s="375">
        <v>0.65790000000000004</v>
      </c>
      <c r="CK22" s="374">
        <v>3.2000000000000002E-3</v>
      </c>
      <c r="CL22" s="374">
        <v>16602.5517</v>
      </c>
      <c r="CM22" s="374">
        <v>16077.9617</v>
      </c>
      <c r="CN22" s="351">
        <f t="shared" si="48"/>
        <v>173.254456</v>
      </c>
      <c r="CO22" s="351">
        <f t="shared" si="49"/>
        <v>181.21855500000001</v>
      </c>
      <c r="CP22" s="352">
        <f t="shared" si="50"/>
        <v>1.2800000000000001E-3</v>
      </c>
      <c r="CQ22" s="352">
        <f t="shared" si="128"/>
        <v>6.5437915779715031E-4</v>
      </c>
      <c r="CR22" s="353">
        <f t="shared" si="129"/>
        <v>173.2551103791578</v>
      </c>
      <c r="CS22" s="353">
        <f t="shared" si="130"/>
        <v>181.21792937915779</v>
      </c>
      <c r="CT22" s="343">
        <f t="shared" si="131"/>
        <v>173.254456</v>
      </c>
      <c r="CU22" s="343">
        <f t="shared" si="132"/>
        <v>181.217275</v>
      </c>
      <c r="CW22" s="374">
        <v>2.5968</v>
      </c>
      <c r="CX22" s="375">
        <v>2.4186999999999999</v>
      </c>
      <c r="CY22" s="374">
        <v>7.9000000000000008E-3</v>
      </c>
      <c r="CZ22" s="374">
        <v>7019.1067000000003</v>
      </c>
      <c r="DA22" s="374">
        <v>6889.1983</v>
      </c>
      <c r="DB22" s="351">
        <f t="shared" si="51"/>
        <v>582.28046399999994</v>
      </c>
      <c r="DC22" s="351">
        <f t="shared" si="52"/>
        <v>751.58683799999994</v>
      </c>
      <c r="DD22" s="352">
        <f t="shared" si="53"/>
        <v>1.9750000000000002E-3</v>
      </c>
      <c r="DE22" s="352">
        <f t="shared" si="133"/>
        <v>1.1128423365834935E-3</v>
      </c>
      <c r="DF22" s="353">
        <f t="shared" si="134"/>
        <v>582.28157684233656</v>
      </c>
      <c r="DG22" s="353">
        <f t="shared" si="135"/>
        <v>751.58597584233655</v>
      </c>
      <c r="DH22" s="343">
        <f t="shared" si="136"/>
        <v>582.28046399999994</v>
      </c>
      <c r="DI22" s="343">
        <f t="shared" si="137"/>
        <v>751.58486299999993</v>
      </c>
      <c r="DK22" s="374">
        <v>3.0177999999999998</v>
      </c>
      <c r="DL22" s="375">
        <v>2.9762</v>
      </c>
      <c r="DM22" s="374">
        <v>3.2000000000000002E-3</v>
      </c>
      <c r="DN22" s="374">
        <v>1535.26</v>
      </c>
      <c r="DO22" s="374">
        <v>1471.8367000000001</v>
      </c>
      <c r="DP22" s="351">
        <f t="shared" si="54"/>
        <v>397.655506</v>
      </c>
      <c r="DQ22" s="351">
        <f t="shared" si="55"/>
        <v>585.89473199999998</v>
      </c>
      <c r="DR22" s="352">
        <f t="shared" si="56"/>
        <v>6.0800000000000003E-4</v>
      </c>
      <c r="DS22" s="352">
        <f t="shared" si="138"/>
        <v>3.6218180149126251E-4</v>
      </c>
      <c r="DT22" s="353">
        <f t="shared" si="139"/>
        <v>397.65586818180151</v>
      </c>
      <c r="DU22" s="353">
        <f t="shared" si="140"/>
        <v>585.89448618180143</v>
      </c>
      <c r="DV22" s="343">
        <f t="shared" si="141"/>
        <v>397.655506</v>
      </c>
      <c r="DW22" s="343">
        <f t="shared" si="142"/>
        <v>585.89412399999992</v>
      </c>
      <c r="EB22" s="326"/>
      <c r="EC22" s="326"/>
      <c r="ED22" s="326"/>
      <c r="EE22" s="348">
        <f t="shared" si="143"/>
        <v>41051.9084</v>
      </c>
      <c r="EF22" s="348">
        <f t="shared" si="144"/>
        <v>46517.1633</v>
      </c>
      <c r="EG22" s="348">
        <f t="shared" si="145"/>
        <v>1583.3182492000001</v>
      </c>
      <c r="EH22" s="348">
        <f t="shared" si="146"/>
        <v>1636.6484144000001</v>
      </c>
      <c r="EI22" s="354">
        <f t="shared" si="57"/>
        <v>0.46879460525330657</v>
      </c>
      <c r="EJ22" s="326"/>
      <c r="EK22" s="348">
        <f t="shared" si="147"/>
        <v>1583.4070315494407</v>
      </c>
      <c r="EL22" s="348">
        <f t="shared" si="148"/>
        <v>1636.5644677494408</v>
      </c>
      <c r="EM22" s="348">
        <f t="shared" si="58"/>
        <v>1583.3182492000001</v>
      </c>
      <c r="EN22" s="348">
        <f t="shared" si="149"/>
        <v>1636.4756854</v>
      </c>
      <c r="EP22" s="326"/>
      <c r="EQ22" s="326"/>
      <c r="ER22" s="326"/>
      <c r="ES22" s="348">
        <f t="shared" si="59"/>
        <v>29123.050899999998</v>
      </c>
      <c r="ET22" s="348">
        <f t="shared" si="60"/>
        <v>28403.8825</v>
      </c>
      <c r="EU22" s="348">
        <f t="shared" si="61"/>
        <v>1339.7016607999999</v>
      </c>
      <c r="EV22" s="348">
        <f t="shared" si="62"/>
        <v>1353.9990636000002</v>
      </c>
      <c r="EW22" s="354">
        <f t="shared" si="63"/>
        <v>0.5062507103846422</v>
      </c>
      <c r="EX22" s="326"/>
      <c r="EY22" s="348">
        <f t="shared" si="64"/>
        <v>1339.7030941687933</v>
      </c>
      <c r="EZ22" s="348">
        <f t="shared" si="65"/>
        <v>1353.9978344687934</v>
      </c>
      <c r="FA22" s="348">
        <f t="shared" si="66"/>
        <v>1339.7016607999999</v>
      </c>
      <c r="FB22" s="348">
        <f t="shared" si="67"/>
        <v>1353.9964011</v>
      </c>
      <c r="FD22" s="326"/>
      <c r="FE22" s="326"/>
      <c r="FF22" s="326"/>
      <c r="FG22" s="348">
        <f t="shared" si="68"/>
        <v>21224.4859</v>
      </c>
      <c r="FH22" s="348">
        <f t="shared" si="69"/>
        <v>20501.634999999998</v>
      </c>
      <c r="FI22" s="348">
        <f t="shared" si="70"/>
        <v>838.15266359999998</v>
      </c>
      <c r="FJ22" s="348">
        <f t="shared" si="71"/>
        <v>814.58486219999986</v>
      </c>
      <c r="FK22" s="354">
        <f t="shared" si="72"/>
        <v>0.50866185119067708</v>
      </c>
      <c r="FL22" s="326"/>
      <c r="FM22" s="348">
        <f t="shared" si="73"/>
        <v>838.15353528823869</v>
      </c>
      <c r="FN22" s="348">
        <f t="shared" si="74"/>
        <v>814.58408908823867</v>
      </c>
      <c r="FO22" s="348">
        <f t="shared" si="75"/>
        <v>838.15266359999998</v>
      </c>
      <c r="FP22" s="348">
        <f t="shared" si="76"/>
        <v>814.58321739999997</v>
      </c>
      <c r="FR22" s="326"/>
      <c r="FS22" s="326"/>
      <c r="FT22" s="326"/>
      <c r="FU22" s="348">
        <f t="shared" si="77"/>
        <v>23621.6584</v>
      </c>
      <c r="FV22" s="348">
        <f t="shared" si="78"/>
        <v>22967.16</v>
      </c>
      <c r="FW22" s="348">
        <f t="shared" si="79"/>
        <v>639.07882719999998</v>
      </c>
      <c r="FX22" s="348">
        <f t="shared" si="80"/>
        <v>782.48802539999997</v>
      </c>
      <c r="FY22" s="354">
        <f t="shared" si="81"/>
        <v>0.50702420046781005</v>
      </c>
      <c r="FZ22" s="326"/>
      <c r="GA22" s="348">
        <f t="shared" si="82"/>
        <v>639.08037185302703</v>
      </c>
      <c r="GB22" s="348">
        <f t="shared" si="83"/>
        <v>782.48671005302708</v>
      </c>
      <c r="GC22" s="348">
        <f t="shared" si="84"/>
        <v>639.07882719999998</v>
      </c>
      <c r="GD22" s="348">
        <f t="shared" si="85"/>
        <v>782.48516539999991</v>
      </c>
      <c r="GF22" s="326"/>
      <c r="GG22" s="326"/>
      <c r="GH22" s="326"/>
      <c r="GI22" s="348">
        <f t="shared" si="86"/>
        <v>12074.825000000001</v>
      </c>
      <c r="GJ22" s="348">
        <f t="shared" si="87"/>
        <v>11558.3683</v>
      </c>
      <c r="GK22" s="349">
        <f t="shared" si="88"/>
        <v>41.875911000000009</v>
      </c>
      <c r="GL22" s="349">
        <f t="shared" si="89"/>
        <v>70.186668000000012</v>
      </c>
      <c r="GM22" s="354">
        <f t="shared" si="90"/>
        <v>0.51092651114566057</v>
      </c>
      <c r="GN22" s="326"/>
      <c r="GO22" s="349">
        <f t="shared" si="91"/>
        <v>41.941339272310344</v>
      </c>
      <c r="GP22" s="349">
        <f t="shared" si="92"/>
        <v>70.124694522310335</v>
      </c>
      <c r="GQ22" s="349">
        <f t="shared" si="93"/>
        <v>41.875911000000009</v>
      </c>
      <c r="GR22" s="349">
        <f t="shared" si="94"/>
        <v>70.059266250000007</v>
      </c>
      <c r="HA22" s="374"/>
      <c r="HB22" s="375"/>
      <c r="HC22" s="374"/>
      <c r="HD22" s="374"/>
      <c r="HE22" s="374"/>
      <c r="HF22" s="351">
        <f t="shared" si="95"/>
        <v>0</v>
      </c>
      <c r="HG22" s="351">
        <f t="shared" si="96"/>
        <v>0</v>
      </c>
      <c r="HH22" s="352">
        <f t="shared" si="97"/>
        <v>0</v>
      </c>
      <c r="HI22" s="352">
        <f t="shared" si="150"/>
        <v>0</v>
      </c>
      <c r="HJ22" s="353">
        <f t="shared" si="151"/>
        <v>0</v>
      </c>
      <c r="HK22" s="353">
        <f t="shared" si="152"/>
        <v>0</v>
      </c>
    </row>
    <row r="23" spans="1:219" x14ac:dyDescent="0.2">
      <c r="A23" s="320">
        <v>13</v>
      </c>
      <c r="C23" s="350">
        <v>0.74780000000000002</v>
      </c>
      <c r="D23" s="350">
        <v>0.372</v>
      </c>
      <c r="E23" s="350">
        <v>0</v>
      </c>
      <c r="F23" s="350">
        <v>8211.8125</v>
      </c>
      <c r="G23" s="350">
        <v>14497.254999999999</v>
      </c>
      <c r="H23" s="351">
        <f t="shared" si="30"/>
        <v>729.92758000000003</v>
      </c>
      <c r="I23" s="351">
        <f t="shared" si="31"/>
        <v>689.57267999999999</v>
      </c>
      <c r="J23" s="352">
        <f t="shared" si="32"/>
        <v>0</v>
      </c>
      <c r="K23" s="352">
        <f t="shared" si="98"/>
        <v>0</v>
      </c>
      <c r="L23" s="353">
        <f t="shared" si="99"/>
        <v>729.92758000000003</v>
      </c>
      <c r="M23" s="353">
        <f t="shared" si="100"/>
        <v>689.57267999999999</v>
      </c>
      <c r="N23" s="343">
        <f t="shared" si="101"/>
        <v>729.92758000000003</v>
      </c>
      <c r="O23" s="343">
        <f t="shared" si="102"/>
        <v>689.57267999999999</v>
      </c>
      <c r="Q23" s="374">
        <v>0.88800000000000001</v>
      </c>
      <c r="R23" s="375">
        <v>0.4103</v>
      </c>
      <c r="S23" s="374">
        <v>4.7000000000000002E-3</v>
      </c>
      <c r="T23" s="374">
        <v>1574.76</v>
      </c>
      <c r="U23" s="374">
        <v>1550.8683000000001</v>
      </c>
      <c r="V23" s="351">
        <f t="shared" si="33"/>
        <v>567.78719999999998</v>
      </c>
      <c r="W23" s="351">
        <f t="shared" si="34"/>
        <v>492.92621400000002</v>
      </c>
      <c r="X23" s="352">
        <f t="shared" si="35"/>
        <v>0.94178600000000001</v>
      </c>
      <c r="Y23" s="352">
        <f t="shared" si="103"/>
        <v>0.43765922185104372</v>
      </c>
      <c r="Z23" s="353">
        <f t="shared" si="104"/>
        <v>568.22485922185103</v>
      </c>
      <c r="AA23" s="353">
        <f t="shared" si="105"/>
        <v>492.42208722185109</v>
      </c>
      <c r="AB23" s="343">
        <f t="shared" si="106"/>
        <v>567.78719999999998</v>
      </c>
      <c r="AC23" s="343">
        <f t="shared" si="107"/>
        <v>491.98442800000004</v>
      </c>
      <c r="AE23" s="374">
        <v>0.65039999999999998</v>
      </c>
      <c r="AF23" s="375">
        <v>0.17680000000000001</v>
      </c>
      <c r="AG23" s="374">
        <v>0</v>
      </c>
      <c r="AH23" s="374">
        <v>105.3933</v>
      </c>
      <c r="AI23" s="374">
        <v>114.3633</v>
      </c>
      <c r="AJ23" s="351">
        <f t="shared" si="36"/>
        <v>278.74843199999998</v>
      </c>
      <c r="AK23" s="351">
        <f t="shared" si="37"/>
        <v>175.77102400000001</v>
      </c>
      <c r="AL23" s="352">
        <f t="shared" si="38"/>
        <v>0</v>
      </c>
      <c r="AM23" s="352">
        <f t="shared" si="108"/>
        <v>0</v>
      </c>
      <c r="AN23" s="353">
        <f t="shared" si="109"/>
        <v>278.74843199999998</v>
      </c>
      <c r="AO23" s="353">
        <f t="shared" si="110"/>
        <v>175.77102400000001</v>
      </c>
      <c r="AP23" s="343">
        <f t="shared" si="111"/>
        <v>278.74843199999998</v>
      </c>
      <c r="AQ23" s="343">
        <f t="shared" si="112"/>
        <v>175.77102400000001</v>
      </c>
      <c r="AS23" s="374">
        <v>0.66830000000000001</v>
      </c>
      <c r="AT23" s="375">
        <v>0.38190000000000002</v>
      </c>
      <c r="AU23" s="374">
        <v>1.4E-3</v>
      </c>
      <c r="AV23" s="374">
        <v>8962.0174999999999</v>
      </c>
      <c r="AW23" s="374">
        <v>8809.41</v>
      </c>
      <c r="AX23" s="351">
        <f t="shared" si="39"/>
        <v>227.66976100000002</v>
      </c>
      <c r="AY23" s="351">
        <f t="shared" si="40"/>
        <v>260.88352800000001</v>
      </c>
      <c r="AZ23" s="352">
        <f t="shared" si="41"/>
        <v>0.33973799999999998</v>
      </c>
      <c r="BA23" s="352">
        <f t="shared" si="113"/>
        <v>0.18141736025783667</v>
      </c>
      <c r="BB23" s="353">
        <f t="shared" si="114"/>
        <v>227.85117836025785</v>
      </c>
      <c r="BC23" s="353">
        <f t="shared" si="115"/>
        <v>260.72520736025785</v>
      </c>
      <c r="BD23" s="343">
        <f t="shared" si="116"/>
        <v>227.66976100000002</v>
      </c>
      <c r="BE23" s="343">
        <f t="shared" si="117"/>
        <v>260.54379</v>
      </c>
      <c r="BG23" s="374">
        <v>0.63300000000000001</v>
      </c>
      <c r="BH23" s="375">
        <v>0.3805</v>
      </c>
      <c r="BI23" s="374">
        <v>0</v>
      </c>
      <c r="BJ23" s="374">
        <v>3857.2716999999998</v>
      </c>
      <c r="BK23" s="374">
        <v>3664.335</v>
      </c>
      <c r="BL23" s="351">
        <f t="shared" si="42"/>
        <v>211.90940999999998</v>
      </c>
      <c r="BM23" s="351">
        <f t="shared" si="43"/>
        <v>222.94255999999999</v>
      </c>
      <c r="BN23" s="352">
        <f t="shared" si="44"/>
        <v>0</v>
      </c>
      <c r="BO23" s="352">
        <f t="shared" si="118"/>
        <v>0</v>
      </c>
      <c r="BP23" s="353">
        <f t="shared" si="119"/>
        <v>211.90940999999998</v>
      </c>
      <c r="BQ23" s="353">
        <f t="shared" si="120"/>
        <v>222.94255999999999</v>
      </c>
      <c r="BR23" s="343">
        <f t="shared" si="121"/>
        <v>211.90940999999998</v>
      </c>
      <c r="BS23" s="343">
        <f t="shared" si="122"/>
        <v>222.94255999999999</v>
      </c>
      <c r="BU23" s="374">
        <v>0.70640000000000003</v>
      </c>
      <c r="BV23" s="375">
        <v>0.41210000000000002</v>
      </c>
      <c r="BW23" s="374">
        <v>0</v>
      </c>
      <c r="BX23" s="374">
        <v>3013.3517000000002</v>
      </c>
      <c r="BY23" s="374">
        <v>2970.3842</v>
      </c>
      <c r="BZ23" s="351">
        <f t="shared" si="45"/>
        <v>163.96956800000001</v>
      </c>
      <c r="CA23" s="351">
        <f t="shared" si="46"/>
        <v>157.368627</v>
      </c>
      <c r="CB23" s="352">
        <f t="shared" si="47"/>
        <v>0</v>
      </c>
      <c r="CC23" s="352">
        <f t="shared" si="123"/>
        <v>0</v>
      </c>
      <c r="CD23" s="353">
        <f t="shared" si="124"/>
        <v>163.96956800000001</v>
      </c>
      <c r="CE23" s="353">
        <f t="shared" si="125"/>
        <v>157.368627</v>
      </c>
      <c r="CF23" s="343">
        <f t="shared" si="126"/>
        <v>163.96956800000001</v>
      </c>
      <c r="CG23" s="343">
        <f t="shared" si="127"/>
        <v>157.368627</v>
      </c>
      <c r="CI23" s="374">
        <v>0.85770000000000002</v>
      </c>
      <c r="CJ23" s="375">
        <v>0.70979999999999999</v>
      </c>
      <c r="CK23" s="374">
        <v>7.7999999999999996E-3</v>
      </c>
      <c r="CL23" s="374">
        <v>16496.091700000001</v>
      </c>
      <c r="CM23" s="374">
        <v>16119.0167</v>
      </c>
      <c r="CN23" s="351">
        <f t="shared" si="48"/>
        <v>182.286981</v>
      </c>
      <c r="CO23" s="351">
        <f t="shared" si="49"/>
        <v>195.51441</v>
      </c>
      <c r="CP23" s="352">
        <f t="shared" si="50"/>
        <v>3.1199999999999999E-3</v>
      </c>
      <c r="CQ23" s="352">
        <f t="shared" si="128"/>
        <v>1.6146180869937559E-3</v>
      </c>
      <c r="CR23" s="353">
        <f t="shared" si="129"/>
        <v>182.28859561808699</v>
      </c>
      <c r="CS23" s="353">
        <f t="shared" si="130"/>
        <v>195.51290461808699</v>
      </c>
      <c r="CT23" s="343">
        <f t="shared" si="131"/>
        <v>182.286981</v>
      </c>
      <c r="CU23" s="343">
        <f t="shared" si="132"/>
        <v>195.51129</v>
      </c>
      <c r="CW23" s="374">
        <v>3.2052</v>
      </c>
      <c r="CX23" s="375">
        <v>2.7117</v>
      </c>
      <c r="CY23" s="374">
        <v>1.3899999999999999E-2</v>
      </c>
      <c r="CZ23" s="374">
        <v>7128.8392000000003</v>
      </c>
      <c r="DA23" s="374">
        <v>6777.5866999999998</v>
      </c>
      <c r="DB23" s="351">
        <f t="shared" si="51"/>
        <v>718.70199600000001</v>
      </c>
      <c r="DC23" s="351">
        <f t="shared" si="52"/>
        <v>842.63365799999997</v>
      </c>
      <c r="DD23" s="352">
        <f t="shared" si="53"/>
        <v>3.4749999999999998E-3</v>
      </c>
      <c r="DE23" s="352">
        <f t="shared" si="133"/>
        <v>1.8754147796781178E-3</v>
      </c>
      <c r="DF23" s="353">
        <f t="shared" si="134"/>
        <v>718.70387141477966</v>
      </c>
      <c r="DG23" s="353">
        <f t="shared" si="135"/>
        <v>842.63205841477964</v>
      </c>
      <c r="DH23" s="343">
        <f t="shared" si="136"/>
        <v>718.70199600000001</v>
      </c>
      <c r="DI23" s="343">
        <f t="shared" si="137"/>
        <v>842.63018299999999</v>
      </c>
      <c r="DK23" s="374">
        <v>4.0861000000000001</v>
      </c>
      <c r="DL23" s="375">
        <v>3.4456000000000002</v>
      </c>
      <c r="DM23" s="374">
        <v>7.1000000000000004E-3</v>
      </c>
      <c r="DN23" s="374">
        <v>1408.8367000000001</v>
      </c>
      <c r="DO23" s="374">
        <v>1394.3317</v>
      </c>
      <c r="DP23" s="351">
        <f t="shared" si="54"/>
        <v>538.42539700000009</v>
      </c>
      <c r="DQ23" s="351">
        <f t="shared" si="55"/>
        <v>678.30081600000005</v>
      </c>
      <c r="DR23" s="352">
        <f t="shared" si="56"/>
        <v>1.3490000000000002E-3</v>
      </c>
      <c r="DS23" s="352">
        <f t="shared" si="138"/>
        <v>7.5204083795308197E-4</v>
      </c>
      <c r="DT23" s="353">
        <f t="shared" si="139"/>
        <v>538.42614904083803</v>
      </c>
      <c r="DU23" s="353">
        <f t="shared" si="140"/>
        <v>678.30021904083799</v>
      </c>
      <c r="DV23" s="343">
        <f t="shared" si="141"/>
        <v>538.42539700000009</v>
      </c>
      <c r="DW23" s="343">
        <f t="shared" si="142"/>
        <v>678.29946700000005</v>
      </c>
      <c r="EB23" s="326"/>
      <c r="EC23" s="326"/>
      <c r="ED23" s="326"/>
      <c r="EE23" s="348">
        <f t="shared" si="143"/>
        <v>40798.760900000008</v>
      </c>
      <c r="EF23" s="348">
        <f t="shared" si="144"/>
        <v>46203.268400000001</v>
      </c>
      <c r="EG23" s="348">
        <f t="shared" si="145"/>
        <v>1714.8459188000002</v>
      </c>
      <c r="EH23" s="348">
        <f t="shared" si="146"/>
        <v>1820.0775444000001</v>
      </c>
      <c r="EI23" s="354">
        <f t="shared" si="57"/>
        <v>0.46894033654454087</v>
      </c>
      <c r="EJ23" s="326"/>
      <c r="EK23" s="348">
        <f t="shared" si="147"/>
        <v>1715.0304511101685</v>
      </c>
      <c r="EL23" s="348">
        <f t="shared" si="148"/>
        <v>1819.9164387101687</v>
      </c>
      <c r="EM23" s="348">
        <f t="shared" si="58"/>
        <v>1714.8459188000002</v>
      </c>
      <c r="EN23" s="348">
        <f t="shared" si="149"/>
        <v>1819.7319063999998</v>
      </c>
      <c r="EP23" s="326"/>
      <c r="EQ23" s="326"/>
      <c r="ER23" s="326"/>
      <c r="ES23" s="348">
        <f t="shared" si="59"/>
        <v>29056.962599999999</v>
      </c>
      <c r="ET23" s="348">
        <f t="shared" si="60"/>
        <v>28111.806700000001</v>
      </c>
      <c r="EU23" s="348">
        <f t="shared" si="61"/>
        <v>1465.0749882</v>
      </c>
      <c r="EV23" s="348">
        <f t="shared" si="62"/>
        <v>1501.2267446000001</v>
      </c>
      <c r="EW23" s="354">
        <f t="shared" si="63"/>
        <v>0.50826636563610617</v>
      </c>
      <c r="EX23" s="326"/>
      <c r="EY23" s="348">
        <f t="shared" si="64"/>
        <v>1465.5155748302836</v>
      </c>
      <c r="EZ23" s="348">
        <f t="shared" si="65"/>
        <v>1500.7199927302838</v>
      </c>
      <c r="FA23" s="348">
        <f t="shared" si="66"/>
        <v>1465.0749882</v>
      </c>
      <c r="FB23" s="348">
        <f t="shared" si="67"/>
        <v>1500.2794061</v>
      </c>
      <c r="FD23" s="326"/>
      <c r="FE23" s="326"/>
      <c r="FF23" s="326"/>
      <c r="FG23" s="348">
        <f t="shared" si="68"/>
        <v>21023.6734</v>
      </c>
      <c r="FH23" s="348">
        <f t="shared" si="69"/>
        <v>20598.0959</v>
      </c>
      <c r="FI23" s="348">
        <f t="shared" si="70"/>
        <v>948.06021919999989</v>
      </c>
      <c r="FJ23" s="348">
        <f t="shared" si="71"/>
        <v>935.63455060000001</v>
      </c>
      <c r="FK23" s="354">
        <f t="shared" si="72"/>
        <v>0.50511243884098889</v>
      </c>
      <c r="FL23" s="326"/>
      <c r="FM23" s="348">
        <f t="shared" si="73"/>
        <v>948.06228504258979</v>
      </c>
      <c r="FN23" s="348">
        <f t="shared" si="74"/>
        <v>935.63268704258985</v>
      </c>
      <c r="FO23" s="348">
        <f t="shared" si="75"/>
        <v>948.06021919999989</v>
      </c>
      <c r="FP23" s="348">
        <f t="shared" si="76"/>
        <v>935.63062119999995</v>
      </c>
      <c r="FR23" s="326"/>
      <c r="FS23" s="326"/>
      <c r="FT23" s="326"/>
      <c r="FU23" s="348">
        <f t="shared" si="77"/>
        <v>23624.930899999999</v>
      </c>
      <c r="FV23" s="348">
        <f t="shared" si="78"/>
        <v>22896.6034</v>
      </c>
      <c r="FW23" s="348">
        <f t="shared" si="79"/>
        <v>757.24857780000002</v>
      </c>
      <c r="FX23" s="348">
        <f t="shared" si="80"/>
        <v>869.62133640000002</v>
      </c>
      <c r="FY23" s="354">
        <f t="shared" si="81"/>
        <v>0.50782785339046743</v>
      </c>
      <c r="FZ23" s="326"/>
      <c r="GA23" s="348">
        <f t="shared" si="82"/>
        <v>757.25169274991072</v>
      </c>
      <c r="GB23" s="348">
        <f t="shared" si="83"/>
        <v>869.61855134991072</v>
      </c>
      <c r="GC23" s="348">
        <f t="shared" si="84"/>
        <v>757.24857780000002</v>
      </c>
      <c r="GD23" s="348">
        <f t="shared" si="85"/>
        <v>869.61543640000002</v>
      </c>
      <c r="GF23" s="326"/>
      <c r="GG23" s="326"/>
      <c r="GH23" s="326"/>
      <c r="GI23" s="348">
        <f t="shared" si="86"/>
        <v>11975.369200000001</v>
      </c>
      <c r="GJ23" s="348">
        <f t="shared" si="87"/>
        <v>11779.7942</v>
      </c>
      <c r="GK23" s="349">
        <f t="shared" si="88"/>
        <v>47.77514475000001</v>
      </c>
      <c r="GL23" s="349">
        <f t="shared" si="89"/>
        <v>77.636175750000007</v>
      </c>
      <c r="GM23" s="354">
        <f t="shared" si="90"/>
        <v>0.50411647347372068</v>
      </c>
      <c r="GN23" s="326"/>
      <c r="GO23" s="349">
        <f t="shared" si="91"/>
        <v>47.911207770193379</v>
      </c>
      <c r="GP23" s="349">
        <f t="shared" si="92"/>
        <v>77.517435270193388</v>
      </c>
      <c r="GQ23" s="349">
        <f t="shared" si="93"/>
        <v>47.77514475000001</v>
      </c>
      <c r="GR23" s="349">
        <f t="shared" si="94"/>
        <v>77.381372249999998</v>
      </c>
      <c r="HA23" s="374"/>
      <c r="HB23" s="375"/>
      <c r="HC23" s="374"/>
      <c r="HD23" s="374"/>
      <c r="HE23" s="374"/>
      <c r="HF23" s="351">
        <f t="shared" si="95"/>
        <v>0</v>
      </c>
      <c r="HG23" s="351">
        <f t="shared" si="96"/>
        <v>0</v>
      </c>
      <c r="HH23" s="352">
        <f t="shared" si="97"/>
        <v>0</v>
      </c>
      <c r="HI23" s="352">
        <f t="shared" si="150"/>
        <v>0</v>
      </c>
      <c r="HJ23" s="353">
        <f t="shared" si="151"/>
        <v>0</v>
      </c>
      <c r="HK23" s="353">
        <f t="shared" si="152"/>
        <v>0</v>
      </c>
    </row>
    <row r="24" spans="1:219" x14ac:dyDescent="0.2">
      <c r="A24" s="320">
        <v>14</v>
      </c>
      <c r="C24" s="350">
        <v>0.74299999999999999</v>
      </c>
      <c r="D24" s="350">
        <v>0.40600000000000003</v>
      </c>
      <c r="E24" s="350">
        <v>0</v>
      </c>
      <c r="F24" s="350">
        <v>8102.915</v>
      </c>
      <c r="G24" s="350">
        <v>14031.8042</v>
      </c>
      <c r="H24" s="351">
        <f t="shared" si="30"/>
        <v>725.2423</v>
      </c>
      <c r="I24" s="351">
        <f t="shared" si="31"/>
        <v>752.59814000000006</v>
      </c>
      <c r="J24" s="352">
        <f t="shared" si="32"/>
        <v>0</v>
      </c>
      <c r="K24" s="352">
        <f t="shared" si="98"/>
        <v>0</v>
      </c>
      <c r="L24" s="353">
        <f t="shared" si="99"/>
        <v>725.2423</v>
      </c>
      <c r="M24" s="353">
        <f t="shared" si="100"/>
        <v>752.59814000000006</v>
      </c>
      <c r="N24" s="343">
        <f t="shared" si="101"/>
        <v>725.2423</v>
      </c>
      <c r="O24" s="343">
        <f t="shared" si="102"/>
        <v>752.59814000000006</v>
      </c>
      <c r="Q24" s="374">
        <v>0.89500000000000002</v>
      </c>
      <c r="R24" s="375">
        <v>0.44750000000000001</v>
      </c>
      <c r="S24" s="374">
        <v>8.0000000000000002E-3</v>
      </c>
      <c r="T24" s="374">
        <v>1612.9825000000001</v>
      </c>
      <c r="U24" s="374">
        <v>1633.3775000000001</v>
      </c>
      <c r="V24" s="351">
        <f t="shared" si="33"/>
        <v>572.26300000000003</v>
      </c>
      <c r="W24" s="351">
        <f t="shared" si="34"/>
        <v>537.61755000000005</v>
      </c>
      <c r="X24" s="352">
        <f t="shared" si="35"/>
        <v>1.60304</v>
      </c>
      <c r="Y24" s="352">
        <f t="shared" si="103"/>
        <v>0.77650017143916972</v>
      </c>
      <c r="Z24" s="353">
        <f t="shared" si="104"/>
        <v>573.03950017143916</v>
      </c>
      <c r="AA24" s="353">
        <f t="shared" si="105"/>
        <v>536.79101017143921</v>
      </c>
      <c r="AB24" s="343">
        <f t="shared" si="106"/>
        <v>572.26300000000003</v>
      </c>
      <c r="AC24" s="343">
        <f t="shared" si="107"/>
        <v>536.01451000000009</v>
      </c>
      <c r="AE24" s="374">
        <v>0.65680000000000005</v>
      </c>
      <c r="AF24" s="375">
        <v>0.19939999999999999</v>
      </c>
      <c r="AG24" s="374">
        <v>5.1000000000000004E-3</v>
      </c>
      <c r="AH24" s="374">
        <v>102.4517</v>
      </c>
      <c r="AI24" s="374">
        <v>128.04079999999999</v>
      </c>
      <c r="AJ24" s="351">
        <f t="shared" si="36"/>
        <v>281.49134400000003</v>
      </c>
      <c r="AK24" s="351">
        <f t="shared" si="37"/>
        <v>198.23949199999998</v>
      </c>
      <c r="AL24" s="352">
        <f t="shared" si="38"/>
        <v>0.91488899999999995</v>
      </c>
      <c r="AM24" s="352">
        <f t="shared" si="108"/>
        <v>0.37806018914403899</v>
      </c>
      <c r="AN24" s="353">
        <f t="shared" si="109"/>
        <v>281.86940418914406</v>
      </c>
      <c r="AO24" s="353">
        <f t="shared" si="110"/>
        <v>197.70266318914403</v>
      </c>
      <c r="AP24" s="343">
        <f t="shared" si="111"/>
        <v>281.49134400000003</v>
      </c>
      <c r="AQ24" s="343">
        <f t="shared" si="112"/>
        <v>197.324603</v>
      </c>
      <c r="AS24" s="374">
        <v>0.74019999999999997</v>
      </c>
      <c r="AT24" s="375">
        <v>0.4506</v>
      </c>
      <c r="AU24" s="374">
        <v>2.0999999999999999E-3</v>
      </c>
      <c r="AV24" s="374">
        <v>8723.1157999999996</v>
      </c>
      <c r="AW24" s="374">
        <v>8457.4433000000008</v>
      </c>
      <c r="AX24" s="351">
        <f t="shared" si="39"/>
        <v>252.16393400000001</v>
      </c>
      <c r="AY24" s="351">
        <f t="shared" si="40"/>
        <v>307.813872</v>
      </c>
      <c r="AZ24" s="352">
        <f t="shared" si="41"/>
        <v>0.50960699999999992</v>
      </c>
      <c r="BA24" s="352">
        <f t="shared" si="113"/>
        <v>0.28012557317013376</v>
      </c>
      <c r="BB24" s="353">
        <f t="shared" si="114"/>
        <v>252.44405957317014</v>
      </c>
      <c r="BC24" s="353">
        <f t="shared" si="115"/>
        <v>307.58439057317014</v>
      </c>
      <c r="BD24" s="343">
        <f t="shared" si="116"/>
        <v>252.16393400000001</v>
      </c>
      <c r="BE24" s="343">
        <f t="shared" si="117"/>
        <v>307.30426499999999</v>
      </c>
      <c r="BG24" s="374">
        <v>0.68830000000000002</v>
      </c>
      <c r="BH24" s="375">
        <v>0.43580000000000002</v>
      </c>
      <c r="BI24" s="374">
        <v>0</v>
      </c>
      <c r="BJ24" s="374">
        <v>3701.1817000000001</v>
      </c>
      <c r="BK24" s="374">
        <v>3626.0841999999998</v>
      </c>
      <c r="BL24" s="351">
        <f t="shared" si="42"/>
        <v>230.422191</v>
      </c>
      <c r="BM24" s="351">
        <f t="shared" si="43"/>
        <v>255.34393599999999</v>
      </c>
      <c r="BN24" s="352">
        <f t="shared" si="44"/>
        <v>0</v>
      </c>
      <c r="BO24" s="352">
        <f t="shared" si="118"/>
        <v>0</v>
      </c>
      <c r="BP24" s="353">
        <f t="shared" si="119"/>
        <v>230.422191</v>
      </c>
      <c r="BQ24" s="353">
        <f t="shared" si="120"/>
        <v>255.34393599999999</v>
      </c>
      <c r="BR24" s="343">
        <f t="shared" si="121"/>
        <v>230.422191</v>
      </c>
      <c r="BS24" s="343">
        <f t="shared" si="122"/>
        <v>255.34393599999999</v>
      </c>
      <c r="BU24" s="374">
        <v>0.76549999999999996</v>
      </c>
      <c r="BV24" s="375">
        <v>0.51349999999999996</v>
      </c>
      <c r="BW24" s="374">
        <v>0</v>
      </c>
      <c r="BX24" s="374">
        <v>3232.4375</v>
      </c>
      <c r="BY24" s="374">
        <v>2923.3533000000002</v>
      </c>
      <c r="BZ24" s="351">
        <f t="shared" si="45"/>
        <v>177.68786</v>
      </c>
      <c r="CA24" s="351">
        <f t="shared" si="46"/>
        <v>196.09024499999998</v>
      </c>
      <c r="CB24" s="352">
        <f t="shared" si="47"/>
        <v>0</v>
      </c>
      <c r="CC24" s="352">
        <f t="shared" si="123"/>
        <v>0</v>
      </c>
      <c r="CD24" s="353">
        <f t="shared" si="124"/>
        <v>177.68786</v>
      </c>
      <c r="CE24" s="353">
        <f t="shared" si="125"/>
        <v>196.09024499999998</v>
      </c>
      <c r="CF24" s="343">
        <f t="shared" si="126"/>
        <v>177.68786</v>
      </c>
      <c r="CG24" s="343">
        <f t="shared" si="127"/>
        <v>196.09024499999998</v>
      </c>
      <c r="CI24" s="374">
        <v>0.89690000000000003</v>
      </c>
      <c r="CJ24" s="375">
        <v>0.75780000000000003</v>
      </c>
      <c r="CK24" s="374">
        <v>1.4800000000000001E-2</v>
      </c>
      <c r="CL24" s="374">
        <v>16362.761699999999</v>
      </c>
      <c r="CM24" s="374">
        <v>15682.466700000001</v>
      </c>
      <c r="CN24" s="351">
        <f t="shared" si="48"/>
        <v>190.618157</v>
      </c>
      <c r="CO24" s="351">
        <f t="shared" si="49"/>
        <v>208.73600999999999</v>
      </c>
      <c r="CP24" s="352">
        <f t="shared" si="50"/>
        <v>5.9200000000000008E-3</v>
      </c>
      <c r="CQ24" s="352">
        <f t="shared" si="128"/>
        <v>3.0942889327607798E-3</v>
      </c>
      <c r="CR24" s="353">
        <f t="shared" si="129"/>
        <v>190.62125128893277</v>
      </c>
      <c r="CS24" s="353">
        <f t="shared" si="130"/>
        <v>208.73318428893276</v>
      </c>
      <c r="CT24" s="343">
        <f t="shared" si="131"/>
        <v>190.618157</v>
      </c>
      <c r="CU24" s="343">
        <f t="shared" si="132"/>
        <v>208.73008999999999</v>
      </c>
      <c r="CW24" s="374">
        <v>3.3955000000000002</v>
      </c>
      <c r="CX24" s="375">
        <v>2.6532</v>
      </c>
      <c r="CY24" s="374">
        <v>2.1999999999999999E-2</v>
      </c>
      <c r="CZ24" s="374">
        <v>7025.8017</v>
      </c>
      <c r="DA24" s="374">
        <v>6737.7542000000003</v>
      </c>
      <c r="DB24" s="351">
        <f t="shared" si="51"/>
        <v>761.37296500000002</v>
      </c>
      <c r="DC24" s="351">
        <f t="shared" si="52"/>
        <v>824.45536800000002</v>
      </c>
      <c r="DD24" s="352">
        <f t="shared" si="53"/>
        <v>5.4999999999999997E-3</v>
      </c>
      <c r="DE24" s="352">
        <f t="shared" si="133"/>
        <v>2.8593917952152012E-3</v>
      </c>
      <c r="DF24" s="353">
        <f t="shared" si="134"/>
        <v>761.37582439179528</v>
      </c>
      <c r="DG24" s="353">
        <f t="shared" si="135"/>
        <v>824.45272739179529</v>
      </c>
      <c r="DH24" s="343">
        <f t="shared" si="136"/>
        <v>761.37296500000002</v>
      </c>
      <c r="DI24" s="343">
        <f t="shared" si="137"/>
        <v>824.44986800000004</v>
      </c>
      <c r="DK24" s="374">
        <v>4.5410000000000004</v>
      </c>
      <c r="DL24" s="375">
        <v>3.3759999999999999</v>
      </c>
      <c r="DM24" s="374">
        <v>1.24E-2</v>
      </c>
      <c r="DN24" s="374">
        <v>1406.1283000000001</v>
      </c>
      <c r="DO24" s="374">
        <v>1300.1092000000001</v>
      </c>
      <c r="DP24" s="351">
        <f t="shared" si="54"/>
        <v>598.36757000000011</v>
      </c>
      <c r="DQ24" s="351">
        <f t="shared" si="55"/>
        <v>664.59936000000005</v>
      </c>
      <c r="DR24" s="352">
        <f t="shared" si="56"/>
        <v>2.356E-3</v>
      </c>
      <c r="DS24" s="352">
        <f t="shared" si="138"/>
        <v>1.2397760028126786E-3</v>
      </c>
      <c r="DT24" s="353">
        <f t="shared" si="139"/>
        <v>598.36880977600288</v>
      </c>
      <c r="DU24" s="353">
        <f t="shared" si="140"/>
        <v>664.59824377600285</v>
      </c>
      <c r="DV24" s="343">
        <f t="shared" si="141"/>
        <v>598.36757000000011</v>
      </c>
      <c r="DW24" s="343">
        <f t="shared" si="142"/>
        <v>664.59700400000008</v>
      </c>
      <c r="EB24" s="326"/>
      <c r="EC24" s="326"/>
      <c r="ED24" s="326"/>
      <c r="EE24" s="348">
        <f t="shared" si="143"/>
        <v>40214.594199999992</v>
      </c>
      <c r="EF24" s="348">
        <f t="shared" si="144"/>
        <v>44909.468400000005</v>
      </c>
      <c r="EG24" s="348">
        <f t="shared" si="145"/>
        <v>1777.1227629999998</v>
      </c>
      <c r="EH24" s="348">
        <f t="shared" si="146"/>
        <v>1928.7123164000002</v>
      </c>
      <c r="EI24" s="354">
        <f t="shared" si="57"/>
        <v>0.47242334272706565</v>
      </c>
      <c r="EJ24" s="326"/>
      <c r="EK24" s="348">
        <f t="shared" si="147"/>
        <v>1777.4082703755394</v>
      </c>
      <c r="EL24" s="348">
        <f t="shared" si="148"/>
        <v>1928.4778967755392</v>
      </c>
      <c r="EM24" s="348">
        <f t="shared" si="58"/>
        <v>1777.1227629999998</v>
      </c>
      <c r="EN24" s="348">
        <f t="shared" si="149"/>
        <v>1928.1923894000001</v>
      </c>
      <c r="EP24" s="326"/>
      <c r="EQ24" s="326"/>
      <c r="ER24" s="326"/>
      <c r="ES24" s="348">
        <f t="shared" si="59"/>
        <v>28702.727599999998</v>
      </c>
      <c r="ET24" s="348">
        <f t="shared" si="60"/>
        <v>27679.6826</v>
      </c>
      <c r="EU24" s="348">
        <f t="shared" si="61"/>
        <v>1526.2644235</v>
      </c>
      <c r="EV24" s="348">
        <f t="shared" si="62"/>
        <v>1578.8162536</v>
      </c>
      <c r="EW24" s="354">
        <f t="shared" si="63"/>
        <v>0.50907237732806254</v>
      </c>
      <c r="EX24" s="326"/>
      <c r="EY24" s="348">
        <f t="shared" si="64"/>
        <v>1527.0460195346286</v>
      </c>
      <c r="EZ24" s="348">
        <f t="shared" si="65"/>
        <v>1577.9850396346287</v>
      </c>
      <c r="FA24" s="348">
        <f t="shared" si="66"/>
        <v>1526.2644235</v>
      </c>
      <c r="FB24" s="348">
        <f t="shared" si="67"/>
        <v>1577.2034436000001</v>
      </c>
      <c r="FD24" s="326"/>
      <c r="FE24" s="326"/>
      <c r="FF24" s="326"/>
      <c r="FG24" s="348">
        <f t="shared" si="68"/>
        <v>21103.779200000001</v>
      </c>
      <c r="FH24" s="348">
        <f t="shared" si="69"/>
        <v>20033.97</v>
      </c>
      <c r="FI24" s="348">
        <f t="shared" si="70"/>
        <v>1008.8179030000001</v>
      </c>
      <c r="FJ24" s="348">
        <f t="shared" si="71"/>
        <v>1001.8253629999999</v>
      </c>
      <c r="FK24" s="354">
        <f t="shared" si="72"/>
        <v>0.51300276778390197</v>
      </c>
      <c r="FL24" s="326"/>
      <c r="FM24" s="348">
        <f t="shared" si="73"/>
        <v>1009.1998013436786</v>
      </c>
      <c r="FN24" s="348">
        <f t="shared" si="74"/>
        <v>1001.2850387436785</v>
      </c>
      <c r="FO24" s="348">
        <f t="shared" si="75"/>
        <v>1008.8179030000001</v>
      </c>
      <c r="FP24" s="348">
        <f t="shared" si="76"/>
        <v>1000.9031404</v>
      </c>
      <c r="FR24" s="326"/>
      <c r="FS24" s="326"/>
      <c r="FT24" s="326"/>
      <c r="FU24" s="348">
        <f t="shared" si="77"/>
        <v>23388.563399999999</v>
      </c>
      <c r="FV24" s="348">
        <f t="shared" si="78"/>
        <v>22420.2209</v>
      </c>
      <c r="FW24" s="348">
        <f t="shared" si="79"/>
        <v>799.71652900000004</v>
      </c>
      <c r="FX24" s="348">
        <f t="shared" si="80"/>
        <v>868.30030440000007</v>
      </c>
      <c r="FY24" s="354">
        <f t="shared" si="81"/>
        <v>0.51056939749435781</v>
      </c>
      <c r="FZ24" s="326"/>
      <c r="GA24" s="348">
        <f t="shared" si="82"/>
        <v>799.72191080236894</v>
      </c>
      <c r="GB24" s="348">
        <f t="shared" si="83"/>
        <v>868.295366202369</v>
      </c>
      <c r="GC24" s="348">
        <f t="shared" si="84"/>
        <v>799.71652900000004</v>
      </c>
      <c r="GD24" s="348">
        <f t="shared" si="85"/>
        <v>868.28998440000009</v>
      </c>
      <c r="GF24" s="326"/>
      <c r="GG24" s="326"/>
      <c r="GH24" s="326"/>
      <c r="GI24" s="348">
        <f t="shared" si="86"/>
        <v>11955.5533</v>
      </c>
      <c r="GJ24" s="348">
        <f t="shared" si="87"/>
        <v>11380.796600000001</v>
      </c>
      <c r="GK24" s="349">
        <f t="shared" si="88"/>
        <v>55.857055500000008</v>
      </c>
      <c r="GL24" s="349">
        <f t="shared" si="89"/>
        <v>83.792720250000016</v>
      </c>
      <c r="GM24" s="354">
        <f t="shared" si="90"/>
        <v>0.51231462294795294</v>
      </c>
      <c r="GN24" s="326"/>
      <c r="GO24" s="349">
        <f t="shared" si="91"/>
        <v>56.067149679877602</v>
      </c>
      <c r="GP24" s="349">
        <f t="shared" si="92"/>
        <v>83.620609179877619</v>
      </c>
      <c r="GQ24" s="349">
        <f t="shared" si="93"/>
        <v>55.857055500000008</v>
      </c>
      <c r="GR24" s="349">
        <f t="shared" si="94"/>
        <v>83.410515000000004</v>
      </c>
      <c r="HA24" s="374"/>
      <c r="HB24" s="375"/>
      <c r="HC24" s="374"/>
      <c r="HD24" s="374"/>
      <c r="HE24" s="374"/>
      <c r="HF24" s="351">
        <f t="shared" si="95"/>
        <v>0</v>
      </c>
      <c r="HG24" s="351">
        <f t="shared" si="96"/>
        <v>0</v>
      </c>
      <c r="HH24" s="352">
        <f t="shared" si="97"/>
        <v>0</v>
      </c>
      <c r="HI24" s="352">
        <f t="shared" si="150"/>
        <v>0</v>
      </c>
      <c r="HJ24" s="353">
        <f t="shared" si="151"/>
        <v>0</v>
      </c>
      <c r="HK24" s="353">
        <f t="shared" si="152"/>
        <v>0</v>
      </c>
    </row>
    <row r="25" spans="1:219" x14ac:dyDescent="0.2">
      <c r="A25" s="320">
        <v>15</v>
      </c>
      <c r="C25" s="350">
        <v>0.74009999999999998</v>
      </c>
      <c r="D25" s="350">
        <v>0.44230000000000003</v>
      </c>
      <c r="E25" s="350">
        <v>0</v>
      </c>
      <c r="F25" s="350">
        <v>7608.98</v>
      </c>
      <c r="G25" s="350">
        <v>13609.682500000001</v>
      </c>
      <c r="H25" s="351">
        <f t="shared" si="30"/>
        <v>722.41161</v>
      </c>
      <c r="I25" s="351">
        <f t="shared" si="31"/>
        <v>819.88708700000007</v>
      </c>
      <c r="J25" s="352">
        <f t="shared" si="32"/>
        <v>0</v>
      </c>
      <c r="K25" s="352">
        <f t="shared" si="98"/>
        <v>0</v>
      </c>
      <c r="L25" s="353">
        <f t="shared" si="99"/>
        <v>722.41161</v>
      </c>
      <c r="M25" s="353">
        <f t="shared" si="100"/>
        <v>819.88708700000007</v>
      </c>
      <c r="N25" s="343">
        <f t="shared" si="101"/>
        <v>724.57063088666359</v>
      </c>
      <c r="O25" s="343">
        <f t="shared" si="102"/>
        <v>822.04610788666366</v>
      </c>
      <c r="Q25" s="374">
        <v>0.90129999999999999</v>
      </c>
      <c r="R25" s="375">
        <v>0.48709999999999998</v>
      </c>
      <c r="S25" s="374">
        <v>1.4500000000000001E-2</v>
      </c>
      <c r="T25" s="374">
        <v>1223.9358</v>
      </c>
      <c r="U25" s="374">
        <v>1165.0999999999999</v>
      </c>
      <c r="V25" s="351">
        <f t="shared" si="33"/>
        <v>576.29121999999995</v>
      </c>
      <c r="W25" s="351">
        <f t="shared" si="34"/>
        <v>585.19219800000008</v>
      </c>
      <c r="X25" s="352">
        <f t="shared" si="35"/>
        <v>2.90551</v>
      </c>
      <c r="Y25" s="352">
        <f t="shared" si="103"/>
        <v>1.4638881251862867</v>
      </c>
      <c r="Z25" s="353">
        <f t="shared" si="104"/>
        <v>577.75510812518621</v>
      </c>
      <c r="AA25" s="353">
        <f t="shared" si="105"/>
        <v>583.75057612518629</v>
      </c>
      <c r="AB25" s="343">
        <f t="shared" si="106"/>
        <v>578.67457015642947</v>
      </c>
      <c r="AC25" s="343">
        <f t="shared" si="107"/>
        <v>584.67003815642954</v>
      </c>
      <c r="AE25" s="374">
        <v>0.6613</v>
      </c>
      <c r="AF25" s="375">
        <v>0.22550000000000001</v>
      </c>
      <c r="AG25" s="374">
        <v>2.2499999999999999E-2</v>
      </c>
      <c r="AH25" s="374">
        <v>52</v>
      </c>
      <c r="AI25" s="374">
        <v>54.782499999999999</v>
      </c>
      <c r="AJ25" s="351">
        <f t="shared" si="36"/>
        <v>283.41995399999996</v>
      </c>
      <c r="AK25" s="351">
        <f t="shared" si="37"/>
        <v>224.18759</v>
      </c>
      <c r="AL25" s="352">
        <f t="shared" si="38"/>
        <v>4.0362749999999998</v>
      </c>
      <c r="AM25" s="352">
        <f t="shared" si="108"/>
        <v>1.782642467636868</v>
      </c>
      <c r="AN25" s="353">
        <f t="shared" si="109"/>
        <v>285.20259646763685</v>
      </c>
      <c r="AO25" s="353">
        <f t="shared" si="110"/>
        <v>221.93395746763687</v>
      </c>
      <c r="AP25" s="343">
        <f t="shared" si="111"/>
        <v>290.78157927672493</v>
      </c>
      <c r="AQ25" s="343">
        <f t="shared" si="112"/>
        <v>227.512940276725</v>
      </c>
      <c r="AS25" s="374">
        <v>0.81879999999999997</v>
      </c>
      <c r="AT25" s="375">
        <v>0.51749999999999996</v>
      </c>
      <c r="AU25" s="374">
        <v>3.3999999999999998E-3</v>
      </c>
      <c r="AV25" s="374">
        <v>8381.1574999999993</v>
      </c>
      <c r="AW25" s="374">
        <v>7946.8191999999999</v>
      </c>
      <c r="AX25" s="351">
        <f t="shared" si="39"/>
        <v>278.94059600000003</v>
      </c>
      <c r="AY25" s="351">
        <f t="shared" si="40"/>
        <v>353.51459999999997</v>
      </c>
      <c r="AZ25" s="352">
        <f t="shared" si="41"/>
        <v>0.82507799999999987</v>
      </c>
      <c r="BA25" s="352">
        <f t="shared" si="113"/>
        <v>0.46118226395091538</v>
      </c>
      <c r="BB25" s="353">
        <f t="shared" si="114"/>
        <v>279.40177826395092</v>
      </c>
      <c r="BC25" s="353">
        <f t="shared" si="115"/>
        <v>353.15070426395084</v>
      </c>
      <c r="BD25" s="343">
        <f t="shared" si="116"/>
        <v>280.12548827853226</v>
      </c>
      <c r="BE25" s="343">
        <f t="shared" si="117"/>
        <v>353.87441427853219</v>
      </c>
      <c r="BG25" s="374">
        <v>0.74490000000000001</v>
      </c>
      <c r="BH25" s="375">
        <v>0.48820000000000002</v>
      </c>
      <c r="BI25" s="374">
        <v>0</v>
      </c>
      <c r="BJ25" s="374">
        <v>3635.5308</v>
      </c>
      <c r="BK25" s="374">
        <v>3499.0592000000001</v>
      </c>
      <c r="BL25" s="351">
        <f t="shared" si="42"/>
        <v>249.37017299999999</v>
      </c>
      <c r="BM25" s="351">
        <f t="shared" si="43"/>
        <v>286.04614399999997</v>
      </c>
      <c r="BN25" s="352">
        <f t="shared" si="44"/>
        <v>0</v>
      </c>
      <c r="BO25" s="352">
        <f t="shared" si="118"/>
        <v>0</v>
      </c>
      <c r="BP25" s="353">
        <f t="shared" si="119"/>
        <v>249.37017299999999</v>
      </c>
      <c r="BQ25" s="353">
        <f t="shared" si="120"/>
        <v>286.04614399999997</v>
      </c>
      <c r="BR25" s="343">
        <f t="shared" si="121"/>
        <v>250.36993622631397</v>
      </c>
      <c r="BS25" s="343">
        <f t="shared" si="122"/>
        <v>287.04590722631394</v>
      </c>
      <c r="BU25" s="374">
        <v>0.82430000000000003</v>
      </c>
      <c r="BV25" s="375">
        <v>0.621</v>
      </c>
      <c r="BW25" s="374">
        <v>0</v>
      </c>
      <c r="BX25" s="374">
        <v>3212.73</v>
      </c>
      <c r="BY25" s="374">
        <v>2974.5974999999999</v>
      </c>
      <c r="BZ25" s="351">
        <f t="shared" si="45"/>
        <v>191.33651600000002</v>
      </c>
      <c r="CA25" s="351">
        <f t="shared" si="46"/>
        <v>237.14126999999999</v>
      </c>
      <c r="CB25" s="352">
        <f t="shared" si="47"/>
        <v>0</v>
      </c>
      <c r="CC25" s="352">
        <f t="shared" si="123"/>
        <v>0</v>
      </c>
      <c r="CD25" s="353">
        <f t="shared" si="124"/>
        <v>191.33651600000002</v>
      </c>
      <c r="CE25" s="353">
        <f t="shared" si="125"/>
        <v>237.14126999999999</v>
      </c>
      <c r="CF25" s="343">
        <f t="shared" si="126"/>
        <v>192.91633265021966</v>
      </c>
      <c r="CG25" s="343">
        <f t="shared" si="127"/>
        <v>238.72108665021963</v>
      </c>
      <c r="CI25" s="374">
        <v>0.92479999999999996</v>
      </c>
      <c r="CJ25" s="375">
        <v>0.79420000000000002</v>
      </c>
      <c r="CK25" s="374">
        <v>2.35E-2</v>
      </c>
      <c r="CL25" s="374">
        <v>15964.0867</v>
      </c>
      <c r="CM25" s="374">
        <v>15127.605</v>
      </c>
      <c r="CN25" s="351">
        <f t="shared" si="48"/>
        <v>196.54774399999999</v>
      </c>
      <c r="CO25" s="351">
        <f t="shared" si="49"/>
        <v>218.76238999999998</v>
      </c>
      <c r="CP25" s="352">
        <f t="shared" si="50"/>
        <v>9.4000000000000004E-3</v>
      </c>
      <c r="CQ25" s="352">
        <f t="shared" si="128"/>
        <v>4.9513996833990097E-3</v>
      </c>
      <c r="CR25" s="353">
        <f t="shared" si="129"/>
        <v>196.55269539968339</v>
      </c>
      <c r="CS25" s="353">
        <f t="shared" si="130"/>
        <v>218.75794139968338</v>
      </c>
      <c r="CT25" s="343">
        <f t="shared" si="131"/>
        <v>196.55528167086416</v>
      </c>
      <c r="CU25" s="343">
        <f t="shared" si="132"/>
        <v>218.76052767086415</v>
      </c>
      <c r="CW25" s="374">
        <v>3.0491999999999999</v>
      </c>
      <c r="CX25" s="375">
        <v>2.2654999999999998</v>
      </c>
      <c r="CY25" s="374">
        <v>3.2500000000000001E-2</v>
      </c>
      <c r="CZ25" s="374">
        <v>6980.9142000000002</v>
      </c>
      <c r="DA25" s="374">
        <v>6632.8458000000001</v>
      </c>
      <c r="DB25" s="351">
        <f t="shared" si="51"/>
        <v>683.72211599999991</v>
      </c>
      <c r="DC25" s="351">
        <f t="shared" si="52"/>
        <v>703.98146999999994</v>
      </c>
      <c r="DD25" s="352">
        <f t="shared" si="53"/>
        <v>8.1250000000000003E-3</v>
      </c>
      <c r="DE25" s="352">
        <f t="shared" si="133"/>
        <v>4.1218092260157926E-3</v>
      </c>
      <c r="DF25" s="353">
        <f t="shared" si="134"/>
        <v>683.72623780922595</v>
      </c>
      <c r="DG25" s="353">
        <f t="shared" si="135"/>
        <v>703.97746680922603</v>
      </c>
      <c r="DH25" s="343">
        <f t="shared" si="136"/>
        <v>683.72959359887261</v>
      </c>
      <c r="DI25" s="343">
        <f t="shared" si="137"/>
        <v>703.98082259887269</v>
      </c>
      <c r="DK25" s="374">
        <v>3.9354</v>
      </c>
      <c r="DL25" s="375">
        <v>2.7902</v>
      </c>
      <c r="DM25" s="374">
        <v>1.9199999999999998E-2</v>
      </c>
      <c r="DN25" s="374">
        <v>1255.48</v>
      </c>
      <c r="DO25" s="374">
        <v>1179.5458000000001</v>
      </c>
      <c r="DP25" s="351">
        <f t="shared" si="54"/>
        <v>518.56765800000005</v>
      </c>
      <c r="DQ25" s="351">
        <f t="shared" si="55"/>
        <v>549.278772</v>
      </c>
      <c r="DR25" s="352">
        <f t="shared" si="56"/>
        <v>3.6479999999999998E-3</v>
      </c>
      <c r="DS25" s="352">
        <f t="shared" si="138"/>
        <v>1.8764579849332829E-3</v>
      </c>
      <c r="DT25" s="353">
        <f t="shared" si="139"/>
        <v>518.56953445798501</v>
      </c>
      <c r="DU25" s="353">
        <f t="shared" si="140"/>
        <v>549.27700045798497</v>
      </c>
      <c r="DV25" s="343">
        <f t="shared" si="141"/>
        <v>518.5713852810137</v>
      </c>
      <c r="DW25" s="343">
        <f t="shared" si="142"/>
        <v>549.27885128101366</v>
      </c>
      <c r="EB25" s="326"/>
      <c r="EC25" s="326"/>
      <c r="ED25" s="326"/>
      <c r="EE25" s="348">
        <f t="shared" si="143"/>
        <v>38935.138399999996</v>
      </c>
      <c r="EF25" s="348">
        <f t="shared" si="144"/>
        <v>43316.952500000007</v>
      </c>
      <c r="EG25" s="348">
        <f t="shared" si="145"/>
        <v>1744.8776428000001</v>
      </c>
      <c r="EH25" s="348">
        <f t="shared" si="146"/>
        <v>1955.3492529999999</v>
      </c>
      <c r="EI25" s="354">
        <f t="shared" si="57"/>
        <v>0.47336350935244115</v>
      </c>
      <c r="EJ25" s="326"/>
      <c r="EK25" s="348">
        <f t="shared" si="147"/>
        <v>1745.3470739110151</v>
      </c>
      <c r="EL25" s="348">
        <f t="shared" si="148"/>
        <v>1954.9777061110153</v>
      </c>
      <c r="EM25" s="348">
        <f t="shared" si="58"/>
        <v>1748.235075715158</v>
      </c>
      <c r="EN25" s="348">
        <f t="shared" si="149"/>
        <v>1957.8657079151583</v>
      </c>
      <c r="EP25" s="326"/>
      <c r="EQ25" s="326"/>
      <c r="ER25" s="326"/>
      <c r="ES25" s="348">
        <f t="shared" si="59"/>
        <v>27804.467499999999</v>
      </c>
      <c r="ET25" s="348">
        <f t="shared" si="60"/>
        <v>26424.609999999997</v>
      </c>
      <c r="EU25" s="348">
        <f t="shared" si="61"/>
        <v>1500.8146181999998</v>
      </c>
      <c r="EV25" s="348">
        <f t="shared" si="62"/>
        <v>1582.7877609999998</v>
      </c>
      <c r="EW25" s="354">
        <f t="shared" si="63"/>
        <v>0.51272248730397452</v>
      </c>
      <c r="EX25" s="326"/>
      <c r="EY25" s="348">
        <f t="shared" si="64"/>
        <v>1502.2863429913277</v>
      </c>
      <c r="EZ25" s="348">
        <f t="shared" si="65"/>
        <v>1581.338888291328</v>
      </c>
      <c r="FA25" s="348">
        <f t="shared" si="66"/>
        <v>1504.2105035728184</v>
      </c>
      <c r="FB25" s="348">
        <f t="shared" si="67"/>
        <v>1583.2630488728184</v>
      </c>
      <c r="FD25" s="326"/>
      <c r="FE25" s="326"/>
      <c r="FF25" s="326"/>
      <c r="FG25" s="348">
        <f t="shared" si="68"/>
        <v>20484.296699999999</v>
      </c>
      <c r="FH25" s="348">
        <f t="shared" si="69"/>
        <v>19336.5308</v>
      </c>
      <c r="FI25" s="348">
        <f t="shared" si="70"/>
        <v>982.44480880000003</v>
      </c>
      <c r="FJ25" s="348">
        <f t="shared" si="71"/>
        <v>1009.6585132</v>
      </c>
      <c r="FK25" s="354">
        <f t="shared" si="72"/>
        <v>0.51441162793515527</v>
      </c>
      <c r="FL25" s="326"/>
      <c r="FM25" s="348">
        <f t="shared" si="73"/>
        <v>984.23352854211134</v>
      </c>
      <c r="FN25" s="348">
        <f t="shared" si="74"/>
        <v>1007.3993691421111</v>
      </c>
      <c r="FO25" s="348">
        <f t="shared" si="75"/>
        <v>991.39602476641699</v>
      </c>
      <c r="FP25" s="348">
        <f t="shared" si="76"/>
        <v>1014.561865366417</v>
      </c>
      <c r="FR25" s="326"/>
      <c r="FS25" s="326"/>
      <c r="FT25" s="326"/>
      <c r="FU25" s="348">
        <f t="shared" si="77"/>
        <v>22945.000899999999</v>
      </c>
      <c r="FV25" s="348">
        <f t="shared" si="78"/>
        <v>21760.450799999999</v>
      </c>
      <c r="FW25" s="348">
        <f t="shared" si="79"/>
        <v>743.52543679999997</v>
      </c>
      <c r="FX25" s="348">
        <f t="shared" si="80"/>
        <v>781.94756599999994</v>
      </c>
      <c r="FY25" s="354">
        <f t="shared" si="81"/>
        <v>0.51324838531941286</v>
      </c>
      <c r="FZ25" s="326"/>
      <c r="GA25" s="348">
        <f t="shared" si="82"/>
        <v>743.5336856470642</v>
      </c>
      <c r="GB25" s="348">
        <f t="shared" si="83"/>
        <v>781.9399148470643</v>
      </c>
      <c r="GC25" s="348">
        <f t="shared" si="84"/>
        <v>743.53895654996222</v>
      </c>
      <c r="GD25" s="348">
        <f t="shared" si="85"/>
        <v>781.94518574996232</v>
      </c>
      <c r="GF25" s="326"/>
      <c r="GG25" s="326"/>
      <c r="GH25" s="326"/>
      <c r="GI25" s="348">
        <f t="shared" si="86"/>
        <v>11593.887499999999</v>
      </c>
      <c r="GJ25" s="348">
        <f t="shared" si="87"/>
        <v>10921.4167</v>
      </c>
      <c r="GK25" s="349">
        <f t="shared" si="88"/>
        <v>65.703060000000008</v>
      </c>
      <c r="GL25" s="349">
        <f t="shared" si="89"/>
        <v>87.279997499999979</v>
      </c>
      <c r="GM25" s="354">
        <f t="shared" si="90"/>
        <v>0.51493363789417512</v>
      </c>
      <c r="GN25" s="326"/>
      <c r="GO25" s="349">
        <f t="shared" si="91"/>
        <v>66.048946697963174</v>
      </c>
      <c r="GP25" s="349">
        <f t="shared" si="92"/>
        <v>87.007075697963131</v>
      </c>
      <c r="GQ25" s="349">
        <f t="shared" si="93"/>
        <v>65.406866721234451</v>
      </c>
      <c r="GR25" s="349">
        <f t="shared" si="94"/>
        <v>86.364995721234408</v>
      </c>
      <c r="HA25" s="374"/>
      <c r="HB25" s="375"/>
      <c r="HC25" s="374"/>
      <c r="HD25" s="374"/>
      <c r="HE25" s="374"/>
      <c r="HF25" s="351">
        <f t="shared" si="95"/>
        <v>0</v>
      </c>
      <c r="HG25" s="351">
        <f t="shared" si="96"/>
        <v>0</v>
      </c>
      <c r="HH25" s="352">
        <f t="shared" si="97"/>
        <v>0</v>
      </c>
      <c r="HI25" s="352">
        <f t="shared" si="150"/>
        <v>0</v>
      </c>
      <c r="HJ25" s="353">
        <f t="shared" si="151"/>
        <v>0</v>
      </c>
      <c r="HK25" s="353">
        <f t="shared" si="152"/>
        <v>0</v>
      </c>
    </row>
    <row r="26" spans="1:219" x14ac:dyDescent="0.2">
      <c r="A26" s="320">
        <v>16</v>
      </c>
      <c r="C26" s="350">
        <v>0.73809999999999998</v>
      </c>
      <c r="D26" s="350">
        <v>0.4783</v>
      </c>
      <c r="E26" s="350">
        <v>1.9E-3</v>
      </c>
      <c r="F26" s="350">
        <v>7535.09</v>
      </c>
      <c r="G26" s="350">
        <v>13035.0142</v>
      </c>
      <c r="H26" s="351">
        <f t="shared" si="30"/>
        <v>720.45941000000005</v>
      </c>
      <c r="I26" s="351">
        <f t="shared" si="31"/>
        <v>886.61992700000008</v>
      </c>
      <c r="J26" s="352">
        <f t="shared" si="32"/>
        <v>0.32598299999999997</v>
      </c>
      <c r="K26" s="352">
        <f t="shared" si="98"/>
        <v>0.20657129359405965</v>
      </c>
      <c r="L26" s="353">
        <f t="shared" si="99"/>
        <v>720.66598129359409</v>
      </c>
      <c r="M26" s="353">
        <f t="shared" si="100"/>
        <v>886.50051529359416</v>
      </c>
      <c r="N26" s="343">
        <f t="shared" si="101"/>
        <v>722.61843088666365</v>
      </c>
      <c r="O26" s="343">
        <f t="shared" si="102"/>
        <v>888.45296488666372</v>
      </c>
      <c r="Q26" s="374">
        <v>0.90429999999999999</v>
      </c>
      <c r="R26" s="375">
        <v>0.52690000000000003</v>
      </c>
      <c r="S26" s="374">
        <v>2.3199999999999998E-2</v>
      </c>
      <c r="T26" s="374">
        <v>1219.5542</v>
      </c>
      <c r="U26" s="374">
        <v>1172.0358000000001</v>
      </c>
      <c r="V26" s="351">
        <f t="shared" si="33"/>
        <v>578.20942000000002</v>
      </c>
      <c r="W26" s="351">
        <f t="shared" si="34"/>
        <v>633.00712200000009</v>
      </c>
      <c r="X26" s="352">
        <f t="shared" si="35"/>
        <v>4.6488159999999992</v>
      </c>
      <c r="Y26" s="352">
        <f t="shared" si="103"/>
        <v>2.4295685658391144</v>
      </c>
      <c r="Z26" s="353">
        <f t="shared" si="104"/>
        <v>580.6389885658391</v>
      </c>
      <c r="AA26" s="353">
        <f t="shared" si="105"/>
        <v>630.78787456583916</v>
      </c>
      <c r="AB26" s="343">
        <f t="shared" si="106"/>
        <v>580.59277015642954</v>
      </c>
      <c r="AC26" s="343">
        <f t="shared" si="107"/>
        <v>630.7416561564296</v>
      </c>
      <c r="AE26" s="374">
        <v>0.66359999999999997</v>
      </c>
      <c r="AF26" s="375">
        <v>0.25480000000000003</v>
      </c>
      <c r="AG26" s="374">
        <v>4.7399999999999998E-2</v>
      </c>
      <c r="AH26" s="374">
        <v>38.596699999999998</v>
      </c>
      <c r="AI26" s="374">
        <v>43.915799999999997</v>
      </c>
      <c r="AJ26" s="351">
        <f t="shared" si="36"/>
        <v>284.405688</v>
      </c>
      <c r="AK26" s="351">
        <f t="shared" si="37"/>
        <v>253.31706400000002</v>
      </c>
      <c r="AL26" s="352">
        <f t="shared" si="38"/>
        <v>8.5030859999999997</v>
      </c>
      <c r="AM26" s="352">
        <f t="shared" si="108"/>
        <v>4.0057385938162868</v>
      </c>
      <c r="AN26" s="353">
        <f t="shared" si="109"/>
        <v>288.41142659381626</v>
      </c>
      <c r="AO26" s="353">
        <f t="shared" si="110"/>
        <v>248.81971659381631</v>
      </c>
      <c r="AP26" s="343">
        <f t="shared" si="111"/>
        <v>291.76731327672496</v>
      </c>
      <c r="AQ26" s="343">
        <f t="shared" si="112"/>
        <v>252.17560327672501</v>
      </c>
      <c r="AS26" s="374">
        <v>0.90400000000000003</v>
      </c>
      <c r="AT26" s="375">
        <v>0.57799999999999996</v>
      </c>
      <c r="AU26" s="374">
        <v>5.4000000000000003E-3</v>
      </c>
      <c r="AV26" s="374">
        <v>8109.2116999999998</v>
      </c>
      <c r="AW26" s="374">
        <v>7706.415</v>
      </c>
      <c r="AX26" s="351">
        <f t="shared" si="39"/>
        <v>307.96568000000002</v>
      </c>
      <c r="AY26" s="351">
        <f t="shared" si="40"/>
        <v>394.84335999999996</v>
      </c>
      <c r="AZ26" s="352">
        <f t="shared" si="41"/>
        <v>1.3104180000000001</v>
      </c>
      <c r="BA26" s="352">
        <f t="shared" si="113"/>
        <v>0.73620260508385027</v>
      </c>
      <c r="BB26" s="353">
        <f t="shared" si="114"/>
        <v>308.70188260508388</v>
      </c>
      <c r="BC26" s="353">
        <f t="shared" si="115"/>
        <v>394.2691446050838</v>
      </c>
      <c r="BD26" s="343">
        <f t="shared" si="116"/>
        <v>309.15057227853225</v>
      </c>
      <c r="BE26" s="343">
        <f t="shared" si="117"/>
        <v>394.71783427853217</v>
      </c>
      <c r="BG26" s="374">
        <v>0.79959999999999998</v>
      </c>
      <c r="BH26" s="375">
        <v>0.53490000000000004</v>
      </c>
      <c r="BI26" s="374">
        <v>1.2999999999999999E-3</v>
      </c>
      <c r="BJ26" s="374">
        <v>3482.9317000000001</v>
      </c>
      <c r="BK26" s="374">
        <v>3314.75</v>
      </c>
      <c r="BL26" s="351">
        <f t="shared" si="42"/>
        <v>267.68209199999995</v>
      </c>
      <c r="BM26" s="351">
        <f t="shared" si="43"/>
        <v>313.40860800000002</v>
      </c>
      <c r="BN26" s="352">
        <f t="shared" si="44"/>
        <v>0.26698099999999997</v>
      </c>
      <c r="BO26" s="352">
        <f t="shared" si="118"/>
        <v>0.14399497973801334</v>
      </c>
      <c r="BP26" s="353">
        <f t="shared" si="119"/>
        <v>267.82608697973797</v>
      </c>
      <c r="BQ26" s="353">
        <f t="shared" si="120"/>
        <v>313.28562197973804</v>
      </c>
      <c r="BR26" s="343">
        <f t="shared" si="121"/>
        <v>268.68185522631393</v>
      </c>
      <c r="BS26" s="343">
        <f t="shared" si="122"/>
        <v>314.141390226314</v>
      </c>
      <c r="BU26" s="374">
        <v>0.87949999999999995</v>
      </c>
      <c r="BV26" s="375">
        <v>0.72330000000000005</v>
      </c>
      <c r="BW26" s="374">
        <v>6.9999999999999999E-4</v>
      </c>
      <c r="BX26" s="374">
        <v>3091.1882999999998</v>
      </c>
      <c r="BY26" s="374">
        <v>3027.9575</v>
      </c>
      <c r="BZ26" s="351">
        <f t="shared" si="45"/>
        <v>204.14954</v>
      </c>
      <c r="CA26" s="351">
        <f t="shared" si="46"/>
        <v>276.206571</v>
      </c>
      <c r="CB26" s="352">
        <f t="shared" si="47"/>
        <v>6.9432999999999995E-2</v>
      </c>
      <c r="CC26" s="352">
        <f t="shared" si="123"/>
        <v>3.9924236217831727E-2</v>
      </c>
      <c r="CD26" s="353">
        <f t="shared" si="124"/>
        <v>204.18946423621784</v>
      </c>
      <c r="CE26" s="353">
        <f t="shared" si="125"/>
        <v>276.17706223621781</v>
      </c>
      <c r="CF26" s="343">
        <f t="shared" si="126"/>
        <v>205.72935665021964</v>
      </c>
      <c r="CG26" s="343">
        <f t="shared" si="127"/>
        <v>277.71695465021963</v>
      </c>
      <c r="CI26" s="374">
        <v>0.93500000000000005</v>
      </c>
      <c r="CJ26" s="375">
        <v>0.81510000000000005</v>
      </c>
      <c r="CK26" s="374">
        <v>3.0499999999999999E-2</v>
      </c>
      <c r="CL26" s="374">
        <v>15444.2425</v>
      </c>
      <c r="CM26" s="374">
        <v>14856.713299999999</v>
      </c>
      <c r="CN26" s="351">
        <f t="shared" si="48"/>
        <v>198.71555000000001</v>
      </c>
      <c r="CO26" s="351">
        <f t="shared" si="49"/>
        <v>224.519295</v>
      </c>
      <c r="CP26" s="352">
        <f t="shared" si="50"/>
        <v>1.2200000000000001E-2</v>
      </c>
      <c r="CQ26" s="352">
        <f t="shared" si="128"/>
        <v>6.4719042662945208E-3</v>
      </c>
      <c r="CR26" s="353">
        <f t="shared" si="129"/>
        <v>198.72202190426631</v>
      </c>
      <c r="CS26" s="353">
        <f t="shared" si="130"/>
        <v>224.5135669042663</v>
      </c>
      <c r="CT26" s="343">
        <f t="shared" si="131"/>
        <v>198.72308767086417</v>
      </c>
      <c r="CU26" s="343">
        <f t="shared" si="132"/>
        <v>224.51463267086416</v>
      </c>
      <c r="CW26" s="374">
        <v>2.3525</v>
      </c>
      <c r="CX26" s="375">
        <v>1.714</v>
      </c>
      <c r="CY26" s="374">
        <v>4.5600000000000002E-2</v>
      </c>
      <c r="CZ26" s="374">
        <v>6716.5483000000004</v>
      </c>
      <c r="DA26" s="374">
        <v>6336.5316999999995</v>
      </c>
      <c r="DB26" s="351">
        <f t="shared" si="51"/>
        <v>527.50107500000001</v>
      </c>
      <c r="DC26" s="351">
        <f t="shared" si="52"/>
        <v>532.60836000000006</v>
      </c>
      <c r="DD26" s="352">
        <f t="shared" si="53"/>
        <v>1.14E-2</v>
      </c>
      <c r="DE26" s="352">
        <f t="shared" si="133"/>
        <v>5.7274608672830086E-3</v>
      </c>
      <c r="DF26" s="353">
        <f t="shared" si="134"/>
        <v>527.50680246086733</v>
      </c>
      <c r="DG26" s="353">
        <f t="shared" si="135"/>
        <v>532.6026874608674</v>
      </c>
      <c r="DH26" s="343">
        <f t="shared" si="136"/>
        <v>527.50855259887271</v>
      </c>
      <c r="DI26" s="343">
        <f t="shared" si="137"/>
        <v>532.60443759887278</v>
      </c>
      <c r="DK26" s="374">
        <v>2.8134000000000001</v>
      </c>
      <c r="DL26" s="375">
        <v>2.0148999999999999</v>
      </c>
      <c r="DM26" s="374">
        <v>2.75E-2</v>
      </c>
      <c r="DN26" s="374">
        <v>1279.8742</v>
      </c>
      <c r="DO26" s="374">
        <v>1109.9575</v>
      </c>
      <c r="DP26" s="351">
        <f t="shared" si="54"/>
        <v>370.72171800000007</v>
      </c>
      <c r="DQ26" s="351">
        <f t="shared" si="55"/>
        <v>396.65321399999999</v>
      </c>
      <c r="DR26" s="352">
        <f t="shared" si="56"/>
        <v>5.2250000000000005E-3</v>
      </c>
      <c r="DS26" s="352">
        <f t="shared" si="138"/>
        <v>2.7007828334298521E-3</v>
      </c>
      <c r="DT26" s="353">
        <f t="shared" si="139"/>
        <v>370.72441878283348</v>
      </c>
      <c r="DU26" s="353">
        <f t="shared" si="140"/>
        <v>396.65068978283341</v>
      </c>
      <c r="DV26" s="343">
        <f t="shared" si="141"/>
        <v>370.72544528101366</v>
      </c>
      <c r="DW26" s="343">
        <f t="shared" si="142"/>
        <v>396.65171628101359</v>
      </c>
      <c r="EB26" s="326"/>
      <c r="EC26" s="326"/>
      <c r="ED26" s="326"/>
      <c r="EE26" s="348">
        <f t="shared" si="143"/>
        <v>37805.092499999999</v>
      </c>
      <c r="EF26" s="348">
        <f t="shared" si="144"/>
        <v>41934.674200000001</v>
      </c>
      <c r="EG26" s="348">
        <f t="shared" si="145"/>
        <v>1649.1415000000002</v>
      </c>
      <c r="EH26" s="348">
        <f t="shared" si="146"/>
        <v>1932.0692700000002</v>
      </c>
      <c r="EI26" s="354">
        <f t="shared" si="57"/>
        <v>0.47410588298096934</v>
      </c>
      <c r="EJ26" s="326"/>
      <c r="EK26" s="348">
        <f t="shared" si="147"/>
        <v>1650.0953277716383</v>
      </c>
      <c r="EL26" s="348">
        <f t="shared" si="148"/>
        <v>1931.3653767716382</v>
      </c>
      <c r="EM26" s="348">
        <f t="shared" si="58"/>
        <v>1652.4989329151581</v>
      </c>
      <c r="EN26" s="348">
        <f t="shared" si="149"/>
        <v>1933.7689819151583</v>
      </c>
      <c r="EP26" s="326"/>
      <c r="EQ26" s="326"/>
      <c r="ER26" s="326"/>
      <c r="ES26" s="348">
        <f t="shared" si="59"/>
        <v>26863.276700000002</v>
      </c>
      <c r="ET26" s="348">
        <f t="shared" si="60"/>
        <v>25680.0308</v>
      </c>
      <c r="EU26" s="348">
        <f t="shared" si="61"/>
        <v>1413.8578145000001</v>
      </c>
      <c r="EV26" s="348">
        <f t="shared" si="62"/>
        <v>1543.7608770000002</v>
      </c>
      <c r="EW26" s="354">
        <f t="shared" si="63"/>
        <v>0.51125972037447398</v>
      </c>
      <c r="EX26" s="326"/>
      <c r="EY26" s="348">
        <f t="shared" si="64"/>
        <v>1416.4418591724504</v>
      </c>
      <c r="EZ26" s="348">
        <f t="shared" si="65"/>
        <v>1541.4089446724506</v>
      </c>
      <c r="FA26" s="348">
        <f t="shared" si="66"/>
        <v>1417.2536998728185</v>
      </c>
      <c r="FB26" s="348">
        <f t="shared" si="67"/>
        <v>1542.2207853728187</v>
      </c>
      <c r="FD26" s="326"/>
      <c r="FE26" s="326"/>
      <c r="FF26" s="326"/>
      <c r="FG26" s="348">
        <f t="shared" si="68"/>
        <v>19853.901699999999</v>
      </c>
      <c r="FH26" s="348">
        <f t="shared" si="69"/>
        <v>19038.544099999999</v>
      </c>
      <c r="FI26" s="348">
        <f t="shared" si="70"/>
        <v>909.70380880000016</v>
      </c>
      <c r="FJ26" s="348">
        <f t="shared" si="71"/>
        <v>992.03485840000008</v>
      </c>
      <c r="FK26" s="354">
        <f t="shared" si="72"/>
        <v>0.51048221040395458</v>
      </c>
      <c r="FL26" s="326"/>
      <c r="FM26" s="348">
        <f t="shared" si="73"/>
        <v>913.75756400400053</v>
      </c>
      <c r="FN26" s="348">
        <f t="shared" si="74"/>
        <v>987.50075960400045</v>
      </c>
      <c r="FO26" s="348">
        <f t="shared" si="75"/>
        <v>918.655024766417</v>
      </c>
      <c r="FP26" s="348">
        <f t="shared" si="76"/>
        <v>992.39822036641681</v>
      </c>
      <c r="FR26" s="326"/>
      <c r="FS26" s="326"/>
      <c r="FT26" s="326"/>
      <c r="FU26" s="348">
        <f t="shared" si="77"/>
        <v>22160.790800000002</v>
      </c>
      <c r="FV26" s="348">
        <f t="shared" si="78"/>
        <v>21193.244999999999</v>
      </c>
      <c r="FW26" s="348">
        <f t="shared" si="79"/>
        <v>620.71641</v>
      </c>
      <c r="FX26" s="348">
        <f t="shared" si="80"/>
        <v>650.60598300000015</v>
      </c>
      <c r="FY26" s="354">
        <f t="shared" si="81"/>
        <v>0.51115865895926593</v>
      </c>
      <c r="FZ26" s="326"/>
      <c r="GA26" s="348">
        <f t="shared" si="82"/>
        <v>620.72746387296024</v>
      </c>
      <c r="GB26" s="348">
        <f t="shared" si="83"/>
        <v>650.59571687296022</v>
      </c>
      <c r="GC26" s="348">
        <f t="shared" si="84"/>
        <v>620.72992974996237</v>
      </c>
      <c r="GD26" s="348">
        <f t="shared" si="85"/>
        <v>650.59818274996246</v>
      </c>
      <c r="GF26" s="326"/>
      <c r="GG26" s="326"/>
      <c r="GH26" s="326"/>
      <c r="GI26" s="348">
        <f t="shared" si="86"/>
        <v>11200.4</v>
      </c>
      <c r="GJ26" s="348">
        <f t="shared" si="87"/>
        <v>10734.372499999999</v>
      </c>
      <c r="GK26" s="349">
        <f t="shared" si="88"/>
        <v>77.862105000000014</v>
      </c>
      <c r="GL26" s="349">
        <f t="shared" si="89"/>
        <v>88.977591749999974</v>
      </c>
      <c r="GM26" s="354">
        <f t="shared" si="90"/>
        <v>0.51062303016819532</v>
      </c>
      <c r="GN26" s="326"/>
      <c r="GO26" s="349">
        <f t="shared" si="91"/>
        <v>78.38431377664952</v>
      </c>
      <c r="GP26" s="349">
        <f t="shared" si="92"/>
        <v>88.569061776649491</v>
      </c>
      <c r="GQ26" s="349">
        <f t="shared" si="93"/>
        <v>77.565911721234457</v>
      </c>
      <c r="GR26" s="349">
        <f t="shared" si="94"/>
        <v>87.750659721234399</v>
      </c>
      <c r="HA26" s="374"/>
      <c r="HB26" s="375"/>
      <c r="HC26" s="374"/>
      <c r="HD26" s="374"/>
      <c r="HE26" s="374"/>
      <c r="HF26" s="351">
        <f t="shared" si="95"/>
        <v>0</v>
      </c>
      <c r="HG26" s="351">
        <f t="shared" si="96"/>
        <v>0</v>
      </c>
      <c r="HH26" s="352">
        <f t="shared" si="97"/>
        <v>0</v>
      </c>
      <c r="HI26" s="352">
        <f t="shared" si="150"/>
        <v>0</v>
      </c>
      <c r="HJ26" s="353">
        <f t="shared" si="151"/>
        <v>0</v>
      </c>
      <c r="HK26" s="353">
        <f t="shared" si="152"/>
        <v>0</v>
      </c>
    </row>
    <row r="27" spans="1:219" x14ac:dyDescent="0.2">
      <c r="A27" s="320">
        <v>17</v>
      </c>
      <c r="C27" s="350">
        <v>0.73570000000000002</v>
      </c>
      <c r="D27" s="350">
        <v>0.51200000000000001</v>
      </c>
      <c r="E27" s="350">
        <v>1.2800000000000001E-2</v>
      </c>
      <c r="F27" s="350">
        <v>6296.4166999999998</v>
      </c>
      <c r="G27" s="350">
        <v>11187.3925</v>
      </c>
      <c r="H27" s="351">
        <f t="shared" si="30"/>
        <v>718.11677000000009</v>
      </c>
      <c r="I27" s="351">
        <f t="shared" si="31"/>
        <v>949.08928000000003</v>
      </c>
      <c r="J27" s="352">
        <f t="shared" si="32"/>
        <v>2.1960959999999998</v>
      </c>
      <c r="K27" s="352">
        <f t="shared" si="98"/>
        <v>1.4052194026276608</v>
      </c>
      <c r="L27" s="353">
        <f t="shared" si="99"/>
        <v>719.5219894026277</v>
      </c>
      <c r="M27" s="353">
        <f t="shared" si="100"/>
        <v>948.29840340262763</v>
      </c>
      <c r="N27" s="343">
        <f t="shared" si="101"/>
        <v>720.27579088666369</v>
      </c>
      <c r="O27" s="343">
        <f t="shared" si="102"/>
        <v>949.05220488666362</v>
      </c>
      <c r="Q27" s="374">
        <v>0.90280000000000005</v>
      </c>
      <c r="R27" s="375">
        <v>0.56510000000000005</v>
      </c>
      <c r="S27" s="374">
        <v>2.35E-2</v>
      </c>
      <c r="T27" s="374">
        <v>1037.6192000000001</v>
      </c>
      <c r="U27" s="374">
        <v>978.52170000000001</v>
      </c>
      <c r="V27" s="351">
        <f t="shared" si="33"/>
        <v>577.25031999999999</v>
      </c>
      <c r="W27" s="351">
        <f t="shared" si="34"/>
        <v>678.89983800000016</v>
      </c>
      <c r="X27" s="352">
        <f t="shared" si="35"/>
        <v>4.7089299999999996</v>
      </c>
      <c r="Y27" s="352">
        <f t="shared" si="103"/>
        <v>2.5449917701266891</v>
      </c>
      <c r="Z27" s="353">
        <f t="shared" si="104"/>
        <v>579.79531177012666</v>
      </c>
      <c r="AA27" s="353">
        <f t="shared" si="105"/>
        <v>676.73589977012682</v>
      </c>
      <c r="AB27" s="343">
        <f t="shared" si="106"/>
        <v>579.6336701564295</v>
      </c>
      <c r="AC27" s="343">
        <f t="shared" si="107"/>
        <v>676.57425815642966</v>
      </c>
      <c r="AE27" s="374">
        <v>0.66359999999999997</v>
      </c>
      <c r="AF27" s="375">
        <v>0.28670000000000001</v>
      </c>
      <c r="AG27" s="374">
        <v>8.0799999999999997E-2</v>
      </c>
      <c r="AH27" s="374">
        <v>29.5</v>
      </c>
      <c r="AI27" s="374">
        <v>32.241700000000002</v>
      </c>
      <c r="AJ27" s="351">
        <f t="shared" si="36"/>
        <v>284.405688</v>
      </c>
      <c r="AK27" s="351">
        <f t="shared" si="37"/>
        <v>285.031406</v>
      </c>
      <c r="AL27" s="352">
        <f t="shared" si="38"/>
        <v>14.494711999999998</v>
      </c>
      <c r="AM27" s="352">
        <f t="shared" si="108"/>
        <v>7.2553196559496893</v>
      </c>
      <c r="AN27" s="353">
        <f t="shared" si="109"/>
        <v>291.66100765594967</v>
      </c>
      <c r="AO27" s="353">
        <f t="shared" si="110"/>
        <v>277.79201365594969</v>
      </c>
      <c r="AP27" s="343">
        <f t="shared" si="111"/>
        <v>291.76731327672496</v>
      </c>
      <c r="AQ27" s="343">
        <f t="shared" si="112"/>
        <v>277.89831927672498</v>
      </c>
      <c r="AS27" s="374">
        <v>0.99760000000000004</v>
      </c>
      <c r="AT27" s="375">
        <v>0.63049999999999995</v>
      </c>
      <c r="AU27" s="374">
        <v>8.3999999999999995E-3</v>
      </c>
      <c r="AV27" s="374">
        <v>6804.8692000000001</v>
      </c>
      <c r="AW27" s="374">
        <v>6731.1166999999996</v>
      </c>
      <c r="AX27" s="351">
        <f t="shared" si="39"/>
        <v>339.85239200000001</v>
      </c>
      <c r="AY27" s="351">
        <f t="shared" si="40"/>
        <v>430.70715999999999</v>
      </c>
      <c r="AZ27" s="352">
        <f t="shared" si="41"/>
        <v>2.0384279999999997</v>
      </c>
      <c r="BA27" s="352">
        <f t="shared" si="113"/>
        <v>1.1393869980142428</v>
      </c>
      <c r="BB27" s="353">
        <f t="shared" si="114"/>
        <v>340.99177899801424</v>
      </c>
      <c r="BC27" s="353">
        <f t="shared" si="115"/>
        <v>429.80811899801421</v>
      </c>
      <c r="BD27" s="343">
        <f t="shared" si="116"/>
        <v>341.03728427853224</v>
      </c>
      <c r="BE27" s="343">
        <f t="shared" si="117"/>
        <v>429.85362427853221</v>
      </c>
      <c r="BG27" s="374">
        <v>0.85</v>
      </c>
      <c r="BH27" s="375">
        <v>0.57699999999999996</v>
      </c>
      <c r="BI27" s="374">
        <v>5.7999999999999996E-3</v>
      </c>
      <c r="BJ27" s="374">
        <v>2981.1617000000001</v>
      </c>
      <c r="BK27" s="374">
        <v>2723.5232999999998</v>
      </c>
      <c r="BL27" s="351">
        <f t="shared" si="42"/>
        <v>284.55449999999996</v>
      </c>
      <c r="BM27" s="351">
        <f t="shared" si="43"/>
        <v>338.07583999999997</v>
      </c>
      <c r="BN27" s="352">
        <f t="shared" si="44"/>
        <v>1.191146</v>
      </c>
      <c r="BO27" s="352">
        <f t="shared" si="118"/>
        <v>0.64676848949031296</v>
      </c>
      <c r="BP27" s="353">
        <f t="shared" si="119"/>
        <v>285.2012684894903</v>
      </c>
      <c r="BQ27" s="353">
        <f t="shared" si="120"/>
        <v>337.53146248949031</v>
      </c>
      <c r="BR27" s="343">
        <f t="shared" si="121"/>
        <v>285.55426322631394</v>
      </c>
      <c r="BS27" s="343">
        <f t="shared" si="122"/>
        <v>337.88445722631394</v>
      </c>
      <c r="BU27" s="374">
        <v>0.92820000000000003</v>
      </c>
      <c r="BV27" s="375">
        <v>0.81210000000000004</v>
      </c>
      <c r="BW27" s="374">
        <v>2.1000000000000001E-2</v>
      </c>
      <c r="BX27" s="374">
        <v>2746.8008</v>
      </c>
      <c r="BY27" s="374">
        <v>2668.1057999999998</v>
      </c>
      <c r="BZ27" s="351">
        <f t="shared" si="45"/>
        <v>215.45378400000001</v>
      </c>
      <c r="CA27" s="351">
        <f t="shared" si="46"/>
        <v>310.11662699999999</v>
      </c>
      <c r="CB27" s="352">
        <f t="shared" si="47"/>
        <v>2.0829900000000001</v>
      </c>
      <c r="CC27" s="352">
        <f t="shared" si="123"/>
        <v>1.2290833337547422</v>
      </c>
      <c r="CD27" s="353">
        <f t="shared" si="124"/>
        <v>216.68286733375476</v>
      </c>
      <c r="CE27" s="353">
        <f t="shared" si="125"/>
        <v>309.26272033375471</v>
      </c>
      <c r="CF27" s="343">
        <f t="shared" si="126"/>
        <v>217.03360065021965</v>
      </c>
      <c r="CG27" s="343">
        <f t="shared" si="127"/>
        <v>309.61345365021964</v>
      </c>
      <c r="CI27" s="374">
        <v>0.9254</v>
      </c>
      <c r="CJ27" s="375">
        <v>0.82020000000000004</v>
      </c>
      <c r="CK27" s="374">
        <v>3.7999999999999999E-2</v>
      </c>
      <c r="CL27" s="374">
        <v>13299.1958</v>
      </c>
      <c r="CM27" s="374">
        <v>12833.078299999999</v>
      </c>
      <c r="CN27" s="351">
        <f t="shared" si="48"/>
        <v>196.675262</v>
      </c>
      <c r="CO27" s="351">
        <f t="shared" si="49"/>
        <v>225.92409000000001</v>
      </c>
      <c r="CP27" s="352">
        <f t="shared" si="50"/>
        <v>1.52E-2</v>
      </c>
      <c r="CQ27" s="352">
        <f t="shared" si="128"/>
        <v>8.1260090715898677E-3</v>
      </c>
      <c r="CR27" s="353">
        <f t="shared" si="129"/>
        <v>196.68338800907159</v>
      </c>
      <c r="CS27" s="353">
        <f t="shared" si="130"/>
        <v>225.9170160090716</v>
      </c>
      <c r="CT27" s="343">
        <f t="shared" si="131"/>
        <v>196.68279967086417</v>
      </c>
      <c r="CU27" s="343">
        <f t="shared" si="132"/>
        <v>225.91642767086418</v>
      </c>
      <c r="CW27" s="374">
        <v>1.6172</v>
      </c>
      <c r="CX27" s="375">
        <v>1.1801999999999999</v>
      </c>
      <c r="CY27" s="374">
        <v>6.1600000000000002E-2</v>
      </c>
      <c r="CZ27" s="374">
        <v>5794.3374999999996</v>
      </c>
      <c r="DA27" s="374">
        <v>5411.9183000000003</v>
      </c>
      <c r="DB27" s="351">
        <f t="shared" si="51"/>
        <v>362.62475599999999</v>
      </c>
      <c r="DC27" s="351">
        <f t="shared" si="52"/>
        <v>366.73534799999999</v>
      </c>
      <c r="DD27" s="352">
        <f t="shared" si="53"/>
        <v>1.54E-2</v>
      </c>
      <c r="DE27" s="352">
        <f t="shared" si="133"/>
        <v>7.7433963391011036E-3</v>
      </c>
      <c r="DF27" s="353">
        <f t="shared" si="134"/>
        <v>362.63249939633909</v>
      </c>
      <c r="DG27" s="353">
        <f t="shared" si="135"/>
        <v>366.72769139633908</v>
      </c>
      <c r="DH27" s="343">
        <f t="shared" si="136"/>
        <v>362.63223359887263</v>
      </c>
      <c r="DI27" s="343">
        <f t="shared" si="137"/>
        <v>366.72742559887263</v>
      </c>
      <c r="DK27" s="374">
        <v>1.9098999999999999</v>
      </c>
      <c r="DL27" s="375">
        <v>1.3093999999999999</v>
      </c>
      <c r="DM27" s="374">
        <v>3.9E-2</v>
      </c>
      <c r="DN27" s="374">
        <v>1111.2967000000001</v>
      </c>
      <c r="DO27" s="374">
        <v>984.01</v>
      </c>
      <c r="DP27" s="351">
        <f t="shared" si="54"/>
        <v>251.66752300000002</v>
      </c>
      <c r="DQ27" s="351">
        <f t="shared" si="55"/>
        <v>257.768484</v>
      </c>
      <c r="DR27" s="352">
        <f t="shared" si="56"/>
        <v>7.4099999999999999E-3</v>
      </c>
      <c r="DS27" s="352">
        <f t="shared" si="138"/>
        <v>3.7493707554911797E-3</v>
      </c>
      <c r="DT27" s="353">
        <f t="shared" si="139"/>
        <v>251.6712723707555</v>
      </c>
      <c r="DU27" s="353">
        <f t="shared" si="140"/>
        <v>257.76482337075549</v>
      </c>
      <c r="DV27" s="343">
        <f t="shared" si="141"/>
        <v>251.67125028101364</v>
      </c>
      <c r="DW27" s="343">
        <f t="shared" si="142"/>
        <v>257.7648012810136</v>
      </c>
      <c r="EB27" s="326"/>
      <c r="EC27" s="326"/>
      <c r="ED27" s="326"/>
      <c r="EE27" s="348">
        <f t="shared" si="143"/>
        <v>32194.819199999998</v>
      </c>
      <c r="EF27" s="348">
        <f t="shared" si="144"/>
        <v>36163.505799999999</v>
      </c>
      <c r="EG27" s="348">
        <f t="shared" si="145"/>
        <v>1544.7442288000002</v>
      </c>
      <c r="EH27" s="348">
        <f t="shared" si="146"/>
        <v>1899.1088084</v>
      </c>
      <c r="EI27" s="354">
        <f t="shared" si="57"/>
        <v>0.47097144641855981</v>
      </c>
      <c r="EJ27" s="326"/>
      <c r="EK27" s="348">
        <f t="shared" si="147"/>
        <v>1547.3031559267849</v>
      </c>
      <c r="EL27" s="348">
        <f t="shared" si="148"/>
        <v>1897.4056915267847</v>
      </c>
      <c r="EM27" s="348">
        <f t="shared" si="58"/>
        <v>1548.1016617151581</v>
      </c>
      <c r="EN27" s="348">
        <f t="shared" si="149"/>
        <v>1898.2041973151581</v>
      </c>
      <c r="EP27" s="326"/>
      <c r="EQ27" s="326"/>
      <c r="ER27" s="326"/>
      <c r="ES27" s="348">
        <f t="shared" si="59"/>
        <v>23112.314200000001</v>
      </c>
      <c r="ET27" s="348">
        <f t="shared" si="60"/>
        <v>21947.0416</v>
      </c>
      <c r="EU27" s="348">
        <f t="shared" si="61"/>
        <v>1312.3174111999999</v>
      </c>
      <c r="EV27" s="348">
        <f t="shared" si="62"/>
        <v>1499.6145116000002</v>
      </c>
      <c r="EW27" s="354">
        <f t="shared" si="63"/>
        <v>0.51293041788227245</v>
      </c>
      <c r="EX27" s="326"/>
      <c r="EY27" s="348">
        <f t="shared" si="64"/>
        <v>1315.5227178461259</v>
      </c>
      <c r="EZ27" s="348">
        <f t="shared" si="65"/>
        <v>1496.8937622461262</v>
      </c>
      <c r="FA27" s="348">
        <f t="shared" si="66"/>
        <v>1315.7132965728185</v>
      </c>
      <c r="FB27" s="348">
        <f t="shared" si="67"/>
        <v>1497.0843409728186</v>
      </c>
      <c r="FD27" s="326"/>
      <c r="FE27" s="326"/>
      <c r="FF27" s="326"/>
      <c r="FG27" s="348">
        <f t="shared" si="68"/>
        <v>17186.793299999998</v>
      </c>
      <c r="FH27" s="348">
        <f t="shared" si="69"/>
        <v>16517.435799999999</v>
      </c>
      <c r="FI27" s="348">
        <f t="shared" si="70"/>
        <v>847.53524779999998</v>
      </c>
      <c r="FJ27" s="348">
        <f t="shared" si="71"/>
        <v>975.73321339999995</v>
      </c>
      <c r="FK27" s="354">
        <f t="shared" si="72"/>
        <v>0.50992987405251167</v>
      </c>
      <c r="FL27" s="326"/>
      <c r="FM27" s="348">
        <f t="shared" si="73"/>
        <v>856.03002642122931</v>
      </c>
      <c r="FN27" s="348">
        <f t="shared" si="74"/>
        <v>967.63064402122927</v>
      </c>
      <c r="FO27" s="348">
        <f t="shared" si="75"/>
        <v>856.48646376641693</v>
      </c>
      <c r="FP27" s="348">
        <f t="shared" si="76"/>
        <v>968.0870813664169</v>
      </c>
      <c r="FR27" s="326"/>
      <c r="FS27" s="326"/>
      <c r="FT27" s="326"/>
      <c r="FU27" s="348">
        <f t="shared" si="77"/>
        <v>19093.533299999999</v>
      </c>
      <c r="FV27" s="348">
        <f t="shared" si="78"/>
        <v>18244.996599999999</v>
      </c>
      <c r="FW27" s="348">
        <f t="shared" si="79"/>
        <v>486.77506679999999</v>
      </c>
      <c r="FX27" s="348">
        <f t="shared" si="80"/>
        <v>519.31236839999997</v>
      </c>
      <c r="FY27" s="354">
        <f t="shared" si="81"/>
        <v>0.51136274917990288</v>
      </c>
      <c r="FZ27" s="326"/>
      <c r="GA27" s="348">
        <f t="shared" si="82"/>
        <v>486.78938752614283</v>
      </c>
      <c r="GB27" s="348">
        <f t="shared" si="83"/>
        <v>519.29916912614283</v>
      </c>
      <c r="GC27" s="348">
        <f t="shared" si="84"/>
        <v>486.78858654996225</v>
      </c>
      <c r="GD27" s="348">
        <f t="shared" si="85"/>
        <v>519.29836814996224</v>
      </c>
      <c r="GF27" s="326"/>
      <c r="GG27" s="326"/>
      <c r="GH27" s="326"/>
      <c r="GI27" s="348">
        <f t="shared" si="86"/>
        <v>9551.67</v>
      </c>
      <c r="GJ27" s="348">
        <f t="shared" si="87"/>
        <v>9399.2224999999999</v>
      </c>
      <c r="GK27" s="349">
        <f t="shared" si="88"/>
        <v>93.298956000000004</v>
      </c>
      <c r="GL27" s="349">
        <f t="shared" si="89"/>
        <v>90.442899749999995</v>
      </c>
      <c r="GM27" s="354">
        <f t="shared" si="90"/>
        <v>0.50402217204282063</v>
      </c>
      <c r="GN27" s="326"/>
      <c r="GO27" s="349">
        <f t="shared" si="91"/>
        <v>93.231683748194612</v>
      </c>
      <c r="GP27" s="349">
        <f t="shared" si="92"/>
        <v>90.409048998194621</v>
      </c>
      <c r="GQ27" s="349">
        <f t="shared" si="93"/>
        <v>93.002762721234433</v>
      </c>
      <c r="GR27" s="349">
        <f t="shared" si="94"/>
        <v>90.180127971234427</v>
      </c>
      <c r="HA27" s="374"/>
      <c r="HB27" s="375"/>
      <c r="HC27" s="374"/>
      <c r="HD27" s="374"/>
      <c r="HE27" s="374"/>
      <c r="HF27" s="351">
        <f t="shared" si="95"/>
        <v>0</v>
      </c>
      <c r="HG27" s="351">
        <f t="shared" si="96"/>
        <v>0</v>
      </c>
      <c r="HH27" s="352">
        <f t="shared" si="97"/>
        <v>0</v>
      </c>
      <c r="HI27" s="352">
        <f t="shared" si="150"/>
        <v>0</v>
      </c>
      <c r="HJ27" s="353">
        <f t="shared" si="151"/>
        <v>0</v>
      </c>
      <c r="HK27" s="353">
        <f t="shared" si="152"/>
        <v>0</v>
      </c>
    </row>
    <row r="28" spans="1:219" x14ac:dyDescent="0.2">
      <c r="A28" s="320">
        <v>18</v>
      </c>
      <c r="C28" s="350">
        <v>0.73229999999999995</v>
      </c>
      <c r="D28" s="350">
        <v>0.54339999999999999</v>
      </c>
      <c r="E28" s="350">
        <v>3.6499999999999998E-2</v>
      </c>
      <c r="F28" s="350">
        <v>5232.2542000000003</v>
      </c>
      <c r="G28" s="350">
        <v>9337.9750000000004</v>
      </c>
      <c r="H28" s="351">
        <f t="shared" si="30"/>
        <v>714.79802999999993</v>
      </c>
      <c r="I28" s="351">
        <f t="shared" si="31"/>
        <v>1007.295146</v>
      </c>
      <c r="J28" s="352">
        <f t="shared" si="32"/>
        <v>6.2623049999999996</v>
      </c>
      <c r="K28" s="352">
        <f t="shared" si="98"/>
        <v>4.0134747868190699</v>
      </c>
      <c r="L28" s="353">
        <f t="shared" si="99"/>
        <v>718.811504786819</v>
      </c>
      <c r="M28" s="353">
        <f t="shared" si="100"/>
        <v>1005.0463157868192</v>
      </c>
      <c r="N28" s="343">
        <f t="shared" si="101"/>
        <v>716.95705088666352</v>
      </c>
      <c r="O28" s="343">
        <f t="shared" si="102"/>
        <v>1003.1918618866637</v>
      </c>
      <c r="Q28" s="374">
        <v>0.89670000000000005</v>
      </c>
      <c r="R28" s="375">
        <v>0.60070000000000001</v>
      </c>
      <c r="S28" s="374">
        <v>3.1099999999999999E-2</v>
      </c>
      <c r="T28" s="374">
        <v>872.29079999999999</v>
      </c>
      <c r="U28" s="374">
        <v>882.34749999999997</v>
      </c>
      <c r="V28" s="351">
        <f t="shared" si="33"/>
        <v>573.34997999999996</v>
      </c>
      <c r="W28" s="351">
        <f t="shared" si="34"/>
        <v>721.66896600000007</v>
      </c>
      <c r="X28" s="352">
        <f t="shared" si="35"/>
        <v>6.2318179999999996</v>
      </c>
      <c r="Y28" s="352">
        <f t="shared" si="103"/>
        <v>3.4727751792753985</v>
      </c>
      <c r="Z28" s="353">
        <f t="shared" si="104"/>
        <v>576.8227551792753</v>
      </c>
      <c r="AA28" s="353">
        <f t="shared" si="105"/>
        <v>718.90992317927544</v>
      </c>
      <c r="AB28" s="343">
        <f t="shared" si="106"/>
        <v>575.73333015642947</v>
      </c>
      <c r="AC28" s="343">
        <f t="shared" si="107"/>
        <v>717.82049815642961</v>
      </c>
      <c r="AE28" s="374">
        <v>0.66080000000000005</v>
      </c>
      <c r="AF28" s="375">
        <v>0.3206</v>
      </c>
      <c r="AG28" s="374">
        <v>0.12330000000000001</v>
      </c>
      <c r="AH28" s="374">
        <v>22.166699999999999</v>
      </c>
      <c r="AI28" s="374">
        <v>29.363299999999999</v>
      </c>
      <c r="AJ28" s="351">
        <f t="shared" si="36"/>
        <v>283.20566400000001</v>
      </c>
      <c r="AK28" s="351">
        <f t="shared" si="37"/>
        <v>318.73410799999999</v>
      </c>
      <c r="AL28" s="352">
        <f t="shared" si="38"/>
        <v>22.118787000000001</v>
      </c>
      <c r="AM28" s="352">
        <f t="shared" si="108"/>
        <v>11.712154890617523</v>
      </c>
      <c r="AN28" s="353">
        <f t="shared" si="109"/>
        <v>294.91781889061753</v>
      </c>
      <c r="AO28" s="353">
        <f t="shared" si="110"/>
        <v>308.32747589061751</v>
      </c>
      <c r="AP28" s="343">
        <f t="shared" si="111"/>
        <v>290.56728927672498</v>
      </c>
      <c r="AQ28" s="343">
        <f t="shared" si="112"/>
        <v>303.97694627672496</v>
      </c>
      <c r="AS28" s="374">
        <v>1.0915999999999999</v>
      </c>
      <c r="AT28" s="375">
        <v>0.67769999999999997</v>
      </c>
      <c r="AU28" s="374">
        <v>1.47E-2</v>
      </c>
      <c r="AV28" s="374">
        <v>5597.4083000000001</v>
      </c>
      <c r="AW28" s="374">
        <v>5510.5016999999998</v>
      </c>
      <c r="AX28" s="351">
        <f t="shared" si="39"/>
        <v>371.87537199999997</v>
      </c>
      <c r="AY28" s="351">
        <f t="shared" si="40"/>
        <v>462.950424</v>
      </c>
      <c r="AZ28" s="352">
        <f t="shared" si="41"/>
        <v>3.5672489999999999</v>
      </c>
      <c r="BA28" s="352">
        <f t="shared" si="113"/>
        <v>1.9782084417807999</v>
      </c>
      <c r="BB28" s="353">
        <f t="shared" si="114"/>
        <v>373.85358044178076</v>
      </c>
      <c r="BC28" s="353">
        <f t="shared" si="115"/>
        <v>461.36138344178079</v>
      </c>
      <c r="BD28" s="343">
        <f t="shared" si="116"/>
        <v>373.0602642785322</v>
      </c>
      <c r="BE28" s="343">
        <f t="shared" si="117"/>
        <v>460.56806727853223</v>
      </c>
      <c r="BG28" s="374">
        <v>0.89449999999999996</v>
      </c>
      <c r="BH28" s="375">
        <v>0.61699999999999999</v>
      </c>
      <c r="BI28" s="374">
        <v>1.7299999999999999E-2</v>
      </c>
      <c r="BJ28" s="374">
        <v>2451.8225000000002</v>
      </c>
      <c r="BK28" s="374">
        <v>2399.6242000000002</v>
      </c>
      <c r="BL28" s="351">
        <f t="shared" si="42"/>
        <v>299.45176499999997</v>
      </c>
      <c r="BM28" s="351">
        <f t="shared" si="43"/>
        <v>361.51263999999998</v>
      </c>
      <c r="BN28" s="352">
        <f t="shared" si="44"/>
        <v>3.5529009999999999</v>
      </c>
      <c r="BO28" s="352">
        <f t="shared" si="118"/>
        <v>1.9432493042777998</v>
      </c>
      <c r="BP28" s="353">
        <f t="shared" si="119"/>
        <v>301.39501430427777</v>
      </c>
      <c r="BQ28" s="353">
        <f t="shared" si="120"/>
        <v>359.90298830427776</v>
      </c>
      <c r="BR28" s="343">
        <f t="shared" si="121"/>
        <v>300.45152822631394</v>
      </c>
      <c r="BS28" s="343">
        <f t="shared" si="122"/>
        <v>358.95950222631393</v>
      </c>
      <c r="BU28" s="374">
        <v>0.96879999999999999</v>
      </c>
      <c r="BV28" s="375">
        <v>0.8831</v>
      </c>
      <c r="BW28" s="374">
        <v>6.0100000000000001E-2</v>
      </c>
      <c r="BX28" s="374">
        <v>2356.6750000000002</v>
      </c>
      <c r="BY28" s="374">
        <v>2302.6217000000001</v>
      </c>
      <c r="BZ28" s="351">
        <f t="shared" si="45"/>
        <v>224.87785600000001</v>
      </c>
      <c r="CA28" s="351">
        <f t="shared" si="46"/>
        <v>337.22939700000001</v>
      </c>
      <c r="CB28" s="352">
        <f t="shared" si="47"/>
        <v>5.9613189999999996</v>
      </c>
      <c r="CC28" s="352">
        <f t="shared" si="123"/>
        <v>3.5764206936761282</v>
      </c>
      <c r="CD28" s="353">
        <f t="shared" si="124"/>
        <v>228.45427669367615</v>
      </c>
      <c r="CE28" s="353">
        <f t="shared" si="125"/>
        <v>334.84449869367614</v>
      </c>
      <c r="CF28" s="343">
        <f t="shared" si="126"/>
        <v>226.45767265021965</v>
      </c>
      <c r="CG28" s="343">
        <f t="shared" si="127"/>
        <v>332.84789465021964</v>
      </c>
      <c r="CI28" s="374">
        <v>0.89829999999999999</v>
      </c>
      <c r="CJ28" s="375">
        <v>0.81210000000000004</v>
      </c>
      <c r="CK28" s="374">
        <v>4.9099999999999998E-2</v>
      </c>
      <c r="CL28" s="374">
        <v>11121.5867</v>
      </c>
      <c r="CM28" s="374">
        <v>10929.4717</v>
      </c>
      <c r="CN28" s="351">
        <f t="shared" si="48"/>
        <v>190.91569899999999</v>
      </c>
      <c r="CO28" s="351">
        <f t="shared" si="49"/>
        <v>223.69294500000001</v>
      </c>
      <c r="CP28" s="352">
        <f t="shared" si="50"/>
        <v>1.9640000000000001E-2</v>
      </c>
      <c r="CQ28" s="352">
        <f t="shared" si="128"/>
        <v>1.0596328618271644E-2</v>
      </c>
      <c r="CR28" s="353">
        <f t="shared" si="129"/>
        <v>190.92629532861827</v>
      </c>
      <c r="CS28" s="353">
        <f t="shared" si="130"/>
        <v>223.68390132861828</v>
      </c>
      <c r="CT28" s="343">
        <f t="shared" si="131"/>
        <v>190.92323667086416</v>
      </c>
      <c r="CU28" s="343">
        <f t="shared" si="132"/>
        <v>223.68084267086417</v>
      </c>
      <c r="CW28" s="374">
        <v>1.0366</v>
      </c>
      <c r="CX28" s="375">
        <v>0.77259999999999995</v>
      </c>
      <c r="CY28" s="374">
        <v>8.3199999999999996E-2</v>
      </c>
      <c r="CZ28" s="374">
        <v>4823.9724999999999</v>
      </c>
      <c r="DA28" s="374">
        <v>4691.8374999999996</v>
      </c>
      <c r="DB28" s="351">
        <f t="shared" si="51"/>
        <v>232.43681799999999</v>
      </c>
      <c r="DC28" s="351">
        <f t="shared" si="52"/>
        <v>240.07772399999999</v>
      </c>
      <c r="DD28" s="352">
        <f t="shared" si="53"/>
        <v>2.0799999999999999E-2</v>
      </c>
      <c r="DE28" s="352">
        <f t="shared" si="133"/>
        <v>1.0568175612254489E-2</v>
      </c>
      <c r="DF28" s="353">
        <f t="shared" si="134"/>
        <v>232.44738617561225</v>
      </c>
      <c r="DG28" s="353">
        <f t="shared" si="135"/>
        <v>240.06749217561224</v>
      </c>
      <c r="DH28" s="343">
        <f t="shared" si="136"/>
        <v>232.44429559887263</v>
      </c>
      <c r="DI28" s="343">
        <f t="shared" si="137"/>
        <v>240.06440159887262</v>
      </c>
      <c r="DK28" s="374">
        <v>1.1779999999999999</v>
      </c>
      <c r="DL28" s="375">
        <v>0.80020000000000002</v>
      </c>
      <c r="DM28" s="374">
        <v>5.5300000000000002E-2</v>
      </c>
      <c r="DN28" s="374">
        <v>895.52499999999998</v>
      </c>
      <c r="DO28" s="374">
        <v>917.44669999999996</v>
      </c>
      <c r="DP28" s="351">
        <f t="shared" si="54"/>
        <v>155.22506000000001</v>
      </c>
      <c r="DQ28" s="351">
        <f t="shared" si="55"/>
        <v>157.52737200000001</v>
      </c>
      <c r="DR28" s="352">
        <f t="shared" si="56"/>
        <v>1.0507000000000001E-2</v>
      </c>
      <c r="DS28" s="352">
        <f t="shared" si="138"/>
        <v>5.2921733878123775E-3</v>
      </c>
      <c r="DT28" s="353">
        <f t="shared" si="139"/>
        <v>155.23035217338781</v>
      </c>
      <c r="DU28" s="353">
        <f t="shared" si="140"/>
        <v>157.52215717338782</v>
      </c>
      <c r="DV28" s="343">
        <f t="shared" si="141"/>
        <v>155.22878728101364</v>
      </c>
      <c r="DW28" s="343">
        <f t="shared" si="142"/>
        <v>157.52059228101365</v>
      </c>
      <c r="EB28" s="326"/>
      <c r="EC28" s="326"/>
      <c r="ED28" s="326"/>
      <c r="EE28" s="348">
        <f t="shared" si="143"/>
        <v>26775.221699999998</v>
      </c>
      <c r="EF28" s="348">
        <f t="shared" si="144"/>
        <v>30469.785900000003</v>
      </c>
      <c r="EG28" s="348">
        <f t="shared" si="145"/>
        <v>1463.5385553999997</v>
      </c>
      <c r="EH28" s="348">
        <f t="shared" si="146"/>
        <v>1886.0006942</v>
      </c>
      <c r="EI28" s="354">
        <f t="shared" si="57"/>
        <v>0.46773024972050137</v>
      </c>
      <c r="EJ28" s="326"/>
      <c r="EK28" s="348">
        <f t="shared" si="147"/>
        <v>1469.5492894977078</v>
      </c>
      <c r="EL28" s="348">
        <f t="shared" si="148"/>
        <v>1882.1455942977082</v>
      </c>
      <c r="EM28" s="348">
        <f t="shared" si="58"/>
        <v>1466.8959883151579</v>
      </c>
      <c r="EN28" s="348">
        <f t="shared" si="149"/>
        <v>1879.4922931151582</v>
      </c>
      <c r="EP28" s="326"/>
      <c r="EQ28" s="326"/>
      <c r="ER28" s="326"/>
      <c r="ES28" s="348">
        <f t="shared" si="59"/>
        <v>19269.672500000001</v>
      </c>
      <c r="ET28" s="348">
        <f t="shared" si="60"/>
        <v>18903.280899999998</v>
      </c>
      <c r="EU28" s="348">
        <f t="shared" si="61"/>
        <v>1226.4232165999999</v>
      </c>
      <c r="EV28" s="348">
        <f t="shared" si="62"/>
        <v>1474.9289578</v>
      </c>
      <c r="EW28" s="354">
        <f t="shared" si="63"/>
        <v>0.50479909945872836</v>
      </c>
      <c r="EX28" s="326"/>
      <c r="EY28" s="348">
        <f t="shared" si="64"/>
        <v>1231.8572351350999</v>
      </c>
      <c r="EZ28" s="348">
        <f t="shared" si="65"/>
        <v>1470.5440573351002</v>
      </c>
      <c r="FA28" s="348">
        <f t="shared" si="66"/>
        <v>1229.8191019728183</v>
      </c>
      <c r="FB28" s="348">
        <f t="shared" si="67"/>
        <v>1468.5059241728186</v>
      </c>
      <c r="FD28" s="326"/>
      <c r="FE28" s="326"/>
      <c r="FF28" s="326"/>
      <c r="FG28" s="348">
        <f t="shared" si="68"/>
        <v>14395.9534</v>
      </c>
      <c r="FH28" s="348">
        <f t="shared" si="69"/>
        <v>14178.903400000001</v>
      </c>
      <c r="FI28" s="348">
        <f t="shared" si="70"/>
        <v>792.13425500000005</v>
      </c>
      <c r="FJ28" s="348">
        <f t="shared" si="71"/>
        <v>974.17287319999991</v>
      </c>
      <c r="FK28" s="354">
        <f t="shared" si="72"/>
        <v>0.50379791929525963</v>
      </c>
      <c r="FL28" s="326"/>
      <c r="FM28" s="348">
        <f t="shared" si="73"/>
        <v>807.43660221694461</v>
      </c>
      <c r="FN28" s="348">
        <f t="shared" si="74"/>
        <v>961.36917021694455</v>
      </c>
      <c r="FO28" s="348">
        <f t="shared" si="75"/>
        <v>801.08547096641689</v>
      </c>
      <c r="FP28" s="348">
        <f t="shared" si="76"/>
        <v>955.01803896641695</v>
      </c>
      <c r="FR28" s="326"/>
      <c r="FS28" s="326"/>
      <c r="FT28" s="326"/>
      <c r="FU28" s="348">
        <f t="shared" si="77"/>
        <v>15945.5592</v>
      </c>
      <c r="FV28" s="348">
        <f t="shared" si="78"/>
        <v>15621.3092</v>
      </c>
      <c r="FW28" s="348">
        <f t="shared" si="79"/>
        <v>376.8651534</v>
      </c>
      <c r="FX28" s="348">
        <f t="shared" si="80"/>
        <v>415.75512420000001</v>
      </c>
      <c r="FY28" s="354">
        <f t="shared" si="81"/>
        <v>0.50513592282723874</v>
      </c>
      <c r="FZ28" s="326"/>
      <c r="GA28" s="348">
        <f t="shared" si="82"/>
        <v>376.88420426910807</v>
      </c>
      <c r="GB28" s="348">
        <f t="shared" si="83"/>
        <v>415.73789506910805</v>
      </c>
      <c r="GC28" s="348">
        <f t="shared" si="84"/>
        <v>376.87867314996231</v>
      </c>
      <c r="GD28" s="348">
        <f t="shared" si="85"/>
        <v>415.73236394996229</v>
      </c>
      <c r="GF28" s="326"/>
      <c r="GG28" s="326"/>
      <c r="GH28" s="326"/>
      <c r="GI28" s="348">
        <f t="shared" si="86"/>
        <v>7954.0833000000002</v>
      </c>
      <c r="GJ28" s="348">
        <f t="shared" si="87"/>
        <v>7813.1234000000004</v>
      </c>
      <c r="GK28" s="349">
        <f t="shared" si="88"/>
        <v>110.24813699999997</v>
      </c>
      <c r="GL28" s="349">
        <f t="shared" si="89"/>
        <v>94.290770249999994</v>
      </c>
      <c r="GM28" s="354">
        <f t="shared" si="90"/>
        <v>0.50447003399784185</v>
      </c>
      <c r="GN28" s="326"/>
      <c r="GO28" s="349">
        <f t="shared" si="91"/>
        <v>109.04947781107846</v>
      </c>
      <c r="GP28" s="349">
        <f t="shared" si="92"/>
        <v>94.887663561078483</v>
      </c>
      <c r="GQ28" s="349">
        <f t="shared" si="93"/>
        <v>109.95194372123441</v>
      </c>
      <c r="GR28" s="349">
        <f t="shared" si="94"/>
        <v>95.790129471234437</v>
      </c>
      <c r="HA28" s="374"/>
      <c r="HB28" s="375"/>
      <c r="HC28" s="374"/>
      <c r="HD28" s="374"/>
      <c r="HE28" s="374"/>
      <c r="HF28" s="351">
        <f t="shared" si="95"/>
        <v>0</v>
      </c>
      <c r="HG28" s="351">
        <f t="shared" si="96"/>
        <v>0</v>
      </c>
      <c r="HH28" s="352">
        <f t="shared" si="97"/>
        <v>0</v>
      </c>
      <c r="HI28" s="352">
        <f t="shared" si="150"/>
        <v>0</v>
      </c>
      <c r="HJ28" s="353">
        <f t="shared" si="151"/>
        <v>0</v>
      </c>
      <c r="HK28" s="353">
        <f t="shared" si="152"/>
        <v>0</v>
      </c>
    </row>
    <row r="29" spans="1:219" x14ac:dyDescent="0.2">
      <c r="A29" s="320">
        <v>19</v>
      </c>
      <c r="C29" s="350">
        <v>0.72719999999999996</v>
      </c>
      <c r="D29" s="350">
        <v>0.57320000000000004</v>
      </c>
      <c r="E29" s="350">
        <v>7.8700000000000006E-2</v>
      </c>
      <c r="F29" s="350">
        <v>3997.6275000000001</v>
      </c>
      <c r="G29" s="350">
        <v>7119.8325000000004</v>
      </c>
      <c r="H29" s="351">
        <f t="shared" si="30"/>
        <v>709.81992000000002</v>
      </c>
      <c r="I29" s="351">
        <f t="shared" si="31"/>
        <v>1062.535108</v>
      </c>
      <c r="J29" s="352">
        <f t="shared" si="32"/>
        <v>13.502559</v>
      </c>
      <c r="K29" s="352">
        <f t="shared" si="98"/>
        <v>8.6472951916505654</v>
      </c>
      <c r="L29" s="353">
        <f t="shared" si="99"/>
        <v>718.46721519165055</v>
      </c>
      <c r="M29" s="353">
        <f t="shared" si="100"/>
        <v>1057.6798441916505</v>
      </c>
      <c r="N29" s="343">
        <f t="shared" si="101"/>
        <v>711.97894088666362</v>
      </c>
      <c r="O29" s="343">
        <f t="shared" si="102"/>
        <v>1051.1915698866637</v>
      </c>
      <c r="Q29" s="374">
        <v>0.88529999999999998</v>
      </c>
      <c r="R29" s="375">
        <v>0.63300000000000001</v>
      </c>
      <c r="S29" s="374">
        <v>3.4500000000000003E-2</v>
      </c>
      <c r="T29" s="374">
        <v>676.01419999999996</v>
      </c>
      <c r="U29" s="374">
        <v>673.75829999999996</v>
      </c>
      <c r="V29" s="351">
        <f t="shared" si="33"/>
        <v>566.06081999999992</v>
      </c>
      <c r="W29" s="351">
        <f t="shared" si="34"/>
        <v>760.47354000000007</v>
      </c>
      <c r="X29" s="352">
        <f t="shared" si="35"/>
        <v>6.9131100000000005</v>
      </c>
      <c r="Y29" s="352">
        <f t="shared" si="103"/>
        <v>3.9631368720139295</v>
      </c>
      <c r="Z29" s="353">
        <f t="shared" si="104"/>
        <v>570.02395687201385</v>
      </c>
      <c r="AA29" s="353">
        <f t="shared" si="105"/>
        <v>757.52356687201404</v>
      </c>
      <c r="AB29" s="343">
        <f t="shared" si="106"/>
        <v>568.44417015642944</v>
      </c>
      <c r="AC29" s="343">
        <f t="shared" si="107"/>
        <v>755.94378015642963</v>
      </c>
      <c r="AE29" s="374">
        <v>0.65569999999999995</v>
      </c>
      <c r="AF29" s="375">
        <v>0.35630000000000001</v>
      </c>
      <c r="AG29" s="374">
        <v>0.1779</v>
      </c>
      <c r="AH29" s="374">
        <v>34.027500000000003</v>
      </c>
      <c r="AI29" s="374">
        <v>31.220800000000001</v>
      </c>
      <c r="AJ29" s="351">
        <f t="shared" si="36"/>
        <v>281.01990599999999</v>
      </c>
      <c r="AK29" s="351">
        <f t="shared" si="37"/>
        <v>354.22633400000001</v>
      </c>
      <c r="AL29" s="352">
        <f t="shared" si="38"/>
        <v>31.913480999999997</v>
      </c>
      <c r="AM29" s="352">
        <f t="shared" si="108"/>
        <v>17.795611635274938</v>
      </c>
      <c r="AN29" s="353">
        <f t="shared" si="109"/>
        <v>298.81551763527494</v>
      </c>
      <c r="AO29" s="353">
        <f t="shared" si="110"/>
        <v>340.10846463527497</v>
      </c>
      <c r="AP29" s="343">
        <f t="shared" si="111"/>
        <v>288.38153127672496</v>
      </c>
      <c r="AQ29" s="343">
        <f t="shared" si="112"/>
        <v>329.67447827672498</v>
      </c>
      <c r="AS29" s="374">
        <v>1.1759999999999999</v>
      </c>
      <c r="AT29" s="375">
        <v>0.72170000000000001</v>
      </c>
      <c r="AU29" s="374">
        <v>2.63E-2</v>
      </c>
      <c r="AV29" s="374">
        <v>4381.7116999999998</v>
      </c>
      <c r="AW29" s="374">
        <v>4318.6274999999996</v>
      </c>
      <c r="AX29" s="351">
        <f t="shared" si="39"/>
        <v>400.62792000000002</v>
      </c>
      <c r="AY29" s="351">
        <f t="shared" si="40"/>
        <v>493.00770399999999</v>
      </c>
      <c r="AZ29" s="352">
        <f t="shared" si="41"/>
        <v>6.3822209999999995</v>
      </c>
      <c r="BA29" s="352">
        <f t="shared" si="113"/>
        <v>3.520992267012157</v>
      </c>
      <c r="BB29" s="353">
        <f t="shared" si="114"/>
        <v>404.14891226701218</v>
      </c>
      <c r="BC29" s="353">
        <f t="shared" si="115"/>
        <v>490.14647526701214</v>
      </c>
      <c r="BD29" s="343">
        <f t="shared" si="116"/>
        <v>401.81281227853225</v>
      </c>
      <c r="BE29" s="343">
        <f t="shared" si="117"/>
        <v>487.81037527853221</v>
      </c>
      <c r="BG29" s="374">
        <v>0.93200000000000005</v>
      </c>
      <c r="BH29" s="375">
        <v>0.65839999999999999</v>
      </c>
      <c r="BI29" s="374">
        <v>4.1399999999999999E-2</v>
      </c>
      <c r="BJ29" s="374">
        <v>1880.9808</v>
      </c>
      <c r="BK29" s="374">
        <v>1827.1675</v>
      </c>
      <c r="BL29" s="351">
        <f t="shared" si="42"/>
        <v>312.00564000000003</v>
      </c>
      <c r="BM29" s="351">
        <f t="shared" si="43"/>
        <v>385.76972799999999</v>
      </c>
      <c r="BN29" s="352">
        <f t="shared" si="44"/>
        <v>8.5023180000000007</v>
      </c>
      <c r="BO29" s="352">
        <f t="shared" si="118"/>
        <v>4.7005627493424269</v>
      </c>
      <c r="BP29" s="353">
        <f t="shared" si="119"/>
        <v>316.70620274934248</v>
      </c>
      <c r="BQ29" s="353">
        <f t="shared" si="120"/>
        <v>381.96797274934244</v>
      </c>
      <c r="BR29" s="343">
        <f t="shared" si="121"/>
        <v>313.005403226314</v>
      </c>
      <c r="BS29" s="343">
        <f t="shared" si="122"/>
        <v>378.26717322631396</v>
      </c>
      <c r="BU29" s="374">
        <v>1.0001</v>
      </c>
      <c r="BV29" s="375">
        <v>0.93630000000000002</v>
      </c>
      <c r="BW29" s="374">
        <v>0.1241</v>
      </c>
      <c r="BX29" s="374">
        <v>1723.4917</v>
      </c>
      <c r="BY29" s="374">
        <v>1732.1724999999999</v>
      </c>
      <c r="BZ29" s="351">
        <f t="shared" si="45"/>
        <v>232.14321200000001</v>
      </c>
      <c r="CA29" s="351">
        <f t="shared" si="46"/>
        <v>357.54488100000003</v>
      </c>
      <c r="CB29" s="352">
        <f t="shared" si="47"/>
        <v>12.309479</v>
      </c>
      <c r="CC29" s="352">
        <f t="shared" si="123"/>
        <v>7.4635917809298551</v>
      </c>
      <c r="CD29" s="353">
        <f t="shared" si="124"/>
        <v>239.60680378092985</v>
      </c>
      <c r="CE29" s="353">
        <f t="shared" si="125"/>
        <v>352.69899378092987</v>
      </c>
      <c r="CF29" s="343">
        <f t="shared" si="126"/>
        <v>233.72302865021965</v>
      </c>
      <c r="CG29" s="343">
        <f t="shared" si="127"/>
        <v>346.81521865021966</v>
      </c>
      <c r="CI29" s="374">
        <v>0.85909999999999997</v>
      </c>
      <c r="CJ29" s="375">
        <v>0.79359999999999997</v>
      </c>
      <c r="CK29" s="374">
        <v>6.5199999999999994E-2</v>
      </c>
      <c r="CL29" s="374">
        <v>8677.5733</v>
      </c>
      <c r="CM29" s="374">
        <v>8531.1483000000007</v>
      </c>
      <c r="CN29" s="351">
        <f t="shared" si="48"/>
        <v>182.58452299999999</v>
      </c>
      <c r="CO29" s="351">
        <f t="shared" si="49"/>
        <v>218.59711999999999</v>
      </c>
      <c r="CP29" s="352">
        <f t="shared" si="50"/>
        <v>2.6079999999999999E-2</v>
      </c>
      <c r="CQ29" s="352">
        <f t="shared" si="128"/>
        <v>1.4210552723620007E-2</v>
      </c>
      <c r="CR29" s="353">
        <f t="shared" si="129"/>
        <v>182.59873355272362</v>
      </c>
      <c r="CS29" s="353">
        <f t="shared" si="130"/>
        <v>218.58525055272361</v>
      </c>
      <c r="CT29" s="343">
        <f t="shared" si="131"/>
        <v>182.59206067086416</v>
      </c>
      <c r="CU29" s="343">
        <f t="shared" si="132"/>
        <v>218.57857767086415</v>
      </c>
      <c r="CW29" s="374">
        <v>0.65900000000000003</v>
      </c>
      <c r="CX29" s="375">
        <v>0.50749999999999995</v>
      </c>
      <c r="CY29" s="374">
        <v>0.112</v>
      </c>
      <c r="CZ29" s="374">
        <v>3760.8816999999999</v>
      </c>
      <c r="DA29" s="374">
        <v>3674.7892000000002</v>
      </c>
      <c r="DB29" s="351">
        <f t="shared" si="51"/>
        <v>147.76757000000001</v>
      </c>
      <c r="DC29" s="351">
        <f t="shared" si="52"/>
        <v>157.70054999999999</v>
      </c>
      <c r="DD29" s="352">
        <f t="shared" si="53"/>
        <v>2.8000000000000001E-2</v>
      </c>
      <c r="DE29" s="352">
        <f t="shared" si="133"/>
        <v>1.445524135219086E-2</v>
      </c>
      <c r="DF29" s="353">
        <f t="shared" si="134"/>
        <v>147.78202524135219</v>
      </c>
      <c r="DG29" s="353">
        <f t="shared" si="135"/>
        <v>157.68700524135218</v>
      </c>
      <c r="DH29" s="343">
        <f t="shared" si="136"/>
        <v>147.77504759887265</v>
      </c>
      <c r="DI29" s="343">
        <f t="shared" si="137"/>
        <v>157.68002759887264</v>
      </c>
      <c r="DK29" s="374">
        <v>0.69379999999999997</v>
      </c>
      <c r="DL29" s="375">
        <v>0.4995</v>
      </c>
      <c r="DM29" s="374">
        <v>7.8E-2</v>
      </c>
      <c r="DN29" s="374">
        <v>695.63080000000002</v>
      </c>
      <c r="DO29" s="374">
        <v>731.11249999999995</v>
      </c>
      <c r="DP29" s="351">
        <f t="shared" si="54"/>
        <v>91.422026000000002</v>
      </c>
      <c r="DQ29" s="351">
        <f t="shared" si="55"/>
        <v>98.331570000000013</v>
      </c>
      <c r="DR29" s="352">
        <f t="shared" si="56"/>
        <v>1.482E-2</v>
      </c>
      <c r="DS29" s="352">
        <f t="shared" si="138"/>
        <v>7.6798221383904625E-3</v>
      </c>
      <c r="DT29" s="353">
        <f t="shared" si="139"/>
        <v>91.429705822138388</v>
      </c>
      <c r="DU29" s="353">
        <f t="shared" si="140"/>
        <v>98.324429822138399</v>
      </c>
      <c r="DV29" s="343">
        <f t="shared" si="141"/>
        <v>91.425753281013613</v>
      </c>
      <c r="DW29" s="343">
        <f t="shared" si="142"/>
        <v>98.320477281013623</v>
      </c>
      <c r="EB29" s="326"/>
      <c r="EC29" s="326"/>
      <c r="ED29" s="326"/>
      <c r="EE29" s="348">
        <f t="shared" si="143"/>
        <v>20817.794199999997</v>
      </c>
      <c r="EF29" s="348">
        <f t="shared" si="144"/>
        <v>23644.397499999999</v>
      </c>
      <c r="EG29" s="348">
        <f t="shared" si="145"/>
        <v>1411.2464190000001</v>
      </c>
      <c r="EH29" s="348">
        <f t="shared" si="146"/>
        <v>1900.3003720000002</v>
      </c>
      <c r="EI29" s="354">
        <f t="shared" si="57"/>
        <v>0.46821340568328301</v>
      </c>
      <c r="EJ29" s="326"/>
      <c r="EK29" s="348">
        <f t="shared" si="147"/>
        <v>1423.4404812044681</v>
      </c>
      <c r="EL29" s="348">
        <f t="shared" si="148"/>
        <v>1892.5611742044682</v>
      </c>
      <c r="EM29" s="348">
        <f t="shared" si="58"/>
        <v>1414.603851915158</v>
      </c>
      <c r="EN29" s="348">
        <f t="shared" si="149"/>
        <v>1883.7245449151583</v>
      </c>
      <c r="EP29" s="326"/>
      <c r="EQ29" s="326"/>
      <c r="ER29" s="326"/>
      <c r="ES29" s="348">
        <f t="shared" si="59"/>
        <v>14995.449999999999</v>
      </c>
      <c r="ET29" s="348">
        <f t="shared" si="60"/>
        <v>14706.863300000001</v>
      </c>
      <c r="EU29" s="348">
        <f t="shared" si="61"/>
        <v>1164.0882819999999</v>
      </c>
      <c r="EV29" s="348">
        <f t="shared" si="62"/>
        <v>1475.230773</v>
      </c>
      <c r="EW29" s="354">
        <f t="shared" si="63"/>
        <v>0.5048579835699194</v>
      </c>
      <c r="EX29" s="326"/>
      <c r="EY29" s="348">
        <f t="shared" si="64"/>
        <v>1172.7763108430265</v>
      </c>
      <c r="EZ29" s="348">
        <f t="shared" si="65"/>
        <v>1468.4576938430266</v>
      </c>
      <c r="FA29" s="348">
        <f t="shared" si="66"/>
        <v>1167.4841673728185</v>
      </c>
      <c r="FB29" s="348">
        <f t="shared" si="67"/>
        <v>1463.1655503728186</v>
      </c>
      <c r="FD29" s="326"/>
      <c r="FE29" s="326"/>
      <c r="FF29" s="326"/>
      <c r="FG29" s="348">
        <f t="shared" si="68"/>
        <v>11130.723300000001</v>
      </c>
      <c r="FH29" s="348">
        <f t="shared" si="69"/>
        <v>11025.6541</v>
      </c>
      <c r="FI29" s="348">
        <f t="shared" si="70"/>
        <v>750.60085659999993</v>
      </c>
      <c r="FJ29" s="348">
        <f t="shared" si="71"/>
        <v>989.36727700000006</v>
      </c>
      <c r="FK29" s="354">
        <f t="shared" si="72"/>
        <v>0.50237108255792762</v>
      </c>
      <c r="FL29" s="326"/>
      <c r="FM29" s="348">
        <f t="shared" si="73"/>
        <v>775.87887846221145</v>
      </c>
      <c r="FN29" s="348">
        <f t="shared" si="74"/>
        <v>970.38736686221148</v>
      </c>
      <c r="FO29" s="348">
        <f t="shared" si="75"/>
        <v>759.55207256641688</v>
      </c>
      <c r="FP29" s="348">
        <f t="shared" si="76"/>
        <v>954.06056096641692</v>
      </c>
      <c r="FR29" s="326"/>
      <c r="FS29" s="326"/>
      <c r="FT29" s="326"/>
      <c r="FU29" s="348">
        <f t="shared" si="77"/>
        <v>12438.455</v>
      </c>
      <c r="FV29" s="348">
        <f t="shared" si="78"/>
        <v>12205.9375</v>
      </c>
      <c r="FW29" s="348">
        <f t="shared" si="79"/>
        <v>300.79857900000002</v>
      </c>
      <c r="FX29" s="348">
        <f t="shared" si="80"/>
        <v>344.75756000000001</v>
      </c>
      <c r="FY29" s="354">
        <f t="shared" si="81"/>
        <v>0.50471745245901267</v>
      </c>
      <c r="FZ29" s="326"/>
      <c r="GA29" s="348">
        <f t="shared" si="82"/>
        <v>300.82435374580535</v>
      </c>
      <c r="GB29" s="348">
        <f t="shared" si="83"/>
        <v>344.73485474580536</v>
      </c>
      <c r="GC29" s="348">
        <f t="shared" si="84"/>
        <v>300.81209874996227</v>
      </c>
      <c r="GD29" s="348">
        <f t="shared" si="85"/>
        <v>344.72259974996228</v>
      </c>
      <c r="GF29" s="326"/>
      <c r="GG29" s="326"/>
      <c r="GH29" s="326"/>
      <c r="GI29" s="348">
        <f t="shared" si="86"/>
        <v>6105.2034000000003</v>
      </c>
      <c r="GJ29" s="348">
        <f t="shared" si="87"/>
        <v>6050.7999999999993</v>
      </c>
      <c r="GK29" s="349">
        <f t="shared" si="88"/>
        <v>126.36353100000001</v>
      </c>
      <c r="GL29" s="349">
        <f t="shared" si="89"/>
        <v>101.59711724999997</v>
      </c>
      <c r="GM29" s="354">
        <f t="shared" si="90"/>
        <v>0.50223771737345846</v>
      </c>
      <c r="GN29" s="326"/>
      <c r="GO29" s="349">
        <f t="shared" si="91"/>
        <v>123.40658136456175</v>
      </c>
      <c r="GP29" s="349">
        <f t="shared" si="92"/>
        <v>103.0856111145617</v>
      </c>
      <c r="GQ29" s="349">
        <f t="shared" si="93"/>
        <v>126.06733772123445</v>
      </c>
      <c r="GR29" s="349">
        <f t="shared" si="94"/>
        <v>105.74636747123441</v>
      </c>
      <c r="HA29" s="374"/>
      <c r="HB29" s="375"/>
      <c r="HC29" s="374"/>
      <c r="HD29" s="374"/>
      <c r="HE29" s="374"/>
      <c r="HF29" s="351">
        <f t="shared" si="95"/>
        <v>0</v>
      </c>
      <c r="HG29" s="351">
        <f t="shared" si="96"/>
        <v>0</v>
      </c>
      <c r="HH29" s="352">
        <f t="shared" si="97"/>
        <v>0</v>
      </c>
      <c r="HI29" s="352">
        <f t="shared" si="150"/>
        <v>0</v>
      </c>
      <c r="HJ29" s="353">
        <f t="shared" si="151"/>
        <v>0</v>
      </c>
      <c r="HK29" s="353">
        <f t="shared" si="152"/>
        <v>0</v>
      </c>
    </row>
    <row r="30" spans="1:219" x14ac:dyDescent="0.2">
      <c r="A30" s="320">
        <v>20</v>
      </c>
      <c r="C30" s="350">
        <v>0.72040000000000004</v>
      </c>
      <c r="D30" s="350">
        <v>0.60209999999999997</v>
      </c>
      <c r="E30" s="350">
        <v>0.14380000000000001</v>
      </c>
      <c r="F30" s="350">
        <v>2019.9483</v>
      </c>
      <c r="G30" s="350">
        <v>3603.4492</v>
      </c>
      <c r="H30" s="351">
        <f t="shared" si="30"/>
        <v>703.18244000000004</v>
      </c>
      <c r="I30" s="351">
        <f t="shared" si="31"/>
        <v>1116.106749</v>
      </c>
      <c r="J30" s="352">
        <f t="shared" si="32"/>
        <v>24.671766000000002</v>
      </c>
      <c r="K30" s="352">
        <f t="shared" si="98"/>
        <v>15.809562716362697</v>
      </c>
      <c r="L30" s="353">
        <f t="shared" si="99"/>
        <v>718.99200271636278</v>
      </c>
      <c r="M30" s="353">
        <f t="shared" si="100"/>
        <v>1107.2445457163628</v>
      </c>
      <c r="N30" s="343">
        <f t="shared" si="101"/>
        <v>727.81500638582872</v>
      </c>
      <c r="O30" s="343">
        <f t="shared" si="102"/>
        <v>1116.0675493858287</v>
      </c>
      <c r="Q30" s="374">
        <v>0.86729999999999996</v>
      </c>
      <c r="R30" s="375">
        <v>0.66180000000000005</v>
      </c>
      <c r="S30" s="374">
        <v>3.4799999999999998E-2</v>
      </c>
      <c r="T30" s="374">
        <v>415.08670000000001</v>
      </c>
      <c r="U30" s="374">
        <v>442.24250000000001</v>
      </c>
      <c r="V30" s="351">
        <f t="shared" si="33"/>
        <v>554.55161999999996</v>
      </c>
      <c r="W30" s="351">
        <f t="shared" si="34"/>
        <v>795.07328400000017</v>
      </c>
      <c r="X30" s="352">
        <f t="shared" si="35"/>
        <v>6.9732239999999992</v>
      </c>
      <c r="Y30" s="352">
        <f t="shared" si="103"/>
        <v>4.107974066954247</v>
      </c>
      <c r="Z30" s="353">
        <f t="shared" si="104"/>
        <v>558.65959406695424</v>
      </c>
      <c r="AA30" s="353">
        <f t="shared" si="105"/>
        <v>792.2080340669545</v>
      </c>
      <c r="AB30" s="343">
        <f t="shared" si="106"/>
        <v>571.55068302737959</v>
      </c>
      <c r="AC30" s="343">
        <f t="shared" si="107"/>
        <v>805.09912302737985</v>
      </c>
      <c r="AE30" s="374">
        <v>0.64870000000000005</v>
      </c>
      <c r="AF30" s="375">
        <v>0.39360000000000001</v>
      </c>
      <c r="AG30" s="374">
        <v>0.247</v>
      </c>
      <c r="AH30" s="374">
        <v>25.340800000000002</v>
      </c>
      <c r="AI30" s="374">
        <v>25.1342</v>
      </c>
      <c r="AJ30" s="351">
        <f t="shared" si="36"/>
        <v>278.01984600000003</v>
      </c>
      <c r="AK30" s="351">
        <f t="shared" si="37"/>
        <v>391.30924799999997</v>
      </c>
      <c r="AL30" s="352">
        <f t="shared" si="38"/>
        <v>44.309329999999996</v>
      </c>
      <c r="AM30" s="352">
        <f t="shared" si="108"/>
        <v>25.904522539227671</v>
      </c>
      <c r="AN30" s="353">
        <f t="shared" si="109"/>
        <v>303.92436853922771</v>
      </c>
      <c r="AO30" s="353">
        <f t="shared" si="110"/>
        <v>372.90444053922766</v>
      </c>
      <c r="AP30" s="343">
        <f t="shared" si="111"/>
        <v>293.03350744859097</v>
      </c>
      <c r="AQ30" s="343">
        <f t="shared" si="112"/>
        <v>362.01357944859092</v>
      </c>
      <c r="AS30" s="374">
        <v>1.246</v>
      </c>
      <c r="AT30" s="375">
        <v>0.76539999999999997</v>
      </c>
      <c r="AU30" s="374">
        <v>4.36E-2</v>
      </c>
      <c r="AV30" s="374">
        <v>2560.1833000000001</v>
      </c>
      <c r="AW30" s="374">
        <v>2547.1858000000002</v>
      </c>
      <c r="AX30" s="351">
        <f t="shared" si="39"/>
        <v>424.47482000000002</v>
      </c>
      <c r="AY30" s="351">
        <f t="shared" si="40"/>
        <v>522.86004800000001</v>
      </c>
      <c r="AZ30" s="352">
        <f t="shared" si="41"/>
        <v>10.580411999999999</v>
      </c>
      <c r="BA30" s="352">
        <f t="shared" si="113"/>
        <v>5.8396190334036939</v>
      </c>
      <c r="BB30" s="353">
        <f t="shared" si="114"/>
        <v>430.31443903340374</v>
      </c>
      <c r="BC30" s="353">
        <f t="shared" si="115"/>
        <v>518.11925503340365</v>
      </c>
      <c r="BD30" s="343">
        <f t="shared" si="116"/>
        <v>442.98932279521472</v>
      </c>
      <c r="BE30" s="343">
        <f t="shared" si="117"/>
        <v>530.79413879521474</v>
      </c>
      <c r="BG30" s="374">
        <v>0.96160000000000001</v>
      </c>
      <c r="BH30" s="375">
        <v>0.70320000000000005</v>
      </c>
      <c r="BI30" s="374">
        <v>8.2799999999999999E-2</v>
      </c>
      <c r="BJ30" s="374">
        <v>1121.5108</v>
      </c>
      <c r="BK30" s="374">
        <v>1097.5150000000001</v>
      </c>
      <c r="BL30" s="351">
        <f t="shared" si="42"/>
        <v>321.91483199999999</v>
      </c>
      <c r="BM30" s="351">
        <f t="shared" si="43"/>
        <v>412.01894399999998</v>
      </c>
      <c r="BN30" s="352">
        <f t="shared" si="44"/>
        <v>17.004636000000001</v>
      </c>
      <c r="BO30" s="352">
        <f t="shared" si="118"/>
        <v>9.5461367182321695</v>
      </c>
      <c r="BP30" s="353">
        <f t="shared" si="119"/>
        <v>331.46096871823215</v>
      </c>
      <c r="BQ30" s="353">
        <f t="shared" si="120"/>
        <v>404.56044471823213</v>
      </c>
      <c r="BR30" s="343">
        <f t="shared" si="121"/>
        <v>340.45138372740695</v>
      </c>
      <c r="BS30" s="343">
        <f t="shared" si="122"/>
        <v>413.55085972740693</v>
      </c>
      <c r="BU30" s="374">
        <v>1.0218</v>
      </c>
      <c r="BV30" s="375">
        <v>0.97319999999999995</v>
      </c>
      <c r="BW30" s="374">
        <v>0.22059999999999999</v>
      </c>
      <c r="BX30" s="374">
        <v>1087.3399999999999</v>
      </c>
      <c r="BY30" s="374">
        <v>1024.8583000000001</v>
      </c>
      <c r="BZ30" s="351">
        <f t="shared" si="45"/>
        <v>237.180216</v>
      </c>
      <c r="CA30" s="351">
        <f t="shared" si="46"/>
        <v>371.63588399999998</v>
      </c>
      <c r="CB30" s="352">
        <f t="shared" si="47"/>
        <v>21.881314</v>
      </c>
      <c r="CC30" s="352">
        <f t="shared" si="123"/>
        <v>13.356876520630081</v>
      </c>
      <c r="CD30" s="353">
        <f t="shared" si="124"/>
        <v>250.5370925206301</v>
      </c>
      <c r="CE30" s="353">
        <f t="shared" si="125"/>
        <v>363.11144652063007</v>
      </c>
      <c r="CF30" s="343">
        <f t="shared" si="126"/>
        <v>249.94058919932314</v>
      </c>
      <c r="CG30" s="343">
        <f t="shared" si="127"/>
        <v>362.51494319932317</v>
      </c>
      <c r="CI30" s="374">
        <v>0.81389999999999996</v>
      </c>
      <c r="CJ30" s="375">
        <v>0.76729999999999998</v>
      </c>
      <c r="CK30" s="374">
        <v>8.7999999999999995E-2</v>
      </c>
      <c r="CL30" s="374">
        <v>5408.6175000000003</v>
      </c>
      <c r="CM30" s="374">
        <v>5323.1067000000003</v>
      </c>
      <c r="CN30" s="351">
        <f t="shared" si="48"/>
        <v>172.97816699999998</v>
      </c>
      <c r="CO30" s="351">
        <f t="shared" si="49"/>
        <v>211.35278499999998</v>
      </c>
      <c r="CP30" s="352">
        <f t="shared" si="50"/>
        <v>3.5200000000000002E-2</v>
      </c>
      <c r="CQ30" s="352">
        <f t="shared" si="128"/>
        <v>1.9357322102956726E-2</v>
      </c>
      <c r="CR30" s="353">
        <f t="shared" si="129"/>
        <v>172.99752432210295</v>
      </c>
      <c r="CS30" s="353">
        <f t="shared" si="130"/>
        <v>211.33694232210294</v>
      </c>
      <c r="CT30" s="343">
        <f t="shared" si="131"/>
        <v>173.01402005669729</v>
      </c>
      <c r="CU30" s="343">
        <f t="shared" si="132"/>
        <v>211.35343805669729</v>
      </c>
      <c r="CW30" s="374">
        <v>0.44400000000000001</v>
      </c>
      <c r="CX30" s="375">
        <v>0.3574</v>
      </c>
      <c r="CY30" s="374">
        <v>0.15010000000000001</v>
      </c>
      <c r="CZ30" s="374">
        <v>2336.5882999999999</v>
      </c>
      <c r="DA30" s="374">
        <v>2321.52</v>
      </c>
      <c r="DB30" s="351">
        <f t="shared" si="51"/>
        <v>99.558120000000002</v>
      </c>
      <c r="DC30" s="351">
        <f t="shared" si="52"/>
        <v>111.058476</v>
      </c>
      <c r="DD30" s="352">
        <f t="shared" si="53"/>
        <v>3.7525000000000003E-2</v>
      </c>
      <c r="DE30" s="352">
        <f t="shared" si="133"/>
        <v>1.9786993955120232E-2</v>
      </c>
      <c r="DF30" s="353">
        <f t="shared" si="134"/>
        <v>99.577906993955125</v>
      </c>
      <c r="DG30" s="353">
        <f t="shared" si="135"/>
        <v>111.04073799395512</v>
      </c>
      <c r="DH30" s="343">
        <f t="shared" si="136"/>
        <v>99.579860072628122</v>
      </c>
      <c r="DI30" s="343">
        <f t="shared" si="137"/>
        <v>111.04269107262812</v>
      </c>
      <c r="DK30" s="374">
        <v>0.42449999999999999</v>
      </c>
      <c r="DL30" s="375">
        <v>0.34320000000000001</v>
      </c>
      <c r="DM30" s="374">
        <v>0.1087</v>
      </c>
      <c r="DN30" s="374">
        <v>563.02170000000001</v>
      </c>
      <c r="DO30" s="374">
        <v>521.37580000000003</v>
      </c>
      <c r="DP30" s="351">
        <f t="shared" si="54"/>
        <v>55.936365000000002</v>
      </c>
      <c r="DQ30" s="351">
        <f t="shared" si="55"/>
        <v>67.562352000000004</v>
      </c>
      <c r="DR30" s="352">
        <f t="shared" si="56"/>
        <v>2.0653000000000001E-2</v>
      </c>
      <c r="DS30" s="352">
        <f t="shared" si="138"/>
        <v>1.1298621473581787E-2</v>
      </c>
      <c r="DT30" s="353">
        <f t="shared" si="139"/>
        <v>55.947663621473581</v>
      </c>
      <c r="DU30" s="353">
        <f t="shared" si="140"/>
        <v>67.552997621473594</v>
      </c>
      <c r="DV30" s="343">
        <f t="shared" si="141"/>
        <v>55.959605875792839</v>
      </c>
      <c r="DW30" s="343">
        <f t="shared" si="142"/>
        <v>67.564939875792845</v>
      </c>
      <c r="EB30" s="326"/>
      <c r="EC30" s="326"/>
      <c r="ED30" s="326"/>
      <c r="EE30" s="348">
        <f t="shared" si="143"/>
        <v>12325.3374</v>
      </c>
      <c r="EF30" s="348">
        <f t="shared" si="144"/>
        <v>13795.261700000001</v>
      </c>
      <c r="EG30" s="348">
        <f t="shared" si="145"/>
        <v>1380.281923</v>
      </c>
      <c r="EH30" s="348">
        <f t="shared" si="146"/>
        <v>1939.1663628000001</v>
      </c>
      <c r="EI30" s="354">
        <f t="shared" si="57"/>
        <v>0.47186273763529413</v>
      </c>
      <c r="EJ30" s="326"/>
      <c r="EK30" s="348">
        <f t="shared" si="147"/>
        <v>1401.9662916670334</v>
      </c>
      <c r="EL30" s="348">
        <f t="shared" si="148"/>
        <v>1925.5333334670336</v>
      </c>
      <c r="EM30" s="348">
        <f t="shared" si="58"/>
        <v>1423.4822372958431</v>
      </c>
      <c r="EN30" s="348">
        <f t="shared" si="149"/>
        <v>1947.0492790958433</v>
      </c>
      <c r="EP30" s="326"/>
      <c r="EQ30" s="326"/>
      <c r="ER30" s="326"/>
      <c r="ES30" s="348">
        <f t="shared" si="59"/>
        <v>9281.8032999999996</v>
      </c>
      <c r="ET30" s="348">
        <f t="shared" si="60"/>
        <v>9184.3842000000004</v>
      </c>
      <c r="EU30" s="348">
        <f t="shared" si="61"/>
        <v>1119.1353029999998</v>
      </c>
      <c r="EV30" s="348">
        <f t="shared" si="62"/>
        <v>1496.1859462000002</v>
      </c>
      <c r="EW30" s="354">
        <f t="shared" si="63"/>
        <v>0.50263776970747209</v>
      </c>
      <c r="EX30" s="326"/>
      <c r="EY30" s="348">
        <f t="shared" si="64"/>
        <v>1132.8226220030579</v>
      </c>
      <c r="EZ30" s="348">
        <f t="shared" si="65"/>
        <v>1485.8339377030582</v>
      </c>
      <c r="FA30" s="348">
        <f t="shared" si="66"/>
        <v>1154.7219888623235</v>
      </c>
      <c r="FB30" s="348">
        <f t="shared" si="67"/>
        <v>1507.7333045623238</v>
      </c>
      <c r="FD30" s="326"/>
      <c r="FE30" s="326"/>
      <c r="FF30" s="326"/>
      <c r="FG30" s="348">
        <f t="shared" si="68"/>
        <v>7084.3200000000006</v>
      </c>
      <c r="FH30" s="348">
        <f t="shared" si="69"/>
        <v>6894.4750000000004</v>
      </c>
      <c r="FI30" s="348">
        <f t="shared" si="70"/>
        <v>721.740048</v>
      </c>
      <c r="FJ30" s="348">
        <f t="shared" si="71"/>
        <v>1014.8353281999998</v>
      </c>
      <c r="FK30" s="354">
        <f t="shared" si="72"/>
        <v>0.50679046369876657</v>
      </c>
      <c r="FL30" s="326"/>
      <c r="FM30" s="348">
        <f t="shared" si="73"/>
        <v>761.0275835548448</v>
      </c>
      <c r="FN30" s="348">
        <f t="shared" si="74"/>
        <v>987.88462795484475</v>
      </c>
      <c r="FO30" s="348">
        <f t="shared" si="75"/>
        <v>749.56388023008719</v>
      </c>
      <c r="FP30" s="348">
        <f t="shared" si="76"/>
        <v>976.42092463008714</v>
      </c>
      <c r="FR30" s="326"/>
      <c r="FS30" s="326"/>
      <c r="FT30" s="326"/>
      <c r="FU30" s="348">
        <f t="shared" si="77"/>
        <v>7745.2057999999997</v>
      </c>
      <c r="FV30" s="348">
        <f t="shared" si="78"/>
        <v>7644.6267000000007</v>
      </c>
      <c r="FW30" s="348">
        <f t="shared" si="79"/>
        <v>252.624663</v>
      </c>
      <c r="FX30" s="348">
        <f t="shared" si="80"/>
        <v>300.19956579999996</v>
      </c>
      <c r="FY30" s="354">
        <f t="shared" si="81"/>
        <v>0.50326771262780146</v>
      </c>
      <c r="FZ30" s="326"/>
      <c r="GA30" s="348">
        <f t="shared" si="82"/>
        <v>252.65984991726705</v>
      </c>
      <c r="GB30" s="348">
        <f t="shared" si="83"/>
        <v>300.16953271726703</v>
      </c>
      <c r="GC30" s="348">
        <f t="shared" si="84"/>
        <v>252.67790811479978</v>
      </c>
      <c r="GD30" s="348">
        <f t="shared" si="85"/>
        <v>300.18759091479978</v>
      </c>
      <c r="GF30" s="326"/>
      <c r="GG30" s="326"/>
      <c r="GH30" s="326"/>
      <c r="GI30" s="348">
        <f t="shared" si="86"/>
        <v>3647.5232999999998</v>
      </c>
      <c r="GJ30" s="348">
        <f t="shared" si="87"/>
        <v>3572.0441000000001</v>
      </c>
      <c r="GK30" s="349">
        <f t="shared" si="88"/>
        <v>140.47095300000001</v>
      </c>
      <c r="GL30" s="349">
        <f t="shared" si="89"/>
        <v>113.41812300000002</v>
      </c>
      <c r="GM30" s="354">
        <f t="shared" si="90"/>
        <v>0.5052274046226094</v>
      </c>
      <c r="GN30" s="326"/>
      <c r="GO30" s="349">
        <f t="shared" si="91"/>
        <v>134.83300988458024</v>
      </c>
      <c r="GP30" s="349">
        <f t="shared" si="92"/>
        <v>116.25585638458018</v>
      </c>
      <c r="GQ30" s="349">
        <f t="shared" si="93"/>
        <v>144.78655019691868</v>
      </c>
      <c r="GR30" s="349">
        <f t="shared" si="94"/>
        <v>126.20939669691867</v>
      </c>
      <c r="HA30" s="374"/>
      <c r="HB30" s="375"/>
      <c r="HC30" s="374"/>
      <c r="HD30" s="374"/>
      <c r="HE30" s="374"/>
      <c r="HF30" s="351">
        <f t="shared" si="95"/>
        <v>0</v>
      </c>
      <c r="HG30" s="351">
        <f t="shared" si="96"/>
        <v>0</v>
      </c>
      <c r="HH30" s="352">
        <f t="shared" si="97"/>
        <v>0</v>
      </c>
      <c r="HI30" s="352">
        <f t="shared" si="150"/>
        <v>0</v>
      </c>
      <c r="HJ30" s="353">
        <f t="shared" si="151"/>
        <v>0</v>
      </c>
      <c r="HK30" s="353">
        <f t="shared" si="152"/>
        <v>0</v>
      </c>
    </row>
    <row r="31" spans="1:219" x14ac:dyDescent="0.2">
      <c r="A31" s="320">
        <v>21</v>
      </c>
      <c r="C31" s="350">
        <v>0.71199999999999997</v>
      </c>
      <c r="D31" s="350">
        <v>0.62960000000000005</v>
      </c>
      <c r="E31" s="350">
        <v>0.23400000000000001</v>
      </c>
      <c r="F31" s="350">
        <v>1056.6183000000001</v>
      </c>
      <c r="G31" s="350">
        <v>1650.3833</v>
      </c>
      <c r="H31" s="351">
        <f t="shared" si="30"/>
        <v>694.98320000000001</v>
      </c>
      <c r="I31" s="351">
        <f t="shared" si="31"/>
        <v>1167.0832240000002</v>
      </c>
      <c r="J31" s="352">
        <f t="shared" si="32"/>
        <v>40.147379999999998</v>
      </c>
      <c r="K31" s="352">
        <f t="shared" si="98"/>
        <v>24.476736729950215</v>
      </c>
      <c r="L31" s="353">
        <f t="shared" si="99"/>
        <v>719.45993672995019</v>
      </c>
      <c r="M31" s="353">
        <f t="shared" si="100"/>
        <v>1151.4125807299504</v>
      </c>
      <c r="N31" s="343">
        <f t="shared" si="101"/>
        <v>719.61576638582869</v>
      </c>
      <c r="O31" s="343">
        <f t="shared" si="102"/>
        <v>1151.5684103858287</v>
      </c>
      <c r="Q31" s="374">
        <v>0.84240000000000004</v>
      </c>
      <c r="R31" s="375">
        <v>0.68759999999999999</v>
      </c>
      <c r="S31" s="374">
        <v>4.6399999999999997E-2</v>
      </c>
      <c r="T31" s="374">
        <v>236.11750000000001</v>
      </c>
      <c r="U31" s="374">
        <v>199.9</v>
      </c>
      <c r="V31" s="351">
        <f t="shared" si="33"/>
        <v>538.63056000000006</v>
      </c>
      <c r="W31" s="351">
        <f t="shared" si="34"/>
        <v>826.06888800000002</v>
      </c>
      <c r="X31" s="352">
        <f t="shared" si="35"/>
        <v>9.2976319999999983</v>
      </c>
      <c r="Y31" s="352">
        <f t="shared" si="103"/>
        <v>5.6279677833307176</v>
      </c>
      <c r="Z31" s="353">
        <f t="shared" si="104"/>
        <v>544.25852778333081</v>
      </c>
      <c r="AA31" s="353">
        <f t="shared" si="105"/>
        <v>822.39922378333074</v>
      </c>
      <c r="AB31" s="343">
        <f t="shared" si="106"/>
        <v>555.62962302737969</v>
      </c>
      <c r="AC31" s="343">
        <f t="shared" si="107"/>
        <v>833.77031902737963</v>
      </c>
      <c r="AE31" s="374">
        <v>0.64039999999999997</v>
      </c>
      <c r="AF31" s="375">
        <v>0.432</v>
      </c>
      <c r="AG31" s="374">
        <v>0.33139999999999997</v>
      </c>
      <c r="AH31" s="374">
        <v>24.83</v>
      </c>
      <c r="AI31" s="374">
        <v>23.833300000000001</v>
      </c>
      <c r="AJ31" s="351">
        <f t="shared" si="36"/>
        <v>274.46263199999999</v>
      </c>
      <c r="AK31" s="351">
        <f t="shared" si="37"/>
        <v>429.48575999999997</v>
      </c>
      <c r="AL31" s="352">
        <f t="shared" si="38"/>
        <v>59.449845999999994</v>
      </c>
      <c r="AM31" s="352">
        <f t="shared" si="108"/>
        <v>36.270929206402613</v>
      </c>
      <c r="AN31" s="353">
        <f t="shared" si="109"/>
        <v>310.73356120640261</v>
      </c>
      <c r="AO31" s="353">
        <f t="shared" si="110"/>
        <v>406.30684320640262</v>
      </c>
      <c r="AP31" s="343">
        <f t="shared" si="111"/>
        <v>289.47629344859092</v>
      </c>
      <c r="AQ31" s="343">
        <f t="shared" si="112"/>
        <v>385.04957544859093</v>
      </c>
      <c r="AS31" s="374">
        <v>1.2988999999999999</v>
      </c>
      <c r="AT31" s="375">
        <v>0.80989999999999995</v>
      </c>
      <c r="AU31" s="374">
        <v>7.0400000000000004E-2</v>
      </c>
      <c r="AV31" s="374">
        <v>1390.9549999999999</v>
      </c>
      <c r="AW31" s="374">
        <v>1158.9692</v>
      </c>
      <c r="AX31" s="351">
        <f t="shared" si="39"/>
        <v>442.496263</v>
      </c>
      <c r="AY31" s="351">
        <f t="shared" si="40"/>
        <v>553.25888799999996</v>
      </c>
      <c r="AZ31" s="352">
        <f t="shared" si="41"/>
        <v>17.083967999999999</v>
      </c>
      <c r="BA31" s="352">
        <f t="shared" si="113"/>
        <v>9.4921498812388112</v>
      </c>
      <c r="BB31" s="353">
        <f t="shared" si="114"/>
        <v>451.98841288123879</v>
      </c>
      <c r="BC31" s="353">
        <f t="shared" si="115"/>
        <v>545.66706988123872</v>
      </c>
      <c r="BD31" s="343">
        <f t="shared" si="116"/>
        <v>461.0107657952147</v>
      </c>
      <c r="BE31" s="343">
        <f t="shared" si="117"/>
        <v>554.68942279521468</v>
      </c>
      <c r="BG31" s="374">
        <v>0.98270000000000002</v>
      </c>
      <c r="BH31" s="375">
        <v>0.75119999999999998</v>
      </c>
      <c r="BI31" s="374">
        <v>0.14549999999999999</v>
      </c>
      <c r="BJ31" s="374">
        <v>548.41079999999999</v>
      </c>
      <c r="BK31" s="374">
        <v>449.2817</v>
      </c>
      <c r="BL31" s="351">
        <f t="shared" si="42"/>
        <v>328.97847899999999</v>
      </c>
      <c r="BM31" s="351">
        <f t="shared" si="43"/>
        <v>440.14310399999994</v>
      </c>
      <c r="BN31" s="352">
        <f t="shared" si="44"/>
        <v>29.881335</v>
      </c>
      <c r="BO31" s="352">
        <f t="shared" si="118"/>
        <v>17.100109825631872</v>
      </c>
      <c r="BP31" s="353">
        <f t="shared" si="119"/>
        <v>346.07858882563187</v>
      </c>
      <c r="BQ31" s="353">
        <f t="shared" si="120"/>
        <v>427.36187882563183</v>
      </c>
      <c r="BR31" s="343">
        <f t="shared" si="121"/>
        <v>347.51503072740695</v>
      </c>
      <c r="BS31" s="343">
        <f t="shared" si="122"/>
        <v>428.79832072740692</v>
      </c>
      <c r="BU31" s="374">
        <v>1.0342</v>
      </c>
      <c r="BV31" s="375">
        <v>0.96989999999999998</v>
      </c>
      <c r="BW31" s="374">
        <v>0.35160000000000002</v>
      </c>
      <c r="BX31" s="374">
        <v>609.80250000000001</v>
      </c>
      <c r="BY31" s="374">
        <v>533.72500000000002</v>
      </c>
      <c r="BZ31" s="351">
        <f t="shared" si="45"/>
        <v>240.058504</v>
      </c>
      <c r="CA31" s="351">
        <f t="shared" si="46"/>
        <v>370.37571300000002</v>
      </c>
      <c r="CB31" s="352">
        <f t="shared" si="47"/>
        <v>34.875204000000004</v>
      </c>
      <c r="CC31" s="352">
        <f t="shared" si="123"/>
        <v>21.160230189914884</v>
      </c>
      <c r="CD31" s="353">
        <f t="shared" si="124"/>
        <v>261.21873418991487</v>
      </c>
      <c r="CE31" s="353">
        <f t="shared" si="125"/>
        <v>356.66073918991492</v>
      </c>
      <c r="CF31" s="343">
        <f t="shared" si="126"/>
        <v>252.81887719932314</v>
      </c>
      <c r="CG31" s="343">
        <f t="shared" si="127"/>
        <v>348.26088219932319</v>
      </c>
      <c r="CI31" s="374">
        <v>0.76890000000000003</v>
      </c>
      <c r="CJ31" s="375">
        <v>0.73570000000000002</v>
      </c>
      <c r="CK31" s="374">
        <v>0.1187</v>
      </c>
      <c r="CL31" s="374">
        <v>3163.8267000000001</v>
      </c>
      <c r="CM31" s="374">
        <v>2711.73</v>
      </c>
      <c r="CN31" s="351">
        <f t="shared" si="48"/>
        <v>163.41431700000001</v>
      </c>
      <c r="CO31" s="351">
        <f t="shared" si="49"/>
        <v>202.64856499999999</v>
      </c>
      <c r="CP31" s="352">
        <f t="shared" si="50"/>
        <v>4.7480000000000001E-2</v>
      </c>
      <c r="CQ31" s="352">
        <f t="shared" si="128"/>
        <v>2.6284429094889771E-2</v>
      </c>
      <c r="CR31" s="353">
        <f t="shared" si="129"/>
        <v>163.4406014290949</v>
      </c>
      <c r="CS31" s="353">
        <f t="shared" si="130"/>
        <v>202.62736942909487</v>
      </c>
      <c r="CT31" s="343">
        <f t="shared" si="131"/>
        <v>163.45017005669732</v>
      </c>
      <c r="CU31" s="343">
        <f t="shared" si="132"/>
        <v>202.63693805669729</v>
      </c>
      <c r="CW31" s="374">
        <v>0.33400000000000002</v>
      </c>
      <c r="CX31" s="375">
        <v>0.2868</v>
      </c>
      <c r="CY31" s="374">
        <v>0.19900000000000001</v>
      </c>
      <c r="CZ31" s="374">
        <v>1489.7266999999999</v>
      </c>
      <c r="DA31" s="374">
        <v>1257.3091999999999</v>
      </c>
      <c r="DB31" s="351">
        <f t="shared" si="51"/>
        <v>74.89282</v>
      </c>
      <c r="DC31" s="351">
        <f t="shared" si="52"/>
        <v>89.120232000000001</v>
      </c>
      <c r="DD31" s="352">
        <f t="shared" si="53"/>
        <v>4.9750000000000003E-2</v>
      </c>
      <c r="DE31" s="352">
        <f t="shared" si="133"/>
        <v>2.7032797011789036E-2</v>
      </c>
      <c r="DF31" s="353">
        <f t="shared" si="134"/>
        <v>74.919852797011785</v>
      </c>
      <c r="DG31" s="353">
        <f t="shared" si="135"/>
        <v>89.097514797011783</v>
      </c>
      <c r="DH31" s="343">
        <f t="shared" si="136"/>
        <v>74.91456007262812</v>
      </c>
      <c r="DI31" s="343">
        <f t="shared" si="137"/>
        <v>89.092222072628118</v>
      </c>
      <c r="DK31" s="374">
        <v>0.29899999999999999</v>
      </c>
      <c r="DL31" s="375">
        <v>0.29010000000000002</v>
      </c>
      <c r="DM31" s="374">
        <v>0.14860000000000001</v>
      </c>
      <c r="DN31" s="374">
        <v>435.30169999999998</v>
      </c>
      <c r="DO31" s="374">
        <v>434.22579999999999</v>
      </c>
      <c r="DP31" s="351">
        <f t="shared" si="54"/>
        <v>39.399230000000003</v>
      </c>
      <c r="DQ31" s="351">
        <f t="shared" si="55"/>
        <v>57.109086000000012</v>
      </c>
      <c r="DR31" s="352">
        <f t="shared" si="56"/>
        <v>2.8234000000000002E-2</v>
      </c>
      <c r="DS31" s="352">
        <f t="shared" si="138"/>
        <v>1.6707554343026773E-2</v>
      </c>
      <c r="DT31" s="353">
        <f t="shared" si="139"/>
        <v>39.415937554343031</v>
      </c>
      <c r="DU31" s="353">
        <f t="shared" si="140"/>
        <v>57.097559554343043</v>
      </c>
      <c r="DV31" s="343">
        <f t="shared" si="141"/>
        <v>39.42247087579284</v>
      </c>
      <c r="DW31" s="343">
        <f t="shared" si="142"/>
        <v>57.104092875792851</v>
      </c>
      <c r="EB31" s="326"/>
      <c r="EC31" s="326"/>
      <c r="ED31" s="326"/>
      <c r="EE31" s="348">
        <f t="shared" si="143"/>
        <v>7101.1266999999998</v>
      </c>
      <c r="EF31" s="348">
        <f t="shared" si="144"/>
        <v>6778.3917000000001</v>
      </c>
      <c r="EG31" s="348">
        <f t="shared" si="145"/>
        <v>1360.8080360000001</v>
      </c>
      <c r="EH31" s="348">
        <f t="shared" si="146"/>
        <v>1994.2868626000002</v>
      </c>
      <c r="EI31" s="354">
        <f t="shared" si="57"/>
        <v>0.51162630397896225</v>
      </c>
      <c r="EJ31" s="326"/>
      <c r="EK31" s="348">
        <f t="shared" si="147"/>
        <v>1394.824833277893</v>
      </c>
      <c r="EL31" s="348">
        <f t="shared" si="148"/>
        <v>1970.9850318778936</v>
      </c>
      <c r="EM31" s="348">
        <f t="shared" si="58"/>
        <v>1404.0083502958432</v>
      </c>
      <c r="EN31" s="348">
        <f t="shared" si="149"/>
        <v>1980.1685488958431</v>
      </c>
      <c r="EP31" s="326"/>
      <c r="EQ31" s="326"/>
      <c r="ER31" s="326"/>
      <c r="ES31" s="348">
        <f t="shared" si="59"/>
        <v>5438.0816999999997</v>
      </c>
      <c r="ET31" s="348">
        <f t="shared" si="60"/>
        <v>4618.2209000000003</v>
      </c>
      <c r="EU31" s="348">
        <f t="shared" si="61"/>
        <v>1083.4483300000002</v>
      </c>
      <c r="EV31" s="348">
        <f t="shared" si="62"/>
        <v>1531.2447193999999</v>
      </c>
      <c r="EW31" s="354">
        <f t="shared" si="63"/>
        <v>0.54076353072350869</v>
      </c>
      <c r="EX31" s="326"/>
      <c r="EY31" s="348">
        <f t="shared" si="64"/>
        <v>1106.2216149959659</v>
      </c>
      <c r="EZ31" s="348">
        <f t="shared" si="65"/>
        <v>1514.7567323959656</v>
      </c>
      <c r="FA31" s="348">
        <f t="shared" si="66"/>
        <v>1119.0350158623237</v>
      </c>
      <c r="FB31" s="348">
        <f t="shared" si="67"/>
        <v>1527.5701332623235</v>
      </c>
      <c r="FD31" s="326"/>
      <c r="FE31" s="326"/>
      <c r="FF31" s="326"/>
      <c r="FG31" s="348">
        <f t="shared" si="68"/>
        <v>4233.7609000000002</v>
      </c>
      <c r="FH31" s="348">
        <f t="shared" si="69"/>
        <v>3703.5141000000003</v>
      </c>
      <c r="FI31" s="348">
        <f t="shared" si="70"/>
        <v>701.57499099999995</v>
      </c>
      <c r="FJ31" s="348">
        <f t="shared" si="71"/>
        <v>1036.7754895999999</v>
      </c>
      <c r="FK31" s="354">
        <f t="shared" si="72"/>
        <v>0.5334023200657656</v>
      </c>
      <c r="FL31" s="326"/>
      <c r="FM31" s="348">
        <f t="shared" si="73"/>
        <v>759.04245935801828</v>
      </c>
      <c r="FN31" s="348">
        <f t="shared" si="74"/>
        <v>999.85348755801829</v>
      </c>
      <c r="FO31" s="348">
        <f t="shared" si="75"/>
        <v>729.39882323008715</v>
      </c>
      <c r="FP31" s="348">
        <f t="shared" si="76"/>
        <v>970.20985143008704</v>
      </c>
      <c r="FR31" s="326"/>
      <c r="FS31" s="326"/>
      <c r="FT31" s="326"/>
      <c r="FU31" s="348">
        <f t="shared" si="77"/>
        <v>4653.5533999999998</v>
      </c>
      <c r="FV31" s="348">
        <f t="shared" si="78"/>
        <v>3969.0392000000002</v>
      </c>
      <c r="FW31" s="348">
        <f t="shared" si="79"/>
        <v>223.32857300000001</v>
      </c>
      <c r="FX31" s="348">
        <f t="shared" si="80"/>
        <v>273.94475060000002</v>
      </c>
      <c r="FY31" s="354">
        <f t="shared" si="81"/>
        <v>0.5396930616900536</v>
      </c>
      <c r="FZ31" s="326"/>
      <c r="GA31" s="348">
        <f t="shared" si="82"/>
        <v>223.37648366670433</v>
      </c>
      <c r="GB31" s="348">
        <f t="shared" si="83"/>
        <v>273.9053812667043</v>
      </c>
      <c r="GC31" s="348">
        <f t="shared" si="84"/>
        <v>223.38181811479981</v>
      </c>
      <c r="GD31" s="348">
        <f t="shared" si="85"/>
        <v>273.91071571479978</v>
      </c>
      <c r="GF31" s="326"/>
      <c r="GG31" s="326"/>
      <c r="GH31" s="326"/>
      <c r="GI31" s="348">
        <f t="shared" si="86"/>
        <v>2000.7574999999999</v>
      </c>
      <c r="GJ31" s="348">
        <f t="shared" si="87"/>
        <v>1692.6941999999999</v>
      </c>
      <c r="GK31" s="349">
        <f t="shared" si="88"/>
        <v>151.82831924999999</v>
      </c>
      <c r="GL31" s="349">
        <f t="shared" si="89"/>
        <v>137.16238124999995</v>
      </c>
      <c r="GM31" s="354">
        <f t="shared" si="90"/>
        <v>0.54170398383712459</v>
      </c>
      <c r="GN31" s="326"/>
      <c r="GO31" s="349">
        <f t="shared" si="91"/>
        <v>143.07725901849295</v>
      </c>
      <c r="GP31" s="349">
        <f t="shared" si="92"/>
        <v>141.75474801849285</v>
      </c>
      <c r="GQ31" s="349">
        <f t="shared" si="93"/>
        <v>156.14391644691867</v>
      </c>
      <c r="GR31" s="349">
        <f t="shared" si="94"/>
        <v>154.82140544691862</v>
      </c>
      <c r="HA31" s="374"/>
      <c r="HB31" s="375"/>
      <c r="HC31" s="374"/>
      <c r="HD31" s="374"/>
      <c r="HE31" s="374"/>
      <c r="HF31" s="351">
        <f t="shared" si="95"/>
        <v>0</v>
      </c>
      <c r="HG31" s="351">
        <f t="shared" si="96"/>
        <v>0</v>
      </c>
      <c r="HH31" s="352">
        <f t="shared" si="97"/>
        <v>0</v>
      </c>
      <c r="HI31" s="352">
        <f t="shared" si="150"/>
        <v>0</v>
      </c>
      <c r="HJ31" s="353">
        <f t="shared" si="151"/>
        <v>0</v>
      </c>
      <c r="HK31" s="353">
        <f t="shared" si="152"/>
        <v>0</v>
      </c>
    </row>
    <row r="32" spans="1:219" x14ac:dyDescent="0.2">
      <c r="A32" s="320">
        <v>22</v>
      </c>
      <c r="C32" s="350">
        <v>0.70240000000000002</v>
      </c>
      <c r="D32" s="350">
        <v>0.65569999999999995</v>
      </c>
      <c r="E32" s="350">
        <v>0.34910000000000002</v>
      </c>
      <c r="F32" s="350">
        <v>729.27670000000001</v>
      </c>
      <c r="G32" s="350">
        <v>1015.9758</v>
      </c>
      <c r="H32" s="351">
        <f t="shared" si="30"/>
        <v>685.61264000000006</v>
      </c>
      <c r="I32" s="351">
        <f t="shared" si="31"/>
        <v>1215.4645329999998</v>
      </c>
      <c r="J32" s="352">
        <f t="shared" si="32"/>
        <v>59.895087000000004</v>
      </c>
      <c r="K32" s="352">
        <f t="shared" si="98"/>
        <v>34.867137523593065</v>
      </c>
      <c r="L32" s="353">
        <f t="shared" si="99"/>
        <v>720.47977752359316</v>
      </c>
      <c r="M32" s="353">
        <f t="shared" si="100"/>
        <v>1190.4365835235928</v>
      </c>
      <c r="N32" s="343">
        <f t="shared" si="101"/>
        <v>710.24520638582874</v>
      </c>
      <c r="O32" s="343">
        <f t="shared" si="102"/>
        <v>1180.2020123858283</v>
      </c>
      <c r="Q32" s="374">
        <v>0.81210000000000004</v>
      </c>
      <c r="R32" s="375">
        <v>0.7117</v>
      </c>
      <c r="S32" s="374">
        <v>6.7799999999999999E-2</v>
      </c>
      <c r="T32" s="374">
        <v>163.9033</v>
      </c>
      <c r="U32" s="374">
        <v>121.22669999999999</v>
      </c>
      <c r="V32" s="351">
        <f t="shared" si="33"/>
        <v>519.25674000000004</v>
      </c>
      <c r="W32" s="351">
        <f t="shared" si="34"/>
        <v>855.02214600000002</v>
      </c>
      <c r="X32" s="352">
        <f t="shared" si="35"/>
        <v>13.585763999999999</v>
      </c>
      <c r="Y32" s="352">
        <f t="shared" si="103"/>
        <v>8.4525267823473946</v>
      </c>
      <c r="Z32" s="353">
        <f t="shared" si="104"/>
        <v>527.70926678234741</v>
      </c>
      <c r="AA32" s="353">
        <f t="shared" si="105"/>
        <v>849.88890878234736</v>
      </c>
      <c r="AB32" s="343">
        <f t="shared" si="106"/>
        <v>536.25580302737967</v>
      </c>
      <c r="AC32" s="343">
        <f t="shared" si="107"/>
        <v>858.43544502737961</v>
      </c>
      <c r="AE32" s="374">
        <v>0.63090000000000002</v>
      </c>
      <c r="AF32" s="375">
        <v>0.47120000000000001</v>
      </c>
      <c r="AG32" s="374">
        <v>0.43080000000000002</v>
      </c>
      <c r="AH32" s="374">
        <v>17.370799999999999</v>
      </c>
      <c r="AI32" s="374">
        <v>11.2783</v>
      </c>
      <c r="AJ32" s="351">
        <f t="shared" si="36"/>
        <v>270.391122</v>
      </c>
      <c r="AK32" s="351">
        <f t="shared" si="37"/>
        <v>468.45761599999997</v>
      </c>
      <c r="AL32" s="352">
        <f t="shared" si="38"/>
        <v>77.281211999999996</v>
      </c>
      <c r="AM32" s="352">
        <f t="shared" si="108"/>
        <v>48.999166504782728</v>
      </c>
      <c r="AN32" s="353">
        <f t="shared" si="109"/>
        <v>319.39028850478275</v>
      </c>
      <c r="AO32" s="353">
        <f t="shared" si="110"/>
        <v>440.17557050478274</v>
      </c>
      <c r="AP32" s="343">
        <f t="shared" si="111"/>
        <v>285.40478344859093</v>
      </c>
      <c r="AQ32" s="343">
        <f t="shared" si="112"/>
        <v>406.19006544859093</v>
      </c>
      <c r="AS32" s="374">
        <v>1.3343</v>
      </c>
      <c r="AT32" s="375">
        <v>0.85499999999999998</v>
      </c>
      <c r="AU32" s="374">
        <v>0.1132</v>
      </c>
      <c r="AV32" s="374">
        <v>1046.2592</v>
      </c>
      <c r="AW32" s="374">
        <v>820.36419999999998</v>
      </c>
      <c r="AX32" s="351">
        <f t="shared" si="39"/>
        <v>454.55598100000003</v>
      </c>
      <c r="AY32" s="351">
        <f t="shared" si="40"/>
        <v>584.06759999999997</v>
      </c>
      <c r="AZ32" s="352">
        <f t="shared" si="41"/>
        <v>27.470243999999997</v>
      </c>
      <c r="BA32" s="352">
        <f t="shared" si="113"/>
        <v>15.447829009472871</v>
      </c>
      <c r="BB32" s="353">
        <f t="shared" si="114"/>
        <v>470.00381000947289</v>
      </c>
      <c r="BC32" s="353">
        <f t="shared" si="115"/>
        <v>572.0451850094729</v>
      </c>
      <c r="BD32" s="343">
        <f t="shared" si="116"/>
        <v>473.07048379521473</v>
      </c>
      <c r="BE32" s="343">
        <f t="shared" si="117"/>
        <v>575.11185879521474</v>
      </c>
      <c r="BG32" s="374">
        <v>0.99470000000000003</v>
      </c>
      <c r="BH32" s="375">
        <v>0.80059999999999998</v>
      </c>
      <c r="BI32" s="374">
        <v>0.2336</v>
      </c>
      <c r="BJ32" s="374">
        <v>398.49169999999998</v>
      </c>
      <c r="BK32" s="374">
        <v>273.48829999999998</v>
      </c>
      <c r="BL32" s="351">
        <f t="shared" si="42"/>
        <v>332.99571900000001</v>
      </c>
      <c r="BM32" s="351">
        <f t="shared" si="43"/>
        <v>469.08755199999996</v>
      </c>
      <c r="BN32" s="352">
        <f t="shared" si="44"/>
        <v>47.974432</v>
      </c>
      <c r="BO32" s="352">
        <f t="shared" si="118"/>
        <v>28.057197649083577</v>
      </c>
      <c r="BP32" s="353">
        <f t="shared" si="119"/>
        <v>361.05291664908361</v>
      </c>
      <c r="BQ32" s="353">
        <f t="shared" si="120"/>
        <v>449.17031764908359</v>
      </c>
      <c r="BR32" s="343">
        <f t="shared" si="121"/>
        <v>351.53227072740697</v>
      </c>
      <c r="BS32" s="343">
        <f t="shared" si="122"/>
        <v>439.64967172740694</v>
      </c>
      <c r="BU32" s="374">
        <v>1.038</v>
      </c>
      <c r="BV32" s="375">
        <v>1.0002</v>
      </c>
      <c r="BW32" s="374">
        <v>0.5171</v>
      </c>
      <c r="BX32" s="374">
        <v>460.98419999999999</v>
      </c>
      <c r="BY32" s="374">
        <v>332.94580000000002</v>
      </c>
      <c r="BZ32" s="351">
        <f t="shared" si="45"/>
        <v>240.94056</v>
      </c>
      <c r="CA32" s="351">
        <f t="shared" si="46"/>
        <v>381.94637399999999</v>
      </c>
      <c r="CB32" s="352">
        <f t="shared" si="47"/>
        <v>51.291148999999997</v>
      </c>
      <c r="CC32" s="352">
        <f t="shared" si="123"/>
        <v>31.451082547260054</v>
      </c>
      <c r="CD32" s="353">
        <f t="shared" si="124"/>
        <v>272.39164254726006</v>
      </c>
      <c r="CE32" s="353">
        <f t="shared" si="125"/>
        <v>362.10630754726003</v>
      </c>
      <c r="CF32" s="343">
        <f t="shared" si="126"/>
        <v>253.70093319932315</v>
      </c>
      <c r="CG32" s="343">
        <f t="shared" si="127"/>
        <v>343.41559819932314</v>
      </c>
      <c r="CI32" s="374">
        <v>0.73009999999999997</v>
      </c>
      <c r="CJ32" s="375">
        <v>0.70340000000000003</v>
      </c>
      <c r="CK32" s="374">
        <v>0.1641</v>
      </c>
      <c r="CL32" s="374">
        <v>2493.7817</v>
      </c>
      <c r="CM32" s="374">
        <v>1942.0983000000001</v>
      </c>
      <c r="CN32" s="351">
        <f t="shared" si="48"/>
        <v>155.16815299999999</v>
      </c>
      <c r="CO32" s="351">
        <f t="shared" si="49"/>
        <v>193.75153</v>
      </c>
      <c r="CP32" s="352">
        <f t="shared" si="50"/>
        <v>6.5640000000000004E-2</v>
      </c>
      <c r="CQ32" s="352">
        <f t="shared" si="128"/>
        <v>3.6449220404685512E-2</v>
      </c>
      <c r="CR32" s="353">
        <f t="shared" si="129"/>
        <v>155.20460222040467</v>
      </c>
      <c r="CS32" s="353">
        <f t="shared" si="130"/>
        <v>193.72233922040468</v>
      </c>
      <c r="CT32" s="343">
        <f t="shared" si="131"/>
        <v>155.2040060566973</v>
      </c>
      <c r="CU32" s="343">
        <f t="shared" si="132"/>
        <v>193.72174305669731</v>
      </c>
      <c r="CW32" s="374">
        <v>0.28770000000000001</v>
      </c>
      <c r="CX32" s="375">
        <v>0.26740000000000003</v>
      </c>
      <c r="CY32" s="374">
        <v>0.25929999999999997</v>
      </c>
      <c r="CZ32" s="374">
        <v>1076.8082999999999</v>
      </c>
      <c r="DA32" s="374">
        <v>790.19500000000005</v>
      </c>
      <c r="DB32" s="351">
        <f t="shared" si="51"/>
        <v>64.510970999999998</v>
      </c>
      <c r="DC32" s="351">
        <f t="shared" si="52"/>
        <v>83.091876000000013</v>
      </c>
      <c r="DD32" s="352">
        <f t="shared" si="53"/>
        <v>6.4824999999999994E-2</v>
      </c>
      <c r="DE32" s="352">
        <f t="shared" si="133"/>
        <v>3.6492730128030663E-2</v>
      </c>
      <c r="DF32" s="353">
        <f t="shared" si="134"/>
        <v>64.54746373012803</v>
      </c>
      <c r="DG32" s="353">
        <f t="shared" si="135"/>
        <v>83.063543730128046</v>
      </c>
      <c r="DH32" s="343">
        <f t="shared" si="136"/>
        <v>64.532711072628118</v>
      </c>
      <c r="DI32" s="343">
        <f t="shared" si="137"/>
        <v>83.048791072628134</v>
      </c>
      <c r="DK32" s="374">
        <v>0.25219999999999998</v>
      </c>
      <c r="DL32" s="375">
        <v>0.28320000000000001</v>
      </c>
      <c r="DM32" s="374">
        <v>0.1988</v>
      </c>
      <c r="DN32" s="374">
        <v>399.86</v>
      </c>
      <c r="DO32" s="374">
        <v>325.9708</v>
      </c>
      <c r="DP32" s="351">
        <f t="shared" si="54"/>
        <v>33.232393999999999</v>
      </c>
      <c r="DQ32" s="351">
        <f t="shared" si="55"/>
        <v>55.750752000000006</v>
      </c>
      <c r="DR32" s="352">
        <f t="shared" si="56"/>
        <v>3.7772E-2</v>
      </c>
      <c r="DS32" s="352">
        <f t="shared" si="138"/>
        <v>2.3665351240155074E-2</v>
      </c>
      <c r="DT32" s="353">
        <f t="shared" si="139"/>
        <v>33.256059351240154</v>
      </c>
      <c r="DU32" s="353">
        <f t="shared" si="140"/>
        <v>55.736645351240163</v>
      </c>
      <c r="DV32" s="343">
        <f t="shared" si="141"/>
        <v>33.255634875792836</v>
      </c>
      <c r="DW32" s="343">
        <f t="shared" si="142"/>
        <v>55.736220875792846</v>
      </c>
      <c r="EB32" s="326"/>
      <c r="EC32" s="326"/>
      <c r="ED32" s="326"/>
      <c r="EE32" s="348">
        <f t="shared" si="143"/>
        <v>5346.1259</v>
      </c>
      <c r="EF32" s="348">
        <f t="shared" si="144"/>
        <v>4568.6333000000004</v>
      </c>
      <c r="EG32" s="348">
        <f t="shared" si="145"/>
        <v>1346.9455508000001</v>
      </c>
      <c r="EH32" s="348">
        <f t="shared" si="146"/>
        <v>2059.7571637999999</v>
      </c>
      <c r="EI32" s="354">
        <f t="shared" si="57"/>
        <v>0.53920884936872693</v>
      </c>
      <c r="EJ32" s="326"/>
      <c r="EK32" s="348">
        <f t="shared" si="147"/>
        <v>1397.326160737573</v>
      </c>
      <c r="EL32" s="348">
        <f t="shared" si="148"/>
        <v>2022.6549427375728</v>
      </c>
      <c r="EM32" s="348">
        <f t="shared" si="58"/>
        <v>1390.1458650958434</v>
      </c>
      <c r="EN32" s="348">
        <f t="shared" si="149"/>
        <v>2015.4746470958428</v>
      </c>
      <c r="EP32" s="326"/>
      <c r="EQ32" s="326"/>
      <c r="ER32" s="326"/>
      <c r="ES32" s="348">
        <f t="shared" si="59"/>
        <v>4132.9849999999997</v>
      </c>
      <c r="ET32" s="348">
        <f t="shared" si="60"/>
        <v>3127.0083000000004</v>
      </c>
      <c r="EU32" s="348">
        <f t="shared" si="61"/>
        <v>1052.5782916999999</v>
      </c>
      <c r="EV32" s="348">
        <f t="shared" si="62"/>
        <v>1576.0255411999999</v>
      </c>
      <c r="EW32" s="354">
        <f t="shared" si="63"/>
        <v>0.56928220581140199</v>
      </c>
      <c r="EX32" s="326"/>
      <c r="EY32" s="348">
        <f t="shared" si="64"/>
        <v>1089.1500102629252</v>
      </c>
      <c r="EZ32" s="348">
        <f t="shared" si="65"/>
        <v>1550.9260462629252</v>
      </c>
      <c r="FA32" s="348">
        <f t="shared" si="66"/>
        <v>1088.1649775623237</v>
      </c>
      <c r="FB32" s="348">
        <f t="shared" si="67"/>
        <v>1549.9410135623236</v>
      </c>
      <c r="FD32" s="326"/>
      <c r="FE32" s="326"/>
      <c r="FF32" s="326"/>
      <c r="FG32" s="348">
        <f t="shared" si="68"/>
        <v>3371.9967000000001</v>
      </c>
      <c r="FH32" s="348">
        <f t="shared" si="69"/>
        <v>2612.2932000000001</v>
      </c>
      <c r="FI32" s="348">
        <f t="shared" si="70"/>
        <v>686.43927139999994</v>
      </c>
      <c r="FJ32" s="348">
        <f t="shared" si="71"/>
        <v>1077.6059712000001</v>
      </c>
      <c r="FK32" s="354">
        <f t="shared" si="72"/>
        <v>0.5634748243062222</v>
      </c>
      <c r="FL32" s="326"/>
      <c r="FM32" s="348">
        <f t="shared" si="73"/>
        <v>766.94016888319163</v>
      </c>
      <c r="FN32" s="348">
        <f t="shared" si="74"/>
        <v>1029.4462044831917</v>
      </c>
      <c r="FO32" s="348">
        <f t="shared" si="75"/>
        <v>714.26310363008702</v>
      </c>
      <c r="FP32" s="348">
        <f t="shared" si="76"/>
        <v>976.76913923008703</v>
      </c>
      <c r="FR32" s="326"/>
      <c r="FS32" s="326"/>
      <c r="FT32" s="326"/>
      <c r="FU32" s="348">
        <f t="shared" si="77"/>
        <v>3570.59</v>
      </c>
      <c r="FV32" s="348">
        <f t="shared" si="78"/>
        <v>2732.2933000000003</v>
      </c>
      <c r="FW32" s="348">
        <f t="shared" si="79"/>
        <v>206.7769298</v>
      </c>
      <c r="FX32" s="348">
        <f t="shared" si="80"/>
        <v>260.22503080000001</v>
      </c>
      <c r="FY32" s="354">
        <f t="shared" si="81"/>
        <v>0.56650104881364372</v>
      </c>
      <c r="FZ32" s="326"/>
      <c r="GA32" s="348">
        <f t="shared" si="82"/>
        <v>206.84257320450709</v>
      </c>
      <c r="GB32" s="348">
        <f t="shared" si="83"/>
        <v>260.17317420450712</v>
      </c>
      <c r="GC32" s="348">
        <f t="shared" si="84"/>
        <v>206.83017491479978</v>
      </c>
      <c r="GD32" s="348">
        <f t="shared" si="85"/>
        <v>260.16077591479984</v>
      </c>
      <c r="GF32" s="326"/>
      <c r="GG32" s="326"/>
      <c r="GH32" s="326"/>
      <c r="GI32" s="348">
        <f t="shared" si="86"/>
        <v>1507.2433999999998</v>
      </c>
      <c r="GJ32" s="348">
        <f t="shared" si="87"/>
        <v>1153.31</v>
      </c>
      <c r="GK32" s="349">
        <f t="shared" si="88"/>
        <v>160.21156575000003</v>
      </c>
      <c r="GL32" s="349">
        <f t="shared" si="89"/>
        <v>151.59091949999998</v>
      </c>
      <c r="GM32" s="354">
        <f t="shared" si="90"/>
        <v>0.56651499646652459</v>
      </c>
      <c r="GN32" s="326"/>
      <c r="GO32" s="349">
        <f t="shared" si="91"/>
        <v>148.20912559665962</v>
      </c>
      <c r="GP32" s="349">
        <f t="shared" si="92"/>
        <v>157.45415809665965</v>
      </c>
      <c r="GQ32" s="349">
        <f t="shared" si="93"/>
        <v>164.52716294691868</v>
      </c>
      <c r="GR32" s="349">
        <f t="shared" si="94"/>
        <v>173.77219544691872</v>
      </c>
      <c r="HA32" s="374"/>
      <c r="HB32" s="375"/>
      <c r="HC32" s="374"/>
      <c r="HD32" s="374"/>
      <c r="HE32" s="374"/>
      <c r="HF32" s="351">
        <f t="shared" si="95"/>
        <v>0</v>
      </c>
      <c r="HG32" s="351">
        <f t="shared" si="96"/>
        <v>0</v>
      </c>
      <c r="HH32" s="352">
        <f t="shared" si="97"/>
        <v>0</v>
      </c>
      <c r="HI32" s="352">
        <f t="shared" si="150"/>
        <v>0</v>
      </c>
      <c r="HJ32" s="353">
        <f t="shared" si="151"/>
        <v>0</v>
      </c>
      <c r="HK32" s="353">
        <f t="shared" si="152"/>
        <v>0</v>
      </c>
    </row>
    <row r="33" spans="1:219" x14ac:dyDescent="0.2">
      <c r="A33" s="320">
        <v>23</v>
      </c>
      <c r="C33" s="350">
        <v>0.69230000000000003</v>
      </c>
      <c r="D33" s="350">
        <v>0.68089999999999995</v>
      </c>
      <c r="E33" s="350">
        <v>0.4889</v>
      </c>
      <c r="F33" s="350">
        <v>752.65750000000003</v>
      </c>
      <c r="G33" s="350">
        <v>891.40750000000003</v>
      </c>
      <c r="H33" s="351">
        <f t="shared" si="30"/>
        <v>675.75403000000006</v>
      </c>
      <c r="I33" s="351">
        <f t="shared" si="31"/>
        <v>1262.1775209999998</v>
      </c>
      <c r="J33" s="352">
        <f t="shared" si="32"/>
        <v>83.880572999999998</v>
      </c>
      <c r="K33" s="352">
        <f t="shared" si="98"/>
        <v>45.479814895699072</v>
      </c>
      <c r="L33" s="353">
        <f t="shared" si="99"/>
        <v>721.23384489569912</v>
      </c>
      <c r="M33" s="353">
        <f t="shared" si="100"/>
        <v>1223.776762895699</v>
      </c>
      <c r="N33" s="343">
        <f t="shared" si="101"/>
        <v>700.38659638582874</v>
      </c>
      <c r="O33" s="343">
        <f t="shared" si="102"/>
        <v>1202.9295143858285</v>
      </c>
      <c r="Q33" s="374">
        <v>0.77839999999999998</v>
      </c>
      <c r="R33" s="375">
        <v>0.73480000000000001</v>
      </c>
      <c r="S33" s="374">
        <v>0.1095</v>
      </c>
      <c r="T33" s="374">
        <v>154.16079999999999</v>
      </c>
      <c r="U33" s="374">
        <v>144.22329999999999</v>
      </c>
      <c r="V33" s="351">
        <f t="shared" si="33"/>
        <v>497.70895999999999</v>
      </c>
      <c r="W33" s="351">
        <f t="shared" si="34"/>
        <v>882.77402400000005</v>
      </c>
      <c r="X33" s="352">
        <f t="shared" si="35"/>
        <v>21.941610000000001</v>
      </c>
      <c r="Y33" s="352">
        <f t="shared" si="103"/>
        <v>14.030946833270525</v>
      </c>
      <c r="Z33" s="353">
        <f t="shared" si="104"/>
        <v>511.73990683327054</v>
      </c>
      <c r="AA33" s="353">
        <f t="shared" si="105"/>
        <v>874.86336083327058</v>
      </c>
      <c r="AB33" s="343">
        <f t="shared" si="106"/>
        <v>514.70802302737957</v>
      </c>
      <c r="AC33" s="343">
        <f t="shared" si="107"/>
        <v>877.83147702737972</v>
      </c>
      <c r="AE33" s="374">
        <v>0.62060000000000004</v>
      </c>
      <c r="AF33" s="375">
        <v>0.5111</v>
      </c>
      <c r="AG33" s="374">
        <v>0.54330000000000001</v>
      </c>
      <c r="AH33" s="374">
        <v>18.255800000000001</v>
      </c>
      <c r="AI33" s="374">
        <v>12.75</v>
      </c>
      <c r="AJ33" s="351">
        <f t="shared" si="36"/>
        <v>265.97674799999999</v>
      </c>
      <c r="AK33" s="351">
        <f t="shared" si="37"/>
        <v>508.12539799999996</v>
      </c>
      <c r="AL33" s="352">
        <f t="shared" si="38"/>
        <v>97.462586999999999</v>
      </c>
      <c r="AM33" s="352">
        <f t="shared" si="108"/>
        <v>63.975040071113078</v>
      </c>
      <c r="AN33" s="353">
        <f t="shared" si="109"/>
        <v>329.95178807111307</v>
      </c>
      <c r="AO33" s="353">
        <f t="shared" si="110"/>
        <v>474.63785107111306</v>
      </c>
      <c r="AP33" s="343">
        <f t="shared" si="111"/>
        <v>280.99040944859092</v>
      </c>
      <c r="AQ33" s="343">
        <f t="shared" si="112"/>
        <v>425.67647244859091</v>
      </c>
      <c r="AS33" s="374">
        <v>1.3506</v>
      </c>
      <c r="AT33" s="375">
        <v>0.90100000000000002</v>
      </c>
      <c r="AU33" s="374">
        <v>0.17760000000000001</v>
      </c>
      <c r="AV33" s="374">
        <v>1011.65</v>
      </c>
      <c r="AW33" s="374">
        <v>767.53</v>
      </c>
      <c r="AX33" s="351">
        <f t="shared" si="39"/>
        <v>460.10890200000006</v>
      </c>
      <c r="AY33" s="351">
        <f t="shared" si="40"/>
        <v>615.49112000000002</v>
      </c>
      <c r="AZ33" s="352">
        <f t="shared" si="41"/>
        <v>43.098191999999997</v>
      </c>
      <c r="BA33" s="352">
        <f t="shared" si="113"/>
        <v>24.662099220424743</v>
      </c>
      <c r="BB33" s="353">
        <f t="shared" si="114"/>
        <v>484.77100122042481</v>
      </c>
      <c r="BC33" s="353">
        <f t="shared" si="115"/>
        <v>597.05502722042468</v>
      </c>
      <c r="BD33" s="343">
        <f t="shared" si="116"/>
        <v>478.62340479521475</v>
      </c>
      <c r="BE33" s="343">
        <f t="shared" si="117"/>
        <v>590.90743079521474</v>
      </c>
      <c r="BG33" s="374">
        <v>0.99709999999999999</v>
      </c>
      <c r="BH33" s="375">
        <v>0.85070000000000001</v>
      </c>
      <c r="BI33" s="374">
        <v>0.3498</v>
      </c>
      <c r="BJ33" s="374">
        <v>371.10250000000002</v>
      </c>
      <c r="BK33" s="374">
        <v>225.8133</v>
      </c>
      <c r="BL33" s="351">
        <f t="shared" si="42"/>
        <v>333.79916699999995</v>
      </c>
      <c r="BM33" s="351">
        <f t="shared" si="43"/>
        <v>498.44214399999998</v>
      </c>
      <c r="BN33" s="352">
        <f t="shared" si="44"/>
        <v>71.838425999999998</v>
      </c>
      <c r="BO33" s="352">
        <f t="shared" si="118"/>
        <v>43.025140189208109</v>
      </c>
      <c r="BP33" s="353">
        <f t="shared" si="119"/>
        <v>376.82430718920807</v>
      </c>
      <c r="BQ33" s="353">
        <f t="shared" si="120"/>
        <v>469.62885818920807</v>
      </c>
      <c r="BR33" s="343">
        <f t="shared" si="121"/>
        <v>352.33571872740691</v>
      </c>
      <c r="BS33" s="343">
        <f t="shared" si="122"/>
        <v>445.14026972740692</v>
      </c>
      <c r="BU33" s="374">
        <v>1.0341</v>
      </c>
      <c r="BV33" s="375">
        <v>1.0246</v>
      </c>
      <c r="BW33" s="374">
        <v>0.7167</v>
      </c>
      <c r="BX33" s="374">
        <v>642.87419999999997</v>
      </c>
      <c r="BY33" s="374">
        <v>394.12169999999998</v>
      </c>
      <c r="BZ33" s="351">
        <f t="shared" si="45"/>
        <v>240.035292</v>
      </c>
      <c r="CA33" s="351">
        <f t="shared" si="46"/>
        <v>391.264002</v>
      </c>
      <c r="CB33" s="352">
        <f t="shared" si="47"/>
        <v>71.089472999999998</v>
      </c>
      <c r="CC33" s="352">
        <f t="shared" si="123"/>
        <v>44.05953241261021</v>
      </c>
      <c r="CD33" s="353">
        <f t="shared" si="124"/>
        <v>284.09482441261019</v>
      </c>
      <c r="CE33" s="353">
        <f t="shared" si="125"/>
        <v>364.23406141261023</v>
      </c>
      <c r="CF33" s="343">
        <f t="shared" si="126"/>
        <v>252.79566519932314</v>
      </c>
      <c r="CG33" s="343">
        <f t="shared" si="127"/>
        <v>332.93490219932318</v>
      </c>
      <c r="CI33" s="374">
        <v>0.70179999999999998</v>
      </c>
      <c r="CJ33" s="375">
        <v>0.67530000000000001</v>
      </c>
      <c r="CK33" s="374">
        <v>0.22900000000000001</v>
      </c>
      <c r="CL33" s="374">
        <v>2669.8258000000001</v>
      </c>
      <c r="CM33" s="374">
        <v>1928.7483</v>
      </c>
      <c r="CN33" s="351">
        <f t="shared" si="48"/>
        <v>149.15355399999999</v>
      </c>
      <c r="CO33" s="351">
        <f t="shared" si="49"/>
        <v>186.01138499999999</v>
      </c>
      <c r="CP33" s="352">
        <f t="shared" si="50"/>
        <v>9.1600000000000015E-2</v>
      </c>
      <c r="CQ33" s="352">
        <f t="shared" si="128"/>
        <v>5.0836590834460772E-2</v>
      </c>
      <c r="CR33" s="353">
        <f t="shared" si="129"/>
        <v>149.20439059083444</v>
      </c>
      <c r="CS33" s="353">
        <f t="shared" si="130"/>
        <v>185.97062159083444</v>
      </c>
      <c r="CT33" s="343">
        <f t="shared" si="131"/>
        <v>149.18940705669729</v>
      </c>
      <c r="CU33" s="343">
        <f t="shared" si="132"/>
        <v>185.9556380566973</v>
      </c>
      <c r="CW33" s="374">
        <v>0.27729999999999999</v>
      </c>
      <c r="CX33" s="375">
        <v>0.28029999999999999</v>
      </c>
      <c r="CY33" s="374">
        <v>0.33150000000000002</v>
      </c>
      <c r="CZ33" s="374">
        <v>1037.8167000000001</v>
      </c>
      <c r="DA33" s="374">
        <v>744.57830000000001</v>
      </c>
      <c r="DB33" s="351">
        <f t="shared" si="51"/>
        <v>62.178978999999998</v>
      </c>
      <c r="DC33" s="351">
        <f t="shared" si="52"/>
        <v>87.100421999999995</v>
      </c>
      <c r="DD33" s="352">
        <f t="shared" si="53"/>
        <v>8.2875000000000004E-2</v>
      </c>
      <c r="DE33" s="352">
        <f t="shared" si="133"/>
        <v>4.8355281605464102E-2</v>
      </c>
      <c r="DF33" s="353">
        <f t="shared" si="134"/>
        <v>62.227334281605465</v>
      </c>
      <c r="DG33" s="353">
        <f t="shared" si="135"/>
        <v>87.06590228160546</v>
      </c>
      <c r="DH33" s="343">
        <f t="shared" si="136"/>
        <v>62.200719072628118</v>
      </c>
      <c r="DI33" s="343">
        <f t="shared" si="137"/>
        <v>87.039287072628113</v>
      </c>
      <c r="DK33" s="374">
        <v>0.2525</v>
      </c>
      <c r="DL33" s="375">
        <v>0.309</v>
      </c>
      <c r="DM33" s="374">
        <v>0.25979999999999998</v>
      </c>
      <c r="DN33" s="374">
        <v>456.92669999999998</v>
      </c>
      <c r="DO33" s="374">
        <v>330.30579999999998</v>
      </c>
      <c r="DP33" s="351">
        <f t="shared" si="54"/>
        <v>33.271925000000003</v>
      </c>
      <c r="DQ33" s="351">
        <f t="shared" si="55"/>
        <v>60.829740000000001</v>
      </c>
      <c r="DR33" s="352">
        <f t="shared" si="56"/>
        <v>4.9361999999999996E-2</v>
      </c>
      <c r="DS33" s="352">
        <f t="shared" si="138"/>
        <v>3.1908868199940987E-2</v>
      </c>
      <c r="DT33" s="353">
        <f t="shared" si="139"/>
        <v>33.303833868199945</v>
      </c>
      <c r="DU33" s="353">
        <f t="shared" si="140"/>
        <v>60.812286868199941</v>
      </c>
      <c r="DV33" s="343">
        <f t="shared" si="141"/>
        <v>33.29516587579284</v>
      </c>
      <c r="DW33" s="343">
        <f t="shared" si="142"/>
        <v>60.803618875792836</v>
      </c>
      <c r="EB33" s="326"/>
      <c r="EC33" s="326"/>
      <c r="ED33" s="326"/>
      <c r="EE33" s="348">
        <f t="shared" si="143"/>
        <v>5471.95</v>
      </c>
      <c r="EF33" s="348">
        <f t="shared" si="144"/>
        <v>4332.2641000000003</v>
      </c>
      <c r="EG33" s="348">
        <f t="shared" si="145"/>
        <v>1334.7596692</v>
      </c>
      <c r="EH33" s="348">
        <f t="shared" si="146"/>
        <v>2133.3603635999993</v>
      </c>
      <c r="EI33" s="354">
        <f t="shared" si="57"/>
        <v>0.55812224663678034</v>
      </c>
      <c r="EJ33" s="326"/>
      <c r="EK33" s="348">
        <f t="shared" si="147"/>
        <v>1404.9911041322428</v>
      </c>
      <c r="EL33" s="348">
        <f t="shared" si="148"/>
        <v>2076.4551335322426</v>
      </c>
      <c r="EM33" s="348">
        <f t="shared" si="58"/>
        <v>1377.9599834958433</v>
      </c>
      <c r="EN33" s="348">
        <f t="shared" si="149"/>
        <v>2049.4240128958431</v>
      </c>
      <c r="EP33" s="326"/>
      <c r="EQ33" s="326"/>
      <c r="ER33" s="326"/>
      <c r="ES33" s="348">
        <f t="shared" si="59"/>
        <v>4232.9058000000005</v>
      </c>
      <c r="ET33" s="348">
        <f t="shared" si="60"/>
        <v>3043.3632000000002</v>
      </c>
      <c r="EU33" s="348">
        <f t="shared" si="61"/>
        <v>1024.1869663</v>
      </c>
      <c r="EV33" s="348">
        <f t="shared" si="62"/>
        <v>1628.1978483999999</v>
      </c>
      <c r="EW33" s="354">
        <f t="shared" si="63"/>
        <v>0.5817412467845815</v>
      </c>
      <c r="EX33" s="326"/>
      <c r="EY33" s="348">
        <f t="shared" si="64"/>
        <v>1081.3277386104369</v>
      </c>
      <c r="EZ33" s="348">
        <f t="shared" si="65"/>
        <v>1591.408972210437</v>
      </c>
      <c r="FA33" s="348">
        <f t="shared" si="66"/>
        <v>1059.7736521623233</v>
      </c>
      <c r="FB33" s="348">
        <f t="shared" si="67"/>
        <v>1569.8548857623236</v>
      </c>
      <c r="FD33" s="326"/>
      <c r="FE33" s="326"/>
      <c r="FF33" s="326"/>
      <c r="FG33" s="348">
        <f t="shared" si="68"/>
        <v>3787.8825000000002</v>
      </c>
      <c r="FH33" s="348">
        <f t="shared" si="69"/>
        <v>2665.9258</v>
      </c>
      <c r="FI33" s="348">
        <f t="shared" si="70"/>
        <v>675.12874899999997</v>
      </c>
      <c r="FJ33" s="348">
        <f t="shared" si="71"/>
        <v>1121.898629</v>
      </c>
      <c r="FK33" s="354">
        <f t="shared" si="72"/>
        <v>0.58692206584444095</v>
      </c>
      <c r="FL33" s="326"/>
      <c r="FM33" s="348">
        <f t="shared" si="73"/>
        <v>783.23330339547772</v>
      </c>
      <c r="FN33" s="348">
        <f t="shared" si="74"/>
        <v>1061.3299061954776</v>
      </c>
      <c r="FO33" s="348">
        <f t="shared" si="75"/>
        <v>702.95258123008716</v>
      </c>
      <c r="FP33" s="348">
        <f t="shared" si="76"/>
        <v>981.04918403008719</v>
      </c>
      <c r="FR33" s="326"/>
      <c r="FS33" s="326"/>
      <c r="FT33" s="326"/>
      <c r="FU33" s="348">
        <f t="shared" si="77"/>
        <v>3707.6424999999999</v>
      </c>
      <c r="FV33" s="348">
        <f t="shared" si="78"/>
        <v>2673.3265999999999</v>
      </c>
      <c r="FW33" s="348">
        <f t="shared" si="79"/>
        <v>198.89673719999999</v>
      </c>
      <c r="FX33" s="348">
        <f t="shared" si="80"/>
        <v>255.69172259999999</v>
      </c>
      <c r="FY33" s="354">
        <f t="shared" si="81"/>
        <v>0.58104692906285971</v>
      </c>
      <c r="FZ33" s="326"/>
      <c r="GA33" s="348">
        <f t="shared" si="82"/>
        <v>198.98625801611882</v>
      </c>
      <c r="GB33" s="348">
        <f t="shared" si="83"/>
        <v>255.62334341611881</v>
      </c>
      <c r="GC33" s="348">
        <f t="shared" si="84"/>
        <v>198.9499823147998</v>
      </c>
      <c r="GD33" s="348">
        <f t="shared" si="85"/>
        <v>255.58706771479979</v>
      </c>
      <c r="GF33" s="326"/>
      <c r="GG33" s="326"/>
      <c r="GH33" s="326"/>
      <c r="GI33" s="348">
        <f t="shared" si="86"/>
        <v>1654.5241999999998</v>
      </c>
      <c r="GJ33" s="348">
        <f t="shared" si="87"/>
        <v>1161.6516999999999</v>
      </c>
      <c r="GK33" s="349">
        <f t="shared" si="88"/>
        <v>165.05520750000005</v>
      </c>
      <c r="GL33" s="349">
        <f t="shared" si="89"/>
        <v>168.17033850000001</v>
      </c>
      <c r="GM33" s="354">
        <f t="shared" si="90"/>
        <v>0.58750740676390278</v>
      </c>
      <c r="GN33" s="326"/>
      <c r="GO33" s="349">
        <f t="shared" si="91"/>
        <v>150.50713260586096</v>
      </c>
      <c r="GP33" s="349">
        <f t="shared" si="92"/>
        <v>174.61572435586083</v>
      </c>
      <c r="GQ33" s="349">
        <f t="shared" si="93"/>
        <v>169.3708046969187</v>
      </c>
      <c r="GR33" s="349">
        <f t="shared" si="94"/>
        <v>193.47939644691866</v>
      </c>
      <c r="HA33" s="374"/>
      <c r="HB33" s="375"/>
      <c r="HC33" s="374"/>
      <c r="HD33" s="374"/>
      <c r="HE33" s="374"/>
      <c r="HF33" s="351">
        <f t="shared" si="95"/>
        <v>0</v>
      </c>
      <c r="HG33" s="351">
        <f t="shared" si="96"/>
        <v>0</v>
      </c>
      <c r="HH33" s="352">
        <f t="shared" si="97"/>
        <v>0</v>
      </c>
      <c r="HI33" s="352">
        <f t="shared" si="150"/>
        <v>0</v>
      </c>
      <c r="HJ33" s="353">
        <f t="shared" si="151"/>
        <v>0</v>
      </c>
      <c r="HK33" s="353">
        <f t="shared" si="152"/>
        <v>0</v>
      </c>
    </row>
    <row r="34" spans="1:219" x14ac:dyDescent="0.2">
      <c r="A34" s="320">
        <v>24</v>
      </c>
      <c r="C34" s="350">
        <v>0.68259999999999998</v>
      </c>
      <c r="D34" s="350">
        <v>0.70550000000000002</v>
      </c>
      <c r="E34" s="350">
        <v>0.64800000000000002</v>
      </c>
      <c r="F34" s="350">
        <v>846.02670000000001</v>
      </c>
      <c r="G34" s="350">
        <v>896.57749999999999</v>
      </c>
      <c r="H34" s="351">
        <f t="shared" si="30"/>
        <v>666.28585999999996</v>
      </c>
      <c r="I34" s="351">
        <f t="shared" si="31"/>
        <v>1307.7782950000001</v>
      </c>
      <c r="J34" s="352">
        <f t="shared" si="32"/>
        <v>111.17735999999999</v>
      </c>
      <c r="K34" s="352">
        <f t="shared" si="98"/>
        <v>57.201239091125792</v>
      </c>
      <c r="L34" s="353">
        <f t="shared" si="99"/>
        <v>723.48709909112574</v>
      </c>
      <c r="M34" s="353">
        <f t="shared" si="100"/>
        <v>1253.8021740911261</v>
      </c>
      <c r="N34" s="343">
        <f t="shared" si="101"/>
        <v>690.91842638582864</v>
      </c>
      <c r="O34" s="343">
        <f t="shared" si="102"/>
        <v>1221.2335013858287</v>
      </c>
      <c r="Q34" s="374">
        <v>0.74309999999999998</v>
      </c>
      <c r="R34" s="375">
        <v>0.75749999999999995</v>
      </c>
      <c r="S34" s="374">
        <v>0.17649999999999999</v>
      </c>
      <c r="T34" s="374">
        <v>156.13419999999999</v>
      </c>
      <c r="U34" s="374">
        <v>92.495800000000003</v>
      </c>
      <c r="V34" s="351">
        <f t="shared" si="33"/>
        <v>475.13813999999996</v>
      </c>
      <c r="W34" s="351">
        <f t="shared" si="34"/>
        <v>910.04534999999998</v>
      </c>
      <c r="X34" s="352">
        <f t="shared" si="35"/>
        <v>35.367069999999998</v>
      </c>
      <c r="Y34" s="352">
        <f t="shared" si="103"/>
        <v>23.235649160548761</v>
      </c>
      <c r="Z34" s="353">
        <f t="shared" si="104"/>
        <v>498.37378916054871</v>
      </c>
      <c r="AA34" s="353">
        <f t="shared" si="105"/>
        <v>897.91392916054872</v>
      </c>
      <c r="AB34" s="343">
        <f t="shared" si="106"/>
        <v>492.13720302737954</v>
      </c>
      <c r="AC34" s="343">
        <f t="shared" si="107"/>
        <v>891.67734302737961</v>
      </c>
      <c r="AE34" s="374">
        <v>0.61009999999999998</v>
      </c>
      <c r="AF34" s="375">
        <v>0.55130000000000001</v>
      </c>
      <c r="AG34" s="374">
        <v>0.66830000000000001</v>
      </c>
      <c r="AH34" s="374">
        <v>12</v>
      </c>
      <c r="AI34" s="374">
        <v>10.833299999999999</v>
      </c>
      <c r="AJ34" s="351">
        <f t="shared" si="36"/>
        <v>261.47665799999999</v>
      </c>
      <c r="AK34" s="351">
        <f t="shared" si="37"/>
        <v>548.09143399999994</v>
      </c>
      <c r="AL34" s="352">
        <f t="shared" si="38"/>
        <v>119.886337</v>
      </c>
      <c r="AM34" s="352">
        <f t="shared" si="108"/>
        <v>81.165099035717986</v>
      </c>
      <c r="AN34" s="353">
        <f t="shared" si="109"/>
        <v>342.641757035718</v>
      </c>
      <c r="AO34" s="353">
        <f t="shared" si="110"/>
        <v>509.37019603571787</v>
      </c>
      <c r="AP34" s="343">
        <f t="shared" si="111"/>
        <v>276.49031944859092</v>
      </c>
      <c r="AQ34" s="343">
        <f t="shared" si="112"/>
        <v>443.21875844859085</v>
      </c>
      <c r="AS34" s="374">
        <v>1.3452999999999999</v>
      </c>
      <c r="AT34" s="375">
        <v>0.94730000000000003</v>
      </c>
      <c r="AU34" s="374">
        <v>0.26800000000000002</v>
      </c>
      <c r="AV34" s="374">
        <v>972.90499999999997</v>
      </c>
      <c r="AW34" s="374">
        <v>623.63080000000002</v>
      </c>
      <c r="AX34" s="351">
        <f t="shared" si="39"/>
        <v>458.30335100000002</v>
      </c>
      <c r="AY34" s="351">
        <f t="shared" si="40"/>
        <v>647.11957600000005</v>
      </c>
      <c r="AZ34" s="352">
        <f t="shared" si="41"/>
        <v>65.035560000000004</v>
      </c>
      <c r="BA34" s="352">
        <f t="shared" si="113"/>
        <v>38.072110668392682</v>
      </c>
      <c r="BB34" s="353">
        <f t="shared" si="114"/>
        <v>496.37546166839269</v>
      </c>
      <c r="BC34" s="353">
        <f t="shared" si="115"/>
        <v>620.15612666839274</v>
      </c>
      <c r="BD34" s="343">
        <f t="shared" si="116"/>
        <v>476.81785379521472</v>
      </c>
      <c r="BE34" s="343">
        <f t="shared" si="117"/>
        <v>600.59851879521477</v>
      </c>
      <c r="BG34" s="374">
        <v>0.99009999999999998</v>
      </c>
      <c r="BH34" s="375">
        <v>0.90100000000000002</v>
      </c>
      <c r="BI34" s="374">
        <v>0.49530000000000002</v>
      </c>
      <c r="BJ34" s="374">
        <v>471.94170000000003</v>
      </c>
      <c r="BK34" s="374">
        <v>227.42750000000001</v>
      </c>
      <c r="BL34" s="351">
        <f t="shared" si="42"/>
        <v>331.45577699999996</v>
      </c>
      <c r="BM34" s="351">
        <f t="shared" si="43"/>
        <v>527.91391999999996</v>
      </c>
      <c r="BN34" s="352">
        <f t="shared" si="44"/>
        <v>101.71976100000001</v>
      </c>
      <c r="BO34" s="352">
        <f t="shared" si="118"/>
        <v>62.486817906697873</v>
      </c>
      <c r="BP34" s="353">
        <f t="shared" si="119"/>
        <v>393.94259490669782</v>
      </c>
      <c r="BQ34" s="353">
        <f t="shared" si="120"/>
        <v>488.68097690669782</v>
      </c>
      <c r="BR34" s="343">
        <f t="shared" si="121"/>
        <v>349.99232872740691</v>
      </c>
      <c r="BS34" s="343">
        <f t="shared" si="122"/>
        <v>444.73071072740692</v>
      </c>
      <c r="BU34" s="374">
        <v>1.0236000000000001</v>
      </c>
      <c r="BV34" s="375">
        <v>1.046</v>
      </c>
      <c r="BW34" s="374">
        <v>0.94910000000000005</v>
      </c>
      <c r="BX34" s="374">
        <v>782.39580000000001</v>
      </c>
      <c r="BY34" s="374">
        <v>411.88249999999999</v>
      </c>
      <c r="BZ34" s="351">
        <f t="shared" si="45"/>
        <v>237.59803200000002</v>
      </c>
      <c r="CA34" s="351">
        <f t="shared" si="46"/>
        <v>399.43602000000004</v>
      </c>
      <c r="CB34" s="352">
        <f t="shared" si="47"/>
        <v>94.14122900000001</v>
      </c>
      <c r="CC34" s="352">
        <f t="shared" si="123"/>
        <v>59.028866214625189</v>
      </c>
      <c r="CD34" s="353">
        <f t="shared" si="124"/>
        <v>296.62689821462521</v>
      </c>
      <c r="CE34" s="353">
        <f t="shared" si="125"/>
        <v>364.3236572146252</v>
      </c>
      <c r="CF34" s="343">
        <f t="shared" si="126"/>
        <v>250.35840519932316</v>
      </c>
      <c r="CG34" s="343">
        <f t="shared" si="127"/>
        <v>318.0551641993232</v>
      </c>
      <c r="CI34" s="374">
        <v>0.68630000000000002</v>
      </c>
      <c r="CJ34" s="375">
        <v>0.65569999999999995</v>
      </c>
      <c r="CK34" s="374">
        <v>0.31819999999999998</v>
      </c>
      <c r="CL34" s="374">
        <v>2807.1592000000001</v>
      </c>
      <c r="CM34" s="374">
        <v>1775.3992000000001</v>
      </c>
      <c r="CN34" s="351">
        <f t="shared" si="48"/>
        <v>145.85933900000001</v>
      </c>
      <c r="CO34" s="351">
        <f t="shared" si="49"/>
        <v>180.61256499999999</v>
      </c>
      <c r="CP34" s="352">
        <f t="shared" si="50"/>
        <v>0.12728</v>
      </c>
      <c r="CQ34" s="352">
        <f t="shared" si="128"/>
        <v>7.0414534885060123E-2</v>
      </c>
      <c r="CR34" s="353">
        <f t="shared" si="129"/>
        <v>145.92975353488507</v>
      </c>
      <c r="CS34" s="353">
        <f t="shared" si="130"/>
        <v>180.55569953488504</v>
      </c>
      <c r="CT34" s="343">
        <f t="shared" si="131"/>
        <v>145.89519205669731</v>
      </c>
      <c r="CU34" s="343">
        <f t="shared" si="132"/>
        <v>180.52113805669728</v>
      </c>
      <c r="CW34" s="374">
        <v>0.2868</v>
      </c>
      <c r="CX34" s="375">
        <v>0.31080000000000002</v>
      </c>
      <c r="CY34" s="374">
        <v>0.41549999999999998</v>
      </c>
      <c r="CZ34" s="374">
        <v>1110.4942000000001</v>
      </c>
      <c r="DA34" s="374">
        <v>637.36580000000004</v>
      </c>
      <c r="DB34" s="351">
        <f t="shared" si="51"/>
        <v>64.309163999999996</v>
      </c>
      <c r="DC34" s="351">
        <f t="shared" si="52"/>
        <v>96.577992000000009</v>
      </c>
      <c r="DD34" s="352">
        <f t="shared" si="53"/>
        <v>0.103875</v>
      </c>
      <c r="DE34" s="352">
        <f t="shared" si="133"/>
        <v>6.2354504662883094E-2</v>
      </c>
      <c r="DF34" s="353">
        <f t="shared" si="134"/>
        <v>64.371518504662873</v>
      </c>
      <c r="DG34" s="353">
        <f t="shared" si="135"/>
        <v>96.536471504662885</v>
      </c>
      <c r="DH34" s="343">
        <f t="shared" si="136"/>
        <v>64.330904072628115</v>
      </c>
      <c r="DI34" s="343">
        <f t="shared" si="137"/>
        <v>96.495857072628127</v>
      </c>
      <c r="DK34" s="374">
        <v>0.27960000000000002</v>
      </c>
      <c r="DL34" s="375">
        <v>0.33500000000000002</v>
      </c>
      <c r="DM34" s="374">
        <v>0.33129999999999998</v>
      </c>
      <c r="DN34" s="374">
        <v>531.98670000000004</v>
      </c>
      <c r="DO34" s="374">
        <v>350.07499999999999</v>
      </c>
      <c r="DP34" s="351">
        <f t="shared" si="54"/>
        <v>36.842892000000006</v>
      </c>
      <c r="DQ34" s="351">
        <f t="shared" si="55"/>
        <v>65.948100000000011</v>
      </c>
      <c r="DR34" s="352">
        <f t="shared" si="56"/>
        <v>6.2947000000000003E-2</v>
      </c>
      <c r="DS34" s="352">
        <f t="shared" si="138"/>
        <v>4.038520272963219E-2</v>
      </c>
      <c r="DT34" s="353">
        <f t="shared" si="139"/>
        <v>36.883277202729637</v>
      </c>
      <c r="DU34" s="353">
        <f t="shared" si="140"/>
        <v>65.925538202729655</v>
      </c>
      <c r="DV34" s="343">
        <f t="shared" si="141"/>
        <v>36.866132875792843</v>
      </c>
      <c r="DW34" s="343">
        <f t="shared" si="142"/>
        <v>65.908393875792854</v>
      </c>
      <c r="EB34" s="326"/>
      <c r="EC34" s="326"/>
      <c r="ED34" s="326"/>
      <c r="EE34" s="348">
        <f t="shared" si="143"/>
        <v>5736.5851000000002</v>
      </c>
      <c r="EF34" s="348">
        <f t="shared" si="144"/>
        <v>3932.9733000000001</v>
      </c>
      <c r="EG34" s="348">
        <f t="shared" si="145"/>
        <v>1321.8958812000001</v>
      </c>
      <c r="EH34" s="348">
        <f t="shared" si="146"/>
        <v>2212.7728296</v>
      </c>
      <c r="EI34" s="354">
        <f t="shared" si="57"/>
        <v>0.59326236656267572</v>
      </c>
      <c r="EJ34" s="326"/>
      <c r="EK34" s="348">
        <f t="shared" si="147"/>
        <v>1417.2895290981337</v>
      </c>
      <c r="EL34" s="348">
        <f t="shared" si="148"/>
        <v>2131.7431774981342</v>
      </c>
      <c r="EM34" s="348">
        <f t="shared" si="58"/>
        <v>1365.0961954958434</v>
      </c>
      <c r="EN34" s="348">
        <f t="shared" si="149"/>
        <v>2079.549843895843</v>
      </c>
      <c r="EP34" s="326"/>
      <c r="EQ34" s="326"/>
      <c r="ER34" s="326"/>
      <c r="ES34" s="348">
        <f t="shared" si="59"/>
        <v>4545.7293</v>
      </c>
      <c r="ET34" s="348">
        <f t="shared" si="60"/>
        <v>2732.6883000000003</v>
      </c>
      <c r="EU34" s="348">
        <f t="shared" si="61"/>
        <v>997.4696707999999</v>
      </c>
      <c r="EV34" s="348">
        <f t="shared" si="62"/>
        <v>1686.1764293999997</v>
      </c>
      <c r="EW34" s="354">
        <f t="shared" si="63"/>
        <v>0.6245491190282898</v>
      </c>
      <c r="EX34" s="326"/>
      <c r="EY34" s="348">
        <f t="shared" si="64"/>
        <v>1083.3062005553954</v>
      </c>
      <c r="EZ34" s="348">
        <f t="shared" si="65"/>
        <v>1634.7261356553954</v>
      </c>
      <c r="FA34" s="348">
        <f t="shared" si="66"/>
        <v>1033.0563566623234</v>
      </c>
      <c r="FB34" s="348">
        <f t="shared" si="67"/>
        <v>1584.4762917623236</v>
      </c>
      <c r="FD34" s="326"/>
      <c r="FE34" s="326"/>
      <c r="FF34" s="326"/>
      <c r="FG34" s="348">
        <f t="shared" si="68"/>
        <v>4133.5417000000007</v>
      </c>
      <c r="FH34" s="348">
        <f t="shared" si="69"/>
        <v>2548.19</v>
      </c>
      <c r="FI34" s="348">
        <f t="shared" si="70"/>
        <v>667.03976420000004</v>
      </c>
      <c r="FJ34" s="348">
        <f t="shared" si="71"/>
        <v>1167.708879</v>
      </c>
      <c r="FK34" s="354">
        <f t="shared" si="72"/>
        <v>0.61863329531773936</v>
      </c>
      <c r="FL34" s="326"/>
      <c r="FM34" s="348">
        <f t="shared" si="73"/>
        <v>807.32837510686613</v>
      </c>
      <c r="FN34" s="348">
        <f t="shared" si="74"/>
        <v>1093.8048757068659</v>
      </c>
      <c r="FO34" s="348">
        <f t="shared" si="75"/>
        <v>694.86359643008711</v>
      </c>
      <c r="FP34" s="348">
        <f t="shared" si="76"/>
        <v>981.34009703008712</v>
      </c>
      <c r="FR34" s="326"/>
      <c r="FS34" s="326"/>
      <c r="FT34" s="326"/>
      <c r="FU34" s="348">
        <f t="shared" si="77"/>
        <v>3917.6534000000001</v>
      </c>
      <c r="FV34" s="348">
        <f t="shared" si="78"/>
        <v>2412.7650000000003</v>
      </c>
      <c r="FW34" s="348">
        <f t="shared" si="79"/>
        <v>197.30667020000001</v>
      </c>
      <c r="FX34" s="348">
        <f t="shared" si="80"/>
        <v>257.87495860000001</v>
      </c>
      <c r="FY34" s="354">
        <f t="shared" si="81"/>
        <v>0.61886168535084507</v>
      </c>
      <c r="FZ34" s="326"/>
      <c r="GA34" s="348">
        <f t="shared" si="82"/>
        <v>197.42696833861538</v>
      </c>
      <c r="GB34" s="348">
        <f t="shared" si="83"/>
        <v>257.78487673861537</v>
      </c>
      <c r="GC34" s="348">
        <f t="shared" si="84"/>
        <v>197.35991531479982</v>
      </c>
      <c r="GD34" s="348">
        <f t="shared" si="85"/>
        <v>257.71782371479981</v>
      </c>
      <c r="GF34" s="326"/>
      <c r="GG34" s="326"/>
      <c r="GH34" s="326"/>
      <c r="GI34" s="348">
        <f t="shared" si="86"/>
        <v>1755.3008</v>
      </c>
      <c r="GJ34" s="348">
        <f t="shared" si="87"/>
        <v>1035.5133000000001</v>
      </c>
      <c r="GK34" s="349">
        <f t="shared" si="88"/>
        <v>165.52898925</v>
      </c>
      <c r="GL34" s="349">
        <f t="shared" si="89"/>
        <v>185.76266700000002</v>
      </c>
      <c r="GM34" s="354">
        <f t="shared" si="90"/>
        <v>0.62895654712365112</v>
      </c>
      <c r="GN34" s="326"/>
      <c r="GO34" s="349">
        <f t="shared" si="91"/>
        <v>149.81142259032561</v>
      </c>
      <c r="GP34" s="349">
        <f t="shared" si="92"/>
        <v>191.87435209032566</v>
      </c>
      <c r="GQ34" s="349">
        <f t="shared" si="93"/>
        <v>169.84458644691867</v>
      </c>
      <c r="GR34" s="349">
        <f t="shared" si="94"/>
        <v>211.90751594691869</v>
      </c>
      <c r="HA34" s="374"/>
      <c r="HB34" s="375"/>
      <c r="HC34" s="374"/>
      <c r="HD34" s="374"/>
      <c r="HE34" s="374"/>
      <c r="HF34" s="351">
        <f t="shared" si="95"/>
        <v>0</v>
      </c>
      <c r="HG34" s="351">
        <f t="shared" si="96"/>
        <v>0</v>
      </c>
      <c r="HH34" s="352">
        <f t="shared" si="97"/>
        <v>0</v>
      </c>
      <c r="HI34" s="352">
        <f t="shared" si="150"/>
        <v>0</v>
      </c>
      <c r="HJ34" s="353">
        <f t="shared" si="151"/>
        <v>0</v>
      </c>
      <c r="HK34" s="353">
        <f t="shared" si="152"/>
        <v>0</v>
      </c>
    </row>
    <row r="35" spans="1:219" x14ac:dyDescent="0.2">
      <c r="A35" s="320">
        <v>25</v>
      </c>
      <c r="C35" s="350">
        <v>0.67430000000000001</v>
      </c>
      <c r="D35" s="350">
        <v>0.73</v>
      </c>
      <c r="E35" s="350">
        <v>0.82040000000000002</v>
      </c>
      <c r="F35" s="350">
        <v>1137.0350000000001</v>
      </c>
      <c r="G35" s="350">
        <v>907.67330000000004</v>
      </c>
      <c r="H35" s="351">
        <f t="shared" si="30"/>
        <v>658.18423000000007</v>
      </c>
      <c r="I35" s="351">
        <f t="shared" si="31"/>
        <v>1353.1937</v>
      </c>
      <c r="J35" s="352">
        <f t="shared" si="32"/>
        <v>140.75602799999999</v>
      </c>
      <c r="K35" s="352">
        <f t="shared" si="98"/>
        <v>62.483479149398661</v>
      </c>
      <c r="L35" s="353">
        <f t="shared" si="99"/>
        <v>720.66770914939877</v>
      </c>
      <c r="M35" s="353">
        <f t="shared" si="100"/>
        <v>1274.9211511493986</v>
      </c>
      <c r="N35" s="343">
        <f t="shared" si="101"/>
        <v>682.81679638582875</v>
      </c>
      <c r="O35" s="343">
        <f t="shared" si="102"/>
        <v>1237.0702383858286</v>
      </c>
      <c r="Q35" s="374">
        <v>0.70840000000000003</v>
      </c>
      <c r="R35" s="375">
        <v>0.78049999999999997</v>
      </c>
      <c r="S35" s="374">
        <v>0.2989</v>
      </c>
      <c r="T35" s="374">
        <v>196.74170000000001</v>
      </c>
      <c r="U35" s="374">
        <v>142.655</v>
      </c>
      <c r="V35" s="351">
        <f t="shared" si="33"/>
        <v>452.95096000000001</v>
      </c>
      <c r="W35" s="351">
        <f t="shared" si="34"/>
        <v>937.67709000000002</v>
      </c>
      <c r="X35" s="352">
        <f t="shared" si="35"/>
        <v>59.893581999999995</v>
      </c>
      <c r="Y35" s="352">
        <f t="shared" si="103"/>
        <v>40.385234340294211</v>
      </c>
      <c r="Z35" s="353">
        <f t="shared" si="104"/>
        <v>493.33619434029424</v>
      </c>
      <c r="AA35" s="353">
        <f t="shared" si="105"/>
        <v>918.16874234029422</v>
      </c>
      <c r="AB35" s="343">
        <f t="shared" si="106"/>
        <v>469.95002302737959</v>
      </c>
      <c r="AC35" s="343">
        <f t="shared" si="107"/>
        <v>894.78257102737962</v>
      </c>
      <c r="AE35" s="374">
        <v>0.60019999999999996</v>
      </c>
      <c r="AF35" s="375">
        <v>0.59160000000000001</v>
      </c>
      <c r="AG35" s="374">
        <v>0.80520000000000003</v>
      </c>
      <c r="AH35" s="374">
        <v>20.506699999999999</v>
      </c>
      <c r="AI35" s="374">
        <v>12.333299999999999</v>
      </c>
      <c r="AJ35" s="351">
        <f t="shared" si="36"/>
        <v>257.23371599999996</v>
      </c>
      <c r="AK35" s="351">
        <f t="shared" si="37"/>
        <v>588.15688799999998</v>
      </c>
      <c r="AL35" s="352">
        <f t="shared" si="38"/>
        <v>144.444828</v>
      </c>
      <c r="AM35" s="352">
        <f t="shared" si="108"/>
        <v>100.49345252029235</v>
      </c>
      <c r="AN35" s="353">
        <f t="shared" si="109"/>
        <v>357.72716852029231</v>
      </c>
      <c r="AO35" s="353">
        <f t="shared" si="110"/>
        <v>544.20551252029236</v>
      </c>
      <c r="AP35" s="343">
        <f t="shared" si="111"/>
        <v>272.2473774485909</v>
      </c>
      <c r="AQ35" s="343">
        <f t="shared" si="112"/>
        <v>458.72572144859089</v>
      </c>
      <c r="AS35" s="374">
        <v>1.3190999999999999</v>
      </c>
      <c r="AT35" s="375">
        <v>0.99339999999999995</v>
      </c>
      <c r="AU35" s="374">
        <v>0.39079999999999998</v>
      </c>
      <c r="AV35" s="374">
        <v>1133.4833000000001</v>
      </c>
      <c r="AW35" s="374">
        <v>844.22329999999999</v>
      </c>
      <c r="AX35" s="351">
        <f t="shared" si="39"/>
        <v>449.37779699999999</v>
      </c>
      <c r="AY35" s="351">
        <f t="shared" si="40"/>
        <v>678.61140799999998</v>
      </c>
      <c r="AZ35" s="352">
        <f t="shared" si="41"/>
        <v>94.835435999999987</v>
      </c>
      <c r="BA35" s="352">
        <f t="shared" si="113"/>
        <v>57.054099868140035</v>
      </c>
      <c r="BB35" s="353">
        <f t="shared" si="114"/>
        <v>506.43189686814003</v>
      </c>
      <c r="BC35" s="353">
        <f t="shared" si="115"/>
        <v>640.83007186814007</v>
      </c>
      <c r="BD35" s="343">
        <f t="shared" si="116"/>
        <v>467.89229979521468</v>
      </c>
      <c r="BE35" s="343">
        <f t="shared" si="117"/>
        <v>602.29047479521478</v>
      </c>
      <c r="BG35" s="374">
        <v>0.97430000000000005</v>
      </c>
      <c r="BH35" s="375">
        <v>0.95220000000000005</v>
      </c>
      <c r="BI35" s="374">
        <v>0.67049999999999998</v>
      </c>
      <c r="BJ35" s="374">
        <v>609.10170000000005</v>
      </c>
      <c r="BK35" s="374">
        <v>318.75580000000002</v>
      </c>
      <c r="BL35" s="351">
        <f t="shared" si="42"/>
        <v>326.16641099999998</v>
      </c>
      <c r="BM35" s="351">
        <f t="shared" si="43"/>
        <v>557.91302399999995</v>
      </c>
      <c r="BN35" s="352">
        <f t="shared" si="44"/>
        <v>137.70058499999999</v>
      </c>
      <c r="BO35" s="352">
        <f t="shared" si="118"/>
        <v>86.898243237519765</v>
      </c>
      <c r="BP35" s="353">
        <f t="shared" si="119"/>
        <v>413.06465423751973</v>
      </c>
      <c r="BQ35" s="353">
        <f t="shared" si="120"/>
        <v>507.11068223751971</v>
      </c>
      <c r="BR35" s="343">
        <f t="shared" si="121"/>
        <v>344.70296272740694</v>
      </c>
      <c r="BS35" s="343">
        <f t="shared" si="122"/>
        <v>438.74899072740692</v>
      </c>
      <c r="BU35" s="374">
        <v>1.0075000000000001</v>
      </c>
      <c r="BV35" s="375">
        <v>1.0673999999999999</v>
      </c>
      <c r="BW35" s="374">
        <v>1.2074</v>
      </c>
      <c r="BX35" s="374">
        <v>1171.8992000000001</v>
      </c>
      <c r="BY35" s="374">
        <v>548.22249999999997</v>
      </c>
      <c r="BZ35" s="351">
        <f t="shared" si="45"/>
        <v>233.86090000000002</v>
      </c>
      <c r="CA35" s="351">
        <f t="shared" si="46"/>
        <v>407.60803799999996</v>
      </c>
      <c r="CB35" s="352">
        <f t="shared" si="47"/>
        <v>119.762006</v>
      </c>
      <c r="CC35" s="352">
        <f t="shared" si="123"/>
        <v>76.100265189464608</v>
      </c>
      <c r="CD35" s="353">
        <f t="shared" si="124"/>
        <v>309.96116518946462</v>
      </c>
      <c r="CE35" s="353">
        <f t="shared" si="125"/>
        <v>363.94629718946459</v>
      </c>
      <c r="CF35" s="343">
        <f t="shared" si="126"/>
        <v>246.62127319932316</v>
      </c>
      <c r="CG35" s="343">
        <f t="shared" si="127"/>
        <v>300.60640519932315</v>
      </c>
      <c r="CI35" s="374">
        <v>0.68330000000000002</v>
      </c>
      <c r="CJ35" s="375">
        <v>0.64700000000000002</v>
      </c>
      <c r="CK35" s="374">
        <v>0.4365</v>
      </c>
      <c r="CL35" s="374">
        <v>3596.3225000000002</v>
      </c>
      <c r="CM35" s="374">
        <v>2285.3582999999999</v>
      </c>
      <c r="CN35" s="351">
        <f t="shared" si="48"/>
        <v>145.22174900000002</v>
      </c>
      <c r="CO35" s="351">
        <f t="shared" si="49"/>
        <v>178.21615</v>
      </c>
      <c r="CP35" s="352">
        <f t="shared" si="50"/>
        <v>0.17460000000000001</v>
      </c>
      <c r="CQ35" s="352">
        <f t="shared" si="128"/>
        <v>9.6205608205487389E-2</v>
      </c>
      <c r="CR35" s="353">
        <f t="shared" si="129"/>
        <v>145.3179546082055</v>
      </c>
      <c r="CS35" s="353">
        <f t="shared" si="130"/>
        <v>178.13775560820548</v>
      </c>
      <c r="CT35" s="343">
        <f t="shared" si="131"/>
        <v>145.25760205669732</v>
      </c>
      <c r="CU35" s="343">
        <f t="shared" si="132"/>
        <v>178.07740305669731</v>
      </c>
      <c r="CW35" s="374">
        <v>0.31069999999999998</v>
      </c>
      <c r="CX35" s="375">
        <v>0.34849999999999998</v>
      </c>
      <c r="CY35" s="374">
        <v>0.51070000000000004</v>
      </c>
      <c r="CZ35" s="374">
        <v>1313.5458000000001</v>
      </c>
      <c r="DA35" s="374">
        <v>690.64</v>
      </c>
      <c r="DB35" s="351">
        <f t="shared" si="51"/>
        <v>69.668260999999987</v>
      </c>
      <c r="DC35" s="351">
        <f t="shared" si="52"/>
        <v>108.29289</v>
      </c>
      <c r="DD35" s="352">
        <f t="shared" si="53"/>
        <v>0.12767500000000001</v>
      </c>
      <c r="DE35" s="352">
        <f t="shared" si="133"/>
        <v>7.7692769759339239E-2</v>
      </c>
      <c r="DF35" s="353">
        <f t="shared" si="134"/>
        <v>69.745953769759325</v>
      </c>
      <c r="DG35" s="353">
        <f t="shared" si="135"/>
        <v>108.24290776975934</v>
      </c>
      <c r="DH35" s="343">
        <f t="shared" si="136"/>
        <v>69.690001072628107</v>
      </c>
      <c r="DI35" s="343">
        <f t="shared" si="137"/>
        <v>108.18695507262812</v>
      </c>
      <c r="DK35" s="374">
        <v>0.31059999999999999</v>
      </c>
      <c r="DL35" s="375">
        <v>0.3619</v>
      </c>
      <c r="DM35" s="374">
        <v>0.41310000000000002</v>
      </c>
      <c r="DN35" s="374">
        <v>636.10500000000002</v>
      </c>
      <c r="DO35" s="374">
        <v>382.03500000000003</v>
      </c>
      <c r="DP35" s="351">
        <f t="shared" si="54"/>
        <v>40.927762000000001</v>
      </c>
      <c r="DQ35" s="351">
        <f t="shared" si="55"/>
        <v>71.243634</v>
      </c>
      <c r="DR35" s="352">
        <f t="shared" si="56"/>
        <v>7.8489000000000003E-2</v>
      </c>
      <c r="DS35" s="352">
        <f t="shared" si="138"/>
        <v>4.9850869191518307E-2</v>
      </c>
      <c r="DT35" s="353">
        <f t="shared" si="139"/>
        <v>40.977612869191518</v>
      </c>
      <c r="DU35" s="353">
        <f t="shared" si="140"/>
        <v>71.214995869191512</v>
      </c>
      <c r="DV35" s="343">
        <f t="shared" si="141"/>
        <v>40.951002875792838</v>
      </c>
      <c r="DW35" s="343">
        <f t="shared" si="142"/>
        <v>71.188385875792832</v>
      </c>
      <c r="EB35" s="326"/>
      <c r="EC35" s="326"/>
      <c r="ED35" s="326"/>
      <c r="EE35" s="348">
        <f t="shared" si="143"/>
        <v>7180.3865999999998</v>
      </c>
      <c r="EF35" s="348">
        <f t="shared" si="144"/>
        <v>4727.8949000000002</v>
      </c>
      <c r="EG35" s="348">
        <f t="shared" si="145"/>
        <v>1308.5183847999999</v>
      </c>
      <c r="EH35" s="348">
        <f t="shared" si="146"/>
        <v>2296.6555700000004</v>
      </c>
      <c r="EI35" s="354">
        <f t="shared" si="57"/>
        <v>0.60297420748745312</v>
      </c>
      <c r="EJ35" s="326"/>
      <c r="EK35" s="348">
        <f t="shared" si="147"/>
        <v>1428.214323641552</v>
      </c>
      <c r="EL35" s="348">
        <f t="shared" si="148"/>
        <v>2180.4833048415517</v>
      </c>
      <c r="EM35" s="348">
        <f t="shared" si="58"/>
        <v>1351.7186990958432</v>
      </c>
      <c r="EN35" s="348">
        <f t="shared" si="149"/>
        <v>2103.9876802958429</v>
      </c>
      <c r="EP35" s="326"/>
      <c r="EQ35" s="326"/>
      <c r="ER35" s="326"/>
      <c r="ES35" s="348">
        <f t="shared" si="59"/>
        <v>5715.7116999999998</v>
      </c>
      <c r="ET35" s="348">
        <f t="shared" si="60"/>
        <v>3437.4090999999999</v>
      </c>
      <c r="EU35" s="348">
        <f t="shared" si="61"/>
        <v>973.10690270000009</v>
      </c>
      <c r="EV35" s="348">
        <f t="shared" si="62"/>
        <v>1749.6112869999999</v>
      </c>
      <c r="EW35" s="354">
        <f t="shared" si="63"/>
        <v>0.62445496185301075</v>
      </c>
      <c r="EX35" s="326"/>
      <c r="EY35" s="348">
        <f t="shared" si="64"/>
        <v>1100.5409708248512</v>
      </c>
      <c r="EZ35" s="348">
        <f t="shared" si="65"/>
        <v>1679.1872156248508</v>
      </c>
      <c r="FA35" s="348">
        <f t="shared" si="66"/>
        <v>1008.6935885623235</v>
      </c>
      <c r="FB35" s="348">
        <f t="shared" si="67"/>
        <v>1587.3398333623234</v>
      </c>
      <c r="FD35" s="326"/>
      <c r="FE35" s="326"/>
      <c r="FF35" s="326"/>
      <c r="FG35" s="348">
        <f t="shared" si="68"/>
        <v>5424.8333999999995</v>
      </c>
      <c r="FH35" s="348">
        <f t="shared" si="69"/>
        <v>3227.9490999999998</v>
      </c>
      <c r="FI35" s="348">
        <f t="shared" si="70"/>
        <v>660.87302220000004</v>
      </c>
      <c r="FJ35" s="348">
        <f t="shared" si="71"/>
        <v>1216.7272564</v>
      </c>
      <c r="FK35" s="354">
        <f t="shared" si="72"/>
        <v>0.62694669604835207</v>
      </c>
      <c r="FL35" s="326"/>
      <c r="FM35" s="348">
        <f t="shared" si="73"/>
        <v>837.5928560394774</v>
      </c>
      <c r="FN35" s="348">
        <f t="shared" si="74"/>
        <v>1129.0185628394772</v>
      </c>
      <c r="FO35" s="348">
        <f t="shared" si="75"/>
        <v>688.69685443008711</v>
      </c>
      <c r="FP35" s="348">
        <f t="shared" si="76"/>
        <v>980.12256123008706</v>
      </c>
      <c r="FR35" s="326"/>
      <c r="FS35" s="326"/>
      <c r="FT35" s="326"/>
      <c r="FU35" s="348">
        <f t="shared" si="77"/>
        <v>4909.8683000000001</v>
      </c>
      <c r="FV35" s="348">
        <f t="shared" si="78"/>
        <v>2975.9982999999997</v>
      </c>
      <c r="FW35" s="348">
        <f t="shared" si="79"/>
        <v>200.95635780000001</v>
      </c>
      <c r="FX35" s="348">
        <f t="shared" si="80"/>
        <v>264.85046199999999</v>
      </c>
      <c r="FY35" s="354">
        <f t="shared" si="81"/>
        <v>0.62261620048201172</v>
      </c>
      <c r="FZ35" s="326"/>
      <c r="GA35" s="348">
        <f t="shared" si="82"/>
        <v>201.11471762401297</v>
      </c>
      <c r="GB35" s="348">
        <f t="shared" si="83"/>
        <v>264.73208182401299</v>
      </c>
      <c r="GC35" s="348">
        <f t="shared" si="84"/>
        <v>201.00960291479981</v>
      </c>
      <c r="GD35" s="348">
        <f t="shared" si="85"/>
        <v>264.62696711479981</v>
      </c>
      <c r="GF35" s="326"/>
      <c r="GG35" s="326"/>
      <c r="GH35" s="326"/>
      <c r="GI35" s="348">
        <f t="shared" si="86"/>
        <v>2305.3825000000002</v>
      </c>
      <c r="GJ35" s="348">
        <f t="shared" si="87"/>
        <v>1392.4458</v>
      </c>
      <c r="GK35" s="349">
        <f t="shared" si="88"/>
        <v>161.63767274999998</v>
      </c>
      <c r="GL35" s="349">
        <f t="shared" si="89"/>
        <v>203.25252750000001</v>
      </c>
      <c r="GM35" s="354">
        <f t="shared" si="90"/>
        <v>0.62344227826911269</v>
      </c>
      <c r="GN35" s="326"/>
      <c r="GO35" s="349">
        <f t="shared" si="91"/>
        <v>147.35304875900655</v>
      </c>
      <c r="GP35" s="349">
        <f t="shared" si="92"/>
        <v>207.6628310090066</v>
      </c>
      <c r="GQ35" s="349">
        <f t="shared" si="93"/>
        <v>165.95326994691865</v>
      </c>
      <c r="GR35" s="349">
        <f t="shared" si="94"/>
        <v>226.26305219691872</v>
      </c>
      <c r="HA35" s="374"/>
      <c r="HB35" s="375"/>
      <c r="HC35" s="374"/>
      <c r="HD35" s="374"/>
      <c r="HE35" s="374"/>
      <c r="HF35" s="351">
        <f t="shared" si="95"/>
        <v>0</v>
      </c>
      <c r="HG35" s="351">
        <f t="shared" si="96"/>
        <v>0</v>
      </c>
      <c r="HH35" s="352">
        <f t="shared" si="97"/>
        <v>0</v>
      </c>
      <c r="HI35" s="352">
        <f t="shared" si="150"/>
        <v>0</v>
      </c>
      <c r="HJ35" s="353">
        <f t="shared" si="151"/>
        <v>0</v>
      </c>
      <c r="HK35" s="353">
        <f t="shared" si="152"/>
        <v>0</v>
      </c>
    </row>
    <row r="36" spans="1:219" x14ac:dyDescent="0.2">
      <c r="A36" s="320">
        <v>26</v>
      </c>
      <c r="C36" s="350">
        <v>0.66820000000000002</v>
      </c>
      <c r="D36" s="350">
        <v>0.75480000000000003</v>
      </c>
      <c r="E36" s="350">
        <v>0.99809999999999999</v>
      </c>
      <c r="F36" s="350">
        <v>1395.5808</v>
      </c>
      <c r="G36" s="350">
        <v>1084.7</v>
      </c>
      <c r="H36" s="351">
        <f t="shared" si="30"/>
        <v>652.23002000000008</v>
      </c>
      <c r="I36" s="351">
        <f t="shared" si="31"/>
        <v>1399.1652120000001</v>
      </c>
      <c r="J36" s="352">
        <f t="shared" si="32"/>
        <v>171.24401699999999</v>
      </c>
      <c r="K36" s="352">
        <f t="shared" si="98"/>
        <v>74.890062947671083</v>
      </c>
      <c r="L36" s="353">
        <f t="shared" si="99"/>
        <v>727.12008294767111</v>
      </c>
      <c r="M36" s="353">
        <f t="shared" si="100"/>
        <v>1302.8112579476713</v>
      </c>
      <c r="N36" s="343">
        <f t="shared" si="101"/>
        <v>676.86258638582876</v>
      </c>
      <c r="O36" s="343">
        <f t="shared" si="102"/>
        <v>1252.5537613858287</v>
      </c>
      <c r="Q36" s="374">
        <v>0.67620000000000002</v>
      </c>
      <c r="R36" s="375">
        <v>0.8044</v>
      </c>
      <c r="S36" s="374">
        <v>0.51100000000000001</v>
      </c>
      <c r="T36" s="374">
        <v>233.08080000000001</v>
      </c>
      <c r="U36" s="374">
        <v>147.46</v>
      </c>
      <c r="V36" s="351">
        <f t="shared" si="33"/>
        <v>432.36228</v>
      </c>
      <c r="W36" s="351">
        <f t="shared" si="34"/>
        <v>966.39007200000015</v>
      </c>
      <c r="X36" s="352">
        <f t="shared" si="35"/>
        <v>102.39418000000001</v>
      </c>
      <c r="Y36" s="352">
        <f t="shared" si="103"/>
        <v>70.743558601416353</v>
      </c>
      <c r="Z36" s="353">
        <f t="shared" si="104"/>
        <v>503.10583860141634</v>
      </c>
      <c r="AA36" s="353">
        <f t="shared" si="105"/>
        <v>934.73945060141648</v>
      </c>
      <c r="AB36" s="343">
        <f t="shared" si="106"/>
        <v>449.36134302737958</v>
      </c>
      <c r="AC36" s="343">
        <f t="shared" si="107"/>
        <v>880.99495502737977</v>
      </c>
      <c r="AE36" s="374">
        <v>0.59189999999999998</v>
      </c>
      <c r="AF36" s="375">
        <v>0.63149999999999995</v>
      </c>
      <c r="AG36" s="374">
        <v>0.95199999999999996</v>
      </c>
      <c r="AH36" s="374">
        <v>15.083299999999999</v>
      </c>
      <c r="AI36" s="374">
        <v>8.5</v>
      </c>
      <c r="AJ36" s="351">
        <f t="shared" si="36"/>
        <v>253.67650199999997</v>
      </c>
      <c r="AK36" s="351">
        <f t="shared" si="37"/>
        <v>627.82466999999997</v>
      </c>
      <c r="AL36" s="352">
        <f t="shared" si="38"/>
        <v>170.77927999999997</v>
      </c>
      <c r="AM36" s="352">
        <f t="shared" si="108"/>
        <v>121.63278792423158</v>
      </c>
      <c r="AN36" s="353">
        <f t="shared" si="109"/>
        <v>375.30928992423156</v>
      </c>
      <c r="AO36" s="353">
        <f t="shared" si="110"/>
        <v>578.67817792423159</v>
      </c>
      <c r="AP36" s="343">
        <f t="shared" si="111"/>
        <v>268.69016344859091</v>
      </c>
      <c r="AQ36" s="343">
        <f t="shared" si="112"/>
        <v>472.05905144859094</v>
      </c>
      <c r="AS36" s="374">
        <v>1.2725</v>
      </c>
      <c r="AT36" s="375">
        <v>1.0386</v>
      </c>
      <c r="AU36" s="374">
        <v>0.55459999999999998</v>
      </c>
      <c r="AV36" s="374">
        <v>1292.3892000000001</v>
      </c>
      <c r="AW36" s="374">
        <v>680.51829999999995</v>
      </c>
      <c r="AX36" s="351">
        <f t="shared" si="39"/>
        <v>433.50257500000004</v>
      </c>
      <c r="AY36" s="351">
        <f t="shared" si="40"/>
        <v>709.48843199999999</v>
      </c>
      <c r="AZ36" s="352">
        <f t="shared" si="41"/>
        <v>134.58478199999999</v>
      </c>
      <c r="BA36" s="352">
        <f t="shared" si="113"/>
        <v>83.5407674841328</v>
      </c>
      <c r="BB36" s="353">
        <f t="shared" si="114"/>
        <v>517.04334248413284</v>
      </c>
      <c r="BC36" s="353">
        <f t="shared" si="115"/>
        <v>658.44441748413283</v>
      </c>
      <c r="BD36" s="343">
        <f t="shared" si="116"/>
        <v>452.01707779521473</v>
      </c>
      <c r="BE36" s="343">
        <f t="shared" si="117"/>
        <v>593.41815279521472</v>
      </c>
      <c r="BG36" s="374">
        <v>0.95079999999999998</v>
      </c>
      <c r="BH36" s="375">
        <v>1.0043</v>
      </c>
      <c r="BI36" s="374">
        <v>0.87350000000000005</v>
      </c>
      <c r="BJ36" s="374">
        <v>809.86170000000004</v>
      </c>
      <c r="BK36" s="374">
        <v>305.36329999999998</v>
      </c>
      <c r="BL36" s="351">
        <f t="shared" si="42"/>
        <v>318.29931599999998</v>
      </c>
      <c r="BM36" s="351">
        <f t="shared" si="43"/>
        <v>588.43945599999995</v>
      </c>
      <c r="BN36" s="352">
        <f t="shared" si="44"/>
        <v>179.39069500000002</v>
      </c>
      <c r="BO36" s="352">
        <f t="shared" si="118"/>
        <v>116.41783304846034</v>
      </c>
      <c r="BP36" s="353">
        <f t="shared" si="119"/>
        <v>434.71714904846033</v>
      </c>
      <c r="BQ36" s="353">
        <f t="shared" si="120"/>
        <v>525.46659404846025</v>
      </c>
      <c r="BR36" s="343">
        <f t="shared" si="121"/>
        <v>336.83586772740694</v>
      </c>
      <c r="BS36" s="343">
        <f t="shared" si="122"/>
        <v>427.58531272740686</v>
      </c>
      <c r="BU36" s="374">
        <v>0.98650000000000004</v>
      </c>
      <c r="BV36" s="375">
        <v>1.0902000000000001</v>
      </c>
      <c r="BW36" s="374">
        <v>1.4795</v>
      </c>
      <c r="BX36" s="374">
        <v>1596.665</v>
      </c>
      <c r="BY36" s="374">
        <v>665.27499999999998</v>
      </c>
      <c r="BZ36" s="351">
        <f t="shared" si="45"/>
        <v>228.98638000000003</v>
      </c>
      <c r="CA36" s="351">
        <f t="shared" si="46"/>
        <v>416.31467400000002</v>
      </c>
      <c r="CB36" s="352">
        <f t="shared" si="47"/>
        <v>146.75160500000001</v>
      </c>
      <c r="CC36" s="352">
        <f t="shared" si="123"/>
        <v>94.67650210060215</v>
      </c>
      <c r="CD36" s="353">
        <f t="shared" si="124"/>
        <v>323.66288210060219</v>
      </c>
      <c r="CE36" s="353">
        <f t="shared" si="125"/>
        <v>364.23957110060218</v>
      </c>
      <c r="CF36" s="343">
        <f t="shared" si="126"/>
        <v>241.74675319932317</v>
      </c>
      <c r="CG36" s="343">
        <f t="shared" si="127"/>
        <v>282.32344219932321</v>
      </c>
      <c r="CI36" s="374">
        <v>0.69099999999999995</v>
      </c>
      <c r="CJ36" s="375">
        <v>0.6502</v>
      </c>
      <c r="CK36" s="374">
        <v>0.5847</v>
      </c>
      <c r="CL36" s="374">
        <v>4364.6432999999997</v>
      </c>
      <c r="CM36" s="374">
        <v>2255.5342000000001</v>
      </c>
      <c r="CN36" s="351">
        <f t="shared" si="48"/>
        <v>146.85822999999999</v>
      </c>
      <c r="CO36" s="351">
        <f t="shared" si="49"/>
        <v>179.09759</v>
      </c>
      <c r="CP36" s="352">
        <f t="shared" si="50"/>
        <v>0.23388</v>
      </c>
      <c r="CQ36" s="352">
        <f t="shared" si="128"/>
        <v>0.1285062016969048</v>
      </c>
      <c r="CR36" s="353">
        <f t="shared" si="129"/>
        <v>146.98673620169689</v>
      </c>
      <c r="CS36" s="353">
        <f t="shared" si="130"/>
        <v>178.99221620169689</v>
      </c>
      <c r="CT36" s="343">
        <f t="shared" si="131"/>
        <v>146.8940830566973</v>
      </c>
      <c r="CU36" s="343">
        <f t="shared" si="132"/>
        <v>178.8995630566973</v>
      </c>
      <c r="CW36" s="374">
        <v>0.34279999999999999</v>
      </c>
      <c r="CX36" s="375">
        <v>0.38690000000000002</v>
      </c>
      <c r="CY36" s="374">
        <v>0.61560000000000004</v>
      </c>
      <c r="CZ36" s="374">
        <v>1615.9432999999999</v>
      </c>
      <c r="DA36" s="374">
        <v>639.85419999999999</v>
      </c>
      <c r="DB36" s="351">
        <f t="shared" si="51"/>
        <v>76.866043999999988</v>
      </c>
      <c r="DC36" s="351">
        <f t="shared" si="52"/>
        <v>120.225306</v>
      </c>
      <c r="DD36" s="352">
        <f t="shared" si="53"/>
        <v>0.15390000000000001</v>
      </c>
      <c r="DE36" s="352">
        <f t="shared" si="133"/>
        <v>9.3878673992542058E-2</v>
      </c>
      <c r="DF36" s="353">
        <f t="shared" si="134"/>
        <v>76.959922673992537</v>
      </c>
      <c r="DG36" s="353">
        <f t="shared" si="135"/>
        <v>120.16528467399256</v>
      </c>
      <c r="DH36" s="343">
        <f t="shared" si="136"/>
        <v>76.887784072628108</v>
      </c>
      <c r="DI36" s="343">
        <f t="shared" si="137"/>
        <v>120.09314607262813</v>
      </c>
      <c r="DK36" s="374">
        <v>0.34720000000000001</v>
      </c>
      <c r="DL36" s="375">
        <v>0.39050000000000001</v>
      </c>
      <c r="DM36" s="374">
        <v>0.50370000000000004</v>
      </c>
      <c r="DN36" s="374">
        <v>866.40750000000003</v>
      </c>
      <c r="DO36" s="374">
        <v>468.89670000000001</v>
      </c>
      <c r="DP36" s="351">
        <f t="shared" si="54"/>
        <v>45.750544000000005</v>
      </c>
      <c r="DQ36" s="351">
        <f t="shared" si="55"/>
        <v>76.873830000000012</v>
      </c>
      <c r="DR36" s="352">
        <f t="shared" si="56"/>
        <v>9.570300000000001E-2</v>
      </c>
      <c r="DS36" s="352">
        <f t="shared" si="138"/>
        <v>5.9996686731220342E-2</v>
      </c>
      <c r="DT36" s="353">
        <f t="shared" si="139"/>
        <v>45.810540686731223</v>
      </c>
      <c r="DU36" s="353">
        <f t="shared" si="140"/>
        <v>76.838123686731237</v>
      </c>
      <c r="DV36" s="343">
        <f t="shared" si="141"/>
        <v>45.773784875792842</v>
      </c>
      <c r="DW36" s="343">
        <f t="shared" si="142"/>
        <v>76.801367875792849</v>
      </c>
      <c r="EB36" s="326"/>
      <c r="EC36" s="326"/>
      <c r="ED36" s="326"/>
      <c r="EE36" s="348">
        <f t="shared" si="143"/>
        <v>8668.5565999999999</v>
      </c>
      <c r="EF36" s="348">
        <f t="shared" si="144"/>
        <v>4660.6067000000003</v>
      </c>
      <c r="EG36" s="348">
        <f t="shared" si="145"/>
        <v>1294.0836602000002</v>
      </c>
      <c r="EH36" s="348">
        <f t="shared" si="146"/>
        <v>2383.9314787999997</v>
      </c>
      <c r="EI36" s="354">
        <f t="shared" si="57"/>
        <v>0.65034514206904492</v>
      </c>
      <c r="EJ36" s="326"/>
      <c r="EK36" s="348">
        <f t="shared" si="147"/>
        <v>1452.7180997726948</v>
      </c>
      <c r="EL36" s="348">
        <f t="shared" si="148"/>
        <v>2236.3801193726949</v>
      </c>
      <c r="EM36" s="348">
        <f t="shared" si="58"/>
        <v>1337.2839744958435</v>
      </c>
      <c r="EN36" s="348">
        <f t="shared" si="149"/>
        <v>2120.9459940958432</v>
      </c>
      <c r="EP36" s="326"/>
      <c r="EQ36" s="326"/>
      <c r="ER36" s="326"/>
      <c r="ES36" s="348">
        <f t="shared" si="59"/>
        <v>7023.5290999999997</v>
      </c>
      <c r="ET36" s="348">
        <f t="shared" si="60"/>
        <v>3348.2116999999998</v>
      </c>
      <c r="EU36" s="348">
        <f t="shared" si="61"/>
        <v>951.32605679999995</v>
      </c>
      <c r="EV36" s="348">
        <f t="shared" si="62"/>
        <v>1818.0848322000004</v>
      </c>
      <c r="EW36" s="354">
        <f t="shared" si="63"/>
        <v>0.67717938921111487</v>
      </c>
      <c r="EX36" s="326"/>
      <c r="EY36" s="348">
        <f t="shared" si="64"/>
        <v>1138.6816697233685</v>
      </c>
      <c r="EZ36" s="348">
        <f t="shared" si="65"/>
        <v>1723.3139601233684</v>
      </c>
      <c r="FA36" s="348">
        <f t="shared" si="66"/>
        <v>986.91274266232358</v>
      </c>
      <c r="FB36" s="348">
        <f t="shared" si="67"/>
        <v>1571.5450330623239</v>
      </c>
      <c r="FD36" s="326"/>
      <c r="FE36" s="326"/>
      <c r="FF36" s="326"/>
      <c r="FG36" s="348">
        <f t="shared" si="68"/>
        <v>6842.7991000000002</v>
      </c>
      <c r="FH36" s="348">
        <f t="shared" si="69"/>
        <v>3398.2058999999999</v>
      </c>
      <c r="FI36" s="348">
        <f t="shared" si="70"/>
        <v>656.9714383999999</v>
      </c>
      <c r="FJ36" s="348">
        <f t="shared" si="71"/>
        <v>1269.361232</v>
      </c>
      <c r="FK36" s="354">
        <f t="shared" si="72"/>
        <v>0.66817652173785669</v>
      </c>
      <c r="FL36" s="326"/>
      <c r="FM36" s="348">
        <f t="shared" si="73"/>
        <v>873.44523263856934</v>
      </c>
      <c r="FN36" s="348">
        <f t="shared" si="74"/>
        <v>1168.0128394385695</v>
      </c>
      <c r="FO36" s="348">
        <f t="shared" si="75"/>
        <v>684.79527063008709</v>
      </c>
      <c r="FP36" s="348">
        <f t="shared" si="76"/>
        <v>979.36287743008711</v>
      </c>
      <c r="FR36" s="326"/>
      <c r="FS36" s="326"/>
      <c r="FT36" s="326"/>
      <c r="FU36" s="348">
        <f t="shared" si="77"/>
        <v>5980.5865999999996</v>
      </c>
      <c r="FV36" s="348">
        <f t="shared" si="78"/>
        <v>2895.3883999999998</v>
      </c>
      <c r="FW36" s="348">
        <f t="shared" si="79"/>
        <v>208.35106519999999</v>
      </c>
      <c r="FX36" s="348">
        <f t="shared" si="80"/>
        <v>275.27783479999999</v>
      </c>
      <c r="FY36" s="354">
        <f t="shared" si="81"/>
        <v>0.67379489013882987</v>
      </c>
      <c r="FZ36" s="326"/>
      <c r="GA36" s="348">
        <f t="shared" si="82"/>
        <v>208.55467434089093</v>
      </c>
      <c r="GB36" s="348">
        <f t="shared" si="83"/>
        <v>275.12444394089096</v>
      </c>
      <c r="GC36" s="348">
        <f t="shared" si="84"/>
        <v>208.40431031479977</v>
      </c>
      <c r="GD36" s="348">
        <f t="shared" si="85"/>
        <v>274.9740799147998</v>
      </c>
      <c r="GF36" s="326"/>
      <c r="GG36" s="326"/>
      <c r="GH36" s="326"/>
      <c r="GI36" s="348">
        <f t="shared" si="86"/>
        <v>2889.0542</v>
      </c>
      <c r="GJ36" s="348">
        <f t="shared" si="87"/>
        <v>1345.7932999999998</v>
      </c>
      <c r="GK36" s="349">
        <f t="shared" si="88"/>
        <v>153.38714625</v>
      </c>
      <c r="GL36" s="349">
        <f t="shared" si="89"/>
        <v>219.88031849999999</v>
      </c>
      <c r="GM36" s="354">
        <f t="shared" si="90"/>
        <v>0.68220973718652211</v>
      </c>
      <c r="GN36" s="326"/>
      <c r="GO36" s="349">
        <f t="shared" si="91"/>
        <v>145.035345287648</v>
      </c>
      <c r="GP36" s="349">
        <f t="shared" si="92"/>
        <v>220.653634787648</v>
      </c>
      <c r="GQ36" s="349">
        <f t="shared" si="93"/>
        <v>157.70274344691867</v>
      </c>
      <c r="GR36" s="349">
        <f t="shared" si="94"/>
        <v>233.32103294691865</v>
      </c>
      <c r="HA36" s="374"/>
      <c r="HB36" s="375"/>
      <c r="HC36" s="374"/>
      <c r="HD36" s="374"/>
      <c r="HE36" s="374"/>
      <c r="HF36" s="351">
        <f t="shared" si="95"/>
        <v>0</v>
      </c>
      <c r="HG36" s="351">
        <f t="shared" si="96"/>
        <v>0</v>
      </c>
      <c r="HH36" s="352">
        <f t="shared" si="97"/>
        <v>0</v>
      </c>
      <c r="HI36" s="352">
        <f t="shared" si="150"/>
        <v>0</v>
      </c>
      <c r="HJ36" s="353">
        <f t="shared" si="151"/>
        <v>0</v>
      </c>
      <c r="HK36" s="353">
        <f t="shared" si="152"/>
        <v>0</v>
      </c>
    </row>
    <row r="37" spans="1:219" x14ac:dyDescent="0.2">
      <c r="A37" s="320">
        <v>27</v>
      </c>
      <c r="C37" s="350">
        <v>0.66539999999999999</v>
      </c>
      <c r="D37" s="350">
        <v>0.78039999999999998</v>
      </c>
      <c r="E37" s="350">
        <v>1.1815</v>
      </c>
      <c r="F37" s="350">
        <v>1844.0508</v>
      </c>
      <c r="G37" s="350">
        <v>1290.8467000000001</v>
      </c>
      <c r="H37" s="351">
        <f t="shared" si="30"/>
        <v>649.49694</v>
      </c>
      <c r="I37" s="351">
        <f t="shared" si="31"/>
        <v>1446.619676</v>
      </c>
      <c r="J37" s="352">
        <f t="shared" si="32"/>
        <v>202.70995499999998</v>
      </c>
      <c r="K37" s="352">
        <f t="shared" si="98"/>
        <v>83.469228728817598</v>
      </c>
      <c r="L37" s="353">
        <f t="shared" si="99"/>
        <v>732.96616872881759</v>
      </c>
      <c r="M37" s="353">
        <f t="shared" si="100"/>
        <v>1327.3789497288176</v>
      </c>
      <c r="N37" s="343">
        <f t="shared" si="101"/>
        <v>674.12950638582868</v>
      </c>
      <c r="O37" s="343">
        <f t="shared" si="102"/>
        <v>1268.5422873858286</v>
      </c>
      <c r="Q37" s="374">
        <v>0.64910000000000001</v>
      </c>
      <c r="R37" s="375">
        <v>0.8296</v>
      </c>
      <c r="S37" s="374">
        <v>0.79190000000000005</v>
      </c>
      <c r="T37" s="374">
        <v>287.80079999999998</v>
      </c>
      <c r="U37" s="374">
        <v>163.69329999999999</v>
      </c>
      <c r="V37" s="351">
        <f t="shared" si="33"/>
        <v>415.03453999999999</v>
      </c>
      <c r="W37" s="351">
        <f t="shared" si="34"/>
        <v>996.66484800000012</v>
      </c>
      <c r="X37" s="352">
        <f t="shared" si="35"/>
        <v>158.68092200000001</v>
      </c>
      <c r="Y37" s="352">
        <f t="shared" si="103"/>
        <v>112.0293019533631</v>
      </c>
      <c r="Z37" s="353">
        <f t="shared" si="104"/>
        <v>527.06384195336307</v>
      </c>
      <c r="AA37" s="353">
        <f t="shared" si="105"/>
        <v>950.01322795336318</v>
      </c>
      <c r="AB37" s="343">
        <f t="shared" si="106"/>
        <v>432.03360302737957</v>
      </c>
      <c r="AC37" s="343">
        <f t="shared" si="107"/>
        <v>854.98298902737974</v>
      </c>
      <c r="AE37" s="374">
        <v>0.58620000000000005</v>
      </c>
      <c r="AF37" s="375">
        <v>0.67069999999999996</v>
      </c>
      <c r="AG37" s="374">
        <v>1.1046</v>
      </c>
      <c r="AH37" s="374">
        <v>18.41</v>
      </c>
      <c r="AI37" s="374">
        <v>11.932499999999999</v>
      </c>
      <c r="AJ37" s="351">
        <f t="shared" si="36"/>
        <v>251.23359600000001</v>
      </c>
      <c r="AK37" s="351">
        <f t="shared" si="37"/>
        <v>666.79652599999997</v>
      </c>
      <c r="AL37" s="352">
        <f t="shared" si="38"/>
        <v>198.15419399999999</v>
      </c>
      <c r="AM37" s="352">
        <f t="shared" si="108"/>
        <v>143.92613597871684</v>
      </c>
      <c r="AN37" s="353">
        <f t="shared" si="109"/>
        <v>395.15973197871688</v>
      </c>
      <c r="AO37" s="353">
        <f t="shared" si="110"/>
        <v>612.56846797871685</v>
      </c>
      <c r="AP37" s="343">
        <f t="shared" si="111"/>
        <v>266.24725744859097</v>
      </c>
      <c r="AQ37" s="343">
        <f t="shared" si="112"/>
        <v>483.65599344859095</v>
      </c>
      <c r="AS37" s="374">
        <v>1.2121999999999999</v>
      </c>
      <c r="AT37" s="375">
        <v>1.0831</v>
      </c>
      <c r="AU37" s="374">
        <v>0.76280000000000003</v>
      </c>
      <c r="AV37" s="374">
        <v>1500.48</v>
      </c>
      <c r="AW37" s="374">
        <v>646.43169999999998</v>
      </c>
      <c r="AX37" s="351">
        <f t="shared" si="39"/>
        <v>412.96017399999999</v>
      </c>
      <c r="AY37" s="351">
        <f t="shared" si="40"/>
        <v>739.88727199999994</v>
      </c>
      <c r="AZ37" s="352">
        <f t="shared" si="41"/>
        <v>185.108676</v>
      </c>
      <c r="BA37" s="352">
        <f t="shared" si="113"/>
        <v>118.80110745300803</v>
      </c>
      <c r="BB37" s="353">
        <f t="shared" si="114"/>
        <v>531.761281453008</v>
      </c>
      <c r="BC37" s="353">
        <f t="shared" si="115"/>
        <v>673.57970345300794</v>
      </c>
      <c r="BD37" s="343">
        <f t="shared" si="116"/>
        <v>431.47467679521469</v>
      </c>
      <c r="BE37" s="343">
        <f t="shared" si="117"/>
        <v>573.29309879521463</v>
      </c>
      <c r="BG37" s="374">
        <v>0.92130000000000001</v>
      </c>
      <c r="BH37" s="375">
        <v>1.0564</v>
      </c>
      <c r="BI37" s="374">
        <v>1.0972</v>
      </c>
      <c r="BJ37" s="374">
        <v>1074.0266999999999</v>
      </c>
      <c r="BK37" s="374">
        <v>328.82499999999999</v>
      </c>
      <c r="BL37" s="351">
        <f t="shared" si="42"/>
        <v>308.42360099999996</v>
      </c>
      <c r="BM37" s="351">
        <f t="shared" si="43"/>
        <v>618.96588799999995</v>
      </c>
      <c r="BN37" s="352">
        <f t="shared" si="44"/>
        <v>225.331964</v>
      </c>
      <c r="BO37" s="352">
        <f t="shared" si="118"/>
        <v>150.39290486507124</v>
      </c>
      <c r="BP37" s="353">
        <f t="shared" si="119"/>
        <v>458.81650586507124</v>
      </c>
      <c r="BQ37" s="353">
        <f t="shared" si="120"/>
        <v>544.02682886507125</v>
      </c>
      <c r="BR37" s="343">
        <f t="shared" si="121"/>
        <v>326.96015272740692</v>
      </c>
      <c r="BS37" s="343">
        <f t="shared" si="122"/>
        <v>412.17047572740694</v>
      </c>
      <c r="BU37" s="374">
        <v>0.96160000000000001</v>
      </c>
      <c r="BV37" s="375">
        <v>1.1143000000000001</v>
      </c>
      <c r="BW37" s="374">
        <v>1.7531000000000001</v>
      </c>
      <c r="BX37" s="374">
        <v>2102.0916999999999</v>
      </c>
      <c r="BY37" s="374">
        <v>866.39829999999995</v>
      </c>
      <c r="BZ37" s="351">
        <f t="shared" si="45"/>
        <v>223.206592</v>
      </c>
      <c r="CA37" s="351">
        <f t="shared" si="46"/>
        <v>425.51774100000006</v>
      </c>
      <c r="CB37" s="352">
        <f t="shared" si="47"/>
        <v>173.88998900000001</v>
      </c>
      <c r="CC37" s="352">
        <f t="shared" si="123"/>
        <v>114.05965760466528</v>
      </c>
      <c r="CD37" s="353">
        <f t="shared" si="124"/>
        <v>337.26624960466529</v>
      </c>
      <c r="CE37" s="353">
        <f t="shared" si="125"/>
        <v>365.68740960466533</v>
      </c>
      <c r="CF37" s="343">
        <f t="shared" si="126"/>
        <v>235.96696519932314</v>
      </c>
      <c r="CG37" s="343">
        <f t="shared" si="127"/>
        <v>264.38812519932321</v>
      </c>
      <c r="CI37" s="374">
        <v>0.70669999999999999</v>
      </c>
      <c r="CJ37" s="375">
        <v>0.66510000000000002</v>
      </c>
      <c r="CK37" s="374">
        <v>0.75800000000000001</v>
      </c>
      <c r="CL37" s="374">
        <v>5452.0591999999997</v>
      </c>
      <c r="CM37" s="374">
        <v>2457.1042000000002</v>
      </c>
      <c r="CN37" s="351">
        <f t="shared" si="48"/>
        <v>150.194951</v>
      </c>
      <c r="CO37" s="351">
        <f t="shared" si="49"/>
        <v>183.201795</v>
      </c>
      <c r="CP37" s="352">
        <f t="shared" si="50"/>
        <v>0.30320000000000003</v>
      </c>
      <c r="CQ37" s="352">
        <f t="shared" si="128"/>
        <v>0.16660865743422704</v>
      </c>
      <c r="CR37" s="353">
        <f t="shared" si="129"/>
        <v>150.36155965743424</v>
      </c>
      <c r="CS37" s="353">
        <f t="shared" si="130"/>
        <v>183.06520365743424</v>
      </c>
      <c r="CT37" s="343">
        <f t="shared" si="131"/>
        <v>150.23080405669731</v>
      </c>
      <c r="CU37" s="343">
        <f t="shared" si="132"/>
        <v>182.93444805669731</v>
      </c>
      <c r="CW37" s="374">
        <v>0.38240000000000002</v>
      </c>
      <c r="CX37" s="375">
        <v>0.42370000000000002</v>
      </c>
      <c r="CY37" s="374">
        <v>0.72799999999999998</v>
      </c>
      <c r="CZ37" s="374">
        <v>1985.7683</v>
      </c>
      <c r="DA37" s="374">
        <v>678.2133</v>
      </c>
      <c r="DB37" s="351">
        <f t="shared" si="51"/>
        <v>85.745552000000004</v>
      </c>
      <c r="DC37" s="351">
        <f t="shared" si="52"/>
        <v>131.660538</v>
      </c>
      <c r="DD37" s="352">
        <f t="shared" si="53"/>
        <v>0.182</v>
      </c>
      <c r="DE37" s="352">
        <f t="shared" si="133"/>
        <v>0.11021870599853022</v>
      </c>
      <c r="DF37" s="353">
        <f t="shared" si="134"/>
        <v>85.855770705998538</v>
      </c>
      <c r="DG37" s="353">
        <f t="shared" si="135"/>
        <v>131.58875670599855</v>
      </c>
      <c r="DH37" s="343">
        <f t="shared" si="136"/>
        <v>85.767292072628123</v>
      </c>
      <c r="DI37" s="343">
        <f t="shared" si="137"/>
        <v>131.50027807262813</v>
      </c>
      <c r="DK37" s="374">
        <v>0.38479999999999998</v>
      </c>
      <c r="DL37" s="375">
        <v>0.42159999999999997</v>
      </c>
      <c r="DM37" s="374">
        <v>0.60060000000000002</v>
      </c>
      <c r="DN37" s="374">
        <v>1088.8942</v>
      </c>
      <c r="DO37" s="374">
        <v>563.42920000000004</v>
      </c>
      <c r="DP37" s="351">
        <f t="shared" si="54"/>
        <v>50.705095999999998</v>
      </c>
      <c r="DQ37" s="351">
        <f t="shared" si="55"/>
        <v>82.996176000000006</v>
      </c>
      <c r="DR37" s="352">
        <f t="shared" si="56"/>
        <v>0.11411400000000001</v>
      </c>
      <c r="DS37" s="352">
        <f t="shared" si="138"/>
        <v>7.083721408472464E-2</v>
      </c>
      <c r="DT37" s="353">
        <f t="shared" si="139"/>
        <v>50.775933214084723</v>
      </c>
      <c r="DU37" s="353">
        <f t="shared" si="140"/>
        <v>82.952899214084724</v>
      </c>
      <c r="DV37" s="343">
        <f t="shared" si="141"/>
        <v>50.728336875792834</v>
      </c>
      <c r="DW37" s="343">
        <f t="shared" si="142"/>
        <v>82.905302875792842</v>
      </c>
      <c r="EB37" s="326"/>
      <c r="EC37" s="326"/>
      <c r="ED37" s="326"/>
      <c r="EE37" s="348">
        <f t="shared" si="143"/>
        <v>10782.3583</v>
      </c>
      <c r="EF37" s="348">
        <f t="shared" si="144"/>
        <v>5072.5959000000012</v>
      </c>
      <c r="EG37" s="348">
        <f t="shared" si="145"/>
        <v>1281.2485065999999</v>
      </c>
      <c r="EH37" s="348">
        <f t="shared" si="146"/>
        <v>2475.0371734</v>
      </c>
      <c r="EI37" s="354">
        <f t="shared" si="57"/>
        <v>0.68006240598285672</v>
      </c>
      <c r="EJ37" s="326"/>
      <c r="EK37" s="348">
        <f t="shared" si="147"/>
        <v>1483.7736264040586</v>
      </c>
      <c r="EL37" s="348">
        <f t="shared" si="148"/>
        <v>2289.2948622040585</v>
      </c>
      <c r="EM37" s="348">
        <f t="shared" si="58"/>
        <v>1324.4488208958433</v>
      </c>
      <c r="EN37" s="348">
        <f t="shared" si="149"/>
        <v>2129.9700566958431</v>
      </c>
      <c r="EP37" s="326"/>
      <c r="EQ37" s="326"/>
      <c r="ER37" s="326"/>
      <c r="ES37" s="348">
        <f t="shared" si="59"/>
        <v>8799.6549999999988</v>
      </c>
      <c r="ET37" s="348">
        <f t="shared" si="60"/>
        <v>3627.8358000000003</v>
      </c>
      <c r="EU37" s="348">
        <f t="shared" si="61"/>
        <v>933.67497839999999</v>
      </c>
      <c r="EV37" s="348">
        <f t="shared" si="62"/>
        <v>1890.9949076</v>
      </c>
      <c r="EW37" s="354">
        <f t="shared" si="63"/>
        <v>0.70807978389330206</v>
      </c>
      <c r="EX37" s="326"/>
      <c r="EY37" s="348">
        <f t="shared" si="64"/>
        <v>1196.3409469700675</v>
      </c>
      <c r="EZ37" s="348">
        <f t="shared" si="65"/>
        <v>1769.2173901700678</v>
      </c>
      <c r="FA37" s="348">
        <f t="shared" si="66"/>
        <v>969.26166426232339</v>
      </c>
      <c r="FB37" s="348">
        <f t="shared" si="67"/>
        <v>1542.1381074623237</v>
      </c>
      <c r="FD37" s="326"/>
      <c r="FE37" s="326"/>
      <c r="FF37" s="326"/>
      <c r="FG37" s="348">
        <f t="shared" si="68"/>
        <v>8661.4550999999992</v>
      </c>
      <c r="FH37" s="348">
        <f t="shared" si="69"/>
        <v>3898.8642000000004</v>
      </c>
      <c r="FI37" s="348">
        <f t="shared" si="70"/>
        <v>655.05819659999997</v>
      </c>
      <c r="FJ37" s="348">
        <f t="shared" si="71"/>
        <v>1325.3137675999999</v>
      </c>
      <c r="FK37" s="354">
        <f t="shared" si="72"/>
        <v>0.6895887670626335</v>
      </c>
      <c r="FL37" s="326"/>
      <c r="FM37" s="348">
        <f t="shared" si="73"/>
        <v>913.25310116926721</v>
      </c>
      <c r="FN37" s="348">
        <f t="shared" si="74"/>
        <v>1211.0928207692673</v>
      </c>
      <c r="FO37" s="348">
        <f t="shared" si="75"/>
        <v>682.88202883008705</v>
      </c>
      <c r="FP37" s="348">
        <f t="shared" si="76"/>
        <v>980.72174843008713</v>
      </c>
      <c r="FR37" s="326"/>
      <c r="FS37" s="326"/>
      <c r="FT37" s="326"/>
      <c r="FU37" s="348">
        <f t="shared" si="77"/>
        <v>7437.8274999999994</v>
      </c>
      <c r="FV37" s="348">
        <f t="shared" si="78"/>
        <v>3135.3175000000001</v>
      </c>
      <c r="FW37" s="348">
        <f t="shared" si="79"/>
        <v>218.79139259999999</v>
      </c>
      <c r="FX37" s="348">
        <f t="shared" si="80"/>
        <v>288.53022540000001</v>
      </c>
      <c r="FY37" s="354">
        <f t="shared" si="81"/>
        <v>0.70346405918012089</v>
      </c>
      <c r="FZ37" s="326"/>
      <c r="GA37" s="348">
        <f t="shared" si="82"/>
        <v>219.04617622223307</v>
      </c>
      <c r="GB37" s="348">
        <f t="shared" si="83"/>
        <v>288.33620902223311</v>
      </c>
      <c r="GC37" s="348">
        <f t="shared" si="84"/>
        <v>218.84463771479983</v>
      </c>
      <c r="GD37" s="348">
        <f t="shared" si="85"/>
        <v>288.13467051479984</v>
      </c>
      <c r="GF37" s="326"/>
      <c r="GG37" s="326"/>
      <c r="GH37" s="326"/>
      <c r="GI37" s="348">
        <f t="shared" si="86"/>
        <v>3602.5717</v>
      </c>
      <c r="GJ37" s="348">
        <f t="shared" si="87"/>
        <v>1512.83</v>
      </c>
      <c r="GK37" s="349">
        <f t="shared" si="88"/>
        <v>142.31518649999998</v>
      </c>
      <c r="GL37" s="349">
        <f t="shared" si="89"/>
        <v>235.77714824999993</v>
      </c>
      <c r="GM37" s="354">
        <f t="shared" si="90"/>
        <v>0.70425978472032802</v>
      </c>
      <c r="GN37" s="326"/>
      <c r="GO37" s="349">
        <f t="shared" si="91"/>
        <v>145.87127388625703</v>
      </c>
      <c r="GP37" s="349">
        <f t="shared" si="92"/>
        <v>230.91922038625694</v>
      </c>
      <c r="GQ37" s="349">
        <f t="shared" si="93"/>
        <v>146.63078369691866</v>
      </c>
      <c r="GR37" s="349">
        <f t="shared" si="94"/>
        <v>231.67873019691856</v>
      </c>
      <c r="HA37" s="374"/>
      <c r="HB37" s="375"/>
      <c r="HC37" s="374"/>
      <c r="HD37" s="374"/>
      <c r="HE37" s="374"/>
      <c r="HF37" s="351">
        <f t="shared" si="95"/>
        <v>0</v>
      </c>
      <c r="HG37" s="351">
        <f t="shared" si="96"/>
        <v>0</v>
      </c>
      <c r="HH37" s="352">
        <f t="shared" si="97"/>
        <v>0</v>
      </c>
      <c r="HI37" s="352">
        <f t="shared" si="150"/>
        <v>0</v>
      </c>
      <c r="HJ37" s="353">
        <f t="shared" si="151"/>
        <v>0</v>
      </c>
      <c r="HK37" s="353">
        <f t="shared" si="152"/>
        <v>0</v>
      </c>
    </row>
    <row r="38" spans="1:219" x14ac:dyDescent="0.2">
      <c r="A38" s="320">
        <v>28</v>
      </c>
      <c r="C38" s="350">
        <v>0.66639999999999999</v>
      </c>
      <c r="D38" s="350">
        <v>0.80700000000000005</v>
      </c>
      <c r="E38" s="350">
        <v>1.3749</v>
      </c>
      <c r="F38" s="350">
        <v>2315.6291999999999</v>
      </c>
      <c r="G38" s="350">
        <v>1492.2025000000001</v>
      </c>
      <c r="H38" s="351">
        <f t="shared" si="30"/>
        <v>650.47303999999997</v>
      </c>
      <c r="I38" s="351">
        <f t="shared" si="31"/>
        <v>1495.9278300000001</v>
      </c>
      <c r="J38" s="352">
        <f t="shared" si="32"/>
        <v>235.891593</v>
      </c>
      <c r="K38" s="352">
        <f t="shared" si="98"/>
        <v>92.440541635173247</v>
      </c>
      <c r="L38" s="353">
        <f t="shared" si="99"/>
        <v>742.91358163517316</v>
      </c>
      <c r="M38" s="353">
        <f t="shared" si="100"/>
        <v>1352.4767786351733</v>
      </c>
      <c r="N38" s="343">
        <f t="shared" si="101"/>
        <v>675.10560638582865</v>
      </c>
      <c r="O38" s="343">
        <f t="shared" si="102"/>
        <v>1284.6688033858286</v>
      </c>
      <c r="Q38" s="374">
        <v>0.62909999999999999</v>
      </c>
      <c r="R38" s="375">
        <v>0.85580000000000001</v>
      </c>
      <c r="S38" s="374">
        <v>1.1015999999999999</v>
      </c>
      <c r="T38" s="374">
        <v>387.63499999999999</v>
      </c>
      <c r="U38" s="374">
        <v>226.16829999999999</v>
      </c>
      <c r="V38" s="351">
        <f t="shared" si="33"/>
        <v>402.24653999999998</v>
      </c>
      <c r="W38" s="351">
        <f t="shared" si="34"/>
        <v>1028.1410040000001</v>
      </c>
      <c r="X38" s="352">
        <f t="shared" si="35"/>
        <v>220.73860799999997</v>
      </c>
      <c r="Y38" s="352">
        <f t="shared" si="103"/>
        <v>158.66358386764753</v>
      </c>
      <c r="Z38" s="353">
        <f t="shared" si="104"/>
        <v>560.91012386764748</v>
      </c>
      <c r="AA38" s="353">
        <f t="shared" si="105"/>
        <v>966.06597986764757</v>
      </c>
      <c r="AB38" s="343">
        <f t="shared" si="106"/>
        <v>419.24560302737956</v>
      </c>
      <c r="AC38" s="343">
        <f t="shared" si="107"/>
        <v>824.4014590273797</v>
      </c>
      <c r="AE38" s="374">
        <v>0.58420000000000005</v>
      </c>
      <c r="AF38" s="375">
        <v>0.70899999999999996</v>
      </c>
      <c r="AG38" s="374">
        <v>1.2579</v>
      </c>
      <c r="AH38" s="374">
        <v>33.590800000000002</v>
      </c>
      <c r="AI38" s="374">
        <v>21.583300000000001</v>
      </c>
      <c r="AJ38" s="351">
        <f t="shared" si="36"/>
        <v>250.37643600000001</v>
      </c>
      <c r="AK38" s="351">
        <f t="shared" si="37"/>
        <v>704.87361999999996</v>
      </c>
      <c r="AL38" s="352">
        <f t="shared" si="38"/>
        <v>225.65468099999998</v>
      </c>
      <c r="AM38" s="352">
        <f t="shared" si="108"/>
        <v>166.50931435948036</v>
      </c>
      <c r="AN38" s="353">
        <f t="shared" si="109"/>
        <v>416.88575035948037</v>
      </c>
      <c r="AO38" s="353">
        <f t="shared" si="110"/>
        <v>645.72825335948028</v>
      </c>
      <c r="AP38" s="343">
        <f t="shared" si="111"/>
        <v>265.39009744859095</v>
      </c>
      <c r="AQ38" s="343">
        <f t="shared" si="112"/>
        <v>494.23260044859092</v>
      </c>
      <c r="AS38" s="374">
        <v>1.1459999999999999</v>
      </c>
      <c r="AT38" s="375">
        <v>1.1272</v>
      </c>
      <c r="AU38" s="374">
        <v>1.0093000000000001</v>
      </c>
      <c r="AV38" s="374">
        <v>1774.0767000000001</v>
      </c>
      <c r="AW38" s="374">
        <v>687.0625</v>
      </c>
      <c r="AX38" s="351">
        <f t="shared" si="39"/>
        <v>390.40782000000002</v>
      </c>
      <c r="AY38" s="351">
        <f t="shared" si="40"/>
        <v>770.01286400000004</v>
      </c>
      <c r="AZ38" s="352">
        <f t="shared" si="41"/>
        <v>244.92683100000002</v>
      </c>
      <c r="BA38" s="352">
        <f t="shared" si="113"/>
        <v>162.52451650435592</v>
      </c>
      <c r="BB38" s="353">
        <f t="shared" si="114"/>
        <v>552.93233650435593</v>
      </c>
      <c r="BC38" s="353">
        <f t="shared" si="115"/>
        <v>687.61054950435596</v>
      </c>
      <c r="BD38" s="343">
        <f t="shared" si="116"/>
        <v>408.92232279521471</v>
      </c>
      <c r="BE38" s="343">
        <f t="shared" si="117"/>
        <v>543.6005357952148</v>
      </c>
      <c r="BG38" s="374">
        <v>0.88839999999999997</v>
      </c>
      <c r="BH38" s="375">
        <v>1.1073999999999999</v>
      </c>
      <c r="BI38" s="374">
        <v>1.3355999999999999</v>
      </c>
      <c r="BJ38" s="374">
        <v>1316.4075</v>
      </c>
      <c r="BK38" s="374">
        <v>453.60750000000002</v>
      </c>
      <c r="BL38" s="351">
        <f t="shared" si="42"/>
        <v>297.40966799999995</v>
      </c>
      <c r="BM38" s="351">
        <f t="shared" si="43"/>
        <v>648.84780799999987</v>
      </c>
      <c r="BN38" s="352">
        <f t="shared" si="44"/>
        <v>274.29217199999999</v>
      </c>
      <c r="BO38" s="352">
        <f t="shared" si="118"/>
        <v>188.08186890748431</v>
      </c>
      <c r="BP38" s="353">
        <f t="shared" si="119"/>
        <v>485.49153690748426</v>
      </c>
      <c r="BQ38" s="353">
        <f t="shared" si="120"/>
        <v>562.63750490748419</v>
      </c>
      <c r="BR38" s="343">
        <f t="shared" si="121"/>
        <v>315.94621972740691</v>
      </c>
      <c r="BS38" s="343">
        <f t="shared" si="122"/>
        <v>393.09218772740684</v>
      </c>
      <c r="BU38" s="374">
        <v>0.93440000000000001</v>
      </c>
      <c r="BV38" s="375">
        <v>1.1405000000000001</v>
      </c>
      <c r="BW38" s="374">
        <v>2.0144000000000002</v>
      </c>
      <c r="BX38" s="374">
        <v>2697.3049999999998</v>
      </c>
      <c r="BY38" s="374">
        <v>1051.4917</v>
      </c>
      <c r="BZ38" s="351">
        <f t="shared" si="45"/>
        <v>216.89292800000001</v>
      </c>
      <c r="CA38" s="351">
        <f t="shared" si="46"/>
        <v>435.52273500000001</v>
      </c>
      <c r="CB38" s="352">
        <f t="shared" si="47"/>
        <v>199.80833600000003</v>
      </c>
      <c r="CC38" s="352">
        <f t="shared" si="123"/>
        <v>133.38286909049725</v>
      </c>
      <c r="CD38" s="353">
        <f t="shared" si="124"/>
        <v>350.27579709049724</v>
      </c>
      <c r="CE38" s="353">
        <f t="shared" si="125"/>
        <v>369.09726809049721</v>
      </c>
      <c r="CF38" s="343">
        <f t="shared" si="126"/>
        <v>229.65330119932315</v>
      </c>
      <c r="CG38" s="343">
        <f t="shared" si="127"/>
        <v>248.47477219932313</v>
      </c>
      <c r="CI38" s="374">
        <v>0.72760000000000002</v>
      </c>
      <c r="CJ38" s="375">
        <v>0.68989999999999996</v>
      </c>
      <c r="CK38" s="374">
        <v>0.95</v>
      </c>
      <c r="CL38" s="374">
        <v>6559.43</v>
      </c>
      <c r="CM38" s="374">
        <v>2783.0392000000002</v>
      </c>
      <c r="CN38" s="351">
        <f t="shared" si="48"/>
        <v>154.63682800000001</v>
      </c>
      <c r="CO38" s="351">
        <f t="shared" si="49"/>
        <v>190.03295499999999</v>
      </c>
      <c r="CP38" s="352">
        <f t="shared" si="50"/>
        <v>0.38</v>
      </c>
      <c r="CQ38" s="352">
        <f t="shared" si="128"/>
        <v>0.20951219532929</v>
      </c>
      <c r="CR38" s="353">
        <f t="shared" si="129"/>
        <v>154.8463401953293</v>
      </c>
      <c r="CS38" s="353">
        <f t="shared" si="130"/>
        <v>189.86246719532929</v>
      </c>
      <c r="CT38" s="343">
        <f t="shared" si="131"/>
        <v>154.67268105669731</v>
      </c>
      <c r="CU38" s="343">
        <f t="shared" si="132"/>
        <v>189.6888080566973</v>
      </c>
      <c r="CW38" s="374">
        <v>0.43330000000000002</v>
      </c>
      <c r="CX38" s="375">
        <v>0.4627</v>
      </c>
      <c r="CY38" s="374">
        <v>0.84499999999999997</v>
      </c>
      <c r="CZ38" s="374">
        <v>2368.0817000000002</v>
      </c>
      <c r="DA38" s="374">
        <v>807.31169999999997</v>
      </c>
      <c r="DB38" s="351">
        <f t="shared" si="51"/>
        <v>97.158859000000007</v>
      </c>
      <c r="DC38" s="351">
        <f t="shared" si="52"/>
        <v>143.77939800000001</v>
      </c>
      <c r="DD38" s="352">
        <f t="shared" si="53"/>
        <v>0.21124999999999999</v>
      </c>
      <c r="DE38" s="352">
        <f t="shared" si="133"/>
        <v>0.12606299309079835</v>
      </c>
      <c r="DF38" s="353">
        <f t="shared" si="134"/>
        <v>97.284921993090805</v>
      </c>
      <c r="DG38" s="353">
        <f t="shared" si="135"/>
        <v>143.69421099309082</v>
      </c>
      <c r="DH38" s="343">
        <f t="shared" si="136"/>
        <v>97.180599072628127</v>
      </c>
      <c r="DI38" s="343">
        <f t="shared" si="137"/>
        <v>143.58988807262813</v>
      </c>
      <c r="DK38" s="374">
        <v>0.43430000000000002</v>
      </c>
      <c r="DL38" s="375">
        <v>0.45550000000000002</v>
      </c>
      <c r="DM38" s="374">
        <v>0.69920000000000004</v>
      </c>
      <c r="DN38" s="374">
        <v>1374.16</v>
      </c>
      <c r="DO38" s="374">
        <v>653.21420000000001</v>
      </c>
      <c r="DP38" s="351">
        <f t="shared" si="54"/>
        <v>57.227711000000006</v>
      </c>
      <c r="DQ38" s="351">
        <f t="shared" si="55"/>
        <v>89.669730000000015</v>
      </c>
      <c r="DR38" s="352">
        <f t="shared" si="56"/>
        <v>0.13284800000000002</v>
      </c>
      <c r="DS38" s="352">
        <f t="shared" si="138"/>
        <v>8.1093613407738005E-2</v>
      </c>
      <c r="DT38" s="353">
        <f t="shared" si="139"/>
        <v>57.308804613407744</v>
      </c>
      <c r="DU38" s="353">
        <f t="shared" si="140"/>
        <v>89.617975613407751</v>
      </c>
      <c r="DV38" s="343">
        <f t="shared" si="141"/>
        <v>57.250951875792843</v>
      </c>
      <c r="DW38" s="343">
        <f t="shared" si="142"/>
        <v>89.560122875792857</v>
      </c>
      <c r="EB38" s="326"/>
      <c r="EC38" s="326"/>
      <c r="ED38" s="326"/>
      <c r="EE38" s="348">
        <f t="shared" si="143"/>
        <v>13017.217600000002</v>
      </c>
      <c r="EF38" s="348">
        <f t="shared" si="144"/>
        <v>5769.6159000000007</v>
      </c>
      <c r="EG38" s="348">
        <f t="shared" si="145"/>
        <v>1273.2447751999998</v>
      </c>
      <c r="EH38" s="348">
        <f t="shared" si="146"/>
        <v>2570.9971673999999</v>
      </c>
      <c r="EI38" s="354">
        <f t="shared" si="57"/>
        <v>0.69289045437061025</v>
      </c>
      <c r="EJ38" s="326"/>
      <c r="EK38" s="348">
        <f t="shared" si="147"/>
        <v>1528.5201959293311</v>
      </c>
      <c r="EL38" s="348">
        <f t="shared" si="148"/>
        <v>2344.9051641293313</v>
      </c>
      <c r="EM38" s="348">
        <f t="shared" si="58"/>
        <v>1316.4450894958431</v>
      </c>
      <c r="EN38" s="348">
        <f t="shared" si="149"/>
        <v>2132.8300576958432</v>
      </c>
      <c r="EP38" s="326"/>
      <c r="EQ38" s="326"/>
      <c r="ER38" s="326"/>
      <c r="ES38" s="348">
        <f t="shared" si="59"/>
        <v>10631.5542</v>
      </c>
      <c r="ET38" s="348">
        <f t="shared" si="60"/>
        <v>4270.1266999999998</v>
      </c>
      <c r="EU38" s="348">
        <f t="shared" si="61"/>
        <v>922.30423729999995</v>
      </c>
      <c r="EV38" s="348">
        <f t="shared" si="62"/>
        <v>1967.6673455999999</v>
      </c>
      <c r="EW38" s="354">
        <f t="shared" si="63"/>
        <v>0.71344664211672937</v>
      </c>
      <c r="EX38" s="326"/>
      <c r="EY38" s="348">
        <f t="shared" si="64"/>
        <v>1269.3474463656246</v>
      </c>
      <c r="EZ38" s="348">
        <f t="shared" si="65"/>
        <v>1819.1518996656248</v>
      </c>
      <c r="FA38" s="348">
        <f t="shared" si="66"/>
        <v>957.89092316232347</v>
      </c>
      <c r="FB38" s="348">
        <f t="shared" si="67"/>
        <v>1507.6953764623236</v>
      </c>
      <c r="FD38" s="326"/>
      <c r="FE38" s="326"/>
      <c r="FF38" s="326"/>
      <c r="FG38" s="348">
        <f t="shared" si="68"/>
        <v>10664.4858</v>
      </c>
      <c r="FH38" s="348">
        <f t="shared" si="69"/>
        <v>4509.3284000000003</v>
      </c>
      <c r="FI38" s="348">
        <f t="shared" si="70"/>
        <v>656.24281860000008</v>
      </c>
      <c r="FJ38" s="348">
        <f t="shared" si="71"/>
        <v>1384.2311479999998</v>
      </c>
      <c r="FK38" s="354">
        <f t="shared" si="72"/>
        <v>0.70282169396802019</v>
      </c>
      <c r="FL38" s="326"/>
      <c r="FM38" s="348">
        <f t="shared" si="73"/>
        <v>956.39317041335153</v>
      </c>
      <c r="FN38" s="348">
        <f t="shared" si="74"/>
        <v>1258.4587740133516</v>
      </c>
      <c r="FO38" s="348">
        <f t="shared" si="75"/>
        <v>684.06665083008704</v>
      </c>
      <c r="FP38" s="348">
        <f t="shared" si="76"/>
        <v>986.13225443008719</v>
      </c>
      <c r="FR38" s="326"/>
      <c r="FS38" s="326"/>
      <c r="FT38" s="326"/>
      <c r="FU38" s="348">
        <f t="shared" si="77"/>
        <v>8927.5117000000009</v>
      </c>
      <c r="FV38" s="348">
        <f t="shared" si="78"/>
        <v>3590.3509000000004</v>
      </c>
      <c r="FW38" s="348">
        <f t="shared" si="79"/>
        <v>232.36391520000001</v>
      </c>
      <c r="FX38" s="348">
        <f t="shared" si="80"/>
        <v>305.05647340000002</v>
      </c>
      <c r="FY38" s="354">
        <f t="shared" si="81"/>
        <v>0.71318179351161759</v>
      </c>
      <c r="FZ38" s="326"/>
      <c r="GA38" s="348">
        <f t="shared" si="82"/>
        <v>232.67427778980195</v>
      </c>
      <c r="GB38" s="348">
        <f t="shared" si="83"/>
        <v>304.81783598980195</v>
      </c>
      <c r="GC38" s="348">
        <f t="shared" si="84"/>
        <v>232.41716031479982</v>
      </c>
      <c r="GD38" s="348">
        <f t="shared" si="85"/>
        <v>304.56071851479982</v>
      </c>
      <c r="GF38" s="326"/>
      <c r="GG38" s="326"/>
      <c r="GH38" s="326"/>
      <c r="GI38" s="348">
        <f t="shared" si="86"/>
        <v>4471.3816999999999</v>
      </c>
      <c r="GJ38" s="348">
        <f t="shared" si="87"/>
        <v>1738.5542</v>
      </c>
      <c r="GK38" s="349">
        <f t="shared" si="88"/>
        <v>130.136169</v>
      </c>
      <c r="GL38" s="349">
        <f t="shared" si="89"/>
        <v>250.86759675000002</v>
      </c>
      <c r="GM38" s="354">
        <f t="shared" si="90"/>
        <v>0.7200366915220493</v>
      </c>
      <c r="GN38" s="326"/>
      <c r="GO38" s="349">
        <f t="shared" si="91"/>
        <v>151.99240456039402</v>
      </c>
      <c r="GP38" s="349">
        <f t="shared" si="92"/>
        <v>238.88496106039406</v>
      </c>
      <c r="GQ38" s="349">
        <f t="shared" si="93"/>
        <v>134.45176619691867</v>
      </c>
      <c r="GR38" s="349">
        <f t="shared" si="94"/>
        <v>221.34432269691877</v>
      </c>
      <c r="HA38" s="374"/>
      <c r="HB38" s="375"/>
      <c r="HC38" s="374"/>
      <c r="HD38" s="374"/>
      <c r="HE38" s="374"/>
      <c r="HF38" s="351">
        <f t="shared" si="95"/>
        <v>0</v>
      </c>
      <c r="HG38" s="351">
        <f t="shared" si="96"/>
        <v>0</v>
      </c>
      <c r="HH38" s="352">
        <f t="shared" si="97"/>
        <v>0</v>
      </c>
      <c r="HI38" s="352">
        <f t="shared" si="150"/>
        <v>0</v>
      </c>
      <c r="HJ38" s="353">
        <f t="shared" si="151"/>
        <v>0</v>
      </c>
      <c r="HK38" s="353">
        <f t="shared" si="152"/>
        <v>0</v>
      </c>
    </row>
    <row r="39" spans="1:219" x14ac:dyDescent="0.2">
      <c r="A39" s="320">
        <v>29</v>
      </c>
      <c r="C39" s="350">
        <v>0.67230000000000001</v>
      </c>
      <c r="D39" s="350">
        <v>0.83440000000000003</v>
      </c>
      <c r="E39" s="350">
        <v>1.5739000000000001</v>
      </c>
      <c r="F39" s="350">
        <v>2939.9683</v>
      </c>
      <c r="G39" s="350">
        <v>1849.7733000000001</v>
      </c>
      <c r="H39" s="351">
        <f t="shared" si="30"/>
        <v>656.23203000000001</v>
      </c>
      <c r="I39" s="351">
        <f t="shared" si="31"/>
        <v>1546.7189360000002</v>
      </c>
      <c r="J39" s="352">
        <f t="shared" si="32"/>
        <v>270.03402299999999</v>
      </c>
      <c r="K39" s="352">
        <f t="shared" si="98"/>
        <v>104.28573554719233</v>
      </c>
      <c r="L39" s="353">
        <f t="shared" si="99"/>
        <v>760.51776554719231</v>
      </c>
      <c r="M39" s="353">
        <f t="shared" si="100"/>
        <v>1380.9706485471927</v>
      </c>
      <c r="N39" s="343">
        <f t="shared" si="101"/>
        <v>680.86459638582869</v>
      </c>
      <c r="O39" s="343">
        <f t="shared" si="102"/>
        <v>1301.3174793858288</v>
      </c>
      <c r="Q39" s="374">
        <v>0.61750000000000005</v>
      </c>
      <c r="R39" s="375">
        <v>0.88249999999999995</v>
      </c>
      <c r="S39" s="374">
        <v>1.3011999999999999</v>
      </c>
      <c r="T39" s="374">
        <v>520.49249999999995</v>
      </c>
      <c r="U39" s="374">
        <v>269.60829999999999</v>
      </c>
      <c r="V39" s="351">
        <f t="shared" si="33"/>
        <v>394.8295</v>
      </c>
      <c r="W39" s="351">
        <f t="shared" si="34"/>
        <v>1060.21785</v>
      </c>
      <c r="X39" s="352">
        <f t="shared" si="35"/>
        <v>260.73445599999997</v>
      </c>
      <c r="Y39" s="352">
        <f t="shared" si="103"/>
        <v>189.98373101826519</v>
      </c>
      <c r="Z39" s="353">
        <f t="shared" si="104"/>
        <v>584.81323101826524</v>
      </c>
      <c r="AA39" s="353">
        <f t="shared" si="105"/>
        <v>989.46712501826528</v>
      </c>
      <c r="AB39" s="343">
        <f t="shared" si="106"/>
        <v>411.82856302737957</v>
      </c>
      <c r="AC39" s="343">
        <f t="shared" si="107"/>
        <v>816.48245702737972</v>
      </c>
      <c r="AE39" s="374">
        <v>0.58640000000000003</v>
      </c>
      <c r="AF39" s="375">
        <v>0.74629999999999996</v>
      </c>
      <c r="AG39" s="374">
        <v>1.4067000000000001</v>
      </c>
      <c r="AH39" s="374">
        <v>50.024999999999999</v>
      </c>
      <c r="AI39" s="374">
        <v>10.675000000000001</v>
      </c>
      <c r="AJ39" s="351">
        <f t="shared" si="36"/>
        <v>251.319312</v>
      </c>
      <c r="AK39" s="351">
        <f t="shared" si="37"/>
        <v>741.95653399999992</v>
      </c>
      <c r="AL39" s="352">
        <f t="shared" si="38"/>
        <v>252.34791300000001</v>
      </c>
      <c r="AM39" s="352">
        <f t="shared" si="108"/>
        <v>188.49867702472403</v>
      </c>
      <c r="AN39" s="353">
        <f t="shared" si="109"/>
        <v>439.81798902472406</v>
      </c>
      <c r="AO39" s="353">
        <f t="shared" si="110"/>
        <v>678.10729802472395</v>
      </c>
      <c r="AP39" s="343">
        <f t="shared" si="111"/>
        <v>266.33297344859096</v>
      </c>
      <c r="AQ39" s="343">
        <f t="shared" si="112"/>
        <v>504.62228244859085</v>
      </c>
      <c r="AS39" s="374">
        <v>1.0792999999999999</v>
      </c>
      <c r="AT39" s="375">
        <v>1.1705000000000001</v>
      </c>
      <c r="AU39" s="374">
        <v>1.2814000000000001</v>
      </c>
      <c r="AV39" s="374">
        <v>2126.7550000000001</v>
      </c>
      <c r="AW39" s="374">
        <v>792.60670000000005</v>
      </c>
      <c r="AX39" s="351">
        <f t="shared" si="39"/>
        <v>367.68513100000001</v>
      </c>
      <c r="AY39" s="351">
        <f t="shared" si="40"/>
        <v>799.59196000000009</v>
      </c>
      <c r="AZ39" s="352">
        <f t="shared" si="41"/>
        <v>310.95733799999999</v>
      </c>
      <c r="BA39" s="352">
        <f t="shared" si="113"/>
        <v>213.00768196760788</v>
      </c>
      <c r="BB39" s="353">
        <f t="shared" si="114"/>
        <v>580.69281296760789</v>
      </c>
      <c r="BC39" s="353">
        <f t="shared" si="115"/>
        <v>701.64230396760797</v>
      </c>
      <c r="BD39" s="343">
        <f t="shared" si="116"/>
        <v>386.19963379521471</v>
      </c>
      <c r="BE39" s="343">
        <f t="shared" si="117"/>
        <v>507.14912479521479</v>
      </c>
      <c r="BG39" s="374">
        <v>0.85560000000000003</v>
      </c>
      <c r="BH39" s="375">
        <v>1.1556999999999999</v>
      </c>
      <c r="BI39" s="374">
        <v>1.5728</v>
      </c>
      <c r="BJ39" s="374">
        <v>1744.8258000000001</v>
      </c>
      <c r="BK39" s="374">
        <v>556.36249999999995</v>
      </c>
      <c r="BL39" s="351">
        <f t="shared" si="42"/>
        <v>286.42921200000001</v>
      </c>
      <c r="BM39" s="351">
        <f t="shared" si="43"/>
        <v>677.14774399999988</v>
      </c>
      <c r="BN39" s="352">
        <f t="shared" si="44"/>
        <v>323.00593600000002</v>
      </c>
      <c r="BO39" s="352">
        <f t="shared" si="118"/>
        <v>226.9904230264805</v>
      </c>
      <c r="BP39" s="353">
        <f t="shared" si="119"/>
        <v>513.41963502648048</v>
      </c>
      <c r="BQ39" s="353">
        <f t="shared" si="120"/>
        <v>581.13223102648033</v>
      </c>
      <c r="BR39" s="343">
        <f t="shared" si="121"/>
        <v>304.96576372740697</v>
      </c>
      <c r="BS39" s="343">
        <f t="shared" si="122"/>
        <v>372.67835972740681</v>
      </c>
      <c r="BU39" s="374">
        <v>0.90690000000000004</v>
      </c>
      <c r="BV39" s="375">
        <v>1.1680999999999999</v>
      </c>
      <c r="BW39" s="374">
        <v>2.2450000000000001</v>
      </c>
      <c r="BX39" s="374">
        <v>3394.3782999999999</v>
      </c>
      <c r="BY39" s="374">
        <v>1210.5425</v>
      </c>
      <c r="BZ39" s="351">
        <f t="shared" si="45"/>
        <v>210.50962800000002</v>
      </c>
      <c r="CA39" s="351">
        <f t="shared" si="46"/>
        <v>446.06234699999999</v>
      </c>
      <c r="CB39" s="352">
        <f t="shared" si="47"/>
        <v>222.68155000000002</v>
      </c>
      <c r="CC39" s="352">
        <f t="shared" si="123"/>
        <v>151.28555376826409</v>
      </c>
      <c r="CD39" s="353">
        <f t="shared" si="124"/>
        <v>361.79518176826411</v>
      </c>
      <c r="CE39" s="353">
        <f t="shared" si="125"/>
        <v>374.66635076826407</v>
      </c>
      <c r="CF39" s="343">
        <f t="shared" si="126"/>
        <v>223.27000119932316</v>
      </c>
      <c r="CG39" s="343">
        <f t="shared" si="127"/>
        <v>236.14117019932311</v>
      </c>
      <c r="CI39" s="374">
        <v>0.75190000000000001</v>
      </c>
      <c r="CJ39" s="375">
        <v>0.72199999999999998</v>
      </c>
      <c r="CK39" s="374">
        <v>1.151</v>
      </c>
      <c r="CL39" s="374">
        <v>8162.2492000000002</v>
      </c>
      <c r="CM39" s="374">
        <v>3148.4983000000002</v>
      </c>
      <c r="CN39" s="351">
        <f t="shared" si="48"/>
        <v>159.80130700000001</v>
      </c>
      <c r="CO39" s="351">
        <f t="shared" si="49"/>
        <v>198.8749</v>
      </c>
      <c r="CP39" s="352">
        <f t="shared" si="50"/>
        <v>0.46040000000000003</v>
      </c>
      <c r="CQ39" s="352">
        <f t="shared" si="128"/>
        <v>0.25527760741598343</v>
      </c>
      <c r="CR39" s="353">
        <f t="shared" si="129"/>
        <v>160.056584607416</v>
      </c>
      <c r="CS39" s="353">
        <f t="shared" si="130"/>
        <v>198.66977760741599</v>
      </c>
      <c r="CT39" s="343">
        <f t="shared" si="131"/>
        <v>159.83716005669731</v>
      </c>
      <c r="CU39" s="343">
        <f t="shared" si="132"/>
        <v>198.45035305669731</v>
      </c>
      <c r="CW39" s="374">
        <v>0.49320000000000003</v>
      </c>
      <c r="CX39" s="375">
        <v>0.50470000000000004</v>
      </c>
      <c r="CY39" s="374">
        <v>0.9627</v>
      </c>
      <c r="CZ39" s="374">
        <v>3027.9425000000001</v>
      </c>
      <c r="DA39" s="374">
        <v>845.88580000000002</v>
      </c>
      <c r="DB39" s="351">
        <f t="shared" si="51"/>
        <v>110.590236</v>
      </c>
      <c r="DC39" s="351">
        <f t="shared" si="52"/>
        <v>156.83047800000003</v>
      </c>
      <c r="DD39" s="352">
        <f t="shared" si="53"/>
        <v>0.240675</v>
      </c>
      <c r="DE39" s="352">
        <f t="shared" si="133"/>
        <v>0.14114529397543227</v>
      </c>
      <c r="DF39" s="353">
        <f t="shared" si="134"/>
        <v>110.73138129397543</v>
      </c>
      <c r="DG39" s="353">
        <f t="shared" si="135"/>
        <v>156.73094829397544</v>
      </c>
      <c r="DH39" s="343">
        <f t="shared" si="136"/>
        <v>110.61197607262812</v>
      </c>
      <c r="DI39" s="343">
        <f t="shared" si="137"/>
        <v>156.61154307262814</v>
      </c>
      <c r="DK39" s="374">
        <v>0.49359999999999998</v>
      </c>
      <c r="DL39" s="375">
        <v>0.49199999999999999</v>
      </c>
      <c r="DM39" s="374">
        <v>0.79239999999999999</v>
      </c>
      <c r="DN39" s="374">
        <v>1685.5742</v>
      </c>
      <c r="DO39" s="374">
        <v>768.59829999999999</v>
      </c>
      <c r="DP39" s="351">
        <f t="shared" si="54"/>
        <v>65.041672000000005</v>
      </c>
      <c r="DQ39" s="351">
        <f t="shared" si="55"/>
        <v>96.855119999999999</v>
      </c>
      <c r="DR39" s="352">
        <f t="shared" si="56"/>
        <v>0.150556</v>
      </c>
      <c r="DS39" s="352">
        <f t="shared" si="138"/>
        <v>9.0070465674946781E-2</v>
      </c>
      <c r="DT39" s="353">
        <f t="shared" si="139"/>
        <v>65.131742465674947</v>
      </c>
      <c r="DU39" s="353">
        <f t="shared" si="140"/>
        <v>96.794634465674946</v>
      </c>
      <c r="DV39" s="343">
        <f t="shared" si="141"/>
        <v>65.064912875792842</v>
      </c>
      <c r="DW39" s="343">
        <f t="shared" si="142"/>
        <v>96.727804875792842</v>
      </c>
      <c r="EB39" s="326"/>
      <c r="EC39" s="326"/>
      <c r="ED39" s="326"/>
      <c r="EE39" s="348">
        <f t="shared" si="143"/>
        <v>16256.915000000001</v>
      </c>
      <c r="EF39" s="348">
        <f t="shared" si="144"/>
        <v>6636.7641000000003</v>
      </c>
      <c r="EG39" s="348">
        <f t="shared" si="145"/>
        <v>1272.1906567999999</v>
      </c>
      <c r="EH39" s="348">
        <f t="shared" si="146"/>
        <v>2670.6501784000002</v>
      </c>
      <c r="EI39" s="354">
        <f t="shared" si="57"/>
        <v>0.71010495643751725</v>
      </c>
      <c r="EJ39" s="326"/>
      <c r="EK39" s="348">
        <f t="shared" si="147"/>
        <v>1589.8522681573963</v>
      </c>
      <c r="EL39" s="348">
        <f t="shared" si="148"/>
        <v>2406.6674887573972</v>
      </c>
      <c r="EM39" s="348">
        <f t="shared" si="58"/>
        <v>1315.3909710958433</v>
      </c>
      <c r="EN39" s="348">
        <f t="shared" si="149"/>
        <v>2132.2061916958437</v>
      </c>
      <c r="EP39" s="326"/>
      <c r="EQ39" s="326"/>
      <c r="ER39" s="326"/>
      <c r="ES39" s="348">
        <f t="shared" si="59"/>
        <v>13455.510000000002</v>
      </c>
      <c r="ET39" s="348">
        <f t="shared" si="60"/>
        <v>4820.3549000000003</v>
      </c>
      <c r="EU39" s="348">
        <f t="shared" si="61"/>
        <v>918.47318419999999</v>
      </c>
      <c r="EV39" s="348">
        <f t="shared" si="62"/>
        <v>2046.0218285999999</v>
      </c>
      <c r="EW39" s="354">
        <f t="shared" si="63"/>
        <v>0.73624477274397016</v>
      </c>
      <c r="EX39" s="326"/>
      <c r="EY39" s="348">
        <f t="shared" si="64"/>
        <v>1335.8014175579444</v>
      </c>
      <c r="EZ39" s="348">
        <f t="shared" si="65"/>
        <v>1878.9807974579444</v>
      </c>
      <c r="FA39" s="348">
        <f t="shared" si="66"/>
        <v>954.05987006232363</v>
      </c>
      <c r="FB39" s="348">
        <f t="shared" si="67"/>
        <v>1497.2392499623236</v>
      </c>
      <c r="FD39" s="326"/>
      <c r="FE39" s="326"/>
      <c r="FF39" s="326"/>
      <c r="FG39" s="348">
        <f t="shared" si="68"/>
        <v>13292.226699999999</v>
      </c>
      <c r="FH39" s="348">
        <f t="shared" si="69"/>
        <v>5138.3140999999996</v>
      </c>
      <c r="FI39" s="348">
        <f t="shared" si="70"/>
        <v>660.65525020000007</v>
      </c>
      <c r="FJ39" s="348">
        <f t="shared" si="71"/>
        <v>1445.0068530000001</v>
      </c>
      <c r="FK39" s="354">
        <f t="shared" si="72"/>
        <v>0.72120654755827895</v>
      </c>
      <c r="FL39" s="326"/>
      <c r="FM39" s="348">
        <f t="shared" si="73"/>
        <v>1000.7488008798091</v>
      </c>
      <c r="FN39" s="348">
        <f t="shared" si="74"/>
        <v>1309.5202070798089</v>
      </c>
      <c r="FO39" s="348">
        <f t="shared" si="75"/>
        <v>688.47908243008715</v>
      </c>
      <c r="FP39" s="348">
        <f t="shared" si="76"/>
        <v>997.25048863008692</v>
      </c>
      <c r="FR39" s="326"/>
      <c r="FS39" s="326"/>
      <c r="FT39" s="326"/>
      <c r="FU39" s="348">
        <f t="shared" si="77"/>
        <v>11190.191699999999</v>
      </c>
      <c r="FV39" s="348">
        <f t="shared" si="78"/>
        <v>3994.3841000000002</v>
      </c>
      <c r="FW39" s="348">
        <f t="shared" si="79"/>
        <v>248.27349580000003</v>
      </c>
      <c r="FX39" s="348">
        <f t="shared" si="80"/>
        <v>324.3392824</v>
      </c>
      <c r="FY39" s="354">
        <f t="shared" si="81"/>
        <v>0.73694463693875467</v>
      </c>
      <c r="FZ39" s="326"/>
      <c r="GA39" s="348">
        <f t="shared" si="82"/>
        <v>248.64168964259636</v>
      </c>
      <c r="GB39" s="348">
        <f t="shared" si="83"/>
        <v>324.05453624259633</v>
      </c>
      <c r="GC39" s="348">
        <f t="shared" si="84"/>
        <v>248.32674091479981</v>
      </c>
      <c r="GD39" s="348">
        <f t="shared" si="85"/>
        <v>323.73958751479984</v>
      </c>
      <c r="GF39" s="326"/>
      <c r="GG39" s="326"/>
      <c r="GH39" s="326"/>
      <c r="GI39" s="348">
        <f t="shared" si="86"/>
        <v>5521.1332999999995</v>
      </c>
      <c r="GJ39" s="348">
        <f t="shared" si="87"/>
        <v>2003.1492000000001</v>
      </c>
      <c r="GK39" s="349">
        <f t="shared" si="88"/>
        <v>117.88162724999999</v>
      </c>
      <c r="GL39" s="349">
        <f t="shared" si="89"/>
        <v>265.14720975000006</v>
      </c>
      <c r="GM39" s="354">
        <f t="shared" si="90"/>
        <v>0.73377538655679131</v>
      </c>
      <c r="GN39" s="326"/>
      <c r="GO39" s="349">
        <f t="shared" si="91"/>
        <v>164.17322339950783</v>
      </c>
      <c r="GP39" s="349">
        <f t="shared" si="92"/>
        <v>245.23196489950794</v>
      </c>
      <c r="GQ39" s="349">
        <f t="shared" si="93"/>
        <v>122.19722444691865</v>
      </c>
      <c r="GR39" s="349">
        <f t="shared" si="94"/>
        <v>203.25596594691874</v>
      </c>
      <c r="HA39" s="374"/>
      <c r="HB39" s="375"/>
      <c r="HC39" s="374"/>
      <c r="HD39" s="374"/>
      <c r="HE39" s="374"/>
      <c r="HF39" s="351">
        <f t="shared" si="95"/>
        <v>0</v>
      </c>
      <c r="HG39" s="351">
        <f t="shared" si="96"/>
        <v>0</v>
      </c>
      <c r="HH39" s="352">
        <f t="shared" si="97"/>
        <v>0</v>
      </c>
      <c r="HI39" s="352">
        <f t="shared" si="150"/>
        <v>0</v>
      </c>
      <c r="HJ39" s="353">
        <f t="shared" si="151"/>
        <v>0</v>
      </c>
      <c r="HK39" s="353">
        <f t="shared" si="152"/>
        <v>0</v>
      </c>
    </row>
    <row r="40" spans="1:219" x14ac:dyDescent="0.2">
      <c r="A40" s="320">
        <v>30</v>
      </c>
      <c r="C40" s="350">
        <v>0.68340000000000001</v>
      </c>
      <c r="D40" s="350">
        <v>0.86240000000000006</v>
      </c>
      <c r="E40" s="350">
        <v>1.7644</v>
      </c>
      <c r="F40" s="350">
        <v>3754.1408000000001</v>
      </c>
      <c r="G40" s="350">
        <v>2316.4733000000001</v>
      </c>
      <c r="H40" s="351">
        <f t="shared" si="30"/>
        <v>667.06673999999998</v>
      </c>
      <c r="I40" s="351">
        <f t="shared" si="31"/>
        <v>1598.6222560000001</v>
      </c>
      <c r="J40" s="352">
        <f t="shared" si="32"/>
        <v>302.71810799999997</v>
      </c>
      <c r="K40" s="352">
        <f t="shared" si="98"/>
        <v>115.51358776182401</v>
      </c>
      <c r="L40" s="353">
        <f t="shared" si="99"/>
        <v>782.58032776182404</v>
      </c>
      <c r="M40" s="353">
        <f t="shared" si="100"/>
        <v>1411.4177357618241</v>
      </c>
      <c r="N40" s="343">
        <f t="shared" si="101"/>
        <v>691.69930638582866</v>
      </c>
      <c r="O40" s="343">
        <f t="shared" si="102"/>
        <v>1320.5367143858286</v>
      </c>
      <c r="Q40" s="374">
        <v>0.61480000000000001</v>
      </c>
      <c r="R40" s="375">
        <v>0.90920000000000001</v>
      </c>
      <c r="S40" s="374">
        <v>1.4718</v>
      </c>
      <c r="T40" s="374">
        <v>671.63170000000002</v>
      </c>
      <c r="U40" s="374">
        <v>364.09829999999999</v>
      </c>
      <c r="V40" s="351">
        <f t="shared" si="33"/>
        <v>393.10311999999999</v>
      </c>
      <c r="W40" s="351">
        <f t="shared" si="34"/>
        <v>1092.2946960000002</v>
      </c>
      <c r="X40" s="352">
        <f t="shared" si="35"/>
        <v>294.919284</v>
      </c>
      <c r="Y40" s="352">
        <f t="shared" si="103"/>
        <v>216.87036711067688</v>
      </c>
      <c r="Z40" s="353">
        <f t="shared" si="104"/>
        <v>609.97348711067684</v>
      </c>
      <c r="AA40" s="353">
        <f t="shared" si="105"/>
        <v>1014.2457791106769</v>
      </c>
      <c r="AB40" s="343">
        <f t="shared" si="106"/>
        <v>410.10218302737957</v>
      </c>
      <c r="AC40" s="343">
        <f t="shared" si="107"/>
        <v>814.37447502737973</v>
      </c>
      <c r="AE40" s="374">
        <v>0.59350000000000003</v>
      </c>
      <c r="AF40" s="375">
        <v>0.78290000000000004</v>
      </c>
      <c r="AG40" s="374">
        <v>1.5463</v>
      </c>
      <c r="AH40" s="374">
        <v>58.410800000000002</v>
      </c>
      <c r="AI40" s="374">
        <v>34.07</v>
      </c>
      <c r="AJ40" s="351">
        <f t="shared" si="36"/>
        <v>254.36223000000001</v>
      </c>
      <c r="AK40" s="351">
        <f t="shared" si="37"/>
        <v>778.34352200000001</v>
      </c>
      <c r="AL40" s="352">
        <f t="shared" si="38"/>
        <v>277.39075700000001</v>
      </c>
      <c r="AM40" s="352">
        <f t="shared" si="108"/>
        <v>209.06758614977304</v>
      </c>
      <c r="AN40" s="353">
        <f t="shared" si="109"/>
        <v>463.42981614977305</v>
      </c>
      <c r="AO40" s="353">
        <f t="shared" si="110"/>
        <v>710.02035114977298</v>
      </c>
      <c r="AP40" s="343">
        <f t="shared" si="111"/>
        <v>269.37589144859095</v>
      </c>
      <c r="AQ40" s="343">
        <f t="shared" si="112"/>
        <v>515.96642644859094</v>
      </c>
      <c r="AS40" s="374">
        <v>1.0165</v>
      </c>
      <c r="AT40" s="375">
        <v>1.2111000000000001</v>
      </c>
      <c r="AU40" s="374">
        <v>1.56</v>
      </c>
      <c r="AV40" s="374">
        <v>2810.8233</v>
      </c>
      <c r="AW40" s="374">
        <v>987.03250000000003</v>
      </c>
      <c r="AX40" s="351">
        <f t="shared" si="39"/>
        <v>346.29105500000003</v>
      </c>
      <c r="AY40" s="351">
        <f t="shared" si="40"/>
        <v>827.32663200000002</v>
      </c>
      <c r="AZ40" s="352">
        <f t="shared" si="41"/>
        <v>378.5652</v>
      </c>
      <c r="BA40" s="352">
        <f t="shared" si="113"/>
        <v>266.86464883551673</v>
      </c>
      <c r="BB40" s="353">
        <f t="shared" si="114"/>
        <v>613.15570383551676</v>
      </c>
      <c r="BC40" s="353">
        <f t="shared" si="115"/>
        <v>715.62608083551675</v>
      </c>
      <c r="BD40" s="343">
        <f t="shared" si="116"/>
        <v>364.80555779521472</v>
      </c>
      <c r="BE40" s="343">
        <f t="shared" si="117"/>
        <v>467.27593479521471</v>
      </c>
      <c r="BG40" s="374">
        <v>0.82640000000000002</v>
      </c>
      <c r="BH40" s="375">
        <v>1.2004999999999999</v>
      </c>
      <c r="BI40" s="374">
        <v>1.7994000000000001</v>
      </c>
      <c r="BJ40" s="374">
        <v>2216.56</v>
      </c>
      <c r="BK40" s="374">
        <v>745.14580000000001</v>
      </c>
      <c r="BL40" s="351">
        <f t="shared" si="42"/>
        <v>276.65392800000001</v>
      </c>
      <c r="BM40" s="351">
        <f t="shared" si="43"/>
        <v>703.39695999999992</v>
      </c>
      <c r="BN40" s="352">
        <f t="shared" si="44"/>
        <v>369.54277800000006</v>
      </c>
      <c r="BO40" s="352">
        <f t="shared" si="118"/>
        <v>265.22629571369248</v>
      </c>
      <c r="BP40" s="353">
        <f t="shared" si="119"/>
        <v>541.88022371369243</v>
      </c>
      <c r="BQ40" s="353">
        <f t="shared" si="120"/>
        <v>599.08047771369229</v>
      </c>
      <c r="BR40" s="343">
        <f t="shared" si="121"/>
        <v>295.19047972740697</v>
      </c>
      <c r="BS40" s="343">
        <f t="shared" si="122"/>
        <v>352.39073372740683</v>
      </c>
      <c r="BU40" s="374">
        <v>0.88200000000000001</v>
      </c>
      <c r="BV40" s="375">
        <v>1.1939</v>
      </c>
      <c r="BW40" s="374">
        <v>2.4161999999999999</v>
      </c>
      <c r="BX40" s="374">
        <v>4293.585</v>
      </c>
      <c r="BY40" s="374">
        <v>1629.855</v>
      </c>
      <c r="BZ40" s="351">
        <f t="shared" si="45"/>
        <v>204.72984</v>
      </c>
      <c r="CA40" s="351">
        <f t="shared" si="46"/>
        <v>455.91459299999997</v>
      </c>
      <c r="CB40" s="352">
        <f t="shared" si="47"/>
        <v>239.66287799999998</v>
      </c>
      <c r="CC40" s="352">
        <f t="shared" si="123"/>
        <v>165.39275595557564</v>
      </c>
      <c r="CD40" s="353">
        <f t="shared" si="124"/>
        <v>370.12259595557566</v>
      </c>
      <c r="CE40" s="353">
        <f t="shared" si="125"/>
        <v>381.64447095557563</v>
      </c>
      <c r="CF40" s="343">
        <f t="shared" si="126"/>
        <v>217.49021319932314</v>
      </c>
      <c r="CG40" s="343">
        <f t="shared" si="127"/>
        <v>229.01208819932313</v>
      </c>
      <c r="CI40" s="374">
        <v>0.77739999999999998</v>
      </c>
      <c r="CJ40" s="375">
        <v>0.75870000000000004</v>
      </c>
      <c r="CK40" s="374">
        <v>1.3465</v>
      </c>
      <c r="CL40" s="374">
        <v>10295.129199999999</v>
      </c>
      <c r="CM40" s="374">
        <v>3906.125</v>
      </c>
      <c r="CN40" s="351">
        <f t="shared" si="48"/>
        <v>165.220822</v>
      </c>
      <c r="CO40" s="351">
        <f t="shared" si="49"/>
        <v>208.983915</v>
      </c>
      <c r="CP40" s="352">
        <f t="shared" si="50"/>
        <v>0.53860000000000008</v>
      </c>
      <c r="CQ40" s="352">
        <f t="shared" si="128"/>
        <v>0.30079452633706238</v>
      </c>
      <c r="CR40" s="353">
        <f t="shared" si="129"/>
        <v>165.52161652633706</v>
      </c>
      <c r="CS40" s="353">
        <f t="shared" si="130"/>
        <v>208.74610952633705</v>
      </c>
      <c r="CT40" s="343">
        <f t="shared" si="131"/>
        <v>165.2566750566973</v>
      </c>
      <c r="CU40" s="343">
        <f t="shared" si="132"/>
        <v>208.4811680566973</v>
      </c>
      <c r="CW40" s="374">
        <v>0.54630000000000001</v>
      </c>
      <c r="CX40" s="375">
        <v>0.57520000000000004</v>
      </c>
      <c r="CY40" s="374">
        <v>1.0762</v>
      </c>
      <c r="CZ40" s="374">
        <v>3716.8117000000002</v>
      </c>
      <c r="DA40" s="374">
        <v>1245.7032999999999</v>
      </c>
      <c r="DB40" s="351">
        <f t="shared" si="51"/>
        <v>122.496849</v>
      </c>
      <c r="DC40" s="351">
        <f t="shared" si="52"/>
        <v>178.73764800000001</v>
      </c>
      <c r="DD40" s="352">
        <f t="shared" si="53"/>
        <v>0.26905000000000001</v>
      </c>
      <c r="DE40" s="352">
        <f t="shared" si="133"/>
        <v>0.1596409596952636</v>
      </c>
      <c r="DF40" s="353">
        <f t="shared" si="134"/>
        <v>122.65648995969526</v>
      </c>
      <c r="DG40" s="353">
        <f t="shared" si="135"/>
        <v>178.62823895969527</v>
      </c>
      <c r="DH40" s="343">
        <f t="shared" si="136"/>
        <v>122.51858907262812</v>
      </c>
      <c r="DI40" s="343">
        <f t="shared" si="137"/>
        <v>178.49033807262813</v>
      </c>
      <c r="DK40" s="374">
        <v>0.51929999999999998</v>
      </c>
      <c r="DL40" s="375">
        <v>0.53039999999999998</v>
      </c>
      <c r="DM40" s="374">
        <v>0.87319999999999998</v>
      </c>
      <c r="DN40" s="374">
        <v>2046.3583000000001</v>
      </c>
      <c r="DO40" s="374">
        <v>867.42920000000004</v>
      </c>
      <c r="DP40" s="351">
        <f t="shared" si="54"/>
        <v>68.428161000000003</v>
      </c>
      <c r="DQ40" s="351">
        <f t="shared" si="55"/>
        <v>104.41454400000001</v>
      </c>
      <c r="DR40" s="352">
        <f t="shared" si="56"/>
        <v>0.165908</v>
      </c>
      <c r="DS40" s="352">
        <f t="shared" si="138"/>
        <v>0.1002252780408175</v>
      </c>
      <c r="DT40" s="353">
        <f t="shared" si="139"/>
        <v>68.528386278040827</v>
      </c>
      <c r="DU40" s="353">
        <f t="shared" si="140"/>
        <v>104.34886127804083</v>
      </c>
      <c r="DV40" s="343">
        <f t="shared" si="141"/>
        <v>68.45140187579284</v>
      </c>
      <c r="DW40" s="343">
        <f t="shared" si="142"/>
        <v>104.27187687579284</v>
      </c>
      <c r="EB40" s="326"/>
      <c r="EC40" s="326"/>
      <c r="ED40" s="326"/>
      <c r="EE40" s="348">
        <f t="shared" si="143"/>
        <v>20576.904999999999</v>
      </c>
      <c r="EF40" s="348">
        <f t="shared" si="144"/>
        <v>8455.3341</v>
      </c>
      <c r="EG40" s="348">
        <f t="shared" si="145"/>
        <v>1276.5760962000002</v>
      </c>
      <c r="EH40" s="348">
        <f t="shared" si="146"/>
        <v>2777.9229213999997</v>
      </c>
      <c r="EI40" s="354">
        <f t="shared" si="57"/>
        <v>0.70876052408923562</v>
      </c>
      <c r="EJ40" s="326"/>
      <c r="EK40" s="348">
        <f t="shared" si="147"/>
        <v>1659.382840091434</v>
      </c>
      <c r="EL40" s="348">
        <f t="shared" si="148"/>
        <v>2478.6925172914343</v>
      </c>
      <c r="EM40" s="348">
        <f t="shared" si="58"/>
        <v>1319.776410495843</v>
      </c>
      <c r="EN40" s="348">
        <f t="shared" si="149"/>
        <v>2139.0860876958432</v>
      </c>
      <c r="EP40" s="326"/>
      <c r="EQ40" s="326"/>
      <c r="ER40" s="326"/>
      <c r="ES40" s="348">
        <f t="shared" si="59"/>
        <v>16900.132599999997</v>
      </c>
      <c r="ET40" s="348">
        <f t="shared" si="60"/>
        <v>6261.0724</v>
      </c>
      <c r="EU40" s="348">
        <f t="shared" si="61"/>
        <v>920.72566429999995</v>
      </c>
      <c r="EV40" s="348">
        <f t="shared" si="62"/>
        <v>2129.7919246000001</v>
      </c>
      <c r="EW40" s="354">
        <f t="shared" si="63"/>
        <v>0.72967415123694979</v>
      </c>
      <c r="EX40" s="326"/>
      <c r="EY40" s="348">
        <f t="shared" si="64"/>
        <v>1403.234870322493</v>
      </c>
      <c r="EZ40" s="348">
        <f t="shared" si="65"/>
        <v>1947.1121336224928</v>
      </c>
      <c r="FA40" s="348">
        <f t="shared" si="66"/>
        <v>956.31235016232347</v>
      </c>
      <c r="FB40" s="348">
        <f t="shared" si="67"/>
        <v>1500.1896134623235</v>
      </c>
      <c r="FD40" s="326"/>
      <c r="FE40" s="326"/>
      <c r="FF40" s="326"/>
      <c r="FG40" s="348">
        <f t="shared" si="68"/>
        <v>16693.4833</v>
      </c>
      <c r="FH40" s="348">
        <f t="shared" si="69"/>
        <v>6437.4791999999998</v>
      </c>
      <c r="FI40" s="348">
        <f t="shared" si="70"/>
        <v>665.36978859999999</v>
      </c>
      <c r="FJ40" s="348">
        <f t="shared" si="71"/>
        <v>1505.8907564000001</v>
      </c>
      <c r="FK40" s="354">
        <f t="shared" si="72"/>
        <v>0.72169427882648629</v>
      </c>
      <c r="FL40" s="326"/>
      <c r="FM40" s="348">
        <f t="shared" si="73"/>
        <v>1040.1910603985102</v>
      </c>
      <c r="FN40" s="348">
        <f t="shared" si="74"/>
        <v>1363.0202483985101</v>
      </c>
      <c r="FO40" s="348">
        <f t="shared" si="75"/>
        <v>693.19362083008707</v>
      </c>
      <c r="FP40" s="348">
        <f t="shared" si="76"/>
        <v>1016.0228088300871</v>
      </c>
      <c r="FR40" s="326"/>
      <c r="FS40" s="326"/>
      <c r="FT40" s="326"/>
      <c r="FU40" s="348">
        <f t="shared" si="77"/>
        <v>14011.9409</v>
      </c>
      <c r="FV40" s="348">
        <f t="shared" si="78"/>
        <v>5151.8283000000001</v>
      </c>
      <c r="FW40" s="348">
        <f t="shared" si="79"/>
        <v>263.21830119999998</v>
      </c>
      <c r="FX40" s="348">
        <f t="shared" si="80"/>
        <v>351.9740334</v>
      </c>
      <c r="FY40" s="354">
        <f t="shared" si="81"/>
        <v>0.73116831839114405</v>
      </c>
      <c r="FZ40" s="326"/>
      <c r="GA40" s="348">
        <f t="shared" si="82"/>
        <v>263.64680849409331</v>
      </c>
      <c r="GB40" s="348">
        <f t="shared" si="83"/>
        <v>351.64870069409324</v>
      </c>
      <c r="GC40" s="348">
        <f t="shared" si="84"/>
        <v>263.27154631479982</v>
      </c>
      <c r="GD40" s="348">
        <f t="shared" si="85"/>
        <v>351.27343851479981</v>
      </c>
      <c r="GF40" s="326"/>
      <c r="GG40" s="326"/>
      <c r="GH40" s="326"/>
      <c r="GI40" s="348">
        <f t="shared" si="86"/>
        <v>7104.4083000000001</v>
      </c>
      <c r="GJ40" s="348">
        <f t="shared" si="87"/>
        <v>2616.8874999999998</v>
      </c>
      <c r="GK40" s="349">
        <f t="shared" si="88"/>
        <v>106.17091125000002</v>
      </c>
      <c r="GL40" s="349">
        <f t="shared" si="89"/>
        <v>278.55902925000004</v>
      </c>
      <c r="GM40" s="354">
        <f t="shared" si="90"/>
        <v>0.7308087775705786</v>
      </c>
      <c r="GN40" s="326"/>
      <c r="GO40" s="349">
        <f t="shared" si="91"/>
        <v>182.27483090995582</v>
      </c>
      <c r="GP40" s="349">
        <f t="shared" si="92"/>
        <v>250.48620740995585</v>
      </c>
      <c r="GQ40" s="349">
        <f t="shared" si="93"/>
        <v>110.48650844691869</v>
      </c>
      <c r="GR40" s="349">
        <f t="shared" si="94"/>
        <v>178.69788494691869</v>
      </c>
      <c r="HA40" s="374"/>
      <c r="HB40" s="375"/>
      <c r="HC40" s="374"/>
      <c r="HD40" s="374"/>
      <c r="HE40" s="374"/>
      <c r="HF40" s="351">
        <f t="shared" si="95"/>
        <v>0</v>
      </c>
      <c r="HG40" s="351">
        <f t="shared" si="96"/>
        <v>0</v>
      </c>
      <c r="HH40" s="352">
        <f t="shared" si="97"/>
        <v>0</v>
      </c>
      <c r="HI40" s="352">
        <f t="shared" si="150"/>
        <v>0</v>
      </c>
      <c r="HJ40" s="353">
        <f t="shared" si="151"/>
        <v>0</v>
      </c>
      <c r="HK40" s="353">
        <f t="shared" si="152"/>
        <v>0</v>
      </c>
    </row>
    <row r="41" spans="1:219" x14ac:dyDescent="0.2">
      <c r="A41" s="320">
        <v>31</v>
      </c>
      <c r="C41" s="350">
        <v>0.7</v>
      </c>
      <c r="D41" s="350">
        <v>0.89049999999999996</v>
      </c>
      <c r="E41" s="350">
        <v>1.9435</v>
      </c>
      <c r="F41" s="350">
        <v>4725.0132999999996</v>
      </c>
      <c r="G41" s="350">
        <v>2790.5983000000001</v>
      </c>
      <c r="H41" s="351">
        <f t="shared" si="30"/>
        <v>683.27</v>
      </c>
      <c r="I41" s="351">
        <f t="shared" si="31"/>
        <v>1650.710945</v>
      </c>
      <c r="J41" s="352">
        <f t="shared" si="32"/>
        <v>333.44629499999996</v>
      </c>
      <c r="K41" s="352">
        <f t="shared" si="98"/>
        <v>123.81090368856987</v>
      </c>
      <c r="L41" s="353">
        <f t="shared" si="99"/>
        <v>807.08090368856983</v>
      </c>
      <c r="M41" s="353">
        <f t="shared" si="100"/>
        <v>1441.0755536885699</v>
      </c>
      <c r="N41" s="343">
        <f t="shared" si="101"/>
        <v>707.90256638582866</v>
      </c>
      <c r="O41" s="343">
        <f t="shared" si="102"/>
        <v>1341.8972163858286</v>
      </c>
      <c r="Q41" s="374">
        <v>0.62080000000000002</v>
      </c>
      <c r="R41" s="375">
        <v>0.93559999999999999</v>
      </c>
      <c r="S41" s="374">
        <v>1.6091</v>
      </c>
      <c r="T41" s="374">
        <v>850.505</v>
      </c>
      <c r="U41" s="374">
        <v>417.29329999999999</v>
      </c>
      <c r="V41" s="351">
        <f t="shared" si="33"/>
        <v>396.93952000000002</v>
      </c>
      <c r="W41" s="351">
        <f t="shared" si="34"/>
        <v>1124.0111280000001</v>
      </c>
      <c r="X41" s="352">
        <f t="shared" si="35"/>
        <v>322.43145799999996</v>
      </c>
      <c r="Y41" s="352">
        <f t="shared" si="103"/>
        <v>238.2829102876089</v>
      </c>
      <c r="Z41" s="353">
        <f t="shared" si="104"/>
        <v>635.22243028760886</v>
      </c>
      <c r="AA41" s="353">
        <f t="shared" si="105"/>
        <v>1039.862580287609</v>
      </c>
      <c r="AB41" s="343">
        <f t="shared" si="106"/>
        <v>413.93858302737959</v>
      </c>
      <c r="AC41" s="343">
        <f t="shared" si="107"/>
        <v>818.57873302737971</v>
      </c>
      <c r="AE41" s="374">
        <v>0.60580000000000001</v>
      </c>
      <c r="AF41" s="375">
        <v>0.81879999999999997</v>
      </c>
      <c r="AG41" s="374">
        <v>1.6689000000000001</v>
      </c>
      <c r="AH41" s="374">
        <v>72.833299999999994</v>
      </c>
      <c r="AI41" s="374">
        <v>38.668300000000002</v>
      </c>
      <c r="AJ41" s="351">
        <f t="shared" si="36"/>
        <v>259.63376399999999</v>
      </c>
      <c r="AK41" s="351">
        <f t="shared" si="37"/>
        <v>814.03458399999988</v>
      </c>
      <c r="AL41" s="352">
        <f t="shared" si="38"/>
        <v>299.38397099999997</v>
      </c>
      <c r="AM41" s="352">
        <f t="shared" si="108"/>
        <v>226.98713875958745</v>
      </c>
      <c r="AN41" s="353">
        <f t="shared" si="109"/>
        <v>486.62090275958747</v>
      </c>
      <c r="AO41" s="353">
        <f t="shared" si="110"/>
        <v>741.63775175958733</v>
      </c>
      <c r="AP41" s="343">
        <f t="shared" si="111"/>
        <v>274.64742544859092</v>
      </c>
      <c r="AQ41" s="343">
        <f t="shared" si="112"/>
        <v>529.66427444859085</v>
      </c>
      <c r="AS41" s="374">
        <v>0.96389999999999998</v>
      </c>
      <c r="AT41" s="375">
        <v>1.2464999999999999</v>
      </c>
      <c r="AU41" s="374">
        <v>1.8203</v>
      </c>
      <c r="AV41" s="374">
        <v>3749.2150000000001</v>
      </c>
      <c r="AW41" s="374">
        <v>1242.1183000000001</v>
      </c>
      <c r="AX41" s="351">
        <f t="shared" si="39"/>
        <v>328.37181300000003</v>
      </c>
      <c r="AY41" s="351">
        <f t="shared" si="40"/>
        <v>851.50907999999993</v>
      </c>
      <c r="AZ41" s="352">
        <f t="shared" si="41"/>
        <v>441.73220099999998</v>
      </c>
      <c r="BA41" s="352">
        <f t="shared" si="113"/>
        <v>318.79402599994899</v>
      </c>
      <c r="BB41" s="353">
        <f t="shared" si="114"/>
        <v>647.16583899994907</v>
      </c>
      <c r="BC41" s="353">
        <f t="shared" si="115"/>
        <v>728.57090499994888</v>
      </c>
      <c r="BD41" s="343">
        <f t="shared" si="116"/>
        <v>346.88631579521473</v>
      </c>
      <c r="BE41" s="343">
        <f t="shared" si="117"/>
        <v>428.29138179521465</v>
      </c>
      <c r="BG41" s="374">
        <v>0.82079999999999997</v>
      </c>
      <c r="BH41" s="375">
        <v>1.2391000000000001</v>
      </c>
      <c r="BI41" s="374">
        <v>1.9995000000000001</v>
      </c>
      <c r="BJ41" s="374">
        <v>2726.8575000000001</v>
      </c>
      <c r="BK41" s="374">
        <v>847.53499999999997</v>
      </c>
      <c r="BL41" s="351">
        <f t="shared" si="42"/>
        <v>274.77921599999996</v>
      </c>
      <c r="BM41" s="351">
        <f t="shared" si="43"/>
        <v>726.01347199999998</v>
      </c>
      <c r="BN41" s="352">
        <f t="shared" si="44"/>
        <v>410.637315</v>
      </c>
      <c r="BO41" s="352">
        <f t="shared" si="118"/>
        <v>297.89208731299971</v>
      </c>
      <c r="BP41" s="353">
        <f t="shared" si="119"/>
        <v>572.67130331299973</v>
      </c>
      <c r="BQ41" s="353">
        <f t="shared" si="120"/>
        <v>613.26824431299974</v>
      </c>
      <c r="BR41" s="343">
        <f t="shared" si="121"/>
        <v>293.31576772740692</v>
      </c>
      <c r="BS41" s="343">
        <f t="shared" si="122"/>
        <v>333.91270872740694</v>
      </c>
      <c r="BU41" s="374">
        <v>0.86199999999999999</v>
      </c>
      <c r="BV41" s="375">
        <v>1.2150000000000001</v>
      </c>
      <c r="BW41" s="374">
        <v>2.516</v>
      </c>
      <c r="BX41" s="374">
        <v>5154.8357999999998</v>
      </c>
      <c r="BY41" s="374">
        <v>1861.9541999999999</v>
      </c>
      <c r="BZ41" s="351">
        <f t="shared" si="45"/>
        <v>200.08744000000002</v>
      </c>
      <c r="CA41" s="351">
        <f t="shared" si="46"/>
        <v>463.97205000000002</v>
      </c>
      <c r="CB41" s="352">
        <f t="shared" si="47"/>
        <v>249.56204</v>
      </c>
      <c r="CC41" s="352">
        <f t="shared" si="123"/>
        <v>174.36662384115917</v>
      </c>
      <c r="CD41" s="353">
        <f t="shared" si="124"/>
        <v>374.45406384115915</v>
      </c>
      <c r="CE41" s="353">
        <f t="shared" si="125"/>
        <v>388.7766338411592</v>
      </c>
      <c r="CF41" s="343">
        <f t="shared" si="126"/>
        <v>212.84781319932316</v>
      </c>
      <c r="CG41" s="343">
        <f t="shared" si="127"/>
        <v>227.17038319932317</v>
      </c>
      <c r="CI41" s="374">
        <v>0.80289999999999995</v>
      </c>
      <c r="CJ41" s="375">
        <v>0.7974</v>
      </c>
      <c r="CK41" s="374">
        <v>1.5173000000000001</v>
      </c>
      <c r="CL41" s="374">
        <v>12653.4058</v>
      </c>
      <c r="CM41" s="374">
        <v>4527.3666999999996</v>
      </c>
      <c r="CN41" s="351">
        <f t="shared" si="48"/>
        <v>170.64033699999999</v>
      </c>
      <c r="CO41" s="351">
        <f t="shared" si="49"/>
        <v>219.64382999999998</v>
      </c>
      <c r="CP41" s="352">
        <f t="shared" si="50"/>
        <v>0.60692000000000013</v>
      </c>
      <c r="CQ41" s="352">
        <f t="shared" si="128"/>
        <v>0.34156198117972852</v>
      </c>
      <c r="CR41" s="353">
        <f t="shared" si="129"/>
        <v>170.98189898117971</v>
      </c>
      <c r="CS41" s="353">
        <f t="shared" si="130"/>
        <v>219.3784719811797</v>
      </c>
      <c r="CT41" s="343">
        <f t="shared" si="131"/>
        <v>170.67619005669729</v>
      </c>
      <c r="CU41" s="343">
        <f t="shared" si="132"/>
        <v>219.07276305669728</v>
      </c>
      <c r="CW41" s="374">
        <v>0.60170000000000001</v>
      </c>
      <c r="CX41" s="375">
        <v>0.62480000000000002</v>
      </c>
      <c r="CY41" s="374">
        <v>1.1975</v>
      </c>
      <c r="CZ41" s="374">
        <v>4818.9875000000002</v>
      </c>
      <c r="DA41" s="374">
        <v>1397.3892000000001</v>
      </c>
      <c r="DB41" s="351">
        <f t="shared" si="51"/>
        <v>134.91919099999998</v>
      </c>
      <c r="DC41" s="351">
        <f t="shared" si="52"/>
        <v>194.15035200000003</v>
      </c>
      <c r="DD41" s="352">
        <f t="shared" si="53"/>
        <v>0.299375</v>
      </c>
      <c r="DE41" s="352">
        <f t="shared" si="133"/>
        <v>0.17663063284468114</v>
      </c>
      <c r="DF41" s="353">
        <f t="shared" si="134"/>
        <v>135.09582163284466</v>
      </c>
      <c r="DG41" s="353">
        <f t="shared" si="135"/>
        <v>194.02760763284471</v>
      </c>
      <c r="DH41" s="343">
        <f t="shared" si="136"/>
        <v>134.9409310726281</v>
      </c>
      <c r="DI41" s="343">
        <f t="shared" si="137"/>
        <v>193.87271707262815</v>
      </c>
      <c r="DK41" s="374">
        <v>0.55489999999999995</v>
      </c>
      <c r="DL41" s="375">
        <v>0.57099999999999995</v>
      </c>
      <c r="DM41" s="374">
        <v>0.94179999999999997</v>
      </c>
      <c r="DN41" s="374">
        <v>2417.0466999999999</v>
      </c>
      <c r="DO41" s="374">
        <v>980.9058</v>
      </c>
      <c r="DP41" s="351">
        <f t="shared" si="54"/>
        <v>73.119173000000004</v>
      </c>
      <c r="DQ41" s="351">
        <f t="shared" si="55"/>
        <v>112.40706</v>
      </c>
      <c r="DR41" s="352">
        <f t="shared" si="56"/>
        <v>0.17894199999999999</v>
      </c>
      <c r="DS41" s="352">
        <f t="shared" si="138"/>
        <v>0.10841778979320946</v>
      </c>
      <c r="DT41" s="353">
        <f t="shared" si="139"/>
        <v>73.227590789793211</v>
      </c>
      <c r="DU41" s="353">
        <f t="shared" si="140"/>
        <v>112.3365357897932</v>
      </c>
      <c r="DV41" s="343">
        <f t="shared" si="141"/>
        <v>73.14241387579284</v>
      </c>
      <c r="DW41" s="343">
        <f t="shared" si="142"/>
        <v>112.25135887579283</v>
      </c>
      <c r="EB41" s="326"/>
      <c r="EC41" s="326"/>
      <c r="ED41" s="326"/>
      <c r="EE41" s="348">
        <f t="shared" si="143"/>
        <v>25946.621599999999</v>
      </c>
      <c r="EF41" s="348">
        <f t="shared" si="144"/>
        <v>9957.4724999999999</v>
      </c>
      <c r="EG41" s="348">
        <f t="shared" si="145"/>
        <v>1290.2175027999999</v>
      </c>
      <c r="EH41" s="348">
        <f t="shared" si="146"/>
        <v>2877.1841365999999</v>
      </c>
      <c r="EI41" s="354">
        <f t="shared" si="57"/>
        <v>0.72266470580579267</v>
      </c>
      <c r="EJ41" s="326"/>
      <c r="EK41" s="348">
        <f t="shared" si="147"/>
        <v>1733.3052989759744</v>
      </c>
      <c r="EL41" s="348">
        <f t="shared" si="148"/>
        <v>2544.2470167759739</v>
      </c>
      <c r="EM41" s="348">
        <f t="shared" si="58"/>
        <v>1333.4178170958432</v>
      </c>
      <c r="EN41" s="348">
        <f t="shared" si="149"/>
        <v>2144.3595348958434</v>
      </c>
      <c r="EP41" s="326"/>
      <c r="EQ41" s="326"/>
      <c r="ER41" s="326"/>
      <c r="ES41" s="348">
        <f t="shared" si="59"/>
        <v>21049.755799999999</v>
      </c>
      <c r="ET41" s="348">
        <f t="shared" si="60"/>
        <v>7189.5841999999993</v>
      </c>
      <c r="EU41" s="348">
        <f t="shared" si="61"/>
        <v>936.80250670000009</v>
      </c>
      <c r="EV41" s="348">
        <f t="shared" si="62"/>
        <v>2205.5736764000003</v>
      </c>
      <c r="EW41" s="354">
        <f t="shared" si="63"/>
        <v>0.74540537420492126</v>
      </c>
      <c r="EX41" s="326"/>
      <c r="EY41" s="348">
        <f t="shared" si="64"/>
        <v>1473.4427077247797</v>
      </c>
      <c r="EZ41" s="348">
        <f t="shared" si="65"/>
        <v>2008.3286219247798</v>
      </c>
      <c r="FA41" s="348">
        <f t="shared" si="66"/>
        <v>972.38919256232339</v>
      </c>
      <c r="FB41" s="348">
        <f t="shared" si="67"/>
        <v>1507.2751067623235</v>
      </c>
      <c r="FD41" s="326"/>
      <c r="FE41" s="326"/>
      <c r="FF41" s="326"/>
      <c r="FG41" s="348">
        <f t="shared" si="68"/>
        <v>20298.121599999999</v>
      </c>
      <c r="FH41" s="348">
        <f t="shared" si="69"/>
        <v>7408.8950000000004</v>
      </c>
      <c r="FI41" s="348">
        <f t="shared" si="70"/>
        <v>674.23304480000002</v>
      </c>
      <c r="FJ41" s="348">
        <f t="shared" si="71"/>
        <v>1565.0946999999999</v>
      </c>
      <c r="FK41" s="354">
        <f t="shared" si="72"/>
        <v>0.73259860103451191</v>
      </c>
      <c r="FL41" s="326"/>
      <c r="FM41" s="348">
        <f t="shared" si="73"/>
        <v>1075.9934200558023</v>
      </c>
      <c r="FN41" s="348">
        <f t="shared" si="74"/>
        <v>1417.1947790558022</v>
      </c>
      <c r="FO41" s="348">
        <f t="shared" si="75"/>
        <v>702.05687703008709</v>
      </c>
      <c r="FP41" s="348">
        <f t="shared" si="76"/>
        <v>1043.2582360300869</v>
      </c>
      <c r="FR41" s="326"/>
      <c r="FS41" s="326"/>
      <c r="FT41" s="326"/>
      <c r="FU41" s="348">
        <f t="shared" si="77"/>
        <v>17472.3933</v>
      </c>
      <c r="FV41" s="348">
        <f t="shared" si="78"/>
        <v>5924.7559000000001</v>
      </c>
      <c r="FW41" s="348">
        <f t="shared" si="79"/>
        <v>278.57568979999996</v>
      </c>
      <c r="FX41" s="348">
        <f t="shared" si="80"/>
        <v>374.96411160000002</v>
      </c>
      <c r="FY41" s="354">
        <f t="shared" si="81"/>
        <v>0.74677445318851066</v>
      </c>
      <c r="FZ41" s="326"/>
      <c r="GA41" s="348">
        <f t="shared" si="82"/>
        <v>279.05855628745542</v>
      </c>
      <c r="GB41" s="348">
        <f t="shared" si="83"/>
        <v>374.60055808745551</v>
      </c>
      <c r="GC41" s="348">
        <f t="shared" si="84"/>
        <v>278.6289349147998</v>
      </c>
      <c r="GD41" s="348">
        <f t="shared" si="85"/>
        <v>374.17093671479984</v>
      </c>
      <c r="GF41" s="326"/>
      <c r="GG41" s="326"/>
      <c r="GH41" s="326"/>
      <c r="GI41" s="348">
        <f t="shared" si="86"/>
        <v>8904.0508000000009</v>
      </c>
      <c r="GJ41" s="348">
        <f t="shared" si="87"/>
        <v>3104.0725000000002</v>
      </c>
      <c r="GK41" s="349">
        <f t="shared" si="88"/>
        <v>96.213279750000012</v>
      </c>
      <c r="GL41" s="349">
        <f t="shared" si="89"/>
        <v>290.65277249999991</v>
      </c>
      <c r="GM41" s="354">
        <f t="shared" si="90"/>
        <v>0.74150227954438142</v>
      </c>
      <c r="GN41" s="326"/>
      <c r="GO41" s="349">
        <f t="shared" si="91"/>
        <v>204.53383136909244</v>
      </c>
      <c r="GP41" s="349">
        <f t="shared" si="92"/>
        <v>254.84570336909226</v>
      </c>
      <c r="GQ41" s="349">
        <f t="shared" si="93"/>
        <v>100.52887694691867</v>
      </c>
      <c r="GR41" s="349">
        <f t="shared" si="94"/>
        <v>150.84074894691861</v>
      </c>
      <c r="HA41" s="374"/>
      <c r="HB41" s="375"/>
      <c r="HC41" s="374"/>
      <c r="HD41" s="374"/>
      <c r="HE41" s="374"/>
      <c r="HF41" s="351">
        <f t="shared" si="95"/>
        <v>0</v>
      </c>
      <c r="HG41" s="351">
        <f t="shared" si="96"/>
        <v>0</v>
      </c>
      <c r="HH41" s="352">
        <f t="shared" si="97"/>
        <v>0</v>
      </c>
      <c r="HI41" s="352">
        <f t="shared" si="150"/>
        <v>0</v>
      </c>
      <c r="HJ41" s="353">
        <f t="shared" si="151"/>
        <v>0</v>
      </c>
      <c r="HK41" s="353">
        <f t="shared" si="152"/>
        <v>0</v>
      </c>
    </row>
    <row r="42" spans="1:219" x14ac:dyDescent="0.2">
      <c r="A42" s="320">
        <v>32</v>
      </c>
      <c r="C42" s="350">
        <v>0.72199999999999998</v>
      </c>
      <c r="D42" s="350">
        <v>0.91839999999999999</v>
      </c>
      <c r="E42" s="350">
        <v>2.0956000000000001</v>
      </c>
      <c r="F42" s="350">
        <v>5960.8692000000001</v>
      </c>
      <c r="G42" s="350">
        <v>3330.96</v>
      </c>
      <c r="H42" s="351">
        <f t="shared" ref="H42:H73" si="153" xml:space="preserve"> C42 * C$8</f>
        <v>704.74419999999998</v>
      </c>
      <c r="I42" s="351">
        <f t="shared" ref="I42:I73" si="154" xml:space="preserve"> D42 * D$8</f>
        <v>1702.4288960000001</v>
      </c>
      <c r="J42" s="352">
        <f t="shared" ref="J42:J73" si="155" xml:space="preserve"> E42 * E$8</f>
        <v>359.54209200000003</v>
      </c>
      <c r="K42" s="352">
        <f t="shared" si="98"/>
        <v>128.88961914714488</v>
      </c>
      <c r="L42" s="353">
        <f t="shared" si="99"/>
        <v>833.63381914714489</v>
      </c>
      <c r="M42" s="353">
        <f t="shared" si="100"/>
        <v>1471.7764231471451</v>
      </c>
      <c r="N42" s="343">
        <f t="shared" si="101"/>
        <v>729.37676638582866</v>
      </c>
      <c r="O42" s="343">
        <f t="shared" si="102"/>
        <v>1367.5193703858288</v>
      </c>
      <c r="Q42" s="374">
        <v>0.63580000000000003</v>
      </c>
      <c r="R42" s="375">
        <v>0.96109999999999995</v>
      </c>
      <c r="S42" s="374">
        <v>1.7089000000000001</v>
      </c>
      <c r="T42" s="374">
        <v>965.53920000000005</v>
      </c>
      <c r="U42" s="374">
        <v>505.38080000000002</v>
      </c>
      <c r="V42" s="351">
        <f t="shared" ref="V42:V73" si="156" xml:space="preserve"> Q42 * Q$8</f>
        <v>406.53052000000002</v>
      </c>
      <c r="W42" s="351">
        <f t="shared" ref="W42:W73" si="157" xml:space="preserve"> R42 * R$8</f>
        <v>1154.6463180000001</v>
      </c>
      <c r="X42" s="352">
        <f t="shared" ref="X42:X73" si="158" xml:space="preserve"> S42 * S$8</f>
        <v>342.42938200000003</v>
      </c>
      <c r="Y42" s="352">
        <f t="shared" si="103"/>
        <v>253.2607552696189</v>
      </c>
      <c r="Z42" s="353">
        <f t="shared" si="104"/>
        <v>659.79127526961895</v>
      </c>
      <c r="AA42" s="353">
        <f t="shared" si="105"/>
        <v>1065.4776912696188</v>
      </c>
      <c r="AB42" s="343">
        <f t="shared" si="106"/>
        <v>423.5295830273796</v>
      </c>
      <c r="AC42" s="343">
        <f t="shared" si="107"/>
        <v>829.21599902737967</v>
      </c>
      <c r="AE42" s="374">
        <v>0.62350000000000005</v>
      </c>
      <c r="AF42" s="375">
        <v>0.85340000000000005</v>
      </c>
      <c r="AG42" s="374">
        <v>1.8151999999999999</v>
      </c>
      <c r="AH42" s="374">
        <v>106.16670000000001</v>
      </c>
      <c r="AI42" s="374">
        <v>39.404200000000003</v>
      </c>
      <c r="AJ42" s="351">
        <f t="shared" ref="AJ42:AJ73" si="159" xml:space="preserve"> AE42 * AE$8</f>
        <v>267.21963</v>
      </c>
      <c r="AK42" s="351">
        <f t="shared" ref="AK42:AK73" si="160" xml:space="preserve"> AF42 * AF$8</f>
        <v>848.43321200000003</v>
      </c>
      <c r="AL42" s="352">
        <f t="shared" ref="AL42:AL73" si="161" xml:space="preserve"> AG42 * AG$8</f>
        <v>325.62872799999997</v>
      </c>
      <c r="AM42" s="352">
        <f t="shared" si="108"/>
        <v>247.63458417875327</v>
      </c>
      <c r="AN42" s="353">
        <f t="shared" si="109"/>
        <v>514.8542141787533</v>
      </c>
      <c r="AO42" s="353">
        <f t="shared" si="110"/>
        <v>770.43906817875325</v>
      </c>
      <c r="AP42" s="343">
        <f t="shared" si="111"/>
        <v>282.23329144859093</v>
      </c>
      <c r="AQ42" s="343">
        <f t="shared" si="112"/>
        <v>537.81814544859094</v>
      </c>
      <c r="AS42" s="374">
        <v>0.92510000000000003</v>
      </c>
      <c r="AT42" s="375">
        <v>1.2737000000000001</v>
      </c>
      <c r="AU42" s="374">
        <v>2.0421999999999998</v>
      </c>
      <c r="AV42" s="374">
        <v>4767.4825000000001</v>
      </c>
      <c r="AW42" s="374">
        <v>1553.32</v>
      </c>
      <c r="AX42" s="351">
        <f t="shared" ref="AX42:AX73" si="162" xml:space="preserve"> AS42 * AS$8</f>
        <v>315.153817</v>
      </c>
      <c r="AY42" s="351">
        <f t="shared" ref="AY42:AY73" si="163" xml:space="preserve"> AT42 * AT$8</f>
        <v>870.08994400000006</v>
      </c>
      <c r="AZ42" s="352">
        <f t="shared" ref="AZ42:AZ73" si="164" xml:space="preserve"> AU42 * AU$8</f>
        <v>495.58067399999993</v>
      </c>
      <c r="BA42" s="352">
        <f t="shared" si="113"/>
        <v>363.80681769996016</v>
      </c>
      <c r="BB42" s="353">
        <f t="shared" si="114"/>
        <v>678.96063469996011</v>
      </c>
      <c r="BC42" s="353">
        <f t="shared" si="115"/>
        <v>738.31608769996024</v>
      </c>
      <c r="BD42" s="343">
        <f t="shared" si="116"/>
        <v>333.6683197952147</v>
      </c>
      <c r="BE42" s="343">
        <f t="shared" si="117"/>
        <v>393.02377279521482</v>
      </c>
      <c r="BG42" s="374">
        <v>0.81410000000000005</v>
      </c>
      <c r="BH42" s="375">
        <v>1.2681</v>
      </c>
      <c r="BI42" s="374">
        <v>2.1574</v>
      </c>
      <c r="BJ42" s="374">
        <v>3383.7467000000001</v>
      </c>
      <c r="BK42" s="374">
        <v>1053.8167000000001</v>
      </c>
      <c r="BL42" s="351">
        <f t="shared" ref="BL42:BL73" si="165" xml:space="preserve"> BG42 * BG$8</f>
        <v>272.53625699999998</v>
      </c>
      <c r="BM42" s="351">
        <f t="shared" ref="BM42:BM73" si="166" xml:space="preserve"> BH42 * BH$8</f>
        <v>743.00515199999995</v>
      </c>
      <c r="BN42" s="352">
        <f t="shared" ref="BN42:BN73" si="167" xml:space="preserve"> BI42 * BI$8</f>
        <v>443.06523800000002</v>
      </c>
      <c r="BO42" s="352">
        <f t="shared" si="118"/>
        <v>324.16182303217755</v>
      </c>
      <c r="BP42" s="353">
        <f t="shared" si="119"/>
        <v>596.69808003217759</v>
      </c>
      <c r="BQ42" s="353">
        <f t="shared" si="120"/>
        <v>624.10173703217743</v>
      </c>
      <c r="BR42" s="343">
        <f t="shared" si="121"/>
        <v>291.07280872740694</v>
      </c>
      <c r="BS42" s="343">
        <f t="shared" si="122"/>
        <v>318.47646572740689</v>
      </c>
      <c r="BU42" s="374">
        <v>0.84909999999999997</v>
      </c>
      <c r="BV42" s="375">
        <v>1.2302999999999999</v>
      </c>
      <c r="BW42" s="374">
        <v>2.5341</v>
      </c>
      <c r="BX42" s="374">
        <v>5968.4032999999999</v>
      </c>
      <c r="BY42" s="374">
        <v>2225.7649999999999</v>
      </c>
      <c r="BZ42" s="351">
        <f t="shared" ref="BZ42:BZ73" si="168" xml:space="preserve"> BU42 * BU$8</f>
        <v>197.09309199999998</v>
      </c>
      <c r="CA42" s="351">
        <f t="shared" ref="CA42:CA73" si="169" xml:space="preserve"> BV42 * BV$8</f>
        <v>469.814661</v>
      </c>
      <c r="CB42" s="352">
        <f t="shared" ref="CB42:CB73" si="170" xml:space="preserve"> BW42 * BW$8</f>
        <v>251.35737900000001</v>
      </c>
      <c r="CC42" s="352">
        <f t="shared" si="123"/>
        <v>177.07303787295081</v>
      </c>
      <c r="CD42" s="353">
        <f t="shared" si="124"/>
        <v>374.16612987295082</v>
      </c>
      <c r="CE42" s="353">
        <f t="shared" si="125"/>
        <v>395.53031987295083</v>
      </c>
      <c r="CF42" s="343">
        <f t="shared" si="126"/>
        <v>209.85346519932313</v>
      </c>
      <c r="CG42" s="343">
        <f t="shared" si="127"/>
        <v>231.21765519932313</v>
      </c>
      <c r="CI42" s="374">
        <v>0.82740000000000002</v>
      </c>
      <c r="CJ42" s="375">
        <v>0.83579999999999999</v>
      </c>
      <c r="CK42" s="374">
        <v>1.6597</v>
      </c>
      <c r="CL42" s="374">
        <v>15122.92</v>
      </c>
      <c r="CM42" s="374">
        <v>5436.9133000000002</v>
      </c>
      <c r="CN42" s="351">
        <f t="shared" ref="CN42:CN73" si="171" xml:space="preserve"> CI42 * CI$8</f>
        <v>175.84732200000002</v>
      </c>
      <c r="CO42" s="351">
        <f t="shared" ref="CO42:CO73" si="172" xml:space="preserve"> CJ42 * CJ$8</f>
        <v>230.22110999999998</v>
      </c>
      <c r="CP42" s="352">
        <f t="shared" ref="CP42:CP73" si="173" xml:space="preserve"> CK42 * CK$8</f>
        <v>0.66388000000000003</v>
      </c>
      <c r="CQ42" s="352">
        <f t="shared" si="128"/>
        <v>0.3763877673376983</v>
      </c>
      <c r="CR42" s="353">
        <f t="shared" si="129"/>
        <v>176.22370976733771</v>
      </c>
      <c r="CS42" s="353">
        <f t="shared" si="130"/>
        <v>229.93361776733767</v>
      </c>
      <c r="CT42" s="343">
        <f t="shared" si="131"/>
        <v>175.88317505669733</v>
      </c>
      <c r="CU42" s="343">
        <f t="shared" si="132"/>
        <v>229.59308305669728</v>
      </c>
      <c r="CW42" s="374">
        <v>0.65769999999999995</v>
      </c>
      <c r="CX42" s="375">
        <v>0.67400000000000004</v>
      </c>
      <c r="CY42" s="374">
        <v>1.3101</v>
      </c>
      <c r="CZ42" s="374">
        <v>5882.7825000000003</v>
      </c>
      <c r="DA42" s="374">
        <v>1855.2942</v>
      </c>
      <c r="DB42" s="351">
        <f t="shared" ref="DB42:DB73" si="174" xml:space="preserve"> CW42 * CW$8</f>
        <v>147.47607099999999</v>
      </c>
      <c r="DC42" s="351">
        <f t="shared" ref="DC42:DC73" si="175" xml:space="preserve"> CX42 * CX$8</f>
        <v>209.43876000000003</v>
      </c>
      <c r="DD42" s="352">
        <f t="shared" ref="DD42:DD73" si="176" xml:space="preserve"> CY42 * CY$8</f>
        <v>0.32752500000000001</v>
      </c>
      <c r="DE42" s="352">
        <f t="shared" si="133"/>
        <v>0.19219271353002423</v>
      </c>
      <c r="DF42" s="353">
        <f t="shared" si="134"/>
        <v>147.66826371353002</v>
      </c>
      <c r="DG42" s="353">
        <f t="shared" si="135"/>
        <v>209.30342771353006</v>
      </c>
      <c r="DH42" s="343">
        <f t="shared" si="136"/>
        <v>147.49781107262811</v>
      </c>
      <c r="DI42" s="343">
        <f t="shared" si="137"/>
        <v>209.13297507262814</v>
      </c>
      <c r="DK42" s="374">
        <v>0.59540000000000004</v>
      </c>
      <c r="DL42" s="375">
        <v>0.6139</v>
      </c>
      <c r="DM42" s="374">
        <v>1.0035000000000001</v>
      </c>
      <c r="DN42" s="374">
        <v>2737.6583000000001</v>
      </c>
      <c r="DO42" s="374">
        <v>1187.4132999999999</v>
      </c>
      <c r="DP42" s="351">
        <f t="shared" ref="DP42:DP73" si="177" xml:space="preserve"> DK42 * DK$8</f>
        <v>78.455858000000006</v>
      </c>
      <c r="DQ42" s="351">
        <f t="shared" ref="DQ42:DQ73" si="178" xml:space="preserve"> DL42 * DL$8</f>
        <v>120.85235400000001</v>
      </c>
      <c r="DR42" s="352">
        <f t="shared" ref="DR42:DR73" si="179" xml:space="preserve"> DM42 * DM$8</f>
        <v>0.190665</v>
      </c>
      <c r="DS42" s="352">
        <f t="shared" si="138"/>
        <v>0.11561146349258303</v>
      </c>
      <c r="DT42" s="353">
        <f t="shared" si="139"/>
        <v>78.571469463492591</v>
      </c>
      <c r="DU42" s="353">
        <f t="shared" si="140"/>
        <v>120.77730046349259</v>
      </c>
      <c r="DV42" s="343">
        <f t="shared" si="141"/>
        <v>78.479098875792843</v>
      </c>
      <c r="DW42" s="343">
        <f t="shared" si="142"/>
        <v>120.68492987579285</v>
      </c>
      <c r="EB42" s="326"/>
      <c r="EC42" s="326"/>
      <c r="ED42" s="326"/>
      <c r="EE42" s="348">
        <f t="shared" si="143"/>
        <v>31734.054199999999</v>
      </c>
      <c r="EF42" s="348">
        <f t="shared" si="144"/>
        <v>12176.487499999999</v>
      </c>
      <c r="EG42" s="348">
        <f t="shared" si="145"/>
        <v>1313.7261958000001</v>
      </c>
      <c r="EH42" s="348">
        <f t="shared" si="146"/>
        <v>2970.290958</v>
      </c>
      <c r="EI42" s="354">
        <f t="shared" ref="EI42:EI73" si="180" xml:space="preserve"> IF(   SUM(EE42:EF42) = 0,    IF( EG42&lt;EH42, lambdax_min, lambdax_max ),
                                                                   MAX( lambdax_min, MIN( lambdax_max, EE42 / SUM(EE42:EF42) ) )     )</f>
        <v>0.72269785275730269</v>
      </c>
      <c r="EJ42" s="326"/>
      <c r="EK42" s="348">
        <f t="shared" si="147"/>
        <v>1806.9527745852668</v>
      </c>
      <c r="EL42" s="348">
        <f t="shared" si="148"/>
        <v>2607.4688707852674</v>
      </c>
      <c r="EM42" s="348">
        <f t="shared" si="58"/>
        <v>1356.9265100958432</v>
      </c>
      <c r="EN42" s="348">
        <f t="shared" si="149"/>
        <v>2157.4426062958432</v>
      </c>
      <c r="EP42" s="326"/>
      <c r="EQ42" s="326"/>
      <c r="ER42" s="326"/>
      <c r="ES42" s="348">
        <f t="shared" ref="ES42:ES73" si="181" xml:space="preserve"> T42 + BJ42 + CL42 + ES$8 * CZ42</f>
        <v>25354.988400000002</v>
      </c>
      <c r="ET42" s="348">
        <f t="shared" ref="ET42:ET73" si="182" xml:space="preserve"> U42 + BK42 + CM42 + ET$8 * DA42</f>
        <v>8851.4050000000007</v>
      </c>
      <c r="EU42" s="348">
        <f t="shared" ref="EU42:EU73" si="183" xml:space="preserve"> V42 + BL42 + CN42 + EU$8 * DB42</f>
        <v>958.14734870000007</v>
      </c>
      <c r="EV42" s="348">
        <f t="shared" ref="EV42:EV73" si="184" xml:space="preserve"> W42 + BM42 + CO42 + EV$8 * DC42</f>
        <v>2274.4797120000003</v>
      </c>
      <c r="EW42" s="354">
        <f t="shared" ref="EW42:EW73" si="185" xml:space="preserve"> IF(   SUM(ES42:ET42) = 0,    IF( EU42&lt;EV42, lambdax_min, lambdax_max ),
                                                                   MAX( lambdax_min, MIN( lambdax_max, ES42 / SUM(ES42:ET42) ) )     )</f>
        <v>0.74123536215893493</v>
      </c>
      <c r="EX42" s="326"/>
      <c r="EY42" s="348">
        <f t="shared" ref="EY42:EY73" si="186" xml:space="preserve"> Z42 + BP42 + CR42 + EY$8 * DF42</f>
        <v>1536.0808496686052</v>
      </c>
      <c r="EZ42" s="348">
        <f t="shared" ref="EZ42:EZ73" si="187" xml:space="preserve"> AA42 + BQ42 + CS42 + EZ$8 * DG42</f>
        <v>2066.0254454686051</v>
      </c>
      <c r="FA42" s="348">
        <f t="shared" si="66"/>
        <v>993.73403456232359</v>
      </c>
      <c r="FB42" s="348">
        <f t="shared" si="67"/>
        <v>1523.6786303623235</v>
      </c>
      <c r="FD42" s="326"/>
      <c r="FE42" s="326"/>
      <c r="FF42" s="326"/>
      <c r="FG42" s="348">
        <f t="shared" ref="FG42:FG73" si="188" xml:space="preserve"> AH42 + BX42 + CL42 + FG$8 * DN42</f>
        <v>23935.148299999997</v>
      </c>
      <c r="FH42" s="348">
        <f t="shared" ref="FH42:FH73" si="189" xml:space="preserve"> AI42 + BY42 + CM42 + FH$8 * DO42</f>
        <v>8889.4958000000006</v>
      </c>
      <c r="FI42" s="348">
        <f t="shared" ref="FI42:FI73" si="190" xml:space="preserve"> AJ42 + BZ42 + CN42 + FI$8 * DP42</f>
        <v>687.23355879999997</v>
      </c>
      <c r="FJ42" s="348">
        <f t="shared" ref="FJ42:FJ73" si="191" xml:space="preserve"> AK42 + CA42 + CO42 + FJ$8 * DQ42</f>
        <v>1620.9803953999999</v>
      </c>
      <c r="FK42" s="354">
        <f t="shared" ref="FK42:FK73" si="192" xml:space="preserve"> IF(   SUM(FG42:FH42) = 0,    IF( FI42&lt;FJ42, lambdax_min, lambdax_max ),
                                                                   MAX( lambdax_min, MIN( lambdax_max, FG42 / SUM(FG42:FH42) ) )     )</f>
        <v>0.72918226400511066</v>
      </c>
      <c r="FL42" s="326"/>
      <c r="FM42" s="348">
        <f t="shared" ref="FM42:FM73" si="193" xml:space="preserve"> AN42 + CD42 + CR42 + FM$8 * DT42</f>
        <v>1112.3869354971373</v>
      </c>
      <c r="FN42" s="348">
        <f t="shared" ref="FN42:FN73" si="194" xml:space="preserve"> AO42 + CE42 + CS42 + FN$8 * DU42</f>
        <v>1468.3693860971373</v>
      </c>
      <c r="FO42" s="348">
        <f t="shared" si="75"/>
        <v>715.05739103008705</v>
      </c>
      <c r="FP42" s="348">
        <f t="shared" si="76"/>
        <v>1071.039841630087</v>
      </c>
      <c r="FR42" s="326"/>
      <c r="FS42" s="326"/>
      <c r="FT42" s="326"/>
      <c r="FU42" s="348">
        <f t="shared" ref="FU42:FU73" si="195" xml:space="preserve"> CL42 + FU$8 * CZ42</f>
        <v>21005.702499999999</v>
      </c>
      <c r="FV42" s="348">
        <f t="shared" ref="FV42:FV73" si="196" xml:space="preserve"> CM42 + FV$8 * DA42</f>
        <v>7292.2075000000004</v>
      </c>
      <c r="FW42" s="348">
        <f t="shared" ref="FW42:FW73" si="197" xml:space="preserve"> CN42 + FW$8 * DB42</f>
        <v>293.82817880000005</v>
      </c>
      <c r="FX42" s="348">
        <f t="shared" ref="FX42:FX73" si="198" xml:space="preserve"> CO42 + FX$8 * DC42</f>
        <v>397.77211799999998</v>
      </c>
      <c r="FY42" s="354">
        <f t="shared" ref="FY42:FY73" si="199" xml:space="preserve"> IF(   SUM(FU42:FV42) = 0,    IF( FW42&lt;FX42, lambdax_min, lambdax_max ),
                                                                   MAX( lambdax_min, MIN( lambdax_max, FU42 / SUM(FU42:FV42) ) )     )</f>
        <v>0.74230579219454718</v>
      </c>
      <c r="FZ42" s="326"/>
      <c r="GA42" s="348">
        <f t="shared" ref="GA42:GA73" si="200" xml:space="preserve"> CR42 + GA$8 * DF42</f>
        <v>294.35832073816175</v>
      </c>
      <c r="GB42" s="348">
        <f t="shared" ref="GB42:GB73" si="201" xml:space="preserve"> CS42 + GB$8 * DG42</f>
        <v>397.37635993816173</v>
      </c>
      <c r="GC42" s="348">
        <f t="shared" si="84"/>
        <v>293.88142391479983</v>
      </c>
      <c r="GD42" s="348">
        <f t="shared" si="85"/>
        <v>396.8994631147998</v>
      </c>
      <c r="GF42" s="326"/>
      <c r="GG42" s="326"/>
      <c r="GH42" s="326"/>
      <c r="GI42" s="348">
        <f t="shared" ref="GI42:GI73" si="202" xml:space="preserve"> MAX( 0, AV42 + BX42 ) * GI$8</f>
        <v>10735.8858</v>
      </c>
      <c r="GJ42" s="348">
        <f t="shared" ref="GJ42:GJ73" si="203" xml:space="preserve"> MAX( 0, AW42 + BY42 ) * GJ$8</f>
        <v>3779.085</v>
      </c>
      <c r="GK42" s="349">
        <f t="shared" ref="GK42:GK73" si="204" xml:space="preserve"> MAX( 0, AX42 - BZ42 ) * GK$8</f>
        <v>88.545543750000007</v>
      </c>
      <c r="GL42" s="349">
        <f t="shared" ref="GL42:GL73" si="205" xml:space="preserve"> MAX( 0, AY42 - CA42 ) * GL$8</f>
        <v>300.20646225000007</v>
      </c>
      <c r="GM42" s="354">
        <f t="shared" ref="GM42:GM73" si="206" xml:space="preserve"> IF(   SUM(GI42:GJ42) = 0,    IF( GK42&lt;GL42, lambdax_min, lambdax_max ),
                                                                   MAX( lambdax_min, MIN( lambdax_max, GI42 / SUM(GI42:GJ42) ) )     )</f>
        <v>0.73964225956279572</v>
      </c>
      <c r="GN42" s="326"/>
      <c r="GO42" s="349">
        <f t="shared" ref="GO42:GO73" si="207" xml:space="preserve"> MAX( 0, BB42 - CD42 ) * GO$8</f>
        <v>228.59587862025697</v>
      </c>
      <c r="GP42" s="349">
        <f t="shared" ref="GP42:GP73" si="208" xml:space="preserve"> MAX( 0, BC42 - CE42 ) * GP$8</f>
        <v>257.08932587025708</v>
      </c>
      <c r="GQ42" s="349">
        <f t="shared" si="93"/>
        <v>92.861140946918681</v>
      </c>
      <c r="GR42" s="349">
        <f t="shared" si="94"/>
        <v>121.35458819691877</v>
      </c>
      <c r="HA42" s="374"/>
      <c r="HB42" s="375"/>
      <c r="HC42" s="374"/>
      <c r="HD42" s="374"/>
      <c r="HE42" s="374"/>
      <c r="HF42" s="351">
        <f t="shared" ref="HF42:HF73" si="209" xml:space="preserve"> HA42 * HA$8</f>
        <v>0</v>
      </c>
      <c r="HG42" s="351">
        <f t="shared" ref="HG42:HG73" si="210" xml:space="preserve"> HB42 * HB$8</f>
        <v>0</v>
      </c>
      <c r="HH42" s="352">
        <f t="shared" ref="HH42:HH73" si="211" xml:space="preserve"> HC42 * HC$8</f>
        <v>0</v>
      </c>
      <c r="HI42" s="352">
        <f t="shared" si="150"/>
        <v>0</v>
      </c>
      <c r="HJ42" s="353">
        <f t="shared" si="151"/>
        <v>0</v>
      </c>
      <c r="HK42" s="353">
        <f t="shared" si="152"/>
        <v>0</v>
      </c>
    </row>
    <row r="43" spans="1:219" x14ac:dyDescent="0.2">
      <c r="A43" s="320">
        <v>33</v>
      </c>
      <c r="C43" s="350">
        <v>0.74890000000000001</v>
      </c>
      <c r="D43" s="350">
        <v>0.94550000000000001</v>
      </c>
      <c r="E43" s="350">
        <v>2.2067000000000001</v>
      </c>
      <c r="F43" s="350">
        <v>7310.8807999999999</v>
      </c>
      <c r="G43" s="350">
        <v>3889.8742000000002</v>
      </c>
      <c r="H43" s="351">
        <f t="shared" si="153"/>
        <v>731.00129000000004</v>
      </c>
      <c r="I43" s="351">
        <f t="shared" si="154"/>
        <v>1752.6638950000001</v>
      </c>
      <c r="J43" s="352">
        <f t="shared" si="155"/>
        <v>378.60351900000001</v>
      </c>
      <c r="K43" s="352">
        <f t="shared" si="98"/>
        <v>131.4839991221404</v>
      </c>
      <c r="L43" s="353">
        <f t="shared" si="99"/>
        <v>862.48528912214044</v>
      </c>
      <c r="M43" s="353">
        <f t="shared" si="100"/>
        <v>1505.5443751221405</v>
      </c>
      <c r="N43" s="343">
        <f t="shared" si="101"/>
        <v>755.63385638582872</v>
      </c>
      <c r="O43" s="343">
        <f t="shared" si="102"/>
        <v>1398.6929423858287</v>
      </c>
      <c r="Q43" s="374">
        <v>0.66049999999999998</v>
      </c>
      <c r="R43" s="375">
        <v>0.98340000000000005</v>
      </c>
      <c r="S43" s="374">
        <v>1.7722</v>
      </c>
      <c r="T43" s="374">
        <v>1265.2774999999999</v>
      </c>
      <c r="U43" s="374">
        <v>633.38170000000002</v>
      </c>
      <c r="V43" s="351">
        <f t="shared" si="156"/>
        <v>422.32369999999997</v>
      </c>
      <c r="W43" s="351">
        <f t="shared" si="157"/>
        <v>1181.4370920000001</v>
      </c>
      <c r="X43" s="352">
        <f t="shared" si="158"/>
        <v>355.11343599999998</v>
      </c>
      <c r="Y43" s="352">
        <f t="shared" si="103"/>
        <v>261.6002257012205</v>
      </c>
      <c r="Z43" s="353">
        <f t="shared" si="104"/>
        <v>683.92392570122047</v>
      </c>
      <c r="AA43" s="353">
        <f t="shared" si="105"/>
        <v>1087.9238817012206</v>
      </c>
      <c r="AB43" s="343">
        <f t="shared" si="106"/>
        <v>439.32276302737955</v>
      </c>
      <c r="AC43" s="343">
        <f t="shared" si="107"/>
        <v>843.32271902737978</v>
      </c>
      <c r="AE43" s="374">
        <v>0.64639999999999997</v>
      </c>
      <c r="AF43" s="375">
        <v>0.88570000000000004</v>
      </c>
      <c r="AG43" s="374">
        <v>1.9644999999999999</v>
      </c>
      <c r="AH43" s="374">
        <v>133.26920000000001</v>
      </c>
      <c r="AI43" s="374">
        <v>51.333300000000001</v>
      </c>
      <c r="AJ43" s="351">
        <f t="shared" si="159"/>
        <v>277.03411199999999</v>
      </c>
      <c r="AK43" s="351">
        <f t="shared" si="160"/>
        <v>880.54522599999996</v>
      </c>
      <c r="AL43" s="352">
        <f t="shared" si="161"/>
        <v>352.41165499999994</v>
      </c>
      <c r="AM43" s="352">
        <f t="shared" si="108"/>
        <v>268.07182040166043</v>
      </c>
      <c r="AN43" s="353">
        <f t="shared" si="109"/>
        <v>545.10593240166043</v>
      </c>
      <c r="AO43" s="353">
        <f t="shared" si="110"/>
        <v>796.20539140166056</v>
      </c>
      <c r="AP43" s="343">
        <f t="shared" si="111"/>
        <v>292.04777344859093</v>
      </c>
      <c r="AQ43" s="343">
        <f t="shared" si="112"/>
        <v>543.14723244859101</v>
      </c>
      <c r="AS43" s="374">
        <v>0.9022</v>
      </c>
      <c r="AT43" s="375">
        <v>1.2901</v>
      </c>
      <c r="AU43" s="374">
        <v>2.1983000000000001</v>
      </c>
      <c r="AV43" s="374">
        <v>6268.9624999999996</v>
      </c>
      <c r="AW43" s="374">
        <v>1994.6908000000001</v>
      </c>
      <c r="AX43" s="351">
        <f t="shared" si="162"/>
        <v>307.35247400000003</v>
      </c>
      <c r="AY43" s="351">
        <f t="shared" si="163"/>
        <v>881.29311200000006</v>
      </c>
      <c r="AZ43" s="352">
        <f t="shared" si="164"/>
        <v>533.46146099999999</v>
      </c>
      <c r="BA43" s="352">
        <f t="shared" si="113"/>
        <v>395.5223631283115</v>
      </c>
      <c r="BB43" s="353">
        <f t="shared" si="114"/>
        <v>702.87483712831158</v>
      </c>
      <c r="BC43" s="353">
        <f t="shared" si="115"/>
        <v>743.35401412831152</v>
      </c>
      <c r="BD43" s="343">
        <f t="shared" si="116"/>
        <v>325.86697679521473</v>
      </c>
      <c r="BE43" s="343">
        <f t="shared" si="117"/>
        <v>366.34615379521478</v>
      </c>
      <c r="BG43" s="374">
        <v>0.81389999999999996</v>
      </c>
      <c r="BH43" s="375">
        <v>1.2827999999999999</v>
      </c>
      <c r="BI43" s="374">
        <v>2.2578999999999998</v>
      </c>
      <c r="BJ43" s="374">
        <v>4216.875</v>
      </c>
      <c r="BK43" s="374">
        <v>1358.5482999999999</v>
      </c>
      <c r="BL43" s="351">
        <f t="shared" si="165"/>
        <v>272.46930299999997</v>
      </c>
      <c r="BM43" s="351">
        <f t="shared" si="166"/>
        <v>751.61817599999995</v>
      </c>
      <c r="BN43" s="352">
        <f t="shared" si="167"/>
        <v>463.70492299999995</v>
      </c>
      <c r="BO43" s="352">
        <f t="shared" si="118"/>
        <v>340.33132478859307</v>
      </c>
      <c r="BP43" s="353">
        <f t="shared" si="119"/>
        <v>612.80062778859303</v>
      </c>
      <c r="BQ43" s="353">
        <f t="shared" si="120"/>
        <v>628.24457778859301</v>
      </c>
      <c r="BR43" s="343">
        <f t="shared" si="121"/>
        <v>291.00585472740693</v>
      </c>
      <c r="BS43" s="343">
        <f t="shared" si="122"/>
        <v>306.44980472740696</v>
      </c>
      <c r="BU43" s="374">
        <v>0.84409999999999996</v>
      </c>
      <c r="BV43" s="375">
        <v>1.2388999999999999</v>
      </c>
      <c r="BW43" s="374">
        <v>2.4857</v>
      </c>
      <c r="BX43" s="374">
        <v>6934.6142</v>
      </c>
      <c r="BY43" s="374">
        <v>2490.1149999999998</v>
      </c>
      <c r="BZ43" s="351">
        <f t="shared" si="168"/>
        <v>195.932492</v>
      </c>
      <c r="CA43" s="351">
        <f t="shared" si="169"/>
        <v>473.09874299999996</v>
      </c>
      <c r="CB43" s="352">
        <f t="shared" si="170"/>
        <v>246.55658299999999</v>
      </c>
      <c r="CC43" s="352">
        <f t="shared" si="123"/>
        <v>174.35002043764842</v>
      </c>
      <c r="CD43" s="353">
        <f t="shared" si="124"/>
        <v>370.28251243764839</v>
      </c>
      <c r="CE43" s="353">
        <f t="shared" si="125"/>
        <v>400.89218043764839</v>
      </c>
      <c r="CF43" s="343">
        <f t="shared" si="126"/>
        <v>208.69286519932314</v>
      </c>
      <c r="CG43" s="343">
        <f t="shared" si="127"/>
        <v>239.30253319932311</v>
      </c>
      <c r="CI43" s="374">
        <v>0.85140000000000005</v>
      </c>
      <c r="CJ43" s="375">
        <v>0.872</v>
      </c>
      <c r="CK43" s="374">
        <v>1.7625999999999999</v>
      </c>
      <c r="CL43" s="374">
        <v>18572.397499999999</v>
      </c>
      <c r="CM43" s="374">
        <v>6414.52</v>
      </c>
      <c r="CN43" s="351">
        <f t="shared" si="171"/>
        <v>180.94804200000002</v>
      </c>
      <c r="CO43" s="351">
        <f t="shared" si="172"/>
        <v>240.19239999999999</v>
      </c>
      <c r="CP43" s="352">
        <f t="shared" si="173"/>
        <v>0.70504</v>
      </c>
      <c r="CQ43" s="352">
        <f t="shared" si="128"/>
        <v>0.40211110785698417</v>
      </c>
      <c r="CR43" s="353">
        <f t="shared" si="129"/>
        <v>181.35015310785701</v>
      </c>
      <c r="CS43" s="353">
        <f t="shared" si="130"/>
        <v>239.88947110785699</v>
      </c>
      <c r="CT43" s="343">
        <f t="shared" si="131"/>
        <v>180.98389505669732</v>
      </c>
      <c r="CU43" s="343">
        <f t="shared" si="132"/>
        <v>239.5232130566973</v>
      </c>
      <c r="CW43" s="374">
        <v>0.71630000000000005</v>
      </c>
      <c r="CX43" s="375">
        <v>0.72170000000000001</v>
      </c>
      <c r="CY43" s="374">
        <v>1.3943000000000001</v>
      </c>
      <c r="CZ43" s="374">
        <v>7660.8141999999998</v>
      </c>
      <c r="DA43" s="374">
        <v>2336.9742000000001</v>
      </c>
      <c r="DB43" s="351">
        <f t="shared" si="174"/>
        <v>160.615949</v>
      </c>
      <c r="DC43" s="351">
        <f t="shared" si="175"/>
        <v>224.26105800000002</v>
      </c>
      <c r="DD43" s="352">
        <f t="shared" si="176"/>
        <v>0.34857500000000002</v>
      </c>
      <c r="DE43" s="352">
        <f t="shared" si="133"/>
        <v>0.20310851744996553</v>
      </c>
      <c r="DF43" s="353">
        <f t="shared" si="134"/>
        <v>160.81905751744998</v>
      </c>
      <c r="DG43" s="353">
        <f t="shared" si="135"/>
        <v>224.11559151744999</v>
      </c>
      <c r="DH43" s="343">
        <f t="shared" si="136"/>
        <v>160.63768907262812</v>
      </c>
      <c r="DI43" s="343">
        <f t="shared" si="137"/>
        <v>223.93422307262813</v>
      </c>
      <c r="DK43" s="374">
        <v>0.63880000000000003</v>
      </c>
      <c r="DL43" s="375">
        <v>0.65869999999999995</v>
      </c>
      <c r="DM43" s="374">
        <v>1.0592999999999999</v>
      </c>
      <c r="DN43" s="374">
        <v>3218.98</v>
      </c>
      <c r="DO43" s="374">
        <v>1275.7842000000001</v>
      </c>
      <c r="DP43" s="351">
        <f t="shared" si="177"/>
        <v>84.174676000000005</v>
      </c>
      <c r="DQ43" s="351">
        <f t="shared" si="178"/>
        <v>129.671682</v>
      </c>
      <c r="DR43" s="352">
        <f t="shared" si="179"/>
        <v>0.20126699999999997</v>
      </c>
      <c r="DS43" s="352">
        <f t="shared" si="138"/>
        <v>0.1220438386941993</v>
      </c>
      <c r="DT43" s="353">
        <f t="shared" si="139"/>
        <v>84.296719838694202</v>
      </c>
      <c r="DU43" s="353">
        <f t="shared" si="140"/>
        <v>129.5924588386942</v>
      </c>
      <c r="DV43" s="343">
        <f t="shared" si="141"/>
        <v>84.197916875792842</v>
      </c>
      <c r="DW43" s="343">
        <f t="shared" si="142"/>
        <v>129.49365587579285</v>
      </c>
      <c r="EB43" s="326"/>
      <c r="EC43" s="326"/>
      <c r="ED43" s="326"/>
      <c r="EE43" s="348">
        <f t="shared" si="143"/>
        <v>39813.055</v>
      </c>
      <c r="EF43" s="348">
        <f t="shared" si="144"/>
        <v>14636.059200000002</v>
      </c>
      <c r="EG43" s="348">
        <f t="shared" si="145"/>
        <v>1347.7945651999999</v>
      </c>
      <c r="EH43" s="348">
        <f t="shared" si="146"/>
        <v>3053.5582534</v>
      </c>
      <c r="EI43" s="354">
        <f t="shared" si="180"/>
        <v>0.73119747832371529</v>
      </c>
      <c r="EJ43" s="326"/>
      <c r="EK43" s="348">
        <f t="shared" si="147"/>
        <v>1875.3655253722691</v>
      </c>
      <c r="EL43" s="348">
        <f t="shared" si="148"/>
        <v>2668.080333572269</v>
      </c>
      <c r="EM43" s="348">
        <f t="shared" si="58"/>
        <v>1390.9948794958432</v>
      </c>
      <c r="EN43" s="348">
        <f t="shared" si="149"/>
        <v>2183.7096876958435</v>
      </c>
      <c r="EP43" s="326"/>
      <c r="EQ43" s="326"/>
      <c r="ER43" s="326"/>
      <c r="ES43" s="348">
        <f t="shared" si="181"/>
        <v>31715.3642</v>
      </c>
      <c r="ET43" s="348">
        <f t="shared" si="182"/>
        <v>10743.424200000001</v>
      </c>
      <c r="EU43" s="348">
        <f t="shared" si="183"/>
        <v>988.17220929999996</v>
      </c>
      <c r="EV43" s="348">
        <f t="shared" si="184"/>
        <v>2330.2304085999999</v>
      </c>
      <c r="EW43" s="354">
        <f t="shared" si="185"/>
        <v>0.74696818715627777</v>
      </c>
      <c r="EX43" s="326"/>
      <c r="EY43" s="348">
        <f t="shared" si="186"/>
        <v>1590.6480468598854</v>
      </c>
      <c r="EZ43" s="348">
        <f t="shared" si="187"/>
        <v>2112.9388446598855</v>
      </c>
      <c r="FA43" s="348">
        <f t="shared" si="66"/>
        <v>1023.7588951623235</v>
      </c>
      <c r="FB43" s="348">
        <f t="shared" si="67"/>
        <v>1546.0496929623239</v>
      </c>
      <c r="FD43" s="326"/>
      <c r="FE43" s="326"/>
      <c r="FF43" s="326"/>
      <c r="FG43" s="348">
        <f t="shared" si="188"/>
        <v>28859.260899999997</v>
      </c>
      <c r="FH43" s="348">
        <f t="shared" si="189"/>
        <v>10231.752500000001</v>
      </c>
      <c r="FI43" s="348">
        <f t="shared" si="190"/>
        <v>704.4194516</v>
      </c>
      <c r="FJ43" s="348">
        <f t="shared" si="191"/>
        <v>1671.6393781999998</v>
      </c>
      <c r="FK43" s="354">
        <f t="shared" si="192"/>
        <v>0.7382581926105809</v>
      </c>
      <c r="FL43" s="326"/>
      <c r="FM43" s="348">
        <f t="shared" si="193"/>
        <v>1147.3166298503822</v>
      </c>
      <c r="FN43" s="348">
        <f t="shared" si="194"/>
        <v>1514.7425182503825</v>
      </c>
      <c r="FO43" s="348">
        <f t="shared" si="75"/>
        <v>732.24328383008708</v>
      </c>
      <c r="FP43" s="348">
        <f t="shared" si="76"/>
        <v>1099.669172230087</v>
      </c>
      <c r="FR43" s="326"/>
      <c r="FS43" s="326"/>
      <c r="FT43" s="326"/>
      <c r="FU43" s="348">
        <f t="shared" si="195"/>
        <v>26233.2117</v>
      </c>
      <c r="FV43" s="348">
        <f t="shared" si="196"/>
        <v>8751.494200000001</v>
      </c>
      <c r="FW43" s="348">
        <f t="shared" si="197"/>
        <v>309.44080120000001</v>
      </c>
      <c r="FX43" s="348">
        <f t="shared" si="198"/>
        <v>419.60124640000004</v>
      </c>
      <c r="FY43" s="354">
        <f t="shared" si="199"/>
        <v>0.74984799857928774</v>
      </c>
      <c r="FZ43" s="326"/>
      <c r="GA43" s="348">
        <f t="shared" si="200"/>
        <v>310.00539912181699</v>
      </c>
      <c r="GB43" s="348">
        <f t="shared" si="201"/>
        <v>419.18194432181701</v>
      </c>
      <c r="GC43" s="348">
        <f t="shared" si="84"/>
        <v>309.49404631479979</v>
      </c>
      <c r="GD43" s="348">
        <f t="shared" si="85"/>
        <v>418.67059151479981</v>
      </c>
      <c r="GF43" s="326"/>
      <c r="GG43" s="326"/>
      <c r="GH43" s="326"/>
      <c r="GI43" s="348">
        <f t="shared" si="202"/>
        <v>13203.5767</v>
      </c>
      <c r="GJ43" s="348">
        <f t="shared" si="203"/>
        <v>4484.8058000000001</v>
      </c>
      <c r="GK43" s="349">
        <f t="shared" si="204"/>
        <v>83.564986500000032</v>
      </c>
      <c r="GL43" s="349">
        <f t="shared" si="205"/>
        <v>306.1457767500001</v>
      </c>
      <c r="GM43" s="354">
        <f t="shared" si="206"/>
        <v>0.74645472529780488</v>
      </c>
      <c r="GN43" s="326"/>
      <c r="GO43" s="349">
        <f t="shared" si="207"/>
        <v>249.44424351799739</v>
      </c>
      <c r="GP43" s="349">
        <f t="shared" si="208"/>
        <v>256.84637526799736</v>
      </c>
      <c r="GQ43" s="349">
        <f t="shared" si="93"/>
        <v>87.880583696918691</v>
      </c>
      <c r="GR43" s="349">
        <f t="shared" si="94"/>
        <v>95.282715446918758</v>
      </c>
      <c r="HA43" s="374"/>
      <c r="HB43" s="375"/>
      <c r="HC43" s="374"/>
      <c r="HD43" s="374"/>
      <c r="HE43" s="374"/>
      <c r="HF43" s="351">
        <f t="shared" si="209"/>
        <v>0</v>
      </c>
      <c r="HG43" s="351">
        <f t="shared" si="210"/>
        <v>0</v>
      </c>
      <c r="HH43" s="352">
        <f t="shared" si="211"/>
        <v>0</v>
      </c>
      <c r="HI43" s="352">
        <f t="shared" si="150"/>
        <v>0</v>
      </c>
      <c r="HJ43" s="353">
        <f t="shared" si="151"/>
        <v>0</v>
      </c>
      <c r="HK43" s="353">
        <f t="shared" si="152"/>
        <v>0</v>
      </c>
    </row>
    <row r="44" spans="1:219" x14ac:dyDescent="0.2">
      <c r="A44" s="320">
        <v>34</v>
      </c>
      <c r="C44" s="350">
        <v>0.77990000000000004</v>
      </c>
      <c r="D44" s="350">
        <v>0.97030000000000005</v>
      </c>
      <c r="E44" s="350">
        <v>2.2501000000000002</v>
      </c>
      <c r="F44" s="350">
        <v>8773.1650000000009</v>
      </c>
      <c r="G44" s="350">
        <v>4434.1292000000003</v>
      </c>
      <c r="H44" s="351">
        <f t="shared" si="153"/>
        <v>761.26039000000003</v>
      </c>
      <c r="I44" s="351">
        <f t="shared" si="154"/>
        <v>1798.6354070000002</v>
      </c>
      <c r="J44" s="352">
        <f t="shared" si="155"/>
        <v>386.04965700000002</v>
      </c>
      <c r="K44" s="352">
        <f t="shared" si="98"/>
        <v>129.60974676809155</v>
      </c>
      <c r="L44" s="353">
        <f t="shared" si="99"/>
        <v>890.87013676809158</v>
      </c>
      <c r="M44" s="353">
        <f t="shared" si="100"/>
        <v>1542.1954967680917</v>
      </c>
      <c r="N44" s="343">
        <f t="shared" si="101"/>
        <v>785.89295638582871</v>
      </c>
      <c r="O44" s="343">
        <f t="shared" si="102"/>
        <v>1437.2183163858288</v>
      </c>
      <c r="Q44" s="374">
        <v>0.69499999999999995</v>
      </c>
      <c r="R44" s="375">
        <v>0.99990000000000001</v>
      </c>
      <c r="S44" s="374">
        <v>1.7942</v>
      </c>
      <c r="T44" s="374">
        <v>1453.3091999999999</v>
      </c>
      <c r="U44" s="374">
        <v>678.17169999999999</v>
      </c>
      <c r="V44" s="351">
        <f t="shared" si="156"/>
        <v>444.38299999999998</v>
      </c>
      <c r="W44" s="351">
        <f t="shared" si="157"/>
        <v>1201.2598620000001</v>
      </c>
      <c r="X44" s="352">
        <f t="shared" si="158"/>
        <v>359.52179599999999</v>
      </c>
      <c r="Y44" s="352">
        <f t="shared" si="103"/>
        <v>262.43792807151141</v>
      </c>
      <c r="Z44" s="353">
        <f t="shared" si="104"/>
        <v>706.82092807151139</v>
      </c>
      <c r="AA44" s="353">
        <f t="shared" si="105"/>
        <v>1104.1759940715115</v>
      </c>
      <c r="AB44" s="343">
        <f t="shared" si="106"/>
        <v>461.38206302737956</v>
      </c>
      <c r="AC44" s="343">
        <f t="shared" si="107"/>
        <v>858.73712902737975</v>
      </c>
      <c r="AE44" s="374">
        <v>0.67510000000000003</v>
      </c>
      <c r="AF44" s="375">
        <v>0.91379999999999995</v>
      </c>
      <c r="AG44" s="374">
        <v>2.0474000000000001</v>
      </c>
      <c r="AH44" s="374">
        <v>172.74420000000001</v>
      </c>
      <c r="AI44" s="374">
        <v>79.34</v>
      </c>
      <c r="AJ44" s="351">
        <f t="shared" si="159"/>
        <v>289.33435800000001</v>
      </c>
      <c r="AK44" s="351">
        <f t="shared" si="160"/>
        <v>908.48168399999986</v>
      </c>
      <c r="AL44" s="352">
        <f t="shared" si="161"/>
        <v>367.28308599999997</v>
      </c>
      <c r="AM44" s="352">
        <f t="shared" si="108"/>
        <v>278.56527611440754</v>
      </c>
      <c r="AN44" s="353">
        <f t="shared" si="109"/>
        <v>567.89963411440749</v>
      </c>
      <c r="AO44" s="353">
        <f t="shared" si="110"/>
        <v>819.76387411440749</v>
      </c>
      <c r="AP44" s="343">
        <f t="shared" si="111"/>
        <v>304.34801944859095</v>
      </c>
      <c r="AQ44" s="343">
        <f t="shared" si="112"/>
        <v>556.21225944859088</v>
      </c>
      <c r="AS44" s="374">
        <v>0.89539999999999997</v>
      </c>
      <c r="AT44" s="375">
        <v>1.2929999999999999</v>
      </c>
      <c r="AU44" s="374">
        <v>2.2602000000000002</v>
      </c>
      <c r="AV44" s="374">
        <v>7454.9808000000003</v>
      </c>
      <c r="AW44" s="374">
        <v>2396.9133000000002</v>
      </c>
      <c r="AX44" s="351">
        <f t="shared" si="162"/>
        <v>305.03591799999998</v>
      </c>
      <c r="AY44" s="351">
        <f t="shared" si="163"/>
        <v>883.27415999999994</v>
      </c>
      <c r="AZ44" s="352">
        <f t="shared" si="164"/>
        <v>548.48273400000005</v>
      </c>
      <c r="BA44" s="352">
        <f t="shared" si="113"/>
        <v>407.68872966535042</v>
      </c>
      <c r="BB44" s="353">
        <f t="shared" si="114"/>
        <v>712.7246476653504</v>
      </c>
      <c r="BC44" s="353">
        <f t="shared" si="115"/>
        <v>742.48015566535037</v>
      </c>
      <c r="BD44" s="343">
        <f t="shared" si="116"/>
        <v>323.55042079521468</v>
      </c>
      <c r="BE44" s="343">
        <f t="shared" si="117"/>
        <v>353.30592879521458</v>
      </c>
      <c r="BG44" s="374">
        <v>0.82130000000000003</v>
      </c>
      <c r="BH44" s="375">
        <v>1.2803</v>
      </c>
      <c r="BI44" s="374">
        <v>2.2877000000000001</v>
      </c>
      <c r="BJ44" s="374">
        <v>4992.0632999999998</v>
      </c>
      <c r="BK44" s="374">
        <v>1518.6</v>
      </c>
      <c r="BL44" s="351">
        <f t="shared" si="165"/>
        <v>274.94660099999999</v>
      </c>
      <c r="BM44" s="351">
        <f t="shared" si="166"/>
        <v>750.15337599999998</v>
      </c>
      <c r="BN44" s="352">
        <f t="shared" si="167"/>
        <v>469.824949</v>
      </c>
      <c r="BO44" s="352">
        <f t="shared" si="118"/>
        <v>343.81112040682234</v>
      </c>
      <c r="BP44" s="353">
        <f t="shared" si="119"/>
        <v>618.75772140682238</v>
      </c>
      <c r="BQ44" s="353">
        <f t="shared" si="120"/>
        <v>624.13954740682232</v>
      </c>
      <c r="BR44" s="343">
        <f t="shared" si="121"/>
        <v>293.48315272740695</v>
      </c>
      <c r="BS44" s="343">
        <f t="shared" si="122"/>
        <v>298.86497872740694</v>
      </c>
      <c r="BU44" s="374">
        <v>0.8468</v>
      </c>
      <c r="BV44" s="375">
        <v>1.2384999999999999</v>
      </c>
      <c r="BW44" s="374">
        <v>2.3881999999999999</v>
      </c>
      <c r="BX44" s="374">
        <v>7945.8117000000002</v>
      </c>
      <c r="BY44" s="374">
        <v>2697.4191999999998</v>
      </c>
      <c r="BZ44" s="351">
        <f t="shared" si="168"/>
        <v>196.55921599999999</v>
      </c>
      <c r="CA44" s="351">
        <f t="shared" si="169"/>
        <v>472.94599499999998</v>
      </c>
      <c r="CB44" s="352">
        <f t="shared" si="170"/>
        <v>236.88555799999997</v>
      </c>
      <c r="CC44" s="352">
        <f t="shared" si="123"/>
        <v>167.33861677058732</v>
      </c>
      <c r="CD44" s="353">
        <f t="shared" si="124"/>
        <v>363.89783277058734</v>
      </c>
      <c r="CE44" s="353">
        <f t="shared" si="125"/>
        <v>403.39905377058733</v>
      </c>
      <c r="CF44" s="343">
        <f t="shared" si="126"/>
        <v>209.31958919932313</v>
      </c>
      <c r="CG44" s="343">
        <f t="shared" si="127"/>
        <v>248.82081019932315</v>
      </c>
      <c r="CI44" s="374">
        <v>0.87609999999999999</v>
      </c>
      <c r="CJ44" s="375">
        <v>0.90380000000000005</v>
      </c>
      <c r="CK44" s="374">
        <v>1.8106</v>
      </c>
      <c r="CL44" s="374">
        <v>21534.758300000001</v>
      </c>
      <c r="CM44" s="374">
        <v>7178.6149999999998</v>
      </c>
      <c r="CN44" s="351">
        <f t="shared" si="171"/>
        <v>186.19753299999999</v>
      </c>
      <c r="CO44" s="351">
        <f t="shared" si="172"/>
        <v>248.95170999999999</v>
      </c>
      <c r="CP44" s="352">
        <f t="shared" si="173"/>
        <v>0.72423999999999999</v>
      </c>
      <c r="CQ44" s="352">
        <f t="shared" si="128"/>
        <v>0.41434241091027246</v>
      </c>
      <c r="CR44" s="353">
        <f t="shared" si="129"/>
        <v>186.61187541091027</v>
      </c>
      <c r="CS44" s="353">
        <f t="shared" si="130"/>
        <v>248.64181241091026</v>
      </c>
      <c r="CT44" s="343">
        <f t="shared" si="131"/>
        <v>186.2333860566973</v>
      </c>
      <c r="CU44" s="343">
        <f t="shared" si="132"/>
        <v>248.26332305669729</v>
      </c>
      <c r="CW44" s="374">
        <v>0.7722</v>
      </c>
      <c r="CX44" s="375">
        <v>0.76729999999999998</v>
      </c>
      <c r="CY44" s="374">
        <v>1.4411</v>
      </c>
      <c r="CZ44" s="374">
        <v>9221.5858000000007</v>
      </c>
      <c r="DA44" s="374">
        <v>2740.3132999999998</v>
      </c>
      <c r="DB44" s="351">
        <f t="shared" si="174"/>
        <v>173.150406</v>
      </c>
      <c r="DC44" s="351">
        <f t="shared" si="175"/>
        <v>238.430802</v>
      </c>
      <c r="DD44" s="352">
        <f t="shared" si="176"/>
        <v>0.36027500000000001</v>
      </c>
      <c r="DE44" s="352">
        <f t="shared" si="133"/>
        <v>0.20870889030130357</v>
      </c>
      <c r="DF44" s="353">
        <f t="shared" si="134"/>
        <v>173.3591148903013</v>
      </c>
      <c r="DG44" s="353">
        <f t="shared" si="135"/>
        <v>238.27923589030129</v>
      </c>
      <c r="DH44" s="343">
        <f t="shared" si="136"/>
        <v>173.17214607262812</v>
      </c>
      <c r="DI44" s="343">
        <f t="shared" si="137"/>
        <v>238.09226707262812</v>
      </c>
      <c r="DK44" s="374">
        <v>0.68540000000000001</v>
      </c>
      <c r="DL44" s="375">
        <v>0.70530000000000004</v>
      </c>
      <c r="DM44" s="374">
        <v>1.1079000000000001</v>
      </c>
      <c r="DN44" s="374">
        <v>3549.6758</v>
      </c>
      <c r="DO44" s="374">
        <v>1367.4117000000001</v>
      </c>
      <c r="DP44" s="351">
        <f t="shared" si="177"/>
        <v>90.315158000000011</v>
      </c>
      <c r="DQ44" s="351">
        <f t="shared" si="178"/>
        <v>138.845358</v>
      </c>
      <c r="DR44" s="352">
        <f t="shared" si="179"/>
        <v>0.21050100000000002</v>
      </c>
      <c r="DS44" s="352">
        <f t="shared" si="138"/>
        <v>0.12753980142180341</v>
      </c>
      <c r="DT44" s="353">
        <f t="shared" si="139"/>
        <v>90.442697801421815</v>
      </c>
      <c r="DU44" s="353">
        <f t="shared" si="140"/>
        <v>138.7623968014218</v>
      </c>
      <c r="DV44" s="343">
        <f t="shared" si="141"/>
        <v>90.338398875792848</v>
      </c>
      <c r="DW44" s="343">
        <f t="shared" si="142"/>
        <v>138.65809787579286</v>
      </c>
      <c r="EB44" s="326"/>
      <c r="EC44" s="326"/>
      <c r="ED44" s="326"/>
      <c r="EE44" s="348">
        <f t="shared" si="143"/>
        <v>46984.4899</v>
      </c>
      <c r="EF44" s="348">
        <f t="shared" si="144"/>
        <v>16749.970800000003</v>
      </c>
      <c r="EG44" s="348">
        <f t="shared" si="145"/>
        <v>1391.0141658</v>
      </c>
      <c r="EH44" s="348">
        <f t="shared" si="146"/>
        <v>3121.6059186000002</v>
      </c>
      <c r="EI44" s="354">
        <f t="shared" si="180"/>
        <v>0.7371912994001375</v>
      </c>
      <c r="EJ44" s="326"/>
      <c r="EK44" s="348">
        <f t="shared" si="147"/>
        <v>1928.8939517565932</v>
      </c>
      <c r="EL44" s="348">
        <f t="shared" si="148"/>
        <v>2723.940853556594</v>
      </c>
      <c r="EM44" s="348">
        <f t="shared" si="58"/>
        <v>1434.2144800958431</v>
      </c>
      <c r="EN44" s="348">
        <f t="shared" si="149"/>
        <v>2229.2613818958434</v>
      </c>
      <c r="EP44" s="326"/>
      <c r="EQ44" s="326"/>
      <c r="ER44" s="326"/>
      <c r="ES44" s="348">
        <f t="shared" si="181"/>
        <v>37201.7166</v>
      </c>
      <c r="ET44" s="348">
        <f t="shared" si="182"/>
        <v>12115.699999999999</v>
      </c>
      <c r="EU44" s="348">
        <f t="shared" si="183"/>
        <v>1026.7324182</v>
      </c>
      <c r="EV44" s="348">
        <f t="shared" si="184"/>
        <v>2367.2665093999999</v>
      </c>
      <c r="EW44" s="354">
        <f t="shared" si="185"/>
        <v>0.75433222509874942</v>
      </c>
      <c r="EX44" s="326"/>
      <c r="EY44" s="348">
        <f t="shared" si="186"/>
        <v>1633.5419053124549</v>
      </c>
      <c r="EZ44" s="348">
        <f t="shared" si="187"/>
        <v>2143.7528190124549</v>
      </c>
      <c r="FA44" s="348">
        <f t="shared" si="66"/>
        <v>1062.3191040623235</v>
      </c>
      <c r="FB44" s="348">
        <f t="shared" si="67"/>
        <v>1572.5300177623237</v>
      </c>
      <c r="FD44" s="326"/>
      <c r="FE44" s="326"/>
      <c r="FF44" s="326"/>
      <c r="FG44" s="348">
        <f t="shared" si="188"/>
        <v>33202.99</v>
      </c>
      <c r="FH44" s="348">
        <f t="shared" si="189"/>
        <v>11322.785900000001</v>
      </c>
      <c r="FI44" s="348">
        <f t="shared" si="190"/>
        <v>726.28020179999999</v>
      </c>
      <c r="FJ44" s="348">
        <f t="shared" si="191"/>
        <v>1713.6866037999998</v>
      </c>
      <c r="FK44" s="354">
        <f t="shared" si="192"/>
        <v>0.74570267061870554</v>
      </c>
      <c r="FL44" s="326"/>
      <c r="FM44" s="348">
        <f t="shared" si="193"/>
        <v>1172.6749609767583</v>
      </c>
      <c r="FN44" s="348">
        <f t="shared" si="194"/>
        <v>1555.0621783767581</v>
      </c>
      <c r="FO44" s="348">
        <f t="shared" si="75"/>
        <v>754.10403403008718</v>
      </c>
      <c r="FP44" s="348">
        <f t="shared" si="76"/>
        <v>1136.4912514300872</v>
      </c>
      <c r="FR44" s="326"/>
      <c r="FS44" s="326"/>
      <c r="FT44" s="326"/>
      <c r="FU44" s="348">
        <f t="shared" si="195"/>
        <v>30756.344100000002</v>
      </c>
      <c r="FV44" s="348">
        <f t="shared" si="196"/>
        <v>9918.9282999999996</v>
      </c>
      <c r="FW44" s="348">
        <f t="shared" si="197"/>
        <v>324.71785779999999</v>
      </c>
      <c r="FX44" s="348">
        <f t="shared" si="198"/>
        <v>439.69635160000001</v>
      </c>
      <c r="FY44" s="354">
        <f t="shared" si="199"/>
        <v>0.7561435310756518</v>
      </c>
      <c r="FZ44" s="326"/>
      <c r="GA44" s="348">
        <f t="shared" si="200"/>
        <v>325.29916732315132</v>
      </c>
      <c r="GB44" s="348">
        <f t="shared" si="201"/>
        <v>439.26520112315131</v>
      </c>
      <c r="GC44" s="348">
        <f t="shared" si="84"/>
        <v>324.77110291479983</v>
      </c>
      <c r="GD44" s="348">
        <f t="shared" si="85"/>
        <v>438.73713671479982</v>
      </c>
      <c r="GF44" s="326"/>
      <c r="GG44" s="326"/>
      <c r="GH44" s="326"/>
      <c r="GI44" s="348">
        <f t="shared" si="202"/>
        <v>15400.7925</v>
      </c>
      <c r="GJ44" s="348">
        <f t="shared" si="203"/>
        <v>5094.3325000000004</v>
      </c>
      <c r="GK44" s="349">
        <f t="shared" si="204"/>
        <v>81.357526499999992</v>
      </c>
      <c r="GL44" s="349">
        <f t="shared" si="205"/>
        <v>307.74612374999998</v>
      </c>
      <c r="GM44" s="354">
        <f t="shared" si="206"/>
        <v>0.75143686608400773</v>
      </c>
      <c r="GN44" s="326"/>
      <c r="GO44" s="349">
        <f t="shared" si="207"/>
        <v>261.62011117107227</v>
      </c>
      <c r="GP44" s="349">
        <f t="shared" si="208"/>
        <v>254.31082642107228</v>
      </c>
      <c r="GQ44" s="349">
        <f t="shared" si="93"/>
        <v>85.673123696918651</v>
      </c>
      <c r="GR44" s="349">
        <f t="shared" si="94"/>
        <v>78.363838946918577</v>
      </c>
      <c r="HA44" s="374"/>
      <c r="HB44" s="375"/>
      <c r="HC44" s="374"/>
      <c r="HD44" s="374"/>
      <c r="HE44" s="374"/>
      <c r="HF44" s="351">
        <f t="shared" si="209"/>
        <v>0</v>
      </c>
      <c r="HG44" s="351">
        <f t="shared" si="210"/>
        <v>0</v>
      </c>
      <c r="HH44" s="352">
        <f t="shared" si="211"/>
        <v>0</v>
      </c>
      <c r="HI44" s="352">
        <f t="shared" si="150"/>
        <v>0</v>
      </c>
      <c r="HJ44" s="353">
        <f t="shared" si="151"/>
        <v>0</v>
      </c>
      <c r="HK44" s="353">
        <f t="shared" si="152"/>
        <v>0</v>
      </c>
    </row>
    <row r="45" spans="1:219" x14ac:dyDescent="0.2">
      <c r="A45" s="320">
        <v>35</v>
      </c>
      <c r="C45" s="350">
        <v>0.81440000000000001</v>
      </c>
      <c r="D45" s="350">
        <v>0.99109999999999998</v>
      </c>
      <c r="E45" s="350">
        <v>2.2004999999999999</v>
      </c>
      <c r="F45" s="350">
        <v>10537.1333</v>
      </c>
      <c r="G45" s="350">
        <v>5198.9008000000003</v>
      </c>
      <c r="H45" s="351">
        <f t="shared" si="153"/>
        <v>794.93583999999998</v>
      </c>
      <c r="I45" s="351">
        <f t="shared" si="154"/>
        <v>1837.1921589999999</v>
      </c>
      <c r="J45" s="352">
        <f t="shared" si="155"/>
        <v>377.53978499999999</v>
      </c>
      <c r="K45" s="352">
        <f t="shared" si="98"/>
        <v>124.73231042809751</v>
      </c>
      <c r="L45" s="353">
        <f t="shared" si="99"/>
        <v>919.66815042809753</v>
      </c>
      <c r="M45" s="353">
        <f t="shared" si="100"/>
        <v>1584.3846844280974</v>
      </c>
      <c r="N45" s="343">
        <f t="shared" si="101"/>
        <v>819.56840638582867</v>
      </c>
      <c r="O45" s="343">
        <f t="shared" si="102"/>
        <v>1484.2849403858286</v>
      </c>
      <c r="Q45" s="374">
        <v>0.73829999999999996</v>
      </c>
      <c r="R45" s="375">
        <v>1.0103</v>
      </c>
      <c r="S45" s="374">
        <v>1.7796000000000001</v>
      </c>
      <c r="T45" s="374">
        <v>1757.5125</v>
      </c>
      <c r="U45" s="374">
        <v>811.92920000000004</v>
      </c>
      <c r="V45" s="351">
        <f t="shared" si="156"/>
        <v>472.06901999999997</v>
      </c>
      <c r="W45" s="351">
        <f t="shared" si="157"/>
        <v>1213.754214</v>
      </c>
      <c r="X45" s="352">
        <f t="shared" si="158"/>
        <v>356.596248</v>
      </c>
      <c r="Y45" s="352">
        <f t="shared" si="103"/>
        <v>256.74115172776715</v>
      </c>
      <c r="Z45" s="353">
        <f t="shared" si="104"/>
        <v>728.81017172776706</v>
      </c>
      <c r="AA45" s="353">
        <f t="shared" si="105"/>
        <v>1113.8991177277671</v>
      </c>
      <c r="AB45" s="343">
        <f t="shared" si="106"/>
        <v>489.06808302737954</v>
      </c>
      <c r="AC45" s="343">
        <f t="shared" si="107"/>
        <v>874.15702902737962</v>
      </c>
      <c r="AE45" s="374">
        <v>0.71040000000000003</v>
      </c>
      <c r="AF45" s="375">
        <v>0.93669999999999998</v>
      </c>
      <c r="AG45" s="374">
        <v>2.0348000000000002</v>
      </c>
      <c r="AH45" s="374">
        <v>211.65170000000001</v>
      </c>
      <c r="AI45" s="374">
        <v>86.4358</v>
      </c>
      <c r="AJ45" s="351">
        <f t="shared" si="159"/>
        <v>304.463232</v>
      </c>
      <c r="AK45" s="351">
        <f t="shared" si="160"/>
        <v>931.24840599999993</v>
      </c>
      <c r="AL45" s="352">
        <f t="shared" si="161"/>
        <v>365.02277199999997</v>
      </c>
      <c r="AM45" s="352">
        <f t="shared" si="108"/>
        <v>275.08592144432112</v>
      </c>
      <c r="AN45" s="353">
        <f t="shared" si="109"/>
        <v>579.54915344432106</v>
      </c>
      <c r="AO45" s="353">
        <f t="shared" si="110"/>
        <v>841.31155544432102</v>
      </c>
      <c r="AP45" s="343">
        <f t="shared" si="111"/>
        <v>319.47689344859094</v>
      </c>
      <c r="AQ45" s="343">
        <f t="shared" si="112"/>
        <v>581.23929544859084</v>
      </c>
      <c r="AS45" s="374">
        <v>0.90069999999999995</v>
      </c>
      <c r="AT45" s="375">
        <v>1.2804</v>
      </c>
      <c r="AU45" s="374">
        <v>2.2143999999999999</v>
      </c>
      <c r="AV45" s="374">
        <v>9459.1092000000008</v>
      </c>
      <c r="AW45" s="374">
        <v>2753.4775</v>
      </c>
      <c r="AX45" s="351">
        <f t="shared" si="162"/>
        <v>306.84146900000002</v>
      </c>
      <c r="AY45" s="351">
        <f t="shared" si="163"/>
        <v>874.66684799999996</v>
      </c>
      <c r="AZ45" s="352">
        <f t="shared" si="164"/>
        <v>537.36844799999994</v>
      </c>
      <c r="BA45" s="352">
        <f t="shared" si="113"/>
        <v>397.81215236829502</v>
      </c>
      <c r="BB45" s="353">
        <f t="shared" si="114"/>
        <v>704.65362136829503</v>
      </c>
      <c r="BC45" s="353">
        <f t="shared" si="115"/>
        <v>735.11055236829498</v>
      </c>
      <c r="BD45" s="343">
        <f t="shared" si="116"/>
        <v>325.35597179521471</v>
      </c>
      <c r="BE45" s="343">
        <f t="shared" si="117"/>
        <v>355.81290279521471</v>
      </c>
      <c r="BG45" s="374">
        <v>0.83630000000000004</v>
      </c>
      <c r="BH45" s="375">
        <v>1.2599</v>
      </c>
      <c r="BI45" s="374">
        <v>2.2290000000000001</v>
      </c>
      <c r="BJ45" s="374">
        <v>5723.1075000000001</v>
      </c>
      <c r="BK45" s="374">
        <v>1766.865</v>
      </c>
      <c r="BL45" s="351">
        <f t="shared" si="165"/>
        <v>279.96815099999998</v>
      </c>
      <c r="BM45" s="351">
        <f t="shared" si="166"/>
        <v>738.20060799999999</v>
      </c>
      <c r="BN45" s="352">
        <f t="shared" si="167"/>
        <v>457.76973000000004</v>
      </c>
      <c r="BO45" s="352">
        <f t="shared" si="118"/>
        <v>331.89575895246645</v>
      </c>
      <c r="BP45" s="353">
        <f t="shared" si="119"/>
        <v>611.86390995246643</v>
      </c>
      <c r="BQ45" s="353">
        <f t="shared" si="120"/>
        <v>612.3266369524664</v>
      </c>
      <c r="BR45" s="343">
        <f t="shared" si="121"/>
        <v>298.50470272740694</v>
      </c>
      <c r="BS45" s="343">
        <f t="shared" si="122"/>
        <v>298.96742972740691</v>
      </c>
      <c r="BU45" s="374">
        <v>0.85609999999999997</v>
      </c>
      <c r="BV45" s="375">
        <v>1.2253000000000001</v>
      </c>
      <c r="BW45" s="374">
        <v>2.2475000000000001</v>
      </c>
      <c r="BX45" s="374">
        <v>8855.5049999999992</v>
      </c>
      <c r="BY45" s="374">
        <v>2858.2233000000001</v>
      </c>
      <c r="BZ45" s="351">
        <f t="shared" si="168"/>
        <v>198.71793199999999</v>
      </c>
      <c r="CA45" s="351">
        <f t="shared" si="169"/>
        <v>467.90531100000004</v>
      </c>
      <c r="CB45" s="352">
        <f t="shared" si="170"/>
        <v>222.92952500000001</v>
      </c>
      <c r="CC45" s="352">
        <f t="shared" si="123"/>
        <v>156.47505517026698</v>
      </c>
      <c r="CD45" s="353">
        <f t="shared" si="124"/>
        <v>355.19298717026697</v>
      </c>
      <c r="CE45" s="353">
        <f t="shared" si="125"/>
        <v>401.45084117026704</v>
      </c>
      <c r="CF45" s="343">
        <f t="shared" si="126"/>
        <v>211.47830519932313</v>
      </c>
      <c r="CG45" s="343">
        <f t="shared" si="127"/>
        <v>257.7361591993232</v>
      </c>
      <c r="CI45" s="374">
        <v>0.90200000000000002</v>
      </c>
      <c r="CJ45" s="375">
        <v>0.93079999999999996</v>
      </c>
      <c r="CK45" s="374">
        <v>1.7917000000000001</v>
      </c>
      <c r="CL45" s="374">
        <v>25287.375</v>
      </c>
      <c r="CM45" s="374">
        <v>7957.5807999999997</v>
      </c>
      <c r="CN45" s="351">
        <f t="shared" si="171"/>
        <v>191.70206000000002</v>
      </c>
      <c r="CO45" s="351">
        <f t="shared" si="172"/>
        <v>256.38885999999997</v>
      </c>
      <c r="CP45" s="352">
        <f t="shared" si="173"/>
        <v>0.71668000000000009</v>
      </c>
      <c r="CQ45" s="352">
        <f t="shared" si="128"/>
        <v>0.41007027811409352</v>
      </c>
      <c r="CR45" s="353">
        <f t="shared" si="129"/>
        <v>192.11213027811411</v>
      </c>
      <c r="CS45" s="353">
        <f t="shared" si="130"/>
        <v>256.08225027811409</v>
      </c>
      <c r="CT45" s="343">
        <f t="shared" si="131"/>
        <v>191.73791305669732</v>
      </c>
      <c r="CU45" s="343">
        <f t="shared" si="132"/>
        <v>255.70803305669727</v>
      </c>
      <c r="CW45" s="374">
        <v>0.82210000000000005</v>
      </c>
      <c r="CX45" s="375">
        <v>0.81020000000000003</v>
      </c>
      <c r="CY45" s="374">
        <v>1.4467000000000001</v>
      </c>
      <c r="CZ45" s="374">
        <v>11137.7592</v>
      </c>
      <c r="DA45" s="374">
        <v>3070.3607999999999</v>
      </c>
      <c r="DB45" s="351">
        <f t="shared" si="174"/>
        <v>184.339483</v>
      </c>
      <c r="DC45" s="351">
        <f t="shared" si="175"/>
        <v>251.761548</v>
      </c>
      <c r="DD45" s="352">
        <f t="shared" si="176"/>
        <v>0.36167500000000002</v>
      </c>
      <c r="DE45" s="352">
        <f t="shared" si="133"/>
        <v>0.2087953281470229</v>
      </c>
      <c r="DF45" s="353">
        <f t="shared" si="134"/>
        <v>184.54827832814703</v>
      </c>
      <c r="DG45" s="353">
        <f t="shared" si="135"/>
        <v>251.60866832814705</v>
      </c>
      <c r="DH45" s="343">
        <f t="shared" si="136"/>
        <v>184.36122307262812</v>
      </c>
      <c r="DI45" s="343">
        <f t="shared" si="137"/>
        <v>251.42161307262813</v>
      </c>
      <c r="DK45" s="374">
        <v>0.73529999999999995</v>
      </c>
      <c r="DL45" s="375">
        <v>0.753</v>
      </c>
      <c r="DM45" s="374">
        <v>1.1446000000000001</v>
      </c>
      <c r="DN45" s="374">
        <v>3916.2683000000002</v>
      </c>
      <c r="DO45" s="374">
        <v>1487.5425</v>
      </c>
      <c r="DP45" s="351">
        <f t="shared" si="177"/>
        <v>96.890481000000008</v>
      </c>
      <c r="DQ45" s="351">
        <f t="shared" si="178"/>
        <v>148.23558</v>
      </c>
      <c r="DR45" s="352">
        <f t="shared" si="179"/>
        <v>0.217474</v>
      </c>
      <c r="DS45" s="352">
        <f t="shared" si="138"/>
        <v>0.13151349307130589</v>
      </c>
      <c r="DT45" s="353">
        <f t="shared" si="139"/>
        <v>97.021994493071318</v>
      </c>
      <c r="DU45" s="353">
        <f t="shared" si="140"/>
        <v>148.1496194930713</v>
      </c>
      <c r="DV45" s="343">
        <f t="shared" si="141"/>
        <v>96.913721875792845</v>
      </c>
      <c r="DW45" s="343">
        <f t="shared" si="142"/>
        <v>148.04134687579284</v>
      </c>
      <c r="EB45" s="326"/>
      <c r="EC45" s="326"/>
      <c r="ED45" s="326"/>
      <c r="EE45" s="348">
        <f t="shared" si="143"/>
        <v>56421.376700000001</v>
      </c>
      <c r="EF45" s="348">
        <f t="shared" si="144"/>
        <v>18980.319899999999</v>
      </c>
      <c r="EG45" s="348">
        <f t="shared" si="145"/>
        <v>1440.9509554000001</v>
      </c>
      <c r="EH45" s="348">
        <f t="shared" si="146"/>
        <v>3169.6571054000001</v>
      </c>
      <c r="EI45" s="354">
        <f t="shared" si="180"/>
        <v>0.74827728345836719</v>
      </c>
      <c r="EJ45" s="326"/>
      <c r="EK45" s="348">
        <f t="shared" si="147"/>
        <v>1964.0725247370244</v>
      </c>
      <c r="EL45" s="348">
        <f t="shared" si="148"/>
        <v>2776.8644217370238</v>
      </c>
      <c r="EM45" s="348">
        <f t="shared" si="58"/>
        <v>1484.1512696958432</v>
      </c>
      <c r="EN45" s="348">
        <f t="shared" si="149"/>
        <v>2296.943166695843</v>
      </c>
      <c r="EP45" s="326"/>
      <c r="EQ45" s="326"/>
      <c r="ER45" s="326"/>
      <c r="ES45" s="348">
        <f t="shared" si="181"/>
        <v>43905.754199999996</v>
      </c>
      <c r="ET45" s="348">
        <f t="shared" si="182"/>
        <v>13606.7358</v>
      </c>
      <c r="EU45" s="348">
        <f t="shared" si="183"/>
        <v>1072.7768691000001</v>
      </c>
      <c r="EV45" s="348">
        <f t="shared" si="184"/>
        <v>2384.5767656000003</v>
      </c>
      <c r="EW45" s="354">
        <f t="shared" si="185"/>
        <v>0.76341250743968825</v>
      </c>
      <c r="EX45" s="326"/>
      <c r="EY45" s="348">
        <f t="shared" si="186"/>
        <v>1661.9700067880506</v>
      </c>
      <c r="EZ45" s="348">
        <f t="shared" si="187"/>
        <v>2158.4340727880503</v>
      </c>
      <c r="FA45" s="348">
        <f t="shared" si="66"/>
        <v>1108.3635549623236</v>
      </c>
      <c r="FB45" s="348">
        <f t="shared" si="67"/>
        <v>1604.8276209623234</v>
      </c>
      <c r="FD45" s="326"/>
      <c r="FE45" s="326"/>
      <c r="FF45" s="326"/>
      <c r="FG45" s="348">
        <f t="shared" si="188"/>
        <v>38270.800000000003</v>
      </c>
      <c r="FH45" s="348">
        <f t="shared" si="189"/>
        <v>12389.7824</v>
      </c>
      <c r="FI45" s="348">
        <f t="shared" si="190"/>
        <v>753.01751259999992</v>
      </c>
      <c r="FJ45" s="348">
        <f t="shared" si="191"/>
        <v>1744.483925</v>
      </c>
      <c r="FK45" s="354">
        <f t="shared" si="192"/>
        <v>0.75543545271204782</v>
      </c>
      <c r="FL45" s="326"/>
      <c r="FM45" s="348">
        <f t="shared" si="193"/>
        <v>1185.0674675885448</v>
      </c>
      <c r="FN45" s="348">
        <f t="shared" si="194"/>
        <v>1587.7344185885447</v>
      </c>
      <c r="FO45" s="348">
        <f t="shared" si="75"/>
        <v>780.84134483008722</v>
      </c>
      <c r="FP45" s="348">
        <f t="shared" si="76"/>
        <v>1183.508295830087</v>
      </c>
      <c r="FR45" s="326"/>
      <c r="FS45" s="326"/>
      <c r="FT45" s="326"/>
      <c r="FU45" s="348">
        <f t="shared" si="195"/>
        <v>36425.1342</v>
      </c>
      <c r="FV45" s="348">
        <f t="shared" si="196"/>
        <v>11027.9416</v>
      </c>
      <c r="FW45" s="348">
        <f t="shared" si="197"/>
        <v>339.17364640000005</v>
      </c>
      <c r="FX45" s="348">
        <f t="shared" si="198"/>
        <v>457.79809839999996</v>
      </c>
      <c r="FY45" s="354">
        <f t="shared" si="199"/>
        <v>0.76760322878796405</v>
      </c>
      <c r="FZ45" s="326"/>
      <c r="GA45" s="348">
        <f t="shared" si="200"/>
        <v>339.75075294063174</v>
      </c>
      <c r="GB45" s="348">
        <f t="shared" si="201"/>
        <v>457.36918494063173</v>
      </c>
      <c r="GC45" s="348">
        <f t="shared" si="84"/>
        <v>339.22689151479983</v>
      </c>
      <c r="GD45" s="348">
        <f t="shared" si="85"/>
        <v>456.84532351479982</v>
      </c>
      <c r="GF45" s="326"/>
      <c r="GG45" s="326"/>
      <c r="GH45" s="326"/>
      <c r="GI45" s="348">
        <f t="shared" si="202"/>
        <v>18314.6142</v>
      </c>
      <c r="GJ45" s="348">
        <f t="shared" si="203"/>
        <v>5611.7008000000005</v>
      </c>
      <c r="GK45" s="349">
        <f t="shared" si="204"/>
        <v>81.092652750000013</v>
      </c>
      <c r="GL45" s="349">
        <f t="shared" si="205"/>
        <v>305.07115274999995</v>
      </c>
      <c r="GM45" s="354">
        <f t="shared" si="206"/>
        <v>0.76545904373490015</v>
      </c>
      <c r="GN45" s="326"/>
      <c r="GO45" s="349">
        <f t="shared" si="207"/>
        <v>262.09547564852107</v>
      </c>
      <c r="GP45" s="349">
        <f t="shared" si="208"/>
        <v>250.24478339852095</v>
      </c>
      <c r="GQ45" s="349">
        <f t="shared" si="93"/>
        <v>85.408249946918687</v>
      </c>
      <c r="GR45" s="349">
        <f t="shared" si="94"/>
        <v>73.557557696918636</v>
      </c>
      <c r="HA45" s="374"/>
      <c r="HB45" s="375"/>
      <c r="HC45" s="374"/>
      <c r="HD45" s="374"/>
      <c r="HE45" s="374"/>
      <c r="HF45" s="351">
        <f t="shared" si="209"/>
        <v>0</v>
      </c>
      <c r="HG45" s="351">
        <f t="shared" si="210"/>
        <v>0</v>
      </c>
      <c r="HH45" s="352">
        <f t="shared" si="211"/>
        <v>0</v>
      </c>
      <c r="HI45" s="352">
        <f t="shared" si="150"/>
        <v>0</v>
      </c>
      <c r="HJ45" s="353">
        <f t="shared" si="151"/>
        <v>0</v>
      </c>
      <c r="HK45" s="353">
        <f t="shared" si="152"/>
        <v>0</v>
      </c>
    </row>
    <row r="46" spans="1:219" x14ac:dyDescent="0.2">
      <c r="A46" s="320">
        <v>36</v>
      </c>
      <c r="C46" s="350">
        <v>0.85109999999999997</v>
      </c>
      <c r="D46" s="350">
        <v>1.0062</v>
      </c>
      <c r="E46" s="350">
        <v>2.0607000000000002</v>
      </c>
      <c r="F46" s="350">
        <v>12360.9992</v>
      </c>
      <c r="G46" s="350">
        <v>5766.3117000000002</v>
      </c>
      <c r="H46" s="351">
        <f t="shared" si="153"/>
        <v>830.75870999999995</v>
      </c>
      <c r="I46" s="351">
        <f t="shared" si="154"/>
        <v>1865.1828780000001</v>
      </c>
      <c r="J46" s="352">
        <f t="shared" si="155"/>
        <v>353.55429900000001</v>
      </c>
      <c r="K46" s="352">
        <f t="shared" si="98"/>
        <v>112.46589757055462</v>
      </c>
      <c r="L46" s="353">
        <f t="shared" si="99"/>
        <v>943.22460757055455</v>
      </c>
      <c r="M46" s="353">
        <f t="shared" si="100"/>
        <v>1624.0944765705549</v>
      </c>
      <c r="N46" s="343">
        <f t="shared" si="101"/>
        <v>855.39127638582863</v>
      </c>
      <c r="O46" s="343">
        <f t="shared" si="102"/>
        <v>1536.2611453858287</v>
      </c>
      <c r="Q46" s="374">
        <v>0.78810000000000002</v>
      </c>
      <c r="R46" s="375">
        <v>1.0148999999999999</v>
      </c>
      <c r="S46" s="374">
        <v>1.7265999999999999</v>
      </c>
      <c r="T46" s="374">
        <v>2042.82</v>
      </c>
      <c r="U46" s="374">
        <v>907.26919999999996</v>
      </c>
      <c r="V46" s="351">
        <f t="shared" si="156"/>
        <v>503.91113999999999</v>
      </c>
      <c r="W46" s="351">
        <f t="shared" si="157"/>
        <v>1219.2805619999999</v>
      </c>
      <c r="X46" s="352">
        <f t="shared" si="158"/>
        <v>345.97610799999995</v>
      </c>
      <c r="Y46" s="352">
        <f t="shared" si="103"/>
        <v>244.8026780254381</v>
      </c>
      <c r="Z46" s="353">
        <f t="shared" si="104"/>
        <v>748.71381802543806</v>
      </c>
      <c r="AA46" s="353">
        <f t="shared" si="105"/>
        <v>1118.107132025438</v>
      </c>
      <c r="AB46" s="343">
        <f t="shared" si="106"/>
        <v>520.91020302737957</v>
      </c>
      <c r="AC46" s="343">
        <f t="shared" si="107"/>
        <v>890.3035170273796</v>
      </c>
      <c r="AE46" s="374">
        <v>0.75309999999999999</v>
      </c>
      <c r="AF46" s="375">
        <v>0.95520000000000005</v>
      </c>
      <c r="AG46" s="374">
        <v>1.948</v>
      </c>
      <c r="AH46" s="374">
        <v>220.46</v>
      </c>
      <c r="AI46" s="374">
        <v>97.427499999999995</v>
      </c>
      <c r="AJ46" s="351">
        <f t="shared" si="159"/>
        <v>322.763598</v>
      </c>
      <c r="AK46" s="351">
        <f t="shared" si="160"/>
        <v>949.64073599999995</v>
      </c>
      <c r="AL46" s="352">
        <f t="shared" si="161"/>
        <v>349.45171999999997</v>
      </c>
      <c r="AM46" s="352">
        <f t="shared" si="108"/>
        <v>260.80828217083541</v>
      </c>
      <c r="AN46" s="353">
        <f t="shared" si="109"/>
        <v>583.57188017083536</v>
      </c>
      <c r="AO46" s="353">
        <f t="shared" si="110"/>
        <v>860.99729817083539</v>
      </c>
      <c r="AP46" s="343">
        <f t="shared" si="111"/>
        <v>337.77725944859094</v>
      </c>
      <c r="AQ46" s="343">
        <f t="shared" si="112"/>
        <v>615.20267744859098</v>
      </c>
      <c r="AS46" s="374">
        <v>0.91300000000000003</v>
      </c>
      <c r="AT46" s="375">
        <v>1.2511000000000001</v>
      </c>
      <c r="AU46" s="374">
        <v>2.0714999999999999</v>
      </c>
      <c r="AV46" s="374">
        <v>11615.5375</v>
      </c>
      <c r="AW46" s="374">
        <v>3342.4582999999998</v>
      </c>
      <c r="AX46" s="351">
        <f t="shared" si="162"/>
        <v>311.03171000000003</v>
      </c>
      <c r="AY46" s="351">
        <f t="shared" si="163"/>
        <v>854.65143200000011</v>
      </c>
      <c r="AZ46" s="352">
        <f t="shared" si="164"/>
        <v>502.69090499999993</v>
      </c>
      <c r="BA46" s="352">
        <f t="shared" si="113"/>
        <v>368.56113495345198</v>
      </c>
      <c r="BB46" s="353">
        <f t="shared" si="114"/>
        <v>679.59284495345196</v>
      </c>
      <c r="BC46" s="353">
        <f t="shared" si="115"/>
        <v>720.52166195345217</v>
      </c>
      <c r="BD46" s="343">
        <f t="shared" si="116"/>
        <v>329.54621279521473</v>
      </c>
      <c r="BE46" s="343">
        <f t="shared" si="117"/>
        <v>370.47502979521488</v>
      </c>
      <c r="BG46" s="374">
        <v>0.85840000000000005</v>
      </c>
      <c r="BH46" s="375">
        <v>1.2233000000000001</v>
      </c>
      <c r="BI46" s="374">
        <v>2.0861999999999998</v>
      </c>
      <c r="BJ46" s="374">
        <v>6662.8642</v>
      </c>
      <c r="BK46" s="374">
        <v>1969.3707999999999</v>
      </c>
      <c r="BL46" s="351">
        <f t="shared" si="165"/>
        <v>287.36656800000003</v>
      </c>
      <c r="BM46" s="351">
        <f t="shared" si="166"/>
        <v>716.75593600000002</v>
      </c>
      <c r="BN46" s="352">
        <f t="shared" si="167"/>
        <v>428.44289399999997</v>
      </c>
      <c r="BO46" s="352">
        <f t="shared" si="118"/>
        <v>305.82820949456459</v>
      </c>
      <c r="BP46" s="353">
        <f t="shared" si="119"/>
        <v>593.19477749456462</v>
      </c>
      <c r="BQ46" s="353">
        <f t="shared" si="120"/>
        <v>594.14125149456459</v>
      </c>
      <c r="BR46" s="343">
        <f t="shared" si="121"/>
        <v>305.90311972740699</v>
      </c>
      <c r="BS46" s="343">
        <f t="shared" si="122"/>
        <v>306.84959372740701</v>
      </c>
      <c r="BU46" s="374">
        <v>0.87119999999999997</v>
      </c>
      <c r="BV46" s="375">
        <v>1.1984999999999999</v>
      </c>
      <c r="BW46" s="374">
        <v>2.0649000000000002</v>
      </c>
      <c r="BX46" s="374">
        <v>9713.8950000000004</v>
      </c>
      <c r="BY46" s="374">
        <v>3091.3850000000002</v>
      </c>
      <c r="BZ46" s="351">
        <f t="shared" si="168"/>
        <v>202.22294399999998</v>
      </c>
      <c r="CA46" s="351">
        <f t="shared" si="169"/>
        <v>457.67119499999995</v>
      </c>
      <c r="CB46" s="352">
        <f t="shared" si="170"/>
        <v>204.817431</v>
      </c>
      <c r="CC46" s="352">
        <f t="shared" si="123"/>
        <v>142.05163050038854</v>
      </c>
      <c r="CD46" s="353">
        <f t="shared" si="124"/>
        <v>344.27457450038855</v>
      </c>
      <c r="CE46" s="353">
        <f t="shared" si="125"/>
        <v>394.90539450038852</v>
      </c>
      <c r="CF46" s="343">
        <f t="shared" si="126"/>
        <v>214.98331719932312</v>
      </c>
      <c r="CG46" s="343">
        <f t="shared" si="127"/>
        <v>265.61413719932312</v>
      </c>
      <c r="CI46" s="374">
        <v>0.92830000000000001</v>
      </c>
      <c r="CJ46" s="375">
        <v>0.95389999999999997</v>
      </c>
      <c r="CK46" s="374">
        <v>1.7150000000000001</v>
      </c>
      <c r="CL46" s="374">
        <v>29289.915000000001</v>
      </c>
      <c r="CM46" s="374">
        <v>9005.5917000000009</v>
      </c>
      <c r="CN46" s="351">
        <f t="shared" si="171"/>
        <v>197.29159899999999</v>
      </c>
      <c r="CO46" s="351">
        <f t="shared" si="172"/>
        <v>262.751755</v>
      </c>
      <c r="CP46" s="352">
        <f t="shared" si="173"/>
        <v>0.68600000000000005</v>
      </c>
      <c r="CQ46" s="352">
        <f t="shared" si="128"/>
        <v>0.39180590777537899</v>
      </c>
      <c r="CR46" s="353">
        <f t="shared" si="129"/>
        <v>197.68340490777538</v>
      </c>
      <c r="CS46" s="353">
        <f t="shared" si="130"/>
        <v>262.45756090777542</v>
      </c>
      <c r="CT46" s="343">
        <f t="shared" si="131"/>
        <v>197.3274520566973</v>
      </c>
      <c r="CU46" s="343">
        <f t="shared" si="132"/>
        <v>262.10160805669733</v>
      </c>
      <c r="CW46" s="374">
        <v>0.86040000000000005</v>
      </c>
      <c r="CX46" s="375">
        <v>0.8518</v>
      </c>
      <c r="CY46" s="374">
        <v>1.4198</v>
      </c>
      <c r="CZ46" s="374">
        <v>13229.126700000001</v>
      </c>
      <c r="DA46" s="374">
        <v>3620.5016999999998</v>
      </c>
      <c r="DB46" s="351">
        <f t="shared" si="174"/>
        <v>192.927492</v>
      </c>
      <c r="DC46" s="351">
        <f t="shared" si="175"/>
        <v>264.688332</v>
      </c>
      <c r="DD46" s="352">
        <f t="shared" si="176"/>
        <v>0.35494999999999999</v>
      </c>
      <c r="DE46" s="352">
        <f t="shared" si="133"/>
        <v>0.20530567020645685</v>
      </c>
      <c r="DF46" s="353">
        <f t="shared" si="134"/>
        <v>193.13279767020646</v>
      </c>
      <c r="DG46" s="353">
        <f t="shared" si="135"/>
        <v>264.53868767020651</v>
      </c>
      <c r="DH46" s="343">
        <f t="shared" si="136"/>
        <v>192.94923207262812</v>
      </c>
      <c r="DI46" s="343">
        <f t="shared" si="137"/>
        <v>264.35512207262815</v>
      </c>
      <c r="DK46" s="374">
        <v>0.78759999999999997</v>
      </c>
      <c r="DL46" s="375">
        <v>0.8024</v>
      </c>
      <c r="DM46" s="374">
        <v>1.1657999999999999</v>
      </c>
      <c r="DN46" s="374">
        <v>4335.0392000000002</v>
      </c>
      <c r="DO46" s="374">
        <v>1564.6917000000001</v>
      </c>
      <c r="DP46" s="351">
        <f t="shared" si="177"/>
        <v>103.78205200000001</v>
      </c>
      <c r="DQ46" s="351">
        <f t="shared" si="178"/>
        <v>157.960464</v>
      </c>
      <c r="DR46" s="352">
        <f t="shared" si="179"/>
        <v>0.221502</v>
      </c>
      <c r="DS46" s="352">
        <f t="shared" si="138"/>
        <v>0.1336754885359473</v>
      </c>
      <c r="DT46" s="353">
        <f t="shared" si="139"/>
        <v>103.91572748853595</v>
      </c>
      <c r="DU46" s="353">
        <f t="shared" si="140"/>
        <v>157.87263748853596</v>
      </c>
      <c r="DV46" s="343">
        <f t="shared" si="141"/>
        <v>103.80529287579284</v>
      </c>
      <c r="DW46" s="343">
        <f t="shared" si="142"/>
        <v>157.76220287579287</v>
      </c>
      <c r="EB46" s="326"/>
      <c r="EC46" s="326"/>
      <c r="ED46" s="326"/>
      <c r="EE46" s="348">
        <f t="shared" si="143"/>
        <v>66495.578399999999</v>
      </c>
      <c r="EF46" s="348">
        <f t="shared" si="144"/>
        <v>21734.863400000002</v>
      </c>
      <c r="EG46" s="348">
        <f t="shared" si="145"/>
        <v>1493.4240126</v>
      </c>
      <c r="EH46" s="348">
        <f t="shared" si="146"/>
        <v>3194.3367306000005</v>
      </c>
      <c r="EI46" s="354">
        <f t="shared" si="180"/>
        <v>0.75365800106420866</v>
      </c>
      <c r="EJ46" s="326"/>
      <c r="EK46" s="348">
        <f t="shared" si="147"/>
        <v>1975.0070955679471</v>
      </c>
      <c r="EL46" s="348">
        <f t="shared" si="148"/>
        <v>2818.7046495679479</v>
      </c>
      <c r="EM46" s="348">
        <f t="shared" si="58"/>
        <v>1536.6243268958433</v>
      </c>
      <c r="EN46" s="348">
        <f t="shared" si="149"/>
        <v>2380.3218808958436</v>
      </c>
      <c r="EP46" s="326"/>
      <c r="EQ46" s="326"/>
      <c r="ER46" s="326"/>
      <c r="ES46" s="348">
        <f t="shared" si="181"/>
        <v>51224.725899999998</v>
      </c>
      <c r="ET46" s="348">
        <f t="shared" si="182"/>
        <v>15502.733400000001</v>
      </c>
      <c r="EU46" s="348">
        <f t="shared" si="183"/>
        <v>1123.6185514000001</v>
      </c>
      <c r="EV46" s="348">
        <f t="shared" si="184"/>
        <v>2384.0700853999997</v>
      </c>
      <c r="EW46" s="354">
        <f t="shared" si="185"/>
        <v>0.76767085750558461</v>
      </c>
      <c r="EX46" s="326"/>
      <c r="EY46" s="348">
        <f t="shared" si="186"/>
        <v>1674.7849587969224</v>
      </c>
      <c r="EZ46" s="348">
        <f t="shared" si="187"/>
        <v>2159.8830257969225</v>
      </c>
      <c r="FA46" s="348">
        <f t="shared" si="66"/>
        <v>1159.2052372623236</v>
      </c>
      <c r="FB46" s="348">
        <f t="shared" si="67"/>
        <v>1644.3033042623238</v>
      </c>
      <c r="FD46" s="326"/>
      <c r="FE46" s="326"/>
      <c r="FF46" s="326"/>
      <c r="FG46" s="348">
        <f t="shared" si="188"/>
        <v>43559.309200000003</v>
      </c>
      <c r="FH46" s="348">
        <f t="shared" si="189"/>
        <v>13759.0959</v>
      </c>
      <c r="FI46" s="348">
        <f t="shared" si="190"/>
        <v>784.54737220000004</v>
      </c>
      <c r="FJ46" s="348">
        <f t="shared" si="191"/>
        <v>1764.8399643999999</v>
      </c>
      <c r="FK46" s="354">
        <f t="shared" si="192"/>
        <v>0.75995326673874952</v>
      </c>
      <c r="FL46" s="326"/>
      <c r="FM46" s="348">
        <f t="shared" si="193"/>
        <v>1187.879296072121</v>
      </c>
      <c r="FN46" s="348">
        <f t="shared" si="194"/>
        <v>1613.0838360721209</v>
      </c>
      <c r="FO46" s="348">
        <f t="shared" si="75"/>
        <v>812.37120443008712</v>
      </c>
      <c r="FP46" s="348">
        <f t="shared" si="76"/>
        <v>1237.5757444300871</v>
      </c>
      <c r="FR46" s="326"/>
      <c r="FS46" s="326"/>
      <c r="FT46" s="326"/>
      <c r="FU46" s="348">
        <f t="shared" si="195"/>
        <v>42519.041700000002</v>
      </c>
      <c r="FV46" s="348">
        <f t="shared" si="196"/>
        <v>12626.093400000002</v>
      </c>
      <c r="FW46" s="348">
        <f t="shared" si="197"/>
        <v>351.63359260000004</v>
      </c>
      <c r="FX46" s="348">
        <f t="shared" si="198"/>
        <v>474.50242060000005</v>
      </c>
      <c r="FY46" s="354">
        <f t="shared" si="199"/>
        <v>0.77103885270923933</v>
      </c>
      <c r="FZ46" s="326"/>
      <c r="GA46" s="348">
        <f t="shared" si="200"/>
        <v>352.18964304394058</v>
      </c>
      <c r="GB46" s="348">
        <f t="shared" si="201"/>
        <v>474.08851104394063</v>
      </c>
      <c r="GC46" s="348">
        <f t="shared" si="84"/>
        <v>351.68683771479982</v>
      </c>
      <c r="GD46" s="348">
        <f t="shared" si="85"/>
        <v>473.58570571479987</v>
      </c>
      <c r="GF46" s="326"/>
      <c r="GG46" s="326"/>
      <c r="GH46" s="326"/>
      <c r="GI46" s="348">
        <f t="shared" si="202"/>
        <v>21329.432500000003</v>
      </c>
      <c r="GJ46" s="348">
        <f t="shared" si="203"/>
        <v>6433.8433000000005</v>
      </c>
      <c r="GK46" s="349">
        <f t="shared" si="204"/>
        <v>81.606574500000036</v>
      </c>
      <c r="GL46" s="349">
        <f t="shared" si="205"/>
        <v>297.7351777500001</v>
      </c>
      <c r="GM46" s="354">
        <f t="shared" si="206"/>
        <v>0.76826065676298905</v>
      </c>
      <c r="GN46" s="326"/>
      <c r="GO46" s="349">
        <f t="shared" si="207"/>
        <v>251.48870283979755</v>
      </c>
      <c r="GP46" s="349">
        <f t="shared" si="208"/>
        <v>244.21220058979773</v>
      </c>
      <c r="GQ46" s="349">
        <f t="shared" si="93"/>
        <v>85.922171696918696</v>
      </c>
      <c r="GR46" s="349">
        <f t="shared" si="94"/>
        <v>78.645669446918816</v>
      </c>
      <c r="HA46" s="374"/>
      <c r="HB46" s="375"/>
      <c r="HC46" s="374"/>
      <c r="HD46" s="374"/>
      <c r="HE46" s="374"/>
      <c r="HF46" s="351">
        <f t="shared" si="209"/>
        <v>0</v>
      </c>
      <c r="HG46" s="351">
        <f t="shared" si="210"/>
        <v>0</v>
      </c>
      <c r="HH46" s="352">
        <f t="shared" si="211"/>
        <v>0</v>
      </c>
      <c r="HI46" s="352">
        <f t="shared" si="150"/>
        <v>0</v>
      </c>
      <c r="HJ46" s="353">
        <f t="shared" si="151"/>
        <v>0</v>
      </c>
      <c r="HK46" s="353">
        <f t="shared" si="152"/>
        <v>0</v>
      </c>
    </row>
    <row r="47" spans="1:219" x14ac:dyDescent="0.2">
      <c r="A47" s="320">
        <v>37</v>
      </c>
      <c r="C47" s="350">
        <v>0.8891</v>
      </c>
      <c r="D47" s="350">
        <v>1.0145999999999999</v>
      </c>
      <c r="E47" s="350">
        <v>1.8436999999999999</v>
      </c>
      <c r="F47" s="350">
        <v>13733.6592</v>
      </c>
      <c r="G47" s="350">
        <v>6216.4683000000005</v>
      </c>
      <c r="H47" s="351">
        <f t="shared" si="153"/>
        <v>867.85050999999999</v>
      </c>
      <c r="I47" s="351">
        <f t="shared" si="154"/>
        <v>1880.753874</v>
      </c>
      <c r="J47" s="352">
        <f t="shared" si="155"/>
        <v>316.32360899999998</v>
      </c>
      <c r="K47" s="352">
        <f t="shared" si="98"/>
        <v>98.566572463764686</v>
      </c>
      <c r="L47" s="353">
        <f t="shared" si="99"/>
        <v>966.4170824637647</v>
      </c>
      <c r="M47" s="353">
        <f t="shared" si="100"/>
        <v>1662.9968374637647</v>
      </c>
      <c r="N47" s="343">
        <f t="shared" si="101"/>
        <v>892.48307638582867</v>
      </c>
      <c r="O47" s="343">
        <f t="shared" si="102"/>
        <v>1589.0628313858285</v>
      </c>
      <c r="Q47" s="374">
        <v>0.84179999999999999</v>
      </c>
      <c r="R47" s="375">
        <v>1.0145</v>
      </c>
      <c r="S47" s="374">
        <v>1.6213</v>
      </c>
      <c r="T47" s="374">
        <v>2194.0517</v>
      </c>
      <c r="U47" s="374">
        <v>1008.1575</v>
      </c>
      <c r="V47" s="351">
        <f t="shared" si="156"/>
        <v>538.24691999999993</v>
      </c>
      <c r="W47" s="351">
        <f t="shared" si="157"/>
        <v>1218.8000100000002</v>
      </c>
      <c r="X47" s="352">
        <f t="shared" si="158"/>
        <v>324.87609399999997</v>
      </c>
      <c r="Y47" s="352">
        <f t="shared" si="103"/>
        <v>225.35481543225538</v>
      </c>
      <c r="Z47" s="353">
        <f t="shared" si="104"/>
        <v>763.60173543225528</v>
      </c>
      <c r="AA47" s="353">
        <f t="shared" si="105"/>
        <v>1119.2787314322557</v>
      </c>
      <c r="AB47" s="343">
        <f t="shared" si="106"/>
        <v>555.24598302737957</v>
      </c>
      <c r="AC47" s="343">
        <f t="shared" si="107"/>
        <v>910.92297902737982</v>
      </c>
      <c r="AE47" s="374">
        <v>0.80400000000000005</v>
      </c>
      <c r="AF47" s="375">
        <v>0.97009999999999996</v>
      </c>
      <c r="AG47" s="374">
        <v>1.8007</v>
      </c>
      <c r="AH47" s="374">
        <v>288.43830000000003</v>
      </c>
      <c r="AI47" s="374">
        <v>125.4975</v>
      </c>
      <c r="AJ47" s="351">
        <f t="shared" si="159"/>
        <v>344.57832000000002</v>
      </c>
      <c r="AK47" s="351">
        <f t="shared" si="160"/>
        <v>964.45401799999991</v>
      </c>
      <c r="AL47" s="352">
        <f t="shared" si="161"/>
        <v>323.02757299999996</v>
      </c>
      <c r="AM47" s="352">
        <f t="shared" si="108"/>
        <v>237.99659615791572</v>
      </c>
      <c r="AN47" s="353">
        <f t="shared" si="109"/>
        <v>582.57491615791571</v>
      </c>
      <c r="AO47" s="353">
        <f t="shared" si="110"/>
        <v>879.42304115791569</v>
      </c>
      <c r="AP47" s="343">
        <f t="shared" si="111"/>
        <v>359.59198144859096</v>
      </c>
      <c r="AQ47" s="343">
        <f t="shared" si="112"/>
        <v>656.44010644859088</v>
      </c>
      <c r="AS47" s="374">
        <v>0.92579999999999996</v>
      </c>
      <c r="AT47" s="375">
        <v>1.2044999999999999</v>
      </c>
      <c r="AU47" s="374">
        <v>1.843</v>
      </c>
      <c r="AV47" s="374">
        <v>13589.5708</v>
      </c>
      <c r="AW47" s="374">
        <v>3842.1682999999998</v>
      </c>
      <c r="AX47" s="351">
        <f t="shared" si="162"/>
        <v>315.39228600000001</v>
      </c>
      <c r="AY47" s="351">
        <f t="shared" si="163"/>
        <v>822.81804</v>
      </c>
      <c r="AZ47" s="352">
        <f t="shared" si="164"/>
        <v>447.24080999999995</v>
      </c>
      <c r="BA47" s="352">
        <f t="shared" si="113"/>
        <v>323.312658729308</v>
      </c>
      <c r="BB47" s="353">
        <f t="shared" si="114"/>
        <v>638.70494472930795</v>
      </c>
      <c r="BC47" s="353">
        <f t="shared" si="115"/>
        <v>698.88988872930804</v>
      </c>
      <c r="BD47" s="343">
        <f t="shared" si="116"/>
        <v>333.90678879521471</v>
      </c>
      <c r="BE47" s="343">
        <f t="shared" si="117"/>
        <v>394.09173279521474</v>
      </c>
      <c r="BG47" s="374">
        <v>0.88590000000000002</v>
      </c>
      <c r="BH47" s="375">
        <v>1.1737</v>
      </c>
      <c r="BI47" s="374">
        <v>1.8734</v>
      </c>
      <c r="BJ47" s="374">
        <v>7335.8958000000002</v>
      </c>
      <c r="BK47" s="374">
        <v>2253.7217000000001</v>
      </c>
      <c r="BL47" s="351">
        <f t="shared" si="165"/>
        <v>296.572743</v>
      </c>
      <c r="BM47" s="351">
        <f t="shared" si="166"/>
        <v>687.69430399999999</v>
      </c>
      <c r="BN47" s="352">
        <f t="shared" si="167"/>
        <v>384.74015800000001</v>
      </c>
      <c r="BO47" s="352">
        <f t="shared" si="118"/>
        <v>268.81283487352187</v>
      </c>
      <c r="BP47" s="353">
        <f t="shared" si="119"/>
        <v>565.38557787352192</v>
      </c>
      <c r="BQ47" s="353">
        <f t="shared" si="120"/>
        <v>571.76698087352179</v>
      </c>
      <c r="BR47" s="343">
        <f t="shared" si="121"/>
        <v>315.10929472740696</v>
      </c>
      <c r="BS47" s="343">
        <f t="shared" si="122"/>
        <v>321.49069772740694</v>
      </c>
      <c r="BU47" s="374">
        <v>0.89239999999999997</v>
      </c>
      <c r="BV47" s="375">
        <v>1.1575</v>
      </c>
      <c r="BW47" s="374">
        <v>1.8381000000000001</v>
      </c>
      <c r="BX47" s="374">
        <v>9966.9017000000003</v>
      </c>
      <c r="BY47" s="374">
        <v>3208.4841999999999</v>
      </c>
      <c r="BZ47" s="351">
        <f t="shared" si="168"/>
        <v>207.143888</v>
      </c>
      <c r="CA47" s="351">
        <f t="shared" si="169"/>
        <v>442.01452499999999</v>
      </c>
      <c r="CB47" s="352">
        <f t="shared" si="170"/>
        <v>182.32113900000002</v>
      </c>
      <c r="CC47" s="352">
        <f t="shared" si="123"/>
        <v>124.14318298689905</v>
      </c>
      <c r="CD47" s="353">
        <f t="shared" si="124"/>
        <v>331.28707098689904</v>
      </c>
      <c r="CE47" s="353">
        <f t="shared" si="125"/>
        <v>383.83656898689901</v>
      </c>
      <c r="CF47" s="343">
        <f t="shared" si="126"/>
        <v>219.90426119932314</v>
      </c>
      <c r="CG47" s="343">
        <f t="shared" si="127"/>
        <v>272.45375919932314</v>
      </c>
      <c r="CI47" s="374">
        <v>0.95289999999999997</v>
      </c>
      <c r="CJ47" s="375">
        <v>0.9728</v>
      </c>
      <c r="CK47" s="374">
        <v>1.5928</v>
      </c>
      <c r="CL47" s="374">
        <v>32258.3308</v>
      </c>
      <c r="CM47" s="374">
        <v>9881.0707999999995</v>
      </c>
      <c r="CN47" s="351">
        <f t="shared" si="171"/>
        <v>202.519837</v>
      </c>
      <c r="CO47" s="351">
        <f t="shared" si="172"/>
        <v>267.95776000000001</v>
      </c>
      <c r="CP47" s="352">
        <f t="shared" si="173"/>
        <v>0.63712000000000002</v>
      </c>
      <c r="CQ47" s="352">
        <f t="shared" si="128"/>
        <v>0.36286796468057969</v>
      </c>
      <c r="CR47" s="353">
        <f t="shared" si="129"/>
        <v>202.88270496468058</v>
      </c>
      <c r="CS47" s="353">
        <f t="shared" si="130"/>
        <v>267.68350796468059</v>
      </c>
      <c r="CT47" s="343">
        <f t="shared" si="131"/>
        <v>202.5556900566973</v>
      </c>
      <c r="CU47" s="343">
        <f t="shared" si="132"/>
        <v>267.35649305669733</v>
      </c>
      <c r="CW47" s="374">
        <v>0.89280000000000004</v>
      </c>
      <c r="CX47" s="375">
        <v>0.89219999999999999</v>
      </c>
      <c r="CY47" s="374">
        <v>1.3592</v>
      </c>
      <c r="CZ47" s="374">
        <v>14922.8742</v>
      </c>
      <c r="DA47" s="374">
        <v>4192.915</v>
      </c>
      <c r="DB47" s="351">
        <f t="shared" si="174"/>
        <v>200.192544</v>
      </c>
      <c r="DC47" s="351">
        <f t="shared" si="175"/>
        <v>277.24222800000001</v>
      </c>
      <c r="DD47" s="352">
        <f t="shared" si="176"/>
        <v>0.33979999999999999</v>
      </c>
      <c r="DE47" s="352">
        <f t="shared" si="133"/>
        <v>0.19731891055978637</v>
      </c>
      <c r="DF47" s="353">
        <f t="shared" si="134"/>
        <v>200.38986291055977</v>
      </c>
      <c r="DG47" s="353">
        <f t="shared" si="135"/>
        <v>277.09974691055976</v>
      </c>
      <c r="DH47" s="343">
        <f t="shared" si="136"/>
        <v>200.21428407262812</v>
      </c>
      <c r="DI47" s="343">
        <f t="shared" si="137"/>
        <v>276.92416807262811</v>
      </c>
      <c r="DK47" s="374">
        <v>0.84089999999999998</v>
      </c>
      <c r="DL47" s="375">
        <v>0.85209999999999997</v>
      </c>
      <c r="DM47" s="374">
        <v>1.163</v>
      </c>
      <c r="DN47" s="374">
        <v>4603.5807999999997</v>
      </c>
      <c r="DO47" s="374">
        <v>1631.3407999999999</v>
      </c>
      <c r="DP47" s="351">
        <f t="shared" si="177"/>
        <v>110.80539300000001</v>
      </c>
      <c r="DQ47" s="351">
        <f t="shared" si="178"/>
        <v>167.744406</v>
      </c>
      <c r="DR47" s="352">
        <f t="shared" si="179"/>
        <v>0.22097</v>
      </c>
      <c r="DS47" s="352">
        <f t="shared" si="138"/>
        <v>0.13306949610766008</v>
      </c>
      <c r="DT47" s="353">
        <f t="shared" si="139"/>
        <v>110.93846249610768</v>
      </c>
      <c r="DU47" s="353">
        <f t="shared" si="140"/>
        <v>167.65650549610766</v>
      </c>
      <c r="DV47" s="343">
        <f t="shared" si="141"/>
        <v>110.82863387579285</v>
      </c>
      <c r="DW47" s="343">
        <f t="shared" si="142"/>
        <v>167.54667687579285</v>
      </c>
      <c r="EB47" s="326"/>
      <c r="EC47" s="326"/>
      <c r="ED47" s="326"/>
      <c r="EE47" s="348">
        <f t="shared" si="143"/>
        <v>74504.434999999998</v>
      </c>
      <c r="EF47" s="348">
        <f t="shared" si="144"/>
        <v>24132.6224</v>
      </c>
      <c r="EG47" s="348">
        <f t="shared" si="145"/>
        <v>1545.9166682</v>
      </c>
      <c r="EH47" s="348">
        <f t="shared" si="146"/>
        <v>3193.3234564000004</v>
      </c>
      <c r="EI47" s="354">
        <f t="shared" si="180"/>
        <v>0.75533918958940882</v>
      </c>
      <c r="EJ47" s="326"/>
      <c r="EK47" s="348">
        <f t="shared" si="147"/>
        <v>1968.3166224862011</v>
      </c>
      <c r="EL47" s="348">
        <f t="shared" si="148"/>
        <v>2851.2500316862015</v>
      </c>
      <c r="EM47" s="348">
        <f t="shared" si="58"/>
        <v>1589.1169824958433</v>
      </c>
      <c r="EN47" s="348">
        <f t="shared" si="149"/>
        <v>2472.0503916958432</v>
      </c>
      <c r="EP47" s="326"/>
      <c r="EQ47" s="326"/>
      <c r="ER47" s="326"/>
      <c r="ES47" s="348">
        <f t="shared" si="181"/>
        <v>56711.152499999997</v>
      </c>
      <c r="ET47" s="348">
        <f t="shared" si="182"/>
        <v>17335.865000000002</v>
      </c>
      <c r="EU47" s="348">
        <f t="shared" si="183"/>
        <v>1177.4742808000001</v>
      </c>
      <c r="EV47" s="348">
        <f t="shared" si="184"/>
        <v>2368.5216335999999</v>
      </c>
      <c r="EW47" s="354">
        <f t="shared" si="185"/>
        <v>0.76588030706300891</v>
      </c>
      <c r="EX47" s="326"/>
      <c r="EY47" s="348">
        <f t="shared" si="186"/>
        <v>1672.1429223078496</v>
      </c>
      <c r="EZ47" s="348">
        <f t="shared" si="187"/>
        <v>2152.6990431078498</v>
      </c>
      <c r="FA47" s="348">
        <f t="shared" si="66"/>
        <v>1213.0609666623236</v>
      </c>
      <c r="FB47" s="348">
        <f t="shared" si="67"/>
        <v>1693.617087462324</v>
      </c>
      <c r="FD47" s="326"/>
      <c r="FE47" s="326"/>
      <c r="FF47" s="326"/>
      <c r="FG47" s="348">
        <f t="shared" si="188"/>
        <v>47117.251600000003</v>
      </c>
      <c r="FH47" s="348">
        <f t="shared" si="189"/>
        <v>14846.3933</v>
      </c>
      <c r="FI47" s="348">
        <f t="shared" si="190"/>
        <v>820.72528079999995</v>
      </c>
      <c r="FJ47" s="348">
        <f t="shared" si="191"/>
        <v>1775.0729466</v>
      </c>
      <c r="FK47" s="354">
        <f t="shared" si="192"/>
        <v>0.7604015495866997</v>
      </c>
      <c r="FL47" s="326"/>
      <c r="FM47" s="348">
        <f t="shared" si="193"/>
        <v>1183.30776960716</v>
      </c>
      <c r="FN47" s="348">
        <f t="shared" si="194"/>
        <v>1631.53702140716</v>
      </c>
      <c r="FO47" s="348">
        <f t="shared" si="75"/>
        <v>848.54911303008703</v>
      </c>
      <c r="FP47" s="348">
        <f t="shared" si="76"/>
        <v>1296.778364830087</v>
      </c>
      <c r="FR47" s="326"/>
      <c r="FS47" s="326"/>
      <c r="FT47" s="326"/>
      <c r="FU47" s="348">
        <f t="shared" si="195"/>
        <v>47181.205000000002</v>
      </c>
      <c r="FV47" s="348">
        <f t="shared" si="196"/>
        <v>14073.985799999999</v>
      </c>
      <c r="FW47" s="348">
        <f t="shared" si="197"/>
        <v>362.67387220000001</v>
      </c>
      <c r="FX47" s="348">
        <f t="shared" si="198"/>
        <v>489.75154240000006</v>
      </c>
      <c r="FY47" s="354">
        <f t="shared" si="199"/>
        <v>0.77024011163475148</v>
      </c>
      <c r="FZ47" s="326"/>
      <c r="GA47" s="348">
        <f t="shared" si="200"/>
        <v>363.19459529312837</v>
      </c>
      <c r="GB47" s="348">
        <f t="shared" si="201"/>
        <v>489.36330549312839</v>
      </c>
      <c r="GC47" s="348">
        <f t="shared" si="84"/>
        <v>362.72711731479978</v>
      </c>
      <c r="GD47" s="348">
        <f t="shared" si="85"/>
        <v>488.89582751479986</v>
      </c>
      <c r="GF47" s="326"/>
      <c r="GG47" s="326"/>
      <c r="GH47" s="326"/>
      <c r="GI47" s="348">
        <f t="shared" si="202"/>
        <v>23556.4725</v>
      </c>
      <c r="GJ47" s="348">
        <f t="shared" si="203"/>
        <v>7050.6525000000001</v>
      </c>
      <c r="GK47" s="349">
        <f t="shared" si="204"/>
        <v>81.186298500000007</v>
      </c>
      <c r="GL47" s="349">
        <f t="shared" si="205"/>
        <v>285.60263624999999</v>
      </c>
      <c r="GM47" s="354">
        <f t="shared" si="206"/>
        <v>0.76964015731631119</v>
      </c>
      <c r="GN47" s="326"/>
      <c r="GO47" s="349">
        <f t="shared" si="207"/>
        <v>230.56340530680669</v>
      </c>
      <c r="GP47" s="349">
        <f t="shared" si="208"/>
        <v>236.28998980680677</v>
      </c>
      <c r="GQ47" s="349">
        <f t="shared" si="93"/>
        <v>85.501895696918666</v>
      </c>
      <c r="GR47" s="349">
        <f t="shared" si="94"/>
        <v>91.228480196918696</v>
      </c>
      <c r="HA47" s="374"/>
      <c r="HB47" s="375"/>
      <c r="HC47" s="374"/>
      <c r="HD47" s="374"/>
      <c r="HE47" s="374"/>
      <c r="HF47" s="351">
        <f t="shared" si="209"/>
        <v>0</v>
      </c>
      <c r="HG47" s="351">
        <f t="shared" si="210"/>
        <v>0</v>
      </c>
      <c r="HH47" s="352">
        <f t="shared" si="211"/>
        <v>0</v>
      </c>
      <c r="HI47" s="352">
        <f t="shared" si="150"/>
        <v>0</v>
      </c>
      <c r="HJ47" s="353">
        <f t="shared" si="151"/>
        <v>0</v>
      </c>
      <c r="HK47" s="353">
        <f t="shared" si="152"/>
        <v>0</v>
      </c>
    </row>
    <row r="48" spans="1:219" x14ac:dyDescent="0.2">
      <c r="A48" s="320">
        <v>38</v>
      </c>
      <c r="C48" s="350">
        <v>0.92700000000000005</v>
      </c>
      <c r="D48" s="350">
        <v>1.0158</v>
      </c>
      <c r="E48" s="350">
        <v>1.5757000000000001</v>
      </c>
      <c r="F48" s="350">
        <v>15535.4167</v>
      </c>
      <c r="G48" s="350">
        <v>6733.1391999999996</v>
      </c>
      <c r="H48" s="351">
        <f t="shared" si="153"/>
        <v>904.8447000000001</v>
      </c>
      <c r="I48" s="351">
        <f t="shared" si="154"/>
        <v>1882.9783020000002</v>
      </c>
      <c r="J48" s="352">
        <f t="shared" si="155"/>
        <v>270.342849</v>
      </c>
      <c r="K48" s="352">
        <f t="shared" si="98"/>
        <v>81.741090092042327</v>
      </c>
      <c r="L48" s="353">
        <f t="shared" si="99"/>
        <v>986.58579009204243</v>
      </c>
      <c r="M48" s="353">
        <f t="shared" si="100"/>
        <v>1694.3765430920425</v>
      </c>
      <c r="N48" s="343">
        <f t="shared" si="101"/>
        <v>929.47726638582878</v>
      </c>
      <c r="O48" s="343">
        <f t="shared" si="102"/>
        <v>1637.2680193858289</v>
      </c>
      <c r="Q48" s="374">
        <v>0.89700000000000002</v>
      </c>
      <c r="R48" s="375">
        <v>1.0106999999999999</v>
      </c>
      <c r="S48" s="374">
        <v>1.4603999999999999</v>
      </c>
      <c r="T48" s="374">
        <v>2591.0342000000001</v>
      </c>
      <c r="U48" s="374">
        <v>1124.9367</v>
      </c>
      <c r="V48" s="351">
        <f t="shared" si="156"/>
        <v>573.54179999999997</v>
      </c>
      <c r="W48" s="351">
        <f t="shared" si="157"/>
        <v>1214.234766</v>
      </c>
      <c r="X48" s="352">
        <f t="shared" si="158"/>
        <v>292.634952</v>
      </c>
      <c r="Y48" s="352">
        <f t="shared" si="103"/>
        <v>198.75388190156045</v>
      </c>
      <c r="Z48" s="353">
        <f t="shared" si="104"/>
        <v>772.29568190156044</v>
      </c>
      <c r="AA48" s="353">
        <f t="shared" si="105"/>
        <v>1120.3536959015605</v>
      </c>
      <c r="AB48" s="343">
        <f t="shared" si="106"/>
        <v>590.5408630273796</v>
      </c>
      <c r="AC48" s="343">
        <f t="shared" si="107"/>
        <v>938.59887702737967</v>
      </c>
      <c r="AE48" s="374">
        <v>0.86309999999999998</v>
      </c>
      <c r="AF48" s="375">
        <v>0.9819</v>
      </c>
      <c r="AG48" s="374">
        <v>1.5911</v>
      </c>
      <c r="AH48" s="374">
        <v>297.05579999999998</v>
      </c>
      <c r="AI48" s="374">
        <v>122.3875</v>
      </c>
      <c r="AJ48" s="351">
        <f t="shared" si="159"/>
        <v>369.907398</v>
      </c>
      <c r="AK48" s="351">
        <f t="shared" si="160"/>
        <v>976.18534199999999</v>
      </c>
      <c r="AL48" s="352">
        <f t="shared" si="161"/>
        <v>285.42742899999996</v>
      </c>
      <c r="AM48" s="352">
        <f t="shared" si="108"/>
        <v>206.99173549851079</v>
      </c>
      <c r="AN48" s="353">
        <f t="shared" si="109"/>
        <v>576.89913349851076</v>
      </c>
      <c r="AO48" s="353">
        <f t="shared" si="110"/>
        <v>897.74964849851085</v>
      </c>
      <c r="AP48" s="343">
        <f t="shared" si="111"/>
        <v>384.92105944859094</v>
      </c>
      <c r="AQ48" s="343">
        <f t="shared" si="112"/>
        <v>705.77157444859097</v>
      </c>
      <c r="AS48" s="374">
        <v>0.94299999999999995</v>
      </c>
      <c r="AT48" s="375">
        <v>1.1438999999999999</v>
      </c>
      <c r="AU48" s="374">
        <v>1.5674999999999999</v>
      </c>
      <c r="AV48" s="374">
        <v>15632.3683</v>
      </c>
      <c r="AW48" s="374">
        <v>4272.0558000000001</v>
      </c>
      <c r="AX48" s="351">
        <f t="shared" si="162"/>
        <v>321.25180999999998</v>
      </c>
      <c r="AY48" s="351">
        <f t="shared" si="163"/>
        <v>781.4209679999999</v>
      </c>
      <c r="AZ48" s="352">
        <f t="shared" si="164"/>
        <v>380.38522499999993</v>
      </c>
      <c r="BA48" s="352">
        <f t="shared" si="113"/>
        <v>269.56409613332971</v>
      </c>
      <c r="BB48" s="353">
        <f t="shared" si="114"/>
        <v>590.81590613332969</v>
      </c>
      <c r="BC48" s="353">
        <f t="shared" si="115"/>
        <v>670.59983913332962</v>
      </c>
      <c r="BD48" s="343">
        <f t="shared" si="116"/>
        <v>339.76631279521467</v>
      </c>
      <c r="BE48" s="343">
        <f t="shared" si="117"/>
        <v>419.55024579521466</v>
      </c>
      <c r="BG48" s="374">
        <v>0.91839999999999999</v>
      </c>
      <c r="BH48" s="375">
        <v>1.1161000000000001</v>
      </c>
      <c r="BI48" s="374">
        <v>1.6029</v>
      </c>
      <c r="BJ48" s="374">
        <v>8076.9875000000002</v>
      </c>
      <c r="BK48" s="374">
        <v>2384.3708000000001</v>
      </c>
      <c r="BL48" s="351">
        <f t="shared" si="165"/>
        <v>307.45276799999999</v>
      </c>
      <c r="BM48" s="351">
        <f t="shared" si="166"/>
        <v>653.94531200000006</v>
      </c>
      <c r="BN48" s="352">
        <f t="shared" si="167"/>
        <v>329.18757299999999</v>
      </c>
      <c r="BO48" s="352">
        <f t="shared" si="118"/>
        <v>223.91418769216577</v>
      </c>
      <c r="BP48" s="353">
        <f t="shared" si="119"/>
        <v>531.36695569216579</v>
      </c>
      <c r="BQ48" s="353">
        <f t="shared" si="120"/>
        <v>548.67192669216581</v>
      </c>
      <c r="BR48" s="343">
        <f t="shared" si="121"/>
        <v>325.98931972740695</v>
      </c>
      <c r="BS48" s="343">
        <f t="shared" si="122"/>
        <v>343.29429072740703</v>
      </c>
      <c r="BU48" s="374">
        <v>0.9204</v>
      </c>
      <c r="BV48" s="375">
        <v>1.1077999999999999</v>
      </c>
      <c r="BW48" s="374">
        <v>1.5754999999999999</v>
      </c>
      <c r="BX48" s="374">
        <v>10559.863300000001</v>
      </c>
      <c r="BY48" s="374">
        <v>3366.0832999999998</v>
      </c>
      <c r="BZ48" s="351">
        <f t="shared" si="168"/>
        <v>213.643248</v>
      </c>
      <c r="CA48" s="351">
        <f t="shared" si="169"/>
        <v>423.03558599999997</v>
      </c>
      <c r="CB48" s="352">
        <f t="shared" si="170"/>
        <v>156.27384499999999</v>
      </c>
      <c r="CC48" s="352">
        <f t="shared" si="123"/>
        <v>103.8347657651961</v>
      </c>
      <c r="CD48" s="353">
        <f t="shared" si="124"/>
        <v>317.47801376519612</v>
      </c>
      <c r="CE48" s="353">
        <f t="shared" si="125"/>
        <v>370.59650676519607</v>
      </c>
      <c r="CF48" s="343">
        <f t="shared" si="126"/>
        <v>226.40362119932314</v>
      </c>
      <c r="CG48" s="343">
        <f t="shared" si="127"/>
        <v>279.52211419932314</v>
      </c>
      <c r="CI48" s="374">
        <v>0.97350000000000003</v>
      </c>
      <c r="CJ48" s="375">
        <v>0.9869</v>
      </c>
      <c r="CK48" s="374">
        <v>1.4252</v>
      </c>
      <c r="CL48" s="374">
        <v>35653.231699999997</v>
      </c>
      <c r="CM48" s="374">
        <v>10591.4092</v>
      </c>
      <c r="CN48" s="351">
        <f t="shared" si="171"/>
        <v>206.897955</v>
      </c>
      <c r="CO48" s="351">
        <f t="shared" si="172"/>
        <v>271.84160500000002</v>
      </c>
      <c r="CP48" s="352">
        <f t="shared" si="173"/>
        <v>0.57008000000000003</v>
      </c>
      <c r="CQ48" s="352">
        <f t="shared" si="128"/>
        <v>0.3237072411112214</v>
      </c>
      <c r="CR48" s="353">
        <f t="shared" si="129"/>
        <v>207.2216622411112</v>
      </c>
      <c r="CS48" s="353">
        <f t="shared" si="130"/>
        <v>271.5952322411112</v>
      </c>
      <c r="CT48" s="343">
        <f t="shared" si="131"/>
        <v>206.9338080566973</v>
      </c>
      <c r="CU48" s="343">
        <f t="shared" si="132"/>
        <v>271.3073780566973</v>
      </c>
      <c r="CW48" s="374">
        <v>0.92779999999999996</v>
      </c>
      <c r="CX48" s="375">
        <v>0.93110000000000004</v>
      </c>
      <c r="CY48" s="374">
        <v>1.264</v>
      </c>
      <c r="CZ48" s="374">
        <v>16660.4725</v>
      </c>
      <c r="DA48" s="374">
        <v>4381.8792000000003</v>
      </c>
      <c r="DB48" s="351">
        <f t="shared" si="174"/>
        <v>208.04059399999997</v>
      </c>
      <c r="DC48" s="351">
        <f t="shared" si="175"/>
        <v>289.33001400000001</v>
      </c>
      <c r="DD48" s="352">
        <f t="shared" si="176"/>
        <v>0.316</v>
      </c>
      <c r="DE48" s="352">
        <f t="shared" si="133"/>
        <v>0.18382325564360652</v>
      </c>
      <c r="DF48" s="353">
        <f t="shared" si="134"/>
        <v>208.22441725564357</v>
      </c>
      <c r="DG48" s="353">
        <f t="shared" si="135"/>
        <v>289.19783725564366</v>
      </c>
      <c r="DH48" s="343">
        <f t="shared" si="136"/>
        <v>208.06233407262809</v>
      </c>
      <c r="DI48" s="343">
        <f t="shared" si="137"/>
        <v>289.03575407262815</v>
      </c>
      <c r="DK48" s="374">
        <v>0.89380000000000004</v>
      </c>
      <c r="DL48" s="375">
        <v>0.90100000000000002</v>
      </c>
      <c r="DM48" s="374">
        <v>1.1268</v>
      </c>
      <c r="DN48" s="374">
        <v>4987.3225000000002</v>
      </c>
      <c r="DO48" s="374">
        <v>1736.6524999999999</v>
      </c>
      <c r="DP48" s="351">
        <f t="shared" si="177"/>
        <v>117.77602600000002</v>
      </c>
      <c r="DQ48" s="351">
        <f t="shared" si="178"/>
        <v>177.37086000000002</v>
      </c>
      <c r="DR48" s="352">
        <f t="shared" si="179"/>
        <v>0.214092</v>
      </c>
      <c r="DS48" s="352">
        <f t="shared" si="138"/>
        <v>0.12866028394797294</v>
      </c>
      <c r="DT48" s="353">
        <f t="shared" si="139"/>
        <v>117.904686283948</v>
      </c>
      <c r="DU48" s="353">
        <f t="shared" si="140"/>
        <v>177.28542828394799</v>
      </c>
      <c r="DV48" s="343">
        <f t="shared" si="141"/>
        <v>117.79926687579285</v>
      </c>
      <c r="DW48" s="343">
        <f t="shared" si="142"/>
        <v>177.18000887579288</v>
      </c>
      <c r="EB48" s="326"/>
      <c r="EC48" s="326"/>
      <c r="ED48" s="326"/>
      <c r="EE48" s="348">
        <f t="shared" si="143"/>
        <v>83481.489199999996</v>
      </c>
      <c r="EF48" s="348">
        <f t="shared" si="144"/>
        <v>25978.483400000001</v>
      </c>
      <c r="EG48" s="348">
        <f t="shared" si="145"/>
        <v>1599.4269402</v>
      </c>
      <c r="EH48" s="348">
        <f t="shared" si="146"/>
        <v>3167.7048862000001</v>
      </c>
      <c r="EI48" s="354">
        <f t="shared" si="180"/>
        <v>0.76266681981610507</v>
      </c>
      <c r="EJ48" s="326"/>
      <c r="EK48" s="348">
        <f t="shared" si="147"/>
        <v>1951.2028922709983</v>
      </c>
      <c r="EL48" s="348">
        <f t="shared" si="148"/>
        <v>2867.9298842709982</v>
      </c>
      <c r="EM48" s="348">
        <f t="shared" si="58"/>
        <v>1642.6272544958433</v>
      </c>
      <c r="EN48" s="348">
        <f t="shared" si="149"/>
        <v>2559.3542464958432</v>
      </c>
      <c r="EP48" s="326"/>
      <c r="EQ48" s="326"/>
      <c r="ER48" s="326"/>
      <c r="ES48" s="348">
        <f t="shared" si="181"/>
        <v>62981.725900000005</v>
      </c>
      <c r="ET48" s="348">
        <f t="shared" si="182"/>
        <v>18482.5959</v>
      </c>
      <c r="EU48" s="348">
        <f t="shared" si="183"/>
        <v>1233.5209387999998</v>
      </c>
      <c r="EV48" s="348">
        <f t="shared" si="184"/>
        <v>2342.5526927999999</v>
      </c>
      <c r="EW48" s="354">
        <f t="shared" si="185"/>
        <v>0.7731203612622477</v>
      </c>
      <c r="EX48" s="326"/>
      <c r="EY48" s="348">
        <f t="shared" si="186"/>
        <v>1656.6413919137881</v>
      </c>
      <c r="EZ48" s="348">
        <f t="shared" si="187"/>
        <v>2143.0593409137882</v>
      </c>
      <c r="FA48" s="348">
        <f t="shared" si="66"/>
        <v>1269.1076246623236</v>
      </c>
      <c r="FB48" s="348">
        <f t="shared" si="67"/>
        <v>1755.5255736623237</v>
      </c>
      <c r="FD48" s="326"/>
      <c r="FE48" s="326"/>
      <c r="FF48" s="326"/>
      <c r="FG48" s="348">
        <f t="shared" si="188"/>
        <v>51497.473299999998</v>
      </c>
      <c r="FH48" s="348">
        <f t="shared" si="189"/>
        <v>15816.532499999999</v>
      </c>
      <c r="FI48" s="348">
        <f t="shared" si="190"/>
        <v>861.11421660000008</v>
      </c>
      <c r="FJ48" s="348">
        <f t="shared" si="191"/>
        <v>1777.4850490000001</v>
      </c>
      <c r="FK48" s="354">
        <f t="shared" si="192"/>
        <v>0.76503355710261411</v>
      </c>
      <c r="FL48" s="326"/>
      <c r="FM48" s="348">
        <f t="shared" si="193"/>
        <v>1172.3416212751868</v>
      </c>
      <c r="FN48" s="348">
        <f t="shared" si="194"/>
        <v>1646.312644475187</v>
      </c>
      <c r="FO48" s="348">
        <f t="shared" si="75"/>
        <v>888.93804883008715</v>
      </c>
      <c r="FP48" s="348">
        <f t="shared" si="76"/>
        <v>1362.9090720300871</v>
      </c>
      <c r="FR48" s="326"/>
      <c r="FS48" s="326"/>
      <c r="FT48" s="326"/>
      <c r="FU48" s="348">
        <f t="shared" si="195"/>
        <v>52313.704199999993</v>
      </c>
      <c r="FV48" s="348">
        <f t="shared" si="196"/>
        <v>14973.288400000001</v>
      </c>
      <c r="FW48" s="348">
        <f t="shared" si="197"/>
        <v>373.33043020000002</v>
      </c>
      <c r="FX48" s="348">
        <f t="shared" si="198"/>
        <v>503.30561620000003</v>
      </c>
      <c r="FY48" s="354">
        <f t="shared" si="199"/>
        <v>0.77747127904777236</v>
      </c>
      <c r="FZ48" s="326"/>
      <c r="GA48" s="348">
        <f t="shared" si="200"/>
        <v>373.80119604562606</v>
      </c>
      <c r="GB48" s="348">
        <f t="shared" si="201"/>
        <v>502.95350204562612</v>
      </c>
      <c r="GC48" s="348">
        <f t="shared" si="84"/>
        <v>373.3836753147998</v>
      </c>
      <c r="GD48" s="348">
        <f t="shared" si="85"/>
        <v>502.53598131479987</v>
      </c>
      <c r="GF48" s="326"/>
      <c r="GG48" s="326"/>
      <c r="GH48" s="326"/>
      <c r="GI48" s="348">
        <f t="shared" si="202"/>
        <v>26192.231599999999</v>
      </c>
      <c r="GJ48" s="348">
        <f t="shared" si="203"/>
        <v>7638.1391000000003</v>
      </c>
      <c r="GK48" s="349">
        <f t="shared" si="204"/>
        <v>80.706421499999976</v>
      </c>
      <c r="GL48" s="349">
        <f t="shared" si="205"/>
        <v>268.78903649999995</v>
      </c>
      <c r="GM48" s="354">
        <f t="shared" si="206"/>
        <v>0.77422242375842487</v>
      </c>
      <c r="GN48" s="326"/>
      <c r="GO48" s="349">
        <f t="shared" si="207"/>
        <v>205.00341927610017</v>
      </c>
      <c r="GP48" s="349">
        <f t="shared" si="208"/>
        <v>225.00249927610017</v>
      </c>
      <c r="GQ48" s="349">
        <f t="shared" si="93"/>
        <v>85.02201869691865</v>
      </c>
      <c r="GR48" s="349">
        <f t="shared" si="94"/>
        <v>105.02109869691864</v>
      </c>
      <c r="HA48" s="374"/>
      <c r="HB48" s="375"/>
      <c r="HC48" s="374"/>
      <c r="HD48" s="374"/>
      <c r="HE48" s="374"/>
      <c r="HF48" s="351">
        <f t="shared" si="209"/>
        <v>0</v>
      </c>
      <c r="HG48" s="351">
        <f t="shared" si="210"/>
        <v>0</v>
      </c>
      <c r="HH48" s="352">
        <f t="shared" si="211"/>
        <v>0</v>
      </c>
      <c r="HI48" s="352">
        <f t="shared" si="150"/>
        <v>0</v>
      </c>
      <c r="HJ48" s="353">
        <f t="shared" si="151"/>
        <v>0</v>
      </c>
      <c r="HK48" s="353">
        <f t="shared" si="152"/>
        <v>0</v>
      </c>
    </row>
    <row r="49" spans="1:219" x14ac:dyDescent="0.2">
      <c r="A49" s="320">
        <v>39</v>
      </c>
      <c r="C49" s="350">
        <v>0.96419999999999995</v>
      </c>
      <c r="D49" s="350">
        <v>1.0103</v>
      </c>
      <c r="E49" s="350">
        <v>1.2827</v>
      </c>
      <c r="F49" s="350">
        <v>17025.179199999999</v>
      </c>
      <c r="G49" s="350">
        <v>7298.4791999999998</v>
      </c>
      <c r="H49" s="351">
        <f t="shared" si="153"/>
        <v>941.15562</v>
      </c>
      <c r="I49" s="351">
        <f t="shared" si="154"/>
        <v>1872.783007</v>
      </c>
      <c r="J49" s="352">
        <f t="shared" si="155"/>
        <v>220.07283899999999</v>
      </c>
      <c r="K49" s="352">
        <f t="shared" si="98"/>
        <v>66.034352707668702</v>
      </c>
      <c r="L49" s="353">
        <f t="shared" si="99"/>
        <v>1007.1899727076687</v>
      </c>
      <c r="M49" s="353">
        <f t="shared" si="100"/>
        <v>1718.7445207076687</v>
      </c>
      <c r="N49" s="343">
        <f t="shared" si="101"/>
        <v>965.78818638582868</v>
      </c>
      <c r="O49" s="343">
        <f t="shared" si="102"/>
        <v>1677.3427343858286</v>
      </c>
      <c r="Q49" s="374">
        <v>0.95050000000000001</v>
      </c>
      <c r="R49" s="375">
        <v>1.0054000000000001</v>
      </c>
      <c r="S49" s="374">
        <v>1.2478</v>
      </c>
      <c r="T49" s="374">
        <v>2924.9391999999998</v>
      </c>
      <c r="U49" s="374">
        <v>1198.3258000000001</v>
      </c>
      <c r="V49" s="351">
        <f t="shared" si="156"/>
        <v>607.74969999999996</v>
      </c>
      <c r="W49" s="351">
        <f t="shared" si="157"/>
        <v>1207.8674520000002</v>
      </c>
      <c r="X49" s="352">
        <f t="shared" si="158"/>
        <v>250.034164</v>
      </c>
      <c r="Y49" s="352">
        <f t="shared" si="103"/>
        <v>166.33910307079438</v>
      </c>
      <c r="Z49" s="353">
        <f t="shared" si="104"/>
        <v>774.08880307079437</v>
      </c>
      <c r="AA49" s="353">
        <f t="shared" si="105"/>
        <v>1124.1723910707944</v>
      </c>
      <c r="AB49" s="343">
        <f t="shared" si="106"/>
        <v>624.7487630273796</v>
      </c>
      <c r="AC49" s="343">
        <f t="shared" si="107"/>
        <v>974.83235102737979</v>
      </c>
      <c r="AE49" s="374">
        <v>0.92910000000000004</v>
      </c>
      <c r="AF49" s="375">
        <v>0.99150000000000005</v>
      </c>
      <c r="AG49" s="374">
        <v>1.3156000000000001</v>
      </c>
      <c r="AH49" s="374">
        <v>317.3125</v>
      </c>
      <c r="AI49" s="374">
        <v>152.16999999999999</v>
      </c>
      <c r="AJ49" s="351">
        <f t="shared" si="159"/>
        <v>398.19367799999998</v>
      </c>
      <c r="AK49" s="351">
        <f t="shared" si="160"/>
        <v>985.72946999999999</v>
      </c>
      <c r="AL49" s="352">
        <f t="shared" si="161"/>
        <v>236.005484</v>
      </c>
      <c r="AM49" s="352">
        <f t="shared" si="108"/>
        <v>168.10005743210061</v>
      </c>
      <c r="AN49" s="353">
        <f t="shared" si="109"/>
        <v>566.29373543210056</v>
      </c>
      <c r="AO49" s="353">
        <f t="shared" si="110"/>
        <v>917.82404343210055</v>
      </c>
      <c r="AP49" s="343">
        <f t="shared" si="111"/>
        <v>413.20733944859091</v>
      </c>
      <c r="AQ49" s="343">
        <f t="shared" si="112"/>
        <v>764.73764744859091</v>
      </c>
      <c r="AS49" s="374">
        <v>0.96809999999999996</v>
      </c>
      <c r="AT49" s="375">
        <v>1.0737000000000001</v>
      </c>
      <c r="AU49" s="374">
        <v>1.2803</v>
      </c>
      <c r="AV49" s="374">
        <v>17855.9817</v>
      </c>
      <c r="AW49" s="374">
        <v>4809.5691999999999</v>
      </c>
      <c r="AX49" s="351">
        <f t="shared" si="162"/>
        <v>329.80262700000003</v>
      </c>
      <c r="AY49" s="351">
        <f t="shared" si="163"/>
        <v>733.46594400000004</v>
      </c>
      <c r="AZ49" s="352">
        <f t="shared" si="164"/>
        <v>310.69040100000001</v>
      </c>
      <c r="BA49" s="352">
        <f t="shared" si="113"/>
        <v>214.32104218681317</v>
      </c>
      <c r="BB49" s="353">
        <f t="shared" si="114"/>
        <v>544.12366918681323</v>
      </c>
      <c r="BC49" s="353">
        <f t="shared" si="115"/>
        <v>637.09658518681317</v>
      </c>
      <c r="BD49" s="343">
        <f t="shared" si="116"/>
        <v>348.31712979521473</v>
      </c>
      <c r="BE49" s="343">
        <f t="shared" si="117"/>
        <v>441.29004579521472</v>
      </c>
      <c r="BG49" s="374">
        <v>0.95699999999999996</v>
      </c>
      <c r="BH49" s="375">
        <v>1.0566</v>
      </c>
      <c r="BI49" s="374">
        <v>1.2997000000000001</v>
      </c>
      <c r="BJ49" s="374">
        <v>8991.6574999999993</v>
      </c>
      <c r="BK49" s="374">
        <v>2592.4342000000001</v>
      </c>
      <c r="BL49" s="351">
        <f t="shared" si="165"/>
        <v>320.37488999999999</v>
      </c>
      <c r="BM49" s="351">
        <f t="shared" si="166"/>
        <v>619.0830719999999</v>
      </c>
      <c r="BN49" s="352">
        <f t="shared" si="167"/>
        <v>266.91938900000002</v>
      </c>
      <c r="BO49" s="352">
        <f t="shared" si="118"/>
        <v>175.89427308348579</v>
      </c>
      <c r="BP49" s="353">
        <f t="shared" si="119"/>
        <v>496.26916308348575</v>
      </c>
      <c r="BQ49" s="353">
        <f t="shared" si="120"/>
        <v>528.05795608348569</v>
      </c>
      <c r="BR49" s="343">
        <f t="shared" si="121"/>
        <v>338.91144172740695</v>
      </c>
      <c r="BS49" s="343">
        <f t="shared" si="122"/>
        <v>370.70023472740684</v>
      </c>
      <c r="BU49" s="374">
        <v>0.95630000000000004</v>
      </c>
      <c r="BV49" s="375">
        <v>1.0532999999999999</v>
      </c>
      <c r="BW49" s="374">
        <v>1.2865</v>
      </c>
      <c r="BX49" s="374">
        <v>11023.1883</v>
      </c>
      <c r="BY49" s="374">
        <v>3521.0967000000001</v>
      </c>
      <c r="BZ49" s="351">
        <f t="shared" si="168"/>
        <v>221.97635600000001</v>
      </c>
      <c r="CA49" s="351">
        <f t="shared" si="169"/>
        <v>402.22367099999997</v>
      </c>
      <c r="CB49" s="352">
        <f t="shared" si="170"/>
        <v>127.607935</v>
      </c>
      <c r="CC49" s="352">
        <f t="shared" si="123"/>
        <v>82.228340026056074</v>
      </c>
      <c r="CD49" s="353">
        <f t="shared" si="124"/>
        <v>304.20469602605607</v>
      </c>
      <c r="CE49" s="353">
        <f t="shared" si="125"/>
        <v>356.84407602605603</v>
      </c>
      <c r="CF49" s="343">
        <f t="shared" si="126"/>
        <v>234.73672919932315</v>
      </c>
      <c r="CG49" s="343">
        <f t="shared" si="127"/>
        <v>287.37610919932314</v>
      </c>
      <c r="CI49" s="374">
        <v>0.98899999999999999</v>
      </c>
      <c r="CJ49" s="375">
        <v>0.99570000000000003</v>
      </c>
      <c r="CK49" s="374">
        <v>1.2226999999999999</v>
      </c>
      <c r="CL49" s="374">
        <v>39315.690799999997</v>
      </c>
      <c r="CM49" s="374">
        <v>11525.997499999999</v>
      </c>
      <c r="CN49" s="351">
        <f t="shared" si="171"/>
        <v>210.19217</v>
      </c>
      <c r="CO49" s="351">
        <f t="shared" si="172"/>
        <v>274.26556499999998</v>
      </c>
      <c r="CP49" s="352">
        <f t="shared" si="173"/>
        <v>0.48907999999999996</v>
      </c>
      <c r="CQ49" s="352">
        <f t="shared" si="128"/>
        <v>0.27688236318530451</v>
      </c>
      <c r="CR49" s="353">
        <f t="shared" si="129"/>
        <v>210.46905236318531</v>
      </c>
      <c r="CS49" s="353">
        <f t="shared" si="130"/>
        <v>274.05336736318526</v>
      </c>
      <c r="CT49" s="343">
        <f t="shared" si="131"/>
        <v>210.22802305669731</v>
      </c>
      <c r="CU49" s="343">
        <f t="shared" si="132"/>
        <v>273.81233805669729</v>
      </c>
      <c r="CW49" s="374">
        <v>0.96519999999999995</v>
      </c>
      <c r="CX49" s="375">
        <v>0.96730000000000005</v>
      </c>
      <c r="CY49" s="374">
        <v>1.1409</v>
      </c>
      <c r="CZ49" s="374">
        <v>18596.0658</v>
      </c>
      <c r="DA49" s="374">
        <v>4842.0316999999995</v>
      </c>
      <c r="DB49" s="351">
        <f t="shared" si="174"/>
        <v>216.42679599999997</v>
      </c>
      <c r="DC49" s="351">
        <f t="shared" si="175"/>
        <v>300.578802</v>
      </c>
      <c r="DD49" s="352">
        <f t="shared" si="176"/>
        <v>0.28522500000000001</v>
      </c>
      <c r="DE49" s="352">
        <f t="shared" si="133"/>
        <v>0.16582526210954104</v>
      </c>
      <c r="DF49" s="353">
        <f t="shared" si="134"/>
        <v>216.5926212621095</v>
      </c>
      <c r="DG49" s="353">
        <f t="shared" si="135"/>
        <v>300.45940226210951</v>
      </c>
      <c r="DH49" s="343">
        <f t="shared" si="136"/>
        <v>216.44853607262809</v>
      </c>
      <c r="DI49" s="343">
        <f t="shared" si="137"/>
        <v>300.31531707262809</v>
      </c>
      <c r="DK49" s="374">
        <v>0.94710000000000005</v>
      </c>
      <c r="DL49" s="375">
        <v>0.95</v>
      </c>
      <c r="DM49" s="374">
        <v>1.0714999999999999</v>
      </c>
      <c r="DN49" s="374">
        <v>5122.915</v>
      </c>
      <c r="DO49" s="374">
        <v>1849.7925</v>
      </c>
      <c r="DP49" s="351">
        <f t="shared" si="177"/>
        <v>124.79936700000002</v>
      </c>
      <c r="DQ49" s="351">
        <f t="shared" si="178"/>
        <v>187.017</v>
      </c>
      <c r="DR49" s="352">
        <f t="shared" si="179"/>
        <v>0.20358499999999999</v>
      </c>
      <c r="DS49" s="352">
        <f t="shared" si="138"/>
        <v>0.12210345566947099</v>
      </c>
      <c r="DT49" s="353">
        <f t="shared" si="139"/>
        <v>124.92147045566949</v>
      </c>
      <c r="DU49" s="353">
        <f t="shared" si="140"/>
        <v>186.93551845566947</v>
      </c>
      <c r="DV49" s="343">
        <f t="shared" si="141"/>
        <v>124.82260787579285</v>
      </c>
      <c r="DW49" s="343">
        <f t="shared" si="142"/>
        <v>186.83665587579284</v>
      </c>
      <c r="EB49" s="326"/>
      <c r="EC49" s="326"/>
      <c r="ED49" s="326"/>
      <c r="EE49" s="348">
        <f t="shared" si="143"/>
        <v>92792.917499999996</v>
      </c>
      <c r="EF49" s="348">
        <f t="shared" si="144"/>
        <v>28476.077599999997</v>
      </c>
      <c r="EG49" s="348">
        <f t="shared" si="145"/>
        <v>1654.2918538000001</v>
      </c>
      <c r="EH49" s="348">
        <f t="shared" si="146"/>
        <v>3120.9775576000002</v>
      </c>
      <c r="EI49" s="354">
        <f t="shared" si="180"/>
        <v>0.76518253840135919</v>
      </c>
      <c r="EJ49" s="326"/>
      <c r="EK49" s="348">
        <f t="shared" si="147"/>
        <v>1935.0567912673548</v>
      </c>
      <c r="EL49" s="348">
        <f t="shared" si="148"/>
        <v>2870.2619950673552</v>
      </c>
      <c r="EM49" s="348">
        <f t="shared" si="58"/>
        <v>1697.4921680958432</v>
      </c>
      <c r="EN49" s="348">
        <f t="shared" si="149"/>
        <v>2632.6973718958429</v>
      </c>
      <c r="EP49" s="326"/>
      <c r="EQ49" s="326"/>
      <c r="ER49" s="326"/>
      <c r="ES49" s="348">
        <f t="shared" si="181"/>
        <v>69828.353299999988</v>
      </c>
      <c r="ET49" s="348">
        <f t="shared" si="182"/>
        <v>20158.789199999999</v>
      </c>
      <c r="EU49" s="348">
        <f t="shared" si="183"/>
        <v>1289.8155171999999</v>
      </c>
      <c r="EV49" s="348">
        <f t="shared" si="184"/>
        <v>2311.6212504</v>
      </c>
      <c r="EW49" s="354">
        <f t="shared" si="185"/>
        <v>0.77598144979434147</v>
      </c>
      <c r="EX49" s="326"/>
      <c r="EY49" s="348">
        <f t="shared" si="186"/>
        <v>1632.4418534009419</v>
      </c>
      <c r="EZ49" s="348">
        <f t="shared" si="187"/>
        <v>2136.6052961009418</v>
      </c>
      <c r="FA49" s="348">
        <f t="shared" si="66"/>
        <v>1325.4022030623235</v>
      </c>
      <c r="FB49" s="348">
        <f t="shared" si="67"/>
        <v>1829.5656457623236</v>
      </c>
      <c r="FD49" s="326"/>
      <c r="FE49" s="326"/>
      <c r="FF49" s="326"/>
      <c r="FG49" s="348">
        <f t="shared" si="188"/>
        <v>55779.106599999999</v>
      </c>
      <c r="FH49" s="348">
        <f t="shared" si="189"/>
        <v>17049.056700000001</v>
      </c>
      <c r="FI49" s="348">
        <f t="shared" si="190"/>
        <v>905.2418242</v>
      </c>
      <c r="FJ49" s="348">
        <f t="shared" si="191"/>
        <v>1774.4289059999999</v>
      </c>
      <c r="FK49" s="354">
        <f t="shared" si="192"/>
        <v>0.76590022420625836</v>
      </c>
      <c r="FL49" s="326"/>
      <c r="FM49" s="348">
        <f t="shared" si="193"/>
        <v>1155.9203660947435</v>
      </c>
      <c r="FN49" s="348">
        <f t="shared" si="194"/>
        <v>1660.8827978947436</v>
      </c>
      <c r="FO49" s="348">
        <f t="shared" si="75"/>
        <v>933.06565643008707</v>
      </c>
      <c r="FP49" s="348">
        <f t="shared" si="76"/>
        <v>1438.0280882300872</v>
      </c>
      <c r="FR49" s="326"/>
      <c r="FS49" s="326"/>
      <c r="FT49" s="326"/>
      <c r="FU49" s="348">
        <f t="shared" si="195"/>
        <v>57911.756599999993</v>
      </c>
      <c r="FV49" s="348">
        <f t="shared" si="196"/>
        <v>16368.029199999999</v>
      </c>
      <c r="FW49" s="348">
        <f t="shared" si="197"/>
        <v>383.33360679999998</v>
      </c>
      <c r="FX49" s="348">
        <f t="shared" si="198"/>
        <v>514.72860659999992</v>
      </c>
      <c r="FY49" s="354">
        <f t="shared" si="199"/>
        <v>0.7796435594998713</v>
      </c>
      <c r="FZ49" s="326"/>
      <c r="GA49" s="348">
        <f t="shared" si="200"/>
        <v>383.74314937287295</v>
      </c>
      <c r="GB49" s="348">
        <f t="shared" si="201"/>
        <v>514.42088917287288</v>
      </c>
      <c r="GC49" s="348">
        <f t="shared" si="84"/>
        <v>383.38685191479976</v>
      </c>
      <c r="GD49" s="348">
        <f t="shared" si="85"/>
        <v>514.0645917147998</v>
      </c>
      <c r="GF49" s="326"/>
      <c r="GG49" s="326"/>
      <c r="GH49" s="326"/>
      <c r="GI49" s="348">
        <f t="shared" si="202"/>
        <v>28879.17</v>
      </c>
      <c r="GJ49" s="348">
        <f t="shared" si="203"/>
        <v>8330.6659</v>
      </c>
      <c r="GK49" s="349">
        <f t="shared" si="204"/>
        <v>80.869703250000015</v>
      </c>
      <c r="GL49" s="349">
        <f t="shared" si="205"/>
        <v>248.43170475000005</v>
      </c>
      <c r="GM49" s="354">
        <f t="shared" si="206"/>
        <v>0.77611656438398857</v>
      </c>
      <c r="GN49" s="326"/>
      <c r="GO49" s="349">
        <f t="shared" si="207"/>
        <v>179.93922987056789</v>
      </c>
      <c r="GP49" s="349">
        <f t="shared" si="208"/>
        <v>210.18938187056784</v>
      </c>
      <c r="GQ49" s="349">
        <f t="shared" si="93"/>
        <v>85.185300446918689</v>
      </c>
      <c r="GR49" s="349">
        <f t="shared" si="94"/>
        <v>115.43545244691869</v>
      </c>
      <c r="HA49" s="374"/>
      <c r="HB49" s="375"/>
      <c r="HC49" s="374"/>
      <c r="HD49" s="374"/>
      <c r="HE49" s="374"/>
      <c r="HF49" s="351">
        <f t="shared" si="209"/>
        <v>0</v>
      </c>
      <c r="HG49" s="351">
        <f t="shared" si="210"/>
        <v>0</v>
      </c>
      <c r="HH49" s="352">
        <f t="shared" si="211"/>
        <v>0</v>
      </c>
      <c r="HI49" s="352">
        <f t="shared" si="150"/>
        <v>0</v>
      </c>
      <c r="HJ49" s="353">
        <f t="shared" si="151"/>
        <v>0</v>
      </c>
      <c r="HK49" s="353">
        <f t="shared" si="152"/>
        <v>0</v>
      </c>
    </row>
    <row r="50" spans="1:219" x14ac:dyDescent="0.2">
      <c r="A50" s="320">
        <v>40</v>
      </c>
      <c r="C50" s="350">
        <v>1</v>
      </c>
      <c r="D50" s="350">
        <v>1</v>
      </c>
      <c r="E50" s="350">
        <v>1</v>
      </c>
      <c r="F50" s="350">
        <v>18290.133300000001</v>
      </c>
      <c r="G50" s="350">
        <v>8027.0057999999999</v>
      </c>
      <c r="H50" s="351">
        <f t="shared" si="153"/>
        <v>976.1</v>
      </c>
      <c r="I50" s="351">
        <f t="shared" si="154"/>
        <v>1853.69</v>
      </c>
      <c r="J50" s="352">
        <f t="shared" si="155"/>
        <v>171.57</v>
      </c>
      <c r="K50" s="352">
        <f t="shared" si="98"/>
        <v>52.330664814018476</v>
      </c>
      <c r="L50" s="353">
        <f t="shared" si="99"/>
        <v>1028.4306648140184</v>
      </c>
      <c r="M50" s="353">
        <f t="shared" si="100"/>
        <v>1734.4506648140186</v>
      </c>
      <c r="N50" s="343">
        <f t="shared" si="101"/>
        <v>1000.7325663858287</v>
      </c>
      <c r="O50" s="343">
        <f t="shared" si="102"/>
        <v>1706.7525663858287</v>
      </c>
      <c r="Q50" s="374">
        <v>1</v>
      </c>
      <c r="R50" s="375">
        <v>1</v>
      </c>
      <c r="S50" s="374">
        <v>1</v>
      </c>
      <c r="T50" s="374">
        <v>3256.7316999999998</v>
      </c>
      <c r="U50" s="374">
        <v>1335.3707999999999</v>
      </c>
      <c r="V50" s="351">
        <f t="shared" si="156"/>
        <v>639.4</v>
      </c>
      <c r="W50" s="351">
        <f t="shared" si="157"/>
        <v>1201.3800000000001</v>
      </c>
      <c r="X50" s="352">
        <f t="shared" si="158"/>
        <v>200.38</v>
      </c>
      <c r="Y50" s="352">
        <f t="shared" si="103"/>
        <v>130.77745542650399</v>
      </c>
      <c r="Z50" s="353">
        <f t="shared" si="104"/>
        <v>770.17745542650391</v>
      </c>
      <c r="AA50" s="353">
        <f t="shared" si="105"/>
        <v>1131.777455426504</v>
      </c>
      <c r="AB50" s="343">
        <f t="shared" si="106"/>
        <v>656.39906302737961</v>
      </c>
      <c r="AC50" s="343">
        <f t="shared" si="107"/>
        <v>1017.9990630273797</v>
      </c>
      <c r="AE50" s="374">
        <v>1</v>
      </c>
      <c r="AF50" s="375">
        <v>1</v>
      </c>
      <c r="AG50" s="374">
        <v>1</v>
      </c>
      <c r="AH50" s="374">
        <v>372.67829999999998</v>
      </c>
      <c r="AI50" s="374">
        <v>168.95419999999999</v>
      </c>
      <c r="AJ50" s="351">
        <f t="shared" si="159"/>
        <v>428.58</v>
      </c>
      <c r="AK50" s="351">
        <f t="shared" si="160"/>
        <v>994.18</v>
      </c>
      <c r="AL50" s="352">
        <f t="shared" si="161"/>
        <v>179.39</v>
      </c>
      <c r="AM50" s="352">
        <f t="shared" si="108"/>
        <v>125.35209747251818</v>
      </c>
      <c r="AN50" s="353">
        <f t="shared" si="109"/>
        <v>553.93209747251819</v>
      </c>
      <c r="AO50" s="353">
        <f t="shared" si="110"/>
        <v>940.14209747251812</v>
      </c>
      <c r="AP50" s="343">
        <f t="shared" si="111"/>
        <v>443.59366144859092</v>
      </c>
      <c r="AQ50" s="343">
        <f t="shared" si="112"/>
        <v>829.8036614485909</v>
      </c>
      <c r="AS50" s="374">
        <v>1</v>
      </c>
      <c r="AT50" s="375">
        <v>1</v>
      </c>
      <c r="AU50" s="374">
        <v>1</v>
      </c>
      <c r="AV50" s="374">
        <v>19608.650799999999</v>
      </c>
      <c r="AW50" s="374">
        <v>5374.3707999999997</v>
      </c>
      <c r="AX50" s="351">
        <f t="shared" si="162"/>
        <v>340.67</v>
      </c>
      <c r="AY50" s="351">
        <f t="shared" si="163"/>
        <v>683.12</v>
      </c>
      <c r="AZ50" s="352">
        <f t="shared" si="164"/>
        <v>242.67</v>
      </c>
      <c r="BA50" s="352">
        <f t="shared" si="113"/>
        <v>161.92063841217438</v>
      </c>
      <c r="BB50" s="353">
        <f t="shared" si="114"/>
        <v>502.59063841217437</v>
      </c>
      <c r="BC50" s="353">
        <f t="shared" si="115"/>
        <v>602.37063841217446</v>
      </c>
      <c r="BD50" s="343">
        <f t="shared" si="116"/>
        <v>359.18450279521471</v>
      </c>
      <c r="BE50" s="343">
        <f t="shared" si="117"/>
        <v>458.96450279521474</v>
      </c>
      <c r="BG50" s="374">
        <v>1</v>
      </c>
      <c r="BH50" s="375">
        <v>1</v>
      </c>
      <c r="BI50" s="374">
        <v>1</v>
      </c>
      <c r="BJ50" s="374">
        <v>9758.2616999999991</v>
      </c>
      <c r="BK50" s="374">
        <v>2832.8991999999998</v>
      </c>
      <c r="BL50" s="351">
        <f t="shared" si="165"/>
        <v>334.77</v>
      </c>
      <c r="BM50" s="351">
        <f t="shared" si="166"/>
        <v>585.91999999999996</v>
      </c>
      <c r="BN50" s="352">
        <f t="shared" si="167"/>
        <v>205.37</v>
      </c>
      <c r="BO50" s="352">
        <f t="shared" si="118"/>
        <v>130.69588069817203</v>
      </c>
      <c r="BP50" s="353">
        <f t="shared" si="119"/>
        <v>465.46588069817199</v>
      </c>
      <c r="BQ50" s="353">
        <f t="shared" si="120"/>
        <v>511.24588069817196</v>
      </c>
      <c r="BR50" s="343">
        <f t="shared" si="121"/>
        <v>353.30655172740694</v>
      </c>
      <c r="BS50" s="343">
        <f t="shared" si="122"/>
        <v>399.08655172740691</v>
      </c>
      <c r="BU50" s="374">
        <v>1</v>
      </c>
      <c r="BV50" s="375">
        <v>1</v>
      </c>
      <c r="BW50" s="374">
        <v>1</v>
      </c>
      <c r="BX50" s="374">
        <v>11464.9383</v>
      </c>
      <c r="BY50" s="374">
        <v>3666.4349999999999</v>
      </c>
      <c r="BZ50" s="351">
        <f t="shared" si="168"/>
        <v>232.12</v>
      </c>
      <c r="CA50" s="351">
        <f t="shared" si="169"/>
        <v>381.87</v>
      </c>
      <c r="CB50" s="352">
        <f t="shared" si="170"/>
        <v>99.19</v>
      </c>
      <c r="CC50" s="352">
        <f t="shared" si="123"/>
        <v>61.691045945373695</v>
      </c>
      <c r="CD50" s="353">
        <f t="shared" si="124"/>
        <v>293.81104594537368</v>
      </c>
      <c r="CE50" s="353">
        <f t="shared" si="125"/>
        <v>344.37104594537368</v>
      </c>
      <c r="CF50" s="343">
        <f t="shared" si="126"/>
        <v>244.88037319932315</v>
      </c>
      <c r="CG50" s="343">
        <f t="shared" si="127"/>
        <v>295.44037319932318</v>
      </c>
      <c r="CI50" s="374">
        <v>1</v>
      </c>
      <c r="CJ50" s="375">
        <v>1</v>
      </c>
      <c r="CK50" s="374">
        <v>1</v>
      </c>
      <c r="CL50" s="374">
        <v>42272.8367</v>
      </c>
      <c r="CM50" s="374">
        <v>12532.255800000001</v>
      </c>
      <c r="CN50" s="351">
        <f t="shared" si="171"/>
        <v>212.53</v>
      </c>
      <c r="CO50" s="351">
        <f t="shared" si="172"/>
        <v>275.45</v>
      </c>
      <c r="CP50" s="352">
        <f t="shared" si="173"/>
        <v>0.4</v>
      </c>
      <c r="CQ50" s="352">
        <f t="shared" si="128"/>
        <v>0.22578794212877579</v>
      </c>
      <c r="CR50" s="353">
        <f t="shared" si="129"/>
        <v>212.75578794212879</v>
      </c>
      <c r="CS50" s="353">
        <f t="shared" si="130"/>
        <v>275.27578794212877</v>
      </c>
      <c r="CT50" s="343">
        <f t="shared" si="131"/>
        <v>212.56585305669731</v>
      </c>
      <c r="CU50" s="343">
        <f t="shared" si="132"/>
        <v>275.08585305669732</v>
      </c>
      <c r="CW50" s="374">
        <v>1</v>
      </c>
      <c r="CX50" s="375">
        <v>1</v>
      </c>
      <c r="CY50" s="374">
        <v>1</v>
      </c>
      <c r="CZ50" s="374">
        <v>19987.22</v>
      </c>
      <c r="DA50" s="374">
        <v>5271.6391999999996</v>
      </c>
      <c r="DB50" s="351">
        <f t="shared" si="174"/>
        <v>224.23</v>
      </c>
      <c r="DC50" s="351">
        <f t="shared" si="175"/>
        <v>310.74</v>
      </c>
      <c r="DD50" s="352">
        <f t="shared" si="176"/>
        <v>0.25</v>
      </c>
      <c r="DE50" s="352">
        <f t="shared" si="133"/>
        <v>0.14521375030375536</v>
      </c>
      <c r="DF50" s="353">
        <f t="shared" si="134"/>
        <v>224.37521375030374</v>
      </c>
      <c r="DG50" s="353">
        <f t="shared" si="135"/>
        <v>310.63521375030376</v>
      </c>
      <c r="DH50" s="343">
        <f t="shared" si="136"/>
        <v>224.25174007262811</v>
      </c>
      <c r="DI50" s="343">
        <f t="shared" si="137"/>
        <v>310.51174007262813</v>
      </c>
      <c r="DK50" s="374">
        <v>1</v>
      </c>
      <c r="DL50" s="375">
        <v>1</v>
      </c>
      <c r="DM50" s="374">
        <v>1</v>
      </c>
      <c r="DN50" s="374">
        <v>5283.8908000000001</v>
      </c>
      <c r="DO50" s="374">
        <v>2019.33</v>
      </c>
      <c r="DP50" s="351">
        <f t="shared" si="177"/>
        <v>131.77000000000001</v>
      </c>
      <c r="DQ50" s="351">
        <f t="shared" si="178"/>
        <v>196.86</v>
      </c>
      <c r="DR50" s="352">
        <f t="shared" si="179"/>
        <v>0.19</v>
      </c>
      <c r="DS50" s="352">
        <f t="shared" si="138"/>
        <v>0.11381614581748473</v>
      </c>
      <c r="DT50" s="353">
        <f t="shared" si="139"/>
        <v>131.88381614581749</v>
      </c>
      <c r="DU50" s="353">
        <f t="shared" si="140"/>
        <v>196.7838161458175</v>
      </c>
      <c r="DV50" s="343">
        <f t="shared" si="141"/>
        <v>131.79324087579286</v>
      </c>
      <c r="DW50" s="343">
        <f t="shared" si="142"/>
        <v>196.69324087579287</v>
      </c>
      <c r="EB50" s="326"/>
      <c r="EC50" s="326"/>
      <c r="ED50" s="326"/>
      <c r="EE50" s="348">
        <f t="shared" si="143"/>
        <v>100158.84080000001</v>
      </c>
      <c r="EF50" s="348">
        <f t="shared" si="144"/>
        <v>31205.2716</v>
      </c>
      <c r="EG50" s="348">
        <f t="shared" si="145"/>
        <v>1708.684</v>
      </c>
      <c r="EH50" s="348">
        <f t="shared" si="146"/>
        <v>3060.8519999999999</v>
      </c>
      <c r="EI50" s="354">
        <f t="shared" si="180"/>
        <v>0.76245208048160951</v>
      </c>
      <c r="EJ50" s="326"/>
      <c r="EK50" s="348">
        <f t="shared" si="147"/>
        <v>1923.2772621685644</v>
      </c>
      <c r="EL50" s="348">
        <f t="shared" si="148"/>
        <v>2860.6052621685649</v>
      </c>
      <c r="EM50" s="348">
        <f t="shared" si="58"/>
        <v>1751.8843142958431</v>
      </c>
      <c r="EN50" s="348">
        <f t="shared" si="149"/>
        <v>2689.2123142958435</v>
      </c>
      <c r="EP50" s="326"/>
      <c r="EQ50" s="326"/>
      <c r="ER50" s="326"/>
      <c r="ES50" s="348">
        <f t="shared" si="181"/>
        <v>75275.050099999993</v>
      </c>
      <c r="ET50" s="348">
        <f t="shared" si="182"/>
        <v>21972.165000000001</v>
      </c>
      <c r="EU50" s="348">
        <f t="shared" si="183"/>
        <v>1343.6610000000001</v>
      </c>
      <c r="EV50" s="348">
        <f t="shared" si="184"/>
        <v>2280.268</v>
      </c>
      <c r="EW50" s="354">
        <f t="shared" si="185"/>
        <v>0.77405867121844185</v>
      </c>
      <c r="EX50" s="326"/>
      <c r="EY50" s="348">
        <f t="shared" si="186"/>
        <v>1605.4617736920172</v>
      </c>
      <c r="EZ50" s="348">
        <f t="shared" si="187"/>
        <v>2135.7437736920174</v>
      </c>
      <c r="FA50" s="348">
        <f t="shared" si="66"/>
        <v>1379.2476858623236</v>
      </c>
      <c r="FB50" s="348">
        <f t="shared" si="67"/>
        <v>1909.5296858623235</v>
      </c>
      <c r="FD50" s="326"/>
      <c r="FE50" s="326"/>
      <c r="FF50" s="326"/>
      <c r="FG50" s="348">
        <f t="shared" si="188"/>
        <v>59394.344100000002</v>
      </c>
      <c r="FH50" s="348">
        <f t="shared" si="189"/>
        <v>18386.974999999999</v>
      </c>
      <c r="FI50" s="348">
        <f t="shared" si="190"/>
        <v>952.29200000000003</v>
      </c>
      <c r="FJ50" s="348">
        <f t="shared" si="191"/>
        <v>1769.616</v>
      </c>
      <c r="FK50" s="354">
        <f t="shared" si="192"/>
        <v>0.76360679900066142</v>
      </c>
      <c r="FL50" s="326"/>
      <c r="FM50" s="348">
        <f t="shared" si="193"/>
        <v>1139.629221047511</v>
      </c>
      <c r="FN50" s="348">
        <f t="shared" si="194"/>
        <v>1677.859221047511</v>
      </c>
      <c r="FO50" s="348">
        <f t="shared" si="75"/>
        <v>980.11583223008711</v>
      </c>
      <c r="FP50" s="348">
        <f t="shared" si="76"/>
        <v>1518.3458322300871</v>
      </c>
      <c r="FR50" s="326"/>
      <c r="FS50" s="326"/>
      <c r="FT50" s="326"/>
      <c r="FU50" s="348">
        <f t="shared" si="195"/>
        <v>62260.056700000001</v>
      </c>
      <c r="FV50" s="348">
        <f t="shared" si="196"/>
        <v>17803.895</v>
      </c>
      <c r="FW50" s="348">
        <f t="shared" si="197"/>
        <v>391.91399999999999</v>
      </c>
      <c r="FX50" s="348">
        <f t="shared" si="198"/>
        <v>524.04200000000003</v>
      </c>
      <c r="FY50" s="354">
        <f t="shared" si="199"/>
        <v>0.77762907498356715</v>
      </c>
      <c r="FZ50" s="326"/>
      <c r="GA50" s="348">
        <f t="shared" si="200"/>
        <v>392.25595894237176</v>
      </c>
      <c r="GB50" s="348">
        <f t="shared" si="201"/>
        <v>523.78395894237178</v>
      </c>
      <c r="GC50" s="348">
        <f t="shared" si="84"/>
        <v>391.96724511479977</v>
      </c>
      <c r="GD50" s="348">
        <f t="shared" si="85"/>
        <v>523.4952451147999</v>
      </c>
      <c r="GF50" s="326"/>
      <c r="GG50" s="326"/>
      <c r="GH50" s="326"/>
      <c r="GI50" s="348">
        <f t="shared" si="202"/>
        <v>31073.589099999997</v>
      </c>
      <c r="GJ50" s="348">
        <f t="shared" si="203"/>
        <v>9040.8058000000001</v>
      </c>
      <c r="GK50" s="349">
        <f t="shared" si="204"/>
        <v>81.412500000000009</v>
      </c>
      <c r="GL50" s="349">
        <f t="shared" si="205"/>
        <v>225.9375</v>
      </c>
      <c r="GM50" s="354">
        <f t="shared" si="206"/>
        <v>0.77462440047924042</v>
      </c>
      <c r="GN50" s="326"/>
      <c r="GO50" s="349">
        <f t="shared" si="207"/>
        <v>156.58469435010051</v>
      </c>
      <c r="GP50" s="349">
        <f t="shared" si="208"/>
        <v>193.49969435010058</v>
      </c>
      <c r="GQ50" s="349">
        <f t="shared" si="93"/>
        <v>85.728097196918668</v>
      </c>
      <c r="GR50" s="349">
        <f t="shared" si="94"/>
        <v>122.64309719691867</v>
      </c>
      <c r="HA50" s="374"/>
      <c r="HB50" s="375"/>
      <c r="HC50" s="374"/>
      <c r="HD50" s="374"/>
      <c r="HE50" s="374"/>
      <c r="HF50" s="351">
        <f t="shared" si="209"/>
        <v>0</v>
      </c>
      <c r="HG50" s="351">
        <f t="shared" si="210"/>
        <v>0</v>
      </c>
      <c r="HH50" s="352">
        <f t="shared" si="211"/>
        <v>0</v>
      </c>
      <c r="HI50" s="352">
        <f t="shared" si="150"/>
        <v>0</v>
      </c>
      <c r="HJ50" s="353">
        <f t="shared" si="151"/>
        <v>0</v>
      </c>
      <c r="HK50" s="353">
        <f t="shared" si="152"/>
        <v>0</v>
      </c>
    </row>
    <row r="51" spans="1:219" x14ac:dyDescent="0.2">
      <c r="A51" s="320">
        <v>41</v>
      </c>
      <c r="C51" s="350">
        <v>1.0339</v>
      </c>
      <c r="D51" s="350">
        <v>0.98709999999999998</v>
      </c>
      <c r="E51" s="350">
        <v>0.72919999999999996</v>
      </c>
      <c r="F51" s="350">
        <v>21444.2667</v>
      </c>
      <c r="G51" s="350">
        <v>9173.3883000000005</v>
      </c>
      <c r="H51" s="351">
        <f t="shared" si="153"/>
        <v>1009.18979</v>
      </c>
      <c r="I51" s="351">
        <f t="shared" si="154"/>
        <v>1829.7773990000001</v>
      </c>
      <c r="J51" s="352">
        <f t="shared" si="155"/>
        <v>125.10884399999999</v>
      </c>
      <c r="K51" s="352">
        <f t="shared" si="98"/>
        <v>37.48399430903919</v>
      </c>
      <c r="L51" s="353">
        <f t="shared" si="99"/>
        <v>1046.6737843090391</v>
      </c>
      <c r="M51" s="353">
        <f t="shared" si="100"/>
        <v>1742.1525493090392</v>
      </c>
      <c r="N51" s="343">
        <f t="shared" si="101"/>
        <v>1033.8223563858287</v>
      </c>
      <c r="O51" s="343">
        <f t="shared" si="102"/>
        <v>1729.3011213858285</v>
      </c>
      <c r="Q51" s="374">
        <v>1.0450999999999999</v>
      </c>
      <c r="R51" s="375">
        <v>0.99670000000000003</v>
      </c>
      <c r="S51" s="374">
        <v>0.73670000000000002</v>
      </c>
      <c r="T51" s="374">
        <v>4012.7157999999999</v>
      </c>
      <c r="U51" s="374">
        <v>1646.0274999999999</v>
      </c>
      <c r="V51" s="351">
        <f t="shared" si="156"/>
        <v>668.23693999999989</v>
      </c>
      <c r="W51" s="351">
        <f t="shared" si="157"/>
        <v>1197.4154460000002</v>
      </c>
      <c r="X51" s="352">
        <f t="shared" si="158"/>
        <v>147.619946</v>
      </c>
      <c r="Y51" s="352">
        <f t="shared" si="103"/>
        <v>94.745626143715029</v>
      </c>
      <c r="Z51" s="353">
        <f t="shared" si="104"/>
        <v>762.98256614371496</v>
      </c>
      <c r="AA51" s="353">
        <f t="shared" si="105"/>
        <v>1144.5411261437152</v>
      </c>
      <c r="AB51" s="343">
        <f t="shared" si="106"/>
        <v>685.23600302737952</v>
      </c>
      <c r="AC51" s="343">
        <f t="shared" si="107"/>
        <v>1066.7945630273798</v>
      </c>
      <c r="AE51" s="374">
        <v>1.0723</v>
      </c>
      <c r="AF51" s="375">
        <v>1.0098</v>
      </c>
      <c r="AG51" s="374">
        <v>0.73950000000000005</v>
      </c>
      <c r="AH51" s="374">
        <v>474.0317</v>
      </c>
      <c r="AI51" s="374">
        <v>224.83330000000001</v>
      </c>
      <c r="AJ51" s="351">
        <f t="shared" si="159"/>
        <v>459.56633399999998</v>
      </c>
      <c r="AK51" s="351">
        <f t="shared" si="160"/>
        <v>1003.922964</v>
      </c>
      <c r="AL51" s="352">
        <f t="shared" si="161"/>
        <v>132.658905</v>
      </c>
      <c r="AM51" s="352">
        <f t="shared" si="108"/>
        <v>91.001226514329062</v>
      </c>
      <c r="AN51" s="353">
        <f t="shared" si="109"/>
        <v>550.56756051432899</v>
      </c>
      <c r="AO51" s="353">
        <f t="shared" si="110"/>
        <v>962.26528551432898</v>
      </c>
      <c r="AP51" s="343">
        <f t="shared" si="111"/>
        <v>474.57999544859092</v>
      </c>
      <c r="AQ51" s="343">
        <f t="shared" si="112"/>
        <v>886.27772044859091</v>
      </c>
      <c r="AS51" s="374">
        <v>1.0398000000000001</v>
      </c>
      <c r="AT51" s="375">
        <v>0.93100000000000005</v>
      </c>
      <c r="AU51" s="374">
        <v>0.73799999999999999</v>
      </c>
      <c r="AV51" s="374">
        <v>23120.7042</v>
      </c>
      <c r="AW51" s="374">
        <v>6223.0508</v>
      </c>
      <c r="AX51" s="351">
        <f t="shared" si="162"/>
        <v>354.22866600000003</v>
      </c>
      <c r="AY51" s="351">
        <f t="shared" si="163"/>
        <v>635.98472000000004</v>
      </c>
      <c r="AZ51" s="352">
        <f t="shared" si="164"/>
        <v>179.09045999999998</v>
      </c>
      <c r="BA51" s="352">
        <f t="shared" si="113"/>
        <v>115.02449640462766</v>
      </c>
      <c r="BB51" s="353">
        <f t="shared" si="114"/>
        <v>469.25316240462769</v>
      </c>
      <c r="BC51" s="353">
        <f t="shared" si="115"/>
        <v>571.91875640462763</v>
      </c>
      <c r="BD51" s="343">
        <f t="shared" si="116"/>
        <v>372.74316879521473</v>
      </c>
      <c r="BE51" s="343">
        <f t="shared" si="117"/>
        <v>475.40876279521473</v>
      </c>
      <c r="BG51" s="374">
        <v>1.0430999999999999</v>
      </c>
      <c r="BH51" s="375">
        <v>0.94920000000000004</v>
      </c>
      <c r="BI51" s="374">
        <v>0.72430000000000005</v>
      </c>
      <c r="BJ51" s="374">
        <v>11579.021699999999</v>
      </c>
      <c r="BK51" s="374">
        <v>3336.17</v>
      </c>
      <c r="BL51" s="351">
        <f t="shared" si="165"/>
        <v>349.19858699999997</v>
      </c>
      <c r="BM51" s="351">
        <f t="shared" si="166"/>
        <v>556.15526399999999</v>
      </c>
      <c r="BN51" s="352">
        <f t="shared" si="167"/>
        <v>148.74949100000001</v>
      </c>
      <c r="BO51" s="352">
        <f t="shared" si="118"/>
        <v>91.376219746118494</v>
      </c>
      <c r="BP51" s="353">
        <f t="shared" si="119"/>
        <v>440.5748067461185</v>
      </c>
      <c r="BQ51" s="353">
        <f t="shared" si="120"/>
        <v>498.78199274611848</v>
      </c>
      <c r="BR51" s="343">
        <f t="shared" si="121"/>
        <v>367.73513872740693</v>
      </c>
      <c r="BS51" s="343">
        <f t="shared" si="122"/>
        <v>425.94232472740691</v>
      </c>
      <c r="BU51" s="374">
        <v>1.056</v>
      </c>
      <c r="BV51" s="375">
        <v>0.95330000000000004</v>
      </c>
      <c r="BW51" s="374">
        <v>0.72770000000000001</v>
      </c>
      <c r="BX51" s="374">
        <v>13323.35</v>
      </c>
      <c r="BY51" s="374">
        <v>4210.1333000000004</v>
      </c>
      <c r="BZ51" s="351">
        <f t="shared" si="168"/>
        <v>245.11872000000002</v>
      </c>
      <c r="CA51" s="351">
        <f t="shared" si="169"/>
        <v>364.03667100000001</v>
      </c>
      <c r="CB51" s="352">
        <f t="shared" si="170"/>
        <v>72.180563000000006</v>
      </c>
      <c r="CC51" s="352">
        <f t="shared" si="123"/>
        <v>43.135745416764728</v>
      </c>
      <c r="CD51" s="353">
        <f t="shared" si="124"/>
        <v>288.25446541676473</v>
      </c>
      <c r="CE51" s="353">
        <f t="shared" si="125"/>
        <v>334.99185341676474</v>
      </c>
      <c r="CF51" s="343">
        <f t="shared" si="126"/>
        <v>257.87909319932317</v>
      </c>
      <c r="CG51" s="343">
        <f t="shared" si="127"/>
        <v>304.61648119932318</v>
      </c>
      <c r="CI51" s="374">
        <v>1.0091000000000001</v>
      </c>
      <c r="CJ51" s="375">
        <v>1.0014000000000001</v>
      </c>
      <c r="CK51" s="374">
        <v>0.78129999999999999</v>
      </c>
      <c r="CL51" s="374">
        <v>49689.31</v>
      </c>
      <c r="CM51" s="374">
        <v>14416.168299999999</v>
      </c>
      <c r="CN51" s="351">
        <f t="shared" si="171"/>
        <v>214.46402300000003</v>
      </c>
      <c r="CO51" s="351">
        <f t="shared" si="172"/>
        <v>275.83562999999998</v>
      </c>
      <c r="CP51" s="352">
        <f t="shared" si="173"/>
        <v>0.31252000000000002</v>
      </c>
      <c r="CQ51" s="352">
        <f t="shared" si="128"/>
        <v>0.1758193189820593</v>
      </c>
      <c r="CR51" s="353">
        <f t="shared" si="129"/>
        <v>214.63984231898209</v>
      </c>
      <c r="CS51" s="353">
        <f t="shared" si="130"/>
        <v>275.69892931898204</v>
      </c>
      <c r="CT51" s="343">
        <f t="shared" si="131"/>
        <v>214.49987605669733</v>
      </c>
      <c r="CU51" s="343">
        <f t="shared" si="132"/>
        <v>275.55896305669728</v>
      </c>
      <c r="CW51" s="374">
        <v>1.0429999999999999</v>
      </c>
      <c r="CX51" s="375">
        <v>1.0303</v>
      </c>
      <c r="CY51" s="374">
        <v>0.85440000000000005</v>
      </c>
      <c r="CZ51" s="374">
        <v>23820.65</v>
      </c>
      <c r="DA51" s="374">
        <v>6233.8532999999998</v>
      </c>
      <c r="DB51" s="351">
        <f t="shared" si="174"/>
        <v>233.87188999999998</v>
      </c>
      <c r="DC51" s="351">
        <f t="shared" si="175"/>
        <v>320.15542199999999</v>
      </c>
      <c r="DD51" s="352">
        <f t="shared" si="176"/>
        <v>0.21360000000000001</v>
      </c>
      <c r="DE51" s="352">
        <f t="shared" si="133"/>
        <v>0.12343290061339071</v>
      </c>
      <c r="DF51" s="353">
        <f t="shared" si="134"/>
        <v>233.99532290061336</v>
      </c>
      <c r="DG51" s="353">
        <f t="shared" si="135"/>
        <v>320.06525490061341</v>
      </c>
      <c r="DH51" s="343">
        <f t="shared" si="136"/>
        <v>233.8936300726281</v>
      </c>
      <c r="DI51" s="343">
        <f t="shared" si="137"/>
        <v>319.96356207262812</v>
      </c>
      <c r="DK51" s="374">
        <v>1.0539000000000001</v>
      </c>
      <c r="DL51" s="375">
        <v>1.0510999999999999</v>
      </c>
      <c r="DM51" s="374">
        <v>0.91690000000000005</v>
      </c>
      <c r="DN51" s="374">
        <v>6016.8342000000002</v>
      </c>
      <c r="DO51" s="374">
        <v>2261.9616999999998</v>
      </c>
      <c r="DP51" s="351">
        <f t="shared" si="177"/>
        <v>138.87240300000002</v>
      </c>
      <c r="DQ51" s="351">
        <f t="shared" si="178"/>
        <v>206.919546</v>
      </c>
      <c r="DR51" s="352">
        <f t="shared" si="179"/>
        <v>0.174211</v>
      </c>
      <c r="DS51" s="352">
        <f t="shared" si="138"/>
        <v>0.10424667529840609</v>
      </c>
      <c r="DT51" s="353">
        <f t="shared" si="139"/>
        <v>138.97664967529843</v>
      </c>
      <c r="DU51" s="353">
        <f t="shared" si="140"/>
        <v>206.8495816752984</v>
      </c>
      <c r="DV51" s="343">
        <f t="shared" si="141"/>
        <v>138.89564387579287</v>
      </c>
      <c r="DW51" s="343">
        <f t="shared" si="142"/>
        <v>206.76857587579283</v>
      </c>
      <c r="EB51" s="326"/>
      <c r="EC51" s="326"/>
      <c r="ED51" s="326"/>
      <c r="EE51" s="348">
        <f t="shared" si="143"/>
        <v>118074.93090000001</v>
      </c>
      <c r="EF51" s="348">
        <f t="shared" si="144"/>
        <v>36046.460700000003</v>
      </c>
      <c r="EG51" s="348">
        <f t="shared" si="145"/>
        <v>1764.9799910000002</v>
      </c>
      <c r="EH51" s="348">
        <f t="shared" si="146"/>
        <v>2997.7220865999998</v>
      </c>
      <c r="EI51" s="354">
        <f t="shared" si="180"/>
        <v>0.76611643376830241</v>
      </c>
      <c r="EJ51" s="326"/>
      <c r="EK51" s="348">
        <f t="shared" si="147"/>
        <v>1917.7630473531397</v>
      </c>
      <c r="EL51" s="348">
        <f t="shared" si="148"/>
        <v>2845.8224389531397</v>
      </c>
      <c r="EM51" s="348">
        <f t="shared" si="58"/>
        <v>1808.1803052958433</v>
      </c>
      <c r="EN51" s="348">
        <f t="shared" si="149"/>
        <v>2736.2396968958433</v>
      </c>
      <c r="EP51" s="326"/>
      <c r="EQ51" s="326"/>
      <c r="ER51" s="326"/>
      <c r="ES51" s="348">
        <f t="shared" si="181"/>
        <v>89101.697500000009</v>
      </c>
      <c r="ET51" s="348">
        <f t="shared" si="182"/>
        <v>25632.219099999998</v>
      </c>
      <c r="EU51" s="348">
        <f t="shared" si="183"/>
        <v>1395.6098729999999</v>
      </c>
      <c r="EV51" s="348">
        <f t="shared" si="184"/>
        <v>2253.5151354</v>
      </c>
      <c r="EW51" s="354">
        <f t="shared" si="185"/>
        <v>0.7765942289814588</v>
      </c>
      <c r="EX51" s="326"/>
      <c r="EY51" s="348">
        <f t="shared" si="186"/>
        <v>1581.993941239245</v>
      </c>
      <c r="EZ51" s="348">
        <f t="shared" si="187"/>
        <v>2143.0677266392449</v>
      </c>
      <c r="FA51" s="348">
        <f t="shared" si="66"/>
        <v>1431.1965588623234</v>
      </c>
      <c r="FB51" s="348">
        <f t="shared" si="67"/>
        <v>1992.2703442623235</v>
      </c>
      <c r="FD51" s="326"/>
      <c r="FE51" s="326"/>
      <c r="FF51" s="326"/>
      <c r="FG51" s="348">
        <f t="shared" si="188"/>
        <v>69503.525899999993</v>
      </c>
      <c r="FH51" s="348">
        <f t="shared" si="189"/>
        <v>21113.096600000001</v>
      </c>
      <c r="FI51" s="348">
        <f t="shared" si="190"/>
        <v>1002.4725188</v>
      </c>
      <c r="FJ51" s="348">
        <f t="shared" si="191"/>
        <v>1767.9469925999999</v>
      </c>
      <c r="FK51" s="354">
        <f t="shared" si="192"/>
        <v>0.76700636133287792</v>
      </c>
      <c r="FL51" s="326"/>
      <c r="FM51" s="348">
        <f t="shared" si="193"/>
        <v>1136.8478580552548</v>
      </c>
      <c r="FN51" s="348">
        <f t="shared" si="194"/>
        <v>1697.0658172552548</v>
      </c>
      <c r="FO51" s="348">
        <f t="shared" si="75"/>
        <v>1030.2963510300872</v>
      </c>
      <c r="FP51" s="348">
        <f t="shared" si="76"/>
        <v>1590.5143102300872</v>
      </c>
      <c r="FR51" s="326"/>
      <c r="FS51" s="326"/>
      <c r="FT51" s="326"/>
      <c r="FU51" s="348">
        <f t="shared" si="195"/>
        <v>73509.959999999992</v>
      </c>
      <c r="FV51" s="348">
        <f t="shared" si="196"/>
        <v>20650.0216</v>
      </c>
      <c r="FW51" s="348">
        <f t="shared" si="197"/>
        <v>401.56153500000005</v>
      </c>
      <c r="FX51" s="348">
        <f t="shared" si="198"/>
        <v>531.95996760000003</v>
      </c>
      <c r="FY51" s="354">
        <f t="shared" si="199"/>
        <v>0.7806921661505507</v>
      </c>
      <c r="FZ51" s="326"/>
      <c r="GA51" s="348">
        <f t="shared" si="200"/>
        <v>401.83610063947276</v>
      </c>
      <c r="GB51" s="348">
        <f t="shared" si="201"/>
        <v>531.75113323947278</v>
      </c>
      <c r="GC51" s="348">
        <f t="shared" si="84"/>
        <v>401.61478011479983</v>
      </c>
      <c r="GD51" s="348">
        <f t="shared" si="85"/>
        <v>531.52981271479985</v>
      </c>
      <c r="GF51" s="326"/>
      <c r="GG51" s="326"/>
      <c r="GH51" s="326"/>
      <c r="GI51" s="348">
        <f t="shared" si="202"/>
        <v>36444.054199999999</v>
      </c>
      <c r="GJ51" s="348">
        <f t="shared" si="203"/>
        <v>10433.1841</v>
      </c>
      <c r="GK51" s="349">
        <f t="shared" si="204"/>
        <v>81.832459499999999</v>
      </c>
      <c r="GL51" s="349">
        <f t="shared" si="205"/>
        <v>203.96103675000001</v>
      </c>
      <c r="GM51" s="354">
        <f t="shared" si="206"/>
        <v>0.77743603338509815</v>
      </c>
      <c r="GN51" s="326"/>
      <c r="GO51" s="349">
        <f t="shared" si="207"/>
        <v>135.7490227408972</v>
      </c>
      <c r="GP51" s="349">
        <f t="shared" si="208"/>
        <v>177.69517724089718</v>
      </c>
      <c r="GQ51" s="349">
        <f t="shared" si="93"/>
        <v>86.148056696918673</v>
      </c>
      <c r="GR51" s="349">
        <f t="shared" si="94"/>
        <v>128.09421119691865</v>
      </c>
      <c r="HA51" s="374"/>
      <c r="HB51" s="375"/>
      <c r="HC51" s="374"/>
      <c r="HD51" s="374"/>
      <c r="HE51" s="374"/>
      <c r="HF51" s="351">
        <f t="shared" si="209"/>
        <v>0</v>
      </c>
      <c r="HG51" s="351">
        <f t="shared" si="210"/>
        <v>0</v>
      </c>
      <c r="HH51" s="352">
        <f t="shared" si="211"/>
        <v>0</v>
      </c>
      <c r="HI51" s="352">
        <f t="shared" si="150"/>
        <v>0</v>
      </c>
      <c r="HJ51" s="353">
        <f t="shared" si="151"/>
        <v>0</v>
      </c>
      <c r="HK51" s="353">
        <f t="shared" si="152"/>
        <v>0</v>
      </c>
    </row>
    <row r="52" spans="1:219" x14ac:dyDescent="0.2">
      <c r="A52" s="320">
        <v>42</v>
      </c>
      <c r="C52" s="350">
        <v>1.0666</v>
      </c>
      <c r="D52" s="350">
        <v>0.97430000000000005</v>
      </c>
      <c r="E52" s="350">
        <v>0.49099999999999999</v>
      </c>
      <c r="F52" s="350">
        <v>24687.976699999999</v>
      </c>
      <c r="G52" s="350">
        <v>10068.932500000001</v>
      </c>
      <c r="H52" s="351">
        <f t="shared" si="153"/>
        <v>1041.10826</v>
      </c>
      <c r="I52" s="351">
        <f t="shared" si="154"/>
        <v>1806.0501670000001</v>
      </c>
      <c r="J52" s="352">
        <f t="shared" si="155"/>
        <v>84.240870000000001</v>
      </c>
      <c r="K52" s="352">
        <f t="shared" si="98"/>
        <v>24.404230793090054</v>
      </c>
      <c r="L52" s="353">
        <f t="shared" si="99"/>
        <v>1065.5124907930901</v>
      </c>
      <c r="M52" s="353">
        <f t="shared" si="100"/>
        <v>1746.2135277930902</v>
      </c>
      <c r="N52" s="343">
        <f t="shared" si="101"/>
        <v>1065.7408263858285</v>
      </c>
      <c r="O52" s="343">
        <f t="shared" si="102"/>
        <v>1746.4418633858286</v>
      </c>
      <c r="Q52" s="374">
        <v>1.0867</v>
      </c>
      <c r="R52" s="375">
        <v>0.99750000000000005</v>
      </c>
      <c r="S52" s="374">
        <v>0.49859999999999999</v>
      </c>
      <c r="T52" s="374">
        <v>4838.8032999999996</v>
      </c>
      <c r="U52" s="374">
        <v>1837.3792000000001</v>
      </c>
      <c r="V52" s="351">
        <f t="shared" si="156"/>
        <v>694.83597999999995</v>
      </c>
      <c r="W52" s="351">
        <f t="shared" si="157"/>
        <v>1198.3765500000002</v>
      </c>
      <c r="X52" s="352">
        <f t="shared" si="158"/>
        <v>99.90946799999999</v>
      </c>
      <c r="Y52" s="352">
        <f t="shared" si="103"/>
        <v>63.241269364605031</v>
      </c>
      <c r="Z52" s="353">
        <f t="shared" si="104"/>
        <v>758.077249364605</v>
      </c>
      <c r="AA52" s="353">
        <f t="shared" si="105"/>
        <v>1161.7083513646051</v>
      </c>
      <c r="AB52" s="343">
        <f t="shared" si="106"/>
        <v>711.83504302737958</v>
      </c>
      <c r="AC52" s="343">
        <f t="shared" si="107"/>
        <v>1115.4661450273798</v>
      </c>
      <c r="AE52" s="374">
        <v>1.1415</v>
      </c>
      <c r="AF52" s="375">
        <v>1.0238</v>
      </c>
      <c r="AG52" s="374">
        <v>0.50480000000000003</v>
      </c>
      <c r="AH52" s="374">
        <v>566.97829999999999</v>
      </c>
      <c r="AI52" s="374">
        <v>249.36920000000001</v>
      </c>
      <c r="AJ52" s="351">
        <f t="shared" si="159"/>
        <v>489.22406999999998</v>
      </c>
      <c r="AK52" s="351">
        <f t="shared" si="160"/>
        <v>1017.841484</v>
      </c>
      <c r="AL52" s="352">
        <f t="shared" si="161"/>
        <v>90.556072</v>
      </c>
      <c r="AM52" s="352">
        <f t="shared" si="108"/>
        <v>61.159732876285254</v>
      </c>
      <c r="AN52" s="353">
        <f t="shared" si="109"/>
        <v>550.38380287628524</v>
      </c>
      <c r="AO52" s="353">
        <f t="shared" si="110"/>
        <v>988.44514487628533</v>
      </c>
      <c r="AP52" s="343">
        <f t="shared" si="111"/>
        <v>504.23773144859092</v>
      </c>
      <c r="AQ52" s="343">
        <f t="shared" si="112"/>
        <v>942.299073448591</v>
      </c>
      <c r="AS52" s="374">
        <v>1.0945</v>
      </c>
      <c r="AT52" s="375">
        <v>0.87409999999999999</v>
      </c>
      <c r="AU52" s="374">
        <v>0.5101</v>
      </c>
      <c r="AV52" s="374">
        <v>27424.515800000001</v>
      </c>
      <c r="AW52" s="374">
        <v>7299.4025000000001</v>
      </c>
      <c r="AX52" s="351">
        <f t="shared" si="162"/>
        <v>372.863315</v>
      </c>
      <c r="AY52" s="351">
        <f t="shared" si="163"/>
        <v>597.11519199999998</v>
      </c>
      <c r="AZ52" s="352">
        <f t="shared" si="164"/>
        <v>123.785967</v>
      </c>
      <c r="BA52" s="352">
        <f t="shared" si="113"/>
        <v>76.202184809967818</v>
      </c>
      <c r="BB52" s="353">
        <f t="shared" si="114"/>
        <v>449.06549980996783</v>
      </c>
      <c r="BC52" s="353">
        <f t="shared" si="115"/>
        <v>549.53140980996773</v>
      </c>
      <c r="BD52" s="343">
        <f t="shared" si="116"/>
        <v>391.3778177952147</v>
      </c>
      <c r="BE52" s="343">
        <f t="shared" si="117"/>
        <v>491.84372779521465</v>
      </c>
      <c r="BG52" s="374">
        <v>1.0846</v>
      </c>
      <c r="BH52" s="375">
        <v>0.90720000000000001</v>
      </c>
      <c r="BI52" s="374">
        <v>0.48909999999999998</v>
      </c>
      <c r="BJ52" s="374">
        <v>13323.43</v>
      </c>
      <c r="BK52" s="374">
        <v>3810.2366999999999</v>
      </c>
      <c r="BL52" s="351">
        <f t="shared" si="165"/>
        <v>363.091542</v>
      </c>
      <c r="BM52" s="351">
        <f t="shared" si="166"/>
        <v>531.54662399999995</v>
      </c>
      <c r="BN52" s="352">
        <f t="shared" si="167"/>
        <v>100.446467</v>
      </c>
      <c r="BO52" s="352">
        <f t="shared" si="118"/>
        <v>59.679971697716958</v>
      </c>
      <c r="BP52" s="353">
        <f t="shared" si="119"/>
        <v>422.77151369771695</v>
      </c>
      <c r="BQ52" s="353">
        <f t="shared" si="120"/>
        <v>490.78012869771692</v>
      </c>
      <c r="BR52" s="343">
        <f t="shared" si="121"/>
        <v>381.62809372740696</v>
      </c>
      <c r="BS52" s="343">
        <f t="shared" si="122"/>
        <v>449.63670872740693</v>
      </c>
      <c r="BU52" s="374">
        <v>1.1148</v>
      </c>
      <c r="BV52" s="375">
        <v>0.91930000000000001</v>
      </c>
      <c r="BW52" s="374">
        <v>0.495</v>
      </c>
      <c r="BX52" s="374">
        <v>15309.8233</v>
      </c>
      <c r="BY52" s="374">
        <v>4731.6450000000004</v>
      </c>
      <c r="BZ52" s="351">
        <f t="shared" si="168"/>
        <v>258.76737600000001</v>
      </c>
      <c r="CA52" s="351">
        <f t="shared" si="169"/>
        <v>351.05309099999999</v>
      </c>
      <c r="CB52" s="352">
        <f t="shared" si="170"/>
        <v>49.099049999999998</v>
      </c>
      <c r="CC52" s="352">
        <f t="shared" si="123"/>
        <v>28.26466837437837</v>
      </c>
      <c r="CD52" s="353">
        <f t="shared" si="124"/>
        <v>287.03204437437836</v>
      </c>
      <c r="CE52" s="353">
        <f t="shared" si="125"/>
        <v>330.21870937437836</v>
      </c>
      <c r="CF52" s="343">
        <f t="shared" si="126"/>
        <v>271.52774919932318</v>
      </c>
      <c r="CG52" s="343">
        <f t="shared" si="127"/>
        <v>314.71441419932319</v>
      </c>
      <c r="CI52" s="374">
        <v>1.0188999999999999</v>
      </c>
      <c r="CJ52" s="375">
        <v>1.0072000000000001</v>
      </c>
      <c r="CK52" s="374">
        <v>0.57689999999999997</v>
      </c>
      <c r="CL52" s="374">
        <v>57993.869200000001</v>
      </c>
      <c r="CM52" s="374">
        <v>16592.425800000001</v>
      </c>
      <c r="CN52" s="351">
        <f t="shared" si="171"/>
        <v>216.54681699999998</v>
      </c>
      <c r="CO52" s="351">
        <f t="shared" si="172"/>
        <v>277.43324000000001</v>
      </c>
      <c r="CP52" s="352">
        <f t="shared" si="173"/>
        <v>0.23075999999999999</v>
      </c>
      <c r="CQ52" s="352">
        <f t="shared" si="128"/>
        <v>0.12960137470165115</v>
      </c>
      <c r="CR52" s="353">
        <f t="shared" si="129"/>
        <v>216.67641837470163</v>
      </c>
      <c r="CS52" s="353">
        <f t="shared" si="130"/>
        <v>277.33208137470172</v>
      </c>
      <c r="CT52" s="343">
        <f t="shared" si="131"/>
        <v>216.58267005669728</v>
      </c>
      <c r="CU52" s="343">
        <f t="shared" si="132"/>
        <v>277.23833305669734</v>
      </c>
      <c r="CW52" s="374">
        <v>1.0851</v>
      </c>
      <c r="CX52" s="375">
        <v>1.0608</v>
      </c>
      <c r="CY52" s="374">
        <v>0.71660000000000001</v>
      </c>
      <c r="CZ52" s="374">
        <v>28138.174200000001</v>
      </c>
      <c r="DA52" s="374">
        <v>7168.4516999999996</v>
      </c>
      <c r="DB52" s="351">
        <f t="shared" si="174"/>
        <v>243.31197299999997</v>
      </c>
      <c r="DC52" s="351">
        <f t="shared" si="175"/>
        <v>329.632992</v>
      </c>
      <c r="DD52" s="352">
        <f t="shared" si="176"/>
        <v>0.17915</v>
      </c>
      <c r="DE52" s="352">
        <f t="shared" si="133"/>
        <v>0.10307054625534585</v>
      </c>
      <c r="DF52" s="353">
        <f t="shared" si="134"/>
        <v>243.4150435462553</v>
      </c>
      <c r="DG52" s="353">
        <f t="shared" si="135"/>
        <v>329.55691254625538</v>
      </c>
      <c r="DH52" s="343">
        <f t="shared" si="136"/>
        <v>243.33371307262809</v>
      </c>
      <c r="DI52" s="343">
        <f t="shared" si="137"/>
        <v>329.47558207262813</v>
      </c>
      <c r="DK52" s="374">
        <v>1.109</v>
      </c>
      <c r="DL52" s="375">
        <v>1.1032999999999999</v>
      </c>
      <c r="DM52" s="374">
        <v>0.82350000000000001</v>
      </c>
      <c r="DN52" s="374">
        <v>6864.4341999999997</v>
      </c>
      <c r="DO52" s="374">
        <v>2566.7208000000001</v>
      </c>
      <c r="DP52" s="351">
        <f t="shared" si="177"/>
        <v>146.13293000000002</v>
      </c>
      <c r="DQ52" s="351">
        <f t="shared" si="178"/>
        <v>217.195638</v>
      </c>
      <c r="DR52" s="352">
        <f t="shared" si="179"/>
        <v>0.15646499999999999</v>
      </c>
      <c r="DS52" s="352">
        <f t="shared" si="138"/>
        <v>9.3533838219046941E-2</v>
      </c>
      <c r="DT52" s="353">
        <f t="shared" si="139"/>
        <v>146.22646383821908</v>
      </c>
      <c r="DU52" s="353">
        <f t="shared" si="140"/>
        <v>217.13270683821906</v>
      </c>
      <c r="DV52" s="343">
        <f t="shared" si="141"/>
        <v>146.15617087579287</v>
      </c>
      <c r="DW52" s="343">
        <f t="shared" si="142"/>
        <v>217.06241387579286</v>
      </c>
      <c r="EB52" s="326"/>
      <c r="EC52" s="326"/>
      <c r="ED52" s="326"/>
      <c r="EE52" s="348">
        <f t="shared" si="143"/>
        <v>138244.53590000002</v>
      </c>
      <c r="EF52" s="348">
        <f t="shared" si="144"/>
        <v>41129.212500000001</v>
      </c>
      <c r="EG52" s="348">
        <f t="shared" si="145"/>
        <v>1825.1679703999998</v>
      </c>
      <c r="EH52" s="348">
        <f t="shared" si="146"/>
        <v>2944.3049925999999</v>
      </c>
      <c r="EI52" s="354">
        <f t="shared" si="180"/>
        <v>0.77070662308799698</v>
      </c>
      <c r="EJ52" s="326"/>
      <c r="EK52" s="348">
        <f t="shared" si="147"/>
        <v>1925.9864438147638</v>
      </c>
      <c r="EL52" s="348">
        <f t="shared" si="148"/>
        <v>2836.7225490147644</v>
      </c>
      <c r="EM52" s="348">
        <f t="shared" si="58"/>
        <v>1868.3682846958429</v>
      </c>
      <c r="EN52" s="348">
        <f t="shared" si="149"/>
        <v>2779.1043898958433</v>
      </c>
      <c r="EP52" s="326"/>
      <c r="EQ52" s="326"/>
      <c r="ER52" s="326"/>
      <c r="ES52" s="348">
        <f t="shared" si="181"/>
        <v>104294.27670000002</v>
      </c>
      <c r="ET52" s="348">
        <f t="shared" si="182"/>
        <v>29408.493399999999</v>
      </c>
      <c r="EU52" s="348">
        <f t="shared" si="183"/>
        <v>1444.7927200999998</v>
      </c>
      <c r="EV52" s="348">
        <f t="shared" si="184"/>
        <v>2238.0995084000001</v>
      </c>
      <c r="EW52" s="354">
        <f t="shared" si="185"/>
        <v>0.78004574342024047</v>
      </c>
      <c r="EX52" s="326"/>
      <c r="EY52" s="348">
        <f t="shared" si="186"/>
        <v>1567.9157119194022</v>
      </c>
      <c r="EZ52" s="348">
        <f t="shared" si="187"/>
        <v>2160.5104002194025</v>
      </c>
      <c r="FA52" s="348">
        <f t="shared" si="66"/>
        <v>1480.3794059623235</v>
      </c>
      <c r="FB52" s="348">
        <f t="shared" si="67"/>
        <v>2072.9740942623239</v>
      </c>
      <c r="FD52" s="326"/>
      <c r="FE52" s="326"/>
      <c r="FF52" s="326"/>
      <c r="FG52" s="348">
        <f t="shared" si="188"/>
        <v>80735.10500000001</v>
      </c>
      <c r="FH52" s="348">
        <f t="shared" si="189"/>
        <v>24140.160800000001</v>
      </c>
      <c r="FI52" s="348">
        <f t="shared" si="190"/>
        <v>1052.2180209999999</v>
      </c>
      <c r="FJ52" s="348">
        <f t="shared" si="191"/>
        <v>1776.6451978</v>
      </c>
      <c r="FK52" s="354">
        <f t="shared" si="192"/>
        <v>0.7698202658571951</v>
      </c>
      <c r="FL52" s="326"/>
      <c r="FM52" s="348">
        <f t="shared" si="193"/>
        <v>1141.8281439282966</v>
      </c>
      <c r="FN52" s="348">
        <f t="shared" si="194"/>
        <v>1726.2755597282967</v>
      </c>
      <c r="FO52" s="348">
        <f t="shared" si="75"/>
        <v>1080.0418532300869</v>
      </c>
      <c r="FP52" s="348">
        <f t="shared" si="76"/>
        <v>1664.4892690300871</v>
      </c>
      <c r="FR52" s="326"/>
      <c r="FS52" s="326"/>
      <c r="FT52" s="326"/>
      <c r="FU52" s="348">
        <f t="shared" si="195"/>
        <v>86132.043399999995</v>
      </c>
      <c r="FV52" s="348">
        <f t="shared" si="196"/>
        <v>23760.877500000002</v>
      </c>
      <c r="FW52" s="348">
        <f t="shared" si="197"/>
        <v>411.19639539999997</v>
      </c>
      <c r="FX52" s="348">
        <f t="shared" si="198"/>
        <v>541.13963360000002</v>
      </c>
      <c r="FY52" s="354">
        <f t="shared" si="199"/>
        <v>0.78378154565914349</v>
      </c>
      <c r="FZ52" s="326"/>
      <c r="GA52" s="348">
        <f t="shared" si="200"/>
        <v>411.40845321170588</v>
      </c>
      <c r="GB52" s="348">
        <f t="shared" si="201"/>
        <v>540.97761141170599</v>
      </c>
      <c r="GC52" s="348">
        <f t="shared" si="84"/>
        <v>411.24964051479975</v>
      </c>
      <c r="GD52" s="348">
        <f t="shared" si="85"/>
        <v>540.81879871479987</v>
      </c>
      <c r="GF52" s="326"/>
      <c r="GG52" s="326"/>
      <c r="GH52" s="326"/>
      <c r="GI52" s="348">
        <f t="shared" si="202"/>
        <v>42734.339099999997</v>
      </c>
      <c r="GJ52" s="348">
        <f t="shared" si="203"/>
        <v>12031.047500000001</v>
      </c>
      <c r="GK52" s="349">
        <f t="shared" si="204"/>
        <v>85.57195424999999</v>
      </c>
      <c r="GL52" s="349">
        <f t="shared" si="205"/>
        <v>184.54657574999999</v>
      </c>
      <c r="GM52" s="354">
        <f t="shared" si="206"/>
        <v>0.78031657864714132</v>
      </c>
      <c r="GN52" s="326"/>
      <c r="GO52" s="349">
        <f t="shared" si="207"/>
        <v>121.52509157669211</v>
      </c>
      <c r="GP52" s="349">
        <f t="shared" si="208"/>
        <v>164.48452532669202</v>
      </c>
      <c r="GQ52" s="349">
        <f t="shared" si="93"/>
        <v>89.887551446918636</v>
      </c>
      <c r="GR52" s="349">
        <f t="shared" si="94"/>
        <v>132.84698519691858</v>
      </c>
      <c r="HA52" s="374"/>
      <c r="HB52" s="375"/>
      <c r="HC52" s="374"/>
      <c r="HD52" s="374"/>
      <c r="HE52" s="374"/>
      <c r="HF52" s="351">
        <f t="shared" si="209"/>
        <v>0</v>
      </c>
      <c r="HG52" s="351">
        <f t="shared" si="210"/>
        <v>0</v>
      </c>
      <c r="HH52" s="352">
        <f t="shared" si="211"/>
        <v>0</v>
      </c>
      <c r="HI52" s="352">
        <f t="shared" si="150"/>
        <v>0</v>
      </c>
      <c r="HJ52" s="353">
        <f t="shared" si="151"/>
        <v>0</v>
      </c>
      <c r="HK52" s="353">
        <f t="shared" si="152"/>
        <v>0</v>
      </c>
    </row>
    <row r="53" spans="1:219" x14ac:dyDescent="0.2">
      <c r="A53" s="320">
        <v>43</v>
      </c>
      <c r="C53" s="350">
        <v>1.0996999999999999</v>
      </c>
      <c r="D53" s="350">
        <v>0.96479999999999999</v>
      </c>
      <c r="E53" s="350">
        <v>0.31119999999999998</v>
      </c>
      <c r="F53" s="350">
        <v>26431.970799999999</v>
      </c>
      <c r="G53" s="350">
        <v>10661.523300000001</v>
      </c>
      <c r="H53" s="351">
        <f t="shared" si="153"/>
        <v>1073.4171699999999</v>
      </c>
      <c r="I53" s="351">
        <f t="shared" si="154"/>
        <v>1788.440112</v>
      </c>
      <c r="J53" s="352">
        <f t="shared" si="155"/>
        <v>53.392583999999992</v>
      </c>
      <c r="K53" s="352">
        <f t="shared" si="98"/>
        <v>15.346256592290322</v>
      </c>
      <c r="L53" s="353">
        <f t="shared" si="99"/>
        <v>1088.7634265922902</v>
      </c>
      <c r="M53" s="353">
        <f t="shared" si="100"/>
        <v>1750.3937845922903</v>
      </c>
      <c r="N53" s="343">
        <f t="shared" si="101"/>
        <v>1098.0497363858285</v>
      </c>
      <c r="O53" s="343">
        <f t="shared" si="102"/>
        <v>1759.6800943858286</v>
      </c>
      <c r="Q53" s="374">
        <v>1.1276999999999999</v>
      </c>
      <c r="R53" s="375">
        <v>1.0028999999999999</v>
      </c>
      <c r="S53" s="374">
        <v>0.31580000000000003</v>
      </c>
      <c r="T53" s="374">
        <v>5314.9817000000003</v>
      </c>
      <c r="U53" s="374">
        <v>2052.0882999999999</v>
      </c>
      <c r="V53" s="351">
        <f t="shared" si="156"/>
        <v>721.05137999999988</v>
      </c>
      <c r="W53" s="351">
        <f t="shared" si="157"/>
        <v>1204.864002</v>
      </c>
      <c r="X53" s="352">
        <f t="shared" si="158"/>
        <v>63.280004000000005</v>
      </c>
      <c r="Y53" s="352">
        <f t="shared" si="103"/>
        <v>39.58834306979746</v>
      </c>
      <c r="Z53" s="353">
        <f t="shared" si="104"/>
        <v>760.63972306979736</v>
      </c>
      <c r="AA53" s="353">
        <f t="shared" si="105"/>
        <v>1181.1723410697975</v>
      </c>
      <c r="AB53" s="343">
        <f t="shared" si="106"/>
        <v>738.05044302737952</v>
      </c>
      <c r="AC53" s="343">
        <f t="shared" si="107"/>
        <v>1158.5830610273797</v>
      </c>
      <c r="AE53" s="374">
        <v>1.2013</v>
      </c>
      <c r="AF53" s="375">
        <v>1.0425</v>
      </c>
      <c r="AG53" s="374">
        <v>0.31319999999999998</v>
      </c>
      <c r="AH53" s="374">
        <v>627.45330000000001</v>
      </c>
      <c r="AI53" s="374">
        <v>249.98079999999999</v>
      </c>
      <c r="AJ53" s="351">
        <f t="shared" si="159"/>
        <v>514.85315400000002</v>
      </c>
      <c r="AK53" s="351">
        <f t="shared" si="160"/>
        <v>1036.43265</v>
      </c>
      <c r="AL53" s="352">
        <f t="shared" si="161"/>
        <v>56.184947999999991</v>
      </c>
      <c r="AM53" s="352">
        <f t="shared" si="108"/>
        <v>37.537837576802957</v>
      </c>
      <c r="AN53" s="353">
        <f t="shared" si="109"/>
        <v>552.390991576803</v>
      </c>
      <c r="AO53" s="353">
        <f t="shared" si="110"/>
        <v>1017.785539576803</v>
      </c>
      <c r="AP53" s="343">
        <f t="shared" si="111"/>
        <v>529.86681544859096</v>
      </c>
      <c r="AQ53" s="343">
        <f t="shared" si="112"/>
        <v>995.26136344859094</v>
      </c>
      <c r="AS53" s="374">
        <v>1.1621999999999999</v>
      </c>
      <c r="AT53" s="375">
        <v>0.83309999999999995</v>
      </c>
      <c r="AU53" s="374">
        <v>0.32379999999999998</v>
      </c>
      <c r="AV53" s="374">
        <v>29347.791700000002</v>
      </c>
      <c r="AW53" s="374">
        <v>7638.7767000000003</v>
      </c>
      <c r="AX53" s="351">
        <f t="shared" si="162"/>
        <v>395.92667399999999</v>
      </c>
      <c r="AY53" s="351">
        <f t="shared" si="163"/>
        <v>569.10727199999997</v>
      </c>
      <c r="AZ53" s="352">
        <f t="shared" si="164"/>
        <v>78.576545999999993</v>
      </c>
      <c r="BA53" s="352">
        <f t="shared" si="113"/>
        <v>46.338767586982378</v>
      </c>
      <c r="BB53" s="353">
        <f t="shared" si="114"/>
        <v>442.26544158698238</v>
      </c>
      <c r="BC53" s="353">
        <f t="shared" si="115"/>
        <v>536.86949358698234</v>
      </c>
      <c r="BD53" s="343">
        <f t="shared" si="116"/>
        <v>414.44117679521469</v>
      </c>
      <c r="BE53" s="343">
        <f t="shared" si="117"/>
        <v>509.04522879521465</v>
      </c>
      <c r="BG53" s="374">
        <v>1.1276999999999999</v>
      </c>
      <c r="BH53" s="375">
        <v>0.87560000000000004</v>
      </c>
      <c r="BI53" s="374">
        <v>0.30709999999999998</v>
      </c>
      <c r="BJ53" s="374">
        <v>14219.911700000001</v>
      </c>
      <c r="BK53" s="374">
        <v>3878.18</v>
      </c>
      <c r="BL53" s="351">
        <f t="shared" si="165"/>
        <v>377.52012899999994</v>
      </c>
      <c r="BM53" s="351">
        <f t="shared" si="166"/>
        <v>513.03155200000003</v>
      </c>
      <c r="BN53" s="352">
        <f t="shared" si="167"/>
        <v>63.069126999999995</v>
      </c>
      <c r="BO53" s="352">
        <f t="shared" si="118"/>
        <v>36.33304253803896</v>
      </c>
      <c r="BP53" s="353">
        <f t="shared" si="119"/>
        <v>413.85317153803891</v>
      </c>
      <c r="BQ53" s="353">
        <f t="shared" si="120"/>
        <v>486.29546753803902</v>
      </c>
      <c r="BR53" s="343">
        <f t="shared" si="121"/>
        <v>396.0566807274069</v>
      </c>
      <c r="BS53" s="343">
        <f t="shared" si="122"/>
        <v>468.49897672740701</v>
      </c>
      <c r="BU53" s="374">
        <v>1.167</v>
      </c>
      <c r="BV53" s="375">
        <v>0.90049999999999997</v>
      </c>
      <c r="BW53" s="374">
        <v>0.318</v>
      </c>
      <c r="BX53" s="374">
        <v>16342.135</v>
      </c>
      <c r="BY53" s="374">
        <v>4862.4083000000001</v>
      </c>
      <c r="BZ53" s="351">
        <f t="shared" si="168"/>
        <v>270.88404000000003</v>
      </c>
      <c r="CA53" s="351">
        <f t="shared" si="169"/>
        <v>343.87393500000002</v>
      </c>
      <c r="CB53" s="352">
        <f t="shared" si="170"/>
        <v>31.54242</v>
      </c>
      <c r="CC53" s="352">
        <f t="shared" si="123"/>
        <v>17.643717570028596</v>
      </c>
      <c r="CD53" s="353">
        <f t="shared" si="124"/>
        <v>288.5277575700286</v>
      </c>
      <c r="CE53" s="353">
        <f t="shared" si="125"/>
        <v>329.9752325700286</v>
      </c>
      <c r="CF53" s="343">
        <f t="shared" si="126"/>
        <v>283.6444131993232</v>
      </c>
      <c r="CG53" s="343">
        <f t="shared" si="127"/>
        <v>325.09188819932319</v>
      </c>
      <c r="CI53" s="374">
        <v>1.0290999999999999</v>
      </c>
      <c r="CJ53" s="375">
        <v>1.0127999999999999</v>
      </c>
      <c r="CK53" s="374">
        <v>0.40799999999999997</v>
      </c>
      <c r="CL53" s="374">
        <v>61920.327499999999</v>
      </c>
      <c r="CM53" s="374">
        <v>17141.716700000001</v>
      </c>
      <c r="CN53" s="351">
        <f t="shared" si="171"/>
        <v>218.71462299999999</v>
      </c>
      <c r="CO53" s="351">
        <f t="shared" si="172"/>
        <v>278.97575999999998</v>
      </c>
      <c r="CP53" s="352">
        <f t="shared" si="173"/>
        <v>0.16320000000000001</v>
      </c>
      <c r="CQ53" s="352">
        <f t="shared" si="128"/>
        <v>9.1480256776430416E-2</v>
      </c>
      <c r="CR53" s="353">
        <f t="shared" si="129"/>
        <v>218.80610325677642</v>
      </c>
      <c r="CS53" s="353">
        <f t="shared" si="130"/>
        <v>278.9040402567764</v>
      </c>
      <c r="CT53" s="343">
        <f t="shared" si="131"/>
        <v>218.75047605669729</v>
      </c>
      <c r="CU53" s="343">
        <f t="shared" si="132"/>
        <v>278.84841305669727</v>
      </c>
      <c r="CW53" s="374">
        <v>1.1313</v>
      </c>
      <c r="CX53" s="375">
        <v>1.0951</v>
      </c>
      <c r="CY53" s="374">
        <v>0.5968</v>
      </c>
      <c r="CZ53" s="374">
        <v>30114.436699999998</v>
      </c>
      <c r="DA53" s="374">
        <v>7522.5866999999998</v>
      </c>
      <c r="DB53" s="351">
        <f t="shared" si="174"/>
        <v>253.67139899999998</v>
      </c>
      <c r="DC53" s="351">
        <f t="shared" si="175"/>
        <v>340.29137400000002</v>
      </c>
      <c r="DD53" s="352">
        <f t="shared" si="176"/>
        <v>0.1492</v>
      </c>
      <c r="DE53" s="352">
        <f t="shared" si="133"/>
        <v>8.5479217400044036E-2</v>
      </c>
      <c r="DF53" s="353">
        <f t="shared" si="134"/>
        <v>253.75687821740001</v>
      </c>
      <c r="DG53" s="353">
        <f t="shared" si="135"/>
        <v>340.22765321740007</v>
      </c>
      <c r="DH53" s="343">
        <f t="shared" si="136"/>
        <v>253.6931390726281</v>
      </c>
      <c r="DI53" s="343">
        <f t="shared" si="137"/>
        <v>340.16391407262813</v>
      </c>
      <c r="DK53" s="374">
        <v>1.1655</v>
      </c>
      <c r="DL53" s="375">
        <v>1.1556</v>
      </c>
      <c r="DM53" s="374">
        <v>0.72450000000000003</v>
      </c>
      <c r="DN53" s="374">
        <v>7175.2107999999998</v>
      </c>
      <c r="DO53" s="374">
        <v>2498.6107999999999</v>
      </c>
      <c r="DP53" s="351">
        <f t="shared" si="177"/>
        <v>153.577935</v>
      </c>
      <c r="DQ53" s="351">
        <f t="shared" si="178"/>
        <v>227.49141600000002</v>
      </c>
      <c r="DR53" s="352">
        <f t="shared" si="179"/>
        <v>0.137655</v>
      </c>
      <c r="DS53" s="352">
        <f t="shared" si="138"/>
        <v>8.2177511225456704E-2</v>
      </c>
      <c r="DT53" s="353">
        <f t="shared" si="139"/>
        <v>153.66011251122546</v>
      </c>
      <c r="DU53" s="353">
        <f t="shared" si="140"/>
        <v>227.43593851122549</v>
      </c>
      <c r="DV53" s="343">
        <f t="shared" si="141"/>
        <v>153.60117587579285</v>
      </c>
      <c r="DW53" s="343">
        <f t="shared" si="142"/>
        <v>227.37700187579287</v>
      </c>
      <c r="EB53" s="326"/>
      <c r="EC53" s="326"/>
      <c r="ED53" s="326"/>
      <c r="EE53" s="348">
        <f t="shared" si="143"/>
        <v>147814.52669999999</v>
      </c>
      <c r="EF53" s="348">
        <f t="shared" si="144"/>
        <v>42964.603400000007</v>
      </c>
      <c r="EG53" s="348">
        <f t="shared" si="145"/>
        <v>1890.9955862000002</v>
      </c>
      <c r="EH53" s="348">
        <f t="shared" si="146"/>
        <v>2908.7562432</v>
      </c>
      <c r="EI53" s="354">
        <f t="shared" si="180"/>
        <v>0.77479400719837954</v>
      </c>
      <c r="EJ53" s="326"/>
      <c r="EK53" s="348">
        <f t="shared" si="147"/>
        <v>1952.8404740099691</v>
      </c>
      <c r="EL53" s="348">
        <f t="shared" si="148"/>
        <v>2838.3494410099688</v>
      </c>
      <c r="EM53" s="348">
        <f t="shared" si="58"/>
        <v>1934.195900495843</v>
      </c>
      <c r="EN53" s="348">
        <f t="shared" si="149"/>
        <v>2819.7048674958428</v>
      </c>
      <c r="EP53" s="326"/>
      <c r="EQ53" s="326"/>
      <c r="ER53" s="326"/>
      <c r="ES53" s="348">
        <f t="shared" si="181"/>
        <v>111569.65760000001</v>
      </c>
      <c r="ET53" s="348">
        <f t="shared" si="182"/>
        <v>30594.5717</v>
      </c>
      <c r="EU53" s="348">
        <f t="shared" si="183"/>
        <v>1494.8561112999998</v>
      </c>
      <c r="EV53" s="348">
        <f t="shared" si="184"/>
        <v>2235.0752758000003</v>
      </c>
      <c r="EW53" s="354">
        <f t="shared" si="185"/>
        <v>0.78479416481456632</v>
      </c>
      <c r="EX53" s="326"/>
      <c r="EY53" s="348">
        <f t="shared" si="186"/>
        <v>1570.9288126167926</v>
      </c>
      <c r="EZ53" s="348">
        <f t="shared" si="187"/>
        <v>2184.5312061167929</v>
      </c>
      <c r="FA53" s="348">
        <f t="shared" si="66"/>
        <v>1530.4427971623236</v>
      </c>
      <c r="FB53" s="348">
        <f t="shared" si="67"/>
        <v>2144.0451906623234</v>
      </c>
      <c r="FD53" s="326"/>
      <c r="FE53" s="326"/>
      <c r="FF53" s="326"/>
      <c r="FG53" s="348">
        <f t="shared" si="188"/>
        <v>86065.126600000003</v>
      </c>
      <c r="FH53" s="348">
        <f t="shared" si="189"/>
        <v>24752.7166</v>
      </c>
      <c r="FI53" s="348">
        <f t="shared" si="190"/>
        <v>1096.5985780000001</v>
      </c>
      <c r="FJ53" s="348">
        <f t="shared" si="191"/>
        <v>1795.7771946</v>
      </c>
      <c r="FK53" s="354">
        <f t="shared" si="192"/>
        <v>0.77663600115978437</v>
      </c>
      <c r="FL53" s="326"/>
      <c r="FM53" s="348">
        <f t="shared" si="193"/>
        <v>1151.9209199103434</v>
      </c>
      <c r="FN53" s="348">
        <f t="shared" si="194"/>
        <v>1763.1263755103432</v>
      </c>
      <c r="FO53" s="348">
        <f t="shared" si="75"/>
        <v>1124.4224102300873</v>
      </c>
      <c r="FP53" s="348">
        <f t="shared" si="76"/>
        <v>1735.6278658300869</v>
      </c>
      <c r="FR53" s="326"/>
      <c r="FS53" s="326"/>
      <c r="FT53" s="326"/>
      <c r="FU53" s="348">
        <f t="shared" si="195"/>
        <v>92034.764200000005</v>
      </c>
      <c r="FV53" s="348">
        <f t="shared" si="196"/>
        <v>24664.303400000001</v>
      </c>
      <c r="FW53" s="348">
        <f t="shared" si="197"/>
        <v>421.65174219999994</v>
      </c>
      <c r="FX53" s="348">
        <f t="shared" si="198"/>
        <v>551.20885920000001</v>
      </c>
      <c r="FY53" s="354">
        <f t="shared" si="199"/>
        <v>0.78865038164195234</v>
      </c>
      <c r="FZ53" s="326"/>
      <c r="GA53" s="348">
        <f t="shared" si="200"/>
        <v>421.81160583069641</v>
      </c>
      <c r="GB53" s="348">
        <f t="shared" si="201"/>
        <v>551.08616283069648</v>
      </c>
      <c r="GC53" s="348">
        <f t="shared" si="84"/>
        <v>421.70498731479978</v>
      </c>
      <c r="GD53" s="348">
        <f t="shared" si="85"/>
        <v>550.9795443147998</v>
      </c>
      <c r="GF53" s="326"/>
      <c r="GG53" s="326"/>
      <c r="GH53" s="326"/>
      <c r="GI53" s="348">
        <f t="shared" si="202"/>
        <v>45689.926700000004</v>
      </c>
      <c r="GJ53" s="348">
        <f t="shared" si="203"/>
        <v>12501.185000000001</v>
      </c>
      <c r="GK53" s="349">
        <f t="shared" si="204"/>
        <v>93.781975499999973</v>
      </c>
      <c r="GL53" s="349">
        <f t="shared" si="205"/>
        <v>168.92500274999998</v>
      </c>
      <c r="GM53" s="354">
        <f t="shared" si="206"/>
        <v>0.78517019808026789</v>
      </c>
      <c r="GN53" s="326"/>
      <c r="GO53" s="349">
        <f t="shared" si="207"/>
        <v>115.30326301271533</v>
      </c>
      <c r="GP53" s="349">
        <f t="shared" si="208"/>
        <v>155.1706957627153</v>
      </c>
      <c r="GQ53" s="349">
        <f t="shared" si="93"/>
        <v>98.097572696918618</v>
      </c>
      <c r="GR53" s="349">
        <f t="shared" si="94"/>
        <v>137.96500544691861</v>
      </c>
      <c r="HA53" s="374"/>
      <c r="HB53" s="375"/>
      <c r="HC53" s="374"/>
      <c r="HD53" s="374"/>
      <c r="HE53" s="374"/>
      <c r="HF53" s="351">
        <f t="shared" si="209"/>
        <v>0</v>
      </c>
      <c r="HG53" s="351">
        <f t="shared" si="210"/>
        <v>0</v>
      </c>
      <c r="HH53" s="352">
        <f t="shared" si="211"/>
        <v>0</v>
      </c>
      <c r="HI53" s="352">
        <f t="shared" si="150"/>
        <v>0</v>
      </c>
      <c r="HJ53" s="353">
        <f t="shared" si="151"/>
        <v>0</v>
      </c>
      <c r="HK53" s="353">
        <f t="shared" si="152"/>
        <v>0</v>
      </c>
    </row>
    <row r="54" spans="1:219" x14ac:dyDescent="0.2">
      <c r="A54" s="320">
        <v>44</v>
      </c>
      <c r="C54" s="350">
        <v>1.1343000000000001</v>
      </c>
      <c r="D54" s="350">
        <v>0.96120000000000005</v>
      </c>
      <c r="E54" s="350">
        <v>0.1862</v>
      </c>
      <c r="F54" s="350">
        <v>28426.095799999999</v>
      </c>
      <c r="G54" s="350">
        <v>11401.630800000001</v>
      </c>
      <c r="H54" s="351">
        <f t="shared" si="153"/>
        <v>1107.1902300000002</v>
      </c>
      <c r="I54" s="351">
        <f t="shared" si="154"/>
        <v>1781.7668280000003</v>
      </c>
      <c r="J54" s="352">
        <f t="shared" si="155"/>
        <v>31.946334</v>
      </c>
      <c r="K54" s="352">
        <f t="shared" si="98"/>
        <v>9.1453953508229429</v>
      </c>
      <c r="L54" s="353">
        <f t="shared" si="99"/>
        <v>1116.3356253508232</v>
      </c>
      <c r="M54" s="353">
        <f t="shared" si="100"/>
        <v>1758.9658893508233</v>
      </c>
      <c r="N54" s="343">
        <f t="shared" si="101"/>
        <v>1131.8227963858287</v>
      </c>
      <c r="O54" s="343">
        <f t="shared" si="102"/>
        <v>1774.4530603858288</v>
      </c>
      <c r="Q54" s="374">
        <v>1.169</v>
      </c>
      <c r="R54" s="375">
        <v>1.0125</v>
      </c>
      <c r="S54" s="374">
        <v>0.1933</v>
      </c>
      <c r="T54" s="374">
        <v>6022.8991999999998</v>
      </c>
      <c r="U54" s="374">
        <v>2348.6482999999998</v>
      </c>
      <c r="V54" s="351">
        <f t="shared" si="156"/>
        <v>747.45860000000005</v>
      </c>
      <c r="W54" s="351">
        <f t="shared" si="157"/>
        <v>1216.39725</v>
      </c>
      <c r="X54" s="352">
        <f t="shared" si="158"/>
        <v>38.733454000000002</v>
      </c>
      <c r="Y54" s="352">
        <f t="shared" si="103"/>
        <v>23.991204307893323</v>
      </c>
      <c r="Z54" s="353">
        <f t="shared" si="104"/>
        <v>771.44980430789337</v>
      </c>
      <c r="AA54" s="353">
        <f t="shared" si="105"/>
        <v>1201.6550003078933</v>
      </c>
      <c r="AB54" s="343">
        <f t="shared" si="106"/>
        <v>764.45766302737968</v>
      </c>
      <c r="AC54" s="343">
        <f t="shared" si="107"/>
        <v>1194.6628590273797</v>
      </c>
      <c r="AE54" s="374">
        <v>1.2443</v>
      </c>
      <c r="AF54" s="375">
        <v>1.0641</v>
      </c>
      <c r="AG54" s="374">
        <v>0.1716</v>
      </c>
      <c r="AH54" s="374">
        <v>737.10249999999996</v>
      </c>
      <c r="AI54" s="374">
        <v>279.67169999999999</v>
      </c>
      <c r="AJ54" s="351">
        <f t="shared" si="159"/>
        <v>533.28209399999992</v>
      </c>
      <c r="AK54" s="351">
        <f t="shared" si="160"/>
        <v>1057.9069380000001</v>
      </c>
      <c r="AL54" s="352">
        <f t="shared" si="161"/>
        <v>30.783323999999997</v>
      </c>
      <c r="AM54" s="352">
        <f t="shared" si="108"/>
        <v>20.466387952265571</v>
      </c>
      <c r="AN54" s="353">
        <f t="shared" si="109"/>
        <v>553.74848195226548</v>
      </c>
      <c r="AO54" s="353">
        <f t="shared" si="110"/>
        <v>1047.5900019522658</v>
      </c>
      <c r="AP54" s="343">
        <f t="shared" si="111"/>
        <v>548.29575544859085</v>
      </c>
      <c r="AQ54" s="343">
        <f t="shared" si="112"/>
        <v>1042.137275448591</v>
      </c>
      <c r="AS54" s="374">
        <v>1.2423</v>
      </c>
      <c r="AT54" s="375">
        <v>0.8095</v>
      </c>
      <c r="AU54" s="374">
        <v>0.1857</v>
      </c>
      <c r="AV54" s="374">
        <v>32777.083299999998</v>
      </c>
      <c r="AW54" s="374">
        <v>8662.5249999999996</v>
      </c>
      <c r="AX54" s="351">
        <f t="shared" si="162"/>
        <v>423.21434099999999</v>
      </c>
      <c r="AY54" s="351">
        <f t="shared" si="163"/>
        <v>552.98563999999999</v>
      </c>
      <c r="AZ54" s="352">
        <f t="shared" si="164"/>
        <v>45.063818999999995</v>
      </c>
      <c r="BA54" s="352">
        <f t="shared" si="113"/>
        <v>25.527192456029312</v>
      </c>
      <c r="BB54" s="353">
        <f t="shared" si="114"/>
        <v>448.74153345602929</v>
      </c>
      <c r="BC54" s="353">
        <f t="shared" si="115"/>
        <v>533.44901345602932</v>
      </c>
      <c r="BD54" s="343">
        <f t="shared" si="116"/>
        <v>441.72884379521469</v>
      </c>
      <c r="BE54" s="343">
        <f t="shared" si="117"/>
        <v>526.43632379521478</v>
      </c>
      <c r="BG54" s="374">
        <v>1.1783999999999999</v>
      </c>
      <c r="BH54" s="375">
        <v>0.85580000000000001</v>
      </c>
      <c r="BI54" s="374">
        <v>0.17710000000000001</v>
      </c>
      <c r="BJ54" s="374">
        <v>15813.623299999999</v>
      </c>
      <c r="BK54" s="374">
        <v>4350.1575000000003</v>
      </c>
      <c r="BL54" s="351">
        <f t="shared" si="165"/>
        <v>394.49296799999996</v>
      </c>
      <c r="BM54" s="351">
        <f t="shared" si="166"/>
        <v>501.43033599999995</v>
      </c>
      <c r="BN54" s="352">
        <f t="shared" si="167"/>
        <v>36.371027000000005</v>
      </c>
      <c r="BO54" s="352">
        <f t="shared" si="118"/>
        <v>20.356135628854091</v>
      </c>
      <c r="BP54" s="353">
        <f t="shared" si="119"/>
        <v>414.84910362885404</v>
      </c>
      <c r="BQ54" s="353">
        <f t="shared" si="120"/>
        <v>485.415444628854</v>
      </c>
      <c r="BR54" s="343">
        <f t="shared" si="121"/>
        <v>413.02951972740692</v>
      </c>
      <c r="BS54" s="343">
        <f t="shared" si="122"/>
        <v>483.59586072740689</v>
      </c>
      <c r="BU54" s="374">
        <v>1.2306999999999999</v>
      </c>
      <c r="BV54" s="375">
        <v>0.89670000000000005</v>
      </c>
      <c r="BW54" s="374">
        <v>0.1951</v>
      </c>
      <c r="BX54" s="374">
        <v>17403.855800000001</v>
      </c>
      <c r="BY54" s="374">
        <v>5310.9258</v>
      </c>
      <c r="BZ54" s="351">
        <f t="shared" si="168"/>
        <v>285.67008399999997</v>
      </c>
      <c r="CA54" s="351">
        <f t="shared" si="169"/>
        <v>342.42282900000004</v>
      </c>
      <c r="CB54" s="352">
        <f t="shared" si="170"/>
        <v>19.351969</v>
      </c>
      <c r="CC54" s="352">
        <f t="shared" si="123"/>
        <v>10.550279798651863</v>
      </c>
      <c r="CD54" s="353">
        <f t="shared" si="124"/>
        <v>296.22036379865182</v>
      </c>
      <c r="CE54" s="353">
        <f t="shared" si="125"/>
        <v>333.62113979865188</v>
      </c>
      <c r="CF54" s="343">
        <f t="shared" si="126"/>
        <v>298.43045719932314</v>
      </c>
      <c r="CG54" s="343">
        <f t="shared" si="127"/>
        <v>335.83123319932321</v>
      </c>
      <c r="CI54" s="374">
        <v>1.0394000000000001</v>
      </c>
      <c r="CJ54" s="375">
        <v>1.0188999999999999</v>
      </c>
      <c r="CK54" s="374">
        <v>0.27879999999999999</v>
      </c>
      <c r="CL54" s="374">
        <v>68218.457500000004</v>
      </c>
      <c r="CM54" s="374">
        <v>19192.96</v>
      </c>
      <c r="CN54" s="351">
        <f t="shared" si="171"/>
        <v>220.90368200000003</v>
      </c>
      <c r="CO54" s="351">
        <f t="shared" si="172"/>
        <v>280.65600499999999</v>
      </c>
      <c r="CP54" s="352">
        <f t="shared" si="173"/>
        <v>0.11152000000000001</v>
      </c>
      <c r="CQ54" s="352">
        <f t="shared" si="128"/>
        <v>6.2402857503976387E-2</v>
      </c>
      <c r="CR54" s="353">
        <f t="shared" si="129"/>
        <v>220.966084857504</v>
      </c>
      <c r="CS54" s="353">
        <f t="shared" si="130"/>
        <v>280.60688785750398</v>
      </c>
      <c r="CT54" s="343">
        <f t="shared" si="131"/>
        <v>220.93953505669734</v>
      </c>
      <c r="CU54" s="343">
        <f t="shared" si="132"/>
        <v>280.58033805669731</v>
      </c>
      <c r="CW54" s="374">
        <v>1.1775</v>
      </c>
      <c r="CX54" s="375">
        <v>1.1357999999999999</v>
      </c>
      <c r="CY54" s="374">
        <v>0.49259999999999998</v>
      </c>
      <c r="CZ54" s="374">
        <v>33523.487500000003</v>
      </c>
      <c r="DA54" s="374">
        <v>8499.2932999999994</v>
      </c>
      <c r="DB54" s="351">
        <f t="shared" si="174"/>
        <v>264.03082499999999</v>
      </c>
      <c r="DC54" s="351">
        <f t="shared" si="175"/>
        <v>352.938492</v>
      </c>
      <c r="DD54" s="352">
        <f t="shared" si="176"/>
        <v>0.12315</v>
      </c>
      <c r="DE54" s="352">
        <f t="shared" si="133"/>
        <v>7.044819587000628E-2</v>
      </c>
      <c r="DF54" s="353">
        <f t="shared" si="134"/>
        <v>264.10127319587002</v>
      </c>
      <c r="DG54" s="353">
        <f t="shared" si="135"/>
        <v>352.88579019587002</v>
      </c>
      <c r="DH54" s="343">
        <f t="shared" si="136"/>
        <v>264.05256507262811</v>
      </c>
      <c r="DI54" s="343">
        <f t="shared" si="137"/>
        <v>352.83708207262811</v>
      </c>
      <c r="DK54" s="374">
        <v>1.2258</v>
      </c>
      <c r="DL54" s="375">
        <v>1.2068000000000001</v>
      </c>
      <c r="DM54" s="374">
        <v>0.62219999999999998</v>
      </c>
      <c r="DN54" s="374">
        <v>7684.7667000000001</v>
      </c>
      <c r="DO54" s="374">
        <v>2781.2950000000001</v>
      </c>
      <c r="DP54" s="351">
        <f t="shared" si="177"/>
        <v>161.52366600000002</v>
      </c>
      <c r="DQ54" s="351">
        <f t="shared" si="178"/>
        <v>237.57064800000003</v>
      </c>
      <c r="DR54" s="352">
        <f t="shared" si="179"/>
        <v>0.11821799999999999</v>
      </c>
      <c r="DS54" s="352">
        <f t="shared" si="138"/>
        <v>7.0372154851757671E-2</v>
      </c>
      <c r="DT54" s="353">
        <f t="shared" si="139"/>
        <v>161.59403815485177</v>
      </c>
      <c r="DU54" s="353">
        <f t="shared" si="140"/>
        <v>237.52280215485177</v>
      </c>
      <c r="DV54" s="343">
        <f t="shared" si="141"/>
        <v>161.54690687579287</v>
      </c>
      <c r="DW54" s="343">
        <f t="shared" si="142"/>
        <v>237.47567087579287</v>
      </c>
      <c r="EB54" s="326"/>
      <c r="EC54" s="326"/>
      <c r="ED54" s="326"/>
      <c r="EE54" s="348">
        <f t="shared" si="143"/>
        <v>162945.12410000002</v>
      </c>
      <c r="EF54" s="348">
        <f t="shared" si="144"/>
        <v>47756.409099999997</v>
      </c>
      <c r="EG54" s="348">
        <f t="shared" si="145"/>
        <v>1962.5329130000002</v>
      </c>
      <c r="EH54" s="348">
        <f t="shared" si="146"/>
        <v>2897.7592666</v>
      </c>
      <c r="EI54" s="354">
        <f t="shared" si="180"/>
        <v>0.77334569723007607</v>
      </c>
      <c r="EJ54" s="326"/>
      <c r="EK54" s="348">
        <f t="shared" si="147"/>
        <v>1997.3242622210523</v>
      </c>
      <c r="EL54" s="348">
        <f t="shared" si="148"/>
        <v>2855.3304228210527</v>
      </c>
      <c r="EM54" s="348">
        <f t="shared" si="58"/>
        <v>2005.7332272958433</v>
      </c>
      <c r="EN54" s="348">
        <f t="shared" si="149"/>
        <v>2863.7393878958433</v>
      </c>
      <c r="EP54" s="326"/>
      <c r="EQ54" s="326"/>
      <c r="ER54" s="326"/>
      <c r="ES54" s="348">
        <f t="shared" si="181"/>
        <v>123578.46750000001</v>
      </c>
      <c r="ET54" s="348">
        <f t="shared" si="182"/>
        <v>34391.059099999999</v>
      </c>
      <c r="EU54" s="348">
        <f t="shared" si="183"/>
        <v>1547.6768274999999</v>
      </c>
      <c r="EV54" s="348">
        <f t="shared" si="184"/>
        <v>2245.5405354</v>
      </c>
      <c r="EW54" s="354">
        <f t="shared" si="185"/>
        <v>0.78229307993634267</v>
      </c>
      <c r="EX54" s="326"/>
      <c r="EY54" s="348">
        <f t="shared" si="186"/>
        <v>1592.1358840313603</v>
      </c>
      <c r="EZ54" s="348">
        <f t="shared" si="187"/>
        <v>2214.6973859313603</v>
      </c>
      <c r="FA54" s="348">
        <f t="shared" si="66"/>
        <v>1583.2635133623237</v>
      </c>
      <c r="FB54" s="348">
        <f t="shared" si="67"/>
        <v>2205.8250152623236</v>
      </c>
      <c r="FD54" s="326"/>
      <c r="FE54" s="326"/>
      <c r="FF54" s="326"/>
      <c r="FG54" s="348">
        <f t="shared" si="188"/>
        <v>94044.182499999995</v>
      </c>
      <c r="FH54" s="348">
        <f t="shared" si="189"/>
        <v>27564.852500000001</v>
      </c>
      <c r="FI54" s="348">
        <f t="shared" si="190"/>
        <v>1136.7700596</v>
      </c>
      <c r="FJ54" s="348">
        <f t="shared" si="191"/>
        <v>1823.5281608000003</v>
      </c>
      <c r="FK54" s="354">
        <f t="shared" si="192"/>
        <v>0.77333219937153508</v>
      </c>
      <c r="FL54" s="326"/>
      <c r="FM54" s="348">
        <f t="shared" si="193"/>
        <v>1167.8913535013326</v>
      </c>
      <c r="FN54" s="348">
        <f t="shared" si="194"/>
        <v>1804.3317109013328</v>
      </c>
      <c r="FO54" s="348">
        <f t="shared" si="75"/>
        <v>1164.5938918300872</v>
      </c>
      <c r="FP54" s="348">
        <f t="shared" si="76"/>
        <v>1801.0342492300874</v>
      </c>
      <c r="FR54" s="326"/>
      <c r="FS54" s="326"/>
      <c r="FT54" s="326"/>
      <c r="FU54" s="348">
        <f t="shared" si="195"/>
        <v>101741.94500000001</v>
      </c>
      <c r="FV54" s="348">
        <f t="shared" si="196"/>
        <v>27692.253299999997</v>
      </c>
      <c r="FW54" s="348">
        <f t="shared" si="197"/>
        <v>432.12834200000003</v>
      </c>
      <c r="FX54" s="348">
        <f t="shared" si="198"/>
        <v>563.00679860000002</v>
      </c>
      <c r="FY54" s="354">
        <f t="shared" si="199"/>
        <v>0.78605149439860211</v>
      </c>
      <c r="FZ54" s="326"/>
      <c r="GA54" s="348">
        <f t="shared" si="200"/>
        <v>432.24710341420007</v>
      </c>
      <c r="GB54" s="348">
        <f t="shared" si="201"/>
        <v>562.91552001419996</v>
      </c>
      <c r="GC54" s="348">
        <f t="shared" si="84"/>
        <v>432.18158711479987</v>
      </c>
      <c r="GD54" s="348">
        <f t="shared" si="85"/>
        <v>562.85000371479987</v>
      </c>
      <c r="GF54" s="326"/>
      <c r="GG54" s="326"/>
      <c r="GH54" s="326"/>
      <c r="GI54" s="348">
        <f t="shared" si="202"/>
        <v>50180.939100000003</v>
      </c>
      <c r="GJ54" s="348">
        <f t="shared" si="203"/>
        <v>13973.450799999999</v>
      </c>
      <c r="GK54" s="349">
        <f t="shared" si="204"/>
        <v>103.15819275000001</v>
      </c>
      <c r="GL54" s="349">
        <f t="shared" si="205"/>
        <v>157.92210824999995</v>
      </c>
      <c r="GM54" s="354">
        <f t="shared" si="206"/>
        <v>0.78219026286773252</v>
      </c>
      <c r="GN54" s="326"/>
      <c r="GO54" s="349">
        <f t="shared" si="207"/>
        <v>114.3908772430331</v>
      </c>
      <c r="GP54" s="349">
        <f t="shared" si="208"/>
        <v>149.87090524303306</v>
      </c>
      <c r="GQ54" s="349">
        <f t="shared" si="93"/>
        <v>107.47378994691866</v>
      </c>
      <c r="GR54" s="349">
        <f t="shared" si="94"/>
        <v>142.95381794691866</v>
      </c>
      <c r="HA54" s="374"/>
      <c r="HB54" s="375"/>
      <c r="HC54" s="374"/>
      <c r="HD54" s="374"/>
      <c r="HE54" s="374"/>
      <c r="HF54" s="351">
        <f t="shared" si="209"/>
        <v>0</v>
      </c>
      <c r="HG54" s="351">
        <f t="shared" si="210"/>
        <v>0</v>
      </c>
      <c r="HH54" s="352">
        <f t="shared" si="211"/>
        <v>0</v>
      </c>
      <c r="HI54" s="352">
        <f t="shared" si="150"/>
        <v>0</v>
      </c>
      <c r="HJ54" s="353">
        <f t="shared" si="151"/>
        <v>0</v>
      </c>
      <c r="HK54" s="353">
        <f t="shared" si="152"/>
        <v>0</v>
      </c>
    </row>
    <row r="55" spans="1:219" x14ac:dyDescent="0.2">
      <c r="A55" s="320">
        <v>45</v>
      </c>
      <c r="C55" s="350">
        <v>1.1713</v>
      </c>
      <c r="D55" s="350">
        <v>0.96550000000000002</v>
      </c>
      <c r="E55" s="350">
        <v>0.1016</v>
      </c>
      <c r="F55" s="350">
        <v>29592.175800000001</v>
      </c>
      <c r="G55" s="350">
        <v>11893.8958</v>
      </c>
      <c r="H55" s="351">
        <f t="shared" si="153"/>
        <v>1143.30593</v>
      </c>
      <c r="I55" s="351">
        <f t="shared" si="154"/>
        <v>1789.737695</v>
      </c>
      <c r="J55" s="352">
        <f t="shared" si="155"/>
        <v>17.431511999999998</v>
      </c>
      <c r="K55" s="352">
        <f t="shared" si="98"/>
        <v>4.997546872200104</v>
      </c>
      <c r="L55" s="353">
        <f t="shared" si="99"/>
        <v>1148.3034768722</v>
      </c>
      <c r="M55" s="353">
        <f t="shared" si="100"/>
        <v>1777.3037298722002</v>
      </c>
      <c r="N55" s="343">
        <f t="shared" si="101"/>
        <v>1167.9384963858286</v>
      </c>
      <c r="O55" s="343">
        <f t="shared" si="102"/>
        <v>1796.9387493858287</v>
      </c>
      <c r="Q55" s="374">
        <v>1.2129000000000001</v>
      </c>
      <c r="R55" s="375">
        <v>1.0285</v>
      </c>
      <c r="S55" s="374">
        <v>0.11940000000000001</v>
      </c>
      <c r="T55" s="374">
        <v>6500.8217000000004</v>
      </c>
      <c r="U55" s="374">
        <v>2475.6342</v>
      </c>
      <c r="V55" s="351">
        <f t="shared" si="156"/>
        <v>775.52826000000005</v>
      </c>
      <c r="W55" s="351">
        <f t="shared" si="157"/>
        <v>1235.61933</v>
      </c>
      <c r="X55" s="352">
        <f t="shared" si="158"/>
        <v>23.925371999999999</v>
      </c>
      <c r="Y55" s="352">
        <f t="shared" si="103"/>
        <v>14.699394647928727</v>
      </c>
      <c r="Z55" s="353">
        <f t="shared" si="104"/>
        <v>790.22765464792883</v>
      </c>
      <c r="AA55" s="353">
        <f t="shared" si="105"/>
        <v>1226.3933526479289</v>
      </c>
      <c r="AB55" s="343">
        <f t="shared" si="106"/>
        <v>792.52732302737968</v>
      </c>
      <c r="AC55" s="343">
        <f t="shared" si="107"/>
        <v>1228.6930210273797</v>
      </c>
      <c r="AE55" s="374">
        <v>1.2744</v>
      </c>
      <c r="AF55" s="375">
        <v>1.0899000000000001</v>
      </c>
      <c r="AG55" s="374">
        <v>7.7499999999999999E-2</v>
      </c>
      <c r="AH55" s="374">
        <v>849.7867</v>
      </c>
      <c r="AI55" s="374">
        <v>295.67500000000001</v>
      </c>
      <c r="AJ55" s="351">
        <f t="shared" si="159"/>
        <v>546.18235199999992</v>
      </c>
      <c r="AK55" s="351">
        <f t="shared" si="160"/>
        <v>1083.5567820000001</v>
      </c>
      <c r="AL55" s="352">
        <f t="shared" si="161"/>
        <v>13.902724999999998</v>
      </c>
      <c r="AM55" s="352">
        <f t="shared" si="108"/>
        <v>9.2434375832021658</v>
      </c>
      <c r="AN55" s="353">
        <f t="shared" si="109"/>
        <v>555.42578958320212</v>
      </c>
      <c r="AO55" s="353">
        <f t="shared" si="110"/>
        <v>1078.8974945832024</v>
      </c>
      <c r="AP55" s="343">
        <f t="shared" si="111"/>
        <v>561.19601344859086</v>
      </c>
      <c r="AQ55" s="343">
        <f t="shared" si="112"/>
        <v>1084.6677184485911</v>
      </c>
      <c r="AS55" s="374">
        <v>1.329</v>
      </c>
      <c r="AT55" s="375">
        <v>0.80359999999999998</v>
      </c>
      <c r="AU55" s="374">
        <v>9.3700000000000006E-2</v>
      </c>
      <c r="AV55" s="374">
        <v>34835.955800000003</v>
      </c>
      <c r="AW55" s="374">
        <v>9363.0583000000006</v>
      </c>
      <c r="AX55" s="351">
        <f t="shared" si="162"/>
        <v>452.75042999999999</v>
      </c>
      <c r="AY55" s="351">
        <f t="shared" si="163"/>
        <v>548.95523200000002</v>
      </c>
      <c r="AZ55" s="352">
        <f t="shared" si="164"/>
        <v>22.738178999999999</v>
      </c>
      <c r="BA55" s="352">
        <f t="shared" si="113"/>
        <v>12.460988094327581</v>
      </c>
      <c r="BB55" s="353">
        <f t="shared" si="114"/>
        <v>465.2114180943276</v>
      </c>
      <c r="BC55" s="353">
        <f t="shared" si="115"/>
        <v>538.67804109432768</v>
      </c>
      <c r="BD55" s="343">
        <f t="shared" si="116"/>
        <v>471.26493279521469</v>
      </c>
      <c r="BE55" s="343">
        <f t="shared" si="117"/>
        <v>544.73155579521483</v>
      </c>
      <c r="BG55" s="374">
        <v>1.2352000000000001</v>
      </c>
      <c r="BH55" s="375">
        <v>0.84989999999999999</v>
      </c>
      <c r="BI55" s="374">
        <v>9.1200000000000003E-2</v>
      </c>
      <c r="BJ55" s="374">
        <v>16741.672500000001</v>
      </c>
      <c r="BK55" s="374">
        <v>4671.5550000000003</v>
      </c>
      <c r="BL55" s="351">
        <f t="shared" si="165"/>
        <v>413.507904</v>
      </c>
      <c r="BM55" s="351">
        <f t="shared" si="166"/>
        <v>497.97340799999995</v>
      </c>
      <c r="BN55" s="352">
        <f t="shared" si="167"/>
        <v>18.729744</v>
      </c>
      <c r="BO55" s="352">
        <f t="shared" si="118"/>
        <v>10.232699593348933</v>
      </c>
      <c r="BP55" s="353">
        <f t="shared" si="119"/>
        <v>423.74060359334891</v>
      </c>
      <c r="BQ55" s="353">
        <f t="shared" si="120"/>
        <v>489.47636359334888</v>
      </c>
      <c r="BR55" s="343">
        <f t="shared" si="121"/>
        <v>432.04445572740696</v>
      </c>
      <c r="BS55" s="343">
        <f t="shared" si="122"/>
        <v>497.78021572740693</v>
      </c>
      <c r="BU55" s="374">
        <v>1.3033999999999999</v>
      </c>
      <c r="BV55" s="375">
        <v>0.90510000000000002</v>
      </c>
      <c r="BW55" s="374">
        <v>0.1072</v>
      </c>
      <c r="BX55" s="374">
        <v>18716.5092</v>
      </c>
      <c r="BY55" s="374">
        <v>5619.1082999999999</v>
      </c>
      <c r="BZ55" s="351">
        <f t="shared" si="168"/>
        <v>302.545208</v>
      </c>
      <c r="CA55" s="351">
        <f t="shared" si="169"/>
        <v>345.630537</v>
      </c>
      <c r="CB55" s="352">
        <f t="shared" si="170"/>
        <v>10.633168</v>
      </c>
      <c r="CC55" s="352">
        <f t="shared" si="123"/>
        <v>5.6699862563527672</v>
      </c>
      <c r="CD55" s="353">
        <f t="shared" si="124"/>
        <v>308.21519425635279</v>
      </c>
      <c r="CE55" s="353">
        <f t="shared" si="125"/>
        <v>340.66735525635278</v>
      </c>
      <c r="CF55" s="343">
        <f t="shared" si="126"/>
        <v>315.30558119932317</v>
      </c>
      <c r="CG55" s="343">
        <f t="shared" si="127"/>
        <v>347.75774219932316</v>
      </c>
      <c r="CI55" s="374">
        <v>1.0497000000000001</v>
      </c>
      <c r="CJ55" s="375">
        <v>1.0257000000000001</v>
      </c>
      <c r="CK55" s="374">
        <v>0.1857</v>
      </c>
      <c r="CL55" s="374">
        <v>72744.585000000006</v>
      </c>
      <c r="CM55" s="374">
        <v>20603.349999999999</v>
      </c>
      <c r="CN55" s="351">
        <f t="shared" si="171"/>
        <v>223.09274100000002</v>
      </c>
      <c r="CO55" s="351">
        <f t="shared" si="172"/>
        <v>282.529065</v>
      </c>
      <c r="CP55" s="352">
        <f t="shared" si="173"/>
        <v>7.4279999999999999E-2</v>
      </c>
      <c r="CQ55" s="352">
        <f t="shared" si="128"/>
        <v>4.1505842309736141E-2</v>
      </c>
      <c r="CR55" s="353">
        <f t="shared" si="129"/>
        <v>223.13424684230975</v>
      </c>
      <c r="CS55" s="353">
        <f t="shared" si="130"/>
        <v>282.49629084230975</v>
      </c>
      <c r="CT55" s="343">
        <f t="shared" si="131"/>
        <v>223.12859405669732</v>
      </c>
      <c r="CU55" s="343">
        <f t="shared" si="132"/>
        <v>282.49063805669732</v>
      </c>
      <c r="CW55" s="374">
        <v>1.226</v>
      </c>
      <c r="CX55" s="375">
        <v>1.1840999999999999</v>
      </c>
      <c r="CY55" s="374">
        <v>0.39710000000000001</v>
      </c>
      <c r="CZ55" s="374">
        <v>35763.525800000003</v>
      </c>
      <c r="DA55" s="374">
        <v>9165.7199999999993</v>
      </c>
      <c r="DB55" s="351">
        <f t="shared" si="174"/>
        <v>274.90598</v>
      </c>
      <c r="DC55" s="351">
        <f t="shared" si="175"/>
        <v>367.94723399999998</v>
      </c>
      <c r="DD55" s="352">
        <f t="shared" si="176"/>
        <v>9.9275000000000002E-2</v>
      </c>
      <c r="DE55" s="352">
        <f t="shared" si="133"/>
        <v>5.682162095459322E-2</v>
      </c>
      <c r="DF55" s="353">
        <f t="shared" si="134"/>
        <v>274.96280162095456</v>
      </c>
      <c r="DG55" s="353">
        <f t="shared" si="135"/>
        <v>367.90478062095457</v>
      </c>
      <c r="DH55" s="343">
        <f t="shared" si="136"/>
        <v>274.92772007262812</v>
      </c>
      <c r="DI55" s="343">
        <f t="shared" si="137"/>
        <v>367.86969907262812</v>
      </c>
      <c r="DK55" s="374">
        <v>1.2907</v>
      </c>
      <c r="DL55" s="375">
        <v>1.2584</v>
      </c>
      <c r="DM55" s="374">
        <v>0.52170000000000005</v>
      </c>
      <c r="DN55" s="374">
        <v>8157.7557999999999</v>
      </c>
      <c r="DO55" s="374">
        <v>2804.9016999999999</v>
      </c>
      <c r="DP55" s="351">
        <f t="shared" si="177"/>
        <v>170.07553900000002</v>
      </c>
      <c r="DQ55" s="351">
        <f t="shared" si="178"/>
        <v>247.728624</v>
      </c>
      <c r="DR55" s="352">
        <f t="shared" si="179"/>
        <v>9.9123000000000017E-2</v>
      </c>
      <c r="DS55" s="352">
        <f t="shared" si="138"/>
        <v>5.8773000777285221E-2</v>
      </c>
      <c r="DT55" s="353">
        <f t="shared" si="139"/>
        <v>170.1343120007773</v>
      </c>
      <c r="DU55" s="353">
        <f t="shared" si="140"/>
        <v>247.68827400077728</v>
      </c>
      <c r="DV55" s="343">
        <f t="shared" si="141"/>
        <v>170.09877987579287</v>
      </c>
      <c r="DW55" s="343">
        <f t="shared" si="142"/>
        <v>247.65274187579286</v>
      </c>
      <c r="EB55" s="326"/>
      <c r="EC55" s="326"/>
      <c r="ED55" s="326"/>
      <c r="EE55" s="348">
        <f t="shared" si="143"/>
        <v>172936.24240000002</v>
      </c>
      <c r="EF55" s="348">
        <f t="shared" si="144"/>
        <v>51026.024100000002</v>
      </c>
      <c r="EG55" s="348">
        <f t="shared" si="145"/>
        <v>2039.073885</v>
      </c>
      <c r="EH55" s="348">
        <f t="shared" si="146"/>
        <v>2915.5797792000003</v>
      </c>
      <c r="EI55" s="354">
        <f t="shared" si="180"/>
        <v>0.77216687035090348</v>
      </c>
      <c r="EJ55" s="326"/>
      <c r="EK55" s="348">
        <f t="shared" si="147"/>
        <v>2056.6193831056012</v>
      </c>
      <c r="EL55" s="348">
        <f t="shared" si="148"/>
        <v>2892.8018863056013</v>
      </c>
      <c r="EM55" s="348">
        <f t="shared" si="58"/>
        <v>2082.2741992958431</v>
      </c>
      <c r="EN55" s="348">
        <f t="shared" si="149"/>
        <v>2918.4567024958433</v>
      </c>
      <c r="EP55" s="326"/>
      <c r="EQ55" s="326"/>
      <c r="ER55" s="326"/>
      <c r="ES55" s="348">
        <f t="shared" si="181"/>
        <v>131750.60500000001</v>
      </c>
      <c r="ET55" s="348">
        <f t="shared" si="182"/>
        <v>36916.2592</v>
      </c>
      <c r="EU55" s="348">
        <f t="shared" si="183"/>
        <v>1604.563091</v>
      </c>
      <c r="EV55" s="348">
        <f t="shared" si="184"/>
        <v>2273.6848667999998</v>
      </c>
      <c r="EW55" s="354">
        <f t="shared" si="185"/>
        <v>0.78112915435348451</v>
      </c>
      <c r="EX55" s="326"/>
      <c r="EY55" s="348">
        <f t="shared" si="186"/>
        <v>1629.5764662182555</v>
      </c>
      <c r="EZ55" s="348">
        <f t="shared" si="187"/>
        <v>2255.8993535182558</v>
      </c>
      <c r="FA55" s="348">
        <f t="shared" si="66"/>
        <v>1640.1497768623235</v>
      </c>
      <c r="FB55" s="348">
        <f t="shared" si="67"/>
        <v>2266.4726641623238</v>
      </c>
      <c r="FD55" s="326"/>
      <c r="FE55" s="326"/>
      <c r="FF55" s="326"/>
      <c r="FG55" s="348">
        <f t="shared" si="188"/>
        <v>100468.6367</v>
      </c>
      <c r="FH55" s="348">
        <f t="shared" si="189"/>
        <v>29323.034999999996</v>
      </c>
      <c r="FI55" s="348">
        <f t="shared" si="190"/>
        <v>1173.8656243999999</v>
      </c>
      <c r="FJ55" s="348">
        <f t="shared" si="191"/>
        <v>1860.3535584000001</v>
      </c>
      <c r="FK55" s="354">
        <f t="shared" si="192"/>
        <v>0.77407614359280952</v>
      </c>
      <c r="FL55" s="326"/>
      <c r="FM55" s="348">
        <f t="shared" si="193"/>
        <v>1188.8558178823312</v>
      </c>
      <c r="FN55" s="348">
        <f t="shared" si="194"/>
        <v>1850.6741050823312</v>
      </c>
      <c r="FO55" s="348">
        <f t="shared" si="75"/>
        <v>1201.6894566300871</v>
      </c>
      <c r="FP55" s="348">
        <f t="shared" si="76"/>
        <v>1863.5077438300873</v>
      </c>
      <c r="FR55" s="326"/>
      <c r="FS55" s="326"/>
      <c r="FT55" s="326"/>
      <c r="FU55" s="348">
        <f t="shared" si="195"/>
        <v>108508.11080000001</v>
      </c>
      <c r="FV55" s="348">
        <f t="shared" si="196"/>
        <v>29769.07</v>
      </c>
      <c r="FW55" s="348">
        <f t="shared" si="197"/>
        <v>443.01752500000003</v>
      </c>
      <c r="FX55" s="348">
        <f t="shared" si="198"/>
        <v>576.88685220000002</v>
      </c>
      <c r="FY55" s="354">
        <f t="shared" si="199"/>
        <v>0.7847145145151817</v>
      </c>
      <c r="FZ55" s="326"/>
      <c r="GA55" s="348">
        <f t="shared" si="200"/>
        <v>443.1044881390734</v>
      </c>
      <c r="GB55" s="348">
        <f t="shared" si="201"/>
        <v>576.82011533907348</v>
      </c>
      <c r="GC55" s="348">
        <f t="shared" si="84"/>
        <v>443.07077011479987</v>
      </c>
      <c r="GD55" s="348">
        <f t="shared" si="85"/>
        <v>576.78639731479984</v>
      </c>
      <c r="GF55" s="326"/>
      <c r="GG55" s="326"/>
      <c r="GH55" s="326"/>
      <c r="GI55" s="348">
        <f t="shared" si="202"/>
        <v>53552.465000000004</v>
      </c>
      <c r="GJ55" s="348">
        <f t="shared" si="203"/>
        <v>14982.1666</v>
      </c>
      <c r="GK55" s="349">
        <f t="shared" si="204"/>
        <v>112.65391649999999</v>
      </c>
      <c r="GL55" s="349">
        <f t="shared" si="205"/>
        <v>152.49352125000001</v>
      </c>
      <c r="GM55" s="354">
        <f t="shared" si="206"/>
        <v>0.78139276085347775</v>
      </c>
      <c r="GN55" s="326"/>
      <c r="GO55" s="349">
        <f t="shared" si="207"/>
        <v>117.74716787848111</v>
      </c>
      <c r="GP55" s="349">
        <f t="shared" si="208"/>
        <v>148.50801437848116</v>
      </c>
      <c r="GQ55" s="349">
        <f t="shared" si="93"/>
        <v>116.96951369691864</v>
      </c>
      <c r="GR55" s="349">
        <f t="shared" si="94"/>
        <v>147.73036019691875</v>
      </c>
      <c r="HA55" s="374"/>
      <c r="HB55" s="375"/>
      <c r="HC55" s="374"/>
      <c r="HD55" s="374"/>
      <c r="HE55" s="374"/>
      <c r="HF55" s="351">
        <f t="shared" si="209"/>
        <v>0</v>
      </c>
      <c r="HG55" s="351">
        <f t="shared" si="210"/>
        <v>0</v>
      </c>
      <c r="HH55" s="352">
        <f t="shared" si="211"/>
        <v>0</v>
      </c>
      <c r="HI55" s="352">
        <f t="shared" si="150"/>
        <v>0</v>
      </c>
      <c r="HJ55" s="353">
        <f t="shared" si="151"/>
        <v>0</v>
      </c>
      <c r="HK55" s="353">
        <f t="shared" si="152"/>
        <v>0</v>
      </c>
    </row>
    <row r="56" spans="1:219" x14ac:dyDescent="0.2">
      <c r="A56" s="320">
        <v>46</v>
      </c>
      <c r="C56" s="350">
        <v>1.2115</v>
      </c>
      <c r="D56" s="350">
        <v>0.97789999999999999</v>
      </c>
      <c r="E56" s="350">
        <v>5.1900000000000002E-2</v>
      </c>
      <c r="F56" s="350">
        <v>30087.590800000002</v>
      </c>
      <c r="G56" s="350">
        <v>12197.2567</v>
      </c>
      <c r="H56" s="351">
        <f t="shared" si="153"/>
        <v>1182.5451500000001</v>
      </c>
      <c r="I56" s="351">
        <f t="shared" si="154"/>
        <v>1812.7234510000001</v>
      </c>
      <c r="J56" s="352">
        <f t="shared" si="155"/>
        <v>8.9044830000000008</v>
      </c>
      <c r="K56" s="352">
        <f t="shared" si="98"/>
        <v>2.5685386457119446</v>
      </c>
      <c r="L56" s="353">
        <f t="shared" si="99"/>
        <v>1185.113688645712</v>
      </c>
      <c r="M56" s="353">
        <f t="shared" si="100"/>
        <v>1806.3875066457119</v>
      </c>
      <c r="N56" s="343">
        <f t="shared" si="101"/>
        <v>1207.1777163858287</v>
      </c>
      <c r="O56" s="343">
        <f t="shared" si="102"/>
        <v>1828.4515343858286</v>
      </c>
      <c r="Q56" s="374">
        <v>1.262</v>
      </c>
      <c r="R56" s="375">
        <v>1.0528999999999999</v>
      </c>
      <c r="S56" s="374">
        <v>7.6600000000000001E-2</v>
      </c>
      <c r="T56" s="374">
        <v>7047.6467000000002</v>
      </c>
      <c r="U56" s="374">
        <v>2660.1583000000001</v>
      </c>
      <c r="V56" s="351">
        <f t="shared" si="156"/>
        <v>806.92279999999994</v>
      </c>
      <c r="W56" s="351">
        <f t="shared" si="157"/>
        <v>1264.933002</v>
      </c>
      <c r="X56" s="352">
        <f t="shared" si="158"/>
        <v>15.349107999999999</v>
      </c>
      <c r="Y56" s="352">
        <f t="shared" si="103"/>
        <v>9.3711122375022384</v>
      </c>
      <c r="Z56" s="353">
        <f t="shared" si="104"/>
        <v>816.29391223750213</v>
      </c>
      <c r="AA56" s="353">
        <f t="shared" si="105"/>
        <v>1258.9550062375024</v>
      </c>
      <c r="AB56" s="343">
        <f t="shared" si="106"/>
        <v>823.92186302737957</v>
      </c>
      <c r="AC56" s="343">
        <f t="shared" si="107"/>
        <v>1266.5829570273797</v>
      </c>
      <c r="AE56" s="374">
        <v>1.3056000000000001</v>
      </c>
      <c r="AF56" s="375">
        <v>1.1196999999999999</v>
      </c>
      <c r="AG56" s="374">
        <v>2.2499999999999999E-2</v>
      </c>
      <c r="AH56" s="374">
        <v>856.33079999999995</v>
      </c>
      <c r="AI56" s="374">
        <v>335.58080000000001</v>
      </c>
      <c r="AJ56" s="351">
        <f t="shared" si="159"/>
        <v>559.55404799999997</v>
      </c>
      <c r="AK56" s="351">
        <f t="shared" si="160"/>
        <v>1113.1833459999998</v>
      </c>
      <c r="AL56" s="352">
        <f t="shared" si="161"/>
        <v>4.0362749999999998</v>
      </c>
      <c r="AM56" s="352">
        <f t="shared" si="108"/>
        <v>2.6860845737009629</v>
      </c>
      <c r="AN56" s="353">
        <f t="shared" si="109"/>
        <v>562.24013257370098</v>
      </c>
      <c r="AO56" s="353">
        <f t="shared" si="110"/>
        <v>1111.8331555737009</v>
      </c>
      <c r="AP56" s="343">
        <f t="shared" si="111"/>
        <v>574.5677094485909</v>
      </c>
      <c r="AQ56" s="343">
        <f t="shared" si="112"/>
        <v>1124.1607324485908</v>
      </c>
      <c r="AS56" s="374">
        <v>1.4168000000000001</v>
      </c>
      <c r="AT56" s="375">
        <v>0.81359999999999999</v>
      </c>
      <c r="AU56" s="374">
        <v>4.1599999999999998E-2</v>
      </c>
      <c r="AV56" s="374">
        <v>35933.0075</v>
      </c>
      <c r="AW56" s="374">
        <v>9724.5766999999996</v>
      </c>
      <c r="AX56" s="351">
        <f t="shared" si="162"/>
        <v>482.66125600000004</v>
      </c>
      <c r="AY56" s="351">
        <f t="shared" si="163"/>
        <v>555.78643199999999</v>
      </c>
      <c r="AZ56" s="352">
        <f t="shared" si="164"/>
        <v>10.095071999999998</v>
      </c>
      <c r="BA56" s="352">
        <f t="shared" si="113"/>
        <v>5.4029722560883613</v>
      </c>
      <c r="BB56" s="353">
        <f t="shared" si="114"/>
        <v>488.06422825608843</v>
      </c>
      <c r="BC56" s="353">
        <f t="shared" si="115"/>
        <v>551.09433225608836</v>
      </c>
      <c r="BD56" s="343">
        <f t="shared" si="116"/>
        <v>501.17575879521473</v>
      </c>
      <c r="BE56" s="343">
        <f t="shared" si="117"/>
        <v>564.20586279521478</v>
      </c>
      <c r="BG56" s="374">
        <v>1.3006</v>
      </c>
      <c r="BH56" s="375">
        <v>0.85909999999999997</v>
      </c>
      <c r="BI56" s="374">
        <v>3.8899999999999997E-2</v>
      </c>
      <c r="BJ56" s="374">
        <v>17200.5033</v>
      </c>
      <c r="BK56" s="374">
        <v>4784.3474999999999</v>
      </c>
      <c r="BL56" s="351">
        <f t="shared" si="165"/>
        <v>435.40186199999999</v>
      </c>
      <c r="BM56" s="351">
        <f t="shared" si="166"/>
        <v>503.36387199999996</v>
      </c>
      <c r="BN56" s="352">
        <f t="shared" si="167"/>
        <v>7.9888929999999991</v>
      </c>
      <c r="BO56" s="352">
        <f t="shared" si="118"/>
        <v>4.2836247296108647</v>
      </c>
      <c r="BP56" s="353">
        <f t="shared" si="119"/>
        <v>439.68548672961089</v>
      </c>
      <c r="BQ56" s="353">
        <f t="shared" si="120"/>
        <v>499.65860372961083</v>
      </c>
      <c r="BR56" s="343">
        <f t="shared" si="121"/>
        <v>453.93841372740695</v>
      </c>
      <c r="BS56" s="343">
        <f t="shared" si="122"/>
        <v>513.9115307274069</v>
      </c>
      <c r="BU56" s="374">
        <v>1.3918999999999999</v>
      </c>
      <c r="BV56" s="375">
        <v>0.92379999999999995</v>
      </c>
      <c r="BW56" s="374">
        <v>5.0299999999999997E-2</v>
      </c>
      <c r="BX56" s="374">
        <v>19374.1342</v>
      </c>
      <c r="BY56" s="374">
        <v>5710.9650000000001</v>
      </c>
      <c r="BZ56" s="351">
        <f t="shared" si="168"/>
        <v>323.087828</v>
      </c>
      <c r="CA56" s="351">
        <f t="shared" si="169"/>
        <v>352.77150599999999</v>
      </c>
      <c r="CB56" s="352">
        <f t="shared" si="170"/>
        <v>4.9892569999999994</v>
      </c>
      <c r="CC56" s="352">
        <f t="shared" si="123"/>
        <v>2.604192347680208</v>
      </c>
      <c r="CD56" s="353">
        <f t="shared" si="124"/>
        <v>325.69202034768023</v>
      </c>
      <c r="CE56" s="353">
        <f t="shared" si="125"/>
        <v>350.3864413476802</v>
      </c>
      <c r="CF56" s="343">
        <f t="shared" si="126"/>
        <v>335.84820119932317</v>
      </c>
      <c r="CG56" s="343">
        <f t="shared" si="127"/>
        <v>360.54262219932315</v>
      </c>
      <c r="CI56" s="374">
        <v>1.0581</v>
      </c>
      <c r="CJ56" s="375">
        <v>1.0334000000000001</v>
      </c>
      <c r="CK56" s="374">
        <v>0.1221</v>
      </c>
      <c r="CL56" s="374">
        <v>75010.101699999999</v>
      </c>
      <c r="CM56" s="374">
        <v>21219.689200000001</v>
      </c>
      <c r="CN56" s="351">
        <f t="shared" si="171"/>
        <v>224.877993</v>
      </c>
      <c r="CO56" s="351">
        <f t="shared" si="172"/>
        <v>284.65003000000002</v>
      </c>
      <c r="CP56" s="352">
        <f t="shared" si="173"/>
        <v>4.8840000000000001E-2</v>
      </c>
      <c r="CQ56" s="352">
        <f t="shared" si="128"/>
        <v>2.7284676872816476E-2</v>
      </c>
      <c r="CR56" s="353">
        <f t="shared" si="129"/>
        <v>224.90527767687283</v>
      </c>
      <c r="CS56" s="353">
        <f t="shared" si="130"/>
        <v>284.62847467687283</v>
      </c>
      <c r="CT56" s="343">
        <f t="shared" si="131"/>
        <v>224.91384605669731</v>
      </c>
      <c r="CU56" s="343">
        <f t="shared" si="132"/>
        <v>284.63704305669734</v>
      </c>
      <c r="CW56" s="374">
        <v>1.2775000000000001</v>
      </c>
      <c r="CX56" s="375">
        <v>1.2384999999999999</v>
      </c>
      <c r="CY56" s="374">
        <v>0.31409999999999999</v>
      </c>
      <c r="CZ56" s="374">
        <v>37033.784200000002</v>
      </c>
      <c r="DA56" s="374">
        <v>9458.06</v>
      </c>
      <c r="DB56" s="351">
        <f t="shared" si="174"/>
        <v>286.45382499999999</v>
      </c>
      <c r="DC56" s="351">
        <f t="shared" si="175"/>
        <v>384.85149000000001</v>
      </c>
      <c r="DD56" s="352">
        <f t="shared" si="176"/>
        <v>7.8524999999999998E-2</v>
      </c>
      <c r="DE56" s="352">
        <f t="shared" si="133"/>
        <v>4.5017464597684582E-2</v>
      </c>
      <c r="DF56" s="353">
        <f t="shared" si="134"/>
        <v>286.49884246459766</v>
      </c>
      <c r="DG56" s="353">
        <f t="shared" si="135"/>
        <v>384.81798246459766</v>
      </c>
      <c r="DH56" s="343">
        <f t="shared" si="136"/>
        <v>286.47556507262811</v>
      </c>
      <c r="DI56" s="343">
        <f t="shared" si="137"/>
        <v>384.79470507262812</v>
      </c>
      <c r="DK56" s="374">
        <v>1.3593</v>
      </c>
      <c r="DL56" s="375">
        <v>1.3115000000000001</v>
      </c>
      <c r="DM56" s="374">
        <v>0.4214</v>
      </c>
      <c r="DN56" s="374">
        <v>8258.0841999999993</v>
      </c>
      <c r="DO56" s="374">
        <v>2988.81</v>
      </c>
      <c r="DP56" s="351">
        <f t="shared" si="177"/>
        <v>179.11496099999999</v>
      </c>
      <c r="DQ56" s="351">
        <f t="shared" si="178"/>
        <v>258.18189000000007</v>
      </c>
      <c r="DR56" s="352">
        <f t="shared" si="179"/>
        <v>8.0065999999999998E-2</v>
      </c>
      <c r="DS56" s="352">
        <f t="shared" si="138"/>
        <v>4.7271301308181614E-2</v>
      </c>
      <c r="DT56" s="353">
        <f t="shared" si="139"/>
        <v>179.16223230130817</v>
      </c>
      <c r="DU56" s="353">
        <f t="shared" si="140"/>
        <v>258.14909530130825</v>
      </c>
      <c r="DV56" s="343">
        <f t="shared" si="141"/>
        <v>179.13820187579284</v>
      </c>
      <c r="DW56" s="343">
        <f t="shared" si="142"/>
        <v>258.12506487579293</v>
      </c>
      <c r="EB56" s="326"/>
      <c r="EC56" s="326"/>
      <c r="ED56" s="326"/>
      <c r="EE56" s="348">
        <f t="shared" si="143"/>
        <v>178064.48420000001</v>
      </c>
      <c r="EF56" s="348">
        <f t="shared" si="144"/>
        <v>52599.582599999994</v>
      </c>
      <c r="EG56" s="348">
        <f t="shared" si="145"/>
        <v>2119.2474590000002</v>
      </c>
      <c r="EH56" s="348">
        <f t="shared" si="146"/>
        <v>2961.0411050000002</v>
      </c>
      <c r="EI56" s="354">
        <f t="shared" si="180"/>
        <v>0.77196455724676405</v>
      </c>
      <c r="EJ56" s="326"/>
      <c r="EK56" s="348">
        <f t="shared" si="147"/>
        <v>2127.2822685503515</v>
      </c>
      <c r="EL56" s="348">
        <f t="shared" si="148"/>
        <v>2949.9646995503513</v>
      </c>
      <c r="EM56" s="348">
        <f t="shared" si="58"/>
        <v>2162.4477732958435</v>
      </c>
      <c r="EN56" s="348">
        <f t="shared" si="149"/>
        <v>2985.1302042958432</v>
      </c>
      <c r="EP56" s="326"/>
      <c r="EQ56" s="326"/>
      <c r="ER56" s="326"/>
      <c r="ES56" s="348">
        <f t="shared" si="181"/>
        <v>136292.03589999999</v>
      </c>
      <c r="ET56" s="348">
        <f t="shared" si="182"/>
        <v>38122.254999999997</v>
      </c>
      <c r="EU56" s="348">
        <f t="shared" si="183"/>
        <v>1667.7203325</v>
      </c>
      <c r="EV56" s="348">
        <f t="shared" si="184"/>
        <v>2322.3429470000001</v>
      </c>
      <c r="EW56" s="354">
        <f t="shared" si="185"/>
        <v>0.78142699888131695</v>
      </c>
      <c r="EX56" s="326"/>
      <c r="EY56" s="348">
        <f t="shared" si="186"/>
        <v>1681.4338663692042</v>
      </c>
      <c r="EZ56" s="348">
        <f t="shared" si="187"/>
        <v>2312.6146723692045</v>
      </c>
      <c r="FA56" s="348">
        <f t="shared" si="66"/>
        <v>1703.3070183623236</v>
      </c>
      <c r="FB56" s="348">
        <f t="shared" si="67"/>
        <v>2334.4878243623239</v>
      </c>
      <c r="FD56" s="326"/>
      <c r="FE56" s="326"/>
      <c r="FF56" s="326"/>
      <c r="FG56" s="348">
        <f t="shared" si="188"/>
        <v>103498.65089999999</v>
      </c>
      <c r="FH56" s="348">
        <f t="shared" si="189"/>
        <v>30255.045000000002</v>
      </c>
      <c r="FI56" s="348">
        <f t="shared" si="190"/>
        <v>1214.9888455999999</v>
      </c>
      <c r="FJ56" s="348">
        <f t="shared" si="191"/>
        <v>1905.5140159999999</v>
      </c>
      <c r="FK56" s="354">
        <f t="shared" si="192"/>
        <v>0.7738003066276391</v>
      </c>
      <c r="FL56" s="326"/>
      <c r="FM56" s="348">
        <f t="shared" si="193"/>
        <v>1220.334769979039</v>
      </c>
      <c r="FN56" s="348">
        <f t="shared" si="194"/>
        <v>1901.7375287790389</v>
      </c>
      <c r="FO56" s="348">
        <f t="shared" si="75"/>
        <v>1242.8126778300871</v>
      </c>
      <c r="FP56" s="348">
        <f t="shared" si="76"/>
        <v>1924.2154366300872</v>
      </c>
      <c r="FR56" s="326"/>
      <c r="FS56" s="326"/>
      <c r="FT56" s="326"/>
      <c r="FU56" s="348">
        <f t="shared" si="195"/>
        <v>112043.88589999999</v>
      </c>
      <c r="FV56" s="348">
        <f t="shared" si="196"/>
        <v>30677.749199999998</v>
      </c>
      <c r="FW56" s="348">
        <f t="shared" si="197"/>
        <v>454.04105300000003</v>
      </c>
      <c r="FX56" s="348">
        <f t="shared" si="198"/>
        <v>592.53122200000007</v>
      </c>
      <c r="FY56" s="354">
        <f t="shared" si="199"/>
        <v>0.78505186562285967</v>
      </c>
      <c r="FZ56" s="326"/>
      <c r="GA56" s="348">
        <f t="shared" si="200"/>
        <v>454.10435164855096</v>
      </c>
      <c r="GB56" s="348">
        <f t="shared" si="201"/>
        <v>592.48286064855097</v>
      </c>
      <c r="GC56" s="348">
        <f t="shared" si="84"/>
        <v>454.09429811479981</v>
      </c>
      <c r="GD56" s="348">
        <f t="shared" si="85"/>
        <v>592.47280711479993</v>
      </c>
      <c r="GF56" s="326"/>
      <c r="GG56" s="326"/>
      <c r="GH56" s="326"/>
      <c r="GI56" s="348">
        <f t="shared" si="202"/>
        <v>55307.1417</v>
      </c>
      <c r="GJ56" s="348">
        <f t="shared" si="203"/>
        <v>15435.5417</v>
      </c>
      <c r="GK56" s="349">
        <f t="shared" si="204"/>
        <v>119.68007100000003</v>
      </c>
      <c r="GL56" s="349">
        <f t="shared" si="205"/>
        <v>152.26119449999999</v>
      </c>
      <c r="GM56" s="354">
        <f t="shared" si="206"/>
        <v>0.78180723492318083</v>
      </c>
      <c r="GN56" s="326"/>
      <c r="GO56" s="349">
        <f t="shared" si="207"/>
        <v>121.77915593130615</v>
      </c>
      <c r="GP56" s="349">
        <f t="shared" si="208"/>
        <v>150.53091818130611</v>
      </c>
      <c r="GQ56" s="349">
        <f t="shared" si="93"/>
        <v>123.99566819691867</v>
      </c>
      <c r="GR56" s="349">
        <f t="shared" si="94"/>
        <v>152.74743044691871</v>
      </c>
      <c r="HA56" s="374"/>
      <c r="HB56" s="375"/>
      <c r="HC56" s="374"/>
      <c r="HD56" s="374"/>
      <c r="HE56" s="374"/>
      <c r="HF56" s="351">
        <f t="shared" si="209"/>
        <v>0</v>
      </c>
      <c r="HG56" s="351">
        <f t="shared" si="210"/>
        <v>0</v>
      </c>
      <c r="HH56" s="352">
        <f t="shared" si="211"/>
        <v>0</v>
      </c>
      <c r="HI56" s="352">
        <f t="shared" si="150"/>
        <v>0</v>
      </c>
      <c r="HJ56" s="353">
        <f t="shared" si="151"/>
        <v>0</v>
      </c>
      <c r="HK56" s="353">
        <f t="shared" si="152"/>
        <v>0</v>
      </c>
    </row>
    <row r="57" spans="1:219" x14ac:dyDescent="0.2">
      <c r="A57" s="320">
        <v>47</v>
      </c>
      <c r="C57" s="350">
        <v>1.2562</v>
      </c>
      <c r="D57" s="350">
        <v>0.99809999999999999</v>
      </c>
      <c r="E57" s="350">
        <v>2.9499999999999998E-2</v>
      </c>
      <c r="F57" s="350">
        <v>29497.7117</v>
      </c>
      <c r="G57" s="350">
        <v>12099.619199999999</v>
      </c>
      <c r="H57" s="351">
        <f t="shared" si="153"/>
        <v>1226.1768199999999</v>
      </c>
      <c r="I57" s="351">
        <f t="shared" si="154"/>
        <v>1850.167989</v>
      </c>
      <c r="J57" s="352">
        <f t="shared" si="155"/>
        <v>5.0613149999999996</v>
      </c>
      <c r="K57" s="352">
        <f t="shared" si="98"/>
        <v>1.4722094621520052</v>
      </c>
      <c r="L57" s="353">
        <f t="shared" si="99"/>
        <v>1227.6490294621519</v>
      </c>
      <c r="M57" s="353">
        <f t="shared" si="100"/>
        <v>1846.5788834621521</v>
      </c>
      <c r="N57" s="343">
        <f t="shared" si="101"/>
        <v>1250.8093863858285</v>
      </c>
      <c r="O57" s="343">
        <f t="shared" si="102"/>
        <v>1869.7392403858287</v>
      </c>
      <c r="Q57" s="374">
        <v>1.3171999999999999</v>
      </c>
      <c r="R57" s="375">
        <v>1.0854999999999999</v>
      </c>
      <c r="S57" s="374">
        <v>5.1999999999999998E-2</v>
      </c>
      <c r="T57" s="374">
        <v>7349.6207999999997</v>
      </c>
      <c r="U57" s="374">
        <v>2723.1316999999999</v>
      </c>
      <c r="V57" s="351">
        <f t="shared" si="156"/>
        <v>842.21767999999997</v>
      </c>
      <c r="W57" s="351">
        <f t="shared" si="157"/>
        <v>1304.09799</v>
      </c>
      <c r="X57" s="352">
        <f t="shared" si="158"/>
        <v>10.41976</v>
      </c>
      <c r="Y57" s="352">
        <f t="shared" si="103"/>
        <v>6.3310296161060036</v>
      </c>
      <c r="Z57" s="353">
        <f t="shared" si="104"/>
        <v>848.54870961610595</v>
      </c>
      <c r="AA57" s="353">
        <f t="shared" si="105"/>
        <v>1300.009259616106</v>
      </c>
      <c r="AB57" s="343">
        <f t="shared" si="106"/>
        <v>859.21674302737961</v>
      </c>
      <c r="AC57" s="343">
        <f t="shared" si="107"/>
        <v>1310.6772930273796</v>
      </c>
      <c r="AE57" s="374">
        <v>1.3488</v>
      </c>
      <c r="AF57" s="375">
        <v>1.1535</v>
      </c>
      <c r="AG57" s="374">
        <v>0</v>
      </c>
      <c r="AH57" s="374">
        <v>924.86080000000004</v>
      </c>
      <c r="AI57" s="374">
        <v>301.47329999999999</v>
      </c>
      <c r="AJ57" s="351">
        <f t="shared" si="159"/>
        <v>578.06870400000003</v>
      </c>
      <c r="AK57" s="351">
        <f t="shared" si="160"/>
        <v>1146.7866299999998</v>
      </c>
      <c r="AL57" s="352">
        <f t="shared" si="161"/>
        <v>0</v>
      </c>
      <c r="AM57" s="352">
        <f t="shared" si="108"/>
        <v>0</v>
      </c>
      <c r="AN57" s="353">
        <f t="shared" si="109"/>
        <v>578.06870400000003</v>
      </c>
      <c r="AO57" s="353">
        <f t="shared" si="110"/>
        <v>1146.7866299999998</v>
      </c>
      <c r="AP57" s="343">
        <f t="shared" si="111"/>
        <v>593.08236544859096</v>
      </c>
      <c r="AQ57" s="343">
        <f t="shared" si="112"/>
        <v>1161.8002914485908</v>
      </c>
      <c r="AS57" s="374">
        <v>1.508</v>
      </c>
      <c r="AT57" s="375">
        <v>0.83599999999999997</v>
      </c>
      <c r="AU57" s="374">
        <v>1.9699999999999999E-2</v>
      </c>
      <c r="AV57" s="374">
        <v>35567.314200000001</v>
      </c>
      <c r="AW57" s="374">
        <v>9725.0092000000004</v>
      </c>
      <c r="AX57" s="351">
        <f t="shared" si="162"/>
        <v>513.73036000000002</v>
      </c>
      <c r="AY57" s="351">
        <f t="shared" si="163"/>
        <v>571.08831999999995</v>
      </c>
      <c r="AZ57" s="352">
        <f t="shared" si="164"/>
        <v>4.7805989999999996</v>
      </c>
      <c r="BA57" s="352">
        <f t="shared" si="113"/>
        <v>2.5166825588804205</v>
      </c>
      <c r="BB57" s="353">
        <f t="shared" si="114"/>
        <v>516.24704255888048</v>
      </c>
      <c r="BC57" s="353">
        <f t="shared" si="115"/>
        <v>568.82440355888036</v>
      </c>
      <c r="BD57" s="343">
        <f t="shared" si="116"/>
        <v>532.24486279521477</v>
      </c>
      <c r="BE57" s="343">
        <f t="shared" si="117"/>
        <v>584.82222379521465</v>
      </c>
      <c r="BG57" s="374">
        <v>1.3754999999999999</v>
      </c>
      <c r="BH57" s="375">
        <v>0.88460000000000005</v>
      </c>
      <c r="BI57" s="374">
        <v>1.2200000000000001E-2</v>
      </c>
      <c r="BJ57" s="374">
        <v>17124.732499999998</v>
      </c>
      <c r="BK57" s="374">
        <v>4819.0532999999996</v>
      </c>
      <c r="BL57" s="351">
        <f t="shared" si="165"/>
        <v>460.47613499999994</v>
      </c>
      <c r="BM57" s="351">
        <f t="shared" si="166"/>
        <v>518.30483200000003</v>
      </c>
      <c r="BN57" s="352">
        <f t="shared" si="167"/>
        <v>2.5055140000000002</v>
      </c>
      <c r="BO57" s="352">
        <f t="shared" si="118"/>
        <v>1.3267728497254774</v>
      </c>
      <c r="BP57" s="353">
        <f t="shared" si="119"/>
        <v>461.80290784972544</v>
      </c>
      <c r="BQ57" s="353">
        <f t="shared" si="120"/>
        <v>517.12609084972553</v>
      </c>
      <c r="BR57" s="343">
        <f t="shared" si="121"/>
        <v>479.0126867274069</v>
      </c>
      <c r="BS57" s="343">
        <f t="shared" si="122"/>
        <v>534.33586972740704</v>
      </c>
      <c r="BU57" s="374">
        <v>1.4917</v>
      </c>
      <c r="BV57" s="375">
        <v>0.94930000000000003</v>
      </c>
      <c r="BW57" s="374">
        <v>2.01E-2</v>
      </c>
      <c r="BX57" s="374">
        <v>19828.104200000002</v>
      </c>
      <c r="BY57" s="374">
        <v>6068.06</v>
      </c>
      <c r="BZ57" s="351">
        <f t="shared" si="168"/>
        <v>346.25340399999999</v>
      </c>
      <c r="CA57" s="351">
        <f t="shared" si="169"/>
        <v>362.50919100000004</v>
      </c>
      <c r="CB57" s="352">
        <f t="shared" si="170"/>
        <v>1.993719</v>
      </c>
      <c r="CC57" s="352">
        <f t="shared" si="123"/>
        <v>1.0197229183226424</v>
      </c>
      <c r="CD57" s="353">
        <f t="shared" si="124"/>
        <v>347.27312691832265</v>
      </c>
      <c r="CE57" s="353">
        <f t="shared" si="125"/>
        <v>361.5351949183227</v>
      </c>
      <c r="CF57" s="343">
        <f t="shared" si="126"/>
        <v>359.01377719932316</v>
      </c>
      <c r="CG57" s="343">
        <f t="shared" si="127"/>
        <v>373.27584519932321</v>
      </c>
      <c r="CI57" s="374">
        <v>1.0667</v>
      </c>
      <c r="CJ57" s="375">
        <v>1.0416000000000001</v>
      </c>
      <c r="CK57" s="374">
        <v>8.3599999999999994E-2</v>
      </c>
      <c r="CL57" s="374">
        <v>75089.797500000001</v>
      </c>
      <c r="CM57" s="374">
        <v>21655.005799999999</v>
      </c>
      <c r="CN57" s="351">
        <f t="shared" si="171"/>
        <v>226.70575099999999</v>
      </c>
      <c r="CO57" s="351">
        <f t="shared" si="172"/>
        <v>286.90872000000002</v>
      </c>
      <c r="CP57" s="352">
        <f t="shared" si="173"/>
        <v>3.3439999999999998E-2</v>
      </c>
      <c r="CQ57" s="352">
        <f t="shared" si="128"/>
        <v>1.8679823366581118E-2</v>
      </c>
      <c r="CR57" s="353">
        <f t="shared" si="129"/>
        <v>226.72443082336656</v>
      </c>
      <c r="CS57" s="353">
        <f t="shared" si="130"/>
        <v>286.89395982336663</v>
      </c>
      <c r="CT57" s="343">
        <f t="shared" si="131"/>
        <v>226.7416040566973</v>
      </c>
      <c r="CU57" s="343">
        <f t="shared" si="132"/>
        <v>286.91113305669734</v>
      </c>
      <c r="CW57" s="374">
        <v>1.3340000000000001</v>
      </c>
      <c r="CX57" s="375">
        <v>1.2961</v>
      </c>
      <c r="CY57" s="374">
        <v>0.24759999999999999</v>
      </c>
      <c r="CZ57" s="374">
        <v>36587.449200000003</v>
      </c>
      <c r="DA57" s="374">
        <v>9727.57</v>
      </c>
      <c r="DB57" s="351">
        <f t="shared" si="174"/>
        <v>299.12281999999999</v>
      </c>
      <c r="DC57" s="351">
        <f t="shared" si="175"/>
        <v>402.750114</v>
      </c>
      <c r="DD57" s="352">
        <f t="shared" si="176"/>
        <v>6.1899999999999997E-2</v>
      </c>
      <c r="DE57" s="352">
        <f t="shared" si="133"/>
        <v>3.5519580324207226E-2</v>
      </c>
      <c r="DF57" s="353">
        <f t="shared" si="134"/>
        <v>299.1583395803242</v>
      </c>
      <c r="DG57" s="353">
        <f t="shared" si="135"/>
        <v>402.72373358032422</v>
      </c>
      <c r="DH57" s="343">
        <f t="shared" si="136"/>
        <v>299.14456007262811</v>
      </c>
      <c r="DI57" s="343">
        <f t="shared" si="137"/>
        <v>402.70995407262814</v>
      </c>
      <c r="DK57" s="374">
        <v>1.4328000000000001</v>
      </c>
      <c r="DL57" s="375">
        <v>1.3643000000000001</v>
      </c>
      <c r="DM57" s="374">
        <v>0.3337</v>
      </c>
      <c r="DN57" s="374">
        <v>8291.6466999999993</v>
      </c>
      <c r="DO57" s="374">
        <v>3085.7224999999999</v>
      </c>
      <c r="DP57" s="351">
        <f t="shared" si="177"/>
        <v>188.80005600000001</v>
      </c>
      <c r="DQ57" s="351">
        <f t="shared" si="178"/>
        <v>268.57609800000006</v>
      </c>
      <c r="DR57" s="352">
        <f t="shared" si="179"/>
        <v>6.3403000000000001E-2</v>
      </c>
      <c r="DS57" s="352">
        <f t="shared" si="138"/>
        <v>3.7230909815849304E-2</v>
      </c>
      <c r="DT57" s="353">
        <f t="shared" si="139"/>
        <v>188.83728690981587</v>
      </c>
      <c r="DU57" s="353">
        <f t="shared" si="140"/>
        <v>268.5499259098159</v>
      </c>
      <c r="DV57" s="343">
        <f t="shared" si="141"/>
        <v>188.82329687579286</v>
      </c>
      <c r="DW57" s="343">
        <f t="shared" si="142"/>
        <v>268.53593587579292</v>
      </c>
      <c r="EB57" s="326"/>
      <c r="EC57" s="326"/>
      <c r="ED57" s="326"/>
      <c r="EE57" s="348">
        <f t="shared" si="143"/>
        <v>176742.2726</v>
      </c>
      <c r="EF57" s="348">
        <f t="shared" si="144"/>
        <v>53207.2042</v>
      </c>
      <c r="EG57" s="348">
        <f t="shared" si="145"/>
        <v>2205.9111869999997</v>
      </c>
      <c r="EH57" s="348">
        <f t="shared" si="146"/>
        <v>3030.3651201999996</v>
      </c>
      <c r="EI57" s="354">
        <f t="shared" si="180"/>
        <v>0.7686135017985829</v>
      </c>
      <c r="EJ57" s="326"/>
      <c r="EK57" s="348">
        <f t="shared" si="147"/>
        <v>2209.9471745086585</v>
      </c>
      <c r="EL57" s="348">
        <f t="shared" si="148"/>
        <v>3024.4762337086586</v>
      </c>
      <c r="EM57" s="348">
        <f t="shared" si="58"/>
        <v>2249.111501295843</v>
      </c>
      <c r="EN57" s="348">
        <f t="shared" si="149"/>
        <v>3063.6405604958436</v>
      </c>
      <c r="EP57" s="326"/>
      <c r="EQ57" s="326"/>
      <c r="ER57" s="326"/>
      <c r="ES57" s="348">
        <f t="shared" si="181"/>
        <v>136151.6</v>
      </c>
      <c r="ET57" s="348">
        <f t="shared" si="182"/>
        <v>38924.760799999996</v>
      </c>
      <c r="EU57" s="348">
        <f t="shared" si="183"/>
        <v>1738.7855399999999</v>
      </c>
      <c r="EV57" s="348">
        <f t="shared" si="184"/>
        <v>2391.2366217999997</v>
      </c>
      <c r="EW57" s="354">
        <f t="shared" si="185"/>
        <v>0.77766980863586699</v>
      </c>
      <c r="EX57" s="326"/>
      <c r="EY57" s="348">
        <f t="shared" si="186"/>
        <v>1746.4868859954247</v>
      </c>
      <c r="EZ57" s="348">
        <f t="shared" si="187"/>
        <v>2385.935923795425</v>
      </c>
      <c r="FA57" s="348">
        <f t="shared" si="66"/>
        <v>1774.3722258623234</v>
      </c>
      <c r="FB57" s="348">
        <f t="shared" si="67"/>
        <v>2413.8212636623239</v>
      </c>
      <c r="FD57" s="326"/>
      <c r="FE57" s="326"/>
      <c r="FF57" s="326"/>
      <c r="FG57" s="348">
        <f t="shared" si="188"/>
        <v>104134.40919999999</v>
      </c>
      <c r="FH57" s="348">
        <f t="shared" si="189"/>
        <v>31110.261599999998</v>
      </c>
      <c r="FI57" s="348">
        <f t="shared" si="190"/>
        <v>1264.3078926000001</v>
      </c>
      <c r="FJ57" s="348">
        <f t="shared" si="191"/>
        <v>1957.3501998000002</v>
      </c>
      <c r="FK57" s="354">
        <f t="shared" si="192"/>
        <v>0.76997051775884096</v>
      </c>
      <c r="FL57" s="326"/>
      <c r="FM57" s="348">
        <f t="shared" si="193"/>
        <v>1265.3686338875787</v>
      </c>
      <c r="FN57" s="348">
        <f t="shared" si="194"/>
        <v>1956.3457402875788</v>
      </c>
      <c r="FO57" s="348">
        <f t="shared" si="75"/>
        <v>1292.131724830087</v>
      </c>
      <c r="FP57" s="348">
        <f t="shared" si="76"/>
        <v>1983.1088312300869</v>
      </c>
      <c r="FR57" s="326"/>
      <c r="FS57" s="326"/>
      <c r="FT57" s="326"/>
      <c r="FU57" s="348">
        <f t="shared" si="195"/>
        <v>111677.2467</v>
      </c>
      <c r="FV57" s="348">
        <f t="shared" si="196"/>
        <v>31382.575799999999</v>
      </c>
      <c r="FW57" s="348">
        <f t="shared" si="197"/>
        <v>466.004007</v>
      </c>
      <c r="FX57" s="348">
        <f t="shared" si="198"/>
        <v>609.10881119999999</v>
      </c>
      <c r="FY57" s="354">
        <f t="shared" si="199"/>
        <v>0.7806331976960198</v>
      </c>
      <c r="FZ57" s="326"/>
      <c r="GA57" s="348">
        <f t="shared" si="200"/>
        <v>466.05110248762594</v>
      </c>
      <c r="GB57" s="348">
        <f t="shared" si="201"/>
        <v>609.07294668762597</v>
      </c>
      <c r="GC57" s="348">
        <f t="shared" si="84"/>
        <v>466.05725211479978</v>
      </c>
      <c r="GD57" s="348">
        <f t="shared" si="85"/>
        <v>609.07909631479993</v>
      </c>
      <c r="GF57" s="326"/>
      <c r="GG57" s="326"/>
      <c r="GH57" s="326"/>
      <c r="GI57" s="348">
        <f t="shared" si="202"/>
        <v>55395.418400000002</v>
      </c>
      <c r="GJ57" s="348">
        <f t="shared" si="203"/>
        <v>15793.069200000002</v>
      </c>
      <c r="GK57" s="349">
        <f t="shared" si="204"/>
        <v>125.60771700000002</v>
      </c>
      <c r="GL57" s="349">
        <f t="shared" si="205"/>
        <v>156.43434674999992</v>
      </c>
      <c r="GM57" s="354">
        <f t="shared" si="206"/>
        <v>0.77815135940603963</v>
      </c>
      <c r="GN57" s="326"/>
      <c r="GO57" s="349">
        <f t="shared" si="207"/>
        <v>126.73043673041838</v>
      </c>
      <c r="GP57" s="349">
        <f t="shared" si="208"/>
        <v>155.46690648041823</v>
      </c>
      <c r="GQ57" s="349">
        <f t="shared" si="93"/>
        <v>129.92331419691871</v>
      </c>
      <c r="GR57" s="349">
        <f t="shared" si="94"/>
        <v>158.65978394691859</v>
      </c>
      <c r="HA57" s="374"/>
      <c r="HB57" s="375"/>
      <c r="HC57" s="374"/>
      <c r="HD57" s="374"/>
      <c r="HE57" s="374"/>
      <c r="HF57" s="351">
        <f t="shared" si="209"/>
        <v>0</v>
      </c>
      <c r="HG57" s="351">
        <f t="shared" si="210"/>
        <v>0</v>
      </c>
      <c r="HH57" s="352">
        <f t="shared" si="211"/>
        <v>0</v>
      </c>
      <c r="HI57" s="352">
        <f t="shared" si="150"/>
        <v>0</v>
      </c>
      <c r="HJ57" s="353">
        <f t="shared" si="151"/>
        <v>0</v>
      </c>
      <c r="HK57" s="353">
        <f t="shared" si="152"/>
        <v>0</v>
      </c>
    </row>
    <row r="58" spans="1:219" x14ac:dyDescent="0.2">
      <c r="A58" s="320">
        <v>48</v>
      </c>
      <c r="C58" s="350">
        <v>1.3057000000000001</v>
      </c>
      <c r="D58" s="350">
        <v>1.0239</v>
      </c>
      <c r="E58" s="350">
        <v>2.1399999999999999E-2</v>
      </c>
      <c r="F58" s="350">
        <v>28277.306700000001</v>
      </c>
      <c r="G58" s="350">
        <v>11983.7158</v>
      </c>
      <c r="H58" s="351">
        <f t="shared" si="153"/>
        <v>1274.49377</v>
      </c>
      <c r="I58" s="351">
        <f t="shared" si="154"/>
        <v>1897.993191</v>
      </c>
      <c r="J58" s="352">
        <f t="shared" si="155"/>
        <v>3.6715979999999995</v>
      </c>
      <c r="K58" s="352">
        <f t="shared" si="98"/>
        <v>1.0928531922866191</v>
      </c>
      <c r="L58" s="353">
        <f t="shared" si="99"/>
        <v>1275.5866231922867</v>
      </c>
      <c r="M58" s="353">
        <f t="shared" si="100"/>
        <v>1895.4144461922867</v>
      </c>
      <c r="N58" s="343">
        <f t="shared" si="101"/>
        <v>1299.1263363858286</v>
      </c>
      <c r="O58" s="343">
        <f t="shared" si="102"/>
        <v>1918.9541593858287</v>
      </c>
      <c r="Q58" s="374">
        <v>1.3815</v>
      </c>
      <c r="R58" s="375">
        <v>1.1262000000000001</v>
      </c>
      <c r="S58" s="374">
        <v>3.8699999999999998E-2</v>
      </c>
      <c r="T58" s="374">
        <v>7222.3242</v>
      </c>
      <c r="U58" s="374">
        <v>2666.5057999999999</v>
      </c>
      <c r="V58" s="351">
        <f t="shared" si="156"/>
        <v>883.33109999999999</v>
      </c>
      <c r="W58" s="351">
        <f t="shared" si="157"/>
        <v>1352.9941560000002</v>
      </c>
      <c r="X58" s="352">
        <f t="shared" si="158"/>
        <v>7.7547059999999997</v>
      </c>
      <c r="Y58" s="352">
        <f t="shared" si="103"/>
        <v>4.6916573836244053</v>
      </c>
      <c r="Z58" s="353">
        <f t="shared" si="104"/>
        <v>888.02275738362437</v>
      </c>
      <c r="AA58" s="353">
        <f t="shared" si="105"/>
        <v>1349.9311073836247</v>
      </c>
      <c r="AB58" s="343">
        <f t="shared" si="106"/>
        <v>900.33016302737963</v>
      </c>
      <c r="AC58" s="343">
        <f t="shared" si="107"/>
        <v>1362.2385130273799</v>
      </c>
      <c r="AE58" s="374">
        <v>1.4117</v>
      </c>
      <c r="AF58" s="375">
        <v>1.1946000000000001</v>
      </c>
      <c r="AG58" s="374">
        <v>0</v>
      </c>
      <c r="AH58" s="374">
        <v>883.19</v>
      </c>
      <c r="AI58" s="374">
        <v>338.58080000000001</v>
      </c>
      <c r="AJ58" s="351">
        <f t="shared" si="159"/>
        <v>605.026386</v>
      </c>
      <c r="AK58" s="351">
        <f t="shared" si="160"/>
        <v>1187.647428</v>
      </c>
      <c r="AL58" s="352">
        <f t="shared" si="161"/>
        <v>0</v>
      </c>
      <c r="AM58" s="352">
        <f t="shared" si="108"/>
        <v>0</v>
      </c>
      <c r="AN58" s="353">
        <f t="shared" si="109"/>
        <v>605.026386</v>
      </c>
      <c r="AO58" s="353">
        <f t="shared" si="110"/>
        <v>1187.647428</v>
      </c>
      <c r="AP58" s="343">
        <f t="shared" si="111"/>
        <v>620.04004744859094</v>
      </c>
      <c r="AQ58" s="343">
        <f t="shared" si="112"/>
        <v>1202.6610894485909</v>
      </c>
      <c r="AS58" s="374">
        <v>1.6129</v>
      </c>
      <c r="AT58" s="375">
        <v>0.86819999999999997</v>
      </c>
      <c r="AU58" s="374">
        <v>1.3299999999999999E-2</v>
      </c>
      <c r="AV58" s="374">
        <v>34537.810799999999</v>
      </c>
      <c r="AW58" s="374">
        <v>9519.6532999999999</v>
      </c>
      <c r="AX58" s="351">
        <f t="shared" si="162"/>
        <v>549.46664299999998</v>
      </c>
      <c r="AY58" s="351">
        <f t="shared" si="163"/>
        <v>593.08478400000001</v>
      </c>
      <c r="AZ58" s="352">
        <f t="shared" si="164"/>
        <v>3.2275109999999998</v>
      </c>
      <c r="BA58" s="352">
        <f t="shared" si="113"/>
        <v>1.6753623679931073</v>
      </c>
      <c r="BB58" s="353">
        <f t="shared" si="114"/>
        <v>551.14200536799308</v>
      </c>
      <c r="BC58" s="353">
        <f t="shared" si="115"/>
        <v>591.53263536799307</v>
      </c>
      <c r="BD58" s="343">
        <f t="shared" si="116"/>
        <v>567.98114579521473</v>
      </c>
      <c r="BE58" s="343">
        <f t="shared" si="117"/>
        <v>608.37177579521472</v>
      </c>
      <c r="BG58" s="374">
        <v>1.4598</v>
      </c>
      <c r="BH58" s="375">
        <v>0.92359999999999998</v>
      </c>
      <c r="BI58" s="374">
        <v>1.8E-3</v>
      </c>
      <c r="BJ58" s="374">
        <v>16682.689999999999</v>
      </c>
      <c r="BK58" s="374">
        <v>4762.4849999999997</v>
      </c>
      <c r="BL58" s="351">
        <f t="shared" si="165"/>
        <v>488.69724599999995</v>
      </c>
      <c r="BM58" s="351">
        <f t="shared" si="166"/>
        <v>541.15571199999999</v>
      </c>
      <c r="BN58" s="352">
        <f t="shared" si="167"/>
        <v>0.36966599999999999</v>
      </c>
      <c r="BO58" s="352">
        <f t="shared" si="118"/>
        <v>0.19424799033513288</v>
      </c>
      <c r="BP58" s="353">
        <f t="shared" si="119"/>
        <v>488.89149399033511</v>
      </c>
      <c r="BQ58" s="353">
        <f t="shared" si="120"/>
        <v>540.9802939903351</v>
      </c>
      <c r="BR58" s="343">
        <f t="shared" si="121"/>
        <v>507.23379772740691</v>
      </c>
      <c r="BS58" s="343">
        <f t="shared" si="122"/>
        <v>559.3225977274069</v>
      </c>
      <c r="BU58" s="374">
        <v>1.5875999999999999</v>
      </c>
      <c r="BV58" s="375">
        <v>0.97619999999999996</v>
      </c>
      <c r="BW58" s="374">
        <v>8.3000000000000001E-3</v>
      </c>
      <c r="BX58" s="374">
        <v>19603.124199999998</v>
      </c>
      <c r="BY58" s="374">
        <v>6051.1350000000002</v>
      </c>
      <c r="BZ58" s="351">
        <f t="shared" si="168"/>
        <v>368.513712</v>
      </c>
      <c r="CA58" s="351">
        <f t="shared" si="169"/>
        <v>372.78149400000001</v>
      </c>
      <c r="CB58" s="352">
        <f t="shared" si="170"/>
        <v>0.82327700000000004</v>
      </c>
      <c r="CC58" s="352">
        <f t="shared" si="123"/>
        <v>0.41400838363959147</v>
      </c>
      <c r="CD58" s="353">
        <f t="shared" si="124"/>
        <v>368.92772038363961</v>
      </c>
      <c r="CE58" s="353">
        <f t="shared" si="125"/>
        <v>372.3722253836396</v>
      </c>
      <c r="CF58" s="343">
        <f t="shared" si="126"/>
        <v>381.27408519932317</v>
      </c>
      <c r="CG58" s="343">
        <f t="shared" si="127"/>
        <v>384.71859019932316</v>
      </c>
      <c r="CI58" s="374">
        <v>1.0761000000000001</v>
      </c>
      <c r="CJ58" s="375">
        <v>1.0504</v>
      </c>
      <c r="CK58" s="374">
        <v>6.2700000000000006E-2</v>
      </c>
      <c r="CL58" s="374">
        <v>73424.965800000005</v>
      </c>
      <c r="CM58" s="374">
        <v>21396.578300000001</v>
      </c>
      <c r="CN58" s="351">
        <f t="shared" si="171"/>
        <v>228.70353300000002</v>
      </c>
      <c r="CO58" s="351">
        <f t="shared" si="172"/>
        <v>289.33267999999998</v>
      </c>
      <c r="CP58" s="352">
        <f t="shared" si="173"/>
        <v>2.5080000000000005E-2</v>
      </c>
      <c r="CQ58" s="352">
        <f t="shared" si="128"/>
        <v>1.4007637752536812E-2</v>
      </c>
      <c r="CR58" s="353">
        <f t="shared" si="129"/>
        <v>228.71754063775256</v>
      </c>
      <c r="CS58" s="353">
        <f t="shared" si="130"/>
        <v>289.32160763775249</v>
      </c>
      <c r="CT58" s="343">
        <f t="shared" si="131"/>
        <v>228.73938605669733</v>
      </c>
      <c r="CU58" s="343">
        <f t="shared" si="132"/>
        <v>289.34345305669729</v>
      </c>
      <c r="CW58" s="374">
        <v>1.4015</v>
      </c>
      <c r="CX58" s="375">
        <v>1.3574999999999999</v>
      </c>
      <c r="CY58" s="374">
        <v>0.1943</v>
      </c>
      <c r="CZ58" s="374">
        <v>35698.467499999999</v>
      </c>
      <c r="DA58" s="374">
        <v>9330.2283000000007</v>
      </c>
      <c r="DB58" s="351">
        <f t="shared" si="174"/>
        <v>314.25834499999996</v>
      </c>
      <c r="DC58" s="351">
        <f t="shared" si="175"/>
        <v>421.82954999999998</v>
      </c>
      <c r="DD58" s="352">
        <f t="shared" si="176"/>
        <v>4.8575E-2</v>
      </c>
      <c r="DE58" s="352">
        <f t="shared" si="133"/>
        <v>2.7836852813956415E-2</v>
      </c>
      <c r="DF58" s="353">
        <f t="shared" si="134"/>
        <v>314.28618185281391</v>
      </c>
      <c r="DG58" s="353">
        <f t="shared" si="135"/>
        <v>421.8088118528139</v>
      </c>
      <c r="DH58" s="343">
        <f t="shared" si="136"/>
        <v>314.28008507262808</v>
      </c>
      <c r="DI58" s="343">
        <f t="shared" si="137"/>
        <v>421.80271507262808</v>
      </c>
      <c r="DK58" s="374">
        <v>1.5085</v>
      </c>
      <c r="DL58" s="375">
        <v>1.4157</v>
      </c>
      <c r="DM58" s="374">
        <v>0.26290000000000002</v>
      </c>
      <c r="DN58" s="374">
        <v>8033.0258000000003</v>
      </c>
      <c r="DO58" s="374">
        <v>2994.1424999999999</v>
      </c>
      <c r="DP58" s="351">
        <f t="shared" si="177"/>
        <v>198.77504500000001</v>
      </c>
      <c r="DQ58" s="351">
        <f t="shared" si="178"/>
        <v>278.69470200000001</v>
      </c>
      <c r="DR58" s="352">
        <f t="shared" si="179"/>
        <v>4.9951000000000002E-2</v>
      </c>
      <c r="DS58" s="352">
        <f t="shared" si="138"/>
        <v>2.9155939506261538E-2</v>
      </c>
      <c r="DT58" s="353">
        <f t="shared" si="139"/>
        <v>198.80420093950627</v>
      </c>
      <c r="DU58" s="353">
        <f t="shared" si="140"/>
        <v>278.67390693950625</v>
      </c>
      <c r="DV58" s="343">
        <f t="shared" si="141"/>
        <v>198.79828587579286</v>
      </c>
      <c r="DW58" s="343">
        <f t="shared" si="142"/>
        <v>278.66799187579284</v>
      </c>
      <c r="EB58" s="326"/>
      <c r="EC58" s="326"/>
      <c r="ED58" s="326"/>
      <c r="EE58" s="348">
        <f t="shared" si="143"/>
        <v>171938.5508</v>
      </c>
      <c r="EF58" s="348">
        <f t="shared" si="144"/>
        <v>52230.175700000007</v>
      </c>
      <c r="EG58" s="348">
        <f t="shared" si="145"/>
        <v>2304.0706220000002</v>
      </c>
      <c r="EH58" s="348">
        <f t="shared" si="146"/>
        <v>3117.8742950000001</v>
      </c>
      <c r="EI58" s="354">
        <f t="shared" si="180"/>
        <v>0.76700507463515433</v>
      </c>
      <c r="EJ58" s="326"/>
      <c r="EK58" s="348">
        <f t="shared" si="147"/>
        <v>2306.8751146802833</v>
      </c>
      <c r="EL58" s="348">
        <f t="shared" si="148"/>
        <v>3113.7157386802837</v>
      </c>
      <c r="EM58" s="348">
        <f t="shared" si="58"/>
        <v>2347.2709362958431</v>
      </c>
      <c r="EN58" s="348">
        <f t="shared" si="149"/>
        <v>3154.1115602958434</v>
      </c>
      <c r="EP58" s="326"/>
      <c r="EQ58" s="326"/>
      <c r="ER58" s="326"/>
      <c r="ES58" s="348">
        <f t="shared" si="181"/>
        <v>133028.44750000001</v>
      </c>
      <c r="ET58" s="348">
        <f t="shared" si="182"/>
        <v>38155.797400000003</v>
      </c>
      <c r="EU58" s="348">
        <f t="shared" si="183"/>
        <v>1820.7127205000002</v>
      </c>
      <c r="EV58" s="348">
        <f t="shared" si="184"/>
        <v>2478.7632329999997</v>
      </c>
      <c r="EW58" s="354">
        <f t="shared" si="185"/>
        <v>0.77710683934558744</v>
      </c>
      <c r="EX58" s="326"/>
      <c r="EY58" s="348">
        <f t="shared" si="186"/>
        <v>1825.6321193086817</v>
      </c>
      <c r="EZ58" s="348">
        <f t="shared" si="187"/>
        <v>2475.4991773086822</v>
      </c>
      <c r="FA58" s="348">
        <f t="shared" si="66"/>
        <v>1856.2994063623235</v>
      </c>
      <c r="FB58" s="348">
        <f t="shared" si="67"/>
        <v>2506.1664643623235</v>
      </c>
      <c r="FD58" s="326"/>
      <c r="FE58" s="326"/>
      <c r="FF58" s="326"/>
      <c r="FG58" s="348">
        <f t="shared" si="188"/>
        <v>101944.3058</v>
      </c>
      <c r="FH58" s="348">
        <f t="shared" si="189"/>
        <v>30780.436600000001</v>
      </c>
      <c r="FI58" s="348">
        <f t="shared" si="190"/>
        <v>1321.508658</v>
      </c>
      <c r="FJ58" s="348">
        <f t="shared" si="191"/>
        <v>2016.9784232</v>
      </c>
      <c r="FK58" s="354">
        <f t="shared" si="192"/>
        <v>0.76808817976654831</v>
      </c>
      <c r="FL58" s="326"/>
      <c r="FM58" s="348">
        <f t="shared" si="193"/>
        <v>1321.9541675850958</v>
      </c>
      <c r="FN58" s="348">
        <f t="shared" si="194"/>
        <v>2016.5456051850961</v>
      </c>
      <c r="FO58" s="348">
        <f t="shared" si="75"/>
        <v>1349.3324902300872</v>
      </c>
      <c r="FP58" s="348">
        <f t="shared" si="76"/>
        <v>2043.9239278300872</v>
      </c>
      <c r="FR58" s="326"/>
      <c r="FS58" s="326"/>
      <c r="FT58" s="326"/>
      <c r="FU58" s="348">
        <f t="shared" si="195"/>
        <v>109123.4333</v>
      </c>
      <c r="FV58" s="348">
        <f t="shared" si="196"/>
        <v>30726.806600000004</v>
      </c>
      <c r="FW58" s="348">
        <f t="shared" si="197"/>
        <v>480.110209</v>
      </c>
      <c r="FX58" s="348">
        <f t="shared" si="198"/>
        <v>626.79631999999992</v>
      </c>
      <c r="FY58" s="354">
        <f t="shared" si="199"/>
        <v>0.78028778054316372</v>
      </c>
      <c r="FZ58" s="326"/>
      <c r="GA58" s="348">
        <f t="shared" si="200"/>
        <v>480.14648612000371</v>
      </c>
      <c r="GB58" s="348">
        <f t="shared" si="201"/>
        <v>626.76865712000358</v>
      </c>
      <c r="GC58" s="348">
        <f t="shared" si="84"/>
        <v>480.16345411479983</v>
      </c>
      <c r="GD58" s="348">
        <f t="shared" si="85"/>
        <v>626.78562511479981</v>
      </c>
      <c r="GF58" s="326"/>
      <c r="GG58" s="326"/>
      <c r="GH58" s="326"/>
      <c r="GI58" s="348">
        <f t="shared" si="202"/>
        <v>54140.934999999998</v>
      </c>
      <c r="GJ58" s="348">
        <f t="shared" si="203"/>
        <v>15570.7883</v>
      </c>
      <c r="GK58" s="349">
        <f t="shared" si="204"/>
        <v>135.71469824999997</v>
      </c>
      <c r="GL58" s="349">
        <f t="shared" si="205"/>
        <v>165.22746749999999</v>
      </c>
      <c r="GM58" s="354">
        <f t="shared" si="206"/>
        <v>0.77664031868797601</v>
      </c>
      <c r="GN58" s="326"/>
      <c r="GO58" s="349">
        <f t="shared" si="207"/>
        <v>136.66071373826509</v>
      </c>
      <c r="GP58" s="349">
        <f t="shared" si="208"/>
        <v>164.3703074882651</v>
      </c>
      <c r="GQ58" s="349">
        <f t="shared" si="93"/>
        <v>140.03029544691867</v>
      </c>
      <c r="GR58" s="349">
        <f t="shared" si="94"/>
        <v>167.73988919691868</v>
      </c>
      <c r="HA58" s="374"/>
      <c r="HB58" s="375"/>
      <c r="HC58" s="374"/>
      <c r="HD58" s="374"/>
      <c r="HE58" s="374"/>
      <c r="HF58" s="351">
        <f t="shared" si="209"/>
        <v>0</v>
      </c>
      <c r="HG58" s="351">
        <f t="shared" si="210"/>
        <v>0</v>
      </c>
      <c r="HH58" s="352">
        <f t="shared" si="211"/>
        <v>0</v>
      </c>
      <c r="HI58" s="352">
        <f t="shared" si="150"/>
        <v>0</v>
      </c>
      <c r="HJ58" s="353">
        <f t="shared" si="151"/>
        <v>0</v>
      </c>
      <c r="HK58" s="353">
        <f t="shared" si="152"/>
        <v>0</v>
      </c>
    </row>
    <row r="59" spans="1:219" x14ac:dyDescent="0.2">
      <c r="A59" s="320">
        <v>49</v>
      </c>
      <c r="C59" s="350">
        <v>1.3605</v>
      </c>
      <c r="D59" s="350">
        <v>1.0539000000000001</v>
      </c>
      <c r="E59" s="350">
        <v>1.6500000000000001E-2</v>
      </c>
      <c r="F59" s="350">
        <v>27452.6433</v>
      </c>
      <c r="G59" s="350">
        <v>11776.3325</v>
      </c>
      <c r="H59" s="351">
        <f t="shared" si="153"/>
        <v>1327.98405</v>
      </c>
      <c r="I59" s="351">
        <f t="shared" si="154"/>
        <v>1953.6038910000002</v>
      </c>
      <c r="J59" s="352">
        <f t="shared" si="155"/>
        <v>2.830905</v>
      </c>
      <c r="K59" s="352">
        <f t="shared" si="98"/>
        <v>0.84982281275649563</v>
      </c>
      <c r="L59" s="353">
        <f t="shared" si="99"/>
        <v>1328.8338728127565</v>
      </c>
      <c r="M59" s="353">
        <f t="shared" si="100"/>
        <v>1951.6228088127566</v>
      </c>
      <c r="N59" s="343">
        <f t="shared" si="101"/>
        <v>1352.6166163858286</v>
      </c>
      <c r="O59" s="343">
        <f t="shared" si="102"/>
        <v>1975.4055523858287</v>
      </c>
      <c r="Q59" s="374">
        <v>1.4548000000000001</v>
      </c>
      <c r="R59" s="375">
        <v>1.1759999999999999</v>
      </c>
      <c r="S59" s="374">
        <v>3.2800000000000003E-2</v>
      </c>
      <c r="T59" s="374">
        <v>7419.1408000000001</v>
      </c>
      <c r="U59" s="374">
        <v>2689.335</v>
      </c>
      <c r="V59" s="351">
        <f t="shared" si="156"/>
        <v>930.19911999999999</v>
      </c>
      <c r="W59" s="351">
        <f t="shared" si="157"/>
        <v>1412.8228799999999</v>
      </c>
      <c r="X59" s="352">
        <f t="shared" si="158"/>
        <v>6.5724640000000001</v>
      </c>
      <c r="Y59" s="352">
        <f t="shared" si="103"/>
        <v>3.9631414118929826</v>
      </c>
      <c r="Z59" s="353">
        <f t="shared" si="104"/>
        <v>934.16226141189293</v>
      </c>
      <c r="AA59" s="353">
        <f t="shared" si="105"/>
        <v>1410.2135574118929</v>
      </c>
      <c r="AB59" s="343">
        <f t="shared" si="106"/>
        <v>947.19818302737963</v>
      </c>
      <c r="AC59" s="343">
        <f t="shared" si="107"/>
        <v>1423.2494790273795</v>
      </c>
      <c r="AE59" s="374">
        <v>1.4977</v>
      </c>
      <c r="AF59" s="375">
        <v>1.2421</v>
      </c>
      <c r="AG59" s="374">
        <v>0</v>
      </c>
      <c r="AH59" s="374">
        <v>988.65830000000005</v>
      </c>
      <c r="AI59" s="374">
        <v>318.9667</v>
      </c>
      <c r="AJ59" s="351">
        <f t="shared" si="159"/>
        <v>641.88426600000003</v>
      </c>
      <c r="AK59" s="351">
        <f t="shared" si="160"/>
        <v>1234.8709779999999</v>
      </c>
      <c r="AL59" s="352">
        <f t="shared" si="161"/>
        <v>0</v>
      </c>
      <c r="AM59" s="352">
        <f t="shared" si="108"/>
        <v>0</v>
      </c>
      <c r="AN59" s="353">
        <f t="shared" si="109"/>
        <v>641.88426600000003</v>
      </c>
      <c r="AO59" s="353">
        <f t="shared" si="110"/>
        <v>1234.8709779999999</v>
      </c>
      <c r="AP59" s="343">
        <f t="shared" si="111"/>
        <v>656.89792744859096</v>
      </c>
      <c r="AQ59" s="343">
        <f t="shared" si="112"/>
        <v>1249.8846394485909</v>
      </c>
      <c r="AS59" s="374">
        <v>1.7296</v>
      </c>
      <c r="AT59" s="375">
        <v>0.90769999999999995</v>
      </c>
      <c r="AU59" s="374">
        <v>1.11E-2</v>
      </c>
      <c r="AV59" s="374">
        <v>33937.633300000001</v>
      </c>
      <c r="AW59" s="374">
        <v>9705.1324999999997</v>
      </c>
      <c r="AX59" s="351">
        <f t="shared" si="162"/>
        <v>589.22283200000004</v>
      </c>
      <c r="AY59" s="351">
        <f t="shared" si="163"/>
        <v>620.06802399999992</v>
      </c>
      <c r="AZ59" s="352">
        <f t="shared" si="164"/>
        <v>2.6936369999999998</v>
      </c>
      <c r="BA59" s="352">
        <f t="shared" si="113"/>
        <v>1.3811715880230617</v>
      </c>
      <c r="BB59" s="353">
        <f t="shared" si="114"/>
        <v>590.60400358802315</v>
      </c>
      <c r="BC59" s="353">
        <f t="shared" si="115"/>
        <v>618.75555858802306</v>
      </c>
      <c r="BD59" s="343">
        <f t="shared" si="116"/>
        <v>607.73733479521479</v>
      </c>
      <c r="BE59" s="343">
        <f t="shared" si="117"/>
        <v>635.88888979521471</v>
      </c>
      <c r="BG59" s="374">
        <v>1.5546</v>
      </c>
      <c r="BH59" s="375">
        <v>0.97170000000000001</v>
      </c>
      <c r="BI59" s="374">
        <v>0</v>
      </c>
      <c r="BJ59" s="374">
        <v>16438.6633</v>
      </c>
      <c r="BK59" s="374">
        <v>4729.1017000000002</v>
      </c>
      <c r="BL59" s="351">
        <f t="shared" si="165"/>
        <v>520.43344200000001</v>
      </c>
      <c r="BM59" s="351">
        <f t="shared" si="166"/>
        <v>569.33846399999993</v>
      </c>
      <c r="BN59" s="352">
        <f t="shared" si="167"/>
        <v>0</v>
      </c>
      <c r="BO59" s="352">
        <f t="shared" si="118"/>
        <v>0</v>
      </c>
      <c r="BP59" s="353">
        <f t="shared" si="119"/>
        <v>520.43344200000001</v>
      </c>
      <c r="BQ59" s="353">
        <f t="shared" si="120"/>
        <v>569.33846399999993</v>
      </c>
      <c r="BR59" s="343">
        <f t="shared" si="121"/>
        <v>538.96999372740697</v>
      </c>
      <c r="BS59" s="343">
        <f t="shared" si="122"/>
        <v>587.87501572740689</v>
      </c>
      <c r="BU59" s="374">
        <v>1.6823999999999999</v>
      </c>
      <c r="BV59" s="375">
        <v>1.0053000000000001</v>
      </c>
      <c r="BW59" s="374">
        <v>7.9000000000000008E-3</v>
      </c>
      <c r="BX59" s="374">
        <v>19794.29</v>
      </c>
      <c r="BY59" s="374">
        <v>6157.9817000000003</v>
      </c>
      <c r="BZ59" s="351">
        <f t="shared" si="168"/>
        <v>390.518688</v>
      </c>
      <c r="CA59" s="351">
        <f t="shared" si="169"/>
        <v>383.89391100000006</v>
      </c>
      <c r="CB59" s="352">
        <f t="shared" si="170"/>
        <v>0.7836010000000001</v>
      </c>
      <c r="CC59" s="352">
        <f t="shared" si="123"/>
        <v>0.38844881002964043</v>
      </c>
      <c r="CD59" s="353">
        <f t="shared" si="124"/>
        <v>390.90713681002961</v>
      </c>
      <c r="CE59" s="353">
        <f t="shared" si="125"/>
        <v>383.4987588100297</v>
      </c>
      <c r="CF59" s="343">
        <f t="shared" si="126"/>
        <v>403.27906119932317</v>
      </c>
      <c r="CG59" s="343">
        <f t="shared" si="127"/>
        <v>395.87068319932325</v>
      </c>
      <c r="CI59" s="374">
        <v>1.0864</v>
      </c>
      <c r="CJ59" s="375">
        <v>1.0589</v>
      </c>
      <c r="CK59" s="374">
        <v>5.5300000000000002E-2</v>
      </c>
      <c r="CL59" s="374">
        <v>72898.304999999993</v>
      </c>
      <c r="CM59" s="374">
        <v>21815.181700000001</v>
      </c>
      <c r="CN59" s="351">
        <f t="shared" si="171"/>
        <v>230.89259200000001</v>
      </c>
      <c r="CO59" s="351">
        <f t="shared" si="172"/>
        <v>291.67400499999997</v>
      </c>
      <c r="CP59" s="352">
        <f t="shared" si="173"/>
        <v>2.2120000000000001E-2</v>
      </c>
      <c r="CQ59" s="352">
        <f t="shared" si="128"/>
        <v>1.2346424412963386E-2</v>
      </c>
      <c r="CR59" s="353">
        <f t="shared" si="129"/>
        <v>230.90493842441296</v>
      </c>
      <c r="CS59" s="353">
        <f t="shared" si="130"/>
        <v>291.66423142441295</v>
      </c>
      <c r="CT59" s="343">
        <f t="shared" si="131"/>
        <v>230.92844505669731</v>
      </c>
      <c r="CU59" s="343">
        <f t="shared" si="132"/>
        <v>291.6877380566973</v>
      </c>
      <c r="CW59" s="374">
        <v>1.4790000000000001</v>
      </c>
      <c r="CX59" s="375">
        <v>1.4209000000000001</v>
      </c>
      <c r="CY59" s="374">
        <v>0.15379999999999999</v>
      </c>
      <c r="CZ59" s="374">
        <v>35016.703300000001</v>
      </c>
      <c r="DA59" s="374">
        <v>9577.4032999999999</v>
      </c>
      <c r="DB59" s="351">
        <f t="shared" si="174"/>
        <v>331.63616999999999</v>
      </c>
      <c r="DC59" s="351">
        <f t="shared" si="175"/>
        <v>441.53046600000005</v>
      </c>
      <c r="DD59" s="352">
        <f t="shared" si="176"/>
        <v>3.8449999999999998E-2</v>
      </c>
      <c r="DE59" s="352">
        <f t="shared" si="133"/>
        <v>2.1957551745287678E-2</v>
      </c>
      <c r="DF59" s="353">
        <f t="shared" si="134"/>
        <v>331.65812755174528</v>
      </c>
      <c r="DG59" s="353">
        <f t="shared" si="135"/>
        <v>441.51397355174532</v>
      </c>
      <c r="DH59" s="343">
        <f t="shared" si="136"/>
        <v>331.65791007262811</v>
      </c>
      <c r="DI59" s="343">
        <f t="shared" si="137"/>
        <v>441.51375607262815</v>
      </c>
      <c r="DK59" s="374">
        <v>1.5851</v>
      </c>
      <c r="DL59" s="375">
        <v>1.4652000000000001</v>
      </c>
      <c r="DM59" s="374">
        <v>0.2079</v>
      </c>
      <c r="DN59" s="374">
        <v>8139.2974999999997</v>
      </c>
      <c r="DO59" s="374">
        <v>3075.6558</v>
      </c>
      <c r="DP59" s="351">
        <f t="shared" si="177"/>
        <v>208.868627</v>
      </c>
      <c r="DQ59" s="351">
        <f t="shared" si="178"/>
        <v>288.43927200000002</v>
      </c>
      <c r="DR59" s="352">
        <f t="shared" si="179"/>
        <v>3.9501000000000001E-2</v>
      </c>
      <c r="DS59" s="352">
        <f t="shared" si="138"/>
        <v>2.2910634852538306E-2</v>
      </c>
      <c r="DT59" s="353">
        <f t="shared" si="139"/>
        <v>208.89153763485254</v>
      </c>
      <c r="DU59" s="353">
        <f t="shared" si="140"/>
        <v>288.42268163485261</v>
      </c>
      <c r="DV59" s="343">
        <f t="shared" si="141"/>
        <v>208.89186787579285</v>
      </c>
      <c r="DW59" s="343">
        <f t="shared" si="142"/>
        <v>288.42301187579289</v>
      </c>
      <c r="EB59" s="326"/>
      <c r="EC59" s="326"/>
      <c r="ED59" s="326"/>
      <c r="EE59" s="348">
        <f t="shared" si="143"/>
        <v>169305.28489999997</v>
      </c>
      <c r="EF59" s="348">
        <f t="shared" si="144"/>
        <v>52874.049999999996</v>
      </c>
      <c r="EG59" s="348">
        <f t="shared" si="145"/>
        <v>2413.40841</v>
      </c>
      <c r="EH59" s="348">
        <f t="shared" si="146"/>
        <v>3218.5702928000001</v>
      </c>
      <c r="EI59" s="354">
        <f t="shared" si="180"/>
        <v>0.76202084670116632</v>
      </c>
      <c r="EJ59" s="326"/>
      <c r="EK59" s="348">
        <f t="shared" si="147"/>
        <v>2415.6693168665888</v>
      </c>
      <c r="EL59" s="348">
        <f t="shared" si="148"/>
        <v>3215.253777666589</v>
      </c>
      <c r="EM59" s="348">
        <f t="shared" si="58"/>
        <v>2456.6087242958429</v>
      </c>
      <c r="EN59" s="348">
        <f t="shared" si="149"/>
        <v>3256.1931850958435</v>
      </c>
      <c r="EP59" s="326"/>
      <c r="EQ59" s="326"/>
      <c r="ER59" s="326"/>
      <c r="ES59" s="348">
        <f t="shared" si="181"/>
        <v>131772.8124</v>
      </c>
      <c r="ET59" s="348">
        <f t="shared" si="182"/>
        <v>38811.021699999998</v>
      </c>
      <c r="EU59" s="348">
        <f t="shared" si="183"/>
        <v>1913.6704729999999</v>
      </c>
      <c r="EV59" s="348">
        <f t="shared" si="184"/>
        <v>2582.9066751999999</v>
      </c>
      <c r="EW59" s="354">
        <f t="shared" si="185"/>
        <v>0.77248124416497688</v>
      </c>
      <c r="EX59" s="326"/>
      <c r="EY59" s="348">
        <f t="shared" si="186"/>
        <v>1917.6613311225274</v>
      </c>
      <c r="EZ59" s="348">
        <f t="shared" si="187"/>
        <v>2580.2760343225277</v>
      </c>
      <c r="FA59" s="348">
        <f t="shared" si="66"/>
        <v>1949.2571588623234</v>
      </c>
      <c r="FB59" s="348">
        <f t="shared" si="67"/>
        <v>2611.8718620623235</v>
      </c>
      <c r="FD59" s="326"/>
      <c r="FE59" s="326"/>
      <c r="FF59" s="326"/>
      <c r="FG59" s="348">
        <f t="shared" si="188"/>
        <v>101820.5508</v>
      </c>
      <c r="FH59" s="348">
        <f t="shared" si="189"/>
        <v>31367.785900000003</v>
      </c>
      <c r="FI59" s="348">
        <f t="shared" si="190"/>
        <v>1388.6167222000001</v>
      </c>
      <c r="FJ59" s="348">
        <f t="shared" si="191"/>
        <v>2083.5024571999998</v>
      </c>
      <c r="FK59" s="354">
        <f t="shared" si="192"/>
        <v>0.764485489666754</v>
      </c>
      <c r="FL59" s="326"/>
      <c r="FM59" s="348">
        <f t="shared" si="193"/>
        <v>1389.0312638153541</v>
      </c>
      <c r="FN59" s="348">
        <f t="shared" si="194"/>
        <v>2083.087577215354</v>
      </c>
      <c r="FO59" s="348">
        <f t="shared" si="75"/>
        <v>1416.4405544300871</v>
      </c>
      <c r="FP59" s="348">
        <f t="shared" si="76"/>
        <v>2110.496867830087</v>
      </c>
      <c r="FR59" s="326"/>
      <c r="FS59" s="326"/>
      <c r="FT59" s="326"/>
      <c r="FU59" s="348">
        <f t="shared" si="195"/>
        <v>107915.00829999999</v>
      </c>
      <c r="FV59" s="348">
        <f t="shared" si="196"/>
        <v>31392.584999999999</v>
      </c>
      <c r="FW59" s="348">
        <f t="shared" si="197"/>
        <v>496.20152800000005</v>
      </c>
      <c r="FX59" s="348">
        <f t="shared" si="198"/>
        <v>644.89837780000005</v>
      </c>
      <c r="FY59" s="354">
        <f t="shared" si="199"/>
        <v>0.77465273603287499</v>
      </c>
      <c r="FZ59" s="326"/>
      <c r="GA59" s="348">
        <f t="shared" si="200"/>
        <v>496.23144046580921</v>
      </c>
      <c r="GB59" s="348">
        <f t="shared" si="201"/>
        <v>644.87541026580925</v>
      </c>
      <c r="GC59" s="348">
        <f t="shared" si="84"/>
        <v>496.25477311479983</v>
      </c>
      <c r="GD59" s="348">
        <f t="shared" si="85"/>
        <v>644.89874291479987</v>
      </c>
      <c r="GF59" s="326"/>
      <c r="GG59" s="326"/>
      <c r="GH59" s="326"/>
      <c r="GI59" s="348">
        <f t="shared" si="202"/>
        <v>53731.923300000002</v>
      </c>
      <c r="GJ59" s="348">
        <f t="shared" si="203"/>
        <v>15863.1142</v>
      </c>
      <c r="GK59" s="349">
        <f t="shared" si="204"/>
        <v>149.02810800000003</v>
      </c>
      <c r="GL59" s="349">
        <f t="shared" si="205"/>
        <v>177.13058474999991</v>
      </c>
      <c r="GM59" s="354">
        <f t="shared" si="206"/>
        <v>0.77206544072916117</v>
      </c>
      <c r="GN59" s="326"/>
      <c r="GO59" s="349">
        <f t="shared" si="207"/>
        <v>149.77265008349514</v>
      </c>
      <c r="GP59" s="349">
        <f t="shared" si="208"/>
        <v>176.44259983349502</v>
      </c>
      <c r="GQ59" s="349">
        <f t="shared" si="93"/>
        <v>153.34370519691873</v>
      </c>
      <c r="GR59" s="349">
        <f t="shared" si="94"/>
        <v>180.01365494691859</v>
      </c>
      <c r="HA59" s="374"/>
      <c r="HB59" s="375"/>
      <c r="HC59" s="374"/>
      <c r="HD59" s="374"/>
      <c r="HE59" s="374"/>
      <c r="HF59" s="351">
        <f t="shared" si="209"/>
        <v>0</v>
      </c>
      <c r="HG59" s="351">
        <f t="shared" si="210"/>
        <v>0</v>
      </c>
      <c r="HH59" s="352">
        <f t="shared" si="211"/>
        <v>0</v>
      </c>
      <c r="HI59" s="352">
        <f t="shared" si="150"/>
        <v>0</v>
      </c>
      <c r="HJ59" s="353">
        <f t="shared" si="151"/>
        <v>0</v>
      </c>
      <c r="HK59" s="353">
        <f t="shared" si="152"/>
        <v>0</v>
      </c>
    </row>
    <row r="60" spans="1:219" x14ac:dyDescent="0.2">
      <c r="A60" s="320">
        <v>50</v>
      </c>
      <c r="C60" s="350">
        <v>1.4205000000000001</v>
      </c>
      <c r="D60" s="350">
        <v>1.0868</v>
      </c>
      <c r="E60" s="350">
        <v>1.32E-2</v>
      </c>
      <c r="F60" s="350">
        <v>25725.6142</v>
      </c>
      <c r="G60" s="350">
        <v>11187.834999999999</v>
      </c>
      <c r="H60" s="351">
        <f t="shared" si="153"/>
        <v>1386.5500500000001</v>
      </c>
      <c r="I60" s="351">
        <f t="shared" si="154"/>
        <v>2014.5902920000001</v>
      </c>
      <c r="J60" s="352">
        <f t="shared" si="155"/>
        <v>2.2647239999999997</v>
      </c>
      <c r="K60" s="352">
        <f t="shared" si="98"/>
        <v>0.68639910335282328</v>
      </c>
      <c r="L60" s="353">
        <f t="shared" si="99"/>
        <v>1387.2364491033529</v>
      </c>
      <c r="M60" s="353">
        <f t="shared" si="100"/>
        <v>2013.0119671033531</v>
      </c>
      <c r="N60" s="343">
        <f t="shared" si="101"/>
        <v>1411.1826163858286</v>
      </c>
      <c r="O60" s="343">
        <f t="shared" si="102"/>
        <v>2036.9581343858288</v>
      </c>
      <c r="Q60" s="374">
        <v>1.5383</v>
      </c>
      <c r="R60" s="375">
        <v>1.2324999999999999</v>
      </c>
      <c r="S60" s="374">
        <v>3.1199999999999999E-2</v>
      </c>
      <c r="T60" s="374">
        <v>7230.6316999999999</v>
      </c>
      <c r="U60" s="374">
        <v>2758.3833</v>
      </c>
      <c r="V60" s="351">
        <f t="shared" si="156"/>
        <v>983.58902</v>
      </c>
      <c r="W60" s="351">
        <f t="shared" si="157"/>
        <v>1480.7008499999999</v>
      </c>
      <c r="X60" s="352">
        <f t="shared" si="158"/>
        <v>6.2518559999999992</v>
      </c>
      <c r="Y60" s="352">
        <f t="shared" si="103"/>
        <v>3.7565095754249063</v>
      </c>
      <c r="Z60" s="353">
        <f t="shared" si="104"/>
        <v>987.34552957542496</v>
      </c>
      <c r="AA60" s="353">
        <f t="shared" si="105"/>
        <v>1478.2055035754247</v>
      </c>
      <c r="AB60" s="343">
        <f t="shared" si="106"/>
        <v>1000.5880830273796</v>
      </c>
      <c r="AC60" s="343">
        <f t="shared" si="107"/>
        <v>1491.4480570273795</v>
      </c>
      <c r="AE60" s="374">
        <v>1.6072</v>
      </c>
      <c r="AF60" s="375">
        <v>1.2930999999999999</v>
      </c>
      <c r="AG60" s="374">
        <v>0</v>
      </c>
      <c r="AH60" s="374">
        <v>900.74919999999997</v>
      </c>
      <c r="AI60" s="374">
        <v>323.70420000000001</v>
      </c>
      <c r="AJ60" s="351">
        <f t="shared" si="159"/>
        <v>688.81377599999996</v>
      </c>
      <c r="AK60" s="351">
        <f t="shared" si="160"/>
        <v>1285.5741579999999</v>
      </c>
      <c r="AL60" s="352">
        <f t="shared" si="161"/>
        <v>0</v>
      </c>
      <c r="AM60" s="352">
        <f t="shared" si="108"/>
        <v>0</v>
      </c>
      <c r="AN60" s="353">
        <f t="shared" si="109"/>
        <v>688.81377599999996</v>
      </c>
      <c r="AO60" s="353">
        <f t="shared" si="110"/>
        <v>1285.5741579999999</v>
      </c>
      <c r="AP60" s="343">
        <f t="shared" si="111"/>
        <v>703.8274374485909</v>
      </c>
      <c r="AQ60" s="343">
        <f t="shared" si="112"/>
        <v>1300.5878194485908</v>
      </c>
      <c r="AS60" s="374">
        <v>1.8517999999999999</v>
      </c>
      <c r="AT60" s="375">
        <v>0.95199999999999996</v>
      </c>
      <c r="AU60" s="374">
        <v>1.15E-2</v>
      </c>
      <c r="AV60" s="374">
        <v>32021.862499999999</v>
      </c>
      <c r="AW60" s="374">
        <v>9316.3549999999996</v>
      </c>
      <c r="AX60" s="351">
        <f t="shared" si="162"/>
        <v>630.85270600000001</v>
      </c>
      <c r="AY60" s="351">
        <f t="shared" si="163"/>
        <v>650.33024</v>
      </c>
      <c r="AZ60" s="352">
        <f t="shared" si="164"/>
        <v>2.790705</v>
      </c>
      <c r="BA60" s="352">
        <f t="shared" si="113"/>
        <v>1.4165657278575734</v>
      </c>
      <c r="BB60" s="353">
        <f t="shared" si="114"/>
        <v>632.26927172785759</v>
      </c>
      <c r="BC60" s="353">
        <f t="shared" si="115"/>
        <v>648.95610072785757</v>
      </c>
      <c r="BD60" s="343">
        <f t="shared" si="116"/>
        <v>649.36720879521476</v>
      </c>
      <c r="BE60" s="343">
        <f t="shared" si="117"/>
        <v>666.05403779521475</v>
      </c>
      <c r="BG60" s="374">
        <v>1.6638999999999999</v>
      </c>
      <c r="BH60" s="375">
        <v>1.0253000000000001</v>
      </c>
      <c r="BI60" s="374">
        <v>0</v>
      </c>
      <c r="BJ60" s="374">
        <v>15570.952499999999</v>
      </c>
      <c r="BK60" s="374">
        <v>4665.9657999999999</v>
      </c>
      <c r="BL60" s="351">
        <f t="shared" si="165"/>
        <v>557.02380299999993</v>
      </c>
      <c r="BM60" s="351">
        <f t="shared" si="166"/>
        <v>600.74377600000003</v>
      </c>
      <c r="BN60" s="352">
        <f t="shared" si="167"/>
        <v>0</v>
      </c>
      <c r="BO60" s="352">
        <f t="shared" si="118"/>
        <v>0</v>
      </c>
      <c r="BP60" s="353">
        <f t="shared" si="119"/>
        <v>557.02380299999993</v>
      </c>
      <c r="BQ60" s="353">
        <f t="shared" si="120"/>
        <v>600.74377600000003</v>
      </c>
      <c r="BR60" s="343">
        <f t="shared" si="121"/>
        <v>575.56035472740689</v>
      </c>
      <c r="BS60" s="343">
        <f t="shared" si="122"/>
        <v>619.28032772740698</v>
      </c>
      <c r="BU60" s="374">
        <v>1.784</v>
      </c>
      <c r="BV60" s="375">
        <v>1.0349999999999999</v>
      </c>
      <c r="BW60" s="374">
        <v>7.9000000000000008E-3</v>
      </c>
      <c r="BX60" s="374">
        <v>18981.034199999998</v>
      </c>
      <c r="BY60" s="374">
        <v>6143.3292000000001</v>
      </c>
      <c r="BZ60" s="351">
        <f t="shared" si="168"/>
        <v>414.10208</v>
      </c>
      <c r="CA60" s="351">
        <f t="shared" si="169"/>
        <v>395.23544999999996</v>
      </c>
      <c r="CB60" s="352">
        <f t="shared" si="170"/>
        <v>0.7836010000000001</v>
      </c>
      <c r="CC60" s="352">
        <f t="shared" si="123"/>
        <v>0.38266715971450133</v>
      </c>
      <c r="CD60" s="353">
        <f t="shared" si="124"/>
        <v>414.48474715971452</v>
      </c>
      <c r="CE60" s="353">
        <f t="shared" si="125"/>
        <v>394.8345161597145</v>
      </c>
      <c r="CF60" s="343">
        <f t="shared" si="126"/>
        <v>426.86245319932317</v>
      </c>
      <c r="CG60" s="343">
        <f t="shared" si="127"/>
        <v>407.21222219932315</v>
      </c>
      <c r="CI60" s="374">
        <v>1.1004</v>
      </c>
      <c r="CJ60" s="375">
        <v>1.0674999999999999</v>
      </c>
      <c r="CK60" s="374">
        <v>5.4100000000000002E-2</v>
      </c>
      <c r="CL60" s="374">
        <v>69337.916700000002</v>
      </c>
      <c r="CM60" s="374">
        <v>21402.978299999999</v>
      </c>
      <c r="CN60" s="351">
        <f t="shared" si="171"/>
        <v>233.86801200000002</v>
      </c>
      <c r="CO60" s="351">
        <f t="shared" si="172"/>
        <v>294.04287499999998</v>
      </c>
      <c r="CP60" s="352">
        <f t="shared" si="173"/>
        <v>2.1640000000000003E-2</v>
      </c>
      <c r="CQ60" s="352">
        <f t="shared" si="128"/>
        <v>1.2053336977306929E-2</v>
      </c>
      <c r="CR60" s="353">
        <f t="shared" si="129"/>
        <v>233.88006533697734</v>
      </c>
      <c r="CS60" s="353">
        <f t="shared" si="130"/>
        <v>294.03328833697731</v>
      </c>
      <c r="CT60" s="343">
        <f t="shared" si="131"/>
        <v>233.90386505669733</v>
      </c>
      <c r="CU60" s="343">
        <f t="shared" si="132"/>
        <v>294.0570880566973</v>
      </c>
      <c r="CW60" s="374">
        <v>1.5597000000000001</v>
      </c>
      <c r="CX60" s="375">
        <v>1.486</v>
      </c>
      <c r="CY60" s="374">
        <v>0.12280000000000001</v>
      </c>
      <c r="CZ60" s="374">
        <v>32939.055</v>
      </c>
      <c r="DA60" s="374">
        <v>9411.4591999999993</v>
      </c>
      <c r="DB60" s="351">
        <f t="shared" si="174"/>
        <v>349.73153100000002</v>
      </c>
      <c r="DC60" s="351">
        <f t="shared" si="175"/>
        <v>461.75963999999999</v>
      </c>
      <c r="DD60" s="352">
        <f t="shared" si="176"/>
        <v>3.0700000000000002E-2</v>
      </c>
      <c r="DE60" s="352">
        <f t="shared" si="133"/>
        <v>1.7469100656425995E-2</v>
      </c>
      <c r="DF60" s="353">
        <f t="shared" si="134"/>
        <v>349.74900010065642</v>
      </c>
      <c r="DG60" s="353">
        <f t="shared" si="135"/>
        <v>461.74640910065636</v>
      </c>
      <c r="DH60" s="343">
        <f t="shared" si="136"/>
        <v>349.75327107262814</v>
      </c>
      <c r="DI60" s="343">
        <f t="shared" si="137"/>
        <v>461.75068007262809</v>
      </c>
      <c r="DK60" s="374">
        <v>1.6652</v>
      </c>
      <c r="DL60" s="375">
        <v>1.5163</v>
      </c>
      <c r="DM60" s="374">
        <v>0.16789999999999999</v>
      </c>
      <c r="DN60" s="374">
        <v>7779.2924999999996</v>
      </c>
      <c r="DO60" s="374">
        <v>3024.1925000000001</v>
      </c>
      <c r="DP60" s="351">
        <f t="shared" si="177"/>
        <v>219.423404</v>
      </c>
      <c r="DQ60" s="351">
        <f t="shared" si="178"/>
        <v>298.49881800000003</v>
      </c>
      <c r="DR60" s="352">
        <f t="shared" si="179"/>
        <v>3.1900999999999999E-2</v>
      </c>
      <c r="DS60" s="352">
        <f t="shared" si="138"/>
        <v>1.8385793056429234E-2</v>
      </c>
      <c r="DT60" s="353">
        <f t="shared" si="139"/>
        <v>219.44178979305644</v>
      </c>
      <c r="DU60" s="353">
        <f t="shared" si="140"/>
        <v>298.48530279305646</v>
      </c>
      <c r="DV60" s="343">
        <f t="shared" si="141"/>
        <v>219.44664487579286</v>
      </c>
      <c r="DW60" s="343">
        <f t="shared" si="142"/>
        <v>298.49015787579287</v>
      </c>
      <c r="EB60" s="326"/>
      <c r="EC60" s="326"/>
      <c r="ED60" s="326"/>
      <c r="EE60" s="348">
        <f t="shared" si="143"/>
        <v>160024.44839999999</v>
      </c>
      <c r="EF60" s="348">
        <f t="shared" si="144"/>
        <v>51318.627499999995</v>
      </c>
      <c r="EG60" s="348">
        <f t="shared" si="145"/>
        <v>2531.0559927999998</v>
      </c>
      <c r="EH60" s="348">
        <f t="shared" si="146"/>
        <v>3328.3711190000004</v>
      </c>
      <c r="EI60" s="354">
        <f t="shared" si="180"/>
        <v>0.75717857194298555</v>
      </c>
      <c r="EJ60" s="326"/>
      <c r="EK60" s="348">
        <f t="shared" si="147"/>
        <v>2533.1849862487129</v>
      </c>
      <c r="EL60" s="348">
        <f t="shared" si="148"/>
        <v>3325.3984834487133</v>
      </c>
      <c r="EM60" s="348">
        <f t="shared" si="58"/>
        <v>2574.2563070958431</v>
      </c>
      <c r="EN60" s="348">
        <f t="shared" si="149"/>
        <v>3366.4698042958435</v>
      </c>
      <c r="EP60" s="326"/>
      <c r="EQ60" s="326"/>
      <c r="ER60" s="326"/>
      <c r="ES60" s="348">
        <f t="shared" si="181"/>
        <v>125078.55590000001</v>
      </c>
      <c r="ET60" s="348">
        <f t="shared" si="182"/>
        <v>38238.786599999999</v>
      </c>
      <c r="EU60" s="348">
        <f t="shared" si="183"/>
        <v>2019.2929066999998</v>
      </c>
      <c r="EV60" s="348">
        <f t="shared" si="184"/>
        <v>2698.7192490000002</v>
      </c>
      <c r="EW60" s="354">
        <f t="shared" si="185"/>
        <v>0.76586205717864908</v>
      </c>
      <c r="EX60" s="326"/>
      <c r="EY60" s="348">
        <f t="shared" si="186"/>
        <v>2023.0736979828616</v>
      </c>
      <c r="EZ60" s="348">
        <f t="shared" si="187"/>
        <v>2696.205054282862</v>
      </c>
      <c r="FA60" s="348">
        <f t="shared" si="66"/>
        <v>2054.8795925623235</v>
      </c>
      <c r="FB60" s="348">
        <f t="shared" si="67"/>
        <v>2728.0109488623234</v>
      </c>
      <c r="FD60" s="326"/>
      <c r="FE60" s="326"/>
      <c r="FF60" s="326"/>
      <c r="FG60" s="348">
        <f t="shared" si="188"/>
        <v>96998.992599999998</v>
      </c>
      <c r="FH60" s="348">
        <f t="shared" si="189"/>
        <v>30894.2042</v>
      </c>
      <c r="FI60" s="348">
        <f t="shared" si="190"/>
        <v>1468.4379104</v>
      </c>
      <c r="FJ60" s="348">
        <f t="shared" si="191"/>
        <v>2153.9517737999995</v>
      </c>
      <c r="FK60" s="354">
        <f t="shared" si="192"/>
        <v>0.7584374699123948</v>
      </c>
      <c r="FL60" s="326"/>
      <c r="FM60" s="348">
        <f t="shared" si="193"/>
        <v>1468.8436623725256</v>
      </c>
      <c r="FN60" s="348">
        <f t="shared" si="194"/>
        <v>2153.5331441725257</v>
      </c>
      <c r="FO60" s="348">
        <f t="shared" si="75"/>
        <v>1496.2617426300872</v>
      </c>
      <c r="FP60" s="348">
        <f t="shared" si="76"/>
        <v>2180.9512244300868</v>
      </c>
      <c r="FR60" s="326"/>
      <c r="FS60" s="326"/>
      <c r="FT60" s="326"/>
      <c r="FU60" s="348">
        <f t="shared" si="195"/>
        <v>102276.97169999999</v>
      </c>
      <c r="FV60" s="348">
        <f t="shared" si="196"/>
        <v>30814.4375</v>
      </c>
      <c r="FW60" s="348">
        <f t="shared" si="197"/>
        <v>513.65323680000006</v>
      </c>
      <c r="FX60" s="348">
        <f t="shared" si="198"/>
        <v>663.45058700000004</v>
      </c>
      <c r="FY60" s="354">
        <f t="shared" si="199"/>
        <v>0.76847162649172696</v>
      </c>
      <c r="FZ60" s="326"/>
      <c r="GA60" s="348">
        <f t="shared" si="200"/>
        <v>513.67926541750251</v>
      </c>
      <c r="GB60" s="348">
        <f t="shared" si="201"/>
        <v>663.43041561750238</v>
      </c>
      <c r="GC60" s="348">
        <f t="shared" si="84"/>
        <v>513.70648191479984</v>
      </c>
      <c r="GD60" s="348">
        <f t="shared" si="85"/>
        <v>663.45763211479971</v>
      </c>
      <c r="GF60" s="326"/>
      <c r="GG60" s="326"/>
      <c r="GH60" s="326"/>
      <c r="GI60" s="348">
        <f t="shared" si="202"/>
        <v>51002.896699999998</v>
      </c>
      <c r="GJ60" s="348">
        <f t="shared" si="203"/>
        <v>15459.6842</v>
      </c>
      <c r="GK60" s="349">
        <f t="shared" si="204"/>
        <v>162.56296950000001</v>
      </c>
      <c r="GL60" s="349">
        <f t="shared" si="205"/>
        <v>191.32109250000002</v>
      </c>
      <c r="GM60" s="354">
        <f t="shared" si="206"/>
        <v>0.76739265928807765</v>
      </c>
      <c r="GN60" s="326"/>
      <c r="GO60" s="349">
        <f t="shared" si="207"/>
        <v>163.3383934261073</v>
      </c>
      <c r="GP60" s="349">
        <f t="shared" si="208"/>
        <v>190.59118842610729</v>
      </c>
      <c r="GQ60" s="349">
        <f t="shared" si="93"/>
        <v>166.87856669691871</v>
      </c>
      <c r="GR60" s="349">
        <f t="shared" si="94"/>
        <v>194.1313616969187</v>
      </c>
      <c r="HA60" s="374"/>
      <c r="HB60" s="375"/>
      <c r="HC60" s="374"/>
      <c r="HD60" s="374"/>
      <c r="HE60" s="374"/>
      <c r="HF60" s="351">
        <f t="shared" si="209"/>
        <v>0</v>
      </c>
      <c r="HG60" s="351">
        <f t="shared" si="210"/>
        <v>0</v>
      </c>
      <c r="HH60" s="352">
        <f t="shared" si="211"/>
        <v>0</v>
      </c>
      <c r="HI60" s="352">
        <f t="shared" si="150"/>
        <v>0</v>
      </c>
      <c r="HJ60" s="353">
        <f t="shared" si="151"/>
        <v>0</v>
      </c>
      <c r="HK60" s="353">
        <f t="shared" si="152"/>
        <v>0</v>
      </c>
    </row>
    <row r="61" spans="1:219" x14ac:dyDescent="0.2">
      <c r="A61" s="320">
        <v>51</v>
      </c>
      <c r="C61" s="350">
        <v>1.4856</v>
      </c>
      <c r="D61" s="350">
        <v>1.1223000000000001</v>
      </c>
      <c r="E61" s="350">
        <v>1.26E-2</v>
      </c>
      <c r="F61" s="350">
        <v>23415.001700000001</v>
      </c>
      <c r="G61" s="350">
        <v>10547.8783</v>
      </c>
      <c r="H61" s="351">
        <f t="shared" si="153"/>
        <v>1450.0941600000001</v>
      </c>
      <c r="I61" s="351">
        <f t="shared" si="154"/>
        <v>2080.396287</v>
      </c>
      <c r="J61" s="352">
        <f t="shared" si="155"/>
        <v>2.1617820000000001</v>
      </c>
      <c r="K61" s="352">
        <f t="shared" si="98"/>
        <v>0.67138633258223679</v>
      </c>
      <c r="L61" s="353">
        <f t="shared" si="99"/>
        <v>1450.7655463325823</v>
      </c>
      <c r="M61" s="353">
        <f t="shared" si="100"/>
        <v>2078.9058913325821</v>
      </c>
      <c r="N61" s="343">
        <f t="shared" si="101"/>
        <v>1474.7267263858287</v>
      </c>
      <c r="O61" s="343">
        <f t="shared" si="102"/>
        <v>2102.8670713858287</v>
      </c>
      <c r="Q61" s="374">
        <v>1.6335</v>
      </c>
      <c r="R61" s="375">
        <v>1.2916000000000001</v>
      </c>
      <c r="S61" s="374">
        <v>3.0800000000000001E-2</v>
      </c>
      <c r="T61" s="374">
        <v>6916.9449999999997</v>
      </c>
      <c r="U61" s="374">
        <v>2555.8483000000001</v>
      </c>
      <c r="V61" s="351">
        <f t="shared" si="156"/>
        <v>1044.4598999999998</v>
      </c>
      <c r="W61" s="351">
        <f t="shared" si="157"/>
        <v>1551.7024080000003</v>
      </c>
      <c r="X61" s="352">
        <f t="shared" si="158"/>
        <v>6.1717040000000001</v>
      </c>
      <c r="Y61" s="352">
        <f t="shared" si="103"/>
        <v>3.6887708941590698</v>
      </c>
      <c r="Z61" s="353">
        <f t="shared" si="104"/>
        <v>1048.1486708941588</v>
      </c>
      <c r="AA61" s="353">
        <f t="shared" si="105"/>
        <v>1549.2194748941592</v>
      </c>
      <c r="AB61" s="343">
        <f t="shared" si="106"/>
        <v>1061.4589630273795</v>
      </c>
      <c r="AC61" s="343">
        <f t="shared" si="107"/>
        <v>1562.5297670273799</v>
      </c>
      <c r="AE61" s="374">
        <v>1.7403999999999999</v>
      </c>
      <c r="AF61" s="375">
        <v>1.3443000000000001</v>
      </c>
      <c r="AG61" s="374">
        <v>0</v>
      </c>
      <c r="AH61" s="374">
        <v>804.46749999999997</v>
      </c>
      <c r="AI61" s="374">
        <v>297.68830000000003</v>
      </c>
      <c r="AJ61" s="351">
        <f t="shared" si="159"/>
        <v>745.90063199999997</v>
      </c>
      <c r="AK61" s="351">
        <f t="shared" si="160"/>
        <v>1336.4761739999999</v>
      </c>
      <c r="AL61" s="352">
        <f t="shared" si="161"/>
        <v>0</v>
      </c>
      <c r="AM61" s="352">
        <f t="shared" si="108"/>
        <v>0</v>
      </c>
      <c r="AN61" s="353">
        <f t="shared" si="109"/>
        <v>745.90063199999997</v>
      </c>
      <c r="AO61" s="353">
        <f t="shared" si="110"/>
        <v>1336.4761739999999</v>
      </c>
      <c r="AP61" s="343">
        <f t="shared" si="111"/>
        <v>760.91429344859091</v>
      </c>
      <c r="AQ61" s="343">
        <f t="shared" si="112"/>
        <v>1351.4898354485908</v>
      </c>
      <c r="AS61" s="374">
        <v>1.9799</v>
      </c>
      <c r="AT61" s="375">
        <v>0.99919999999999998</v>
      </c>
      <c r="AU61" s="374">
        <v>1.2200000000000001E-2</v>
      </c>
      <c r="AV61" s="374">
        <v>29683.61</v>
      </c>
      <c r="AW61" s="374">
        <v>8619.44</v>
      </c>
      <c r="AX61" s="351">
        <f t="shared" si="162"/>
        <v>674.49253299999998</v>
      </c>
      <c r="AY61" s="351">
        <f t="shared" si="163"/>
        <v>682.57350399999996</v>
      </c>
      <c r="AZ61" s="352">
        <f t="shared" si="164"/>
        <v>2.9605739999999998</v>
      </c>
      <c r="BA61" s="352">
        <f t="shared" si="113"/>
        <v>1.489101719396501</v>
      </c>
      <c r="BB61" s="353">
        <f t="shared" si="114"/>
        <v>675.98163471939642</v>
      </c>
      <c r="BC61" s="353">
        <f t="shared" si="115"/>
        <v>681.10203171939645</v>
      </c>
      <c r="BD61" s="343">
        <f t="shared" si="116"/>
        <v>693.00703579521473</v>
      </c>
      <c r="BE61" s="343">
        <f t="shared" si="117"/>
        <v>698.12743279521476</v>
      </c>
      <c r="BG61" s="374">
        <v>1.7924</v>
      </c>
      <c r="BH61" s="375">
        <v>1.0807</v>
      </c>
      <c r="BI61" s="374">
        <v>0</v>
      </c>
      <c r="BJ61" s="374">
        <v>14165.797500000001</v>
      </c>
      <c r="BK61" s="374">
        <v>4291.3416999999999</v>
      </c>
      <c r="BL61" s="351">
        <f t="shared" si="165"/>
        <v>600.04174799999998</v>
      </c>
      <c r="BM61" s="351">
        <f t="shared" si="166"/>
        <v>633.20374399999992</v>
      </c>
      <c r="BN61" s="352">
        <f t="shared" si="167"/>
        <v>0</v>
      </c>
      <c r="BO61" s="352">
        <f t="shared" si="118"/>
        <v>0</v>
      </c>
      <c r="BP61" s="353">
        <f t="shared" si="119"/>
        <v>600.04174799999998</v>
      </c>
      <c r="BQ61" s="353">
        <f t="shared" si="120"/>
        <v>633.20374399999992</v>
      </c>
      <c r="BR61" s="343">
        <f t="shared" si="121"/>
        <v>618.57829972740694</v>
      </c>
      <c r="BS61" s="343">
        <f t="shared" si="122"/>
        <v>651.74029572740687</v>
      </c>
      <c r="BU61" s="374">
        <v>1.8924000000000001</v>
      </c>
      <c r="BV61" s="375">
        <v>1.0657000000000001</v>
      </c>
      <c r="BW61" s="374">
        <v>7.9000000000000008E-3</v>
      </c>
      <c r="BX61" s="374">
        <v>17854.595799999999</v>
      </c>
      <c r="BY61" s="374">
        <v>5927.1975000000002</v>
      </c>
      <c r="BZ61" s="351">
        <f t="shared" si="168"/>
        <v>439.26388800000001</v>
      </c>
      <c r="CA61" s="351">
        <f t="shared" si="169"/>
        <v>406.95885900000002</v>
      </c>
      <c r="CB61" s="352">
        <f t="shared" si="170"/>
        <v>0.7836010000000001</v>
      </c>
      <c r="CC61" s="352">
        <f t="shared" si="123"/>
        <v>0.37684329569464886</v>
      </c>
      <c r="CD61" s="353">
        <f t="shared" si="124"/>
        <v>439.64073129569465</v>
      </c>
      <c r="CE61" s="353">
        <f t="shared" si="125"/>
        <v>406.55210129569468</v>
      </c>
      <c r="CF61" s="343">
        <f t="shared" si="126"/>
        <v>452.02426119932318</v>
      </c>
      <c r="CG61" s="343">
        <f t="shared" si="127"/>
        <v>418.93563119932321</v>
      </c>
      <c r="CI61" s="374">
        <v>1.1162000000000001</v>
      </c>
      <c r="CJ61" s="375">
        <v>1.0761000000000001</v>
      </c>
      <c r="CK61" s="374">
        <v>5.2200000000000003E-2</v>
      </c>
      <c r="CL61" s="374">
        <v>64454.284200000002</v>
      </c>
      <c r="CM61" s="374">
        <v>20143.653300000002</v>
      </c>
      <c r="CN61" s="351">
        <f t="shared" si="171"/>
        <v>237.22598600000001</v>
      </c>
      <c r="CO61" s="351">
        <f t="shared" si="172"/>
        <v>296.411745</v>
      </c>
      <c r="CP61" s="352">
        <f t="shared" si="173"/>
        <v>2.0880000000000003E-2</v>
      </c>
      <c r="CQ61" s="352">
        <f t="shared" si="128"/>
        <v>1.1597900365857002E-2</v>
      </c>
      <c r="CR61" s="353">
        <f t="shared" si="129"/>
        <v>237.23758390036588</v>
      </c>
      <c r="CS61" s="353">
        <f t="shared" si="130"/>
        <v>296.40246290036589</v>
      </c>
      <c r="CT61" s="343">
        <f t="shared" si="131"/>
        <v>237.26183905669731</v>
      </c>
      <c r="CU61" s="343">
        <f t="shared" si="132"/>
        <v>296.42671805669733</v>
      </c>
      <c r="CW61" s="374">
        <v>1.649</v>
      </c>
      <c r="CX61" s="375">
        <v>1.5511999999999999</v>
      </c>
      <c r="CY61" s="374">
        <v>0.104</v>
      </c>
      <c r="CZ61" s="374">
        <v>30471.142500000002</v>
      </c>
      <c r="DA61" s="374">
        <v>8823.3292000000001</v>
      </c>
      <c r="DB61" s="351">
        <f t="shared" si="174"/>
        <v>369.75527</v>
      </c>
      <c r="DC61" s="351">
        <f t="shared" si="175"/>
        <v>482.01988799999998</v>
      </c>
      <c r="DD61" s="352">
        <f t="shared" si="176"/>
        <v>2.5999999999999999E-2</v>
      </c>
      <c r="DE61" s="352">
        <f t="shared" si="133"/>
        <v>1.4713409953662913E-2</v>
      </c>
      <c r="DF61" s="353">
        <f t="shared" si="134"/>
        <v>369.76998340995368</v>
      </c>
      <c r="DG61" s="353">
        <f t="shared" si="135"/>
        <v>482.00860140995366</v>
      </c>
      <c r="DH61" s="343">
        <f t="shared" si="136"/>
        <v>369.77701007262812</v>
      </c>
      <c r="DI61" s="343">
        <f t="shared" si="137"/>
        <v>482.01562807262809</v>
      </c>
      <c r="DK61" s="374">
        <v>1.7491000000000001</v>
      </c>
      <c r="DL61" s="375">
        <v>1.5696000000000001</v>
      </c>
      <c r="DM61" s="374">
        <v>0.13819999999999999</v>
      </c>
      <c r="DN61" s="374">
        <v>7199.7767000000003</v>
      </c>
      <c r="DO61" s="374">
        <v>2745.36</v>
      </c>
      <c r="DP61" s="351">
        <f t="shared" si="177"/>
        <v>230.47890700000002</v>
      </c>
      <c r="DQ61" s="351">
        <f t="shared" si="178"/>
        <v>308.99145600000003</v>
      </c>
      <c r="DR61" s="352">
        <f t="shared" si="179"/>
        <v>2.6257999999999997E-2</v>
      </c>
      <c r="DS61" s="352">
        <f t="shared" si="138"/>
        <v>1.5039746774092944E-2</v>
      </c>
      <c r="DT61" s="353">
        <f t="shared" si="139"/>
        <v>230.4939467467741</v>
      </c>
      <c r="DU61" s="353">
        <f t="shared" si="140"/>
        <v>308.98023774677415</v>
      </c>
      <c r="DV61" s="343">
        <f t="shared" si="141"/>
        <v>230.50214787579287</v>
      </c>
      <c r="DW61" s="343">
        <f t="shared" si="142"/>
        <v>308.98843887579289</v>
      </c>
      <c r="EB61" s="326"/>
      <c r="EC61" s="326"/>
      <c r="ED61" s="326"/>
      <c r="EE61" s="348">
        <f t="shared" si="143"/>
        <v>148024.03840000002</v>
      </c>
      <c r="EF61" s="348">
        <f t="shared" si="144"/>
        <v>48134.300800000005</v>
      </c>
      <c r="EG61" s="348">
        <f t="shared" si="145"/>
        <v>2657.6168950000001</v>
      </c>
      <c r="EH61" s="348">
        <f t="shared" si="146"/>
        <v>3444.9974463999997</v>
      </c>
      <c r="EI61" s="354">
        <f t="shared" si="180"/>
        <v>0.75461506762186126</v>
      </c>
      <c r="EJ61" s="326"/>
      <c r="EK61" s="348">
        <f t="shared" si="147"/>
        <v>2659.8007516803073</v>
      </c>
      <c r="EL61" s="348">
        <f t="shared" si="148"/>
        <v>3442.0172670803076</v>
      </c>
      <c r="EM61" s="348">
        <f t="shared" si="58"/>
        <v>2700.817209295843</v>
      </c>
      <c r="EN61" s="348">
        <f t="shared" si="149"/>
        <v>3483.0337246958429</v>
      </c>
      <c r="EP61" s="326"/>
      <c r="EQ61" s="326"/>
      <c r="ER61" s="326"/>
      <c r="ES61" s="348">
        <f t="shared" si="181"/>
        <v>116008.1692</v>
      </c>
      <c r="ET61" s="348">
        <f t="shared" si="182"/>
        <v>35814.172500000001</v>
      </c>
      <c r="EU61" s="348">
        <f t="shared" si="183"/>
        <v>2140.5563229999998</v>
      </c>
      <c r="EV61" s="348">
        <f t="shared" si="184"/>
        <v>2818.7318186000002</v>
      </c>
      <c r="EW61" s="354">
        <f t="shared" si="185"/>
        <v>0.76410472859937462</v>
      </c>
      <c r="EX61" s="326"/>
      <c r="EY61" s="348">
        <f t="shared" si="186"/>
        <v>2144.2669911814924</v>
      </c>
      <c r="EZ61" s="348">
        <f t="shared" si="187"/>
        <v>2816.2317027814925</v>
      </c>
      <c r="FA61" s="348">
        <f t="shared" si="66"/>
        <v>2176.1430088623233</v>
      </c>
      <c r="FB61" s="348">
        <f t="shared" si="67"/>
        <v>2848.1077204623234</v>
      </c>
      <c r="FD61" s="326"/>
      <c r="FE61" s="326"/>
      <c r="FF61" s="326"/>
      <c r="FG61" s="348">
        <f t="shared" si="188"/>
        <v>90313.124200000006</v>
      </c>
      <c r="FH61" s="348">
        <f t="shared" si="189"/>
        <v>29113.899100000002</v>
      </c>
      <c r="FI61" s="348">
        <f t="shared" si="190"/>
        <v>1560.6778502</v>
      </c>
      <c r="FJ61" s="348">
        <f t="shared" si="191"/>
        <v>2225.2416516000003</v>
      </c>
      <c r="FK61" s="354">
        <f t="shared" si="192"/>
        <v>0.75622017282582643</v>
      </c>
      <c r="FL61" s="326"/>
      <c r="FM61" s="348">
        <f t="shared" si="193"/>
        <v>1561.0753152441252</v>
      </c>
      <c r="FN61" s="348">
        <f t="shared" si="194"/>
        <v>2224.818880844125</v>
      </c>
      <c r="FO61" s="348">
        <f t="shared" si="75"/>
        <v>1588.5016824300869</v>
      </c>
      <c r="FP61" s="348">
        <f t="shared" si="76"/>
        <v>2252.2452480300872</v>
      </c>
      <c r="FR61" s="326"/>
      <c r="FS61" s="326"/>
      <c r="FT61" s="326"/>
      <c r="FU61" s="348">
        <f t="shared" si="195"/>
        <v>94925.426700000011</v>
      </c>
      <c r="FV61" s="348">
        <f t="shared" si="196"/>
        <v>28966.982500000002</v>
      </c>
      <c r="FW61" s="348">
        <f t="shared" si="197"/>
        <v>533.03020200000003</v>
      </c>
      <c r="FX61" s="348">
        <f t="shared" si="198"/>
        <v>682.02765539999996</v>
      </c>
      <c r="FY61" s="354">
        <f t="shared" si="199"/>
        <v>0.76619243513750324</v>
      </c>
      <c r="FZ61" s="326"/>
      <c r="GA61" s="348">
        <f t="shared" si="200"/>
        <v>533.05357062832888</v>
      </c>
      <c r="GB61" s="348">
        <f t="shared" si="201"/>
        <v>682.00934402832877</v>
      </c>
      <c r="GC61" s="348">
        <f t="shared" si="84"/>
        <v>533.08344711479981</v>
      </c>
      <c r="GD61" s="348">
        <f t="shared" si="85"/>
        <v>682.03922051479981</v>
      </c>
      <c r="GF61" s="326"/>
      <c r="GG61" s="326"/>
      <c r="GH61" s="326"/>
      <c r="GI61" s="348">
        <f t="shared" si="202"/>
        <v>47538.205799999996</v>
      </c>
      <c r="GJ61" s="348">
        <f t="shared" si="203"/>
        <v>14546.637500000001</v>
      </c>
      <c r="GK61" s="349">
        <f t="shared" si="204"/>
        <v>176.42148374999999</v>
      </c>
      <c r="GL61" s="349">
        <f t="shared" si="205"/>
        <v>206.71098374999997</v>
      </c>
      <c r="GM61" s="354">
        <f t="shared" si="206"/>
        <v>0.76569744358201519</v>
      </c>
      <c r="GN61" s="326"/>
      <c r="GO61" s="349">
        <f t="shared" si="207"/>
        <v>177.25567756777633</v>
      </c>
      <c r="GP61" s="349">
        <f t="shared" si="208"/>
        <v>205.91244781777633</v>
      </c>
      <c r="GQ61" s="349">
        <f t="shared" si="93"/>
        <v>180.73708094691867</v>
      </c>
      <c r="GR61" s="349">
        <f t="shared" si="94"/>
        <v>209.39385119691866</v>
      </c>
      <c r="HA61" s="374"/>
      <c r="HB61" s="375"/>
      <c r="HC61" s="374"/>
      <c r="HD61" s="374"/>
      <c r="HE61" s="374"/>
      <c r="HF61" s="351">
        <f t="shared" si="209"/>
        <v>0</v>
      </c>
      <c r="HG61" s="351">
        <f t="shared" si="210"/>
        <v>0</v>
      </c>
      <c r="HH61" s="352">
        <f t="shared" si="211"/>
        <v>0</v>
      </c>
      <c r="HI61" s="352">
        <f t="shared" si="150"/>
        <v>0</v>
      </c>
      <c r="HJ61" s="353">
        <f t="shared" si="151"/>
        <v>0</v>
      </c>
      <c r="HK61" s="353">
        <f t="shared" si="152"/>
        <v>0</v>
      </c>
    </row>
    <row r="62" spans="1:219" x14ac:dyDescent="0.2">
      <c r="A62" s="320">
        <v>52</v>
      </c>
      <c r="C62" s="350">
        <v>1.5563</v>
      </c>
      <c r="D62" s="350">
        <v>1.1594</v>
      </c>
      <c r="E62" s="350">
        <v>1.41E-2</v>
      </c>
      <c r="F62" s="350">
        <v>22001.467499999999</v>
      </c>
      <c r="G62" s="350">
        <v>10130.3092</v>
      </c>
      <c r="H62" s="351">
        <f t="shared" si="153"/>
        <v>1519.1044300000001</v>
      </c>
      <c r="I62" s="351">
        <f t="shared" si="154"/>
        <v>2149.1681859999999</v>
      </c>
      <c r="J62" s="352">
        <f t="shared" si="155"/>
        <v>2.4191369999999996</v>
      </c>
      <c r="K62" s="352">
        <f t="shared" si="98"/>
        <v>0.76269065467395691</v>
      </c>
      <c r="L62" s="353">
        <f t="shared" si="99"/>
        <v>1519.867120654674</v>
      </c>
      <c r="M62" s="353">
        <f t="shared" si="100"/>
        <v>2147.5117396546739</v>
      </c>
      <c r="N62" s="343">
        <f t="shared" si="101"/>
        <v>1543.7369963858287</v>
      </c>
      <c r="O62" s="343">
        <f t="shared" si="102"/>
        <v>2171.3816153858288</v>
      </c>
      <c r="Q62" s="374">
        <v>1.7413000000000001</v>
      </c>
      <c r="R62" s="375">
        <v>1.3495999999999999</v>
      </c>
      <c r="S62" s="374">
        <v>2.9000000000000001E-2</v>
      </c>
      <c r="T62" s="374">
        <v>6549.8941999999997</v>
      </c>
      <c r="U62" s="374">
        <v>2400.6882999999998</v>
      </c>
      <c r="V62" s="351">
        <f t="shared" si="156"/>
        <v>1113.3872200000001</v>
      </c>
      <c r="W62" s="351">
        <f t="shared" si="157"/>
        <v>1621.3824480000001</v>
      </c>
      <c r="X62" s="352">
        <f t="shared" si="158"/>
        <v>5.8110200000000001</v>
      </c>
      <c r="Y62" s="352">
        <f t="shared" si="103"/>
        <v>3.4452209790184645</v>
      </c>
      <c r="Z62" s="353">
        <f t="shared" si="104"/>
        <v>1116.8324409790184</v>
      </c>
      <c r="AA62" s="353">
        <f t="shared" si="105"/>
        <v>1619.0166489790183</v>
      </c>
      <c r="AB62" s="343">
        <f t="shared" si="106"/>
        <v>1130.3862830273797</v>
      </c>
      <c r="AC62" s="343">
        <f t="shared" si="107"/>
        <v>1632.5704910273796</v>
      </c>
      <c r="AE62" s="374">
        <v>1.8907</v>
      </c>
      <c r="AF62" s="375">
        <v>1.3949</v>
      </c>
      <c r="AG62" s="374">
        <v>0</v>
      </c>
      <c r="AH62" s="374">
        <v>825.39329999999995</v>
      </c>
      <c r="AI62" s="374">
        <v>299.85329999999999</v>
      </c>
      <c r="AJ62" s="351">
        <f t="shared" si="159"/>
        <v>810.31620599999997</v>
      </c>
      <c r="AK62" s="351">
        <f t="shared" si="160"/>
        <v>1386.781682</v>
      </c>
      <c r="AL62" s="352">
        <f t="shared" si="161"/>
        <v>0</v>
      </c>
      <c r="AM62" s="352">
        <f t="shared" si="108"/>
        <v>0</v>
      </c>
      <c r="AN62" s="353">
        <f t="shared" si="109"/>
        <v>810.31620599999997</v>
      </c>
      <c r="AO62" s="353">
        <f t="shared" si="110"/>
        <v>1386.781682</v>
      </c>
      <c r="AP62" s="343">
        <f t="shared" si="111"/>
        <v>825.3298674485909</v>
      </c>
      <c r="AQ62" s="343">
        <f t="shared" si="112"/>
        <v>1401.795343448591</v>
      </c>
      <c r="AS62" s="374">
        <v>2.1194000000000002</v>
      </c>
      <c r="AT62" s="375">
        <v>1.0498000000000001</v>
      </c>
      <c r="AU62" s="374">
        <v>1.0500000000000001E-2</v>
      </c>
      <c r="AV62" s="374">
        <v>27850.057499999999</v>
      </c>
      <c r="AW62" s="374">
        <v>8224.6857999999993</v>
      </c>
      <c r="AX62" s="351">
        <f t="shared" si="162"/>
        <v>722.01599800000008</v>
      </c>
      <c r="AY62" s="351">
        <f t="shared" si="163"/>
        <v>717.13937600000008</v>
      </c>
      <c r="AZ62" s="352">
        <f t="shared" si="164"/>
        <v>2.548035</v>
      </c>
      <c r="BA62" s="352">
        <f t="shared" si="113"/>
        <v>1.2697004527366342</v>
      </c>
      <c r="BB62" s="353">
        <f t="shared" si="114"/>
        <v>723.28569845273671</v>
      </c>
      <c r="BC62" s="353">
        <f t="shared" si="115"/>
        <v>715.86104145273669</v>
      </c>
      <c r="BD62" s="343">
        <f t="shared" si="116"/>
        <v>740.53050079521483</v>
      </c>
      <c r="BE62" s="343">
        <f t="shared" si="117"/>
        <v>733.10584379521481</v>
      </c>
      <c r="BG62" s="374">
        <v>1.9409000000000001</v>
      </c>
      <c r="BH62" s="375">
        <v>1.1367</v>
      </c>
      <c r="BI62" s="374">
        <v>0</v>
      </c>
      <c r="BJ62" s="374">
        <v>13498.111699999999</v>
      </c>
      <c r="BK62" s="374">
        <v>4289.9657999999999</v>
      </c>
      <c r="BL62" s="351">
        <f t="shared" si="165"/>
        <v>649.75509299999999</v>
      </c>
      <c r="BM62" s="351">
        <f t="shared" si="166"/>
        <v>666.015264</v>
      </c>
      <c r="BN62" s="352">
        <f t="shared" si="167"/>
        <v>0</v>
      </c>
      <c r="BO62" s="352">
        <f t="shared" si="118"/>
        <v>0</v>
      </c>
      <c r="BP62" s="353">
        <f t="shared" si="119"/>
        <v>649.75509299999999</v>
      </c>
      <c r="BQ62" s="353">
        <f t="shared" si="120"/>
        <v>666.015264</v>
      </c>
      <c r="BR62" s="343">
        <f t="shared" si="121"/>
        <v>668.29164472740695</v>
      </c>
      <c r="BS62" s="343">
        <f t="shared" si="122"/>
        <v>684.55181572740696</v>
      </c>
      <c r="BU62" s="374">
        <v>2.0249000000000001</v>
      </c>
      <c r="BV62" s="375">
        <v>1.0987</v>
      </c>
      <c r="BW62" s="374">
        <v>7.4000000000000003E-3</v>
      </c>
      <c r="BX62" s="374">
        <v>16904.79</v>
      </c>
      <c r="BY62" s="374">
        <v>5619.4607999999998</v>
      </c>
      <c r="BZ62" s="351">
        <f t="shared" si="168"/>
        <v>470.01978800000006</v>
      </c>
      <c r="CA62" s="351">
        <f t="shared" si="169"/>
        <v>419.56056899999999</v>
      </c>
      <c r="CB62" s="352">
        <f t="shared" si="170"/>
        <v>0.73400600000000005</v>
      </c>
      <c r="CC62" s="352">
        <f t="shared" si="123"/>
        <v>0.34618567348763296</v>
      </c>
      <c r="CD62" s="353">
        <f t="shared" si="124"/>
        <v>470.3659736734877</v>
      </c>
      <c r="CE62" s="353">
        <f t="shared" si="125"/>
        <v>419.1727486734876</v>
      </c>
      <c r="CF62" s="343">
        <f t="shared" si="126"/>
        <v>482.78016119932323</v>
      </c>
      <c r="CG62" s="343">
        <f t="shared" si="127"/>
        <v>431.58693619932313</v>
      </c>
      <c r="CI62" s="374">
        <v>1.1333</v>
      </c>
      <c r="CJ62" s="375">
        <v>1.0838000000000001</v>
      </c>
      <c r="CK62" s="374">
        <v>4.8599999999999997E-2</v>
      </c>
      <c r="CL62" s="374">
        <v>60985.063300000002</v>
      </c>
      <c r="CM62" s="374">
        <v>19605.070800000001</v>
      </c>
      <c r="CN62" s="351">
        <f t="shared" si="171"/>
        <v>240.86024899999998</v>
      </c>
      <c r="CO62" s="351">
        <f t="shared" si="172"/>
        <v>298.53271000000001</v>
      </c>
      <c r="CP62" s="352">
        <f t="shared" si="173"/>
        <v>1.9439999999999999E-2</v>
      </c>
      <c r="CQ62" s="352">
        <f t="shared" si="128"/>
        <v>1.0759272596289117E-2</v>
      </c>
      <c r="CR62" s="353">
        <f t="shared" si="129"/>
        <v>240.87100827259627</v>
      </c>
      <c r="CS62" s="353">
        <f t="shared" si="130"/>
        <v>298.52402927259635</v>
      </c>
      <c r="CT62" s="343">
        <f t="shared" si="131"/>
        <v>240.89610205669729</v>
      </c>
      <c r="CU62" s="343">
        <f t="shared" si="132"/>
        <v>298.54912305669734</v>
      </c>
      <c r="CW62" s="374">
        <v>1.7444999999999999</v>
      </c>
      <c r="CX62" s="375">
        <v>1.6129</v>
      </c>
      <c r="CY62" s="374">
        <v>9.2499999999999999E-2</v>
      </c>
      <c r="CZ62" s="374">
        <v>28687.139200000001</v>
      </c>
      <c r="DA62" s="374">
        <v>8579.6857999999993</v>
      </c>
      <c r="DB62" s="351">
        <f t="shared" si="174"/>
        <v>391.16923499999996</v>
      </c>
      <c r="DC62" s="351">
        <f t="shared" si="175"/>
        <v>501.19254599999999</v>
      </c>
      <c r="DD62" s="352">
        <f t="shared" si="176"/>
        <v>2.3125E-2</v>
      </c>
      <c r="DE62" s="352">
        <f t="shared" si="133"/>
        <v>1.2988092803864716E-2</v>
      </c>
      <c r="DF62" s="353">
        <f t="shared" si="134"/>
        <v>391.18222309280384</v>
      </c>
      <c r="DG62" s="353">
        <f t="shared" si="135"/>
        <v>501.18240909280388</v>
      </c>
      <c r="DH62" s="343">
        <f t="shared" si="136"/>
        <v>391.19097507262808</v>
      </c>
      <c r="DI62" s="343">
        <f t="shared" si="137"/>
        <v>501.19116107262812</v>
      </c>
      <c r="DK62" s="374">
        <v>1.837</v>
      </c>
      <c r="DL62" s="375">
        <v>1.6234999999999999</v>
      </c>
      <c r="DM62" s="374">
        <v>0.1138</v>
      </c>
      <c r="DN62" s="374">
        <v>6828.2217000000001</v>
      </c>
      <c r="DO62" s="374">
        <v>2731.89</v>
      </c>
      <c r="DP62" s="351">
        <f t="shared" si="177"/>
        <v>242.06149000000002</v>
      </c>
      <c r="DQ62" s="351">
        <f t="shared" si="178"/>
        <v>319.60221000000001</v>
      </c>
      <c r="DR62" s="352">
        <f t="shared" si="179"/>
        <v>2.1621999999999999E-2</v>
      </c>
      <c r="DS62" s="352">
        <f t="shared" si="138"/>
        <v>1.2303517184072958E-2</v>
      </c>
      <c r="DT62" s="353">
        <f t="shared" si="139"/>
        <v>242.0737935171841</v>
      </c>
      <c r="DU62" s="353">
        <f t="shared" si="140"/>
        <v>319.59289151718411</v>
      </c>
      <c r="DV62" s="343">
        <f t="shared" si="141"/>
        <v>242.08473087579287</v>
      </c>
      <c r="DW62" s="343">
        <f t="shared" si="142"/>
        <v>319.60382887579289</v>
      </c>
      <c r="EB62" s="326"/>
      <c r="EC62" s="326"/>
      <c r="ED62" s="326"/>
      <c r="EE62" s="348">
        <f t="shared" si="143"/>
        <v>139523.72750000001</v>
      </c>
      <c r="EF62" s="348">
        <f t="shared" si="144"/>
        <v>46539.751599999996</v>
      </c>
      <c r="EG62" s="348">
        <f t="shared" si="145"/>
        <v>2794.9160649999999</v>
      </c>
      <c r="EH62" s="348">
        <f t="shared" si="146"/>
        <v>3565.7943088000002</v>
      </c>
      <c r="EI62" s="354">
        <f t="shared" si="180"/>
        <v>0.74987164689644892</v>
      </c>
      <c r="EJ62" s="326"/>
      <c r="EK62" s="348">
        <f t="shared" si="147"/>
        <v>2796.9696058542499</v>
      </c>
      <c r="EL62" s="348">
        <f t="shared" si="148"/>
        <v>3562.8427376542495</v>
      </c>
      <c r="EM62" s="348">
        <f t="shared" si="58"/>
        <v>2838.1163792958432</v>
      </c>
      <c r="EN62" s="348">
        <f t="shared" si="149"/>
        <v>3603.9895110958432</v>
      </c>
      <c r="EP62" s="326"/>
      <c r="EQ62" s="326"/>
      <c r="ER62" s="326"/>
      <c r="ES62" s="348">
        <f t="shared" si="181"/>
        <v>109720.2084</v>
      </c>
      <c r="ET62" s="348">
        <f t="shared" si="182"/>
        <v>34875.4107</v>
      </c>
      <c r="EU62" s="348">
        <f t="shared" si="183"/>
        <v>2277.8210265000002</v>
      </c>
      <c r="EV62" s="348">
        <f t="shared" si="184"/>
        <v>2936.7652042</v>
      </c>
      <c r="EW62" s="354">
        <f t="shared" si="185"/>
        <v>0.75880727979814699</v>
      </c>
      <c r="EX62" s="326"/>
      <c r="EY62" s="348">
        <f t="shared" si="186"/>
        <v>2281.2860984165773</v>
      </c>
      <c r="EZ62" s="348">
        <f t="shared" si="187"/>
        <v>2934.383628616577</v>
      </c>
      <c r="FA62" s="348">
        <f t="shared" si="66"/>
        <v>2313.4077123623238</v>
      </c>
      <c r="FB62" s="348">
        <f t="shared" si="67"/>
        <v>2966.5052425623235</v>
      </c>
      <c r="FD62" s="326"/>
      <c r="FE62" s="326"/>
      <c r="FF62" s="326"/>
      <c r="FG62" s="348">
        <f t="shared" si="188"/>
        <v>85543.468299999993</v>
      </c>
      <c r="FH62" s="348">
        <f t="shared" si="189"/>
        <v>28256.2749</v>
      </c>
      <c r="FI62" s="348">
        <f t="shared" si="190"/>
        <v>1666.433137</v>
      </c>
      <c r="FJ62" s="348">
        <f t="shared" si="191"/>
        <v>2296.6362869999998</v>
      </c>
      <c r="FK62" s="354">
        <f t="shared" si="192"/>
        <v>0.7517017692180521</v>
      </c>
      <c r="FL62" s="326"/>
      <c r="FM62" s="348">
        <f t="shared" si="193"/>
        <v>1666.7974640563943</v>
      </c>
      <c r="FN62" s="348">
        <f t="shared" si="194"/>
        <v>2296.2341948563944</v>
      </c>
      <c r="FO62" s="348">
        <f t="shared" si="75"/>
        <v>1694.2569692300872</v>
      </c>
      <c r="FP62" s="348">
        <f t="shared" si="76"/>
        <v>2323.6937000300873</v>
      </c>
      <c r="FR62" s="326"/>
      <c r="FS62" s="326"/>
      <c r="FT62" s="326"/>
      <c r="FU62" s="348">
        <f t="shared" si="195"/>
        <v>89672.202499999999</v>
      </c>
      <c r="FV62" s="348">
        <f t="shared" si="196"/>
        <v>28184.756600000001</v>
      </c>
      <c r="FW62" s="348">
        <f t="shared" si="197"/>
        <v>553.79563699999994</v>
      </c>
      <c r="FX62" s="348">
        <f t="shared" si="198"/>
        <v>699.48674679999999</v>
      </c>
      <c r="FY62" s="354">
        <f t="shared" si="199"/>
        <v>0.76085623780530742</v>
      </c>
      <c r="FZ62" s="326"/>
      <c r="GA62" s="348">
        <f t="shared" si="200"/>
        <v>553.8167867468394</v>
      </c>
      <c r="GB62" s="348">
        <f t="shared" si="201"/>
        <v>699.46995654683951</v>
      </c>
      <c r="GC62" s="348">
        <f t="shared" si="84"/>
        <v>553.84888211479972</v>
      </c>
      <c r="GD62" s="348">
        <f t="shared" si="85"/>
        <v>699.50205191479984</v>
      </c>
      <c r="GF62" s="326"/>
      <c r="GG62" s="326"/>
      <c r="GH62" s="326"/>
      <c r="GI62" s="348">
        <f t="shared" si="202"/>
        <v>44754.847500000003</v>
      </c>
      <c r="GJ62" s="348">
        <f t="shared" si="203"/>
        <v>13844.1466</v>
      </c>
      <c r="GK62" s="349">
        <f t="shared" si="204"/>
        <v>188.99715750000001</v>
      </c>
      <c r="GL62" s="349">
        <f t="shared" si="205"/>
        <v>223.18410525000007</v>
      </c>
      <c r="GM62" s="354">
        <f t="shared" si="206"/>
        <v>0.76374770910956646</v>
      </c>
      <c r="GN62" s="326"/>
      <c r="GO62" s="349">
        <f t="shared" si="207"/>
        <v>189.68979358443676</v>
      </c>
      <c r="GP62" s="349">
        <f t="shared" si="208"/>
        <v>222.51621958443681</v>
      </c>
      <c r="GQ62" s="349">
        <f t="shared" si="93"/>
        <v>193.31275469691872</v>
      </c>
      <c r="GR62" s="349">
        <f t="shared" si="94"/>
        <v>226.13918069691874</v>
      </c>
      <c r="HA62" s="374"/>
      <c r="HB62" s="375"/>
      <c r="HC62" s="374"/>
      <c r="HD62" s="374"/>
      <c r="HE62" s="374"/>
      <c r="HF62" s="351">
        <f t="shared" si="209"/>
        <v>0</v>
      </c>
      <c r="HG62" s="351">
        <f t="shared" si="210"/>
        <v>0</v>
      </c>
      <c r="HH62" s="352">
        <f t="shared" si="211"/>
        <v>0</v>
      </c>
      <c r="HI62" s="352">
        <f t="shared" si="150"/>
        <v>0</v>
      </c>
      <c r="HJ62" s="353">
        <f t="shared" si="151"/>
        <v>0</v>
      </c>
      <c r="HK62" s="353">
        <f t="shared" si="152"/>
        <v>0</v>
      </c>
    </row>
    <row r="63" spans="1:219" x14ac:dyDescent="0.2">
      <c r="A63" s="320">
        <v>53</v>
      </c>
      <c r="C63" s="350">
        <v>1.6329</v>
      </c>
      <c r="D63" s="350">
        <v>1.1967000000000001</v>
      </c>
      <c r="E63" s="350">
        <v>1.52E-2</v>
      </c>
      <c r="F63" s="350">
        <v>20065.648300000001</v>
      </c>
      <c r="G63" s="350">
        <v>9359.0467000000008</v>
      </c>
      <c r="H63" s="351">
        <f t="shared" si="153"/>
        <v>1593.8736900000001</v>
      </c>
      <c r="I63" s="351">
        <f t="shared" si="154"/>
        <v>2218.3108230000003</v>
      </c>
      <c r="J63" s="352">
        <f t="shared" si="155"/>
        <v>2.6078639999999997</v>
      </c>
      <c r="K63" s="352">
        <f t="shared" si="98"/>
        <v>0.82947744957930059</v>
      </c>
      <c r="L63" s="353">
        <f t="shared" si="99"/>
        <v>1594.7031674495795</v>
      </c>
      <c r="M63" s="353">
        <f t="shared" si="100"/>
        <v>2216.5324364495796</v>
      </c>
      <c r="N63" s="343">
        <f t="shared" si="101"/>
        <v>1618.5062563858287</v>
      </c>
      <c r="O63" s="343">
        <f t="shared" si="102"/>
        <v>2240.335525385829</v>
      </c>
      <c r="Q63" s="374">
        <v>1.8595999999999999</v>
      </c>
      <c r="R63" s="375">
        <v>1.4060999999999999</v>
      </c>
      <c r="S63" s="374">
        <v>2.5600000000000001E-2</v>
      </c>
      <c r="T63" s="374">
        <v>6196.9350000000004</v>
      </c>
      <c r="U63" s="374">
        <v>2356.6392000000001</v>
      </c>
      <c r="V63" s="351">
        <f t="shared" si="156"/>
        <v>1189.0282399999999</v>
      </c>
      <c r="W63" s="351">
        <f t="shared" si="157"/>
        <v>1689.2604180000001</v>
      </c>
      <c r="X63" s="352">
        <f t="shared" si="158"/>
        <v>5.1297280000000001</v>
      </c>
      <c r="Y63" s="352">
        <f t="shared" si="103"/>
        <v>3.0106245394885285</v>
      </c>
      <c r="Z63" s="353">
        <f t="shared" si="104"/>
        <v>1192.0388645394885</v>
      </c>
      <c r="AA63" s="353">
        <f t="shared" si="105"/>
        <v>1687.1413145394886</v>
      </c>
      <c r="AB63" s="343">
        <f t="shared" si="106"/>
        <v>1206.0273030273795</v>
      </c>
      <c r="AC63" s="343">
        <f t="shared" si="107"/>
        <v>1701.1297530273796</v>
      </c>
      <c r="AE63" s="374">
        <v>2.0527000000000002</v>
      </c>
      <c r="AF63" s="375">
        <v>1.4462999999999999</v>
      </c>
      <c r="AG63" s="374">
        <v>0</v>
      </c>
      <c r="AH63" s="374">
        <v>785.2133</v>
      </c>
      <c r="AI63" s="374">
        <v>223.23</v>
      </c>
      <c r="AJ63" s="351">
        <f t="shared" si="159"/>
        <v>879.74616600000002</v>
      </c>
      <c r="AK63" s="351">
        <f t="shared" si="160"/>
        <v>1437.8825339999999</v>
      </c>
      <c r="AL63" s="352">
        <f t="shared" si="161"/>
        <v>0</v>
      </c>
      <c r="AM63" s="352">
        <f t="shared" si="108"/>
        <v>0</v>
      </c>
      <c r="AN63" s="353">
        <f t="shared" si="109"/>
        <v>879.74616600000002</v>
      </c>
      <c r="AO63" s="353">
        <f t="shared" si="110"/>
        <v>1437.8825339999999</v>
      </c>
      <c r="AP63" s="343">
        <f t="shared" si="111"/>
        <v>894.75982744859095</v>
      </c>
      <c r="AQ63" s="343">
        <f t="shared" si="112"/>
        <v>1452.8961954485908</v>
      </c>
      <c r="AS63" s="374">
        <v>2.2713999999999999</v>
      </c>
      <c r="AT63" s="375">
        <v>1.1029</v>
      </c>
      <c r="AU63" s="374">
        <v>0</v>
      </c>
      <c r="AV63" s="374">
        <v>26131.5383</v>
      </c>
      <c r="AW63" s="374">
        <v>7817.1482999999998</v>
      </c>
      <c r="AX63" s="351">
        <f t="shared" si="162"/>
        <v>773.79783799999996</v>
      </c>
      <c r="AY63" s="351">
        <f t="shared" si="163"/>
        <v>753.413048</v>
      </c>
      <c r="AZ63" s="352">
        <f t="shared" si="164"/>
        <v>0</v>
      </c>
      <c r="BA63" s="352">
        <f t="shared" si="113"/>
        <v>0</v>
      </c>
      <c r="BB63" s="353">
        <f t="shared" si="114"/>
        <v>773.79783799999996</v>
      </c>
      <c r="BC63" s="353">
        <f t="shared" si="115"/>
        <v>753.413048</v>
      </c>
      <c r="BD63" s="343">
        <f t="shared" si="116"/>
        <v>792.31234079521471</v>
      </c>
      <c r="BE63" s="343">
        <f t="shared" si="117"/>
        <v>771.92755079521476</v>
      </c>
      <c r="BG63" s="374">
        <v>2.1082999999999998</v>
      </c>
      <c r="BH63" s="375">
        <v>1.1961999999999999</v>
      </c>
      <c r="BI63" s="374">
        <v>0</v>
      </c>
      <c r="BJ63" s="374">
        <v>12249.963299999999</v>
      </c>
      <c r="BK63" s="374">
        <v>3995.8317000000002</v>
      </c>
      <c r="BL63" s="351">
        <f t="shared" si="165"/>
        <v>705.79559099999994</v>
      </c>
      <c r="BM63" s="351">
        <f t="shared" si="166"/>
        <v>700.87750399999993</v>
      </c>
      <c r="BN63" s="352">
        <f t="shared" si="167"/>
        <v>0</v>
      </c>
      <c r="BO63" s="352">
        <f t="shared" si="118"/>
        <v>0</v>
      </c>
      <c r="BP63" s="353">
        <f t="shared" si="119"/>
        <v>705.79559099999994</v>
      </c>
      <c r="BQ63" s="353">
        <f t="shared" si="120"/>
        <v>700.87750399999993</v>
      </c>
      <c r="BR63" s="343">
        <f t="shared" si="121"/>
        <v>724.3321427274069</v>
      </c>
      <c r="BS63" s="343">
        <f t="shared" si="122"/>
        <v>719.41405572740689</v>
      </c>
      <c r="BU63" s="374">
        <v>2.1892999999999998</v>
      </c>
      <c r="BV63" s="375">
        <v>1.139</v>
      </c>
      <c r="BW63" s="374">
        <v>5.0000000000000001E-3</v>
      </c>
      <c r="BX63" s="374">
        <v>15348.862499999999</v>
      </c>
      <c r="BY63" s="374">
        <v>5258.2557999999999</v>
      </c>
      <c r="BZ63" s="351">
        <f t="shared" si="168"/>
        <v>508.18031599999995</v>
      </c>
      <c r="CA63" s="351">
        <f t="shared" si="169"/>
        <v>434.94992999999999</v>
      </c>
      <c r="CB63" s="352">
        <f t="shared" si="170"/>
        <v>0.49595</v>
      </c>
      <c r="CC63" s="352">
        <f t="shared" si="123"/>
        <v>0.22872070819315027</v>
      </c>
      <c r="CD63" s="353">
        <f t="shared" si="124"/>
        <v>508.40903670819307</v>
      </c>
      <c r="CE63" s="353">
        <f t="shared" si="125"/>
        <v>434.68270070819312</v>
      </c>
      <c r="CF63" s="343">
        <f t="shared" si="126"/>
        <v>520.94068919932306</v>
      </c>
      <c r="CG63" s="343">
        <f t="shared" si="127"/>
        <v>447.21435319932317</v>
      </c>
      <c r="CI63" s="374">
        <v>1.1503000000000001</v>
      </c>
      <c r="CJ63" s="375">
        <v>1.0899000000000001</v>
      </c>
      <c r="CK63" s="374">
        <v>4.2900000000000001E-2</v>
      </c>
      <c r="CL63" s="374">
        <v>56416.248299999999</v>
      </c>
      <c r="CM63" s="374">
        <v>18532.409199999998</v>
      </c>
      <c r="CN63" s="351">
        <f t="shared" si="171"/>
        <v>244.47325900000001</v>
      </c>
      <c r="CO63" s="351">
        <f t="shared" si="172"/>
        <v>300.21295500000002</v>
      </c>
      <c r="CP63" s="352">
        <f t="shared" si="173"/>
        <v>1.7160000000000002E-2</v>
      </c>
      <c r="CQ63" s="352">
        <f t="shared" si="128"/>
        <v>9.4580222068921336E-3</v>
      </c>
      <c r="CR63" s="353">
        <f t="shared" si="129"/>
        <v>244.48271702220691</v>
      </c>
      <c r="CS63" s="353">
        <f t="shared" si="130"/>
        <v>300.20525302220693</v>
      </c>
      <c r="CT63" s="343">
        <f t="shared" si="131"/>
        <v>244.50911205669732</v>
      </c>
      <c r="CU63" s="343">
        <f t="shared" si="132"/>
        <v>300.23164805669734</v>
      </c>
      <c r="CW63" s="374">
        <v>1.8424</v>
      </c>
      <c r="CX63" s="375">
        <v>1.6694</v>
      </c>
      <c r="CY63" s="374">
        <v>8.6400000000000005E-2</v>
      </c>
      <c r="CZ63" s="374">
        <v>26600.004199999999</v>
      </c>
      <c r="DA63" s="374">
        <v>8211.1324999999997</v>
      </c>
      <c r="DB63" s="351">
        <f t="shared" si="174"/>
        <v>413.121352</v>
      </c>
      <c r="DC63" s="351">
        <f t="shared" si="175"/>
        <v>518.74935600000003</v>
      </c>
      <c r="DD63" s="352">
        <f t="shared" si="176"/>
        <v>2.1600000000000001E-2</v>
      </c>
      <c r="DE63" s="352">
        <f t="shared" si="133"/>
        <v>1.2024185322498625E-2</v>
      </c>
      <c r="DF63" s="353">
        <f t="shared" si="134"/>
        <v>413.1333761853225</v>
      </c>
      <c r="DG63" s="353">
        <f t="shared" si="135"/>
        <v>518.7397801853225</v>
      </c>
      <c r="DH63" s="343">
        <f t="shared" si="136"/>
        <v>413.14309207262812</v>
      </c>
      <c r="DI63" s="343">
        <f t="shared" si="137"/>
        <v>518.74949607262818</v>
      </c>
      <c r="DK63" s="374">
        <v>1.9239999999999999</v>
      </c>
      <c r="DL63" s="375">
        <v>1.6766000000000001</v>
      </c>
      <c r="DM63" s="374">
        <v>8.8999999999999996E-2</v>
      </c>
      <c r="DN63" s="374">
        <v>6214.5708000000004</v>
      </c>
      <c r="DO63" s="374">
        <v>2462.8042</v>
      </c>
      <c r="DP63" s="351">
        <f t="shared" si="177"/>
        <v>253.52548000000002</v>
      </c>
      <c r="DQ63" s="351">
        <f t="shared" si="178"/>
        <v>330.05547600000006</v>
      </c>
      <c r="DR63" s="352">
        <f t="shared" si="179"/>
        <v>1.6909999999999998E-2</v>
      </c>
      <c r="DS63" s="352">
        <f t="shared" si="138"/>
        <v>9.5637769563542783E-3</v>
      </c>
      <c r="DT63" s="353">
        <f t="shared" si="139"/>
        <v>253.53504377695637</v>
      </c>
      <c r="DU63" s="353">
        <f t="shared" si="140"/>
        <v>330.04812977695639</v>
      </c>
      <c r="DV63" s="343">
        <f t="shared" si="141"/>
        <v>253.54872087579287</v>
      </c>
      <c r="DW63" s="343">
        <f t="shared" si="142"/>
        <v>330.06180687579291</v>
      </c>
      <c r="EB63" s="326"/>
      <c r="EC63" s="326"/>
      <c r="ED63" s="326"/>
      <c r="EE63" s="348">
        <f t="shared" si="143"/>
        <v>129213.43909999999</v>
      </c>
      <c r="EF63" s="348">
        <f t="shared" si="144"/>
        <v>43919.736700000001</v>
      </c>
      <c r="EG63" s="348">
        <f t="shared" si="145"/>
        <v>2942.6418685999997</v>
      </c>
      <c r="EH63" s="348">
        <f t="shared" si="146"/>
        <v>3686.9363108000002</v>
      </c>
      <c r="EI63" s="354">
        <f t="shared" si="180"/>
        <v>0.74632396998981165</v>
      </c>
      <c r="EJ63" s="326"/>
      <c r="EK63" s="348">
        <f t="shared" si="147"/>
        <v>2943.4904234200449</v>
      </c>
      <c r="EL63" s="348">
        <f t="shared" si="148"/>
        <v>3685.142561620044</v>
      </c>
      <c r="EM63" s="348">
        <f t="shared" si="58"/>
        <v>2985.8421828958431</v>
      </c>
      <c r="EN63" s="348">
        <f t="shared" si="149"/>
        <v>3727.4943210958436</v>
      </c>
      <c r="EP63" s="326"/>
      <c r="EQ63" s="326"/>
      <c r="ER63" s="326"/>
      <c r="ES63" s="348">
        <f t="shared" si="181"/>
        <v>101463.1508</v>
      </c>
      <c r="ET63" s="348">
        <f t="shared" si="182"/>
        <v>33096.012600000002</v>
      </c>
      <c r="EU63" s="348">
        <f t="shared" si="183"/>
        <v>2428.4820363999997</v>
      </c>
      <c r="EV63" s="348">
        <f t="shared" si="184"/>
        <v>3053.4754261999997</v>
      </c>
      <c r="EW63" s="354">
        <f t="shared" si="185"/>
        <v>0.75404118334463421</v>
      </c>
      <c r="EX63" s="326"/>
      <c r="EY63" s="348">
        <f t="shared" si="186"/>
        <v>2431.5105358914211</v>
      </c>
      <c r="EZ63" s="348">
        <f t="shared" si="187"/>
        <v>3051.3419176914213</v>
      </c>
      <c r="FA63" s="348">
        <f t="shared" si="66"/>
        <v>2464.0687222623233</v>
      </c>
      <c r="FB63" s="348">
        <f t="shared" si="67"/>
        <v>3083.9001040623234</v>
      </c>
      <c r="FD63" s="326"/>
      <c r="FE63" s="326"/>
      <c r="FF63" s="326"/>
      <c r="FG63" s="348">
        <f t="shared" si="188"/>
        <v>78764.894899999999</v>
      </c>
      <c r="FH63" s="348">
        <f t="shared" si="189"/>
        <v>26476.699199999995</v>
      </c>
      <c r="FI63" s="348">
        <f t="shared" si="190"/>
        <v>1784.5150289999999</v>
      </c>
      <c r="FJ63" s="348">
        <f t="shared" si="191"/>
        <v>2371.0787046</v>
      </c>
      <c r="FK63" s="354">
        <f t="shared" si="192"/>
        <v>0.74841981987804196</v>
      </c>
      <c r="FL63" s="326"/>
      <c r="FM63" s="348">
        <f t="shared" si="193"/>
        <v>1784.7589459965739</v>
      </c>
      <c r="FN63" s="348">
        <f t="shared" si="194"/>
        <v>2370.7993655965738</v>
      </c>
      <c r="FO63" s="348">
        <f t="shared" si="75"/>
        <v>1812.3388612300871</v>
      </c>
      <c r="FP63" s="348">
        <f t="shared" si="76"/>
        <v>2398.3792808300868</v>
      </c>
      <c r="FR63" s="326"/>
      <c r="FS63" s="326"/>
      <c r="FT63" s="326"/>
      <c r="FU63" s="348">
        <f t="shared" si="195"/>
        <v>83016.252500000002</v>
      </c>
      <c r="FV63" s="348">
        <f t="shared" si="196"/>
        <v>26743.541699999998</v>
      </c>
      <c r="FW63" s="348">
        <f t="shared" si="197"/>
        <v>574.97034059999999</v>
      </c>
      <c r="FX63" s="348">
        <f t="shared" si="198"/>
        <v>715.21243980000008</v>
      </c>
      <c r="FY63" s="354">
        <f t="shared" si="199"/>
        <v>0.75634482649203072</v>
      </c>
      <c r="FZ63" s="326"/>
      <c r="GA63" s="348">
        <f t="shared" si="200"/>
        <v>574.98941797046496</v>
      </c>
      <c r="GB63" s="348">
        <f t="shared" si="201"/>
        <v>715.19707717046504</v>
      </c>
      <c r="GC63" s="348">
        <f t="shared" si="84"/>
        <v>575.02358571479988</v>
      </c>
      <c r="GD63" s="348">
        <f t="shared" si="85"/>
        <v>715.23124491479984</v>
      </c>
      <c r="GF63" s="326"/>
      <c r="GG63" s="326"/>
      <c r="GH63" s="326"/>
      <c r="GI63" s="348">
        <f t="shared" si="202"/>
        <v>41480.400800000003</v>
      </c>
      <c r="GJ63" s="348">
        <f t="shared" si="203"/>
        <v>13075.4041</v>
      </c>
      <c r="GK63" s="349">
        <f t="shared" si="204"/>
        <v>199.21314150000001</v>
      </c>
      <c r="GL63" s="349">
        <f t="shared" si="205"/>
        <v>238.84733850000001</v>
      </c>
      <c r="GM63" s="354">
        <f t="shared" si="206"/>
        <v>0.76032973715689789</v>
      </c>
      <c r="GN63" s="326"/>
      <c r="GO63" s="349">
        <f t="shared" si="207"/>
        <v>199.04160096885516</v>
      </c>
      <c r="GP63" s="349">
        <f t="shared" si="208"/>
        <v>239.04776046885516</v>
      </c>
      <c r="GQ63" s="349">
        <f t="shared" si="93"/>
        <v>203.52873869691874</v>
      </c>
      <c r="GR63" s="349">
        <f t="shared" si="94"/>
        <v>243.53489819691868</v>
      </c>
      <c r="HA63" s="374"/>
      <c r="HB63" s="375"/>
      <c r="HC63" s="374"/>
      <c r="HD63" s="374"/>
      <c r="HE63" s="374"/>
      <c r="HF63" s="351">
        <f t="shared" si="209"/>
        <v>0</v>
      </c>
      <c r="HG63" s="351">
        <f t="shared" si="210"/>
        <v>0</v>
      </c>
      <c r="HH63" s="352">
        <f t="shared" si="211"/>
        <v>0</v>
      </c>
      <c r="HI63" s="352">
        <f t="shared" si="150"/>
        <v>0</v>
      </c>
      <c r="HJ63" s="353">
        <f t="shared" si="151"/>
        <v>0</v>
      </c>
      <c r="HK63" s="353">
        <f t="shared" si="152"/>
        <v>0</v>
      </c>
    </row>
    <row r="64" spans="1:219" x14ac:dyDescent="0.2">
      <c r="A64" s="320">
        <v>54</v>
      </c>
      <c r="C64" s="350">
        <v>1.7156</v>
      </c>
      <c r="D64" s="350">
        <v>1.2329000000000001</v>
      </c>
      <c r="E64" s="350">
        <v>1.5800000000000002E-2</v>
      </c>
      <c r="F64" s="350">
        <v>18365.471699999998</v>
      </c>
      <c r="G64" s="350">
        <v>8467.3525000000009</v>
      </c>
      <c r="H64" s="351">
        <f t="shared" si="153"/>
        <v>1674.59716</v>
      </c>
      <c r="I64" s="351">
        <f t="shared" si="154"/>
        <v>2285.4144010000005</v>
      </c>
      <c r="J64" s="352">
        <f t="shared" si="155"/>
        <v>2.7108060000000003</v>
      </c>
      <c r="K64" s="352">
        <f t="shared" si="98"/>
        <v>0.85542057705260133</v>
      </c>
      <c r="L64" s="353">
        <f t="shared" si="99"/>
        <v>1675.4525805770527</v>
      </c>
      <c r="M64" s="353">
        <f t="shared" si="100"/>
        <v>2283.5590155770528</v>
      </c>
      <c r="N64" s="343">
        <f t="shared" si="101"/>
        <v>1699.2297263858286</v>
      </c>
      <c r="O64" s="343">
        <f t="shared" si="102"/>
        <v>2307.3361613858292</v>
      </c>
      <c r="Q64" s="374">
        <v>1.9830000000000001</v>
      </c>
      <c r="R64" s="375">
        <v>1.4624999999999999</v>
      </c>
      <c r="S64" s="374">
        <v>2.1299999999999999E-2</v>
      </c>
      <c r="T64" s="374">
        <v>5968.4142000000002</v>
      </c>
      <c r="U64" s="374">
        <v>2194.9441999999999</v>
      </c>
      <c r="V64" s="351">
        <f t="shared" si="156"/>
        <v>1267.9302</v>
      </c>
      <c r="W64" s="351">
        <f t="shared" si="157"/>
        <v>1757.0182500000001</v>
      </c>
      <c r="X64" s="352">
        <f t="shared" si="158"/>
        <v>4.2680939999999996</v>
      </c>
      <c r="Y64" s="352">
        <f t="shared" si="103"/>
        <v>2.4790898670407095</v>
      </c>
      <c r="Z64" s="353">
        <f t="shared" si="104"/>
        <v>1270.4092898670408</v>
      </c>
      <c r="AA64" s="353">
        <f t="shared" si="105"/>
        <v>1755.2292458670408</v>
      </c>
      <c r="AB64" s="343">
        <f t="shared" si="106"/>
        <v>1284.9292630273796</v>
      </c>
      <c r="AC64" s="343">
        <f t="shared" si="107"/>
        <v>1769.7492190273797</v>
      </c>
      <c r="AE64" s="374">
        <v>2.2235</v>
      </c>
      <c r="AF64" s="375">
        <v>1.5003</v>
      </c>
      <c r="AG64" s="374">
        <v>0</v>
      </c>
      <c r="AH64" s="374">
        <v>762.05169999999998</v>
      </c>
      <c r="AI64" s="374">
        <v>217.0917</v>
      </c>
      <c r="AJ64" s="351">
        <f t="shared" si="159"/>
        <v>952.94763</v>
      </c>
      <c r="AK64" s="351">
        <f t="shared" si="160"/>
        <v>1491.5682539999998</v>
      </c>
      <c r="AL64" s="352">
        <f t="shared" si="161"/>
        <v>0</v>
      </c>
      <c r="AM64" s="352">
        <f t="shared" si="108"/>
        <v>0</v>
      </c>
      <c r="AN64" s="353">
        <f t="shared" si="109"/>
        <v>952.94763</v>
      </c>
      <c r="AO64" s="353">
        <f t="shared" si="110"/>
        <v>1491.5682539999998</v>
      </c>
      <c r="AP64" s="343">
        <f t="shared" si="111"/>
        <v>967.96129144859094</v>
      </c>
      <c r="AQ64" s="343">
        <f t="shared" si="112"/>
        <v>1506.5819154485907</v>
      </c>
      <c r="AS64" s="374">
        <v>2.4468000000000001</v>
      </c>
      <c r="AT64" s="375">
        <v>1.1584000000000001</v>
      </c>
      <c r="AU64" s="374">
        <v>0</v>
      </c>
      <c r="AV64" s="374">
        <v>24336.5442</v>
      </c>
      <c r="AW64" s="374">
        <v>7324.97</v>
      </c>
      <c r="AX64" s="351">
        <f t="shared" si="162"/>
        <v>833.55135600000006</v>
      </c>
      <c r="AY64" s="351">
        <f t="shared" si="163"/>
        <v>791.32620800000007</v>
      </c>
      <c r="AZ64" s="352">
        <f t="shared" si="164"/>
        <v>0</v>
      </c>
      <c r="BA64" s="352">
        <f t="shared" si="113"/>
        <v>0</v>
      </c>
      <c r="BB64" s="353">
        <f t="shared" si="114"/>
        <v>833.55135600000006</v>
      </c>
      <c r="BC64" s="353">
        <f t="shared" si="115"/>
        <v>791.32620800000007</v>
      </c>
      <c r="BD64" s="343">
        <f t="shared" si="116"/>
        <v>852.06585879521481</v>
      </c>
      <c r="BE64" s="343">
        <f t="shared" si="117"/>
        <v>809.84071079521482</v>
      </c>
      <c r="BG64" s="374">
        <v>2.2953000000000001</v>
      </c>
      <c r="BH64" s="375">
        <v>1.2575000000000001</v>
      </c>
      <c r="BI64" s="374">
        <v>0</v>
      </c>
      <c r="BJ64" s="374">
        <v>11652.6908</v>
      </c>
      <c r="BK64" s="374">
        <v>3661.915</v>
      </c>
      <c r="BL64" s="351">
        <f t="shared" si="165"/>
        <v>768.39758099999995</v>
      </c>
      <c r="BM64" s="351">
        <f t="shared" si="166"/>
        <v>736.7944</v>
      </c>
      <c r="BN64" s="352">
        <f t="shared" si="167"/>
        <v>0</v>
      </c>
      <c r="BO64" s="352">
        <f t="shared" si="118"/>
        <v>0</v>
      </c>
      <c r="BP64" s="353">
        <f t="shared" si="119"/>
        <v>768.39758099999995</v>
      </c>
      <c r="BQ64" s="353">
        <f t="shared" si="120"/>
        <v>736.7944</v>
      </c>
      <c r="BR64" s="343">
        <f t="shared" si="121"/>
        <v>786.9341327274069</v>
      </c>
      <c r="BS64" s="343">
        <f t="shared" si="122"/>
        <v>755.33095172740695</v>
      </c>
      <c r="BU64" s="374">
        <v>2.3803999999999998</v>
      </c>
      <c r="BV64" s="375">
        <v>1.1867000000000001</v>
      </c>
      <c r="BW64" s="374">
        <v>3.3999999999999998E-3</v>
      </c>
      <c r="BX64" s="374">
        <v>14145.523300000001</v>
      </c>
      <c r="BY64" s="374">
        <v>4664.2392</v>
      </c>
      <c r="BZ64" s="351">
        <f t="shared" si="168"/>
        <v>552.53844800000002</v>
      </c>
      <c r="CA64" s="351">
        <f t="shared" si="169"/>
        <v>453.16512900000004</v>
      </c>
      <c r="CB64" s="352">
        <f t="shared" si="170"/>
        <v>0.33724599999999999</v>
      </c>
      <c r="CC64" s="352">
        <f t="shared" si="123"/>
        <v>0.15196140352868012</v>
      </c>
      <c r="CD64" s="353">
        <f t="shared" si="124"/>
        <v>552.69040940352875</v>
      </c>
      <c r="CE64" s="353">
        <f t="shared" si="125"/>
        <v>452.97984440352872</v>
      </c>
      <c r="CF64" s="343">
        <f t="shared" si="126"/>
        <v>565.29882119932313</v>
      </c>
      <c r="CG64" s="343">
        <f t="shared" si="127"/>
        <v>465.58825619932321</v>
      </c>
      <c r="CI64" s="374">
        <v>1.1669</v>
      </c>
      <c r="CJ64" s="375">
        <v>1.0936999999999999</v>
      </c>
      <c r="CK64" s="374">
        <v>3.6200000000000003E-2</v>
      </c>
      <c r="CL64" s="374">
        <v>52899.262499999997</v>
      </c>
      <c r="CM64" s="374">
        <v>17279.275000000001</v>
      </c>
      <c r="CN64" s="351">
        <f t="shared" si="171"/>
        <v>248.00125700000001</v>
      </c>
      <c r="CO64" s="351">
        <f t="shared" si="172"/>
        <v>301.25966499999998</v>
      </c>
      <c r="CP64" s="352">
        <f t="shared" si="173"/>
        <v>1.4480000000000002E-2</v>
      </c>
      <c r="CQ64" s="352">
        <f t="shared" si="128"/>
        <v>7.9420176722494028E-3</v>
      </c>
      <c r="CR64" s="353">
        <f t="shared" si="129"/>
        <v>248.00919901767227</v>
      </c>
      <c r="CS64" s="353">
        <f t="shared" si="130"/>
        <v>301.25312701767223</v>
      </c>
      <c r="CT64" s="343">
        <f t="shared" si="131"/>
        <v>248.03711005669732</v>
      </c>
      <c r="CU64" s="343">
        <f t="shared" si="132"/>
        <v>301.2810380566973</v>
      </c>
      <c r="CW64" s="374">
        <v>1.9320999999999999</v>
      </c>
      <c r="CX64" s="375">
        <v>1.7222</v>
      </c>
      <c r="CY64" s="374">
        <v>8.3400000000000002E-2</v>
      </c>
      <c r="CZ64" s="374">
        <v>25106.526699999999</v>
      </c>
      <c r="DA64" s="374">
        <v>7781.4708000000001</v>
      </c>
      <c r="DB64" s="351">
        <f t="shared" si="174"/>
        <v>433.23478299999994</v>
      </c>
      <c r="DC64" s="351">
        <f t="shared" si="175"/>
        <v>535.15642800000001</v>
      </c>
      <c r="DD64" s="352">
        <f t="shared" si="176"/>
        <v>2.085E-2</v>
      </c>
      <c r="DE64" s="352">
        <f t="shared" si="133"/>
        <v>1.1522214779580441E-2</v>
      </c>
      <c r="DF64" s="353">
        <f t="shared" si="134"/>
        <v>433.24630521477951</v>
      </c>
      <c r="DG64" s="353">
        <f t="shared" si="135"/>
        <v>535.14710021477958</v>
      </c>
      <c r="DH64" s="343">
        <f t="shared" si="136"/>
        <v>433.25652307262806</v>
      </c>
      <c r="DI64" s="343">
        <f t="shared" si="137"/>
        <v>535.15731807262819</v>
      </c>
      <c r="DK64" s="374">
        <v>2.0062000000000002</v>
      </c>
      <c r="DL64" s="375">
        <v>1.7262</v>
      </c>
      <c r="DM64" s="374">
        <v>6.6500000000000004E-2</v>
      </c>
      <c r="DN64" s="374">
        <v>5591.2007999999996</v>
      </c>
      <c r="DO64" s="374">
        <v>2267.4458</v>
      </c>
      <c r="DP64" s="351">
        <f t="shared" si="177"/>
        <v>264.35697400000004</v>
      </c>
      <c r="DQ64" s="351">
        <f t="shared" si="178"/>
        <v>339.81973199999999</v>
      </c>
      <c r="DR64" s="352">
        <f t="shared" si="179"/>
        <v>1.2635E-2</v>
      </c>
      <c r="DS64" s="352">
        <f t="shared" si="138"/>
        <v>7.1065671204808096E-3</v>
      </c>
      <c r="DT64" s="353">
        <f t="shared" si="139"/>
        <v>264.36408056712054</v>
      </c>
      <c r="DU64" s="353">
        <f t="shared" si="140"/>
        <v>339.8142035671205</v>
      </c>
      <c r="DV64" s="343">
        <f t="shared" si="141"/>
        <v>264.38021487579289</v>
      </c>
      <c r="DW64" s="343">
        <f t="shared" si="142"/>
        <v>339.83033787579285</v>
      </c>
      <c r="EB64" s="326"/>
      <c r="EC64" s="326"/>
      <c r="ED64" s="326"/>
      <c r="EE64" s="348">
        <f t="shared" si="143"/>
        <v>120707.8051</v>
      </c>
      <c r="EF64" s="348">
        <f t="shared" si="144"/>
        <v>40853.068300000006</v>
      </c>
      <c r="EG64" s="348">
        <f t="shared" si="145"/>
        <v>3102.7375993999999</v>
      </c>
      <c r="EH64" s="348">
        <f t="shared" si="146"/>
        <v>3806.1254164000006</v>
      </c>
      <c r="EI64" s="354">
        <f t="shared" si="180"/>
        <v>0.74713513587628322</v>
      </c>
      <c r="EJ64" s="326"/>
      <c r="EK64" s="348">
        <f t="shared" si="147"/>
        <v>3103.6101797665488</v>
      </c>
      <c r="EL64" s="348">
        <f t="shared" si="148"/>
        <v>3804.256030766549</v>
      </c>
      <c r="EM64" s="348">
        <f t="shared" si="58"/>
        <v>3145.9379136958432</v>
      </c>
      <c r="EN64" s="348">
        <f t="shared" si="149"/>
        <v>3846.5837646958435</v>
      </c>
      <c r="EP64" s="326"/>
      <c r="EQ64" s="326"/>
      <c r="ER64" s="326"/>
      <c r="ES64" s="348">
        <f t="shared" si="181"/>
        <v>95626.894199999995</v>
      </c>
      <c r="ET64" s="348">
        <f t="shared" si="182"/>
        <v>30917.605</v>
      </c>
      <c r="EU64" s="348">
        <f t="shared" si="183"/>
        <v>2587.5933860999999</v>
      </c>
      <c r="EV64" s="348">
        <f t="shared" si="184"/>
        <v>3169.6818146000001</v>
      </c>
      <c r="EW64" s="354">
        <f t="shared" si="185"/>
        <v>0.75567800105529992</v>
      </c>
      <c r="EX64" s="326"/>
      <c r="EY64" s="348">
        <f t="shared" si="186"/>
        <v>2590.0884835350589</v>
      </c>
      <c r="EZ64" s="348">
        <f t="shared" si="187"/>
        <v>3167.8797430350587</v>
      </c>
      <c r="FA64" s="348">
        <f t="shared" si="66"/>
        <v>2623.1800719623234</v>
      </c>
      <c r="FB64" s="348">
        <f t="shared" si="67"/>
        <v>3200.9713314623241</v>
      </c>
      <c r="FD64" s="326"/>
      <c r="FE64" s="326"/>
      <c r="FF64" s="326"/>
      <c r="FG64" s="348">
        <f t="shared" si="188"/>
        <v>73398.0383</v>
      </c>
      <c r="FH64" s="348">
        <f t="shared" si="189"/>
        <v>24428.051700000004</v>
      </c>
      <c r="FI64" s="348">
        <f t="shared" si="190"/>
        <v>1912.1015193999999</v>
      </c>
      <c r="FJ64" s="348">
        <f t="shared" si="191"/>
        <v>2449.8848871999999</v>
      </c>
      <c r="FK64" s="354">
        <f t="shared" si="192"/>
        <v>0.75029103483539006</v>
      </c>
      <c r="FL64" s="326"/>
      <c r="FM64" s="348">
        <f t="shared" si="193"/>
        <v>1912.2656867614733</v>
      </c>
      <c r="FN64" s="348">
        <f t="shared" si="194"/>
        <v>2449.6897475614733</v>
      </c>
      <c r="FO64" s="348">
        <f t="shared" si="75"/>
        <v>1939.9253516300869</v>
      </c>
      <c r="FP64" s="348">
        <f t="shared" si="76"/>
        <v>2477.3494124300869</v>
      </c>
      <c r="FR64" s="326"/>
      <c r="FS64" s="326"/>
      <c r="FT64" s="326"/>
      <c r="FU64" s="348">
        <f t="shared" si="195"/>
        <v>78005.789199999999</v>
      </c>
      <c r="FV64" s="348">
        <f t="shared" si="196"/>
        <v>25060.745800000001</v>
      </c>
      <c r="FW64" s="348">
        <f t="shared" si="197"/>
        <v>594.58908339999994</v>
      </c>
      <c r="FX64" s="348">
        <f t="shared" si="198"/>
        <v>729.3848074</v>
      </c>
      <c r="FY64" s="354">
        <f t="shared" si="199"/>
        <v>0.75684885690588122</v>
      </c>
      <c r="FZ64" s="326"/>
      <c r="GA64" s="348">
        <f t="shared" si="200"/>
        <v>594.6062431894959</v>
      </c>
      <c r="GB64" s="348">
        <f t="shared" si="201"/>
        <v>729.37080718949596</v>
      </c>
      <c r="GC64" s="348">
        <f t="shared" si="84"/>
        <v>594.64232851479983</v>
      </c>
      <c r="GD64" s="348">
        <f t="shared" si="85"/>
        <v>729.40689251479989</v>
      </c>
      <c r="GF64" s="326"/>
      <c r="GG64" s="326"/>
      <c r="GH64" s="326"/>
      <c r="GI64" s="348">
        <f t="shared" si="202"/>
        <v>38482.067500000005</v>
      </c>
      <c r="GJ64" s="348">
        <f t="shared" si="203"/>
        <v>11989.209200000001</v>
      </c>
      <c r="GK64" s="349">
        <f t="shared" si="204"/>
        <v>210.75968100000003</v>
      </c>
      <c r="GL64" s="349">
        <f t="shared" si="205"/>
        <v>253.62080925000004</v>
      </c>
      <c r="GM64" s="354">
        <f t="shared" si="206"/>
        <v>0.76245480629975826</v>
      </c>
      <c r="GN64" s="326"/>
      <c r="GO64" s="349">
        <f t="shared" si="207"/>
        <v>210.64570994735348</v>
      </c>
      <c r="GP64" s="349">
        <f t="shared" si="208"/>
        <v>253.75977269735353</v>
      </c>
      <c r="GQ64" s="349">
        <f t="shared" si="93"/>
        <v>215.07527819691876</v>
      </c>
      <c r="GR64" s="349">
        <f t="shared" si="94"/>
        <v>258.18934094691872</v>
      </c>
      <c r="HA64" s="374"/>
      <c r="HB64" s="375"/>
      <c r="HC64" s="374"/>
      <c r="HD64" s="374"/>
      <c r="HE64" s="374"/>
      <c r="HF64" s="351">
        <f t="shared" si="209"/>
        <v>0</v>
      </c>
      <c r="HG64" s="351">
        <f t="shared" si="210"/>
        <v>0</v>
      </c>
      <c r="HH64" s="352">
        <f t="shared" si="211"/>
        <v>0</v>
      </c>
      <c r="HI64" s="352">
        <f t="shared" si="150"/>
        <v>0</v>
      </c>
      <c r="HJ64" s="353">
        <f t="shared" si="151"/>
        <v>0</v>
      </c>
      <c r="HK64" s="353">
        <f t="shared" si="152"/>
        <v>0</v>
      </c>
    </row>
    <row r="65" spans="1:219" x14ac:dyDescent="0.2">
      <c r="A65" s="320">
        <v>55</v>
      </c>
      <c r="C65" s="350">
        <v>1.8039000000000001</v>
      </c>
      <c r="D65" s="350">
        <v>1.2681</v>
      </c>
      <c r="E65" s="350">
        <v>1.41E-2</v>
      </c>
      <c r="F65" s="350">
        <v>16015.047500000001</v>
      </c>
      <c r="G65" s="350">
        <v>7793.3774999999996</v>
      </c>
      <c r="H65" s="351">
        <f t="shared" si="153"/>
        <v>1760.7867900000001</v>
      </c>
      <c r="I65" s="351">
        <f t="shared" si="154"/>
        <v>2350.6642890000003</v>
      </c>
      <c r="J65" s="352">
        <f t="shared" si="155"/>
        <v>2.4191369999999996</v>
      </c>
      <c r="K65" s="352">
        <f t="shared" si="98"/>
        <v>0.79187295527602097</v>
      </c>
      <c r="L65" s="353">
        <f t="shared" si="99"/>
        <v>1761.5786629552761</v>
      </c>
      <c r="M65" s="353">
        <f t="shared" si="100"/>
        <v>2349.0370249552766</v>
      </c>
      <c r="N65" s="343">
        <f t="shared" si="101"/>
        <v>1785.4193563858287</v>
      </c>
      <c r="O65" s="343">
        <f t="shared" si="102"/>
        <v>2372.8777183858292</v>
      </c>
      <c r="Q65" s="374">
        <v>2.1044</v>
      </c>
      <c r="R65" s="375">
        <v>1.5185</v>
      </c>
      <c r="S65" s="374">
        <v>1.7100000000000001E-2</v>
      </c>
      <c r="T65" s="374">
        <v>5473.5874999999996</v>
      </c>
      <c r="U65" s="374">
        <v>2090.4041999999999</v>
      </c>
      <c r="V65" s="351">
        <f t="shared" si="156"/>
        <v>1345.5533599999999</v>
      </c>
      <c r="W65" s="351">
        <f t="shared" si="157"/>
        <v>1824.2955300000001</v>
      </c>
      <c r="X65" s="352">
        <f t="shared" si="158"/>
        <v>3.426498</v>
      </c>
      <c r="Y65" s="352">
        <f t="shared" si="103"/>
        <v>1.9720009381753021</v>
      </c>
      <c r="Z65" s="353">
        <f t="shared" si="104"/>
        <v>1347.5253609381753</v>
      </c>
      <c r="AA65" s="353">
        <f t="shared" si="105"/>
        <v>1822.8410329381754</v>
      </c>
      <c r="AB65" s="343">
        <f t="shared" si="106"/>
        <v>1362.5524230273795</v>
      </c>
      <c r="AC65" s="343">
        <f t="shared" si="107"/>
        <v>1837.8680950273797</v>
      </c>
      <c r="AE65" s="374">
        <v>2.4030999999999998</v>
      </c>
      <c r="AF65" s="375">
        <v>1.5592999999999999</v>
      </c>
      <c r="AG65" s="374">
        <v>0</v>
      </c>
      <c r="AH65" s="374">
        <v>703.07579999999996</v>
      </c>
      <c r="AI65" s="374">
        <v>229.6533</v>
      </c>
      <c r="AJ65" s="351">
        <f t="shared" si="159"/>
        <v>1029.9205979999999</v>
      </c>
      <c r="AK65" s="351">
        <f t="shared" si="160"/>
        <v>1550.2248739999998</v>
      </c>
      <c r="AL65" s="352">
        <f t="shared" si="161"/>
        <v>0</v>
      </c>
      <c r="AM65" s="352">
        <f t="shared" si="108"/>
        <v>0</v>
      </c>
      <c r="AN65" s="353">
        <f t="shared" si="109"/>
        <v>1029.9205979999999</v>
      </c>
      <c r="AO65" s="353">
        <f t="shared" si="110"/>
        <v>1550.2248739999998</v>
      </c>
      <c r="AP65" s="343">
        <f t="shared" si="111"/>
        <v>1044.9342594485909</v>
      </c>
      <c r="AQ65" s="343">
        <f t="shared" si="112"/>
        <v>1565.2385354485907</v>
      </c>
      <c r="AS65" s="374">
        <v>2.6372</v>
      </c>
      <c r="AT65" s="375">
        <v>1.2192000000000001</v>
      </c>
      <c r="AU65" s="374">
        <v>0</v>
      </c>
      <c r="AV65" s="374">
        <v>22112.3917</v>
      </c>
      <c r="AW65" s="374">
        <v>7049.0691999999999</v>
      </c>
      <c r="AX65" s="351">
        <f t="shared" si="162"/>
        <v>898.41492400000004</v>
      </c>
      <c r="AY65" s="351">
        <f t="shared" si="163"/>
        <v>832.85990400000003</v>
      </c>
      <c r="AZ65" s="352">
        <f t="shared" si="164"/>
        <v>0</v>
      </c>
      <c r="BA65" s="352">
        <f t="shared" si="113"/>
        <v>0</v>
      </c>
      <c r="BB65" s="353">
        <f t="shared" si="114"/>
        <v>898.41492400000004</v>
      </c>
      <c r="BC65" s="353">
        <f t="shared" si="115"/>
        <v>832.85990400000003</v>
      </c>
      <c r="BD65" s="343">
        <f t="shared" si="116"/>
        <v>916.92942679521479</v>
      </c>
      <c r="BE65" s="343">
        <f t="shared" si="117"/>
        <v>851.37440679521478</v>
      </c>
      <c r="BG65" s="374">
        <v>2.5</v>
      </c>
      <c r="BH65" s="375">
        <v>1.3243</v>
      </c>
      <c r="BI65" s="374">
        <v>0</v>
      </c>
      <c r="BJ65" s="374">
        <v>10637.443300000001</v>
      </c>
      <c r="BK65" s="374">
        <v>3399.52</v>
      </c>
      <c r="BL65" s="351">
        <f t="shared" si="165"/>
        <v>836.92499999999995</v>
      </c>
      <c r="BM65" s="351">
        <f t="shared" si="166"/>
        <v>775.93385599999999</v>
      </c>
      <c r="BN65" s="352">
        <f t="shared" si="167"/>
        <v>0</v>
      </c>
      <c r="BO65" s="352">
        <f t="shared" si="118"/>
        <v>0</v>
      </c>
      <c r="BP65" s="353">
        <f t="shared" si="119"/>
        <v>836.92499999999995</v>
      </c>
      <c r="BQ65" s="353">
        <f t="shared" si="120"/>
        <v>775.93385599999999</v>
      </c>
      <c r="BR65" s="343">
        <f t="shared" si="121"/>
        <v>855.46155172740691</v>
      </c>
      <c r="BS65" s="343">
        <f t="shared" si="122"/>
        <v>794.47040772740695</v>
      </c>
      <c r="BU65" s="374">
        <v>2.5804</v>
      </c>
      <c r="BV65" s="375">
        <v>1.2430000000000001</v>
      </c>
      <c r="BW65" s="374">
        <v>2.3E-3</v>
      </c>
      <c r="BX65" s="374">
        <v>12316.9125</v>
      </c>
      <c r="BY65" s="374">
        <v>4074.2141999999999</v>
      </c>
      <c r="BZ65" s="351">
        <f t="shared" si="168"/>
        <v>598.96244799999999</v>
      </c>
      <c r="CA65" s="351">
        <f t="shared" si="169"/>
        <v>474.66441000000003</v>
      </c>
      <c r="CB65" s="352">
        <f t="shared" si="170"/>
        <v>0.22813699999999998</v>
      </c>
      <c r="CC65" s="352">
        <f t="shared" si="123"/>
        <v>0.10086233750326874</v>
      </c>
      <c r="CD65" s="353">
        <f t="shared" si="124"/>
        <v>599.06331033750325</v>
      </c>
      <c r="CE65" s="353">
        <f t="shared" si="125"/>
        <v>474.53713533750329</v>
      </c>
      <c r="CF65" s="343">
        <f t="shared" si="126"/>
        <v>611.72282119932311</v>
      </c>
      <c r="CG65" s="343">
        <f t="shared" si="127"/>
        <v>487.1966461993232</v>
      </c>
      <c r="CI65" s="374">
        <v>1.1838</v>
      </c>
      <c r="CJ65" s="375">
        <v>1.0948</v>
      </c>
      <c r="CK65" s="374">
        <v>2.9899999999999999E-2</v>
      </c>
      <c r="CL65" s="374">
        <v>47668.731699999997</v>
      </c>
      <c r="CM65" s="374">
        <v>16167.9192</v>
      </c>
      <c r="CN65" s="351">
        <f t="shared" si="171"/>
        <v>251.59301399999998</v>
      </c>
      <c r="CO65" s="351">
        <f t="shared" si="172"/>
        <v>301.56265999999999</v>
      </c>
      <c r="CP65" s="352">
        <f t="shared" si="173"/>
        <v>1.196E-2</v>
      </c>
      <c r="CQ65" s="352">
        <f t="shared" si="128"/>
        <v>6.5202068479550662E-3</v>
      </c>
      <c r="CR65" s="353">
        <f t="shared" si="129"/>
        <v>251.59953420684795</v>
      </c>
      <c r="CS65" s="353">
        <f t="shared" si="130"/>
        <v>301.55722020684794</v>
      </c>
      <c r="CT65" s="343">
        <f t="shared" si="131"/>
        <v>251.62886705669729</v>
      </c>
      <c r="CU65" s="343">
        <f t="shared" si="132"/>
        <v>301.58655305669731</v>
      </c>
      <c r="CW65" s="374">
        <v>2.0082</v>
      </c>
      <c r="CX65" s="375">
        <v>1.7719</v>
      </c>
      <c r="CY65" s="374">
        <v>8.1299999999999997E-2</v>
      </c>
      <c r="CZ65" s="374">
        <v>22504.4967</v>
      </c>
      <c r="DA65" s="374">
        <v>7240.5316999999995</v>
      </c>
      <c r="DB65" s="351">
        <f t="shared" si="174"/>
        <v>450.29868599999998</v>
      </c>
      <c r="DC65" s="351">
        <f t="shared" si="175"/>
        <v>550.60020600000007</v>
      </c>
      <c r="DD65" s="352">
        <f t="shared" si="176"/>
        <v>2.0324999999999999E-2</v>
      </c>
      <c r="DE65" s="352">
        <f t="shared" si="133"/>
        <v>1.1180898766495986E-2</v>
      </c>
      <c r="DF65" s="353">
        <f t="shared" si="134"/>
        <v>450.30986689876647</v>
      </c>
      <c r="DG65" s="353">
        <f t="shared" si="135"/>
        <v>550.59106189876661</v>
      </c>
      <c r="DH65" s="343">
        <f t="shared" si="136"/>
        <v>450.32042607262809</v>
      </c>
      <c r="DI65" s="343">
        <f t="shared" si="137"/>
        <v>550.60162107262829</v>
      </c>
      <c r="DK65" s="374">
        <v>2.0781999999999998</v>
      </c>
      <c r="DL65" s="375">
        <v>1.7678</v>
      </c>
      <c r="DM65" s="374">
        <v>4.7600000000000003E-2</v>
      </c>
      <c r="DN65" s="374">
        <v>4913.8017</v>
      </c>
      <c r="DO65" s="374">
        <v>2103.2375000000002</v>
      </c>
      <c r="DP65" s="351">
        <f t="shared" si="177"/>
        <v>273.84441399999997</v>
      </c>
      <c r="DQ65" s="351">
        <f t="shared" si="178"/>
        <v>348.00910800000003</v>
      </c>
      <c r="DR65" s="352">
        <f t="shared" si="179"/>
        <v>9.044E-3</v>
      </c>
      <c r="DS65" s="352">
        <f t="shared" si="138"/>
        <v>5.061311484784033E-3</v>
      </c>
      <c r="DT65" s="353">
        <f t="shared" si="139"/>
        <v>273.84947531148475</v>
      </c>
      <c r="DU65" s="353">
        <f t="shared" si="140"/>
        <v>348.00512531148479</v>
      </c>
      <c r="DV65" s="343">
        <f t="shared" si="141"/>
        <v>273.86765487579282</v>
      </c>
      <c r="DW65" s="343">
        <f t="shared" si="142"/>
        <v>348.02330487579286</v>
      </c>
      <c r="EB65" s="326"/>
      <c r="EC65" s="326"/>
      <c r="ED65" s="326"/>
      <c r="EE65" s="348">
        <f t="shared" si="143"/>
        <v>108300.6676</v>
      </c>
      <c r="EF65" s="348">
        <f t="shared" si="144"/>
        <v>38250.897599999997</v>
      </c>
      <c r="EG65" s="348">
        <f t="shared" si="145"/>
        <v>3271.0336768000002</v>
      </c>
      <c r="EH65" s="348">
        <f t="shared" si="146"/>
        <v>3925.5670178000005</v>
      </c>
      <c r="EI65" s="354">
        <f t="shared" si="180"/>
        <v>0.73899359213394467</v>
      </c>
      <c r="EJ65" s="326"/>
      <c r="EK65" s="348">
        <f t="shared" si="147"/>
        <v>3271.8410146811375</v>
      </c>
      <c r="EL65" s="348">
        <f t="shared" si="148"/>
        <v>3923.9269986811378</v>
      </c>
      <c r="EM65" s="348">
        <f t="shared" si="58"/>
        <v>3314.2339910958435</v>
      </c>
      <c r="EN65" s="348">
        <f t="shared" si="149"/>
        <v>3966.3199750958438</v>
      </c>
      <c r="EP65" s="326"/>
      <c r="EQ65" s="326"/>
      <c r="ER65" s="326"/>
      <c r="ES65" s="348">
        <f t="shared" si="181"/>
        <v>86284.2592</v>
      </c>
      <c r="ET65" s="348">
        <f t="shared" si="182"/>
        <v>28898.375099999997</v>
      </c>
      <c r="EU65" s="348">
        <f t="shared" si="183"/>
        <v>2749.2804541999999</v>
      </c>
      <c r="EV65" s="348">
        <f t="shared" si="184"/>
        <v>3287.2121901999999</v>
      </c>
      <c r="EW65" s="354">
        <f t="shared" si="185"/>
        <v>0.74910822906921481</v>
      </c>
      <c r="EX65" s="326"/>
      <c r="EY65" s="348">
        <f t="shared" si="186"/>
        <v>2751.26680197416</v>
      </c>
      <c r="EZ65" s="348">
        <f t="shared" si="187"/>
        <v>3285.7458524741601</v>
      </c>
      <c r="FA65" s="348">
        <f t="shared" si="66"/>
        <v>2784.8671400623234</v>
      </c>
      <c r="FB65" s="348">
        <f t="shared" si="67"/>
        <v>3319.3461905623235</v>
      </c>
      <c r="FD65" s="326"/>
      <c r="FE65" s="326"/>
      <c r="FF65" s="326"/>
      <c r="FG65" s="348">
        <f t="shared" si="188"/>
        <v>65602.521699999998</v>
      </c>
      <c r="FH65" s="348">
        <f t="shared" si="189"/>
        <v>22575.0242</v>
      </c>
      <c r="FI65" s="348">
        <f t="shared" si="190"/>
        <v>2044.7827084</v>
      </c>
      <c r="FJ65" s="348">
        <f t="shared" si="191"/>
        <v>2535.2574088000001</v>
      </c>
      <c r="FK65" s="354">
        <f t="shared" si="192"/>
        <v>0.74398216723334776</v>
      </c>
      <c r="FL65" s="326"/>
      <c r="FM65" s="348">
        <f t="shared" si="193"/>
        <v>2044.893127731242</v>
      </c>
      <c r="FN65" s="348">
        <f t="shared" si="194"/>
        <v>2535.1223047312419</v>
      </c>
      <c r="FO65" s="348">
        <f t="shared" si="75"/>
        <v>2072.6065406300868</v>
      </c>
      <c r="FP65" s="348">
        <f t="shared" si="76"/>
        <v>2562.8357176300865</v>
      </c>
      <c r="FR65" s="326"/>
      <c r="FS65" s="326"/>
      <c r="FT65" s="326"/>
      <c r="FU65" s="348">
        <f t="shared" si="195"/>
        <v>70173.228399999993</v>
      </c>
      <c r="FV65" s="348">
        <f t="shared" si="196"/>
        <v>23408.4509</v>
      </c>
      <c r="FW65" s="348">
        <f t="shared" si="197"/>
        <v>611.83196279999993</v>
      </c>
      <c r="FX65" s="348">
        <f t="shared" si="198"/>
        <v>742.04282480000006</v>
      </c>
      <c r="FY65" s="354">
        <f t="shared" si="199"/>
        <v>0.74986075185765555</v>
      </c>
      <c r="FZ65" s="326"/>
      <c r="GA65" s="348">
        <f t="shared" si="200"/>
        <v>611.84742772586117</v>
      </c>
      <c r="GB65" s="348">
        <f t="shared" si="201"/>
        <v>742.03006972586127</v>
      </c>
      <c r="GC65" s="348">
        <f t="shared" si="84"/>
        <v>611.88520791479982</v>
      </c>
      <c r="GD65" s="348">
        <f t="shared" si="85"/>
        <v>742.06784991480004</v>
      </c>
      <c r="GF65" s="326"/>
      <c r="GG65" s="326"/>
      <c r="GH65" s="326"/>
      <c r="GI65" s="348">
        <f t="shared" si="202"/>
        <v>34429.304199999999</v>
      </c>
      <c r="GJ65" s="348">
        <f t="shared" si="203"/>
        <v>11123.2834</v>
      </c>
      <c r="GK65" s="349">
        <f t="shared" si="204"/>
        <v>224.58935700000004</v>
      </c>
      <c r="GL65" s="349">
        <f t="shared" si="205"/>
        <v>268.64662049999998</v>
      </c>
      <c r="GM65" s="354">
        <f t="shared" si="206"/>
        <v>0.75581445564247152</v>
      </c>
      <c r="GN65" s="326"/>
      <c r="GO65" s="349">
        <f t="shared" si="207"/>
        <v>224.51371024687259</v>
      </c>
      <c r="GP65" s="349">
        <f t="shared" si="208"/>
        <v>268.74207649687253</v>
      </c>
      <c r="GQ65" s="349">
        <f t="shared" si="93"/>
        <v>228.90495419691877</v>
      </c>
      <c r="GR65" s="349">
        <f t="shared" si="94"/>
        <v>273.13332044691867</v>
      </c>
      <c r="HA65" s="374"/>
      <c r="HB65" s="375"/>
      <c r="HC65" s="374"/>
      <c r="HD65" s="374"/>
      <c r="HE65" s="374"/>
      <c r="HF65" s="351">
        <f t="shared" si="209"/>
        <v>0</v>
      </c>
      <c r="HG65" s="351">
        <f t="shared" si="210"/>
        <v>0</v>
      </c>
      <c r="HH65" s="352">
        <f t="shared" si="211"/>
        <v>0</v>
      </c>
      <c r="HI65" s="352">
        <f t="shared" si="150"/>
        <v>0</v>
      </c>
      <c r="HJ65" s="353">
        <f t="shared" si="151"/>
        <v>0</v>
      </c>
      <c r="HK65" s="353">
        <f t="shared" si="152"/>
        <v>0</v>
      </c>
    </row>
    <row r="66" spans="1:219" x14ac:dyDescent="0.2">
      <c r="A66" s="320">
        <v>56</v>
      </c>
      <c r="C66" s="350">
        <v>1.8985000000000001</v>
      </c>
      <c r="D66" s="350">
        <v>1.3025</v>
      </c>
      <c r="E66" s="350">
        <v>1.1299999999999999E-2</v>
      </c>
      <c r="F66" s="350">
        <v>15388.875</v>
      </c>
      <c r="G66" s="350">
        <v>7616.1350000000002</v>
      </c>
      <c r="H66" s="351">
        <f t="shared" si="153"/>
        <v>1853.1258500000001</v>
      </c>
      <c r="I66" s="351">
        <f t="shared" si="154"/>
        <v>2414.4312250000003</v>
      </c>
      <c r="J66" s="352">
        <f t="shared" si="155"/>
        <v>1.9387409999999998</v>
      </c>
      <c r="K66" s="352">
        <f t="shared" si="98"/>
        <v>0.64184771865063295</v>
      </c>
      <c r="L66" s="353">
        <f t="shared" si="99"/>
        <v>1853.7676977186507</v>
      </c>
      <c r="M66" s="353">
        <f t="shared" si="100"/>
        <v>2413.1343317186511</v>
      </c>
      <c r="N66" s="343">
        <f t="shared" si="101"/>
        <v>1877.7584163858287</v>
      </c>
      <c r="O66" s="343">
        <f t="shared" si="102"/>
        <v>2437.1250503858291</v>
      </c>
      <c r="Q66" s="374">
        <v>2.2216999999999998</v>
      </c>
      <c r="R66" s="375">
        <v>1.5730999999999999</v>
      </c>
      <c r="S66" s="374">
        <v>1.3599999999999999E-2</v>
      </c>
      <c r="T66" s="374">
        <v>5384.2816999999995</v>
      </c>
      <c r="U66" s="374">
        <v>2068.33</v>
      </c>
      <c r="V66" s="351">
        <f t="shared" si="156"/>
        <v>1420.5549799999999</v>
      </c>
      <c r="W66" s="351">
        <f t="shared" si="157"/>
        <v>1889.8908780000002</v>
      </c>
      <c r="X66" s="352">
        <f t="shared" si="158"/>
        <v>2.7251679999999996</v>
      </c>
      <c r="Y66" s="352">
        <f t="shared" si="103"/>
        <v>1.5557632914525388</v>
      </c>
      <c r="Z66" s="353">
        <f t="shared" si="104"/>
        <v>1422.1107432914525</v>
      </c>
      <c r="AA66" s="353">
        <f t="shared" si="105"/>
        <v>1888.7214732914529</v>
      </c>
      <c r="AB66" s="343">
        <f t="shared" si="106"/>
        <v>1437.5540430273795</v>
      </c>
      <c r="AC66" s="343">
        <f t="shared" si="107"/>
        <v>1904.1647730273799</v>
      </c>
      <c r="AE66" s="374">
        <v>2.5907</v>
      </c>
      <c r="AF66" s="375">
        <v>1.6262000000000001</v>
      </c>
      <c r="AG66" s="374">
        <v>0</v>
      </c>
      <c r="AH66" s="374">
        <v>642.33669999999995</v>
      </c>
      <c r="AI66" s="374">
        <v>190.08330000000001</v>
      </c>
      <c r="AJ66" s="351">
        <f t="shared" si="159"/>
        <v>1110.3222060000001</v>
      </c>
      <c r="AK66" s="351">
        <f t="shared" si="160"/>
        <v>1616.735516</v>
      </c>
      <c r="AL66" s="352">
        <f t="shared" si="161"/>
        <v>0</v>
      </c>
      <c r="AM66" s="352">
        <f t="shared" si="108"/>
        <v>0</v>
      </c>
      <c r="AN66" s="353">
        <f t="shared" si="109"/>
        <v>1110.3222060000001</v>
      </c>
      <c r="AO66" s="353">
        <f t="shared" si="110"/>
        <v>1616.735516</v>
      </c>
      <c r="AP66" s="343">
        <f t="shared" si="111"/>
        <v>1125.335867448591</v>
      </c>
      <c r="AQ66" s="343">
        <f t="shared" si="112"/>
        <v>1631.7491774485909</v>
      </c>
      <c r="AS66" s="374">
        <v>2.8563999999999998</v>
      </c>
      <c r="AT66" s="375">
        <v>1.2877000000000001</v>
      </c>
      <c r="AU66" s="374">
        <v>0</v>
      </c>
      <c r="AV66" s="374">
        <v>20944.887500000001</v>
      </c>
      <c r="AW66" s="374">
        <v>6721.9933000000001</v>
      </c>
      <c r="AX66" s="351">
        <f t="shared" si="162"/>
        <v>973.089788</v>
      </c>
      <c r="AY66" s="351">
        <f t="shared" si="163"/>
        <v>879.65362400000004</v>
      </c>
      <c r="AZ66" s="352">
        <f t="shared" si="164"/>
        <v>0</v>
      </c>
      <c r="BA66" s="352">
        <f t="shared" si="113"/>
        <v>0</v>
      </c>
      <c r="BB66" s="353">
        <f t="shared" si="114"/>
        <v>973.089788</v>
      </c>
      <c r="BC66" s="353">
        <f t="shared" si="115"/>
        <v>879.65362400000004</v>
      </c>
      <c r="BD66" s="343">
        <f t="shared" si="116"/>
        <v>991.60429079521475</v>
      </c>
      <c r="BE66" s="343">
        <f t="shared" si="117"/>
        <v>898.16812679521479</v>
      </c>
      <c r="BG66" s="374">
        <v>2.7214999999999998</v>
      </c>
      <c r="BH66" s="375">
        <v>1.3964000000000001</v>
      </c>
      <c r="BI66" s="374">
        <v>0</v>
      </c>
      <c r="BJ66" s="374">
        <v>10322.4558</v>
      </c>
      <c r="BK66" s="374">
        <v>3415.72</v>
      </c>
      <c r="BL66" s="351">
        <f t="shared" si="165"/>
        <v>911.07655499999987</v>
      </c>
      <c r="BM66" s="351">
        <f t="shared" si="166"/>
        <v>818.17868799999997</v>
      </c>
      <c r="BN66" s="352">
        <f t="shared" si="167"/>
        <v>0</v>
      </c>
      <c r="BO66" s="352">
        <f t="shared" si="118"/>
        <v>0</v>
      </c>
      <c r="BP66" s="353">
        <f t="shared" si="119"/>
        <v>911.07655499999987</v>
      </c>
      <c r="BQ66" s="353">
        <f t="shared" si="120"/>
        <v>818.17868799999997</v>
      </c>
      <c r="BR66" s="343">
        <f t="shared" si="121"/>
        <v>929.61310672740683</v>
      </c>
      <c r="BS66" s="343">
        <f t="shared" si="122"/>
        <v>836.71523972740692</v>
      </c>
      <c r="BU66" s="374">
        <v>2.7789999999999999</v>
      </c>
      <c r="BV66" s="375">
        <v>1.3089999999999999</v>
      </c>
      <c r="BW66" s="374">
        <v>0</v>
      </c>
      <c r="BX66" s="374">
        <v>11959.074199999999</v>
      </c>
      <c r="BY66" s="374">
        <v>4184.8824999999997</v>
      </c>
      <c r="BZ66" s="351">
        <f t="shared" si="168"/>
        <v>645.06147999999996</v>
      </c>
      <c r="CA66" s="351">
        <f t="shared" si="169"/>
        <v>499.86782999999997</v>
      </c>
      <c r="CB66" s="352">
        <f t="shared" si="170"/>
        <v>0</v>
      </c>
      <c r="CC66" s="352">
        <f t="shared" si="123"/>
        <v>0</v>
      </c>
      <c r="CD66" s="353">
        <f t="shared" si="124"/>
        <v>645.06147999999996</v>
      </c>
      <c r="CE66" s="353">
        <f t="shared" si="125"/>
        <v>499.86782999999997</v>
      </c>
      <c r="CF66" s="343">
        <f t="shared" si="126"/>
        <v>657.82185319932307</v>
      </c>
      <c r="CG66" s="343">
        <f t="shared" si="127"/>
        <v>512.62820319932314</v>
      </c>
      <c r="CI66" s="374">
        <v>1.2003999999999999</v>
      </c>
      <c r="CJ66" s="375">
        <v>1.0940000000000001</v>
      </c>
      <c r="CK66" s="374">
        <v>2.2800000000000001E-2</v>
      </c>
      <c r="CL66" s="374">
        <v>45921.105799999998</v>
      </c>
      <c r="CM66" s="374">
        <v>16063.1492</v>
      </c>
      <c r="CN66" s="351">
        <f t="shared" si="171"/>
        <v>255.12101199999998</v>
      </c>
      <c r="CO66" s="351">
        <f t="shared" si="172"/>
        <v>301.34230000000002</v>
      </c>
      <c r="CP66" s="352">
        <f t="shared" si="173"/>
        <v>9.1200000000000014E-3</v>
      </c>
      <c r="CQ66" s="352">
        <f t="shared" si="128"/>
        <v>4.9387654437135662E-3</v>
      </c>
      <c r="CR66" s="353">
        <f t="shared" si="129"/>
        <v>255.12595076544369</v>
      </c>
      <c r="CS66" s="353">
        <f t="shared" si="130"/>
        <v>301.33811876544377</v>
      </c>
      <c r="CT66" s="343">
        <f t="shared" si="131"/>
        <v>255.15686505669728</v>
      </c>
      <c r="CU66" s="343">
        <f t="shared" si="132"/>
        <v>301.36903305669733</v>
      </c>
      <c r="CW66" s="374">
        <v>2.0844</v>
      </c>
      <c r="CX66" s="375">
        <v>1.8205</v>
      </c>
      <c r="CY66" s="374">
        <v>7.8E-2</v>
      </c>
      <c r="CZ66" s="374">
        <v>21608.622500000001</v>
      </c>
      <c r="DA66" s="374">
        <v>7172.2574999999997</v>
      </c>
      <c r="DB66" s="351">
        <f t="shared" si="174"/>
        <v>467.38501199999996</v>
      </c>
      <c r="DC66" s="351">
        <f t="shared" si="175"/>
        <v>565.70217000000002</v>
      </c>
      <c r="DD66" s="352">
        <f t="shared" si="176"/>
        <v>1.95E-2</v>
      </c>
      <c r="DE66" s="352">
        <f t="shared" si="133"/>
        <v>1.0677890992359636E-2</v>
      </c>
      <c r="DF66" s="353">
        <f t="shared" si="134"/>
        <v>467.39568989099234</v>
      </c>
      <c r="DG66" s="353">
        <f t="shared" si="135"/>
        <v>565.69334789099241</v>
      </c>
      <c r="DH66" s="343">
        <f t="shared" si="136"/>
        <v>467.40675207262808</v>
      </c>
      <c r="DI66" s="343">
        <f t="shared" si="137"/>
        <v>565.70441007262821</v>
      </c>
      <c r="DK66" s="374">
        <v>2.1366999999999998</v>
      </c>
      <c r="DL66" s="375">
        <v>1.802</v>
      </c>
      <c r="DM66" s="374">
        <v>3.3000000000000002E-2</v>
      </c>
      <c r="DN66" s="374">
        <v>4863.4492</v>
      </c>
      <c r="DO66" s="374">
        <v>2069.1691999999998</v>
      </c>
      <c r="DP66" s="351">
        <f t="shared" si="177"/>
        <v>281.55295899999999</v>
      </c>
      <c r="DQ66" s="351">
        <f t="shared" si="178"/>
        <v>354.74172000000004</v>
      </c>
      <c r="DR66" s="352">
        <f t="shared" si="179"/>
        <v>6.2700000000000004E-3</v>
      </c>
      <c r="DS66" s="352">
        <f t="shared" si="138"/>
        <v>3.4955982782939477E-3</v>
      </c>
      <c r="DT66" s="353">
        <f t="shared" si="139"/>
        <v>281.55645459827826</v>
      </c>
      <c r="DU66" s="353">
        <f t="shared" si="140"/>
        <v>354.73894559827835</v>
      </c>
      <c r="DV66" s="343">
        <f t="shared" si="141"/>
        <v>281.57619987579284</v>
      </c>
      <c r="DW66" s="343">
        <f t="shared" si="142"/>
        <v>354.75869087579292</v>
      </c>
      <c r="EB66" s="326"/>
      <c r="EC66" s="326"/>
      <c r="ED66" s="326"/>
      <c r="EE66" s="348">
        <f t="shared" si="143"/>
        <v>103863.4908</v>
      </c>
      <c r="EF66" s="348">
        <f t="shared" si="144"/>
        <v>37573.535000000003</v>
      </c>
      <c r="EG66" s="348">
        <f t="shared" si="145"/>
        <v>3455.2446596</v>
      </c>
      <c r="EH66" s="348">
        <f t="shared" si="146"/>
        <v>4047.9888850000002</v>
      </c>
      <c r="EI66" s="354">
        <f t="shared" si="180"/>
        <v>0.73434442086521867</v>
      </c>
      <c r="EJ66" s="326"/>
      <c r="EK66" s="348">
        <f t="shared" si="147"/>
        <v>3455.8999883968881</v>
      </c>
      <c r="EL66" s="348">
        <f t="shared" si="148"/>
        <v>4046.6807527968886</v>
      </c>
      <c r="EM66" s="348">
        <f t="shared" si="58"/>
        <v>3498.4449738958433</v>
      </c>
      <c r="EN66" s="348">
        <f t="shared" si="149"/>
        <v>4089.2257382958442</v>
      </c>
      <c r="EP66" s="326"/>
      <c r="EQ66" s="326"/>
      <c r="ER66" s="326"/>
      <c r="ES66" s="348">
        <f t="shared" si="181"/>
        <v>83236.465799999991</v>
      </c>
      <c r="ET66" s="348">
        <f t="shared" si="182"/>
        <v>28719.456699999999</v>
      </c>
      <c r="EU66" s="348">
        <f t="shared" si="183"/>
        <v>2913.9220553999994</v>
      </c>
      <c r="EV66" s="348">
        <f t="shared" si="184"/>
        <v>3405.4033850000005</v>
      </c>
      <c r="EW66" s="354">
        <f t="shared" si="185"/>
        <v>0.74347532440724606</v>
      </c>
      <c r="EX66" s="326"/>
      <c r="EY66" s="348">
        <f t="shared" si="186"/>
        <v>2915.4902319805906</v>
      </c>
      <c r="EZ66" s="348">
        <f t="shared" si="187"/>
        <v>3404.2236235805908</v>
      </c>
      <c r="FA66" s="348">
        <f t="shared" si="66"/>
        <v>2949.5087412623234</v>
      </c>
      <c r="FB66" s="348">
        <f t="shared" si="67"/>
        <v>3438.2421328623236</v>
      </c>
      <c r="FD66" s="326"/>
      <c r="FE66" s="326"/>
      <c r="FF66" s="326"/>
      <c r="FG66" s="348">
        <f t="shared" si="188"/>
        <v>63385.965899999996</v>
      </c>
      <c r="FH66" s="348">
        <f t="shared" si="189"/>
        <v>22507.284199999998</v>
      </c>
      <c r="FI66" s="348">
        <f t="shared" si="190"/>
        <v>2179.4364734000001</v>
      </c>
      <c r="FJ66" s="348">
        <f t="shared" si="191"/>
        <v>2630.7906780000003</v>
      </c>
      <c r="FK66" s="354">
        <f t="shared" si="192"/>
        <v>0.73796213120593046</v>
      </c>
      <c r="FL66" s="326"/>
      <c r="FM66" s="348">
        <f t="shared" si="193"/>
        <v>2179.4435095244107</v>
      </c>
      <c r="FN66" s="348">
        <f t="shared" si="194"/>
        <v>2630.7848321244105</v>
      </c>
      <c r="FO66" s="348">
        <f t="shared" si="75"/>
        <v>2207.2603056300873</v>
      </c>
      <c r="FP66" s="348">
        <f t="shared" si="76"/>
        <v>2658.601628230087</v>
      </c>
      <c r="FR66" s="326"/>
      <c r="FS66" s="326"/>
      <c r="FT66" s="326"/>
      <c r="FU66" s="348">
        <f t="shared" si="195"/>
        <v>67529.728300000002</v>
      </c>
      <c r="FV66" s="348">
        <f t="shared" si="196"/>
        <v>23235.4067</v>
      </c>
      <c r="FW66" s="348">
        <f t="shared" si="197"/>
        <v>629.02902159999996</v>
      </c>
      <c r="FX66" s="348">
        <f t="shared" si="198"/>
        <v>753.90403600000013</v>
      </c>
      <c r="FY66" s="354">
        <f t="shared" si="199"/>
        <v>0.74400515462242189</v>
      </c>
      <c r="FZ66" s="326"/>
      <c r="GA66" s="348">
        <f t="shared" si="200"/>
        <v>629.04250267823761</v>
      </c>
      <c r="GB66" s="348">
        <f t="shared" si="201"/>
        <v>753.89279707823766</v>
      </c>
      <c r="GC66" s="348">
        <f t="shared" si="84"/>
        <v>629.08226671479974</v>
      </c>
      <c r="GD66" s="348">
        <f t="shared" si="85"/>
        <v>753.93256111479991</v>
      </c>
      <c r="GF66" s="326"/>
      <c r="GG66" s="326"/>
      <c r="GH66" s="326"/>
      <c r="GI66" s="348">
        <f t="shared" si="202"/>
        <v>32903.9617</v>
      </c>
      <c r="GJ66" s="348">
        <f t="shared" si="203"/>
        <v>10906.8758</v>
      </c>
      <c r="GK66" s="349">
        <f t="shared" si="204"/>
        <v>246.02123100000003</v>
      </c>
      <c r="GL66" s="349">
        <f t="shared" si="205"/>
        <v>284.83934550000004</v>
      </c>
      <c r="GM66" s="354">
        <f t="shared" si="206"/>
        <v>0.75104616979759853</v>
      </c>
      <c r="GN66" s="326"/>
      <c r="GO66" s="349">
        <f t="shared" si="207"/>
        <v>246.02123100000003</v>
      </c>
      <c r="GP66" s="349">
        <f t="shared" si="208"/>
        <v>284.83934550000004</v>
      </c>
      <c r="GQ66" s="349">
        <f t="shared" si="93"/>
        <v>250.33682819691876</v>
      </c>
      <c r="GR66" s="349">
        <f t="shared" si="94"/>
        <v>289.15494269691874</v>
      </c>
      <c r="HA66" s="374"/>
      <c r="HB66" s="375"/>
      <c r="HC66" s="374"/>
      <c r="HD66" s="374"/>
      <c r="HE66" s="374"/>
      <c r="HF66" s="351">
        <f t="shared" si="209"/>
        <v>0</v>
      </c>
      <c r="HG66" s="351">
        <f t="shared" si="210"/>
        <v>0</v>
      </c>
      <c r="HH66" s="352">
        <f t="shared" si="211"/>
        <v>0</v>
      </c>
      <c r="HI66" s="352">
        <f t="shared" si="150"/>
        <v>0</v>
      </c>
      <c r="HJ66" s="353">
        <f t="shared" si="151"/>
        <v>0</v>
      </c>
      <c r="HK66" s="353">
        <f t="shared" si="152"/>
        <v>0</v>
      </c>
    </row>
    <row r="67" spans="1:219" x14ac:dyDescent="0.2">
      <c r="A67" s="320">
        <v>57</v>
      </c>
      <c r="C67" s="350">
        <v>2.0003000000000002</v>
      </c>
      <c r="D67" s="350">
        <v>1.3366</v>
      </c>
      <c r="E67" s="350">
        <v>8.6999999999999994E-3</v>
      </c>
      <c r="F67" s="350">
        <v>14653.9925</v>
      </c>
      <c r="G67" s="350">
        <v>7364.3283000000001</v>
      </c>
      <c r="H67" s="351">
        <f t="shared" si="153"/>
        <v>1952.4928300000001</v>
      </c>
      <c r="I67" s="351">
        <f t="shared" si="154"/>
        <v>2477.6420539999999</v>
      </c>
      <c r="J67" s="352">
        <f t="shared" si="155"/>
        <v>1.4926589999999997</v>
      </c>
      <c r="K67" s="352">
        <f t="shared" si="98"/>
        <v>0.49924020163925026</v>
      </c>
      <c r="L67" s="353">
        <f t="shared" si="99"/>
        <v>1952.9920702016393</v>
      </c>
      <c r="M67" s="353">
        <f t="shared" si="100"/>
        <v>2476.6486352016391</v>
      </c>
      <c r="N67" s="343">
        <f t="shared" si="101"/>
        <v>1977.1253963858287</v>
      </c>
      <c r="O67" s="343">
        <f t="shared" si="102"/>
        <v>2500.7819613858287</v>
      </c>
      <c r="Q67" s="374">
        <v>2.3391000000000002</v>
      </c>
      <c r="R67" s="375">
        <v>1.6282000000000001</v>
      </c>
      <c r="S67" s="374">
        <v>1.11E-2</v>
      </c>
      <c r="T67" s="374">
        <v>5278.0524999999998</v>
      </c>
      <c r="U67" s="374">
        <v>2050.9699999999998</v>
      </c>
      <c r="V67" s="351">
        <f t="shared" si="156"/>
        <v>1495.6205400000001</v>
      </c>
      <c r="W67" s="351">
        <f t="shared" si="157"/>
        <v>1956.0869160000002</v>
      </c>
      <c r="X67" s="352">
        <f t="shared" si="158"/>
        <v>2.224218</v>
      </c>
      <c r="Y67" s="352">
        <f t="shared" si="103"/>
        <v>1.260467111883681</v>
      </c>
      <c r="Z67" s="353">
        <f t="shared" si="104"/>
        <v>1496.8810071118837</v>
      </c>
      <c r="AA67" s="353">
        <f t="shared" si="105"/>
        <v>1955.1231651118837</v>
      </c>
      <c r="AB67" s="343">
        <f t="shared" si="106"/>
        <v>1512.6196030273798</v>
      </c>
      <c r="AC67" s="343">
        <f t="shared" si="107"/>
        <v>1970.8617610273798</v>
      </c>
      <c r="AE67" s="374">
        <v>2.7917999999999998</v>
      </c>
      <c r="AF67" s="375">
        <v>1.7013</v>
      </c>
      <c r="AG67" s="374">
        <v>0</v>
      </c>
      <c r="AH67" s="374">
        <v>634.16250000000002</v>
      </c>
      <c r="AI67" s="374">
        <v>211.0642</v>
      </c>
      <c r="AJ67" s="351">
        <f t="shared" si="159"/>
        <v>1196.509644</v>
      </c>
      <c r="AK67" s="351">
        <f t="shared" si="160"/>
        <v>1691.398434</v>
      </c>
      <c r="AL67" s="352">
        <f t="shared" si="161"/>
        <v>0</v>
      </c>
      <c r="AM67" s="352">
        <f t="shared" si="108"/>
        <v>0</v>
      </c>
      <c r="AN67" s="353">
        <f t="shared" si="109"/>
        <v>1196.509644</v>
      </c>
      <c r="AO67" s="353">
        <f t="shared" si="110"/>
        <v>1691.398434</v>
      </c>
      <c r="AP67" s="343">
        <f t="shared" si="111"/>
        <v>1211.5233054485909</v>
      </c>
      <c r="AQ67" s="343">
        <f t="shared" si="112"/>
        <v>1706.4120954485909</v>
      </c>
      <c r="AS67" s="374">
        <v>3.1067</v>
      </c>
      <c r="AT67" s="375">
        <v>1.3647</v>
      </c>
      <c r="AU67" s="374">
        <v>0</v>
      </c>
      <c r="AV67" s="374">
        <v>20061.8825</v>
      </c>
      <c r="AW67" s="374">
        <v>6853.2457999999997</v>
      </c>
      <c r="AX67" s="351">
        <f t="shared" si="162"/>
        <v>1058.3594890000002</v>
      </c>
      <c r="AY67" s="351">
        <f t="shared" si="163"/>
        <v>932.25386400000002</v>
      </c>
      <c r="AZ67" s="352">
        <f t="shared" si="164"/>
        <v>0</v>
      </c>
      <c r="BA67" s="352">
        <f t="shared" si="113"/>
        <v>0</v>
      </c>
      <c r="BB67" s="353">
        <f t="shared" si="114"/>
        <v>1058.3594890000002</v>
      </c>
      <c r="BC67" s="353">
        <f t="shared" si="115"/>
        <v>932.25386400000002</v>
      </c>
      <c r="BD67" s="343">
        <f t="shared" si="116"/>
        <v>1076.8739917952148</v>
      </c>
      <c r="BE67" s="343">
        <f t="shared" si="117"/>
        <v>950.76836679521477</v>
      </c>
      <c r="BG67" s="374">
        <v>2.9586000000000001</v>
      </c>
      <c r="BH67" s="375">
        <v>1.4731000000000001</v>
      </c>
      <c r="BI67" s="374">
        <v>0</v>
      </c>
      <c r="BJ67" s="374">
        <v>9970.9</v>
      </c>
      <c r="BK67" s="374">
        <v>3412.0425</v>
      </c>
      <c r="BL67" s="351">
        <f t="shared" si="165"/>
        <v>990.45052199999998</v>
      </c>
      <c r="BM67" s="351">
        <f t="shared" si="166"/>
        <v>863.11875199999997</v>
      </c>
      <c r="BN67" s="352">
        <f t="shared" si="167"/>
        <v>0</v>
      </c>
      <c r="BO67" s="352">
        <f t="shared" si="118"/>
        <v>0</v>
      </c>
      <c r="BP67" s="353">
        <f t="shared" si="119"/>
        <v>990.45052199999998</v>
      </c>
      <c r="BQ67" s="353">
        <f t="shared" si="120"/>
        <v>863.11875199999997</v>
      </c>
      <c r="BR67" s="343">
        <f t="shared" si="121"/>
        <v>1008.9870737274069</v>
      </c>
      <c r="BS67" s="343">
        <f t="shared" si="122"/>
        <v>881.65530372740693</v>
      </c>
      <c r="BU67" s="374">
        <v>2.9729999999999999</v>
      </c>
      <c r="BV67" s="375">
        <v>1.3819999999999999</v>
      </c>
      <c r="BW67" s="374">
        <v>0</v>
      </c>
      <c r="BX67" s="374">
        <v>11543.995000000001</v>
      </c>
      <c r="BY67" s="374">
        <v>4084.6224999999999</v>
      </c>
      <c r="BZ67" s="351">
        <f t="shared" si="168"/>
        <v>690.09276</v>
      </c>
      <c r="CA67" s="351">
        <f t="shared" si="169"/>
        <v>527.74433999999997</v>
      </c>
      <c r="CB67" s="352">
        <f t="shared" si="170"/>
        <v>0</v>
      </c>
      <c r="CC67" s="352">
        <f t="shared" si="123"/>
        <v>0</v>
      </c>
      <c r="CD67" s="353">
        <f t="shared" si="124"/>
        <v>690.09276</v>
      </c>
      <c r="CE67" s="353">
        <f t="shared" si="125"/>
        <v>527.74433999999997</v>
      </c>
      <c r="CF67" s="343">
        <f t="shared" si="126"/>
        <v>702.85313319932311</v>
      </c>
      <c r="CG67" s="343">
        <f t="shared" si="127"/>
        <v>540.50471319932308</v>
      </c>
      <c r="CI67" s="374">
        <v>1.2144999999999999</v>
      </c>
      <c r="CJ67" s="375">
        <v>1.0921000000000001</v>
      </c>
      <c r="CK67" s="374">
        <v>1.7000000000000001E-2</v>
      </c>
      <c r="CL67" s="374">
        <v>44299.1558</v>
      </c>
      <c r="CM67" s="374">
        <v>16174.565000000001</v>
      </c>
      <c r="CN67" s="351">
        <f t="shared" si="171"/>
        <v>258.11768499999999</v>
      </c>
      <c r="CO67" s="351">
        <f t="shared" si="172"/>
        <v>300.81894499999999</v>
      </c>
      <c r="CP67" s="352">
        <f t="shared" si="173"/>
        <v>6.8000000000000005E-3</v>
      </c>
      <c r="CQ67" s="352">
        <f t="shared" si="128"/>
        <v>3.6597508844607315E-3</v>
      </c>
      <c r="CR67" s="353">
        <f t="shared" si="129"/>
        <v>258.12134475088448</v>
      </c>
      <c r="CS67" s="353">
        <f t="shared" si="130"/>
        <v>300.81580475088447</v>
      </c>
      <c r="CT67" s="343">
        <f t="shared" si="131"/>
        <v>258.1535380566973</v>
      </c>
      <c r="CU67" s="343">
        <f t="shared" si="132"/>
        <v>300.84799805669729</v>
      </c>
      <c r="CW67" s="374">
        <v>2.1680999999999999</v>
      </c>
      <c r="CX67" s="375">
        <v>1.8676999999999999</v>
      </c>
      <c r="CY67" s="374">
        <v>7.2599999999999998E-2</v>
      </c>
      <c r="CZ67" s="374">
        <v>20598.9192</v>
      </c>
      <c r="DA67" s="374">
        <v>7445.1266999999998</v>
      </c>
      <c r="DB67" s="351">
        <f t="shared" si="174"/>
        <v>486.15306299999997</v>
      </c>
      <c r="DC67" s="351">
        <f t="shared" si="175"/>
        <v>580.36909800000001</v>
      </c>
      <c r="DD67" s="352">
        <f t="shared" si="176"/>
        <v>1.8149999999999999E-2</v>
      </c>
      <c r="DE67" s="352">
        <f t="shared" si="133"/>
        <v>9.8766809672509014E-3</v>
      </c>
      <c r="DF67" s="353">
        <f t="shared" si="134"/>
        <v>486.16293968096721</v>
      </c>
      <c r="DG67" s="353">
        <f t="shared" si="135"/>
        <v>580.36082468096731</v>
      </c>
      <c r="DH67" s="343">
        <f t="shared" si="136"/>
        <v>486.17480307262809</v>
      </c>
      <c r="DI67" s="343">
        <f t="shared" si="137"/>
        <v>580.37268807262819</v>
      </c>
      <c r="DK67" s="374">
        <v>2.1831999999999998</v>
      </c>
      <c r="DL67" s="375">
        <v>1.8306</v>
      </c>
      <c r="DM67" s="374">
        <v>2.2200000000000001E-2</v>
      </c>
      <c r="DN67" s="374">
        <v>4741.9724999999999</v>
      </c>
      <c r="DO67" s="374">
        <v>2003.7067</v>
      </c>
      <c r="DP67" s="351">
        <f t="shared" si="177"/>
        <v>287.68026400000002</v>
      </c>
      <c r="DQ67" s="351">
        <f t="shared" si="178"/>
        <v>360.371916</v>
      </c>
      <c r="DR67" s="352">
        <f t="shared" si="179"/>
        <v>4.2180000000000004E-3</v>
      </c>
      <c r="DS67" s="352">
        <f t="shared" si="138"/>
        <v>2.345565355073723E-3</v>
      </c>
      <c r="DT67" s="353">
        <f t="shared" si="139"/>
        <v>287.68260956535511</v>
      </c>
      <c r="DU67" s="353">
        <f t="shared" si="140"/>
        <v>360.3700435653551</v>
      </c>
      <c r="DV67" s="343">
        <f t="shared" si="141"/>
        <v>287.70350487579287</v>
      </c>
      <c r="DW67" s="343">
        <f t="shared" si="142"/>
        <v>360.39093887579287</v>
      </c>
      <c r="EB67" s="326"/>
      <c r="EC67" s="326"/>
      <c r="ED67" s="326"/>
      <c r="EE67" s="348">
        <f t="shared" si="143"/>
        <v>99613.950000000012</v>
      </c>
      <c r="EF67" s="348">
        <f t="shared" si="144"/>
        <v>37837.265800000001</v>
      </c>
      <c r="EG67" s="348">
        <f t="shared" si="145"/>
        <v>3657.8924544000006</v>
      </c>
      <c r="EH67" s="348">
        <f t="shared" si="146"/>
        <v>4175.0101414000001</v>
      </c>
      <c r="EI67" s="354">
        <f t="shared" si="180"/>
        <v>0.72472221813551985</v>
      </c>
      <c r="EJ67" s="326"/>
      <c r="EK67" s="348">
        <f t="shared" si="147"/>
        <v>3658.4032556972975</v>
      </c>
      <c r="EL67" s="348">
        <f t="shared" si="148"/>
        <v>4174.0069636972976</v>
      </c>
      <c r="EM67" s="348">
        <f t="shared" si="58"/>
        <v>3701.092768695843</v>
      </c>
      <c r="EN67" s="348">
        <f t="shared" si="149"/>
        <v>4216.6964766958426</v>
      </c>
      <c r="EP67" s="326"/>
      <c r="EQ67" s="326"/>
      <c r="ER67" s="326"/>
      <c r="ES67" s="348">
        <f t="shared" si="181"/>
        <v>80147.027499999997</v>
      </c>
      <c r="ET67" s="348">
        <f t="shared" si="182"/>
        <v>29082.7042</v>
      </c>
      <c r="EU67" s="348">
        <f t="shared" si="183"/>
        <v>3084.4958911000003</v>
      </c>
      <c r="EV67" s="348">
        <f t="shared" si="184"/>
        <v>3526.2829815999999</v>
      </c>
      <c r="EW67" s="354">
        <f t="shared" si="185"/>
        <v>0.73374736212045455</v>
      </c>
      <c r="EX67" s="326"/>
      <c r="EY67" s="348">
        <f t="shared" si="186"/>
        <v>3085.7669316394454</v>
      </c>
      <c r="EZ67" s="348">
        <f t="shared" si="187"/>
        <v>3525.3102991394453</v>
      </c>
      <c r="FA67" s="348">
        <f t="shared" si="66"/>
        <v>3120.0825769623239</v>
      </c>
      <c r="FB67" s="348">
        <f t="shared" si="67"/>
        <v>3559.6259444623233</v>
      </c>
      <c r="FD67" s="326"/>
      <c r="FE67" s="326"/>
      <c r="FF67" s="326"/>
      <c r="FG67" s="348">
        <f t="shared" si="188"/>
        <v>61219.285799999998</v>
      </c>
      <c r="FH67" s="348">
        <f t="shared" si="189"/>
        <v>22473.9584</v>
      </c>
      <c r="FI67" s="348">
        <f t="shared" si="190"/>
        <v>2317.3282473999998</v>
      </c>
      <c r="FJ67" s="348">
        <f t="shared" si="191"/>
        <v>2736.1848685999998</v>
      </c>
      <c r="FK67" s="354">
        <f t="shared" si="192"/>
        <v>0.73147225185470821</v>
      </c>
      <c r="FL67" s="326"/>
      <c r="FM67" s="348">
        <f t="shared" si="193"/>
        <v>2317.3333144900976</v>
      </c>
      <c r="FN67" s="348">
        <f t="shared" si="194"/>
        <v>2736.1806048900976</v>
      </c>
      <c r="FO67" s="348">
        <f t="shared" si="75"/>
        <v>2345.152079630087</v>
      </c>
      <c r="FP67" s="348">
        <f t="shared" si="76"/>
        <v>2763.999370030087</v>
      </c>
      <c r="FR67" s="326"/>
      <c r="FS67" s="326"/>
      <c r="FT67" s="326"/>
      <c r="FU67" s="348">
        <f t="shared" si="195"/>
        <v>64898.074999999997</v>
      </c>
      <c r="FV67" s="348">
        <f t="shared" si="196"/>
        <v>23619.691699999999</v>
      </c>
      <c r="FW67" s="348">
        <f t="shared" si="197"/>
        <v>647.04013540000005</v>
      </c>
      <c r="FX67" s="348">
        <f t="shared" si="198"/>
        <v>765.11422340000001</v>
      </c>
      <c r="FY67" s="354">
        <f t="shared" si="199"/>
        <v>0.73316439647589982</v>
      </c>
      <c r="FZ67" s="326"/>
      <c r="GA67" s="348">
        <f t="shared" si="200"/>
        <v>647.05169649565823</v>
      </c>
      <c r="GB67" s="348">
        <f t="shared" si="201"/>
        <v>765.10446449565836</v>
      </c>
      <c r="GC67" s="348">
        <f t="shared" si="84"/>
        <v>647.09338051479972</v>
      </c>
      <c r="GD67" s="348">
        <f t="shared" si="85"/>
        <v>765.14614851479985</v>
      </c>
      <c r="GF67" s="326"/>
      <c r="GG67" s="326"/>
      <c r="GH67" s="326"/>
      <c r="GI67" s="348">
        <f t="shared" si="202"/>
        <v>31605.877500000002</v>
      </c>
      <c r="GJ67" s="348">
        <f t="shared" si="203"/>
        <v>10937.8683</v>
      </c>
      <c r="GK67" s="349">
        <f t="shared" si="204"/>
        <v>276.20004675000013</v>
      </c>
      <c r="GL67" s="349">
        <f t="shared" si="205"/>
        <v>303.38214300000004</v>
      </c>
      <c r="GM67" s="354">
        <f t="shared" si="206"/>
        <v>0.74290302618346316</v>
      </c>
      <c r="GN67" s="326"/>
      <c r="GO67" s="349">
        <f t="shared" si="207"/>
        <v>276.20004675000013</v>
      </c>
      <c r="GP67" s="349">
        <f t="shared" si="208"/>
        <v>303.38214300000004</v>
      </c>
      <c r="GQ67" s="349">
        <f t="shared" si="93"/>
        <v>280.51564394691877</v>
      </c>
      <c r="GR67" s="349">
        <f t="shared" si="94"/>
        <v>307.69774019691874</v>
      </c>
      <c r="HA67" s="374"/>
      <c r="HB67" s="375"/>
      <c r="HC67" s="374"/>
      <c r="HD67" s="374"/>
      <c r="HE67" s="374"/>
      <c r="HF67" s="351">
        <f t="shared" si="209"/>
        <v>0</v>
      </c>
      <c r="HG67" s="351">
        <f t="shared" si="210"/>
        <v>0</v>
      </c>
      <c r="HH67" s="352">
        <f t="shared" si="211"/>
        <v>0</v>
      </c>
      <c r="HI67" s="352">
        <f t="shared" si="150"/>
        <v>0</v>
      </c>
      <c r="HJ67" s="353">
        <f t="shared" si="151"/>
        <v>0</v>
      </c>
      <c r="HK67" s="353">
        <f t="shared" si="152"/>
        <v>0</v>
      </c>
    </row>
    <row r="68" spans="1:219" x14ac:dyDescent="0.2">
      <c r="A68" s="320">
        <v>58</v>
      </c>
      <c r="C68" s="350">
        <v>2.1097000000000001</v>
      </c>
      <c r="D68" s="350">
        <v>1.3721000000000001</v>
      </c>
      <c r="E68" s="350">
        <v>6.7000000000000002E-3</v>
      </c>
      <c r="F68" s="350">
        <v>13840.8658</v>
      </c>
      <c r="G68" s="350">
        <v>7057.3833000000004</v>
      </c>
      <c r="H68" s="351">
        <f t="shared" si="153"/>
        <v>2059.27817</v>
      </c>
      <c r="I68" s="351">
        <f t="shared" si="154"/>
        <v>2543.4480490000001</v>
      </c>
      <c r="J68" s="352">
        <f t="shared" si="155"/>
        <v>1.149519</v>
      </c>
      <c r="K68" s="352">
        <f t="shared" si="98"/>
        <v>0.38819501838710019</v>
      </c>
      <c r="L68" s="353">
        <f t="shared" si="99"/>
        <v>2059.6663650183873</v>
      </c>
      <c r="M68" s="353">
        <f t="shared" si="100"/>
        <v>2542.6867250183873</v>
      </c>
      <c r="N68" s="343">
        <f t="shared" si="101"/>
        <v>2083.9107363858288</v>
      </c>
      <c r="O68" s="343">
        <f t="shared" si="102"/>
        <v>2566.9310963858288</v>
      </c>
      <c r="Q68" s="374">
        <v>2.4632999999999998</v>
      </c>
      <c r="R68" s="375">
        <v>1.6825000000000001</v>
      </c>
      <c r="S68" s="374">
        <v>8.8999999999999999E-3</v>
      </c>
      <c r="T68" s="374">
        <v>5096.5492000000004</v>
      </c>
      <c r="U68" s="374">
        <v>1890.2708</v>
      </c>
      <c r="V68" s="351">
        <f t="shared" si="156"/>
        <v>1575.0340199999998</v>
      </c>
      <c r="W68" s="351">
        <f t="shared" si="157"/>
        <v>2021.3218500000003</v>
      </c>
      <c r="X68" s="352">
        <f t="shared" si="158"/>
        <v>1.783382</v>
      </c>
      <c r="Y68" s="352">
        <f t="shared" si="103"/>
        <v>1.0023449107378519</v>
      </c>
      <c r="Z68" s="353">
        <f t="shared" si="104"/>
        <v>1576.0363649107376</v>
      </c>
      <c r="AA68" s="353">
        <f t="shared" si="105"/>
        <v>2020.5408129107379</v>
      </c>
      <c r="AB68" s="343">
        <f t="shared" si="106"/>
        <v>1592.0330830273795</v>
      </c>
      <c r="AC68" s="343">
        <f t="shared" si="107"/>
        <v>2036.5375310273798</v>
      </c>
      <c r="AE68" s="374">
        <v>3.0103</v>
      </c>
      <c r="AF68" s="375">
        <v>1.7837000000000001</v>
      </c>
      <c r="AG68" s="374">
        <v>0</v>
      </c>
      <c r="AH68" s="374">
        <v>582.32420000000002</v>
      </c>
      <c r="AI68" s="374">
        <v>193.5883</v>
      </c>
      <c r="AJ68" s="351">
        <f t="shared" si="159"/>
        <v>1290.154374</v>
      </c>
      <c r="AK68" s="351">
        <f t="shared" si="160"/>
        <v>1773.3188660000001</v>
      </c>
      <c r="AL68" s="352">
        <f t="shared" si="161"/>
        <v>0</v>
      </c>
      <c r="AM68" s="352">
        <f t="shared" si="108"/>
        <v>0</v>
      </c>
      <c r="AN68" s="353">
        <f t="shared" si="109"/>
        <v>1290.154374</v>
      </c>
      <c r="AO68" s="353">
        <f t="shared" si="110"/>
        <v>1773.3188660000001</v>
      </c>
      <c r="AP68" s="343">
        <f t="shared" si="111"/>
        <v>1305.1680354485909</v>
      </c>
      <c r="AQ68" s="343">
        <f t="shared" si="112"/>
        <v>1788.332527448591</v>
      </c>
      <c r="AS68" s="374">
        <v>3.3799000000000001</v>
      </c>
      <c r="AT68" s="375">
        <v>1.4468000000000001</v>
      </c>
      <c r="AU68" s="374">
        <v>0</v>
      </c>
      <c r="AV68" s="374">
        <v>19117.164199999999</v>
      </c>
      <c r="AW68" s="374">
        <v>6509.0158000000001</v>
      </c>
      <c r="AX68" s="351">
        <f t="shared" si="162"/>
        <v>1151.4305330000002</v>
      </c>
      <c r="AY68" s="351">
        <f t="shared" si="163"/>
        <v>988.33801600000004</v>
      </c>
      <c r="AZ68" s="352">
        <f t="shared" si="164"/>
        <v>0</v>
      </c>
      <c r="BA68" s="352">
        <f t="shared" si="113"/>
        <v>0</v>
      </c>
      <c r="BB68" s="353">
        <f t="shared" si="114"/>
        <v>1151.4305330000002</v>
      </c>
      <c r="BC68" s="353">
        <f t="shared" si="115"/>
        <v>988.33801600000004</v>
      </c>
      <c r="BD68" s="343">
        <f t="shared" si="116"/>
        <v>1169.9450357952148</v>
      </c>
      <c r="BE68" s="343">
        <f t="shared" si="117"/>
        <v>1006.8525187952148</v>
      </c>
      <c r="BG68" s="374">
        <v>3.2096</v>
      </c>
      <c r="BH68" s="375">
        <v>1.5550999999999999</v>
      </c>
      <c r="BI68" s="374">
        <v>0</v>
      </c>
      <c r="BJ68" s="374">
        <v>9682.3433000000005</v>
      </c>
      <c r="BK68" s="374">
        <v>3322.2658000000001</v>
      </c>
      <c r="BL68" s="351">
        <f t="shared" si="165"/>
        <v>1074.4777919999999</v>
      </c>
      <c r="BM68" s="351">
        <f t="shared" si="166"/>
        <v>911.16419199999984</v>
      </c>
      <c r="BN68" s="352">
        <f t="shared" si="167"/>
        <v>0</v>
      </c>
      <c r="BO68" s="352">
        <f t="shared" si="118"/>
        <v>0</v>
      </c>
      <c r="BP68" s="353">
        <f t="shared" si="119"/>
        <v>1074.4777919999999</v>
      </c>
      <c r="BQ68" s="353">
        <f t="shared" si="120"/>
        <v>911.16419199999984</v>
      </c>
      <c r="BR68" s="343">
        <f t="shared" si="121"/>
        <v>1093.0143437274069</v>
      </c>
      <c r="BS68" s="343">
        <f t="shared" si="122"/>
        <v>929.7007437274068</v>
      </c>
      <c r="BU68" s="374">
        <v>3.1865000000000001</v>
      </c>
      <c r="BV68" s="375">
        <v>1.4588000000000001</v>
      </c>
      <c r="BW68" s="374">
        <v>0</v>
      </c>
      <c r="BX68" s="374">
        <v>11264.0892</v>
      </c>
      <c r="BY68" s="374">
        <v>4057.5682999999999</v>
      </c>
      <c r="BZ68" s="351">
        <f t="shared" si="168"/>
        <v>739.65038000000004</v>
      </c>
      <c r="CA68" s="351">
        <f t="shared" si="169"/>
        <v>557.071956</v>
      </c>
      <c r="CB68" s="352">
        <f t="shared" si="170"/>
        <v>0</v>
      </c>
      <c r="CC68" s="352">
        <f t="shared" si="123"/>
        <v>0</v>
      </c>
      <c r="CD68" s="353">
        <f t="shared" si="124"/>
        <v>739.65038000000004</v>
      </c>
      <c r="CE68" s="353">
        <f t="shared" si="125"/>
        <v>557.071956</v>
      </c>
      <c r="CF68" s="343">
        <f t="shared" si="126"/>
        <v>752.41075319932315</v>
      </c>
      <c r="CG68" s="343">
        <f t="shared" si="127"/>
        <v>569.83232919932311</v>
      </c>
      <c r="CI68" s="374">
        <v>1.2258</v>
      </c>
      <c r="CJ68" s="375">
        <v>1.0901000000000001</v>
      </c>
      <c r="CK68" s="374">
        <v>1.29E-2</v>
      </c>
      <c r="CL68" s="374">
        <v>42822.565000000002</v>
      </c>
      <c r="CM68" s="374">
        <v>15761.705</v>
      </c>
      <c r="CN68" s="351">
        <f t="shared" si="171"/>
        <v>260.519274</v>
      </c>
      <c r="CO68" s="351">
        <f t="shared" si="172"/>
        <v>300.26804500000003</v>
      </c>
      <c r="CP68" s="352">
        <f t="shared" si="173"/>
        <v>5.1600000000000005E-3</v>
      </c>
      <c r="CQ68" s="352">
        <f t="shared" si="128"/>
        <v>2.7628711629265647E-3</v>
      </c>
      <c r="CR68" s="353">
        <f t="shared" si="129"/>
        <v>260.52203687116292</v>
      </c>
      <c r="CS68" s="353">
        <f t="shared" si="130"/>
        <v>300.26564787116297</v>
      </c>
      <c r="CT68" s="343">
        <f t="shared" si="131"/>
        <v>260.5551270566973</v>
      </c>
      <c r="CU68" s="343">
        <f t="shared" si="132"/>
        <v>300.29873805669735</v>
      </c>
      <c r="CW68" s="374">
        <v>2.2530000000000001</v>
      </c>
      <c r="CX68" s="375">
        <v>1.9149</v>
      </c>
      <c r="CY68" s="374">
        <v>6.4100000000000004E-2</v>
      </c>
      <c r="CZ68" s="374">
        <v>20042.786700000001</v>
      </c>
      <c r="DA68" s="374">
        <v>7014.6633000000002</v>
      </c>
      <c r="DB68" s="351">
        <f t="shared" si="174"/>
        <v>505.19019000000003</v>
      </c>
      <c r="DC68" s="351">
        <f t="shared" si="175"/>
        <v>595.03602599999999</v>
      </c>
      <c r="DD68" s="352">
        <f t="shared" si="176"/>
        <v>1.6025000000000001E-2</v>
      </c>
      <c r="DE68" s="352">
        <f t="shared" si="133"/>
        <v>8.6668106776415874E-3</v>
      </c>
      <c r="DF68" s="353">
        <f t="shared" si="134"/>
        <v>505.19885681067768</v>
      </c>
      <c r="DG68" s="353">
        <f t="shared" si="135"/>
        <v>595.02866781067758</v>
      </c>
      <c r="DH68" s="343">
        <f t="shared" si="136"/>
        <v>505.21193007262815</v>
      </c>
      <c r="DI68" s="343">
        <f t="shared" si="137"/>
        <v>595.04174107262816</v>
      </c>
      <c r="DK68" s="374">
        <v>2.2214</v>
      </c>
      <c r="DL68" s="375">
        <v>1.8532999999999999</v>
      </c>
      <c r="DM68" s="374">
        <v>1.4800000000000001E-2</v>
      </c>
      <c r="DN68" s="374">
        <v>4641.4975000000004</v>
      </c>
      <c r="DO68" s="374">
        <v>2090.5225</v>
      </c>
      <c r="DP68" s="351">
        <f t="shared" si="177"/>
        <v>292.71387800000002</v>
      </c>
      <c r="DQ68" s="351">
        <f t="shared" si="178"/>
        <v>364.84063800000001</v>
      </c>
      <c r="DR68" s="352">
        <f t="shared" si="179"/>
        <v>2.8120000000000003E-3</v>
      </c>
      <c r="DS68" s="352">
        <f t="shared" si="138"/>
        <v>1.5602232957000939E-3</v>
      </c>
      <c r="DT68" s="353">
        <f t="shared" si="139"/>
        <v>292.71543822329573</v>
      </c>
      <c r="DU68" s="353">
        <f t="shared" si="140"/>
        <v>364.83938622329572</v>
      </c>
      <c r="DV68" s="343">
        <f t="shared" si="141"/>
        <v>292.73711887579287</v>
      </c>
      <c r="DW68" s="343">
        <f t="shared" si="142"/>
        <v>364.86106687579286</v>
      </c>
      <c r="EB68" s="326"/>
      <c r="EC68" s="326"/>
      <c r="ED68" s="326"/>
      <c r="EE68" s="348">
        <f t="shared" si="143"/>
        <v>95823.381699999998</v>
      </c>
      <c r="EF68" s="348">
        <f t="shared" si="144"/>
        <v>36342.767399999997</v>
      </c>
      <c r="EG68" s="348">
        <f t="shared" si="145"/>
        <v>3875.3801290000006</v>
      </c>
      <c r="EH68" s="348">
        <f t="shared" si="146"/>
        <v>4308.0829308000002</v>
      </c>
      <c r="EI68" s="354">
        <f t="shared" si="180"/>
        <v>0.7250221206603954</v>
      </c>
      <c r="EJ68" s="326"/>
      <c r="EK68" s="348">
        <f t="shared" si="147"/>
        <v>3875.7780203380926</v>
      </c>
      <c r="EL68" s="348">
        <f t="shared" si="148"/>
        <v>4307.3133231380925</v>
      </c>
      <c r="EM68" s="348">
        <f t="shared" si="58"/>
        <v>3918.5804432958439</v>
      </c>
      <c r="EN68" s="348">
        <f t="shared" si="149"/>
        <v>4350.115746095843</v>
      </c>
      <c r="EP68" s="326"/>
      <c r="EQ68" s="326"/>
      <c r="ER68" s="326"/>
      <c r="ES68" s="348">
        <f t="shared" si="181"/>
        <v>77644.244200000001</v>
      </c>
      <c r="ET68" s="348">
        <f t="shared" si="182"/>
        <v>27988.904900000001</v>
      </c>
      <c r="EU68" s="348">
        <f t="shared" si="183"/>
        <v>3263.6642189999998</v>
      </c>
      <c r="EV68" s="348">
        <f t="shared" si="184"/>
        <v>3649.2793052000002</v>
      </c>
      <c r="EW68" s="354">
        <f t="shared" si="185"/>
        <v>0.73503672721615376</v>
      </c>
      <c r="EX68" s="326"/>
      <c r="EY68" s="348">
        <f t="shared" si="186"/>
        <v>3264.6753935493743</v>
      </c>
      <c r="EZ68" s="348">
        <f t="shared" si="187"/>
        <v>3648.490720249375</v>
      </c>
      <c r="FA68" s="348">
        <f t="shared" si="66"/>
        <v>3299.2509048623233</v>
      </c>
      <c r="FB68" s="348">
        <f t="shared" si="67"/>
        <v>3683.066231562324</v>
      </c>
      <c r="FD68" s="326"/>
      <c r="FE68" s="326"/>
      <c r="FF68" s="326"/>
      <c r="FG68" s="348">
        <f t="shared" si="188"/>
        <v>59310.475900000005</v>
      </c>
      <c r="FH68" s="348">
        <f t="shared" si="189"/>
        <v>22103.384099999999</v>
      </c>
      <c r="FI68" s="348">
        <f t="shared" si="190"/>
        <v>2465.9523548000002</v>
      </c>
      <c r="FJ68" s="348">
        <f t="shared" si="191"/>
        <v>2849.5632498</v>
      </c>
      <c r="FK68" s="354">
        <f t="shared" si="192"/>
        <v>0.72850588216797485</v>
      </c>
      <c r="FL68" s="326"/>
      <c r="FM68" s="348">
        <f t="shared" si="193"/>
        <v>2465.9560538051401</v>
      </c>
      <c r="FN68" s="348">
        <f t="shared" si="194"/>
        <v>2849.5601016051405</v>
      </c>
      <c r="FO68" s="348">
        <f t="shared" si="75"/>
        <v>2493.7761870300869</v>
      </c>
      <c r="FP68" s="348">
        <f t="shared" si="76"/>
        <v>2877.3802348300874</v>
      </c>
      <c r="FR68" s="326"/>
      <c r="FS68" s="326"/>
      <c r="FT68" s="326"/>
      <c r="FU68" s="348">
        <f t="shared" si="195"/>
        <v>62865.351699999999</v>
      </c>
      <c r="FV68" s="348">
        <f t="shared" si="196"/>
        <v>22776.368300000002</v>
      </c>
      <c r="FW68" s="348">
        <f t="shared" si="197"/>
        <v>664.67142600000011</v>
      </c>
      <c r="FX68" s="348">
        <f t="shared" si="198"/>
        <v>776.29686579999998</v>
      </c>
      <c r="FY68" s="354">
        <f t="shared" si="199"/>
        <v>0.73405055036260358</v>
      </c>
      <c r="FZ68" s="326"/>
      <c r="GA68" s="348">
        <f t="shared" si="200"/>
        <v>664.68112231970508</v>
      </c>
      <c r="GB68" s="348">
        <f t="shared" si="201"/>
        <v>776.2885821197051</v>
      </c>
      <c r="GC68" s="348">
        <f t="shared" si="84"/>
        <v>664.72467111479978</v>
      </c>
      <c r="GD68" s="348">
        <f t="shared" si="85"/>
        <v>776.3321309147999</v>
      </c>
      <c r="GF68" s="326"/>
      <c r="GG68" s="326"/>
      <c r="GH68" s="326"/>
      <c r="GI68" s="348">
        <f t="shared" si="202"/>
        <v>30381.253400000001</v>
      </c>
      <c r="GJ68" s="348">
        <f t="shared" si="203"/>
        <v>10566.5841</v>
      </c>
      <c r="GK68" s="349">
        <f t="shared" si="204"/>
        <v>308.83511475000012</v>
      </c>
      <c r="GL68" s="349">
        <f t="shared" si="205"/>
        <v>323.44954500000006</v>
      </c>
      <c r="GM68" s="354">
        <f t="shared" si="206"/>
        <v>0.74195013106613994</v>
      </c>
      <c r="GN68" s="326"/>
      <c r="GO68" s="349">
        <f t="shared" si="207"/>
        <v>308.83511475000012</v>
      </c>
      <c r="GP68" s="349">
        <f t="shared" si="208"/>
        <v>323.44954500000006</v>
      </c>
      <c r="GQ68" s="349">
        <f t="shared" si="93"/>
        <v>313.15071194691876</v>
      </c>
      <c r="GR68" s="349">
        <f t="shared" si="94"/>
        <v>327.76514219691876</v>
      </c>
      <c r="HA68" s="374"/>
      <c r="HB68" s="375"/>
      <c r="HC68" s="374"/>
      <c r="HD68" s="374"/>
      <c r="HE68" s="374"/>
      <c r="HF68" s="351">
        <f t="shared" si="209"/>
        <v>0</v>
      </c>
      <c r="HG68" s="351">
        <f t="shared" si="210"/>
        <v>0</v>
      </c>
      <c r="HH68" s="352">
        <f t="shared" si="211"/>
        <v>0</v>
      </c>
      <c r="HI68" s="352">
        <f t="shared" si="150"/>
        <v>0</v>
      </c>
      <c r="HJ68" s="353">
        <f t="shared" si="151"/>
        <v>0</v>
      </c>
      <c r="HK68" s="353">
        <f t="shared" si="152"/>
        <v>0</v>
      </c>
    </row>
    <row r="69" spans="1:219" x14ac:dyDescent="0.2">
      <c r="A69" s="320">
        <v>59</v>
      </c>
      <c r="C69" s="350">
        <v>2.2275999999999998</v>
      </c>
      <c r="D69" s="350">
        <v>1.4107000000000001</v>
      </c>
      <c r="E69" s="350">
        <v>5.0000000000000001E-3</v>
      </c>
      <c r="F69" s="350">
        <v>13036.532499999999</v>
      </c>
      <c r="G69" s="350">
        <v>6624.0567000000001</v>
      </c>
      <c r="H69" s="351">
        <f t="shared" si="153"/>
        <v>2174.3603599999997</v>
      </c>
      <c r="I69" s="351">
        <f t="shared" si="154"/>
        <v>2615.0004830000003</v>
      </c>
      <c r="J69" s="352">
        <f t="shared" si="155"/>
        <v>0.85785</v>
      </c>
      <c r="K69" s="352">
        <f t="shared" si="98"/>
        <v>0.28902730138397892</v>
      </c>
      <c r="L69" s="353">
        <f t="shared" si="99"/>
        <v>2174.6493873013837</v>
      </c>
      <c r="M69" s="353">
        <f t="shared" si="100"/>
        <v>2614.4316603013845</v>
      </c>
      <c r="N69" s="343">
        <f t="shared" si="101"/>
        <v>2198.9929263858285</v>
      </c>
      <c r="O69" s="343">
        <f t="shared" si="102"/>
        <v>2638.7751993858292</v>
      </c>
      <c r="Q69" s="374">
        <v>2.5990000000000002</v>
      </c>
      <c r="R69" s="375">
        <v>1.7369000000000001</v>
      </c>
      <c r="S69" s="374">
        <v>6.3E-3</v>
      </c>
      <c r="T69" s="374">
        <v>5114.76</v>
      </c>
      <c r="U69" s="374">
        <v>2049.0050000000001</v>
      </c>
      <c r="V69" s="351">
        <f t="shared" si="156"/>
        <v>1661.8006</v>
      </c>
      <c r="W69" s="351">
        <f t="shared" si="157"/>
        <v>2086.6769220000001</v>
      </c>
      <c r="X69" s="352">
        <f t="shared" si="158"/>
        <v>1.262394</v>
      </c>
      <c r="Y69" s="352">
        <f t="shared" si="103"/>
        <v>0.70274088901719933</v>
      </c>
      <c r="Z69" s="353">
        <f t="shared" si="104"/>
        <v>1662.5033408890172</v>
      </c>
      <c r="AA69" s="353">
        <f t="shared" si="105"/>
        <v>2086.1172688890174</v>
      </c>
      <c r="AB69" s="343">
        <f t="shared" si="106"/>
        <v>1678.7996630273797</v>
      </c>
      <c r="AC69" s="343">
        <f t="shared" si="107"/>
        <v>2102.4135910273799</v>
      </c>
      <c r="AE69" s="374">
        <v>3.2452999999999999</v>
      </c>
      <c r="AF69" s="375">
        <v>1.8735999999999999</v>
      </c>
      <c r="AG69" s="374">
        <v>0</v>
      </c>
      <c r="AH69" s="374">
        <v>579.97170000000006</v>
      </c>
      <c r="AI69" s="374">
        <v>175.14750000000001</v>
      </c>
      <c r="AJ69" s="351">
        <f t="shared" si="159"/>
        <v>1390.8706739999998</v>
      </c>
      <c r="AK69" s="351">
        <f t="shared" si="160"/>
        <v>1862.6956479999999</v>
      </c>
      <c r="AL69" s="352">
        <f t="shared" si="161"/>
        <v>0</v>
      </c>
      <c r="AM69" s="352">
        <f t="shared" si="108"/>
        <v>0</v>
      </c>
      <c r="AN69" s="353">
        <f t="shared" si="109"/>
        <v>1390.8706739999998</v>
      </c>
      <c r="AO69" s="353">
        <f t="shared" si="110"/>
        <v>1862.6956479999999</v>
      </c>
      <c r="AP69" s="343">
        <f t="shared" si="111"/>
        <v>1405.8843354485907</v>
      </c>
      <c r="AQ69" s="343">
        <f t="shared" si="112"/>
        <v>1877.7093094485908</v>
      </c>
      <c r="AS69" s="374">
        <v>3.6709000000000001</v>
      </c>
      <c r="AT69" s="375">
        <v>1.5344</v>
      </c>
      <c r="AU69" s="374">
        <v>0</v>
      </c>
      <c r="AV69" s="374">
        <v>18441.300800000001</v>
      </c>
      <c r="AW69" s="374">
        <v>6357.9516999999996</v>
      </c>
      <c r="AX69" s="351">
        <f t="shared" si="162"/>
        <v>1250.565503</v>
      </c>
      <c r="AY69" s="351">
        <f t="shared" si="163"/>
        <v>1048.1793279999999</v>
      </c>
      <c r="AZ69" s="352">
        <f t="shared" si="164"/>
        <v>0</v>
      </c>
      <c r="BA69" s="352">
        <f t="shared" si="113"/>
        <v>0</v>
      </c>
      <c r="BB69" s="353">
        <f t="shared" si="114"/>
        <v>1250.565503</v>
      </c>
      <c r="BC69" s="353">
        <f t="shared" si="115"/>
        <v>1048.1793279999999</v>
      </c>
      <c r="BD69" s="343">
        <f t="shared" si="116"/>
        <v>1269.0800057952147</v>
      </c>
      <c r="BE69" s="343">
        <f t="shared" si="117"/>
        <v>1066.6938307952146</v>
      </c>
      <c r="BG69" s="374">
        <v>3.4765999999999999</v>
      </c>
      <c r="BH69" s="375">
        <v>1.6425000000000001</v>
      </c>
      <c r="BI69" s="374">
        <v>0</v>
      </c>
      <c r="BJ69" s="374">
        <v>9429.1049999999996</v>
      </c>
      <c r="BK69" s="374">
        <v>3272.0425</v>
      </c>
      <c r="BL69" s="351">
        <f t="shared" si="165"/>
        <v>1163.8613819999998</v>
      </c>
      <c r="BM69" s="351">
        <f t="shared" si="166"/>
        <v>962.37360000000001</v>
      </c>
      <c r="BN69" s="352">
        <f t="shared" si="167"/>
        <v>0</v>
      </c>
      <c r="BO69" s="352">
        <f t="shared" si="118"/>
        <v>0</v>
      </c>
      <c r="BP69" s="353">
        <f t="shared" si="119"/>
        <v>1163.8613819999998</v>
      </c>
      <c r="BQ69" s="353">
        <f t="shared" si="120"/>
        <v>962.37360000000001</v>
      </c>
      <c r="BR69" s="343">
        <f t="shared" si="121"/>
        <v>1182.3979337274068</v>
      </c>
      <c r="BS69" s="343">
        <f t="shared" si="122"/>
        <v>980.91015172740697</v>
      </c>
      <c r="BU69" s="374">
        <v>3.4150999999999998</v>
      </c>
      <c r="BV69" s="375">
        <v>1.5389999999999999</v>
      </c>
      <c r="BW69" s="374">
        <v>0</v>
      </c>
      <c r="BX69" s="374">
        <v>10784.4375</v>
      </c>
      <c r="BY69" s="374">
        <v>3834.0882999999999</v>
      </c>
      <c r="BZ69" s="351">
        <f t="shared" si="168"/>
        <v>792.71301199999994</v>
      </c>
      <c r="CA69" s="351">
        <f t="shared" si="169"/>
        <v>587.69792999999993</v>
      </c>
      <c r="CB69" s="352">
        <f t="shared" si="170"/>
        <v>0</v>
      </c>
      <c r="CC69" s="352">
        <f t="shared" si="123"/>
        <v>0</v>
      </c>
      <c r="CD69" s="353">
        <f t="shared" si="124"/>
        <v>792.71301199999994</v>
      </c>
      <c r="CE69" s="353">
        <f t="shared" si="125"/>
        <v>587.69792999999993</v>
      </c>
      <c r="CF69" s="343">
        <f t="shared" si="126"/>
        <v>805.47338519932305</v>
      </c>
      <c r="CG69" s="343">
        <f t="shared" si="127"/>
        <v>600.45830319932304</v>
      </c>
      <c r="CI69" s="374">
        <v>1.2362</v>
      </c>
      <c r="CJ69" s="375">
        <v>1.0886</v>
      </c>
      <c r="CK69" s="374">
        <v>9.4000000000000004E-3</v>
      </c>
      <c r="CL69" s="374">
        <v>41657.422500000001</v>
      </c>
      <c r="CM69" s="374">
        <v>15503.193300000001</v>
      </c>
      <c r="CN69" s="351">
        <f t="shared" si="171"/>
        <v>262.72958599999998</v>
      </c>
      <c r="CO69" s="351">
        <f t="shared" si="172"/>
        <v>299.85487000000001</v>
      </c>
      <c r="CP69" s="352">
        <f t="shared" si="173"/>
        <v>3.7600000000000003E-3</v>
      </c>
      <c r="CQ69" s="352">
        <f t="shared" si="128"/>
        <v>2.0040623219778403E-3</v>
      </c>
      <c r="CR69" s="353">
        <f t="shared" si="129"/>
        <v>262.73159006232197</v>
      </c>
      <c r="CS69" s="353">
        <f t="shared" si="130"/>
        <v>299.85311406232199</v>
      </c>
      <c r="CT69" s="343">
        <f t="shared" si="131"/>
        <v>262.76543905669729</v>
      </c>
      <c r="CU69" s="343">
        <f t="shared" si="132"/>
        <v>299.88696305669731</v>
      </c>
      <c r="CW69" s="374">
        <v>2.3369</v>
      </c>
      <c r="CX69" s="375">
        <v>1.9626999999999999</v>
      </c>
      <c r="CY69" s="374">
        <v>5.21E-2</v>
      </c>
      <c r="CZ69" s="374">
        <v>19277.491699999999</v>
      </c>
      <c r="DA69" s="374">
        <v>6817.6891999999998</v>
      </c>
      <c r="DB69" s="351">
        <f t="shared" si="174"/>
        <v>524.00308699999994</v>
      </c>
      <c r="DC69" s="351">
        <f t="shared" si="175"/>
        <v>609.88939800000003</v>
      </c>
      <c r="DD69" s="352">
        <f t="shared" si="176"/>
        <v>1.3025E-2</v>
      </c>
      <c r="DE69" s="352">
        <f t="shared" si="133"/>
        <v>7.005787157104231E-3</v>
      </c>
      <c r="DF69" s="353">
        <f t="shared" si="134"/>
        <v>524.01009278715708</v>
      </c>
      <c r="DG69" s="353">
        <f t="shared" si="135"/>
        <v>609.8833787871572</v>
      </c>
      <c r="DH69" s="343">
        <f t="shared" si="136"/>
        <v>524.02482707262811</v>
      </c>
      <c r="DI69" s="343">
        <f t="shared" si="137"/>
        <v>609.89811307262823</v>
      </c>
      <c r="DK69" s="374">
        <v>2.2576000000000001</v>
      </c>
      <c r="DL69" s="375">
        <v>1.8714999999999999</v>
      </c>
      <c r="DM69" s="374">
        <v>9.5999999999999992E-3</v>
      </c>
      <c r="DN69" s="374">
        <v>4615.3233</v>
      </c>
      <c r="DO69" s="374">
        <v>2112.3141999999998</v>
      </c>
      <c r="DP69" s="351">
        <f t="shared" si="177"/>
        <v>297.48395200000004</v>
      </c>
      <c r="DQ69" s="351">
        <f t="shared" si="178"/>
        <v>368.42349000000002</v>
      </c>
      <c r="DR69" s="352">
        <f t="shared" si="179"/>
        <v>1.8239999999999999E-3</v>
      </c>
      <c r="DS69" s="352">
        <f t="shared" si="138"/>
        <v>1.0091559327549907E-3</v>
      </c>
      <c r="DT69" s="353">
        <f t="shared" si="139"/>
        <v>297.48496115593281</v>
      </c>
      <c r="DU69" s="353">
        <f t="shared" si="140"/>
        <v>368.42267515593278</v>
      </c>
      <c r="DV69" s="343">
        <f t="shared" si="141"/>
        <v>297.5071928757929</v>
      </c>
      <c r="DW69" s="343">
        <f t="shared" si="142"/>
        <v>368.44490687579287</v>
      </c>
      <c r="EB69" s="326"/>
      <c r="EC69" s="326"/>
      <c r="ED69" s="326"/>
      <c r="EE69" s="348">
        <f t="shared" si="143"/>
        <v>92412.747499999998</v>
      </c>
      <c r="EF69" s="348">
        <f t="shared" si="144"/>
        <v>35302.890899999999</v>
      </c>
      <c r="EG69" s="348">
        <f t="shared" si="145"/>
        <v>4106.8579185999997</v>
      </c>
      <c r="EH69" s="348">
        <f t="shared" si="146"/>
        <v>4450.9461994000003</v>
      </c>
      <c r="EI69" s="354">
        <f t="shared" si="180"/>
        <v>0.72358208170691807</v>
      </c>
      <c r="EJ69" s="326"/>
      <c r="EK69" s="348">
        <f t="shared" si="147"/>
        <v>4107.1545545934314</v>
      </c>
      <c r="EL69" s="348">
        <f t="shared" si="148"/>
        <v>4450.3708053934315</v>
      </c>
      <c r="EM69" s="348">
        <f t="shared" si="58"/>
        <v>4150.0582328958426</v>
      </c>
      <c r="EN69" s="348">
        <f t="shared" si="149"/>
        <v>4493.2744836958436</v>
      </c>
      <c r="EP69" s="326"/>
      <c r="EQ69" s="326"/>
      <c r="ER69" s="326"/>
      <c r="ES69" s="348">
        <f t="shared" si="181"/>
        <v>75478.77919999999</v>
      </c>
      <c r="ET69" s="348">
        <f t="shared" si="182"/>
        <v>27641.93</v>
      </c>
      <c r="EU69" s="348">
        <f t="shared" si="183"/>
        <v>3455.1937288999993</v>
      </c>
      <c r="EV69" s="348">
        <f t="shared" si="184"/>
        <v>3775.8279706000003</v>
      </c>
      <c r="EW69" s="354">
        <f t="shared" si="185"/>
        <v>0.73194588929378701</v>
      </c>
      <c r="EX69" s="326"/>
      <c r="EY69" s="348">
        <f t="shared" si="186"/>
        <v>3455.9033779023489</v>
      </c>
      <c r="EZ69" s="348">
        <f t="shared" si="187"/>
        <v>3775.2623481023493</v>
      </c>
      <c r="FA69" s="348">
        <f t="shared" si="66"/>
        <v>3490.7804147623233</v>
      </c>
      <c r="FB69" s="348">
        <f t="shared" si="67"/>
        <v>3810.1393849623241</v>
      </c>
      <c r="FD69" s="326"/>
      <c r="FE69" s="326"/>
      <c r="FF69" s="326"/>
      <c r="FG69" s="348">
        <f t="shared" si="188"/>
        <v>57637.154999999999</v>
      </c>
      <c r="FH69" s="348">
        <f t="shared" si="189"/>
        <v>21624.743300000002</v>
      </c>
      <c r="FI69" s="348">
        <f t="shared" si="190"/>
        <v>2624.8036431999999</v>
      </c>
      <c r="FJ69" s="348">
        <f t="shared" si="191"/>
        <v>2971.3025419999999</v>
      </c>
      <c r="FK69" s="354">
        <f t="shared" si="192"/>
        <v>0.72717353780561678</v>
      </c>
      <c r="FL69" s="326"/>
      <c r="FM69" s="348">
        <f t="shared" si="193"/>
        <v>2624.8062527558818</v>
      </c>
      <c r="FN69" s="348">
        <f t="shared" si="194"/>
        <v>2971.3002971558817</v>
      </c>
      <c r="FO69" s="348">
        <f t="shared" si="75"/>
        <v>2652.6274754300871</v>
      </c>
      <c r="FP69" s="348">
        <f t="shared" si="76"/>
        <v>2999.121519830087</v>
      </c>
      <c r="FR69" s="326"/>
      <c r="FS69" s="326"/>
      <c r="FT69" s="326"/>
      <c r="FU69" s="348">
        <f t="shared" si="195"/>
        <v>60934.914199999999</v>
      </c>
      <c r="FV69" s="348">
        <f t="shared" si="196"/>
        <v>22320.8825</v>
      </c>
      <c r="FW69" s="348">
        <f t="shared" si="197"/>
        <v>681.93205560000001</v>
      </c>
      <c r="FX69" s="348">
        <f t="shared" si="198"/>
        <v>787.7663884000001</v>
      </c>
      <c r="FY69" s="354">
        <f t="shared" si="199"/>
        <v>0.73189995910518979</v>
      </c>
      <c r="FZ69" s="326"/>
      <c r="GA69" s="348">
        <f t="shared" si="200"/>
        <v>681.93966429204761</v>
      </c>
      <c r="GB69" s="348">
        <f t="shared" si="201"/>
        <v>787.7598170920478</v>
      </c>
      <c r="GC69" s="348">
        <f t="shared" si="84"/>
        <v>681.98530071479979</v>
      </c>
      <c r="GD69" s="348">
        <f t="shared" si="85"/>
        <v>787.80545351479986</v>
      </c>
      <c r="GF69" s="326"/>
      <c r="GG69" s="326"/>
      <c r="GH69" s="326"/>
      <c r="GI69" s="348">
        <f t="shared" si="202"/>
        <v>29225.738300000001</v>
      </c>
      <c r="GJ69" s="348">
        <f t="shared" si="203"/>
        <v>10192.039999999999</v>
      </c>
      <c r="GK69" s="349">
        <f t="shared" si="204"/>
        <v>343.38936825000008</v>
      </c>
      <c r="GL69" s="349">
        <f t="shared" si="205"/>
        <v>345.36104850000004</v>
      </c>
      <c r="GM69" s="354">
        <f t="shared" si="206"/>
        <v>0.7414354527434136</v>
      </c>
      <c r="GN69" s="326"/>
      <c r="GO69" s="349">
        <f t="shared" si="207"/>
        <v>343.38936825000008</v>
      </c>
      <c r="GP69" s="349">
        <f t="shared" si="208"/>
        <v>345.36104850000004</v>
      </c>
      <c r="GQ69" s="349">
        <f t="shared" si="93"/>
        <v>347.70496544691872</v>
      </c>
      <c r="GR69" s="349">
        <f t="shared" si="94"/>
        <v>349.67664569691863</v>
      </c>
      <c r="HA69" s="374"/>
      <c r="HB69" s="375"/>
      <c r="HC69" s="374"/>
      <c r="HD69" s="374"/>
      <c r="HE69" s="374"/>
      <c r="HF69" s="351">
        <f t="shared" si="209"/>
        <v>0</v>
      </c>
      <c r="HG69" s="351">
        <f t="shared" si="210"/>
        <v>0</v>
      </c>
      <c r="HH69" s="352">
        <f t="shared" si="211"/>
        <v>0</v>
      </c>
      <c r="HI69" s="352">
        <f t="shared" si="150"/>
        <v>0</v>
      </c>
      <c r="HJ69" s="353">
        <f t="shared" si="151"/>
        <v>0</v>
      </c>
      <c r="HK69" s="353">
        <f t="shared" si="152"/>
        <v>0</v>
      </c>
    </row>
    <row r="70" spans="1:219" x14ac:dyDescent="0.2">
      <c r="A70" s="320">
        <v>60</v>
      </c>
      <c r="C70" s="350">
        <v>2.3544</v>
      </c>
      <c r="D70" s="350">
        <v>1.4538</v>
      </c>
      <c r="E70" s="350">
        <v>3.2000000000000002E-3</v>
      </c>
      <c r="F70" s="350">
        <v>12265.8508</v>
      </c>
      <c r="G70" s="350">
        <v>6282.5617000000002</v>
      </c>
      <c r="H70" s="351">
        <f t="shared" si="153"/>
        <v>2298.1298400000001</v>
      </c>
      <c r="I70" s="351">
        <f t="shared" si="154"/>
        <v>2694.8945220000001</v>
      </c>
      <c r="J70" s="352">
        <f t="shared" si="155"/>
        <v>0.54902399999999996</v>
      </c>
      <c r="K70" s="352">
        <f t="shared" si="98"/>
        <v>0.18596077452886062</v>
      </c>
      <c r="L70" s="353">
        <f t="shared" si="99"/>
        <v>2298.3158007745287</v>
      </c>
      <c r="M70" s="353">
        <f t="shared" si="100"/>
        <v>2694.5314587745288</v>
      </c>
      <c r="N70" s="343">
        <f t="shared" si="101"/>
        <v>2322.7624063858289</v>
      </c>
      <c r="O70" s="343">
        <f t="shared" si="102"/>
        <v>2718.9780643858289</v>
      </c>
      <c r="Q70" s="374">
        <v>2.7490000000000001</v>
      </c>
      <c r="R70" s="375">
        <v>1.7924</v>
      </c>
      <c r="S70" s="374">
        <v>3.5999999999999999E-3</v>
      </c>
      <c r="T70" s="374">
        <v>4926.1958000000004</v>
      </c>
      <c r="U70" s="374">
        <v>1917.5192</v>
      </c>
      <c r="V70" s="351">
        <f t="shared" si="156"/>
        <v>1757.7106000000001</v>
      </c>
      <c r="W70" s="351">
        <f t="shared" si="157"/>
        <v>2153.3535120000001</v>
      </c>
      <c r="X70" s="352">
        <f t="shared" si="158"/>
        <v>0.72136800000000001</v>
      </c>
      <c r="Y70" s="352">
        <f t="shared" si="103"/>
        <v>0.39717076267769857</v>
      </c>
      <c r="Z70" s="353">
        <f t="shared" si="104"/>
        <v>1758.1077707626778</v>
      </c>
      <c r="AA70" s="353">
        <f t="shared" si="105"/>
        <v>2153.029314762678</v>
      </c>
      <c r="AB70" s="343">
        <f t="shared" si="106"/>
        <v>1774.7096630273797</v>
      </c>
      <c r="AC70" s="343">
        <f t="shared" si="107"/>
        <v>2169.6312070273798</v>
      </c>
      <c r="AE70" s="374">
        <v>3.4958</v>
      </c>
      <c r="AF70" s="375">
        <v>1.9708000000000001</v>
      </c>
      <c r="AG70" s="374">
        <v>0</v>
      </c>
      <c r="AH70" s="374">
        <v>542.70500000000004</v>
      </c>
      <c r="AI70" s="374">
        <v>154.83330000000001</v>
      </c>
      <c r="AJ70" s="351">
        <f t="shared" si="159"/>
        <v>1498.2299639999999</v>
      </c>
      <c r="AK70" s="351">
        <f t="shared" si="160"/>
        <v>1959.3299440000001</v>
      </c>
      <c r="AL70" s="352">
        <f t="shared" si="161"/>
        <v>0</v>
      </c>
      <c r="AM70" s="352">
        <f t="shared" si="108"/>
        <v>0</v>
      </c>
      <c r="AN70" s="353">
        <f t="shared" si="109"/>
        <v>1498.2299639999999</v>
      </c>
      <c r="AO70" s="353">
        <f t="shared" si="110"/>
        <v>1959.3299440000001</v>
      </c>
      <c r="AP70" s="343">
        <f t="shared" si="111"/>
        <v>1513.2436254485908</v>
      </c>
      <c r="AQ70" s="343">
        <f t="shared" si="112"/>
        <v>1974.343605448591</v>
      </c>
      <c r="AS70" s="374">
        <v>3.9780000000000002</v>
      </c>
      <c r="AT70" s="375">
        <v>1.6286</v>
      </c>
      <c r="AU70" s="374">
        <v>0</v>
      </c>
      <c r="AV70" s="374">
        <v>16897.5108</v>
      </c>
      <c r="AW70" s="374">
        <v>5902.6607999999997</v>
      </c>
      <c r="AX70" s="351">
        <f t="shared" si="162"/>
        <v>1355.1852600000002</v>
      </c>
      <c r="AY70" s="351">
        <f t="shared" si="163"/>
        <v>1112.5292320000001</v>
      </c>
      <c r="AZ70" s="352">
        <f t="shared" si="164"/>
        <v>0</v>
      </c>
      <c r="BA70" s="352">
        <f t="shared" si="113"/>
        <v>0</v>
      </c>
      <c r="BB70" s="353">
        <f t="shared" si="114"/>
        <v>1355.1852600000002</v>
      </c>
      <c r="BC70" s="353">
        <f t="shared" si="115"/>
        <v>1112.5292320000001</v>
      </c>
      <c r="BD70" s="343">
        <f t="shared" si="116"/>
        <v>1373.6997627952148</v>
      </c>
      <c r="BE70" s="343">
        <f t="shared" si="117"/>
        <v>1131.0437347952147</v>
      </c>
      <c r="BG70" s="374">
        <v>3.7612999999999999</v>
      </c>
      <c r="BH70" s="375">
        <v>1.7372000000000001</v>
      </c>
      <c r="BI70" s="374">
        <v>0</v>
      </c>
      <c r="BJ70" s="374">
        <v>9274.98</v>
      </c>
      <c r="BK70" s="374">
        <v>3086.5958000000001</v>
      </c>
      <c r="BL70" s="351">
        <f t="shared" si="165"/>
        <v>1259.1704009999999</v>
      </c>
      <c r="BM70" s="351">
        <f t="shared" si="166"/>
        <v>1017.860224</v>
      </c>
      <c r="BN70" s="352">
        <f t="shared" si="167"/>
        <v>0</v>
      </c>
      <c r="BO70" s="352">
        <f t="shared" si="118"/>
        <v>0</v>
      </c>
      <c r="BP70" s="353">
        <f t="shared" si="119"/>
        <v>1259.1704009999999</v>
      </c>
      <c r="BQ70" s="353">
        <f t="shared" si="120"/>
        <v>1017.860224</v>
      </c>
      <c r="BR70" s="343">
        <f t="shared" si="121"/>
        <v>1277.7069527274068</v>
      </c>
      <c r="BS70" s="343">
        <f t="shared" si="122"/>
        <v>1036.396775727407</v>
      </c>
      <c r="BU70" s="374">
        <v>3.6876000000000002</v>
      </c>
      <c r="BV70" s="375">
        <v>1.6268</v>
      </c>
      <c r="BW70" s="374">
        <v>0</v>
      </c>
      <c r="BX70" s="374">
        <v>10225.8208</v>
      </c>
      <c r="BY70" s="374">
        <v>3658.7283000000002</v>
      </c>
      <c r="BZ70" s="351">
        <f t="shared" si="168"/>
        <v>855.96571200000005</v>
      </c>
      <c r="CA70" s="351">
        <f t="shared" si="169"/>
        <v>621.22611600000005</v>
      </c>
      <c r="CB70" s="352">
        <f t="shared" si="170"/>
        <v>0</v>
      </c>
      <c r="CC70" s="352">
        <f t="shared" si="123"/>
        <v>0</v>
      </c>
      <c r="CD70" s="353">
        <f t="shared" si="124"/>
        <v>855.96571200000005</v>
      </c>
      <c r="CE70" s="353">
        <f t="shared" si="125"/>
        <v>621.22611600000005</v>
      </c>
      <c r="CF70" s="343">
        <f t="shared" si="126"/>
        <v>868.72608519932317</v>
      </c>
      <c r="CG70" s="343">
        <f t="shared" si="127"/>
        <v>633.98648919932316</v>
      </c>
      <c r="CI70" s="374">
        <v>1.2468999999999999</v>
      </c>
      <c r="CJ70" s="375">
        <v>1.0875999999999999</v>
      </c>
      <c r="CK70" s="374">
        <v>5.5999999999999999E-3</v>
      </c>
      <c r="CL70" s="374">
        <v>39455.642500000002</v>
      </c>
      <c r="CM70" s="374">
        <v>14746.3825</v>
      </c>
      <c r="CN70" s="351">
        <f t="shared" si="171"/>
        <v>265.00365699999998</v>
      </c>
      <c r="CO70" s="351">
        <f t="shared" si="172"/>
        <v>299.57941999999997</v>
      </c>
      <c r="CP70" s="352">
        <f t="shared" si="173"/>
        <v>2.2400000000000002E-3</v>
      </c>
      <c r="CQ70" s="352">
        <f t="shared" si="128"/>
        <v>1.1885901794396151E-3</v>
      </c>
      <c r="CR70" s="353">
        <f t="shared" si="129"/>
        <v>265.0048455901794</v>
      </c>
      <c r="CS70" s="353">
        <f t="shared" si="130"/>
        <v>299.57836859017942</v>
      </c>
      <c r="CT70" s="343">
        <f t="shared" si="131"/>
        <v>265.03951005669728</v>
      </c>
      <c r="CU70" s="343">
        <f t="shared" si="132"/>
        <v>299.6130330566973</v>
      </c>
      <c r="CW70" s="374">
        <v>2.4184999999999999</v>
      </c>
      <c r="CX70" s="375">
        <v>2.0089999999999999</v>
      </c>
      <c r="CY70" s="374">
        <v>3.8199999999999998E-2</v>
      </c>
      <c r="CZ70" s="374">
        <v>18049.484199999999</v>
      </c>
      <c r="DA70" s="374">
        <v>6405.8716999999997</v>
      </c>
      <c r="DB70" s="351">
        <f t="shared" si="174"/>
        <v>542.30025499999999</v>
      </c>
      <c r="DC70" s="351">
        <f t="shared" si="175"/>
        <v>624.27665999999999</v>
      </c>
      <c r="DD70" s="352">
        <f t="shared" si="176"/>
        <v>9.5499999999999995E-3</v>
      </c>
      <c r="DE70" s="352">
        <f t="shared" si="133"/>
        <v>5.1105435281136166E-3</v>
      </c>
      <c r="DF70" s="353">
        <f t="shared" si="134"/>
        <v>542.30536554352807</v>
      </c>
      <c r="DG70" s="353">
        <f t="shared" si="135"/>
        <v>624.27222054352808</v>
      </c>
      <c r="DH70" s="343">
        <f t="shared" si="136"/>
        <v>542.32199507262817</v>
      </c>
      <c r="DI70" s="343">
        <f t="shared" si="137"/>
        <v>624.28885007262818</v>
      </c>
      <c r="DK70" s="374">
        <v>2.2951000000000001</v>
      </c>
      <c r="DL70" s="375">
        <v>1.8872</v>
      </c>
      <c r="DM70" s="374">
        <v>5.5999999999999999E-3</v>
      </c>
      <c r="DN70" s="374">
        <v>4473.1324999999997</v>
      </c>
      <c r="DO70" s="374">
        <v>2047.5782999999999</v>
      </c>
      <c r="DP70" s="351">
        <f t="shared" si="177"/>
        <v>302.42532700000004</v>
      </c>
      <c r="DQ70" s="351">
        <f t="shared" si="178"/>
        <v>371.51419200000004</v>
      </c>
      <c r="DR70" s="352">
        <f t="shared" si="179"/>
        <v>1.0640000000000001E-3</v>
      </c>
      <c r="DS70" s="352">
        <f t="shared" si="138"/>
        <v>5.8653794464307127E-4</v>
      </c>
      <c r="DT70" s="353">
        <f t="shared" si="139"/>
        <v>302.42591353794467</v>
      </c>
      <c r="DU70" s="353">
        <f t="shared" si="140"/>
        <v>371.51371453794468</v>
      </c>
      <c r="DV70" s="343">
        <f t="shared" si="141"/>
        <v>302.44856787579289</v>
      </c>
      <c r="DW70" s="343">
        <f t="shared" si="142"/>
        <v>371.5363688757929</v>
      </c>
      <c r="EB70" s="326"/>
      <c r="EC70" s="326"/>
      <c r="ED70" s="326"/>
      <c r="EE70" s="348">
        <f t="shared" si="143"/>
        <v>86668.488299999997</v>
      </c>
      <c r="EF70" s="348">
        <f t="shared" si="144"/>
        <v>33337.476699999999</v>
      </c>
      <c r="EG70" s="348">
        <f t="shared" si="145"/>
        <v>4352.1589610000001</v>
      </c>
      <c r="EH70" s="348">
        <f t="shared" si="146"/>
        <v>4606.4245020000008</v>
      </c>
      <c r="EI70" s="354">
        <f t="shared" si="180"/>
        <v>0.72220150306695174</v>
      </c>
      <c r="EJ70" s="326"/>
      <c r="EK70" s="348">
        <f t="shared" si="147"/>
        <v>4352.3501987995305</v>
      </c>
      <c r="EL70" s="348">
        <f t="shared" si="148"/>
        <v>4606.0568357995307</v>
      </c>
      <c r="EM70" s="348">
        <f t="shared" si="58"/>
        <v>4395.3592752958439</v>
      </c>
      <c r="EN70" s="348">
        <f t="shared" si="149"/>
        <v>4649.0659122958432</v>
      </c>
      <c r="EP70" s="326"/>
      <c r="EQ70" s="326"/>
      <c r="ER70" s="326"/>
      <c r="ES70" s="348">
        <f t="shared" si="181"/>
        <v>71706.302499999991</v>
      </c>
      <c r="ET70" s="348">
        <f t="shared" si="182"/>
        <v>26156.369199999997</v>
      </c>
      <c r="EU70" s="348">
        <f t="shared" si="183"/>
        <v>3661.4948365</v>
      </c>
      <c r="EV70" s="348">
        <f t="shared" si="184"/>
        <v>3907.786818</v>
      </c>
      <c r="EW70" s="354">
        <f t="shared" si="185"/>
        <v>0.73272373678716962</v>
      </c>
      <c r="EX70" s="326"/>
      <c r="EY70" s="348">
        <f t="shared" si="186"/>
        <v>3661.8967732333267</v>
      </c>
      <c r="EZ70" s="348">
        <f t="shared" si="187"/>
        <v>3907.4584617333271</v>
      </c>
      <c r="FA70" s="348">
        <f t="shared" si="66"/>
        <v>3697.0815223623231</v>
      </c>
      <c r="FB70" s="348">
        <f t="shared" si="67"/>
        <v>3942.6432108623239</v>
      </c>
      <c r="FD70" s="326"/>
      <c r="FE70" s="326"/>
      <c r="FF70" s="326"/>
      <c r="FG70" s="348">
        <f t="shared" si="188"/>
        <v>54697.300800000005</v>
      </c>
      <c r="FH70" s="348">
        <f t="shared" si="189"/>
        <v>20607.522400000002</v>
      </c>
      <c r="FI70" s="348">
        <f t="shared" si="190"/>
        <v>2800.6545291999996</v>
      </c>
      <c r="FJ70" s="348">
        <f t="shared" si="191"/>
        <v>3103.0439951999997</v>
      </c>
      <c r="FK70" s="354">
        <f t="shared" si="192"/>
        <v>0.72634525221221147</v>
      </c>
      <c r="FL70" s="326"/>
      <c r="FM70" s="348">
        <f t="shared" si="193"/>
        <v>2800.6560697129457</v>
      </c>
      <c r="FN70" s="348">
        <f t="shared" si="194"/>
        <v>3103.0426573129462</v>
      </c>
      <c r="FO70" s="348">
        <f t="shared" si="75"/>
        <v>2828.4783614300868</v>
      </c>
      <c r="FP70" s="348">
        <f t="shared" si="76"/>
        <v>3130.8649490300872</v>
      </c>
      <c r="FR70" s="326"/>
      <c r="FS70" s="326"/>
      <c r="FT70" s="326"/>
      <c r="FU70" s="348">
        <f t="shared" si="195"/>
        <v>57505.126700000001</v>
      </c>
      <c r="FV70" s="348">
        <f t="shared" si="196"/>
        <v>21152.254199999999</v>
      </c>
      <c r="FW70" s="348">
        <f t="shared" si="197"/>
        <v>698.84386100000006</v>
      </c>
      <c r="FX70" s="348">
        <f t="shared" si="198"/>
        <v>799.00074799999993</v>
      </c>
      <c r="FY70" s="354">
        <f t="shared" si="199"/>
        <v>0.73108366998779639</v>
      </c>
      <c r="FZ70" s="326"/>
      <c r="GA70" s="348">
        <f t="shared" si="200"/>
        <v>698.84913802500182</v>
      </c>
      <c r="GB70" s="348">
        <f t="shared" si="201"/>
        <v>798.99614502500185</v>
      </c>
      <c r="GC70" s="348">
        <f t="shared" si="84"/>
        <v>698.89710611479984</v>
      </c>
      <c r="GD70" s="348">
        <f t="shared" si="85"/>
        <v>799.04411311479987</v>
      </c>
      <c r="GF70" s="326"/>
      <c r="GG70" s="326"/>
      <c r="GH70" s="326"/>
      <c r="GI70" s="348">
        <f t="shared" si="202"/>
        <v>27123.331599999998</v>
      </c>
      <c r="GJ70" s="348">
        <f t="shared" si="203"/>
        <v>9561.3891000000003</v>
      </c>
      <c r="GK70" s="349">
        <f t="shared" si="204"/>
        <v>374.41466100000014</v>
      </c>
      <c r="GL70" s="349">
        <f t="shared" si="205"/>
        <v>368.47733700000003</v>
      </c>
      <c r="GM70" s="354">
        <f t="shared" si="206"/>
        <v>0.73936317579760114</v>
      </c>
      <c r="GN70" s="326"/>
      <c r="GO70" s="349">
        <f t="shared" si="207"/>
        <v>374.41466100000014</v>
      </c>
      <c r="GP70" s="349">
        <f t="shared" si="208"/>
        <v>368.47733700000003</v>
      </c>
      <c r="GQ70" s="349">
        <f t="shared" si="93"/>
        <v>378.73025819691873</v>
      </c>
      <c r="GR70" s="349">
        <f t="shared" si="94"/>
        <v>372.79293419691868</v>
      </c>
      <c r="HA70" s="374"/>
      <c r="HB70" s="375"/>
      <c r="HC70" s="374"/>
      <c r="HD70" s="374"/>
      <c r="HE70" s="374"/>
      <c r="HF70" s="351">
        <f t="shared" si="209"/>
        <v>0</v>
      </c>
      <c r="HG70" s="351">
        <f t="shared" si="210"/>
        <v>0</v>
      </c>
      <c r="HH70" s="352">
        <f t="shared" si="211"/>
        <v>0</v>
      </c>
      <c r="HI70" s="352">
        <f t="shared" si="150"/>
        <v>0</v>
      </c>
      <c r="HJ70" s="353">
        <f t="shared" si="151"/>
        <v>0</v>
      </c>
      <c r="HK70" s="353">
        <f t="shared" si="152"/>
        <v>0</v>
      </c>
    </row>
    <row r="71" spans="1:219" x14ac:dyDescent="0.2">
      <c r="A71" s="320">
        <v>61</v>
      </c>
      <c r="C71" s="350">
        <v>2.4897</v>
      </c>
      <c r="D71" s="350">
        <v>1.5224</v>
      </c>
      <c r="E71" s="350">
        <v>1.6999999999999999E-3</v>
      </c>
      <c r="F71" s="350">
        <v>11363.995000000001</v>
      </c>
      <c r="G71" s="350">
        <v>5982.3383000000003</v>
      </c>
      <c r="H71" s="351">
        <f t="shared" si="153"/>
        <v>2430.1961700000002</v>
      </c>
      <c r="I71" s="351">
        <f t="shared" si="154"/>
        <v>2822.057656</v>
      </c>
      <c r="J71" s="352">
        <f t="shared" si="155"/>
        <v>0.29166899999999996</v>
      </c>
      <c r="K71" s="352">
        <f t="shared" si="98"/>
        <v>0.10058970962022848</v>
      </c>
      <c r="L71" s="353">
        <f t="shared" si="99"/>
        <v>2430.2967597096203</v>
      </c>
      <c r="M71" s="353">
        <f t="shared" si="100"/>
        <v>2821.8665767096199</v>
      </c>
      <c r="N71" s="343">
        <f t="shared" si="101"/>
        <v>2454.828736385829</v>
      </c>
      <c r="O71" s="343">
        <f t="shared" si="102"/>
        <v>2846.3985533858286</v>
      </c>
      <c r="Q71" s="374">
        <v>2.9138999999999999</v>
      </c>
      <c r="R71" s="375">
        <v>1.8492999999999999</v>
      </c>
      <c r="S71" s="374">
        <v>0</v>
      </c>
      <c r="T71" s="374">
        <v>4606.3433000000005</v>
      </c>
      <c r="U71" s="374">
        <v>1826.5491999999999</v>
      </c>
      <c r="V71" s="351">
        <f t="shared" si="156"/>
        <v>1863.1476599999999</v>
      </c>
      <c r="W71" s="351">
        <f t="shared" si="157"/>
        <v>2221.7120340000001</v>
      </c>
      <c r="X71" s="352">
        <f t="shared" si="158"/>
        <v>0</v>
      </c>
      <c r="Y71" s="352">
        <f t="shared" si="103"/>
        <v>0</v>
      </c>
      <c r="Z71" s="353">
        <f t="shared" si="104"/>
        <v>1863.1476599999999</v>
      </c>
      <c r="AA71" s="353">
        <f t="shared" si="105"/>
        <v>2221.7120340000001</v>
      </c>
      <c r="AB71" s="343">
        <f t="shared" si="106"/>
        <v>1880.1467230273795</v>
      </c>
      <c r="AC71" s="343">
        <f t="shared" si="107"/>
        <v>2238.7110970273798</v>
      </c>
      <c r="AE71" s="374">
        <v>3.7612000000000001</v>
      </c>
      <c r="AF71" s="375">
        <v>2.0728</v>
      </c>
      <c r="AG71" s="374">
        <v>0</v>
      </c>
      <c r="AH71" s="374">
        <v>490.98329999999999</v>
      </c>
      <c r="AI71" s="374">
        <v>153.25</v>
      </c>
      <c r="AJ71" s="351">
        <f t="shared" si="159"/>
        <v>1611.9750959999999</v>
      </c>
      <c r="AK71" s="351">
        <f t="shared" si="160"/>
        <v>2060.736304</v>
      </c>
      <c r="AL71" s="352">
        <f t="shared" si="161"/>
        <v>0</v>
      </c>
      <c r="AM71" s="352">
        <f t="shared" si="108"/>
        <v>0</v>
      </c>
      <c r="AN71" s="353">
        <f t="shared" si="109"/>
        <v>1611.9750959999999</v>
      </c>
      <c r="AO71" s="353">
        <f t="shared" si="110"/>
        <v>2060.736304</v>
      </c>
      <c r="AP71" s="343">
        <f t="shared" si="111"/>
        <v>1626.9887574485908</v>
      </c>
      <c r="AQ71" s="343">
        <f t="shared" si="112"/>
        <v>2075.749965448591</v>
      </c>
      <c r="AS71" s="374">
        <v>4.2946</v>
      </c>
      <c r="AT71" s="375">
        <v>1.7296</v>
      </c>
      <c r="AU71" s="374">
        <v>0</v>
      </c>
      <c r="AV71" s="374">
        <v>16302.06</v>
      </c>
      <c r="AW71" s="374">
        <v>5856.0617000000002</v>
      </c>
      <c r="AX71" s="351">
        <f t="shared" si="162"/>
        <v>1463.0413820000001</v>
      </c>
      <c r="AY71" s="351">
        <f t="shared" si="163"/>
        <v>1181.5243520000001</v>
      </c>
      <c r="AZ71" s="352">
        <f t="shared" si="164"/>
        <v>0</v>
      </c>
      <c r="BA71" s="352">
        <f t="shared" si="113"/>
        <v>0</v>
      </c>
      <c r="BB71" s="353">
        <f t="shared" si="114"/>
        <v>1463.0413820000001</v>
      </c>
      <c r="BC71" s="353">
        <f t="shared" si="115"/>
        <v>1181.5243520000001</v>
      </c>
      <c r="BD71" s="343">
        <f t="shared" si="116"/>
        <v>1481.5558847952148</v>
      </c>
      <c r="BE71" s="343">
        <f t="shared" si="117"/>
        <v>1200.0388547952148</v>
      </c>
      <c r="BG71" s="374">
        <v>4.0644999999999998</v>
      </c>
      <c r="BH71" s="375">
        <v>1.8441000000000001</v>
      </c>
      <c r="BI71" s="374">
        <v>0</v>
      </c>
      <c r="BJ71" s="374">
        <v>8612.8482999999997</v>
      </c>
      <c r="BK71" s="374">
        <v>2956.2275</v>
      </c>
      <c r="BL71" s="351">
        <f t="shared" si="165"/>
        <v>1360.6726649999998</v>
      </c>
      <c r="BM71" s="351">
        <f t="shared" si="166"/>
        <v>1080.4950719999999</v>
      </c>
      <c r="BN71" s="352">
        <f t="shared" si="167"/>
        <v>0</v>
      </c>
      <c r="BO71" s="352">
        <f t="shared" si="118"/>
        <v>0</v>
      </c>
      <c r="BP71" s="353">
        <f t="shared" si="119"/>
        <v>1360.6726649999998</v>
      </c>
      <c r="BQ71" s="353">
        <f t="shared" si="120"/>
        <v>1080.4950719999999</v>
      </c>
      <c r="BR71" s="343">
        <f t="shared" si="121"/>
        <v>1379.2092167274068</v>
      </c>
      <c r="BS71" s="343">
        <f t="shared" si="122"/>
        <v>1099.0316237274069</v>
      </c>
      <c r="BU71" s="374">
        <v>3.9891999999999999</v>
      </c>
      <c r="BV71" s="375">
        <v>1.7271000000000001</v>
      </c>
      <c r="BW71" s="374">
        <v>0</v>
      </c>
      <c r="BX71" s="374">
        <v>9501.3091999999997</v>
      </c>
      <c r="BY71" s="374">
        <v>3542.76</v>
      </c>
      <c r="BZ71" s="351">
        <f t="shared" si="168"/>
        <v>925.97310400000003</v>
      </c>
      <c r="CA71" s="351">
        <f t="shared" si="169"/>
        <v>659.52767700000004</v>
      </c>
      <c r="CB71" s="352">
        <f t="shared" si="170"/>
        <v>0</v>
      </c>
      <c r="CC71" s="352">
        <f t="shared" si="123"/>
        <v>0</v>
      </c>
      <c r="CD71" s="353">
        <f t="shared" si="124"/>
        <v>925.97310400000003</v>
      </c>
      <c r="CE71" s="353">
        <f t="shared" si="125"/>
        <v>659.52767700000004</v>
      </c>
      <c r="CF71" s="343">
        <f t="shared" si="126"/>
        <v>938.73347719932315</v>
      </c>
      <c r="CG71" s="343">
        <f t="shared" si="127"/>
        <v>672.28805019932315</v>
      </c>
      <c r="CI71" s="374">
        <v>1.2587999999999999</v>
      </c>
      <c r="CJ71" s="375">
        <v>1.0874999999999999</v>
      </c>
      <c r="CK71" s="374">
        <v>2.7000000000000001E-3</v>
      </c>
      <c r="CL71" s="374">
        <v>37683.508300000001</v>
      </c>
      <c r="CM71" s="374">
        <v>14439.421700000001</v>
      </c>
      <c r="CN71" s="351">
        <f t="shared" si="171"/>
        <v>267.53276399999999</v>
      </c>
      <c r="CO71" s="351">
        <f t="shared" si="172"/>
        <v>299.55187499999994</v>
      </c>
      <c r="CP71" s="352">
        <f t="shared" si="173"/>
        <v>1.08E-3</v>
      </c>
      <c r="CQ71" s="352">
        <f t="shared" si="128"/>
        <v>5.704898400536643E-4</v>
      </c>
      <c r="CR71" s="353">
        <f t="shared" si="129"/>
        <v>267.53333448984006</v>
      </c>
      <c r="CS71" s="353">
        <f t="shared" si="130"/>
        <v>299.55136548984001</v>
      </c>
      <c r="CT71" s="343">
        <f t="shared" si="131"/>
        <v>267.56861705669729</v>
      </c>
      <c r="CU71" s="343">
        <f t="shared" si="132"/>
        <v>299.58664805669724</v>
      </c>
      <c r="CW71" s="374">
        <v>2.4912999999999998</v>
      </c>
      <c r="CX71" s="375">
        <v>2.0514999999999999</v>
      </c>
      <c r="CY71" s="374">
        <v>2.4400000000000002E-2</v>
      </c>
      <c r="CZ71" s="374">
        <v>17483.307499999999</v>
      </c>
      <c r="DA71" s="374">
        <v>6339.1625000000004</v>
      </c>
      <c r="DB71" s="351">
        <f t="shared" si="174"/>
        <v>558.62419899999998</v>
      </c>
      <c r="DC71" s="351">
        <f t="shared" si="175"/>
        <v>637.48311000000001</v>
      </c>
      <c r="DD71" s="352">
        <f t="shared" si="176"/>
        <v>6.1000000000000004E-3</v>
      </c>
      <c r="DE71" s="352">
        <f t="shared" si="133"/>
        <v>3.2510853681272842E-3</v>
      </c>
      <c r="DF71" s="353">
        <f t="shared" si="134"/>
        <v>558.62745008536808</v>
      </c>
      <c r="DG71" s="353">
        <f t="shared" si="135"/>
        <v>637.48026108536817</v>
      </c>
      <c r="DH71" s="343">
        <f t="shared" si="136"/>
        <v>558.64593907262815</v>
      </c>
      <c r="DI71" s="343">
        <f t="shared" si="137"/>
        <v>637.49875007262824</v>
      </c>
      <c r="DK71" s="374">
        <v>2.3376999999999999</v>
      </c>
      <c r="DL71" s="375">
        <v>1.9061999999999999</v>
      </c>
      <c r="DM71" s="374">
        <v>2.5000000000000001E-3</v>
      </c>
      <c r="DN71" s="374">
        <v>4316.5308000000005</v>
      </c>
      <c r="DO71" s="374">
        <v>2087.4391999999998</v>
      </c>
      <c r="DP71" s="351">
        <f t="shared" si="177"/>
        <v>308.03872899999999</v>
      </c>
      <c r="DQ71" s="351">
        <f t="shared" si="178"/>
        <v>375.25453199999998</v>
      </c>
      <c r="DR71" s="352">
        <f t="shared" si="179"/>
        <v>4.75E-4</v>
      </c>
      <c r="DS71" s="352">
        <f t="shared" si="138"/>
        <v>2.6086296012803789E-4</v>
      </c>
      <c r="DT71" s="353">
        <f t="shared" si="139"/>
        <v>308.03898986296014</v>
      </c>
      <c r="DU71" s="353">
        <f t="shared" si="140"/>
        <v>375.25431786296014</v>
      </c>
      <c r="DV71" s="343">
        <f t="shared" si="141"/>
        <v>308.06196987579284</v>
      </c>
      <c r="DW71" s="343">
        <f t="shared" si="142"/>
        <v>375.27729787579284</v>
      </c>
      <c r="EB71" s="326"/>
      <c r="EC71" s="326"/>
      <c r="ED71" s="326"/>
      <c r="EE71" s="348">
        <f t="shared" si="143"/>
        <v>82832.870800000004</v>
      </c>
      <c r="EF71" s="348">
        <f t="shared" si="144"/>
        <v>32616.984199999999</v>
      </c>
      <c r="EG71" s="348">
        <f t="shared" si="145"/>
        <v>4607.6696751999998</v>
      </c>
      <c r="EH71" s="348">
        <f t="shared" si="146"/>
        <v>4813.1203710000009</v>
      </c>
      <c r="EI71" s="354">
        <f t="shared" si="180"/>
        <v>0.71747921034634476</v>
      </c>
      <c r="EJ71" s="326"/>
      <c r="EK71" s="348">
        <f t="shared" si="147"/>
        <v>4607.7734362677547</v>
      </c>
      <c r="EL71" s="348">
        <f t="shared" si="148"/>
        <v>4812.9265030677543</v>
      </c>
      <c r="EM71" s="348">
        <f t="shared" si="58"/>
        <v>4650.8699894958436</v>
      </c>
      <c r="EN71" s="348">
        <f t="shared" si="149"/>
        <v>4856.0230562958432</v>
      </c>
      <c r="EP71" s="326"/>
      <c r="EQ71" s="326"/>
      <c r="ER71" s="326"/>
      <c r="ES71" s="348">
        <f t="shared" si="181"/>
        <v>68386.007400000002</v>
      </c>
      <c r="ET71" s="348">
        <f t="shared" si="182"/>
        <v>25561.3609</v>
      </c>
      <c r="EU71" s="348">
        <f t="shared" si="183"/>
        <v>3882.3900282999998</v>
      </c>
      <c r="EV71" s="348">
        <f t="shared" si="184"/>
        <v>4047.9971580000001</v>
      </c>
      <c r="EW71" s="354">
        <f t="shared" si="185"/>
        <v>0.72791828698835415</v>
      </c>
      <c r="EX71" s="326"/>
      <c r="EY71" s="348">
        <f t="shared" si="186"/>
        <v>3882.3928745495973</v>
      </c>
      <c r="EZ71" s="348">
        <f t="shared" si="187"/>
        <v>4047.9946542495977</v>
      </c>
      <c r="FA71" s="348">
        <f t="shared" si="66"/>
        <v>3917.9767141623233</v>
      </c>
      <c r="FB71" s="348">
        <f t="shared" si="67"/>
        <v>4083.5784938623237</v>
      </c>
      <c r="FD71" s="326"/>
      <c r="FE71" s="326"/>
      <c r="FF71" s="326"/>
      <c r="FG71" s="348">
        <f t="shared" si="188"/>
        <v>51992.331599999998</v>
      </c>
      <c r="FH71" s="348">
        <f t="shared" si="189"/>
        <v>20222.870900000002</v>
      </c>
      <c r="FI71" s="348">
        <f t="shared" si="190"/>
        <v>2990.3042013999998</v>
      </c>
      <c r="FJ71" s="348">
        <f t="shared" si="191"/>
        <v>3244.9685752</v>
      </c>
      <c r="FK71" s="354">
        <f t="shared" si="192"/>
        <v>0.71996379986610159</v>
      </c>
      <c r="FL71" s="326"/>
      <c r="FM71" s="348">
        <f t="shared" si="193"/>
        <v>2990.304928407616</v>
      </c>
      <c r="FN71" s="348">
        <f t="shared" si="194"/>
        <v>3244.9679372076162</v>
      </c>
      <c r="FO71" s="348">
        <f t="shared" si="75"/>
        <v>3018.128033630087</v>
      </c>
      <c r="FP71" s="348">
        <f t="shared" si="76"/>
        <v>3272.7910424300871</v>
      </c>
      <c r="FR71" s="326"/>
      <c r="FS71" s="326"/>
      <c r="FT71" s="326"/>
      <c r="FU71" s="348">
        <f t="shared" si="195"/>
        <v>55166.815799999997</v>
      </c>
      <c r="FV71" s="348">
        <f t="shared" si="196"/>
        <v>20778.584200000001</v>
      </c>
      <c r="FW71" s="348">
        <f t="shared" si="197"/>
        <v>714.43212319999998</v>
      </c>
      <c r="FX71" s="348">
        <f t="shared" si="198"/>
        <v>809.53836299999989</v>
      </c>
      <c r="FY71" s="354">
        <f t="shared" si="199"/>
        <v>0.7264010170464571</v>
      </c>
      <c r="FZ71" s="326"/>
      <c r="GA71" s="348">
        <f t="shared" si="200"/>
        <v>714.4352945581345</v>
      </c>
      <c r="GB71" s="348">
        <f t="shared" si="201"/>
        <v>809.53557435813457</v>
      </c>
      <c r="GC71" s="348">
        <f t="shared" si="84"/>
        <v>714.48536831479987</v>
      </c>
      <c r="GD71" s="348">
        <f t="shared" si="85"/>
        <v>809.58564811479982</v>
      </c>
      <c r="GF71" s="326"/>
      <c r="GG71" s="326"/>
      <c r="GH71" s="326"/>
      <c r="GI71" s="348">
        <f t="shared" si="202"/>
        <v>25803.369200000001</v>
      </c>
      <c r="GJ71" s="348">
        <f t="shared" si="203"/>
        <v>9398.8217000000004</v>
      </c>
      <c r="GK71" s="349">
        <f t="shared" si="204"/>
        <v>402.80120850000003</v>
      </c>
      <c r="GL71" s="349">
        <f t="shared" si="205"/>
        <v>391.49750625000007</v>
      </c>
      <c r="GM71" s="354">
        <f t="shared" si="206"/>
        <v>0.73300463807211502</v>
      </c>
      <c r="GN71" s="326"/>
      <c r="GO71" s="349">
        <f t="shared" si="207"/>
        <v>402.80120850000003</v>
      </c>
      <c r="GP71" s="349">
        <f t="shared" si="208"/>
        <v>391.49750625000007</v>
      </c>
      <c r="GQ71" s="349">
        <f t="shared" si="93"/>
        <v>407.11680569691873</v>
      </c>
      <c r="GR71" s="349">
        <f t="shared" si="94"/>
        <v>395.81310344691872</v>
      </c>
      <c r="HA71" s="374"/>
      <c r="HB71" s="375"/>
      <c r="HC71" s="374"/>
      <c r="HD71" s="374"/>
      <c r="HE71" s="374"/>
      <c r="HF71" s="351">
        <f t="shared" si="209"/>
        <v>0</v>
      </c>
      <c r="HG71" s="351">
        <f t="shared" si="210"/>
        <v>0</v>
      </c>
      <c r="HH71" s="352">
        <f t="shared" si="211"/>
        <v>0</v>
      </c>
      <c r="HI71" s="352">
        <f t="shared" si="150"/>
        <v>0</v>
      </c>
      <c r="HJ71" s="353">
        <f t="shared" si="151"/>
        <v>0</v>
      </c>
      <c r="HK71" s="353">
        <f t="shared" si="152"/>
        <v>0</v>
      </c>
    </row>
    <row r="72" spans="1:219" x14ac:dyDescent="0.2">
      <c r="A72" s="320">
        <v>62</v>
      </c>
      <c r="C72" s="350">
        <v>2.6331000000000002</v>
      </c>
      <c r="D72" s="350">
        <v>1.5791999999999999</v>
      </c>
      <c r="E72" s="350">
        <v>6.9999999999999999E-4</v>
      </c>
      <c r="F72" s="350">
        <v>10273.3842</v>
      </c>
      <c r="G72" s="350">
        <v>5545.2833000000001</v>
      </c>
      <c r="H72" s="351">
        <f t="shared" si="153"/>
        <v>2570.1689100000003</v>
      </c>
      <c r="I72" s="351">
        <f t="shared" si="154"/>
        <v>2927.347248</v>
      </c>
      <c r="J72" s="352">
        <f t="shared" si="155"/>
        <v>0.120099</v>
      </c>
      <c r="K72" s="352">
        <f t="shared" si="98"/>
        <v>4.2101079566069642E-2</v>
      </c>
      <c r="L72" s="353">
        <f t="shared" si="99"/>
        <v>2570.2110110795666</v>
      </c>
      <c r="M72" s="353">
        <f t="shared" si="100"/>
        <v>2927.2692500795661</v>
      </c>
      <c r="N72" s="343">
        <f t="shared" si="101"/>
        <v>2594.8014763858291</v>
      </c>
      <c r="O72" s="343">
        <f t="shared" si="102"/>
        <v>2951.8597153858286</v>
      </c>
      <c r="Q72" s="374">
        <v>3.0933000000000002</v>
      </c>
      <c r="R72" s="375">
        <v>1.9094</v>
      </c>
      <c r="S72" s="374">
        <v>0</v>
      </c>
      <c r="T72" s="374">
        <v>4333.2825000000003</v>
      </c>
      <c r="U72" s="374">
        <v>1745.7766999999999</v>
      </c>
      <c r="V72" s="351">
        <f t="shared" si="156"/>
        <v>1977.8560199999999</v>
      </c>
      <c r="W72" s="351">
        <f t="shared" si="157"/>
        <v>2293.914972</v>
      </c>
      <c r="X72" s="352">
        <f t="shared" si="158"/>
        <v>0</v>
      </c>
      <c r="Y72" s="352">
        <f t="shared" si="103"/>
        <v>0</v>
      </c>
      <c r="Z72" s="353">
        <f t="shared" si="104"/>
        <v>1977.8560199999999</v>
      </c>
      <c r="AA72" s="353">
        <f t="shared" si="105"/>
        <v>2293.914972</v>
      </c>
      <c r="AB72" s="343">
        <f t="shared" si="106"/>
        <v>1994.8550830273796</v>
      </c>
      <c r="AC72" s="343">
        <f t="shared" si="107"/>
        <v>2310.9140350273797</v>
      </c>
      <c r="AE72" s="374">
        <v>4.0370999999999997</v>
      </c>
      <c r="AF72" s="375">
        <v>2.1781999999999999</v>
      </c>
      <c r="AG72" s="374">
        <v>0</v>
      </c>
      <c r="AH72" s="374">
        <v>476.10829999999999</v>
      </c>
      <c r="AI72" s="374">
        <v>151.41669999999999</v>
      </c>
      <c r="AJ72" s="351">
        <f t="shared" si="159"/>
        <v>1730.2203179999999</v>
      </c>
      <c r="AK72" s="351">
        <f t="shared" si="160"/>
        <v>2165.522876</v>
      </c>
      <c r="AL72" s="352">
        <f t="shared" si="161"/>
        <v>0</v>
      </c>
      <c r="AM72" s="352">
        <f t="shared" si="108"/>
        <v>0</v>
      </c>
      <c r="AN72" s="353">
        <f t="shared" si="109"/>
        <v>1730.2203179999999</v>
      </c>
      <c r="AO72" s="353">
        <f t="shared" si="110"/>
        <v>2165.522876</v>
      </c>
      <c r="AP72" s="343">
        <f t="shared" si="111"/>
        <v>1745.2339794485908</v>
      </c>
      <c r="AQ72" s="343">
        <f t="shared" si="112"/>
        <v>2180.5365374485909</v>
      </c>
      <c r="AS72" s="374">
        <v>4.6375999999999999</v>
      </c>
      <c r="AT72" s="375">
        <v>1.8379000000000001</v>
      </c>
      <c r="AU72" s="374">
        <v>0</v>
      </c>
      <c r="AV72" s="374">
        <v>15244.772499999999</v>
      </c>
      <c r="AW72" s="374">
        <v>5652.9966999999997</v>
      </c>
      <c r="AX72" s="351">
        <f t="shared" si="162"/>
        <v>1579.891192</v>
      </c>
      <c r="AY72" s="351">
        <f t="shared" si="163"/>
        <v>1255.5062480000001</v>
      </c>
      <c r="AZ72" s="352">
        <f t="shared" si="164"/>
        <v>0</v>
      </c>
      <c r="BA72" s="352">
        <f t="shared" si="113"/>
        <v>0</v>
      </c>
      <c r="BB72" s="353">
        <f t="shared" si="114"/>
        <v>1579.891192</v>
      </c>
      <c r="BC72" s="353">
        <f t="shared" si="115"/>
        <v>1255.5062480000001</v>
      </c>
      <c r="BD72" s="343">
        <f t="shared" si="116"/>
        <v>1598.4056947952147</v>
      </c>
      <c r="BE72" s="343">
        <f t="shared" si="117"/>
        <v>1274.0207507952148</v>
      </c>
      <c r="BG72" s="374">
        <v>4.3871000000000002</v>
      </c>
      <c r="BH72" s="375">
        <v>1.9686999999999999</v>
      </c>
      <c r="BI72" s="374">
        <v>0</v>
      </c>
      <c r="BJ72" s="374">
        <v>7909.3325000000004</v>
      </c>
      <c r="BK72" s="374">
        <v>2938.1992</v>
      </c>
      <c r="BL72" s="351">
        <f t="shared" si="165"/>
        <v>1468.6694669999999</v>
      </c>
      <c r="BM72" s="351">
        <f t="shared" si="166"/>
        <v>1153.5007039999998</v>
      </c>
      <c r="BN72" s="352">
        <f t="shared" si="167"/>
        <v>0</v>
      </c>
      <c r="BO72" s="352">
        <f t="shared" si="118"/>
        <v>0</v>
      </c>
      <c r="BP72" s="353">
        <f t="shared" si="119"/>
        <v>1468.6694669999999</v>
      </c>
      <c r="BQ72" s="353">
        <f t="shared" si="120"/>
        <v>1153.5007039999998</v>
      </c>
      <c r="BR72" s="343">
        <f t="shared" si="121"/>
        <v>1487.2060187274069</v>
      </c>
      <c r="BS72" s="343">
        <f t="shared" si="122"/>
        <v>1172.0372557274068</v>
      </c>
      <c r="BU72" s="374">
        <v>4.3070000000000004</v>
      </c>
      <c r="BV72" s="375">
        <v>1.8438000000000001</v>
      </c>
      <c r="BW72" s="374">
        <v>0</v>
      </c>
      <c r="BX72" s="374">
        <v>9076.0483000000004</v>
      </c>
      <c r="BY72" s="374">
        <v>3273.0032999999999</v>
      </c>
      <c r="BZ72" s="351">
        <f t="shared" si="168"/>
        <v>999.74084000000016</v>
      </c>
      <c r="CA72" s="351">
        <f t="shared" si="169"/>
        <v>704.09190599999999</v>
      </c>
      <c r="CB72" s="352">
        <f t="shared" si="170"/>
        <v>0</v>
      </c>
      <c r="CC72" s="352">
        <f t="shared" si="123"/>
        <v>0</v>
      </c>
      <c r="CD72" s="353">
        <f t="shared" si="124"/>
        <v>999.74084000000016</v>
      </c>
      <c r="CE72" s="353">
        <f t="shared" si="125"/>
        <v>704.09190599999999</v>
      </c>
      <c r="CF72" s="343">
        <f t="shared" si="126"/>
        <v>1012.5012131993233</v>
      </c>
      <c r="CG72" s="343">
        <f t="shared" si="127"/>
        <v>716.85227919932311</v>
      </c>
      <c r="CI72" s="374">
        <v>1.2735000000000001</v>
      </c>
      <c r="CJ72" s="375">
        <v>1.0886</v>
      </c>
      <c r="CK72" s="374">
        <v>8.0000000000000004E-4</v>
      </c>
      <c r="CL72" s="374">
        <v>35605.443299999999</v>
      </c>
      <c r="CM72" s="374">
        <v>14010.9308</v>
      </c>
      <c r="CN72" s="351">
        <f t="shared" si="171"/>
        <v>270.65695500000004</v>
      </c>
      <c r="CO72" s="351">
        <f t="shared" si="172"/>
        <v>299.85487000000001</v>
      </c>
      <c r="CP72" s="352">
        <f t="shared" si="173"/>
        <v>3.2000000000000003E-4</v>
      </c>
      <c r="CQ72" s="352">
        <f t="shared" si="128"/>
        <v>1.6818855314699218E-4</v>
      </c>
      <c r="CR72" s="353">
        <f t="shared" si="129"/>
        <v>270.65712318855321</v>
      </c>
      <c r="CS72" s="353">
        <f t="shared" si="130"/>
        <v>299.85471818855319</v>
      </c>
      <c r="CT72" s="343">
        <f t="shared" si="131"/>
        <v>270.69280805669734</v>
      </c>
      <c r="CU72" s="343">
        <f t="shared" si="132"/>
        <v>299.89040305669732</v>
      </c>
      <c r="CW72" s="374">
        <v>2.5583</v>
      </c>
      <c r="CX72" s="375">
        <v>2.0880000000000001</v>
      </c>
      <c r="CY72" s="374">
        <v>1.2500000000000001E-2</v>
      </c>
      <c r="CZ72" s="374">
        <v>16144.424199999999</v>
      </c>
      <c r="DA72" s="374">
        <v>6154.3649999999998</v>
      </c>
      <c r="DB72" s="351">
        <f t="shared" si="174"/>
        <v>573.64760899999999</v>
      </c>
      <c r="DC72" s="351">
        <f t="shared" si="175"/>
        <v>648.82512000000008</v>
      </c>
      <c r="DD72" s="352">
        <f t="shared" si="176"/>
        <v>3.1250000000000002E-3</v>
      </c>
      <c r="DE72" s="352">
        <f t="shared" si="133"/>
        <v>1.658587919305642E-3</v>
      </c>
      <c r="DF72" s="353">
        <f t="shared" si="134"/>
        <v>573.64926758791933</v>
      </c>
      <c r="DG72" s="353">
        <f t="shared" si="135"/>
        <v>648.82365358791947</v>
      </c>
      <c r="DH72" s="343">
        <f t="shared" si="136"/>
        <v>573.66934907262817</v>
      </c>
      <c r="DI72" s="343">
        <f t="shared" si="137"/>
        <v>648.84373507262831</v>
      </c>
      <c r="DK72" s="374">
        <v>2.3912</v>
      </c>
      <c r="DL72" s="375">
        <v>1.9319999999999999</v>
      </c>
      <c r="DM72" s="374">
        <v>5.0000000000000001E-4</v>
      </c>
      <c r="DN72" s="374">
        <v>4393.6400000000003</v>
      </c>
      <c r="DO72" s="374">
        <v>2076.9425000000001</v>
      </c>
      <c r="DP72" s="351">
        <f t="shared" si="177"/>
        <v>315.08842400000003</v>
      </c>
      <c r="DQ72" s="351">
        <f t="shared" si="178"/>
        <v>380.33352000000002</v>
      </c>
      <c r="DR72" s="352">
        <f t="shared" si="179"/>
        <v>9.5000000000000005E-5</v>
      </c>
      <c r="DS72" s="352">
        <f t="shared" si="138"/>
        <v>5.1956491611659579E-5</v>
      </c>
      <c r="DT72" s="353">
        <f t="shared" si="139"/>
        <v>315.08847595649166</v>
      </c>
      <c r="DU72" s="353">
        <f t="shared" si="140"/>
        <v>380.33347695649167</v>
      </c>
      <c r="DV72" s="343">
        <f t="shared" si="141"/>
        <v>315.11166487579288</v>
      </c>
      <c r="DW72" s="343">
        <f t="shared" si="142"/>
        <v>380.35666587579288</v>
      </c>
      <c r="EB72" s="326"/>
      <c r="EC72" s="326"/>
      <c r="ED72" s="326"/>
      <c r="EE72" s="348">
        <f t="shared" si="143"/>
        <v>77268.0242</v>
      </c>
      <c r="EF72" s="348">
        <f t="shared" si="144"/>
        <v>31363.575799999999</v>
      </c>
      <c r="EG72" s="348">
        <f t="shared" si="145"/>
        <v>4879.6351442000005</v>
      </c>
      <c r="EH72" s="348">
        <f t="shared" si="146"/>
        <v>5001.768462</v>
      </c>
      <c r="EI72" s="354">
        <f t="shared" si="180"/>
        <v>0.71128496864632385</v>
      </c>
      <c r="EJ72" s="326"/>
      <c r="EK72" s="348">
        <f t="shared" si="147"/>
        <v>4879.678740338456</v>
      </c>
      <c r="EL72" s="348">
        <f t="shared" si="148"/>
        <v>5001.6891391384552</v>
      </c>
      <c r="EM72" s="348">
        <f t="shared" si="58"/>
        <v>4922.8354584958443</v>
      </c>
      <c r="EN72" s="348">
        <f t="shared" si="149"/>
        <v>5044.8458572958434</v>
      </c>
      <c r="EP72" s="326"/>
      <c r="EQ72" s="326"/>
      <c r="ER72" s="326"/>
      <c r="ES72" s="348">
        <f t="shared" si="181"/>
        <v>63992.482500000006</v>
      </c>
      <c r="ET72" s="348">
        <f t="shared" si="182"/>
        <v>24849.271699999998</v>
      </c>
      <c r="EU72" s="348">
        <f t="shared" si="183"/>
        <v>4118.7357683</v>
      </c>
      <c r="EV72" s="348">
        <f t="shared" si="184"/>
        <v>4201.4481299999998</v>
      </c>
      <c r="EW72" s="354">
        <f t="shared" si="185"/>
        <v>0.72029737679357986</v>
      </c>
      <c r="EX72" s="326"/>
      <c r="EY72" s="348">
        <f t="shared" si="186"/>
        <v>4118.7370975000968</v>
      </c>
      <c r="EZ72" s="348">
        <f t="shared" si="187"/>
        <v>4201.4469517000962</v>
      </c>
      <c r="FA72" s="348">
        <f t="shared" si="66"/>
        <v>4154.3224541623231</v>
      </c>
      <c r="FB72" s="348">
        <f t="shared" si="67"/>
        <v>4237.0323083623234</v>
      </c>
      <c r="FD72" s="326"/>
      <c r="FE72" s="326"/>
      <c r="FF72" s="326"/>
      <c r="FG72" s="348">
        <f t="shared" si="188"/>
        <v>49551.2399</v>
      </c>
      <c r="FH72" s="348">
        <f t="shared" si="189"/>
        <v>19512.293300000001</v>
      </c>
      <c r="FI72" s="348">
        <f t="shared" si="190"/>
        <v>3189.6711673999998</v>
      </c>
      <c r="FJ72" s="348">
        <f t="shared" si="191"/>
        <v>3397.6697640000002</v>
      </c>
      <c r="FK72" s="354">
        <f t="shared" si="192"/>
        <v>0.71747328299155122</v>
      </c>
      <c r="FL72" s="326"/>
      <c r="FM72" s="348">
        <f t="shared" si="193"/>
        <v>3189.6713667624481</v>
      </c>
      <c r="FN72" s="348">
        <f t="shared" si="194"/>
        <v>3397.6695863624482</v>
      </c>
      <c r="FO72" s="348">
        <f t="shared" si="75"/>
        <v>3217.494999630087</v>
      </c>
      <c r="FP72" s="348">
        <f t="shared" si="76"/>
        <v>3425.4932192300871</v>
      </c>
      <c r="FR72" s="326"/>
      <c r="FS72" s="326"/>
      <c r="FT72" s="326"/>
      <c r="FU72" s="348">
        <f t="shared" si="195"/>
        <v>51749.8675</v>
      </c>
      <c r="FV72" s="348">
        <f t="shared" si="196"/>
        <v>20165.2958</v>
      </c>
      <c r="FW72" s="348">
        <f t="shared" si="197"/>
        <v>729.5750422000001</v>
      </c>
      <c r="FX72" s="348">
        <f t="shared" si="198"/>
        <v>818.91496600000005</v>
      </c>
      <c r="FY72" s="354">
        <f t="shared" si="199"/>
        <v>0.71959605075387489</v>
      </c>
      <c r="FZ72" s="326"/>
      <c r="GA72" s="348">
        <f t="shared" si="200"/>
        <v>729.57653725888872</v>
      </c>
      <c r="GB72" s="348">
        <f t="shared" si="201"/>
        <v>818.91364105888874</v>
      </c>
      <c r="GC72" s="348">
        <f t="shared" si="84"/>
        <v>729.62828731479988</v>
      </c>
      <c r="GD72" s="348">
        <f t="shared" si="85"/>
        <v>818.96539111480001</v>
      </c>
      <c r="GF72" s="326"/>
      <c r="GG72" s="326"/>
      <c r="GH72" s="326"/>
      <c r="GI72" s="348">
        <f t="shared" si="202"/>
        <v>24320.820800000001</v>
      </c>
      <c r="GJ72" s="348">
        <f t="shared" si="203"/>
        <v>8926</v>
      </c>
      <c r="GK72" s="349">
        <f t="shared" si="204"/>
        <v>435.11276399999991</v>
      </c>
      <c r="GL72" s="349">
        <f t="shared" si="205"/>
        <v>413.56075650000014</v>
      </c>
      <c r="GM72" s="354">
        <f t="shared" si="206"/>
        <v>0.73152320176129448</v>
      </c>
      <c r="GN72" s="326"/>
      <c r="GO72" s="349">
        <f t="shared" si="207"/>
        <v>435.11276399999991</v>
      </c>
      <c r="GP72" s="349">
        <f t="shared" si="208"/>
        <v>413.56075650000014</v>
      </c>
      <c r="GQ72" s="349">
        <f t="shared" si="93"/>
        <v>439.42836119691856</v>
      </c>
      <c r="GR72" s="349">
        <f t="shared" si="94"/>
        <v>417.87635369691873</v>
      </c>
      <c r="HA72" s="374"/>
      <c r="HB72" s="375"/>
      <c r="HC72" s="374"/>
      <c r="HD72" s="374"/>
      <c r="HE72" s="374"/>
      <c r="HF72" s="351">
        <f t="shared" si="209"/>
        <v>0</v>
      </c>
      <c r="HG72" s="351">
        <f t="shared" si="210"/>
        <v>0</v>
      </c>
      <c r="HH72" s="352">
        <f t="shared" si="211"/>
        <v>0</v>
      </c>
      <c r="HI72" s="352">
        <f t="shared" si="150"/>
        <v>0</v>
      </c>
      <c r="HJ72" s="353">
        <f t="shared" si="151"/>
        <v>0</v>
      </c>
      <c r="HK72" s="353">
        <f t="shared" si="152"/>
        <v>0</v>
      </c>
    </row>
    <row r="73" spans="1:219" x14ac:dyDescent="0.2">
      <c r="A73" s="320">
        <v>63</v>
      </c>
      <c r="C73" s="350">
        <v>2.7846000000000002</v>
      </c>
      <c r="D73" s="350">
        <v>1.6404000000000001</v>
      </c>
      <c r="E73" s="350">
        <v>1E-4</v>
      </c>
      <c r="F73" s="350">
        <v>9755.9316999999992</v>
      </c>
      <c r="G73" s="350">
        <v>5329.9975000000004</v>
      </c>
      <c r="H73" s="351">
        <f t="shared" si="153"/>
        <v>2718.0480600000001</v>
      </c>
      <c r="I73" s="351">
        <f t="shared" si="154"/>
        <v>3040.7930760000004</v>
      </c>
      <c r="J73" s="352">
        <f t="shared" si="155"/>
        <v>1.7156999999999999E-2</v>
      </c>
      <c r="K73" s="352">
        <f t="shared" si="98"/>
        <v>6.0617258569329625E-3</v>
      </c>
      <c r="L73" s="353">
        <f t="shared" si="99"/>
        <v>2718.0541217258569</v>
      </c>
      <c r="M73" s="353">
        <f t="shared" si="100"/>
        <v>3040.781980725857</v>
      </c>
      <c r="N73" s="343">
        <f t="shared" si="101"/>
        <v>2742.6806263858289</v>
      </c>
      <c r="O73" s="343">
        <f t="shared" si="102"/>
        <v>3065.408485385829</v>
      </c>
      <c r="Q73" s="374">
        <v>3.2867999999999999</v>
      </c>
      <c r="R73" s="375">
        <v>1.9744999999999999</v>
      </c>
      <c r="S73" s="374">
        <v>0</v>
      </c>
      <c r="T73" s="374">
        <v>4467.9066999999995</v>
      </c>
      <c r="U73" s="374">
        <v>1712.575</v>
      </c>
      <c r="V73" s="351">
        <f t="shared" si="156"/>
        <v>2101.5799199999997</v>
      </c>
      <c r="W73" s="351">
        <f t="shared" si="157"/>
        <v>2372.1248100000003</v>
      </c>
      <c r="X73" s="352">
        <f t="shared" si="158"/>
        <v>0</v>
      </c>
      <c r="Y73" s="352">
        <f t="shared" si="103"/>
        <v>0</v>
      </c>
      <c r="Z73" s="353">
        <f t="shared" si="104"/>
        <v>2101.5799199999997</v>
      </c>
      <c r="AA73" s="353">
        <f t="shared" si="105"/>
        <v>2372.1248100000003</v>
      </c>
      <c r="AB73" s="343">
        <f t="shared" si="106"/>
        <v>2118.5789830273793</v>
      </c>
      <c r="AC73" s="343">
        <f t="shared" si="107"/>
        <v>2389.1238730273799</v>
      </c>
      <c r="AE73" s="374">
        <v>4.3177000000000003</v>
      </c>
      <c r="AF73" s="375">
        <v>2.2845</v>
      </c>
      <c r="AG73" s="374">
        <v>0</v>
      </c>
      <c r="AH73" s="374">
        <v>437.83330000000001</v>
      </c>
      <c r="AI73" s="374">
        <v>119.28919999999999</v>
      </c>
      <c r="AJ73" s="351">
        <f t="shared" si="159"/>
        <v>1850.4798660000001</v>
      </c>
      <c r="AK73" s="351">
        <f t="shared" si="160"/>
        <v>2271.2042099999999</v>
      </c>
      <c r="AL73" s="352">
        <f t="shared" si="161"/>
        <v>0</v>
      </c>
      <c r="AM73" s="352">
        <f t="shared" si="108"/>
        <v>0</v>
      </c>
      <c r="AN73" s="353">
        <f t="shared" si="109"/>
        <v>1850.4798660000001</v>
      </c>
      <c r="AO73" s="353">
        <f t="shared" si="110"/>
        <v>2271.2042099999999</v>
      </c>
      <c r="AP73" s="343">
        <f t="shared" si="111"/>
        <v>1865.4935274485911</v>
      </c>
      <c r="AQ73" s="343">
        <f t="shared" si="112"/>
        <v>2286.2178714485908</v>
      </c>
      <c r="AS73" s="374">
        <v>5.0125999999999999</v>
      </c>
      <c r="AT73" s="375">
        <v>1.9572000000000001</v>
      </c>
      <c r="AU73" s="374">
        <v>0</v>
      </c>
      <c r="AV73" s="374">
        <v>14981.9558</v>
      </c>
      <c r="AW73" s="374">
        <v>5420.2016999999996</v>
      </c>
      <c r="AX73" s="351">
        <f t="shared" si="162"/>
        <v>1707.6424420000001</v>
      </c>
      <c r="AY73" s="351">
        <f t="shared" si="163"/>
        <v>1337.0024640000001</v>
      </c>
      <c r="AZ73" s="352">
        <f t="shared" si="164"/>
        <v>0</v>
      </c>
      <c r="BA73" s="352">
        <f t="shared" si="113"/>
        <v>0</v>
      </c>
      <c r="BB73" s="353">
        <f t="shared" si="114"/>
        <v>1707.6424420000001</v>
      </c>
      <c r="BC73" s="353">
        <f t="shared" si="115"/>
        <v>1337.0024640000001</v>
      </c>
      <c r="BD73" s="343">
        <f t="shared" si="116"/>
        <v>1726.1569447952147</v>
      </c>
      <c r="BE73" s="343">
        <f t="shared" si="117"/>
        <v>1355.5169667952148</v>
      </c>
      <c r="BG73" s="374">
        <v>4.7304000000000004</v>
      </c>
      <c r="BH73" s="375">
        <v>2.1139999999999999</v>
      </c>
      <c r="BI73" s="374">
        <v>0</v>
      </c>
      <c r="BJ73" s="374">
        <v>7974.0316999999995</v>
      </c>
      <c r="BK73" s="374">
        <v>2842.6925000000001</v>
      </c>
      <c r="BL73" s="351">
        <f t="shared" si="165"/>
        <v>1583.596008</v>
      </c>
      <c r="BM73" s="351">
        <f t="shared" si="166"/>
        <v>1238.6348799999998</v>
      </c>
      <c r="BN73" s="352">
        <f t="shared" si="167"/>
        <v>0</v>
      </c>
      <c r="BO73" s="352">
        <f t="shared" si="118"/>
        <v>0</v>
      </c>
      <c r="BP73" s="353">
        <f t="shared" si="119"/>
        <v>1583.596008</v>
      </c>
      <c r="BQ73" s="353">
        <f t="shared" si="120"/>
        <v>1238.6348799999998</v>
      </c>
      <c r="BR73" s="343">
        <f t="shared" si="121"/>
        <v>1602.1325597274069</v>
      </c>
      <c r="BS73" s="343">
        <f t="shared" si="122"/>
        <v>1257.1714317274068</v>
      </c>
      <c r="BU73" s="374">
        <v>4.66</v>
      </c>
      <c r="BV73" s="375">
        <v>1.9770000000000001</v>
      </c>
      <c r="BW73" s="374">
        <v>0</v>
      </c>
      <c r="BX73" s="374">
        <v>8718.9707999999991</v>
      </c>
      <c r="BY73" s="374">
        <v>3259.1817000000001</v>
      </c>
      <c r="BZ73" s="351">
        <f t="shared" si="168"/>
        <v>1081.6792</v>
      </c>
      <c r="CA73" s="351">
        <f t="shared" si="169"/>
        <v>754.95699000000002</v>
      </c>
      <c r="CB73" s="352">
        <f t="shared" si="170"/>
        <v>0</v>
      </c>
      <c r="CC73" s="352">
        <f t="shared" si="123"/>
        <v>0</v>
      </c>
      <c r="CD73" s="353">
        <f t="shared" si="124"/>
        <v>1081.6792</v>
      </c>
      <c r="CE73" s="353">
        <f t="shared" si="125"/>
        <v>754.95699000000002</v>
      </c>
      <c r="CF73" s="343">
        <f t="shared" si="126"/>
        <v>1094.4395731993231</v>
      </c>
      <c r="CG73" s="343">
        <f t="shared" si="127"/>
        <v>767.71736319932313</v>
      </c>
      <c r="CI73" s="374">
        <v>1.2910999999999999</v>
      </c>
      <c r="CJ73" s="375">
        <v>1.0906</v>
      </c>
      <c r="CK73" s="374">
        <v>0</v>
      </c>
      <c r="CL73" s="374">
        <v>35371.497499999998</v>
      </c>
      <c r="CM73" s="374">
        <v>13760.8267</v>
      </c>
      <c r="CN73" s="351">
        <f t="shared" si="171"/>
        <v>274.39748299999997</v>
      </c>
      <c r="CO73" s="351">
        <f t="shared" si="172"/>
        <v>300.40577000000002</v>
      </c>
      <c r="CP73" s="352">
        <f t="shared" si="173"/>
        <v>0</v>
      </c>
      <c r="CQ73" s="352">
        <f t="shared" si="128"/>
        <v>0</v>
      </c>
      <c r="CR73" s="353">
        <f t="shared" si="129"/>
        <v>274.39748299999997</v>
      </c>
      <c r="CS73" s="353">
        <f t="shared" si="130"/>
        <v>300.40577000000002</v>
      </c>
      <c r="CT73" s="343">
        <f t="shared" si="131"/>
        <v>274.43333605669727</v>
      </c>
      <c r="CU73" s="343">
        <f t="shared" si="132"/>
        <v>300.44162305669732</v>
      </c>
      <c r="CW73" s="374">
        <v>2.6229</v>
      </c>
      <c r="CX73" s="375">
        <v>2.1185999999999998</v>
      </c>
      <c r="CY73" s="374">
        <v>3.5999999999999999E-3</v>
      </c>
      <c r="CZ73" s="374">
        <v>16185.5383</v>
      </c>
      <c r="DA73" s="374">
        <v>5918.6292000000003</v>
      </c>
      <c r="DB73" s="351">
        <f t="shared" si="174"/>
        <v>588.13286699999992</v>
      </c>
      <c r="DC73" s="351">
        <f t="shared" si="175"/>
        <v>658.33376399999997</v>
      </c>
      <c r="DD73" s="352">
        <f t="shared" si="176"/>
        <v>8.9999999999999998E-4</v>
      </c>
      <c r="DE73" s="352">
        <f t="shared" si="133"/>
        <v>4.7534396257736653E-4</v>
      </c>
      <c r="DF73" s="353">
        <f t="shared" si="134"/>
        <v>588.13334234396245</v>
      </c>
      <c r="DG73" s="353">
        <f t="shared" si="135"/>
        <v>658.33333934396251</v>
      </c>
      <c r="DH73" s="343">
        <f t="shared" si="136"/>
        <v>588.1546070726281</v>
      </c>
      <c r="DI73" s="343">
        <f t="shared" si="137"/>
        <v>658.35460407262815</v>
      </c>
      <c r="DK73" s="374">
        <v>2.456</v>
      </c>
      <c r="DL73" s="375">
        <v>1.9652000000000001</v>
      </c>
      <c r="DM73" s="374">
        <v>0</v>
      </c>
      <c r="DN73" s="374">
        <v>4538.1458000000002</v>
      </c>
      <c r="DO73" s="374">
        <v>2174.8991999999998</v>
      </c>
      <c r="DP73" s="351">
        <f t="shared" si="177"/>
        <v>323.62712000000005</v>
      </c>
      <c r="DQ73" s="351">
        <f t="shared" si="178"/>
        <v>386.86927200000002</v>
      </c>
      <c r="DR73" s="352">
        <f t="shared" si="179"/>
        <v>0</v>
      </c>
      <c r="DS73" s="352">
        <f t="shared" si="138"/>
        <v>0</v>
      </c>
      <c r="DT73" s="353">
        <f t="shared" si="139"/>
        <v>323.62712000000005</v>
      </c>
      <c r="DU73" s="353">
        <f t="shared" si="140"/>
        <v>386.86927200000002</v>
      </c>
      <c r="DV73" s="343">
        <f t="shared" si="141"/>
        <v>323.6503608757929</v>
      </c>
      <c r="DW73" s="343">
        <f t="shared" si="142"/>
        <v>386.89251287579287</v>
      </c>
      <c r="EB73" s="326"/>
      <c r="EC73" s="326"/>
      <c r="ED73" s="326"/>
      <c r="EE73" s="348">
        <f t="shared" si="143"/>
        <v>76294.923299999995</v>
      </c>
      <c r="EF73" s="348">
        <f t="shared" si="144"/>
        <v>30429.6551</v>
      </c>
      <c r="EG73" s="348">
        <f t="shared" si="145"/>
        <v>5170.5942785999996</v>
      </c>
      <c r="EH73" s="348">
        <f t="shared" si="146"/>
        <v>5204.8683212000014</v>
      </c>
      <c r="EI73" s="354">
        <f t="shared" si="180"/>
        <v>0.71487678324714743</v>
      </c>
      <c r="EJ73" s="326"/>
      <c r="EK73" s="348">
        <f t="shared" si="147"/>
        <v>5170.6007206010272</v>
      </c>
      <c r="EL73" s="348">
        <f t="shared" si="148"/>
        <v>5204.8568862010279</v>
      </c>
      <c r="EM73" s="348">
        <f t="shared" si="58"/>
        <v>5213.7945928958434</v>
      </c>
      <c r="EN73" s="348">
        <f t="shared" si="149"/>
        <v>5248.0507584958432</v>
      </c>
      <c r="EP73" s="326"/>
      <c r="EQ73" s="326"/>
      <c r="ER73" s="326"/>
      <c r="ES73" s="348">
        <f t="shared" si="181"/>
        <v>63998.974199999997</v>
      </c>
      <c r="ET73" s="348">
        <f t="shared" si="182"/>
        <v>24234.723399999999</v>
      </c>
      <c r="EU73" s="348">
        <f t="shared" si="183"/>
        <v>4371.2664178999994</v>
      </c>
      <c r="EV73" s="348">
        <f t="shared" si="184"/>
        <v>4371.9990947999995</v>
      </c>
      <c r="EW73" s="354">
        <f t="shared" si="185"/>
        <v>0.72533483171173363</v>
      </c>
      <c r="EX73" s="326"/>
      <c r="EY73" s="348">
        <f t="shared" si="186"/>
        <v>4371.2667506407734</v>
      </c>
      <c r="EZ73" s="348">
        <f t="shared" si="187"/>
        <v>4371.998797540773</v>
      </c>
      <c r="FA73" s="348">
        <f t="shared" si="66"/>
        <v>4406.8531037623225</v>
      </c>
      <c r="FB73" s="348">
        <f t="shared" si="67"/>
        <v>4407.5851506623239</v>
      </c>
      <c r="FD73" s="326"/>
      <c r="FE73" s="326"/>
      <c r="FF73" s="326"/>
      <c r="FG73" s="348">
        <f t="shared" si="188"/>
        <v>49066.447399999997</v>
      </c>
      <c r="FH73" s="348">
        <f t="shared" si="189"/>
        <v>19314.196799999998</v>
      </c>
      <c r="FI73" s="348">
        <f t="shared" si="190"/>
        <v>3400.7328210000001</v>
      </c>
      <c r="FJ73" s="348">
        <f t="shared" si="191"/>
        <v>3558.6885331999997</v>
      </c>
      <c r="FK73" s="354">
        <f t="shared" si="192"/>
        <v>0.71754877383854776</v>
      </c>
      <c r="FL73" s="326"/>
      <c r="FM73" s="348">
        <f t="shared" si="193"/>
        <v>3400.7328210000001</v>
      </c>
      <c r="FN73" s="348">
        <f t="shared" si="194"/>
        <v>3558.6885331999997</v>
      </c>
      <c r="FO73" s="348">
        <f t="shared" si="75"/>
        <v>3428.5566532300868</v>
      </c>
      <c r="FP73" s="348">
        <f t="shared" si="76"/>
        <v>3586.5123654300869</v>
      </c>
      <c r="FR73" s="326"/>
      <c r="FS73" s="326"/>
      <c r="FT73" s="326"/>
      <c r="FU73" s="348">
        <f t="shared" si="195"/>
        <v>51557.035799999998</v>
      </c>
      <c r="FV73" s="348">
        <f t="shared" si="196"/>
        <v>19679.455900000001</v>
      </c>
      <c r="FW73" s="348">
        <f t="shared" si="197"/>
        <v>744.9037765999999</v>
      </c>
      <c r="FX73" s="348">
        <f t="shared" si="198"/>
        <v>827.07278120000001</v>
      </c>
      <c r="FY73" s="354">
        <f t="shared" si="199"/>
        <v>0.72374473489126079</v>
      </c>
      <c r="FZ73" s="326"/>
      <c r="GA73" s="348">
        <f t="shared" si="200"/>
        <v>744.90415687516997</v>
      </c>
      <c r="GB73" s="348">
        <f t="shared" si="201"/>
        <v>827.07244147517008</v>
      </c>
      <c r="GC73" s="348">
        <f t="shared" si="84"/>
        <v>744.95702171479979</v>
      </c>
      <c r="GD73" s="348">
        <f t="shared" si="85"/>
        <v>827.1253063147999</v>
      </c>
      <c r="GF73" s="326"/>
      <c r="GG73" s="326"/>
      <c r="GH73" s="326"/>
      <c r="GI73" s="348">
        <f t="shared" si="202"/>
        <v>23700.926599999999</v>
      </c>
      <c r="GJ73" s="348">
        <f t="shared" si="203"/>
        <v>8679.3833999999988</v>
      </c>
      <c r="GK73" s="349">
        <f t="shared" si="204"/>
        <v>469.47243150000003</v>
      </c>
      <c r="GL73" s="349">
        <f t="shared" si="205"/>
        <v>436.53410550000012</v>
      </c>
      <c r="GM73" s="354">
        <f t="shared" si="206"/>
        <v>0.73195490098766813</v>
      </c>
      <c r="GN73" s="326"/>
      <c r="GO73" s="349">
        <f t="shared" si="207"/>
        <v>469.47243150000003</v>
      </c>
      <c r="GP73" s="349">
        <f t="shared" si="208"/>
        <v>436.53410550000012</v>
      </c>
      <c r="GQ73" s="349">
        <f t="shared" si="93"/>
        <v>473.78802869691867</v>
      </c>
      <c r="GR73" s="349">
        <f t="shared" si="94"/>
        <v>440.84970269691871</v>
      </c>
      <c r="HA73" s="374"/>
      <c r="HB73" s="375"/>
      <c r="HC73" s="374"/>
      <c r="HD73" s="374"/>
      <c r="HE73" s="374"/>
      <c r="HF73" s="351">
        <f t="shared" si="209"/>
        <v>0</v>
      </c>
      <c r="HG73" s="351">
        <f t="shared" si="210"/>
        <v>0</v>
      </c>
      <c r="HH73" s="352">
        <f t="shared" si="211"/>
        <v>0</v>
      </c>
      <c r="HI73" s="352">
        <f t="shared" si="150"/>
        <v>0</v>
      </c>
      <c r="HJ73" s="353">
        <f t="shared" si="151"/>
        <v>0</v>
      </c>
      <c r="HK73" s="353">
        <f t="shared" si="152"/>
        <v>0</v>
      </c>
    </row>
    <row r="74" spans="1:219" x14ac:dyDescent="0.2">
      <c r="A74" s="320">
        <v>64</v>
      </c>
      <c r="C74" s="350">
        <v>2.9436</v>
      </c>
      <c r="D74" s="350">
        <v>1.7058</v>
      </c>
      <c r="E74" s="350">
        <v>0</v>
      </c>
      <c r="F74" s="350">
        <v>9056.2124999999996</v>
      </c>
      <c r="G74" s="350">
        <v>4667.67</v>
      </c>
      <c r="H74" s="351">
        <f t="shared" ref="H74:H110" si="212" xml:space="preserve"> C74 * C$8</f>
        <v>2873.2479600000001</v>
      </c>
      <c r="I74" s="351">
        <f t="shared" ref="I74:I110" si="213" xml:space="preserve"> D74 * D$8</f>
        <v>3162.024402</v>
      </c>
      <c r="J74" s="352">
        <f t="shared" ref="J74:J110" si="214" xml:space="preserve"> E74 * E$8</f>
        <v>0</v>
      </c>
      <c r="K74" s="352">
        <f t="shared" si="98"/>
        <v>0</v>
      </c>
      <c r="L74" s="353">
        <f t="shared" si="99"/>
        <v>2873.2479600000001</v>
      </c>
      <c r="M74" s="353">
        <f t="shared" si="100"/>
        <v>3162.024402</v>
      </c>
      <c r="N74" s="343">
        <f t="shared" si="101"/>
        <v>2897.8805263858289</v>
      </c>
      <c r="O74" s="343">
        <f t="shared" si="102"/>
        <v>3186.6569683858288</v>
      </c>
      <c r="Q74" s="374">
        <v>3.4929000000000001</v>
      </c>
      <c r="R74" s="375">
        <v>2.0491000000000001</v>
      </c>
      <c r="S74" s="374">
        <v>0</v>
      </c>
      <c r="T74" s="374">
        <v>4384.3491999999997</v>
      </c>
      <c r="U74" s="374">
        <v>1582.4541999999999</v>
      </c>
      <c r="V74" s="351">
        <f t="shared" ref="V74:V110" si="215" xml:space="preserve"> Q74 * Q$8</f>
        <v>2233.3602599999999</v>
      </c>
      <c r="W74" s="351">
        <f t="shared" ref="W74:W110" si="216" xml:space="preserve"> R74 * R$8</f>
        <v>2461.7477580000004</v>
      </c>
      <c r="X74" s="352">
        <f t="shared" ref="X74:X110" si="217" xml:space="preserve"> S74 * S$8</f>
        <v>0</v>
      </c>
      <c r="Y74" s="352">
        <f t="shared" si="103"/>
        <v>0</v>
      </c>
      <c r="Z74" s="353">
        <f t="shared" si="104"/>
        <v>2233.3602599999999</v>
      </c>
      <c r="AA74" s="353">
        <f t="shared" si="105"/>
        <v>2461.7477580000004</v>
      </c>
      <c r="AB74" s="343">
        <f t="shared" si="106"/>
        <v>2250.3593230273796</v>
      </c>
      <c r="AC74" s="343">
        <f t="shared" si="107"/>
        <v>2478.7468210273801</v>
      </c>
      <c r="AE74" s="374">
        <v>4.5971000000000002</v>
      </c>
      <c r="AF74" s="375">
        <v>2.3887</v>
      </c>
      <c r="AG74" s="374">
        <v>0</v>
      </c>
      <c r="AH74" s="374">
        <v>461.80669999999998</v>
      </c>
      <c r="AI74" s="374">
        <v>141.41669999999999</v>
      </c>
      <c r="AJ74" s="351">
        <f t="shared" ref="AJ74:AJ110" si="218" xml:space="preserve"> AE74 * AE$8</f>
        <v>1970.2251180000001</v>
      </c>
      <c r="AK74" s="351">
        <f t="shared" ref="AK74:AK110" si="219" xml:space="preserve"> AF74 * AF$8</f>
        <v>2374.7977660000001</v>
      </c>
      <c r="AL74" s="352">
        <f t="shared" ref="AL74:AL110" si="220" xml:space="preserve"> AG74 * AG$8</f>
        <v>0</v>
      </c>
      <c r="AM74" s="352">
        <f t="shared" si="108"/>
        <v>0</v>
      </c>
      <c r="AN74" s="353">
        <f t="shared" si="109"/>
        <v>1970.2251180000001</v>
      </c>
      <c r="AO74" s="353">
        <f t="shared" si="110"/>
        <v>2374.7977660000001</v>
      </c>
      <c r="AP74" s="343">
        <f t="shared" si="111"/>
        <v>1985.238779448591</v>
      </c>
      <c r="AQ74" s="343">
        <f t="shared" si="112"/>
        <v>2389.8114274485911</v>
      </c>
      <c r="AS74" s="374">
        <v>5.4176000000000002</v>
      </c>
      <c r="AT74" s="375">
        <v>2.0916999999999999</v>
      </c>
      <c r="AU74" s="374">
        <v>0</v>
      </c>
      <c r="AV74" s="374">
        <v>14713.6358</v>
      </c>
      <c r="AW74" s="374">
        <v>5365.8283000000001</v>
      </c>
      <c r="AX74" s="351">
        <f t="shared" ref="AX74:AX110" si="221" xml:space="preserve"> AS74 * AS$8</f>
        <v>1845.6137920000001</v>
      </c>
      <c r="AY74" s="351">
        <f t="shared" ref="AY74:AY110" si="222" xml:space="preserve"> AT74 * AT$8</f>
        <v>1428.882104</v>
      </c>
      <c r="AZ74" s="352">
        <f t="shared" ref="AZ74:AZ110" si="223" xml:space="preserve"> AU74 * AU$8</f>
        <v>0</v>
      </c>
      <c r="BA74" s="352">
        <f t="shared" si="113"/>
        <v>0</v>
      </c>
      <c r="BB74" s="353">
        <f t="shared" si="114"/>
        <v>1845.6137920000001</v>
      </c>
      <c r="BC74" s="353">
        <f t="shared" si="115"/>
        <v>1428.882104</v>
      </c>
      <c r="BD74" s="343">
        <f t="shared" si="116"/>
        <v>1864.1282947952147</v>
      </c>
      <c r="BE74" s="343">
        <f t="shared" si="117"/>
        <v>1447.3966067952147</v>
      </c>
      <c r="BG74" s="374">
        <v>5.0991</v>
      </c>
      <c r="BH74" s="375">
        <v>2.2827000000000002</v>
      </c>
      <c r="BI74" s="374">
        <v>0</v>
      </c>
      <c r="BJ74" s="374">
        <v>7661.0483000000004</v>
      </c>
      <c r="BK74" s="374">
        <v>2713.67</v>
      </c>
      <c r="BL74" s="351">
        <f t="shared" ref="BL74:BL110" si="224" xml:space="preserve"> BG74 * BG$8</f>
        <v>1707.0257069999998</v>
      </c>
      <c r="BM74" s="351">
        <f t="shared" ref="BM74:BM110" si="225" xml:space="preserve"> BH74 * BH$8</f>
        <v>1337.4795839999999</v>
      </c>
      <c r="BN74" s="352">
        <f t="shared" ref="BN74:BN110" si="226" xml:space="preserve"> BI74 * BI$8</f>
        <v>0</v>
      </c>
      <c r="BO74" s="352">
        <f t="shared" si="118"/>
        <v>0</v>
      </c>
      <c r="BP74" s="353">
        <f t="shared" si="119"/>
        <v>1707.0257069999998</v>
      </c>
      <c r="BQ74" s="353">
        <f t="shared" si="120"/>
        <v>1337.4795839999999</v>
      </c>
      <c r="BR74" s="343">
        <f t="shared" si="121"/>
        <v>1725.5622587274067</v>
      </c>
      <c r="BS74" s="343">
        <f t="shared" si="122"/>
        <v>1356.0161357274069</v>
      </c>
      <c r="BU74" s="374">
        <v>5.0678999999999998</v>
      </c>
      <c r="BV74" s="375">
        <v>2.1267999999999998</v>
      </c>
      <c r="BW74" s="374">
        <v>0</v>
      </c>
      <c r="BX74" s="374">
        <v>8095.1082999999999</v>
      </c>
      <c r="BY74" s="374">
        <v>2764.4958000000001</v>
      </c>
      <c r="BZ74" s="351">
        <f t="shared" ref="BZ74:BZ110" si="227" xml:space="preserve"> BU74 * BU$8</f>
        <v>1176.360948</v>
      </c>
      <c r="CA74" s="351">
        <f t="shared" ref="CA74:CA110" si="228" xml:space="preserve"> BV74 * BV$8</f>
        <v>812.16111599999988</v>
      </c>
      <c r="CB74" s="352">
        <f t="shared" ref="CB74:CB110" si="229" xml:space="preserve"> BW74 * BW$8</f>
        <v>0</v>
      </c>
      <c r="CC74" s="352">
        <f t="shared" si="123"/>
        <v>0</v>
      </c>
      <c r="CD74" s="353">
        <f t="shared" si="124"/>
        <v>1176.360948</v>
      </c>
      <c r="CE74" s="353">
        <f t="shared" si="125"/>
        <v>812.16111599999988</v>
      </c>
      <c r="CF74" s="343">
        <f t="shared" si="126"/>
        <v>1189.1213211993231</v>
      </c>
      <c r="CG74" s="343">
        <f t="shared" si="127"/>
        <v>824.92148919932299</v>
      </c>
      <c r="CI74" s="374">
        <v>1.3089999999999999</v>
      </c>
      <c r="CJ74" s="375">
        <v>1.093</v>
      </c>
      <c r="CK74" s="374">
        <v>0</v>
      </c>
      <c r="CL74" s="374">
        <v>34364.614999999998</v>
      </c>
      <c r="CM74" s="374">
        <v>13106.049199999999</v>
      </c>
      <c r="CN74" s="351">
        <f t="shared" ref="CN74:CN110" si="230" xml:space="preserve"> CI74 * CI$8</f>
        <v>278.20177000000001</v>
      </c>
      <c r="CO74" s="351">
        <f t="shared" ref="CO74:CO110" si="231" xml:space="preserve"> CJ74 * CJ$8</f>
        <v>301.06684999999999</v>
      </c>
      <c r="CP74" s="352">
        <f t="shared" ref="CP74:CP110" si="232" xml:space="preserve"> CK74 * CK$8</f>
        <v>0</v>
      </c>
      <c r="CQ74" s="352">
        <f t="shared" si="128"/>
        <v>0</v>
      </c>
      <c r="CR74" s="353">
        <f t="shared" si="129"/>
        <v>278.20177000000001</v>
      </c>
      <c r="CS74" s="353">
        <f t="shared" si="130"/>
        <v>301.06684999999999</v>
      </c>
      <c r="CT74" s="343">
        <f t="shared" si="131"/>
        <v>278.23762305669732</v>
      </c>
      <c r="CU74" s="343">
        <f t="shared" si="132"/>
        <v>301.10270305669729</v>
      </c>
      <c r="CW74" s="374">
        <v>2.6835</v>
      </c>
      <c r="CX74" s="375">
        <v>2.1440000000000001</v>
      </c>
      <c r="CY74" s="374">
        <v>0</v>
      </c>
      <c r="CZ74" s="374">
        <v>15625.1342</v>
      </c>
      <c r="DA74" s="374">
        <v>5651.4825000000001</v>
      </c>
      <c r="DB74" s="351">
        <f t="shared" ref="DB74:DB110" si="233" xml:space="preserve"> CW74 * CW$8</f>
        <v>601.72120499999994</v>
      </c>
      <c r="DC74" s="351">
        <f t="shared" ref="DC74:DC110" si="234" xml:space="preserve"> CX74 * CX$8</f>
        <v>666.22656000000006</v>
      </c>
      <c r="DD74" s="352">
        <f t="shared" ref="DD74:DD110" si="235" xml:space="preserve"> CY74 * CY$8</f>
        <v>0</v>
      </c>
      <c r="DE74" s="352">
        <f t="shared" si="133"/>
        <v>0</v>
      </c>
      <c r="DF74" s="353">
        <f t="shared" si="134"/>
        <v>601.72120499999994</v>
      </c>
      <c r="DG74" s="353">
        <f t="shared" si="135"/>
        <v>666.22656000000006</v>
      </c>
      <c r="DH74" s="343">
        <f t="shared" si="136"/>
        <v>601.74294507262812</v>
      </c>
      <c r="DI74" s="343">
        <f t="shared" si="137"/>
        <v>666.24830007262824</v>
      </c>
      <c r="DK74" s="374">
        <v>2.5305</v>
      </c>
      <c r="DL74" s="375">
        <v>2.0066999999999999</v>
      </c>
      <c r="DM74" s="374">
        <v>0</v>
      </c>
      <c r="DN74" s="374">
        <v>4602.1967000000004</v>
      </c>
      <c r="DO74" s="374">
        <v>2076.0333000000001</v>
      </c>
      <c r="DP74" s="351">
        <f t="shared" ref="DP74:DP110" si="236" xml:space="preserve"> DK74 * DK$8</f>
        <v>333.443985</v>
      </c>
      <c r="DQ74" s="351">
        <f t="shared" ref="DQ74:DQ110" si="237" xml:space="preserve"> DL74 * DL$8</f>
        <v>395.03896200000003</v>
      </c>
      <c r="DR74" s="352">
        <f t="shared" ref="DR74:DR110" si="238" xml:space="preserve"> DM74 * DM$8</f>
        <v>0</v>
      </c>
      <c r="DS74" s="352">
        <f t="shared" si="138"/>
        <v>0</v>
      </c>
      <c r="DT74" s="353">
        <f t="shared" si="139"/>
        <v>333.443985</v>
      </c>
      <c r="DU74" s="353">
        <f t="shared" si="140"/>
        <v>395.03896200000003</v>
      </c>
      <c r="DV74" s="343">
        <f t="shared" si="141"/>
        <v>333.46722587579285</v>
      </c>
      <c r="DW74" s="343">
        <f t="shared" si="142"/>
        <v>395.06220287579288</v>
      </c>
      <c r="EB74" s="326"/>
      <c r="EC74" s="326"/>
      <c r="ED74" s="326"/>
      <c r="EE74" s="348">
        <f t="shared" si="143"/>
        <v>73759.597500000003</v>
      </c>
      <c r="EF74" s="348">
        <f t="shared" si="144"/>
        <v>28791.03</v>
      </c>
      <c r="EG74" s="348">
        <f t="shared" si="145"/>
        <v>5478.4404860000004</v>
      </c>
      <c r="EH74" s="348">
        <f t="shared" si="146"/>
        <v>5424.9546040000005</v>
      </c>
      <c r="EI74" s="354">
        <f t="shared" ref="EI74:EI105" si="239" xml:space="preserve"> IF(   SUM(EE74:EF74) = 0,    IF( EG74&lt;EH74, lambdax_min, lambdax_max ),
                                                                   MAX( lambdax_min, MIN( lambdax_max, EE74 / SUM(EE74:EF74) ) )     )</f>
        <v>0.7192505721137592</v>
      </c>
      <c r="EJ74" s="326"/>
      <c r="EK74" s="348">
        <f t="shared" si="147"/>
        <v>5478.4404860000004</v>
      </c>
      <c r="EL74" s="348">
        <f t="shared" si="148"/>
        <v>5424.9546040000005</v>
      </c>
      <c r="EM74" s="348">
        <f t="shared" si="58"/>
        <v>5521.6408002958433</v>
      </c>
      <c r="EN74" s="348">
        <f t="shared" si="149"/>
        <v>5468.1549182958443</v>
      </c>
      <c r="EP74" s="326"/>
      <c r="EQ74" s="326"/>
      <c r="ER74" s="326"/>
      <c r="ES74" s="348">
        <f t="shared" ref="ES74:ES110" si="240" xml:space="preserve"> T74 + BJ74 + CL74 + ES$8 * CZ74</f>
        <v>62035.146699999998</v>
      </c>
      <c r="ET74" s="348">
        <f t="shared" ref="ET74:ET110" si="241" xml:space="preserve"> U74 + BK74 + CM74 + ET$8 * DA74</f>
        <v>23053.655899999998</v>
      </c>
      <c r="EU74" s="348">
        <f t="shared" ref="EU74:EU110" si="242" xml:space="preserve"> V74 + BL74 + CN74 + EU$8 * DB74</f>
        <v>4639.7925804999995</v>
      </c>
      <c r="EV74" s="348">
        <f t="shared" ref="EV74:EV110" si="243" xml:space="preserve"> W74 + BM74 + CO74 + EV$8 * DC74</f>
        <v>4566.6527839999999</v>
      </c>
      <c r="EW74" s="354">
        <f t="shared" ref="EW74:EW105" si="244" xml:space="preserve"> IF(   SUM(ES74:ET74) = 0,    IF( EU74&lt;EV74, lambdax_min, lambdax_max ),
                                                                   MAX( lambdax_min, MIN( lambdax_max, ES74 / SUM(ES74:ET74) ) )     )</f>
        <v>0.72906357598690663</v>
      </c>
      <c r="EX74" s="326"/>
      <c r="EY74" s="348">
        <f t="shared" ref="EY74:EY110" si="245" xml:space="preserve"> Z74 + BP74 + CR74 + EY$8 * DF74</f>
        <v>4639.7925804999995</v>
      </c>
      <c r="EZ74" s="348">
        <f t="shared" ref="EZ74:EZ110" si="246" xml:space="preserve"> AA74 + BQ74 + CS74 + EZ$8 * DG74</f>
        <v>4566.6527839999999</v>
      </c>
      <c r="FA74" s="348">
        <f t="shared" ref="FA74:FA110" si="247" xml:space="preserve"> AB74 + BR74 + CT74 + FA$8 * DH74</f>
        <v>4675.3792663623235</v>
      </c>
      <c r="FB74" s="348">
        <f t="shared" ref="FB74:FB110" si="248" xml:space="preserve"> AC74 + BS74 + CU74 + FB$8 * DI74</f>
        <v>4602.2394698623239</v>
      </c>
      <c r="FD74" s="326"/>
      <c r="FE74" s="326"/>
      <c r="FF74" s="326"/>
      <c r="FG74" s="348">
        <f t="shared" ref="FG74:FG110" si="249" xml:space="preserve"> AH74 + BX74 + CL74 + FG$8 * DN74</f>
        <v>47523.726699999999</v>
      </c>
      <c r="FH74" s="348">
        <f t="shared" ref="FH74:FH110" si="250" xml:space="preserve"> AI74 + BY74 + CM74 + FH$8 * DO74</f>
        <v>18087.994999999999</v>
      </c>
      <c r="FI74" s="348">
        <f t="shared" ref="FI74:FI110" si="251" xml:space="preserve"> AJ74 + BZ74 + CN74 + FI$8 * DP74</f>
        <v>3624.8542269999998</v>
      </c>
      <c r="FJ74" s="348">
        <f t="shared" ref="FJ74:FJ110" si="252" xml:space="preserve"> AK74 + CA74 + CO74 + FJ$8 * DQ74</f>
        <v>3725.0491092000002</v>
      </c>
      <c r="FK74" s="354">
        <f t="shared" ref="FK74:FK105" si="253" xml:space="preserve"> IF(   SUM(FG74:FH74) = 0,    IF( FI74&lt;FJ74, lambdax_min, lambdax_max ),
                                                                   MAX( lambdax_min, MIN( lambdax_max, FG74 / SUM(FG74:FH74) ) )     )</f>
        <v>0.72431762905560215</v>
      </c>
      <c r="FL74" s="326"/>
      <c r="FM74" s="348">
        <f t="shared" ref="FM74:FM110" si="254" xml:space="preserve"> AN74 + CD74 + CR74 + FM$8 * DT74</f>
        <v>3624.8542269999998</v>
      </c>
      <c r="FN74" s="348">
        <f t="shared" ref="FN74:FN110" si="255" xml:space="preserve"> AO74 + CE74 + CS74 + FN$8 * DU74</f>
        <v>3725.0491092000002</v>
      </c>
      <c r="FO74" s="348">
        <f t="shared" ref="FO74:FO110" si="256" xml:space="preserve"> AP74 + CF74 + CT74 + FO$8 * DV74</f>
        <v>3652.678059230087</v>
      </c>
      <c r="FP74" s="348">
        <f t="shared" ref="FP74:FP110" si="257" xml:space="preserve"> AQ74 + CG74 + CU74 + FP$8 * DW74</f>
        <v>3752.8729414300869</v>
      </c>
      <c r="FR74" s="326"/>
      <c r="FS74" s="326"/>
      <c r="FT74" s="326"/>
      <c r="FU74" s="348">
        <f t="shared" ref="FU74:FU110" si="258" xml:space="preserve"> CL74 + FU$8 * CZ74</f>
        <v>49989.749199999998</v>
      </c>
      <c r="FV74" s="348">
        <f t="shared" ref="FV74:FV110" si="259" xml:space="preserve"> CM74 + FV$8 * DA74</f>
        <v>18757.5317</v>
      </c>
      <c r="FW74" s="348">
        <f t="shared" ref="FW74:FW110" si="260" xml:space="preserve"> CN74 + FW$8 * DB74</f>
        <v>759.57873399999994</v>
      </c>
      <c r="FX74" s="348">
        <f t="shared" ref="FX74:FX110" si="261" xml:space="preserve"> CO74 + FX$8 * DC74</f>
        <v>834.04809799999998</v>
      </c>
      <c r="FY74" s="354">
        <f t="shared" ref="FY74:FY105" si="262" xml:space="preserve"> IF(   SUM(FU74:FV74) = 0,    IF( FW74&lt;FX74, lambdax_min, lambdax_max ),
                                                                   MAX( lambdax_min, MIN( lambdax_max, FU74 / SUM(FU74:FV74) ) )     )</f>
        <v>0.72715238400068849</v>
      </c>
      <c r="FZ74" s="326"/>
      <c r="GA74" s="348">
        <f t="shared" ref="GA74:GA110" si="263" xml:space="preserve"> CR74 + GA$8 * DF74</f>
        <v>759.57873399999994</v>
      </c>
      <c r="GB74" s="348">
        <f t="shared" ref="GB74:GB110" si="264" xml:space="preserve"> CS74 + GB$8 * DG74</f>
        <v>834.04809799999998</v>
      </c>
      <c r="GC74" s="348">
        <f t="shared" ref="GC74:GC110" si="265" xml:space="preserve"> CT74 + GC$8 * DH74</f>
        <v>759.63197911479983</v>
      </c>
      <c r="GD74" s="348">
        <f t="shared" ref="GD74:GD110" si="266" xml:space="preserve"> CU74 + GD$8 * DI74</f>
        <v>834.10134311479987</v>
      </c>
      <c r="GF74" s="326"/>
      <c r="GG74" s="326"/>
      <c r="GH74" s="326"/>
      <c r="GI74" s="348">
        <f t="shared" ref="GI74:GI110" si="267" xml:space="preserve"> MAX( 0, AV74 + BX74 ) * GI$8</f>
        <v>22808.7441</v>
      </c>
      <c r="GJ74" s="348">
        <f t="shared" ref="GJ74:GJ110" si="268" xml:space="preserve"> MAX( 0, AW74 + BY74 ) * GJ$8</f>
        <v>8130.3240999999998</v>
      </c>
      <c r="GK74" s="349">
        <f t="shared" ref="GK74:GK110" si="269" xml:space="preserve"> MAX( 0, AX74 - BZ74 ) * GK$8</f>
        <v>501.93963300000007</v>
      </c>
      <c r="GL74" s="349">
        <f t="shared" ref="GL74:GL110" si="270" xml:space="preserve"> MAX( 0, AY74 - CA74 ) * GL$8</f>
        <v>462.54074100000014</v>
      </c>
      <c r="GM74" s="354">
        <f t="shared" ref="GM74:GM105" si="271" xml:space="preserve"> IF(   SUM(GI74:GJ74) = 0,    IF( GK74&lt;GL74, lambdax_min, lambdax_max ),
                                                                   MAX( lambdax_min, MIN( lambdax_max, GI74 / SUM(GI74:GJ74) ) )     )</f>
        <v>0.73721496564010935</v>
      </c>
      <c r="GN74" s="326"/>
      <c r="GO74" s="349">
        <f t="shared" ref="GO74:GO110" si="272" xml:space="preserve"> MAX( 0, BB74 - CD74 ) * GO$8</f>
        <v>501.93963300000007</v>
      </c>
      <c r="GP74" s="349">
        <f t="shared" ref="GP74:GP110" si="273" xml:space="preserve"> MAX( 0, BC74 - CE74 ) * GP$8</f>
        <v>462.54074100000014</v>
      </c>
      <c r="GQ74" s="349">
        <f t="shared" ref="GQ74:GQ110" si="274" xml:space="preserve"> MAX( 0, BD74 - CF74 ) * GQ$8</f>
        <v>506.25523019691872</v>
      </c>
      <c r="GR74" s="349">
        <f t="shared" ref="GR74:GR110" si="275" xml:space="preserve"> MAX( 0, BE74 - CG74 ) * GR$8</f>
        <v>466.85633819691873</v>
      </c>
      <c r="HA74" s="374"/>
      <c r="HB74" s="375"/>
      <c r="HC74" s="374"/>
      <c r="HD74" s="374"/>
      <c r="HE74" s="374"/>
      <c r="HF74" s="351">
        <f t="shared" ref="HF74:HF110" si="276" xml:space="preserve"> HA74 * HA$8</f>
        <v>0</v>
      </c>
      <c r="HG74" s="351">
        <f t="shared" ref="HG74:HG110" si="277" xml:space="preserve"> HB74 * HB$8</f>
        <v>0</v>
      </c>
      <c r="HH74" s="352">
        <f t="shared" ref="HH74:HH110" si="278" xml:space="preserve"> HC74 * HC$8</f>
        <v>0</v>
      </c>
      <c r="HI74" s="352">
        <f t="shared" si="150"/>
        <v>0</v>
      </c>
      <c r="HJ74" s="353">
        <f t="shared" si="151"/>
        <v>0</v>
      </c>
      <c r="HK74" s="353">
        <f t="shared" si="152"/>
        <v>0</v>
      </c>
    </row>
    <row r="75" spans="1:219" x14ac:dyDescent="0.2">
      <c r="A75" s="320">
        <v>65</v>
      </c>
      <c r="C75" s="350">
        <v>3.1088</v>
      </c>
      <c r="D75" s="350">
        <v>1.7746999999999999</v>
      </c>
      <c r="E75" s="350">
        <v>0</v>
      </c>
      <c r="F75" s="350">
        <v>7838.7258000000002</v>
      </c>
      <c r="G75" s="350">
        <v>4037.5133000000001</v>
      </c>
      <c r="H75" s="351">
        <f t="shared" si="212"/>
        <v>3034.4996799999999</v>
      </c>
      <c r="I75" s="351">
        <f t="shared" si="213"/>
        <v>3289.7436429999998</v>
      </c>
      <c r="J75" s="352">
        <f t="shared" si="214"/>
        <v>0</v>
      </c>
      <c r="K75" s="352">
        <f t="shared" ref="K75:K110" si="279" xml:space="preserve"> IF(    SUM(F75:G75)=0,    0,   J75 * G75 / SUM(F75:G75)    )</f>
        <v>0</v>
      </c>
      <c r="L75" s="353">
        <f t="shared" ref="L75:L110" si="280" xml:space="preserve"> H75 + K75</f>
        <v>3034.4996799999999</v>
      </c>
      <c r="M75" s="353">
        <f t="shared" ref="M75:M110" si="281" xml:space="preserve"> I75 - J75 + K75</f>
        <v>3289.7436429999998</v>
      </c>
      <c r="N75" s="343">
        <f t="shared" ref="N75:N110" si="282" xml:space="preserve"> H75 + IF( OR( $A75&lt;=14, $A75&gt;=65 ),0, IF( $A75&lt;=19, N$8, N$9 ) )</f>
        <v>3034.4996799999999</v>
      </c>
      <c r="O75" s="343">
        <f t="shared" ref="O75:O110" si="283" xml:space="preserve"> I75 - J75 + IF( OR( $A75&lt;=14, $A75&gt;=65 ),0, IF( $A75&lt;=19, O$8, O$9 ) )</f>
        <v>3289.7436429999998</v>
      </c>
      <c r="Q75" s="374">
        <v>3.7088999999999999</v>
      </c>
      <c r="R75" s="375">
        <v>2.1333000000000002</v>
      </c>
      <c r="S75" s="374">
        <v>0</v>
      </c>
      <c r="T75" s="374">
        <v>3849.8024999999998</v>
      </c>
      <c r="U75" s="374">
        <v>1395.7650000000001</v>
      </c>
      <c r="V75" s="351">
        <f t="shared" si="215"/>
        <v>2371.47066</v>
      </c>
      <c r="W75" s="351">
        <f t="shared" si="216"/>
        <v>2562.9039540000003</v>
      </c>
      <c r="X75" s="352">
        <f t="shared" si="217"/>
        <v>0</v>
      </c>
      <c r="Y75" s="352">
        <f t="shared" ref="Y75:Y110" si="284" xml:space="preserve"> IF(    SUM(V75:W75)=0,    0,   X75 * W75 / SUM(V75:W75)    )</f>
        <v>0</v>
      </c>
      <c r="Z75" s="353">
        <f t="shared" ref="Z75:Z110" si="285" xml:space="preserve"> V75 + Y75</f>
        <v>2371.47066</v>
      </c>
      <c r="AA75" s="353">
        <f t="shared" ref="AA75:AA110" si="286" xml:space="preserve"> W75 - X75 + Y75</f>
        <v>2562.9039540000003</v>
      </c>
      <c r="AB75" s="343">
        <f t="shared" ref="AB75:AB110" si="287" xml:space="preserve"> V75 + IF( OR( $A75&lt;=14, $A75&gt;=65 ),0, IF( $A75&lt;=19, AB$8, AB$9 ) )</f>
        <v>2371.47066</v>
      </c>
      <c r="AC75" s="343">
        <f t="shared" ref="AC75:AC110" si="288" xml:space="preserve"> W75 - X75 + IF( OR( $A75&lt;=14, $A75&gt;=65 ),0, IF( $A75&lt;=19, AC$8, AC$9 ) )</f>
        <v>2562.9039540000003</v>
      </c>
      <c r="AE75" s="374">
        <v>4.8727</v>
      </c>
      <c r="AF75" s="375">
        <v>2.4902000000000002</v>
      </c>
      <c r="AG75" s="374">
        <v>0</v>
      </c>
      <c r="AH75" s="374">
        <v>368.77499999999998</v>
      </c>
      <c r="AI75" s="374">
        <v>109.75</v>
      </c>
      <c r="AJ75" s="351">
        <f t="shared" si="218"/>
        <v>2088.341766</v>
      </c>
      <c r="AK75" s="351">
        <f t="shared" si="219"/>
        <v>2475.7070360000002</v>
      </c>
      <c r="AL75" s="352">
        <f t="shared" si="220"/>
        <v>0</v>
      </c>
      <c r="AM75" s="352">
        <f t="shared" ref="AM75:AM110" si="289" xml:space="preserve"> IF(    SUM(AJ75:AK75)=0,    0,   AL75 * AK75 / SUM(AJ75:AK75)    )</f>
        <v>0</v>
      </c>
      <c r="AN75" s="353">
        <f t="shared" ref="AN75:AN110" si="290" xml:space="preserve"> AJ75 + AM75</f>
        <v>2088.341766</v>
      </c>
      <c r="AO75" s="353">
        <f t="shared" ref="AO75:AO110" si="291" xml:space="preserve"> AK75 - AL75 + AM75</f>
        <v>2475.7070360000002</v>
      </c>
      <c r="AP75" s="343">
        <f t="shared" ref="AP75:AP110" si="292" xml:space="preserve"> AJ75 + IF( OR( $A75&lt;=14, $A75&gt;=65 ),0, IF( $A75&lt;=19, AP$8, AP$9 ) )</f>
        <v>2088.341766</v>
      </c>
      <c r="AQ75" s="343">
        <f t="shared" ref="AQ75:AQ110" si="293" xml:space="preserve"> AK75 - AL75 + IF( OR( $A75&lt;=14, $A75&gt;=65 ),0, IF( $A75&lt;=19, AQ$8, AQ$9 ) )</f>
        <v>2475.7070360000002</v>
      </c>
      <c r="AS75" s="374">
        <v>5.8428000000000004</v>
      </c>
      <c r="AT75" s="375">
        <v>2.2427999999999999</v>
      </c>
      <c r="AU75" s="374">
        <v>0</v>
      </c>
      <c r="AV75" s="374">
        <v>13201.6433</v>
      </c>
      <c r="AW75" s="374">
        <v>4788.8458000000001</v>
      </c>
      <c r="AX75" s="351">
        <f t="shared" si="221"/>
        <v>1990.4666760000002</v>
      </c>
      <c r="AY75" s="351">
        <f t="shared" si="222"/>
        <v>1532.1015359999999</v>
      </c>
      <c r="AZ75" s="352">
        <f t="shared" si="223"/>
        <v>0</v>
      </c>
      <c r="BA75" s="352">
        <f t="shared" ref="BA75:BA110" si="294" xml:space="preserve"> IF(    SUM(AX75:AY75)=0,    0,   AZ75 * AY75 / SUM(AX75:AY75)    )</f>
        <v>0</v>
      </c>
      <c r="BB75" s="353">
        <f t="shared" ref="BB75:BB110" si="295" xml:space="preserve"> AX75 + BA75</f>
        <v>1990.4666760000002</v>
      </c>
      <c r="BC75" s="353">
        <f t="shared" ref="BC75:BC110" si="296" xml:space="preserve"> AY75 - AZ75 + BA75</f>
        <v>1532.1015359999999</v>
      </c>
      <c r="BD75" s="343">
        <f t="shared" ref="BD75:BD110" si="297" xml:space="preserve"> AX75 + IF( OR( $A75&lt;=14, $A75&gt;=65 ),0, IF( $A75&lt;=19, BD$8, BD$9 ) )</f>
        <v>1990.4666760000002</v>
      </c>
      <c r="BE75" s="343">
        <f t="shared" ref="BE75:BE110" si="298" xml:space="preserve"> AY75 - AZ75 + IF( OR( $A75&lt;=14, $A75&gt;=65 ),0, IF( $A75&lt;=19, BE$8, BE$9 ) )</f>
        <v>1532.1015359999999</v>
      </c>
      <c r="BG75" s="374">
        <v>5.4912000000000001</v>
      </c>
      <c r="BH75" s="375">
        <v>2.4714</v>
      </c>
      <c r="BI75" s="374">
        <v>0</v>
      </c>
      <c r="BJ75" s="374">
        <v>6769.8591999999999</v>
      </c>
      <c r="BK75" s="374">
        <v>2449.8024999999998</v>
      </c>
      <c r="BL75" s="351">
        <f t="shared" si="224"/>
        <v>1838.2890239999999</v>
      </c>
      <c r="BM75" s="351">
        <f t="shared" si="225"/>
        <v>1448.042688</v>
      </c>
      <c r="BN75" s="352">
        <f t="shared" si="226"/>
        <v>0</v>
      </c>
      <c r="BO75" s="352">
        <f t="shared" ref="BO75:BO110" si="299" xml:space="preserve"> IF(    SUM(BL75:BM75)=0,    0,   BN75 * BM75 / SUM(BL75:BM75)    )</f>
        <v>0</v>
      </c>
      <c r="BP75" s="353">
        <f t="shared" ref="BP75:BP110" si="300" xml:space="preserve"> BL75 + BO75</f>
        <v>1838.2890239999999</v>
      </c>
      <c r="BQ75" s="353">
        <f t="shared" ref="BQ75:BQ110" si="301" xml:space="preserve"> BM75 - BN75 + BO75</f>
        <v>1448.042688</v>
      </c>
      <c r="BR75" s="343">
        <f t="shared" ref="BR75:BR110" si="302" xml:space="preserve"> BL75 + IF( OR( $A75&lt;=14, $A75&gt;=65 ),0, IF( $A75&lt;=19, BR$8, BR$9 ) )</f>
        <v>1838.2890239999999</v>
      </c>
      <c r="BS75" s="343">
        <f t="shared" ref="BS75:BS110" si="303" xml:space="preserve"> BM75 - BN75 + IF( OR( $A75&lt;=14, $A75&gt;=65 ),0, IF( $A75&lt;=19, BS$8, BS$9 ) )</f>
        <v>1448.042688</v>
      </c>
      <c r="BU75" s="374">
        <v>5.5103999999999997</v>
      </c>
      <c r="BV75" s="375">
        <v>2.2951999999999999</v>
      </c>
      <c r="BW75" s="374">
        <v>0</v>
      </c>
      <c r="BX75" s="374">
        <v>7108.2924999999996</v>
      </c>
      <c r="BY75" s="374">
        <v>2391.3908000000001</v>
      </c>
      <c r="BZ75" s="351">
        <f t="shared" si="227"/>
        <v>1279.0740479999999</v>
      </c>
      <c r="CA75" s="351">
        <f t="shared" si="228"/>
        <v>876.46802400000001</v>
      </c>
      <c r="CB75" s="352">
        <f t="shared" si="229"/>
        <v>0</v>
      </c>
      <c r="CC75" s="352">
        <f t="shared" ref="CC75:CC110" si="304" xml:space="preserve"> IF(    SUM(BZ75:CA75)=0,    0,   CB75 * CA75 / SUM(BZ75:CA75)    )</f>
        <v>0</v>
      </c>
      <c r="CD75" s="353">
        <f t="shared" ref="CD75:CD110" si="305" xml:space="preserve"> BZ75 + CC75</f>
        <v>1279.0740479999999</v>
      </c>
      <c r="CE75" s="353">
        <f t="shared" ref="CE75:CE110" si="306" xml:space="preserve"> CA75 - CB75 + CC75</f>
        <v>876.46802400000001</v>
      </c>
      <c r="CF75" s="343">
        <f t="shared" ref="CF75:CF110" si="307" xml:space="preserve"> BZ75 + IF( OR( $A75&lt;=14, $A75&gt;=65 ),0, IF( $A75&lt;=19, CF$8, CF$9 ) )</f>
        <v>1279.0740479999999</v>
      </c>
      <c r="CG75" s="343">
        <f t="shared" ref="CG75:CG110" si="308" xml:space="preserve"> CA75 - CB75 + IF( OR( $A75&lt;=14, $A75&gt;=65 ),0, IF( $A75&lt;=19, CG$8, CG$9 ) )</f>
        <v>876.46802400000001</v>
      </c>
      <c r="CI75" s="374">
        <v>1.3261000000000001</v>
      </c>
      <c r="CJ75" s="375">
        <v>1.0956999999999999</v>
      </c>
      <c r="CK75" s="374">
        <v>0</v>
      </c>
      <c r="CL75" s="374">
        <v>30822.1325</v>
      </c>
      <c r="CM75" s="374">
        <v>11703.455</v>
      </c>
      <c r="CN75" s="351">
        <f t="shared" si="230"/>
        <v>281.83603299999999</v>
      </c>
      <c r="CO75" s="351">
        <f t="shared" si="231"/>
        <v>301.81056499999994</v>
      </c>
      <c r="CP75" s="352">
        <f t="shared" si="232"/>
        <v>0</v>
      </c>
      <c r="CQ75" s="352">
        <f t="shared" ref="CQ75:CQ110" si="309" xml:space="preserve"> IF(    SUM(CN75:CO75)=0,    0,   CP75 * CO75 / SUM(CN75:CO75)    )</f>
        <v>0</v>
      </c>
      <c r="CR75" s="353">
        <f t="shared" ref="CR75:CR110" si="310" xml:space="preserve"> CN75 + CQ75</f>
        <v>281.83603299999999</v>
      </c>
      <c r="CS75" s="353">
        <f t="shared" ref="CS75:CS110" si="311" xml:space="preserve"> CO75 - CP75 + CQ75</f>
        <v>301.81056499999994</v>
      </c>
      <c r="CT75" s="343">
        <f t="shared" ref="CT75:CT110" si="312" xml:space="preserve"> CN75 + IF( OR( $A75&lt;=14, $A75&gt;=65 ),0, IF( $A75&lt;=19, CT$8, CT$9 ) )</f>
        <v>281.83603299999999</v>
      </c>
      <c r="CU75" s="343">
        <f t="shared" ref="CU75:CU110" si="313" xml:space="preserve"> CO75 - CP75 + IF( OR( $A75&lt;=14, $A75&gt;=65 ),0, IF( $A75&lt;=19, CU$8, CU$9 ) )</f>
        <v>301.81056499999994</v>
      </c>
      <c r="CW75" s="374">
        <v>2.7332999999999998</v>
      </c>
      <c r="CX75" s="375">
        <v>2.1696</v>
      </c>
      <c r="CY75" s="374">
        <v>0</v>
      </c>
      <c r="CZ75" s="374">
        <v>13891.390799999999</v>
      </c>
      <c r="DA75" s="374">
        <v>5098.0316999999995</v>
      </c>
      <c r="DB75" s="351">
        <f t="shared" si="233"/>
        <v>612.88785899999993</v>
      </c>
      <c r="DC75" s="351">
        <f t="shared" si="234"/>
        <v>674.18150400000002</v>
      </c>
      <c r="DD75" s="352">
        <f t="shared" si="235"/>
        <v>0</v>
      </c>
      <c r="DE75" s="352">
        <f t="shared" ref="DE75:DE110" si="314" xml:space="preserve"> IF(    SUM(DB75:DC75)=0,    0,   DD75 * DC75 / SUM(DB75:DC75)    )</f>
        <v>0</v>
      </c>
      <c r="DF75" s="353">
        <f t="shared" ref="DF75:DF110" si="315" xml:space="preserve"> DB75 + DE75</f>
        <v>612.88785899999993</v>
      </c>
      <c r="DG75" s="353">
        <f t="shared" ref="DG75:DG110" si="316" xml:space="preserve"> DC75 - DD75 + DE75</f>
        <v>674.18150400000002</v>
      </c>
      <c r="DH75" s="343">
        <f t="shared" ref="DH75:DH110" si="317" xml:space="preserve"> DB75 + IF( OR( $A75&lt;=14, $A75&gt;=65 ),0, IF( $A75&lt;=19, DH$8, DH$9 ) )</f>
        <v>612.88785899999993</v>
      </c>
      <c r="DI75" s="343">
        <f t="shared" ref="DI75:DI110" si="318" xml:space="preserve"> DC75 - DD75 + IF( OR( $A75&lt;=14, $A75&gt;=65 ),0, IF( $A75&lt;=19, DI$8, DI$9 ) )</f>
        <v>674.18150400000002</v>
      </c>
      <c r="DK75" s="374">
        <v>2.609</v>
      </c>
      <c r="DL75" s="375">
        <v>2.0583</v>
      </c>
      <c r="DM75" s="374">
        <v>0</v>
      </c>
      <c r="DN75" s="374">
        <v>4466.3508000000002</v>
      </c>
      <c r="DO75" s="374">
        <v>1971.8758</v>
      </c>
      <c r="DP75" s="351">
        <f t="shared" si="236"/>
        <v>343.78793000000002</v>
      </c>
      <c r="DQ75" s="351">
        <f t="shared" si="237"/>
        <v>405.19693800000005</v>
      </c>
      <c r="DR75" s="352">
        <f t="shared" si="238"/>
        <v>0</v>
      </c>
      <c r="DS75" s="352">
        <f t="shared" ref="DS75:DS110" si="319" xml:space="preserve"> IF(    SUM(DP75:DQ75)=0,    0,   DR75 * DQ75 / SUM(DP75:DQ75)    )</f>
        <v>0</v>
      </c>
      <c r="DT75" s="353">
        <f t="shared" ref="DT75:DT110" si="320" xml:space="preserve"> DP75 + DS75</f>
        <v>343.78793000000002</v>
      </c>
      <c r="DU75" s="353">
        <f t="shared" ref="DU75:DU110" si="321" xml:space="preserve"> DQ75 - DR75 + DS75</f>
        <v>405.19693800000005</v>
      </c>
      <c r="DV75" s="343">
        <f t="shared" ref="DV75:DV110" si="322" xml:space="preserve"> DP75 + IF( OR( $A75&lt;=14, $A75&gt;=65 ),0, IF( $A75&lt;=19, DV$8, DV$9 ) )</f>
        <v>343.78793000000002</v>
      </c>
      <c r="DW75" s="343">
        <f t="shared" ref="DW75:DW110" si="323" xml:space="preserve"> DQ75 - DR75 + IF( OR( $A75&lt;=14, $A75&gt;=65 ),0, IF( $A75&lt;=19, DW$8, DW$9 ) )</f>
        <v>405.19693800000005</v>
      </c>
      <c r="EB75" s="326"/>
      <c r="EC75" s="326"/>
      <c r="ED75" s="326"/>
      <c r="EE75" s="348">
        <f t="shared" ref="EE75:EE110" si="324" xml:space="preserve"> F75 + AV75 + CL75 + EE$8 * CZ75</f>
        <v>65753.892399999997</v>
      </c>
      <c r="EF75" s="348">
        <f t="shared" ref="EF75:EF110" si="325" xml:space="preserve"> G75 + AW75 + CM75 + EF$8 * DA75</f>
        <v>25627.845799999999</v>
      </c>
      <c r="EG75" s="348">
        <f t="shared" ref="EG75:EG110" si="326" xml:space="preserve"> H75 + AX75 + CN75 + EG$8 * DB75</f>
        <v>5797.1126761999994</v>
      </c>
      <c r="EH75" s="348">
        <f t="shared" ref="EH75:EH110" si="327" xml:space="preserve"> I75 + AY75 + CO75 + EH$8 * DC75</f>
        <v>5663.0009472000002</v>
      </c>
      <c r="EI75" s="354">
        <f t="shared" si="239"/>
        <v>0.71955178020459232</v>
      </c>
      <c r="EJ75" s="326"/>
      <c r="EK75" s="348">
        <f t="shared" ref="EK75:EK110" si="328" xml:space="preserve"> L75 + BB75 + CR75 + EK$8 * DF75</f>
        <v>5797.1126761999994</v>
      </c>
      <c r="EL75" s="348">
        <f t="shared" ref="EL75:EL110" si="329" xml:space="preserve"> M75 + BC75 + CS75 + EL$8 * DG75</f>
        <v>5663.0009472000002</v>
      </c>
      <c r="EM75" s="348">
        <f t="shared" ref="EM75:EM110" si="330" xml:space="preserve"> N75 + BD75 + CT75 + EM$8 * DH75</f>
        <v>5797.1126761999994</v>
      </c>
      <c r="EN75" s="348">
        <f t="shared" ref="EN75:EN110" si="331" xml:space="preserve"> O75 + BE75 + CU75 + EN$8 * DI75</f>
        <v>5663.0009472000002</v>
      </c>
      <c r="EP75" s="326"/>
      <c r="EQ75" s="326"/>
      <c r="ER75" s="326"/>
      <c r="ES75" s="348">
        <f t="shared" si="240"/>
        <v>55333.185000000005</v>
      </c>
      <c r="ET75" s="348">
        <f t="shared" si="241"/>
        <v>20647.054199999999</v>
      </c>
      <c r="EU75" s="348">
        <f t="shared" si="242"/>
        <v>4920.617218299999</v>
      </c>
      <c r="EV75" s="348">
        <f t="shared" si="243"/>
        <v>4784.6842598000003</v>
      </c>
      <c r="EW75" s="354">
        <f t="shared" si="244"/>
        <v>0.72825757832044302</v>
      </c>
      <c r="EX75" s="326"/>
      <c r="EY75" s="348">
        <f t="shared" si="245"/>
        <v>4920.617218299999</v>
      </c>
      <c r="EZ75" s="348">
        <f t="shared" si="246"/>
        <v>4784.6842598000003</v>
      </c>
      <c r="FA75" s="348">
        <f t="shared" si="247"/>
        <v>4920.617218299999</v>
      </c>
      <c r="FB75" s="348">
        <f t="shared" si="248"/>
        <v>4784.6842598000003</v>
      </c>
      <c r="FD75" s="326"/>
      <c r="FE75" s="326"/>
      <c r="FF75" s="326"/>
      <c r="FG75" s="348">
        <f t="shared" si="249"/>
        <v>42765.550799999997</v>
      </c>
      <c r="FH75" s="348">
        <f t="shared" si="250"/>
        <v>16176.471599999999</v>
      </c>
      <c r="FI75" s="348">
        <f t="shared" si="251"/>
        <v>3855.5246050000001</v>
      </c>
      <c r="FJ75" s="348">
        <f t="shared" si="252"/>
        <v>3897.1037878000002</v>
      </c>
      <c r="FK75" s="354">
        <f t="shared" si="253"/>
        <v>0.72555282392210552</v>
      </c>
      <c r="FL75" s="326"/>
      <c r="FM75" s="348">
        <f t="shared" si="254"/>
        <v>3855.5246050000001</v>
      </c>
      <c r="FN75" s="348">
        <f t="shared" si="255"/>
        <v>3897.1037878000002</v>
      </c>
      <c r="FO75" s="348">
        <f t="shared" si="256"/>
        <v>3855.5246050000001</v>
      </c>
      <c r="FP75" s="348">
        <f t="shared" si="257"/>
        <v>3897.1037878000002</v>
      </c>
      <c r="FR75" s="326"/>
      <c r="FS75" s="326"/>
      <c r="FT75" s="326"/>
      <c r="FU75" s="348">
        <f t="shared" si="258"/>
        <v>44713.523300000001</v>
      </c>
      <c r="FV75" s="348">
        <f t="shared" si="259"/>
        <v>16801.486700000001</v>
      </c>
      <c r="FW75" s="348">
        <f t="shared" si="260"/>
        <v>772.14632019999999</v>
      </c>
      <c r="FX75" s="348">
        <f t="shared" si="261"/>
        <v>841.15576820000001</v>
      </c>
      <c r="FY75" s="354">
        <f t="shared" si="262"/>
        <v>0.72687175536507265</v>
      </c>
      <c r="FZ75" s="326"/>
      <c r="GA75" s="348">
        <f t="shared" si="263"/>
        <v>772.14632019999999</v>
      </c>
      <c r="GB75" s="348">
        <f t="shared" si="264"/>
        <v>841.15576820000001</v>
      </c>
      <c r="GC75" s="348">
        <f t="shared" si="265"/>
        <v>772.14632019999999</v>
      </c>
      <c r="GD75" s="348">
        <f t="shared" si="266"/>
        <v>841.15576820000001</v>
      </c>
      <c r="GF75" s="326"/>
      <c r="GG75" s="326"/>
      <c r="GH75" s="326"/>
      <c r="GI75" s="348">
        <f t="shared" si="267"/>
        <v>20309.935799999999</v>
      </c>
      <c r="GJ75" s="348">
        <f t="shared" si="268"/>
        <v>7180.2366000000002</v>
      </c>
      <c r="GK75" s="349">
        <f t="shared" si="269"/>
        <v>533.54447100000016</v>
      </c>
      <c r="GL75" s="349">
        <f t="shared" si="270"/>
        <v>491.72513399999991</v>
      </c>
      <c r="GM75" s="354">
        <f t="shared" si="271"/>
        <v>0.73880714549465687</v>
      </c>
      <c r="GN75" s="326"/>
      <c r="GO75" s="349">
        <f t="shared" si="272"/>
        <v>533.54447100000016</v>
      </c>
      <c r="GP75" s="349">
        <f t="shared" si="273"/>
        <v>491.72513399999991</v>
      </c>
      <c r="GQ75" s="349">
        <f t="shared" si="274"/>
        <v>533.54447100000016</v>
      </c>
      <c r="GR75" s="349">
        <f t="shared" si="275"/>
        <v>491.72513399999991</v>
      </c>
      <c r="HA75" s="374"/>
      <c r="HB75" s="375"/>
      <c r="HC75" s="374"/>
      <c r="HD75" s="374"/>
      <c r="HE75" s="374"/>
      <c r="HF75" s="351">
        <f t="shared" si="276"/>
        <v>0</v>
      </c>
      <c r="HG75" s="351">
        <f t="shared" si="277"/>
        <v>0</v>
      </c>
      <c r="HH75" s="352">
        <f t="shared" si="278"/>
        <v>0</v>
      </c>
      <c r="HI75" s="352">
        <f t="shared" ref="HI75:HI110" si="332" xml:space="preserve"> IF(    SUM(HF75:HG75)=0,    0,   HH75 * HG75 / SUM(HF75:HG75)    )</f>
        <v>0</v>
      </c>
      <c r="HJ75" s="353">
        <f t="shared" ref="HJ75:HJ110" si="333" xml:space="preserve"> HF75 + HI75</f>
        <v>0</v>
      </c>
      <c r="HK75" s="353">
        <f t="shared" ref="HK75:HK110" si="334" xml:space="preserve"> HG75 - HH75 + HI75</f>
        <v>0</v>
      </c>
    </row>
    <row r="76" spans="1:219" x14ac:dyDescent="0.2">
      <c r="A76" s="320">
        <v>66</v>
      </c>
      <c r="C76" s="350">
        <v>3.2785000000000002</v>
      </c>
      <c r="D76" s="350">
        <v>1.8462000000000001</v>
      </c>
      <c r="E76" s="350">
        <v>0</v>
      </c>
      <c r="F76" s="350">
        <v>6727.4408000000003</v>
      </c>
      <c r="G76" s="350">
        <v>3575.0774999999999</v>
      </c>
      <c r="H76" s="351">
        <f t="shared" si="212"/>
        <v>3200.1438500000004</v>
      </c>
      <c r="I76" s="351">
        <f t="shared" si="213"/>
        <v>3422.2824780000001</v>
      </c>
      <c r="J76" s="352">
        <f t="shared" si="214"/>
        <v>0</v>
      </c>
      <c r="K76" s="352">
        <f t="shared" si="279"/>
        <v>0</v>
      </c>
      <c r="L76" s="353">
        <f t="shared" si="280"/>
        <v>3200.1438500000004</v>
      </c>
      <c r="M76" s="353">
        <f t="shared" si="281"/>
        <v>3422.2824780000001</v>
      </c>
      <c r="N76" s="343">
        <f t="shared" si="282"/>
        <v>3200.1438500000004</v>
      </c>
      <c r="O76" s="343">
        <f t="shared" si="283"/>
        <v>3422.2824780000001</v>
      </c>
      <c r="Q76" s="374">
        <v>3.9342000000000001</v>
      </c>
      <c r="R76" s="375">
        <v>2.2256</v>
      </c>
      <c r="S76" s="374">
        <v>0</v>
      </c>
      <c r="T76" s="374">
        <v>3430.3816999999999</v>
      </c>
      <c r="U76" s="374">
        <v>1322.7141999999999</v>
      </c>
      <c r="V76" s="351">
        <f t="shared" si="215"/>
        <v>2515.5274800000002</v>
      </c>
      <c r="W76" s="351">
        <f t="shared" si="216"/>
        <v>2673.7913280000002</v>
      </c>
      <c r="X76" s="352">
        <f t="shared" si="217"/>
        <v>0</v>
      </c>
      <c r="Y76" s="352">
        <f t="shared" si="284"/>
        <v>0</v>
      </c>
      <c r="Z76" s="353">
        <f t="shared" si="285"/>
        <v>2515.5274800000002</v>
      </c>
      <c r="AA76" s="353">
        <f t="shared" si="286"/>
        <v>2673.7913280000002</v>
      </c>
      <c r="AB76" s="343">
        <f t="shared" si="287"/>
        <v>2515.5274800000002</v>
      </c>
      <c r="AC76" s="343">
        <f t="shared" si="288"/>
        <v>2673.7913280000002</v>
      </c>
      <c r="AE76" s="374">
        <v>5.1462000000000003</v>
      </c>
      <c r="AF76" s="375">
        <v>2.5886</v>
      </c>
      <c r="AG76" s="374">
        <v>0</v>
      </c>
      <c r="AH76" s="374">
        <v>349.83330000000001</v>
      </c>
      <c r="AI76" s="374">
        <v>112.5</v>
      </c>
      <c r="AJ76" s="351">
        <f t="shared" si="218"/>
        <v>2205.5583959999999</v>
      </c>
      <c r="AK76" s="351">
        <f t="shared" si="219"/>
        <v>2573.5343479999997</v>
      </c>
      <c r="AL76" s="352">
        <f t="shared" si="220"/>
        <v>0</v>
      </c>
      <c r="AM76" s="352">
        <f t="shared" si="289"/>
        <v>0</v>
      </c>
      <c r="AN76" s="353">
        <f t="shared" si="290"/>
        <v>2205.5583959999999</v>
      </c>
      <c r="AO76" s="353">
        <f t="shared" si="291"/>
        <v>2573.5343479999997</v>
      </c>
      <c r="AP76" s="343">
        <f t="shared" si="292"/>
        <v>2205.5583959999999</v>
      </c>
      <c r="AQ76" s="343">
        <f t="shared" si="293"/>
        <v>2573.5343479999997</v>
      </c>
      <c r="AS76" s="374">
        <v>6.28</v>
      </c>
      <c r="AT76" s="375">
        <v>2.4064000000000001</v>
      </c>
      <c r="AU76" s="374">
        <v>0</v>
      </c>
      <c r="AV76" s="374">
        <v>11770.894200000001</v>
      </c>
      <c r="AW76" s="374">
        <v>4377.2933000000003</v>
      </c>
      <c r="AX76" s="351">
        <f t="shared" si="221"/>
        <v>2139.4076</v>
      </c>
      <c r="AY76" s="351">
        <f t="shared" si="222"/>
        <v>1643.859968</v>
      </c>
      <c r="AZ76" s="352">
        <f t="shared" si="223"/>
        <v>0</v>
      </c>
      <c r="BA76" s="352">
        <f t="shared" si="294"/>
        <v>0</v>
      </c>
      <c r="BB76" s="353">
        <f t="shared" si="295"/>
        <v>2139.4076</v>
      </c>
      <c r="BC76" s="353">
        <f t="shared" si="296"/>
        <v>1643.859968</v>
      </c>
      <c r="BD76" s="343">
        <f t="shared" si="297"/>
        <v>2139.4076</v>
      </c>
      <c r="BE76" s="343">
        <f t="shared" si="298"/>
        <v>1643.859968</v>
      </c>
      <c r="BG76" s="374">
        <v>5.9017999999999997</v>
      </c>
      <c r="BH76" s="375">
        <v>2.6682000000000001</v>
      </c>
      <c r="BI76" s="374">
        <v>0</v>
      </c>
      <c r="BJ76" s="374">
        <v>6199.4758000000002</v>
      </c>
      <c r="BK76" s="374">
        <v>2236.5691999999999</v>
      </c>
      <c r="BL76" s="351">
        <f t="shared" si="224"/>
        <v>1975.7455859999998</v>
      </c>
      <c r="BM76" s="351">
        <f t="shared" si="225"/>
        <v>1563.3517440000001</v>
      </c>
      <c r="BN76" s="352">
        <f t="shared" si="226"/>
        <v>0</v>
      </c>
      <c r="BO76" s="352">
        <f t="shared" si="299"/>
        <v>0</v>
      </c>
      <c r="BP76" s="353">
        <f t="shared" si="300"/>
        <v>1975.7455859999998</v>
      </c>
      <c r="BQ76" s="353">
        <f t="shared" si="301"/>
        <v>1563.3517440000001</v>
      </c>
      <c r="BR76" s="343">
        <f t="shared" si="302"/>
        <v>1975.7455859999998</v>
      </c>
      <c r="BS76" s="343">
        <f t="shared" si="303"/>
        <v>1563.3517440000001</v>
      </c>
      <c r="BU76" s="374">
        <v>5.9631999999999996</v>
      </c>
      <c r="BV76" s="375">
        <v>2.4809000000000001</v>
      </c>
      <c r="BW76" s="374">
        <v>0</v>
      </c>
      <c r="BX76" s="374">
        <v>6366.6525000000001</v>
      </c>
      <c r="BY76" s="374">
        <v>2140.8442</v>
      </c>
      <c r="BZ76" s="351">
        <f t="shared" si="227"/>
        <v>1384.1779839999999</v>
      </c>
      <c r="CA76" s="351">
        <f t="shared" si="228"/>
        <v>947.38128300000005</v>
      </c>
      <c r="CB76" s="352">
        <f t="shared" si="229"/>
        <v>0</v>
      </c>
      <c r="CC76" s="352">
        <f t="shared" si="304"/>
        <v>0</v>
      </c>
      <c r="CD76" s="353">
        <f t="shared" si="305"/>
        <v>1384.1779839999999</v>
      </c>
      <c r="CE76" s="353">
        <f t="shared" si="306"/>
        <v>947.38128300000005</v>
      </c>
      <c r="CF76" s="343">
        <f t="shared" si="307"/>
        <v>1384.1779839999999</v>
      </c>
      <c r="CG76" s="343">
        <f t="shared" si="308"/>
        <v>947.38128300000005</v>
      </c>
      <c r="CI76" s="374">
        <v>1.3419000000000001</v>
      </c>
      <c r="CJ76" s="375">
        <v>1.0978000000000001</v>
      </c>
      <c r="CK76" s="374">
        <v>0</v>
      </c>
      <c r="CL76" s="374">
        <v>27894.557499999999</v>
      </c>
      <c r="CM76" s="374">
        <v>10721.398300000001</v>
      </c>
      <c r="CN76" s="351">
        <f t="shared" si="230"/>
        <v>285.194007</v>
      </c>
      <c r="CO76" s="351">
        <f t="shared" si="231"/>
        <v>302.38901000000004</v>
      </c>
      <c r="CP76" s="352">
        <f t="shared" si="232"/>
        <v>0</v>
      </c>
      <c r="CQ76" s="352">
        <f t="shared" si="309"/>
        <v>0</v>
      </c>
      <c r="CR76" s="353">
        <f t="shared" si="310"/>
        <v>285.194007</v>
      </c>
      <c r="CS76" s="353">
        <f t="shared" si="311"/>
        <v>302.38901000000004</v>
      </c>
      <c r="CT76" s="343">
        <f t="shared" si="312"/>
        <v>285.194007</v>
      </c>
      <c r="CU76" s="343">
        <f t="shared" si="313"/>
        <v>302.38901000000004</v>
      </c>
      <c r="CW76" s="374">
        <v>2.7757999999999998</v>
      </c>
      <c r="CX76" s="375">
        <v>2.1958000000000002</v>
      </c>
      <c r="CY76" s="374">
        <v>0</v>
      </c>
      <c r="CZ76" s="374">
        <v>12365.988300000001</v>
      </c>
      <c r="DA76" s="374">
        <v>4588.1891999999998</v>
      </c>
      <c r="DB76" s="351">
        <f t="shared" si="233"/>
        <v>622.41763399999991</v>
      </c>
      <c r="DC76" s="351">
        <f t="shared" si="234"/>
        <v>682.32289200000002</v>
      </c>
      <c r="DD76" s="352">
        <f t="shared" si="235"/>
        <v>0</v>
      </c>
      <c r="DE76" s="352">
        <f t="shared" si="314"/>
        <v>0</v>
      </c>
      <c r="DF76" s="353">
        <f t="shared" si="315"/>
        <v>622.41763399999991</v>
      </c>
      <c r="DG76" s="353">
        <f t="shared" si="316"/>
        <v>682.32289200000002</v>
      </c>
      <c r="DH76" s="343">
        <f t="shared" si="317"/>
        <v>622.41763399999991</v>
      </c>
      <c r="DI76" s="343">
        <f t="shared" si="318"/>
        <v>682.32289200000002</v>
      </c>
      <c r="DK76" s="374">
        <v>2.6873</v>
      </c>
      <c r="DL76" s="375">
        <v>2.1168</v>
      </c>
      <c r="DM76" s="374">
        <v>0</v>
      </c>
      <c r="DN76" s="374">
        <v>4256.6367</v>
      </c>
      <c r="DO76" s="374">
        <v>1849.02</v>
      </c>
      <c r="DP76" s="351">
        <f t="shared" si="236"/>
        <v>354.10552100000001</v>
      </c>
      <c r="DQ76" s="351">
        <f t="shared" si="237"/>
        <v>416.71324800000002</v>
      </c>
      <c r="DR76" s="352">
        <f t="shared" si="238"/>
        <v>0</v>
      </c>
      <c r="DS76" s="352">
        <f t="shared" si="319"/>
        <v>0</v>
      </c>
      <c r="DT76" s="353">
        <f t="shared" si="320"/>
        <v>354.10552100000001</v>
      </c>
      <c r="DU76" s="353">
        <f t="shared" si="321"/>
        <v>416.71324800000002</v>
      </c>
      <c r="DV76" s="343">
        <f t="shared" si="322"/>
        <v>354.10552100000001</v>
      </c>
      <c r="DW76" s="343">
        <f t="shared" si="323"/>
        <v>416.71324800000002</v>
      </c>
      <c r="EB76" s="326"/>
      <c r="EC76" s="326"/>
      <c r="ED76" s="326"/>
      <c r="EE76" s="348">
        <f t="shared" si="324"/>
        <v>58758.880799999999</v>
      </c>
      <c r="EF76" s="348">
        <f t="shared" si="325"/>
        <v>23261.958300000002</v>
      </c>
      <c r="EG76" s="348">
        <f t="shared" si="326"/>
        <v>6122.6795642000006</v>
      </c>
      <c r="EH76" s="348">
        <f t="shared" si="327"/>
        <v>5914.3897695999995</v>
      </c>
      <c r="EI76" s="354">
        <f t="shared" si="239"/>
        <v>0.71638965712556335</v>
      </c>
      <c r="EJ76" s="326"/>
      <c r="EK76" s="348">
        <f t="shared" si="328"/>
        <v>6122.6795642000006</v>
      </c>
      <c r="EL76" s="348">
        <f t="shared" si="329"/>
        <v>5914.3897695999995</v>
      </c>
      <c r="EM76" s="348">
        <f t="shared" si="330"/>
        <v>6122.6795642000006</v>
      </c>
      <c r="EN76" s="348">
        <f t="shared" si="331"/>
        <v>5914.3897695999995</v>
      </c>
      <c r="EP76" s="326"/>
      <c r="EQ76" s="326"/>
      <c r="ER76" s="326"/>
      <c r="ES76" s="348">
        <f t="shared" si="240"/>
        <v>49890.403300000005</v>
      </c>
      <c r="ET76" s="348">
        <f t="shared" si="241"/>
        <v>18868.870900000002</v>
      </c>
      <c r="EU76" s="348">
        <f t="shared" si="242"/>
        <v>5212.1594167999992</v>
      </c>
      <c r="EV76" s="348">
        <f t="shared" si="243"/>
        <v>5017.1581064000002</v>
      </c>
      <c r="EW76" s="354">
        <f t="shared" si="244"/>
        <v>0.72558071446309702</v>
      </c>
      <c r="EX76" s="326"/>
      <c r="EY76" s="348">
        <f t="shared" si="245"/>
        <v>5212.1594167999992</v>
      </c>
      <c r="EZ76" s="348">
        <f t="shared" si="246"/>
        <v>5017.1581064000002</v>
      </c>
      <c r="FA76" s="348">
        <f t="shared" si="247"/>
        <v>5212.1594167999992</v>
      </c>
      <c r="FB76" s="348">
        <f t="shared" si="248"/>
        <v>5017.1581064000002</v>
      </c>
      <c r="FD76" s="326"/>
      <c r="FE76" s="326"/>
      <c r="FF76" s="326"/>
      <c r="FG76" s="348">
        <f t="shared" si="249"/>
        <v>38867.68</v>
      </c>
      <c r="FH76" s="348">
        <f t="shared" si="250"/>
        <v>14823.762500000001</v>
      </c>
      <c r="FI76" s="348">
        <f t="shared" si="251"/>
        <v>4087.3936995999998</v>
      </c>
      <c r="FJ76" s="348">
        <f t="shared" si="252"/>
        <v>4073.3325897999998</v>
      </c>
      <c r="FK76" s="354">
        <f t="shared" si="253"/>
        <v>0.72390828389458894</v>
      </c>
      <c r="FL76" s="326"/>
      <c r="FM76" s="348">
        <f t="shared" si="254"/>
        <v>4087.3936995999998</v>
      </c>
      <c r="FN76" s="348">
        <f t="shared" si="255"/>
        <v>4073.3325897999998</v>
      </c>
      <c r="FO76" s="348">
        <f t="shared" si="256"/>
        <v>4087.3936995999998</v>
      </c>
      <c r="FP76" s="348">
        <f t="shared" si="257"/>
        <v>4073.3325897999998</v>
      </c>
      <c r="FR76" s="326"/>
      <c r="FS76" s="326"/>
      <c r="FT76" s="326"/>
      <c r="FU76" s="348">
        <f t="shared" si="258"/>
        <v>40260.5458</v>
      </c>
      <c r="FV76" s="348">
        <f t="shared" si="259"/>
        <v>15309.587500000001</v>
      </c>
      <c r="FW76" s="348">
        <f t="shared" si="260"/>
        <v>783.12811420000003</v>
      </c>
      <c r="FX76" s="348">
        <f t="shared" si="261"/>
        <v>848.24732360000007</v>
      </c>
      <c r="FY76" s="354">
        <f t="shared" si="262"/>
        <v>0.72449971610919273</v>
      </c>
      <c r="FZ76" s="326"/>
      <c r="GA76" s="348">
        <f t="shared" si="263"/>
        <v>783.12811420000003</v>
      </c>
      <c r="GB76" s="348">
        <f t="shared" si="264"/>
        <v>848.24732360000007</v>
      </c>
      <c r="GC76" s="348">
        <f t="shared" si="265"/>
        <v>783.12811420000003</v>
      </c>
      <c r="GD76" s="348">
        <f t="shared" si="266"/>
        <v>848.24732360000007</v>
      </c>
      <c r="GF76" s="326"/>
      <c r="GG76" s="326"/>
      <c r="GH76" s="326"/>
      <c r="GI76" s="348">
        <f t="shared" si="267"/>
        <v>18137.546699999999</v>
      </c>
      <c r="GJ76" s="348">
        <f t="shared" si="268"/>
        <v>6518.1375000000007</v>
      </c>
      <c r="GK76" s="349">
        <f t="shared" si="269"/>
        <v>566.42221200000006</v>
      </c>
      <c r="GL76" s="349">
        <f t="shared" si="270"/>
        <v>522.35901374999992</v>
      </c>
      <c r="GM76" s="354">
        <f t="shared" si="271"/>
        <v>0.73563347716791405</v>
      </c>
      <c r="GN76" s="326"/>
      <c r="GO76" s="349">
        <f t="shared" si="272"/>
        <v>566.42221200000006</v>
      </c>
      <c r="GP76" s="349">
        <f t="shared" si="273"/>
        <v>522.35901374999992</v>
      </c>
      <c r="GQ76" s="349">
        <f t="shared" si="274"/>
        <v>566.42221200000006</v>
      </c>
      <c r="GR76" s="349">
        <f t="shared" si="275"/>
        <v>522.35901374999992</v>
      </c>
      <c r="HA76" s="374"/>
      <c r="HB76" s="375"/>
      <c r="HC76" s="374"/>
      <c r="HD76" s="374"/>
      <c r="HE76" s="374"/>
      <c r="HF76" s="351">
        <f t="shared" si="276"/>
        <v>0</v>
      </c>
      <c r="HG76" s="351">
        <f t="shared" si="277"/>
        <v>0</v>
      </c>
      <c r="HH76" s="352">
        <f t="shared" si="278"/>
        <v>0</v>
      </c>
      <c r="HI76" s="352">
        <f t="shared" si="332"/>
        <v>0</v>
      </c>
      <c r="HJ76" s="353">
        <f t="shared" si="333"/>
        <v>0</v>
      </c>
      <c r="HK76" s="353">
        <f t="shared" si="334"/>
        <v>0</v>
      </c>
    </row>
    <row r="77" spans="1:219" x14ac:dyDescent="0.2">
      <c r="A77" s="320">
        <v>67</v>
      </c>
      <c r="C77" s="350">
        <v>3.4512</v>
      </c>
      <c r="D77" s="350">
        <v>1.9193</v>
      </c>
      <c r="E77" s="350">
        <v>0</v>
      </c>
      <c r="F77" s="350">
        <v>5467.3433000000005</v>
      </c>
      <c r="G77" s="350">
        <v>2997.2617</v>
      </c>
      <c r="H77" s="351">
        <f t="shared" si="212"/>
        <v>3368.71632</v>
      </c>
      <c r="I77" s="351">
        <f t="shared" si="213"/>
        <v>3557.7872170000001</v>
      </c>
      <c r="J77" s="352">
        <f t="shared" si="214"/>
        <v>0</v>
      </c>
      <c r="K77" s="352">
        <f t="shared" si="279"/>
        <v>0</v>
      </c>
      <c r="L77" s="353">
        <f t="shared" si="280"/>
        <v>3368.71632</v>
      </c>
      <c r="M77" s="353">
        <f t="shared" si="281"/>
        <v>3557.7872170000001</v>
      </c>
      <c r="N77" s="343">
        <f t="shared" si="282"/>
        <v>3368.71632</v>
      </c>
      <c r="O77" s="343">
        <f t="shared" si="283"/>
        <v>3557.7872170000001</v>
      </c>
      <c r="Q77" s="374">
        <v>4.1741000000000001</v>
      </c>
      <c r="R77" s="375">
        <v>2.3279000000000001</v>
      </c>
      <c r="S77" s="374">
        <v>0</v>
      </c>
      <c r="T77" s="374">
        <v>2993.0057999999999</v>
      </c>
      <c r="U77" s="374">
        <v>1104.0474999999999</v>
      </c>
      <c r="V77" s="351">
        <f t="shared" si="215"/>
        <v>2668.9195399999999</v>
      </c>
      <c r="W77" s="351">
        <f t="shared" si="216"/>
        <v>2796.6925020000003</v>
      </c>
      <c r="X77" s="352">
        <f t="shared" si="217"/>
        <v>0</v>
      </c>
      <c r="Y77" s="352">
        <f t="shared" si="284"/>
        <v>0</v>
      </c>
      <c r="Z77" s="353">
        <f t="shared" si="285"/>
        <v>2668.9195399999999</v>
      </c>
      <c r="AA77" s="353">
        <f t="shared" si="286"/>
        <v>2796.6925020000003</v>
      </c>
      <c r="AB77" s="343">
        <f t="shared" si="287"/>
        <v>2668.9195399999999</v>
      </c>
      <c r="AC77" s="343">
        <f t="shared" si="288"/>
        <v>2796.6925020000003</v>
      </c>
      <c r="AE77" s="374">
        <v>5.4222999999999999</v>
      </c>
      <c r="AF77" s="375">
        <v>2.6819999999999999</v>
      </c>
      <c r="AG77" s="374">
        <v>0</v>
      </c>
      <c r="AH77" s="374">
        <v>308.82749999999999</v>
      </c>
      <c r="AI77" s="374">
        <v>79.75</v>
      </c>
      <c r="AJ77" s="351">
        <f t="shared" si="218"/>
        <v>2323.889334</v>
      </c>
      <c r="AK77" s="351">
        <f t="shared" si="219"/>
        <v>2666.3907599999998</v>
      </c>
      <c r="AL77" s="352">
        <f t="shared" si="220"/>
        <v>0</v>
      </c>
      <c r="AM77" s="352">
        <f t="shared" si="289"/>
        <v>0</v>
      </c>
      <c r="AN77" s="353">
        <f t="shared" si="290"/>
        <v>2323.889334</v>
      </c>
      <c r="AO77" s="353">
        <f t="shared" si="291"/>
        <v>2666.3907599999998</v>
      </c>
      <c r="AP77" s="343">
        <f t="shared" si="292"/>
        <v>2323.889334</v>
      </c>
      <c r="AQ77" s="343">
        <f t="shared" si="293"/>
        <v>2666.3907599999998</v>
      </c>
      <c r="AS77" s="374">
        <v>6.7224000000000004</v>
      </c>
      <c r="AT77" s="375">
        <v>2.5785999999999998</v>
      </c>
      <c r="AU77" s="374">
        <v>0</v>
      </c>
      <c r="AV77" s="374">
        <v>9973.5717000000004</v>
      </c>
      <c r="AW77" s="374">
        <v>3936.9508000000001</v>
      </c>
      <c r="AX77" s="351">
        <f t="shared" si="221"/>
        <v>2290.1200080000003</v>
      </c>
      <c r="AY77" s="351">
        <f t="shared" si="222"/>
        <v>1761.4932319999998</v>
      </c>
      <c r="AZ77" s="352">
        <f t="shared" si="223"/>
        <v>0</v>
      </c>
      <c r="BA77" s="352">
        <f t="shared" si="294"/>
        <v>0</v>
      </c>
      <c r="BB77" s="353">
        <f t="shared" si="295"/>
        <v>2290.1200080000003</v>
      </c>
      <c r="BC77" s="353">
        <f t="shared" si="296"/>
        <v>1761.4932319999998</v>
      </c>
      <c r="BD77" s="343">
        <f t="shared" si="297"/>
        <v>2290.1200080000003</v>
      </c>
      <c r="BE77" s="343">
        <f t="shared" si="298"/>
        <v>1761.4932319999998</v>
      </c>
      <c r="BG77" s="374">
        <v>6.3230000000000004</v>
      </c>
      <c r="BH77" s="375">
        <v>2.8691</v>
      </c>
      <c r="BI77" s="374">
        <v>0</v>
      </c>
      <c r="BJ77" s="374">
        <v>5476.8292000000001</v>
      </c>
      <c r="BK77" s="374">
        <v>1907.5933</v>
      </c>
      <c r="BL77" s="351">
        <f t="shared" si="224"/>
        <v>2116.7507099999998</v>
      </c>
      <c r="BM77" s="351">
        <f t="shared" si="225"/>
        <v>1681.0630719999999</v>
      </c>
      <c r="BN77" s="352">
        <f t="shared" si="226"/>
        <v>0</v>
      </c>
      <c r="BO77" s="352">
        <f t="shared" si="299"/>
        <v>0</v>
      </c>
      <c r="BP77" s="353">
        <f t="shared" si="300"/>
        <v>2116.7507099999998</v>
      </c>
      <c r="BQ77" s="353">
        <f t="shared" si="301"/>
        <v>1681.0630719999999</v>
      </c>
      <c r="BR77" s="343">
        <f t="shared" si="302"/>
        <v>2116.7507099999998</v>
      </c>
      <c r="BS77" s="343">
        <f t="shared" si="303"/>
        <v>1681.0630719999999</v>
      </c>
      <c r="BU77" s="374">
        <v>6.4306999999999999</v>
      </c>
      <c r="BV77" s="375">
        <v>2.6817000000000002</v>
      </c>
      <c r="BW77" s="374">
        <v>0</v>
      </c>
      <c r="BX77" s="374">
        <v>5165.1216999999997</v>
      </c>
      <c r="BY77" s="374">
        <v>1768.9117000000001</v>
      </c>
      <c r="BZ77" s="351">
        <f t="shared" si="227"/>
        <v>1492.694084</v>
      </c>
      <c r="CA77" s="351">
        <f t="shared" si="228"/>
        <v>1024.0607790000001</v>
      </c>
      <c r="CB77" s="352">
        <f t="shared" si="229"/>
        <v>0</v>
      </c>
      <c r="CC77" s="352">
        <f t="shared" si="304"/>
        <v>0</v>
      </c>
      <c r="CD77" s="353">
        <f t="shared" si="305"/>
        <v>1492.694084</v>
      </c>
      <c r="CE77" s="353">
        <f t="shared" si="306"/>
        <v>1024.0607790000001</v>
      </c>
      <c r="CF77" s="343">
        <f t="shared" si="307"/>
        <v>1492.694084</v>
      </c>
      <c r="CG77" s="343">
        <f t="shared" si="308"/>
        <v>1024.0607790000001</v>
      </c>
      <c r="CI77" s="374">
        <v>1.3547</v>
      </c>
      <c r="CJ77" s="375">
        <v>1.0986</v>
      </c>
      <c r="CK77" s="374">
        <v>0</v>
      </c>
      <c r="CL77" s="374">
        <v>23431.755799999999</v>
      </c>
      <c r="CM77" s="374">
        <v>9413.5491999999995</v>
      </c>
      <c r="CN77" s="351">
        <f t="shared" si="230"/>
        <v>287.91439100000002</v>
      </c>
      <c r="CO77" s="351">
        <f t="shared" si="231"/>
        <v>302.60937000000001</v>
      </c>
      <c r="CP77" s="352">
        <f t="shared" si="232"/>
        <v>0</v>
      </c>
      <c r="CQ77" s="352">
        <f t="shared" si="309"/>
        <v>0</v>
      </c>
      <c r="CR77" s="353">
        <f t="shared" si="310"/>
        <v>287.91439100000002</v>
      </c>
      <c r="CS77" s="353">
        <f t="shared" si="311"/>
        <v>302.60937000000001</v>
      </c>
      <c r="CT77" s="343">
        <f t="shared" si="312"/>
        <v>287.91439100000002</v>
      </c>
      <c r="CU77" s="343">
        <f t="shared" si="313"/>
        <v>302.60937000000001</v>
      </c>
      <c r="CW77" s="374">
        <v>2.8144</v>
      </c>
      <c r="CX77" s="375">
        <v>2.2246999999999999</v>
      </c>
      <c r="CY77" s="374">
        <v>0</v>
      </c>
      <c r="CZ77" s="374">
        <v>10232.9292</v>
      </c>
      <c r="DA77" s="374">
        <v>4068.6817000000001</v>
      </c>
      <c r="DB77" s="351">
        <f t="shared" si="233"/>
        <v>631.07291199999997</v>
      </c>
      <c r="DC77" s="351">
        <f t="shared" si="234"/>
        <v>691.30327799999998</v>
      </c>
      <c r="DD77" s="352">
        <f t="shared" si="235"/>
        <v>0</v>
      </c>
      <c r="DE77" s="352">
        <f t="shared" si="314"/>
        <v>0</v>
      </c>
      <c r="DF77" s="353">
        <f t="shared" si="315"/>
        <v>631.07291199999997</v>
      </c>
      <c r="DG77" s="353">
        <f t="shared" si="316"/>
        <v>691.30327799999998</v>
      </c>
      <c r="DH77" s="343">
        <f t="shared" si="317"/>
        <v>631.07291199999997</v>
      </c>
      <c r="DI77" s="343">
        <f t="shared" si="318"/>
        <v>691.30327799999998</v>
      </c>
      <c r="DK77" s="374">
        <v>2.7622</v>
      </c>
      <c r="DL77" s="375">
        <v>2.1804999999999999</v>
      </c>
      <c r="DM77" s="374">
        <v>0</v>
      </c>
      <c r="DN77" s="374">
        <v>3676.1125000000002</v>
      </c>
      <c r="DO77" s="374">
        <v>1602.2717</v>
      </c>
      <c r="DP77" s="351">
        <f t="shared" si="236"/>
        <v>363.97509400000001</v>
      </c>
      <c r="DQ77" s="351">
        <f t="shared" si="237"/>
        <v>429.25323000000003</v>
      </c>
      <c r="DR77" s="352">
        <f t="shared" si="238"/>
        <v>0</v>
      </c>
      <c r="DS77" s="352">
        <f t="shared" si="319"/>
        <v>0</v>
      </c>
      <c r="DT77" s="353">
        <f t="shared" si="320"/>
        <v>363.97509400000001</v>
      </c>
      <c r="DU77" s="353">
        <f t="shared" si="321"/>
        <v>429.25323000000003</v>
      </c>
      <c r="DV77" s="343">
        <f t="shared" si="322"/>
        <v>363.97509400000001</v>
      </c>
      <c r="DW77" s="343">
        <f t="shared" si="323"/>
        <v>429.25323000000003</v>
      </c>
      <c r="EB77" s="326"/>
      <c r="EC77" s="326"/>
      <c r="ED77" s="326"/>
      <c r="EE77" s="348">
        <f t="shared" si="324"/>
        <v>49105.599999999999</v>
      </c>
      <c r="EF77" s="348">
        <f t="shared" si="325"/>
        <v>20416.4434</v>
      </c>
      <c r="EG77" s="348">
        <f t="shared" si="326"/>
        <v>6451.6090486000003</v>
      </c>
      <c r="EH77" s="348">
        <f t="shared" si="327"/>
        <v>6174.9324414000002</v>
      </c>
      <c r="EI77" s="354">
        <f t="shared" si="239"/>
        <v>0.7063313676997014</v>
      </c>
      <c r="EJ77" s="326"/>
      <c r="EK77" s="348">
        <f t="shared" si="328"/>
        <v>6451.6090486000003</v>
      </c>
      <c r="EL77" s="348">
        <f t="shared" si="329"/>
        <v>6174.9324414000002</v>
      </c>
      <c r="EM77" s="348">
        <f t="shared" si="330"/>
        <v>6451.6090486000003</v>
      </c>
      <c r="EN77" s="348">
        <f t="shared" si="331"/>
        <v>6174.9324414000002</v>
      </c>
      <c r="EP77" s="326"/>
      <c r="EQ77" s="326"/>
      <c r="ER77" s="326"/>
      <c r="ES77" s="348">
        <f t="shared" si="240"/>
        <v>42134.52</v>
      </c>
      <c r="ET77" s="348">
        <f t="shared" si="241"/>
        <v>16493.8717</v>
      </c>
      <c r="EU77" s="348">
        <f t="shared" si="242"/>
        <v>5515.3356793999992</v>
      </c>
      <c r="EV77" s="348">
        <f t="shared" si="243"/>
        <v>5264.2772386000006</v>
      </c>
      <c r="EW77" s="354">
        <f t="shared" si="244"/>
        <v>0.71867091656890869</v>
      </c>
      <c r="EX77" s="326"/>
      <c r="EY77" s="348">
        <f t="shared" si="245"/>
        <v>5515.3356793999992</v>
      </c>
      <c r="EZ77" s="348">
        <f t="shared" si="246"/>
        <v>5264.2772386000006</v>
      </c>
      <c r="FA77" s="348">
        <f t="shared" si="247"/>
        <v>5515.3356793999992</v>
      </c>
      <c r="FB77" s="348">
        <f t="shared" si="248"/>
        <v>5264.2772386000006</v>
      </c>
      <c r="FD77" s="326"/>
      <c r="FE77" s="326"/>
      <c r="FF77" s="326"/>
      <c r="FG77" s="348">
        <f t="shared" si="249"/>
        <v>32581.817499999997</v>
      </c>
      <c r="FH77" s="348">
        <f t="shared" si="250"/>
        <v>12864.482599999999</v>
      </c>
      <c r="FI77" s="348">
        <f t="shared" si="251"/>
        <v>4322.8828654000008</v>
      </c>
      <c r="FJ77" s="348">
        <f t="shared" si="252"/>
        <v>4250.6128469999994</v>
      </c>
      <c r="FK77" s="354">
        <f t="shared" si="253"/>
        <v>0.71693003453101789</v>
      </c>
      <c r="FL77" s="326"/>
      <c r="FM77" s="348">
        <f t="shared" si="254"/>
        <v>4322.8828654000008</v>
      </c>
      <c r="FN77" s="348">
        <f t="shared" si="255"/>
        <v>4250.6128469999994</v>
      </c>
      <c r="FO77" s="348">
        <f t="shared" si="256"/>
        <v>4322.8828654000008</v>
      </c>
      <c r="FP77" s="348">
        <f t="shared" si="257"/>
        <v>4250.6128469999994</v>
      </c>
      <c r="FR77" s="326"/>
      <c r="FS77" s="326"/>
      <c r="FT77" s="326"/>
      <c r="FU77" s="348">
        <f t="shared" si="258"/>
        <v>33664.684999999998</v>
      </c>
      <c r="FV77" s="348">
        <f t="shared" si="259"/>
        <v>13482.230899999999</v>
      </c>
      <c r="FW77" s="348">
        <f t="shared" si="260"/>
        <v>792.77272059999996</v>
      </c>
      <c r="FX77" s="348">
        <f t="shared" si="261"/>
        <v>855.65199240000004</v>
      </c>
      <c r="FY77" s="354">
        <f t="shared" si="262"/>
        <v>0.71403790380273846</v>
      </c>
      <c r="FZ77" s="326"/>
      <c r="GA77" s="348">
        <f t="shared" si="263"/>
        <v>792.77272059999996</v>
      </c>
      <c r="GB77" s="348">
        <f t="shared" si="264"/>
        <v>855.65199240000004</v>
      </c>
      <c r="GC77" s="348">
        <f t="shared" si="265"/>
        <v>792.77272059999996</v>
      </c>
      <c r="GD77" s="348">
        <f t="shared" si="266"/>
        <v>855.65199240000004</v>
      </c>
      <c r="GF77" s="326"/>
      <c r="GG77" s="326"/>
      <c r="GH77" s="326"/>
      <c r="GI77" s="348">
        <f t="shared" si="267"/>
        <v>15138.6934</v>
      </c>
      <c r="GJ77" s="348">
        <f t="shared" si="268"/>
        <v>5705.8625000000002</v>
      </c>
      <c r="GK77" s="349">
        <f t="shared" si="269"/>
        <v>598.06944300000032</v>
      </c>
      <c r="GL77" s="349">
        <f t="shared" si="270"/>
        <v>553.07433974999981</v>
      </c>
      <c r="GM77" s="354">
        <f t="shared" si="271"/>
        <v>0.7262660558769688</v>
      </c>
      <c r="GN77" s="326"/>
      <c r="GO77" s="349">
        <f t="shared" si="272"/>
        <v>598.06944300000032</v>
      </c>
      <c r="GP77" s="349">
        <f t="shared" si="273"/>
        <v>553.07433974999981</v>
      </c>
      <c r="GQ77" s="349">
        <f t="shared" si="274"/>
        <v>598.06944300000032</v>
      </c>
      <c r="GR77" s="349">
        <f t="shared" si="275"/>
        <v>553.07433974999981</v>
      </c>
      <c r="HA77" s="374"/>
      <c r="HB77" s="375"/>
      <c r="HC77" s="374"/>
      <c r="HD77" s="374"/>
      <c r="HE77" s="374"/>
      <c r="HF77" s="351">
        <f t="shared" si="276"/>
        <v>0</v>
      </c>
      <c r="HG77" s="351">
        <f t="shared" si="277"/>
        <v>0</v>
      </c>
      <c r="HH77" s="352">
        <f t="shared" si="278"/>
        <v>0</v>
      </c>
      <c r="HI77" s="352">
        <f t="shared" si="332"/>
        <v>0</v>
      </c>
      <c r="HJ77" s="353">
        <f t="shared" si="333"/>
        <v>0</v>
      </c>
      <c r="HK77" s="353">
        <f t="shared" si="334"/>
        <v>0</v>
      </c>
    </row>
    <row r="78" spans="1:219" x14ac:dyDescent="0.2">
      <c r="A78" s="320">
        <v>68</v>
      </c>
      <c r="C78" s="350">
        <v>3.6254</v>
      </c>
      <c r="D78" s="350">
        <v>1.9935</v>
      </c>
      <c r="E78" s="350">
        <v>0</v>
      </c>
      <c r="F78" s="350">
        <v>4455.1274999999996</v>
      </c>
      <c r="G78" s="350">
        <v>3064.4542000000001</v>
      </c>
      <c r="H78" s="351">
        <f t="shared" si="212"/>
        <v>3538.7529399999999</v>
      </c>
      <c r="I78" s="351">
        <f t="shared" si="213"/>
        <v>3695.3310150000002</v>
      </c>
      <c r="J78" s="352">
        <f t="shared" si="214"/>
        <v>0</v>
      </c>
      <c r="K78" s="352">
        <f t="shared" si="279"/>
        <v>0</v>
      </c>
      <c r="L78" s="353">
        <f t="shared" si="280"/>
        <v>3538.7529399999999</v>
      </c>
      <c r="M78" s="353">
        <f t="shared" si="281"/>
        <v>3695.3310150000002</v>
      </c>
      <c r="N78" s="343">
        <f t="shared" si="282"/>
        <v>3538.7529399999999</v>
      </c>
      <c r="O78" s="343">
        <f t="shared" si="283"/>
        <v>3695.3310150000002</v>
      </c>
      <c r="Q78" s="374">
        <v>4.4276999999999997</v>
      </c>
      <c r="R78" s="375">
        <v>2.4401000000000002</v>
      </c>
      <c r="S78" s="374">
        <v>0</v>
      </c>
      <c r="T78" s="374">
        <v>2369.9041999999999</v>
      </c>
      <c r="U78" s="374">
        <v>972.04830000000004</v>
      </c>
      <c r="V78" s="351">
        <f t="shared" si="215"/>
        <v>2831.0713799999999</v>
      </c>
      <c r="W78" s="351">
        <f t="shared" si="216"/>
        <v>2931.4873380000004</v>
      </c>
      <c r="X78" s="352">
        <f t="shared" si="217"/>
        <v>0</v>
      </c>
      <c r="Y78" s="352">
        <f t="shared" si="284"/>
        <v>0</v>
      </c>
      <c r="Z78" s="353">
        <f t="shared" si="285"/>
        <v>2831.0713799999999</v>
      </c>
      <c r="AA78" s="353">
        <f t="shared" si="286"/>
        <v>2931.4873380000004</v>
      </c>
      <c r="AB78" s="343">
        <f t="shared" si="287"/>
        <v>2831.0713799999999</v>
      </c>
      <c r="AC78" s="343">
        <f t="shared" si="288"/>
        <v>2931.4873380000004</v>
      </c>
      <c r="AE78" s="374">
        <v>5.7032999999999996</v>
      </c>
      <c r="AF78" s="375">
        <v>2.7690999999999999</v>
      </c>
      <c r="AG78" s="374">
        <v>0</v>
      </c>
      <c r="AH78" s="374">
        <v>223.3708</v>
      </c>
      <c r="AI78" s="374">
        <v>74.930000000000007</v>
      </c>
      <c r="AJ78" s="351">
        <f t="shared" si="218"/>
        <v>2444.3203139999996</v>
      </c>
      <c r="AK78" s="351">
        <f t="shared" si="219"/>
        <v>2752.9838379999997</v>
      </c>
      <c r="AL78" s="352">
        <f t="shared" si="220"/>
        <v>0</v>
      </c>
      <c r="AM78" s="352">
        <f t="shared" si="289"/>
        <v>0</v>
      </c>
      <c r="AN78" s="353">
        <f t="shared" si="290"/>
        <v>2444.3203139999996</v>
      </c>
      <c r="AO78" s="353">
        <f t="shared" si="291"/>
        <v>2752.9838379999997</v>
      </c>
      <c r="AP78" s="343">
        <f t="shared" si="292"/>
        <v>2444.3203139999996</v>
      </c>
      <c r="AQ78" s="343">
        <f t="shared" si="293"/>
        <v>2752.9838379999997</v>
      </c>
      <c r="AS78" s="374">
        <v>7.1745999999999999</v>
      </c>
      <c r="AT78" s="375">
        <v>2.7601</v>
      </c>
      <c r="AU78" s="374">
        <v>0</v>
      </c>
      <c r="AV78" s="374">
        <v>8000.5074999999997</v>
      </c>
      <c r="AW78" s="374">
        <v>3240.1342</v>
      </c>
      <c r="AX78" s="351">
        <f t="shared" si="221"/>
        <v>2444.1709820000001</v>
      </c>
      <c r="AY78" s="351">
        <f t="shared" si="222"/>
        <v>1885.4795120000001</v>
      </c>
      <c r="AZ78" s="352">
        <f t="shared" si="223"/>
        <v>0</v>
      </c>
      <c r="BA78" s="352">
        <f t="shared" si="294"/>
        <v>0</v>
      </c>
      <c r="BB78" s="353">
        <f t="shared" si="295"/>
        <v>2444.1709820000001</v>
      </c>
      <c r="BC78" s="353">
        <f t="shared" si="296"/>
        <v>1885.4795120000001</v>
      </c>
      <c r="BD78" s="343">
        <f t="shared" si="297"/>
        <v>2444.1709820000001</v>
      </c>
      <c r="BE78" s="343">
        <f t="shared" si="298"/>
        <v>1885.4795120000001</v>
      </c>
      <c r="BG78" s="374">
        <v>6.7584999999999997</v>
      </c>
      <c r="BH78" s="375">
        <v>3.0739000000000001</v>
      </c>
      <c r="BI78" s="374">
        <v>0</v>
      </c>
      <c r="BJ78" s="374">
        <v>4277.6508000000003</v>
      </c>
      <c r="BK78" s="374">
        <v>1702.2067</v>
      </c>
      <c r="BL78" s="351">
        <f t="shared" si="224"/>
        <v>2262.5430449999999</v>
      </c>
      <c r="BM78" s="351">
        <f t="shared" si="225"/>
        <v>1801.0594879999999</v>
      </c>
      <c r="BN78" s="352">
        <f t="shared" si="226"/>
        <v>0</v>
      </c>
      <c r="BO78" s="352">
        <f t="shared" si="299"/>
        <v>0</v>
      </c>
      <c r="BP78" s="353">
        <f t="shared" si="300"/>
        <v>2262.5430449999999</v>
      </c>
      <c r="BQ78" s="353">
        <f t="shared" si="301"/>
        <v>1801.0594879999999</v>
      </c>
      <c r="BR78" s="343">
        <f t="shared" si="302"/>
        <v>2262.5430449999999</v>
      </c>
      <c r="BS78" s="343">
        <f t="shared" si="303"/>
        <v>1801.0594879999999</v>
      </c>
      <c r="BU78" s="374">
        <v>6.8830999999999998</v>
      </c>
      <c r="BV78" s="375">
        <v>2.8946999999999998</v>
      </c>
      <c r="BW78" s="374">
        <v>0</v>
      </c>
      <c r="BX78" s="374">
        <v>4422.1817000000001</v>
      </c>
      <c r="BY78" s="374">
        <v>1499.2392</v>
      </c>
      <c r="BZ78" s="351">
        <f t="shared" si="227"/>
        <v>1597.7051719999999</v>
      </c>
      <c r="CA78" s="351">
        <f t="shared" si="228"/>
        <v>1105.399089</v>
      </c>
      <c r="CB78" s="352">
        <f t="shared" si="229"/>
        <v>0</v>
      </c>
      <c r="CC78" s="352">
        <f t="shared" si="304"/>
        <v>0</v>
      </c>
      <c r="CD78" s="353">
        <f t="shared" si="305"/>
        <v>1597.7051719999999</v>
      </c>
      <c r="CE78" s="353">
        <f t="shared" si="306"/>
        <v>1105.399089</v>
      </c>
      <c r="CF78" s="343">
        <f t="shared" si="307"/>
        <v>1597.7051719999999</v>
      </c>
      <c r="CG78" s="343">
        <f t="shared" si="308"/>
        <v>1105.399089</v>
      </c>
      <c r="CI78" s="374">
        <v>1.3648</v>
      </c>
      <c r="CJ78" s="375">
        <v>1.0975999999999999</v>
      </c>
      <c r="CK78" s="374">
        <v>0</v>
      </c>
      <c r="CL78" s="374">
        <v>19199.889200000001</v>
      </c>
      <c r="CM78" s="374">
        <v>8051.8867</v>
      </c>
      <c r="CN78" s="351">
        <f t="shared" si="230"/>
        <v>290.06094400000001</v>
      </c>
      <c r="CO78" s="351">
        <f t="shared" si="231"/>
        <v>302.33391999999998</v>
      </c>
      <c r="CP78" s="352">
        <f t="shared" si="232"/>
        <v>0</v>
      </c>
      <c r="CQ78" s="352">
        <f t="shared" si="309"/>
        <v>0</v>
      </c>
      <c r="CR78" s="353">
        <f t="shared" si="310"/>
        <v>290.06094400000001</v>
      </c>
      <c r="CS78" s="353">
        <f t="shared" si="311"/>
        <v>302.33391999999998</v>
      </c>
      <c r="CT78" s="343">
        <f t="shared" si="312"/>
        <v>290.06094400000001</v>
      </c>
      <c r="CU78" s="343">
        <f t="shared" si="313"/>
        <v>302.33391999999998</v>
      </c>
      <c r="CW78" s="374">
        <v>2.8494000000000002</v>
      </c>
      <c r="CX78" s="375">
        <v>2.2544</v>
      </c>
      <c r="CY78" s="374">
        <v>0</v>
      </c>
      <c r="CZ78" s="374">
        <v>8349.0257999999994</v>
      </c>
      <c r="DA78" s="374">
        <v>3345.1867000000002</v>
      </c>
      <c r="DB78" s="351">
        <f t="shared" si="233"/>
        <v>638.92096200000003</v>
      </c>
      <c r="DC78" s="351">
        <f t="shared" si="234"/>
        <v>700.53225599999996</v>
      </c>
      <c r="DD78" s="352">
        <f t="shared" si="235"/>
        <v>0</v>
      </c>
      <c r="DE78" s="352">
        <f t="shared" si="314"/>
        <v>0</v>
      </c>
      <c r="DF78" s="353">
        <f t="shared" si="315"/>
        <v>638.92096200000003</v>
      </c>
      <c r="DG78" s="353">
        <f t="shared" si="316"/>
        <v>700.53225599999996</v>
      </c>
      <c r="DH78" s="343">
        <f t="shared" si="317"/>
        <v>638.92096200000003</v>
      </c>
      <c r="DI78" s="343">
        <f t="shared" si="318"/>
        <v>700.53225599999996</v>
      </c>
      <c r="DK78" s="374">
        <v>2.8317000000000001</v>
      </c>
      <c r="DL78" s="375">
        <v>2.2448999999999999</v>
      </c>
      <c r="DM78" s="374">
        <v>0</v>
      </c>
      <c r="DN78" s="374">
        <v>3344.9250000000002</v>
      </c>
      <c r="DO78" s="374">
        <v>1445.1116999999999</v>
      </c>
      <c r="DP78" s="351">
        <f t="shared" si="236"/>
        <v>373.13310900000005</v>
      </c>
      <c r="DQ78" s="351">
        <f t="shared" si="237"/>
        <v>441.931014</v>
      </c>
      <c r="DR78" s="352">
        <f t="shared" si="238"/>
        <v>0</v>
      </c>
      <c r="DS78" s="352">
        <f t="shared" si="319"/>
        <v>0</v>
      </c>
      <c r="DT78" s="353">
        <f t="shared" si="320"/>
        <v>373.13310900000005</v>
      </c>
      <c r="DU78" s="353">
        <f t="shared" si="321"/>
        <v>441.931014</v>
      </c>
      <c r="DV78" s="343">
        <f t="shared" si="322"/>
        <v>373.13310900000005</v>
      </c>
      <c r="DW78" s="343">
        <f t="shared" si="323"/>
        <v>441.931014</v>
      </c>
      <c r="EB78" s="326"/>
      <c r="EC78" s="326"/>
      <c r="ED78" s="326"/>
      <c r="EE78" s="348">
        <f t="shared" si="324"/>
        <v>40004.550000000003</v>
      </c>
      <c r="EF78" s="348">
        <f t="shared" si="325"/>
        <v>17701.661800000002</v>
      </c>
      <c r="EG78" s="348">
        <f t="shared" si="326"/>
        <v>6784.1216355999995</v>
      </c>
      <c r="EH78" s="348">
        <f t="shared" si="327"/>
        <v>6443.5702518000007</v>
      </c>
      <c r="EI78" s="354">
        <f t="shared" si="239"/>
        <v>0.69324512478221623</v>
      </c>
      <c r="EJ78" s="326"/>
      <c r="EK78" s="348">
        <f t="shared" si="328"/>
        <v>6784.1216355999995</v>
      </c>
      <c r="EL78" s="348">
        <f t="shared" si="329"/>
        <v>6443.5702518000007</v>
      </c>
      <c r="EM78" s="348">
        <f t="shared" si="330"/>
        <v>6784.1216355999995</v>
      </c>
      <c r="EN78" s="348">
        <f t="shared" si="331"/>
        <v>6443.5702518000007</v>
      </c>
      <c r="EP78" s="326"/>
      <c r="EQ78" s="326"/>
      <c r="ER78" s="326"/>
      <c r="ES78" s="348">
        <f t="shared" si="240"/>
        <v>34196.47</v>
      </c>
      <c r="ET78" s="348">
        <f t="shared" si="241"/>
        <v>14071.3284</v>
      </c>
      <c r="EU78" s="348">
        <f t="shared" si="242"/>
        <v>5830.9200423999991</v>
      </c>
      <c r="EV78" s="348">
        <f t="shared" si="243"/>
        <v>5525.2533251999994</v>
      </c>
      <c r="EW78" s="354">
        <f t="shared" si="244"/>
        <v>0.70847378860354238</v>
      </c>
      <c r="EX78" s="326"/>
      <c r="EY78" s="348">
        <f t="shared" si="245"/>
        <v>5830.9200423999991</v>
      </c>
      <c r="EZ78" s="348">
        <f t="shared" si="246"/>
        <v>5525.2533251999994</v>
      </c>
      <c r="FA78" s="348">
        <f t="shared" si="247"/>
        <v>5830.9200423999991</v>
      </c>
      <c r="FB78" s="348">
        <f t="shared" si="248"/>
        <v>5525.2533251999994</v>
      </c>
      <c r="FD78" s="326"/>
      <c r="FE78" s="326"/>
      <c r="FF78" s="326"/>
      <c r="FG78" s="348">
        <f t="shared" si="249"/>
        <v>27190.366700000002</v>
      </c>
      <c r="FH78" s="348">
        <f t="shared" si="250"/>
        <v>11071.167599999999</v>
      </c>
      <c r="FI78" s="348">
        <f t="shared" si="251"/>
        <v>4555.9662953999996</v>
      </c>
      <c r="FJ78" s="348">
        <f t="shared" si="252"/>
        <v>4425.8754553999997</v>
      </c>
      <c r="FK78" s="354">
        <f t="shared" si="253"/>
        <v>0.71064496490931373</v>
      </c>
      <c r="FL78" s="326"/>
      <c r="FM78" s="348">
        <f t="shared" si="254"/>
        <v>4555.9662953999996</v>
      </c>
      <c r="FN78" s="348">
        <f t="shared" si="255"/>
        <v>4425.8754553999997</v>
      </c>
      <c r="FO78" s="348">
        <f t="shared" si="256"/>
        <v>4555.9662953999996</v>
      </c>
      <c r="FP78" s="348">
        <f t="shared" si="257"/>
        <v>4425.8754553999997</v>
      </c>
      <c r="FR78" s="326"/>
      <c r="FS78" s="326"/>
      <c r="FT78" s="326"/>
      <c r="FU78" s="348">
        <f t="shared" si="258"/>
        <v>27548.915000000001</v>
      </c>
      <c r="FV78" s="348">
        <f t="shared" si="259"/>
        <v>11397.073400000001</v>
      </c>
      <c r="FW78" s="348">
        <f t="shared" si="260"/>
        <v>801.19771360000004</v>
      </c>
      <c r="FX78" s="348">
        <f t="shared" si="261"/>
        <v>862.75972479999996</v>
      </c>
      <c r="FY78" s="354">
        <f t="shared" si="262"/>
        <v>0.70736207069788992</v>
      </c>
      <c r="FZ78" s="326"/>
      <c r="GA78" s="348">
        <f t="shared" si="263"/>
        <v>801.19771360000004</v>
      </c>
      <c r="GB78" s="348">
        <f t="shared" si="264"/>
        <v>862.75972479999996</v>
      </c>
      <c r="GC78" s="348">
        <f t="shared" si="265"/>
        <v>801.19771360000004</v>
      </c>
      <c r="GD78" s="348">
        <f t="shared" si="266"/>
        <v>862.75972479999996</v>
      </c>
      <c r="GF78" s="326"/>
      <c r="GG78" s="326"/>
      <c r="GH78" s="326"/>
      <c r="GI78" s="348">
        <f t="shared" si="267"/>
        <v>12422.689200000001</v>
      </c>
      <c r="GJ78" s="348">
        <f t="shared" si="268"/>
        <v>4739.3734000000004</v>
      </c>
      <c r="GK78" s="349">
        <f t="shared" si="269"/>
        <v>634.84935750000011</v>
      </c>
      <c r="GL78" s="349">
        <f t="shared" si="270"/>
        <v>585.06031725000003</v>
      </c>
      <c r="GM78" s="354">
        <f t="shared" si="271"/>
        <v>0.7238459321317241</v>
      </c>
      <c r="GN78" s="326"/>
      <c r="GO78" s="349">
        <f t="shared" si="272"/>
        <v>634.84935750000011</v>
      </c>
      <c r="GP78" s="349">
        <f t="shared" si="273"/>
        <v>585.06031725000003</v>
      </c>
      <c r="GQ78" s="349">
        <f t="shared" si="274"/>
        <v>634.84935750000011</v>
      </c>
      <c r="GR78" s="349">
        <f t="shared" si="275"/>
        <v>585.06031725000003</v>
      </c>
      <c r="HA78" s="374"/>
      <c r="HB78" s="375"/>
      <c r="HC78" s="374"/>
      <c r="HD78" s="374"/>
      <c r="HE78" s="374"/>
      <c r="HF78" s="351">
        <f t="shared" si="276"/>
        <v>0</v>
      </c>
      <c r="HG78" s="351">
        <f t="shared" si="277"/>
        <v>0</v>
      </c>
      <c r="HH78" s="352">
        <f t="shared" si="278"/>
        <v>0</v>
      </c>
      <c r="HI78" s="352">
        <f t="shared" si="332"/>
        <v>0</v>
      </c>
      <c r="HJ78" s="353">
        <f t="shared" si="333"/>
        <v>0</v>
      </c>
      <c r="HK78" s="353">
        <f t="shared" si="334"/>
        <v>0</v>
      </c>
    </row>
    <row r="79" spans="1:219" x14ac:dyDescent="0.2">
      <c r="A79" s="320">
        <v>69</v>
      </c>
      <c r="C79" s="350">
        <v>3.8008999999999999</v>
      </c>
      <c r="D79" s="350">
        <v>2.0684</v>
      </c>
      <c r="E79" s="350">
        <v>0</v>
      </c>
      <c r="F79" s="350">
        <v>5728.68</v>
      </c>
      <c r="G79" s="350">
        <v>3507.79</v>
      </c>
      <c r="H79" s="351">
        <f t="shared" si="212"/>
        <v>3710.0584899999999</v>
      </c>
      <c r="I79" s="351">
        <f t="shared" si="213"/>
        <v>3834.1723959999999</v>
      </c>
      <c r="J79" s="352">
        <f t="shared" si="214"/>
        <v>0</v>
      </c>
      <c r="K79" s="352">
        <f t="shared" si="279"/>
        <v>0</v>
      </c>
      <c r="L79" s="353">
        <f t="shared" si="280"/>
        <v>3710.0584899999999</v>
      </c>
      <c r="M79" s="353">
        <f t="shared" si="281"/>
        <v>3834.1723959999999</v>
      </c>
      <c r="N79" s="343">
        <f t="shared" si="282"/>
        <v>3710.0584899999999</v>
      </c>
      <c r="O79" s="343">
        <f t="shared" si="283"/>
        <v>3834.1723959999999</v>
      </c>
      <c r="Q79" s="374">
        <v>4.6920000000000002</v>
      </c>
      <c r="R79" s="375">
        <v>2.5608</v>
      </c>
      <c r="S79" s="374">
        <v>0</v>
      </c>
      <c r="T79" s="374">
        <v>3044.8382999999999</v>
      </c>
      <c r="U79" s="374">
        <v>1213.9175</v>
      </c>
      <c r="V79" s="351">
        <f t="shared" si="215"/>
        <v>3000.0648000000001</v>
      </c>
      <c r="W79" s="351">
        <f t="shared" si="216"/>
        <v>3076.4939040000004</v>
      </c>
      <c r="X79" s="352">
        <f t="shared" si="217"/>
        <v>0</v>
      </c>
      <c r="Y79" s="352">
        <f t="shared" si="284"/>
        <v>0</v>
      </c>
      <c r="Z79" s="353">
        <f t="shared" si="285"/>
        <v>3000.0648000000001</v>
      </c>
      <c r="AA79" s="353">
        <f t="shared" si="286"/>
        <v>3076.4939040000004</v>
      </c>
      <c r="AB79" s="343">
        <f t="shared" si="287"/>
        <v>3000.0648000000001</v>
      </c>
      <c r="AC79" s="343">
        <f t="shared" si="288"/>
        <v>3076.4939040000004</v>
      </c>
      <c r="AE79" s="374">
        <v>5.9892000000000003</v>
      </c>
      <c r="AF79" s="375">
        <v>2.8508</v>
      </c>
      <c r="AG79" s="374">
        <v>0</v>
      </c>
      <c r="AH79" s="374">
        <v>292.25</v>
      </c>
      <c r="AI79" s="374">
        <v>108.41670000000001</v>
      </c>
      <c r="AJ79" s="351">
        <f t="shared" si="218"/>
        <v>2566.8513360000002</v>
      </c>
      <c r="AK79" s="351">
        <f t="shared" si="219"/>
        <v>2834.2083439999997</v>
      </c>
      <c r="AL79" s="352">
        <f t="shared" si="220"/>
        <v>0</v>
      </c>
      <c r="AM79" s="352">
        <f t="shared" si="289"/>
        <v>0</v>
      </c>
      <c r="AN79" s="353">
        <f t="shared" si="290"/>
        <v>2566.8513360000002</v>
      </c>
      <c r="AO79" s="353">
        <f t="shared" si="291"/>
        <v>2834.2083439999997</v>
      </c>
      <c r="AP79" s="343">
        <f t="shared" si="292"/>
        <v>2566.8513360000002</v>
      </c>
      <c r="AQ79" s="343">
        <f t="shared" si="293"/>
        <v>2834.2083439999997</v>
      </c>
      <c r="AS79" s="374">
        <v>7.6401000000000003</v>
      </c>
      <c r="AT79" s="375">
        <v>2.9521000000000002</v>
      </c>
      <c r="AU79" s="374">
        <v>0</v>
      </c>
      <c r="AV79" s="374">
        <v>10577.86</v>
      </c>
      <c r="AW79" s="374">
        <v>4340.6782999999996</v>
      </c>
      <c r="AX79" s="351">
        <f t="shared" si="221"/>
        <v>2602.7528670000002</v>
      </c>
      <c r="AY79" s="351">
        <f t="shared" si="222"/>
        <v>2016.6385520000001</v>
      </c>
      <c r="AZ79" s="352">
        <f t="shared" si="223"/>
        <v>0</v>
      </c>
      <c r="BA79" s="352">
        <f t="shared" si="294"/>
        <v>0</v>
      </c>
      <c r="BB79" s="353">
        <f t="shared" si="295"/>
        <v>2602.7528670000002</v>
      </c>
      <c r="BC79" s="353">
        <f t="shared" si="296"/>
        <v>2016.6385520000001</v>
      </c>
      <c r="BD79" s="343">
        <f t="shared" si="297"/>
        <v>2602.7528670000002</v>
      </c>
      <c r="BE79" s="343">
        <f t="shared" si="298"/>
        <v>2016.6385520000001</v>
      </c>
      <c r="BG79" s="374">
        <v>7.2144000000000004</v>
      </c>
      <c r="BH79" s="375">
        <v>3.2875999999999999</v>
      </c>
      <c r="BI79" s="374">
        <v>0</v>
      </c>
      <c r="BJ79" s="374">
        <v>5607.2157999999999</v>
      </c>
      <c r="BK79" s="374">
        <v>2257.5992000000001</v>
      </c>
      <c r="BL79" s="351">
        <f t="shared" si="224"/>
        <v>2415.1646879999998</v>
      </c>
      <c r="BM79" s="351">
        <f t="shared" si="225"/>
        <v>1926.2705919999999</v>
      </c>
      <c r="BN79" s="352">
        <f t="shared" si="226"/>
        <v>0</v>
      </c>
      <c r="BO79" s="352">
        <f t="shared" si="299"/>
        <v>0</v>
      </c>
      <c r="BP79" s="353">
        <f t="shared" si="300"/>
        <v>2415.1646879999998</v>
      </c>
      <c r="BQ79" s="353">
        <f t="shared" si="301"/>
        <v>1926.2705919999999</v>
      </c>
      <c r="BR79" s="343">
        <f t="shared" si="302"/>
        <v>2415.1646879999998</v>
      </c>
      <c r="BS79" s="343">
        <f t="shared" si="303"/>
        <v>1926.2705919999999</v>
      </c>
      <c r="BU79" s="374">
        <v>7.3362999999999996</v>
      </c>
      <c r="BV79" s="375">
        <v>3.1181000000000001</v>
      </c>
      <c r="BW79" s="374">
        <v>0</v>
      </c>
      <c r="BX79" s="374">
        <v>5642.5883000000003</v>
      </c>
      <c r="BY79" s="374">
        <v>1839.2442000000001</v>
      </c>
      <c r="BZ79" s="351">
        <f t="shared" si="227"/>
        <v>1702.9019559999999</v>
      </c>
      <c r="CA79" s="351">
        <f t="shared" si="228"/>
        <v>1190.7088470000001</v>
      </c>
      <c r="CB79" s="352">
        <f t="shared" si="229"/>
        <v>0</v>
      </c>
      <c r="CC79" s="352">
        <f t="shared" si="304"/>
        <v>0</v>
      </c>
      <c r="CD79" s="353">
        <f t="shared" si="305"/>
        <v>1702.9019559999999</v>
      </c>
      <c r="CE79" s="353">
        <f t="shared" si="306"/>
        <v>1190.7088470000001</v>
      </c>
      <c r="CF79" s="343">
        <f t="shared" si="307"/>
        <v>1702.9019559999999</v>
      </c>
      <c r="CG79" s="343">
        <f t="shared" si="308"/>
        <v>1190.7088470000001</v>
      </c>
      <c r="CI79" s="374">
        <v>1.3713</v>
      </c>
      <c r="CJ79" s="375">
        <v>1.0939000000000001</v>
      </c>
      <c r="CK79" s="374">
        <v>0</v>
      </c>
      <c r="CL79" s="374">
        <v>25057.555799999998</v>
      </c>
      <c r="CM79" s="374">
        <v>10494.5725</v>
      </c>
      <c r="CN79" s="351">
        <f t="shared" si="230"/>
        <v>291.44238899999999</v>
      </c>
      <c r="CO79" s="351">
        <f t="shared" si="231"/>
        <v>301.31475499999999</v>
      </c>
      <c r="CP79" s="352">
        <f t="shared" si="232"/>
        <v>0</v>
      </c>
      <c r="CQ79" s="352">
        <f t="shared" si="309"/>
        <v>0</v>
      </c>
      <c r="CR79" s="353">
        <f t="shared" si="310"/>
        <v>291.44238899999999</v>
      </c>
      <c r="CS79" s="353">
        <f t="shared" si="311"/>
        <v>301.31475499999999</v>
      </c>
      <c r="CT79" s="343">
        <f t="shared" si="312"/>
        <v>291.44238899999999</v>
      </c>
      <c r="CU79" s="343">
        <f t="shared" si="313"/>
        <v>301.31475499999999</v>
      </c>
      <c r="CW79" s="374">
        <v>2.8786999999999998</v>
      </c>
      <c r="CX79" s="375">
        <v>2.2812000000000001</v>
      </c>
      <c r="CY79" s="374">
        <v>0</v>
      </c>
      <c r="CZ79" s="374">
        <v>10821.414199999999</v>
      </c>
      <c r="DA79" s="374">
        <v>4450.9624999999996</v>
      </c>
      <c r="DB79" s="351">
        <f t="shared" si="233"/>
        <v>645.49090099999989</v>
      </c>
      <c r="DC79" s="351">
        <f t="shared" si="234"/>
        <v>708.86008800000002</v>
      </c>
      <c r="DD79" s="352">
        <f t="shared" si="235"/>
        <v>0</v>
      </c>
      <c r="DE79" s="352">
        <f t="shared" si="314"/>
        <v>0</v>
      </c>
      <c r="DF79" s="353">
        <f t="shared" si="315"/>
        <v>645.49090099999989</v>
      </c>
      <c r="DG79" s="353">
        <f t="shared" si="316"/>
        <v>708.86008800000002</v>
      </c>
      <c r="DH79" s="343">
        <f t="shared" si="317"/>
        <v>645.49090099999989</v>
      </c>
      <c r="DI79" s="343">
        <f t="shared" si="318"/>
        <v>708.86008800000002</v>
      </c>
      <c r="DK79" s="374">
        <v>2.8978000000000002</v>
      </c>
      <c r="DL79" s="375">
        <v>2.3064</v>
      </c>
      <c r="DM79" s="374">
        <v>0</v>
      </c>
      <c r="DN79" s="374">
        <v>4431.4308000000001</v>
      </c>
      <c r="DO79" s="374">
        <v>1961.1949999999999</v>
      </c>
      <c r="DP79" s="351">
        <f t="shared" si="236"/>
        <v>381.84310600000003</v>
      </c>
      <c r="DQ79" s="351">
        <f t="shared" si="237"/>
        <v>454.03790400000003</v>
      </c>
      <c r="DR79" s="352">
        <f t="shared" si="238"/>
        <v>0</v>
      </c>
      <c r="DS79" s="352">
        <f t="shared" si="319"/>
        <v>0</v>
      </c>
      <c r="DT79" s="353">
        <f t="shared" si="320"/>
        <v>381.84310600000003</v>
      </c>
      <c r="DU79" s="353">
        <f t="shared" si="321"/>
        <v>454.03790400000003</v>
      </c>
      <c r="DV79" s="343">
        <f t="shared" si="322"/>
        <v>381.84310600000003</v>
      </c>
      <c r="DW79" s="343">
        <f t="shared" si="323"/>
        <v>454.03790400000003</v>
      </c>
      <c r="EB79" s="326"/>
      <c r="EC79" s="326"/>
      <c r="ED79" s="326"/>
      <c r="EE79" s="348">
        <f t="shared" si="324"/>
        <v>52185.509999999995</v>
      </c>
      <c r="EF79" s="348">
        <f t="shared" si="325"/>
        <v>22794.003299999997</v>
      </c>
      <c r="EG79" s="348">
        <f t="shared" si="326"/>
        <v>7120.6464667999999</v>
      </c>
      <c r="EH79" s="348">
        <f t="shared" si="327"/>
        <v>6719.2137734000007</v>
      </c>
      <c r="EI79" s="354">
        <f t="shared" si="239"/>
        <v>0.69599691573351408</v>
      </c>
      <c r="EJ79" s="326"/>
      <c r="EK79" s="348">
        <f t="shared" si="328"/>
        <v>7120.6464667999999</v>
      </c>
      <c r="EL79" s="348">
        <f t="shared" si="329"/>
        <v>6719.2137734000007</v>
      </c>
      <c r="EM79" s="348">
        <f t="shared" si="330"/>
        <v>7120.6464667999999</v>
      </c>
      <c r="EN79" s="348">
        <f t="shared" si="331"/>
        <v>6719.2137734000007</v>
      </c>
      <c r="EP79" s="326"/>
      <c r="EQ79" s="326"/>
      <c r="ER79" s="326"/>
      <c r="ES79" s="348">
        <f t="shared" si="240"/>
        <v>44531.024099999995</v>
      </c>
      <c r="ET79" s="348">
        <f t="shared" si="241"/>
        <v>18417.0517</v>
      </c>
      <c r="EU79" s="348">
        <f t="shared" si="242"/>
        <v>6158.5155076999999</v>
      </c>
      <c r="EV79" s="348">
        <f t="shared" si="243"/>
        <v>5800.2813126000001</v>
      </c>
      <c r="EW79" s="354">
        <f t="shared" si="244"/>
        <v>0.70742470733315099</v>
      </c>
      <c r="EX79" s="326"/>
      <c r="EY79" s="348">
        <f t="shared" si="245"/>
        <v>6158.5155076999999</v>
      </c>
      <c r="EZ79" s="348">
        <f t="shared" si="246"/>
        <v>5800.2813126000001</v>
      </c>
      <c r="FA79" s="348">
        <f t="shared" si="247"/>
        <v>6158.5155076999999</v>
      </c>
      <c r="FB79" s="348">
        <f t="shared" si="248"/>
        <v>5800.2813126000001</v>
      </c>
      <c r="FD79" s="326"/>
      <c r="FE79" s="326"/>
      <c r="FF79" s="326"/>
      <c r="FG79" s="348">
        <f t="shared" si="249"/>
        <v>35423.8249</v>
      </c>
      <c r="FH79" s="348">
        <f t="shared" si="250"/>
        <v>14403.428400000001</v>
      </c>
      <c r="FI79" s="348">
        <f t="shared" si="251"/>
        <v>4790.3015445999999</v>
      </c>
      <c r="FJ79" s="348">
        <f t="shared" si="252"/>
        <v>4598.6546883999999</v>
      </c>
      <c r="FK79" s="354">
        <f t="shared" si="253"/>
        <v>0.71093272363861171</v>
      </c>
      <c r="FL79" s="326"/>
      <c r="FM79" s="348">
        <f t="shared" si="254"/>
        <v>4790.3015445999999</v>
      </c>
      <c r="FN79" s="348">
        <f t="shared" si="255"/>
        <v>4598.6546883999999</v>
      </c>
      <c r="FO79" s="348">
        <f t="shared" si="256"/>
        <v>4790.3015445999999</v>
      </c>
      <c r="FP79" s="348">
        <f t="shared" si="257"/>
        <v>4598.6546883999999</v>
      </c>
      <c r="FR79" s="326"/>
      <c r="FS79" s="326"/>
      <c r="FT79" s="326"/>
      <c r="FU79" s="348">
        <f t="shared" si="258"/>
        <v>35878.97</v>
      </c>
      <c r="FV79" s="348">
        <f t="shared" si="259"/>
        <v>14945.535</v>
      </c>
      <c r="FW79" s="348">
        <f t="shared" si="260"/>
        <v>807.83510979999983</v>
      </c>
      <c r="FX79" s="348">
        <f t="shared" si="261"/>
        <v>868.40282539999998</v>
      </c>
      <c r="FY79" s="354">
        <f t="shared" si="262"/>
        <v>0.70593840510596217</v>
      </c>
      <c r="FZ79" s="326"/>
      <c r="GA79" s="348">
        <f t="shared" si="263"/>
        <v>807.83510979999983</v>
      </c>
      <c r="GB79" s="348">
        <f t="shared" si="264"/>
        <v>868.40282539999998</v>
      </c>
      <c r="GC79" s="348">
        <f t="shared" si="265"/>
        <v>807.83510979999983</v>
      </c>
      <c r="GD79" s="348">
        <f t="shared" si="266"/>
        <v>868.40282539999998</v>
      </c>
      <c r="GF79" s="326"/>
      <c r="GG79" s="326"/>
      <c r="GH79" s="326"/>
      <c r="GI79" s="348">
        <f t="shared" si="267"/>
        <v>16220.4483</v>
      </c>
      <c r="GJ79" s="348">
        <f t="shared" si="268"/>
        <v>6179.9224999999997</v>
      </c>
      <c r="GK79" s="349">
        <f t="shared" si="269"/>
        <v>674.88818325000011</v>
      </c>
      <c r="GL79" s="349">
        <f t="shared" si="270"/>
        <v>619.44727875000001</v>
      </c>
      <c r="GM79" s="354">
        <f t="shared" si="271"/>
        <v>0.72411516955781818</v>
      </c>
      <c r="GN79" s="326"/>
      <c r="GO79" s="349">
        <f t="shared" si="272"/>
        <v>674.88818325000011</v>
      </c>
      <c r="GP79" s="349">
        <f t="shared" si="273"/>
        <v>619.44727875000001</v>
      </c>
      <c r="GQ79" s="349">
        <f t="shared" si="274"/>
        <v>674.88818325000011</v>
      </c>
      <c r="GR79" s="349">
        <f t="shared" si="275"/>
        <v>619.44727875000001</v>
      </c>
      <c r="HA79" s="374"/>
      <c r="HB79" s="375"/>
      <c r="HC79" s="374"/>
      <c r="HD79" s="374"/>
      <c r="HE79" s="374"/>
      <c r="HF79" s="351">
        <f t="shared" si="276"/>
        <v>0</v>
      </c>
      <c r="HG79" s="351">
        <f t="shared" si="277"/>
        <v>0</v>
      </c>
      <c r="HH79" s="352">
        <f t="shared" si="278"/>
        <v>0</v>
      </c>
      <c r="HI79" s="352">
        <f t="shared" si="332"/>
        <v>0</v>
      </c>
      <c r="HJ79" s="353">
        <f t="shared" si="333"/>
        <v>0</v>
      </c>
      <c r="HK79" s="353">
        <f t="shared" si="334"/>
        <v>0</v>
      </c>
    </row>
    <row r="80" spans="1:219" x14ac:dyDescent="0.2">
      <c r="A80" s="320">
        <v>70</v>
      </c>
      <c r="C80" s="350">
        <v>3.9771000000000001</v>
      </c>
      <c r="D80" s="350">
        <v>2.1436999999999999</v>
      </c>
      <c r="E80" s="350">
        <v>0</v>
      </c>
      <c r="F80" s="350">
        <v>5166.1949999999997</v>
      </c>
      <c r="G80" s="350">
        <v>3142.645</v>
      </c>
      <c r="H80" s="351">
        <f t="shared" si="212"/>
        <v>3882.0473100000004</v>
      </c>
      <c r="I80" s="351">
        <f t="shared" si="213"/>
        <v>3973.7552529999998</v>
      </c>
      <c r="J80" s="352">
        <f t="shared" si="214"/>
        <v>0</v>
      </c>
      <c r="K80" s="352">
        <f t="shared" si="279"/>
        <v>0</v>
      </c>
      <c r="L80" s="353">
        <f t="shared" si="280"/>
        <v>3882.0473100000004</v>
      </c>
      <c r="M80" s="353">
        <f t="shared" si="281"/>
        <v>3973.7552529999998</v>
      </c>
      <c r="N80" s="343">
        <f t="shared" si="282"/>
        <v>3882.0473100000004</v>
      </c>
      <c r="O80" s="343">
        <f t="shared" si="283"/>
        <v>3973.7552529999998</v>
      </c>
      <c r="Q80" s="374">
        <v>4.9718999999999998</v>
      </c>
      <c r="R80" s="375">
        <v>2.6888999999999998</v>
      </c>
      <c r="S80" s="374">
        <v>0</v>
      </c>
      <c r="T80" s="374">
        <v>2836.3542000000002</v>
      </c>
      <c r="U80" s="374">
        <v>1094.9292</v>
      </c>
      <c r="V80" s="351">
        <f t="shared" si="215"/>
        <v>3179.0328599999998</v>
      </c>
      <c r="W80" s="351">
        <f t="shared" si="216"/>
        <v>3230.3906820000002</v>
      </c>
      <c r="X80" s="352">
        <f t="shared" si="217"/>
        <v>0</v>
      </c>
      <c r="Y80" s="352">
        <f t="shared" si="284"/>
        <v>0</v>
      </c>
      <c r="Z80" s="353">
        <f t="shared" si="285"/>
        <v>3179.0328599999998</v>
      </c>
      <c r="AA80" s="353">
        <f t="shared" si="286"/>
        <v>3230.3906820000002</v>
      </c>
      <c r="AB80" s="343">
        <f t="shared" si="287"/>
        <v>3179.0328599999998</v>
      </c>
      <c r="AC80" s="343">
        <f t="shared" si="288"/>
        <v>3230.3906820000002</v>
      </c>
      <c r="AE80" s="374">
        <v>6.2789000000000001</v>
      </c>
      <c r="AF80" s="375">
        <v>2.9308999999999998</v>
      </c>
      <c r="AG80" s="374">
        <v>0</v>
      </c>
      <c r="AH80" s="374">
        <v>295.08249999999998</v>
      </c>
      <c r="AI80" s="374">
        <v>106.58329999999999</v>
      </c>
      <c r="AJ80" s="351">
        <f t="shared" si="218"/>
        <v>2691.0109619999998</v>
      </c>
      <c r="AK80" s="351">
        <f t="shared" si="219"/>
        <v>2913.8421619999999</v>
      </c>
      <c r="AL80" s="352">
        <f t="shared" si="220"/>
        <v>0</v>
      </c>
      <c r="AM80" s="352">
        <f t="shared" si="289"/>
        <v>0</v>
      </c>
      <c r="AN80" s="353">
        <f t="shared" si="290"/>
        <v>2691.0109619999998</v>
      </c>
      <c r="AO80" s="353">
        <f t="shared" si="291"/>
        <v>2913.8421619999999</v>
      </c>
      <c r="AP80" s="343">
        <f t="shared" si="292"/>
        <v>2691.0109619999998</v>
      </c>
      <c r="AQ80" s="343">
        <f t="shared" si="293"/>
        <v>2913.8421619999999</v>
      </c>
      <c r="AS80" s="374">
        <v>8.1270000000000007</v>
      </c>
      <c r="AT80" s="375">
        <v>3.1551999999999998</v>
      </c>
      <c r="AU80" s="374">
        <v>0</v>
      </c>
      <c r="AV80" s="374">
        <v>9901.4866999999995</v>
      </c>
      <c r="AW80" s="374">
        <v>4226.4942000000001</v>
      </c>
      <c r="AX80" s="351">
        <f t="shared" si="221"/>
        <v>2768.6250900000005</v>
      </c>
      <c r="AY80" s="351">
        <f t="shared" si="222"/>
        <v>2155.380224</v>
      </c>
      <c r="AZ80" s="352">
        <f t="shared" si="223"/>
        <v>0</v>
      </c>
      <c r="BA80" s="352">
        <f t="shared" si="294"/>
        <v>0</v>
      </c>
      <c r="BB80" s="353">
        <f t="shared" si="295"/>
        <v>2768.6250900000005</v>
      </c>
      <c r="BC80" s="353">
        <f t="shared" si="296"/>
        <v>2155.380224</v>
      </c>
      <c r="BD80" s="343">
        <f t="shared" si="297"/>
        <v>2768.6250900000005</v>
      </c>
      <c r="BE80" s="343">
        <f t="shared" si="298"/>
        <v>2155.380224</v>
      </c>
      <c r="BG80" s="374">
        <v>7.6936</v>
      </c>
      <c r="BH80" s="375">
        <v>3.5133000000000001</v>
      </c>
      <c r="BI80" s="374">
        <v>0</v>
      </c>
      <c r="BJ80" s="374">
        <v>5086.6125000000002</v>
      </c>
      <c r="BK80" s="374">
        <v>2168.0016999999998</v>
      </c>
      <c r="BL80" s="351">
        <f t="shared" si="224"/>
        <v>2575.586472</v>
      </c>
      <c r="BM80" s="351">
        <f t="shared" si="225"/>
        <v>2058.5127360000001</v>
      </c>
      <c r="BN80" s="352">
        <f t="shared" si="226"/>
        <v>0</v>
      </c>
      <c r="BO80" s="352">
        <f t="shared" si="299"/>
        <v>0</v>
      </c>
      <c r="BP80" s="353">
        <f t="shared" si="300"/>
        <v>2575.586472</v>
      </c>
      <c r="BQ80" s="353">
        <f t="shared" si="301"/>
        <v>2058.5127360000001</v>
      </c>
      <c r="BR80" s="343">
        <f t="shared" si="302"/>
        <v>2575.586472</v>
      </c>
      <c r="BS80" s="343">
        <f t="shared" si="303"/>
        <v>2058.5127360000001</v>
      </c>
      <c r="BU80" s="374">
        <v>7.8030999999999997</v>
      </c>
      <c r="BV80" s="375">
        <v>3.3525</v>
      </c>
      <c r="BW80" s="374">
        <v>0</v>
      </c>
      <c r="BX80" s="374">
        <v>5332.9607999999998</v>
      </c>
      <c r="BY80" s="374">
        <v>1686.4108000000001</v>
      </c>
      <c r="BZ80" s="351">
        <f t="shared" si="227"/>
        <v>1811.255572</v>
      </c>
      <c r="CA80" s="351">
        <f t="shared" si="228"/>
        <v>1280.219175</v>
      </c>
      <c r="CB80" s="352">
        <f t="shared" si="229"/>
        <v>0</v>
      </c>
      <c r="CC80" s="352">
        <f t="shared" si="304"/>
        <v>0</v>
      </c>
      <c r="CD80" s="353">
        <f t="shared" si="305"/>
        <v>1811.255572</v>
      </c>
      <c r="CE80" s="353">
        <f t="shared" si="306"/>
        <v>1280.219175</v>
      </c>
      <c r="CF80" s="343">
        <f t="shared" si="307"/>
        <v>1811.255572</v>
      </c>
      <c r="CG80" s="343">
        <f t="shared" si="308"/>
        <v>1280.219175</v>
      </c>
      <c r="CI80" s="374">
        <v>1.3747</v>
      </c>
      <c r="CJ80" s="375">
        <v>1.0866</v>
      </c>
      <c r="CK80" s="374">
        <v>0</v>
      </c>
      <c r="CL80" s="374">
        <v>23564.685000000001</v>
      </c>
      <c r="CM80" s="374">
        <v>10138.8025</v>
      </c>
      <c r="CN80" s="351">
        <f t="shared" si="230"/>
        <v>292.16499099999999</v>
      </c>
      <c r="CO80" s="351">
        <f t="shared" si="231"/>
        <v>299.30396999999999</v>
      </c>
      <c r="CP80" s="352">
        <f t="shared" si="232"/>
        <v>0</v>
      </c>
      <c r="CQ80" s="352">
        <f t="shared" si="309"/>
        <v>0</v>
      </c>
      <c r="CR80" s="353">
        <f t="shared" si="310"/>
        <v>292.16499099999999</v>
      </c>
      <c r="CS80" s="353">
        <f t="shared" si="311"/>
        <v>299.30396999999999</v>
      </c>
      <c r="CT80" s="343">
        <f t="shared" si="312"/>
        <v>292.16499099999999</v>
      </c>
      <c r="CU80" s="343">
        <f t="shared" si="313"/>
        <v>299.30396999999999</v>
      </c>
      <c r="CW80" s="374">
        <v>2.9037000000000002</v>
      </c>
      <c r="CX80" s="375">
        <v>2.3014000000000001</v>
      </c>
      <c r="CY80" s="374">
        <v>0</v>
      </c>
      <c r="CZ80" s="374">
        <v>10179.3833</v>
      </c>
      <c r="DA80" s="374">
        <v>4122.0249999999996</v>
      </c>
      <c r="DB80" s="351">
        <f t="shared" si="233"/>
        <v>651.09665099999995</v>
      </c>
      <c r="DC80" s="351">
        <f t="shared" si="234"/>
        <v>715.13703600000008</v>
      </c>
      <c r="DD80" s="352">
        <f t="shared" si="235"/>
        <v>0</v>
      </c>
      <c r="DE80" s="352">
        <f t="shared" si="314"/>
        <v>0</v>
      </c>
      <c r="DF80" s="353">
        <f t="shared" si="315"/>
        <v>651.09665099999995</v>
      </c>
      <c r="DG80" s="353">
        <f t="shared" si="316"/>
        <v>715.13703600000008</v>
      </c>
      <c r="DH80" s="343">
        <f t="shared" si="317"/>
        <v>651.09665099999995</v>
      </c>
      <c r="DI80" s="343">
        <f t="shared" si="318"/>
        <v>715.13703600000008</v>
      </c>
      <c r="DK80" s="374">
        <v>2.9626000000000001</v>
      </c>
      <c r="DL80" s="375">
        <v>2.3601999999999999</v>
      </c>
      <c r="DM80" s="374">
        <v>0</v>
      </c>
      <c r="DN80" s="374">
        <v>4185.0208000000002</v>
      </c>
      <c r="DO80" s="374">
        <v>1863.6732999999999</v>
      </c>
      <c r="DP80" s="351">
        <f t="shared" si="236"/>
        <v>390.38180200000005</v>
      </c>
      <c r="DQ80" s="351">
        <f t="shared" si="237"/>
        <v>464.62897199999998</v>
      </c>
      <c r="DR80" s="352">
        <f t="shared" si="238"/>
        <v>0</v>
      </c>
      <c r="DS80" s="352">
        <f t="shared" si="319"/>
        <v>0</v>
      </c>
      <c r="DT80" s="353">
        <f t="shared" si="320"/>
        <v>390.38180200000005</v>
      </c>
      <c r="DU80" s="353">
        <f t="shared" si="321"/>
        <v>464.62897199999998</v>
      </c>
      <c r="DV80" s="343">
        <f t="shared" si="322"/>
        <v>390.38180200000005</v>
      </c>
      <c r="DW80" s="343">
        <f t="shared" si="323"/>
        <v>464.62897199999998</v>
      </c>
      <c r="EB80" s="326"/>
      <c r="EC80" s="326"/>
      <c r="ED80" s="326"/>
      <c r="EE80" s="348">
        <f t="shared" si="324"/>
        <v>48811.75</v>
      </c>
      <c r="EF80" s="348">
        <f t="shared" si="325"/>
        <v>21629.966699999997</v>
      </c>
      <c r="EG80" s="348">
        <f t="shared" si="326"/>
        <v>7463.7147118000012</v>
      </c>
      <c r="EH80" s="348">
        <f t="shared" si="327"/>
        <v>7000.5490757999996</v>
      </c>
      <c r="EI80" s="354">
        <f t="shared" si="239"/>
        <v>0.6929381094995376</v>
      </c>
      <c r="EJ80" s="326"/>
      <c r="EK80" s="348">
        <f t="shared" si="328"/>
        <v>7463.7147118000012</v>
      </c>
      <c r="EL80" s="348">
        <f t="shared" si="329"/>
        <v>7000.5490757999996</v>
      </c>
      <c r="EM80" s="348">
        <f t="shared" si="330"/>
        <v>7463.7147118000012</v>
      </c>
      <c r="EN80" s="348">
        <f t="shared" si="331"/>
        <v>7000.5490757999996</v>
      </c>
      <c r="EP80" s="326"/>
      <c r="EQ80" s="326"/>
      <c r="ER80" s="326"/>
      <c r="ES80" s="348">
        <f t="shared" si="240"/>
        <v>41667.035000000003</v>
      </c>
      <c r="ET80" s="348">
        <f t="shared" si="241"/>
        <v>17523.758399999999</v>
      </c>
      <c r="EU80" s="348">
        <f t="shared" si="242"/>
        <v>6502.5519786999994</v>
      </c>
      <c r="EV80" s="348">
        <f t="shared" si="243"/>
        <v>6088.8033132</v>
      </c>
      <c r="EW80" s="354">
        <f t="shared" si="244"/>
        <v>0.70394452594041423</v>
      </c>
      <c r="EX80" s="326"/>
      <c r="EY80" s="348">
        <f t="shared" si="245"/>
        <v>6502.5519786999994</v>
      </c>
      <c r="EZ80" s="348">
        <f t="shared" si="246"/>
        <v>6088.8033132</v>
      </c>
      <c r="FA80" s="348">
        <f t="shared" si="247"/>
        <v>6502.5519786999994</v>
      </c>
      <c r="FB80" s="348">
        <f t="shared" si="248"/>
        <v>6088.8033132</v>
      </c>
      <c r="FD80" s="326"/>
      <c r="FE80" s="326"/>
      <c r="FF80" s="326"/>
      <c r="FG80" s="348">
        <f t="shared" si="249"/>
        <v>33377.749100000001</v>
      </c>
      <c r="FH80" s="348">
        <f t="shared" si="250"/>
        <v>13795.4699</v>
      </c>
      <c r="FI80" s="348">
        <f t="shared" si="251"/>
        <v>5028.6606062000001</v>
      </c>
      <c r="FJ80" s="348">
        <f t="shared" si="252"/>
        <v>4772.1426902000003</v>
      </c>
      <c r="FK80" s="354">
        <f t="shared" si="253"/>
        <v>0.70755716500923971</v>
      </c>
      <c r="FL80" s="326"/>
      <c r="FM80" s="348">
        <f t="shared" si="254"/>
        <v>5028.6606062000001</v>
      </c>
      <c r="FN80" s="348">
        <f t="shared" si="255"/>
        <v>4772.1426902000003</v>
      </c>
      <c r="FO80" s="348">
        <f t="shared" si="256"/>
        <v>5028.6606062000001</v>
      </c>
      <c r="FP80" s="348">
        <f t="shared" si="257"/>
        <v>4772.1426902000003</v>
      </c>
      <c r="FR80" s="326"/>
      <c r="FS80" s="326"/>
      <c r="FT80" s="326"/>
      <c r="FU80" s="348">
        <f t="shared" si="258"/>
        <v>33744.068299999999</v>
      </c>
      <c r="FV80" s="348">
        <f t="shared" si="259"/>
        <v>14260.827499999999</v>
      </c>
      <c r="FW80" s="348">
        <f t="shared" si="260"/>
        <v>813.04231179999999</v>
      </c>
      <c r="FX80" s="348">
        <f t="shared" si="261"/>
        <v>871.41359880000005</v>
      </c>
      <c r="FY80" s="354">
        <f t="shared" si="262"/>
        <v>0.70292972701338519</v>
      </c>
      <c r="FZ80" s="326"/>
      <c r="GA80" s="348">
        <f t="shared" si="263"/>
        <v>813.04231179999999</v>
      </c>
      <c r="GB80" s="348">
        <f t="shared" si="264"/>
        <v>871.41359880000005</v>
      </c>
      <c r="GC80" s="348">
        <f t="shared" si="265"/>
        <v>813.04231179999999</v>
      </c>
      <c r="GD80" s="348">
        <f t="shared" si="266"/>
        <v>871.41359880000005</v>
      </c>
      <c r="GF80" s="326"/>
      <c r="GG80" s="326"/>
      <c r="GH80" s="326"/>
      <c r="GI80" s="348">
        <f t="shared" si="267"/>
        <v>15234.447499999998</v>
      </c>
      <c r="GJ80" s="348">
        <f t="shared" si="268"/>
        <v>5912.9050000000007</v>
      </c>
      <c r="GK80" s="349">
        <f t="shared" si="269"/>
        <v>718.02713850000032</v>
      </c>
      <c r="GL80" s="349">
        <f t="shared" si="270"/>
        <v>656.37078674999998</v>
      </c>
      <c r="GM80" s="354">
        <f t="shared" si="271"/>
        <v>0.7203950234432418</v>
      </c>
      <c r="GN80" s="326"/>
      <c r="GO80" s="349">
        <f t="shared" si="272"/>
        <v>718.02713850000032</v>
      </c>
      <c r="GP80" s="349">
        <f t="shared" si="273"/>
        <v>656.37078674999998</v>
      </c>
      <c r="GQ80" s="349">
        <f t="shared" si="274"/>
        <v>718.02713850000032</v>
      </c>
      <c r="GR80" s="349">
        <f t="shared" si="275"/>
        <v>656.37078674999998</v>
      </c>
      <c r="HA80" s="374"/>
      <c r="HB80" s="375"/>
      <c r="HC80" s="374"/>
      <c r="HD80" s="374"/>
      <c r="HE80" s="374"/>
      <c r="HF80" s="351">
        <f t="shared" si="276"/>
        <v>0</v>
      </c>
      <c r="HG80" s="351">
        <f t="shared" si="277"/>
        <v>0</v>
      </c>
      <c r="HH80" s="352">
        <f t="shared" si="278"/>
        <v>0</v>
      </c>
      <c r="HI80" s="352">
        <f t="shared" si="332"/>
        <v>0</v>
      </c>
      <c r="HJ80" s="353">
        <f t="shared" si="333"/>
        <v>0</v>
      </c>
      <c r="HK80" s="353">
        <f t="shared" si="334"/>
        <v>0</v>
      </c>
    </row>
    <row r="81" spans="1:219" x14ac:dyDescent="0.2">
      <c r="A81" s="320">
        <v>71</v>
      </c>
      <c r="C81" s="350">
        <v>4.1536</v>
      </c>
      <c r="D81" s="350">
        <v>2.2189000000000001</v>
      </c>
      <c r="E81" s="350">
        <v>0</v>
      </c>
      <c r="F81" s="350">
        <v>4331.8208000000004</v>
      </c>
      <c r="G81" s="350">
        <v>2969.2557999999999</v>
      </c>
      <c r="H81" s="351">
        <f t="shared" si="212"/>
        <v>4054.3289600000003</v>
      </c>
      <c r="I81" s="351">
        <f t="shared" si="213"/>
        <v>4113.1527409999999</v>
      </c>
      <c r="J81" s="352">
        <f t="shared" si="214"/>
        <v>0</v>
      </c>
      <c r="K81" s="352">
        <f t="shared" si="279"/>
        <v>0</v>
      </c>
      <c r="L81" s="353">
        <f t="shared" si="280"/>
        <v>4054.3289600000003</v>
      </c>
      <c r="M81" s="353">
        <f t="shared" si="281"/>
        <v>4113.1527409999999</v>
      </c>
      <c r="N81" s="343">
        <f t="shared" si="282"/>
        <v>4054.3289600000003</v>
      </c>
      <c r="O81" s="343">
        <f t="shared" si="283"/>
        <v>4113.1527409999999</v>
      </c>
      <c r="Q81" s="374">
        <v>5.2804000000000002</v>
      </c>
      <c r="R81" s="375">
        <v>2.8250999999999999</v>
      </c>
      <c r="S81" s="374">
        <v>0</v>
      </c>
      <c r="T81" s="374">
        <v>2381.02</v>
      </c>
      <c r="U81" s="374">
        <v>937.14419999999996</v>
      </c>
      <c r="V81" s="351">
        <f t="shared" si="215"/>
        <v>3376.2877600000002</v>
      </c>
      <c r="W81" s="351">
        <f t="shared" si="216"/>
        <v>3394.0186380000005</v>
      </c>
      <c r="X81" s="352">
        <f t="shared" si="217"/>
        <v>0</v>
      </c>
      <c r="Y81" s="352">
        <f t="shared" si="284"/>
        <v>0</v>
      </c>
      <c r="Z81" s="353">
        <f t="shared" si="285"/>
        <v>3376.2877600000002</v>
      </c>
      <c r="AA81" s="353">
        <f t="shared" si="286"/>
        <v>3394.0186380000005</v>
      </c>
      <c r="AB81" s="343">
        <f t="shared" si="287"/>
        <v>3376.2877600000002</v>
      </c>
      <c r="AC81" s="343">
        <f t="shared" si="288"/>
        <v>3394.0186380000005</v>
      </c>
      <c r="AE81" s="374">
        <v>6.5753000000000004</v>
      </c>
      <c r="AF81" s="375">
        <v>3.0131000000000001</v>
      </c>
      <c r="AG81" s="374">
        <v>0</v>
      </c>
      <c r="AH81" s="374">
        <v>235.91499999999999</v>
      </c>
      <c r="AI81" s="374">
        <v>90.666700000000006</v>
      </c>
      <c r="AJ81" s="351">
        <f t="shared" si="218"/>
        <v>2818.042074</v>
      </c>
      <c r="AK81" s="351">
        <f t="shared" si="219"/>
        <v>2995.5637579999998</v>
      </c>
      <c r="AL81" s="352">
        <f t="shared" si="220"/>
        <v>0</v>
      </c>
      <c r="AM81" s="352">
        <f t="shared" si="289"/>
        <v>0</v>
      </c>
      <c r="AN81" s="353">
        <f t="shared" si="290"/>
        <v>2818.042074</v>
      </c>
      <c r="AO81" s="353">
        <f t="shared" si="291"/>
        <v>2995.5637579999998</v>
      </c>
      <c r="AP81" s="343">
        <f t="shared" si="292"/>
        <v>2818.042074</v>
      </c>
      <c r="AQ81" s="343">
        <f t="shared" si="293"/>
        <v>2995.5637579999998</v>
      </c>
      <c r="AS81" s="374">
        <v>8.6430000000000007</v>
      </c>
      <c r="AT81" s="375">
        <v>3.3694999999999999</v>
      </c>
      <c r="AU81" s="374">
        <v>0</v>
      </c>
      <c r="AV81" s="374">
        <v>8236.8282999999992</v>
      </c>
      <c r="AW81" s="374">
        <v>3592.8458000000001</v>
      </c>
      <c r="AX81" s="351">
        <f t="shared" si="221"/>
        <v>2944.4108100000003</v>
      </c>
      <c r="AY81" s="351">
        <f t="shared" si="222"/>
        <v>2301.7728400000001</v>
      </c>
      <c r="AZ81" s="352">
        <f t="shared" si="223"/>
        <v>0</v>
      </c>
      <c r="BA81" s="352">
        <f t="shared" si="294"/>
        <v>0</v>
      </c>
      <c r="BB81" s="353">
        <f t="shared" si="295"/>
        <v>2944.4108100000003</v>
      </c>
      <c r="BC81" s="353">
        <f t="shared" si="296"/>
        <v>2301.7728400000001</v>
      </c>
      <c r="BD81" s="343">
        <f t="shared" si="297"/>
        <v>2944.4108100000003</v>
      </c>
      <c r="BE81" s="343">
        <f t="shared" si="298"/>
        <v>2301.7728400000001</v>
      </c>
      <c r="BG81" s="374">
        <v>8.1983999999999995</v>
      </c>
      <c r="BH81" s="375">
        <v>3.7528000000000001</v>
      </c>
      <c r="BI81" s="374">
        <v>0</v>
      </c>
      <c r="BJ81" s="374">
        <v>4331.835</v>
      </c>
      <c r="BK81" s="374">
        <v>1900.4041999999999</v>
      </c>
      <c r="BL81" s="351">
        <f t="shared" si="224"/>
        <v>2744.5783679999995</v>
      </c>
      <c r="BM81" s="351">
        <f t="shared" si="225"/>
        <v>2198.8405760000001</v>
      </c>
      <c r="BN81" s="352">
        <f t="shared" si="226"/>
        <v>0</v>
      </c>
      <c r="BO81" s="352">
        <f t="shared" si="299"/>
        <v>0</v>
      </c>
      <c r="BP81" s="353">
        <f t="shared" si="300"/>
        <v>2744.5783679999995</v>
      </c>
      <c r="BQ81" s="353">
        <f t="shared" si="301"/>
        <v>2198.8405760000001</v>
      </c>
      <c r="BR81" s="343">
        <f t="shared" si="302"/>
        <v>2744.5783679999995</v>
      </c>
      <c r="BS81" s="343">
        <f t="shared" si="303"/>
        <v>2198.8405760000001</v>
      </c>
      <c r="BU81" s="374">
        <v>8.3030000000000008</v>
      </c>
      <c r="BV81" s="375">
        <v>3.5994000000000002</v>
      </c>
      <c r="BW81" s="374">
        <v>0</v>
      </c>
      <c r="BX81" s="374">
        <v>4547.1333000000004</v>
      </c>
      <c r="BY81" s="374">
        <v>1438.355</v>
      </c>
      <c r="BZ81" s="351">
        <f t="shared" si="227"/>
        <v>1927.2923600000001</v>
      </c>
      <c r="CA81" s="351">
        <f t="shared" si="228"/>
        <v>1374.502878</v>
      </c>
      <c r="CB81" s="352">
        <f t="shared" si="229"/>
        <v>0</v>
      </c>
      <c r="CC81" s="352">
        <f t="shared" si="304"/>
        <v>0</v>
      </c>
      <c r="CD81" s="353">
        <f t="shared" si="305"/>
        <v>1927.2923600000001</v>
      </c>
      <c r="CE81" s="353">
        <f t="shared" si="306"/>
        <v>1374.502878</v>
      </c>
      <c r="CF81" s="343">
        <f t="shared" si="307"/>
        <v>1927.2923600000001</v>
      </c>
      <c r="CG81" s="343">
        <f t="shared" si="308"/>
        <v>1374.502878</v>
      </c>
      <c r="CI81" s="374">
        <v>1.3754999999999999</v>
      </c>
      <c r="CJ81" s="375">
        <v>1.0750999999999999</v>
      </c>
      <c r="CK81" s="374">
        <v>0</v>
      </c>
      <c r="CL81" s="374">
        <v>19756.125800000002</v>
      </c>
      <c r="CM81" s="374">
        <v>8921.3592000000008</v>
      </c>
      <c r="CN81" s="351">
        <f t="shared" si="230"/>
        <v>292.335015</v>
      </c>
      <c r="CO81" s="351">
        <f t="shared" si="231"/>
        <v>296.13629499999996</v>
      </c>
      <c r="CP81" s="352">
        <f t="shared" si="232"/>
        <v>0</v>
      </c>
      <c r="CQ81" s="352">
        <f t="shared" si="309"/>
        <v>0</v>
      </c>
      <c r="CR81" s="353">
        <f t="shared" si="310"/>
        <v>292.335015</v>
      </c>
      <c r="CS81" s="353">
        <f t="shared" si="311"/>
        <v>296.13629499999996</v>
      </c>
      <c r="CT81" s="343">
        <f t="shared" si="312"/>
        <v>292.335015</v>
      </c>
      <c r="CU81" s="343">
        <f t="shared" si="313"/>
        <v>296.13629499999996</v>
      </c>
      <c r="CW81" s="374">
        <v>2.9211</v>
      </c>
      <c r="CX81" s="375">
        <v>2.3155000000000001</v>
      </c>
      <c r="CY81" s="374">
        <v>0</v>
      </c>
      <c r="CZ81" s="374">
        <v>8352.3866999999991</v>
      </c>
      <c r="DA81" s="374">
        <v>3660.9708000000001</v>
      </c>
      <c r="DB81" s="351">
        <f t="shared" si="233"/>
        <v>654.99825299999998</v>
      </c>
      <c r="DC81" s="351">
        <f t="shared" si="234"/>
        <v>719.51847000000009</v>
      </c>
      <c r="DD81" s="352">
        <f t="shared" si="235"/>
        <v>0</v>
      </c>
      <c r="DE81" s="352">
        <f t="shared" si="314"/>
        <v>0</v>
      </c>
      <c r="DF81" s="353">
        <f t="shared" si="315"/>
        <v>654.99825299999998</v>
      </c>
      <c r="DG81" s="353">
        <f t="shared" si="316"/>
        <v>719.51847000000009</v>
      </c>
      <c r="DH81" s="343">
        <f t="shared" si="317"/>
        <v>654.99825299999998</v>
      </c>
      <c r="DI81" s="343">
        <f t="shared" si="318"/>
        <v>719.51847000000009</v>
      </c>
      <c r="DK81" s="374">
        <v>3.0287999999999999</v>
      </c>
      <c r="DL81" s="375">
        <v>2.4043000000000001</v>
      </c>
      <c r="DM81" s="374">
        <v>0</v>
      </c>
      <c r="DN81" s="374">
        <v>3638.0583000000001</v>
      </c>
      <c r="DO81" s="374">
        <v>1618.42</v>
      </c>
      <c r="DP81" s="351">
        <f t="shared" si="236"/>
        <v>399.10497600000002</v>
      </c>
      <c r="DQ81" s="351">
        <f t="shared" si="237"/>
        <v>473.31049800000005</v>
      </c>
      <c r="DR81" s="352">
        <f t="shared" si="238"/>
        <v>0</v>
      </c>
      <c r="DS81" s="352">
        <f t="shared" si="319"/>
        <v>0</v>
      </c>
      <c r="DT81" s="353">
        <f t="shared" si="320"/>
        <v>399.10497600000002</v>
      </c>
      <c r="DU81" s="353">
        <f t="shared" si="321"/>
        <v>473.31049800000005</v>
      </c>
      <c r="DV81" s="343">
        <f t="shared" si="322"/>
        <v>399.10497600000002</v>
      </c>
      <c r="DW81" s="343">
        <f t="shared" si="323"/>
        <v>473.31049800000005</v>
      </c>
      <c r="EB81" s="326"/>
      <c r="EC81" s="326"/>
      <c r="ED81" s="326"/>
      <c r="EE81" s="348">
        <f t="shared" si="324"/>
        <v>40677.161599999999</v>
      </c>
      <c r="EF81" s="348">
        <f t="shared" si="325"/>
        <v>19144.4316</v>
      </c>
      <c r="EG81" s="348">
        <f t="shared" si="326"/>
        <v>7815.0733873999998</v>
      </c>
      <c r="EH81" s="348">
        <f t="shared" si="327"/>
        <v>7286.6766520000001</v>
      </c>
      <c r="EI81" s="354">
        <f t="shared" si="239"/>
        <v>0.67997456142642487</v>
      </c>
      <c r="EJ81" s="326"/>
      <c r="EK81" s="348">
        <f t="shared" si="328"/>
        <v>7815.0733873999998</v>
      </c>
      <c r="EL81" s="348">
        <f t="shared" si="329"/>
        <v>7286.6766520000001</v>
      </c>
      <c r="EM81" s="348">
        <f t="shared" si="330"/>
        <v>7815.0733873999998</v>
      </c>
      <c r="EN81" s="348">
        <f t="shared" si="331"/>
        <v>7286.6766520000001</v>
      </c>
      <c r="EP81" s="326"/>
      <c r="EQ81" s="326"/>
      <c r="ER81" s="326"/>
      <c r="ES81" s="348">
        <f t="shared" si="240"/>
        <v>34821.3675</v>
      </c>
      <c r="ET81" s="348">
        <f t="shared" si="241"/>
        <v>15419.878400000001</v>
      </c>
      <c r="EU81" s="348">
        <f t="shared" si="242"/>
        <v>6871.699920099999</v>
      </c>
      <c r="EV81" s="348">
        <f t="shared" si="243"/>
        <v>6392.6584380000004</v>
      </c>
      <c r="EW81" s="354">
        <f t="shared" si="244"/>
        <v>0.6930832800067962</v>
      </c>
      <c r="EX81" s="326"/>
      <c r="EY81" s="348">
        <f t="shared" si="245"/>
        <v>6871.699920099999</v>
      </c>
      <c r="EZ81" s="348">
        <f t="shared" si="246"/>
        <v>6392.6584380000004</v>
      </c>
      <c r="FA81" s="348">
        <f t="shared" si="247"/>
        <v>6871.699920099999</v>
      </c>
      <c r="FB81" s="348">
        <f t="shared" si="248"/>
        <v>6392.6584380000004</v>
      </c>
      <c r="FD81" s="326"/>
      <c r="FE81" s="326"/>
      <c r="FF81" s="326"/>
      <c r="FG81" s="348">
        <f t="shared" si="249"/>
        <v>28177.232400000004</v>
      </c>
      <c r="FH81" s="348">
        <f t="shared" si="250"/>
        <v>12068.8009</v>
      </c>
      <c r="FI81" s="348">
        <f t="shared" si="251"/>
        <v>5277.1324346000001</v>
      </c>
      <c r="FJ81" s="348">
        <f t="shared" si="252"/>
        <v>4950.1892298000002</v>
      </c>
      <c r="FK81" s="354">
        <f t="shared" si="253"/>
        <v>0.70012446170688836</v>
      </c>
      <c r="FL81" s="326"/>
      <c r="FM81" s="348">
        <f t="shared" si="254"/>
        <v>5277.1324346000001</v>
      </c>
      <c r="FN81" s="348">
        <f t="shared" si="255"/>
        <v>4950.1892298000002</v>
      </c>
      <c r="FO81" s="348">
        <f t="shared" si="256"/>
        <v>5277.1324346000001</v>
      </c>
      <c r="FP81" s="348">
        <f t="shared" si="257"/>
        <v>4950.1892298000002</v>
      </c>
      <c r="FR81" s="326"/>
      <c r="FS81" s="326"/>
      <c r="FT81" s="326"/>
      <c r="FU81" s="348">
        <f t="shared" si="258"/>
        <v>28108.512500000001</v>
      </c>
      <c r="FV81" s="348">
        <f t="shared" si="259"/>
        <v>12582.330000000002</v>
      </c>
      <c r="FW81" s="348">
        <f t="shared" si="260"/>
        <v>816.33361739999998</v>
      </c>
      <c r="FX81" s="348">
        <f t="shared" si="261"/>
        <v>871.75107100000014</v>
      </c>
      <c r="FY81" s="354">
        <f t="shared" si="262"/>
        <v>0.6907822687623143</v>
      </c>
      <c r="FZ81" s="326"/>
      <c r="GA81" s="348">
        <f t="shared" si="263"/>
        <v>816.33361739999998</v>
      </c>
      <c r="GB81" s="348">
        <f t="shared" si="264"/>
        <v>871.75107100000014</v>
      </c>
      <c r="GC81" s="348">
        <f t="shared" si="265"/>
        <v>816.33361739999998</v>
      </c>
      <c r="GD81" s="348">
        <f t="shared" si="266"/>
        <v>871.75107100000014</v>
      </c>
      <c r="GF81" s="326"/>
      <c r="GG81" s="326"/>
      <c r="GH81" s="326"/>
      <c r="GI81" s="348">
        <f t="shared" si="267"/>
        <v>12783.961599999999</v>
      </c>
      <c r="GJ81" s="348">
        <f t="shared" si="268"/>
        <v>5031.2008000000005</v>
      </c>
      <c r="GK81" s="349">
        <f t="shared" si="269"/>
        <v>762.83883750000018</v>
      </c>
      <c r="GL81" s="349">
        <f t="shared" si="270"/>
        <v>695.4524715</v>
      </c>
      <c r="GM81" s="354">
        <f t="shared" si="271"/>
        <v>0.71758883320648248</v>
      </c>
      <c r="GN81" s="326"/>
      <c r="GO81" s="349">
        <f t="shared" si="272"/>
        <v>762.83883750000018</v>
      </c>
      <c r="GP81" s="349">
        <f t="shared" si="273"/>
        <v>695.4524715</v>
      </c>
      <c r="GQ81" s="349">
        <f t="shared" si="274"/>
        <v>762.83883750000018</v>
      </c>
      <c r="GR81" s="349">
        <f t="shared" si="275"/>
        <v>695.4524715</v>
      </c>
      <c r="HA81" s="374"/>
      <c r="HB81" s="375"/>
      <c r="HC81" s="374"/>
      <c r="HD81" s="374"/>
      <c r="HE81" s="374"/>
      <c r="HF81" s="351">
        <f t="shared" si="276"/>
        <v>0</v>
      </c>
      <c r="HG81" s="351">
        <f t="shared" si="277"/>
        <v>0</v>
      </c>
      <c r="HH81" s="352">
        <f t="shared" si="278"/>
        <v>0</v>
      </c>
      <c r="HI81" s="352">
        <f t="shared" si="332"/>
        <v>0</v>
      </c>
      <c r="HJ81" s="353">
        <f t="shared" si="333"/>
        <v>0</v>
      </c>
      <c r="HK81" s="353">
        <f t="shared" si="334"/>
        <v>0</v>
      </c>
    </row>
    <row r="82" spans="1:219" x14ac:dyDescent="0.2">
      <c r="A82" s="320">
        <v>72</v>
      </c>
      <c r="C82" s="350">
        <v>4.3300999999999998</v>
      </c>
      <c r="D82" s="350">
        <v>2.2938000000000001</v>
      </c>
      <c r="E82" s="350">
        <v>0</v>
      </c>
      <c r="F82" s="350">
        <v>4634.8017</v>
      </c>
      <c r="G82" s="350">
        <v>3031.2982999999999</v>
      </c>
      <c r="H82" s="351">
        <f t="shared" si="212"/>
        <v>4226.6106099999997</v>
      </c>
      <c r="I82" s="351">
        <f t="shared" si="213"/>
        <v>4251.9941220000001</v>
      </c>
      <c r="J82" s="352">
        <f t="shared" si="214"/>
        <v>0</v>
      </c>
      <c r="K82" s="352">
        <f t="shared" si="279"/>
        <v>0</v>
      </c>
      <c r="L82" s="353">
        <f t="shared" si="280"/>
        <v>4226.6106099999997</v>
      </c>
      <c r="M82" s="353">
        <f t="shared" si="281"/>
        <v>4251.9941220000001</v>
      </c>
      <c r="N82" s="343">
        <f t="shared" si="282"/>
        <v>4226.6106099999997</v>
      </c>
      <c r="O82" s="343">
        <f t="shared" si="283"/>
        <v>4251.9941220000001</v>
      </c>
      <c r="Q82" s="374">
        <v>5.5976999999999997</v>
      </c>
      <c r="R82" s="375">
        <v>2.9539</v>
      </c>
      <c r="S82" s="374">
        <v>0</v>
      </c>
      <c r="T82" s="374">
        <v>2499.6516999999999</v>
      </c>
      <c r="U82" s="374">
        <v>995.64</v>
      </c>
      <c r="V82" s="351">
        <f t="shared" si="215"/>
        <v>3579.1693799999998</v>
      </c>
      <c r="W82" s="351">
        <f t="shared" si="216"/>
        <v>3548.7563820000005</v>
      </c>
      <c r="X82" s="352">
        <f t="shared" si="217"/>
        <v>0</v>
      </c>
      <c r="Y82" s="352">
        <f t="shared" si="284"/>
        <v>0</v>
      </c>
      <c r="Z82" s="353">
        <f t="shared" si="285"/>
        <v>3579.1693799999998</v>
      </c>
      <c r="AA82" s="353">
        <f t="shared" si="286"/>
        <v>3548.7563820000005</v>
      </c>
      <c r="AB82" s="343">
        <f t="shared" si="287"/>
        <v>3579.1693799999998</v>
      </c>
      <c r="AC82" s="343">
        <f t="shared" si="288"/>
        <v>3548.7563820000005</v>
      </c>
      <c r="AE82" s="374">
        <v>6.8818000000000001</v>
      </c>
      <c r="AF82" s="375">
        <v>3.101</v>
      </c>
      <c r="AG82" s="374">
        <v>0</v>
      </c>
      <c r="AH82" s="374">
        <v>242.85169999999999</v>
      </c>
      <c r="AI82" s="374">
        <v>92.413300000000007</v>
      </c>
      <c r="AJ82" s="351">
        <f t="shared" si="218"/>
        <v>2949.401844</v>
      </c>
      <c r="AK82" s="351">
        <f t="shared" si="219"/>
        <v>3082.9521799999998</v>
      </c>
      <c r="AL82" s="352">
        <f t="shared" si="220"/>
        <v>0</v>
      </c>
      <c r="AM82" s="352">
        <f t="shared" si="289"/>
        <v>0</v>
      </c>
      <c r="AN82" s="353">
        <f t="shared" si="290"/>
        <v>2949.401844</v>
      </c>
      <c r="AO82" s="353">
        <f t="shared" si="291"/>
        <v>3082.9521799999998</v>
      </c>
      <c r="AP82" s="343">
        <f t="shared" si="292"/>
        <v>2949.401844</v>
      </c>
      <c r="AQ82" s="343">
        <f t="shared" si="293"/>
        <v>3082.9521799999998</v>
      </c>
      <c r="AS82" s="374">
        <v>9.1921999999999997</v>
      </c>
      <c r="AT82" s="375">
        <v>3.5968</v>
      </c>
      <c r="AU82" s="374">
        <v>0</v>
      </c>
      <c r="AV82" s="374">
        <v>8989.5741999999991</v>
      </c>
      <c r="AW82" s="374">
        <v>3969.8108000000002</v>
      </c>
      <c r="AX82" s="351">
        <f t="shared" si="221"/>
        <v>3131.506774</v>
      </c>
      <c r="AY82" s="351">
        <f t="shared" si="222"/>
        <v>2457.0460160000002</v>
      </c>
      <c r="AZ82" s="352">
        <f t="shared" si="223"/>
        <v>0</v>
      </c>
      <c r="BA82" s="352">
        <f t="shared" si="294"/>
        <v>0</v>
      </c>
      <c r="BB82" s="353">
        <f t="shared" si="295"/>
        <v>3131.506774</v>
      </c>
      <c r="BC82" s="353">
        <f t="shared" si="296"/>
        <v>2457.0460160000002</v>
      </c>
      <c r="BD82" s="343">
        <f t="shared" si="297"/>
        <v>3131.506774</v>
      </c>
      <c r="BE82" s="343">
        <f t="shared" si="298"/>
        <v>2457.0460160000002</v>
      </c>
      <c r="BG82" s="374">
        <v>8.7260000000000009</v>
      </c>
      <c r="BH82" s="375">
        <v>4.0071000000000003</v>
      </c>
      <c r="BI82" s="374">
        <v>0</v>
      </c>
      <c r="BJ82" s="374">
        <v>4581.6017000000002</v>
      </c>
      <c r="BK82" s="374">
        <v>1985.0425</v>
      </c>
      <c r="BL82" s="351">
        <f t="shared" si="224"/>
        <v>2921.2030199999999</v>
      </c>
      <c r="BM82" s="351">
        <f t="shared" si="225"/>
        <v>2347.8400320000001</v>
      </c>
      <c r="BN82" s="352">
        <f t="shared" si="226"/>
        <v>0</v>
      </c>
      <c r="BO82" s="352">
        <f t="shared" si="299"/>
        <v>0</v>
      </c>
      <c r="BP82" s="353">
        <f t="shared" si="300"/>
        <v>2921.2030199999999</v>
      </c>
      <c r="BQ82" s="353">
        <f t="shared" si="301"/>
        <v>2347.8400320000001</v>
      </c>
      <c r="BR82" s="343">
        <f t="shared" si="302"/>
        <v>2921.2030199999999</v>
      </c>
      <c r="BS82" s="343">
        <f t="shared" si="303"/>
        <v>2347.8400320000001</v>
      </c>
      <c r="BU82" s="374">
        <v>8.8475999999999999</v>
      </c>
      <c r="BV82" s="375">
        <v>3.8569</v>
      </c>
      <c r="BW82" s="374">
        <v>0</v>
      </c>
      <c r="BX82" s="374">
        <v>4783.0541999999996</v>
      </c>
      <c r="BY82" s="374">
        <v>1407.2557999999999</v>
      </c>
      <c r="BZ82" s="351">
        <f t="shared" si="227"/>
        <v>2053.7049120000001</v>
      </c>
      <c r="CA82" s="351">
        <f t="shared" si="228"/>
        <v>1472.8344030000001</v>
      </c>
      <c r="CB82" s="352">
        <f t="shared" si="229"/>
        <v>0</v>
      </c>
      <c r="CC82" s="352">
        <f t="shared" si="304"/>
        <v>0</v>
      </c>
      <c r="CD82" s="353">
        <f t="shared" si="305"/>
        <v>2053.7049120000001</v>
      </c>
      <c r="CE82" s="353">
        <f t="shared" si="306"/>
        <v>1472.8344030000001</v>
      </c>
      <c r="CF82" s="343">
        <f t="shared" si="307"/>
        <v>2053.7049120000001</v>
      </c>
      <c r="CG82" s="343">
        <f t="shared" si="308"/>
        <v>1472.8344030000001</v>
      </c>
      <c r="CI82" s="374">
        <v>1.3736999999999999</v>
      </c>
      <c r="CJ82" s="375">
        <v>1.0586</v>
      </c>
      <c r="CK82" s="374">
        <v>0</v>
      </c>
      <c r="CL82" s="374">
        <v>21162.3842</v>
      </c>
      <c r="CM82" s="374">
        <v>9466.6458000000002</v>
      </c>
      <c r="CN82" s="351">
        <f t="shared" si="230"/>
        <v>291.95246099999997</v>
      </c>
      <c r="CO82" s="351">
        <f t="shared" si="231"/>
        <v>291.59136999999998</v>
      </c>
      <c r="CP82" s="352">
        <f t="shared" si="232"/>
        <v>0</v>
      </c>
      <c r="CQ82" s="352">
        <f t="shared" si="309"/>
        <v>0</v>
      </c>
      <c r="CR82" s="353">
        <f t="shared" si="310"/>
        <v>291.95246099999997</v>
      </c>
      <c r="CS82" s="353">
        <f t="shared" si="311"/>
        <v>291.59136999999998</v>
      </c>
      <c r="CT82" s="343">
        <f t="shared" si="312"/>
        <v>291.95246099999997</v>
      </c>
      <c r="CU82" s="343">
        <f t="shared" si="313"/>
        <v>291.59136999999998</v>
      </c>
      <c r="CW82" s="374">
        <v>2.9323999999999999</v>
      </c>
      <c r="CX82" s="375">
        <v>2.3214999999999999</v>
      </c>
      <c r="CY82" s="374">
        <v>0</v>
      </c>
      <c r="CZ82" s="374">
        <v>8880.7908000000007</v>
      </c>
      <c r="DA82" s="374">
        <v>3930.5450000000001</v>
      </c>
      <c r="DB82" s="351">
        <f t="shared" si="233"/>
        <v>657.53205199999991</v>
      </c>
      <c r="DC82" s="351">
        <f t="shared" si="234"/>
        <v>721.38291000000004</v>
      </c>
      <c r="DD82" s="352">
        <f t="shared" si="235"/>
        <v>0</v>
      </c>
      <c r="DE82" s="352">
        <f t="shared" si="314"/>
        <v>0</v>
      </c>
      <c r="DF82" s="353">
        <f t="shared" si="315"/>
        <v>657.53205199999991</v>
      </c>
      <c r="DG82" s="353">
        <f t="shared" si="316"/>
        <v>721.38291000000004</v>
      </c>
      <c r="DH82" s="343">
        <f t="shared" si="317"/>
        <v>657.53205199999991</v>
      </c>
      <c r="DI82" s="343">
        <f t="shared" si="318"/>
        <v>721.38291000000004</v>
      </c>
      <c r="DK82" s="374">
        <v>3.0975000000000001</v>
      </c>
      <c r="DL82" s="375">
        <v>2.4382000000000001</v>
      </c>
      <c r="DM82" s="374">
        <v>0</v>
      </c>
      <c r="DN82" s="374">
        <v>3896.9724999999999</v>
      </c>
      <c r="DO82" s="374">
        <v>1704.3167000000001</v>
      </c>
      <c r="DP82" s="351">
        <f t="shared" si="236"/>
        <v>408.15757500000007</v>
      </c>
      <c r="DQ82" s="351">
        <f t="shared" si="237"/>
        <v>479.98405200000008</v>
      </c>
      <c r="DR82" s="352">
        <f t="shared" si="238"/>
        <v>0</v>
      </c>
      <c r="DS82" s="352">
        <f t="shared" si="319"/>
        <v>0</v>
      </c>
      <c r="DT82" s="353">
        <f t="shared" si="320"/>
        <v>408.15757500000007</v>
      </c>
      <c r="DU82" s="353">
        <f t="shared" si="321"/>
        <v>479.98405200000008</v>
      </c>
      <c r="DV82" s="343">
        <f t="shared" si="322"/>
        <v>408.15757500000007</v>
      </c>
      <c r="DW82" s="343">
        <f t="shared" si="323"/>
        <v>479.98405200000008</v>
      </c>
      <c r="EB82" s="326"/>
      <c r="EC82" s="326"/>
      <c r="ED82" s="326"/>
      <c r="EE82" s="348">
        <f t="shared" si="324"/>
        <v>43667.550900000002</v>
      </c>
      <c r="EF82" s="348">
        <f t="shared" si="325"/>
        <v>20398.299899999998</v>
      </c>
      <c r="EG82" s="348">
        <f t="shared" si="326"/>
        <v>8176.0954865999993</v>
      </c>
      <c r="EH82" s="348">
        <f t="shared" si="327"/>
        <v>7577.7378360000002</v>
      </c>
      <c r="EI82" s="354">
        <f t="shared" si="239"/>
        <v>0.6816041675044765</v>
      </c>
      <c r="EJ82" s="326"/>
      <c r="EK82" s="348">
        <f t="shared" si="328"/>
        <v>8176.0954865999993</v>
      </c>
      <c r="EL82" s="348">
        <f t="shared" si="329"/>
        <v>7577.7378360000002</v>
      </c>
      <c r="EM82" s="348">
        <f t="shared" si="330"/>
        <v>8176.0954865999993</v>
      </c>
      <c r="EN82" s="348">
        <f t="shared" si="331"/>
        <v>7577.7378360000002</v>
      </c>
      <c r="EP82" s="326"/>
      <c r="EQ82" s="326"/>
      <c r="ER82" s="326"/>
      <c r="ES82" s="348">
        <f t="shared" si="240"/>
        <v>37124.428400000004</v>
      </c>
      <c r="ET82" s="348">
        <f t="shared" si="241"/>
        <v>16377.873300000001</v>
      </c>
      <c r="EU82" s="348">
        <f t="shared" si="242"/>
        <v>7252.5972973999997</v>
      </c>
      <c r="EV82" s="348">
        <f t="shared" si="243"/>
        <v>6693.1558210000003</v>
      </c>
      <c r="EW82" s="354">
        <f t="shared" si="244"/>
        <v>0.69388469692697352</v>
      </c>
      <c r="EX82" s="326"/>
      <c r="EY82" s="348">
        <f t="shared" si="245"/>
        <v>7252.5972973999997</v>
      </c>
      <c r="EZ82" s="348">
        <f t="shared" si="246"/>
        <v>6693.1558210000003</v>
      </c>
      <c r="FA82" s="348">
        <f t="shared" si="247"/>
        <v>7252.5972973999997</v>
      </c>
      <c r="FB82" s="348">
        <f t="shared" si="248"/>
        <v>6693.1558210000003</v>
      </c>
      <c r="FD82" s="326"/>
      <c r="FE82" s="326"/>
      <c r="FF82" s="326"/>
      <c r="FG82" s="348">
        <f t="shared" si="249"/>
        <v>30085.262599999998</v>
      </c>
      <c r="FH82" s="348">
        <f t="shared" si="250"/>
        <v>12670.631599999999</v>
      </c>
      <c r="FI82" s="348">
        <f t="shared" si="251"/>
        <v>5539.9537620000001</v>
      </c>
      <c r="FJ82" s="348">
        <f t="shared" si="252"/>
        <v>5135.3683842</v>
      </c>
      <c r="FK82" s="354">
        <f t="shared" si="253"/>
        <v>0.70365181603429083</v>
      </c>
      <c r="FL82" s="326"/>
      <c r="FM82" s="348">
        <f t="shared" si="254"/>
        <v>5539.9537620000001</v>
      </c>
      <c r="FN82" s="348">
        <f t="shared" si="255"/>
        <v>5135.3683842</v>
      </c>
      <c r="FO82" s="348">
        <f t="shared" si="256"/>
        <v>5539.9537620000001</v>
      </c>
      <c r="FP82" s="348">
        <f t="shared" si="257"/>
        <v>5135.3683842</v>
      </c>
      <c r="FR82" s="326"/>
      <c r="FS82" s="326"/>
      <c r="FT82" s="326"/>
      <c r="FU82" s="348">
        <f t="shared" si="258"/>
        <v>30043.175000000003</v>
      </c>
      <c r="FV82" s="348">
        <f t="shared" si="259"/>
        <v>13397.1908</v>
      </c>
      <c r="FW82" s="348">
        <f t="shared" si="260"/>
        <v>817.97810259999994</v>
      </c>
      <c r="FX82" s="348">
        <f t="shared" si="261"/>
        <v>868.69769800000006</v>
      </c>
      <c r="FY82" s="354">
        <f t="shared" si="262"/>
        <v>0.69159581064117104</v>
      </c>
      <c r="FZ82" s="326"/>
      <c r="GA82" s="348">
        <f t="shared" si="263"/>
        <v>817.97810259999994</v>
      </c>
      <c r="GB82" s="348">
        <f t="shared" si="264"/>
        <v>868.69769800000006</v>
      </c>
      <c r="GC82" s="348">
        <f t="shared" si="265"/>
        <v>817.97810259999994</v>
      </c>
      <c r="GD82" s="348">
        <f t="shared" si="266"/>
        <v>868.69769800000006</v>
      </c>
      <c r="GF82" s="326"/>
      <c r="GG82" s="326"/>
      <c r="GH82" s="326"/>
      <c r="GI82" s="348">
        <f t="shared" si="267"/>
        <v>13772.628399999998</v>
      </c>
      <c r="GJ82" s="348">
        <f t="shared" si="268"/>
        <v>5377.0666000000001</v>
      </c>
      <c r="GK82" s="349">
        <f t="shared" si="269"/>
        <v>808.35139649999985</v>
      </c>
      <c r="GL82" s="349">
        <f t="shared" si="270"/>
        <v>738.15870975000007</v>
      </c>
      <c r="GM82" s="354">
        <f t="shared" si="271"/>
        <v>0.71920876024396196</v>
      </c>
      <c r="GN82" s="326"/>
      <c r="GO82" s="349">
        <f t="shared" si="272"/>
        <v>808.35139649999985</v>
      </c>
      <c r="GP82" s="349">
        <f t="shared" si="273"/>
        <v>738.15870975000007</v>
      </c>
      <c r="GQ82" s="349">
        <f t="shared" si="274"/>
        <v>808.35139649999985</v>
      </c>
      <c r="GR82" s="349">
        <f t="shared" si="275"/>
        <v>738.15870975000007</v>
      </c>
      <c r="HA82" s="374"/>
      <c r="HB82" s="375"/>
      <c r="HC82" s="374"/>
      <c r="HD82" s="374"/>
      <c r="HE82" s="374"/>
      <c r="HF82" s="351">
        <f t="shared" si="276"/>
        <v>0</v>
      </c>
      <c r="HG82" s="351">
        <f t="shared" si="277"/>
        <v>0</v>
      </c>
      <c r="HH82" s="352">
        <f t="shared" si="278"/>
        <v>0</v>
      </c>
      <c r="HI82" s="352">
        <f t="shared" si="332"/>
        <v>0</v>
      </c>
      <c r="HJ82" s="353">
        <f t="shared" si="333"/>
        <v>0</v>
      </c>
      <c r="HK82" s="353">
        <f t="shared" si="334"/>
        <v>0</v>
      </c>
    </row>
    <row r="83" spans="1:219" x14ac:dyDescent="0.2">
      <c r="A83" s="320">
        <v>73</v>
      </c>
      <c r="C83" s="350">
        <v>4.5065999999999997</v>
      </c>
      <c r="D83" s="350">
        <v>2.3679999999999999</v>
      </c>
      <c r="E83" s="350">
        <v>0</v>
      </c>
      <c r="F83" s="350">
        <v>4201.1832999999997</v>
      </c>
      <c r="G83" s="350">
        <v>2762.8058000000001</v>
      </c>
      <c r="H83" s="351">
        <f t="shared" si="212"/>
        <v>4398.8922599999996</v>
      </c>
      <c r="I83" s="351">
        <f t="shared" si="213"/>
        <v>4389.5379199999998</v>
      </c>
      <c r="J83" s="352">
        <f t="shared" si="214"/>
        <v>0</v>
      </c>
      <c r="K83" s="352">
        <f t="shared" si="279"/>
        <v>0</v>
      </c>
      <c r="L83" s="353">
        <f t="shared" si="280"/>
        <v>4398.8922599999996</v>
      </c>
      <c r="M83" s="353">
        <f t="shared" si="281"/>
        <v>4389.5379199999998</v>
      </c>
      <c r="N83" s="343">
        <f t="shared" si="282"/>
        <v>4398.8922599999996</v>
      </c>
      <c r="O83" s="343">
        <f t="shared" si="283"/>
        <v>4389.5379199999998</v>
      </c>
      <c r="Q83" s="374">
        <v>5.9298999999999999</v>
      </c>
      <c r="R83" s="375">
        <v>3.0823999999999998</v>
      </c>
      <c r="S83" s="374">
        <v>0</v>
      </c>
      <c r="T83" s="374">
        <v>2289.6532999999999</v>
      </c>
      <c r="U83" s="374">
        <v>914.54920000000004</v>
      </c>
      <c r="V83" s="351">
        <f t="shared" si="215"/>
        <v>3791.5780599999998</v>
      </c>
      <c r="W83" s="351">
        <f t="shared" si="216"/>
        <v>3703.1337120000003</v>
      </c>
      <c r="X83" s="352">
        <f t="shared" si="217"/>
        <v>0</v>
      </c>
      <c r="Y83" s="352">
        <f t="shared" si="284"/>
        <v>0</v>
      </c>
      <c r="Z83" s="353">
        <f t="shared" si="285"/>
        <v>3791.5780599999998</v>
      </c>
      <c r="AA83" s="353">
        <f t="shared" si="286"/>
        <v>3703.1337120000003</v>
      </c>
      <c r="AB83" s="343">
        <f t="shared" si="287"/>
        <v>3791.5780599999998</v>
      </c>
      <c r="AC83" s="343">
        <f t="shared" si="288"/>
        <v>3703.1337120000003</v>
      </c>
      <c r="AE83" s="374">
        <v>7.2016999999999998</v>
      </c>
      <c r="AF83" s="375">
        <v>3.1972999999999998</v>
      </c>
      <c r="AG83" s="374">
        <v>0</v>
      </c>
      <c r="AH83" s="374">
        <v>256.65499999999997</v>
      </c>
      <c r="AI83" s="374">
        <v>110.08329999999999</v>
      </c>
      <c r="AJ83" s="351">
        <f t="shared" si="218"/>
        <v>3086.5045859999996</v>
      </c>
      <c r="AK83" s="351">
        <f t="shared" si="219"/>
        <v>3178.6917139999996</v>
      </c>
      <c r="AL83" s="352">
        <f t="shared" si="220"/>
        <v>0</v>
      </c>
      <c r="AM83" s="352">
        <f t="shared" si="289"/>
        <v>0</v>
      </c>
      <c r="AN83" s="353">
        <f t="shared" si="290"/>
        <v>3086.5045859999996</v>
      </c>
      <c r="AO83" s="353">
        <f t="shared" si="291"/>
        <v>3178.6917139999996</v>
      </c>
      <c r="AP83" s="343">
        <f t="shared" si="292"/>
        <v>3086.5045859999996</v>
      </c>
      <c r="AQ83" s="343">
        <f t="shared" si="293"/>
        <v>3178.6917139999996</v>
      </c>
      <c r="AS83" s="374">
        <v>9.7764000000000006</v>
      </c>
      <c r="AT83" s="375">
        <v>3.8334000000000001</v>
      </c>
      <c r="AU83" s="374">
        <v>0</v>
      </c>
      <c r="AV83" s="374">
        <v>8052.7950000000001</v>
      </c>
      <c r="AW83" s="374">
        <v>3635.0417000000002</v>
      </c>
      <c r="AX83" s="351">
        <f t="shared" si="221"/>
        <v>3330.5261880000003</v>
      </c>
      <c r="AY83" s="351">
        <f t="shared" si="222"/>
        <v>2618.672208</v>
      </c>
      <c r="AZ83" s="352">
        <f t="shared" si="223"/>
        <v>0</v>
      </c>
      <c r="BA83" s="352">
        <f t="shared" si="294"/>
        <v>0</v>
      </c>
      <c r="BB83" s="353">
        <f t="shared" si="295"/>
        <v>3330.5261880000003</v>
      </c>
      <c r="BC83" s="353">
        <f t="shared" si="296"/>
        <v>2618.672208</v>
      </c>
      <c r="BD83" s="343">
        <f t="shared" si="297"/>
        <v>3330.5261880000003</v>
      </c>
      <c r="BE83" s="343">
        <f t="shared" si="298"/>
        <v>2618.672208</v>
      </c>
      <c r="BG83" s="374">
        <v>9.2723999999999993</v>
      </c>
      <c r="BH83" s="375">
        <v>4.2742000000000004</v>
      </c>
      <c r="BI83" s="374">
        <v>0</v>
      </c>
      <c r="BJ83" s="374">
        <v>4095.5066999999999</v>
      </c>
      <c r="BK83" s="374">
        <v>1845.2325000000001</v>
      </c>
      <c r="BL83" s="351">
        <f t="shared" si="224"/>
        <v>3104.1213479999997</v>
      </c>
      <c r="BM83" s="351">
        <f t="shared" si="225"/>
        <v>2504.3392640000002</v>
      </c>
      <c r="BN83" s="352">
        <f t="shared" si="226"/>
        <v>0</v>
      </c>
      <c r="BO83" s="352">
        <f t="shared" si="299"/>
        <v>0</v>
      </c>
      <c r="BP83" s="353">
        <f t="shared" si="300"/>
        <v>3104.1213479999997</v>
      </c>
      <c r="BQ83" s="353">
        <f t="shared" si="301"/>
        <v>2504.3392640000002</v>
      </c>
      <c r="BR83" s="343">
        <f t="shared" si="302"/>
        <v>3104.1213479999997</v>
      </c>
      <c r="BS83" s="343">
        <f t="shared" si="303"/>
        <v>2504.3392640000002</v>
      </c>
      <c r="BU83" s="374">
        <v>9.4548000000000005</v>
      </c>
      <c r="BV83" s="375">
        <v>4.1254</v>
      </c>
      <c r="BW83" s="374">
        <v>0</v>
      </c>
      <c r="BX83" s="374">
        <v>4261.1082999999999</v>
      </c>
      <c r="BY83" s="374">
        <v>1359.58</v>
      </c>
      <c r="BZ83" s="351">
        <f t="shared" si="227"/>
        <v>2194.6481760000001</v>
      </c>
      <c r="CA83" s="351">
        <f t="shared" si="228"/>
        <v>1575.3664980000001</v>
      </c>
      <c r="CB83" s="352">
        <f t="shared" si="229"/>
        <v>0</v>
      </c>
      <c r="CC83" s="352">
        <f t="shared" si="304"/>
        <v>0</v>
      </c>
      <c r="CD83" s="353">
        <f t="shared" si="305"/>
        <v>2194.6481760000001</v>
      </c>
      <c r="CE83" s="353">
        <f t="shared" si="306"/>
        <v>1575.3664980000001</v>
      </c>
      <c r="CF83" s="343">
        <f t="shared" si="307"/>
        <v>2194.6481760000001</v>
      </c>
      <c r="CG83" s="343">
        <f t="shared" si="308"/>
        <v>1575.3664980000001</v>
      </c>
      <c r="CI83" s="374">
        <v>1.3681000000000001</v>
      </c>
      <c r="CJ83" s="375">
        <v>1.0367</v>
      </c>
      <c r="CK83" s="374">
        <v>0</v>
      </c>
      <c r="CL83" s="374">
        <v>19173.5442</v>
      </c>
      <c r="CM83" s="374">
        <v>8890.0450000000001</v>
      </c>
      <c r="CN83" s="351">
        <f t="shared" si="230"/>
        <v>290.762293</v>
      </c>
      <c r="CO83" s="351">
        <f t="shared" si="231"/>
        <v>285.55901499999999</v>
      </c>
      <c r="CP83" s="352">
        <f t="shared" si="232"/>
        <v>0</v>
      </c>
      <c r="CQ83" s="352">
        <f t="shared" si="309"/>
        <v>0</v>
      </c>
      <c r="CR83" s="353">
        <f t="shared" si="310"/>
        <v>290.762293</v>
      </c>
      <c r="CS83" s="353">
        <f t="shared" si="311"/>
        <v>285.55901499999999</v>
      </c>
      <c r="CT83" s="343">
        <f t="shared" si="312"/>
        <v>290.762293</v>
      </c>
      <c r="CU83" s="343">
        <f t="shared" si="313"/>
        <v>285.55901499999999</v>
      </c>
      <c r="CW83" s="374">
        <v>2.9363000000000001</v>
      </c>
      <c r="CX83" s="375">
        <v>2.3186</v>
      </c>
      <c r="CY83" s="374">
        <v>0</v>
      </c>
      <c r="CZ83" s="374">
        <v>8194.8066999999992</v>
      </c>
      <c r="DA83" s="374">
        <v>3561.0491999999999</v>
      </c>
      <c r="DB83" s="351">
        <f t="shared" si="233"/>
        <v>658.40654900000004</v>
      </c>
      <c r="DC83" s="351">
        <f t="shared" si="234"/>
        <v>720.481764</v>
      </c>
      <c r="DD83" s="352">
        <f t="shared" si="235"/>
        <v>0</v>
      </c>
      <c r="DE83" s="352">
        <f t="shared" si="314"/>
        <v>0</v>
      </c>
      <c r="DF83" s="353">
        <f t="shared" si="315"/>
        <v>658.40654900000004</v>
      </c>
      <c r="DG83" s="353">
        <f t="shared" si="316"/>
        <v>720.481764</v>
      </c>
      <c r="DH83" s="343">
        <f t="shared" si="317"/>
        <v>658.40654900000004</v>
      </c>
      <c r="DI83" s="343">
        <f t="shared" si="318"/>
        <v>720.481764</v>
      </c>
      <c r="DK83" s="374">
        <v>3.1631</v>
      </c>
      <c r="DL83" s="375">
        <v>2.4592999999999998</v>
      </c>
      <c r="DM83" s="374">
        <v>0</v>
      </c>
      <c r="DN83" s="374">
        <v>3512.9450000000002</v>
      </c>
      <c r="DO83" s="374">
        <v>1624.9032999999999</v>
      </c>
      <c r="DP83" s="351">
        <f t="shared" si="236"/>
        <v>416.80168700000002</v>
      </c>
      <c r="DQ83" s="351">
        <f t="shared" si="237"/>
        <v>484.13779799999998</v>
      </c>
      <c r="DR83" s="352">
        <f t="shared" si="238"/>
        <v>0</v>
      </c>
      <c r="DS83" s="352">
        <f t="shared" si="319"/>
        <v>0</v>
      </c>
      <c r="DT83" s="353">
        <f t="shared" si="320"/>
        <v>416.80168700000002</v>
      </c>
      <c r="DU83" s="353">
        <f t="shared" si="321"/>
        <v>484.13779799999998</v>
      </c>
      <c r="DV83" s="343">
        <f t="shared" si="322"/>
        <v>416.80168700000002</v>
      </c>
      <c r="DW83" s="343">
        <f t="shared" si="323"/>
        <v>484.13779799999998</v>
      </c>
      <c r="EB83" s="326"/>
      <c r="EC83" s="326"/>
      <c r="ED83" s="326"/>
      <c r="EE83" s="348">
        <f t="shared" si="324"/>
        <v>39622.3292</v>
      </c>
      <c r="EF83" s="348">
        <f t="shared" si="325"/>
        <v>18848.941699999999</v>
      </c>
      <c r="EG83" s="348">
        <f t="shared" si="326"/>
        <v>8546.9059802000011</v>
      </c>
      <c r="EH83" s="348">
        <f t="shared" si="327"/>
        <v>7870.1545541999994</v>
      </c>
      <c r="EI83" s="354">
        <f t="shared" si="239"/>
        <v>0.67763755755820243</v>
      </c>
      <c r="EJ83" s="326"/>
      <c r="EK83" s="348">
        <f t="shared" si="328"/>
        <v>8546.9059802000011</v>
      </c>
      <c r="EL83" s="348">
        <f t="shared" si="329"/>
        <v>7870.1545541999994</v>
      </c>
      <c r="EM83" s="348">
        <f t="shared" si="330"/>
        <v>8546.9059802000011</v>
      </c>
      <c r="EN83" s="348">
        <f t="shared" si="331"/>
        <v>7870.1545541999994</v>
      </c>
      <c r="EP83" s="326"/>
      <c r="EQ83" s="326"/>
      <c r="ER83" s="326"/>
      <c r="ES83" s="348">
        <f t="shared" si="240"/>
        <v>33753.510900000001</v>
      </c>
      <c r="ET83" s="348">
        <f t="shared" si="241"/>
        <v>15210.875899999999</v>
      </c>
      <c r="EU83" s="348">
        <f t="shared" si="242"/>
        <v>7647.3462852999992</v>
      </c>
      <c r="EV83" s="348">
        <f t="shared" si="243"/>
        <v>6997.369225800001</v>
      </c>
      <c r="EW83" s="354">
        <f t="shared" si="244"/>
        <v>0.68934817948133686</v>
      </c>
      <c r="EX83" s="326"/>
      <c r="EY83" s="348">
        <f t="shared" si="245"/>
        <v>7647.3462852999992</v>
      </c>
      <c r="EZ83" s="348">
        <f t="shared" si="246"/>
        <v>6997.369225800001</v>
      </c>
      <c r="FA83" s="348">
        <f t="shared" si="247"/>
        <v>7647.3462852999992</v>
      </c>
      <c r="FB83" s="348">
        <f t="shared" si="248"/>
        <v>6997.369225800001</v>
      </c>
      <c r="FD83" s="326"/>
      <c r="FE83" s="326"/>
      <c r="FF83" s="326"/>
      <c r="FG83" s="348">
        <f t="shared" si="249"/>
        <v>27204.252499999999</v>
      </c>
      <c r="FH83" s="348">
        <f t="shared" si="250"/>
        <v>11984.6116</v>
      </c>
      <c r="FI83" s="348">
        <f t="shared" si="251"/>
        <v>5821.9960671999997</v>
      </c>
      <c r="FJ83" s="348">
        <f t="shared" si="252"/>
        <v>5330.0999057999998</v>
      </c>
      <c r="FK83" s="354">
        <f t="shared" si="253"/>
        <v>0.6941832360994612</v>
      </c>
      <c r="FL83" s="326"/>
      <c r="FM83" s="348">
        <f t="shared" si="254"/>
        <v>5821.9960671999997</v>
      </c>
      <c r="FN83" s="348">
        <f t="shared" si="255"/>
        <v>5330.0999057999998</v>
      </c>
      <c r="FO83" s="348">
        <f t="shared" si="256"/>
        <v>5821.9960671999997</v>
      </c>
      <c r="FP83" s="348">
        <f t="shared" si="257"/>
        <v>5330.0999057999998</v>
      </c>
      <c r="FR83" s="326"/>
      <c r="FS83" s="326"/>
      <c r="FT83" s="326"/>
      <c r="FU83" s="348">
        <f t="shared" si="258"/>
        <v>27368.350899999998</v>
      </c>
      <c r="FV83" s="348">
        <f t="shared" si="259"/>
        <v>12451.0942</v>
      </c>
      <c r="FW83" s="348">
        <f t="shared" si="260"/>
        <v>817.48753220000003</v>
      </c>
      <c r="FX83" s="348">
        <f t="shared" si="261"/>
        <v>861.94442619999995</v>
      </c>
      <c r="FY83" s="354">
        <f t="shared" si="262"/>
        <v>0.68731120765919462</v>
      </c>
      <c r="FZ83" s="326"/>
      <c r="GA83" s="348">
        <f t="shared" si="263"/>
        <v>817.48753220000003</v>
      </c>
      <c r="GB83" s="348">
        <f t="shared" si="264"/>
        <v>861.94442619999995</v>
      </c>
      <c r="GC83" s="348">
        <f t="shared" si="265"/>
        <v>817.48753220000003</v>
      </c>
      <c r="GD83" s="348">
        <f t="shared" si="266"/>
        <v>861.94442619999995</v>
      </c>
      <c r="GF83" s="326"/>
      <c r="GG83" s="326"/>
      <c r="GH83" s="326"/>
      <c r="GI83" s="348">
        <f t="shared" si="267"/>
        <v>12313.9033</v>
      </c>
      <c r="GJ83" s="348">
        <f t="shared" si="268"/>
        <v>4994.6216999999997</v>
      </c>
      <c r="GK83" s="349">
        <f t="shared" si="269"/>
        <v>851.90850900000009</v>
      </c>
      <c r="GL83" s="349">
        <f t="shared" si="270"/>
        <v>782.47928249999995</v>
      </c>
      <c r="GM83" s="354">
        <f t="shared" si="271"/>
        <v>0.71143574048048575</v>
      </c>
      <c r="GN83" s="326"/>
      <c r="GO83" s="349">
        <f t="shared" si="272"/>
        <v>851.90850900000009</v>
      </c>
      <c r="GP83" s="349">
        <f t="shared" si="273"/>
        <v>782.47928249999995</v>
      </c>
      <c r="GQ83" s="349">
        <f t="shared" si="274"/>
        <v>851.90850900000009</v>
      </c>
      <c r="GR83" s="349">
        <f t="shared" si="275"/>
        <v>782.47928249999995</v>
      </c>
      <c r="HA83" s="374"/>
      <c r="HB83" s="375"/>
      <c r="HC83" s="374"/>
      <c r="HD83" s="374"/>
      <c r="HE83" s="374"/>
      <c r="HF83" s="351">
        <f t="shared" si="276"/>
        <v>0</v>
      </c>
      <c r="HG83" s="351">
        <f t="shared" si="277"/>
        <v>0</v>
      </c>
      <c r="HH83" s="352">
        <f t="shared" si="278"/>
        <v>0</v>
      </c>
      <c r="HI83" s="352">
        <f t="shared" si="332"/>
        <v>0</v>
      </c>
      <c r="HJ83" s="353">
        <f t="shared" si="333"/>
        <v>0</v>
      </c>
      <c r="HK83" s="353">
        <f t="shared" si="334"/>
        <v>0</v>
      </c>
    </row>
    <row r="84" spans="1:219" x14ac:dyDescent="0.2">
      <c r="A84" s="320">
        <v>74</v>
      </c>
      <c r="C84" s="350">
        <v>4.6824000000000003</v>
      </c>
      <c r="D84" s="350">
        <v>2.4413</v>
      </c>
      <c r="E84" s="350">
        <v>0</v>
      </c>
      <c r="F84" s="350">
        <v>3588.3458000000001</v>
      </c>
      <c r="G84" s="350">
        <v>2405.8874999999998</v>
      </c>
      <c r="H84" s="351">
        <f t="shared" si="212"/>
        <v>4570.49064</v>
      </c>
      <c r="I84" s="351">
        <f t="shared" si="213"/>
        <v>4525.4133970000003</v>
      </c>
      <c r="J84" s="352">
        <f t="shared" si="214"/>
        <v>0</v>
      </c>
      <c r="K84" s="352">
        <f t="shared" si="279"/>
        <v>0</v>
      </c>
      <c r="L84" s="353">
        <f t="shared" si="280"/>
        <v>4570.49064</v>
      </c>
      <c r="M84" s="353">
        <f t="shared" si="281"/>
        <v>4525.4133970000003</v>
      </c>
      <c r="N84" s="343">
        <f t="shared" si="282"/>
        <v>4570.49064</v>
      </c>
      <c r="O84" s="343">
        <f t="shared" si="283"/>
        <v>4525.4133970000003</v>
      </c>
      <c r="Q84" s="374">
        <v>6.2687999999999997</v>
      </c>
      <c r="R84" s="375">
        <v>3.2071999999999998</v>
      </c>
      <c r="S84" s="374">
        <v>0</v>
      </c>
      <c r="T84" s="374">
        <v>1967.1316999999999</v>
      </c>
      <c r="U84" s="374">
        <v>777.99329999999998</v>
      </c>
      <c r="V84" s="351">
        <f t="shared" si="215"/>
        <v>4008.2707199999995</v>
      </c>
      <c r="W84" s="351">
        <f t="shared" si="216"/>
        <v>3853.065936</v>
      </c>
      <c r="X84" s="352">
        <f t="shared" si="217"/>
        <v>0</v>
      </c>
      <c r="Y84" s="352">
        <f t="shared" si="284"/>
        <v>0</v>
      </c>
      <c r="Z84" s="353">
        <f t="shared" si="285"/>
        <v>4008.2707199999995</v>
      </c>
      <c r="AA84" s="353">
        <f t="shared" si="286"/>
        <v>3853.065936</v>
      </c>
      <c r="AB84" s="343">
        <f t="shared" si="287"/>
        <v>4008.2707199999995</v>
      </c>
      <c r="AC84" s="343">
        <f t="shared" si="288"/>
        <v>3853.065936</v>
      </c>
      <c r="AE84" s="374">
        <v>7.5354000000000001</v>
      </c>
      <c r="AF84" s="375">
        <v>3.3014999999999999</v>
      </c>
      <c r="AG84" s="374">
        <v>0</v>
      </c>
      <c r="AH84" s="374">
        <v>216.75</v>
      </c>
      <c r="AI84" s="374">
        <v>86.026700000000005</v>
      </c>
      <c r="AJ84" s="351">
        <f t="shared" si="218"/>
        <v>3229.5217319999997</v>
      </c>
      <c r="AK84" s="351">
        <f t="shared" si="219"/>
        <v>3282.2852699999999</v>
      </c>
      <c r="AL84" s="352">
        <f t="shared" si="220"/>
        <v>0</v>
      </c>
      <c r="AM84" s="352">
        <f t="shared" si="289"/>
        <v>0</v>
      </c>
      <c r="AN84" s="353">
        <f t="shared" si="290"/>
        <v>3229.5217319999997</v>
      </c>
      <c r="AO84" s="353">
        <f t="shared" si="291"/>
        <v>3282.2852699999999</v>
      </c>
      <c r="AP84" s="343">
        <f t="shared" si="292"/>
        <v>3229.5217319999997</v>
      </c>
      <c r="AQ84" s="343">
        <f t="shared" si="293"/>
        <v>3282.2852699999999</v>
      </c>
      <c r="AS84" s="374">
        <v>10.391500000000001</v>
      </c>
      <c r="AT84" s="375">
        <v>4.0772000000000004</v>
      </c>
      <c r="AU84" s="374">
        <v>0</v>
      </c>
      <c r="AV84" s="374">
        <v>7034.3342000000002</v>
      </c>
      <c r="AW84" s="374">
        <v>3128.6750000000002</v>
      </c>
      <c r="AX84" s="351">
        <f t="shared" si="221"/>
        <v>3540.0723050000006</v>
      </c>
      <c r="AY84" s="351">
        <f t="shared" si="222"/>
        <v>2785.2168640000004</v>
      </c>
      <c r="AZ84" s="352">
        <f t="shared" si="223"/>
        <v>0</v>
      </c>
      <c r="BA84" s="352">
        <f t="shared" si="294"/>
        <v>0</v>
      </c>
      <c r="BB84" s="353">
        <f t="shared" si="295"/>
        <v>3540.0723050000006</v>
      </c>
      <c r="BC84" s="353">
        <f t="shared" si="296"/>
        <v>2785.2168640000004</v>
      </c>
      <c r="BD84" s="343">
        <f t="shared" si="297"/>
        <v>3540.0723050000006</v>
      </c>
      <c r="BE84" s="343">
        <f t="shared" si="298"/>
        <v>2785.2168640000004</v>
      </c>
      <c r="BG84" s="374">
        <v>9.8343000000000007</v>
      </c>
      <c r="BH84" s="375">
        <v>4.5479000000000003</v>
      </c>
      <c r="BI84" s="374">
        <v>0</v>
      </c>
      <c r="BJ84" s="374">
        <v>3623.3150000000001</v>
      </c>
      <c r="BK84" s="374">
        <v>1698.2449999999999</v>
      </c>
      <c r="BL84" s="351">
        <f t="shared" si="224"/>
        <v>3292.228611</v>
      </c>
      <c r="BM84" s="351">
        <f t="shared" si="225"/>
        <v>2664.7055679999999</v>
      </c>
      <c r="BN84" s="352">
        <f t="shared" si="226"/>
        <v>0</v>
      </c>
      <c r="BO84" s="352">
        <f t="shared" si="299"/>
        <v>0</v>
      </c>
      <c r="BP84" s="353">
        <f t="shared" si="300"/>
        <v>3292.228611</v>
      </c>
      <c r="BQ84" s="353">
        <f t="shared" si="301"/>
        <v>2664.7055679999999</v>
      </c>
      <c r="BR84" s="343">
        <f t="shared" si="302"/>
        <v>3292.228611</v>
      </c>
      <c r="BS84" s="343">
        <f t="shared" si="303"/>
        <v>2664.7055679999999</v>
      </c>
      <c r="BU84" s="374">
        <v>10.0892</v>
      </c>
      <c r="BV84" s="375">
        <v>4.4020000000000001</v>
      </c>
      <c r="BW84" s="374">
        <v>0</v>
      </c>
      <c r="BX84" s="374">
        <v>3495.9641999999999</v>
      </c>
      <c r="BY84" s="374">
        <v>1117.6258</v>
      </c>
      <c r="BZ84" s="351">
        <f t="shared" si="227"/>
        <v>2341.9051039999999</v>
      </c>
      <c r="CA84" s="351">
        <f t="shared" si="228"/>
        <v>1680.9917400000002</v>
      </c>
      <c r="CB84" s="352">
        <f t="shared" si="229"/>
        <v>0</v>
      </c>
      <c r="CC84" s="352">
        <f t="shared" si="304"/>
        <v>0</v>
      </c>
      <c r="CD84" s="353">
        <f t="shared" si="305"/>
        <v>2341.9051039999999</v>
      </c>
      <c r="CE84" s="353">
        <f t="shared" si="306"/>
        <v>1680.9917400000002</v>
      </c>
      <c r="CF84" s="343">
        <f t="shared" si="307"/>
        <v>2341.9051039999999</v>
      </c>
      <c r="CG84" s="343">
        <f t="shared" si="308"/>
        <v>1680.9917400000002</v>
      </c>
      <c r="CI84" s="374">
        <v>1.3583000000000001</v>
      </c>
      <c r="CJ84" s="375">
        <v>1.0099</v>
      </c>
      <c r="CK84" s="374">
        <v>0</v>
      </c>
      <c r="CL84" s="374">
        <v>16570.977500000001</v>
      </c>
      <c r="CM84" s="374">
        <v>7862.6532999999999</v>
      </c>
      <c r="CN84" s="351">
        <f t="shared" si="230"/>
        <v>288.67949900000002</v>
      </c>
      <c r="CO84" s="351">
        <f t="shared" si="231"/>
        <v>278.17695500000002</v>
      </c>
      <c r="CP84" s="352">
        <f t="shared" si="232"/>
        <v>0</v>
      </c>
      <c r="CQ84" s="352">
        <f t="shared" si="309"/>
        <v>0</v>
      </c>
      <c r="CR84" s="353">
        <f t="shared" si="310"/>
        <v>288.67949900000002</v>
      </c>
      <c r="CS84" s="353">
        <f t="shared" si="311"/>
        <v>278.17695500000002</v>
      </c>
      <c r="CT84" s="343">
        <f t="shared" si="312"/>
        <v>288.67949900000002</v>
      </c>
      <c r="CU84" s="343">
        <f t="shared" si="313"/>
        <v>278.17695500000002</v>
      </c>
      <c r="CW84" s="374">
        <v>2.9344999999999999</v>
      </c>
      <c r="CX84" s="375">
        <v>2.3056000000000001</v>
      </c>
      <c r="CY84" s="374">
        <v>0</v>
      </c>
      <c r="CZ84" s="374">
        <v>6911.4425000000001</v>
      </c>
      <c r="DA84" s="374">
        <v>3080.3366999999998</v>
      </c>
      <c r="DB84" s="351">
        <f t="shared" si="233"/>
        <v>658.00293499999998</v>
      </c>
      <c r="DC84" s="351">
        <f t="shared" si="234"/>
        <v>716.4421440000001</v>
      </c>
      <c r="DD84" s="352">
        <f t="shared" si="235"/>
        <v>0</v>
      </c>
      <c r="DE84" s="352">
        <f t="shared" si="314"/>
        <v>0</v>
      </c>
      <c r="DF84" s="353">
        <f t="shared" si="315"/>
        <v>658.00293499999998</v>
      </c>
      <c r="DG84" s="353">
        <f t="shared" si="316"/>
        <v>716.4421440000001</v>
      </c>
      <c r="DH84" s="343">
        <f t="shared" si="317"/>
        <v>658.00293499999998</v>
      </c>
      <c r="DI84" s="343">
        <f t="shared" si="318"/>
        <v>716.4421440000001</v>
      </c>
      <c r="DK84" s="374">
        <v>3.2162999999999999</v>
      </c>
      <c r="DL84" s="375">
        <v>2.4643999999999999</v>
      </c>
      <c r="DM84" s="374">
        <v>0</v>
      </c>
      <c r="DN84" s="374">
        <v>3099.6758</v>
      </c>
      <c r="DO84" s="374">
        <v>1479.2317</v>
      </c>
      <c r="DP84" s="351">
        <f t="shared" si="236"/>
        <v>423.81185100000005</v>
      </c>
      <c r="DQ84" s="351">
        <f t="shared" si="237"/>
        <v>485.14178400000003</v>
      </c>
      <c r="DR84" s="352">
        <f t="shared" si="238"/>
        <v>0</v>
      </c>
      <c r="DS84" s="352">
        <f t="shared" si="319"/>
        <v>0</v>
      </c>
      <c r="DT84" s="353">
        <f t="shared" si="320"/>
        <v>423.81185100000005</v>
      </c>
      <c r="DU84" s="353">
        <f t="shared" si="321"/>
        <v>485.14178400000003</v>
      </c>
      <c r="DV84" s="343">
        <f t="shared" si="322"/>
        <v>423.81185100000005</v>
      </c>
      <c r="DW84" s="343">
        <f t="shared" si="323"/>
        <v>485.14178400000003</v>
      </c>
      <c r="EB84" s="326"/>
      <c r="EC84" s="326"/>
      <c r="ED84" s="326"/>
      <c r="EE84" s="348">
        <f t="shared" si="324"/>
        <v>34105.1</v>
      </c>
      <c r="EF84" s="348">
        <f t="shared" si="325"/>
        <v>16477.552499999998</v>
      </c>
      <c r="EG84" s="348">
        <f t="shared" si="326"/>
        <v>8925.644792000001</v>
      </c>
      <c r="EH84" s="348">
        <f t="shared" si="327"/>
        <v>8161.9609312000002</v>
      </c>
      <c r="EI84" s="354">
        <f t="shared" si="239"/>
        <v>0.67424498942596978</v>
      </c>
      <c r="EJ84" s="326"/>
      <c r="EK84" s="348">
        <f t="shared" si="328"/>
        <v>8925.644792000001</v>
      </c>
      <c r="EL84" s="348">
        <f t="shared" si="329"/>
        <v>8161.9609312000002</v>
      </c>
      <c r="EM84" s="348">
        <f t="shared" si="330"/>
        <v>8925.644792000001</v>
      </c>
      <c r="EN84" s="348">
        <f t="shared" si="331"/>
        <v>8161.9609312000002</v>
      </c>
      <c r="EP84" s="326"/>
      <c r="EQ84" s="326"/>
      <c r="ER84" s="326"/>
      <c r="ES84" s="348">
        <f t="shared" si="240"/>
        <v>29072.866700000002</v>
      </c>
      <c r="ET84" s="348">
        <f t="shared" si="241"/>
        <v>13419.228299999999</v>
      </c>
      <c r="EU84" s="348">
        <f t="shared" si="242"/>
        <v>8049.780884499999</v>
      </c>
      <c r="EV84" s="348">
        <f t="shared" si="243"/>
        <v>7297.4579598</v>
      </c>
      <c r="EW84" s="354">
        <f t="shared" si="244"/>
        <v>0.68419471198113446</v>
      </c>
      <c r="EX84" s="326"/>
      <c r="EY84" s="348">
        <f t="shared" si="245"/>
        <v>8049.780884499999</v>
      </c>
      <c r="EZ84" s="348">
        <f t="shared" si="246"/>
        <v>7297.4579598</v>
      </c>
      <c r="FA84" s="348">
        <f t="shared" si="247"/>
        <v>8049.780884499999</v>
      </c>
      <c r="FB84" s="348">
        <f t="shared" si="248"/>
        <v>7297.4579598</v>
      </c>
      <c r="FD84" s="326"/>
      <c r="FE84" s="326"/>
      <c r="FF84" s="326"/>
      <c r="FG84" s="348">
        <f t="shared" si="249"/>
        <v>23383.3675</v>
      </c>
      <c r="FH84" s="348">
        <f t="shared" si="250"/>
        <v>10545.5375</v>
      </c>
      <c r="FI84" s="348">
        <f t="shared" si="251"/>
        <v>6114.3934455999997</v>
      </c>
      <c r="FJ84" s="348">
        <f t="shared" si="252"/>
        <v>5532.5390354000001</v>
      </c>
      <c r="FK84" s="354">
        <f t="shared" si="253"/>
        <v>0.68918721367518343</v>
      </c>
      <c r="FL84" s="326"/>
      <c r="FM84" s="348">
        <f t="shared" si="254"/>
        <v>6114.3934455999997</v>
      </c>
      <c r="FN84" s="348">
        <f t="shared" si="255"/>
        <v>5532.5390354000001</v>
      </c>
      <c r="FO84" s="348">
        <f t="shared" si="256"/>
        <v>6114.3934455999997</v>
      </c>
      <c r="FP84" s="348">
        <f t="shared" si="257"/>
        <v>5532.5390354000001</v>
      </c>
      <c r="FR84" s="326"/>
      <c r="FS84" s="326"/>
      <c r="FT84" s="326"/>
      <c r="FU84" s="348">
        <f t="shared" si="258"/>
        <v>23482.420000000002</v>
      </c>
      <c r="FV84" s="348">
        <f t="shared" si="259"/>
        <v>10942.99</v>
      </c>
      <c r="FW84" s="348">
        <f t="shared" si="260"/>
        <v>815.08184699999993</v>
      </c>
      <c r="FX84" s="348">
        <f t="shared" si="261"/>
        <v>851.3306702000001</v>
      </c>
      <c r="FY84" s="354">
        <f t="shared" si="262"/>
        <v>0.68212462829055631</v>
      </c>
      <c r="FZ84" s="326"/>
      <c r="GA84" s="348">
        <f t="shared" si="263"/>
        <v>815.08184699999993</v>
      </c>
      <c r="GB84" s="348">
        <f t="shared" si="264"/>
        <v>851.3306702000001</v>
      </c>
      <c r="GC84" s="348">
        <f t="shared" si="265"/>
        <v>815.08184699999993</v>
      </c>
      <c r="GD84" s="348">
        <f t="shared" si="266"/>
        <v>851.3306702000001</v>
      </c>
      <c r="GF84" s="326"/>
      <c r="GG84" s="326"/>
      <c r="GH84" s="326"/>
      <c r="GI84" s="348">
        <f t="shared" si="267"/>
        <v>10530.2984</v>
      </c>
      <c r="GJ84" s="348">
        <f t="shared" si="268"/>
        <v>4246.3008</v>
      </c>
      <c r="GK84" s="349">
        <f t="shared" si="269"/>
        <v>898.62540075000049</v>
      </c>
      <c r="GL84" s="349">
        <f t="shared" si="270"/>
        <v>828.16884300000015</v>
      </c>
      <c r="GM84" s="354">
        <f t="shared" si="271"/>
        <v>0.71263341838492844</v>
      </c>
      <c r="GN84" s="326"/>
      <c r="GO84" s="349">
        <f t="shared" si="272"/>
        <v>898.62540075000049</v>
      </c>
      <c r="GP84" s="349">
        <f t="shared" si="273"/>
        <v>828.16884300000015</v>
      </c>
      <c r="GQ84" s="349">
        <f t="shared" si="274"/>
        <v>898.62540075000049</v>
      </c>
      <c r="GR84" s="349">
        <f t="shared" si="275"/>
        <v>828.16884300000015</v>
      </c>
      <c r="HA84" s="374"/>
      <c r="HB84" s="375"/>
      <c r="HC84" s="374"/>
      <c r="HD84" s="374"/>
      <c r="HE84" s="374"/>
      <c r="HF84" s="351">
        <f t="shared" si="276"/>
        <v>0</v>
      </c>
      <c r="HG84" s="351">
        <f t="shared" si="277"/>
        <v>0</v>
      </c>
      <c r="HH84" s="352">
        <f t="shared" si="278"/>
        <v>0</v>
      </c>
      <c r="HI84" s="352">
        <f t="shared" si="332"/>
        <v>0</v>
      </c>
      <c r="HJ84" s="353">
        <f t="shared" si="333"/>
        <v>0</v>
      </c>
      <c r="HK84" s="353">
        <f t="shared" si="334"/>
        <v>0</v>
      </c>
    </row>
    <row r="85" spans="1:219" x14ac:dyDescent="0.2">
      <c r="A85" s="320">
        <v>75</v>
      </c>
      <c r="C85" s="350">
        <v>4.8564999999999996</v>
      </c>
      <c r="D85" s="350">
        <v>2.5129000000000001</v>
      </c>
      <c r="E85" s="350">
        <v>0</v>
      </c>
      <c r="F85" s="350">
        <v>2943.4467</v>
      </c>
      <c r="G85" s="350">
        <v>2171.7957999999999</v>
      </c>
      <c r="H85" s="351">
        <f t="shared" si="212"/>
        <v>4740.42965</v>
      </c>
      <c r="I85" s="351">
        <f t="shared" si="213"/>
        <v>4658.1376010000004</v>
      </c>
      <c r="J85" s="352">
        <f t="shared" si="214"/>
        <v>0</v>
      </c>
      <c r="K85" s="352">
        <f t="shared" si="279"/>
        <v>0</v>
      </c>
      <c r="L85" s="353">
        <f t="shared" si="280"/>
        <v>4740.42965</v>
      </c>
      <c r="M85" s="353">
        <f t="shared" si="281"/>
        <v>4658.1376010000004</v>
      </c>
      <c r="N85" s="343">
        <f t="shared" si="282"/>
        <v>4740.42965</v>
      </c>
      <c r="O85" s="343">
        <f t="shared" si="283"/>
        <v>4658.1376010000004</v>
      </c>
      <c r="Q85" s="374">
        <v>6.6033999999999997</v>
      </c>
      <c r="R85" s="375">
        <v>3.3241999999999998</v>
      </c>
      <c r="S85" s="374">
        <v>0</v>
      </c>
      <c r="T85" s="374">
        <v>1547.5017</v>
      </c>
      <c r="U85" s="374">
        <v>684.27</v>
      </c>
      <c r="V85" s="351">
        <f t="shared" si="215"/>
        <v>4222.21396</v>
      </c>
      <c r="W85" s="351">
        <f t="shared" si="216"/>
        <v>3993.6273960000003</v>
      </c>
      <c r="X85" s="352">
        <f t="shared" si="217"/>
        <v>0</v>
      </c>
      <c r="Y85" s="352">
        <f t="shared" si="284"/>
        <v>0</v>
      </c>
      <c r="Z85" s="353">
        <f t="shared" si="285"/>
        <v>4222.21396</v>
      </c>
      <c r="AA85" s="353">
        <f t="shared" si="286"/>
        <v>3993.6273960000003</v>
      </c>
      <c r="AB85" s="343">
        <f t="shared" si="287"/>
        <v>4222.21396</v>
      </c>
      <c r="AC85" s="343">
        <f t="shared" si="288"/>
        <v>3993.6273960000003</v>
      </c>
      <c r="AE85" s="374">
        <v>7.8829000000000002</v>
      </c>
      <c r="AF85" s="375">
        <v>3.4106999999999998</v>
      </c>
      <c r="AG85" s="374">
        <v>0</v>
      </c>
      <c r="AH85" s="374">
        <v>188.77</v>
      </c>
      <c r="AI85" s="374">
        <v>81.583299999999994</v>
      </c>
      <c r="AJ85" s="351">
        <f t="shared" si="218"/>
        <v>3378.4532819999999</v>
      </c>
      <c r="AK85" s="351">
        <f t="shared" si="219"/>
        <v>3390.8497259999995</v>
      </c>
      <c r="AL85" s="352">
        <f t="shared" si="220"/>
        <v>0</v>
      </c>
      <c r="AM85" s="352">
        <f t="shared" si="289"/>
        <v>0</v>
      </c>
      <c r="AN85" s="353">
        <f t="shared" si="290"/>
        <v>3378.4532819999999</v>
      </c>
      <c r="AO85" s="353">
        <f t="shared" si="291"/>
        <v>3390.8497259999995</v>
      </c>
      <c r="AP85" s="343">
        <f t="shared" si="292"/>
        <v>3378.4532819999999</v>
      </c>
      <c r="AQ85" s="343">
        <f t="shared" si="293"/>
        <v>3390.8497259999995</v>
      </c>
      <c r="AS85" s="374">
        <v>11.0259</v>
      </c>
      <c r="AT85" s="375">
        <v>4.3243999999999998</v>
      </c>
      <c r="AU85" s="374">
        <v>0</v>
      </c>
      <c r="AV85" s="374">
        <v>5685.56</v>
      </c>
      <c r="AW85" s="374">
        <v>2754.105</v>
      </c>
      <c r="AX85" s="351">
        <f t="shared" si="221"/>
        <v>3756.1933530000001</v>
      </c>
      <c r="AY85" s="351">
        <f t="shared" si="222"/>
        <v>2954.084128</v>
      </c>
      <c r="AZ85" s="352">
        <f t="shared" si="223"/>
        <v>0</v>
      </c>
      <c r="BA85" s="352">
        <f t="shared" si="294"/>
        <v>0</v>
      </c>
      <c r="BB85" s="353">
        <f t="shared" si="295"/>
        <v>3756.1933530000001</v>
      </c>
      <c r="BC85" s="353">
        <f t="shared" si="296"/>
        <v>2954.084128</v>
      </c>
      <c r="BD85" s="343">
        <f t="shared" si="297"/>
        <v>3756.1933530000001</v>
      </c>
      <c r="BE85" s="343">
        <f t="shared" si="298"/>
        <v>2954.084128</v>
      </c>
      <c r="BG85" s="374">
        <v>10.4124</v>
      </c>
      <c r="BH85" s="375">
        <v>4.8202999999999996</v>
      </c>
      <c r="BI85" s="374">
        <v>0</v>
      </c>
      <c r="BJ85" s="374">
        <v>3118.4607999999998</v>
      </c>
      <c r="BK85" s="374">
        <v>1416.7257999999999</v>
      </c>
      <c r="BL85" s="351">
        <f t="shared" si="224"/>
        <v>3485.7591479999996</v>
      </c>
      <c r="BM85" s="351">
        <f t="shared" si="225"/>
        <v>2824.3101759999995</v>
      </c>
      <c r="BN85" s="352">
        <f t="shared" si="226"/>
        <v>0</v>
      </c>
      <c r="BO85" s="352">
        <f t="shared" si="299"/>
        <v>0</v>
      </c>
      <c r="BP85" s="353">
        <f t="shared" si="300"/>
        <v>3485.7591479999996</v>
      </c>
      <c r="BQ85" s="353">
        <f t="shared" si="301"/>
        <v>2824.3101759999995</v>
      </c>
      <c r="BR85" s="343">
        <f t="shared" si="302"/>
        <v>3485.7591479999996</v>
      </c>
      <c r="BS85" s="343">
        <f t="shared" si="303"/>
        <v>2824.3101759999995</v>
      </c>
      <c r="BU85" s="374">
        <v>10.720700000000001</v>
      </c>
      <c r="BV85" s="375">
        <v>4.6826999999999996</v>
      </c>
      <c r="BW85" s="374">
        <v>0</v>
      </c>
      <c r="BX85" s="374">
        <v>2763.4016999999999</v>
      </c>
      <c r="BY85" s="374">
        <v>926.44579999999996</v>
      </c>
      <c r="BZ85" s="351">
        <f t="shared" si="227"/>
        <v>2488.4888840000003</v>
      </c>
      <c r="CA85" s="351">
        <f t="shared" si="228"/>
        <v>1788.1826489999999</v>
      </c>
      <c r="CB85" s="352">
        <f t="shared" si="229"/>
        <v>0</v>
      </c>
      <c r="CC85" s="352">
        <f t="shared" si="304"/>
        <v>0</v>
      </c>
      <c r="CD85" s="353">
        <f t="shared" si="305"/>
        <v>2488.4888840000003</v>
      </c>
      <c r="CE85" s="353">
        <f t="shared" si="306"/>
        <v>1788.1826489999999</v>
      </c>
      <c r="CF85" s="343">
        <f t="shared" si="307"/>
        <v>2488.4888840000003</v>
      </c>
      <c r="CG85" s="343">
        <f t="shared" si="308"/>
        <v>1788.1826489999999</v>
      </c>
      <c r="CI85" s="374">
        <v>1.3429</v>
      </c>
      <c r="CJ85" s="375">
        <v>0.97899999999999998</v>
      </c>
      <c r="CK85" s="374">
        <v>0</v>
      </c>
      <c r="CL85" s="374">
        <v>13597.6075</v>
      </c>
      <c r="CM85" s="374">
        <v>6699.0874999999996</v>
      </c>
      <c r="CN85" s="351">
        <f t="shared" si="230"/>
        <v>285.40653700000001</v>
      </c>
      <c r="CO85" s="351">
        <f t="shared" si="231"/>
        <v>269.66555</v>
      </c>
      <c r="CP85" s="352">
        <f t="shared" si="232"/>
        <v>0</v>
      </c>
      <c r="CQ85" s="352">
        <f t="shared" si="309"/>
        <v>0</v>
      </c>
      <c r="CR85" s="353">
        <f t="shared" si="310"/>
        <v>285.40653700000001</v>
      </c>
      <c r="CS85" s="353">
        <f t="shared" si="311"/>
        <v>269.66555</v>
      </c>
      <c r="CT85" s="343">
        <f t="shared" si="312"/>
        <v>285.40653700000001</v>
      </c>
      <c r="CU85" s="343">
        <f t="shared" si="313"/>
        <v>269.66555</v>
      </c>
      <c r="CW85" s="374">
        <v>2.9293999999999998</v>
      </c>
      <c r="CX85" s="375">
        <v>2.2793999999999999</v>
      </c>
      <c r="CY85" s="374">
        <v>0</v>
      </c>
      <c r="CZ85" s="374">
        <v>5591.8549999999996</v>
      </c>
      <c r="DA85" s="374">
        <v>2624.9458</v>
      </c>
      <c r="DB85" s="351">
        <f t="shared" si="233"/>
        <v>656.85936199999992</v>
      </c>
      <c r="DC85" s="351">
        <f t="shared" si="234"/>
        <v>708.30075599999998</v>
      </c>
      <c r="DD85" s="352">
        <f t="shared" si="235"/>
        <v>0</v>
      </c>
      <c r="DE85" s="352">
        <f t="shared" si="314"/>
        <v>0</v>
      </c>
      <c r="DF85" s="353">
        <f t="shared" si="315"/>
        <v>656.85936199999992</v>
      </c>
      <c r="DG85" s="353">
        <f t="shared" si="316"/>
        <v>708.30075599999998</v>
      </c>
      <c r="DH85" s="343">
        <f t="shared" si="317"/>
        <v>656.85936199999992</v>
      </c>
      <c r="DI85" s="343">
        <f t="shared" si="318"/>
        <v>708.30075599999998</v>
      </c>
      <c r="DK85" s="374">
        <v>3.2576999999999998</v>
      </c>
      <c r="DL85" s="375">
        <v>2.4527999999999999</v>
      </c>
      <c r="DM85" s="374">
        <v>0</v>
      </c>
      <c r="DN85" s="374">
        <v>2539.5216999999998</v>
      </c>
      <c r="DO85" s="374">
        <v>1241.5617</v>
      </c>
      <c r="DP85" s="351">
        <f t="shared" si="236"/>
        <v>429.26712900000001</v>
      </c>
      <c r="DQ85" s="351">
        <f t="shared" si="237"/>
        <v>482.85820799999999</v>
      </c>
      <c r="DR85" s="352">
        <f t="shared" si="238"/>
        <v>0</v>
      </c>
      <c r="DS85" s="352">
        <f t="shared" si="319"/>
        <v>0</v>
      </c>
      <c r="DT85" s="353">
        <f t="shared" si="320"/>
        <v>429.26712900000001</v>
      </c>
      <c r="DU85" s="353">
        <f t="shared" si="321"/>
        <v>482.85820799999999</v>
      </c>
      <c r="DV85" s="343">
        <f t="shared" si="322"/>
        <v>429.26712900000001</v>
      </c>
      <c r="DW85" s="343">
        <f t="shared" si="323"/>
        <v>482.85820799999999</v>
      </c>
      <c r="EB85" s="326"/>
      <c r="EC85" s="326"/>
      <c r="ED85" s="326"/>
      <c r="EE85" s="348">
        <f t="shared" si="324"/>
        <v>27818.4692</v>
      </c>
      <c r="EF85" s="348">
        <f t="shared" si="325"/>
        <v>14249.934099999999</v>
      </c>
      <c r="EG85" s="348">
        <f t="shared" si="326"/>
        <v>9307.5170296000015</v>
      </c>
      <c r="EH85" s="348">
        <f t="shared" si="327"/>
        <v>8448.5278838000013</v>
      </c>
      <c r="EI85" s="354">
        <f t="shared" si="239"/>
        <v>0.6612675313968952</v>
      </c>
      <c r="EJ85" s="326"/>
      <c r="EK85" s="348">
        <f t="shared" si="328"/>
        <v>9307.5170296000015</v>
      </c>
      <c r="EL85" s="348">
        <f t="shared" si="329"/>
        <v>8448.5278838000013</v>
      </c>
      <c r="EM85" s="348">
        <f t="shared" si="330"/>
        <v>9307.5170296000015</v>
      </c>
      <c r="EN85" s="348">
        <f t="shared" si="331"/>
        <v>8448.5278838000013</v>
      </c>
      <c r="EP85" s="326"/>
      <c r="EQ85" s="326"/>
      <c r="ER85" s="326"/>
      <c r="ES85" s="348">
        <f t="shared" si="240"/>
        <v>23855.424999999999</v>
      </c>
      <c r="ET85" s="348">
        <f t="shared" si="241"/>
        <v>11425.029099999998</v>
      </c>
      <c r="EU85" s="348">
        <f t="shared" si="242"/>
        <v>8453.1811983999996</v>
      </c>
      <c r="EV85" s="348">
        <f t="shared" si="243"/>
        <v>7583.4136511999995</v>
      </c>
      <c r="EW85" s="354">
        <f t="shared" si="244"/>
        <v>0.67616547486558576</v>
      </c>
      <c r="EX85" s="326"/>
      <c r="EY85" s="348">
        <f t="shared" si="245"/>
        <v>8453.1811983999996</v>
      </c>
      <c r="EZ85" s="348">
        <f t="shared" si="246"/>
        <v>7583.4136511999995</v>
      </c>
      <c r="FA85" s="348">
        <f t="shared" si="247"/>
        <v>8453.1811983999996</v>
      </c>
      <c r="FB85" s="348">
        <f t="shared" si="248"/>
        <v>7583.4136511999995</v>
      </c>
      <c r="FD85" s="326"/>
      <c r="FE85" s="326"/>
      <c r="FF85" s="326"/>
      <c r="FG85" s="348">
        <f t="shared" si="249"/>
        <v>19089.300900000002</v>
      </c>
      <c r="FH85" s="348">
        <f t="shared" si="250"/>
        <v>8948.6782999999996</v>
      </c>
      <c r="FI85" s="348">
        <f t="shared" si="251"/>
        <v>6409.9089804000005</v>
      </c>
      <c r="FJ85" s="348">
        <f t="shared" si="252"/>
        <v>5738.4128497999982</v>
      </c>
      <c r="FK85" s="354">
        <f t="shared" si="253"/>
        <v>0.68083725877077483</v>
      </c>
      <c r="FL85" s="326"/>
      <c r="FM85" s="348">
        <f t="shared" si="254"/>
        <v>6409.9089804000005</v>
      </c>
      <c r="FN85" s="348">
        <f t="shared" si="255"/>
        <v>5738.4128497999982</v>
      </c>
      <c r="FO85" s="348">
        <f t="shared" si="256"/>
        <v>6409.9089804000005</v>
      </c>
      <c r="FP85" s="348">
        <f t="shared" si="257"/>
        <v>5738.4128497999982</v>
      </c>
      <c r="FR85" s="326"/>
      <c r="FS85" s="326"/>
      <c r="FT85" s="326"/>
      <c r="FU85" s="348">
        <f t="shared" si="258"/>
        <v>19189.462500000001</v>
      </c>
      <c r="FV85" s="348">
        <f t="shared" si="259"/>
        <v>9324.0332999999991</v>
      </c>
      <c r="FW85" s="348">
        <f t="shared" si="260"/>
        <v>810.89402659999996</v>
      </c>
      <c r="FX85" s="348">
        <f t="shared" si="261"/>
        <v>836.30615480000006</v>
      </c>
      <c r="FY85" s="354">
        <f t="shared" si="262"/>
        <v>0.67299578538524907</v>
      </c>
      <c r="FZ85" s="326"/>
      <c r="GA85" s="348">
        <f t="shared" si="263"/>
        <v>810.89402659999996</v>
      </c>
      <c r="GB85" s="348">
        <f t="shared" si="264"/>
        <v>836.30615480000006</v>
      </c>
      <c r="GC85" s="348">
        <f t="shared" si="265"/>
        <v>810.89402659999996</v>
      </c>
      <c r="GD85" s="348">
        <f t="shared" si="266"/>
        <v>836.30615480000006</v>
      </c>
      <c r="GF85" s="326"/>
      <c r="GG85" s="326"/>
      <c r="GH85" s="326"/>
      <c r="GI85" s="348">
        <f t="shared" si="267"/>
        <v>8448.9616999999998</v>
      </c>
      <c r="GJ85" s="348">
        <f t="shared" si="268"/>
        <v>3680.5508</v>
      </c>
      <c r="GK85" s="349">
        <f t="shared" si="269"/>
        <v>950.77835174999984</v>
      </c>
      <c r="GL85" s="349">
        <f t="shared" si="270"/>
        <v>874.42610925000008</v>
      </c>
      <c r="GM85" s="354">
        <f t="shared" si="271"/>
        <v>0.69656234741503409</v>
      </c>
      <c r="GN85" s="326"/>
      <c r="GO85" s="349">
        <f t="shared" si="272"/>
        <v>950.77835174999984</v>
      </c>
      <c r="GP85" s="349">
        <f t="shared" si="273"/>
        <v>874.42610925000008</v>
      </c>
      <c r="GQ85" s="349">
        <f t="shared" si="274"/>
        <v>950.77835174999984</v>
      </c>
      <c r="GR85" s="349">
        <f t="shared" si="275"/>
        <v>874.42610925000008</v>
      </c>
      <c r="HA85" s="374"/>
      <c r="HB85" s="375"/>
      <c r="HC85" s="374"/>
      <c r="HD85" s="374"/>
      <c r="HE85" s="374"/>
      <c r="HF85" s="351">
        <f t="shared" si="276"/>
        <v>0</v>
      </c>
      <c r="HG85" s="351">
        <f t="shared" si="277"/>
        <v>0</v>
      </c>
      <c r="HH85" s="352">
        <f t="shared" si="278"/>
        <v>0</v>
      </c>
      <c r="HI85" s="352">
        <f t="shared" si="332"/>
        <v>0</v>
      </c>
      <c r="HJ85" s="353">
        <f t="shared" si="333"/>
        <v>0</v>
      </c>
      <c r="HK85" s="353">
        <f t="shared" si="334"/>
        <v>0</v>
      </c>
    </row>
    <row r="86" spans="1:219" x14ac:dyDescent="0.2">
      <c r="A86" s="320">
        <v>76</v>
      </c>
      <c r="C86" s="350">
        <v>5.0274000000000001</v>
      </c>
      <c r="D86" s="350">
        <v>2.5825</v>
      </c>
      <c r="E86" s="350">
        <v>0</v>
      </c>
      <c r="F86" s="350">
        <v>2473.41</v>
      </c>
      <c r="G86" s="350">
        <v>1954.8067000000001</v>
      </c>
      <c r="H86" s="351">
        <f t="shared" si="212"/>
        <v>4907.24514</v>
      </c>
      <c r="I86" s="351">
        <f t="shared" si="213"/>
        <v>4787.1544250000006</v>
      </c>
      <c r="J86" s="352">
        <f t="shared" si="214"/>
        <v>0</v>
      </c>
      <c r="K86" s="352">
        <f t="shared" si="279"/>
        <v>0</v>
      </c>
      <c r="L86" s="353">
        <f t="shared" si="280"/>
        <v>4907.24514</v>
      </c>
      <c r="M86" s="353">
        <f t="shared" si="281"/>
        <v>4787.1544250000006</v>
      </c>
      <c r="N86" s="343">
        <f t="shared" si="282"/>
        <v>4907.24514</v>
      </c>
      <c r="O86" s="343">
        <f t="shared" si="283"/>
        <v>4787.1544250000006</v>
      </c>
      <c r="Q86" s="374">
        <v>6.9223999999999997</v>
      </c>
      <c r="R86" s="375">
        <v>3.4283000000000001</v>
      </c>
      <c r="S86" s="374">
        <v>0</v>
      </c>
      <c r="T86" s="374">
        <v>1321.8916999999999</v>
      </c>
      <c r="U86" s="374">
        <v>557.74080000000004</v>
      </c>
      <c r="V86" s="351">
        <f t="shared" si="215"/>
        <v>4426.1825599999993</v>
      </c>
      <c r="W86" s="351">
        <f t="shared" si="216"/>
        <v>4118.6910540000008</v>
      </c>
      <c r="X86" s="352">
        <f t="shared" si="217"/>
        <v>0</v>
      </c>
      <c r="Y86" s="352">
        <f t="shared" si="284"/>
        <v>0</v>
      </c>
      <c r="Z86" s="353">
        <f t="shared" si="285"/>
        <v>4426.1825599999993</v>
      </c>
      <c r="AA86" s="353">
        <f t="shared" si="286"/>
        <v>4118.6910540000008</v>
      </c>
      <c r="AB86" s="343">
        <f t="shared" si="287"/>
        <v>4426.1825599999993</v>
      </c>
      <c r="AC86" s="343">
        <f t="shared" si="288"/>
        <v>4118.6910540000008</v>
      </c>
      <c r="AE86" s="374">
        <v>8.2410999999999994</v>
      </c>
      <c r="AF86" s="375">
        <v>3.5228999999999999</v>
      </c>
      <c r="AG86" s="374">
        <v>0</v>
      </c>
      <c r="AH86" s="374">
        <v>177</v>
      </c>
      <c r="AI86" s="374">
        <v>78.314999999999998</v>
      </c>
      <c r="AJ86" s="351">
        <f t="shared" si="218"/>
        <v>3531.9706379999998</v>
      </c>
      <c r="AK86" s="351">
        <f t="shared" si="219"/>
        <v>3502.396722</v>
      </c>
      <c r="AL86" s="352">
        <f t="shared" si="220"/>
        <v>0</v>
      </c>
      <c r="AM86" s="352">
        <f t="shared" si="289"/>
        <v>0</v>
      </c>
      <c r="AN86" s="353">
        <f t="shared" si="290"/>
        <v>3531.9706379999998</v>
      </c>
      <c r="AO86" s="353">
        <f t="shared" si="291"/>
        <v>3502.396722</v>
      </c>
      <c r="AP86" s="343">
        <f t="shared" si="292"/>
        <v>3531.9706379999998</v>
      </c>
      <c r="AQ86" s="343">
        <f t="shared" si="293"/>
        <v>3502.396722</v>
      </c>
      <c r="AS86" s="374">
        <v>11.663</v>
      </c>
      <c r="AT86" s="375">
        <v>4.5735000000000001</v>
      </c>
      <c r="AU86" s="374">
        <v>0</v>
      </c>
      <c r="AV86" s="374">
        <v>4804.3333000000002</v>
      </c>
      <c r="AW86" s="374">
        <v>2435.1466999999998</v>
      </c>
      <c r="AX86" s="351">
        <f t="shared" si="221"/>
        <v>3973.2342100000001</v>
      </c>
      <c r="AY86" s="351">
        <f t="shared" si="222"/>
        <v>3124.2493199999999</v>
      </c>
      <c r="AZ86" s="352">
        <f t="shared" si="223"/>
        <v>0</v>
      </c>
      <c r="BA86" s="352">
        <f t="shared" si="294"/>
        <v>0</v>
      </c>
      <c r="BB86" s="353">
        <f t="shared" si="295"/>
        <v>3973.2342100000001</v>
      </c>
      <c r="BC86" s="353">
        <f t="shared" si="296"/>
        <v>3124.2493199999999</v>
      </c>
      <c r="BD86" s="343">
        <f t="shared" si="297"/>
        <v>3973.2342100000001</v>
      </c>
      <c r="BE86" s="343">
        <f t="shared" si="298"/>
        <v>3124.2493199999999</v>
      </c>
      <c r="BG86" s="374">
        <v>10.9994</v>
      </c>
      <c r="BH86" s="375">
        <v>5.0904999999999996</v>
      </c>
      <c r="BI86" s="374">
        <v>0</v>
      </c>
      <c r="BJ86" s="374">
        <v>2620.7132999999999</v>
      </c>
      <c r="BK86" s="374">
        <v>1333.6975</v>
      </c>
      <c r="BL86" s="351">
        <f t="shared" si="224"/>
        <v>3682.2691379999997</v>
      </c>
      <c r="BM86" s="351">
        <f t="shared" si="225"/>
        <v>2982.6257599999994</v>
      </c>
      <c r="BN86" s="352">
        <f t="shared" si="226"/>
        <v>0</v>
      </c>
      <c r="BO86" s="352">
        <f t="shared" si="299"/>
        <v>0</v>
      </c>
      <c r="BP86" s="353">
        <f t="shared" si="300"/>
        <v>3682.2691379999997</v>
      </c>
      <c r="BQ86" s="353">
        <f t="shared" si="301"/>
        <v>2982.6257599999994</v>
      </c>
      <c r="BR86" s="343">
        <f t="shared" si="302"/>
        <v>3682.2691379999997</v>
      </c>
      <c r="BS86" s="343">
        <f t="shared" si="303"/>
        <v>2982.6257599999994</v>
      </c>
      <c r="BU86" s="374">
        <v>11.314299999999999</v>
      </c>
      <c r="BV86" s="375">
        <v>4.9656000000000002</v>
      </c>
      <c r="BW86" s="374">
        <v>0</v>
      </c>
      <c r="BX86" s="374">
        <v>2312.7791999999999</v>
      </c>
      <c r="BY86" s="374">
        <v>832.96579999999994</v>
      </c>
      <c r="BZ86" s="351">
        <f t="shared" si="227"/>
        <v>2626.2753159999997</v>
      </c>
      <c r="CA86" s="351">
        <f t="shared" si="228"/>
        <v>1896.2136720000001</v>
      </c>
      <c r="CB86" s="352">
        <f t="shared" si="229"/>
        <v>0</v>
      </c>
      <c r="CC86" s="352">
        <f t="shared" si="304"/>
        <v>0</v>
      </c>
      <c r="CD86" s="353">
        <f t="shared" si="305"/>
        <v>2626.2753159999997</v>
      </c>
      <c r="CE86" s="353">
        <f t="shared" si="306"/>
        <v>1896.2136720000001</v>
      </c>
      <c r="CF86" s="343">
        <f t="shared" si="307"/>
        <v>2626.2753159999997</v>
      </c>
      <c r="CG86" s="343">
        <f t="shared" si="308"/>
        <v>1896.2136720000001</v>
      </c>
      <c r="CI86" s="374">
        <v>1.3201000000000001</v>
      </c>
      <c r="CJ86" s="375">
        <v>0.9446</v>
      </c>
      <c r="CK86" s="374">
        <v>0</v>
      </c>
      <c r="CL86" s="374">
        <v>11508.3583</v>
      </c>
      <c r="CM86" s="374">
        <v>6044.0558000000001</v>
      </c>
      <c r="CN86" s="351">
        <f t="shared" si="230"/>
        <v>280.56085300000001</v>
      </c>
      <c r="CO86" s="351">
        <f t="shared" si="231"/>
        <v>260.19006999999999</v>
      </c>
      <c r="CP86" s="352">
        <f t="shared" si="232"/>
        <v>0</v>
      </c>
      <c r="CQ86" s="352">
        <f t="shared" si="309"/>
        <v>0</v>
      </c>
      <c r="CR86" s="353">
        <f t="shared" si="310"/>
        <v>280.56085300000001</v>
      </c>
      <c r="CS86" s="353">
        <f t="shared" si="311"/>
        <v>260.19006999999999</v>
      </c>
      <c r="CT86" s="343">
        <f t="shared" si="312"/>
        <v>280.56085300000001</v>
      </c>
      <c r="CU86" s="343">
        <f t="shared" si="313"/>
        <v>260.19006999999999</v>
      </c>
      <c r="CW86" s="374">
        <v>2.9213</v>
      </c>
      <c r="CX86" s="375">
        <v>2.2397</v>
      </c>
      <c r="CY86" s="374">
        <v>0</v>
      </c>
      <c r="CZ86" s="374">
        <v>4727.9192000000003</v>
      </c>
      <c r="DA86" s="374">
        <v>2257.3858</v>
      </c>
      <c r="DB86" s="351">
        <f t="shared" si="233"/>
        <v>655.04309899999998</v>
      </c>
      <c r="DC86" s="351">
        <f t="shared" si="234"/>
        <v>695.96437800000001</v>
      </c>
      <c r="DD86" s="352">
        <f t="shared" si="235"/>
        <v>0</v>
      </c>
      <c r="DE86" s="352">
        <f t="shared" si="314"/>
        <v>0</v>
      </c>
      <c r="DF86" s="353">
        <f t="shared" si="315"/>
        <v>655.04309899999998</v>
      </c>
      <c r="DG86" s="353">
        <f t="shared" si="316"/>
        <v>695.96437800000001</v>
      </c>
      <c r="DH86" s="343">
        <f t="shared" si="317"/>
        <v>655.04309899999998</v>
      </c>
      <c r="DI86" s="343">
        <f t="shared" si="318"/>
        <v>695.96437800000001</v>
      </c>
      <c r="DK86" s="374">
        <v>3.2875999999999999</v>
      </c>
      <c r="DL86" s="375">
        <v>2.4251999999999998</v>
      </c>
      <c r="DM86" s="374">
        <v>0</v>
      </c>
      <c r="DN86" s="374">
        <v>2147.6633000000002</v>
      </c>
      <c r="DO86" s="374">
        <v>1138.5942</v>
      </c>
      <c r="DP86" s="351">
        <f t="shared" si="236"/>
        <v>433.20705200000003</v>
      </c>
      <c r="DQ86" s="351">
        <f t="shared" si="237"/>
        <v>477.42487199999999</v>
      </c>
      <c r="DR86" s="352">
        <f t="shared" si="238"/>
        <v>0</v>
      </c>
      <c r="DS86" s="352">
        <f t="shared" si="319"/>
        <v>0</v>
      </c>
      <c r="DT86" s="353">
        <f t="shared" si="320"/>
        <v>433.20705200000003</v>
      </c>
      <c r="DU86" s="353">
        <f t="shared" si="321"/>
        <v>477.42487199999999</v>
      </c>
      <c r="DV86" s="343">
        <f t="shared" si="322"/>
        <v>433.20705200000003</v>
      </c>
      <c r="DW86" s="343">
        <f t="shared" si="323"/>
        <v>477.42487199999999</v>
      </c>
      <c r="EB86" s="326"/>
      <c r="EC86" s="326"/>
      <c r="ED86" s="326"/>
      <c r="EE86" s="348">
        <f t="shared" si="324"/>
        <v>23514.020800000002</v>
      </c>
      <c r="EF86" s="348">
        <f t="shared" si="325"/>
        <v>12691.395</v>
      </c>
      <c r="EG86" s="348">
        <f t="shared" si="326"/>
        <v>9685.0746822000001</v>
      </c>
      <c r="EH86" s="348">
        <f t="shared" si="327"/>
        <v>8728.365317400001</v>
      </c>
      <c r="EI86" s="354">
        <f t="shared" si="239"/>
        <v>0.64946142118329164</v>
      </c>
      <c r="EJ86" s="326"/>
      <c r="EK86" s="348">
        <f t="shared" si="328"/>
        <v>9685.0746822000001</v>
      </c>
      <c r="EL86" s="348">
        <f t="shared" si="329"/>
        <v>8728.365317400001</v>
      </c>
      <c r="EM86" s="348">
        <f t="shared" si="330"/>
        <v>9685.0746822000001</v>
      </c>
      <c r="EN86" s="348">
        <f t="shared" si="331"/>
        <v>8728.365317400001</v>
      </c>
      <c r="EP86" s="326"/>
      <c r="EQ86" s="326"/>
      <c r="ER86" s="326"/>
      <c r="ES86" s="348">
        <f t="shared" si="240"/>
        <v>20178.8825</v>
      </c>
      <c r="ET86" s="348">
        <f t="shared" si="241"/>
        <v>10192.8799</v>
      </c>
      <c r="EU86" s="348">
        <f t="shared" si="242"/>
        <v>8847.5427202999999</v>
      </c>
      <c r="EV86" s="348">
        <f t="shared" si="243"/>
        <v>7848.6819485999995</v>
      </c>
      <c r="EW86" s="354">
        <f t="shared" si="244"/>
        <v>0.66439616622313624</v>
      </c>
      <c r="EX86" s="326"/>
      <c r="EY86" s="348">
        <f t="shared" si="245"/>
        <v>8847.5427202999999</v>
      </c>
      <c r="EZ86" s="348">
        <f t="shared" si="246"/>
        <v>7848.6819485999995</v>
      </c>
      <c r="FA86" s="348">
        <f t="shared" si="247"/>
        <v>8847.5427202999999</v>
      </c>
      <c r="FB86" s="348">
        <f t="shared" si="248"/>
        <v>7848.6819485999995</v>
      </c>
      <c r="FD86" s="326"/>
      <c r="FE86" s="326"/>
      <c r="FF86" s="326"/>
      <c r="FG86" s="348">
        <f t="shared" si="249"/>
        <v>16145.800800000001</v>
      </c>
      <c r="FH86" s="348">
        <f t="shared" si="250"/>
        <v>8093.9308000000001</v>
      </c>
      <c r="FI86" s="348">
        <f t="shared" si="251"/>
        <v>6698.7310381999996</v>
      </c>
      <c r="FJ86" s="348">
        <f t="shared" si="252"/>
        <v>5945.2553871999999</v>
      </c>
      <c r="FK86" s="354">
        <f t="shared" si="253"/>
        <v>0.6660882664228841</v>
      </c>
      <c r="FL86" s="326"/>
      <c r="FM86" s="348">
        <f t="shared" si="254"/>
        <v>6698.7310381999996</v>
      </c>
      <c r="FN86" s="348">
        <f t="shared" si="255"/>
        <v>5945.2553871999999</v>
      </c>
      <c r="FO86" s="348">
        <f t="shared" si="256"/>
        <v>6698.7310381999996</v>
      </c>
      <c r="FP86" s="348">
        <f t="shared" si="257"/>
        <v>5945.2553871999999</v>
      </c>
      <c r="FR86" s="326"/>
      <c r="FS86" s="326"/>
      <c r="FT86" s="326"/>
      <c r="FU86" s="348">
        <f t="shared" si="258"/>
        <v>16236.2775</v>
      </c>
      <c r="FV86" s="348">
        <f t="shared" si="259"/>
        <v>8301.4416000000001</v>
      </c>
      <c r="FW86" s="348">
        <f t="shared" si="260"/>
        <v>804.59533220000003</v>
      </c>
      <c r="FX86" s="348">
        <f t="shared" si="261"/>
        <v>816.96157240000002</v>
      </c>
      <c r="FY86" s="354">
        <f t="shared" si="262"/>
        <v>0.66168650125267747</v>
      </c>
      <c r="FZ86" s="326"/>
      <c r="GA86" s="348">
        <f t="shared" si="263"/>
        <v>804.59533220000003</v>
      </c>
      <c r="GB86" s="348">
        <f t="shared" si="264"/>
        <v>816.96157240000002</v>
      </c>
      <c r="GC86" s="348">
        <f t="shared" si="265"/>
        <v>804.59533220000003</v>
      </c>
      <c r="GD86" s="348">
        <f t="shared" si="266"/>
        <v>816.96157240000002</v>
      </c>
      <c r="GF86" s="326"/>
      <c r="GG86" s="326"/>
      <c r="GH86" s="326"/>
      <c r="GI86" s="348">
        <f t="shared" si="267"/>
        <v>7117.1125000000002</v>
      </c>
      <c r="GJ86" s="348">
        <f t="shared" si="268"/>
        <v>3268.1124999999997</v>
      </c>
      <c r="GK86" s="349">
        <f t="shared" si="269"/>
        <v>1010.2191705000002</v>
      </c>
      <c r="GL86" s="349">
        <f t="shared" si="270"/>
        <v>921.0267359999998</v>
      </c>
      <c r="GM86" s="354">
        <f t="shared" si="271"/>
        <v>0.68531134376000524</v>
      </c>
      <c r="GN86" s="326"/>
      <c r="GO86" s="349">
        <f t="shared" si="272"/>
        <v>1010.2191705000002</v>
      </c>
      <c r="GP86" s="349">
        <f t="shared" si="273"/>
        <v>921.0267359999998</v>
      </c>
      <c r="GQ86" s="349">
        <f t="shared" si="274"/>
        <v>1010.2191705000002</v>
      </c>
      <c r="GR86" s="349">
        <f t="shared" si="275"/>
        <v>921.0267359999998</v>
      </c>
      <c r="HA86" s="374"/>
      <c r="HB86" s="375"/>
      <c r="HC86" s="374"/>
      <c r="HD86" s="374"/>
      <c r="HE86" s="374"/>
      <c r="HF86" s="351">
        <f t="shared" si="276"/>
        <v>0</v>
      </c>
      <c r="HG86" s="351">
        <f t="shared" si="277"/>
        <v>0</v>
      </c>
      <c r="HH86" s="352">
        <f t="shared" si="278"/>
        <v>0</v>
      </c>
      <c r="HI86" s="352">
        <f t="shared" si="332"/>
        <v>0</v>
      </c>
      <c r="HJ86" s="353">
        <f t="shared" si="333"/>
        <v>0</v>
      </c>
      <c r="HK86" s="353">
        <f t="shared" si="334"/>
        <v>0</v>
      </c>
    </row>
    <row r="87" spans="1:219" x14ac:dyDescent="0.2">
      <c r="A87" s="320">
        <v>77</v>
      </c>
      <c r="C87" s="350">
        <v>5.1939000000000002</v>
      </c>
      <c r="D87" s="350">
        <v>2.6495000000000002</v>
      </c>
      <c r="E87" s="350">
        <v>0</v>
      </c>
      <c r="F87" s="350">
        <v>2185.6075000000001</v>
      </c>
      <c r="G87" s="350">
        <v>1756.2717</v>
      </c>
      <c r="H87" s="351">
        <f t="shared" si="212"/>
        <v>5069.7657900000004</v>
      </c>
      <c r="I87" s="351">
        <f t="shared" si="213"/>
        <v>4911.3516550000004</v>
      </c>
      <c r="J87" s="352">
        <f t="shared" si="214"/>
        <v>0</v>
      </c>
      <c r="K87" s="352">
        <f t="shared" si="279"/>
        <v>0</v>
      </c>
      <c r="L87" s="353">
        <f t="shared" si="280"/>
        <v>5069.7657900000004</v>
      </c>
      <c r="M87" s="353">
        <f t="shared" si="281"/>
        <v>4911.3516550000004</v>
      </c>
      <c r="N87" s="343">
        <f t="shared" si="282"/>
        <v>5069.7657900000004</v>
      </c>
      <c r="O87" s="343">
        <f t="shared" si="283"/>
        <v>4911.3516550000004</v>
      </c>
      <c r="Q87" s="374">
        <v>7.2214</v>
      </c>
      <c r="R87" s="375">
        <v>3.5173999999999999</v>
      </c>
      <c r="S87" s="374">
        <v>0</v>
      </c>
      <c r="T87" s="374">
        <v>1056.2283</v>
      </c>
      <c r="U87" s="374">
        <v>502.16250000000002</v>
      </c>
      <c r="V87" s="351">
        <f t="shared" si="215"/>
        <v>4617.3631599999999</v>
      </c>
      <c r="W87" s="351">
        <f t="shared" si="216"/>
        <v>4225.7340119999999</v>
      </c>
      <c r="X87" s="352">
        <f t="shared" si="217"/>
        <v>0</v>
      </c>
      <c r="Y87" s="352">
        <f t="shared" si="284"/>
        <v>0</v>
      </c>
      <c r="Z87" s="353">
        <f t="shared" si="285"/>
        <v>4617.3631599999999</v>
      </c>
      <c r="AA87" s="353">
        <f t="shared" si="286"/>
        <v>4225.7340119999999</v>
      </c>
      <c r="AB87" s="343">
        <f t="shared" si="287"/>
        <v>4617.3631599999999</v>
      </c>
      <c r="AC87" s="343">
        <f t="shared" si="288"/>
        <v>4225.7340119999999</v>
      </c>
      <c r="AE87" s="374">
        <v>8.6088000000000005</v>
      </c>
      <c r="AF87" s="375">
        <v>3.6379999999999999</v>
      </c>
      <c r="AG87" s="374">
        <v>0</v>
      </c>
      <c r="AH87" s="374">
        <v>141.16749999999999</v>
      </c>
      <c r="AI87" s="374">
        <v>78.540000000000006</v>
      </c>
      <c r="AJ87" s="351">
        <f t="shared" si="218"/>
        <v>3689.5595039999998</v>
      </c>
      <c r="AK87" s="351">
        <f t="shared" si="219"/>
        <v>3616.8268399999997</v>
      </c>
      <c r="AL87" s="352">
        <f t="shared" si="220"/>
        <v>0</v>
      </c>
      <c r="AM87" s="352">
        <f t="shared" si="289"/>
        <v>0</v>
      </c>
      <c r="AN87" s="353">
        <f t="shared" si="290"/>
        <v>3689.5595039999998</v>
      </c>
      <c r="AO87" s="353">
        <f t="shared" si="291"/>
        <v>3616.8268399999997</v>
      </c>
      <c r="AP87" s="343">
        <f t="shared" si="292"/>
        <v>3689.5595039999998</v>
      </c>
      <c r="AQ87" s="343">
        <f t="shared" si="293"/>
        <v>3616.8268399999997</v>
      </c>
      <c r="AS87" s="374">
        <v>12.299899999999999</v>
      </c>
      <c r="AT87" s="375">
        <v>4.8268000000000004</v>
      </c>
      <c r="AU87" s="374">
        <v>0</v>
      </c>
      <c r="AV87" s="374">
        <v>4277.3874999999998</v>
      </c>
      <c r="AW87" s="374">
        <v>2162.3150000000001</v>
      </c>
      <c r="AX87" s="351">
        <f t="shared" si="221"/>
        <v>4190.2069329999995</v>
      </c>
      <c r="AY87" s="351">
        <f t="shared" si="222"/>
        <v>3297.2836160000002</v>
      </c>
      <c r="AZ87" s="352">
        <f t="shared" si="223"/>
        <v>0</v>
      </c>
      <c r="BA87" s="352">
        <f t="shared" si="294"/>
        <v>0</v>
      </c>
      <c r="BB87" s="353">
        <f t="shared" si="295"/>
        <v>4190.2069329999995</v>
      </c>
      <c r="BC87" s="353">
        <f t="shared" si="296"/>
        <v>3297.2836160000002</v>
      </c>
      <c r="BD87" s="343">
        <f t="shared" si="297"/>
        <v>4190.2069329999995</v>
      </c>
      <c r="BE87" s="343">
        <f t="shared" si="298"/>
        <v>3297.2836160000002</v>
      </c>
      <c r="BG87" s="374">
        <v>11.583</v>
      </c>
      <c r="BH87" s="375">
        <v>5.3606999999999996</v>
      </c>
      <c r="BI87" s="374">
        <v>0</v>
      </c>
      <c r="BJ87" s="374">
        <v>2247.9007999999999</v>
      </c>
      <c r="BK87" s="374">
        <v>1156.8399999999999</v>
      </c>
      <c r="BL87" s="351">
        <f t="shared" si="224"/>
        <v>3877.6409100000001</v>
      </c>
      <c r="BM87" s="351">
        <f t="shared" si="225"/>
        <v>3140.9413439999994</v>
      </c>
      <c r="BN87" s="352">
        <f t="shared" si="226"/>
        <v>0</v>
      </c>
      <c r="BO87" s="352">
        <f t="shared" si="299"/>
        <v>0</v>
      </c>
      <c r="BP87" s="353">
        <f t="shared" si="300"/>
        <v>3877.6409100000001</v>
      </c>
      <c r="BQ87" s="353">
        <f t="shared" si="301"/>
        <v>3140.9413439999994</v>
      </c>
      <c r="BR87" s="343">
        <f t="shared" si="302"/>
        <v>3877.6409100000001</v>
      </c>
      <c r="BS87" s="343">
        <f t="shared" si="303"/>
        <v>3140.9413439999994</v>
      </c>
      <c r="BU87" s="374">
        <v>11.822900000000001</v>
      </c>
      <c r="BV87" s="375">
        <v>5.2458</v>
      </c>
      <c r="BW87" s="374">
        <v>0</v>
      </c>
      <c r="BX87" s="374">
        <v>2020.9875</v>
      </c>
      <c r="BY87" s="374">
        <v>690.91920000000005</v>
      </c>
      <c r="BZ87" s="351">
        <f t="shared" si="227"/>
        <v>2744.3315480000001</v>
      </c>
      <c r="CA87" s="351">
        <f t="shared" si="228"/>
        <v>2003.2136459999999</v>
      </c>
      <c r="CB87" s="352">
        <f t="shared" si="229"/>
        <v>0</v>
      </c>
      <c r="CC87" s="352">
        <f t="shared" si="304"/>
        <v>0</v>
      </c>
      <c r="CD87" s="353">
        <f t="shared" si="305"/>
        <v>2744.3315480000001</v>
      </c>
      <c r="CE87" s="353">
        <f t="shared" si="306"/>
        <v>2003.2136459999999</v>
      </c>
      <c r="CF87" s="343">
        <f t="shared" si="307"/>
        <v>2744.3315480000001</v>
      </c>
      <c r="CG87" s="343">
        <f t="shared" si="308"/>
        <v>2003.2136459999999</v>
      </c>
      <c r="CI87" s="374">
        <v>1.2888999999999999</v>
      </c>
      <c r="CJ87" s="375">
        <v>0.9073</v>
      </c>
      <c r="CK87" s="374">
        <v>0</v>
      </c>
      <c r="CL87" s="374">
        <v>10080.26</v>
      </c>
      <c r="CM87" s="374">
        <v>5300.26</v>
      </c>
      <c r="CN87" s="351">
        <f t="shared" si="230"/>
        <v>273.92991699999999</v>
      </c>
      <c r="CO87" s="351">
        <f t="shared" si="231"/>
        <v>249.915785</v>
      </c>
      <c r="CP87" s="352">
        <f t="shared" si="232"/>
        <v>0</v>
      </c>
      <c r="CQ87" s="352">
        <f t="shared" si="309"/>
        <v>0</v>
      </c>
      <c r="CR87" s="353">
        <f t="shared" si="310"/>
        <v>273.92991699999999</v>
      </c>
      <c r="CS87" s="353">
        <f t="shared" si="311"/>
        <v>249.915785</v>
      </c>
      <c r="CT87" s="343">
        <f t="shared" si="312"/>
        <v>273.92991699999999</v>
      </c>
      <c r="CU87" s="343">
        <f t="shared" si="313"/>
        <v>249.915785</v>
      </c>
      <c r="CW87" s="374">
        <v>2.9064000000000001</v>
      </c>
      <c r="CX87" s="375">
        <v>2.1863000000000001</v>
      </c>
      <c r="CY87" s="374">
        <v>0</v>
      </c>
      <c r="CZ87" s="374">
        <v>4065.1491999999998</v>
      </c>
      <c r="DA87" s="374">
        <v>2020.1125</v>
      </c>
      <c r="DB87" s="351">
        <f t="shared" si="233"/>
        <v>651.70207200000004</v>
      </c>
      <c r="DC87" s="351">
        <f t="shared" si="234"/>
        <v>679.3708620000001</v>
      </c>
      <c r="DD87" s="352">
        <f t="shared" si="235"/>
        <v>0</v>
      </c>
      <c r="DE87" s="352">
        <f t="shared" si="314"/>
        <v>0</v>
      </c>
      <c r="DF87" s="353">
        <f t="shared" si="315"/>
        <v>651.70207200000004</v>
      </c>
      <c r="DG87" s="353">
        <f t="shared" si="316"/>
        <v>679.3708620000001</v>
      </c>
      <c r="DH87" s="343">
        <f t="shared" si="317"/>
        <v>651.70207200000004</v>
      </c>
      <c r="DI87" s="343">
        <f t="shared" si="318"/>
        <v>679.3708620000001</v>
      </c>
      <c r="DK87" s="374">
        <v>3.3060999999999998</v>
      </c>
      <c r="DL87" s="375">
        <v>2.3860999999999999</v>
      </c>
      <c r="DM87" s="374">
        <v>0</v>
      </c>
      <c r="DN87" s="374">
        <v>1865.5450000000001</v>
      </c>
      <c r="DO87" s="374">
        <v>920.68920000000003</v>
      </c>
      <c r="DP87" s="351">
        <f t="shared" si="236"/>
        <v>435.64479699999998</v>
      </c>
      <c r="DQ87" s="351">
        <f t="shared" si="237"/>
        <v>469.72764599999999</v>
      </c>
      <c r="DR87" s="352">
        <f t="shared" si="238"/>
        <v>0</v>
      </c>
      <c r="DS87" s="352">
        <f t="shared" si="319"/>
        <v>0</v>
      </c>
      <c r="DT87" s="353">
        <f t="shared" si="320"/>
        <v>435.64479699999998</v>
      </c>
      <c r="DU87" s="353">
        <f t="shared" si="321"/>
        <v>469.72764599999999</v>
      </c>
      <c r="DV87" s="343">
        <f t="shared" si="322"/>
        <v>435.64479699999998</v>
      </c>
      <c r="DW87" s="343">
        <f t="shared" si="323"/>
        <v>469.72764599999999</v>
      </c>
      <c r="EB87" s="326"/>
      <c r="EC87" s="326"/>
      <c r="ED87" s="326"/>
      <c r="EE87" s="348">
        <f t="shared" si="324"/>
        <v>20608.404200000001</v>
      </c>
      <c r="EF87" s="348">
        <f t="shared" si="325"/>
        <v>11238.959199999999</v>
      </c>
      <c r="EG87" s="348">
        <f t="shared" si="326"/>
        <v>10055.264297599999</v>
      </c>
      <c r="EH87" s="348">
        <f t="shared" si="327"/>
        <v>9002.0477456000008</v>
      </c>
      <c r="EI87" s="354">
        <f t="shared" si="239"/>
        <v>0.64709922580278656</v>
      </c>
      <c r="EJ87" s="326"/>
      <c r="EK87" s="348">
        <f t="shared" si="328"/>
        <v>10055.264297599999</v>
      </c>
      <c r="EL87" s="348">
        <f t="shared" si="329"/>
        <v>9002.0477456000008</v>
      </c>
      <c r="EM87" s="348">
        <f t="shared" si="330"/>
        <v>10055.264297599999</v>
      </c>
      <c r="EN87" s="348">
        <f t="shared" si="331"/>
        <v>9002.0477456000008</v>
      </c>
      <c r="EP87" s="326"/>
      <c r="EQ87" s="326"/>
      <c r="ER87" s="326"/>
      <c r="ES87" s="348">
        <f t="shared" si="240"/>
        <v>17449.5383</v>
      </c>
      <c r="ET87" s="348">
        <f t="shared" si="241"/>
        <v>8979.375</v>
      </c>
      <c r="EU87" s="348">
        <f t="shared" si="242"/>
        <v>9225.1254373999982</v>
      </c>
      <c r="EV87" s="348">
        <f t="shared" si="243"/>
        <v>8092.1507443999999</v>
      </c>
      <c r="EW87" s="354">
        <f t="shared" si="244"/>
        <v>0.66024425983492863</v>
      </c>
      <c r="EX87" s="326"/>
      <c r="EY87" s="348">
        <f t="shared" si="245"/>
        <v>9225.1254373999982</v>
      </c>
      <c r="EZ87" s="348">
        <f t="shared" si="246"/>
        <v>8092.1507443999999</v>
      </c>
      <c r="FA87" s="348">
        <f t="shared" si="247"/>
        <v>9225.1254373999982</v>
      </c>
      <c r="FB87" s="348">
        <f t="shared" si="248"/>
        <v>8092.1507443999999</v>
      </c>
      <c r="FD87" s="326"/>
      <c r="FE87" s="326"/>
      <c r="FF87" s="326"/>
      <c r="FG87" s="348">
        <f t="shared" si="249"/>
        <v>14107.960000000001</v>
      </c>
      <c r="FH87" s="348">
        <f t="shared" si="250"/>
        <v>6990.4084000000003</v>
      </c>
      <c r="FI87" s="348">
        <f t="shared" si="251"/>
        <v>6969.2078472000003</v>
      </c>
      <c r="FJ87" s="348">
        <f t="shared" si="252"/>
        <v>6151.7928585999998</v>
      </c>
      <c r="FK87" s="354">
        <f t="shared" si="253"/>
        <v>0.66867540335488695</v>
      </c>
      <c r="FL87" s="326"/>
      <c r="FM87" s="348">
        <f t="shared" si="254"/>
        <v>6969.2078472000003</v>
      </c>
      <c r="FN87" s="348">
        <f t="shared" si="255"/>
        <v>6151.7928585999998</v>
      </c>
      <c r="FO87" s="348">
        <f t="shared" si="256"/>
        <v>6969.2078472000003</v>
      </c>
      <c r="FP87" s="348">
        <f t="shared" si="257"/>
        <v>6151.7928585999998</v>
      </c>
      <c r="FR87" s="326"/>
      <c r="FS87" s="326"/>
      <c r="FT87" s="326"/>
      <c r="FU87" s="348">
        <f t="shared" si="258"/>
        <v>14145.4092</v>
      </c>
      <c r="FV87" s="348">
        <f t="shared" si="259"/>
        <v>7320.3725000000004</v>
      </c>
      <c r="FW87" s="348">
        <f t="shared" si="260"/>
        <v>795.2915746000001</v>
      </c>
      <c r="FX87" s="348">
        <f t="shared" si="261"/>
        <v>793.41247460000011</v>
      </c>
      <c r="FY87" s="354">
        <f t="shared" si="262"/>
        <v>0.65897479987882301</v>
      </c>
      <c r="FZ87" s="326"/>
      <c r="GA87" s="348">
        <f t="shared" si="263"/>
        <v>795.2915746000001</v>
      </c>
      <c r="GB87" s="348">
        <f t="shared" si="264"/>
        <v>793.41247460000011</v>
      </c>
      <c r="GC87" s="348">
        <f t="shared" si="265"/>
        <v>795.2915746000001</v>
      </c>
      <c r="GD87" s="348">
        <f t="shared" si="266"/>
        <v>793.41247460000011</v>
      </c>
      <c r="GF87" s="326"/>
      <c r="GG87" s="326"/>
      <c r="GH87" s="326"/>
      <c r="GI87" s="348">
        <f t="shared" si="267"/>
        <v>6298.375</v>
      </c>
      <c r="GJ87" s="348">
        <f t="shared" si="268"/>
        <v>2853.2341999999999</v>
      </c>
      <c r="GK87" s="349">
        <f t="shared" si="269"/>
        <v>1084.4065387499995</v>
      </c>
      <c r="GL87" s="349">
        <f t="shared" si="270"/>
        <v>970.55247750000012</v>
      </c>
      <c r="GM87" s="354">
        <f t="shared" si="271"/>
        <v>0.68822595702622447</v>
      </c>
      <c r="GN87" s="326"/>
      <c r="GO87" s="349">
        <f t="shared" si="272"/>
        <v>1084.4065387499995</v>
      </c>
      <c r="GP87" s="349">
        <f t="shared" si="273"/>
        <v>970.55247750000012</v>
      </c>
      <c r="GQ87" s="349">
        <f t="shared" si="274"/>
        <v>1084.4065387499995</v>
      </c>
      <c r="GR87" s="349">
        <f t="shared" si="275"/>
        <v>970.55247750000012</v>
      </c>
      <c r="HA87" s="374"/>
      <c r="HB87" s="375"/>
      <c r="HC87" s="374"/>
      <c r="HD87" s="374"/>
      <c r="HE87" s="374"/>
      <c r="HF87" s="351">
        <f t="shared" si="276"/>
        <v>0</v>
      </c>
      <c r="HG87" s="351">
        <f t="shared" si="277"/>
        <v>0</v>
      </c>
      <c r="HH87" s="352">
        <f t="shared" si="278"/>
        <v>0</v>
      </c>
      <c r="HI87" s="352">
        <f t="shared" si="332"/>
        <v>0</v>
      </c>
      <c r="HJ87" s="353">
        <f t="shared" si="333"/>
        <v>0</v>
      </c>
      <c r="HK87" s="353">
        <f t="shared" si="334"/>
        <v>0</v>
      </c>
    </row>
    <row r="88" spans="1:219" x14ac:dyDescent="0.2">
      <c r="A88" s="320">
        <v>78</v>
      </c>
      <c r="C88" s="350">
        <v>5.3552999999999997</v>
      </c>
      <c r="D88" s="350">
        <v>2.7134</v>
      </c>
      <c r="E88" s="350">
        <v>0</v>
      </c>
      <c r="F88" s="350">
        <v>1720.3082999999999</v>
      </c>
      <c r="G88" s="350">
        <v>1572.9974999999999</v>
      </c>
      <c r="H88" s="351">
        <f t="shared" si="212"/>
        <v>5227.3083299999998</v>
      </c>
      <c r="I88" s="351">
        <f t="shared" si="213"/>
        <v>5029.8024460000006</v>
      </c>
      <c r="J88" s="352">
        <f t="shared" si="214"/>
        <v>0</v>
      </c>
      <c r="K88" s="352">
        <f t="shared" si="279"/>
        <v>0</v>
      </c>
      <c r="L88" s="353">
        <f t="shared" si="280"/>
        <v>5227.3083299999998</v>
      </c>
      <c r="M88" s="353">
        <f t="shared" si="281"/>
        <v>5029.8024460000006</v>
      </c>
      <c r="N88" s="343">
        <f t="shared" si="282"/>
        <v>5227.3083299999998</v>
      </c>
      <c r="O88" s="343">
        <f t="shared" si="283"/>
        <v>5029.8024460000006</v>
      </c>
      <c r="Q88" s="374">
        <v>7.4992000000000001</v>
      </c>
      <c r="R88" s="375">
        <v>3.5939000000000001</v>
      </c>
      <c r="S88" s="374">
        <v>0</v>
      </c>
      <c r="T88" s="374">
        <v>905.47749999999996</v>
      </c>
      <c r="U88" s="374">
        <v>443.83170000000001</v>
      </c>
      <c r="V88" s="351">
        <f t="shared" si="215"/>
        <v>4794.98848</v>
      </c>
      <c r="W88" s="351">
        <f t="shared" si="216"/>
        <v>4317.6395820000007</v>
      </c>
      <c r="X88" s="352">
        <f t="shared" si="217"/>
        <v>0</v>
      </c>
      <c r="Y88" s="352">
        <f t="shared" si="284"/>
        <v>0</v>
      </c>
      <c r="Z88" s="353">
        <f t="shared" si="285"/>
        <v>4794.98848</v>
      </c>
      <c r="AA88" s="353">
        <f t="shared" si="286"/>
        <v>4317.6395820000007</v>
      </c>
      <c r="AB88" s="343">
        <f t="shared" si="287"/>
        <v>4794.98848</v>
      </c>
      <c r="AC88" s="343">
        <f t="shared" si="288"/>
        <v>4317.6395820000007</v>
      </c>
      <c r="AE88" s="374">
        <v>8.9840999999999998</v>
      </c>
      <c r="AF88" s="375">
        <v>3.7555000000000001</v>
      </c>
      <c r="AG88" s="374">
        <v>0</v>
      </c>
      <c r="AH88" s="374">
        <v>111.75</v>
      </c>
      <c r="AI88" s="374">
        <v>45.75</v>
      </c>
      <c r="AJ88" s="351">
        <f t="shared" si="218"/>
        <v>3850.4055779999999</v>
      </c>
      <c r="AK88" s="351">
        <f t="shared" si="219"/>
        <v>3733.6429899999998</v>
      </c>
      <c r="AL88" s="352">
        <f t="shared" si="220"/>
        <v>0</v>
      </c>
      <c r="AM88" s="352">
        <f t="shared" si="289"/>
        <v>0</v>
      </c>
      <c r="AN88" s="353">
        <f t="shared" si="290"/>
        <v>3850.4055779999999</v>
      </c>
      <c r="AO88" s="353">
        <f t="shared" si="291"/>
        <v>3733.6429899999998</v>
      </c>
      <c r="AP88" s="343">
        <f t="shared" si="292"/>
        <v>3850.4055779999999</v>
      </c>
      <c r="AQ88" s="343">
        <f t="shared" si="293"/>
        <v>3733.6429899999998</v>
      </c>
      <c r="AS88" s="374">
        <v>12.9261</v>
      </c>
      <c r="AT88" s="375">
        <v>5.0811999999999999</v>
      </c>
      <c r="AU88" s="374">
        <v>0</v>
      </c>
      <c r="AV88" s="374">
        <v>3615.9007999999999</v>
      </c>
      <c r="AW88" s="374">
        <v>1957.6992</v>
      </c>
      <c r="AX88" s="351">
        <f t="shared" si="221"/>
        <v>4403.5344869999999</v>
      </c>
      <c r="AY88" s="351">
        <f t="shared" si="222"/>
        <v>3471.069344</v>
      </c>
      <c r="AZ88" s="352">
        <f t="shared" si="223"/>
        <v>0</v>
      </c>
      <c r="BA88" s="352">
        <f t="shared" si="294"/>
        <v>0</v>
      </c>
      <c r="BB88" s="353">
        <f t="shared" si="295"/>
        <v>4403.5344869999999</v>
      </c>
      <c r="BC88" s="353">
        <f t="shared" si="296"/>
        <v>3471.069344</v>
      </c>
      <c r="BD88" s="343">
        <f t="shared" si="297"/>
        <v>4403.5344869999999</v>
      </c>
      <c r="BE88" s="343">
        <f t="shared" si="298"/>
        <v>3471.069344</v>
      </c>
      <c r="BG88" s="374">
        <v>12.1495</v>
      </c>
      <c r="BH88" s="375">
        <v>5.6287000000000003</v>
      </c>
      <c r="BI88" s="374">
        <v>0</v>
      </c>
      <c r="BJ88" s="374">
        <v>1853.3592000000001</v>
      </c>
      <c r="BK88" s="374">
        <v>1132.8975</v>
      </c>
      <c r="BL88" s="351">
        <f t="shared" si="224"/>
        <v>4067.2881149999998</v>
      </c>
      <c r="BM88" s="351">
        <f t="shared" si="225"/>
        <v>3297.9679040000001</v>
      </c>
      <c r="BN88" s="352">
        <f t="shared" si="226"/>
        <v>0</v>
      </c>
      <c r="BO88" s="352">
        <f t="shared" si="299"/>
        <v>0</v>
      </c>
      <c r="BP88" s="353">
        <f t="shared" si="300"/>
        <v>4067.2881149999998</v>
      </c>
      <c r="BQ88" s="353">
        <f t="shared" si="301"/>
        <v>3297.9679040000001</v>
      </c>
      <c r="BR88" s="343">
        <f t="shared" si="302"/>
        <v>4067.2881149999998</v>
      </c>
      <c r="BS88" s="343">
        <f t="shared" si="303"/>
        <v>3297.9679040000001</v>
      </c>
      <c r="BU88" s="374">
        <v>12.2555</v>
      </c>
      <c r="BV88" s="375">
        <v>5.5167999999999999</v>
      </c>
      <c r="BW88" s="374">
        <v>0</v>
      </c>
      <c r="BX88" s="374">
        <v>1536.6292000000001</v>
      </c>
      <c r="BY88" s="374">
        <v>611.39750000000004</v>
      </c>
      <c r="BZ88" s="351">
        <f t="shared" si="227"/>
        <v>2844.7466599999998</v>
      </c>
      <c r="CA88" s="351">
        <f t="shared" si="228"/>
        <v>2106.7004160000001</v>
      </c>
      <c r="CB88" s="352">
        <f t="shared" si="229"/>
        <v>0</v>
      </c>
      <c r="CC88" s="352">
        <f t="shared" si="304"/>
        <v>0</v>
      </c>
      <c r="CD88" s="353">
        <f t="shared" si="305"/>
        <v>2844.7466599999998</v>
      </c>
      <c r="CE88" s="353">
        <f t="shared" si="306"/>
        <v>2106.7004160000001</v>
      </c>
      <c r="CF88" s="343">
        <f t="shared" si="307"/>
        <v>2844.7466599999998</v>
      </c>
      <c r="CG88" s="343">
        <f t="shared" si="308"/>
        <v>2106.7004160000001</v>
      </c>
      <c r="CI88" s="374">
        <v>1.2493000000000001</v>
      </c>
      <c r="CJ88" s="375">
        <v>0.86750000000000005</v>
      </c>
      <c r="CK88" s="374">
        <v>0</v>
      </c>
      <c r="CL88" s="374">
        <v>8293.7942000000003</v>
      </c>
      <c r="CM88" s="374">
        <v>4882.1067000000003</v>
      </c>
      <c r="CN88" s="351">
        <f t="shared" si="230"/>
        <v>265.51372900000001</v>
      </c>
      <c r="CO88" s="351">
        <f t="shared" si="231"/>
        <v>238.95287500000001</v>
      </c>
      <c r="CP88" s="352">
        <f t="shared" si="232"/>
        <v>0</v>
      </c>
      <c r="CQ88" s="352">
        <f t="shared" si="309"/>
        <v>0</v>
      </c>
      <c r="CR88" s="353">
        <f t="shared" si="310"/>
        <v>265.51372900000001</v>
      </c>
      <c r="CS88" s="353">
        <f t="shared" si="311"/>
        <v>238.95287500000001</v>
      </c>
      <c r="CT88" s="343">
        <f t="shared" si="312"/>
        <v>265.51372900000001</v>
      </c>
      <c r="CU88" s="343">
        <f t="shared" si="313"/>
        <v>238.95287500000001</v>
      </c>
      <c r="CW88" s="374">
        <v>2.8788</v>
      </c>
      <c r="CX88" s="375">
        <v>2.1206</v>
      </c>
      <c r="CY88" s="374">
        <v>0</v>
      </c>
      <c r="CZ88" s="374">
        <v>3297.81</v>
      </c>
      <c r="DA88" s="374">
        <v>1806.8291999999999</v>
      </c>
      <c r="DB88" s="351">
        <f t="shared" si="233"/>
        <v>645.51332400000001</v>
      </c>
      <c r="DC88" s="351">
        <f t="shared" si="234"/>
        <v>658.95524399999999</v>
      </c>
      <c r="DD88" s="352">
        <f t="shared" si="235"/>
        <v>0</v>
      </c>
      <c r="DE88" s="352">
        <f t="shared" si="314"/>
        <v>0</v>
      </c>
      <c r="DF88" s="353">
        <f t="shared" si="315"/>
        <v>645.51332400000001</v>
      </c>
      <c r="DG88" s="353">
        <f t="shared" si="316"/>
        <v>658.95524399999999</v>
      </c>
      <c r="DH88" s="343">
        <f t="shared" si="317"/>
        <v>645.51332400000001</v>
      </c>
      <c r="DI88" s="343">
        <f t="shared" si="318"/>
        <v>658.95524399999999</v>
      </c>
      <c r="DK88" s="374">
        <v>3.3134000000000001</v>
      </c>
      <c r="DL88" s="375">
        <v>2.3378999999999999</v>
      </c>
      <c r="DM88" s="374">
        <v>0</v>
      </c>
      <c r="DN88" s="374">
        <v>1562.2283</v>
      </c>
      <c r="DO88" s="374">
        <v>960.31920000000002</v>
      </c>
      <c r="DP88" s="351">
        <f t="shared" si="236"/>
        <v>436.60671800000006</v>
      </c>
      <c r="DQ88" s="351">
        <f t="shared" si="237"/>
        <v>460.23899399999999</v>
      </c>
      <c r="DR88" s="352">
        <f t="shared" si="238"/>
        <v>0</v>
      </c>
      <c r="DS88" s="352">
        <f t="shared" si="319"/>
        <v>0</v>
      </c>
      <c r="DT88" s="353">
        <f t="shared" si="320"/>
        <v>436.60671800000006</v>
      </c>
      <c r="DU88" s="353">
        <f t="shared" si="321"/>
        <v>460.23899399999999</v>
      </c>
      <c r="DV88" s="343">
        <f t="shared" si="322"/>
        <v>436.60671800000006</v>
      </c>
      <c r="DW88" s="343">
        <f t="shared" si="323"/>
        <v>460.23899399999999</v>
      </c>
      <c r="EB88" s="326"/>
      <c r="EC88" s="326"/>
      <c r="ED88" s="326"/>
      <c r="EE88" s="348">
        <f t="shared" si="324"/>
        <v>16927.813300000002</v>
      </c>
      <c r="EF88" s="348">
        <f t="shared" si="325"/>
        <v>10219.632600000001</v>
      </c>
      <c r="EG88" s="348">
        <f t="shared" si="326"/>
        <v>10412.767205200002</v>
      </c>
      <c r="EH88" s="348">
        <f t="shared" si="327"/>
        <v>9266.9888602000028</v>
      </c>
      <c r="EI88" s="354">
        <f t="shared" si="239"/>
        <v>0.62355086229308965</v>
      </c>
      <c r="EJ88" s="326"/>
      <c r="EK88" s="348">
        <f t="shared" si="328"/>
        <v>10412.767205200002</v>
      </c>
      <c r="EL88" s="348">
        <f t="shared" si="329"/>
        <v>9266.9888602000028</v>
      </c>
      <c r="EM88" s="348">
        <f t="shared" si="330"/>
        <v>10412.767205200002</v>
      </c>
      <c r="EN88" s="348">
        <f t="shared" si="331"/>
        <v>9266.9888602000028</v>
      </c>
      <c r="EP88" s="326"/>
      <c r="EQ88" s="326"/>
      <c r="ER88" s="326"/>
      <c r="ES88" s="348">
        <f t="shared" si="240"/>
        <v>14350.4409</v>
      </c>
      <c r="ET88" s="348">
        <f t="shared" si="241"/>
        <v>8265.6651000000002</v>
      </c>
      <c r="EU88" s="348">
        <f t="shared" si="242"/>
        <v>9579.6496508</v>
      </c>
      <c r="EV88" s="348">
        <f t="shared" si="243"/>
        <v>8315.8290317999999</v>
      </c>
      <c r="EW88" s="354">
        <f t="shared" si="244"/>
        <v>0.63452306511120882</v>
      </c>
      <c r="EX88" s="326"/>
      <c r="EY88" s="348">
        <f t="shared" si="245"/>
        <v>9579.6496508</v>
      </c>
      <c r="EZ88" s="348">
        <f t="shared" si="246"/>
        <v>8315.8290317999999</v>
      </c>
      <c r="FA88" s="348">
        <f t="shared" si="247"/>
        <v>9579.6496508</v>
      </c>
      <c r="FB88" s="348">
        <f t="shared" si="248"/>
        <v>8315.8290317999999</v>
      </c>
      <c r="FD88" s="326"/>
      <c r="FE88" s="326"/>
      <c r="FF88" s="326"/>
      <c r="FG88" s="348">
        <f t="shared" si="249"/>
        <v>11504.4017</v>
      </c>
      <c r="FH88" s="348">
        <f t="shared" si="250"/>
        <v>6499.5734000000002</v>
      </c>
      <c r="FI88" s="348">
        <f t="shared" si="251"/>
        <v>7222.6299977999997</v>
      </c>
      <c r="FJ88" s="348">
        <f t="shared" si="252"/>
        <v>6355.4396773999997</v>
      </c>
      <c r="FK88" s="354">
        <f t="shared" si="253"/>
        <v>0.63899231342527241</v>
      </c>
      <c r="FL88" s="326"/>
      <c r="FM88" s="348">
        <f t="shared" si="254"/>
        <v>7222.6299977999997</v>
      </c>
      <c r="FN88" s="348">
        <f t="shared" si="255"/>
        <v>6355.4396773999997</v>
      </c>
      <c r="FO88" s="348">
        <f t="shared" si="256"/>
        <v>7222.6299977999997</v>
      </c>
      <c r="FP88" s="348">
        <f t="shared" si="257"/>
        <v>6355.4396773999997</v>
      </c>
      <c r="FR88" s="326"/>
      <c r="FS88" s="326"/>
      <c r="FT88" s="326"/>
      <c r="FU88" s="348">
        <f t="shared" si="258"/>
        <v>11591.6042</v>
      </c>
      <c r="FV88" s="348">
        <f t="shared" si="259"/>
        <v>6688.9359000000004</v>
      </c>
      <c r="FW88" s="348">
        <f t="shared" si="260"/>
        <v>781.92438820000007</v>
      </c>
      <c r="FX88" s="348">
        <f t="shared" si="261"/>
        <v>766.11707019999994</v>
      </c>
      <c r="FY88" s="354">
        <f t="shared" si="262"/>
        <v>0.63409528036865825</v>
      </c>
      <c r="FZ88" s="326"/>
      <c r="GA88" s="348">
        <f t="shared" si="263"/>
        <v>781.92438820000007</v>
      </c>
      <c r="GB88" s="348">
        <f t="shared" si="264"/>
        <v>766.11707019999994</v>
      </c>
      <c r="GC88" s="348">
        <f t="shared" si="265"/>
        <v>781.92438820000007</v>
      </c>
      <c r="GD88" s="348">
        <f t="shared" si="266"/>
        <v>766.11707019999994</v>
      </c>
      <c r="GF88" s="326"/>
      <c r="GG88" s="326"/>
      <c r="GH88" s="326"/>
      <c r="GI88" s="348">
        <f t="shared" si="267"/>
        <v>5152.53</v>
      </c>
      <c r="GJ88" s="348">
        <f t="shared" si="268"/>
        <v>2569.0967000000001</v>
      </c>
      <c r="GK88" s="349">
        <f t="shared" si="269"/>
        <v>1169.0908702500001</v>
      </c>
      <c r="GL88" s="349">
        <f t="shared" si="270"/>
        <v>1023.2766959999999</v>
      </c>
      <c r="GM88" s="354">
        <f t="shared" si="271"/>
        <v>0.66728556043767306</v>
      </c>
      <c r="GN88" s="326"/>
      <c r="GO88" s="349">
        <f t="shared" si="272"/>
        <v>1169.0908702500001</v>
      </c>
      <c r="GP88" s="349">
        <f t="shared" si="273"/>
        <v>1023.2766959999999</v>
      </c>
      <c r="GQ88" s="349">
        <f t="shared" si="274"/>
        <v>1169.0908702500001</v>
      </c>
      <c r="GR88" s="349">
        <f t="shared" si="275"/>
        <v>1023.2766959999999</v>
      </c>
      <c r="HA88" s="374"/>
      <c r="HB88" s="375"/>
      <c r="HC88" s="374"/>
      <c r="HD88" s="374"/>
      <c r="HE88" s="374"/>
      <c r="HF88" s="351">
        <f t="shared" si="276"/>
        <v>0</v>
      </c>
      <c r="HG88" s="351">
        <f t="shared" si="277"/>
        <v>0</v>
      </c>
      <c r="HH88" s="352">
        <f t="shared" si="278"/>
        <v>0</v>
      </c>
      <c r="HI88" s="352">
        <f t="shared" si="332"/>
        <v>0</v>
      </c>
      <c r="HJ88" s="353">
        <f t="shared" si="333"/>
        <v>0</v>
      </c>
      <c r="HK88" s="353">
        <f t="shared" si="334"/>
        <v>0</v>
      </c>
    </row>
    <row r="89" spans="1:219" x14ac:dyDescent="0.2">
      <c r="A89" s="320">
        <v>79</v>
      </c>
      <c r="C89" s="350">
        <v>5.5109000000000004</v>
      </c>
      <c r="D89" s="350">
        <v>2.7740999999999998</v>
      </c>
      <c r="E89" s="350">
        <v>0</v>
      </c>
      <c r="F89" s="350">
        <v>1521.0791999999999</v>
      </c>
      <c r="G89" s="350">
        <v>1254.3416999999999</v>
      </c>
      <c r="H89" s="351">
        <f t="shared" si="212"/>
        <v>5379.1894900000007</v>
      </c>
      <c r="I89" s="351">
        <f t="shared" si="213"/>
        <v>5142.3214289999996</v>
      </c>
      <c r="J89" s="352">
        <f t="shared" si="214"/>
        <v>0</v>
      </c>
      <c r="K89" s="352">
        <f t="shared" si="279"/>
        <v>0</v>
      </c>
      <c r="L89" s="353">
        <f t="shared" si="280"/>
        <v>5379.1894900000007</v>
      </c>
      <c r="M89" s="353">
        <f t="shared" si="281"/>
        <v>5142.3214289999996</v>
      </c>
      <c r="N89" s="343">
        <f t="shared" si="282"/>
        <v>5379.1894900000007</v>
      </c>
      <c r="O89" s="343">
        <f t="shared" si="283"/>
        <v>5142.3214289999996</v>
      </c>
      <c r="Q89" s="374">
        <v>7.7550999999999997</v>
      </c>
      <c r="R89" s="375">
        <v>3.6602999999999999</v>
      </c>
      <c r="S89" s="374">
        <v>0</v>
      </c>
      <c r="T89" s="374">
        <v>721.32920000000001</v>
      </c>
      <c r="U89" s="374">
        <v>361.23169999999999</v>
      </c>
      <c r="V89" s="351">
        <f t="shared" si="215"/>
        <v>4958.6109399999996</v>
      </c>
      <c r="W89" s="351">
        <f t="shared" si="216"/>
        <v>4397.4112140000007</v>
      </c>
      <c r="X89" s="352">
        <f t="shared" si="217"/>
        <v>0</v>
      </c>
      <c r="Y89" s="352">
        <f t="shared" si="284"/>
        <v>0</v>
      </c>
      <c r="Z89" s="353">
        <f t="shared" si="285"/>
        <v>4958.6109399999996</v>
      </c>
      <c r="AA89" s="353">
        <f t="shared" si="286"/>
        <v>4397.4112140000007</v>
      </c>
      <c r="AB89" s="343">
        <f t="shared" si="287"/>
        <v>4958.6109399999996</v>
      </c>
      <c r="AC89" s="343">
        <f t="shared" si="288"/>
        <v>4397.4112140000007</v>
      </c>
      <c r="AE89" s="374">
        <v>9.3605999999999998</v>
      </c>
      <c r="AF89" s="375">
        <v>3.8753000000000002</v>
      </c>
      <c r="AG89" s="374">
        <v>0</v>
      </c>
      <c r="AH89" s="374">
        <v>96.083299999999994</v>
      </c>
      <c r="AI89" s="374">
        <v>67</v>
      </c>
      <c r="AJ89" s="351">
        <f t="shared" si="218"/>
        <v>4011.7659479999998</v>
      </c>
      <c r="AK89" s="351">
        <f t="shared" si="219"/>
        <v>3852.745754</v>
      </c>
      <c r="AL89" s="352">
        <f t="shared" si="220"/>
        <v>0</v>
      </c>
      <c r="AM89" s="352">
        <f t="shared" si="289"/>
        <v>0</v>
      </c>
      <c r="AN89" s="353">
        <f t="shared" si="290"/>
        <v>4011.7659479999998</v>
      </c>
      <c r="AO89" s="353">
        <f t="shared" si="291"/>
        <v>3852.745754</v>
      </c>
      <c r="AP89" s="343">
        <f t="shared" si="292"/>
        <v>4011.7659479999998</v>
      </c>
      <c r="AQ89" s="343">
        <f t="shared" si="293"/>
        <v>3852.745754</v>
      </c>
      <c r="AS89" s="374">
        <v>13.531000000000001</v>
      </c>
      <c r="AT89" s="375">
        <v>5.3304</v>
      </c>
      <c r="AU89" s="374">
        <v>0</v>
      </c>
      <c r="AV89" s="374">
        <v>2912.9375</v>
      </c>
      <c r="AW89" s="374">
        <v>1660.9124999999999</v>
      </c>
      <c r="AX89" s="351">
        <f t="shared" si="221"/>
        <v>4609.6057700000001</v>
      </c>
      <c r="AY89" s="351">
        <f t="shared" si="222"/>
        <v>3641.3028480000003</v>
      </c>
      <c r="AZ89" s="352">
        <f t="shared" si="223"/>
        <v>0</v>
      </c>
      <c r="BA89" s="352">
        <f t="shared" si="294"/>
        <v>0</v>
      </c>
      <c r="BB89" s="353">
        <f t="shared" si="295"/>
        <v>4609.6057700000001</v>
      </c>
      <c r="BC89" s="353">
        <f t="shared" si="296"/>
        <v>3641.3028480000003</v>
      </c>
      <c r="BD89" s="343">
        <f t="shared" si="297"/>
        <v>4609.6057700000001</v>
      </c>
      <c r="BE89" s="343">
        <f t="shared" si="298"/>
        <v>3641.3028480000003</v>
      </c>
      <c r="BG89" s="374">
        <v>12.689</v>
      </c>
      <c r="BH89" s="375">
        <v>5.8879999999999999</v>
      </c>
      <c r="BI89" s="374">
        <v>0</v>
      </c>
      <c r="BJ89" s="374">
        <v>1573.4525000000001</v>
      </c>
      <c r="BK89" s="374">
        <v>866.61249999999995</v>
      </c>
      <c r="BL89" s="351">
        <f t="shared" si="224"/>
        <v>4247.89653</v>
      </c>
      <c r="BM89" s="351">
        <f t="shared" si="225"/>
        <v>3449.8969599999996</v>
      </c>
      <c r="BN89" s="352">
        <f t="shared" si="226"/>
        <v>0</v>
      </c>
      <c r="BO89" s="352">
        <f t="shared" si="299"/>
        <v>0</v>
      </c>
      <c r="BP89" s="353">
        <f t="shared" si="300"/>
        <v>4247.89653</v>
      </c>
      <c r="BQ89" s="353">
        <f t="shared" si="301"/>
        <v>3449.8969599999996</v>
      </c>
      <c r="BR89" s="343">
        <f t="shared" si="302"/>
        <v>4247.89653</v>
      </c>
      <c r="BS89" s="343">
        <f t="shared" si="303"/>
        <v>3449.8969599999996</v>
      </c>
      <c r="BU89" s="374">
        <v>12.639099999999999</v>
      </c>
      <c r="BV89" s="375">
        <v>5.7698999999999998</v>
      </c>
      <c r="BW89" s="374">
        <v>0</v>
      </c>
      <c r="BX89" s="374">
        <v>1317.1167</v>
      </c>
      <c r="BY89" s="374">
        <v>529.5992</v>
      </c>
      <c r="BZ89" s="351">
        <f t="shared" si="227"/>
        <v>2933.7878919999998</v>
      </c>
      <c r="CA89" s="351">
        <f t="shared" si="228"/>
        <v>2203.351713</v>
      </c>
      <c r="CB89" s="352">
        <f t="shared" si="229"/>
        <v>0</v>
      </c>
      <c r="CC89" s="352">
        <f t="shared" si="304"/>
        <v>0</v>
      </c>
      <c r="CD89" s="353">
        <f t="shared" si="305"/>
        <v>2933.7878919999998</v>
      </c>
      <c r="CE89" s="353">
        <f t="shared" si="306"/>
        <v>2203.351713</v>
      </c>
      <c r="CF89" s="343">
        <f t="shared" si="307"/>
        <v>2933.7878919999998</v>
      </c>
      <c r="CG89" s="343">
        <f t="shared" si="308"/>
        <v>2203.351713</v>
      </c>
      <c r="CI89" s="374">
        <v>1.2022999999999999</v>
      </c>
      <c r="CJ89" s="375">
        <v>0.8256</v>
      </c>
      <c r="CK89" s="374">
        <v>0</v>
      </c>
      <c r="CL89" s="374">
        <v>6950.3891999999996</v>
      </c>
      <c r="CM89" s="374">
        <v>4083.5207999999998</v>
      </c>
      <c r="CN89" s="351">
        <f t="shared" si="230"/>
        <v>255.52481899999998</v>
      </c>
      <c r="CO89" s="351">
        <f t="shared" si="231"/>
        <v>227.41152</v>
      </c>
      <c r="CP89" s="352">
        <f t="shared" si="232"/>
        <v>0</v>
      </c>
      <c r="CQ89" s="352">
        <f t="shared" si="309"/>
        <v>0</v>
      </c>
      <c r="CR89" s="353">
        <f t="shared" si="310"/>
        <v>255.52481899999998</v>
      </c>
      <c r="CS89" s="353">
        <f t="shared" si="311"/>
        <v>227.41152</v>
      </c>
      <c r="CT89" s="343">
        <f t="shared" si="312"/>
        <v>255.52481899999998</v>
      </c>
      <c r="CU89" s="343">
        <f t="shared" si="313"/>
        <v>227.41152</v>
      </c>
      <c r="CW89" s="374">
        <v>2.8313999999999999</v>
      </c>
      <c r="CX89" s="375">
        <v>2.0453999999999999</v>
      </c>
      <c r="CY89" s="374">
        <v>0</v>
      </c>
      <c r="CZ89" s="374">
        <v>2748.8366999999998</v>
      </c>
      <c r="DA89" s="374">
        <v>1454.2874999999999</v>
      </c>
      <c r="DB89" s="351">
        <f t="shared" si="233"/>
        <v>634.88482199999999</v>
      </c>
      <c r="DC89" s="351">
        <f t="shared" si="234"/>
        <v>635.58759599999996</v>
      </c>
      <c r="DD89" s="352">
        <f t="shared" si="235"/>
        <v>0</v>
      </c>
      <c r="DE89" s="352">
        <f t="shared" si="314"/>
        <v>0</v>
      </c>
      <c r="DF89" s="353">
        <f t="shared" si="315"/>
        <v>634.88482199999999</v>
      </c>
      <c r="DG89" s="353">
        <f t="shared" si="316"/>
        <v>635.58759599999996</v>
      </c>
      <c r="DH89" s="343">
        <f t="shared" si="317"/>
        <v>634.88482199999999</v>
      </c>
      <c r="DI89" s="343">
        <f t="shared" si="318"/>
        <v>635.58759599999996</v>
      </c>
      <c r="DK89" s="374">
        <v>3.3079999999999998</v>
      </c>
      <c r="DL89" s="375">
        <v>2.2799999999999998</v>
      </c>
      <c r="DM89" s="374">
        <v>0</v>
      </c>
      <c r="DN89" s="374">
        <v>1370.8583000000001</v>
      </c>
      <c r="DO89" s="374">
        <v>803.68420000000003</v>
      </c>
      <c r="DP89" s="351">
        <f t="shared" si="236"/>
        <v>435.89516000000003</v>
      </c>
      <c r="DQ89" s="351">
        <f t="shared" si="237"/>
        <v>448.8408</v>
      </c>
      <c r="DR89" s="352">
        <f t="shared" si="238"/>
        <v>0</v>
      </c>
      <c r="DS89" s="352">
        <f t="shared" si="319"/>
        <v>0</v>
      </c>
      <c r="DT89" s="353">
        <f t="shared" si="320"/>
        <v>435.89516000000003</v>
      </c>
      <c r="DU89" s="353">
        <f t="shared" si="321"/>
        <v>448.8408</v>
      </c>
      <c r="DV89" s="343">
        <f t="shared" si="322"/>
        <v>435.89516000000003</v>
      </c>
      <c r="DW89" s="343">
        <f t="shared" si="323"/>
        <v>448.8408</v>
      </c>
      <c r="EB89" s="326"/>
      <c r="EC89" s="326"/>
      <c r="ED89" s="326"/>
      <c r="EE89" s="348">
        <f t="shared" si="324"/>
        <v>14133.2426</v>
      </c>
      <c r="EF89" s="348">
        <f t="shared" si="325"/>
        <v>8453.0625</v>
      </c>
      <c r="EG89" s="348">
        <f t="shared" si="326"/>
        <v>10752.2279366</v>
      </c>
      <c r="EH89" s="348">
        <f t="shared" si="327"/>
        <v>9519.5058737999989</v>
      </c>
      <c r="EI89" s="354">
        <f t="shared" si="239"/>
        <v>0.62574389823504162</v>
      </c>
      <c r="EJ89" s="326"/>
      <c r="EK89" s="348">
        <f t="shared" si="328"/>
        <v>10752.2279366</v>
      </c>
      <c r="EL89" s="348">
        <f t="shared" si="329"/>
        <v>9519.5058737999989</v>
      </c>
      <c r="EM89" s="348">
        <f t="shared" si="330"/>
        <v>10752.2279366</v>
      </c>
      <c r="EN89" s="348">
        <f t="shared" si="331"/>
        <v>9519.5058737999989</v>
      </c>
      <c r="EP89" s="326"/>
      <c r="EQ89" s="326"/>
      <c r="ER89" s="326"/>
      <c r="ES89" s="348">
        <f t="shared" si="240"/>
        <v>11994.007599999999</v>
      </c>
      <c r="ET89" s="348">
        <f t="shared" si="241"/>
        <v>6765.6525000000001</v>
      </c>
      <c r="EU89" s="348">
        <f t="shared" si="242"/>
        <v>9906.4516644000014</v>
      </c>
      <c r="EV89" s="348">
        <f t="shared" si="243"/>
        <v>8519.6310111999992</v>
      </c>
      <c r="EW89" s="354">
        <f t="shared" si="244"/>
        <v>0.63935100828399327</v>
      </c>
      <c r="EX89" s="326"/>
      <c r="EY89" s="348">
        <f t="shared" si="245"/>
        <v>9906.4516644000014</v>
      </c>
      <c r="EZ89" s="348">
        <f t="shared" si="246"/>
        <v>8519.6310111999992</v>
      </c>
      <c r="FA89" s="348">
        <f t="shared" si="247"/>
        <v>9906.4516644000014</v>
      </c>
      <c r="FB89" s="348">
        <f t="shared" si="248"/>
        <v>8519.6310111999992</v>
      </c>
      <c r="FD89" s="326"/>
      <c r="FE89" s="326"/>
      <c r="FF89" s="326"/>
      <c r="FG89" s="348">
        <f t="shared" si="249"/>
        <v>9734.4475000000002</v>
      </c>
      <c r="FH89" s="348">
        <f t="shared" si="250"/>
        <v>5483.8041999999996</v>
      </c>
      <c r="FI89" s="348">
        <f t="shared" si="251"/>
        <v>7462.6157549999998</v>
      </c>
      <c r="FJ89" s="348">
        <f t="shared" si="252"/>
        <v>6552.813466999999</v>
      </c>
      <c r="FK89" s="354">
        <f t="shared" si="253"/>
        <v>0.63965609794717748</v>
      </c>
      <c r="FL89" s="326"/>
      <c r="FM89" s="348">
        <f t="shared" si="254"/>
        <v>7462.6157549999998</v>
      </c>
      <c r="FN89" s="348">
        <f t="shared" si="255"/>
        <v>6552.813466999999</v>
      </c>
      <c r="FO89" s="348">
        <f t="shared" si="256"/>
        <v>7462.6157549999998</v>
      </c>
      <c r="FP89" s="348">
        <f t="shared" si="257"/>
        <v>6552.813466999999</v>
      </c>
      <c r="FR89" s="326"/>
      <c r="FS89" s="326"/>
      <c r="FT89" s="326"/>
      <c r="FU89" s="348">
        <f t="shared" si="258"/>
        <v>9699.2258999999995</v>
      </c>
      <c r="FV89" s="348">
        <f t="shared" si="259"/>
        <v>5537.8082999999997</v>
      </c>
      <c r="FW89" s="348">
        <f t="shared" si="260"/>
        <v>763.43267659999992</v>
      </c>
      <c r="FX89" s="348">
        <f t="shared" si="261"/>
        <v>735.88159680000001</v>
      </c>
      <c r="FY89" s="354">
        <f t="shared" si="262"/>
        <v>0.6365560234812625</v>
      </c>
      <c r="FZ89" s="326"/>
      <c r="GA89" s="348">
        <f t="shared" si="263"/>
        <v>763.43267659999992</v>
      </c>
      <c r="GB89" s="348">
        <f t="shared" si="264"/>
        <v>735.88159680000001</v>
      </c>
      <c r="GC89" s="348">
        <f t="shared" si="265"/>
        <v>763.43267659999992</v>
      </c>
      <c r="GD89" s="348">
        <f t="shared" si="266"/>
        <v>735.88159680000001</v>
      </c>
      <c r="GF89" s="326"/>
      <c r="GG89" s="326"/>
      <c r="GH89" s="326"/>
      <c r="GI89" s="348">
        <f t="shared" si="267"/>
        <v>4230.0542000000005</v>
      </c>
      <c r="GJ89" s="348">
        <f t="shared" si="268"/>
        <v>2190.5117</v>
      </c>
      <c r="GK89" s="349">
        <f t="shared" si="269"/>
        <v>1256.8634085000003</v>
      </c>
      <c r="GL89" s="349">
        <f t="shared" si="270"/>
        <v>1078.4633512500002</v>
      </c>
      <c r="GM89" s="354">
        <f t="shared" si="271"/>
        <v>0.65882887363557785</v>
      </c>
      <c r="GN89" s="326"/>
      <c r="GO89" s="349">
        <f t="shared" si="272"/>
        <v>1256.8634085000003</v>
      </c>
      <c r="GP89" s="349">
        <f t="shared" si="273"/>
        <v>1078.4633512500002</v>
      </c>
      <c r="GQ89" s="349">
        <f t="shared" si="274"/>
        <v>1256.8634085000003</v>
      </c>
      <c r="GR89" s="349">
        <f t="shared" si="275"/>
        <v>1078.4633512500002</v>
      </c>
      <c r="HA89" s="374"/>
      <c r="HB89" s="375"/>
      <c r="HC89" s="374"/>
      <c r="HD89" s="374"/>
      <c r="HE89" s="374"/>
      <c r="HF89" s="351">
        <f t="shared" si="276"/>
        <v>0</v>
      </c>
      <c r="HG89" s="351">
        <f t="shared" si="277"/>
        <v>0</v>
      </c>
      <c r="HH89" s="352">
        <f t="shared" si="278"/>
        <v>0</v>
      </c>
      <c r="HI89" s="352">
        <f t="shared" si="332"/>
        <v>0</v>
      </c>
      <c r="HJ89" s="353">
        <f t="shared" si="333"/>
        <v>0</v>
      </c>
      <c r="HK89" s="353">
        <f t="shared" si="334"/>
        <v>0</v>
      </c>
    </row>
    <row r="90" spans="1:219" x14ac:dyDescent="0.2">
      <c r="A90" s="320">
        <v>80</v>
      </c>
      <c r="C90" s="350">
        <v>5.6611000000000002</v>
      </c>
      <c r="D90" s="350">
        <v>2.8311999999999999</v>
      </c>
      <c r="E90" s="350">
        <v>0</v>
      </c>
      <c r="F90" s="350">
        <v>1016.9217</v>
      </c>
      <c r="G90" s="350">
        <v>1052.1158</v>
      </c>
      <c r="H90" s="351">
        <f t="shared" si="212"/>
        <v>5525.7997100000002</v>
      </c>
      <c r="I90" s="351">
        <f t="shared" si="213"/>
        <v>5248.167128</v>
      </c>
      <c r="J90" s="352">
        <f t="shared" si="214"/>
        <v>0</v>
      </c>
      <c r="K90" s="352">
        <f t="shared" si="279"/>
        <v>0</v>
      </c>
      <c r="L90" s="353">
        <f t="shared" si="280"/>
        <v>5525.7997100000002</v>
      </c>
      <c r="M90" s="353">
        <f t="shared" si="281"/>
        <v>5248.167128</v>
      </c>
      <c r="N90" s="343">
        <f t="shared" si="282"/>
        <v>5525.7997100000002</v>
      </c>
      <c r="O90" s="343">
        <f t="shared" si="283"/>
        <v>5248.167128</v>
      </c>
      <c r="Q90" s="374">
        <v>7.9880000000000004</v>
      </c>
      <c r="R90" s="375">
        <v>3.7181000000000002</v>
      </c>
      <c r="S90" s="374">
        <v>0</v>
      </c>
      <c r="T90" s="374">
        <v>443.89330000000001</v>
      </c>
      <c r="U90" s="374">
        <v>255.8758</v>
      </c>
      <c r="V90" s="351">
        <f t="shared" si="215"/>
        <v>5107.5272000000004</v>
      </c>
      <c r="W90" s="351">
        <f t="shared" si="216"/>
        <v>4466.8509780000004</v>
      </c>
      <c r="X90" s="352">
        <f t="shared" si="217"/>
        <v>0</v>
      </c>
      <c r="Y90" s="352">
        <f t="shared" si="284"/>
        <v>0</v>
      </c>
      <c r="Z90" s="353">
        <f t="shared" si="285"/>
        <v>5107.5272000000004</v>
      </c>
      <c r="AA90" s="353">
        <f t="shared" si="286"/>
        <v>4466.8509780000004</v>
      </c>
      <c r="AB90" s="343">
        <f t="shared" si="287"/>
        <v>5107.5272000000004</v>
      </c>
      <c r="AC90" s="343">
        <f t="shared" si="288"/>
        <v>4466.8509780000004</v>
      </c>
      <c r="AE90" s="374">
        <v>9.7341999999999995</v>
      </c>
      <c r="AF90" s="375">
        <v>3.9973999999999998</v>
      </c>
      <c r="AG90" s="374">
        <v>0</v>
      </c>
      <c r="AH90" s="374">
        <v>80.244200000000006</v>
      </c>
      <c r="AI90" s="374">
        <v>46.166699999999999</v>
      </c>
      <c r="AJ90" s="351">
        <f t="shared" si="218"/>
        <v>4171.8834360000001</v>
      </c>
      <c r="AK90" s="351">
        <f t="shared" si="219"/>
        <v>3974.1351319999994</v>
      </c>
      <c r="AL90" s="352">
        <f t="shared" si="220"/>
        <v>0</v>
      </c>
      <c r="AM90" s="352">
        <f t="shared" si="289"/>
        <v>0</v>
      </c>
      <c r="AN90" s="353">
        <f t="shared" si="290"/>
        <v>4171.8834360000001</v>
      </c>
      <c r="AO90" s="353">
        <f t="shared" si="291"/>
        <v>3974.1351319999994</v>
      </c>
      <c r="AP90" s="343">
        <f t="shared" si="292"/>
        <v>4171.8834360000001</v>
      </c>
      <c r="AQ90" s="343">
        <f t="shared" si="293"/>
        <v>3974.1351319999994</v>
      </c>
      <c r="AS90" s="374">
        <v>14.1053</v>
      </c>
      <c r="AT90" s="375">
        <v>5.5704000000000002</v>
      </c>
      <c r="AU90" s="374">
        <v>0</v>
      </c>
      <c r="AV90" s="374">
        <v>2029.2882999999999</v>
      </c>
      <c r="AW90" s="374">
        <v>1190.4441999999999</v>
      </c>
      <c r="AX90" s="351">
        <f t="shared" si="221"/>
        <v>4805.2525510000005</v>
      </c>
      <c r="AY90" s="351">
        <f t="shared" si="222"/>
        <v>3805.2516480000004</v>
      </c>
      <c r="AZ90" s="352">
        <f t="shared" si="223"/>
        <v>0</v>
      </c>
      <c r="BA90" s="352">
        <f t="shared" si="294"/>
        <v>0</v>
      </c>
      <c r="BB90" s="353">
        <f t="shared" si="295"/>
        <v>4805.2525510000005</v>
      </c>
      <c r="BC90" s="353">
        <f t="shared" si="296"/>
        <v>3805.2516480000004</v>
      </c>
      <c r="BD90" s="343">
        <f t="shared" si="297"/>
        <v>4805.2525510000005</v>
      </c>
      <c r="BE90" s="343">
        <f t="shared" si="298"/>
        <v>3805.2516480000004</v>
      </c>
      <c r="BG90" s="374">
        <v>13.1937</v>
      </c>
      <c r="BH90" s="375">
        <v>6.1325000000000003</v>
      </c>
      <c r="BI90" s="374">
        <v>0</v>
      </c>
      <c r="BJ90" s="374">
        <v>1076.8507999999999</v>
      </c>
      <c r="BK90" s="374">
        <v>682.29669999999999</v>
      </c>
      <c r="BL90" s="351">
        <f t="shared" si="224"/>
        <v>4416.8549489999996</v>
      </c>
      <c r="BM90" s="351">
        <f t="shared" si="225"/>
        <v>3593.1543999999999</v>
      </c>
      <c r="BN90" s="352">
        <f t="shared" si="226"/>
        <v>0</v>
      </c>
      <c r="BO90" s="352">
        <f t="shared" si="299"/>
        <v>0</v>
      </c>
      <c r="BP90" s="353">
        <f t="shared" si="300"/>
        <v>4416.8549489999996</v>
      </c>
      <c r="BQ90" s="353">
        <f t="shared" si="301"/>
        <v>3593.1543999999999</v>
      </c>
      <c r="BR90" s="343">
        <f t="shared" si="302"/>
        <v>4416.8549489999996</v>
      </c>
      <c r="BS90" s="343">
        <f t="shared" si="303"/>
        <v>3593.1543999999999</v>
      </c>
      <c r="BU90" s="374">
        <v>12.9909</v>
      </c>
      <c r="BV90" s="375">
        <v>6.0034999999999998</v>
      </c>
      <c r="BW90" s="374">
        <v>0</v>
      </c>
      <c r="BX90" s="374">
        <v>943.14</v>
      </c>
      <c r="BY90" s="374">
        <v>383.2783</v>
      </c>
      <c r="BZ90" s="351">
        <f t="shared" si="227"/>
        <v>3015.4477080000001</v>
      </c>
      <c r="CA90" s="351">
        <f t="shared" si="228"/>
        <v>2292.5565449999999</v>
      </c>
      <c r="CB90" s="352">
        <f t="shared" si="229"/>
        <v>0</v>
      </c>
      <c r="CC90" s="352">
        <f t="shared" si="304"/>
        <v>0</v>
      </c>
      <c r="CD90" s="353">
        <f t="shared" si="305"/>
        <v>3015.4477080000001</v>
      </c>
      <c r="CE90" s="353">
        <f t="shared" si="306"/>
        <v>2292.5565449999999</v>
      </c>
      <c r="CF90" s="343">
        <f t="shared" si="307"/>
        <v>3015.4477080000001</v>
      </c>
      <c r="CG90" s="343">
        <f t="shared" si="308"/>
        <v>2292.5565449999999</v>
      </c>
      <c r="CI90" s="374">
        <v>1.1513</v>
      </c>
      <c r="CJ90" s="375">
        <v>0.78220000000000001</v>
      </c>
      <c r="CK90" s="374">
        <v>0</v>
      </c>
      <c r="CL90" s="374">
        <v>4858.7933000000003</v>
      </c>
      <c r="CM90" s="374">
        <v>2965.5057999999999</v>
      </c>
      <c r="CN90" s="351">
        <f t="shared" si="230"/>
        <v>244.685789</v>
      </c>
      <c r="CO90" s="351">
        <f t="shared" si="231"/>
        <v>215.45698999999999</v>
      </c>
      <c r="CP90" s="352">
        <f t="shared" si="232"/>
        <v>0</v>
      </c>
      <c r="CQ90" s="352">
        <f t="shared" si="309"/>
        <v>0</v>
      </c>
      <c r="CR90" s="353">
        <f t="shared" si="310"/>
        <v>244.685789</v>
      </c>
      <c r="CS90" s="353">
        <f t="shared" si="311"/>
        <v>215.45698999999999</v>
      </c>
      <c r="CT90" s="343">
        <f t="shared" si="312"/>
        <v>244.685789</v>
      </c>
      <c r="CU90" s="343">
        <f t="shared" si="313"/>
        <v>215.45698999999999</v>
      </c>
      <c r="CW90" s="374">
        <v>2.7673000000000001</v>
      </c>
      <c r="CX90" s="375">
        <v>1.9632000000000001</v>
      </c>
      <c r="CY90" s="374">
        <v>0</v>
      </c>
      <c r="CZ90" s="374">
        <v>1812.1507999999999</v>
      </c>
      <c r="DA90" s="374">
        <v>1035.8142</v>
      </c>
      <c r="DB90" s="351">
        <f t="shared" si="233"/>
        <v>620.51167899999996</v>
      </c>
      <c r="DC90" s="351">
        <f t="shared" si="234"/>
        <v>610.04476800000009</v>
      </c>
      <c r="DD90" s="352">
        <f t="shared" si="235"/>
        <v>0</v>
      </c>
      <c r="DE90" s="352">
        <f t="shared" si="314"/>
        <v>0</v>
      </c>
      <c r="DF90" s="353">
        <f t="shared" si="315"/>
        <v>620.51167899999996</v>
      </c>
      <c r="DG90" s="353">
        <f t="shared" si="316"/>
        <v>610.04476800000009</v>
      </c>
      <c r="DH90" s="343">
        <f t="shared" si="317"/>
        <v>620.51167899999996</v>
      </c>
      <c r="DI90" s="343">
        <f t="shared" si="318"/>
        <v>610.04476800000009</v>
      </c>
      <c r="DK90" s="374">
        <v>3.2892000000000001</v>
      </c>
      <c r="DL90" s="375">
        <v>2.2128999999999999</v>
      </c>
      <c r="DM90" s="374">
        <v>0</v>
      </c>
      <c r="DN90" s="374">
        <v>1034.0042000000001</v>
      </c>
      <c r="DO90" s="374">
        <v>568.32669999999996</v>
      </c>
      <c r="DP90" s="351">
        <f t="shared" si="236"/>
        <v>433.41788400000007</v>
      </c>
      <c r="DQ90" s="351">
        <f t="shared" si="237"/>
        <v>435.63149400000003</v>
      </c>
      <c r="DR90" s="352">
        <f t="shared" si="238"/>
        <v>0</v>
      </c>
      <c r="DS90" s="352">
        <f t="shared" si="319"/>
        <v>0</v>
      </c>
      <c r="DT90" s="353">
        <f t="shared" si="320"/>
        <v>433.41788400000007</v>
      </c>
      <c r="DU90" s="353">
        <f t="shared" si="321"/>
        <v>435.63149400000003</v>
      </c>
      <c r="DV90" s="343">
        <f t="shared" si="322"/>
        <v>433.41788400000007</v>
      </c>
      <c r="DW90" s="343">
        <f t="shared" si="323"/>
        <v>435.63149400000003</v>
      </c>
      <c r="EB90" s="326"/>
      <c r="EC90" s="326"/>
      <c r="ED90" s="326"/>
      <c r="EE90" s="348">
        <f t="shared" si="324"/>
        <v>9717.1540999999997</v>
      </c>
      <c r="EF90" s="348">
        <f t="shared" si="325"/>
        <v>6243.88</v>
      </c>
      <c r="EG90" s="348">
        <f t="shared" si="326"/>
        <v>11072.147393200001</v>
      </c>
      <c r="EH90" s="348">
        <f t="shared" si="327"/>
        <v>9756.9115804000012</v>
      </c>
      <c r="EI90" s="354">
        <f t="shared" si="239"/>
        <v>0.60880479542362476</v>
      </c>
      <c r="EJ90" s="326"/>
      <c r="EK90" s="348">
        <f t="shared" si="328"/>
        <v>11072.147393200001</v>
      </c>
      <c r="EL90" s="348">
        <f t="shared" si="329"/>
        <v>9756.9115804000012</v>
      </c>
      <c r="EM90" s="348">
        <f t="shared" si="330"/>
        <v>11072.147393200001</v>
      </c>
      <c r="EN90" s="348">
        <f t="shared" si="331"/>
        <v>9756.9115804000012</v>
      </c>
      <c r="EP90" s="326"/>
      <c r="EQ90" s="326"/>
      <c r="ER90" s="326"/>
      <c r="ES90" s="348">
        <f t="shared" si="240"/>
        <v>8191.6882000000005</v>
      </c>
      <c r="ET90" s="348">
        <f t="shared" si="241"/>
        <v>4939.4925000000003</v>
      </c>
      <c r="EU90" s="348">
        <f t="shared" si="242"/>
        <v>10203.4261133</v>
      </c>
      <c r="EV90" s="348">
        <f t="shared" si="243"/>
        <v>8702.4937055999999</v>
      </c>
      <c r="EW90" s="354">
        <f t="shared" si="244"/>
        <v>0.62383485439355812</v>
      </c>
      <c r="EX90" s="326"/>
      <c r="EY90" s="348">
        <f t="shared" si="245"/>
        <v>10203.4261133</v>
      </c>
      <c r="EZ90" s="348">
        <f t="shared" si="246"/>
        <v>8702.4937055999999</v>
      </c>
      <c r="FA90" s="348">
        <f t="shared" si="247"/>
        <v>10203.4261133</v>
      </c>
      <c r="FB90" s="348">
        <f t="shared" si="248"/>
        <v>8702.4937055999999</v>
      </c>
      <c r="FD90" s="326"/>
      <c r="FE90" s="326"/>
      <c r="FF90" s="326"/>
      <c r="FG90" s="348">
        <f t="shared" si="249"/>
        <v>6916.1817000000001</v>
      </c>
      <c r="FH90" s="348">
        <f t="shared" si="250"/>
        <v>3963.2775000000001</v>
      </c>
      <c r="FI90" s="348">
        <f t="shared" si="251"/>
        <v>7692.0676634000001</v>
      </c>
      <c r="FJ90" s="348">
        <f t="shared" si="252"/>
        <v>6743.5275633999991</v>
      </c>
      <c r="FK90" s="354">
        <f t="shared" si="253"/>
        <v>0.6357100636031614</v>
      </c>
      <c r="FL90" s="326"/>
      <c r="FM90" s="348">
        <f t="shared" si="254"/>
        <v>7692.0676634000001</v>
      </c>
      <c r="FN90" s="348">
        <f t="shared" si="255"/>
        <v>6743.5275633999991</v>
      </c>
      <c r="FO90" s="348">
        <f t="shared" si="256"/>
        <v>7692.0676634000001</v>
      </c>
      <c r="FP90" s="348">
        <f t="shared" si="257"/>
        <v>6743.5275633999991</v>
      </c>
      <c r="FR90" s="326"/>
      <c r="FS90" s="326"/>
      <c r="FT90" s="326"/>
      <c r="FU90" s="348">
        <f t="shared" si="258"/>
        <v>6670.9441000000006</v>
      </c>
      <c r="FV90" s="348">
        <f t="shared" si="259"/>
        <v>4001.3199999999997</v>
      </c>
      <c r="FW90" s="348">
        <f t="shared" si="260"/>
        <v>741.09513219999997</v>
      </c>
      <c r="FX90" s="348">
        <f t="shared" si="261"/>
        <v>703.49280440000007</v>
      </c>
      <c r="FY90" s="354">
        <f t="shared" si="262"/>
        <v>0.62507299646004832</v>
      </c>
      <c r="FZ90" s="326"/>
      <c r="GA90" s="348">
        <f t="shared" si="263"/>
        <v>741.09513219999997</v>
      </c>
      <c r="GB90" s="348">
        <f t="shared" si="264"/>
        <v>703.49280440000007</v>
      </c>
      <c r="GC90" s="348">
        <f t="shared" si="265"/>
        <v>741.09513219999997</v>
      </c>
      <c r="GD90" s="348">
        <f t="shared" si="266"/>
        <v>703.49280440000007</v>
      </c>
      <c r="GF90" s="326"/>
      <c r="GG90" s="326"/>
      <c r="GH90" s="326"/>
      <c r="GI90" s="348">
        <f t="shared" si="267"/>
        <v>2972.4283</v>
      </c>
      <c r="GJ90" s="348">
        <f t="shared" si="268"/>
        <v>1573.7224999999999</v>
      </c>
      <c r="GK90" s="349">
        <f t="shared" si="269"/>
        <v>1342.3536322500004</v>
      </c>
      <c r="GL90" s="349">
        <f t="shared" si="270"/>
        <v>1134.5213272500005</v>
      </c>
      <c r="GM90" s="354">
        <f t="shared" si="271"/>
        <v>0.65383407431183327</v>
      </c>
      <c r="GN90" s="326"/>
      <c r="GO90" s="349">
        <f t="shared" si="272"/>
        <v>1342.3536322500004</v>
      </c>
      <c r="GP90" s="349">
        <f t="shared" si="273"/>
        <v>1134.5213272500005</v>
      </c>
      <c r="GQ90" s="349">
        <f t="shared" si="274"/>
        <v>1342.3536322500004</v>
      </c>
      <c r="GR90" s="349">
        <f t="shared" si="275"/>
        <v>1134.5213272500005</v>
      </c>
      <c r="HA90" s="374"/>
      <c r="HB90" s="375"/>
      <c r="HC90" s="374"/>
      <c r="HD90" s="374"/>
      <c r="HE90" s="374"/>
      <c r="HF90" s="351">
        <f t="shared" si="276"/>
        <v>0</v>
      </c>
      <c r="HG90" s="351">
        <f t="shared" si="277"/>
        <v>0</v>
      </c>
      <c r="HH90" s="352">
        <f t="shared" si="278"/>
        <v>0</v>
      </c>
      <c r="HI90" s="352">
        <f t="shared" si="332"/>
        <v>0</v>
      </c>
      <c r="HJ90" s="353">
        <f t="shared" si="333"/>
        <v>0</v>
      </c>
      <c r="HK90" s="353">
        <f t="shared" si="334"/>
        <v>0</v>
      </c>
    </row>
    <row r="91" spans="1:219" x14ac:dyDescent="0.2">
      <c r="A91" s="320">
        <v>81</v>
      </c>
      <c r="C91" s="350">
        <v>5.8063000000000002</v>
      </c>
      <c r="D91" s="350">
        <v>2.8847999999999998</v>
      </c>
      <c r="E91" s="350">
        <v>0</v>
      </c>
      <c r="F91" s="350">
        <v>992.41750000000002</v>
      </c>
      <c r="G91" s="350">
        <v>1027.2266999999999</v>
      </c>
      <c r="H91" s="351">
        <f t="shared" si="212"/>
        <v>5667.5294300000005</v>
      </c>
      <c r="I91" s="351">
        <f t="shared" si="213"/>
        <v>5347.5249119999999</v>
      </c>
      <c r="J91" s="352">
        <f t="shared" si="214"/>
        <v>0</v>
      </c>
      <c r="K91" s="352">
        <f t="shared" si="279"/>
        <v>0</v>
      </c>
      <c r="L91" s="353">
        <f t="shared" si="280"/>
        <v>5667.5294300000005</v>
      </c>
      <c r="M91" s="353">
        <f t="shared" si="281"/>
        <v>5347.5249119999999</v>
      </c>
      <c r="N91" s="343">
        <f t="shared" si="282"/>
        <v>5667.5294300000005</v>
      </c>
      <c r="O91" s="343">
        <f t="shared" si="283"/>
        <v>5347.5249119999999</v>
      </c>
      <c r="Q91" s="374">
        <v>8.1949000000000005</v>
      </c>
      <c r="R91" s="375">
        <v>3.7698999999999998</v>
      </c>
      <c r="S91" s="374">
        <v>0</v>
      </c>
      <c r="T91" s="374">
        <v>402.63330000000002</v>
      </c>
      <c r="U91" s="374">
        <v>252.95750000000001</v>
      </c>
      <c r="V91" s="351">
        <f t="shared" si="215"/>
        <v>5239.8190599999998</v>
      </c>
      <c r="W91" s="351">
        <f t="shared" si="216"/>
        <v>4529.0824620000003</v>
      </c>
      <c r="X91" s="352">
        <f t="shared" si="217"/>
        <v>0</v>
      </c>
      <c r="Y91" s="352">
        <f t="shared" si="284"/>
        <v>0</v>
      </c>
      <c r="Z91" s="353">
        <f t="shared" si="285"/>
        <v>5239.8190599999998</v>
      </c>
      <c r="AA91" s="353">
        <f t="shared" si="286"/>
        <v>4529.0824620000003</v>
      </c>
      <c r="AB91" s="343">
        <f t="shared" si="287"/>
        <v>5239.8190599999998</v>
      </c>
      <c r="AC91" s="343">
        <f t="shared" si="288"/>
        <v>4529.0824620000003</v>
      </c>
      <c r="AE91" s="374">
        <v>10.098000000000001</v>
      </c>
      <c r="AF91" s="375">
        <v>4.1208</v>
      </c>
      <c r="AG91" s="374">
        <v>0</v>
      </c>
      <c r="AH91" s="374">
        <v>76.381699999999995</v>
      </c>
      <c r="AI91" s="374">
        <v>41.683300000000003</v>
      </c>
      <c r="AJ91" s="351">
        <f t="shared" si="218"/>
        <v>4327.8008399999999</v>
      </c>
      <c r="AK91" s="351">
        <f t="shared" si="219"/>
        <v>4096.8169440000001</v>
      </c>
      <c r="AL91" s="352">
        <f t="shared" si="220"/>
        <v>0</v>
      </c>
      <c r="AM91" s="352">
        <f t="shared" si="289"/>
        <v>0</v>
      </c>
      <c r="AN91" s="353">
        <f t="shared" si="290"/>
        <v>4327.8008399999999</v>
      </c>
      <c r="AO91" s="353">
        <f t="shared" si="291"/>
        <v>4096.8169440000001</v>
      </c>
      <c r="AP91" s="343">
        <f t="shared" si="292"/>
        <v>4327.8008399999999</v>
      </c>
      <c r="AQ91" s="343">
        <f t="shared" si="293"/>
        <v>4096.8169440000001</v>
      </c>
      <c r="AS91" s="374">
        <v>14.641400000000001</v>
      </c>
      <c r="AT91" s="375">
        <v>5.7949000000000002</v>
      </c>
      <c r="AU91" s="374">
        <v>0</v>
      </c>
      <c r="AV91" s="374">
        <v>1834.98</v>
      </c>
      <c r="AW91" s="374">
        <v>1202.9792</v>
      </c>
      <c r="AX91" s="351">
        <f t="shared" si="221"/>
        <v>4987.8857380000009</v>
      </c>
      <c r="AY91" s="351">
        <f t="shared" si="222"/>
        <v>3958.6120880000003</v>
      </c>
      <c r="AZ91" s="352">
        <f t="shared" si="223"/>
        <v>0</v>
      </c>
      <c r="BA91" s="352">
        <f t="shared" si="294"/>
        <v>0</v>
      </c>
      <c r="BB91" s="353">
        <f t="shared" si="295"/>
        <v>4987.8857380000009</v>
      </c>
      <c r="BC91" s="353">
        <f t="shared" si="296"/>
        <v>3958.6120880000003</v>
      </c>
      <c r="BD91" s="343">
        <f t="shared" si="297"/>
        <v>4987.8857380000009</v>
      </c>
      <c r="BE91" s="343">
        <f t="shared" si="298"/>
        <v>3958.6120880000003</v>
      </c>
      <c r="BG91" s="374">
        <v>13.6594</v>
      </c>
      <c r="BH91" s="375">
        <v>6.3601000000000001</v>
      </c>
      <c r="BI91" s="374">
        <v>0</v>
      </c>
      <c r="BJ91" s="374">
        <v>968.82330000000002</v>
      </c>
      <c r="BK91" s="374">
        <v>620.03830000000005</v>
      </c>
      <c r="BL91" s="351">
        <f t="shared" si="224"/>
        <v>4572.7573379999994</v>
      </c>
      <c r="BM91" s="351">
        <f t="shared" si="225"/>
        <v>3726.5097919999998</v>
      </c>
      <c r="BN91" s="352">
        <f t="shared" si="226"/>
        <v>0</v>
      </c>
      <c r="BO91" s="352">
        <f t="shared" si="299"/>
        <v>0</v>
      </c>
      <c r="BP91" s="353">
        <f t="shared" si="300"/>
        <v>4572.7573379999994</v>
      </c>
      <c r="BQ91" s="353">
        <f t="shared" si="301"/>
        <v>3726.5097919999998</v>
      </c>
      <c r="BR91" s="343">
        <f t="shared" si="302"/>
        <v>4572.7573379999994</v>
      </c>
      <c r="BS91" s="343">
        <f t="shared" si="303"/>
        <v>3726.5097919999998</v>
      </c>
      <c r="BU91" s="374">
        <v>13.432</v>
      </c>
      <c r="BV91" s="375">
        <v>6.2201000000000004</v>
      </c>
      <c r="BW91" s="374">
        <v>0</v>
      </c>
      <c r="BX91" s="374">
        <v>808.72170000000006</v>
      </c>
      <c r="BY91" s="374">
        <v>372.20670000000001</v>
      </c>
      <c r="BZ91" s="351">
        <f t="shared" si="227"/>
        <v>3117.8358400000002</v>
      </c>
      <c r="CA91" s="351">
        <f t="shared" si="228"/>
        <v>2375.2695870000002</v>
      </c>
      <c r="CB91" s="352">
        <f t="shared" si="229"/>
        <v>0</v>
      </c>
      <c r="CC91" s="352">
        <f t="shared" si="304"/>
        <v>0</v>
      </c>
      <c r="CD91" s="353">
        <f t="shared" si="305"/>
        <v>3117.8358400000002</v>
      </c>
      <c r="CE91" s="353">
        <f t="shared" si="306"/>
        <v>2375.2695870000002</v>
      </c>
      <c r="CF91" s="343">
        <f t="shared" si="307"/>
        <v>3117.8358400000002</v>
      </c>
      <c r="CG91" s="343">
        <f t="shared" si="308"/>
        <v>2375.2695870000002</v>
      </c>
      <c r="CI91" s="374">
        <v>1.0982000000000001</v>
      </c>
      <c r="CJ91" s="375">
        <v>0.73829999999999996</v>
      </c>
      <c r="CK91" s="374">
        <v>0</v>
      </c>
      <c r="CL91" s="374">
        <v>4345.1417000000001</v>
      </c>
      <c r="CM91" s="374">
        <v>2907.9067</v>
      </c>
      <c r="CN91" s="351">
        <f t="shared" si="230"/>
        <v>233.40044600000002</v>
      </c>
      <c r="CO91" s="351">
        <f t="shared" si="231"/>
        <v>203.36473499999997</v>
      </c>
      <c r="CP91" s="352">
        <f t="shared" si="232"/>
        <v>0</v>
      </c>
      <c r="CQ91" s="352">
        <f t="shared" si="309"/>
        <v>0</v>
      </c>
      <c r="CR91" s="353">
        <f t="shared" si="310"/>
        <v>233.40044600000002</v>
      </c>
      <c r="CS91" s="353">
        <f t="shared" si="311"/>
        <v>203.36473499999997</v>
      </c>
      <c r="CT91" s="343">
        <f t="shared" si="312"/>
        <v>233.40044600000002</v>
      </c>
      <c r="CU91" s="343">
        <f t="shared" si="313"/>
        <v>203.36473499999997</v>
      </c>
      <c r="CW91" s="374">
        <v>2.6926000000000001</v>
      </c>
      <c r="CX91" s="375">
        <v>1.8772</v>
      </c>
      <c r="CY91" s="374">
        <v>0</v>
      </c>
      <c r="CZ91" s="374">
        <v>1575.9358</v>
      </c>
      <c r="DA91" s="374">
        <v>968.89499999999998</v>
      </c>
      <c r="DB91" s="351">
        <f t="shared" si="233"/>
        <v>603.76169800000002</v>
      </c>
      <c r="DC91" s="351">
        <f t="shared" si="234"/>
        <v>583.32112800000004</v>
      </c>
      <c r="DD91" s="352">
        <f t="shared" si="235"/>
        <v>0</v>
      </c>
      <c r="DE91" s="352">
        <f t="shared" si="314"/>
        <v>0</v>
      </c>
      <c r="DF91" s="353">
        <f t="shared" si="315"/>
        <v>603.76169800000002</v>
      </c>
      <c r="DG91" s="353">
        <f t="shared" si="316"/>
        <v>583.32112800000004</v>
      </c>
      <c r="DH91" s="343">
        <f t="shared" si="317"/>
        <v>603.76169800000002</v>
      </c>
      <c r="DI91" s="343">
        <f t="shared" si="318"/>
        <v>583.32112800000004</v>
      </c>
      <c r="DK91" s="374">
        <v>3.2553000000000001</v>
      </c>
      <c r="DL91" s="375">
        <v>2.1375000000000002</v>
      </c>
      <c r="DM91" s="374">
        <v>0</v>
      </c>
      <c r="DN91" s="374">
        <v>926.25170000000003</v>
      </c>
      <c r="DO91" s="374">
        <v>571.20420000000001</v>
      </c>
      <c r="DP91" s="351">
        <f t="shared" si="236"/>
        <v>428.95088100000004</v>
      </c>
      <c r="DQ91" s="351">
        <f t="shared" si="237"/>
        <v>420.78825000000006</v>
      </c>
      <c r="DR91" s="352">
        <f t="shared" si="238"/>
        <v>0</v>
      </c>
      <c r="DS91" s="352">
        <f t="shared" si="319"/>
        <v>0</v>
      </c>
      <c r="DT91" s="353">
        <f t="shared" si="320"/>
        <v>428.95088100000004</v>
      </c>
      <c r="DU91" s="353">
        <f t="shared" si="321"/>
        <v>420.78825000000006</v>
      </c>
      <c r="DV91" s="343">
        <f t="shared" si="322"/>
        <v>428.95088100000004</v>
      </c>
      <c r="DW91" s="343">
        <f t="shared" si="323"/>
        <v>420.78825000000006</v>
      </c>
      <c r="EB91" s="326"/>
      <c r="EC91" s="326"/>
      <c r="ED91" s="326"/>
      <c r="EE91" s="348">
        <f t="shared" si="324"/>
        <v>8748.4750000000004</v>
      </c>
      <c r="EF91" s="348">
        <f t="shared" si="325"/>
        <v>6107.0076000000008</v>
      </c>
      <c r="EG91" s="348">
        <f t="shared" si="326"/>
        <v>11371.824972400002</v>
      </c>
      <c r="EH91" s="348">
        <f t="shared" si="327"/>
        <v>9976.1586373999999</v>
      </c>
      <c r="EI91" s="354">
        <f t="shared" si="239"/>
        <v>0.58890547251558156</v>
      </c>
      <c r="EJ91" s="326"/>
      <c r="EK91" s="348">
        <f t="shared" si="328"/>
        <v>11371.824972400002</v>
      </c>
      <c r="EL91" s="348">
        <f t="shared" si="329"/>
        <v>9976.1586373999999</v>
      </c>
      <c r="EM91" s="348">
        <f t="shared" si="330"/>
        <v>11371.824972400002</v>
      </c>
      <c r="EN91" s="348">
        <f t="shared" si="331"/>
        <v>9976.1586373999999</v>
      </c>
      <c r="EP91" s="326"/>
      <c r="EQ91" s="326"/>
      <c r="ER91" s="326"/>
      <c r="ES91" s="348">
        <f t="shared" si="240"/>
        <v>7292.5340999999999</v>
      </c>
      <c r="ET91" s="348">
        <f t="shared" si="241"/>
        <v>4749.7975000000006</v>
      </c>
      <c r="EU91" s="348">
        <f t="shared" si="242"/>
        <v>10468.6100326</v>
      </c>
      <c r="EV91" s="348">
        <f t="shared" si="243"/>
        <v>8867.2817785999978</v>
      </c>
      <c r="EW91" s="354">
        <f t="shared" si="244"/>
        <v>0.60557492869570195</v>
      </c>
      <c r="EX91" s="326"/>
      <c r="EY91" s="348">
        <f t="shared" si="245"/>
        <v>10468.6100326</v>
      </c>
      <c r="EZ91" s="348">
        <f t="shared" si="246"/>
        <v>8867.2817785999978</v>
      </c>
      <c r="FA91" s="348">
        <f t="shared" si="247"/>
        <v>10468.6100326</v>
      </c>
      <c r="FB91" s="348">
        <f t="shared" si="248"/>
        <v>8867.2817785999978</v>
      </c>
      <c r="FD91" s="326"/>
      <c r="FE91" s="326"/>
      <c r="FF91" s="326"/>
      <c r="FG91" s="348">
        <f t="shared" si="249"/>
        <v>6156.4967999999999</v>
      </c>
      <c r="FH91" s="348">
        <f t="shared" si="250"/>
        <v>3893.0009</v>
      </c>
      <c r="FI91" s="348">
        <f t="shared" si="251"/>
        <v>7936.4076545999997</v>
      </c>
      <c r="FJ91" s="348">
        <f t="shared" si="252"/>
        <v>6927.9242160000013</v>
      </c>
      <c r="FK91" s="354">
        <f t="shared" si="253"/>
        <v>0.61261736494551366</v>
      </c>
      <c r="FL91" s="326"/>
      <c r="FM91" s="348">
        <f t="shared" si="254"/>
        <v>7936.4076545999997</v>
      </c>
      <c r="FN91" s="348">
        <f t="shared" si="255"/>
        <v>6927.9242160000013</v>
      </c>
      <c r="FO91" s="348">
        <f t="shared" si="256"/>
        <v>7936.4076545999997</v>
      </c>
      <c r="FP91" s="348">
        <f t="shared" si="257"/>
        <v>6927.9242160000013</v>
      </c>
      <c r="FR91" s="326"/>
      <c r="FS91" s="326"/>
      <c r="FT91" s="326"/>
      <c r="FU91" s="348">
        <f t="shared" si="258"/>
        <v>5921.0775000000003</v>
      </c>
      <c r="FV91" s="348">
        <f t="shared" si="259"/>
        <v>3876.8017</v>
      </c>
      <c r="FW91" s="348">
        <f t="shared" si="260"/>
        <v>716.4098044000001</v>
      </c>
      <c r="FX91" s="348">
        <f t="shared" si="261"/>
        <v>670.02163740000003</v>
      </c>
      <c r="FY91" s="354">
        <f t="shared" si="262"/>
        <v>0.60432236192501743</v>
      </c>
      <c r="FZ91" s="326"/>
      <c r="GA91" s="348">
        <f t="shared" si="263"/>
        <v>716.4098044000001</v>
      </c>
      <c r="GB91" s="348">
        <f t="shared" si="264"/>
        <v>670.02163740000003</v>
      </c>
      <c r="GC91" s="348">
        <f t="shared" si="265"/>
        <v>716.4098044000001</v>
      </c>
      <c r="GD91" s="348">
        <f t="shared" si="266"/>
        <v>670.02163740000003</v>
      </c>
      <c r="GF91" s="326"/>
      <c r="GG91" s="326"/>
      <c r="GH91" s="326"/>
      <c r="GI91" s="348">
        <f t="shared" si="267"/>
        <v>2643.7017000000001</v>
      </c>
      <c r="GJ91" s="348">
        <f t="shared" si="268"/>
        <v>1575.1858999999999</v>
      </c>
      <c r="GK91" s="349">
        <f t="shared" si="269"/>
        <v>1402.5374235000004</v>
      </c>
      <c r="GL91" s="349">
        <f t="shared" si="270"/>
        <v>1187.5068757500001</v>
      </c>
      <c r="GM91" s="354">
        <f t="shared" si="271"/>
        <v>0.6266347792721475</v>
      </c>
      <c r="GN91" s="326"/>
      <c r="GO91" s="349">
        <f t="shared" si="272"/>
        <v>1402.5374235000004</v>
      </c>
      <c r="GP91" s="349">
        <f t="shared" si="273"/>
        <v>1187.5068757500001</v>
      </c>
      <c r="GQ91" s="349">
        <f t="shared" si="274"/>
        <v>1402.5374235000004</v>
      </c>
      <c r="GR91" s="349">
        <f t="shared" si="275"/>
        <v>1187.5068757500001</v>
      </c>
      <c r="HA91" s="374"/>
      <c r="HB91" s="375"/>
      <c r="HC91" s="374"/>
      <c r="HD91" s="374"/>
      <c r="HE91" s="374"/>
      <c r="HF91" s="351">
        <f t="shared" si="276"/>
        <v>0</v>
      </c>
      <c r="HG91" s="351">
        <f t="shared" si="277"/>
        <v>0</v>
      </c>
      <c r="HH91" s="352">
        <f t="shared" si="278"/>
        <v>0</v>
      </c>
      <c r="HI91" s="352">
        <f t="shared" si="332"/>
        <v>0</v>
      </c>
      <c r="HJ91" s="353">
        <f t="shared" si="333"/>
        <v>0</v>
      </c>
      <c r="HK91" s="353">
        <f t="shared" si="334"/>
        <v>0</v>
      </c>
    </row>
    <row r="92" spans="1:219" x14ac:dyDescent="0.2">
      <c r="A92" s="320">
        <v>82</v>
      </c>
      <c r="C92" s="350">
        <v>5.9470000000000001</v>
      </c>
      <c r="D92" s="350">
        <v>2.9350000000000001</v>
      </c>
      <c r="E92" s="350">
        <v>0</v>
      </c>
      <c r="F92" s="350">
        <v>929.74080000000004</v>
      </c>
      <c r="G92" s="350">
        <v>1041.5608</v>
      </c>
      <c r="H92" s="351">
        <f t="shared" si="212"/>
        <v>5804.8667000000005</v>
      </c>
      <c r="I92" s="351">
        <f t="shared" si="213"/>
        <v>5440.5801500000007</v>
      </c>
      <c r="J92" s="352">
        <f t="shared" si="214"/>
        <v>0</v>
      </c>
      <c r="K92" s="352">
        <f t="shared" si="279"/>
        <v>0</v>
      </c>
      <c r="L92" s="353">
        <f t="shared" si="280"/>
        <v>5804.8667000000005</v>
      </c>
      <c r="M92" s="353">
        <f t="shared" si="281"/>
        <v>5440.5801500000007</v>
      </c>
      <c r="N92" s="343">
        <f t="shared" si="282"/>
        <v>5804.8667000000005</v>
      </c>
      <c r="O92" s="343">
        <f t="shared" si="283"/>
        <v>5440.5801500000007</v>
      </c>
      <c r="Q92" s="374">
        <v>8.375</v>
      </c>
      <c r="R92" s="375">
        <v>3.8176000000000001</v>
      </c>
      <c r="S92" s="374">
        <v>0</v>
      </c>
      <c r="T92" s="374">
        <v>420.93079999999998</v>
      </c>
      <c r="U92" s="374">
        <v>235.66249999999999</v>
      </c>
      <c r="V92" s="351">
        <f t="shared" si="215"/>
        <v>5354.9749999999995</v>
      </c>
      <c r="W92" s="351">
        <f t="shared" si="216"/>
        <v>4586.3882880000001</v>
      </c>
      <c r="X92" s="352">
        <f t="shared" si="217"/>
        <v>0</v>
      </c>
      <c r="Y92" s="352">
        <f t="shared" si="284"/>
        <v>0</v>
      </c>
      <c r="Z92" s="353">
        <f t="shared" si="285"/>
        <v>5354.9749999999995</v>
      </c>
      <c r="AA92" s="353">
        <f t="shared" si="286"/>
        <v>4586.3882880000001</v>
      </c>
      <c r="AB92" s="343">
        <f t="shared" si="287"/>
        <v>5354.9749999999995</v>
      </c>
      <c r="AC92" s="343">
        <f t="shared" si="288"/>
        <v>4586.3882880000001</v>
      </c>
      <c r="AE92" s="374">
        <v>10.4444</v>
      </c>
      <c r="AF92" s="375">
        <v>4.2438000000000002</v>
      </c>
      <c r="AG92" s="374">
        <v>0</v>
      </c>
      <c r="AH92" s="374">
        <v>71.0017</v>
      </c>
      <c r="AI92" s="374">
        <v>36.083300000000001</v>
      </c>
      <c r="AJ92" s="351">
        <f t="shared" si="218"/>
        <v>4476.2609519999996</v>
      </c>
      <c r="AK92" s="351">
        <f t="shared" si="219"/>
        <v>4219.1010839999999</v>
      </c>
      <c r="AL92" s="352">
        <f t="shared" si="220"/>
        <v>0</v>
      </c>
      <c r="AM92" s="352">
        <f t="shared" si="289"/>
        <v>0</v>
      </c>
      <c r="AN92" s="353">
        <f t="shared" si="290"/>
        <v>4476.2609519999996</v>
      </c>
      <c r="AO92" s="353">
        <f t="shared" si="291"/>
        <v>4219.1010839999999</v>
      </c>
      <c r="AP92" s="343">
        <f t="shared" si="292"/>
        <v>4476.2609519999996</v>
      </c>
      <c r="AQ92" s="343">
        <f t="shared" si="293"/>
        <v>4219.1010839999999</v>
      </c>
      <c r="AS92" s="374">
        <v>15.1294</v>
      </c>
      <c r="AT92" s="375">
        <v>5.9992000000000001</v>
      </c>
      <c r="AU92" s="374">
        <v>0</v>
      </c>
      <c r="AV92" s="374">
        <v>1779.3824999999999</v>
      </c>
      <c r="AW92" s="374">
        <v>1148.2533000000001</v>
      </c>
      <c r="AX92" s="351">
        <f t="shared" si="221"/>
        <v>5154.1326980000003</v>
      </c>
      <c r="AY92" s="351">
        <f t="shared" si="222"/>
        <v>4098.1735040000003</v>
      </c>
      <c r="AZ92" s="352">
        <f t="shared" si="223"/>
        <v>0</v>
      </c>
      <c r="BA92" s="352">
        <f t="shared" si="294"/>
        <v>0</v>
      </c>
      <c r="BB92" s="353">
        <f t="shared" si="295"/>
        <v>5154.1326980000003</v>
      </c>
      <c r="BC92" s="353">
        <f t="shared" si="296"/>
        <v>4098.1735040000003</v>
      </c>
      <c r="BD92" s="343">
        <f t="shared" si="297"/>
        <v>5154.1326980000003</v>
      </c>
      <c r="BE92" s="343">
        <f t="shared" si="298"/>
        <v>4098.1735040000003</v>
      </c>
      <c r="BG92" s="374">
        <v>14.0809</v>
      </c>
      <c r="BH92" s="375">
        <v>6.5669000000000004</v>
      </c>
      <c r="BI92" s="374">
        <v>0</v>
      </c>
      <c r="BJ92" s="374">
        <v>967.10249999999996</v>
      </c>
      <c r="BK92" s="374">
        <v>665.59670000000006</v>
      </c>
      <c r="BL92" s="351">
        <f t="shared" si="224"/>
        <v>4713.8628929999995</v>
      </c>
      <c r="BM92" s="351">
        <f t="shared" si="225"/>
        <v>3847.6780479999998</v>
      </c>
      <c r="BN92" s="352">
        <f t="shared" si="226"/>
        <v>0</v>
      </c>
      <c r="BO92" s="352">
        <f t="shared" si="299"/>
        <v>0</v>
      </c>
      <c r="BP92" s="353">
        <f t="shared" si="300"/>
        <v>4713.8628929999995</v>
      </c>
      <c r="BQ92" s="353">
        <f t="shared" si="301"/>
        <v>3847.6780479999998</v>
      </c>
      <c r="BR92" s="343">
        <f t="shared" si="302"/>
        <v>4713.8628929999995</v>
      </c>
      <c r="BS92" s="343">
        <f t="shared" si="303"/>
        <v>3847.6780479999998</v>
      </c>
      <c r="BU92" s="374">
        <v>13.7667</v>
      </c>
      <c r="BV92" s="375">
        <v>6.42</v>
      </c>
      <c r="BW92" s="374">
        <v>0</v>
      </c>
      <c r="BX92" s="374">
        <v>747.05250000000001</v>
      </c>
      <c r="BY92" s="374">
        <v>333.32330000000002</v>
      </c>
      <c r="BZ92" s="351">
        <f t="shared" si="227"/>
        <v>3195.5264040000002</v>
      </c>
      <c r="CA92" s="351">
        <f t="shared" si="228"/>
        <v>2451.6053999999999</v>
      </c>
      <c r="CB92" s="352">
        <f t="shared" si="229"/>
        <v>0</v>
      </c>
      <c r="CC92" s="352">
        <f t="shared" si="304"/>
        <v>0</v>
      </c>
      <c r="CD92" s="353">
        <f t="shared" si="305"/>
        <v>3195.5264040000002</v>
      </c>
      <c r="CE92" s="353">
        <f t="shared" si="306"/>
        <v>2451.6053999999999</v>
      </c>
      <c r="CF92" s="343">
        <f t="shared" si="307"/>
        <v>3195.5264040000002</v>
      </c>
      <c r="CG92" s="343">
        <f t="shared" si="308"/>
        <v>2451.6053999999999</v>
      </c>
      <c r="CI92" s="374">
        <v>1.0446</v>
      </c>
      <c r="CJ92" s="375">
        <v>0.69450000000000001</v>
      </c>
      <c r="CK92" s="374">
        <v>0</v>
      </c>
      <c r="CL92" s="374">
        <v>4204.8757999999998</v>
      </c>
      <c r="CM92" s="374">
        <v>2815.1333</v>
      </c>
      <c r="CN92" s="351">
        <f t="shared" si="230"/>
        <v>222.008838</v>
      </c>
      <c r="CO92" s="351">
        <f t="shared" si="231"/>
        <v>191.30002500000001</v>
      </c>
      <c r="CP92" s="352">
        <f t="shared" si="232"/>
        <v>0</v>
      </c>
      <c r="CQ92" s="352">
        <f t="shared" si="309"/>
        <v>0</v>
      </c>
      <c r="CR92" s="353">
        <f t="shared" si="310"/>
        <v>222.008838</v>
      </c>
      <c r="CS92" s="353">
        <f t="shared" si="311"/>
        <v>191.30002500000001</v>
      </c>
      <c r="CT92" s="343">
        <f t="shared" si="312"/>
        <v>222.008838</v>
      </c>
      <c r="CU92" s="343">
        <f t="shared" si="313"/>
        <v>191.30002500000001</v>
      </c>
      <c r="CW92" s="374">
        <v>2.6139999999999999</v>
      </c>
      <c r="CX92" s="375">
        <v>1.7898000000000001</v>
      </c>
      <c r="CY92" s="374">
        <v>0</v>
      </c>
      <c r="CZ92" s="374">
        <v>1490.5350000000001</v>
      </c>
      <c r="DA92" s="374">
        <v>965.52499999999998</v>
      </c>
      <c r="DB92" s="351">
        <f t="shared" si="233"/>
        <v>586.13721999999996</v>
      </c>
      <c r="DC92" s="351">
        <f t="shared" si="234"/>
        <v>556.16245200000003</v>
      </c>
      <c r="DD92" s="352">
        <f t="shared" si="235"/>
        <v>0</v>
      </c>
      <c r="DE92" s="352">
        <f t="shared" si="314"/>
        <v>0</v>
      </c>
      <c r="DF92" s="353">
        <f t="shared" si="315"/>
        <v>586.13721999999996</v>
      </c>
      <c r="DG92" s="353">
        <f t="shared" si="316"/>
        <v>556.16245200000003</v>
      </c>
      <c r="DH92" s="343">
        <f t="shared" si="317"/>
        <v>586.13721999999996</v>
      </c>
      <c r="DI92" s="343">
        <f t="shared" si="318"/>
        <v>556.16245200000003</v>
      </c>
      <c r="DK92" s="374">
        <v>3.2069999999999999</v>
      </c>
      <c r="DL92" s="375">
        <v>2.0539000000000001</v>
      </c>
      <c r="DM92" s="374">
        <v>0</v>
      </c>
      <c r="DN92" s="374">
        <v>896.29330000000004</v>
      </c>
      <c r="DO92" s="374">
        <v>539.67750000000001</v>
      </c>
      <c r="DP92" s="351">
        <f t="shared" si="236"/>
        <v>422.58638999999999</v>
      </c>
      <c r="DQ92" s="351">
        <f t="shared" si="237"/>
        <v>404.33075400000001</v>
      </c>
      <c r="DR92" s="352">
        <f t="shared" si="238"/>
        <v>0</v>
      </c>
      <c r="DS92" s="352">
        <f t="shared" si="319"/>
        <v>0</v>
      </c>
      <c r="DT92" s="353">
        <f t="shared" si="320"/>
        <v>422.58638999999999</v>
      </c>
      <c r="DU92" s="353">
        <f t="shared" si="321"/>
        <v>404.33075400000001</v>
      </c>
      <c r="DV92" s="343">
        <f t="shared" si="322"/>
        <v>422.58638999999999</v>
      </c>
      <c r="DW92" s="343">
        <f t="shared" si="323"/>
        <v>404.33075400000001</v>
      </c>
      <c r="EB92" s="326"/>
      <c r="EC92" s="326"/>
      <c r="ED92" s="326"/>
      <c r="EE92" s="348">
        <f t="shared" si="324"/>
        <v>8404.5341000000008</v>
      </c>
      <c r="EF92" s="348">
        <f t="shared" si="325"/>
        <v>5970.4723999999997</v>
      </c>
      <c r="EG92" s="348">
        <f t="shared" si="326"/>
        <v>11649.918012</v>
      </c>
      <c r="EH92" s="348">
        <f t="shared" si="327"/>
        <v>10174.983640600001</v>
      </c>
      <c r="EI92" s="354">
        <f t="shared" si="239"/>
        <v>0.58466297736978423</v>
      </c>
      <c r="EJ92" s="326"/>
      <c r="EK92" s="348">
        <f t="shared" si="328"/>
        <v>11649.918012</v>
      </c>
      <c r="EL92" s="348">
        <f t="shared" si="329"/>
        <v>10174.983640600001</v>
      </c>
      <c r="EM92" s="348">
        <f t="shared" si="330"/>
        <v>11649.918012</v>
      </c>
      <c r="EN92" s="348">
        <f t="shared" si="331"/>
        <v>10174.983640600001</v>
      </c>
      <c r="EP92" s="326"/>
      <c r="EQ92" s="326"/>
      <c r="ER92" s="326"/>
      <c r="ES92" s="348">
        <f t="shared" si="240"/>
        <v>7083.4440999999997</v>
      </c>
      <c r="ET92" s="348">
        <f t="shared" si="241"/>
        <v>4681.9174999999996</v>
      </c>
      <c r="EU92" s="348">
        <f t="shared" si="242"/>
        <v>10701.142785</v>
      </c>
      <c r="EV92" s="348">
        <f t="shared" si="243"/>
        <v>9014.6800774000003</v>
      </c>
      <c r="EW92" s="354">
        <f t="shared" si="244"/>
        <v>0.60205919212886749</v>
      </c>
      <c r="EX92" s="326"/>
      <c r="EY92" s="348">
        <f t="shared" si="245"/>
        <v>10701.142785</v>
      </c>
      <c r="EZ92" s="348">
        <f t="shared" si="246"/>
        <v>9014.6800774000003</v>
      </c>
      <c r="FA92" s="348">
        <f t="shared" si="247"/>
        <v>10701.142785</v>
      </c>
      <c r="FB92" s="348">
        <f t="shared" si="248"/>
        <v>9014.6800774000003</v>
      </c>
      <c r="FD92" s="326"/>
      <c r="FE92" s="326"/>
      <c r="FF92" s="326"/>
      <c r="FG92" s="348">
        <f t="shared" si="249"/>
        <v>5919.2233000000006</v>
      </c>
      <c r="FH92" s="348">
        <f t="shared" si="250"/>
        <v>3724.2173999999995</v>
      </c>
      <c r="FI92" s="348">
        <f t="shared" si="251"/>
        <v>8147.3480279999994</v>
      </c>
      <c r="FJ92" s="348">
        <f t="shared" si="252"/>
        <v>7104.6049614000003</v>
      </c>
      <c r="FK92" s="354">
        <f t="shared" si="253"/>
        <v>0.61380823340366486</v>
      </c>
      <c r="FL92" s="326"/>
      <c r="FM92" s="348">
        <f t="shared" si="254"/>
        <v>8147.3480279999994</v>
      </c>
      <c r="FN92" s="348">
        <f t="shared" si="255"/>
        <v>7104.6049614000003</v>
      </c>
      <c r="FO92" s="348">
        <f t="shared" si="256"/>
        <v>8147.3480279999994</v>
      </c>
      <c r="FP92" s="348">
        <f t="shared" si="257"/>
        <v>7104.6049614000003</v>
      </c>
      <c r="FR92" s="326"/>
      <c r="FS92" s="326"/>
      <c r="FT92" s="326"/>
      <c r="FU92" s="348">
        <f t="shared" si="258"/>
        <v>5695.4107999999997</v>
      </c>
      <c r="FV92" s="348">
        <f t="shared" si="259"/>
        <v>3780.6583000000001</v>
      </c>
      <c r="FW92" s="348">
        <f t="shared" si="260"/>
        <v>690.91861399999993</v>
      </c>
      <c r="FX92" s="348">
        <f t="shared" si="261"/>
        <v>636.22998660000007</v>
      </c>
      <c r="FY92" s="354">
        <f t="shared" si="262"/>
        <v>0.60103094858183326</v>
      </c>
      <c r="FZ92" s="326"/>
      <c r="GA92" s="348">
        <f t="shared" si="263"/>
        <v>690.91861399999993</v>
      </c>
      <c r="GB92" s="348">
        <f t="shared" si="264"/>
        <v>636.22998660000007</v>
      </c>
      <c r="GC92" s="348">
        <f t="shared" si="265"/>
        <v>690.91861399999993</v>
      </c>
      <c r="GD92" s="348">
        <f t="shared" si="266"/>
        <v>636.22998660000007</v>
      </c>
      <c r="GF92" s="326"/>
      <c r="GG92" s="326"/>
      <c r="GH92" s="326"/>
      <c r="GI92" s="348">
        <f t="shared" si="267"/>
        <v>2526.4349999999999</v>
      </c>
      <c r="GJ92" s="348">
        <f t="shared" si="268"/>
        <v>1481.5766000000001</v>
      </c>
      <c r="GK92" s="349">
        <f t="shared" si="269"/>
        <v>1468.9547205000001</v>
      </c>
      <c r="GL92" s="349">
        <f t="shared" si="270"/>
        <v>1234.9260780000004</v>
      </c>
      <c r="GM92" s="354">
        <f t="shared" si="271"/>
        <v>0.63034622953686059</v>
      </c>
      <c r="GN92" s="326"/>
      <c r="GO92" s="349">
        <f t="shared" si="272"/>
        <v>1468.9547205000001</v>
      </c>
      <c r="GP92" s="349">
        <f t="shared" si="273"/>
        <v>1234.9260780000004</v>
      </c>
      <c r="GQ92" s="349">
        <f t="shared" si="274"/>
        <v>1468.9547205000001</v>
      </c>
      <c r="GR92" s="349">
        <f t="shared" si="275"/>
        <v>1234.9260780000004</v>
      </c>
      <c r="HA92" s="374"/>
      <c r="HB92" s="375"/>
      <c r="HC92" s="374"/>
      <c r="HD92" s="374"/>
      <c r="HE92" s="374"/>
      <c r="HF92" s="351">
        <f t="shared" si="276"/>
        <v>0</v>
      </c>
      <c r="HG92" s="351">
        <f t="shared" si="277"/>
        <v>0</v>
      </c>
      <c r="HH92" s="352">
        <f t="shared" si="278"/>
        <v>0</v>
      </c>
      <c r="HI92" s="352">
        <f t="shared" si="332"/>
        <v>0</v>
      </c>
      <c r="HJ92" s="353">
        <f t="shared" si="333"/>
        <v>0</v>
      </c>
      <c r="HK92" s="353">
        <f t="shared" si="334"/>
        <v>0</v>
      </c>
    </row>
    <row r="93" spans="1:219" x14ac:dyDescent="0.2">
      <c r="A93" s="320">
        <v>83</v>
      </c>
      <c r="C93" s="350">
        <v>6.0837000000000003</v>
      </c>
      <c r="D93" s="350">
        <v>2.9823</v>
      </c>
      <c r="E93" s="350">
        <v>0</v>
      </c>
      <c r="F93" s="350">
        <v>819.54169999999999</v>
      </c>
      <c r="G93" s="350">
        <v>1064.5208</v>
      </c>
      <c r="H93" s="351">
        <f t="shared" si="212"/>
        <v>5938.2995700000001</v>
      </c>
      <c r="I93" s="351">
        <f t="shared" si="213"/>
        <v>5528.2596869999998</v>
      </c>
      <c r="J93" s="352">
        <f t="shared" si="214"/>
        <v>0</v>
      </c>
      <c r="K93" s="352">
        <f t="shared" si="279"/>
        <v>0</v>
      </c>
      <c r="L93" s="353">
        <f t="shared" si="280"/>
        <v>5938.2995700000001</v>
      </c>
      <c r="M93" s="353">
        <f t="shared" si="281"/>
        <v>5528.2596869999998</v>
      </c>
      <c r="N93" s="343">
        <f t="shared" si="282"/>
        <v>5938.2995700000001</v>
      </c>
      <c r="O93" s="343">
        <f t="shared" si="283"/>
        <v>5528.2596869999998</v>
      </c>
      <c r="Q93" s="374">
        <v>8.5289000000000001</v>
      </c>
      <c r="R93" s="375">
        <v>3.863</v>
      </c>
      <c r="S93" s="374">
        <v>0</v>
      </c>
      <c r="T93" s="374">
        <v>361.56420000000003</v>
      </c>
      <c r="U93" s="374">
        <v>230.70419999999999</v>
      </c>
      <c r="V93" s="351">
        <f t="shared" si="215"/>
        <v>5453.3786600000003</v>
      </c>
      <c r="W93" s="351">
        <f t="shared" si="216"/>
        <v>4640.9309400000002</v>
      </c>
      <c r="X93" s="352">
        <f t="shared" si="217"/>
        <v>0</v>
      </c>
      <c r="Y93" s="352">
        <f t="shared" si="284"/>
        <v>0</v>
      </c>
      <c r="Z93" s="353">
        <f t="shared" si="285"/>
        <v>5453.3786600000003</v>
      </c>
      <c r="AA93" s="353">
        <f t="shared" si="286"/>
        <v>4640.9309400000002</v>
      </c>
      <c r="AB93" s="343">
        <f t="shared" si="287"/>
        <v>5453.3786600000003</v>
      </c>
      <c r="AC93" s="343">
        <f t="shared" si="288"/>
        <v>4640.9309400000002</v>
      </c>
      <c r="AE93" s="374">
        <v>10.769</v>
      </c>
      <c r="AF93" s="375">
        <v>4.3632</v>
      </c>
      <c r="AG93" s="374">
        <v>0</v>
      </c>
      <c r="AH93" s="374">
        <v>69.333299999999994</v>
      </c>
      <c r="AI93" s="374">
        <v>53</v>
      </c>
      <c r="AJ93" s="351">
        <f t="shared" si="218"/>
        <v>4615.3780200000001</v>
      </c>
      <c r="AK93" s="351">
        <f t="shared" si="219"/>
        <v>4337.8061760000001</v>
      </c>
      <c r="AL93" s="352">
        <f t="shared" si="220"/>
        <v>0</v>
      </c>
      <c r="AM93" s="352">
        <f t="shared" si="289"/>
        <v>0</v>
      </c>
      <c r="AN93" s="353">
        <f t="shared" si="290"/>
        <v>4615.3780200000001</v>
      </c>
      <c r="AO93" s="353">
        <f t="shared" si="291"/>
        <v>4337.8061760000001</v>
      </c>
      <c r="AP93" s="343">
        <f t="shared" si="292"/>
        <v>4615.3780200000001</v>
      </c>
      <c r="AQ93" s="343">
        <f t="shared" si="293"/>
        <v>4337.8061760000001</v>
      </c>
      <c r="AS93" s="374">
        <v>15.5654</v>
      </c>
      <c r="AT93" s="375">
        <v>6.1778000000000004</v>
      </c>
      <c r="AU93" s="374">
        <v>0</v>
      </c>
      <c r="AV93" s="374">
        <v>1683.4632999999999</v>
      </c>
      <c r="AW93" s="374">
        <v>1178.4825000000001</v>
      </c>
      <c r="AX93" s="351">
        <f t="shared" si="221"/>
        <v>5302.6648180000002</v>
      </c>
      <c r="AY93" s="351">
        <f t="shared" si="222"/>
        <v>4220.1787360000008</v>
      </c>
      <c r="AZ93" s="352">
        <f t="shared" si="223"/>
        <v>0</v>
      </c>
      <c r="BA93" s="352">
        <f t="shared" si="294"/>
        <v>0</v>
      </c>
      <c r="BB93" s="353">
        <f t="shared" si="295"/>
        <v>5302.6648180000002</v>
      </c>
      <c r="BC93" s="353">
        <f t="shared" si="296"/>
        <v>4220.1787360000008</v>
      </c>
      <c r="BD93" s="343">
        <f t="shared" si="297"/>
        <v>5302.6648180000002</v>
      </c>
      <c r="BE93" s="343">
        <f t="shared" si="298"/>
        <v>4220.1787360000008</v>
      </c>
      <c r="BG93" s="374">
        <v>14.4574</v>
      </c>
      <c r="BH93" s="375">
        <v>6.7519</v>
      </c>
      <c r="BI93" s="374">
        <v>0</v>
      </c>
      <c r="BJ93" s="374">
        <v>930.11500000000001</v>
      </c>
      <c r="BK93" s="374">
        <v>720.90920000000006</v>
      </c>
      <c r="BL93" s="351">
        <f t="shared" si="224"/>
        <v>4839.9037979999994</v>
      </c>
      <c r="BM93" s="351">
        <f t="shared" si="225"/>
        <v>3956.0732479999997</v>
      </c>
      <c r="BN93" s="352">
        <f t="shared" si="226"/>
        <v>0</v>
      </c>
      <c r="BO93" s="352">
        <f t="shared" si="299"/>
        <v>0</v>
      </c>
      <c r="BP93" s="353">
        <f t="shared" si="300"/>
        <v>4839.9037979999994</v>
      </c>
      <c r="BQ93" s="353">
        <f t="shared" si="301"/>
        <v>3956.0732479999997</v>
      </c>
      <c r="BR93" s="343">
        <f t="shared" si="302"/>
        <v>4839.9037979999994</v>
      </c>
      <c r="BS93" s="343">
        <f t="shared" si="303"/>
        <v>3956.0732479999997</v>
      </c>
      <c r="BU93" s="374">
        <v>14.084899999999999</v>
      </c>
      <c r="BV93" s="375">
        <v>6.6006999999999998</v>
      </c>
      <c r="BW93" s="374">
        <v>0</v>
      </c>
      <c r="BX93" s="374">
        <v>641.12</v>
      </c>
      <c r="BY93" s="374">
        <v>367.21249999999998</v>
      </c>
      <c r="BZ93" s="351">
        <f t="shared" si="227"/>
        <v>3269.3869879999997</v>
      </c>
      <c r="CA93" s="351">
        <f t="shared" si="228"/>
        <v>2520.6093089999999</v>
      </c>
      <c r="CB93" s="352">
        <f t="shared" si="229"/>
        <v>0</v>
      </c>
      <c r="CC93" s="352">
        <f t="shared" si="304"/>
        <v>0</v>
      </c>
      <c r="CD93" s="353">
        <f t="shared" si="305"/>
        <v>3269.3869879999997</v>
      </c>
      <c r="CE93" s="353">
        <f t="shared" si="306"/>
        <v>2520.6093089999999</v>
      </c>
      <c r="CF93" s="343">
        <f t="shared" si="307"/>
        <v>3269.3869879999997</v>
      </c>
      <c r="CG93" s="343">
        <f t="shared" si="308"/>
        <v>2520.6093089999999</v>
      </c>
      <c r="CI93" s="374">
        <v>0.99199999999999999</v>
      </c>
      <c r="CJ93" s="375">
        <v>0.65100000000000002</v>
      </c>
      <c r="CK93" s="374">
        <v>0</v>
      </c>
      <c r="CL93" s="374">
        <v>3912.4358000000002</v>
      </c>
      <c r="CM93" s="374">
        <v>2977.5250000000001</v>
      </c>
      <c r="CN93" s="351">
        <f t="shared" si="230"/>
        <v>210.82975999999999</v>
      </c>
      <c r="CO93" s="351">
        <f t="shared" si="231"/>
        <v>179.31795</v>
      </c>
      <c r="CP93" s="352">
        <f t="shared" si="232"/>
        <v>0</v>
      </c>
      <c r="CQ93" s="352">
        <f t="shared" si="309"/>
        <v>0</v>
      </c>
      <c r="CR93" s="353">
        <f t="shared" si="310"/>
        <v>210.82975999999999</v>
      </c>
      <c r="CS93" s="353">
        <f t="shared" si="311"/>
        <v>179.31795</v>
      </c>
      <c r="CT93" s="343">
        <f t="shared" si="312"/>
        <v>210.82975999999999</v>
      </c>
      <c r="CU93" s="343">
        <f t="shared" si="313"/>
        <v>179.31795</v>
      </c>
      <c r="CW93" s="374">
        <v>2.5326</v>
      </c>
      <c r="CX93" s="375">
        <v>1.7016</v>
      </c>
      <c r="CY93" s="374">
        <v>0</v>
      </c>
      <c r="CZ93" s="374">
        <v>1382.8875</v>
      </c>
      <c r="DA93" s="374">
        <v>933.53750000000002</v>
      </c>
      <c r="DB93" s="351">
        <f t="shared" si="233"/>
        <v>567.88489800000002</v>
      </c>
      <c r="DC93" s="351">
        <f t="shared" si="234"/>
        <v>528.75518399999999</v>
      </c>
      <c r="DD93" s="352">
        <f t="shared" si="235"/>
        <v>0</v>
      </c>
      <c r="DE93" s="352">
        <f t="shared" si="314"/>
        <v>0</v>
      </c>
      <c r="DF93" s="353">
        <f t="shared" si="315"/>
        <v>567.88489800000002</v>
      </c>
      <c r="DG93" s="353">
        <f t="shared" si="316"/>
        <v>528.75518399999999</v>
      </c>
      <c r="DH93" s="343">
        <f t="shared" si="317"/>
        <v>567.88489800000002</v>
      </c>
      <c r="DI93" s="343">
        <f t="shared" si="318"/>
        <v>528.75518399999999</v>
      </c>
      <c r="DK93" s="374">
        <v>3.1438000000000001</v>
      </c>
      <c r="DL93" s="375">
        <v>1.9618</v>
      </c>
      <c r="DM93" s="374">
        <v>0</v>
      </c>
      <c r="DN93" s="374">
        <v>844.45920000000001</v>
      </c>
      <c r="DO93" s="374">
        <v>647.12580000000003</v>
      </c>
      <c r="DP93" s="351">
        <f t="shared" si="236"/>
        <v>414.25852600000007</v>
      </c>
      <c r="DQ93" s="351">
        <f t="shared" si="237"/>
        <v>386.19994800000001</v>
      </c>
      <c r="DR93" s="352">
        <f t="shared" si="238"/>
        <v>0</v>
      </c>
      <c r="DS93" s="352">
        <f t="shared" si="319"/>
        <v>0</v>
      </c>
      <c r="DT93" s="353">
        <f t="shared" si="320"/>
        <v>414.25852600000007</v>
      </c>
      <c r="DU93" s="353">
        <f t="shared" si="321"/>
        <v>386.19994800000001</v>
      </c>
      <c r="DV93" s="343">
        <f t="shared" si="322"/>
        <v>414.25852600000007</v>
      </c>
      <c r="DW93" s="343">
        <f t="shared" si="323"/>
        <v>386.19994800000001</v>
      </c>
      <c r="EB93" s="326"/>
      <c r="EC93" s="326"/>
      <c r="ED93" s="326"/>
      <c r="EE93" s="348">
        <f t="shared" si="324"/>
        <v>7798.3283000000001</v>
      </c>
      <c r="EF93" s="348">
        <f t="shared" si="325"/>
        <v>6154.0658000000003</v>
      </c>
      <c r="EG93" s="348">
        <f t="shared" si="326"/>
        <v>11906.102066400001</v>
      </c>
      <c r="EH93" s="348">
        <f t="shared" si="327"/>
        <v>10350.7605202</v>
      </c>
      <c r="EI93" s="354">
        <f t="shared" si="239"/>
        <v>0.55892402723916745</v>
      </c>
      <c r="EJ93" s="326"/>
      <c r="EK93" s="348">
        <f t="shared" si="328"/>
        <v>11906.102066400001</v>
      </c>
      <c r="EL93" s="348">
        <f t="shared" si="329"/>
        <v>10350.7605202</v>
      </c>
      <c r="EM93" s="348">
        <f t="shared" si="330"/>
        <v>11906.102066400001</v>
      </c>
      <c r="EN93" s="348">
        <f t="shared" si="331"/>
        <v>10350.7605202</v>
      </c>
      <c r="EP93" s="326"/>
      <c r="EQ93" s="326"/>
      <c r="ER93" s="326"/>
      <c r="ES93" s="348">
        <f t="shared" si="240"/>
        <v>6587.0024999999996</v>
      </c>
      <c r="ET93" s="348">
        <f t="shared" si="241"/>
        <v>4862.6759000000002</v>
      </c>
      <c r="EU93" s="348">
        <f t="shared" si="242"/>
        <v>10901.631646600001</v>
      </c>
      <c r="EV93" s="348">
        <f t="shared" si="243"/>
        <v>9146.4507667999987</v>
      </c>
      <c r="EW93" s="354">
        <f t="shared" si="244"/>
        <v>0.57530021978608581</v>
      </c>
      <c r="EX93" s="326"/>
      <c r="EY93" s="348">
        <f t="shared" si="245"/>
        <v>10901.631646600001</v>
      </c>
      <c r="EZ93" s="348">
        <f t="shared" si="246"/>
        <v>9146.4507667999987</v>
      </c>
      <c r="FA93" s="348">
        <f t="shared" si="247"/>
        <v>10901.631646600001</v>
      </c>
      <c r="FB93" s="348">
        <f t="shared" si="248"/>
        <v>9146.4507667999987</v>
      </c>
      <c r="FD93" s="326"/>
      <c r="FE93" s="326"/>
      <c r="FF93" s="326"/>
      <c r="FG93" s="348">
        <f t="shared" si="249"/>
        <v>5467.3483000000006</v>
      </c>
      <c r="FH93" s="348">
        <f t="shared" si="250"/>
        <v>4044.8633</v>
      </c>
      <c r="FI93" s="348">
        <f t="shared" si="251"/>
        <v>8344.1498835999992</v>
      </c>
      <c r="FJ93" s="348">
        <f t="shared" si="252"/>
        <v>7269.4534037999993</v>
      </c>
      <c r="FK93" s="354">
        <f t="shared" si="253"/>
        <v>0.5747715179086218</v>
      </c>
      <c r="FL93" s="326"/>
      <c r="FM93" s="348">
        <f t="shared" si="254"/>
        <v>8344.1498835999992</v>
      </c>
      <c r="FN93" s="348">
        <f t="shared" si="255"/>
        <v>7269.4534037999993</v>
      </c>
      <c r="FO93" s="348">
        <f t="shared" si="256"/>
        <v>8344.1498835999992</v>
      </c>
      <c r="FP93" s="348">
        <f t="shared" si="257"/>
        <v>7269.4534037999993</v>
      </c>
      <c r="FR93" s="326"/>
      <c r="FS93" s="326"/>
      <c r="FT93" s="326"/>
      <c r="FU93" s="348">
        <f t="shared" si="258"/>
        <v>5295.3233</v>
      </c>
      <c r="FV93" s="348">
        <f t="shared" si="259"/>
        <v>3911.0625</v>
      </c>
      <c r="FW93" s="348">
        <f t="shared" si="260"/>
        <v>665.13767840000003</v>
      </c>
      <c r="FX93" s="348">
        <f t="shared" si="261"/>
        <v>602.32209720000003</v>
      </c>
      <c r="FY93" s="354">
        <f t="shared" si="262"/>
        <v>0.57517938255422663</v>
      </c>
      <c r="FZ93" s="326"/>
      <c r="GA93" s="348">
        <f t="shared" si="263"/>
        <v>665.13767840000003</v>
      </c>
      <c r="GB93" s="348">
        <f t="shared" si="264"/>
        <v>602.32209720000003</v>
      </c>
      <c r="GC93" s="348">
        <f t="shared" si="265"/>
        <v>665.13767840000003</v>
      </c>
      <c r="GD93" s="348">
        <f t="shared" si="266"/>
        <v>602.32209720000003</v>
      </c>
      <c r="GF93" s="326"/>
      <c r="GG93" s="326"/>
      <c r="GH93" s="326"/>
      <c r="GI93" s="348">
        <f t="shared" si="267"/>
        <v>2324.5832999999998</v>
      </c>
      <c r="GJ93" s="348">
        <f t="shared" si="268"/>
        <v>1545.6950000000002</v>
      </c>
      <c r="GK93" s="349">
        <f t="shared" si="269"/>
        <v>1524.9583725000002</v>
      </c>
      <c r="GL93" s="349">
        <f t="shared" si="270"/>
        <v>1274.6770702500007</v>
      </c>
      <c r="GM93" s="354">
        <f t="shared" si="271"/>
        <v>0.60062432719631553</v>
      </c>
      <c r="GN93" s="326"/>
      <c r="GO93" s="349">
        <f t="shared" si="272"/>
        <v>1524.9583725000002</v>
      </c>
      <c r="GP93" s="349">
        <f t="shared" si="273"/>
        <v>1274.6770702500007</v>
      </c>
      <c r="GQ93" s="349">
        <f t="shared" si="274"/>
        <v>1524.9583725000002</v>
      </c>
      <c r="GR93" s="349">
        <f t="shared" si="275"/>
        <v>1274.6770702500007</v>
      </c>
      <c r="HA93" s="374"/>
      <c r="HB93" s="375"/>
      <c r="HC93" s="374"/>
      <c r="HD93" s="374"/>
      <c r="HE93" s="374"/>
      <c r="HF93" s="351">
        <f t="shared" si="276"/>
        <v>0</v>
      </c>
      <c r="HG93" s="351">
        <f t="shared" si="277"/>
        <v>0</v>
      </c>
      <c r="HH93" s="352">
        <f t="shared" si="278"/>
        <v>0</v>
      </c>
      <c r="HI93" s="352">
        <f t="shared" si="332"/>
        <v>0</v>
      </c>
      <c r="HJ93" s="353">
        <f t="shared" si="333"/>
        <v>0</v>
      </c>
      <c r="HK93" s="353">
        <f t="shared" si="334"/>
        <v>0</v>
      </c>
    </row>
    <row r="94" spans="1:219" x14ac:dyDescent="0.2">
      <c r="A94" s="320">
        <v>84</v>
      </c>
      <c r="C94" s="350">
        <v>6.2168000000000001</v>
      </c>
      <c r="D94" s="350">
        <v>3.0270000000000001</v>
      </c>
      <c r="E94" s="350">
        <v>0</v>
      </c>
      <c r="F94" s="350">
        <v>748.26170000000002</v>
      </c>
      <c r="G94" s="350">
        <v>1041.4324999999999</v>
      </c>
      <c r="H94" s="351">
        <f t="shared" si="212"/>
        <v>6068.2184800000005</v>
      </c>
      <c r="I94" s="351">
        <f t="shared" si="213"/>
        <v>5611.1196300000001</v>
      </c>
      <c r="J94" s="352">
        <f t="shared" si="214"/>
        <v>0</v>
      </c>
      <c r="K94" s="352">
        <f t="shared" si="279"/>
        <v>0</v>
      </c>
      <c r="L94" s="353">
        <f t="shared" si="280"/>
        <v>6068.2184800000005</v>
      </c>
      <c r="M94" s="353">
        <f t="shared" si="281"/>
        <v>5611.1196300000001</v>
      </c>
      <c r="N94" s="343">
        <f t="shared" si="282"/>
        <v>6068.2184800000005</v>
      </c>
      <c r="O94" s="343">
        <f t="shared" si="283"/>
        <v>5611.1196300000001</v>
      </c>
      <c r="Q94" s="374">
        <v>8.6580999999999992</v>
      </c>
      <c r="R94" s="375">
        <v>3.9070999999999998</v>
      </c>
      <c r="S94" s="374">
        <v>0</v>
      </c>
      <c r="T94" s="374">
        <v>286.53579999999999</v>
      </c>
      <c r="U94" s="374">
        <v>246.40170000000001</v>
      </c>
      <c r="V94" s="351">
        <f t="shared" si="215"/>
        <v>5535.9891399999997</v>
      </c>
      <c r="W94" s="351">
        <f t="shared" si="216"/>
        <v>4693.9117980000001</v>
      </c>
      <c r="X94" s="352">
        <f t="shared" si="217"/>
        <v>0</v>
      </c>
      <c r="Y94" s="352">
        <f t="shared" si="284"/>
        <v>0</v>
      </c>
      <c r="Z94" s="353">
        <f t="shared" si="285"/>
        <v>5535.9891399999997</v>
      </c>
      <c r="AA94" s="353">
        <f t="shared" si="286"/>
        <v>4693.9117980000001</v>
      </c>
      <c r="AB94" s="343">
        <f t="shared" si="287"/>
        <v>5535.9891399999997</v>
      </c>
      <c r="AC94" s="343">
        <f t="shared" si="288"/>
        <v>4693.9117980000001</v>
      </c>
      <c r="AE94" s="374">
        <v>11.0695</v>
      </c>
      <c r="AF94" s="375">
        <v>4.4752000000000001</v>
      </c>
      <c r="AG94" s="374">
        <v>0</v>
      </c>
      <c r="AH94" s="374">
        <v>62.290799999999997</v>
      </c>
      <c r="AI94" s="374">
        <v>44.005000000000003</v>
      </c>
      <c r="AJ94" s="351">
        <f t="shared" si="218"/>
        <v>4744.1663099999996</v>
      </c>
      <c r="AK94" s="351">
        <f t="shared" si="219"/>
        <v>4449.1543359999996</v>
      </c>
      <c r="AL94" s="352">
        <f t="shared" si="220"/>
        <v>0</v>
      </c>
      <c r="AM94" s="352">
        <f t="shared" si="289"/>
        <v>0</v>
      </c>
      <c r="AN94" s="353">
        <f t="shared" si="290"/>
        <v>4744.1663099999996</v>
      </c>
      <c r="AO94" s="353">
        <f t="shared" si="291"/>
        <v>4449.1543359999996</v>
      </c>
      <c r="AP94" s="343">
        <f t="shared" si="292"/>
        <v>4744.1663099999996</v>
      </c>
      <c r="AQ94" s="343">
        <f t="shared" si="293"/>
        <v>4449.1543359999996</v>
      </c>
      <c r="AS94" s="374">
        <v>15.9491</v>
      </c>
      <c r="AT94" s="375">
        <v>6.3232999999999997</v>
      </c>
      <c r="AU94" s="374">
        <v>0</v>
      </c>
      <c r="AV94" s="374">
        <v>1437.4725000000001</v>
      </c>
      <c r="AW94" s="374">
        <v>1174.3117</v>
      </c>
      <c r="AX94" s="351">
        <f t="shared" si="221"/>
        <v>5433.3798969999998</v>
      </c>
      <c r="AY94" s="351">
        <f t="shared" si="222"/>
        <v>4319.5726960000002</v>
      </c>
      <c r="AZ94" s="352">
        <f t="shared" si="223"/>
        <v>0</v>
      </c>
      <c r="BA94" s="352">
        <f t="shared" si="294"/>
        <v>0</v>
      </c>
      <c r="BB94" s="353">
        <f t="shared" si="295"/>
        <v>5433.3798969999998</v>
      </c>
      <c r="BC94" s="353">
        <f t="shared" si="296"/>
        <v>4319.5726960000002</v>
      </c>
      <c r="BD94" s="343">
        <f t="shared" si="297"/>
        <v>5433.3798969999998</v>
      </c>
      <c r="BE94" s="343">
        <f t="shared" si="298"/>
        <v>4319.5726960000002</v>
      </c>
      <c r="BG94" s="374">
        <v>14.7888</v>
      </c>
      <c r="BH94" s="375">
        <v>6.9146000000000001</v>
      </c>
      <c r="BI94" s="374">
        <v>0</v>
      </c>
      <c r="BJ94" s="374">
        <v>817.93830000000003</v>
      </c>
      <c r="BK94" s="374">
        <v>674.54420000000005</v>
      </c>
      <c r="BL94" s="351">
        <f t="shared" si="224"/>
        <v>4950.8465759999999</v>
      </c>
      <c r="BM94" s="351">
        <f t="shared" si="225"/>
        <v>4051.4024319999999</v>
      </c>
      <c r="BN94" s="352">
        <f t="shared" si="226"/>
        <v>0</v>
      </c>
      <c r="BO94" s="352">
        <f t="shared" si="299"/>
        <v>0</v>
      </c>
      <c r="BP94" s="353">
        <f t="shared" si="300"/>
        <v>4950.8465759999999</v>
      </c>
      <c r="BQ94" s="353">
        <f t="shared" si="301"/>
        <v>4051.4024319999999</v>
      </c>
      <c r="BR94" s="343">
        <f t="shared" si="302"/>
        <v>4950.8465759999999</v>
      </c>
      <c r="BS94" s="343">
        <f t="shared" si="303"/>
        <v>4051.4024319999999</v>
      </c>
      <c r="BU94" s="374">
        <v>14.3832</v>
      </c>
      <c r="BV94" s="375">
        <v>6.7565999999999997</v>
      </c>
      <c r="BW94" s="374">
        <v>0</v>
      </c>
      <c r="BX94" s="374">
        <v>552.45249999999999</v>
      </c>
      <c r="BY94" s="374">
        <v>352.83670000000001</v>
      </c>
      <c r="BZ94" s="351">
        <f t="shared" si="227"/>
        <v>3338.6283840000001</v>
      </c>
      <c r="CA94" s="351">
        <f t="shared" si="228"/>
        <v>2580.1428419999997</v>
      </c>
      <c r="CB94" s="352">
        <f t="shared" si="229"/>
        <v>0</v>
      </c>
      <c r="CC94" s="352">
        <f t="shared" si="304"/>
        <v>0</v>
      </c>
      <c r="CD94" s="353">
        <f t="shared" si="305"/>
        <v>3338.6283840000001</v>
      </c>
      <c r="CE94" s="353">
        <f t="shared" si="306"/>
        <v>2580.1428419999997</v>
      </c>
      <c r="CF94" s="343">
        <f t="shared" si="307"/>
        <v>3338.6283840000001</v>
      </c>
      <c r="CG94" s="343">
        <f t="shared" si="308"/>
        <v>2580.1428419999997</v>
      </c>
      <c r="CI94" s="374">
        <v>0.94099999999999995</v>
      </c>
      <c r="CJ94" s="375">
        <v>0.60829999999999995</v>
      </c>
      <c r="CK94" s="374">
        <v>0</v>
      </c>
      <c r="CL94" s="374">
        <v>3469.5882999999999</v>
      </c>
      <c r="CM94" s="374">
        <v>2890.36</v>
      </c>
      <c r="CN94" s="351">
        <f t="shared" si="230"/>
        <v>199.99072999999999</v>
      </c>
      <c r="CO94" s="351">
        <f t="shared" si="231"/>
        <v>167.55623499999999</v>
      </c>
      <c r="CP94" s="352">
        <f t="shared" si="232"/>
        <v>0</v>
      </c>
      <c r="CQ94" s="352">
        <f t="shared" si="309"/>
        <v>0</v>
      </c>
      <c r="CR94" s="353">
        <f t="shared" si="310"/>
        <v>199.99072999999999</v>
      </c>
      <c r="CS94" s="353">
        <f t="shared" si="311"/>
        <v>167.55623499999999</v>
      </c>
      <c r="CT94" s="343">
        <f t="shared" si="312"/>
        <v>199.99072999999999</v>
      </c>
      <c r="CU94" s="343">
        <f t="shared" si="313"/>
        <v>167.55623499999999</v>
      </c>
      <c r="CW94" s="374">
        <v>2.4489000000000001</v>
      </c>
      <c r="CX94" s="375">
        <v>1.6126</v>
      </c>
      <c r="CY94" s="374">
        <v>0</v>
      </c>
      <c r="CZ94" s="374">
        <v>1131.6524999999999</v>
      </c>
      <c r="DA94" s="374">
        <v>882.46249999999998</v>
      </c>
      <c r="DB94" s="351">
        <f t="shared" si="233"/>
        <v>549.11684700000001</v>
      </c>
      <c r="DC94" s="351">
        <f t="shared" si="234"/>
        <v>501.09932400000002</v>
      </c>
      <c r="DD94" s="352">
        <f t="shared" si="235"/>
        <v>0</v>
      </c>
      <c r="DE94" s="352">
        <f t="shared" si="314"/>
        <v>0</v>
      </c>
      <c r="DF94" s="353">
        <f t="shared" si="315"/>
        <v>549.11684700000001</v>
      </c>
      <c r="DG94" s="353">
        <f t="shared" si="316"/>
        <v>501.09932400000002</v>
      </c>
      <c r="DH94" s="343">
        <f t="shared" si="317"/>
        <v>549.11684700000001</v>
      </c>
      <c r="DI94" s="343">
        <f t="shared" si="318"/>
        <v>501.09932400000002</v>
      </c>
      <c r="DK94" s="374">
        <v>3.0651000000000002</v>
      </c>
      <c r="DL94" s="375">
        <v>1.8622000000000001</v>
      </c>
      <c r="DM94" s="374">
        <v>0</v>
      </c>
      <c r="DN94" s="374">
        <v>799.2192</v>
      </c>
      <c r="DO94" s="374">
        <v>620.67330000000004</v>
      </c>
      <c r="DP94" s="351">
        <f t="shared" si="236"/>
        <v>403.88822700000003</v>
      </c>
      <c r="DQ94" s="351">
        <f t="shared" si="237"/>
        <v>366.59269200000006</v>
      </c>
      <c r="DR94" s="352">
        <f t="shared" si="238"/>
        <v>0</v>
      </c>
      <c r="DS94" s="352">
        <f t="shared" si="319"/>
        <v>0</v>
      </c>
      <c r="DT94" s="353">
        <f t="shared" si="320"/>
        <v>403.88822700000003</v>
      </c>
      <c r="DU94" s="353">
        <f t="shared" si="321"/>
        <v>366.59269200000006</v>
      </c>
      <c r="DV94" s="343">
        <f t="shared" si="322"/>
        <v>403.88822700000003</v>
      </c>
      <c r="DW94" s="343">
        <f t="shared" si="323"/>
        <v>366.59269200000006</v>
      </c>
      <c r="EB94" s="326"/>
      <c r="EC94" s="326"/>
      <c r="ED94" s="326"/>
      <c r="EE94" s="348">
        <f t="shared" si="324"/>
        <v>6786.9750000000004</v>
      </c>
      <c r="EF94" s="348">
        <f t="shared" si="325"/>
        <v>5988.5666999999994</v>
      </c>
      <c r="EG94" s="348">
        <f t="shared" si="326"/>
        <v>12140.8825846</v>
      </c>
      <c r="EH94" s="348">
        <f t="shared" si="327"/>
        <v>10499.1280202</v>
      </c>
      <c r="EI94" s="354">
        <f t="shared" si="239"/>
        <v>0.53124753214965437</v>
      </c>
      <c r="EJ94" s="326"/>
      <c r="EK94" s="348">
        <f t="shared" si="328"/>
        <v>12140.8825846</v>
      </c>
      <c r="EL94" s="348">
        <f t="shared" si="329"/>
        <v>10499.1280202</v>
      </c>
      <c r="EM94" s="348">
        <f t="shared" si="330"/>
        <v>12140.8825846</v>
      </c>
      <c r="EN94" s="348">
        <f t="shared" si="331"/>
        <v>10499.1280202</v>
      </c>
      <c r="EP94" s="326"/>
      <c r="EQ94" s="326"/>
      <c r="ER94" s="326"/>
      <c r="ES94" s="348">
        <f t="shared" si="240"/>
        <v>5705.7148999999999</v>
      </c>
      <c r="ET94" s="348">
        <f t="shared" si="241"/>
        <v>4693.7683999999999</v>
      </c>
      <c r="EU94" s="348">
        <f t="shared" si="242"/>
        <v>11071.208238899999</v>
      </c>
      <c r="EV94" s="348">
        <f t="shared" si="243"/>
        <v>9263.6399918000006</v>
      </c>
      <c r="EW94" s="354">
        <f t="shared" si="244"/>
        <v>0.54865369128483532</v>
      </c>
      <c r="EX94" s="326"/>
      <c r="EY94" s="348">
        <f t="shared" si="245"/>
        <v>11071.208238899999</v>
      </c>
      <c r="EZ94" s="348">
        <f t="shared" si="246"/>
        <v>9263.6399918000006</v>
      </c>
      <c r="FA94" s="348">
        <f t="shared" si="247"/>
        <v>11071.208238899999</v>
      </c>
      <c r="FB94" s="348">
        <f t="shared" si="248"/>
        <v>9263.6399918000006</v>
      </c>
      <c r="FD94" s="326"/>
      <c r="FE94" s="326"/>
      <c r="FF94" s="326"/>
      <c r="FG94" s="348">
        <f t="shared" si="249"/>
        <v>4883.5508</v>
      </c>
      <c r="FH94" s="348">
        <f t="shared" si="250"/>
        <v>3907.875</v>
      </c>
      <c r="FI94" s="348">
        <f t="shared" si="251"/>
        <v>8525.1183602000001</v>
      </c>
      <c r="FJ94" s="348">
        <f t="shared" si="252"/>
        <v>7416.8090281999994</v>
      </c>
      <c r="FK94" s="354">
        <f t="shared" si="253"/>
        <v>0.55549019136349864</v>
      </c>
      <c r="FL94" s="326"/>
      <c r="FM94" s="348">
        <f t="shared" si="254"/>
        <v>8525.1183602000001</v>
      </c>
      <c r="FN94" s="348">
        <f t="shared" si="255"/>
        <v>7416.8090281999994</v>
      </c>
      <c r="FO94" s="348">
        <f t="shared" si="256"/>
        <v>8525.1183602000001</v>
      </c>
      <c r="FP94" s="348">
        <f t="shared" si="257"/>
        <v>7416.8090281999994</v>
      </c>
      <c r="FR94" s="326"/>
      <c r="FS94" s="326"/>
      <c r="FT94" s="326"/>
      <c r="FU94" s="348">
        <f t="shared" si="258"/>
        <v>4601.2407999999996</v>
      </c>
      <c r="FV94" s="348">
        <f t="shared" si="259"/>
        <v>3772.8225000000002</v>
      </c>
      <c r="FW94" s="348">
        <f t="shared" si="260"/>
        <v>639.28420759999995</v>
      </c>
      <c r="FX94" s="348">
        <f t="shared" si="261"/>
        <v>568.43569420000006</v>
      </c>
      <c r="FY94" s="354">
        <f t="shared" si="262"/>
        <v>0.54946334117154327</v>
      </c>
      <c r="FZ94" s="326"/>
      <c r="GA94" s="348">
        <f t="shared" si="263"/>
        <v>639.28420759999995</v>
      </c>
      <c r="GB94" s="348">
        <f t="shared" si="264"/>
        <v>568.43569420000006</v>
      </c>
      <c r="GC94" s="348">
        <f t="shared" si="265"/>
        <v>639.28420759999995</v>
      </c>
      <c r="GD94" s="348">
        <f t="shared" si="266"/>
        <v>568.43569420000006</v>
      </c>
      <c r="GF94" s="326"/>
      <c r="GG94" s="326"/>
      <c r="GH94" s="326"/>
      <c r="GI94" s="348">
        <f t="shared" si="267"/>
        <v>1989.9250000000002</v>
      </c>
      <c r="GJ94" s="348">
        <f t="shared" si="268"/>
        <v>1527.1484</v>
      </c>
      <c r="GK94" s="349">
        <f t="shared" si="269"/>
        <v>1571.0636347499999</v>
      </c>
      <c r="GL94" s="349">
        <f t="shared" si="270"/>
        <v>1304.5723905000004</v>
      </c>
      <c r="GM94" s="354">
        <f t="shared" si="271"/>
        <v>0.56579001166140008</v>
      </c>
      <c r="GN94" s="326"/>
      <c r="GO94" s="349">
        <f t="shared" si="272"/>
        <v>1571.0636347499999</v>
      </c>
      <c r="GP94" s="349">
        <f t="shared" si="273"/>
        <v>1304.5723905000004</v>
      </c>
      <c r="GQ94" s="349">
        <f t="shared" si="274"/>
        <v>1571.0636347499999</v>
      </c>
      <c r="GR94" s="349">
        <f t="shared" si="275"/>
        <v>1304.5723905000004</v>
      </c>
      <c r="HA94" s="374"/>
      <c r="HB94" s="375"/>
      <c r="HC94" s="374"/>
      <c r="HD94" s="374"/>
      <c r="HE94" s="374"/>
      <c r="HF94" s="351">
        <f t="shared" si="276"/>
        <v>0</v>
      </c>
      <c r="HG94" s="351">
        <f t="shared" si="277"/>
        <v>0</v>
      </c>
      <c r="HH94" s="352">
        <f t="shared" si="278"/>
        <v>0</v>
      </c>
      <c r="HI94" s="352">
        <f t="shared" si="332"/>
        <v>0</v>
      </c>
      <c r="HJ94" s="353">
        <f t="shared" si="333"/>
        <v>0</v>
      </c>
      <c r="HK94" s="353">
        <f t="shared" si="334"/>
        <v>0</v>
      </c>
    </row>
    <row r="95" spans="1:219" x14ac:dyDescent="0.2">
      <c r="A95" s="320">
        <v>85</v>
      </c>
      <c r="C95" s="350">
        <v>6.3467000000000002</v>
      </c>
      <c r="D95" s="350">
        <v>3.0691999999999999</v>
      </c>
      <c r="E95" s="350">
        <v>0</v>
      </c>
      <c r="F95" s="350">
        <v>670.41669999999999</v>
      </c>
      <c r="G95" s="350">
        <v>1000.9108</v>
      </c>
      <c r="H95" s="351">
        <f t="shared" si="212"/>
        <v>6195.0138700000007</v>
      </c>
      <c r="I95" s="351">
        <f t="shared" si="213"/>
        <v>5689.3453479999998</v>
      </c>
      <c r="J95" s="352">
        <f t="shared" si="214"/>
        <v>0</v>
      </c>
      <c r="K95" s="352">
        <f t="shared" si="279"/>
        <v>0</v>
      </c>
      <c r="L95" s="353">
        <f t="shared" si="280"/>
        <v>6195.0138700000007</v>
      </c>
      <c r="M95" s="353">
        <f t="shared" si="281"/>
        <v>5689.3453479999998</v>
      </c>
      <c r="N95" s="343">
        <f t="shared" si="282"/>
        <v>6195.0138700000007</v>
      </c>
      <c r="O95" s="343">
        <f t="shared" si="283"/>
        <v>5689.3453479999998</v>
      </c>
      <c r="Q95" s="374">
        <v>8.7653999999999996</v>
      </c>
      <c r="R95" s="375">
        <v>3.9502999999999999</v>
      </c>
      <c r="S95" s="374">
        <v>0</v>
      </c>
      <c r="T95" s="374">
        <v>266.55329999999998</v>
      </c>
      <c r="U95" s="374">
        <v>249.9342</v>
      </c>
      <c r="V95" s="351">
        <f t="shared" si="215"/>
        <v>5604.5967599999994</v>
      </c>
      <c r="W95" s="351">
        <f t="shared" si="216"/>
        <v>4745.8114140000007</v>
      </c>
      <c r="X95" s="352">
        <f t="shared" si="217"/>
        <v>0</v>
      </c>
      <c r="Y95" s="352">
        <f t="shared" si="284"/>
        <v>0</v>
      </c>
      <c r="Z95" s="353">
        <f t="shared" si="285"/>
        <v>5604.5967599999994</v>
      </c>
      <c r="AA95" s="353">
        <f t="shared" si="286"/>
        <v>4745.8114140000007</v>
      </c>
      <c r="AB95" s="343">
        <f t="shared" si="287"/>
        <v>5604.5967599999994</v>
      </c>
      <c r="AC95" s="343">
        <f t="shared" si="288"/>
        <v>4745.8114140000007</v>
      </c>
      <c r="AE95" s="374">
        <v>11.346299999999999</v>
      </c>
      <c r="AF95" s="375">
        <v>4.5777999999999999</v>
      </c>
      <c r="AG95" s="374">
        <v>0</v>
      </c>
      <c r="AH95" s="374">
        <v>63.197499999999998</v>
      </c>
      <c r="AI95" s="374">
        <v>49.7575</v>
      </c>
      <c r="AJ95" s="351">
        <f t="shared" si="218"/>
        <v>4862.7972539999992</v>
      </c>
      <c r="AK95" s="351">
        <f t="shared" si="219"/>
        <v>4551.1572040000001</v>
      </c>
      <c r="AL95" s="352">
        <f t="shared" si="220"/>
        <v>0</v>
      </c>
      <c r="AM95" s="352">
        <f t="shared" si="289"/>
        <v>0</v>
      </c>
      <c r="AN95" s="353">
        <f t="shared" si="290"/>
        <v>4862.7972539999992</v>
      </c>
      <c r="AO95" s="353">
        <f t="shared" si="291"/>
        <v>4551.1572040000001</v>
      </c>
      <c r="AP95" s="343">
        <f t="shared" si="292"/>
        <v>4862.7972539999992</v>
      </c>
      <c r="AQ95" s="343">
        <f t="shared" si="293"/>
        <v>4551.1572040000001</v>
      </c>
      <c r="AS95" s="374">
        <v>16.281400000000001</v>
      </c>
      <c r="AT95" s="375">
        <v>6.4345999999999997</v>
      </c>
      <c r="AU95" s="374">
        <v>0</v>
      </c>
      <c r="AV95" s="374">
        <v>1367.0133000000001</v>
      </c>
      <c r="AW95" s="374">
        <v>1045.9158</v>
      </c>
      <c r="AX95" s="351">
        <f t="shared" si="221"/>
        <v>5546.584538000001</v>
      </c>
      <c r="AY95" s="351">
        <f t="shared" si="222"/>
        <v>4395.6039519999995</v>
      </c>
      <c r="AZ95" s="352">
        <f t="shared" si="223"/>
        <v>0</v>
      </c>
      <c r="BA95" s="352">
        <f t="shared" si="294"/>
        <v>0</v>
      </c>
      <c r="BB95" s="353">
        <f t="shared" si="295"/>
        <v>5546.584538000001</v>
      </c>
      <c r="BC95" s="353">
        <f t="shared" si="296"/>
        <v>4395.6039519999995</v>
      </c>
      <c r="BD95" s="343">
        <f t="shared" si="297"/>
        <v>5546.584538000001</v>
      </c>
      <c r="BE95" s="343">
        <f t="shared" si="298"/>
        <v>4395.6039519999995</v>
      </c>
      <c r="BG95" s="374">
        <v>15.073499999999999</v>
      </c>
      <c r="BH95" s="375">
        <v>7.0491000000000001</v>
      </c>
      <c r="BI95" s="374">
        <v>0</v>
      </c>
      <c r="BJ95" s="374">
        <v>788.22829999999999</v>
      </c>
      <c r="BK95" s="374">
        <v>654.22829999999999</v>
      </c>
      <c r="BL95" s="351">
        <f t="shared" si="224"/>
        <v>5046.1555949999993</v>
      </c>
      <c r="BM95" s="351">
        <f t="shared" si="225"/>
        <v>4130.2086719999998</v>
      </c>
      <c r="BN95" s="352">
        <f t="shared" si="226"/>
        <v>0</v>
      </c>
      <c r="BO95" s="352">
        <f t="shared" si="299"/>
        <v>0</v>
      </c>
      <c r="BP95" s="353">
        <f t="shared" si="300"/>
        <v>5046.1555949999993</v>
      </c>
      <c r="BQ95" s="353">
        <f t="shared" si="301"/>
        <v>4130.2086719999998</v>
      </c>
      <c r="BR95" s="343">
        <f t="shared" si="302"/>
        <v>5046.1555949999993</v>
      </c>
      <c r="BS95" s="343">
        <f t="shared" si="303"/>
        <v>4130.2086719999998</v>
      </c>
      <c r="BU95" s="374">
        <v>14.6508</v>
      </c>
      <c r="BV95" s="375">
        <v>6.8855000000000004</v>
      </c>
      <c r="BW95" s="374">
        <v>0</v>
      </c>
      <c r="BX95" s="374">
        <v>492.0317</v>
      </c>
      <c r="BY95" s="374">
        <v>371.0933</v>
      </c>
      <c r="BZ95" s="351">
        <f t="shared" si="227"/>
        <v>3400.743696</v>
      </c>
      <c r="CA95" s="351">
        <f t="shared" si="228"/>
        <v>2629.3658850000002</v>
      </c>
      <c r="CB95" s="352">
        <f t="shared" si="229"/>
        <v>0</v>
      </c>
      <c r="CC95" s="352">
        <f t="shared" si="304"/>
        <v>0</v>
      </c>
      <c r="CD95" s="353">
        <f t="shared" si="305"/>
        <v>3400.743696</v>
      </c>
      <c r="CE95" s="353">
        <f t="shared" si="306"/>
        <v>2629.3658850000002</v>
      </c>
      <c r="CF95" s="343">
        <f t="shared" si="307"/>
        <v>3400.743696</v>
      </c>
      <c r="CG95" s="343">
        <f t="shared" si="308"/>
        <v>2629.3658850000002</v>
      </c>
      <c r="CI95" s="374">
        <v>0.89159999999999995</v>
      </c>
      <c r="CJ95" s="375">
        <v>0.56669999999999998</v>
      </c>
      <c r="CK95" s="374">
        <v>0</v>
      </c>
      <c r="CL95" s="374">
        <v>3226.8467000000001</v>
      </c>
      <c r="CM95" s="374">
        <v>2725.3708000000001</v>
      </c>
      <c r="CN95" s="351">
        <f t="shared" si="230"/>
        <v>189.491748</v>
      </c>
      <c r="CO95" s="351">
        <f t="shared" si="231"/>
        <v>156.09751499999999</v>
      </c>
      <c r="CP95" s="352">
        <f t="shared" si="232"/>
        <v>0</v>
      </c>
      <c r="CQ95" s="352">
        <f t="shared" si="309"/>
        <v>0</v>
      </c>
      <c r="CR95" s="353">
        <f t="shared" si="310"/>
        <v>189.491748</v>
      </c>
      <c r="CS95" s="353">
        <f t="shared" si="311"/>
        <v>156.09751499999999</v>
      </c>
      <c r="CT95" s="343">
        <f t="shared" si="312"/>
        <v>189.491748</v>
      </c>
      <c r="CU95" s="343">
        <f t="shared" si="313"/>
        <v>156.09751499999999</v>
      </c>
      <c r="CW95" s="374">
        <v>2.3622999999999998</v>
      </c>
      <c r="CX95" s="375">
        <v>1.5230999999999999</v>
      </c>
      <c r="CY95" s="374">
        <v>0</v>
      </c>
      <c r="CZ95" s="374">
        <v>1061.5582999999999</v>
      </c>
      <c r="DA95" s="374">
        <v>837.36170000000004</v>
      </c>
      <c r="DB95" s="351">
        <f t="shared" si="233"/>
        <v>529.69852899999989</v>
      </c>
      <c r="DC95" s="351">
        <f t="shared" si="234"/>
        <v>473.288094</v>
      </c>
      <c r="DD95" s="352">
        <f t="shared" si="235"/>
        <v>0</v>
      </c>
      <c r="DE95" s="352">
        <f t="shared" si="314"/>
        <v>0</v>
      </c>
      <c r="DF95" s="353">
        <f t="shared" si="315"/>
        <v>529.69852899999989</v>
      </c>
      <c r="DG95" s="353">
        <f t="shared" si="316"/>
        <v>473.288094</v>
      </c>
      <c r="DH95" s="343">
        <f t="shared" si="317"/>
        <v>529.69852899999989</v>
      </c>
      <c r="DI95" s="343">
        <f t="shared" si="318"/>
        <v>473.288094</v>
      </c>
      <c r="DK95" s="374">
        <v>2.9742000000000002</v>
      </c>
      <c r="DL95" s="375">
        <v>1.7579</v>
      </c>
      <c r="DM95" s="374">
        <v>0</v>
      </c>
      <c r="DN95" s="374">
        <v>681.10829999999999</v>
      </c>
      <c r="DO95" s="374">
        <v>593.62</v>
      </c>
      <c r="DP95" s="351">
        <f t="shared" si="236"/>
        <v>391.91033400000003</v>
      </c>
      <c r="DQ95" s="351">
        <f t="shared" si="237"/>
        <v>346.06019400000002</v>
      </c>
      <c r="DR95" s="352">
        <f t="shared" si="238"/>
        <v>0</v>
      </c>
      <c r="DS95" s="352">
        <f t="shared" si="319"/>
        <v>0</v>
      </c>
      <c r="DT95" s="353">
        <f t="shared" si="320"/>
        <v>391.91033400000003</v>
      </c>
      <c r="DU95" s="353">
        <f t="shared" si="321"/>
        <v>346.06019400000002</v>
      </c>
      <c r="DV95" s="343">
        <f t="shared" si="322"/>
        <v>391.91033400000003</v>
      </c>
      <c r="DW95" s="343">
        <f t="shared" si="323"/>
        <v>346.06019400000002</v>
      </c>
      <c r="EB95" s="326"/>
      <c r="EC95" s="326"/>
      <c r="ED95" s="326"/>
      <c r="EE95" s="348">
        <f t="shared" si="324"/>
        <v>6325.835</v>
      </c>
      <c r="EF95" s="348">
        <f t="shared" si="325"/>
        <v>5609.5591000000004</v>
      </c>
      <c r="EG95" s="348">
        <f t="shared" si="326"/>
        <v>12354.848979200002</v>
      </c>
      <c r="EH95" s="348">
        <f t="shared" si="327"/>
        <v>10619.677290199999</v>
      </c>
      <c r="EI95" s="354">
        <f t="shared" si="239"/>
        <v>0.5300063782560811</v>
      </c>
      <c r="EJ95" s="326"/>
      <c r="EK95" s="348">
        <f t="shared" si="328"/>
        <v>12354.848979200002</v>
      </c>
      <c r="EL95" s="348">
        <f t="shared" si="329"/>
        <v>10619.677290199999</v>
      </c>
      <c r="EM95" s="348">
        <f t="shared" si="330"/>
        <v>12354.848979200002</v>
      </c>
      <c r="EN95" s="348">
        <f t="shared" si="331"/>
        <v>10619.677290199999</v>
      </c>
      <c r="EP95" s="326"/>
      <c r="EQ95" s="326"/>
      <c r="ER95" s="326"/>
      <c r="ES95" s="348">
        <f t="shared" si="240"/>
        <v>5343.1866</v>
      </c>
      <c r="ET95" s="348">
        <f t="shared" si="241"/>
        <v>4466.8950000000004</v>
      </c>
      <c r="EU95" s="348">
        <f t="shared" si="242"/>
        <v>11211.033073299999</v>
      </c>
      <c r="EV95" s="348">
        <f t="shared" si="243"/>
        <v>9363.4192667999996</v>
      </c>
      <c r="EW95" s="354">
        <f t="shared" si="244"/>
        <v>0.54466280892097774</v>
      </c>
      <c r="EX95" s="326"/>
      <c r="EY95" s="348">
        <f t="shared" si="245"/>
        <v>11211.033073299999</v>
      </c>
      <c r="EZ95" s="348">
        <f t="shared" si="246"/>
        <v>9363.4192667999996</v>
      </c>
      <c r="FA95" s="348">
        <f t="shared" si="247"/>
        <v>11211.033073299999</v>
      </c>
      <c r="FB95" s="348">
        <f t="shared" si="248"/>
        <v>9363.4192667999996</v>
      </c>
      <c r="FD95" s="326"/>
      <c r="FE95" s="326"/>
      <c r="FF95" s="326"/>
      <c r="FG95" s="348">
        <f t="shared" si="249"/>
        <v>4463.1841999999997</v>
      </c>
      <c r="FH95" s="348">
        <f t="shared" si="250"/>
        <v>3739.8416000000002</v>
      </c>
      <c r="FI95" s="348">
        <f t="shared" si="251"/>
        <v>8688.1788983999995</v>
      </c>
      <c r="FJ95" s="348">
        <f t="shared" si="252"/>
        <v>7544.2567204000006</v>
      </c>
      <c r="FK95" s="354">
        <f t="shared" si="253"/>
        <v>0.54408998689239763</v>
      </c>
      <c r="FL95" s="326"/>
      <c r="FM95" s="348">
        <f t="shared" si="254"/>
        <v>8688.1788983999995</v>
      </c>
      <c r="FN95" s="348">
        <f t="shared" si="255"/>
        <v>7544.2567204000006</v>
      </c>
      <c r="FO95" s="348">
        <f t="shared" si="256"/>
        <v>8688.1788983999995</v>
      </c>
      <c r="FP95" s="348">
        <f t="shared" si="257"/>
        <v>7544.2567204000006</v>
      </c>
      <c r="FR95" s="326"/>
      <c r="FS95" s="326"/>
      <c r="FT95" s="326"/>
      <c r="FU95" s="348">
        <f t="shared" si="258"/>
        <v>4288.4049999999997</v>
      </c>
      <c r="FV95" s="348">
        <f t="shared" si="259"/>
        <v>3562.7325000000001</v>
      </c>
      <c r="FW95" s="348">
        <f t="shared" si="260"/>
        <v>613.25057119999997</v>
      </c>
      <c r="FX95" s="348">
        <f t="shared" si="261"/>
        <v>534.72799020000002</v>
      </c>
      <c r="FY95" s="354">
        <f t="shared" si="262"/>
        <v>0.5462144816595047</v>
      </c>
      <c r="FZ95" s="326"/>
      <c r="GA95" s="348">
        <f t="shared" si="263"/>
        <v>613.25057119999997</v>
      </c>
      <c r="GB95" s="348">
        <f t="shared" si="264"/>
        <v>534.72799020000002</v>
      </c>
      <c r="GC95" s="348">
        <f t="shared" si="265"/>
        <v>613.25057119999997</v>
      </c>
      <c r="GD95" s="348">
        <f t="shared" si="266"/>
        <v>534.72799020000002</v>
      </c>
      <c r="GF95" s="326"/>
      <c r="GG95" s="326"/>
      <c r="GH95" s="326"/>
      <c r="GI95" s="348">
        <f t="shared" si="267"/>
        <v>1859.0450000000001</v>
      </c>
      <c r="GJ95" s="348">
        <f t="shared" si="268"/>
        <v>1417.0091</v>
      </c>
      <c r="GK95" s="349">
        <f t="shared" si="269"/>
        <v>1609.3806315000006</v>
      </c>
      <c r="GL95" s="349">
        <f t="shared" si="270"/>
        <v>1324.6785502499995</v>
      </c>
      <c r="GM95" s="354">
        <f t="shared" si="271"/>
        <v>0.56746468258872762</v>
      </c>
      <c r="GN95" s="326"/>
      <c r="GO95" s="349">
        <f t="shared" si="272"/>
        <v>1609.3806315000006</v>
      </c>
      <c r="GP95" s="349">
        <f t="shared" si="273"/>
        <v>1324.6785502499995</v>
      </c>
      <c r="GQ95" s="349">
        <f t="shared" si="274"/>
        <v>1609.3806315000006</v>
      </c>
      <c r="GR95" s="349">
        <f t="shared" si="275"/>
        <v>1324.6785502499995</v>
      </c>
      <c r="HA95" s="374"/>
      <c r="HB95" s="375"/>
      <c r="HC95" s="374"/>
      <c r="HD95" s="374"/>
      <c r="HE95" s="374"/>
      <c r="HF95" s="351">
        <f t="shared" si="276"/>
        <v>0</v>
      </c>
      <c r="HG95" s="351">
        <f t="shared" si="277"/>
        <v>0</v>
      </c>
      <c r="HH95" s="352">
        <f t="shared" si="278"/>
        <v>0</v>
      </c>
      <c r="HI95" s="352">
        <f t="shared" si="332"/>
        <v>0</v>
      </c>
      <c r="HJ95" s="353">
        <f t="shared" si="333"/>
        <v>0</v>
      </c>
      <c r="HK95" s="353">
        <f t="shared" si="334"/>
        <v>0</v>
      </c>
    </row>
    <row r="96" spans="1:219" x14ac:dyDescent="0.2">
      <c r="A96" s="320">
        <v>86</v>
      </c>
      <c r="C96" s="350">
        <v>6.4737</v>
      </c>
      <c r="D96" s="350">
        <v>3.1093000000000002</v>
      </c>
      <c r="E96" s="350">
        <v>0</v>
      </c>
      <c r="F96" s="350">
        <v>581.09079999999994</v>
      </c>
      <c r="G96" s="350">
        <v>978.83920000000001</v>
      </c>
      <c r="H96" s="351">
        <f t="shared" si="212"/>
        <v>6318.9785700000002</v>
      </c>
      <c r="I96" s="351">
        <f t="shared" si="213"/>
        <v>5763.6783170000008</v>
      </c>
      <c r="J96" s="352">
        <f t="shared" si="214"/>
        <v>0</v>
      </c>
      <c r="K96" s="352">
        <f t="shared" si="279"/>
        <v>0</v>
      </c>
      <c r="L96" s="353">
        <f t="shared" si="280"/>
        <v>6318.9785700000002</v>
      </c>
      <c r="M96" s="353">
        <f t="shared" si="281"/>
        <v>5763.6783170000008</v>
      </c>
      <c r="N96" s="343">
        <f t="shared" si="282"/>
        <v>6318.9785700000002</v>
      </c>
      <c r="O96" s="343">
        <f t="shared" si="283"/>
        <v>5763.6783170000008</v>
      </c>
      <c r="Q96" s="374">
        <v>8.8545999999999996</v>
      </c>
      <c r="R96" s="375">
        <v>3.9922</v>
      </c>
      <c r="S96" s="374">
        <v>0</v>
      </c>
      <c r="T96" s="374">
        <v>226.45920000000001</v>
      </c>
      <c r="U96" s="374">
        <v>234.4008</v>
      </c>
      <c r="V96" s="351">
        <f t="shared" si="215"/>
        <v>5661.6312399999997</v>
      </c>
      <c r="W96" s="351">
        <f t="shared" si="216"/>
        <v>4796.1492360000002</v>
      </c>
      <c r="X96" s="352">
        <f t="shared" si="217"/>
        <v>0</v>
      </c>
      <c r="Y96" s="352">
        <f t="shared" si="284"/>
        <v>0</v>
      </c>
      <c r="Z96" s="353">
        <f t="shared" si="285"/>
        <v>5661.6312399999997</v>
      </c>
      <c r="AA96" s="353">
        <f t="shared" si="286"/>
        <v>4796.1492360000002</v>
      </c>
      <c r="AB96" s="343">
        <f t="shared" si="287"/>
        <v>5661.6312399999997</v>
      </c>
      <c r="AC96" s="343">
        <f t="shared" si="288"/>
        <v>4796.1492360000002</v>
      </c>
      <c r="AE96" s="374">
        <v>11.5998</v>
      </c>
      <c r="AF96" s="375">
        <v>4.6711</v>
      </c>
      <c r="AG96" s="374">
        <v>0</v>
      </c>
      <c r="AH96" s="374">
        <v>51.333300000000001</v>
      </c>
      <c r="AI96" s="374">
        <v>54.166699999999999</v>
      </c>
      <c r="AJ96" s="351">
        <f t="shared" si="218"/>
        <v>4971.4422839999997</v>
      </c>
      <c r="AK96" s="351">
        <f t="shared" si="219"/>
        <v>4643.9141979999995</v>
      </c>
      <c r="AL96" s="352">
        <f t="shared" si="220"/>
        <v>0</v>
      </c>
      <c r="AM96" s="352">
        <f t="shared" si="289"/>
        <v>0</v>
      </c>
      <c r="AN96" s="353">
        <f t="shared" si="290"/>
        <v>4971.4422839999997</v>
      </c>
      <c r="AO96" s="353">
        <f t="shared" si="291"/>
        <v>4643.9141979999995</v>
      </c>
      <c r="AP96" s="343">
        <f t="shared" si="292"/>
        <v>4971.4422839999997</v>
      </c>
      <c r="AQ96" s="343">
        <f t="shared" si="293"/>
        <v>4643.9141979999995</v>
      </c>
      <c r="AS96" s="374">
        <v>16.565799999999999</v>
      </c>
      <c r="AT96" s="375">
        <v>6.5122</v>
      </c>
      <c r="AU96" s="374">
        <v>0</v>
      </c>
      <c r="AV96" s="374">
        <v>1066.6783</v>
      </c>
      <c r="AW96" s="374">
        <v>1039.4192</v>
      </c>
      <c r="AX96" s="351">
        <f t="shared" si="221"/>
        <v>5643.4710860000005</v>
      </c>
      <c r="AY96" s="351">
        <f t="shared" si="222"/>
        <v>4448.6140640000003</v>
      </c>
      <c r="AZ96" s="352">
        <f t="shared" si="223"/>
        <v>0</v>
      </c>
      <c r="BA96" s="352">
        <f t="shared" si="294"/>
        <v>0</v>
      </c>
      <c r="BB96" s="353">
        <f t="shared" si="295"/>
        <v>5643.4710860000005</v>
      </c>
      <c r="BC96" s="353">
        <f t="shared" si="296"/>
        <v>4448.6140640000003</v>
      </c>
      <c r="BD96" s="343">
        <f t="shared" si="297"/>
        <v>5643.4710860000005</v>
      </c>
      <c r="BE96" s="343">
        <f t="shared" si="298"/>
        <v>4448.6140640000003</v>
      </c>
      <c r="BG96" s="374">
        <v>15.310600000000001</v>
      </c>
      <c r="BH96" s="375">
        <v>7.1464999999999996</v>
      </c>
      <c r="BI96" s="374">
        <v>0</v>
      </c>
      <c r="BJ96" s="374">
        <v>643.04250000000002</v>
      </c>
      <c r="BK96" s="374">
        <v>628.04750000000001</v>
      </c>
      <c r="BL96" s="351">
        <f t="shared" si="224"/>
        <v>5125.5295619999997</v>
      </c>
      <c r="BM96" s="351">
        <f t="shared" si="225"/>
        <v>4187.2772799999993</v>
      </c>
      <c r="BN96" s="352">
        <f t="shared" si="226"/>
        <v>0</v>
      </c>
      <c r="BO96" s="352">
        <f t="shared" si="299"/>
        <v>0</v>
      </c>
      <c r="BP96" s="353">
        <f t="shared" si="300"/>
        <v>5125.5295619999997</v>
      </c>
      <c r="BQ96" s="353">
        <f t="shared" si="301"/>
        <v>4187.2772799999993</v>
      </c>
      <c r="BR96" s="343">
        <f t="shared" si="302"/>
        <v>5125.5295619999997</v>
      </c>
      <c r="BS96" s="343">
        <f t="shared" si="303"/>
        <v>4187.2772799999993</v>
      </c>
      <c r="BU96" s="374">
        <v>14.8765</v>
      </c>
      <c r="BV96" s="375">
        <v>6.9832999999999998</v>
      </c>
      <c r="BW96" s="374">
        <v>0</v>
      </c>
      <c r="BX96" s="374">
        <v>405.02749999999997</v>
      </c>
      <c r="BY96" s="374">
        <v>295.38830000000002</v>
      </c>
      <c r="BZ96" s="351">
        <f t="shared" si="227"/>
        <v>3453.1331800000003</v>
      </c>
      <c r="CA96" s="351">
        <f t="shared" si="228"/>
        <v>2666.712771</v>
      </c>
      <c r="CB96" s="352">
        <f t="shared" si="229"/>
        <v>0</v>
      </c>
      <c r="CC96" s="352">
        <f t="shared" si="304"/>
        <v>0</v>
      </c>
      <c r="CD96" s="353">
        <f t="shared" si="305"/>
        <v>3453.1331800000003</v>
      </c>
      <c r="CE96" s="353">
        <f t="shared" si="306"/>
        <v>2666.712771</v>
      </c>
      <c r="CF96" s="343">
        <f t="shared" si="307"/>
        <v>3453.1331800000003</v>
      </c>
      <c r="CG96" s="343">
        <f t="shared" si="308"/>
        <v>2666.712771</v>
      </c>
      <c r="CI96" s="374">
        <v>0.83020000000000005</v>
      </c>
      <c r="CJ96" s="375">
        <v>0.51139999999999997</v>
      </c>
      <c r="CK96" s="374">
        <v>0</v>
      </c>
      <c r="CL96" s="374">
        <v>2555.4483</v>
      </c>
      <c r="CM96" s="374">
        <v>2632.2224999999999</v>
      </c>
      <c r="CN96" s="351">
        <f t="shared" si="230"/>
        <v>176.44240600000001</v>
      </c>
      <c r="CO96" s="351">
        <f t="shared" si="231"/>
        <v>140.86512999999999</v>
      </c>
      <c r="CP96" s="352">
        <f t="shared" si="232"/>
        <v>0</v>
      </c>
      <c r="CQ96" s="352">
        <f t="shared" si="309"/>
        <v>0</v>
      </c>
      <c r="CR96" s="353">
        <f t="shared" si="310"/>
        <v>176.44240600000001</v>
      </c>
      <c r="CS96" s="353">
        <f t="shared" si="311"/>
        <v>140.86512999999999</v>
      </c>
      <c r="CT96" s="343">
        <f t="shared" si="312"/>
        <v>176.44240600000001</v>
      </c>
      <c r="CU96" s="343">
        <f t="shared" si="313"/>
        <v>140.86512999999999</v>
      </c>
      <c r="CW96" s="374">
        <v>2.2726000000000002</v>
      </c>
      <c r="CX96" s="375">
        <v>1.4334</v>
      </c>
      <c r="CY96" s="374">
        <v>0</v>
      </c>
      <c r="CZ96" s="374">
        <v>773.0575</v>
      </c>
      <c r="DA96" s="374">
        <v>758.86580000000004</v>
      </c>
      <c r="DB96" s="351">
        <f t="shared" si="233"/>
        <v>509.58509800000002</v>
      </c>
      <c r="DC96" s="351">
        <f t="shared" si="234"/>
        <v>445.414716</v>
      </c>
      <c r="DD96" s="352">
        <f t="shared" si="235"/>
        <v>0</v>
      </c>
      <c r="DE96" s="352">
        <f t="shared" si="314"/>
        <v>0</v>
      </c>
      <c r="DF96" s="353">
        <f t="shared" si="315"/>
        <v>509.58509800000002</v>
      </c>
      <c r="DG96" s="353">
        <f t="shared" si="316"/>
        <v>445.414716</v>
      </c>
      <c r="DH96" s="343">
        <f t="shared" si="317"/>
        <v>509.58509800000002</v>
      </c>
      <c r="DI96" s="343">
        <f t="shared" si="318"/>
        <v>445.414716</v>
      </c>
      <c r="DK96" s="374">
        <v>2.8736999999999999</v>
      </c>
      <c r="DL96" s="375">
        <v>1.6532</v>
      </c>
      <c r="DM96" s="374">
        <v>0</v>
      </c>
      <c r="DN96" s="374">
        <v>586.72</v>
      </c>
      <c r="DO96" s="374">
        <v>572.62919999999997</v>
      </c>
      <c r="DP96" s="351">
        <f t="shared" si="236"/>
        <v>378.66744900000003</v>
      </c>
      <c r="DQ96" s="351">
        <f t="shared" si="237"/>
        <v>325.44895200000002</v>
      </c>
      <c r="DR96" s="352">
        <f t="shared" si="238"/>
        <v>0</v>
      </c>
      <c r="DS96" s="352">
        <f t="shared" si="319"/>
        <v>0</v>
      </c>
      <c r="DT96" s="353">
        <f t="shared" si="320"/>
        <v>378.66744900000003</v>
      </c>
      <c r="DU96" s="353">
        <f t="shared" si="321"/>
        <v>325.44895200000002</v>
      </c>
      <c r="DV96" s="343">
        <f t="shared" si="322"/>
        <v>378.66744900000003</v>
      </c>
      <c r="DW96" s="343">
        <f t="shared" si="323"/>
        <v>325.44895200000002</v>
      </c>
      <c r="EB96" s="326"/>
      <c r="EC96" s="326"/>
      <c r="ED96" s="326"/>
      <c r="EE96" s="348">
        <f t="shared" si="324"/>
        <v>4976.2748999999994</v>
      </c>
      <c r="EF96" s="348">
        <f t="shared" si="325"/>
        <v>5409.3467000000001</v>
      </c>
      <c r="EG96" s="348">
        <f t="shared" si="326"/>
        <v>12546.560140400001</v>
      </c>
      <c r="EH96" s="348">
        <f t="shared" si="327"/>
        <v>10709.489283800001</v>
      </c>
      <c r="EI96" s="354">
        <f t="shared" si="239"/>
        <v>0.47915041503148931</v>
      </c>
      <c r="EJ96" s="326"/>
      <c r="EK96" s="348">
        <f t="shared" si="328"/>
        <v>12546.560140400001</v>
      </c>
      <c r="EL96" s="348">
        <f t="shared" si="329"/>
        <v>10709.489283800001</v>
      </c>
      <c r="EM96" s="348">
        <f t="shared" si="330"/>
        <v>12546.560140400001</v>
      </c>
      <c r="EN96" s="348">
        <f t="shared" si="331"/>
        <v>10709.489283800001</v>
      </c>
      <c r="EP96" s="326"/>
      <c r="EQ96" s="326"/>
      <c r="ER96" s="326"/>
      <c r="ES96" s="348">
        <f t="shared" si="240"/>
        <v>4198.0074999999997</v>
      </c>
      <c r="ET96" s="348">
        <f t="shared" si="241"/>
        <v>4253.5365999999995</v>
      </c>
      <c r="EU96" s="348">
        <f t="shared" si="242"/>
        <v>11320.312776599998</v>
      </c>
      <c r="EV96" s="348">
        <f t="shared" si="243"/>
        <v>9436.0819472000003</v>
      </c>
      <c r="EW96" s="354">
        <f t="shared" si="244"/>
        <v>0.49671485474470872</v>
      </c>
      <c r="EX96" s="326"/>
      <c r="EY96" s="348">
        <f t="shared" si="245"/>
        <v>11320.312776599998</v>
      </c>
      <c r="EZ96" s="348">
        <f t="shared" si="246"/>
        <v>9436.0819472000003</v>
      </c>
      <c r="FA96" s="348">
        <f t="shared" si="247"/>
        <v>11320.312776599998</v>
      </c>
      <c r="FB96" s="348">
        <f t="shared" si="248"/>
        <v>9436.0819472000003</v>
      </c>
      <c r="FD96" s="326"/>
      <c r="FE96" s="326"/>
      <c r="FF96" s="326"/>
      <c r="FG96" s="348">
        <f t="shared" si="249"/>
        <v>3598.5290999999997</v>
      </c>
      <c r="FH96" s="348">
        <f t="shared" si="250"/>
        <v>3554.4066999999995</v>
      </c>
      <c r="FI96" s="348">
        <f t="shared" si="251"/>
        <v>8828.2183394000003</v>
      </c>
      <c r="FJ96" s="348">
        <f t="shared" si="252"/>
        <v>7646.7614701999992</v>
      </c>
      <c r="FK96" s="354">
        <f t="shared" si="253"/>
        <v>0.50308421613402432</v>
      </c>
      <c r="FL96" s="326"/>
      <c r="FM96" s="348">
        <f t="shared" si="254"/>
        <v>8828.2183394000003</v>
      </c>
      <c r="FN96" s="348">
        <f t="shared" si="255"/>
        <v>7646.7614701999992</v>
      </c>
      <c r="FO96" s="348">
        <f t="shared" si="256"/>
        <v>8828.2183394000003</v>
      </c>
      <c r="FP96" s="348">
        <f t="shared" si="257"/>
        <v>7646.7614701999992</v>
      </c>
      <c r="FR96" s="326"/>
      <c r="FS96" s="326"/>
      <c r="FT96" s="326"/>
      <c r="FU96" s="348">
        <f t="shared" si="258"/>
        <v>3328.5057999999999</v>
      </c>
      <c r="FV96" s="348">
        <f t="shared" si="259"/>
        <v>3391.0882999999999</v>
      </c>
      <c r="FW96" s="348">
        <f t="shared" si="260"/>
        <v>584.11048440000002</v>
      </c>
      <c r="FX96" s="348">
        <f t="shared" si="261"/>
        <v>497.19690279999998</v>
      </c>
      <c r="FY96" s="354">
        <f t="shared" si="262"/>
        <v>0.49534328271405559</v>
      </c>
      <c r="FZ96" s="326"/>
      <c r="GA96" s="348">
        <f t="shared" si="263"/>
        <v>584.11048440000002</v>
      </c>
      <c r="GB96" s="348">
        <f t="shared" si="264"/>
        <v>497.19690279999998</v>
      </c>
      <c r="GC96" s="348">
        <f t="shared" si="265"/>
        <v>584.11048440000002</v>
      </c>
      <c r="GD96" s="348">
        <f t="shared" si="266"/>
        <v>497.19690279999998</v>
      </c>
      <c r="GF96" s="326"/>
      <c r="GG96" s="326"/>
      <c r="GH96" s="326"/>
      <c r="GI96" s="348">
        <f t="shared" si="267"/>
        <v>1471.7058</v>
      </c>
      <c r="GJ96" s="348">
        <f t="shared" si="268"/>
        <v>1334.8075000000001</v>
      </c>
      <c r="GK96" s="349">
        <f t="shared" si="269"/>
        <v>1642.7534295</v>
      </c>
      <c r="GL96" s="349">
        <f t="shared" si="270"/>
        <v>1336.4259697500001</v>
      </c>
      <c r="GM96" s="354">
        <f t="shared" si="271"/>
        <v>0.5243893909214683</v>
      </c>
      <c r="GN96" s="326"/>
      <c r="GO96" s="349">
        <f t="shared" si="272"/>
        <v>1642.7534295</v>
      </c>
      <c r="GP96" s="349">
        <f t="shared" si="273"/>
        <v>1336.4259697500001</v>
      </c>
      <c r="GQ96" s="349">
        <f t="shared" si="274"/>
        <v>1642.7534295</v>
      </c>
      <c r="GR96" s="349">
        <f t="shared" si="275"/>
        <v>1336.4259697500001</v>
      </c>
      <c r="HA96" s="374"/>
      <c r="HB96" s="375"/>
      <c r="HC96" s="374"/>
      <c r="HD96" s="374"/>
      <c r="HE96" s="374"/>
      <c r="HF96" s="351">
        <f t="shared" si="276"/>
        <v>0</v>
      </c>
      <c r="HG96" s="351">
        <f t="shared" si="277"/>
        <v>0</v>
      </c>
      <c r="HH96" s="352">
        <f t="shared" si="278"/>
        <v>0</v>
      </c>
      <c r="HI96" s="352">
        <f t="shared" si="332"/>
        <v>0</v>
      </c>
      <c r="HJ96" s="353">
        <f t="shared" si="333"/>
        <v>0</v>
      </c>
      <c r="HK96" s="353">
        <f t="shared" si="334"/>
        <v>0</v>
      </c>
    </row>
    <row r="97" spans="1:219" x14ac:dyDescent="0.2">
      <c r="A97" s="320">
        <v>87</v>
      </c>
      <c r="C97" s="350">
        <v>6.5979999999999999</v>
      </c>
      <c r="D97" s="350">
        <v>3.1474000000000002</v>
      </c>
      <c r="E97" s="350">
        <v>0</v>
      </c>
      <c r="F97" s="350">
        <v>454.78919999999999</v>
      </c>
      <c r="G97" s="350">
        <v>956.77750000000003</v>
      </c>
      <c r="H97" s="351">
        <f t="shared" si="212"/>
        <v>6440.3077999999996</v>
      </c>
      <c r="I97" s="351">
        <f t="shared" si="213"/>
        <v>5834.3039060000001</v>
      </c>
      <c r="J97" s="352">
        <f t="shared" si="214"/>
        <v>0</v>
      </c>
      <c r="K97" s="352">
        <f t="shared" si="279"/>
        <v>0</v>
      </c>
      <c r="L97" s="353">
        <f t="shared" si="280"/>
        <v>6440.3077999999996</v>
      </c>
      <c r="M97" s="353">
        <f t="shared" si="281"/>
        <v>5834.3039060000001</v>
      </c>
      <c r="N97" s="343">
        <f t="shared" si="282"/>
        <v>6440.3077999999996</v>
      </c>
      <c r="O97" s="343">
        <f t="shared" si="283"/>
        <v>5834.3039060000001</v>
      </c>
      <c r="Q97" s="374">
        <v>8.9288000000000007</v>
      </c>
      <c r="R97" s="375">
        <v>4.0324</v>
      </c>
      <c r="S97" s="374">
        <v>0</v>
      </c>
      <c r="T97" s="374">
        <v>198.60669999999999</v>
      </c>
      <c r="U97" s="374">
        <v>215.32749999999999</v>
      </c>
      <c r="V97" s="351">
        <f t="shared" si="215"/>
        <v>5709.0747200000005</v>
      </c>
      <c r="W97" s="351">
        <f t="shared" si="216"/>
        <v>4844.4447120000004</v>
      </c>
      <c r="X97" s="352">
        <f t="shared" si="217"/>
        <v>0</v>
      </c>
      <c r="Y97" s="352">
        <f t="shared" si="284"/>
        <v>0</v>
      </c>
      <c r="Z97" s="353">
        <f t="shared" si="285"/>
        <v>5709.0747200000005</v>
      </c>
      <c r="AA97" s="353">
        <f t="shared" si="286"/>
        <v>4844.4447120000004</v>
      </c>
      <c r="AB97" s="343">
        <f t="shared" si="287"/>
        <v>5709.0747200000005</v>
      </c>
      <c r="AC97" s="343">
        <f t="shared" si="288"/>
        <v>4844.4447120000004</v>
      </c>
      <c r="AE97" s="374">
        <v>11.830399999999999</v>
      </c>
      <c r="AF97" s="375">
        <v>4.7546999999999997</v>
      </c>
      <c r="AG97" s="374">
        <v>0</v>
      </c>
      <c r="AH97" s="374">
        <v>53.585799999999999</v>
      </c>
      <c r="AI97" s="374">
        <v>48.583300000000001</v>
      </c>
      <c r="AJ97" s="351">
        <f t="shared" si="218"/>
        <v>5070.2728319999997</v>
      </c>
      <c r="AK97" s="351">
        <f t="shared" si="219"/>
        <v>4727.0276459999995</v>
      </c>
      <c r="AL97" s="352">
        <f t="shared" si="220"/>
        <v>0</v>
      </c>
      <c r="AM97" s="352">
        <f t="shared" si="289"/>
        <v>0</v>
      </c>
      <c r="AN97" s="353">
        <f t="shared" si="290"/>
        <v>5070.2728319999997</v>
      </c>
      <c r="AO97" s="353">
        <f t="shared" si="291"/>
        <v>4727.0276459999995</v>
      </c>
      <c r="AP97" s="343">
        <f t="shared" si="292"/>
        <v>5070.2728319999997</v>
      </c>
      <c r="AQ97" s="343">
        <f t="shared" si="293"/>
        <v>4727.0276459999995</v>
      </c>
      <c r="AS97" s="374">
        <v>16.809799999999999</v>
      </c>
      <c r="AT97" s="375">
        <v>6.5587999999999997</v>
      </c>
      <c r="AU97" s="374">
        <v>0</v>
      </c>
      <c r="AV97" s="374">
        <v>963.21169999999995</v>
      </c>
      <c r="AW97" s="374">
        <v>1002.0267</v>
      </c>
      <c r="AX97" s="351">
        <f t="shared" si="221"/>
        <v>5726.5945659999998</v>
      </c>
      <c r="AY97" s="351">
        <f t="shared" si="222"/>
        <v>4480.4474559999999</v>
      </c>
      <c r="AZ97" s="352">
        <f t="shared" si="223"/>
        <v>0</v>
      </c>
      <c r="BA97" s="352">
        <f t="shared" si="294"/>
        <v>0</v>
      </c>
      <c r="BB97" s="353">
        <f t="shared" si="295"/>
        <v>5726.5945659999998</v>
      </c>
      <c r="BC97" s="353">
        <f t="shared" si="296"/>
        <v>4480.4474559999999</v>
      </c>
      <c r="BD97" s="343">
        <f t="shared" si="297"/>
        <v>5726.5945659999998</v>
      </c>
      <c r="BE97" s="343">
        <f t="shared" si="298"/>
        <v>4480.4474559999999</v>
      </c>
      <c r="BG97" s="374">
        <v>15.500299999999999</v>
      </c>
      <c r="BH97" s="375">
        <v>7.2061000000000002</v>
      </c>
      <c r="BI97" s="374">
        <v>0</v>
      </c>
      <c r="BJ97" s="374">
        <v>553.2183</v>
      </c>
      <c r="BK97" s="374">
        <v>593.42920000000004</v>
      </c>
      <c r="BL97" s="351">
        <f t="shared" si="224"/>
        <v>5189.0354309999993</v>
      </c>
      <c r="BM97" s="351">
        <f t="shared" si="225"/>
        <v>4222.198112</v>
      </c>
      <c r="BN97" s="352">
        <f t="shared" si="226"/>
        <v>0</v>
      </c>
      <c r="BO97" s="352">
        <f t="shared" si="299"/>
        <v>0</v>
      </c>
      <c r="BP97" s="353">
        <f t="shared" si="300"/>
        <v>5189.0354309999993</v>
      </c>
      <c r="BQ97" s="353">
        <f t="shared" si="301"/>
        <v>4222.198112</v>
      </c>
      <c r="BR97" s="343">
        <f t="shared" si="302"/>
        <v>5189.0354309999993</v>
      </c>
      <c r="BS97" s="343">
        <f t="shared" si="303"/>
        <v>4222.198112</v>
      </c>
      <c r="BU97" s="374">
        <v>15.0505</v>
      </c>
      <c r="BV97" s="375">
        <v>7.0488</v>
      </c>
      <c r="BW97" s="374">
        <v>0</v>
      </c>
      <c r="BX97" s="374">
        <v>364.14580000000001</v>
      </c>
      <c r="BY97" s="374">
        <v>344.08580000000001</v>
      </c>
      <c r="BZ97" s="351">
        <f t="shared" si="227"/>
        <v>3493.5220599999998</v>
      </c>
      <c r="CA97" s="351">
        <f t="shared" si="228"/>
        <v>2691.7252560000002</v>
      </c>
      <c r="CB97" s="352">
        <f t="shared" si="229"/>
        <v>0</v>
      </c>
      <c r="CC97" s="352">
        <f t="shared" si="304"/>
        <v>0</v>
      </c>
      <c r="CD97" s="353">
        <f t="shared" si="305"/>
        <v>3493.5220599999998</v>
      </c>
      <c r="CE97" s="353">
        <f t="shared" si="306"/>
        <v>2691.7252560000002</v>
      </c>
      <c r="CF97" s="343">
        <f t="shared" si="307"/>
        <v>3493.5220599999998</v>
      </c>
      <c r="CG97" s="343">
        <f t="shared" si="308"/>
        <v>2691.7252560000002</v>
      </c>
      <c r="CI97" s="374">
        <v>0.78139999999999998</v>
      </c>
      <c r="CJ97" s="375">
        <v>0.4743</v>
      </c>
      <c r="CK97" s="374">
        <v>0</v>
      </c>
      <c r="CL97" s="374">
        <v>2303.8842</v>
      </c>
      <c r="CM97" s="374">
        <v>2554.1017000000002</v>
      </c>
      <c r="CN97" s="351">
        <f t="shared" si="230"/>
        <v>166.070942</v>
      </c>
      <c r="CO97" s="351">
        <f t="shared" si="231"/>
        <v>130.64593500000001</v>
      </c>
      <c r="CP97" s="352">
        <f t="shared" si="232"/>
        <v>0</v>
      </c>
      <c r="CQ97" s="352">
        <f t="shared" si="309"/>
        <v>0</v>
      </c>
      <c r="CR97" s="353">
        <f t="shared" si="310"/>
        <v>166.070942</v>
      </c>
      <c r="CS97" s="353">
        <f t="shared" si="311"/>
        <v>130.64593500000001</v>
      </c>
      <c r="CT97" s="343">
        <f t="shared" si="312"/>
        <v>166.070942</v>
      </c>
      <c r="CU97" s="343">
        <f t="shared" si="313"/>
        <v>130.64593500000001</v>
      </c>
      <c r="CW97" s="374">
        <v>2.1783000000000001</v>
      </c>
      <c r="CX97" s="375">
        <v>1.3433999999999999</v>
      </c>
      <c r="CY97" s="374">
        <v>0</v>
      </c>
      <c r="CZ97" s="374">
        <v>751.68499999999995</v>
      </c>
      <c r="DA97" s="374">
        <v>764.1508</v>
      </c>
      <c r="DB97" s="351">
        <f t="shared" si="233"/>
        <v>488.44020899999998</v>
      </c>
      <c r="DC97" s="351">
        <f t="shared" si="234"/>
        <v>417.44811599999997</v>
      </c>
      <c r="DD97" s="352">
        <f t="shared" si="235"/>
        <v>0</v>
      </c>
      <c r="DE97" s="352">
        <f t="shared" si="314"/>
        <v>0</v>
      </c>
      <c r="DF97" s="353">
        <f t="shared" si="315"/>
        <v>488.44020899999998</v>
      </c>
      <c r="DG97" s="353">
        <f t="shared" si="316"/>
        <v>417.44811599999997</v>
      </c>
      <c r="DH97" s="343">
        <f t="shared" si="317"/>
        <v>488.44020899999998</v>
      </c>
      <c r="DI97" s="343">
        <f t="shared" si="318"/>
        <v>417.44811599999997</v>
      </c>
      <c r="DK97" s="374">
        <v>2.7656999999999998</v>
      </c>
      <c r="DL97" s="375">
        <v>1.5504</v>
      </c>
      <c r="DM97" s="374">
        <v>0</v>
      </c>
      <c r="DN97" s="374">
        <v>555.51080000000002</v>
      </c>
      <c r="DO97" s="374">
        <v>559.11919999999998</v>
      </c>
      <c r="DP97" s="351">
        <f t="shared" si="236"/>
        <v>364.43628899999999</v>
      </c>
      <c r="DQ97" s="351">
        <f t="shared" si="237"/>
        <v>305.21174400000001</v>
      </c>
      <c r="DR97" s="352">
        <f t="shared" si="238"/>
        <v>0</v>
      </c>
      <c r="DS97" s="352">
        <f t="shared" si="319"/>
        <v>0</v>
      </c>
      <c r="DT97" s="353">
        <f t="shared" si="320"/>
        <v>364.43628899999999</v>
      </c>
      <c r="DU97" s="353">
        <f t="shared" si="321"/>
        <v>305.21174400000001</v>
      </c>
      <c r="DV97" s="343">
        <f t="shared" si="322"/>
        <v>364.43628899999999</v>
      </c>
      <c r="DW97" s="343">
        <f t="shared" si="323"/>
        <v>305.21174400000001</v>
      </c>
      <c r="EB97" s="326"/>
      <c r="EC97" s="326"/>
      <c r="ED97" s="326"/>
      <c r="EE97" s="348">
        <f t="shared" si="324"/>
        <v>4473.5700999999999</v>
      </c>
      <c r="EF97" s="348">
        <f t="shared" si="325"/>
        <v>5277.0567000000001</v>
      </c>
      <c r="EG97" s="348">
        <f t="shared" si="326"/>
        <v>12723.725475199999</v>
      </c>
      <c r="EH97" s="348">
        <f t="shared" si="327"/>
        <v>10779.3557898</v>
      </c>
      <c r="EI97" s="354">
        <f t="shared" si="239"/>
        <v>0.45879820772137436</v>
      </c>
      <c r="EJ97" s="326"/>
      <c r="EK97" s="348">
        <f t="shared" si="328"/>
        <v>12723.725475199999</v>
      </c>
      <c r="EL97" s="348">
        <f t="shared" si="329"/>
        <v>10779.3557898</v>
      </c>
      <c r="EM97" s="348">
        <f t="shared" si="330"/>
        <v>12723.725475199999</v>
      </c>
      <c r="EN97" s="348">
        <f t="shared" si="331"/>
        <v>10779.3557898</v>
      </c>
      <c r="EP97" s="326"/>
      <c r="EQ97" s="326"/>
      <c r="ER97" s="326"/>
      <c r="ES97" s="348">
        <f t="shared" si="240"/>
        <v>3807.3942000000002</v>
      </c>
      <c r="ET97" s="348">
        <f t="shared" si="241"/>
        <v>4127.0092000000004</v>
      </c>
      <c r="EU97" s="348">
        <f t="shared" si="242"/>
        <v>11406.089239300001</v>
      </c>
      <c r="EV97" s="348">
        <f t="shared" si="243"/>
        <v>9489.5024402000017</v>
      </c>
      <c r="EW97" s="354">
        <f t="shared" si="244"/>
        <v>0.47985891415604098</v>
      </c>
      <c r="EX97" s="326"/>
      <c r="EY97" s="348">
        <f t="shared" si="245"/>
        <v>11406.089239300001</v>
      </c>
      <c r="EZ97" s="348">
        <f t="shared" si="246"/>
        <v>9489.5024402000017</v>
      </c>
      <c r="FA97" s="348">
        <f t="shared" si="247"/>
        <v>11406.089239300001</v>
      </c>
      <c r="FB97" s="348">
        <f t="shared" si="248"/>
        <v>9489.5024402000017</v>
      </c>
      <c r="FD97" s="326"/>
      <c r="FE97" s="326"/>
      <c r="FF97" s="326"/>
      <c r="FG97" s="348">
        <f t="shared" si="249"/>
        <v>3277.1266000000001</v>
      </c>
      <c r="FH97" s="348">
        <f t="shared" si="250"/>
        <v>3505.8900000000003</v>
      </c>
      <c r="FI97" s="348">
        <f t="shared" si="251"/>
        <v>8948.5276073999994</v>
      </c>
      <c r="FJ97" s="348">
        <f t="shared" si="252"/>
        <v>7732.5258834000006</v>
      </c>
      <c r="FK97" s="354">
        <f t="shared" si="253"/>
        <v>0.48313704554401349</v>
      </c>
      <c r="FL97" s="326"/>
      <c r="FM97" s="348">
        <f t="shared" si="254"/>
        <v>8948.5276073999994</v>
      </c>
      <c r="FN97" s="348">
        <f t="shared" si="255"/>
        <v>7732.5258834000006</v>
      </c>
      <c r="FO97" s="348">
        <f t="shared" si="256"/>
        <v>8948.5276073999994</v>
      </c>
      <c r="FP97" s="348">
        <f t="shared" si="257"/>
        <v>7732.5258834000006</v>
      </c>
      <c r="FR97" s="326"/>
      <c r="FS97" s="326"/>
      <c r="FT97" s="326"/>
      <c r="FU97" s="348">
        <f t="shared" si="258"/>
        <v>3055.5691999999999</v>
      </c>
      <c r="FV97" s="348">
        <f t="shared" si="259"/>
        <v>3318.2525000000001</v>
      </c>
      <c r="FW97" s="348">
        <f t="shared" si="260"/>
        <v>556.82310920000009</v>
      </c>
      <c r="FX97" s="348">
        <f t="shared" si="261"/>
        <v>464.6044278</v>
      </c>
      <c r="FY97" s="354">
        <f t="shared" si="262"/>
        <v>0.47939357952231387</v>
      </c>
      <c r="FZ97" s="326"/>
      <c r="GA97" s="348">
        <f t="shared" si="263"/>
        <v>556.82310920000009</v>
      </c>
      <c r="GB97" s="348">
        <f t="shared" si="264"/>
        <v>464.6044278</v>
      </c>
      <c r="GC97" s="348">
        <f t="shared" si="265"/>
        <v>556.82310920000009</v>
      </c>
      <c r="GD97" s="348">
        <f t="shared" si="266"/>
        <v>464.6044278</v>
      </c>
      <c r="GF97" s="326"/>
      <c r="GG97" s="326"/>
      <c r="GH97" s="326"/>
      <c r="GI97" s="348">
        <f t="shared" si="267"/>
        <v>1327.3575000000001</v>
      </c>
      <c r="GJ97" s="348">
        <f t="shared" si="268"/>
        <v>1346.1125</v>
      </c>
      <c r="GK97" s="349">
        <f t="shared" si="269"/>
        <v>1674.8043794999999</v>
      </c>
      <c r="GL97" s="349">
        <f t="shared" si="270"/>
        <v>1341.5416499999997</v>
      </c>
      <c r="GM97" s="354">
        <f t="shared" si="271"/>
        <v>0.49649238629945353</v>
      </c>
      <c r="GN97" s="326"/>
      <c r="GO97" s="349">
        <f t="shared" si="272"/>
        <v>1674.8043794999999</v>
      </c>
      <c r="GP97" s="349">
        <f t="shared" si="273"/>
        <v>1341.5416499999997</v>
      </c>
      <c r="GQ97" s="349">
        <f t="shared" si="274"/>
        <v>1674.8043794999999</v>
      </c>
      <c r="GR97" s="349">
        <f t="shared" si="275"/>
        <v>1341.5416499999997</v>
      </c>
      <c r="HA97" s="374"/>
      <c r="HB97" s="375"/>
      <c r="HC97" s="374"/>
      <c r="HD97" s="374"/>
      <c r="HE97" s="374"/>
      <c r="HF97" s="351">
        <f t="shared" si="276"/>
        <v>0</v>
      </c>
      <c r="HG97" s="351">
        <f t="shared" si="277"/>
        <v>0</v>
      </c>
      <c r="HH97" s="352">
        <f t="shared" si="278"/>
        <v>0</v>
      </c>
      <c r="HI97" s="352">
        <f t="shared" si="332"/>
        <v>0</v>
      </c>
      <c r="HJ97" s="353">
        <f t="shared" si="333"/>
        <v>0</v>
      </c>
      <c r="HK97" s="353">
        <f t="shared" si="334"/>
        <v>0</v>
      </c>
    </row>
    <row r="98" spans="1:219" x14ac:dyDescent="0.2">
      <c r="A98" s="320">
        <v>88</v>
      </c>
      <c r="C98" s="350">
        <v>6.7201000000000004</v>
      </c>
      <c r="D98" s="350">
        <v>3.1839</v>
      </c>
      <c r="E98" s="350">
        <v>0</v>
      </c>
      <c r="F98" s="350">
        <v>379.17500000000001</v>
      </c>
      <c r="G98" s="350">
        <v>842.10329999999999</v>
      </c>
      <c r="H98" s="351">
        <f t="shared" si="212"/>
        <v>6559.4896100000005</v>
      </c>
      <c r="I98" s="351">
        <f t="shared" si="213"/>
        <v>5901.9635909999997</v>
      </c>
      <c r="J98" s="352">
        <f t="shared" si="214"/>
        <v>0</v>
      </c>
      <c r="K98" s="352">
        <f t="shared" si="279"/>
        <v>0</v>
      </c>
      <c r="L98" s="353">
        <f t="shared" si="280"/>
        <v>6559.4896100000005</v>
      </c>
      <c r="M98" s="353">
        <f t="shared" si="281"/>
        <v>5901.9635909999997</v>
      </c>
      <c r="N98" s="343">
        <f t="shared" si="282"/>
        <v>6559.4896100000005</v>
      </c>
      <c r="O98" s="343">
        <f t="shared" si="283"/>
        <v>5901.9635909999997</v>
      </c>
      <c r="Q98" s="374">
        <v>8.9914000000000005</v>
      </c>
      <c r="R98" s="375">
        <v>4.0709</v>
      </c>
      <c r="S98" s="374">
        <v>0</v>
      </c>
      <c r="T98" s="374">
        <v>166.7808</v>
      </c>
      <c r="U98" s="374">
        <v>184.84829999999999</v>
      </c>
      <c r="V98" s="351">
        <f t="shared" si="215"/>
        <v>5749.1011600000002</v>
      </c>
      <c r="W98" s="351">
        <f t="shared" si="216"/>
        <v>4890.6978420000005</v>
      </c>
      <c r="X98" s="352">
        <f t="shared" si="217"/>
        <v>0</v>
      </c>
      <c r="Y98" s="352">
        <f t="shared" si="284"/>
        <v>0</v>
      </c>
      <c r="Z98" s="353">
        <f t="shared" si="285"/>
        <v>5749.1011600000002</v>
      </c>
      <c r="AA98" s="353">
        <f t="shared" si="286"/>
        <v>4890.6978420000005</v>
      </c>
      <c r="AB98" s="343">
        <f t="shared" si="287"/>
        <v>5749.1011600000002</v>
      </c>
      <c r="AC98" s="343">
        <f t="shared" si="288"/>
        <v>4890.6978420000005</v>
      </c>
      <c r="AE98" s="374">
        <v>12.040699999999999</v>
      </c>
      <c r="AF98" s="375">
        <v>4.8269000000000002</v>
      </c>
      <c r="AG98" s="374">
        <v>0</v>
      </c>
      <c r="AH98" s="374">
        <v>40.5608</v>
      </c>
      <c r="AI98" s="374">
        <v>35.229999999999997</v>
      </c>
      <c r="AJ98" s="351">
        <f t="shared" si="218"/>
        <v>5160.403206</v>
      </c>
      <c r="AK98" s="351">
        <f t="shared" si="219"/>
        <v>4798.8074420000003</v>
      </c>
      <c r="AL98" s="352">
        <f t="shared" si="220"/>
        <v>0</v>
      </c>
      <c r="AM98" s="352">
        <f t="shared" si="289"/>
        <v>0</v>
      </c>
      <c r="AN98" s="353">
        <f t="shared" si="290"/>
        <v>5160.403206</v>
      </c>
      <c r="AO98" s="353">
        <f t="shared" si="291"/>
        <v>4798.8074420000003</v>
      </c>
      <c r="AP98" s="343">
        <f t="shared" si="292"/>
        <v>5160.403206</v>
      </c>
      <c r="AQ98" s="343">
        <f t="shared" si="293"/>
        <v>4798.8074420000003</v>
      </c>
      <c r="AS98" s="374">
        <v>17.018999999999998</v>
      </c>
      <c r="AT98" s="375">
        <v>6.5787000000000004</v>
      </c>
      <c r="AU98" s="374">
        <v>0</v>
      </c>
      <c r="AV98" s="374">
        <v>791.83749999999998</v>
      </c>
      <c r="AW98" s="374">
        <v>873.48170000000005</v>
      </c>
      <c r="AX98" s="351">
        <f t="shared" si="221"/>
        <v>5797.8627299999998</v>
      </c>
      <c r="AY98" s="351">
        <f t="shared" si="222"/>
        <v>4494.0415440000006</v>
      </c>
      <c r="AZ98" s="352">
        <f t="shared" si="223"/>
        <v>0</v>
      </c>
      <c r="BA98" s="352">
        <f t="shared" si="294"/>
        <v>0</v>
      </c>
      <c r="BB98" s="353">
        <f t="shared" si="295"/>
        <v>5797.8627299999998</v>
      </c>
      <c r="BC98" s="353">
        <f t="shared" si="296"/>
        <v>4494.0415440000006</v>
      </c>
      <c r="BD98" s="343">
        <f t="shared" si="297"/>
        <v>5797.8627299999998</v>
      </c>
      <c r="BE98" s="343">
        <f t="shared" si="298"/>
        <v>4494.0415440000006</v>
      </c>
      <c r="BG98" s="374">
        <v>15.6469</v>
      </c>
      <c r="BH98" s="375">
        <v>7.2275</v>
      </c>
      <c r="BI98" s="374">
        <v>0</v>
      </c>
      <c r="BJ98" s="374">
        <v>461.63499999999999</v>
      </c>
      <c r="BK98" s="374">
        <v>592.89580000000001</v>
      </c>
      <c r="BL98" s="351">
        <f t="shared" si="224"/>
        <v>5238.1127129999995</v>
      </c>
      <c r="BM98" s="351">
        <f t="shared" si="225"/>
        <v>4234.7367999999997</v>
      </c>
      <c r="BN98" s="352">
        <f t="shared" si="226"/>
        <v>0</v>
      </c>
      <c r="BO98" s="352">
        <f t="shared" si="299"/>
        <v>0</v>
      </c>
      <c r="BP98" s="353">
        <f t="shared" si="300"/>
        <v>5238.1127129999995</v>
      </c>
      <c r="BQ98" s="353">
        <f t="shared" si="301"/>
        <v>4234.7367999999997</v>
      </c>
      <c r="BR98" s="343">
        <f t="shared" si="302"/>
        <v>5238.1127129999995</v>
      </c>
      <c r="BS98" s="343">
        <f t="shared" si="303"/>
        <v>4234.7367999999997</v>
      </c>
      <c r="BU98" s="374">
        <v>15.1683</v>
      </c>
      <c r="BV98" s="375">
        <v>7.0838000000000001</v>
      </c>
      <c r="BW98" s="374">
        <v>0</v>
      </c>
      <c r="BX98" s="374">
        <v>319.51499999999999</v>
      </c>
      <c r="BY98" s="374">
        <v>351.1275</v>
      </c>
      <c r="BZ98" s="351">
        <f t="shared" si="227"/>
        <v>3520.865796</v>
      </c>
      <c r="CA98" s="351">
        <f t="shared" si="228"/>
        <v>2705.090706</v>
      </c>
      <c r="CB98" s="352">
        <f t="shared" si="229"/>
        <v>0</v>
      </c>
      <c r="CC98" s="352">
        <f t="shared" si="304"/>
        <v>0</v>
      </c>
      <c r="CD98" s="353">
        <f t="shared" si="305"/>
        <v>3520.865796</v>
      </c>
      <c r="CE98" s="353">
        <f t="shared" si="306"/>
        <v>2705.090706</v>
      </c>
      <c r="CF98" s="343">
        <f t="shared" si="307"/>
        <v>3520.865796</v>
      </c>
      <c r="CG98" s="343">
        <f t="shared" si="308"/>
        <v>2705.090706</v>
      </c>
      <c r="CI98" s="374">
        <v>0.7349</v>
      </c>
      <c r="CJ98" s="375">
        <v>0.43940000000000001</v>
      </c>
      <c r="CK98" s="374">
        <v>0</v>
      </c>
      <c r="CL98" s="374">
        <v>1931.5174999999999</v>
      </c>
      <c r="CM98" s="374">
        <v>2423.3108000000002</v>
      </c>
      <c r="CN98" s="351">
        <f t="shared" si="230"/>
        <v>156.18829700000001</v>
      </c>
      <c r="CO98" s="351">
        <f t="shared" si="231"/>
        <v>121.03273</v>
      </c>
      <c r="CP98" s="352">
        <f t="shared" si="232"/>
        <v>0</v>
      </c>
      <c r="CQ98" s="352">
        <f t="shared" si="309"/>
        <v>0</v>
      </c>
      <c r="CR98" s="353">
        <f t="shared" si="310"/>
        <v>156.18829700000001</v>
      </c>
      <c r="CS98" s="353">
        <f t="shared" si="311"/>
        <v>121.03273</v>
      </c>
      <c r="CT98" s="343">
        <f t="shared" si="312"/>
        <v>156.18829700000001</v>
      </c>
      <c r="CU98" s="343">
        <f t="shared" si="313"/>
        <v>121.03273</v>
      </c>
      <c r="CW98" s="374">
        <v>2.0777000000000001</v>
      </c>
      <c r="CX98" s="375">
        <v>1.2529999999999999</v>
      </c>
      <c r="CY98" s="374">
        <v>0</v>
      </c>
      <c r="CZ98" s="374">
        <v>627.73080000000004</v>
      </c>
      <c r="DA98" s="374">
        <v>670.94420000000002</v>
      </c>
      <c r="DB98" s="351">
        <f t="shared" si="233"/>
        <v>465.88267100000002</v>
      </c>
      <c r="DC98" s="351">
        <f t="shared" si="234"/>
        <v>389.35721999999998</v>
      </c>
      <c r="DD98" s="352">
        <f t="shared" si="235"/>
        <v>0</v>
      </c>
      <c r="DE98" s="352">
        <f t="shared" si="314"/>
        <v>0</v>
      </c>
      <c r="DF98" s="353">
        <f t="shared" si="315"/>
        <v>465.88267100000002</v>
      </c>
      <c r="DG98" s="353">
        <f t="shared" si="316"/>
        <v>389.35721999999998</v>
      </c>
      <c r="DH98" s="343">
        <f t="shared" si="317"/>
        <v>465.88267100000002</v>
      </c>
      <c r="DI98" s="343">
        <f t="shared" si="318"/>
        <v>389.35721999999998</v>
      </c>
      <c r="DK98" s="374">
        <v>2.6497999999999999</v>
      </c>
      <c r="DL98" s="375">
        <v>1.4507000000000001</v>
      </c>
      <c r="DM98" s="374">
        <v>0</v>
      </c>
      <c r="DN98" s="374">
        <v>427.58420000000001</v>
      </c>
      <c r="DO98" s="374">
        <v>575.64580000000001</v>
      </c>
      <c r="DP98" s="351">
        <f t="shared" si="236"/>
        <v>349.16414600000002</v>
      </c>
      <c r="DQ98" s="351">
        <f t="shared" si="237"/>
        <v>285.58480200000002</v>
      </c>
      <c r="DR98" s="352">
        <f t="shared" si="238"/>
        <v>0</v>
      </c>
      <c r="DS98" s="352">
        <f t="shared" si="319"/>
        <v>0</v>
      </c>
      <c r="DT98" s="353">
        <f t="shared" si="320"/>
        <v>349.16414600000002</v>
      </c>
      <c r="DU98" s="353">
        <f t="shared" si="321"/>
        <v>285.58480200000002</v>
      </c>
      <c r="DV98" s="343">
        <f t="shared" si="322"/>
        <v>349.16414600000002</v>
      </c>
      <c r="DW98" s="343">
        <f t="shared" si="323"/>
        <v>285.58480200000002</v>
      </c>
      <c r="EB98" s="326"/>
      <c r="EC98" s="326"/>
      <c r="ED98" s="326"/>
      <c r="EE98" s="348">
        <f t="shared" si="324"/>
        <v>3730.2608</v>
      </c>
      <c r="EF98" s="348">
        <f t="shared" si="325"/>
        <v>4809.84</v>
      </c>
      <c r="EG98" s="348">
        <f t="shared" si="326"/>
        <v>12886.246773800001</v>
      </c>
      <c r="EH98" s="348">
        <f t="shared" si="327"/>
        <v>10828.523641</v>
      </c>
      <c r="EI98" s="354">
        <f t="shared" si="239"/>
        <v>0.43679353292879164</v>
      </c>
      <c r="EJ98" s="326"/>
      <c r="EK98" s="348">
        <f t="shared" si="328"/>
        <v>12886.246773800001</v>
      </c>
      <c r="EL98" s="348">
        <f t="shared" si="329"/>
        <v>10828.523641</v>
      </c>
      <c r="EM98" s="348">
        <f t="shared" si="330"/>
        <v>12886.246773800001</v>
      </c>
      <c r="EN98" s="348">
        <f t="shared" si="331"/>
        <v>10828.523641</v>
      </c>
      <c r="EP98" s="326"/>
      <c r="EQ98" s="326"/>
      <c r="ER98" s="326"/>
      <c r="ES98" s="348">
        <f t="shared" si="240"/>
        <v>3187.6641</v>
      </c>
      <c r="ET98" s="348">
        <f t="shared" si="241"/>
        <v>3871.9991</v>
      </c>
      <c r="EU98" s="348">
        <f t="shared" si="242"/>
        <v>11469.520039700001</v>
      </c>
      <c r="EV98" s="348">
        <f t="shared" si="243"/>
        <v>9519.0174260000003</v>
      </c>
      <c r="EW98" s="354">
        <f t="shared" si="244"/>
        <v>0.4515320362591802</v>
      </c>
      <c r="EX98" s="326"/>
      <c r="EY98" s="348">
        <f t="shared" si="245"/>
        <v>11469.520039700001</v>
      </c>
      <c r="EZ98" s="348">
        <f t="shared" si="246"/>
        <v>9519.0174260000003</v>
      </c>
      <c r="FA98" s="348">
        <f t="shared" si="247"/>
        <v>11469.520039700001</v>
      </c>
      <c r="FB98" s="348">
        <f t="shared" si="248"/>
        <v>9519.0174260000003</v>
      </c>
      <c r="FD98" s="326"/>
      <c r="FE98" s="326"/>
      <c r="FF98" s="326"/>
      <c r="FG98" s="348">
        <f t="shared" si="249"/>
        <v>2719.1774999999998</v>
      </c>
      <c r="FH98" s="348">
        <f t="shared" si="250"/>
        <v>3385.3141000000005</v>
      </c>
      <c r="FI98" s="348">
        <f t="shared" si="251"/>
        <v>9046.9557866000014</v>
      </c>
      <c r="FJ98" s="348">
        <f t="shared" si="252"/>
        <v>7796.2817592000001</v>
      </c>
      <c r="FK98" s="354">
        <f t="shared" si="253"/>
        <v>0.44543881426587589</v>
      </c>
      <c r="FL98" s="326"/>
      <c r="FM98" s="348">
        <f t="shared" si="254"/>
        <v>9046.9557866000014</v>
      </c>
      <c r="FN98" s="348">
        <f t="shared" si="255"/>
        <v>7796.2817592000001</v>
      </c>
      <c r="FO98" s="348">
        <f t="shared" si="256"/>
        <v>9046.9557866000014</v>
      </c>
      <c r="FP98" s="348">
        <f t="shared" si="257"/>
        <v>7796.2817592000001</v>
      </c>
      <c r="FR98" s="326"/>
      <c r="FS98" s="326"/>
      <c r="FT98" s="326"/>
      <c r="FU98" s="348">
        <f t="shared" si="258"/>
        <v>2559.2483000000002</v>
      </c>
      <c r="FV98" s="348">
        <f t="shared" si="259"/>
        <v>3094.2550000000001</v>
      </c>
      <c r="FW98" s="348">
        <f t="shared" si="260"/>
        <v>528.8944338</v>
      </c>
      <c r="FX98" s="348">
        <f t="shared" si="261"/>
        <v>432.518506</v>
      </c>
      <c r="FY98" s="354">
        <f t="shared" si="262"/>
        <v>0.45268361300859239</v>
      </c>
      <c r="FZ98" s="326"/>
      <c r="GA98" s="348">
        <f t="shared" si="263"/>
        <v>528.8944338</v>
      </c>
      <c r="GB98" s="348">
        <f t="shared" si="264"/>
        <v>432.518506</v>
      </c>
      <c r="GC98" s="348">
        <f t="shared" si="265"/>
        <v>528.8944338</v>
      </c>
      <c r="GD98" s="348">
        <f t="shared" si="266"/>
        <v>432.518506</v>
      </c>
      <c r="GF98" s="326"/>
      <c r="GG98" s="326"/>
      <c r="GH98" s="326"/>
      <c r="GI98" s="348">
        <f t="shared" si="267"/>
        <v>1111.3525</v>
      </c>
      <c r="GJ98" s="348">
        <f t="shared" si="268"/>
        <v>1224.6092000000001</v>
      </c>
      <c r="GK98" s="349">
        <f t="shared" si="269"/>
        <v>1707.7477004999998</v>
      </c>
      <c r="GL98" s="349">
        <f t="shared" si="270"/>
        <v>1341.7131285000005</v>
      </c>
      <c r="GM98" s="354">
        <f t="shared" si="271"/>
        <v>0.47575801435443055</v>
      </c>
      <c r="GN98" s="326"/>
      <c r="GO98" s="349">
        <f t="shared" si="272"/>
        <v>1707.7477004999998</v>
      </c>
      <c r="GP98" s="349">
        <f t="shared" si="273"/>
        <v>1341.7131285000005</v>
      </c>
      <c r="GQ98" s="349">
        <f t="shared" si="274"/>
        <v>1707.7477004999998</v>
      </c>
      <c r="GR98" s="349">
        <f t="shared" si="275"/>
        <v>1341.7131285000005</v>
      </c>
      <c r="HA98" s="374"/>
      <c r="HB98" s="375"/>
      <c r="HC98" s="374"/>
      <c r="HD98" s="374"/>
      <c r="HE98" s="374"/>
      <c r="HF98" s="351">
        <f t="shared" si="276"/>
        <v>0</v>
      </c>
      <c r="HG98" s="351">
        <f t="shared" si="277"/>
        <v>0</v>
      </c>
      <c r="HH98" s="352">
        <f t="shared" si="278"/>
        <v>0</v>
      </c>
      <c r="HI98" s="352">
        <f t="shared" si="332"/>
        <v>0</v>
      </c>
      <c r="HJ98" s="353">
        <f t="shared" si="333"/>
        <v>0</v>
      </c>
      <c r="HK98" s="353">
        <f t="shared" si="334"/>
        <v>0</v>
      </c>
    </row>
    <row r="99" spans="1:219" x14ac:dyDescent="0.2">
      <c r="A99" s="320">
        <v>89</v>
      </c>
      <c r="C99" s="350">
        <v>6.8403</v>
      </c>
      <c r="D99" s="350">
        <v>3.2191000000000001</v>
      </c>
      <c r="E99" s="350">
        <v>0</v>
      </c>
      <c r="F99" s="350">
        <v>241.01830000000001</v>
      </c>
      <c r="G99" s="350">
        <v>723.31</v>
      </c>
      <c r="H99" s="351">
        <f t="shared" si="212"/>
        <v>6676.8168299999998</v>
      </c>
      <c r="I99" s="351">
        <f t="shared" si="213"/>
        <v>5967.213479</v>
      </c>
      <c r="J99" s="352">
        <f t="shared" si="214"/>
        <v>0</v>
      </c>
      <c r="K99" s="352">
        <f t="shared" si="279"/>
        <v>0</v>
      </c>
      <c r="L99" s="353">
        <f t="shared" si="280"/>
        <v>6676.8168299999998</v>
      </c>
      <c r="M99" s="353">
        <f t="shared" si="281"/>
        <v>5967.213479</v>
      </c>
      <c r="N99" s="343">
        <f t="shared" si="282"/>
        <v>6676.8168299999998</v>
      </c>
      <c r="O99" s="343">
        <f t="shared" si="283"/>
        <v>5967.213479</v>
      </c>
      <c r="Q99" s="374">
        <v>9.0456000000000003</v>
      </c>
      <c r="R99" s="375">
        <v>4.1070000000000002</v>
      </c>
      <c r="S99" s="374">
        <v>0</v>
      </c>
      <c r="T99" s="374">
        <v>97.645799999999994</v>
      </c>
      <c r="U99" s="374">
        <v>188.57669999999999</v>
      </c>
      <c r="V99" s="351">
        <f t="shared" si="215"/>
        <v>5783.7566399999996</v>
      </c>
      <c r="W99" s="351">
        <f t="shared" si="216"/>
        <v>4934.0676600000006</v>
      </c>
      <c r="X99" s="352">
        <f t="shared" si="217"/>
        <v>0</v>
      </c>
      <c r="Y99" s="352">
        <f t="shared" si="284"/>
        <v>0</v>
      </c>
      <c r="Z99" s="353">
        <f t="shared" si="285"/>
        <v>5783.7566399999996</v>
      </c>
      <c r="AA99" s="353">
        <f t="shared" si="286"/>
        <v>4934.0676600000006</v>
      </c>
      <c r="AB99" s="343">
        <f t="shared" si="287"/>
        <v>5783.7566399999996</v>
      </c>
      <c r="AC99" s="343">
        <f t="shared" si="288"/>
        <v>4934.0676600000006</v>
      </c>
      <c r="AE99" s="374">
        <v>12.2363</v>
      </c>
      <c r="AF99" s="375">
        <v>4.8857999999999997</v>
      </c>
      <c r="AG99" s="374">
        <v>0</v>
      </c>
      <c r="AH99" s="374">
        <v>32.083300000000001</v>
      </c>
      <c r="AI99" s="374">
        <v>35.847499999999997</v>
      </c>
      <c r="AJ99" s="351">
        <f t="shared" si="218"/>
        <v>5244.2334540000002</v>
      </c>
      <c r="AK99" s="351">
        <f t="shared" si="219"/>
        <v>4857.3646439999993</v>
      </c>
      <c r="AL99" s="352">
        <f t="shared" si="220"/>
        <v>0</v>
      </c>
      <c r="AM99" s="352">
        <f t="shared" si="289"/>
        <v>0</v>
      </c>
      <c r="AN99" s="353">
        <f t="shared" si="290"/>
        <v>5244.2334540000002</v>
      </c>
      <c r="AO99" s="353">
        <f t="shared" si="291"/>
        <v>4857.3646439999993</v>
      </c>
      <c r="AP99" s="343">
        <f t="shared" si="292"/>
        <v>5244.2334540000002</v>
      </c>
      <c r="AQ99" s="343">
        <f t="shared" si="293"/>
        <v>4857.3646439999993</v>
      </c>
      <c r="AS99" s="374">
        <v>17.2</v>
      </c>
      <c r="AT99" s="375">
        <v>6.5787000000000004</v>
      </c>
      <c r="AU99" s="374">
        <v>0</v>
      </c>
      <c r="AV99" s="374">
        <v>566.97829999999999</v>
      </c>
      <c r="AW99" s="374">
        <v>782.65250000000003</v>
      </c>
      <c r="AX99" s="351">
        <f t="shared" si="221"/>
        <v>5859.5240000000003</v>
      </c>
      <c r="AY99" s="351">
        <f t="shared" si="222"/>
        <v>4494.0415440000006</v>
      </c>
      <c r="AZ99" s="352">
        <f t="shared" si="223"/>
        <v>0</v>
      </c>
      <c r="BA99" s="352">
        <f t="shared" si="294"/>
        <v>0</v>
      </c>
      <c r="BB99" s="353">
        <f t="shared" si="295"/>
        <v>5859.5240000000003</v>
      </c>
      <c r="BC99" s="353">
        <f t="shared" si="296"/>
        <v>4494.0415440000006</v>
      </c>
      <c r="BD99" s="343">
        <f t="shared" si="297"/>
        <v>5859.5240000000003</v>
      </c>
      <c r="BE99" s="343">
        <f t="shared" si="298"/>
        <v>4494.0415440000006</v>
      </c>
      <c r="BG99" s="374">
        <v>15.759600000000001</v>
      </c>
      <c r="BH99" s="375">
        <v>7.2275</v>
      </c>
      <c r="BI99" s="374">
        <v>0</v>
      </c>
      <c r="BJ99" s="374">
        <v>341.58330000000001</v>
      </c>
      <c r="BK99" s="374">
        <v>511.11169999999998</v>
      </c>
      <c r="BL99" s="351">
        <f t="shared" si="224"/>
        <v>5275.8412920000001</v>
      </c>
      <c r="BM99" s="351">
        <f t="shared" si="225"/>
        <v>4234.7367999999997</v>
      </c>
      <c r="BN99" s="352">
        <f t="shared" si="226"/>
        <v>0</v>
      </c>
      <c r="BO99" s="352">
        <f t="shared" si="299"/>
        <v>0</v>
      </c>
      <c r="BP99" s="353">
        <f t="shared" si="300"/>
        <v>5275.8412920000001</v>
      </c>
      <c r="BQ99" s="353">
        <f t="shared" si="301"/>
        <v>4234.7367999999997</v>
      </c>
      <c r="BR99" s="343">
        <f t="shared" si="302"/>
        <v>5275.8412920000001</v>
      </c>
      <c r="BS99" s="343">
        <f t="shared" si="303"/>
        <v>4234.7367999999997</v>
      </c>
      <c r="BU99" s="374">
        <v>15.2332</v>
      </c>
      <c r="BV99" s="375">
        <v>7.0953999999999997</v>
      </c>
      <c r="BW99" s="374">
        <v>0</v>
      </c>
      <c r="BX99" s="374">
        <v>176.4058</v>
      </c>
      <c r="BY99" s="374">
        <v>263.29079999999999</v>
      </c>
      <c r="BZ99" s="351">
        <f t="shared" si="227"/>
        <v>3535.9303840000002</v>
      </c>
      <c r="CA99" s="351">
        <f t="shared" si="228"/>
        <v>2709.5203980000001</v>
      </c>
      <c r="CB99" s="352">
        <f t="shared" si="229"/>
        <v>0</v>
      </c>
      <c r="CC99" s="352">
        <f t="shared" si="304"/>
        <v>0</v>
      </c>
      <c r="CD99" s="353">
        <f t="shared" si="305"/>
        <v>3535.9303840000002</v>
      </c>
      <c r="CE99" s="353">
        <f t="shared" si="306"/>
        <v>2709.5203980000001</v>
      </c>
      <c r="CF99" s="343">
        <f t="shared" si="307"/>
        <v>3535.9303840000002</v>
      </c>
      <c r="CG99" s="343">
        <f t="shared" si="308"/>
        <v>2709.5203980000001</v>
      </c>
      <c r="CI99" s="374">
        <v>0.69110000000000005</v>
      </c>
      <c r="CJ99" s="375">
        <v>0.40649999999999997</v>
      </c>
      <c r="CK99" s="374">
        <v>0</v>
      </c>
      <c r="CL99" s="374">
        <v>1372.8167000000001</v>
      </c>
      <c r="CM99" s="374">
        <v>2145.8883000000001</v>
      </c>
      <c r="CN99" s="351">
        <f t="shared" si="230"/>
        <v>146.87948300000002</v>
      </c>
      <c r="CO99" s="351">
        <f t="shared" si="231"/>
        <v>111.97042499999999</v>
      </c>
      <c r="CP99" s="352">
        <f t="shared" si="232"/>
        <v>0</v>
      </c>
      <c r="CQ99" s="352">
        <f t="shared" si="309"/>
        <v>0</v>
      </c>
      <c r="CR99" s="353">
        <f t="shared" si="310"/>
        <v>146.87948300000002</v>
      </c>
      <c r="CS99" s="353">
        <f t="shared" si="311"/>
        <v>111.97042499999999</v>
      </c>
      <c r="CT99" s="343">
        <f t="shared" si="312"/>
        <v>146.87948300000002</v>
      </c>
      <c r="CU99" s="343">
        <f t="shared" si="313"/>
        <v>111.97042499999999</v>
      </c>
      <c r="CW99" s="374">
        <v>1.9719</v>
      </c>
      <c r="CX99" s="375">
        <v>1.1618999999999999</v>
      </c>
      <c r="CY99" s="374">
        <v>0</v>
      </c>
      <c r="CZ99" s="374">
        <v>414.47500000000002</v>
      </c>
      <c r="DA99" s="374">
        <v>620.99749999999995</v>
      </c>
      <c r="DB99" s="351">
        <f t="shared" si="233"/>
        <v>442.15913699999999</v>
      </c>
      <c r="DC99" s="351">
        <f t="shared" si="234"/>
        <v>361.04880600000001</v>
      </c>
      <c r="DD99" s="352">
        <f t="shared" si="235"/>
        <v>0</v>
      </c>
      <c r="DE99" s="352">
        <f t="shared" si="314"/>
        <v>0</v>
      </c>
      <c r="DF99" s="353">
        <f t="shared" si="315"/>
        <v>442.15913699999999</v>
      </c>
      <c r="DG99" s="353">
        <f t="shared" si="316"/>
        <v>361.04880600000001</v>
      </c>
      <c r="DH99" s="343">
        <f t="shared" si="317"/>
        <v>442.15913699999999</v>
      </c>
      <c r="DI99" s="343">
        <f t="shared" si="318"/>
        <v>361.04880600000001</v>
      </c>
      <c r="DK99" s="374">
        <v>2.5270999999999999</v>
      </c>
      <c r="DL99" s="375">
        <v>1.3547</v>
      </c>
      <c r="DM99" s="374">
        <v>0</v>
      </c>
      <c r="DN99" s="374">
        <v>336.5967</v>
      </c>
      <c r="DO99" s="374">
        <v>505.86</v>
      </c>
      <c r="DP99" s="351">
        <f t="shared" si="236"/>
        <v>332.99596700000001</v>
      </c>
      <c r="DQ99" s="351">
        <f t="shared" si="237"/>
        <v>266.68624200000005</v>
      </c>
      <c r="DR99" s="352">
        <f t="shared" si="238"/>
        <v>0</v>
      </c>
      <c r="DS99" s="352">
        <f t="shared" si="319"/>
        <v>0</v>
      </c>
      <c r="DT99" s="353">
        <f t="shared" si="320"/>
        <v>332.99596700000001</v>
      </c>
      <c r="DU99" s="353">
        <f t="shared" si="321"/>
        <v>266.68624200000005</v>
      </c>
      <c r="DV99" s="343">
        <f t="shared" si="322"/>
        <v>332.99596700000001</v>
      </c>
      <c r="DW99" s="343">
        <f t="shared" si="323"/>
        <v>266.68624200000005</v>
      </c>
      <c r="EB99" s="326"/>
      <c r="EC99" s="326"/>
      <c r="ED99" s="326"/>
      <c r="EE99" s="348">
        <f t="shared" si="324"/>
        <v>2595.2882999999997</v>
      </c>
      <c r="EF99" s="348">
        <f t="shared" si="325"/>
        <v>4272.8482999999997</v>
      </c>
      <c r="EG99" s="348">
        <f t="shared" si="326"/>
        <v>13036.947622600002</v>
      </c>
      <c r="EH99" s="348">
        <f t="shared" si="327"/>
        <v>10862.0644928</v>
      </c>
      <c r="EI99" s="354">
        <f t="shared" si="239"/>
        <v>0.37787371614012449</v>
      </c>
      <c r="EJ99" s="326"/>
      <c r="EK99" s="348">
        <f t="shared" si="328"/>
        <v>13036.947622600002</v>
      </c>
      <c r="EL99" s="348">
        <f t="shared" si="329"/>
        <v>10862.0644928</v>
      </c>
      <c r="EM99" s="348">
        <f t="shared" si="330"/>
        <v>13036.947622600002</v>
      </c>
      <c r="EN99" s="348">
        <f t="shared" si="331"/>
        <v>10862.0644928</v>
      </c>
      <c r="EP99" s="326"/>
      <c r="EQ99" s="326"/>
      <c r="ER99" s="326"/>
      <c r="ES99" s="348">
        <f t="shared" si="240"/>
        <v>2226.5208000000002</v>
      </c>
      <c r="ET99" s="348">
        <f t="shared" si="241"/>
        <v>3466.5742</v>
      </c>
      <c r="EU99" s="348">
        <f t="shared" si="242"/>
        <v>11515.9888109</v>
      </c>
      <c r="EV99" s="348">
        <f t="shared" si="243"/>
        <v>9533.5090491999981</v>
      </c>
      <c r="EW99" s="354">
        <f t="shared" si="244"/>
        <v>0.39109145376987386</v>
      </c>
      <c r="EX99" s="326"/>
      <c r="EY99" s="348">
        <f t="shared" si="245"/>
        <v>11515.9888109</v>
      </c>
      <c r="EZ99" s="348">
        <f t="shared" si="246"/>
        <v>9533.5090491999981</v>
      </c>
      <c r="FA99" s="348">
        <f t="shared" si="247"/>
        <v>11515.9888109</v>
      </c>
      <c r="FB99" s="348">
        <f t="shared" si="248"/>
        <v>9533.5090491999981</v>
      </c>
      <c r="FD99" s="326"/>
      <c r="FE99" s="326"/>
      <c r="FF99" s="326"/>
      <c r="FG99" s="348">
        <f t="shared" si="249"/>
        <v>1917.9025000000001</v>
      </c>
      <c r="FH99" s="348">
        <f t="shared" si="250"/>
        <v>2950.8866000000003</v>
      </c>
      <c r="FI99" s="348">
        <f t="shared" si="251"/>
        <v>9126.8409012000011</v>
      </c>
      <c r="FJ99" s="348">
        <f t="shared" si="252"/>
        <v>7838.8672122000007</v>
      </c>
      <c r="FK99" s="354">
        <f t="shared" si="253"/>
        <v>0.39391776078368235</v>
      </c>
      <c r="FL99" s="326"/>
      <c r="FM99" s="348">
        <f t="shared" si="254"/>
        <v>9126.8409012000011</v>
      </c>
      <c r="FN99" s="348">
        <f t="shared" si="255"/>
        <v>7838.8672122000007</v>
      </c>
      <c r="FO99" s="348">
        <f t="shared" si="256"/>
        <v>9126.8409012000011</v>
      </c>
      <c r="FP99" s="348">
        <f t="shared" si="257"/>
        <v>7838.8672122000007</v>
      </c>
      <c r="FR99" s="326"/>
      <c r="FS99" s="326"/>
      <c r="FT99" s="326"/>
      <c r="FU99" s="348">
        <f t="shared" si="258"/>
        <v>1787.2917000000002</v>
      </c>
      <c r="FV99" s="348">
        <f t="shared" si="259"/>
        <v>2766.8858</v>
      </c>
      <c r="FW99" s="348">
        <f t="shared" si="260"/>
        <v>500.60679260000006</v>
      </c>
      <c r="FX99" s="348">
        <f t="shared" si="261"/>
        <v>400.80946979999999</v>
      </c>
      <c r="FY99" s="354">
        <f t="shared" si="262"/>
        <v>0.39245104083009508</v>
      </c>
      <c r="FZ99" s="326"/>
      <c r="GA99" s="348">
        <f t="shared" si="263"/>
        <v>500.60679260000006</v>
      </c>
      <c r="GB99" s="348">
        <f t="shared" si="264"/>
        <v>400.80946979999999</v>
      </c>
      <c r="GC99" s="348">
        <f t="shared" si="265"/>
        <v>500.60679260000006</v>
      </c>
      <c r="GD99" s="348">
        <f t="shared" si="266"/>
        <v>400.80946979999999</v>
      </c>
      <c r="GF99" s="326"/>
      <c r="GG99" s="326"/>
      <c r="GH99" s="326"/>
      <c r="GI99" s="348">
        <f t="shared" si="267"/>
        <v>743.38409999999999</v>
      </c>
      <c r="GJ99" s="348">
        <f t="shared" si="268"/>
        <v>1045.9432999999999</v>
      </c>
      <c r="GK99" s="349">
        <f t="shared" si="269"/>
        <v>1742.6952120000001</v>
      </c>
      <c r="GL99" s="349">
        <f t="shared" si="270"/>
        <v>1338.3908595000003</v>
      </c>
      <c r="GM99" s="354">
        <f t="shared" si="271"/>
        <v>0.41545448865311069</v>
      </c>
      <c r="GN99" s="326"/>
      <c r="GO99" s="349">
        <f t="shared" si="272"/>
        <v>1742.6952120000001</v>
      </c>
      <c r="GP99" s="349">
        <f t="shared" si="273"/>
        <v>1338.3908595000003</v>
      </c>
      <c r="GQ99" s="349">
        <f t="shared" si="274"/>
        <v>1742.6952120000001</v>
      </c>
      <c r="GR99" s="349">
        <f t="shared" si="275"/>
        <v>1338.3908595000003</v>
      </c>
      <c r="HA99" s="374"/>
      <c r="HB99" s="375"/>
      <c r="HC99" s="374"/>
      <c r="HD99" s="374"/>
      <c r="HE99" s="374"/>
      <c r="HF99" s="351">
        <f t="shared" si="276"/>
        <v>0</v>
      </c>
      <c r="HG99" s="351">
        <f t="shared" si="277"/>
        <v>0</v>
      </c>
      <c r="HH99" s="352">
        <f t="shared" si="278"/>
        <v>0</v>
      </c>
      <c r="HI99" s="352">
        <f t="shared" si="332"/>
        <v>0</v>
      </c>
      <c r="HJ99" s="353">
        <f t="shared" si="333"/>
        <v>0</v>
      </c>
      <c r="HK99" s="353">
        <f t="shared" si="334"/>
        <v>0</v>
      </c>
    </row>
    <row r="100" spans="1:219" x14ac:dyDescent="0.2">
      <c r="A100" s="320">
        <v>90</v>
      </c>
      <c r="C100" s="350">
        <v>6.9592999999999998</v>
      </c>
      <c r="D100" s="350">
        <v>3.2530000000000001</v>
      </c>
      <c r="E100" s="350">
        <v>0</v>
      </c>
      <c r="F100" s="350">
        <v>212.07499999999999</v>
      </c>
      <c r="G100" s="350">
        <v>631.80330000000004</v>
      </c>
      <c r="H100" s="351">
        <f t="shared" si="212"/>
        <v>6792.9727300000004</v>
      </c>
      <c r="I100" s="351">
        <f t="shared" si="213"/>
        <v>6030.05357</v>
      </c>
      <c r="J100" s="352">
        <f t="shared" si="214"/>
        <v>0</v>
      </c>
      <c r="K100" s="352">
        <f t="shared" si="279"/>
        <v>0</v>
      </c>
      <c r="L100" s="353">
        <f t="shared" si="280"/>
        <v>6792.9727300000004</v>
      </c>
      <c r="M100" s="353">
        <f t="shared" si="281"/>
        <v>6030.05357</v>
      </c>
      <c r="N100" s="343">
        <f t="shared" si="282"/>
        <v>6792.9727300000004</v>
      </c>
      <c r="O100" s="343">
        <f t="shared" si="283"/>
        <v>6030.05357</v>
      </c>
      <c r="Q100" s="374">
        <v>9.0940999999999992</v>
      </c>
      <c r="R100" s="375">
        <v>4.1410999999999998</v>
      </c>
      <c r="S100" s="374">
        <v>0</v>
      </c>
      <c r="T100" s="374">
        <v>71.602500000000006</v>
      </c>
      <c r="U100" s="374">
        <v>134.89750000000001</v>
      </c>
      <c r="V100" s="351">
        <f t="shared" si="215"/>
        <v>5814.7675399999989</v>
      </c>
      <c r="W100" s="351">
        <f t="shared" si="216"/>
        <v>4975.0347179999999</v>
      </c>
      <c r="X100" s="352">
        <f t="shared" si="217"/>
        <v>0</v>
      </c>
      <c r="Y100" s="352">
        <f t="shared" si="284"/>
        <v>0</v>
      </c>
      <c r="Z100" s="353">
        <f t="shared" si="285"/>
        <v>5814.7675399999989</v>
      </c>
      <c r="AA100" s="353">
        <f t="shared" si="286"/>
        <v>4975.0347179999999</v>
      </c>
      <c r="AB100" s="343">
        <f t="shared" si="287"/>
        <v>5814.7675399999989</v>
      </c>
      <c r="AC100" s="343">
        <f t="shared" si="288"/>
        <v>4975.0347179999999</v>
      </c>
      <c r="AE100" s="374">
        <v>12.4213</v>
      </c>
      <c r="AF100" s="375">
        <v>4.9314</v>
      </c>
      <c r="AG100" s="374">
        <v>0</v>
      </c>
      <c r="AH100" s="374">
        <v>17.5717</v>
      </c>
      <c r="AI100" s="374">
        <v>25.625800000000002</v>
      </c>
      <c r="AJ100" s="351">
        <f t="shared" si="218"/>
        <v>5323.5207540000001</v>
      </c>
      <c r="AK100" s="351">
        <f t="shared" si="219"/>
        <v>4902.6992519999994</v>
      </c>
      <c r="AL100" s="352">
        <f t="shared" si="220"/>
        <v>0</v>
      </c>
      <c r="AM100" s="352">
        <f t="shared" si="289"/>
        <v>0</v>
      </c>
      <c r="AN100" s="353">
        <f t="shared" si="290"/>
        <v>5323.5207540000001</v>
      </c>
      <c r="AO100" s="353">
        <f t="shared" si="291"/>
        <v>4902.6992519999994</v>
      </c>
      <c r="AP100" s="343">
        <f t="shared" si="292"/>
        <v>5323.5207540000001</v>
      </c>
      <c r="AQ100" s="343">
        <f t="shared" si="293"/>
        <v>4902.6992519999994</v>
      </c>
      <c r="AS100" s="374">
        <v>17.36</v>
      </c>
      <c r="AT100" s="375">
        <v>6.5787000000000004</v>
      </c>
      <c r="AU100" s="374">
        <v>0</v>
      </c>
      <c r="AV100" s="374">
        <v>441.51499999999999</v>
      </c>
      <c r="AW100" s="374">
        <v>694.74329999999998</v>
      </c>
      <c r="AX100" s="351">
        <f t="shared" si="221"/>
        <v>5914.0312000000004</v>
      </c>
      <c r="AY100" s="351">
        <f t="shared" si="222"/>
        <v>4494.0415440000006</v>
      </c>
      <c r="AZ100" s="352">
        <f t="shared" si="223"/>
        <v>0</v>
      </c>
      <c r="BA100" s="352">
        <f t="shared" si="294"/>
        <v>0</v>
      </c>
      <c r="BB100" s="353">
        <f t="shared" si="295"/>
        <v>5914.0312000000004</v>
      </c>
      <c r="BC100" s="353">
        <f t="shared" si="296"/>
        <v>4494.0415440000006</v>
      </c>
      <c r="BD100" s="343">
        <f t="shared" si="297"/>
        <v>5914.0312000000004</v>
      </c>
      <c r="BE100" s="343">
        <f t="shared" si="298"/>
        <v>4494.0415440000006</v>
      </c>
      <c r="BG100" s="374">
        <v>15.846</v>
      </c>
      <c r="BH100" s="375">
        <v>7.2275</v>
      </c>
      <c r="BI100" s="374">
        <v>0</v>
      </c>
      <c r="BJ100" s="374">
        <v>250.7517</v>
      </c>
      <c r="BK100" s="374">
        <v>434.8467</v>
      </c>
      <c r="BL100" s="351">
        <f t="shared" si="224"/>
        <v>5304.7654199999997</v>
      </c>
      <c r="BM100" s="351">
        <f t="shared" si="225"/>
        <v>4234.7367999999997</v>
      </c>
      <c r="BN100" s="352">
        <f t="shared" si="226"/>
        <v>0</v>
      </c>
      <c r="BO100" s="352">
        <f t="shared" si="299"/>
        <v>0</v>
      </c>
      <c r="BP100" s="353">
        <f t="shared" si="300"/>
        <v>5304.7654199999997</v>
      </c>
      <c r="BQ100" s="353">
        <f t="shared" si="301"/>
        <v>4234.7367999999997</v>
      </c>
      <c r="BR100" s="343">
        <f t="shared" si="302"/>
        <v>5304.7654199999997</v>
      </c>
      <c r="BS100" s="343">
        <f t="shared" si="303"/>
        <v>4234.7367999999997</v>
      </c>
      <c r="BU100" s="374">
        <v>15.255100000000001</v>
      </c>
      <c r="BV100" s="375">
        <v>7.0953999999999997</v>
      </c>
      <c r="BW100" s="374">
        <v>0</v>
      </c>
      <c r="BX100" s="374">
        <v>187.33750000000001</v>
      </c>
      <c r="BY100" s="374">
        <v>259.22579999999999</v>
      </c>
      <c r="BZ100" s="351">
        <f t="shared" si="227"/>
        <v>3541.0138120000001</v>
      </c>
      <c r="CA100" s="351">
        <f t="shared" si="228"/>
        <v>2709.5203980000001</v>
      </c>
      <c r="CB100" s="352">
        <f t="shared" si="229"/>
        <v>0</v>
      </c>
      <c r="CC100" s="352">
        <f t="shared" si="304"/>
        <v>0</v>
      </c>
      <c r="CD100" s="353">
        <f t="shared" si="305"/>
        <v>3541.0138120000001</v>
      </c>
      <c r="CE100" s="353">
        <f t="shared" si="306"/>
        <v>2709.5203980000001</v>
      </c>
      <c r="CF100" s="343">
        <f t="shared" si="307"/>
        <v>3541.0138120000001</v>
      </c>
      <c r="CG100" s="343">
        <f t="shared" si="308"/>
        <v>2709.5203980000001</v>
      </c>
      <c r="CI100" s="374">
        <v>0.65</v>
      </c>
      <c r="CJ100" s="375">
        <v>0.37540000000000001</v>
      </c>
      <c r="CK100" s="374">
        <v>0</v>
      </c>
      <c r="CL100" s="374">
        <v>1119.6158</v>
      </c>
      <c r="CM100" s="374">
        <v>1907.0808</v>
      </c>
      <c r="CN100" s="351">
        <f t="shared" si="230"/>
        <v>138.14449999999999</v>
      </c>
      <c r="CO100" s="351">
        <f t="shared" si="231"/>
        <v>103.40393</v>
      </c>
      <c r="CP100" s="352">
        <f t="shared" si="232"/>
        <v>0</v>
      </c>
      <c r="CQ100" s="352">
        <f t="shared" si="309"/>
        <v>0</v>
      </c>
      <c r="CR100" s="353">
        <f t="shared" si="310"/>
        <v>138.14449999999999</v>
      </c>
      <c r="CS100" s="353">
        <f t="shared" si="311"/>
        <v>103.40393</v>
      </c>
      <c r="CT100" s="343">
        <f t="shared" si="312"/>
        <v>138.14449999999999</v>
      </c>
      <c r="CU100" s="343">
        <f t="shared" si="313"/>
        <v>103.40393</v>
      </c>
      <c r="CW100" s="374">
        <v>1.8614999999999999</v>
      </c>
      <c r="CX100" s="375">
        <v>1.0698000000000001</v>
      </c>
      <c r="CY100" s="374">
        <v>0</v>
      </c>
      <c r="CZ100" s="374">
        <v>299.52330000000001</v>
      </c>
      <c r="DA100" s="374">
        <v>531.72829999999999</v>
      </c>
      <c r="DB100" s="351">
        <f t="shared" si="233"/>
        <v>417.40414499999997</v>
      </c>
      <c r="DC100" s="351">
        <f t="shared" si="234"/>
        <v>332.42965200000003</v>
      </c>
      <c r="DD100" s="352">
        <f t="shared" si="235"/>
        <v>0</v>
      </c>
      <c r="DE100" s="352">
        <f t="shared" si="314"/>
        <v>0</v>
      </c>
      <c r="DF100" s="353">
        <f t="shared" si="315"/>
        <v>417.40414499999997</v>
      </c>
      <c r="DG100" s="353">
        <f t="shared" si="316"/>
        <v>332.42965200000003</v>
      </c>
      <c r="DH100" s="343">
        <f t="shared" si="317"/>
        <v>417.40414499999997</v>
      </c>
      <c r="DI100" s="343">
        <f t="shared" si="318"/>
        <v>332.42965200000003</v>
      </c>
      <c r="DK100" s="374">
        <v>2.3990999999999998</v>
      </c>
      <c r="DL100" s="375">
        <v>1.2623</v>
      </c>
      <c r="DM100" s="374">
        <v>0</v>
      </c>
      <c r="DN100" s="374">
        <v>301.44330000000002</v>
      </c>
      <c r="DO100" s="374">
        <v>475.17669999999998</v>
      </c>
      <c r="DP100" s="351">
        <f t="shared" si="236"/>
        <v>316.12940700000001</v>
      </c>
      <c r="DQ100" s="351">
        <f t="shared" si="237"/>
        <v>248.49637800000002</v>
      </c>
      <c r="DR100" s="352">
        <f t="shared" si="238"/>
        <v>0</v>
      </c>
      <c r="DS100" s="352">
        <f t="shared" si="319"/>
        <v>0</v>
      </c>
      <c r="DT100" s="353">
        <f t="shared" si="320"/>
        <v>316.12940700000001</v>
      </c>
      <c r="DU100" s="353">
        <f t="shared" si="321"/>
        <v>248.49637800000002</v>
      </c>
      <c r="DV100" s="343">
        <f t="shared" si="322"/>
        <v>316.12940700000001</v>
      </c>
      <c r="DW100" s="343">
        <f t="shared" si="323"/>
        <v>248.49637800000002</v>
      </c>
      <c r="EB100" s="326"/>
      <c r="EC100" s="326"/>
      <c r="ED100" s="326"/>
      <c r="EE100" s="348">
        <f t="shared" si="324"/>
        <v>2072.7291</v>
      </c>
      <c r="EF100" s="348">
        <f t="shared" si="325"/>
        <v>3765.3557000000001</v>
      </c>
      <c r="EG100" s="348">
        <f t="shared" si="326"/>
        <v>13179.071746000001</v>
      </c>
      <c r="EH100" s="348">
        <f t="shared" si="327"/>
        <v>10893.442765600001</v>
      </c>
      <c r="EI100" s="354">
        <f t="shared" si="239"/>
        <v>0.35503579872632202</v>
      </c>
      <c r="EJ100" s="326"/>
      <c r="EK100" s="348">
        <f t="shared" si="328"/>
        <v>13179.071746000001</v>
      </c>
      <c r="EL100" s="348">
        <f t="shared" si="329"/>
        <v>10893.442765600001</v>
      </c>
      <c r="EM100" s="348">
        <f t="shared" si="330"/>
        <v>13179.071746000001</v>
      </c>
      <c r="EN100" s="348">
        <f t="shared" si="331"/>
        <v>10893.442765600001</v>
      </c>
      <c r="EP100" s="326"/>
      <c r="EQ100" s="326"/>
      <c r="ER100" s="326"/>
      <c r="ES100" s="348">
        <f t="shared" si="240"/>
        <v>1741.4933000000001</v>
      </c>
      <c r="ET100" s="348">
        <f t="shared" si="241"/>
        <v>3008.5532999999996</v>
      </c>
      <c r="EU100" s="348">
        <f t="shared" si="242"/>
        <v>11549.860361499999</v>
      </c>
      <c r="EV100" s="348">
        <f t="shared" si="243"/>
        <v>9545.8762043999996</v>
      </c>
      <c r="EW100" s="354">
        <f t="shared" si="244"/>
        <v>0.3666265716214237</v>
      </c>
      <c r="EX100" s="326"/>
      <c r="EY100" s="348">
        <f t="shared" si="245"/>
        <v>11549.860361499999</v>
      </c>
      <c r="EZ100" s="348">
        <f t="shared" si="246"/>
        <v>9545.8762043999996</v>
      </c>
      <c r="FA100" s="348">
        <f t="shared" si="247"/>
        <v>11549.860361499999</v>
      </c>
      <c r="FB100" s="348">
        <f t="shared" si="248"/>
        <v>9545.8762043999996</v>
      </c>
      <c r="FD100" s="326"/>
      <c r="FE100" s="326"/>
      <c r="FF100" s="326"/>
      <c r="FG100" s="348">
        <f t="shared" si="249"/>
        <v>1625.9683</v>
      </c>
      <c r="FH100" s="348">
        <f t="shared" si="250"/>
        <v>2667.1091000000001</v>
      </c>
      <c r="FI100" s="348">
        <f t="shared" si="251"/>
        <v>9192.3567101999997</v>
      </c>
      <c r="FJ100" s="348">
        <f t="shared" si="252"/>
        <v>7864.7214067999994</v>
      </c>
      <c r="FK100" s="354">
        <f t="shared" si="253"/>
        <v>0.37874190202114688</v>
      </c>
      <c r="FL100" s="326"/>
      <c r="FM100" s="348">
        <f t="shared" si="254"/>
        <v>9192.3567101999997</v>
      </c>
      <c r="FN100" s="348">
        <f t="shared" si="255"/>
        <v>7864.7214067999994</v>
      </c>
      <c r="FO100" s="348">
        <f t="shared" si="256"/>
        <v>9192.3567101999997</v>
      </c>
      <c r="FP100" s="348">
        <f t="shared" si="257"/>
        <v>7864.7214067999994</v>
      </c>
      <c r="FR100" s="326"/>
      <c r="FS100" s="326"/>
      <c r="FT100" s="326"/>
      <c r="FU100" s="348">
        <f t="shared" si="258"/>
        <v>1419.1391000000001</v>
      </c>
      <c r="FV100" s="348">
        <f t="shared" si="259"/>
        <v>2438.8090999999999</v>
      </c>
      <c r="FW100" s="348">
        <f t="shared" si="260"/>
        <v>472.06781599999999</v>
      </c>
      <c r="FX100" s="348">
        <f t="shared" si="261"/>
        <v>369.34765160000006</v>
      </c>
      <c r="FY100" s="354">
        <f t="shared" si="262"/>
        <v>0.36784814788337494</v>
      </c>
      <c r="FZ100" s="326"/>
      <c r="GA100" s="348">
        <f t="shared" si="263"/>
        <v>472.06781599999999</v>
      </c>
      <c r="GB100" s="348">
        <f t="shared" si="264"/>
        <v>369.34765160000006</v>
      </c>
      <c r="GC100" s="348">
        <f t="shared" si="265"/>
        <v>472.06781599999999</v>
      </c>
      <c r="GD100" s="348">
        <f t="shared" si="266"/>
        <v>369.34765160000006</v>
      </c>
      <c r="GF100" s="326"/>
      <c r="GG100" s="326"/>
      <c r="GH100" s="326"/>
      <c r="GI100" s="348">
        <f t="shared" si="267"/>
        <v>628.85249999999996</v>
      </c>
      <c r="GJ100" s="348">
        <f t="shared" si="268"/>
        <v>953.96910000000003</v>
      </c>
      <c r="GK100" s="349">
        <f t="shared" si="269"/>
        <v>1779.7630410000002</v>
      </c>
      <c r="GL100" s="349">
        <f t="shared" si="270"/>
        <v>1338.3908595000003</v>
      </c>
      <c r="GM100" s="354">
        <f t="shared" si="271"/>
        <v>0.39729840684509232</v>
      </c>
      <c r="GN100" s="326"/>
      <c r="GO100" s="349">
        <f t="shared" si="272"/>
        <v>1779.7630410000002</v>
      </c>
      <c r="GP100" s="349">
        <f t="shared" si="273"/>
        <v>1338.3908595000003</v>
      </c>
      <c r="GQ100" s="349">
        <f t="shared" si="274"/>
        <v>1779.7630410000002</v>
      </c>
      <c r="GR100" s="349">
        <f t="shared" si="275"/>
        <v>1338.3908595000003</v>
      </c>
      <c r="HA100" s="374"/>
      <c r="HB100" s="375"/>
      <c r="HC100" s="374"/>
      <c r="HD100" s="374"/>
      <c r="HE100" s="374"/>
      <c r="HF100" s="351">
        <f t="shared" si="276"/>
        <v>0</v>
      </c>
      <c r="HG100" s="351">
        <f t="shared" si="277"/>
        <v>0</v>
      </c>
      <c r="HH100" s="352">
        <f t="shared" si="278"/>
        <v>0</v>
      </c>
      <c r="HI100" s="352">
        <f t="shared" si="332"/>
        <v>0</v>
      </c>
      <c r="HJ100" s="353">
        <f t="shared" si="333"/>
        <v>0</v>
      </c>
      <c r="HK100" s="353">
        <f t="shared" si="334"/>
        <v>0</v>
      </c>
    </row>
    <row r="101" spans="1:219" x14ac:dyDescent="0.2">
      <c r="A101" s="320">
        <v>91</v>
      </c>
      <c r="C101" s="350">
        <v>7.0777000000000001</v>
      </c>
      <c r="D101" s="350">
        <v>3.2856999999999998</v>
      </c>
      <c r="E101" s="350">
        <v>0</v>
      </c>
      <c r="F101" s="350">
        <v>173.1233</v>
      </c>
      <c r="G101" s="350">
        <v>563.7242</v>
      </c>
      <c r="H101" s="351">
        <f t="shared" si="212"/>
        <v>6908.5429700000004</v>
      </c>
      <c r="I101" s="351">
        <f t="shared" si="213"/>
        <v>6090.6692329999996</v>
      </c>
      <c r="J101" s="352">
        <f t="shared" si="214"/>
        <v>0</v>
      </c>
      <c r="K101" s="352">
        <f t="shared" si="279"/>
        <v>0</v>
      </c>
      <c r="L101" s="353">
        <f t="shared" si="280"/>
        <v>6908.5429700000004</v>
      </c>
      <c r="M101" s="353">
        <f t="shared" si="281"/>
        <v>6090.6692329999996</v>
      </c>
      <c r="N101" s="343">
        <f t="shared" si="282"/>
        <v>6908.5429700000004</v>
      </c>
      <c r="O101" s="343">
        <f t="shared" si="283"/>
        <v>6090.6692329999996</v>
      </c>
      <c r="Q101" s="374">
        <v>9.1395</v>
      </c>
      <c r="R101" s="375">
        <v>4.1736000000000004</v>
      </c>
      <c r="S101" s="374">
        <v>0</v>
      </c>
      <c r="T101" s="374">
        <v>81.425799999999995</v>
      </c>
      <c r="U101" s="374">
        <v>116.02500000000001</v>
      </c>
      <c r="V101" s="351">
        <f t="shared" si="215"/>
        <v>5843.7963</v>
      </c>
      <c r="W101" s="351">
        <f t="shared" si="216"/>
        <v>5014.079568000001</v>
      </c>
      <c r="X101" s="352">
        <f t="shared" si="217"/>
        <v>0</v>
      </c>
      <c r="Y101" s="352">
        <f t="shared" si="284"/>
        <v>0</v>
      </c>
      <c r="Z101" s="353">
        <f t="shared" si="285"/>
        <v>5843.7963</v>
      </c>
      <c r="AA101" s="353">
        <f t="shared" si="286"/>
        <v>5014.079568000001</v>
      </c>
      <c r="AB101" s="343">
        <f t="shared" si="287"/>
        <v>5843.7963</v>
      </c>
      <c r="AC101" s="343">
        <f t="shared" si="288"/>
        <v>5014.079568000001</v>
      </c>
      <c r="AE101" s="374">
        <v>12.5985</v>
      </c>
      <c r="AF101" s="375">
        <v>4.9654999999999996</v>
      </c>
      <c r="AG101" s="374">
        <v>0</v>
      </c>
      <c r="AH101" s="374">
        <v>17.5</v>
      </c>
      <c r="AI101" s="374">
        <v>23.133299999999998</v>
      </c>
      <c r="AJ101" s="351">
        <f t="shared" si="218"/>
        <v>5399.4651299999996</v>
      </c>
      <c r="AK101" s="351">
        <f t="shared" si="219"/>
        <v>4936.6007899999995</v>
      </c>
      <c r="AL101" s="352">
        <f t="shared" si="220"/>
        <v>0</v>
      </c>
      <c r="AM101" s="352">
        <f t="shared" si="289"/>
        <v>0</v>
      </c>
      <c r="AN101" s="353">
        <f t="shared" si="290"/>
        <v>5399.4651299999996</v>
      </c>
      <c r="AO101" s="353">
        <f t="shared" si="291"/>
        <v>4936.6007899999995</v>
      </c>
      <c r="AP101" s="343">
        <f t="shared" si="292"/>
        <v>5399.4651299999996</v>
      </c>
      <c r="AQ101" s="343">
        <f t="shared" si="293"/>
        <v>4936.6007899999995</v>
      </c>
      <c r="AS101" s="374">
        <v>17.502800000000001</v>
      </c>
      <c r="AT101" s="375">
        <v>6.5787000000000004</v>
      </c>
      <c r="AU101" s="374">
        <v>0</v>
      </c>
      <c r="AV101" s="374">
        <v>350.8725</v>
      </c>
      <c r="AW101" s="374">
        <v>596.40750000000003</v>
      </c>
      <c r="AX101" s="351">
        <f t="shared" si="221"/>
        <v>5962.6788760000009</v>
      </c>
      <c r="AY101" s="351">
        <f t="shared" si="222"/>
        <v>4494.0415440000006</v>
      </c>
      <c r="AZ101" s="352">
        <f t="shared" si="223"/>
        <v>0</v>
      </c>
      <c r="BA101" s="352">
        <f t="shared" si="294"/>
        <v>0</v>
      </c>
      <c r="BB101" s="353">
        <f t="shared" si="295"/>
        <v>5962.6788760000009</v>
      </c>
      <c r="BC101" s="353">
        <f t="shared" si="296"/>
        <v>4494.0415440000006</v>
      </c>
      <c r="BD101" s="343">
        <f t="shared" si="297"/>
        <v>5962.6788760000009</v>
      </c>
      <c r="BE101" s="343">
        <f t="shared" si="298"/>
        <v>4494.0415440000006</v>
      </c>
      <c r="BG101" s="374">
        <v>15.912800000000001</v>
      </c>
      <c r="BH101" s="375">
        <v>7.2275</v>
      </c>
      <c r="BI101" s="374">
        <v>0</v>
      </c>
      <c r="BJ101" s="374">
        <v>227.70330000000001</v>
      </c>
      <c r="BK101" s="374">
        <v>370.95420000000001</v>
      </c>
      <c r="BL101" s="351">
        <f t="shared" si="224"/>
        <v>5327.1280559999996</v>
      </c>
      <c r="BM101" s="351">
        <f t="shared" si="225"/>
        <v>4234.7367999999997</v>
      </c>
      <c r="BN101" s="352">
        <f t="shared" si="226"/>
        <v>0</v>
      </c>
      <c r="BO101" s="352">
        <f t="shared" si="299"/>
        <v>0</v>
      </c>
      <c r="BP101" s="353">
        <f t="shared" si="300"/>
        <v>5327.1280559999996</v>
      </c>
      <c r="BQ101" s="353">
        <f t="shared" si="301"/>
        <v>4234.7367999999997</v>
      </c>
      <c r="BR101" s="343">
        <f t="shared" si="302"/>
        <v>5327.1280559999996</v>
      </c>
      <c r="BS101" s="343">
        <f t="shared" si="303"/>
        <v>4234.7367999999997</v>
      </c>
      <c r="BU101" s="374">
        <v>15.255100000000001</v>
      </c>
      <c r="BV101" s="375">
        <v>7.0953999999999997</v>
      </c>
      <c r="BW101" s="374">
        <v>0</v>
      </c>
      <c r="BX101" s="374">
        <v>151.35079999999999</v>
      </c>
      <c r="BY101" s="374">
        <v>211.1917</v>
      </c>
      <c r="BZ101" s="351">
        <f t="shared" si="227"/>
        <v>3541.0138120000001</v>
      </c>
      <c r="CA101" s="351">
        <f t="shared" si="228"/>
        <v>2709.5203980000001</v>
      </c>
      <c r="CB101" s="352">
        <f t="shared" si="229"/>
        <v>0</v>
      </c>
      <c r="CC101" s="352">
        <f t="shared" si="304"/>
        <v>0</v>
      </c>
      <c r="CD101" s="353">
        <f t="shared" si="305"/>
        <v>3541.0138120000001</v>
      </c>
      <c r="CE101" s="353">
        <f t="shared" si="306"/>
        <v>2709.5203980000001</v>
      </c>
      <c r="CF101" s="343">
        <f t="shared" si="307"/>
        <v>3541.0138120000001</v>
      </c>
      <c r="CG101" s="343">
        <f t="shared" si="308"/>
        <v>2709.5203980000001</v>
      </c>
      <c r="CI101" s="374">
        <v>0.6119</v>
      </c>
      <c r="CJ101" s="375">
        <v>0.3458</v>
      </c>
      <c r="CK101" s="374">
        <v>0</v>
      </c>
      <c r="CL101" s="374">
        <v>946.77419999999995</v>
      </c>
      <c r="CM101" s="374">
        <v>1556.5758000000001</v>
      </c>
      <c r="CN101" s="351">
        <f t="shared" si="230"/>
        <v>130.04710700000001</v>
      </c>
      <c r="CO101" s="351">
        <f t="shared" si="231"/>
        <v>95.250609999999995</v>
      </c>
      <c r="CP101" s="352">
        <f t="shared" si="232"/>
        <v>0</v>
      </c>
      <c r="CQ101" s="352">
        <f t="shared" si="309"/>
        <v>0</v>
      </c>
      <c r="CR101" s="353">
        <f t="shared" si="310"/>
        <v>130.04710700000001</v>
      </c>
      <c r="CS101" s="353">
        <f t="shared" si="311"/>
        <v>95.250609999999995</v>
      </c>
      <c r="CT101" s="343">
        <f t="shared" si="312"/>
        <v>130.04710700000001</v>
      </c>
      <c r="CU101" s="343">
        <f t="shared" si="313"/>
        <v>95.250609999999995</v>
      </c>
      <c r="CW101" s="374">
        <v>1.7479</v>
      </c>
      <c r="CX101" s="375">
        <v>0.97689999999999999</v>
      </c>
      <c r="CY101" s="374">
        <v>0</v>
      </c>
      <c r="CZ101" s="374">
        <v>270.26170000000002</v>
      </c>
      <c r="DA101" s="374">
        <v>391.74919999999997</v>
      </c>
      <c r="DB101" s="351">
        <f t="shared" si="233"/>
        <v>391.93161699999996</v>
      </c>
      <c r="DC101" s="351">
        <f t="shared" si="234"/>
        <v>303.56190600000002</v>
      </c>
      <c r="DD101" s="352">
        <f t="shared" si="235"/>
        <v>0</v>
      </c>
      <c r="DE101" s="352">
        <f t="shared" si="314"/>
        <v>0</v>
      </c>
      <c r="DF101" s="353">
        <f t="shared" si="315"/>
        <v>391.93161699999996</v>
      </c>
      <c r="DG101" s="353">
        <f t="shared" si="316"/>
        <v>303.56190600000002</v>
      </c>
      <c r="DH101" s="343">
        <f t="shared" si="317"/>
        <v>391.93161699999996</v>
      </c>
      <c r="DI101" s="343">
        <f t="shared" si="318"/>
        <v>303.56190600000002</v>
      </c>
      <c r="DK101" s="374">
        <v>2.2675000000000001</v>
      </c>
      <c r="DL101" s="375">
        <v>1.1733</v>
      </c>
      <c r="DM101" s="374">
        <v>0</v>
      </c>
      <c r="DN101" s="374">
        <v>240.7183</v>
      </c>
      <c r="DO101" s="374">
        <v>414.44830000000002</v>
      </c>
      <c r="DP101" s="351">
        <f t="shared" si="236"/>
        <v>298.78847500000001</v>
      </c>
      <c r="DQ101" s="351">
        <f t="shared" si="237"/>
        <v>230.97583800000001</v>
      </c>
      <c r="DR101" s="352">
        <f t="shared" si="238"/>
        <v>0</v>
      </c>
      <c r="DS101" s="352">
        <f t="shared" si="319"/>
        <v>0</v>
      </c>
      <c r="DT101" s="353">
        <f t="shared" si="320"/>
        <v>298.78847500000001</v>
      </c>
      <c r="DU101" s="353">
        <f t="shared" si="321"/>
        <v>230.97583800000001</v>
      </c>
      <c r="DV101" s="343">
        <f t="shared" si="322"/>
        <v>298.78847500000001</v>
      </c>
      <c r="DW101" s="343">
        <f t="shared" si="323"/>
        <v>230.97583800000001</v>
      </c>
      <c r="EB101" s="326"/>
      <c r="EC101" s="326"/>
      <c r="ED101" s="326"/>
      <c r="EE101" s="348">
        <f t="shared" si="324"/>
        <v>1741.0317</v>
      </c>
      <c r="EF101" s="348">
        <f t="shared" si="325"/>
        <v>3108.4566999999997</v>
      </c>
      <c r="EG101" s="348">
        <f t="shared" si="326"/>
        <v>13314.814246600001</v>
      </c>
      <c r="EH101" s="348">
        <f t="shared" si="327"/>
        <v>10922.810911799999</v>
      </c>
      <c r="EI101" s="354">
        <f t="shared" si="239"/>
        <v>0.35901347861766203</v>
      </c>
      <c r="EJ101" s="326"/>
      <c r="EK101" s="348">
        <f t="shared" si="328"/>
        <v>13314.814246600001</v>
      </c>
      <c r="EL101" s="348">
        <f t="shared" si="329"/>
        <v>10922.810911799999</v>
      </c>
      <c r="EM101" s="348">
        <f t="shared" si="330"/>
        <v>13314.814246600001</v>
      </c>
      <c r="EN101" s="348">
        <f t="shared" si="331"/>
        <v>10922.810911799999</v>
      </c>
      <c r="EP101" s="326"/>
      <c r="EQ101" s="326"/>
      <c r="ER101" s="326"/>
      <c r="ES101" s="348">
        <f t="shared" si="240"/>
        <v>1526.165</v>
      </c>
      <c r="ET101" s="348">
        <f t="shared" si="241"/>
        <v>2435.3042</v>
      </c>
      <c r="EU101" s="348">
        <f t="shared" si="242"/>
        <v>11575.323594899999</v>
      </c>
      <c r="EV101" s="348">
        <f t="shared" si="243"/>
        <v>9556.5603121999993</v>
      </c>
      <c r="EW101" s="354">
        <f t="shared" si="244"/>
        <v>0.38525226953676678</v>
      </c>
      <c r="EX101" s="326"/>
      <c r="EY101" s="348">
        <f t="shared" si="245"/>
        <v>11575.323594899999</v>
      </c>
      <c r="EZ101" s="348">
        <f t="shared" si="246"/>
        <v>9556.5603121999993</v>
      </c>
      <c r="FA101" s="348">
        <f t="shared" si="247"/>
        <v>11575.323594899999</v>
      </c>
      <c r="FB101" s="348">
        <f t="shared" si="248"/>
        <v>9556.5603121999993</v>
      </c>
      <c r="FD101" s="326"/>
      <c r="FE101" s="326"/>
      <c r="FF101" s="326"/>
      <c r="FG101" s="348">
        <f t="shared" si="249"/>
        <v>1356.3433</v>
      </c>
      <c r="FH101" s="348">
        <f t="shared" si="250"/>
        <v>2205.3491000000004</v>
      </c>
      <c r="FI101" s="348">
        <f t="shared" si="251"/>
        <v>9249.7991340000008</v>
      </c>
      <c r="FJ101" s="348">
        <f t="shared" si="252"/>
        <v>7879.9573007999988</v>
      </c>
      <c r="FK101" s="354">
        <f t="shared" si="253"/>
        <v>0.38081427245092808</v>
      </c>
      <c r="FL101" s="326"/>
      <c r="FM101" s="348">
        <f t="shared" si="254"/>
        <v>9249.7991340000008</v>
      </c>
      <c r="FN101" s="348">
        <f t="shared" si="255"/>
        <v>7879.9573007999988</v>
      </c>
      <c r="FO101" s="348">
        <f t="shared" si="256"/>
        <v>9249.7991340000008</v>
      </c>
      <c r="FP101" s="348">
        <f t="shared" si="257"/>
        <v>7879.9573007999988</v>
      </c>
      <c r="FR101" s="326"/>
      <c r="FS101" s="326"/>
      <c r="FT101" s="326"/>
      <c r="FU101" s="348">
        <f t="shared" si="258"/>
        <v>1217.0358999999999</v>
      </c>
      <c r="FV101" s="348">
        <f t="shared" si="259"/>
        <v>1948.325</v>
      </c>
      <c r="FW101" s="348">
        <f t="shared" si="260"/>
        <v>443.59240060000002</v>
      </c>
      <c r="FX101" s="348">
        <f t="shared" si="261"/>
        <v>338.10013480000003</v>
      </c>
      <c r="FY101" s="354">
        <f t="shared" si="262"/>
        <v>0.38448566796917216</v>
      </c>
      <c r="FZ101" s="326"/>
      <c r="GA101" s="348">
        <f t="shared" si="263"/>
        <v>443.59240060000002</v>
      </c>
      <c r="GB101" s="348">
        <f t="shared" si="264"/>
        <v>338.10013480000003</v>
      </c>
      <c r="GC101" s="348">
        <f t="shared" si="265"/>
        <v>443.59240060000002</v>
      </c>
      <c r="GD101" s="348">
        <f t="shared" si="266"/>
        <v>338.10013480000003</v>
      </c>
      <c r="GF101" s="326"/>
      <c r="GG101" s="326"/>
      <c r="GH101" s="326"/>
      <c r="GI101" s="348">
        <f t="shared" si="267"/>
        <v>502.22329999999999</v>
      </c>
      <c r="GJ101" s="348">
        <f t="shared" si="268"/>
        <v>807.5992</v>
      </c>
      <c r="GK101" s="349">
        <f t="shared" si="269"/>
        <v>1816.2487980000005</v>
      </c>
      <c r="GL101" s="349">
        <f t="shared" si="270"/>
        <v>1338.3908595000003</v>
      </c>
      <c r="GM101" s="354">
        <f t="shared" si="271"/>
        <v>0.38342851798621569</v>
      </c>
      <c r="GN101" s="326"/>
      <c r="GO101" s="349">
        <f t="shared" si="272"/>
        <v>1816.2487980000005</v>
      </c>
      <c r="GP101" s="349">
        <f t="shared" si="273"/>
        <v>1338.3908595000003</v>
      </c>
      <c r="GQ101" s="349">
        <f t="shared" si="274"/>
        <v>1816.2487980000005</v>
      </c>
      <c r="GR101" s="349">
        <f t="shared" si="275"/>
        <v>1338.3908595000003</v>
      </c>
      <c r="HA101" s="374"/>
      <c r="HB101" s="375"/>
      <c r="HC101" s="374"/>
      <c r="HD101" s="374"/>
      <c r="HE101" s="374"/>
      <c r="HF101" s="351">
        <f t="shared" si="276"/>
        <v>0</v>
      </c>
      <c r="HG101" s="351">
        <f t="shared" si="277"/>
        <v>0</v>
      </c>
      <c r="HH101" s="352">
        <f t="shared" si="278"/>
        <v>0</v>
      </c>
      <c r="HI101" s="352">
        <f t="shared" si="332"/>
        <v>0</v>
      </c>
      <c r="HJ101" s="353">
        <f t="shared" si="333"/>
        <v>0</v>
      </c>
      <c r="HK101" s="353">
        <f t="shared" si="334"/>
        <v>0</v>
      </c>
    </row>
    <row r="102" spans="1:219" x14ac:dyDescent="0.2">
      <c r="A102" s="320">
        <v>92</v>
      </c>
      <c r="C102" s="350">
        <v>7.1955999999999998</v>
      </c>
      <c r="D102" s="350">
        <v>3.3176000000000001</v>
      </c>
      <c r="E102" s="350">
        <v>0</v>
      </c>
      <c r="F102" s="350">
        <v>117.27419999999999</v>
      </c>
      <c r="G102" s="350">
        <v>492.30329999999998</v>
      </c>
      <c r="H102" s="351">
        <f t="shared" si="212"/>
        <v>7023.6251599999996</v>
      </c>
      <c r="I102" s="351">
        <f t="shared" si="213"/>
        <v>6149.8019440000007</v>
      </c>
      <c r="J102" s="352">
        <f t="shared" si="214"/>
        <v>0</v>
      </c>
      <c r="K102" s="352">
        <f t="shared" si="279"/>
        <v>0</v>
      </c>
      <c r="L102" s="353">
        <f t="shared" si="280"/>
        <v>7023.6251599999996</v>
      </c>
      <c r="M102" s="353">
        <f t="shared" si="281"/>
        <v>6149.8019440000007</v>
      </c>
      <c r="N102" s="343">
        <f t="shared" si="282"/>
        <v>7023.6251599999996</v>
      </c>
      <c r="O102" s="343">
        <f t="shared" si="283"/>
        <v>6149.8019440000007</v>
      </c>
      <c r="Q102" s="374">
        <v>9.1830999999999996</v>
      </c>
      <c r="R102" s="375">
        <v>4.2042999999999999</v>
      </c>
      <c r="S102" s="374">
        <v>0</v>
      </c>
      <c r="T102" s="374">
        <v>60.219200000000001</v>
      </c>
      <c r="U102" s="374">
        <v>100.9525</v>
      </c>
      <c r="V102" s="351">
        <f t="shared" si="215"/>
        <v>5871.6741399999992</v>
      </c>
      <c r="W102" s="351">
        <f t="shared" si="216"/>
        <v>5050.9619339999999</v>
      </c>
      <c r="X102" s="352">
        <f t="shared" si="217"/>
        <v>0</v>
      </c>
      <c r="Y102" s="352">
        <f t="shared" si="284"/>
        <v>0</v>
      </c>
      <c r="Z102" s="353">
        <f t="shared" si="285"/>
        <v>5871.6741399999992</v>
      </c>
      <c r="AA102" s="353">
        <f t="shared" si="286"/>
        <v>5050.9619339999999</v>
      </c>
      <c r="AB102" s="343">
        <f t="shared" si="287"/>
        <v>5871.6741399999992</v>
      </c>
      <c r="AC102" s="343">
        <f t="shared" si="288"/>
        <v>5050.9619339999999</v>
      </c>
      <c r="AE102" s="374">
        <v>12.769600000000001</v>
      </c>
      <c r="AF102" s="375">
        <v>4.9904000000000002</v>
      </c>
      <c r="AG102" s="374">
        <v>0</v>
      </c>
      <c r="AH102" s="374">
        <v>19.116700000000002</v>
      </c>
      <c r="AI102" s="374">
        <v>23.254999999999999</v>
      </c>
      <c r="AJ102" s="351">
        <f t="shared" si="218"/>
        <v>5472.7951679999996</v>
      </c>
      <c r="AK102" s="351">
        <f t="shared" si="219"/>
        <v>4961.3558720000001</v>
      </c>
      <c r="AL102" s="352">
        <f t="shared" si="220"/>
        <v>0</v>
      </c>
      <c r="AM102" s="352">
        <f t="shared" si="289"/>
        <v>0</v>
      </c>
      <c r="AN102" s="353">
        <f t="shared" si="290"/>
        <v>5472.7951679999996</v>
      </c>
      <c r="AO102" s="353">
        <f t="shared" si="291"/>
        <v>4961.3558720000001</v>
      </c>
      <c r="AP102" s="343">
        <f t="shared" si="292"/>
        <v>5472.7951679999996</v>
      </c>
      <c r="AQ102" s="343">
        <f t="shared" si="293"/>
        <v>4961.3558720000001</v>
      </c>
      <c r="AS102" s="374">
        <v>17.6309</v>
      </c>
      <c r="AT102" s="375">
        <v>6.5787000000000004</v>
      </c>
      <c r="AU102" s="374">
        <v>0</v>
      </c>
      <c r="AV102" s="374">
        <v>276.3442</v>
      </c>
      <c r="AW102" s="374">
        <v>499.2158</v>
      </c>
      <c r="AX102" s="351">
        <f t="shared" si="221"/>
        <v>6006.3187030000008</v>
      </c>
      <c r="AY102" s="351">
        <f t="shared" si="222"/>
        <v>4494.0415440000006</v>
      </c>
      <c r="AZ102" s="352">
        <f t="shared" si="223"/>
        <v>0</v>
      </c>
      <c r="BA102" s="352">
        <f t="shared" si="294"/>
        <v>0</v>
      </c>
      <c r="BB102" s="353">
        <f t="shared" si="295"/>
        <v>6006.3187030000008</v>
      </c>
      <c r="BC102" s="353">
        <f t="shared" si="296"/>
        <v>4494.0415440000006</v>
      </c>
      <c r="BD102" s="343">
        <f t="shared" si="297"/>
        <v>6006.3187030000008</v>
      </c>
      <c r="BE102" s="343">
        <f t="shared" si="298"/>
        <v>4494.0415440000006</v>
      </c>
      <c r="BG102" s="374">
        <v>15.9655</v>
      </c>
      <c r="BH102" s="375">
        <v>7.2275</v>
      </c>
      <c r="BI102" s="374">
        <v>0</v>
      </c>
      <c r="BJ102" s="374">
        <v>193.82</v>
      </c>
      <c r="BK102" s="374">
        <v>354.04579999999999</v>
      </c>
      <c r="BL102" s="351">
        <f t="shared" si="224"/>
        <v>5344.7704349999995</v>
      </c>
      <c r="BM102" s="351">
        <f t="shared" si="225"/>
        <v>4234.7367999999997</v>
      </c>
      <c r="BN102" s="352">
        <f t="shared" si="226"/>
        <v>0</v>
      </c>
      <c r="BO102" s="352">
        <f t="shared" si="299"/>
        <v>0</v>
      </c>
      <c r="BP102" s="353">
        <f t="shared" si="300"/>
        <v>5344.7704349999995</v>
      </c>
      <c r="BQ102" s="353">
        <f t="shared" si="301"/>
        <v>4234.7367999999997</v>
      </c>
      <c r="BR102" s="343">
        <f t="shared" si="302"/>
        <v>5344.7704349999995</v>
      </c>
      <c r="BS102" s="343">
        <f t="shared" si="303"/>
        <v>4234.7367999999997</v>
      </c>
      <c r="BU102" s="374">
        <v>15.255100000000001</v>
      </c>
      <c r="BV102" s="375">
        <v>7.0953999999999997</v>
      </c>
      <c r="BW102" s="374">
        <v>0</v>
      </c>
      <c r="BX102" s="374">
        <v>103.2975</v>
      </c>
      <c r="BY102" s="374">
        <v>189.50749999999999</v>
      </c>
      <c r="BZ102" s="351">
        <f t="shared" si="227"/>
        <v>3541.0138120000001</v>
      </c>
      <c r="CA102" s="351">
        <f t="shared" si="228"/>
        <v>2709.5203980000001</v>
      </c>
      <c r="CB102" s="352">
        <f t="shared" si="229"/>
        <v>0</v>
      </c>
      <c r="CC102" s="352">
        <f t="shared" si="304"/>
        <v>0</v>
      </c>
      <c r="CD102" s="353">
        <f t="shared" si="305"/>
        <v>3541.0138120000001</v>
      </c>
      <c r="CE102" s="353">
        <f t="shared" si="306"/>
        <v>2709.5203980000001</v>
      </c>
      <c r="CF102" s="343">
        <f t="shared" si="307"/>
        <v>3541.0138120000001</v>
      </c>
      <c r="CG102" s="343">
        <f t="shared" si="308"/>
        <v>2709.5203980000001</v>
      </c>
      <c r="CI102" s="374">
        <v>0.57689999999999997</v>
      </c>
      <c r="CJ102" s="375">
        <v>0.31740000000000002</v>
      </c>
      <c r="CK102" s="374">
        <v>0</v>
      </c>
      <c r="CL102" s="374">
        <v>747.01080000000002</v>
      </c>
      <c r="CM102" s="374">
        <v>1378.7275</v>
      </c>
      <c r="CN102" s="351">
        <f t="shared" si="230"/>
        <v>122.60855699999999</v>
      </c>
      <c r="CO102" s="351">
        <f t="shared" si="231"/>
        <v>87.42783</v>
      </c>
      <c r="CP102" s="352">
        <f t="shared" si="232"/>
        <v>0</v>
      </c>
      <c r="CQ102" s="352">
        <f t="shared" si="309"/>
        <v>0</v>
      </c>
      <c r="CR102" s="353">
        <f t="shared" si="310"/>
        <v>122.60855699999999</v>
      </c>
      <c r="CS102" s="353">
        <f t="shared" si="311"/>
        <v>87.42783</v>
      </c>
      <c r="CT102" s="343">
        <f t="shared" si="312"/>
        <v>122.60855699999999</v>
      </c>
      <c r="CU102" s="343">
        <f t="shared" si="313"/>
        <v>87.42783</v>
      </c>
      <c r="CW102" s="374">
        <v>1.6312</v>
      </c>
      <c r="CX102" s="375">
        <v>0.88360000000000005</v>
      </c>
      <c r="CY102" s="374">
        <v>0</v>
      </c>
      <c r="CZ102" s="374">
        <v>201.22329999999999</v>
      </c>
      <c r="DA102" s="374">
        <v>346.5967</v>
      </c>
      <c r="DB102" s="351">
        <f t="shared" si="233"/>
        <v>365.76397599999996</v>
      </c>
      <c r="DC102" s="351">
        <f t="shared" si="234"/>
        <v>274.56986400000005</v>
      </c>
      <c r="DD102" s="352">
        <f t="shared" si="235"/>
        <v>0</v>
      </c>
      <c r="DE102" s="352">
        <f t="shared" si="314"/>
        <v>0</v>
      </c>
      <c r="DF102" s="353">
        <f t="shared" si="315"/>
        <v>365.76397599999996</v>
      </c>
      <c r="DG102" s="353">
        <f t="shared" si="316"/>
        <v>274.56986400000005</v>
      </c>
      <c r="DH102" s="343">
        <f t="shared" si="317"/>
        <v>365.76397599999996</v>
      </c>
      <c r="DI102" s="343">
        <f t="shared" si="318"/>
        <v>274.56986400000005</v>
      </c>
      <c r="DK102" s="374">
        <v>2.1328999999999998</v>
      </c>
      <c r="DL102" s="375">
        <v>1.0865</v>
      </c>
      <c r="DM102" s="374">
        <v>0</v>
      </c>
      <c r="DN102" s="374">
        <v>215.48</v>
      </c>
      <c r="DO102" s="374">
        <v>337.30419999999998</v>
      </c>
      <c r="DP102" s="351">
        <f t="shared" si="236"/>
        <v>281.052233</v>
      </c>
      <c r="DQ102" s="351">
        <f t="shared" si="237"/>
        <v>213.88839000000002</v>
      </c>
      <c r="DR102" s="352">
        <f t="shared" si="238"/>
        <v>0</v>
      </c>
      <c r="DS102" s="352">
        <f t="shared" si="319"/>
        <v>0</v>
      </c>
      <c r="DT102" s="353">
        <f t="shared" si="320"/>
        <v>281.052233</v>
      </c>
      <c r="DU102" s="353">
        <f t="shared" si="321"/>
        <v>213.88839000000002</v>
      </c>
      <c r="DV102" s="343">
        <f t="shared" si="322"/>
        <v>281.052233</v>
      </c>
      <c r="DW102" s="343">
        <f t="shared" si="323"/>
        <v>213.88839000000002</v>
      </c>
      <c r="EB102" s="326"/>
      <c r="EC102" s="326"/>
      <c r="ED102" s="326"/>
      <c r="EE102" s="348">
        <f t="shared" si="324"/>
        <v>1341.8525</v>
      </c>
      <c r="EF102" s="348">
        <f t="shared" si="325"/>
        <v>2716.8433</v>
      </c>
      <c r="EG102" s="348">
        <f t="shared" si="326"/>
        <v>13445.1636008</v>
      </c>
      <c r="EH102" s="348">
        <f t="shared" si="327"/>
        <v>10950.927209200003</v>
      </c>
      <c r="EI102" s="354">
        <f t="shared" si="239"/>
        <v>0.33061174478757438</v>
      </c>
      <c r="EJ102" s="326"/>
      <c r="EK102" s="348">
        <f t="shared" si="328"/>
        <v>13445.1636008</v>
      </c>
      <c r="EL102" s="348">
        <f t="shared" si="329"/>
        <v>10950.927209200003</v>
      </c>
      <c r="EM102" s="348">
        <f t="shared" si="330"/>
        <v>13445.1636008</v>
      </c>
      <c r="EN102" s="348">
        <f t="shared" si="331"/>
        <v>10950.927209200003</v>
      </c>
      <c r="EP102" s="326"/>
      <c r="EQ102" s="326"/>
      <c r="ER102" s="326"/>
      <c r="ES102" s="348">
        <f t="shared" si="240"/>
        <v>1202.2732999999998</v>
      </c>
      <c r="ET102" s="348">
        <f t="shared" si="241"/>
        <v>2180.3224999999998</v>
      </c>
      <c r="EU102" s="348">
        <f t="shared" si="242"/>
        <v>11595.087915199998</v>
      </c>
      <c r="EV102" s="348">
        <f t="shared" si="243"/>
        <v>9565.3254687999997</v>
      </c>
      <c r="EW102" s="354">
        <f t="shared" si="244"/>
        <v>0.35542919434831677</v>
      </c>
      <c r="EX102" s="326"/>
      <c r="EY102" s="348">
        <f t="shared" si="245"/>
        <v>11595.087915199998</v>
      </c>
      <c r="EZ102" s="348">
        <f t="shared" si="246"/>
        <v>9565.3254687999997</v>
      </c>
      <c r="FA102" s="348">
        <f t="shared" si="247"/>
        <v>11595.087915199998</v>
      </c>
      <c r="FB102" s="348">
        <f t="shared" si="248"/>
        <v>9565.3254687999997</v>
      </c>
      <c r="FD102" s="326"/>
      <c r="FE102" s="326"/>
      <c r="FF102" s="326"/>
      <c r="FG102" s="348">
        <f t="shared" si="249"/>
        <v>1084.905</v>
      </c>
      <c r="FH102" s="348">
        <f t="shared" si="250"/>
        <v>1928.7942</v>
      </c>
      <c r="FI102" s="348">
        <f t="shared" si="251"/>
        <v>9305.0488767999996</v>
      </c>
      <c r="FJ102" s="348">
        <f t="shared" si="252"/>
        <v>7886.6371340000005</v>
      </c>
      <c r="FK102" s="354">
        <f t="shared" si="253"/>
        <v>0.35999113647440328</v>
      </c>
      <c r="FL102" s="326"/>
      <c r="FM102" s="348">
        <f t="shared" si="254"/>
        <v>9305.0488767999996</v>
      </c>
      <c r="FN102" s="348">
        <f t="shared" si="255"/>
        <v>7886.6371340000005</v>
      </c>
      <c r="FO102" s="348">
        <f t="shared" si="256"/>
        <v>9305.0488767999996</v>
      </c>
      <c r="FP102" s="348">
        <f t="shared" si="257"/>
        <v>7886.6371340000005</v>
      </c>
      <c r="FR102" s="326"/>
      <c r="FS102" s="326"/>
      <c r="FT102" s="326"/>
      <c r="FU102" s="348">
        <f t="shared" si="258"/>
        <v>948.23410000000001</v>
      </c>
      <c r="FV102" s="348">
        <f t="shared" si="259"/>
        <v>1725.3242</v>
      </c>
      <c r="FW102" s="348">
        <f t="shared" si="260"/>
        <v>415.21973779999996</v>
      </c>
      <c r="FX102" s="348">
        <f t="shared" si="261"/>
        <v>307.08372120000001</v>
      </c>
      <c r="FY102" s="354">
        <f t="shared" si="262"/>
        <v>0.35467118858040236</v>
      </c>
      <c r="FZ102" s="326"/>
      <c r="GA102" s="348">
        <f t="shared" si="263"/>
        <v>415.21973779999996</v>
      </c>
      <c r="GB102" s="348">
        <f t="shared" si="264"/>
        <v>307.08372120000001</v>
      </c>
      <c r="GC102" s="348">
        <f t="shared" si="265"/>
        <v>415.21973779999996</v>
      </c>
      <c r="GD102" s="348">
        <f t="shared" si="266"/>
        <v>307.08372120000001</v>
      </c>
      <c r="GF102" s="326"/>
      <c r="GG102" s="326"/>
      <c r="GH102" s="326"/>
      <c r="GI102" s="348">
        <f t="shared" si="267"/>
        <v>379.64170000000001</v>
      </c>
      <c r="GJ102" s="348">
        <f t="shared" si="268"/>
        <v>688.72329999999999</v>
      </c>
      <c r="GK102" s="349">
        <f t="shared" si="269"/>
        <v>1848.9786682500005</v>
      </c>
      <c r="GL102" s="349">
        <f t="shared" si="270"/>
        <v>1338.3908595000003</v>
      </c>
      <c r="GM102" s="354">
        <f t="shared" si="271"/>
        <v>0.35534831260851862</v>
      </c>
      <c r="GN102" s="326"/>
      <c r="GO102" s="349">
        <f t="shared" si="272"/>
        <v>1848.9786682500005</v>
      </c>
      <c r="GP102" s="349">
        <f t="shared" si="273"/>
        <v>1338.3908595000003</v>
      </c>
      <c r="GQ102" s="349">
        <f t="shared" si="274"/>
        <v>1848.9786682500005</v>
      </c>
      <c r="GR102" s="349">
        <f t="shared" si="275"/>
        <v>1338.3908595000003</v>
      </c>
      <c r="HA102" s="374"/>
      <c r="HB102" s="375"/>
      <c r="HC102" s="374"/>
      <c r="HD102" s="374"/>
      <c r="HE102" s="374"/>
      <c r="HF102" s="351">
        <f t="shared" si="276"/>
        <v>0</v>
      </c>
      <c r="HG102" s="351">
        <f t="shared" si="277"/>
        <v>0</v>
      </c>
      <c r="HH102" s="352">
        <f t="shared" si="278"/>
        <v>0</v>
      </c>
      <c r="HI102" s="352">
        <f t="shared" si="332"/>
        <v>0</v>
      </c>
      <c r="HJ102" s="353">
        <f t="shared" si="333"/>
        <v>0</v>
      </c>
      <c r="HK102" s="353">
        <f t="shared" si="334"/>
        <v>0</v>
      </c>
    </row>
    <row r="103" spans="1:219" x14ac:dyDescent="0.2">
      <c r="A103" s="320">
        <v>93</v>
      </c>
      <c r="C103" s="350">
        <v>7.3132999999999999</v>
      </c>
      <c r="D103" s="350">
        <v>3.3488000000000002</v>
      </c>
      <c r="E103" s="350">
        <v>0</v>
      </c>
      <c r="F103" s="350">
        <v>87.796700000000001</v>
      </c>
      <c r="G103" s="350">
        <v>362.065</v>
      </c>
      <c r="H103" s="351">
        <f t="shared" si="212"/>
        <v>7138.5121300000001</v>
      </c>
      <c r="I103" s="351">
        <f t="shared" si="213"/>
        <v>6207.6370720000004</v>
      </c>
      <c r="J103" s="352">
        <f t="shared" si="214"/>
        <v>0</v>
      </c>
      <c r="K103" s="352">
        <f t="shared" si="279"/>
        <v>0</v>
      </c>
      <c r="L103" s="353">
        <f t="shared" si="280"/>
        <v>7138.5121300000001</v>
      </c>
      <c r="M103" s="353">
        <f t="shared" si="281"/>
        <v>6207.6370720000004</v>
      </c>
      <c r="N103" s="343">
        <f t="shared" si="282"/>
        <v>7138.5121300000001</v>
      </c>
      <c r="O103" s="343">
        <f t="shared" si="283"/>
        <v>6207.6370720000004</v>
      </c>
      <c r="Q103" s="374">
        <v>9.2256</v>
      </c>
      <c r="R103" s="375">
        <v>4.2335000000000003</v>
      </c>
      <c r="S103" s="374">
        <v>0</v>
      </c>
      <c r="T103" s="374">
        <v>41.89</v>
      </c>
      <c r="U103" s="374">
        <v>87.011700000000005</v>
      </c>
      <c r="V103" s="351">
        <f t="shared" si="215"/>
        <v>5898.8486400000002</v>
      </c>
      <c r="W103" s="351">
        <f t="shared" si="216"/>
        <v>5086.0422300000009</v>
      </c>
      <c r="X103" s="352">
        <f t="shared" si="217"/>
        <v>0</v>
      </c>
      <c r="Y103" s="352">
        <f t="shared" si="284"/>
        <v>0</v>
      </c>
      <c r="Z103" s="353">
        <f t="shared" si="285"/>
        <v>5898.8486400000002</v>
      </c>
      <c r="AA103" s="353">
        <f t="shared" si="286"/>
        <v>5086.0422300000009</v>
      </c>
      <c r="AB103" s="343">
        <f t="shared" si="287"/>
        <v>5898.8486400000002</v>
      </c>
      <c r="AC103" s="343">
        <f t="shared" si="288"/>
        <v>5086.0422300000009</v>
      </c>
      <c r="AE103" s="374">
        <v>12.935600000000001</v>
      </c>
      <c r="AF103" s="375">
        <v>5.0091999999999999</v>
      </c>
      <c r="AG103" s="374">
        <v>0</v>
      </c>
      <c r="AH103" s="374">
        <v>13.797499999999999</v>
      </c>
      <c r="AI103" s="374">
        <v>15.833299999999999</v>
      </c>
      <c r="AJ103" s="351">
        <f t="shared" si="218"/>
        <v>5543.9394480000001</v>
      </c>
      <c r="AK103" s="351">
        <f t="shared" si="219"/>
        <v>4980.046456</v>
      </c>
      <c r="AL103" s="352">
        <f t="shared" si="220"/>
        <v>0</v>
      </c>
      <c r="AM103" s="352">
        <f t="shared" si="289"/>
        <v>0</v>
      </c>
      <c r="AN103" s="353">
        <f t="shared" si="290"/>
        <v>5543.9394480000001</v>
      </c>
      <c r="AO103" s="353">
        <f t="shared" si="291"/>
        <v>4980.046456</v>
      </c>
      <c r="AP103" s="343">
        <f t="shared" si="292"/>
        <v>5543.9394480000001</v>
      </c>
      <c r="AQ103" s="343">
        <f t="shared" si="293"/>
        <v>4980.046456</v>
      </c>
      <c r="AS103" s="374">
        <v>17.7486</v>
      </c>
      <c r="AT103" s="375">
        <v>6.5787000000000004</v>
      </c>
      <c r="AU103" s="374">
        <v>0</v>
      </c>
      <c r="AV103" s="374">
        <v>204.92830000000001</v>
      </c>
      <c r="AW103" s="374">
        <v>400.91829999999999</v>
      </c>
      <c r="AX103" s="351">
        <f t="shared" si="221"/>
        <v>6046.4155620000001</v>
      </c>
      <c r="AY103" s="351">
        <f t="shared" si="222"/>
        <v>4494.0415440000006</v>
      </c>
      <c r="AZ103" s="352">
        <f t="shared" si="223"/>
        <v>0</v>
      </c>
      <c r="BA103" s="352">
        <f t="shared" si="294"/>
        <v>0</v>
      </c>
      <c r="BB103" s="353">
        <f t="shared" si="295"/>
        <v>6046.4155620000001</v>
      </c>
      <c r="BC103" s="353">
        <f t="shared" si="296"/>
        <v>4494.0415440000006</v>
      </c>
      <c r="BD103" s="343">
        <f t="shared" si="297"/>
        <v>6046.4155620000001</v>
      </c>
      <c r="BE103" s="343">
        <f t="shared" si="298"/>
        <v>4494.0415440000006</v>
      </c>
      <c r="BG103" s="374">
        <v>16.0092</v>
      </c>
      <c r="BH103" s="375">
        <v>7.2275</v>
      </c>
      <c r="BI103" s="374">
        <v>0</v>
      </c>
      <c r="BJ103" s="374">
        <v>129.5258</v>
      </c>
      <c r="BK103" s="374">
        <v>292.85079999999999</v>
      </c>
      <c r="BL103" s="351">
        <f t="shared" si="224"/>
        <v>5359.3998839999995</v>
      </c>
      <c r="BM103" s="351">
        <f t="shared" si="225"/>
        <v>4234.7367999999997</v>
      </c>
      <c r="BN103" s="352">
        <f t="shared" si="226"/>
        <v>0</v>
      </c>
      <c r="BO103" s="352">
        <f t="shared" si="299"/>
        <v>0</v>
      </c>
      <c r="BP103" s="353">
        <f t="shared" si="300"/>
        <v>5359.3998839999995</v>
      </c>
      <c r="BQ103" s="353">
        <f t="shared" si="301"/>
        <v>4234.7367999999997</v>
      </c>
      <c r="BR103" s="343">
        <f t="shared" si="302"/>
        <v>5359.3998839999995</v>
      </c>
      <c r="BS103" s="343">
        <f t="shared" si="303"/>
        <v>4234.7367999999997</v>
      </c>
      <c r="BU103" s="374">
        <v>15.255100000000001</v>
      </c>
      <c r="BV103" s="375">
        <v>7.0953999999999997</v>
      </c>
      <c r="BW103" s="374">
        <v>0</v>
      </c>
      <c r="BX103" s="374">
        <v>89.238299999999995</v>
      </c>
      <c r="BY103" s="374">
        <v>153.54830000000001</v>
      </c>
      <c r="BZ103" s="351">
        <f t="shared" si="227"/>
        <v>3541.0138120000001</v>
      </c>
      <c r="CA103" s="351">
        <f t="shared" si="228"/>
        <v>2709.5203980000001</v>
      </c>
      <c r="CB103" s="352">
        <f t="shared" si="229"/>
        <v>0</v>
      </c>
      <c r="CC103" s="352">
        <f t="shared" si="304"/>
        <v>0</v>
      </c>
      <c r="CD103" s="353">
        <f t="shared" si="305"/>
        <v>3541.0138120000001</v>
      </c>
      <c r="CE103" s="353">
        <f t="shared" si="306"/>
        <v>2709.5203980000001</v>
      </c>
      <c r="CF103" s="343">
        <f t="shared" si="307"/>
        <v>3541.0138120000001</v>
      </c>
      <c r="CG103" s="343">
        <f t="shared" si="308"/>
        <v>2709.5203980000001</v>
      </c>
      <c r="CI103" s="374">
        <v>0.54520000000000002</v>
      </c>
      <c r="CJ103" s="375">
        <v>0.2903</v>
      </c>
      <c r="CK103" s="374">
        <v>0</v>
      </c>
      <c r="CL103" s="374">
        <v>572.37670000000003</v>
      </c>
      <c r="CM103" s="374">
        <v>1118.29</v>
      </c>
      <c r="CN103" s="351">
        <f t="shared" si="230"/>
        <v>115.87135600000001</v>
      </c>
      <c r="CO103" s="351">
        <f t="shared" si="231"/>
        <v>79.963134999999994</v>
      </c>
      <c r="CP103" s="352">
        <f t="shared" si="232"/>
        <v>0</v>
      </c>
      <c r="CQ103" s="352">
        <f t="shared" si="309"/>
        <v>0</v>
      </c>
      <c r="CR103" s="353">
        <f t="shared" si="310"/>
        <v>115.87135600000001</v>
      </c>
      <c r="CS103" s="353">
        <f t="shared" si="311"/>
        <v>79.963134999999994</v>
      </c>
      <c r="CT103" s="343">
        <f t="shared" si="312"/>
        <v>115.87135600000001</v>
      </c>
      <c r="CU103" s="343">
        <f t="shared" si="313"/>
        <v>79.963134999999994</v>
      </c>
      <c r="CW103" s="374">
        <v>1.5119</v>
      </c>
      <c r="CX103" s="375">
        <v>0.7903</v>
      </c>
      <c r="CY103" s="374">
        <v>0</v>
      </c>
      <c r="CZ103" s="374">
        <v>175.77670000000001</v>
      </c>
      <c r="DA103" s="374">
        <v>248.02670000000001</v>
      </c>
      <c r="DB103" s="351">
        <f t="shared" si="233"/>
        <v>339.01333699999998</v>
      </c>
      <c r="DC103" s="351">
        <f t="shared" si="234"/>
        <v>245.577822</v>
      </c>
      <c r="DD103" s="352">
        <f t="shared" si="235"/>
        <v>0</v>
      </c>
      <c r="DE103" s="352">
        <f t="shared" si="314"/>
        <v>0</v>
      </c>
      <c r="DF103" s="353">
        <f t="shared" si="315"/>
        <v>339.01333699999998</v>
      </c>
      <c r="DG103" s="353">
        <f t="shared" si="316"/>
        <v>245.577822</v>
      </c>
      <c r="DH103" s="343">
        <f t="shared" si="317"/>
        <v>339.01333699999998</v>
      </c>
      <c r="DI103" s="343">
        <f t="shared" si="318"/>
        <v>245.577822</v>
      </c>
      <c r="DK103" s="374">
        <v>1.9967999999999999</v>
      </c>
      <c r="DL103" s="375">
        <v>1.0009999999999999</v>
      </c>
      <c r="DM103" s="374">
        <v>0</v>
      </c>
      <c r="DN103" s="374">
        <v>154.0275</v>
      </c>
      <c r="DO103" s="374">
        <v>291.8417</v>
      </c>
      <c r="DP103" s="351">
        <f t="shared" si="236"/>
        <v>263.118336</v>
      </c>
      <c r="DQ103" s="351">
        <f t="shared" si="237"/>
        <v>197.05686</v>
      </c>
      <c r="DR103" s="352">
        <f t="shared" si="238"/>
        <v>0</v>
      </c>
      <c r="DS103" s="352">
        <f t="shared" si="319"/>
        <v>0</v>
      </c>
      <c r="DT103" s="353">
        <f t="shared" si="320"/>
        <v>263.118336</v>
      </c>
      <c r="DU103" s="353">
        <f t="shared" si="321"/>
        <v>197.05686</v>
      </c>
      <c r="DV103" s="343">
        <f t="shared" si="322"/>
        <v>263.118336</v>
      </c>
      <c r="DW103" s="343">
        <f t="shared" si="323"/>
        <v>197.05686</v>
      </c>
      <c r="EB103" s="326"/>
      <c r="EC103" s="326"/>
      <c r="ED103" s="326"/>
      <c r="EE103" s="348">
        <f t="shared" si="324"/>
        <v>1040.8784000000001</v>
      </c>
      <c r="EF103" s="348">
        <f t="shared" si="325"/>
        <v>2129.2999999999997</v>
      </c>
      <c r="EG103" s="348">
        <f t="shared" si="326"/>
        <v>13572.0097176</v>
      </c>
      <c r="EH103" s="348">
        <f t="shared" si="327"/>
        <v>10978.104008600001</v>
      </c>
      <c r="EI103" s="354">
        <f t="shared" si="239"/>
        <v>0.3283343297020761</v>
      </c>
      <c r="EJ103" s="326"/>
      <c r="EK103" s="348">
        <f t="shared" si="328"/>
        <v>13572.0097176</v>
      </c>
      <c r="EL103" s="348">
        <f t="shared" si="329"/>
        <v>10978.104008600001</v>
      </c>
      <c r="EM103" s="348">
        <f t="shared" si="330"/>
        <v>13572.0097176</v>
      </c>
      <c r="EN103" s="348">
        <f t="shared" si="331"/>
        <v>10978.104008600001</v>
      </c>
      <c r="EP103" s="326"/>
      <c r="EQ103" s="326"/>
      <c r="ER103" s="326"/>
      <c r="ES103" s="348">
        <f t="shared" si="240"/>
        <v>919.56920000000002</v>
      </c>
      <c r="ET103" s="348">
        <f t="shared" si="241"/>
        <v>1746.1792</v>
      </c>
      <c r="EU103" s="348">
        <f t="shared" si="242"/>
        <v>11611.429215899998</v>
      </c>
      <c r="EV103" s="348">
        <f t="shared" si="243"/>
        <v>9572.6466404000021</v>
      </c>
      <c r="EW103" s="354">
        <f t="shared" si="244"/>
        <v>0.34495723602422496</v>
      </c>
      <c r="EX103" s="326"/>
      <c r="EY103" s="348">
        <f t="shared" si="245"/>
        <v>11611.429215899998</v>
      </c>
      <c r="EZ103" s="348">
        <f t="shared" si="246"/>
        <v>9572.6466404000021</v>
      </c>
      <c r="FA103" s="348">
        <f t="shared" si="247"/>
        <v>11611.429215899998</v>
      </c>
      <c r="FB103" s="348">
        <f t="shared" si="248"/>
        <v>9572.6466404000021</v>
      </c>
      <c r="FD103" s="326"/>
      <c r="FE103" s="326"/>
      <c r="FF103" s="326"/>
      <c r="FG103" s="348">
        <f t="shared" si="249"/>
        <v>829.44</v>
      </c>
      <c r="FH103" s="348">
        <f t="shared" si="250"/>
        <v>1579.5132999999998</v>
      </c>
      <c r="FI103" s="348">
        <f t="shared" si="251"/>
        <v>9358.6956176000003</v>
      </c>
      <c r="FJ103" s="348">
        <f t="shared" si="252"/>
        <v>7887.7641050000002</v>
      </c>
      <c r="FK103" s="354">
        <f t="shared" si="253"/>
        <v>0.3443155166187738</v>
      </c>
      <c r="FL103" s="326"/>
      <c r="FM103" s="348">
        <f t="shared" si="254"/>
        <v>9358.6956176000003</v>
      </c>
      <c r="FN103" s="348">
        <f t="shared" si="255"/>
        <v>7887.7641050000002</v>
      </c>
      <c r="FO103" s="348">
        <f t="shared" si="256"/>
        <v>9358.6956176000003</v>
      </c>
      <c r="FP103" s="348">
        <f t="shared" si="257"/>
        <v>7887.7641050000002</v>
      </c>
      <c r="FR103" s="326"/>
      <c r="FS103" s="326"/>
      <c r="FT103" s="326"/>
      <c r="FU103" s="348">
        <f t="shared" si="258"/>
        <v>748.15340000000003</v>
      </c>
      <c r="FV103" s="348">
        <f t="shared" si="259"/>
        <v>1366.3166999999999</v>
      </c>
      <c r="FW103" s="348">
        <f t="shared" si="260"/>
        <v>387.08202560000001</v>
      </c>
      <c r="FX103" s="348">
        <f t="shared" si="261"/>
        <v>276.42539260000001</v>
      </c>
      <c r="FY103" s="354">
        <f t="shared" si="262"/>
        <v>0.35382548090890481</v>
      </c>
      <c r="FZ103" s="326"/>
      <c r="GA103" s="348">
        <f t="shared" si="263"/>
        <v>387.08202560000001</v>
      </c>
      <c r="GB103" s="348">
        <f t="shared" si="264"/>
        <v>276.42539260000001</v>
      </c>
      <c r="GC103" s="348">
        <f t="shared" si="265"/>
        <v>387.08202560000001</v>
      </c>
      <c r="GD103" s="348">
        <f t="shared" si="266"/>
        <v>276.42539260000001</v>
      </c>
      <c r="GF103" s="326"/>
      <c r="GG103" s="326"/>
      <c r="GH103" s="326"/>
      <c r="GI103" s="348">
        <f t="shared" si="267"/>
        <v>294.16660000000002</v>
      </c>
      <c r="GJ103" s="348">
        <f t="shared" si="268"/>
        <v>554.46659999999997</v>
      </c>
      <c r="GK103" s="349">
        <f t="shared" si="269"/>
        <v>1879.0513125</v>
      </c>
      <c r="GL103" s="349">
        <f t="shared" si="270"/>
        <v>1338.3908595000003</v>
      </c>
      <c r="GM103" s="354">
        <f t="shared" si="271"/>
        <v>0.34663574321626828</v>
      </c>
      <c r="GN103" s="326"/>
      <c r="GO103" s="349">
        <f t="shared" si="272"/>
        <v>1879.0513125</v>
      </c>
      <c r="GP103" s="349">
        <f t="shared" si="273"/>
        <v>1338.3908595000003</v>
      </c>
      <c r="GQ103" s="349">
        <f t="shared" si="274"/>
        <v>1879.0513125</v>
      </c>
      <c r="GR103" s="349">
        <f t="shared" si="275"/>
        <v>1338.3908595000003</v>
      </c>
      <c r="HA103" s="374"/>
      <c r="HB103" s="375"/>
      <c r="HC103" s="374"/>
      <c r="HD103" s="374"/>
      <c r="HE103" s="374"/>
      <c r="HF103" s="351">
        <f t="shared" si="276"/>
        <v>0</v>
      </c>
      <c r="HG103" s="351">
        <f t="shared" si="277"/>
        <v>0</v>
      </c>
      <c r="HH103" s="352">
        <f t="shared" si="278"/>
        <v>0</v>
      </c>
      <c r="HI103" s="352">
        <f t="shared" si="332"/>
        <v>0</v>
      </c>
      <c r="HJ103" s="353">
        <f t="shared" si="333"/>
        <v>0</v>
      </c>
      <c r="HK103" s="353">
        <f t="shared" si="334"/>
        <v>0</v>
      </c>
    </row>
    <row r="104" spans="1:219" x14ac:dyDescent="0.2">
      <c r="A104" s="320">
        <v>94</v>
      </c>
      <c r="C104" s="350">
        <v>7.4307999999999996</v>
      </c>
      <c r="D104" s="350">
        <v>3.3794</v>
      </c>
      <c r="E104" s="350">
        <v>0</v>
      </c>
      <c r="F104" s="350">
        <v>60.834200000000003</v>
      </c>
      <c r="G104" s="350">
        <v>182.095</v>
      </c>
      <c r="H104" s="351">
        <f t="shared" si="212"/>
        <v>7253.20388</v>
      </c>
      <c r="I104" s="351">
        <f t="shared" si="213"/>
        <v>6264.3599860000004</v>
      </c>
      <c r="J104" s="352">
        <f t="shared" si="214"/>
        <v>0</v>
      </c>
      <c r="K104" s="352">
        <f t="shared" si="279"/>
        <v>0</v>
      </c>
      <c r="L104" s="353">
        <f t="shared" si="280"/>
        <v>7253.20388</v>
      </c>
      <c r="M104" s="353">
        <f t="shared" si="281"/>
        <v>6264.3599860000004</v>
      </c>
      <c r="N104" s="343">
        <f t="shared" si="282"/>
        <v>7253.20388</v>
      </c>
      <c r="O104" s="343">
        <f t="shared" si="283"/>
        <v>6264.3599860000004</v>
      </c>
      <c r="Q104" s="374">
        <v>9.2677999999999994</v>
      </c>
      <c r="R104" s="375">
        <v>4.2611999999999997</v>
      </c>
      <c r="S104" s="374">
        <v>0</v>
      </c>
      <c r="T104" s="374">
        <v>22.933299999999999</v>
      </c>
      <c r="U104" s="374">
        <v>33.052500000000002</v>
      </c>
      <c r="V104" s="351">
        <f t="shared" si="215"/>
        <v>5925.8313199999993</v>
      </c>
      <c r="W104" s="351">
        <f t="shared" si="216"/>
        <v>5119.3204560000004</v>
      </c>
      <c r="X104" s="352">
        <f t="shared" si="217"/>
        <v>0</v>
      </c>
      <c r="Y104" s="352">
        <f t="shared" si="284"/>
        <v>0</v>
      </c>
      <c r="Z104" s="353">
        <f t="shared" si="285"/>
        <v>5925.8313199999993</v>
      </c>
      <c r="AA104" s="353">
        <f t="shared" si="286"/>
        <v>5119.3204560000004</v>
      </c>
      <c r="AB104" s="343">
        <f t="shared" si="287"/>
        <v>5925.8313199999993</v>
      </c>
      <c r="AC104" s="343">
        <f t="shared" si="288"/>
        <v>5119.3204560000004</v>
      </c>
      <c r="AE104" s="374">
        <v>13.098100000000001</v>
      </c>
      <c r="AF104" s="375">
        <v>5.024</v>
      </c>
      <c r="AG104" s="374">
        <v>0</v>
      </c>
      <c r="AH104" s="374">
        <v>5</v>
      </c>
      <c r="AI104" s="374">
        <v>12.7575</v>
      </c>
      <c r="AJ104" s="351">
        <f t="shared" si="218"/>
        <v>5613.5836980000004</v>
      </c>
      <c r="AK104" s="351">
        <f t="shared" si="219"/>
        <v>4994.7603199999994</v>
      </c>
      <c r="AL104" s="352">
        <f t="shared" si="220"/>
        <v>0</v>
      </c>
      <c r="AM104" s="352">
        <f t="shared" si="289"/>
        <v>0</v>
      </c>
      <c r="AN104" s="353">
        <f t="shared" si="290"/>
        <v>5613.5836980000004</v>
      </c>
      <c r="AO104" s="353">
        <f t="shared" si="291"/>
        <v>4994.7603199999994</v>
      </c>
      <c r="AP104" s="343">
        <f t="shared" si="292"/>
        <v>5613.5836980000004</v>
      </c>
      <c r="AQ104" s="343">
        <f t="shared" si="293"/>
        <v>4994.7603199999994</v>
      </c>
      <c r="AS104" s="374">
        <v>17.8568</v>
      </c>
      <c r="AT104" s="375">
        <v>6.5787000000000004</v>
      </c>
      <c r="AU104" s="374">
        <v>0</v>
      </c>
      <c r="AV104" s="374">
        <v>121.08920000000001</v>
      </c>
      <c r="AW104" s="374">
        <v>219.91419999999999</v>
      </c>
      <c r="AX104" s="351">
        <f t="shared" si="221"/>
        <v>6083.2760560000006</v>
      </c>
      <c r="AY104" s="351">
        <f t="shared" si="222"/>
        <v>4494.0415440000006</v>
      </c>
      <c r="AZ104" s="352">
        <f t="shared" si="223"/>
        <v>0</v>
      </c>
      <c r="BA104" s="352">
        <f t="shared" si="294"/>
        <v>0</v>
      </c>
      <c r="BB104" s="353">
        <f t="shared" si="295"/>
        <v>6083.2760560000006</v>
      </c>
      <c r="BC104" s="353">
        <f t="shared" si="296"/>
        <v>4494.0415440000006</v>
      </c>
      <c r="BD104" s="343">
        <f t="shared" si="297"/>
        <v>6083.2760560000006</v>
      </c>
      <c r="BE104" s="343">
        <f t="shared" si="298"/>
        <v>4494.0415440000006</v>
      </c>
      <c r="BG104" s="374">
        <v>16.047000000000001</v>
      </c>
      <c r="BH104" s="375">
        <v>7.2275</v>
      </c>
      <c r="BI104" s="374">
        <v>0</v>
      </c>
      <c r="BJ104" s="374">
        <v>82.644199999999998</v>
      </c>
      <c r="BK104" s="374">
        <v>153.6858</v>
      </c>
      <c r="BL104" s="351">
        <f t="shared" si="224"/>
        <v>5372.0541899999998</v>
      </c>
      <c r="BM104" s="351">
        <f t="shared" si="225"/>
        <v>4234.7367999999997</v>
      </c>
      <c r="BN104" s="352">
        <f t="shared" si="226"/>
        <v>0</v>
      </c>
      <c r="BO104" s="352">
        <f t="shared" si="299"/>
        <v>0</v>
      </c>
      <c r="BP104" s="353">
        <f t="shared" si="300"/>
        <v>5372.0541899999998</v>
      </c>
      <c r="BQ104" s="353">
        <f t="shared" si="301"/>
        <v>4234.7367999999997</v>
      </c>
      <c r="BR104" s="343">
        <f t="shared" si="302"/>
        <v>5372.0541899999998</v>
      </c>
      <c r="BS104" s="343">
        <f t="shared" si="303"/>
        <v>4234.7367999999997</v>
      </c>
      <c r="BU104" s="374">
        <v>15.255100000000001</v>
      </c>
      <c r="BV104" s="375">
        <v>7.0953999999999997</v>
      </c>
      <c r="BW104" s="374">
        <v>0</v>
      </c>
      <c r="BX104" s="374">
        <v>53.5625</v>
      </c>
      <c r="BY104" s="374">
        <v>92.255799999999994</v>
      </c>
      <c r="BZ104" s="351">
        <f t="shared" si="227"/>
        <v>3541.0138120000001</v>
      </c>
      <c r="CA104" s="351">
        <f t="shared" si="228"/>
        <v>2709.5203980000001</v>
      </c>
      <c r="CB104" s="352">
        <f t="shared" si="229"/>
        <v>0</v>
      </c>
      <c r="CC104" s="352">
        <f t="shared" si="304"/>
        <v>0</v>
      </c>
      <c r="CD104" s="353">
        <f t="shared" si="305"/>
        <v>3541.0138120000001</v>
      </c>
      <c r="CE104" s="353">
        <f t="shared" si="306"/>
        <v>2709.5203980000001</v>
      </c>
      <c r="CF104" s="343">
        <f t="shared" si="307"/>
        <v>3541.0138120000001</v>
      </c>
      <c r="CG104" s="343">
        <f t="shared" si="308"/>
        <v>2709.5203980000001</v>
      </c>
      <c r="CI104" s="374">
        <v>0.51680000000000004</v>
      </c>
      <c r="CJ104" s="375">
        <v>0.26429999999999998</v>
      </c>
      <c r="CK104" s="374">
        <v>0</v>
      </c>
      <c r="CL104" s="374">
        <v>336.0625</v>
      </c>
      <c r="CM104" s="374">
        <v>627.35500000000002</v>
      </c>
      <c r="CN104" s="351">
        <f t="shared" si="230"/>
        <v>109.83550400000001</v>
      </c>
      <c r="CO104" s="351">
        <f t="shared" si="231"/>
        <v>72.801434999999998</v>
      </c>
      <c r="CP104" s="352">
        <f t="shared" si="232"/>
        <v>0</v>
      </c>
      <c r="CQ104" s="352">
        <f t="shared" si="309"/>
        <v>0</v>
      </c>
      <c r="CR104" s="353">
        <f t="shared" si="310"/>
        <v>109.83550400000001</v>
      </c>
      <c r="CS104" s="353">
        <f t="shared" si="311"/>
        <v>72.801434999999998</v>
      </c>
      <c r="CT104" s="343">
        <f t="shared" si="312"/>
        <v>109.83550400000001</v>
      </c>
      <c r="CU104" s="343">
        <f t="shared" si="313"/>
        <v>72.801434999999998</v>
      </c>
      <c r="CW104" s="374">
        <v>1.3908</v>
      </c>
      <c r="CX104" s="375">
        <v>0.69750000000000001</v>
      </c>
      <c r="CY104" s="374">
        <v>0</v>
      </c>
      <c r="CZ104" s="374">
        <v>90.650800000000004</v>
      </c>
      <c r="DA104" s="374">
        <v>136.3192</v>
      </c>
      <c r="DB104" s="351">
        <f t="shared" si="233"/>
        <v>311.859084</v>
      </c>
      <c r="DC104" s="351">
        <f t="shared" si="234"/>
        <v>216.74115</v>
      </c>
      <c r="DD104" s="352">
        <f t="shared" si="235"/>
        <v>0</v>
      </c>
      <c r="DE104" s="352">
        <f t="shared" si="314"/>
        <v>0</v>
      </c>
      <c r="DF104" s="353">
        <f t="shared" si="315"/>
        <v>311.859084</v>
      </c>
      <c r="DG104" s="353">
        <f t="shared" si="316"/>
        <v>216.74115</v>
      </c>
      <c r="DH104" s="343">
        <f t="shared" si="317"/>
        <v>311.859084</v>
      </c>
      <c r="DI104" s="343">
        <f t="shared" si="318"/>
        <v>216.74115</v>
      </c>
      <c r="DK104" s="374">
        <v>1.8594999999999999</v>
      </c>
      <c r="DL104" s="375">
        <v>0.91600000000000004</v>
      </c>
      <c r="DM104" s="374">
        <v>0</v>
      </c>
      <c r="DN104" s="374">
        <v>84.216700000000003</v>
      </c>
      <c r="DO104" s="374">
        <v>173.88829999999999</v>
      </c>
      <c r="DP104" s="351">
        <f t="shared" si="236"/>
        <v>245.02631500000001</v>
      </c>
      <c r="DQ104" s="351">
        <f t="shared" si="237"/>
        <v>180.32376000000002</v>
      </c>
      <c r="DR104" s="352">
        <f t="shared" si="238"/>
        <v>0</v>
      </c>
      <c r="DS104" s="352">
        <f t="shared" si="319"/>
        <v>0</v>
      </c>
      <c r="DT104" s="353">
        <f t="shared" si="320"/>
        <v>245.02631500000001</v>
      </c>
      <c r="DU104" s="353">
        <f t="shared" si="321"/>
        <v>180.32376000000002</v>
      </c>
      <c r="DV104" s="343">
        <f t="shared" si="322"/>
        <v>245.02631500000001</v>
      </c>
      <c r="DW104" s="343">
        <f t="shared" si="323"/>
        <v>180.32376000000002</v>
      </c>
      <c r="EB104" s="326"/>
      <c r="EC104" s="326"/>
      <c r="ED104" s="326"/>
      <c r="EE104" s="348">
        <f t="shared" si="324"/>
        <v>608.63670000000002</v>
      </c>
      <c r="EF104" s="348">
        <f t="shared" si="325"/>
        <v>1165.6833999999999</v>
      </c>
      <c r="EG104" s="348">
        <f t="shared" si="326"/>
        <v>13695.8027072</v>
      </c>
      <c r="EH104" s="348">
        <f t="shared" si="327"/>
        <v>11004.595885000001</v>
      </c>
      <c r="EI104" s="354">
        <f t="shared" si="239"/>
        <v>0.34302530868020942</v>
      </c>
      <c r="EJ104" s="326"/>
      <c r="EK104" s="348">
        <f t="shared" si="328"/>
        <v>13695.8027072</v>
      </c>
      <c r="EL104" s="348">
        <f t="shared" si="329"/>
        <v>11004.595885000001</v>
      </c>
      <c r="EM104" s="348">
        <f t="shared" si="330"/>
        <v>13695.8027072</v>
      </c>
      <c r="EN104" s="348">
        <f t="shared" si="331"/>
        <v>11004.595885000001</v>
      </c>
      <c r="EP104" s="326"/>
      <c r="EQ104" s="326"/>
      <c r="ER104" s="326"/>
      <c r="ES104" s="348">
        <f t="shared" si="240"/>
        <v>532.29079999999999</v>
      </c>
      <c r="ET104" s="348">
        <f t="shared" si="241"/>
        <v>950.41250000000002</v>
      </c>
      <c r="EU104" s="348">
        <f t="shared" si="242"/>
        <v>11626.0223728</v>
      </c>
      <c r="EV104" s="348">
        <f t="shared" si="243"/>
        <v>9578.5774959999999</v>
      </c>
      <c r="EW104" s="354">
        <f t="shared" si="244"/>
        <v>0.3590002126521199</v>
      </c>
      <c r="EX104" s="326"/>
      <c r="EY104" s="348">
        <f t="shared" si="245"/>
        <v>11626.0223728</v>
      </c>
      <c r="EZ104" s="348">
        <f t="shared" si="246"/>
        <v>9578.5774959999999</v>
      </c>
      <c r="FA104" s="348">
        <f t="shared" si="247"/>
        <v>11626.0223728</v>
      </c>
      <c r="FB104" s="348">
        <f t="shared" si="248"/>
        <v>9578.5774959999999</v>
      </c>
      <c r="FD104" s="326"/>
      <c r="FE104" s="326"/>
      <c r="FF104" s="326"/>
      <c r="FG104" s="348">
        <f t="shared" si="249"/>
        <v>478.8417</v>
      </c>
      <c r="FH104" s="348">
        <f t="shared" si="250"/>
        <v>906.25659999999993</v>
      </c>
      <c r="FI104" s="348">
        <f t="shared" si="251"/>
        <v>9411.4488029999993</v>
      </c>
      <c r="FJ104" s="348">
        <f t="shared" si="252"/>
        <v>7885.2764090000001</v>
      </c>
      <c r="FK104" s="354">
        <f t="shared" si="253"/>
        <v>0.34570954278118748</v>
      </c>
      <c r="FL104" s="326"/>
      <c r="FM104" s="348">
        <f t="shared" si="254"/>
        <v>9411.4488029999993</v>
      </c>
      <c r="FN104" s="348">
        <f t="shared" si="255"/>
        <v>7885.2764090000001</v>
      </c>
      <c r="FO104" s="348">
        <f t="shared" si="256"/>
        <v>9411.4488029999993</v>
      </c>
      <c r="FP104" s="348">
        <f t="shared" si="257"/>
        <v>7885.2764090000001</v>
      </c>
      <c r="FR104" s="326"/>
      <c r="FS104" s="326"/>
      <c r="FT104" s="326"/>
      <c r="FU104" s="348">
        <f t="shared" si="258"/>
        <v>426.7133</v>
      </c>
      <c r="FV104" s="348">
        <f t="shared" si="259"/>
        <v>763.67420000000004</v>
      </c>
      <c r="FW104" s="348">
        <f t="shared" si="260"/>
        <v>359.32277120000003</v>
      </c>
      <c r="FX104" s="348">
        <f t="shared" si="261"/>
        <v>246.194355</v>
      </c>
      <c r="FY104" s="354">
        <f t="shared" si="262"/>
        <v>0.35846587770788924</v>
      </c>
      <c r="FZ104" s="326"/>
      <c r="GA104" s="348">
        <f t="shared" si="263"/>
        <v>359.32277120000003</v>
      </c>
      <c r="GB104" s="348">
        <f t="shared" si="264"/>
        <v>246.194355</v>
      </c>
      <c r="GC104" s="348">
        <f t="shared" si="265"/>
        <v>359.32277120000003</v>
      </c>
      <c r="GD104" s="348">
        <f t="shared" si="266"/>
        <v>246.194355</v>
      </c>
      <c r="GF104" s="326"/>
      <c r="GG104" s="326"/>
      <c r="GH104" s="326"/>
      <c r="GI104" s="348">
        <f t="shared" si="267"/>
        <v>174.65170000000001</v>
      </c>
      <c r="GJ104" s="348">
        <f t="shared" si="268"/>
        <v>312.16999999999996</v>
      </c>
      <c r="GK104" s="349">
        <f t="shared" si="269"/>
        <v>1906.6966830000003</v>
      </c>
      <c r="GL104" s="349">
        <f t="shared" si="270"/>
        <v>1338.3908595000003</v>
      </c>
      <c r="GM104" s="354">
        <f t="shared" si="271"/>
        <v>0.35875906928553108</v>
      </c>
      <c r="GN104" s="326"/>
      <c r="GO104" s="349">
        <f t="shared" si="272"/>
        <v>1906.6966830000003</v>
      </c>
      <c r="GP104" s="349">
        <f t="shared" si="273"/>
        <v>1338.3908595000003</v>
      </c>
      <c r="GQ104" s="349">
        <f t="shared" si="274"/>
        <v>1906.6966830000003</v>
      </c>
      <c r="GR104" s="349">
        <f t="shared" si="275"/>
        <v>1338.3908595000003</v>
      </c>
      <c r="HA104" s="374"/>
      <c r="HB104" s="375"/>
      <c r="HC104" s="374"/>
      <c r="HD104" s="374"/>
      <c r="HE104" s="374"/>
      <c r="HF104" s="351">
        <f t="shared" si="276"/>
        <v>0</v>
      </c>
      <c r="HG104" s="351">
        <f t="shared" si="277"/>
        <v>0</v>
      </c>
      <c r="HH104" s="352">
        <f t="shared" si="278"/>
        <v>0</v>
      </c>
      <c r="HI104" s="352">
        <f t="shared" si="332"/>
        <v>0</v>
      </c>
      <c r="HJ104" s="353">
        <f t="shared" si="333"/>
        <v>0</v>
      </c>
      <c r="HK104" s="353">
        <f t="shared" si="334"/>
        <v>0</v>
      </c>
    </row>
    <row r="105" spans="1:219" x14ac:dyDescent="0.2">
      <c r="A105" s="320">
        <v>95</v>
      </c>
      <c r="C105" s="350">
        <v>7.5480999999999998</v>
      </c>
      <c r="D105" s="350">
        <v>3.4097</v>
      </c>
      <c r="E105" s="350">
        <v>0</v>
      </c>
      <c r="F105" s="350">
        <v>24.8217</v>
      </c>
      <c r="G105" s="350">
        <v>91.019199999999998</v>
      </c>
      <c r="H105" s="351">
        <f t="shared" si="212"/>
        <v>7367.7004100000004</v>
      </c>
      <c r="I105" s="351">
        <f t="shared" si="213"/>
        <v>6320.526793</v>
      </c>
      <c r="J105" s="352">
        <f t="shared" si="214"/>
        <v>0</v>
      </c>
      <c r="K105" s="352">
        <f t="shared" si="279"/>
        <v>0</v>
      </c>
      <c r="L105" s="353">
        <f t="shared" si="280"/>
        <v>7367.7004100000004</v>
      </c>
      <c r="M105" s="353">
        <f t="shared" si="281"/>
        <v>6320.526793</v>
      </c>
      <c r="N105" s="343">
        <f t="shared" si="282"/>
        <v>7367.7004100000004</v>
      </c>
      <c r="O105" s="343">
        <f t="shared" si="283"/>
        <v>6320.526793</v>
      </c>
      <c r="Q105" s="374">
        <v>9.3102</v>
      </c>
      <c r="R105" s="375">
        <v>4.2877000000000001</v>
      </c>
      <c r="S105" s="374">
        <v>0</v>
      </c>
      <c r="T105" s="374">
        <v>5.8333000000000004</v>
      </c>
      <c r="U105" s="374">
        <v>22.694199999999999</v>
      </c>
      <c r="V105" s="351">
        <f t="shared" si="215"/>
        <v>5952.9418799999994</v>
      </c>
      <c r="W105" s="351">
        <f t="shared" si="216"/>
        <v>5151.1570260000008</v>
      </c>
      <c r="X105" s="352">
        <f t="shared" si="217"/>
        <v>0</v>
      </c>
      <c r="Y105" s="352">
        <f t="shared" si="284"/>
        <v>0</v>
      </c>
      <c r="Z105" s="353">
        <f t="shared" si="285"/>
        <v>5952.9418799999994</v>
      </c>
      <c r="AA105" s="353">
        <f t="shared" si="286"/>
        <v>5151.1570260000008</v>
      </c>
      <c r="AB105" s="343">
        <f t="shared" si="287"/>
        <v>5952.9418799999994</v>
      </c>
      <c r="AC105" s="343">
        <f t="shared" si="288"/>
        <v>5151.1570260000008</v>
      </c>
      <c r="AE105" s="374">
        <v>13.258100000000001</v>
      </c>
      <c r="AF105" s="375">
        <v>5.0365000000000002</v>
      </c>
      <c r="AG105" s="374">
        <v>0</v>
      </c>
      <c r="AH105" s="374">
        <v>3</v>
      </c>
      <c r="AI105" s="374">
        <v>10.083299999999999</v>
      </c>
      <c r="AJ105" s="351">
        <f t="shared" si="218"/>
        <v>5682.1564980000003</v>
      </c>
      <c r="AK105" s="351">
        <f t="shared" si="219"/>
        <v>5007.1875700000001</v>
      </c>
      <c r="AL105" s="352">
        <f t="shared" si="220"/>
        <v>0</v>
      </c>
      <c r="AM105" s="352">
        <f t="shared" si="289"/>
        <v>0</v>
      </c>
      <c r="AN105" s="353">
        <f t="shared" si="290"/>
        <v>5682.1564980000003</v>
      </c>
      <c r="AO105" s="353">
        <f t="shared" si="291"/>
        <v>5007.1875700000001</v>
      </c>
      <c r="AP105" s="343">
        <f t="shared" si="292"/>
        <v>5682.1564980000003</v>
      </c>
      <c r="AQ105" s="343">
        <f t="shared" si="293"/>
        <v>5007.1875700000001</v>
      </c>
      <c r="AS105" s="374">
        <v>17.9573</v>
      </c>
      <c r="AT105" s="375">
        <v>6.5787000000000004</v>
      </c>
      <c r="AU105" s="374">
        <v>0</v>
      </c>
      <c r="AV105" s="374">
        <v>60.156700000000001</v>
      </c>
      <c r="AW105" s="374">
        <v>104.53579999999999</v>
      </c>
      <c r="AX105" s="351">
        <f t="shared" si="221"/>
        <v>6117.5133910000004</v>
      </c>
      <c r="AY105" s="351">
        <f t="shared" si="222"/>
        <v>4494.0415440000006</v>
      </c>
      <c r="AZ105" s="352">
        <f t="shared" si="223"/>
        <v>0</v>
      </c>
      <c r="BA105" s="352">
        <f t="shared" si="294"/>
        <v>0</v>
      </c>
      <c r="BB105" s="353">
        <f t="shared" si="295"/>
        <v>6117.5133910000004</v>
      </c>
      <c r="BC105" s="353">
        <f t="shared" si="296"/>
        <v>4494.0415440000006</v>
      </c>
      <c r="BD105" s="343">
        <f t="shared" si="297"/>
        <v>6117.5133910000004</v>
      </c>
      <c r="BE105" s="343">
        <f t="shared" si="298"/>
        <v>4494.0415440000006</v>
      </c>
      <c r="BG105" s="374">
        <v>16.081299999999999</v>
      </c>
      <c r="BH105" s="375">
        <v>7.2275</v>
      </c>
      <c r="BI105" s="374">
        <v>0</v>
      </c>
      <c r="BJ105" s="374">
        <v>32.104199999999999</v>
      </c>
      <c r="BK105" s="374">
        <v>77.729200000000006</v>
      </c>
      <c r="BL105" s="351">
        <f t="shared" si="224"/>
        <v>5383.5368009999993</v>
      </c>
      <c r="BM105" s="351">
        <f t="shared" si="225"/>
        <v>4234.7367999999997</v>
      </c>
      <c r="BN105" s="352">
        <f t="shared" si="226"/>
        <v>0</v>
      </c>
      <c r="BO105" s="352">
        <f t="shared" si="299"/>
        <v>0</v>
      </c>
      <c r="BP105" s="353">
        <f t="shared" si="300"/>
        <v>5383.5368009999993</v>
      </c>
      <c r="BQ105" s="353">
        <f t="shared" si="301"/>
        <v>4234.7367999999997</v>
      </c>
      <c r="BR105" s="343">
        <f t="shared" si="302"/>
        <v>5383.5368009999993</v>
      </c>
      <c r="BS105" s="343">
        <f t="shared" si="303"/>
        <v>4234.7367999999997</v>
      </c>
      <c r="BU105" s="374">
        <v>15.255100000000001</v>
      </c>
      <c r="BV105" s="375">
        <v>7.0953999999999997</v>
      </c>
      <c r="BW105" s="374">
        <v>0</v>
      </c>
      <c r="BX105" s="374">
        <v>25.101700000000001</v>
      </c>
      <c r="BY105" s="374">
        <v>35.982500000000002</v>
      </c>
      <c r="BZ105" s="351">
        <f t="shared" si="227"/>
        <v>3541.0138120000001</v>
      </c>
      <c r="CA105" s="351">
        <f t="shared" si="228"/>
        <v>2709.5203980000001</v>
      </c>
      <c r="CB105" s="352">
        <f t="shared" si="229"/>
        <v>0</v>
      </c>
      <c r="CC105" s="352">
        <f t="shared" si="304"/>
        <v>0</v>
      </c>
      <c r="CD105" s="353">
        <f t="shared" si="305"/>
        <v>3541.0138120000001</v>
      </c>
      <c r="CE105" s="353">
        <f t="shared" si="306"/>
        <v>2709.5203980000001</v>
      </c>
      <c r="CF105" s="343">
        <f t="shared" si="307"/>
        <v>3541.0138120000001</v>
      </c>
      <c r="CG105" s="343">
        <f t="shared" si="308"/>
        <v>2709.5203980000001</v>
      </c>
      <c r="CI105" s="374">
        <v>0.49170000000000003</v>
      </c>
      <c r="CJ105" s="375">
        <v>0.2394</v>
      </c>
      <c r="CK105" s="374">
        <v>0</v>
      </c>
      <c r="CL105" s="374">
        <v>159.5992</v>
      </c>
      <c r="CM105" s="374">
        <v>281.67079999999999</v>
      </c>
      <c r="CN105" s="351">
        <f t="shared" si="230"/>
        <v>104.501001</v>
      </c>
      <c r="CO105" s="351">
        <f t="shared" si="231"/>
        <v>65.942729999999997</v>
      </c>
      <c r="CP105" s="352">
        <f t="shared" si="232"/>
        <v>0</v>
      </c>
      <c r="CQ105" s="352">
        <f t="shared" si="309"/>
        <v>0</v>
      </c>
      <c r="CR105" s="353">
        <f t="shared" si="310"/>
        <v>104.501001</v>
      </c>
      <c r="CS105" s="353">
        <f t="shared" si="311"/>
        <v>65.942729999999997</v>
      </c>
      <c r="CT105" s="343">
        <f t="shared" si="312"/>
        <v>104.501001</v>
      </c>
      <c r="CU105" s="343">
        <f t="shared" si="313"/>
        <v>65.942729999999997</v>
      </c>
      <c r="CW105" s="374">
        <v>1.2685</v>
      </c>
      <c r="CX105" s="375">
        <v>0.60519999999999996</v>
      </c>
      <c r="CY105" s="374">
        <v>0</v>
      </c>
      <c r="CZ105" s="374">
        <v>39.728299999999997</v>
      </c>
      <c r="DA105" s="374">
        <v>71.642499999999998</v>
      </c>
      <c r="DB105" s="351">
        <f t="shared" si="233"/>
        <v>284.43575499999997</v>
      </c>
      <c r="DC105" s="351">
        <f t="shared" si="234"/>
        <v>188.05984799999999</v>
      </c>
      <c r="DD105" s="352">
        <f t="shared" si="235"/>
        <v>0</v>
      </c>
      <c r="DE105" s="352">
        <f t="shared" si="314"/>
        <v>0</v>
      </c>
      <c r="DF105" s="353">
        <f t="shared" si="315"/>
        <v>284.43575499999997</v>
      </c>
      <c r="DG105" s="353">
        <f t="shared" si="316"/>
        <v>188.05984799999999</v>
      </c>
      <c r="DH105" s="343">
        <f t="shared" si="317"/>
        <v>284.43575499999997</v>
      </c>
      <c r="DI105" s="343">
        <f t="shared" si="318"/>
        <v>188.05984799999999</v>
      </c>
      <c r="DK105" s="374">
        <v>1.7212000000000001</v>
      </c>
      <c r="DL105" s="375">
        <v>0.83169999999999999</v>
      </c>
      <c r="DM105" s="374">
        <v>0</v>
      </c>
      <c r="DN105" s="374">
        <v>48.75</v>
      </c>
      <c r="DO105" s="374">
        <v>70.278300000000002</v>
      </c>
      <c r="DP105" s="351">
        <f t="shared" si="236"/>
        <v>226.80252400000003</v>
      </c>
      <c r="DQ105" s="351">
        <f t="shared" si="237"/>
        <v>163.72846200000001</v>
      </c>
      <c r="DR105" s="352">
        <f t="shared" si="238"/>
        <v>0</v>
      </c>
      <c r="DS105" s="352">
        <f t="shared" si="319"/>
        <v>0</v>
      </c>
      <c r="DT105" s="353">
        <f t="shared" si="320"/>
        <v>226.80252400000003</v>
      </c>
      <c r="DU105" s="353">
        <f t="shared" si="321"/>
        <v>163.72846200000001</v>
      </c>
      <c r="DV105" s="343">
        <f t="shared" si="322"/>
        <v>226.80252400000003</v>
      </c>
      <c r="DW105" s="343">
        <f t="shared" si="323"/>
        <v>163.72846200000001</v>
      </c>
      <c r="EB105" s="326"/>
      <c r="EC105" s="326"/>
      <c r="ED105" s="326"/>
      <c r="EE105" s="348">
        <f t="shared" si="324"/>
        <v>284.30590000000001</v>
      </c>
      <c r="EF105" s="348">
        <f t="shared" si="325"/>
        <v>548.86829999999998</v>
      </c>
      <c r="EG105" s="348">
        <f t="shared" si="326"/>
        <v>13817.263406000002</v>
      </c>
      <c r="EH105" s="348">
        <f t="shared" si="327"/>
        <v>11030.958945400002</v>
      </c>
      <c r="EI105" s="354">
        <f t="shared" si="239"/>
        <v>0.34123224170887678</v>
      </c>
      <c r="EJ105" s="326"/>
      <c r="EK105" s="348">
        <f t="shared" si="328"/>
        <v>13817.263406000002</v>
      </c>
      <c r="EL105" s="348">
        <f t="shared" si="329"/>
        <v>11030.958945400002</v>
      </c>
      <c r="EM105" s="348">
        <f t="shared" si="330"/>
        <v>13817.263406000002</v>
      </c>
      <c r="EN105" s="348">
        <f t="shared" si="331"/>
        <v>11030.958945400002</v>
      </c>
      <c r="EP105" s="326"/>
      <c r="EQ105" s="326"/>
      <c r="ER105" s="326"/>
      <c r="ES105" s="348">
        <f t="shared" si="240"/>
        <v>237.26499999999999</v>
      </c>
      <c r="ET105" s="348">
        <f t="shared" si="241"/>
        <v>453.73669999999998</v>
      </c>
      <c r="EU105" s="348">
        <f t="shared" si="242"/>
        <v>11640.084710499999</v>
      </c>
      <c r="EV105" s="348">
        <f t="shared" si="243"/>
        <v>9583.4784495999993</v>
      </c>
      <c r="EW105" s="354">
        <f t="shared" si="244"/>
        <v>0.34336384411210563</v>
      </c>
      <c r="EX105" s="326"/>
      <c r="EY105" s="348">
        <f t="shared" si="245"/>
        <v>11640.084710499999</v>
      </c>
      <c r="EZ105" s="348">
        <f t="shared" si="246"/>
        <v>9583.4784495999993</v>
      </c>
      <c r="FA105" s="348">
        <f t="shared" si="247"/>
        <v>11640.084710499999</v>
      </c>
      <c r="FB105" s="348">
        <f t="shared" si="248"/>
        <v>9583.4784495999993</v>
      </c>
      <c r="FD105" s="326"/>
      <c r="FE105" s="326"/>
      <c r="FF105" s="326"/>
      <c r="FG105" s="348">
        <f t="shared" si="249"/>
        <v>236.45089999999999</v>
      </c>
      <c r="FH105" s="348">
        <f t="shared" si="250"/>
        <v>398.01490000000001</v>
      </c>
      <c r="FI105" s="348">
        <f t="shared" si="251"/>
        <v>9463.7528254000026</v>
      </c>
      <c r="FJ105" s="348">
        <f t="shared" si="252"/>
        <v>7880.8877752000008</v>
      </c>
      <c r="FK105" s="354">
        <f t="shared" si="253"/>
        <v>0.37267714035965377</v>
      </c>
      <c r="FL105" s="326"/>
      <c r="FM105" s="348">
        <f t="shared" si="254"/>
        <v>9463.7528254000026</v>
      </c>
      <c r="FN105" s="348">
        <f t="shared" si="255"/>
        <v>7880.8877752000008</v>
      </c>
      <c r="FO105" s="348">
        <f t="shared" si="256"/>
        <v>9463.7528254000026</v>
      </c>
      <c r="FP105" s="348">
        <f t="shared" si="257"/>
        <v>7880.8877752000008</v>
      </c>
      <c r="FR105" s="326"/>
      <c r="FS105" s="326"/>
      <c r="FT105" s="326"/>
      <c r="FU105" s="348">
        <f t="shared" si="258"/>
        <v>199.32749999999999</v>
      </c>
      <c r="FV105" s="348">
        <f t="shared" si="259"/>
        <v>353.31329999999997</v>
      </c>
      <c r="FW105" s="348">
        <f t="shared" si="260"/>
        <v>332.04960499999999</v>
      </c>
      <c r="FX105" s="348">
        <f t="shared" si="261"/>
        <v>216.39060840000002</v>
      </c>
      <c r="FY105" s="354">
        <f t="shared" si="262"/>
        <v>0.36068183890874511</v>
      </c>
      <c r="FZ105" s="326"/>
      <c r="GA105" s="348">
        <f t="shared" si="263"/>
        <v>332.04960499999999</v>
      </c>
      <c r="GB105" s="348">
        <f t="shared" si="264"/>
        <v>216.39060840000002</v>
      </c>
      <c r="GC105" s="348">
        <f t="shared" si="265"/>
        <v>332.04960499999999</v>
      </c>
      <c r="GD105" s="348">
        <f t="shared" si="266"/>
        <v>216.39060840000002</v>
      </c>
      <c r="GF105" s="326"/>
      <c r="GG105" s="326"/>
      <c r="GH105" s="326"/>
      <c r="GI105" s="348">
        <f t="shared" si="267"/>
        <v>85.258399999999995</v>
      </c>
      <c r="GJ105" s="348">
        <f t="shared" si="268"/>
        <v>140.51830000000001</v>
      </c>
      <c r="GK105" s="349">
        <f t="shared" si="269"/>
        <v>1932.3746842500002</v>
      </c>
      <c r="GL105" s="349">
        <f t="shared" si="270"/>
        <v>1338.3908595000003</v>
      </c>
      <c r="GM105" s="354">
        <f t="shared" si="271"/>
        <v>0.37762266876962941</v>
      </c>
      <c r="GN105" s="326"/>
      <c r="GO105" s="349">
        <f t="shared" si="272"/>
        <v>1932.3746842500002</v>
      </c>
      <c r="GP105" s="349">
        <f t="shared" si="273"/>
        <v>1338.3908595000003</v>
      </c>
      <c r="GQ105" s="349">
        <f t="shared" si="274"/>
        <v>1932.3746842500002</v>
      </c>
      <c r="GR105" s="349">
        <f t="shared" si="275"/>
        <v>1338.3908595000003</v>
      </c>
      <c r="HA105" s="374"/>
      <c r="HB105" s="375"/>
      <c r="HC105" s="374"/>
      <c r="HD105" s="374"/>
      <c r="HE105" s="374"/>
      <c r="HF105" s="351">
        <f t="shared" si="276"/>
        <v>0</v>
      </c>
      <c r="HG105" s="351">
        <f t="shared" si="277"/>
        <v>0</v>
      </c>
      <c r="HH105" s="352">
        <f t="shared" si="278"/>
        <v>0</v>
      </c>
      <c r="HI105" s="352">
        <f t="shared" si="332"/>
        <v>0</v>
      </c>
      <c r="HJ105" s="353">
        <f t="shared" si="333"/>
        <v>0</v>
      </c>
      <c r="HK105" s="353">
        <f t="shared" si="334"/>
        <v>0</v>
      </c>
    </row>
    <row r="106" spans="1:219" x14ac:dyDescent="0.2">
      <c r="A106" s="320">
        <v>96</v>
      </c>
      <c r="C106" s="350">
        <v>7.6653000000000002</v>
      </c>
      <c r="D106" s="350">
        <v>3.4397000000000002</v>
      </c>
      <c r="E106" s="350">
        <v>0</v>
      </c>
      <c r="F106" s="350">
        <v>16.977499999999999</v>
      </c>
      <c r="G106" s="350">
        <v>65.81</v>
      </c>
      <c r="H106" s="351">
        <f t="shared" si="212"/>
        <v>7482.09933</v>
      </c>
      <c r="I106" s="351">
        <f t="shared" si="213"/>
        <v>6376.1374930000002</v>
      </c>
      <c r="J106" s="352">
        <f t="shared" si="214"/>
        <v>0</v>
      </c>
      <c r="K106" s="352">
        <f t="shared" si="279"/>
        <v>0</v>
      </c>
      <c r="L106" s="353">
        <f t="shared" si="280"/>
        <v>7482.09933</v>
      </c>
      <c r="M106" s="353">
        <f t="shared" si="281"/>
        <v>6376.1374930000002</v>
      </c>
      <c r="N106" s="343">
        <f t="shared" si="282"/>
        <v>7482.09933</v>
      </c>
      <c r="O106" s="343">
        <f t="shared" si="283"/>
        <v>6376.1374930000002</v>
      </c>
      <c r="Q106" s="374">
        <v>9.3527000000000005</v>
      </c>
      <c r="R106" s="375">
        <v>4.3133999999999997</v>
      </c>
      <c r="S106" s="374">
        <v>0</v>
      </c>
      <c r="T106" s="374">
        <v>4.8333000000000004</v>
      </c>
      <c r="U106" s="374">
        <v>16.395</v>
      </c>
      <c r="V106" s="351">
        <f t="shared" si="215"/>
        <v>5980.1163800000004</v>
      </c>
      <c r="W106" s="351">
        <f t="shared" si="216"/>
        <v>5182.0324920000003</v>
      </c>
      <c r="X106" s="352">
        <f t="shared" si="217"/>
        <v>0</v>
      </c>
      <c r="Y106" s="352">
        <f t="shared" si="284"/>
        <v>0</v>
      </c>
      <c r="Z106" s="353">
        <f t="shared" si="285"/>
        <v>5980.1163800000004</v>
      </c>
      <c r="AA106" s="353">
        <f t="shared" si="286"/>
        <v>5182.0324920000003</v>
      </c>
      <c r="AB106" s="343">
        <f t="shared" si="287"/>
        <v>5980.1163800000004</v>
      </c>
      <c r="AC106" s="343">
        <f t="shared" si="288"/>
        <v>5182.0324920000003</v>
      </c>
      <c r="AE106" s="374">
        <v>13.4161</v>
      </c>
      <c r="AF106" s="375">
        <v>5.0476000000000001</v>
      </c>
      <c r="AG106" s="374">
        <v>0</v>
      </c>
      <c r="AH106" s="374">
        <v>2</v>
      </c>
      <c r="AI106" s="374">
        <v>4.3867000000000003</v>
      </c>
      <c r="AJ106" s="351">
        <f t="shared" si="218"/>
        <v>5749.8721379999997</v>
      </c>
      <c r="AK106" s="351">
        <f t="shared" si="219"/>
        <v>5018.222968</v>
      </c>
      <c r="AL106" s="352">
        <f t="shared" si="220"/>
        <v>0</v>
      </c>
      <c r="AM106" s="352">
        <f t="shared" si="289"/>
        <v>0</v>
      </c>
      <c r="AN106" s="353">
        <f t="shared" si="290"/>
        <v>5749.8721379999997</v>
      </c>
      <c r="AO106" s="353">
        <f t="shared" si="291"/>
        <v>5018.222968</v>
      </c>
      <c r="AP106" s="343">
        <f t="shared" si="292"/>
        <v>5749.8721379999997</v>
      </c>
      <c r="AQ106" s="343">
        <f t="shared" si="293"/>
        <v>5018.222968</v>
      </c>
      <c r="AS106" s="374">
        <v>18.0534</v>
      </c>
      <c r="AT106" s="375">
        <v>6.5787000000000004</v>
      </c>
      <c r="AU106" s="374">
        <v>0</v>
      </c>
      <c r="AV106" s="374">
        <v>38.605800000000002</v>
      </c>
      <c r="AW106" s="374">
        <v>92.956699999999998</v>
      </c>
      <c r="AX106" s="351">
        <f t="shared" si="221"/>
        <v>6150.2517779999998</v>
      </c>
      <c r="AY106" s="351">
        <f t="shared" si="222"/>
        <v>4494.0415440000006</v>
      </c>
      <c r="AZ106" s="352">
        <f t="shared" si="223"/>
        <v>0</v>
      </c>
      <c r="BA106" s="352">
        <f t="shared" si="294"/>
        <v>0</v>
      </c>
      <c r="BB106" s="353">
        <f t="shared" si="295"/>
        <v>6150.2517779999998</v>
      </c>
      <c r="BC106" s="353">
        <f t="shared" si="296"/>
        <v>4494.0415440000006</v>
      </c>
      <c r="BD106" s="343">
        <f t="shared" si="297"/>
        <v>6150.2517779999998</v>
      </c>
      <c r="BE106" s="343">
        <f t="shared" si="298"/>
        <v>4494.0415440000006</v>
      </c>
      <c r="BG106" s="374">
        <v>16.113299999999999</v>
      </c>
      <c r="BH106" s="375">
        <v>7.2275</v>
      </c>
      <c r="BI106" s="374">
        <v>0</v>
      </c>
      <c r="BJ106" s="374">
        <v>18.5867</v>
      </c>
      <c r="BK106" s="374">
        <v>52.190800000000003</v>
      </c>
      <c r="BL106" s="351">
        <f t="shared" si="224"/>
        <v>5394.249440999999</v>
      </c>
      <c r="BM106" s="351">
        <f t="shared" si="225"/>
        <v>4234.7367999999997</v>
      </c>
      <c r="BN106" s="352">
        <f t="shared" si="226"/>
        <v>0</v>
      </c>
      <c r="BO106" s="352">
        <f t="shared" si="299"/>
        <v>0</v>
      </c>
      <c r="BP106" s="353">
        <f t="shared" si="300"/>
        <v>5394.249440999999</v>
      </c>
      <c r="BQ106" s="353">
        <f t="shared" si="301"/>
        <v>4234.7367999999997</v>
      </c>
      <c r="BR106" s="343">
        <f t="shared" si="302"/>
        <v>5394.249440999999</v>
      </c>
      <c r="BS106" s="343">
        <f t="shared" si="303"/>
        <v>4234.7367999999997</v>
      </c>
      <c r="BU106" s="374">
        <v>15.255100000000001</v>
      </c>
      <c r="BV106" s="375">
        <v>7.0953999999999997</v>
      </c>
      <c r="BW106" s="374">
        <v>0</v>
      </c>
      <c r="BX106" s="374">
        <v>19.422499999999999</v>
      </c>
      <c r="BY106" s="374">
        <v>26.6967</v>
      </c>
      <c r="BZ106" s="351">
        <f t="shared" si="227"/>
        <v>3541.0138120000001</v>
      </c>
      <c r="CA106" s="351">
        <f t="shared" si="228"/>
        <v>2709.5203980000001</v>
      </c>
      <c r="CB106" s="352">
        <f t="shared" si="229"/>
        <v>0</v>
      </c>
      <c r="CC106" s="352">
        <f t="shared" si="304"/>
        <v>0</v>
      </c>
      <c r="CD106" s="353">
        <f t="shared" si="305"/>
        <v>3541.0138120000001</v>
      </c>
      <c r="CE106" s="353">
        <f t="shared" si="306"/>
        <v>2709.5203980000001</v>
      </c>
      <c r="CF106" s="343">
        <f t="shared" si="307"/>
        <v>3541.0138120000001</v>
      </c>
      <c r="CG106" s="343">
        <f t="shared" si="308"/>
        <v>2709.5203980000001</v>
      </c>
      <c r="CI106" s="374">
        <v>0.46989999999999998</v>
      </c>
      <c r="CJ106" s="375">
        <v>0.21560000000000001</v>
      </c>
      <c r="CK106" s="374">
        <v>0</v>
      </c>
      <c r="CL106" s="374">
        <v>105.88420000000001</v>
      </c>
      <c r="CM106" s="374">
        <v>236.1908</v>
      </c>
      <c r="CN106" s="351">
        <f t="shared" si="230"/>
        <v>99.867846999999998</v>
      </c>
      <c r="CO106" s="351">
        <f t="shared" si="231"/>
        <v>59.38702</v>
      </c>
      <c r="CP106" s="352">
        <f t="shared" si="232"/>
        <v>0</v>
      </c>
      <c r="CQ106" s="352">
        <f t="shared" si="309"/>
        <v>0</v>
      </c>
      <c r="CR106" s="353">
        <f t="shared" si="310"/>
        <v>99.867846999999998</v>
      </c>
      <c r="CS106" s="353">
        <f t="shared" si="311"/>
        <v>59.38702</v>
      </c>
      <c r="CT106" s="343">
        <f t="shared" si="312"/>
        <v>99.867846999999998</v>
      </c>
      <c r="CU106" s="343">
        <f t="shared" si="313"/>
        <v>59.38702</v>
      </c>
      <c r="CW106" s="374">
        <v>1.1456</v>
      </c>
      <c r="CX106" s="375">
        <v>0.51319999999999999</v>
      </c>
      <c r="CY106" s="374">
        <v>0</v>
      </c>
      <c r="CZ106" s="374">
        <v>26.05</v>
      </c>
      <c r="DA106" s="374">
        <v>59.849200000000003</v>
      </c>
      <c r="DB106" s="351">
        <f t="shared" si="233"/>
        <v>256.87788799999998</v>
      </c>
      <c r="DC106" s="351">
        <f t="shared" si="234"/>
        <v>159.471768</v>
      </c>
      <c r="DD106" s="352">
        <f t="shared" si="235"/>
        <v>0</v>
      </c>
      <c r="DE106" s="352">
        <f t="shared" si="314"/>
        <v>0</v>
      </c>
      <c r="DF106" s="353">
        <f t="shared" si="315"/>
        <v>256.87788799999998</v>
      </c>
      <c r="DG106" s="353">
        <f t="shared" si="316"/>
        <v>159.471768</v>
      </c>
      <c r="DH106" s="343">
        <f t="shared" si="317"/>
        <v>256.87788799999998</v>
      </c>
      <c r="DI106" s="343">
        <f t="shared" si="318"/>
        <v>159.471768</v>
      </c>
      <c r="DK106" s="374">
        <v>1.5822000000000001</v>
      </c>
      <c r="DL106" s="375">
        <v>0.748</v>
      </c>
      <c r="DM106" s="374">
        <v>0</v>
      </c>
      <c r="DN106" s="374">
        <v>39.717500000000001</v>
      </c>
      <c r="DO106" s="374">
        <v>49.44</v>
      </c>
      <c r="DP106" s="351">
        <f t="shared" si="236"/>
        <v>208.48649400000002</v>
      </c>
      <c r="DQ106" s="351">
        <f t="shared" si="237"/>
        <v>147.25128000000001</v>
      </c>
      <c r="DR106" s="352">
        <f t="shared" si="238"/>
        <v>0</v>
      </c>
      <c r="DS106" s="352">
        <f t="shared" si="319"/>
        <v>0</v>
      </c>
      <c r="DT106" s="353">
        <f t="shared" si="320"/>
        <v>208.48649400000002</v>
      </c>
      <c r="DU106" s="353">
        <f t="shared" si="321"/>
        <v>147.25128000000001</v>
      </c>
      <c r="DV106" s="343">
        <f t="shared" si="322"/>
        <v>208.48649400000002</v>
      </c>
      <c r="DW106" s="343">
        <f t="shared" si="323"/>
        <v>147.25128000000001</v>
      </c>
      <c r="EB106" s="326"/>
      <c r="EC106" s="326"/>
      <c r="ED106" s="326"/>
      <c r="EE106" s="348">
        <f t="shared" si="324"/>
        <v>187.51750000000001</v>
      </c>
      <c r="EF106" s="348">
        <f t="shared" si="325"/>
        <v>454.80669999999998</v>
      </c>
      <c r="EG106" s="348">
        <f t="shared" si="326"/>
        <v>13937.721265399998</v>
      </c>
      <c r="EH106" s="348">
        <f t="shared" si="327"/>
        <v>11057.143471400002</v>
      </c>
      <c r="EI106" s="354">
        <f t="shared" ref="EI106:EI110" si="335" xml:space="preserve"> IF(   SUM(EE106:EF106) = 0,    IF( EG106&lt;EH106, lambdax_min, lambdax_max ),
                                                                   MAX( lambdax_min, MIN( lambdax_max, EE106 / SUM(EE106:EF106) ) )     )</f>
        <v>0.29193591024594745</v>
      </c>
      <c r="EJ106" s="326"/>
      <c r="EK106" s="348">
        <f t="shared" si="328"/>
        <v>13937.721265399998</v>
      </c>
      <c r="EL106" s="348">
        <f t="shared" si="329"/>
        <v>11057.143471400002</v>
      </c>
      <c r="EM106" s="348">
        <f t="shared" si="330"/>
        <v>13937.721265399998</v>
      </c>
      <c r="EN106" s="348">
        <f t="shared" si="331"/>
        <v>11057.143471400002</v>
      </c>
      <c r="EP106" s="326"/>
      <c r="EQ106" s="326"/>
      <c r="ER106" s="326"/>
      <c r="ES106" s="348">
        <f t="shared" si="240"/>
        <v>155.35420000000002</v>
      </c>
      <c r="ET106" s="348">
        <f t="shared" si="241"/>
        <v>364.62580000000003</v>
      </c>
      <c r="EU106" s="348">
        <f t="shared" si="242"/>
        <v>11654.048189599998</v>
      </c>
      <c r="EV106" s="348">
        <f t="shared" si="243"/>
        <v>9587.7865496000013</v>
      </c>
      <c r="EW106" s="354">
        <f t="shared" ref="EW106:EW110" si="336" xml:space="preserve"> IF(   SUM(ES106:ET106) = 0,    IF( EU106&lt;EV106, lambdax_min, lambdax_max ),
                                                                   MAX( lambdax_min, MIN( lambdax_max, ES106 / SUM(ES106:ET106) ) )     )</f>
        <v>0.29876956806031002</v>
      </c>
      <c r="EX106" s="326"/>
      <c r="EY106" s="348">
        <f t="shared" si="245"/>
        <v>11654.048189599998</v>
      </c>
      <c r="EZ106" s="348">
        <f t="shared" si="246"/>
        <v>9587.7865496000013</v>
      </c>
      <c r="FA106" s="348">
        <f t="shared" si="247"/>
        <v>11654.048189599998</v>
      </c>
      <c r="FB106" s="348">
        <f t="shared" si="248"/>
        <v>9587.7865496000013</v>
      </c>
      <c r="FD106" s="326"/>
      <c r="FE106" s="326"/>
      <c r="FF106" s="326"/>
      <c r="FG106" s="348">
        <f t="shared" si="249"/>
        <v>167.02420000000001</v>
      </c>
      <c r="FH106" s="348">
        <f t="shared" si="250"/>
        <v>316.71420000000001</v>
      </c>
      <c r="FI106" s="348">
        <f t="shared" si="251"/>
        <v>9515.8456933999987</v>
      </c>
      <c r="FJ106" s="348">
        <f t="shared" si="252"/>
        <v>7875.481154000001</v>
      </c>
      <c r="FK106" s="354">
        <f t="shared" ref="FK106:FK110" si="337" xml:space="preserve"> IF(   SUM(FG106:FH106) = 0,    IF( FI106&lt;FJ106, lambdax_min, lambdax_max ),
                                                                   MAX( lambdax_min, MIN( lambdax_max, FG106 / SUM(FG106:FH106) ) )     )</f>
        <v>0.34527794361580555</v>
      </c>
      <c r="FL106" s="326"/>
      <c r="FM106" s="348">
        <f t="shared" si="254"/>
        <v>9515.8456933999987</v>
      </c>
      <c r="FN106" s="348">
        <f t="shared" si="255"/>
        <v>7875.481154000001</v>
      </c>
      <c r="FO106" s="348">
        <f t="shared" si="256"/>
        <v>9515.8456933999987</v>
      </c>
      <c r="FP106" s="348">
        <f t="shared" si="257"/>
        <v>7875.481154000001</v>
      </c>
      <c r="FR106" s="326"/>
      <c r="FS106" s="326"/>
      <c r="FT106" s="326"/>
      <c r="FU106" s="348">
        <f t="shared" si="258"/>
        <v>131.9342</v>
      </c>
      <c r="FV106" s="348">
        <f t="shared" si="259"/>
        <v>296.04000000000002</v>
      </c>
      <c r="FW106" s="348">
        <f t="shared" si="260"/>
        <v>305.37015739999998</v>
      </c>
      <c r="FX106" s="348">
        <f t="shared" si="261"/>
        <v>186.96443440000002</v>
      </c>
      <c r="FY106" s="354">
        <f t="shared" ref="FY106:FY110" si="338" xml:space="preserve"> IF(   SUM(FU106:FV106) = 0,    IF( FW106&lt;FX106, lambdax_min, lambdax_max ),
                                                                   MAX( lambdax_min, MIN( lambdax_max, FU106 / SUM(FU106:FV106) ) )     )</f>
        <v>0.30827605963163202</v>
      </c>
      <c r="FZ106" s="326"/>
      <c r="GA106" s="348">
        <f t="shared" si="263"/>
        <v>305.37015739999998</v>
      </c>
      <c r="GB106" s="348">
        <f t="shared" si="264"/>
        <v>186.96443440000002</v>
      </c>
      <c r="GC106" s="348">
        <f t="shared" si="265"/>
        <v>305.37015739999998</v>
      </c>
      <c r="GD106" s="348">
        <f t="shared" si="266"/>
        <v>186.96443440000002</v>
      </c>
      <c r="GF106" s="326"/>
      <c r="GG106" s="326"/>
      <c r="GH106" s="326"/>
      <c r="GI106" s="348">
        <f t="shared" si="267"/>
        <v>58.028300000000002</v>
      </c>
      <c r="GJ106" s="348">
        <f t="shared" si="268"/>
        <v>119.6534</v>
      </c>
      <c r="GK106" s="349">
        <f t="shared" si="269"/>
        <v>1956.9284744999998</v>
      </c>
      <c r="GL106" s="349">
        <f t="shared" si="270"/>
        <v>1338.3908595000003</v>
      </c>
      <c r="GM106" s="354">
        <f t="shared" ref="GM106:GM110" si="339" xml:space="preserve"> IF(   SUM(GI106:GJ106) = 0,    IF( GK106&lt;GL106, lambdax_min, lambdax_max ),
                                                                   MAX( lambdax_min, MIN( lambdax_max, GI106 / SUM(GI106:GJ106) ) )     )</f>
        <v>0.32658568665203003</v>
      </c>
      <c r="GN106" s="326"/>
      <c r="GO106" s="349">
        <f t="shared" si="272"/>
        <v>1956.9284744999998</v>
      </c>
      <c r="GP106" s="349">
        <f t="shared" si="273"/>
        <v>1338.3908595000003</v>
      </c>
      <c r="GQ106" s="349">
        <f t="shared" si="274"/>
        <v>1956.9284744999998</v>
      </c>
      <c r="GR106" s="349">
        <f t="shared" si="275"/>
        <v>1338.3908595000003</v>
      </c>
      <c r="HA106" s="374"/>
      <c r="HB106" s="375"/>
      <c r="HC106" s="374"/>
      <c r="HD106" s="374"/>
      <c r="HE106" s="374"/>
      <c r="HF106" s="351">
        <f t="shared" si="276"/>
        <v>0</v>
      </c>
      <c r="HG106" s="351">
        <f t="shared" si="277"/>
        <v>0</v>
      </c>
      <c r="HH106" s="352">
        <f t="shared" si="278"/>
        <v>0</v>
      </c>
      <c r="HI106" s="352">
        <f t="shared" si="332"/>
        <v>0</v>
      </c>
      <c r="HJ106" s="353">
        <f t="shared" si="333"/>
        <v>0</v>
      </c>
      <c r="HK106" s="353">
        <f t="shared" si="334"/>
        <v>0</v>
      </c>
    </row>
    <row r="107" spans="1:219" x14ac:dyDescent="0.2">
      <c r="A107" s="320">
        <v>97</v>
      </c>
      <c r="C107" s="350">
        <v>7.7823000000000002</v>
      </c>
      <c r="D107" s="350">
        <v>3.4695999999999998</v>
      </c>
      <c r="E107" s="350">
        <v>0</v>
      </c>
      <c r="F107" s="350">
        <v>9.5792000000000002</v>
      </c>
      <c r="G107" s="350">
        <v>65.279200000000003</v>
      </c>
      <c r="H107" s="351">
        <f t="shared" si="212"/>
        <v>7596.30303</v>
      </c>
      <c r="I107" s="351">
        <f t="shared" si="213"/>
        <v>6431.5628239999996</v>
      </c>
      <c r="J107" s="352">
        <f t="shared" si="214"/>
        <v>0</v>
      </c>
      <c r="K107" s="352">
        <f t="shared" si="279"/>
        <v>0</v>
      </c>
      <c r="L107" s="353">
        <f t="shared" si="280"/>
        <v>7596.30303</v>
      </c>
      <c r="M107" s="353">
        <f t="shared" si="281"/>
        <v>6431.5628239999996</v>
      </c>
      <c r="N107" s="343">
        <f t="shared" si="282"/>
        <v>7596.30303</v>
      </c>
      <c r="O107" s="343">
        <f t="shared" si="283"/>
        <v>6431.5628239999996</v>
      </c>
      <c r="Q107" s="374">
        <v>9.3952000000000009</v>
      </c>
      <c r="R107" s="375">
        <v>4.3383000000000003</v>
      </c>
      <c r="S107" s="374">
        <v>0</v>
      </c>
      <c r="T107" s="374">
        <v>3.5832999999999999</v>
      </c>
      <c r="U107" s="374">
        <v>17.322500000000002</v>
      </c>
      <c r="V107" s="351">
        <f t="shared" si="215"/>
        <v>6007.2908800000005</v>
      </c>
      <c r="W107" s="351">
        <f t="shared" si="216"/>
        <v>5211.9468540000007</v>
      </c>
      <c r="X107" s="352">
        <f t="shared" si="217"/>
        <v>0</v>
      </c>
      <c r="Y107" s="352">
        <f t="shared" si="284"/>
        <v>0</v>
      </c>
      <c r="Z107" s="353">
        <f t="shared" si="285"/>
        <v>6007.2908800000005</v>
      </c>
      <c r="AA107" s="353">
        <f t="shared" si="286"/>
        <v>5211.9468540000007</v>
      </c>
      <c r="AB107" s="343">
        <f t="shared" si="287"/>
        <v>6007.2908800000005</v>
      </c>
      <c r="AC107" s="343">
        <f t="shared" si="288"/>
        <v>5211.9468540000007</v>
      </c>
      <c r="AE107" s="374">
        <v>13.572900000000001</v>
      </c>
      <c r="AF107" s="375">
        <v>5.0583999999999998</v>
      </c>
      <c r="AG107" s="374">
        <v>0</v>
      </c>
      <c r="AH107" s="374">
        <v>1.25</v>
      </c>
      <c r="AI107" s="374">
        <v>6</v>
      </c>
      <c r="AJ107" s="351">
        <f t="shared" si="218"/>
        <v>5817.0734819999998</v>
      </c>
      <c r="AK107" s="351">
        <f t="shared" si="219"/>
        <v>5028.9601119999998</v>
      </c>
      <c r="AL107" s="352">
        <f t="shared" si="220"/>
        <v>0</v>
      </c>
      <c r="AM107" s="352">
        <f t="shared" si="289"/>
        <v>0</v>
      </c>
      <c r="AN107" s="353">
        <f t="shared" si="290"/>
        <v>5817.0734819999998</v>
      </c>
      <c r="AO107" s="353">
        <f t="shared" si="291"/>
        <v>5028.9601119999998</v>
      </c>
      <c r="AP107" s="343">
        <f t="shared" si="292"/>
        <v>5817.0734819999998</v>
      </c>
      <c r="AQ107" s="343">
        <f t="shared" si="293"/>
        <v>5028.9601119999998</v>
      </c>
      <c r="AS107" s="374">
        <v>18.147400000000001</v>
      </c>
      <c r="AT107" s="375">
        <v>6.5787000000000004</v>
      </c>
      <c r="AU107" s="374">
        <v>0</v>
      </c>
      <c r="AV107" s="374">
        <v>25.5867</v>
      </c>
      <c r="AW107" s="374">
        <v>50.801699999999997</v>
      </c>
      <c r="AX107" s="351">
        <f t="shared" si="221"/>
        <v>6182.2747580000005</v>
      </c>
      <c r="AY107" s="351">
        <f t="shared" si="222"/>
        <v>4494.0415440000006</v>
      </c>
      <c r="AZ107" s="352">
        <f t="shared" si="223"/>
        <v>0</v>
      </c>
      <c r="BA107" s="352">
        <f t="shared" si="294"/>
        <v>0</v>
      </c>
      <c r="BB107" s="353">
        <f t="shared" si="295"/>
        <v>6182.2747580000005</v>
      </c>
      <c r="BC107" s="353">
        <f t="shared" si="296"/>
        <v>4494.0415440000006</v>
      </c>
      <c r="BD107" s="343">
        <f t="shared" si="297"/>
        <v>6182.2747580000005</v>
      </c>
      <c r="BE107" s="343">
        <f t="shared" si="298"/>
        <v>4494.0415440000006</v>
      </c>
      <c r="BG107" s="374">
        <v>16.143799999999999</v>
      </c>
      <c r="BH107" s="375">
        <v>7.2275</v>
      </c>
      <c r="BI107" s="374">
        <v>0</v>
      </c>
      <c r="BJ107" s="374">
        <v>14.6075</v>
      </c>
      <c r="BK107" s="374">
        <v>49.615000000000002</v>
      </c>
      <c r="BL107" s="351">
        <f t="shared" si="224"/>
        <v>5404.4599259999995</v>
      </c>
      <c r="BM107" s="351">
        <f t="shared" si="225"/>
        <v>4234.7367999999997</v>
      </c>
      <c r="BN107" s="352">
        <f t="shared" si="226"/>
        <v>0</v>
      </c>
      <c r="BO107" s="352">
        <f t="shared" si="299"/>
        <v>0</v>
      </c>
      <c r="BP107" s="353">
        <f t="shared" si="300"/>
        <v>5404.4599259999995</v>
      </c>
      <c r="BQ107" s="353">
        <f t="shared" si="301"/>
        <v>4234.7367999999997</v>
      </c>
      <c r="BR107" s="343">
        <f t="shared" si="302"/>
        <v>5404.4599259999995</v>
      </c>
      <c r="BS107" s="343">
        <f t="shared" si="303"/>
        <v>4234.7367999999997</v>
      </c>
      <c r="BU107" s="374">
        <v>15.255100000000001</v>
      </c>
      <c r="BV107" s="375">
        <v>7.0953999999999997</v>
      </c>
      <c r="BW107" s="374">
        <v>0</v>
      </c>
      <c r="BX107" s="374">
        <v>10.343299999999999</v>
      </c>
      <c r="BY107" s="374">
        <v>28.767499999999998</v>
      </c>
      <c r="BZ107" s="351">
        <f t="shared" si="227"/>
        <v>3541.0138120000001</v>
      </c>
      <c r="CA107" s="351">
        <f t="shared" si="228"/>
        <v>2709.5203980000001</v>
      </c>
      <c r="CB107" s="352">
        <f t="shared" si="229"/>
        <v>0</v>
      </c>
      <c r="CC107" s="352">
        <f t="shared" si="304"/>
        <v>0</v>
      </c>
      <c r="CD107" s="353">
        <f t="shared" si="305"/>
        <v>3541.0138120000001</v>
      </c>
      <c r="CE107" s="353">
        <f t="shared" si="306"/>
        <v>2709.5203980000001</v>
      </c>
      <c r="CF107" s="343">
        <f t="shared" si="307"/>
        <v>3541.0138120000001</v>
      </c>
      <c r="CG107" s="343">
        <f t="shared" si="308"/>
        <v>2709.5203980000001</v>
      </c>
      <c r="CI107" s="374">
        <v>0.45150000000000001</v>
      </c>
      <c r="CJ107" s="375">
        <v>0.19289999999999999</v>
      </c>
      <c r="CK107" s="374">
        <v>0</v>
      </c>
      <c r="CL107" s="374">
        <v>69.965800000000002</v>
      </c>
      <c r="CM107" s="374">
        <v>181.45830000000001</v>
      </c>
      <c r="CN107" s="351">
        <f t="shared" si="230"/>
        <v>95.957295000000002</v>
      </c>
      <c r="CO107" s="351">
        <f t="shared" si="231"/>
        <v>53.134304999999998</v>
      </c>
      <c r="CP107" s="352">
        <f t="shared" si="232"/>
        <v>0</v>
      </c>
      <c r="CQ107" s="352">
        <f t="shared" si="309"/>
        <v>0</v>
      </c>
      <c r="CR107" s="353">
        <f t="shared" si="310"/>
        <v>95.957295000000002</v>
      </c>
      <c r="CS107" s="353">
        <f t="shared" si="311"/>
        <v>53.134304999999998</v>
      </c>
      <c r="CT107" s="343">
        <f t="shared" si="312"/>
        <v>95.957295000000002</v>
      </c>
      <c r="CU107" s="343">
        <f t="shared" si="313"/>
        <v>53.134304999999998</v>
      </c>
      <c r="CW107" s="374">
        <v>1.0223</v>
      </c>
      <c r="CX107" s="375">
        <v>0.42159999999999997</v>
      </c>
      <c r="CY107" s="374">
        <v>0</v>
      </c>
      <c r="CZ107" s="374">
        <v>11.765000000000001</v>
      </c>
      <c r="DA107" s="374">
        <v>32.370800000000003</v>
      </c>
      <c r="DB107" s="351">
        <f t="shared" si="233"/>
        <v>229.23032899999998</v>
      </c>
      <c r="DC107" s="351">
        <f t="shared" si="234"/>
        <v>131.00798399999999</v>
      </c>
      <c r="DD107" s="352">
        <f t="shared" si="235"/>
        <v>0</v>
      </c>
      <c r="DE107" s="352">
        <f t="shared" si="314"/>
        <v>0</v>
      </c>
      <c r="DF107" s="353">
        <f t="shared" si="315"/>
        <v>229.23032899999998</v>
      </c>
      <c r="DG107" s="353">
        <f t="shared" si="316"/>
        <v>131.00798399999999</v>
      </c>
      <c r="DH107" s="343">
        <f t="shared" si="317"/>
        <v>229.23032899999998</v>
      </c>
      <c r="DI107" s="343">
        <f t="shared" si="318"/>
        <v>131.00798399999999</v>
      </c>
      <c r="DK107" s="374">
        <v>1.4429000000000001</v>
      </c>
      <c r="DL107" s="375">
        <v>0.66510000000000002</v>
      </c>
      <c r="DM107" s="374">
        <v>0</v>
      </c>
      <c r="DN107" s="374">
        <v>24.717500000000001</v>
      </c>
      <c r="DO107" s="374">
        <v>43.722499999999997</v>
      </c>
      <c r="DP107" s="351">
        <f t="shared" si="236"/>
        <v>190.13093300000003</v>
      </c>
      <c r="DQ107" s="351">
        <f t="shared" si="237"/>
        <v>130.93158600000001</v>
      </c>
      <c r="DR107" s="352">
        <f t="shared" si="238"/>
        <v>0</v>
      </c>
      <c r="DS107" s="352">
        <f t="shared" si="319"/>
        <v>0</v>
      </c>
      <c r="DT107" s="353">
        <f t="shared" si="320"/>
        <v>190.13093300000003</v>
      </c>
      <c r="DU107" s="353">
        <f t="shared" si="321"/>
        <v>130.93158600000001</v>
      </c>
      <c r="DV107" s="343">
        <f t="shared" si="322"/>
        <v>190.13093300000003</v>
      </c>
      <c r="DW107" s="343">
        <f t="shared" si="323"/>
        <v>130.93158600000001</v>
      </c>
      <c r="EB107" s="326"/>
      <c r="EC107" s="326"/>
      <c r="ED107" s="326"/>
      <c r="EE107" s="348">
        <f t="shared" si="324"/>
        <v>116.8967</v>
      </c>
      <c r="EF107" s="348">
        <f t="shared" si="325"/>
        <v>329.90999999999997</v>
      </c>
      <c r="EG107" s="348">
        <f t="shared" si="326"/>
        <v>14057.9193462</v>
      </c>
      <c r="EH107" s="348">
        <f t="shared" si="327"/>
        <v>11083.5450602</v>
      </c>
      <c r="EI107" s="354">
        <f t="shared" si="335"/>
        <v>0.26162700783135079</v>
      </c>
      <c r="EJ107" s="326"/>
      <c r="EK107" s="348">
        <f t="shared" si="328"/>
        <v>14057.9193462</v>
      </c>
      <c r="EL107" s="348">
        <f t="shared" si="329"/>
        <v>11083.5450602</v>
      </c>
      <c r="EM107" s="348">
        <f t="shared" si="330"/>
        <v>14057.9193462</v>
      </c>
      <c r="EN107" s="348">
        <f t="shared" si="331"/>
        <v>11083.5450602</v>
      </c>
      <c r="EP107" s="326"/>
      <c r="EQ107" s="326"/>
      <c r="ER107" s="326"/>
      <c r="ES107" s="348">
        <f t="shared" si="240"/>
        <v>99.921599999999998</v>
      </c>
      <c r="ET107" s="348">
        <f t="shared" si="241"/>
        <v>280.76660000000004</v>
      </c>
      <c r="EU107" s="348">
        <f t="shared" si="242"/>
        <v>11668.1693313</v>
      </c>
      <c r="EV107" s="348">
        <f t="shared" si="243"/>
        <v>9591.5235477999995</v>
      </c>
      <c r="EW107" s="354">
        <f t="shared" si="336"/>
        <v>0.26247622069714793</v>
      </c>
      <c r="EX107" s="326"/>
      <c r="EY107" s="348">
        <f t="shared" si="245"/>
        <v>11668.1693313</v>
      </c>
      <c r="EZ107" s="348">
        <f t="shared" si="246"/>
        <v>9591.5235477999995</v>
      </c>
      <c r="FA107" s="348">
        <f t="shared" si="247"/>
        <v>11668.1693313</v>
      </c>
      <c r="FB107" s="348">
        <f t="shared" si="248"/>
        <v>9591.5235477999995</v>
      </c>
      <c r="FD107" s="326"/>
      <c r="FE107" s="326"/>
      <c r="FF107" s="326"/>
      <c r="FG107" s="348">
        <f t="shared" si="249"/>
        <v>106.2766</v>
      </c>
      <c r="FH107" s="348">
        <f t="shared" si="250"/>
        <v>259.94830000000002</v>
      </c>
      <c r="FI107" s="348">
        <f t="shared" si="251"/>
        <v>9568.1231488000012</v>
      </c>
      <c r="FJ107" s="348">
        <f t="shared" si="252"/>
        <v>7870.173766599999</v>
      </c>
      <c r="FK107" s="354">
        <f t="shared" si="337"/>
        <v>0.2901949048248767</v>
      </c>
      <c r="FL107" s="326"/>
      <c r="FM107" s="348">
        <f t="shared" si="254"/>
        <v>9568.1231488000012</v>
      </c>
      <c r="FN107" s="348">
        <f t="shared" si="255"/>
        <v>7870.173766599999</v>
      </c>
      <c r="FO107" s="348">
        <f t="shared" si="256"/>
        <v>9568.1231488000012</v>
      </c>
      <c r="FP107" s="348">
        <f t="shared" si="257"/>
        <v>7870.173766599999</v>
      </c>
      <c r="FR107" s="326"/>
      <c r="FS107" s="326"/>
      <c r="FT107" s="326"/>
      <c r="FU107" s="348">
        <f t="shared" si="258"/>
        <v>81.730800000000002</v>
      </c>
      <c r="FV107" s="348">
        <f t="shared" si="259"/>
        <v>213.82910000000001</v>
      </c>
      <c r="FW107" s="348">
        <f t="shared" si="260"/>
        <v>279.34155820000001</v>
      </c>
      <c r="FX107" s="348">
        <f t="shared" si="261"/>
        <v>157.9406922</v>
      </c>
      <c r="FY107" s="354">
        <f t="shared" si="338"/>
        <v>0.2765287171906608</v>
      </c>
      <c r="FZ107" s="326"/>
      <c r="GA107" s="348">
        <f t="shared" si="263"/>
        <v>279.34155820000001</v>
      </c>
      <c r="GB107" s="348">
        <f t="shared" si="264"/>
        <v>157.9406922</v>
      </c>
      <c r="GC107" s="348">
        <f t="shared" si="265"/>
        <v>279.34155820000001</v>
      </c>
      <c r="GD107" s="348">
        <f t="shared" si="266"/>
        <v>157.9406922</v>
      </c>
      <c r="GF107" s="326"/>
      <c r="GG107" s="326"/>
      <c r="GH107" s="326"/>
      <c r="GI107" s="348">
        <f t="shared" si="267"/>
        <v>35.93</v>
      </c>
      <c r="GJ107" s="348">
        <f t="shared" si="268"/>
        <v>79.569199999999995</v>
      </c>
      <c r="GK107" s="349">
        <f t="shared" si="269"/>
        <v>1980.9457095000002</v>
      </c>
      <c r="GL107" s="349">
        <f t="shared" si="270"/>
        <v>1338.3908595000003</v>
      </c>
      <c r="GM107" s="354">
        <f t="shared" si="339"/>
        <v>0.31108440577943397</v>
      </c>
      <c r="GN107" s="326"/>
      <c r="GO107" s="349">
        <f t="shared" si="272"/>
        <v>1980.9457095000002</v>
      </c>
      <c r="GP107" s="349">
        <f t="shared" si="273"/>
        <v>1338.3908595000003</v>
      </c>
      <c r="GQ107" s="349">
        <f t="shared" si="274"/>
        <v>1980.9457095000002</v>
      </c>
      <c r="GR107" s="349">
        <f t="shared" si="275"/>
        <v>1338.3908595000003</v>
      </c>
      <c r="HA107" s="374"/>
      <c r="HB107" s="375"/>
      <c r="HC107" s="374"/>
      <c r="HD107" s="374"/>
      <c r="HE107" s="374"/>
      <c r="HF107" s="351">
        <f t="shared" si="276"/>
        <v>0</v>
      </c>
      <c r="HG107" s="351">
        <f t="shared" si="277"/>
        <v>0</v>
      </c>
      <c r="HH107" s="352">
        <f t="shared" si="278"/>
        <v>0</v>
      </c>
      <c r="HI107" s="352">
        <f t="shared" si="332"/>
        <v>0</v>
      </c>
      <c r="HJ107" s="353">
        <f t="shared" si="333"/>
        <v>0</v>
      </c>
      <c r="HK107" s="353">
        <f t="shared" si="334"/>
        <v>0</v>
      </c>
    </row>
    <row r="108" spans="1:219" x14ac:dyDescent="0.2">
      <c r="A108" s="320">
        <v>98</v>
      </c>
      <c r="C108" s="350">
        <v>7.8993000000000002</v>
      </c>
      <c r="D108" s="350">
        <v>3.4992999999999999</v>
      </c>
      <c r="E108" s="350">
        <v>0</v>
      </c>
      <c r="F108" s="350">
        <v>14.3925</v>
      </c>
      <c r="G108" s="350">
        <v>53.826700000000002</v>
      </c>
      <c r="H108" s="351">
        <f t="shared" si="212"/>
        <v>7710.5067300000001</v>
      </c>
      <c r="I108" s="351">
        <f t="shared" si="213"/>
        <v>6486.6174169999995</v>
      </c>
      <c r="J108" s="352">
        <f t="shared" si="214"/>
        <v>0</v>
      </c>
      <c r="K108" s="352">
        <f t="shared" si="279"/>
        <v>0</v>
      </c>
      <c r="L108" s="353">
        <f t="shared" si="280"/>
        <v>7710.5067300000001</v>
      </c>
      <c r="M108" s="353">
        <f t="shared" si="281"/>
        <v>6486.6174169999995</v>
      </c>
      <c r="N108" s="343">
        <f t="shared" si="282"/>
        <v>7710.5067300000001</v>
      </c>
      <c r="O108" s="343">
        <f t="shared" si="283"/>
        <v>6486.6174169999995</v>
      </c>
      <c r="Q108" s="374">
        <v>9.4376999999999995</v>
      </c>
      <c r="R108" s="375">
        <v>4.3627000000000002</v>
      </c>
      <c r="S108" s="374">
        <v>0</v>
      </c>
      <c r="T108" s="374">
        <v>2.9167000000000001</v>
      </c>
      <c r="U108" s="374">
        <v>5.4166999999999996</v>
      </c>
      <c r="V108" s="351">
        <f t="shared" si="215"/>
        <v>6034.4653799999996</v>
      </c>
      <c r="W108" s="351">
        <f t="shared" si="216"/>
        <v>5241.2605260000009</v>
      </c>
      <c r="X108" s="352">
        <f t="shared" si="217"/>
        <v>0</v>
      </c>
      <c r="Y108" s="352">
        <f t="shared" si="284"/>
        <v>0</v>
      </c>
      <c r="Z108" s="353">
        <f t="shared" si="285"/>
        <v>6034.4653799999996</v>
      </c>
      <c r="AA108" s="353">
        <f t="shared" si="286"/>
        <v>5241.2605260000009</v>
      </c>
      <c r="AB108" s="343">
        <f t="shared" si="287"/>
        <v>6034.4653799999996</v>
      </c>
      <c r="AC108" s="343">
        <f t="shared" si="288"/>
        <v>5241.2605260000009</v>
      </c>
      <c r="AE108" s="374">
        <v>13.729200000000001</v>
      </c>
      <c r="AF108" s="375">
        <v>5.0693999999999999</v>
      </c>
      <c r="AG108" s="374">
        <v>0</v>
      </c>
      <c r="AH108" s="374">
        <v>5.5774999999999997</v>
      </c>
      <c r="AI108" s="374">
        <v>6.6666999999999996</v>
      </c>
      <c r="AJ108" s="351">
        <f t="shared" si="218"/>
        <v>5884.060536</v>
      </c>
      <c r="AK108" s="351">
        <f t="shared" si="219"/>
        <v>5039.896092</v>
      </c>
      <c r="AL108" s="352">
        <f t="shared" si="220"/>
        <v>0</v>
      </c>
      <c r="AM108" s="352">
        <f t="shared" si="289"/>
        <v>0</v>
      </c>
      <c r="AN108" s="353">
        <f t="shared" si="290"/>
        <v>5884.060536</v>
      </c>
      <c r="AO108" s="353">
        <f t="shared" si="291"/>
        <v>5039.896092</v>
      </c>
      <c r="AP108" s="343">
        <f t="shared" si="292"/>
        <v>5884.060536</v>
      </c>
      <c r="AQ108" s="343">
        <f t="shared" si="293"/>
        <v>5039.896092</v>
      </c>
      <c r="AS108" s="374">
        <v>18.240500000000001</v>
      </c>
      <c r="AT108" s="375">
        <v>6.5787000000000004</v>
      </c>
      <c r="AU108" s="374">
        <v>0</v>
      </c>
      <c r="AV108" s="374">
        <v>19.1633</v>
      </c>
      <c r="AW108" s="374">
        <v>47.638300000000001</v>
      </c>
      <c r="AX108" s="351">
        <f t="shared" si="221"/>
        <v>6213.9911350000002</v>
      </c>
      <c r="AY108" s="351">
        <f t="shared" si="222"/>
        <v>4494.0415440000006</v>
      </c>
      <c r="AZ108" s="352">
        <f t="shared" si="223"/>
        <v>0</v>
      </c>
      <c r="BA108" s="352">
        <f t="shared" si="294"/>
        <v>0</v>
      </c>
      <c r="BB108" s="353">
        <f t="shared" si="295"/>
        <v>6213.9911350000002</v>
      </c>
      <c r="BC108" s="353">
        <f t="shared" si="296"/>
        <v>4494.0415440000006</v>
      </c>
      <c r="BD108" s="343">
        <f t="shared" si="297"/>
        <v>6213.9911350000002</v>
      </c>
      <c r="BE108" s="343">
        <f t="shared" si="298"/>
        <v>4494.0415440000006</v>
      </c>
      <c r="BG108" s="374">
        <v>16.1736</v>
      </c>
      <c r="BH108" s="375">
        <v>7.2275</v>
      </c>
      <c r="BI108" s="374">
        <v>0</v>
      </c>
      <c r="BJ108" s="374">
        <v>20.844999999999999</v>
      </c>
      <c r="BK108" s="374">
        <v>33.407499999999999</v>
      </c>
      <c r="BL108" s="351">
        <f t="shared" si="224"/>
        <v>5414.4360719999995</v>
      </c>
      <c r="BM108" s="351">
        <f t="shared" si="225"/>
        <v>4234.7367999999997</v>
      </c>
      <c r="BN108" s="352">
        <f t="shared" si="226"/>
        <v>0</v>
      </c>
      <c r="BO108" s="352">
        <f t="shared" si="299"/>
        <v>0</v>
      </c>
      <c r="BP108" s="353">
        <f t="shared" si="300"/>
        <v>5414.4360719999995</v>
      </c>
      <c r="BQ108" s="353">
        <f t="shared" si="301"/>
        <v>4234.7367999999997</v>
      </c>
      <c r="BR108" s="343">
        <f t="shared" si="302"/>
        <v>5414.4360719999995</v>
      </c>
      <c r="BS108" s="343">
        <f t="shared" si="303"/>
        <v>4234.7367999999997</v>
      </c>
      <c r="BU108" s="374">
        <v>15.255100000000001</v>
      </c>
      <c r="BV108" s="375">
        <v>7.0953999999999997</v>
      </c>
      <c r="BW108" s="374">
        <v>0</v>
      </c>
      <c r="BX108" s="374">
        <v>11.57</v>
      </c>
      <c r="BY108" s="374">
        <v>24.9392</v>
      </c>
      <c r="BZ108" s="351">
        <f t="shared" si="227"/>
        <v>3541.0138120000001</v>
      </c>
      <c r="CA108" s="351">
        <f t="shared" si="228"/>
        <v>2709.5203980000001</v>
      </c>
      <c r="CB108" s="352">
        <f t="shared" si="229"/>
        <v>0</v>
      </c>
      <c r="CC108" s="352">
        <f t="shared" si="304"/>
        <v>0</v>
      </c>
      <c r="CD108" s="353">
        <f t="shared" si="305"/>
        <v>3541.0138120000001</v>
      </c>
      <c r="CE108" s="353">
        <f t="shared" si="306"/>
        <v>2709.5203980000001</v>
      </c>
      <c r="CF108" s="343">
        <f t="shared" si="307"/>
        <v>3541.0138120000001</v>
      </c>
      <c r="CG108" s="343">
        <f t="shared" si="308"/>
        <v>2709.5203980000001</v>
      </c>
      <c r="CI108" s="374">
        <v>0.43640000000000001</v>
      </c>
      <c r="CJ108" s="375">
        <v>0.17119999999999999</v>
      </c>
      <c r="CK108" s="374">
        <v>0</v>
      </c>
      <c r="CL108" s="374">
        <v>70.911699999999996</v>
      </c>
      <c r="CM108" s="374">
        <v>144.21170000000001</v>
      </c>
      <c r="CN108" s="351">
        <f t="shared" si="230"/>
        <v>92.748092</v>
      </c>
      <c r="CO108" s="351">
        <f t="shared" si="231"/>
        <v>47.157039999999995</v>
      </c>
      <c r="CP108" s="352">
        <f t="shared" si="232"/>
        <v>0</v>
      </c>
      <c r="CQ108" s="352">
        <f t="shared" si="309"/>
        <v>0</v>
      </c>
      <c r="CR108" s="353">
        <f t="shared" si="310"/>
        <v>92.748092</v>
      </c>
      <c r="CS108" s="353">
        <f t="shared" si="311"/>
        <v>47.157039999999995</v>
      </c>
      <c r="CT108" s="343">
        <f t="shared" si="312"/>
        <v>92.748092</v>
      </c>
      <c r="CU108" s="343">
        <f t="shared" si="313"/>
        <v>47.157039999999995</v>
      </c>
      <c r="CW108" s="374">
        <v>0.89890000000000003</v>
      </c>
      <c r="CX108" s="375">
        <v>0.33</v>
      </c>
      <c r="CY108" s="374">
        <v>0</v>
      </c>
      <c r="CZ108" s="374">
        <v>16.432500000000001</v>
      </c>
      <c r="DA108" s="374">
        <v>22.645800000000001</v>
      </c>
      <c r="DB108" s="351">
        <f t="shared" si="233"/>
        <v>201.56034700000001</v>
      </c>
      <c r="DC108" s="351">
        <f t="shared" si="234"/>
        <v>102.5442</v>
      </c>
      <c r="DD108" s="352">
        <f t="shared" si="235"/>
        <v>0</v>
      </c>
      <c r="DE108" s="352">
        <f t="shared" si="314"/>
        <v>0</v>
      </c>
      <c r="DF108" s="353">
        <f t="shared" si="315"/>
        <v>201.56034700000001</v>
      </c>
      <c r="DG108" s="353">
        <f t="shared" si="316"/>
        <v>102.5442</v>
      </c>
      <c r="DH108" s="343">
        <f t="shared" si="317"/>
        <v>201.56034700000001</v>
      </c>
      <c r="DI108" s="343">
        <f t="shared" si="318"/>
        <v>102.5442</v>
      </c>
      <c r="DK108" s="374">
        <v>1.3035000000000001</v>
      </c>
      <c r="DL108" s="375">
        <v>0.5827</v>
      </c>
      <c r="DM108" s="374">
        <v>0</v>
      </c>
      <c r="DN108" s="374">
        <v>22.0383</v>
      </c>
      <c r="DO108" s="374">
        <v>40.523299999999999</v>
      </c>
      <c r="DP108" s="351">
        <f t="shared" si="236"/>
        <v>171.76219500000002</v>
      </c>
      <c r="DQ108" s="351">
        <f t="shared" si="237"/>
        <v>114.71032200000001</v>
      </c>
      <c r="DR108" s="352">
        <f t="shared" si="238"/>
        <v>0</v>
      </c>
      <c r="DS108" s="352">
        <f t="shared" si="319"/>
        <v>0</v>
      </c>
      <c r="DT108" s="353">
        <f t="shared" si="320"/>
        <v>171.76219500000002</v>
      </c>
      <c r="DU108" s="353">
        <f t="shared" si="321"/>
        <v>114.71032200000001</v>
      </c>
      <c r="DV108" s="343">
        <f t="shared" si="322"/>
        <v>171.76219500000002</v>
      </c>
      <c r="DW108" s="343">
        <f t="shared" si="323"/>
        <v>114.71032200000001</v>
      </c>
      <c r="EB108" s="326"/>
      <c r="EC108" s="326"/>
      <c r="ED108" s="326"/>
      <c r="EE108" s="348">
        <f t="shared" si="324"/>
        <v>120.9</v>
      </c>
      <c r="EF108" s="348">
        <f t="shared" si="325"/>
        <v>268.32249999999999</v>
      </c>
      <c r="EG108" s="348">
        <f t="shared" si="326"/>
        <v>14178.494234600001</v>
      </c>
      <c r="EH108" s="348">
        <f t="shared" si="327"/>
        <v>11109.851361000001</v>
      </c>
      <c r="EI108" s="354">
        <f t="shared" si="335"/>
        <v>0.31061924734566992</v>
      </c>
      <c r="EJ108" s="326"/>
      <c r="EK108" s="348">
        <f t="shared" si="328"/>
        <v>14178.494234600001</v>
      </c>
      <c r="EL108" s="348">
        <f t="shared" si="329"/>
        <v>11109.851361000001</v>
      </c>
      <c r="EM108" s="348">
        <f t="shared" si="330"/>
        <v>14178.494234600001</v>
      </c>
      <c r="EN108" s="348">
        <f t="shared" si="331"/>
        <v>11109.851361000001</v>
      </c>
      <c r="EP108" s="326"/>
      <c r="EQ108" s="326"/>
      <c r="ER108" s="326"/>
      <c r="ES108" s="348">
        <f t="shared" si="240"/>
        <v>111.10589999999999</v>
      </c>
      <c r="ET108" s="348">
        <f t="shared" si="241"/>
        <v>205.68170000000001</v>
      </c>
      <c r="EU108" s="348">
        <f t="shared" si="242"/>
        <v>11682.741786899998</v>
      </c>
      <c r="EV108" s="348">
        <f t="shared" si="243"/>
        <v>9594.9353060000012</v>
      </c>
      <c r="EW108" s="354">
        <f t="shared" si="336"/>
        <v>0.35072679612459579</v>
      </c>
      <c r="EX108" s="326"/>
      <c r="EY108" s="348">
        <f t="shared" si="245"/>
        <v>11682.741786899998</v>
      </c>
      <c r="EZ108" s="348">
        <f t="shared" si="246"/>
        <v>9594.9353060000012</v>
      </c>
      <c r="FA108" s="348">
        <f t="shared" si="247"/>
        <v>11682.741786899998</v>
      </c>
      <c r="FB108" s="348">
        <f t="shared" si="248"/>
        <v>9594.9353060000012</v>
      </c>
      <c r="FD108" s="326"/>
      <c r="FE108" s="326"/>
      <c r="FF108" s="326"/>
      <c r="FG108" s="348">
        <f t="shared" si="249"/>
        <v>110.0975</v>
      </c>
      <c r="FH108" s="348">
        <f t="shared" si="250"/>
        <v>216.3409</v>
      </c>
      <c r="FI108" s="348">
        <f t="shared" si="251"/>
        <v>9620.8797570000006</v>
      </c>
      <c r="FJ108" s="348">
        <f t="shared" si="252"/>
        <v>7865.3997231999992</v>
      </c>
      <c r="FK108" s="354">
        <f t="shared" si="337"/>
        <v>0.3372688384699839</v>
      </c>
      <c r="FL108" s="326"/>
      <c r="FM108" s="348">
        <f t="shared" si="254"/>
        <v>9620.8797570000006</v>
      </c>
      <c r="FN108" s="348">
        <f t="shared" si="255"/>
        <v>7865.3997231999992</v>
      </c>
      <c r="FO108" s="348">
        <f t="shared" si="256"/>
        <v>9620.8797570000006</v>
      </c>
      <c r="FP108" s="348">
        <f t="shared" si="257"/>
        <v>7865.3997231999992</v>
      </c>
      <c r="FR108" s="326"/>
      <c r="FS108" s="326"/>
      <c r="FT108" s="326"/>
      <c r="FU108" s="348">
        <f t="shared" si="258"/>
        <v>87.344200000000001</v>
      </c>
      <c r="FV108" s="348">
        <f t="shared" si="259"/>
        <v>166.85750000000002</v>
      </c>
      <c r="FW108" s="348">
        <f t="shared" si="260"/>
        <v>253.99636960000004</v>
      </c>
      <c r="FX108" s="348">
        <f t="shared" si="261"/>
        <v>129.19240000000002</v>
      </c>
      <c r="FY108" s="354">
        <f t="shared" si="338"/>
        <v>0.34360195073439709</v>
      </c>
      <c r="FZ108" s="326"/>
      <c r="GA108" s="348">
        <f t="shared" si="263"/>
        <v>253.99636960000004</v>
      </c>
      <c r="GB108" s="348">
        <f t="shared" si="264"/>
        <v>129.19240000000002</v>
      </c>
      <c r="GC108" s="348">
        <f t="shared" si="265"/>
        <v>253.99636960000004</v>
      </c>
      <c r="GD108" s="348">
        <f t="shared" si="266"/>
        <v>129.19240000000002</v>
      </c>
      <c r="GF108" s="326"/>
      <c r="GG108" s="326"/>
      <c r="GH108" s="326"/>
      <c r="GI108" s="348">
        <f t="shared" si="267"/>
        <v>30.7333</v>
      </c>
      <c r="GJ108" s="348">
        <f t="shared" si="268"/>
        <v>72.577500000000001</v>
      </c>
      <c r="GK108" s="349">
        <f t="shared" si="269"/>
        <v>2004.7329922500001</v>
      </c>
      <c r="GL108" s="349">
        <f t="shared" si="270"/>
        <v>1338.3908595000003</v>
      </c>
      <c r="GM108" s="354">
        <f t="shared" si="339"/>
        <v>0.29748390294141563</v>
      </c>
      <c r="GN108" s="326"/>
      <c r="GO108" s="349">
        <f t="shared" si="272"/>
        <v>2004.7329922500001</v>
      </c>
      <c r="GP108" s="349">
        <f t="shared" si="273"/>
        <v>1338.3908595000003</v>
      </c>
      <c r="GQ108" s="349">
        <f t="shared" si="274"/>
        <v>2004.7329922500001</v>
      </c>
      <c r="GR108" s="349">
        <f t="shared" si="275"/>
        <v>1338.3908595000003</v>
      </c>
      <c r="HA108" s="374"/>
      <c r="HB108" s="375"/>
      <c r="HC108" s="374"/>
      <c r="HD108" s="374"/>
      <c r="HE108" s="374"/>
      <c r="HF108" s="351">
        <f t="shared" si="276"/>
        <v>0</v>
      </c>
      <c r="HG108" s="351">
        <f t="shared" si="277"/>
        <v>0</v>
      </c>
      <c r="HH108" s="352">
        <f t="shared" si="278"/>
        <v>0</v>
      </c>
      <c r="HI108" s="352">
        <f t="shared" si="332"/>
        <v>0</v>
      </c>
      <c r="HJ108" s="353">
        <f t="shared" si="333"/>
        <v>0</v>
      </c>
      <c r="HK108" s="353">
        <f t="shared" si="334"/>
        <v>0</v>
      </c>
    </row>
    <row r="109" spans="1:219" x14ac:dyDescent="0.2">
      <c r="A109" s="320">
        <v>99</v>
      </c>
      <c r="C109" s="350">
        <v>8.0162999999999993</v>
      </c>
      <c r="D109" s="350">
        <v>3.5291000000000001</v>
      </c>
      <c r="E109" s="350">
        <v>0</v>
      </c>
      <c r="F109" s="350">
        <v>7.5</v>
      </c>
      <c r="G109" s="350">
        <v>51.2958</v>
      </c>
      <c r="H109" s="351">
        <f t="shared" si="212"/>
        <v>7824.7104299999992</v>
      </c>
      <c r="I109" s="351">
        <f t="shared" si="213"/>
        <v>6541.857379</v>
      </c>
      <c r="J109" s="352">
        <f t="shared" si="214"/>
        <v>0</v>
      </c>
      <c r="K109" s="352">
        <f t="shared" si="279"/>
        <v>0</v>
      </c>
      <c r="L109" s="353">
        <f t="shared" si="280"/>
        <v>7824.7104299999992</v>
      </c>
      <c r="M109" s="353">
        <f t="shared" si="281"/>
        <v>6541.857379</v>
      </c>
      <c r="N109" s="343">
        <f t="shared" si="282"/>
        <v>7824.7104299999992</v>
      </c>
      <c r="O109" s="343">
        <f t="shared" si="283"/>
        <v>6541.857379</v>
      </c>
      <c r="Q109" s="374">
        <v>9.4801000000000002</v>
      </c>
      <c r="R109" s="375">
        <v>4.3868999999999998</v>
      </c>
      <c r="S109" s="374">
        <v>0</v>
      </c>
      <c r="T109" s="374">
        <v>5.1592000000000002</v>
      </c>
      <c r="U109" s="374">
        <v>9.5</v>
      </c>
      <c r="V109" s="351">
        <f t="shared" si="215"/>
        <v>6061.5759399999997</v>
      </c>
      <c r="W109" s="351">
        <f t="shared" si="216"/>
        <v>5270.3339219999998</v>
      </c>
      <c r="X109" s="352">
        <f t="shared" si="217"/>
        <v>0</v>
      </c>
      <c r="Y109" s="352">
        <f t="shared" si="284"/>
        <v>0</v>
      </c>
      <c r="Z109" s="353">
        <f t="shared" si="285"/>
        <v>6061.5759399999997</v>
      </c>
      <c r="AA109" s="353">
        <f t="shared" si="286"/>
        <v>5270.3339219999998</v>
      </c>
      <c r="AB109" s="343">
        <f t="shared" si="287"/>
        <v>6061.5759399999997</v>
      </c>
      <c r="AC109" s="343">
        <f t="shared" si="288"/>
        <v>5270.3339219999998</v>
      </c>
      <c r="AE109" s="374">
        <v>13.8855</v>
      </c>
      <c r="AF109" s="375">
        <v>5.0808</v>
      </c>
      <c r="AG109" s="374">
        <v>0</v>
      </c>
      <c r="AH109" s="374">
        <v>0</v>
      </c>
      <c r="AI109" s="374">
        <v>2</v>
      </c>
      <c r="AJ109" s="351">
        <f t="shared" si="218"/>
        <v>5951.0475900000001</v>
      </c>
      <c r="AK109" s="351">
        <f t="shared" si="219"/>
        <v>5051.2297439999993</v>
      </c>
      <c r="AL109" s="352">
        <f t="shared" si="220"/>
        <v>0</v>
      </c>
      <c r="AM109" s="352">
        <f t="shared" si="289"/>
        <v>0</v>
      </c>
      <c r="AN109" s="353">
        <f t="shared" si="290"/>
        <v>5951.0475900000001</v>
      </c>
      <c r="AO109" s="353">
        <f t="shared" si="291"/>
        <v>5051.2297439999993</v>
      </c>
      <c r="AP109" s="343">
        <f t="shared" si="292"/>
        <v>5951.0475900000001</v>
      </c>
      <c r="AQ109" s="343">
        <f t="shared" si="293"/>
        <v>5051.2297439999993</v>
      </c>
      <c r="AS109" s="374">
        <v>18.333400000000001</v>
      </c>
      <c r="AT109" s="375">
        <v>6.5787000000000004</v>
      </c>
      <c r="AU109" s="374">
        <v>0</v>
      </c>
      <c r="AV109" s="374">
        <v>8.8550000000000004</v>
      </c>
      <c r="AW109" s="374">
        <v>52.088299999999997</v>
      </c>
      <c r="AX109" s="351">
        <f t="shared" si="221"/>
        <v>6245.6393780000008</v>
      </c>
      <c r="AY109" s="351">
        <f t="shared" si="222"/>
        <v>4494.0415440000006</v>
      </c>
      <c r="AZ109" s="352">
        <f t="shared" si="223"/>
        <v>0</v>
      </c>
      <c r="BA109" s="352">
        <f t="shared" si="294"/>
        <v>0</v>
      </c>
      <c r="BB109" s="353">
        <f t="shared" si="295"/>
        <v>6245.6393780000008</v>
      </c>
      <c r="BC109" s="353">
        <f t="shared" si="296"/>
        <v>4494.0415440000006</v>
      </c>
      <c r="BD109" s="343">
        <f t="shared" si="297"/>
        <v>6245.6393780000008</v>
      </c>
      <c r="BE109" s="343">
        <f t="shared" si="298"/>
        <v>4494.0415440000006</v>
      </c>
      <c r="BG109" s="374">
        <v>16.203299999999999</v>
      </c>
      <c r="BH109" s="375">
        <v>7.2275</v>
      </c>
      <c r="BI109" s="374">
        <v>0</v>
      </c>
      <c r="BJ109" s="374">
        <v>9.4224999999999994</v>
      </c>
      <c r="BK109" s="374">
        <v>38.609200000000001</v>
      </c>
      <c r="BL109" s="351">
        <f t="shared" si="224"/>
        <v>5424.3787409999995</v>
      </c>
      <c r="BM109" s="351">
        <f t="shared" si="225"/>
        <v>4234.7367999999997</v>
      </c>
      <c r="BN109" s="352">
        <f t="shared" si="226"/>
        <v>0</v>
      </c>
      <c r="BO109" s="352">
        <f t="shared" si="299"/>
        <v>0</v>
      </c>
      <c r="BP109" s="353">
        <f t="shared" si="300"/>
        <v>5424.3787409999995</v>
      </c>
      <c r="BQ109" s="353">
        <f t="shared" si="301"/>
        <v>4234.7367999999997</v>
      </c>
      <c r="BR109" s="343">
        <f t="shared" si="302"/>
        <v>5424.3787409999995</v>
      </c>
      <c r="BS109" s="343">
        <f t="shared" si="303"/>
        <v>4234.7367999999997</v>
      </c>
      <c r="BU109" s="374">
        <v>15.255100000000001</v>
      </c>
      <c r="BV109" s="375">
        <v>7.0953999999999997</v>
      </c>
      <c r="BW109" s="374">
        <v>0</v>
      </c>
      <c r="BX109" s="374">
        <v>7.8958000000000004</v>
      </c>
      <c r="BY109" s="374">
        <v>18.18</v>
      </c>
      <c r="BZ109" s="351">
        <f t="shared" si="227"/>
        <v>3541.0138120000001</v>
      </c>
      <c r="CA109" s="351">
        <f t="shared" si="228"/>
        <v>2709.5203980000001</v>
      </c>
      <c r="CB109" s="352">
        <f t="shared" si="229"/>
        <v>0</v>
      </c>
      <c r="CC109" s="352">
        <f t="shared" si="304"/>
        <v>0</v>
      </c>
      <c r="CD109" s="353">
        <f t="shared" si="305"/>
        <v>3541.0138120000001</v>
      </c>
      <c r="CE109" s="353">
        <f t="shared" si="306"/>
        <v>2709.5203980000001</v>
      </c>
      <c r="CF109" s="343">
        <f t="shared" si="307"/>
        <v>3541.0138120000001</v>
      </c>
      <c r="CG109" s="343">
        <f t="shared" si="308"/>
        <v>2709.5203980000001</v>
      </c>
      <c r="CI109" s="374">
        <v>0.42470000000000002</v>
      </c>
      <c r="CJ109" s="375">
        <v>0.15060000000000001</v>
      </c>
      <c r="CK109" s="374">
        <v>0</v>
      </c>
      <c r="CL109" s="374">
        <v>42.386699999999998</v>
      </c>
      <c r="CM109" s="374">
        <v>146.4</v>
      </c>
      <c r="CN109" s="351">
        <f t="shared" si="230"/>
        <v>90.261491000000007</v>
      </c>
      <c r="CO109" s="351">
        <f t="shared" si="231"/>
        <v>41.482770000000002</v>
      </c>
      <c r="CP109" s="352">
        <f t="shared" si="232"/>
        <v>0</v>
      </c>
      <c r="CQ109" s="352">
        <f t="shared" si="309"/>
        <v>0</v>
      </c>
      <c r="CR109" s="353">
        <f t="shared" si="310"/>
        <v>90.261491000000007</v>
      </c>
      <c r="CS109" s="353">
        <f t="shared" si="311"/>
        <v>41.482770000000002</v>
      </c>
      <c r="CT109" s="343">
        <f t="shared" si="312"/>
        <v>90.261491000000007</v>
      </c>
      <c r="CU109" s="343">
        <f t="shared" si="313"/>
        <v>41.482770000000002</v>
      </c>
      <c r="CW109" s="374">
        <v>0.77539999999999998</v>
      </c>
      <c r="CX109" s="375">
        <v>0.23849999999999999</v>
      </c>
      <c r="CY109" s="374">
        <v>0</v>
      </c>
      <c r="CZ109" s="374">
        <v>8.5150000000000006</v>
      </c>
      <c r="DA109" s="374">
        <v>23.567499999999999</v>
      </c>
      <c r="DB109" s="351">
        <f t="shared" si="233"/>
        <v>173.867942</v>
      </c>
      <c r="DC109" s="351">
        <f t="shared" si="234"/>
        <v>74.111490000000003</v>
      </c>
      <c r="DD109" s="352">
        <f t="shared" si="235"/>
        <v>0</v>
      </c>
      <c r="DE109" s="352">
        <f t="shared" si="314"/>
        <v>0</v>
      </c>
      <c r="DF109" s="353">
        <f t="shared" si="315"/>
        <v>173.867942</v>
      </c>
      <c r="DG109" s="353">
        <f t="shared" si="316"/>
        <v>74.111490000000003</v>
      </c>
      <c r="DH109" s="343">
        <f t="shared" si="317"/>
        <v>173.867942</v>
      </c>
      <c r="DI109" s="343">
        <f t="shared" si="318"/>
        <v>74.111490000000003</v>
      </c>
      <c r="DK109" s="374">
        <v>1.1639999999999999</v>
      </c>
      <c r="DL109" s="375">
        <v>0.50049999999999994</v>
      </c>
      <c r="DM109" s="374">
        <v>0</v>
      </c>
      <c r="DN109" s="374">
        <v>15.4125</v>
      </c>
      <c r="DO109" s="374">
        <v>42.763300000000001</v>
      </c>
      <c r="DP109" s="351">
        <f t="shared" si="236"/>
        <v>153.38028</v>
      </c>
      <c r="DQ109" s="351">
        <f t="shared" si="237"/>
        <v>98.52843</v>
      </c>
      <c r="DR109" s="352">
        <f t="shared" si="238"/>
        <v>0</v>
      </c>
      <c r="DS109" s="352">
        <f t="shared" si="319"/>
        <v>0</v>
      </c>
      <c r="DT109" s="353">
        <f t="shared" si="320"/>
        <v>153.38028</v>
      </c>
      <c r="DU109" s="353">
        <f t="shared" si="321"/>
        <v>98.52843</v>
      </c>
      <c r="DV109" s="343">
        <f t="shared" si="322"/>
        <v>153.38028</v>
      </c>
      <c r="DW109" s="343">
        <f t="shared" si="323"/>
        <v>98.52843</v>
      </c>
      <c r="EB109" s="326"/>
      <c r="EC109" s="326"/>
      <c r="ED109" s="326"/>
      <c r="EE109" s="348">
        <f t="shared" si="324"/>
        <v>67.256699999999995</v>
      </c>
      <c r="EF109" s="348">
        <f t="shared" si="325"/>
        <v>273.35160000000002</v>
      </c>
      <c r="EG109" s="348">
        <f t="shared" si="326"/>
        <v>14299.705652599998</v>
      </c>
      <c r="EH109" s="348">
        <f t="shared" si="327"/>
        <v>11136.670885000001</v>
      </c>
      <c r="EI109" s="354">
        <f t="shared" si="335"/>
        <v>0.1974605433866409</v>
      </c>
      <c r="EJ109" s="326"/>
      <c r="EK109" s="348">
        <f t="shared" si="328"/>
        <v>14299.705652599998</v>
      </c>
      <c r="EL109" s="348">
        <f t="shared" si="329"/>
        <v>11136.670885000001</v>
      </c>
      <c r="EM109" s="348">
        <f t="shared" si="330"/>
        <v>14299.705652599998</v>
      </c>
      <c r="EN109" s="348">
        <f t="shared" si="331"/>
        <v>11136.670885000001</v>
      </c>
      <c r="EP109" s="326"/>
      <c r="EQ109" s="326"/>
      <c r="ER109" s="326"/>
      <c r="ES109" s="348">
        <f t="shared" si="240"/>
        <v>65.483399999999989</v>
      </c>
      <c r="ET109" s="348">
        <f t="shared" si="241"/>
        <v>218.07670000000002</v>
      </c>
      <c r="EU109" s="348">
        <f t="shared" si="242"/>
        <v>11697.923731399998</v>
      </c>
      <c r="EV109" s="348">
        <f t="shared" si="243"/>
        <v>9598.4315350000015</v>
      </c>
      <c r="EW109" s="354">
        <f t="shared" si="336"/>
        <v>0.23093305440363429</v>
      </c>
      <c r="EX109" s="326"/>
      <c r="EY109" s="348">
        <f t="shared" si="245"/>
        <v>11697.923731399998</v>
      </c>
      <c r="EZ109" s="348">
        <f t="shared" si="246"/>
        <v>9598.4315350000015</v>
      </c>
      <c r="FA109" s="348">
        <f t="shared" si="247"/>
        <v>11697.923731399998</v>
      </c>
      <c r="FB109" s="348">
        <f t="shared" si="248"/>
        <v>9598.4315350000015</v>
      </c>
      <c r="FD109" s="326"/>
      <c r="FE109" s="326"/>
      <c r="FF109" s="326"/>
      <c r="FG109" s="348">
        <f t="shared" si="249"/>
        <v>65.694999999999993</v>
      </c>
      <c r="FH109" s="348">
        <f t="shared" si="250"/>
        <v>209.3433</v>
      </c>
      <c r="FI109" s="348">
        <f t="shared" si="251"/>
        <v>9674.3510609999994</v>
      </c>
      <c r="FJ109" s="348">
        <f t="shared" si="252"/>
        <v>7861.3499699999984</v>
      </c>
      <c r="FK109" s="354">
        <f t="shared" si="337"/>
        <v>0.23885764273557536</v>
      </c>
      <c r="FL109" s="326"/>
      <c r="FM109" s="348">
        <f t="shared" si="254"/>
        <v>9674.3510609999994</v>
      </c>
      <c r="FN109" s="348">
        <f t="shared" si="255"/>
        <v>7861.3499699999984</v>
      </c>
      <c r="FO109" s="348">
        <f t="shared" si="256"/>
        <v>9674.3510609999994</v>
      </c>
      <c r="FP109" s="348">
        <f t="shared" si="257"/>
        <v>7861.3499699999984</v>
      </c>
      <c r="FR109" s="326"/>
      <c r="FS109" s="326"/>
      <c r="FT109" s="326"/>
      <c r="FU109" s="348">
        <f t="shared" si="258"/>
        <v>50.901699999999998</v>
      </c>
      <c r="FV109" s="348">
        <f t="shared" si="259"/>
        <v>169.9675</v>
      </c>
      <c r="FW109" s="348">
        <f t="shared" si="260"/>
        <v>229.35584460000001</v>
      </c>
      <c r="FX109" s="348">
        <f t="shared" si="261"/>
        <v>100.771962</v>
      </c>
      <c r="FY109" s="354">
        <f t="shared" si="338"/>
        <v>0.23046083383287483</v>
      </c>
      <c r="FZ109" s="326"/>
      <c r="GA109" s="348">
        <f t="shared" si="263"/>
        <v>229.35584460000001</v>
      </c>
      <c r="GB109" s="348">
        <f t="shared" si="264"/>
        <v>100.771962</v>
      </c>
      <c r="GC109" s="348">
        <f t="shared" si="265"/>
        <v>229.35584460000001</v>
      </c>
      <c r="GD109" s="348">
        <f t="shared" si="266"/>
        <v>100.771962</v>
      </c>
      <c r="GF109" s="326"/>
      <c r="GG109" s="326"/>
      <c r="GH109" s="326"/>
      <c r="GI109" s="348">
        <f t="shared" si="267"/>
        <v>16.750800000000002</v>
      </c>
      <c r="GJ109" s="348">
        <f t="shared" si="268"/>
        <v>70.268299999999996</v>
      </c>
      <c r="GK109" s="349">
        <f t="shared" si="269"/>
        <v>2028.4691745000005</v>
      </c>
      <c r="GL109" s="349">
        <f t="shared" si="270"/>
        <v>1338.3908595000003</v>
      </c>
      <c r="GM109" s="354">
        <f t="shared" si="339"/>
        <v>0.19249567049073138</v>
      </c>
      <c r="GN109" s="326"/>
      <c r="GO109" s="349">
        <f t="shared" si="272"/>
        <v>2028.4691745000005</v>
      </c>
      <c r="GP109" s="349">
        <f t="shared" si="273"/>
        <v>1338.3908595000003</v>
      </c>
      <c r="GQ109" s="349">
        <f t="shared" si="274"/>
        <v>2028.4691745000005</v>
      </c>
      <c r="GR109" s="349">
        <f t="shared" si="275"/>
        <v>1338.3908595000003</v>
      </c>
      <c r="HA109" s="374"/>
      <c r="HB109" s="375"/>
      <c r="HC109" s="374"/>
      <c r="HD109" s="374"/>
      <c r="HE109" s="374"/>
      <c r="HF109" s="351">
        <f t="shared" si="276"/>
        <v>0</v>
      </c>
      <c r="HG109" s="351">
        <f t="shared" si="277"/>
        <v>0</v>
      </c>
      <c r="HH109" s="352">
        <f t="shared" si="278"/>
        <v>0</v>
      </c>
      <c r="HI109" s="352">
        <f t="shared" si="332"/>
        <v>0</v>
      </c>
      <c r="HJ109" s="353">
        <f t="shared" si="333"/>
        <v>0</v>
      </c>
      <c r="HK109" s="353">
        <f t="shared" si="334"/>
        <v>0</v>
      </c>
    </row>
    <row r="110" spans="1:219" x14ac:dyDescent="0.2">
      <c r="A110" s="320">
        <v>100</v>
      </c>
      <c r="C110" s="350">
        <v>8.1333000000000002</v>
      </c>
      <c r="D110" s="350">
        <v>3.5588000000000002</v>
      </c>
      <c r="E110" s="350">
        <v>0</v>
      </c>
      <c r="F110" s="350">
        <v>1.33</v>
      </c>
      <c r="G110" s="350">
        <v>34.669199999999996</v>
      </c>
      <c r="H110" s="351">
        <f t="shared" si="212"/>
        <v>7938.9141300000001</v>
      </c>
      <c r="I110" s="351">
        <f t="shared" si="213"/>
        <v>6596.9119720000008</v>
      </c>
      <c r="J110" s="352">
        <f t="shared" si="214"/>
        <v>0</v>
      </c>
      <c r="K110" s="352">
        <f t="shared" si="279"/>
        <v>0</v>
      </c>
      <c r="L110" s="353">
        <f t="shared" si="280"/>
        <v>7938.9141300000001</v>
      </c>
      <c r="M110" s="353">
        <f t="shared" si="281"/>
        <v>6596.9119720000008</v>
      </c>
      <c r="N110" s="343">
        <f t="shared" si="282"/>
        <v>7938.9141300000001</v>
      </c>
      <c r="O110" s="343">
        <f t="shared" si="283"/>
        <v>6596.9119720000008</v>
      </c>
      <c r="Q110" s="374">
        <v>9.5225000000000009</v>
      </c>
      <c r="R110" s="375">
        <v>4.4108999999999998</v>
      </c>
      <c r="S110" s="374">
        <v>0</v>
      </c>
      <c r="T110" s="374">
        <v>0</v>
      </c>
      <c r="U110" s="374">
        <v>11.5025</v>
      </c>
      <c r="V110" s="351">
        <f t="shared" si="215"/>
        <v>6088.6865000000007</v>
      </c>
      <c r="W110" s="351">
        <f t="shared" si="216"/>
        <v>5299.167042</v>
      </c>
      <c r="X110" s="352">
        <f t="shared" si="217"/>
        <v>0</v>
      </c>
      <c r="Y110" s="352">
        <f t="shared" si="284"/>
        <v>0</v>
      </c>
      <c r="Z110" s="353">
        <f t="shared" si="285"/>
        <v>6088.6865000000007</v>
      </c>
      <c r="AA110" s="353">
        <f t="shared" si="286"/>
        <v>5299.167042</v>
      </c>
      <c r="AB110" s="343">
        <f t="shared" si="287"/>
        <v>6088.6865000000007</v>
      </c>
      <c r="AC110" s="343">
        <f t="shared" si="288"/>
        <v>5299.167042</v>
      </c>
      <c r="AE110" s="374">
        <v>14.0418</v>
      </c>
      <c r="AF110" s="375">
        <v>5.0925000000000002</v>
      </c>
      <c r="AG110" s="374">
        <v>0</v>
      </c>
      <c r="AH110" s="374">
        <v>0</v>
      </c>
      <c r="AI110" s="374">
        <v>2</v>
      </c>
      <c r="AJ110" s="351">
        <f t="shared" si="218"/>
        <v>6018.0346440000003</v>
      </c>
      <c r="AK110" s="351">
        <f t="shared" si="219"/>
        <v>5062.8616499999998</v>
      </c>
      <c r="AL110" s="352">
        <f t="shared" si="220"/>
        <v>0</v>
      </c>
      <c r="AM110" s="352">
        <f t="shared" si="289"/>
        <v>0</v>
      </c>
      <c r="AN110" s="353">
        <f t="shared" si="290"/>
        <v>6018.0346440000003</v>
      </c>
      <c r="AO110" s="353">
        <f t="shared" si="291"/>
        <v>5062.8616499999998</v>
      </c>
      <c r="AP110" s="343">
        <f t="shared" si="292"/>
        <v>6018.0346440000003</v>
      </c>
      <c r="AQ110" s="343">
        <f t="shared" si="293"/>
        <v>5062.8616499999998</v>
      </c>
      <c r="AS110" s="374">
        <v>18.425999999999998</v>
      </c>
      <c r="AT110" s="375">
        <v>6.5787000000000004</v>
      </c>
      <c r="AU110" s="374">
        <v>0</v>
      </c>
      <c r="AV110" s="374">
        <v>5.335</v>
      </c>
      <c r="AW110" s="374">
        <v>23.107500000000002</v>
      </c>
      <c r="AX110" s="351">
        <f t="shared" si="221"/>
        <v>6277.1854199999998</v>
      </c>
      <c r="AY110" s="351">
        <f t="shared" si="222"/>
        <v>4494.0415440000006</v>
      </c>
      <c r="AZ110" s="352">
        <f t="shared" si="223"/>
        <v>0</v>
      </c>
      <c r="BA110" s="352">
        <f t="shared" si="294"/>
        <v>0</v>
      </c>
      <c r="BB110" s="353">
        <f t="shared" si="295"/>
        <v>6277.1854199999998</v>
      </c>
      <c r="BC110" s="353">
        <f t="shared" si="296"/>
        <v>4494.0415440000006</v>
      </c>
      <c r="BD110" s="343">
        <f t="shared" si="297"/>
        <v>6277.1854199999998</v>
      </c>
      <c r="BE110" s="343">
        <f t="shared" si="298"/>
        <v>4494.0415440000006</v>
      </c>
      <c r="BG110" s="374">
        <v>16.232900000000001</v>
      </c>
      <c r="BH110" s="375">
        <v>7.2275</v>
      </c>
      <c r="BI110" s="374">
        <v>0</v>
      </c>
      <c r="BJ110" s="374">
        <v>2.5</v>
      </c>
      <c r="BK110" s="374">
        <v>25.293299999999999</v>
      </c>
      <c r="BL110" s="351">
        <f t="shared" si="224"/>
        <v>5434.2879329999996</v>
      </c>
      <c r="BM110" s="351">
        <f t="shared" si="225"/>
        <v>4234.7367999999997</v>
      </c>
      <c r="BN110" s="352">
        <f t="shared" si="226"/>
        <v>0</v>
      </c>
      <c r="BO110" s="352">
        <f t="shared" si="299"/>
        <v>0</v>
      </c>
      <c r="BP110" s="353">
        <f t="shared" si="300"/>
        <v>5434.2879329999996</v>
      </c>
      <c r="BQ110" s="353">
        <f t="shared" si="301"/>
        <v>4234.7367999999997</v>
      </c>
      <c r="BR110" s="343">
        <f t="shared" si="302"/>
        <v>5434.2879329999996</v>
      </c>
      <c r="BS110" s="343">
        <f t="shared" si="303"/>
        <v>4234.7367999999997</v>
      </c>
      <c r="BU110" s="374">
        <v>15.255100000000001</v>
      </c>
      <c r="BV110" s="375">
        <v>7.0953999999999997</v>
      </c>
      <c r="BW110" s="374">
        <v>0</v>
      </c>
      <c r="BX110" s="374">
        <v>2.75</v>
      </c>
      <c r="BY110" s="374">
        <v>15.300800000000001</v>
      </c>
      <c r="BZ110" s="351">
        <f t="shared" si="227"/>
        <v>3541.0138120000001</v>
      </c>
      <c r="CA110" s="351">
        <f t="shared" si="228"/>
        <v>2709.5203980000001</v>
      </c>
      <c r="CB110" s="352">
        <f t="shared" si="229"/>
        <v>0</v>
      </c>
      <c r="CC110" s="352">
        <f t="shared" si="304"/>
        <v>0</v>
      </c>
      <c r="CD110" s="353">
        <f t="shared" si="305"/>
        <v>3541.0138120000001</v>
      </c>
      <c r="CE110" s="353">
        <f t="shared" si="306"/>
        <v>2709.5203980000001</v>
      </c>
      <c r="CF110" s="343">
        <f t="shared" si="307"/>
        <v>3541.0138120000001</v>
      </c>
      <c r="CG110" s="343">
        <f t="shared" si="308"/>
        <v>2709.5203980000001</v>
      </c>
      <c r="CI110" s="374">
        <v>0.4163</v>
      </c>
      <c r="CJ110" s="375">
        <v>0.13100000000000001</v>
      </c>
      <c r="CK110" s="374">
        <v>0</v>
      </c>
      <c r="CL110" s="374">
        <v>15.2058</v>
      </c>
      <c r="CM110" s="374">
        <v>87.416700000000006</v>
      </c>
      <c r="CN110" s="351">
        <f t="shared" si="230"/>
        <v>88.476239000000007</v>
      </c>
      <c r="CO110" s="351">
        <f t="shared" si="231"/>
        <v>36.083950000000002</v>
      </c>
      <c r="CP110" s="352">
        <f t="shared" si="232"/>
        <v>0</v>
      </c>
      <c r="CQ110" s="352">
        <f t="shared" si="309"/>
        <v>0</v>
      </c>
      <c r="CR110" s="353">
        <f t="shared" si="310"/>
        <v>88.476239000000007</v>
      </c>
      <c r="CS110" s="353">
        <f t="shared" si="311"/>
        <v>36.083950000000002</v>
      </c>
      <c r="CT110" s="343">
        <f t="shared" si="312"/>
        <v>88.476239000000007</v>
      </c>
      <c r="CU110" s="343">
        <f t="shared" si="313"/>
        <v>36.083950000000002</v>
      </c>
      <c r="CW110" s="374">
        <v>0.65190000000000003</v>
      </c>
      <c r="CX110" s="375">
        <v>0.1469</v>
      </c>
      <c r="CY110" s="374">
        <v>0</v>
      </c>
      <c r="CZ110" s="374">
        <v>2.75</v>
      </c>
      <c r="DA110" s="374">
        <v>13.898300000000001</v>
      </c>
      <c r="DB110" s="351">
        <f t="shared" si="233"/>
        <v>146.17553699999999</v>
      </c>
      <c r="DC110" s="351">
        <f t="shared" si="234"/>
        <v>45.647705999999999</v>
      </c>
      <c r="DD110" s="352">
        <f t="shared" si="235"/>
        <v>0</v>
      </c>
      <c r="DE110" s="352">
        <f t="shared" si="314"/>
        <v>0</v>
      </c>
      <c r="DF110" s="353">
        <f t="shared" si="315"/>
        <v>146.17553699999999</v>
      </c>
      <c r="DG110" s="353">
        <f t="shared" si="316"/>
        <v>45.647705999999999</v>
      </c>
      <c r="DH110" s="343">
        <f t="shared" si="317"/>
        <v>146.17553699999999</v>
      </c>
      <c r="DI110" s="343">
        <f t="shared" si="318"/>
        <v>45.647705999999999</v>
      </c>
      <c r="DK110" s="374">
        <v>1.0244</v>
      </c>
      <c r="DL110" s="375">
        <v>0.41839999999999999</v>
      </c>
      <c r="DM110" s="374">
        <v>0</v>
      </c>
      <c r="DN110" s="374">
        <v>3.7549999999999999</v>
      </c>
      <c r="DO110" s="374">
        <v>24.147500000000001</v>
      </c>
      <c r="DP110" s="351">
        <f t="shared" si="236"/>
        <v>134.98518799999999</v>
      </c>
      <c r="DQ110" s="351">
        <f t="shared" si="237"/>
        <v>82.366224000000003</v>
      </c>
      <c r="DR110" s="352">
        <f t="shared" si="238"/>
        <v>0</v>
      </c>
      <c r="DS110" s="352">
        <f t="shared" si="319"/>
        <v>0</v>
      </c>
      <c r="DT110" s="353">
        <f t="shared" si="320"/>
        <v>134.98518799999999</v>
      </c>
      <c r="DU110" s="353">
        <f t="shared" si="321"/>
        <v>82.366224000000003</v>
      </c>
      <c r="DV110" s="343">
        <f t="shared" si="322"/>
        <v>134.98518799999999</v>
      </c>
      <c r="DW110" s="343">
        <f t="shared" si="323"/>
        <v>82.366224000000003</v>
      </c>
      <c r="EB110" s="326"/>
      <c r="EC110" s="326"/>
      <c r="ED110" s="326"/>
      <c r="EE110" s="348">
        <f t="shared" si="324"/>
        <v>24.620799999999999</v>
      </c>
      <c r="EF110" s="348">
        <f t="shared" si="325"/>
        <v>159.0917</v>
      </c>
      <c r="EG110" s="348">
        <f t="shared" si="326"/>
        <v>14421.516218599998</v>
      </c>
      <c r="EH110" s="348">
        <f t="shared" si="327"/>
        <v>11163.555630800001</v>
      </c>
      <c r="EI110" s="354">
        <f t="shared" si="335"/>
        <v>0.15</v>
      </c>
      <c r="EJ110" s="326"/>
      <c r="EK110" s="348">
        <f t="shared" si="328"/>
        <v>14421.516218599998</v>
      </c>
      <c r="EL110" s="348">
        <f t="shared" si="329"/>
        <v>11163.555630800001</v>
      </c>
      <c r="EM110" s="348">
        <f t="shared" si="330"/>
        <v>14421.516218599998</v>
      </c>
      <c r="EN110" s="348">
        <f t="shared" si="331"/>
        <v>11163.555630800001</v>
      </c>
      <c r="EP110" s="326"/>
      <c r="EQ110" s="326"/>
      <c r="ER110" s="326"/>
      <c r="ES110" s="348">
        <f t="shared" si="240"/>
        <v>20.4558</v>
      </c>
      <c r="ET110" s="348">
        <f t="shared" si="241"/>
        <v>138.11080000000001</v>
      </c>
      <c r="EU110" s="348">
        <f t="shared" si="242"/>
        <v>11713.773547899998</v>
      </c>
      <c r="EV110" s="348">
        <f t="shared" si="243"/>
        <v>9601.9411861999997</v>
      </c>
      <c r="EW110" s="354">
        <f t="shared" si="336"/>
        <v>0.15</v>
      </c>
      <c r="EX110" s="326"/>
      <c r="EY110" s="348">
        <f t="shared" si="245"/>
        <v>11713.773547899998</v>
      </c>
      <c r="EZ110" s="348">
        <f t="shared" si="246"/>
        <v>9601.9411861999997</v>
      </c>
      <c r="FA110" s="348">
        <f t="shared" si="247"/>
        <v>11713.773547899998</v>
      </c>
      <c r="FB110" s="348">
        <f t="shared" si="248"/>
        <v>9601.9411861999997</v>
      </c>
      <c r="FD110" s="326"/>
      <c r="FE110" s="326"/>
      <c r="FF110" s="326"/>
      <c r="FG110" s="348">
        <f t="shared" si="249"/>
        <v>21.710799999999999</v>
      </c>
      <c r="FH110" s="348">
        <f t="shared" si="250"/>
        <v>128.86500000000001</v>
      </c>
      <c r="FI110" s="348">
        <f t="shared" si="251"/>
        <v>9728.5158078000004</v>
      </c>
      <c r="FJ110" s="348">
        <f t="shared" si="252"/>
        <v>7857.8857324000001</v>
      </c>
      <c r="FK110" s="354">
        <f t="shared" si="337"/>
        <v>0.15</v>
      </c>
      <c r="FL110" s="326"/>
      <c r="FM110" s="348">
        <f t="shared" si="254"/>
        <v>9728.5158078000004</v>
      </c>
      <c r="FN110" s="348">
        <f t="shared" si="255"/>
        <v>7857.8857324000001</v>
      </c>
      <c r="FO110" s="348">
        <f t="shared" si="256"/>
        <v>9728.5158078000004</v>
      </c>
      <c r="FP110" s="348">
        <f t="shared" si="257"/>
        <v>7857.8857324000001</v>
      </c>
      <c r="FR110" s="326"/>
      <c r="FS110" s="326"/>
      <c r="FT110" s="326"/>
      <c r="FU110" s="348">
        <f t="shared" si="258"/>
        <v>17.9558</v>
      </c>
      <c r="FV110" s="348">
        <f t="shared" si="259"/>
        <v>101.31500000000001</v>
      </c>
      <c r="FW110" s="348">
        <f t="shared" si="260"/>
        <v>205.41666860000001</v>
      </c>
      <c r="FX110" s="348">
        <f t="shared" si="261"/>
        <v>72.60211480000001</v>
      </c>
      <c r="FY110" s="354">
        <f t="shared" si="338"/>
        <v>0.15054648748897465</v>
      </c>
      <c r="FZ110" s="326"/>
      <c r="GA110" s="348">
        <f t="shared" si="263"/>
        <v>205.41666860000001</v>
      </c>
      <c r="GB110" s="348">
        <f t="shared" si="264"/>
        <v>72.60211480000001</v>
      </c>
      <c r="GC110" s="348">
        <f t="shared" si="265"/>
        <v>205.41666860000001</v>
      </c>
      <c r="GD110" s="348">
        <f t="shared" si="266"/>
        <v>72.60211480000001</v>
      </c>
      <c r="GF110" s="326"/>
      <c r="GG110" s="326"/>
      <c r="GH110" s="326"/>
      <c r="GI110" s="348">
        <f t="shared" si="267"/>
        <v>8.0850000000000009</v>
      </c>
      <c r="GJ110" s="348">
        <f t="shared" si="268"/>
        <v>38.408300000000004</v>
      </c>
      <c r="GK110" s="349">
        <f t="shared" si="269"/>
        <v>2052.1287059999995</v>
      </c>
      <c r="GL110" s="349">
        <f t="shared" si="270"/>
        <v>1338.3908595000003</v>
      </c>
      <c r="GM110" s="354">
        <f t="shared" si="339"/>
        <v>0.17389602372815008</v>
      </c>
      <c r="GN110" s="326"/>
      <c r="GO110" s="349">
        <f t="shared" si="272"/>
        <v>2052.1287059999995</v>
      </c>
      <c r="GP110" s="349">
        <f t="shared" si="273"/>
        <v>1338.3908595000003</v>
      </c>
      <c r="GQ110" s="349">
        <f t="shared" si="274"/>
        <v>2052.1287059999995</v>
      </c>
      <c r="GR110" s="349">
        <f t="shared" si="275"/>
        <v>1338.3908595000003</v>
      </c>
      <c r="HA110" s="374"/>
      <c r="HB110" s="375"/>
      <c r="HC110" s="374"/>
      <c r="HD110" s="374"/>
      <c r="HE110" s="374"/>
      <c r="HF110" s="351">
        <f t="shared" si="276"/>
        <v>0</v>
      </c>
      <c r="HG110" s="351">
        <f t="shared" si="277"/>
        <v>0</v>
      </c>
      <c r="HH110" s="352">
        <f t="shared" si="278"/>
        <v>0</v>
      </c>
      <c r="HI110" s="352">
        <f t="shared" si="332"/>
        <v>0</v>
      </c>
      <c r="HJ110" s="353">
        <f t="shared" si="333"/>
        <v>0</v>
      </c>
      <c r="HK110" s="353">
        <f t="shared" si="334"/>
        <v>0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8">
    <tabColor indexed="13"/>
  </sheetPr>
  <dimension ref="A1:HL113"/>
  <sheetViews>
    <sheetView workbookViewId="0">
      <pane xSplit="2" ySplit="9" topLeftCell="GI10" activePane="bottomRight" state="frozen"/>
      <selection pane="topRight" activeCell="C1" sqref="C1"/>
      <selection pane="bottomLeft" activeCell="A10" sqref="A10"/>
      <selection pane="bottomRight" sqref="A1:XFD1048576"/>
    </sheetView>
  </sheetViews>
  <sheetFormatPr baseColWidth="10" defaultColWidth="8.6640625" defaultRowHeight="10.199999999999999" x14ac:dyDescent="0.2"/>
  <cols>
    <col min="1" max="5" width="8.6640625" style="118" customWidth="1"/>
    <col min="6" max="7" width="8.6640625" style="1" customWidth="1"/>
    <col min="8" max="19" width="8.6640625" style="118" customWidth="1"/>
    <col min="20" max="21" width="8.6640625" style="1" customWidth="1"/>
    <col min="22" max="33" width="8.6640625" style="118" customWidth="1"/>
    <col min="34" max="35" width="8.6640625" style="1" customWidth="1"/>
    <col min="36" max="47" width="8.6640625" style="118" customWidth="1"/>
    <col min="48" max="49" width="8.6640625" style="1" customWidth="1"/>
    <col min="50" max="61" width="8.6640625" style="118" customWidth="1"/>
    <col min="62" max="63" width="8.6640625" style="1" customWidth="1"/>
    <col min="64" max="75" width="8.6640625" style="118" customWidth="1"/>
    <col min="76" max="77" width="8.6640625" style="1" customWidth="1"/>
    <col min="78" max="89" width="8.6640625" style="118" customWidth="1"/>
    <col min="90" max="91" width="8.6640625" style="1" customWidth="1"/>
    <col min="92" max="103" width="8.6640625" style="118" customWidth="1"/>
    <col min="104" max="105" width="8.6640625" style="1" customWidth="1"/>
    <col min="106" max="117" width="8.6640625" style="118" customWidth="1"/>
    <col min="118" max="119" width="8.6640625" style="1" customWidth="1"/>
    <col min="120" max="130" width="8.6640625" style="118" customWidth="1"/>
    <col min="131" max="138" width="8.6640625" style="131" customWidth="1"/>
    <col min="139" max="139" width="8.6640625" style="1" customWidth="1"/>
    <col min="140" max="152" width="8.6640625" style="131" customWidth="1"/>
    <col min="153" max="153" width="8.6640625" style="1" customWidth="1"/>
    <col min="154" max="166" width="8.6640625" style="131" customWidth="1"/>
    <col min="167" max="167" width="8.6640625" style="1" customWidth="1"/>
    <col min="168" max="220" width="8.6640625" style="131" customWidth="1"/>
    <col min="221" max="16384" width="8.6640625" style="118"/>
  </cols>
  <sheetData>
    <row r="1" spans="1:220" ht="40.799999999999997" x14ac:dyDescent="0.2">
      <c r="EB1" s="136" t="s">
        <v>166</v>
      </c>
      <c r="EC1" s="97" t="str">
        <f xml:space="preserve"> EB1</f>
        <v>Primo kompakt 2014</v>
      </c>
      <c r="ED1" s="97" t="str">
        <f t="shared" ref="ED1:EL1" si="0" xml:space="preserve"> EC1</f>
        <v>Primo kompakt 2014</v>
      </c>
      <c r="EE1" s="97" t="str">
        <f t="shared" si="0"/>
        <v>Primo kompakt 2014</v>
      </c>
      <c r="EF1" s="97" t="str">
        <f t="shared" si="0"/>
        <v>Primo kompakt 2014</v>
      </c>
      <c r="EG1" s="97" t="str">
        <f t="shared" si="0"/>
        <v>Primo kompakt 2014</v>
      </c>
      <c r="EH1" s="97" t="str">
        <f t="shared" si="0"/>
        <v>Primo kompakt 2014</v>
      </c>
      <c r="EI1" s="97" t="str">
        <f t="shared" si="0"/>
        <v>Primo kompakt 2014</v>
      </c>
      <c r="EJ1" s="97" t="str">
        <f t="shared" si="0"/>
        <v>Primo kompakt 2014</v>
      </c>
      <c r="EK1" s="97" t="str">
        <f t="shared" si="0"/>
        <v>Primo kompakt 2014</v>
      </c>
      <c r="EL1" s="97" t="str">
        <f t="shared" si="0"/>
        <v>Primo kompakt 2014</v>
      </c>
      <c r="EM1" s="97" t="str">
        <f xml:space="preserve"> EL1</f>
        <v>Primo kompakt 2014</v>
      </c>
      <c r="EN1" s="97" t="str">
        <f xml:space="preserve"> EM1</f>
        <v>Primo kompakt 2014</v>
      </c>
      <c r="EP1" s="136" t="s">
        <v>167</v>
      </c>
      <c r="EQ1" s="97" t="str">
        <f xml:space="preserve"> EP1</f>
        <v>Secundo kompakt 2014</v>
      </c>
      <c r="ER1" s="97" t="str">
        <f t="shared" ref="ER1:EZ1" si="1" xml:space="preserve"> EQ1</f>
        <v>Secundo kompakt 2014</v>
      </c>
      <c r="ES1" s="97" t="str">
        <f t="shared" si="1"/>
        <v>Secundo kompakt 2014</v>
      </c>
      <c r="ET1" s="97" t="str">
        <f t="shared" si="1"/>
        <v>Secundo kompakt 2014</v>
      </c>
      <c r="EU1" s="97" t="str">
        <f t="shared" si="1"/>
        <v>Secundo kompakt 2014</v>
      </c>
      <c r="EV1" s="97" t="str">
        <f t="shared" si="1"/>
        <v>Secundo kompakt 2014</v>
      </c>
      <c r="EW1" s="97" t="str">
        <f t="shared" si="1"/>
        <v>Secundo kompakt 2014</v>
      </c>
      <c r="EX1" s="97" t="str">
        <f t="shared" si="1"/>
        <v>Secundo kompakt 2014</v>
      </c>
      <c r="EY1" s="97" t="str">
        <f t="shared" si="1"/>
        <v>Secundo kompakt 2014</v>
      </c>
      <c r="EZ1" s="97" t="str">
        <f t="shared" si="1"/>
        <v>Secundo kompakt 2014</v>
      </c>
      <c r="FA1" s="97" t="str">
        <f xml:space="preserve"> EZ1</f>
        <v>Secundo kompakt 2014</v>
      </c>
      <c r="FB1" s="97" t="str">
        <f xml:space="preserve"> FA1</f>
        <v>Secundo kompakt 2014</v>
      </c>
      <c r="FD1" s="136" t="s">
        <v>168</v>
      </c>
      <c r="FE1" s="97" t="str">
        <f xml:space="preserve"> FD1</f>
        <v>Tertio kompakt 2014</v>
      </c>
      <c r="FF1" s="97" t="str">
        <f t="shared" ref="FF1:FN1" si="2" xml:space="preserve"> FE1</f>
        <v>Tertio kompakt 2014</v>
      </c>
      <c r="FG1" s="97" t="str">
        <f t="shared" si="2"/>
        <v>Tertio kompakt 2014</v>
      </c>
      <c r="FH1" s="97" t="str">
        <f t="shared" si="2"/>
        <v>Tertio kompakt 2014</v>
      </c>
      <c r="FI1" s="97" t="str">
        <f t="shared" si="2"/>
        <v>Tertio kompakt 2014</v>
      </c>
      <c r="FJ1" s="97" t="str">
        <f t="shared" si="2"/>
        <v>Tertio kompakt 2014</v>
      </c>
      <c r="FK1" s="97" t="str">
        <f t="shared" si="2"/>
        <v>Tertio kompakt 2014</v>
      </c>
      <c r="FL1" s="97" t="str">
        <f t="shared" si="2"/>
        <v>Tertio kompakt 2014</v>
      </c>
      <c r="FM1" s="97" t="str">
        <f t="shared" si="2"/>
        <v>Tertio kompakt 2014</v>
      </c>
      <c r="FN1" s="97" t="str">
        <f t="shared" si="2"/>
        <v>Tertio kompakt 2014</v>
      </c>
      <c r="FO1" s="97" t="str">
        <f xml:space="preserve"> FN1</f>
        <v>Tertio kompakt 2014</v>
      </c>
      <c r="FP1" s="97" t="str">
        <f xml:space="preserve"> FO1</f>
        <v>Tertio kompakt 2014</v>
      </c>
      <c r="FR1" s="136" t="s">
        <v>169</v>
      </c>
      <c r="FS1" s="97" t="str">
        <f xml:space="preserve"> FR1</f>
        <v>Primo zahn 2014</v>
      </c>
      <c r="FT1" s="97" t="str">
        <f t="shared" ref="FT1:GB1" si="3" xml:space="preserve"> FS1</f>
        <v>Primo zahn 2014</v>
      </c>
      <c r="FU1" s="97" t="str">
        <f t="shared" si="3"/>
        <v>Primo zahn 2014</v>
      </c>
      <c r="FV1" s="97" t="str">
        <f t="shared" si="3"/>
        <v>Primo zahn 2014</v>
      </c>
      <c r="FW1" s="97" t="str">
        <f t="shared" si="3"/>
        <v>Primo zahn 2014</v>
      </c>
      <c r="FX1" s="97" t="str">
        <f t="shared" si="3"/>
        <v>Primo zahn 2014</v>
      </c>
      <c r="FY1" s="97" t="str">
        <f t="shared" si="3"/>
        <v>Primo zahn 2014</v>
      </c>
      <c r="FZ1" s="97" t="str">
        <f t="shared" si="3"/>
        <v>Primo zahn 2014</v>
      </c>
      <c r="GA1" s="97" t="str">
        <f t="shared" si="3"/>
        <v>Primo zahn 2014</v>
      </c>
      <c r="GB1" s="97" t="str">
        <f t="shared" si="3"/>
        <v>Primo zahn 2014</v>
      </c>
      <c r="GC1" s="97" t="str">
        <f xml:space="preserve"> GB1</f>
        <v>Primo zahn 2014</v>
      </c>
      <c r="GD1" s="97" t="str">
        <f xml:space="preserve"> GC1</f>
        <v>Primo zahn 2014</v>
      </c>
      <c r="GF1" s="136" t="s">
        <v>170</v>
      </c>
      <c r="GG1" s="97" t="str">
        <f xml:space="preserve"> GF1</f>
        <v>GKV-Erg Primo stationär 2014</v>
      </c>
      <c r="GH1" s="97" t="str">
        <f t="shared" ref="GH1:GP1" si="4" xml:space="preserve"> GG1</f>
        <v>GKV-Erg Primo stationär 2014</v>
      </c>
      <c r="GI1" s="97" t="str">
        <f t="shared" si="4"/>
        <v>GKV-Erg Primo stationär 2014</v>
      </c>
      <c r="GJ1" s="97" t="str">
        <f t="shared" si="4"/>
        <v>GKV-Erg Primo stationär 2014</v>
      </c>
      <c r="GK1" s="97" t="str">
        <f t="shared" si="4"/>
        <v>GKV-Erg Primo stationär 2014</v>
      </c>
      <c r="GL1" s="97" t="str">
        <f t="shared" si="4"/>
        <v>GKV-Erg Primo stationär 2014</v>
      </c>
      <c r="GM1" s="97" t="str">
        <f t="shared" si="4"/>
        <v>GKV-Erg Primo stationär 2014</v>
      </c>
      <c r="GN1" s="97" t="str">
        <f t="shared" si="4"/>
        <v>GKV-Erg Primo stationär 2014</v>
      </c>
      <c r="GO1" s="97" t="str">
        <f t="shared" si="4"/>
        <v>GKV-Erg Primo stationär 2014</v>
      </c>
      <c r="GP1" s="97" t="str">
        <f t="shared" si="4"/>
        <v>GKV-Erg Primo stationär 2014</v>
      </c>
      <c r="GQ1" s="97" t="str">
        <f xml:space="preserve"> GP1</f>
        <v>GKV-Erg Primo stationär 2014</v>
      </c>
      <c r="GR1" s="97" t="str">
        <f xml:space="preserve"> GQ1</f>
        <v>GKV-Erg Primo stationär 2014</v>
      </c>
    </row>
    <row r="2" spans="1:220" ht="40.799999999999997" x14ac:dyDescent="0.2">
      <c r="C2" s="129" t="s">
        <v>165</v>
      </c>
      <c r="D2" s="119"/>
      <c r="E2" s="119"/>
      <c r="F2" s="40"/>
      <c r="G2" s="40"/>
      <c r="H2" s="119"/>
      <c r="I2" s="119"/>
      <c r="J2" s="119"/>
      <c r="K2" s="119"/>
      <c r="L2" s="119"/>
      <c r="M2" s="119"/>
      <c r="N2" s="119"/>
      <c r="O2" s="119"/>
      <c r="Q2" s="129" t="s">
        <v>165</v>
      </c>
      <c r="R2" s="119"/>
      <c r="S2" s="119"/>
      <c r="T2" s="40"/>
      <c r="U2" s="40"/>
      <c r="V2" s="119"/>
      <c r="W2" s="119"/>
      <c r="X2" s="119"/>
      <c r="Y2" s="119"/>
      <c r="Z2" s="119"/>
      <c r="AA2" s="119"/>
      <c r="AB2" s="119"/>
      <c r="AC2" s="119"/>
      <c r="AE2" s="129" t="s">
        <v>165</v>
      </c>
      <c r="AF2" s="119"/>
      <c r="AG2" s="119"/>
      <c r="AH2" s="40"/>
      <c r="AI2" s="40"/>
      <c r="AJ2" s="119"/>
      <c r="AK2" s="119"/>
      <c r="AL2" s="119"/>
      <c r="AM2" s="119"/>
      <c r="AN2" s="119"/>
      <c r="AO2" s="119"/>
      <c r="AP2" s="119"/>
      <c r="AQ2" s="119"/>
      <c r="AS2" s="129" t="s">
        <v>165</v>
      </c>
      <c r="AT2" s="119"/>
      <c r="AU2" s="119"/>
      <c r="AV2" s="40"/>
      <c r="AW2" s="40"/>
      <c r="AX2" s="119"/>
      <c r="AY2" s="119"/>
      <c r="AZ2" s="119"/>
      <c r="BA2" s="119"/>
      <c r="BB2" s="119"/>
      <c r="BC2" s="119"/>
      <c r="BD2" s="119"/>
      <c r="BE2" s="119"/>
      <c r="BG2" s="129" t="s">
        <v>165</v>
      </c>
      <c r="BH2" s="119"/>
      <c r="BI2" s="119"/>
      <c r="BJ2" s="40"/>
      <c r="BK2" s="40"/>
      <c r="BL2" s="119"/>
      <c r="BM2" s="119"/>
      <c r="BN2" s="119"/>
      <c r="BO2" s="119"/>
      <c r="BP2" s="119"/>
      <c r="BQ2" s="119"/>
      <c r="BR2" s="119"/>
      <c r="BS2" s="119"/>
      <c r="BU2" s="129" t="s">
        <v>165</v>
      </c>
      <c r="BV2" s="119"/>
      <c r="BW2" s="119"/>
      <c r="BX2" s="40"/>
      <c r="BY2" s="40"/>
      <c r="BZ2" s="119"/>
      <c r="CA2" s="119"/>
      <c r="CB2" s="119"/>
      <c r="CC2" s="119"/>
      <c r="CD2" s="119"/>
      <c r="CE2" s="119"/>
      <c r="CF2" s="119"/>
      <c r="CG2" s="119"/>
      <c r="CI2" s="129" t="s">
        <v>165</v>
      </c>
      <c r="CJ2" s="119"/>
      <c r="CK2" s="119"/>
      <c r="CL2" s="40"/>
      <c r="CM2" s="40"/>
      <c r="CN2" s="119"/>
      <c r="CO2" s="119"/>
      <c r="CP2" s="119"/>
      <c r="CQ2" s="119"/>
      <c r="CR2" s="119"/>
      <c r="CS2" s="119"/>
      <c r="CT2" s="119"/>
      <c r="CU2" s="119"/>
      <c r="CW2" s="129" t="s">
        <v>165</v>
      </c>
      <c r="CX2" s="119"/>
      <c r="CY2" s="119"/>
      <c r="CZ2" s="40"/>
      <c r="DA2" s="40"/>
      <c r="DB2" s="119"/>
      <c r="DC2" s="119"/>
      <c r="DD2" s="119"/>
      <c r="DE2" s="119"/>
      <c r="DF2" s="119"/>
      <c r="DG2" s="119"/>
      <c r="DH2" s="119"/>
      <c r="DI2" s="119"/>
      <c r="DK2" s="129" t="s">
        <v>165</v>
      </c>
      <c r="DL2" s="119"/>
      <c r="DM2" s="119"/>
      <c r="DN2" s="40"/>
      <c r="DO2" s="40"/>
      <c r="DP2" s="119"/>
      <c r="DQ2" s="119"/>
      <c r="DR2" s="119"/>
      <c r="DS2" s="119"/>
      <c r="DT2" s="119"/>
      <c r="DU2" s="119"/>
      <c r="DV2" s="119"/>
      <c r="DW2" s="119"/>
      <c r="EB2" s="79" t="str">
        <f xml:space="preserve"> C2 &amp; " + " &amp; AS2 &amp; " + " &amp; CI2 &amp; " + " &amp; EB$8 &amp; " * " &amp; CW2</f>
        <v>2014 + 2014 + 2014 +  * 2014</v>
      </c>
      <c r="EC2" s="134"/>
      <c r="ED2" s="134"/>
      <c r="EE2" s="134"/>
      <c r="EF2" s="134"/>
      <c r="EG2" s="135" t="str">
        <f t="shared" ref="EG2:EL2" si="5" xml:space="preserve"> EG4</f>
        <v>M mSML</v>
      </c>
      <c r="EH2" s="135" t="str">
        <f t="shared" si="5"/>
        <v>F mSML</v>
      </c>
      <c r="EI2" s="135" t="str">
        <f t="shared" si="5"/>
        <v>λ_x</v>
      </c>
      <c r="EJ2" s="134"/>
      <c r="EK2" s="135" t="str">
        <f t="shared" si="5"/>
        <v>M vSML</v>
      </c>
      <c r="EL2" s="135" t="str">
        <f t="shared" si="5"/>
        <v>F vSML</v>
      </c>
      <c r="EM2" s="135" t="str">
        <f xml:space="preserve"> EM4</f>
        <v>M vSML/glvert</v>
      </c>
      <c r="EN2" s="135" t="str">
        <f xml:space="preserve"> EN4</f>
        <v>F vSML/glvert</v>
      </c>
      <c r="EP2" s="79" t="str">
        <f xml:space="preserve"> Q2 &amp; " + " &amp; BG2 &amp; " + " &amp; CI2 &amp; " + " &amp; EP$8 &amp; " * " &amp; CW2</f>
        <v>2014 + 2014 + 2014 +  * 2014</v>
      </c>
      <c r="EQ2" s="134"/>
      <c r="ER2" s="134"/>
      <c r="ES2" s="134"/>
      <c r="ET2" s="134"/>
      <c r="EU2" s="135" t="str">
        <f t="shared" ref="EU2:EZ2" si="6" xml:space="preserve"> EU4</f>
        <v>M mSML</v>
      </c>
      <c r="EV2" s="135" t="str">
        <f t="shared" si="6"/>
        <v>F mSML</v>
      </c>
      <c r="EW2" s="135" t="str">
        <f t="shared" si="6"/>
        <v>λ_x</v>
      </c>
      <c r="EX2" s="134"/>
      <c r="EY2" s="135" t="str">
        <f t="shared" si="6"/>
        <v>M vSML</v>
      </c>
      <c r="EZ2" s="135" t="str">
        <f t="shared" si="6"/>
        <v>F vSML</v>
      </c>
      <c r="FA2" s="135" t="str">
        <f xml:space="preserve"> FA4</f>
        <v>M vSML/glvert</v>
      </c>
      <c r="FB2" s="135" t="str">
        <f xml:space="preserve"> FB4</f>
        <v>F vSML/glvert</v>
      </c>
      <c r="FD2" s="79" t="str">
        <f xml:space="preserve"> AE2 &amp; " + " &amp; BU2 &amp; " + " &amp; CI2 &amp; " + " &amp; FD$8 &amp; " * " &amp; DK2</f>
        <v>2014 + 2014 + 2014 +  * 2014</v>
      </c>
      <c r="FE2" s="134"/>
      <c r="FF2" s="134"/>
      <c r="FG2" s="134"/>
      <c r="FH2" s="134"/>
      <c r="FI2" s="135" t="str">
        <f t="shared" ref="FI2:FN2" si="7" xml:space="preserve"> FI4</f>
        <v>M mSML</v>
      </c>
      <c r="FJ2" s="135" t="str">
        <f t="shared" si="7"/>
        <v>F mSML</v>
      </c>
      <c r="FK2" s="135" t="str">
        <f t="shared" si="7"/>
        <v>λ_x</v>
      </c>
      <c r="FL2" s="134"/>
      <c r="FM2" s="135" t="str">
        <f t="shared" si="7"/>
        <v>M vSML</v>
      </c>
      <c r="FN2" s="135" t="str">
        <f t="shared" si="7"/>
        <v>F vSML</v>
      </c>
      <c r="FO2" s="135" t="str">
        <f xml:space="preserve"> FO4</f>
        <v>M vSML/glvert</v>
      </c>
      <c r="FP2" s="135" t="str">
        <f xml:space="preserve"> FP4</f>
        <v>F vSML/glvert</v>
      </c>
      <c r="FR2" s="79" t="str">
        <f xml:space="preserve"> CI2 &amp; " + " &amp; FR$8 &amp; " * " &amp; CW2</f>
        <v>2014 +  * 2014</v>
      </c>
      <c r="FS2" s="134"/>
      <c r="FT2" s="134"/>
      <c r="FU2" s="134"/>
      <c r="FV2" s="134"/>
      <c r="FW2" s="135" t="str">
        <f t="shared" ref="FW2:GB2" si="8" xml:space="preserve"> FW4</f>
        <v>M mSML</v>
      </c>
      <c r="FX2" s="135" t="str">
        <f t="shared" si="8"/>
        <v>F mSML</v>
      </c>
      <c r="FY2" s="135" t="str">
        <f t="shared" si="8"/>
        <v>λ_x</v>
      </c>
      <c r="FZ2" s="134"/>
      <c r="GA2" s="135" t="str">
        <f t="shared" si="8"/>
        <v>M vSML</v>
      </c>
      <c r="GB2" s="135" t="str">
        <f t="shared" si="8"/>
        <v>F vSML</v>
      </c>
      <c r="GC2" s="135" t="str">
        <f xml:space="preserve"> GC4</f>
        <v>M vSML/glvert</v>
      </c>
      <c r="GD2" s="135" t="str">
        <f xml:space="preserve"> GD4</f>
        <v>F vSML/glvert</v>
      </c>
      <c r="GF2" s="80" t="str">
        <f xml:space="preserve">  AS2 &amp; " - " &amp; BU2 &amp; " / * " &amp; GF$8</f>
        <v xml:space="preserve">2014 - 2014 / * </v>
      </c>
      <c r="GG2" s="134"/>
      <c r="GH2" s="134"/>
      <c r="GI2" s="134"/>
      <c r="GJ2" s="134"/>
      <c r="GK2" s="135" t="str">
        <f t="shared" ref="GK2:GP2" si="9" xml:space="preserve"> GK4</f>
        <v>M mSML</v>
      </c>
      <c r="GL2" s="135" t="str">
        <f t="shared" si="9"/>
        <v>F mSML</v>
      </c>
      <c r="GM2" s="135" t="str">
        <f t="shared" si="9"/>
        <v>λ_x</v>
      </c>
      <c r="GN2" s="134"/>
      <c r="GO2" s="135" t="str">
        <f t="shared" si="9"/>
        <v>M vSML</v>
      </c>
      <c r="GP2" s="135" t="str">
        <f t="shared" si="9"/>
        <v>F vSML</v>
      </c>
      <c r="GQ2" s="135" t="str">
        <f xml:space="preserve"> GQ4</f>
        <v>M vSML/glvert</v>
      </c>
      <c r="GR2" s="135" t="str">
        <f xml:space="preserve"> GR4</f>
        <v>F vSML/glvert</v>
      </c>
    </row>
    <row r="3" spans="1:220" s="120" customFormat="1" ht="81.599999999999994" x14ac:dyDescent="0.2">
      <c r="C3" s="121" t="s">
        <v>0</v>
      </c>
      <c r="D3" s="121" t="s">
        <v>1</v>
      </c>
      <c r="E3" s="121" t="s">
        <v>77</v>
      </c>
      <c r="F3" s="121" t="s">
        <v>79</v>
      </c>
      <c r="G3" s="121" t="s">
        <v>80</v>
      </c>
      <c r="H3" s="122" t="str">
        <f xml:space="preserve"> C3 &amp; " " &amp; SML_mSML</f>
        <v>M mSML</v>
      </c>
      <c r="I3" s="122" t="str">
        <f xml:space="preserve"> D3 &amp; " " &amp; SML_mSML</f>
        <v>F mSML</v>
      </c>
      <c r="J3" s="123" t="str">
        <f xml:space="preserve"> E3</f>
        <v>F S-Kosten</v>
      </c>
      <c r="K3" s="121" t="s">
        <v>81</v>
      </c>
      <c r="L3" s="122" t="str">
        <f xml:space="preserve"> C3 &amp; " " &amp; SML_vSML</f>
        <v>M vSML</v>
      </c>
      <c r="M3" s="122" t="str">
        <f xml:space="preserve"> D3 &amp; " " &amp; SML_vSML</f>
        <v>F vSML</v>
      </c>
      <c r="N3" s="122" t="str">
        <f xml:space="preserve"> C3 &amp; " " &amp; SML_vMLglvert</f>
        <v>M vSML/glvert</v>
      </c>
      <c r="O3" s="122" t="str">
        <f xml:space="preserve"> D3 &amp; " " &amp; SML_vMLglvert</f>
        <v>F vSML/glvert</v>
      </c>
      <c r="Q3" s="121" t="s">
        <v>0</v>
      </c>
      <c r="R3" s="121" t="s">
        <v>1</v>
      </c>
      <c r="S3" s="121" t="s">
        <v>77</v>
      </c>
      <c r="T3" s="121" t="s">
        <v>79</v>
      </c>
      <c r="U3" s="121" t="s">
        <v>80</v>
      </c>
      <c r="V3" s="122" t="str">
        <f xml:space="preserve"> Q3 &amp; " " &amp; SML_mSML</f>
        <v>M mSML</v>
      </c>
      <c r="W3" s="122" t="str">
        <f xml:space="preserve"> R3 &amp; " " &amp; SML_mSML</f>
        <v>F mSML</v>
      </c>
      <c r="X3" s="123" t="str">
        <f xml:space="preserve"> S3</f>
        <v>F S-Kosten</v>
      </c>
      <c r="Y3" s="121" t="s">
        <v>81</v>
      </c>
      <c r="Z3" s="122" t="str">
        <f xml:space="preserve"> Q3 &amp; " " &amp; SML_vSML</f>
        <v>M vSML</v>
      </c>
      <c r="AA3" s="122" t="str">
        <f xml:space="preserve"> R3 &amp; " " &amp; SML_vSML</f>
        <v>F vSML</v>
      </c>
      <c r="AB3" s="122" t="str">
        <f xml:space="preserve"> Q3 &amp; " " &amp; SML_vMLglvert</f>
        <v>M vSML/glvert</v>
      </c>
      <c r="AC3" s="122" t="str">
        <f xml:space="preserve"> R3 &amp; " " &amp; SML_vMLglvert</f>
        <v>F vSML/glvert</v>
      </c>
      <c r="AE3" s="121" t="s">
        <v>0</v>
      </c>
      <c r="AF3" s="121" t="s">
        <v>1</v>
      </c>
      <c r="AG3" s="121" t="s">
        <v>77</v>
      </c>
      <c r="AH3" s="121" t="s">
        <v>79</v>
      </c>
      <c r="AI3" s="121" t="s">
        <v>80</v>
      </c>
      <c r="AJ3" s="122" t="str">
        <f xml:space="preserve"> AE3 &amp; " " &amp; SML_mSML</f>
        <v>M mSML</v>
      </c>
      <c r="AK3" s="122" t="str">
        <f xml:space="preserve"> AF3 &amp; " " &amp; SML_mSML</f>
        <v>F mSML</v>
      </c>
      <c r="AL3" s="123" t="str">
        <f xml:space="preserve"> AG3</f>
        <v>F S-Kosten</v>
      </c>
      <c r="AM3" s="121" t="s">
        <v>81</v>
      </c>
      <c r="AN3" s="122" t="str">
        <f xml:space="preserve"> AE3 &amp; " " &amp; SML_vSML</f>
        <v>M vSML</v>
      </c>
      <c r="AO3" s="122" t="str">
        <f xml:space="preserve"> AF3 &amp; " " &amp; SML_vSML</f>
        <v>F vSML</v>
      </c>
      <c r="AP3" s="122" t="str">
        <f xml:space="preserve"> AE3 &amp; " " &amp; SML_vMLglvert</f>
        <v>M vSML/glvert</v>
      </c>
      <c r="AQ3" s="122" t="str">
        <f xml:space="preserve"> AF3 &amp; " " &amp; SML_vMLglvert</f>
        <v>F vSML/glvert</v>
      </c>
      <c r="AS3" s="121" t="s">
        <v>0</v>
      </c>
      <c r="AT3" s="121" t="s">
        <v>1</v>
      </c>
      <c r="AU3" s="121" t="s">
        <v>77</v>
      </c>
      <c r="AV3" s="121" t="s">
        <v>79</v>
      </c>
      <c r="AW3" s="121" t="s">
        <v>80</v>
      </c>
      <c r="AX3" s="122" t="str">
        <f xml:space="preserve"> AS3 &amp; " " &amp; SML_mSML</f>
        <v>M mSML</v>
      </c>
      <c r="AY3" s="122" t="str">
        <f xml:space="preserve"> AT3 &amp; " " &amp; SML_mSML</f>
        <v>F mSML</v>
      </c>
      <c r="AZ3" s="123" t="str">
        <f xml:space="preserve"> AU3</f>
        <v>F S-Kosten</v>
      </c>
      <c r="BA3" s="121" t="s">
        <v>81</v>
      </c>
      <c r="BB3" s="122" t="str">
        <f xml:space="preserve"> AS3 &amp; " " &amp; SML_vSML</f>
        <v>M vSML</v>
      </c>
      <c r="BC3" s="122" t="str">
        <f xml:space="preserve"> AT3 &amp; " " &amp; SML_vSML</f>
        <v>F vSML</v>
      </c>
      <c r="BD3" s="122" t="str">
        <f xml:space="preserve"> AS3 &amp; " " &amp; SML_vMLglvert</f>
        <v>M vSML/glvert</v>
      </c>
      <c r="BE3" s="122" t="str">
        <f xml:space="preserve"> AT3 &amp; " " &amp; SML_vMLglvert</f>
        <v>F vSML/glvert</v>
      </c>
      <c r="BG3" s="121" t="s">
        <v>0</v>
      </c>
      <c r="BH3" s="121" t="s">
        <v>1</v>
      </c>
      <c r="BI3" s="121" t="s">
        <v>77</v>
      </c>
      <c r="BJ3" s="121" t="s">
        <v>79</v>
      </c>
      <c r="BK3" s="121" t="s">
        <v>80</v>
      </c>
      <c r="BL3" s="122" t="str">
        <f xml:space="preserve"> BG3 &amp; " " &amp; SML_mSML</f>
        <v>M mSML</v>
      </c>
      <c r="BM3" s="122" t="str">
        <f xml:space="preserve"> BH3 &amp; " " &amp; SML_mSML</f>
        <v>F mSML</v>
      </c>
      <c r="BN3" s="123" t="str">
        <f xml:space="preserve"> BI3</f>
        <v>F S-Kosten</v>
      </c>
      <c r="BO3" s="121" t="s">
        <v>81</v>
      </c>
      <c r="BP3" s="122" t="str">
        <f xml:space="preserve"> BG3 &amp; " " &amp; SML_vSML</f>
        <v>M vSML</v>
      </c>
      <c r="BQ3" s="122" t="str">
        <f xml:space="preserve"> BH3 &amp; " " &amp; SML_vSML</f>
        <v>F vSML</v>
      </c>
      <c r="BR3" s="122" t="str">
        <f xml:space="preserve"> BG3 &amp; " " &amp; SML_vMLglvert</f>
        <v>M vSML/glvert</v>
      </c>
      <c r="BS3" s="122" t="str">
        <f xml:space="preserve"> BH3 &amp; " " &amp; SML_vMLglvert</f>
        <v>F vSML/glvert</v>
      </c>
      <c r="BU3" s="121" t="s">
        <v>0</v>
      </c>
      <c r="BV3" s="121" t="s">
        <v>1</v>
      </c>
      <c r="BW3" s="121" t="s">
        <v>77</v>
      </c>
      <c r="BX3" s="121" t="s">
        <v>79</v>
      </c>
      <c r="BY3" s="121" t="s">
        <v>80</v>
      </c>
      <c r="BZ3" s="122" t="str">
        <f xml:space="preserve"> BU3 &amp; " " &amp; SML_mSML</f>
        <v>M mSML</v>
      </c>
      <c r="CA3" s="122" t="str">
        <f xml:space="preserve"> BV3 &amp; " " &amp; SML_mSML</f>
        <v>F mSML</v>
      </c>
      <c r="CB3" s="123" t="str">
        <f xml:space="preserve"> BW3</f>
        <v>F S-Kosten</v>
      </c>
      <c r="CC3" s="121" t="s">
        <v>81</v>
      </c>
      <c r="CD3" s="122" t="str">
        <f xml:space="preserve"> BU3 &amp; " " &amp; SML_vSML</f>
        <v>M vSML</v>
      </c>
      <c r="CE3" s="122" t="str">
        <f xml:space="preserve"> BV3 &amp; " " &amp; SML_vSML</f>
        <v>F vSML</v>
      </c>
      <c r="CF3" s="122" t="str">
        <f xml:space="preserve"> BU3 &amp; " " &amp; SML_vMLglvert</f>
        <v>M vSML/glvert</v>
      </c>
      <c r="CG3" s="122" t="str">
        <f xml:space="preserve"> BV3 &amp; " " &amp; SML_vMLglvert</f>
        <v>F vSML/glvert</v>
      </c>
      <c r="CI3" s="121" t="s">
        <v>0</v>
      </c>
      <c r="CJ3" s="121" t="s">
        <v>1</v>
      </c>
      <c r="CK3" s="121" t="s">
        <v>77</v>
      </c>
      <c r="CL3" s="121" t="s">
        <v>79</v>
      </c>
      <c r="CM3" s="121" t="s">
        <v>80</v>
      </c>
      <c r="CN3" s="122" t="str">
        <f xml:space="preserve"> CI3 &amp; " " &amp; SML_mSML</f>
        <v>M mSML</v>
      </c>
      <c r="CO3" s="122" t="str">
        <f xml:space="preserve"> CJ3 &amp; " " &amp; SML_mSML</f>
        <v>F mSML</v>
      </c>
      <c r="CP3" s="123" t="str">
        <f xml:space="preserve"> CK3</f>
        <v>F S-Kosten</v>
      </c>
      <c r="CQ3" s="121" t="s">
        <v>81</v>
      </c>
      <c r="CR3" s="122" t="str">
        <f xml:space="preserve"> CI3 &amp; " " &amp; SML_vSML</f>
        <v>M vSML</v>
      </c>
      <c r="CS3" s="122" t="str">
        <f xml:space="preserve"> CJ3 &amp; " " &amp; SML_vSML</f>
        <v>F vSML</v>
      </c>
      <c r="CT3" s="122" t="str">
        <f xml:space="preserve"> CI3 &amp; " " &amp; SML_vMLglvert</f>
        <v>M vSML/glvert</v>
      </c>
      <c r="CU3" s="122" t="str">
        <f xml:space="preserve"> CJ3 &amp; " " &amp; SML_vMLglvert</f>
        <v>F vSML/glvert</v>
      </c>
      <c r="CW3" s="121" t="s">
        <v>0</v>
      </c>
      <c r="CX3" s="121" t="s">
        <v>1</v>
      </c>
      <c r="CY3" s="121" t="s">
        <v>77</v>
      </c>
      <c r="CZ3" s="121" t="s">
        <v>79</v>
      </c>
      <c r="DA3" s="121" t="s">
        <v>80</v>
      </c>
      <c r="DB3" s="122" t="str">
        <f xml:space="preserve"> CW3 &amp; " " &amp; SML_mSML</f>
        <v>M mSML</v>
      </c>
      <c r="DC3" s="122" t="str">
        <f xml:space="preserve"> CX3 &amp; " " &amp; SML_mSML</f>
        <v>F mSML</v>
      </c>
      <c r="DD3" s="123" t="str">
        <f xml:space="preserve"> CY3</f>
        <v>F S-Kosten</v>
      </c>
      <c r="DE3" s="121" t="s">
        <v>81</v>
      </c>
      <c r="DF3" s="122" t="str">
        <f xml:space="preserve"> CW3 &amp; " " &amp; SML_vSML</f>
        <v>M vSML</v>
      </c>
      <c r="DG3" s="122" t="str">
        <f xml:space="preserve"> CX3 &amp; " " &amp; SML_vSML</f>
        <v>F vSML</v>
      </c>
      <c r="DH3" s="122" t="str">
        <f xml:space="preserve"> CW3 &amp; " " &amp; SML_vMLglvert</f>
        <v>M vSML/glvert</v>
      </c>
      <c r="DI3" s="122" t="str">
        <f xml:space="preserve"> CX3 &amp; " " &amp; SML_vMLglvert</f>
        <v>F vSML/glvert</v>
      </c>
      <c r="DK3" s="121" t="s">
        <v>0</v>
      </c>
      <c r="DL3" s="121" t="s">
        <v>1</v>
      </c>
      <c r="DM3" s="121" t="s">
        <v>77</v>
      </c>
      <c r="DN3" s="121" t="s">
        <v>79</v>
      </c>
      <c r="DO3" s="121" t="s">
        <v>80</v>
      </c>
      <c r="DP3" s="122" t="str">
        <f xml:space="preserve"> DK3 &amp; " " &amp; SML_mSML</f>
        <v>M mSML</v>
      </c>
      <c r="DQ3" s="122" t="str">
        <f xml:space="preserve"> DL3 &amp; " " &amp; SML_mSML</f>
        <v>F mSML</v>
      </c>
      <c r="DR3" s="123" t="str">
        <f xml:space="preserve"> DM3</f>
        <v>F S-Kosten</v>
      </c>
      <c r="DS3" s="121" t="s">
        <v>81</v>
      </c>
      <c r="DT3" s="122" t="str">
        <f xml:space="preserve"> DK3 &amp; " " &amp; SML_vSML</f>
        <v>M vSML</v>
      </c>
      <c r="DU3" s="122" t="str">
        <f xml:space="preserve"> DL3 &amp; " " &amp; SML_vSML</f>
        <v>F vSML</v>
      </c>
      <c r="DV3" s="122" t="str">
        <f xml:space="preserve"> DK3 &amp; " " &amp; SML_vMLglvert</f>
        <v>M vSML/glvert</v>
      </c>
      <c r="DW3" s="122" t="str">
        <f xml:space="preserve"> DL3 &amp; " " &amp; SML_vMLglvert</f>
        <v>F vSML/glvert</v>
      </c>
      <c r="EA3" s="132"/>
      <c r="EB3" s="81"/>
      <c r="EC3" s="81"/>
      <c r="ED3" s="81"/>
      <c r="EE3" s="79" t="str">
        <f xml:space="preserve"> F3 &amp; " + " &amp; AV3 &amp; " + " &amp; CL3 &amp; " + " &amp; EE$8 &amp; " * " &amp; CZ3</f>
        <v>M Bestand + M Bestand + M Bestand + 1 * M Bestand</v>
      </c>
      <c r="EF3" s="79" t="str">
        <f xml:space="preserve"> G3 &amp; " + " &amp; AW3 &amp; " + " &amp; CM3 &amp; " + " &amp; EF$8 &amp; " * " &amp; DA3</f>
        <v>F Bestand + F Bestand + F Bestand + 1 * F Bestand</v>
      </c>
      <c r="EG3" s="79" t="str">
        <f xml:space="preserve"> H3 &amp; " + " &amp; AX3 &amp; " + " &amp; CN3 &amp; " + " &amp; EG$8 &amp; " * " &amp; DB3</f>
        <v>M mSML + M mSML + M mSML + 0,8 * M mSML</v>
      </c>
      <c r="EH3" s="79" t="str">
        <f xml:space="preserve"> I3 &amp; " + " &amp; AY3 &amp; " + " &amp; CO3 &amp; " + " &amp; EH$8 &amp; " * " &amp; DC3</f>
        <v>F mSML + F mSML + F mSML + 0,8 * F mSML</v>
      </c>
      <c r="EI3" s="80" t="str">
        <f xml:space="preserve"> EI4</f>
        <v>λ_x</v>
      </c>
      <c r="EJ3" s="81"/>
      <c r="EK3" s="79" t="str">
        <f xml:space="preserve"> L3 &amp; " + " &amp; BB3 &amp; " + " &amp; CR3 &amp; " + " &amp; EK$8 &amp; " * " &amp; DF3</f>
        <v>M vSML + M vSML + M vSML + 0,8 * M vSML</v>
      </c>
      <c r="EL3" s="79" t="str">
        <f xml:space="preserve"> M3 &amp; " + " &amp; BC3 &amp; " + " &amp; CS3 &amp; " + " &amp; EL$8 &amp; " * " &amp; DG3</f>
        <v>F vSML + F vSML + F vSML + 0,8 * F vSML</v>
      </c>
      <c r="EM3" s="79" t="str">
        <f xml:space="preserve"> N3 &amp; " + " &amp; BD3 &amp; " + " &amp; CT3 &amp; " + " &amp; EM$8 &amp; " * " &amp; DH3</f>
        <v>M vSML/glvert + M vSML/glvert + M vSML/glvert + 0,8 * M vSML/glvert</v>
      </c>
      <c r="EN3" s="79" t="str">
        <f xml:space="preserve"> O3 &amp; " + " &amp; BE3 &amp; " + " &amp; CU3 &amp; " + " &amp; EN$8 &amp; " * " &amp; DI3</f>
        <v>F vSML/glvert + F vSML/glvert + F vSML/glvert + 0,8 * F vSML/glvert</v>
      </c>
      <c r="EO3" s="132"/>
      <c r="EP3" s="81"/>
      <c r="EQ3" s="81"/>
      <c r="ER3" s="81"/>
      <c r="ES3" s="79" t="str">
        <f xml:space="preserve"> T3 &amp; " + " &amp; BJ3 &amp; " + " &amp; CL3 &amp; " + " &amp; ES$8 &amp; " * " &amp; CZ3</f>
        <v>M Bestand + M Bestand + M Bestand + 1 * M Bestand</v>
      </c>
      <c r="ET3" s="79" t="str">
        <f xml:space="preserve"> U3 &amp; " + " &amp; BK3 &amp; " + " &amp; CM3 &amp; " + " &amp; ET$8 &amp; " * " &amp; DA3</f>
        <v>F Bestand + F Bestand + F Bestand + 1 * F Bestand</v>
      </c>
      <c r="EU3" s="79" t="str">
        <f xml:space="preserve"> V3 &amp; " + " &amp; BL3 &amp; " + " &amp; CN3 &amp; " + " &amp; EU$8 &amp; " * " &amp; DB3</f>
        <v>M mSML + M mSML + M mSML + 0,7 * M mSML</v>
      </c>
      <c r="EV3" s="79" t="str">
        <f xml:space="preserve"> W3 &amp; " + " &amp; BM3 &amp; " + " &amp; CO3 &amp; " + " &amp; EV$8 &amp; " * " &amp; DC3</f>
        <v>F mSML + F mSML + F mSML + 0,7 * F mSML</v>
      </c>
      <c r="EW3" s="80" t="str">
        <f xml:space="preserve"> EW4</f>
        <v>λ_x</v>
      </c>
      <c r="EX3" s="81"/>
      <c r="EY3" s="79" t="str">
        <f xml:space="preserve"> Z3 &amp; " + " &amp; BP3 &amp; " + " &amp; CR3 &amp; " + " &amp; EY$8 &amp; " * " &amp; DF3</f>
        <v>M vSML + M vSML + M vSML + 0,7 * M vSML</v>
      </c>
      <c r="EZ3" s="79" t="str">
        <f xml:space="preserve"> AA3 &amp; " + " &amp; BQ3 &amp; " + " &amp; CS3 &amp; " + " &amp; EZ$8 &amp; " * " &amp; DG3</f>
        <v>F vSML + F vSML + F vSML + 0,7 * F vSML</v>
      </c>
      <c r="FA3" s="79" t="str">
        <f xml:space="preserve"> AB3 &amp; " + " &amp; BR3 &amp; " + " &amp; CT3 &amp; " + " &amp; FA$8 &amp; " * " &amp; DH3</f>
        <v>M vSML/glvert + M vSML/glvert + M vSML/glvert + 0,7 * M vSML/glvert</v>
      </c>
      <c r="FB3" s="79" t="str">
        <f xml:space="preserve"> AC3 &amp; " + " &amp; BS3 &amp; " + " &amp; CU3 &amp; " + " &amp; FB$8 &amp; " * " &amp; DI3</f>
        <v>F vSML/glvert + F vSML/glvert + F vSML/glvert + 0,7 * F vSML/glvert</v>
      </c>
      <c r="FC3" s="132"/>
      <c r="FD3" s="81"/>
      <c r="FE3" s="81"/>
      <c r="FF3" s="81"/>
      <c r="FG3" s="79" t="str">
        <f xml:space="preserve"> AH3 &amp; " + " &amp; BX3 &amp; " + " &amp; CL3 &amp; " + " &amp; FG$8 &amp; " * " &amp; DN3</f>
        <v>M Bestand + M Bestand + M Bestand + 1 * M Bestand</v>
      </c>
      <c r="FH3" s="79" t="str">
        <f xml:space="preserve"> AI3 &amp; " + " &amp; BY3 &amp; " + " &amp; CM3 &amp; " + " &amp; FH$8 &amp; " * " &amp; DO3</f>
        <v>F Bestand + F Bestand + F Bestand + 1 * F Bestand</v>
      </c>
      <c r="FI3" s="79" t="str">
        <f xml:space="preserve"> AJ3 &amp; " + " &amp; BZ3 &amp; " + " &amp; CN3 &amp; " + " &amp; FI$8 &amp; " * " &amp; DP3</f>
        <v>M mSML + M mSML + M mSML + 0,6 * M mSML</v>
      </c>
      <c r="FJ3" s="79" t="str">
        <f xml:space="preserve"> AK3 &amp; " + " &amp; CA3 &amp; " + " &amp; CO3 &amp; " + " &amp; FJ$8 &amp; " * " &amp; DQ3</f>
        <v>F mSML + F mSML + F mSML + 0,6 * F mSML</v>
      </c>
      <c r="FK3" s="80" t="str">
        <f xml:space="preserve"> FK4</f>
        <v>λ_x</v>
      </c>
      <c r="FL3" s="81"/>
      <c r="FM3" s="79" t="str">
        <f xml:space="preserve"> AN3 &amp; " + " &amp; CD3 &amp; " + " &amp; CR3 &amp; " + " &amp; FM$8 &amp; " * " &amp; DT3</f>
        <v>M vSML + M vSML + M vSML + 0,6 * M vSML</v>
      </c>
      <c r="FN3" s="79" t="str">
        <f xml:space="preserve"> AO3 &amp; " + " &amp; CE3 &amp; " + " &amp; CS3 &amp; " + " &amp; FN$8 &amp; " * " &amp; DU3</f>
        <v>F vSML + F vSML + F vSML + 0,6 * F vSML</v>
      </c>
      <c r="FO3" s="79" t="str">
        <f xml:space="preserve"> AP3 &amp; " + " &amp; CF3 &amp; " + " &amp; CT3 &amp; " + " &amp; FO$8 &amp; " * " &amp; DV3</f>
        <v>M vSML/glvert + M vSML/glvert + M vSML/glvert + 0,6 * M vSML/glvert</v>
      </c>
      <c r="FP3" s="79" t="str">
        <f xml:space="preserve"> AQ3 &amp; " + " &amp; CG3 &amp; " + " &amp; CU3 &amp; " + " &amp; FP$8 &amp; " * " &amp; DW3</f>
        <v>F vSML/glvert + F vSML/glvert + F vSML/glvert + 0,6 * F vSML/glvert</v>
      </c>
      <c r="FQ3" s="132"/>
      <c r="FR3" s="81"/>
      <c r="FS3" s="81"/>
      <c r="FT3" s="81"/>
      <c r="FU3" s="79" t="str">
        <f xml:space="preserve"> CL3 &amp; " + " &amp; FU$8 &amp; " * " &amp; CZ3</f>
        <v>M Bestand + 1 * M Bestand</v>
      </c>
      <c r="FV3" s="79" t="str">
        <f xml:space="preserve"> CM3 &amp; " + " &amp; FV$8 &amp; " * " &amp; DA3</f>
        <v>F Bestand + 1 * F Bestand</v>
      </c>
      <c r="FW3" s="79" t="str">
        <f xml:space="preserve"> CN3 &amp; " + " &amp; FW$8 &amp; " * " &amp; DB3</f>
        <v>M mSML + 0,8 * M mSML</v>
      </c>
      <c r="FX3" s="79" t="str">
        <f xml:space="preserve"> CO3 &amp; " + " &amp; FX$8 &amp; " * " &amp; DC3</f>
        <v>F mSML + 0,8 * F mSML</v>
      </c>
      <c r="FY3" s="80" t="str">
        <f xml:space="preserve"> FY4</f>
        <v>λ_x</v>
      </c>
      <c r="FZ3" s="81"/>
      <c r="GA3" s="79" t="str">
        <f xml:space="preserve"> CR3 &amp; " + " &amp; GA$8 &amp; " * " &amp; DF3</f>
        <v>M vSML + 0,8 * M vSML</v>
      </c>
      <c r="GB3" s="79" t="str">
        <f xml:space="preserve"> CS3 &amp; " + " &amp; GB$8 &amp; " * " &amp; DG3</f>
        <v>F vSML + 0,8 * F vSML</v>
      </c>
      <c r="GC3" s="79" t="str">
        <f xml:space="preserve"> CT3 &amp; " + " &amp; GC$8 &amp; " * " &amp; DH3</f>
        <v>M vSML/glvert + 0,8 * M vSML/glvert</v>
      </c>
      <c r="GD3" s="79" t="str">
        <f xml:space="preserve"> CU3 &amp; " + " &amp; GD$8 &amp; " * " &amp; DI3</f>
        <v>F vSML/glvert + 0,8 * F vSML/glvert</v>
      </c>
      <c r="GE3" s="132"/>
      <c r="GF3" s="81"/>
      <c r="GG3" s="81"/>
      <c r="GH3" s="81"/>
      <c r="GI3" s="79" t="str">
        <f xml:space="preserve">  AV3 &amp; " + " &amp; BX3 &amp; " / * " &amp; GI$8</f>
        <v>M Bestand + M Bestand / * 1</v>
      </c>
      <c r="GJ3" s="79" t="str">
        <f xml:space="preserve">  AW3 &amp; " + " &amp; BY3 &amp; " / * " &amp; GJ$8</f>
        <v>F Bestand + F Bestand / * 1</v>
      </c>
      <c r="GK3" s="80" t="str">
        <f xml:space="preserve">  AX3 &amp; " - " &amp; BZ3 &amp; " / * " &amp; GK$8</f>
        <v>M mSML - M mSML / * 0,75</v>
      </c>
      <c r="GL3" s="80" t="str">
        <f xml:space="preserve">  AY3 &amp; " - " &amp; CA3 &amp; " / * " &amp; GL$8</f>
        <v>F mSML - F mSML / * 0,75</v>
      </c>
      <c r="GM3" s="80" t="str">
        <f xml:space="preserve"> GM4</f>
        <v>λ_x</v>
      </c>
      <c r="GN3" s="81"/>
      <c r="GO3" s="80" t="str">
        <f xml:space="preserve">  BB3 &amp; " - " &amp; CD3 &amp; " / * " &amp; GO$8</f>
        <v>M vSML - M vSML / * 0,75</v>
      </c>
      <c r="GP3" s="80" t="str">
        <f xml:space="preserve">  BC3 &amp; " - " &amp; CE3 &amp; " / * " &amp; GP$8</f>
        <v>F vSML - F vSML / * 0,75</v>
      </c>
      <c r="GQ3" s="80" t="str">
        <f xml:space="preserve">  BD3 &amp; " - " &amp; CF3 &amp; " / * " &amp; GQ$8</f>
        <v>M vSML/glvert - M vSML/glvert / * 0,75</v>
      </c>
      <c r="GR3" s="80" t="str">
        <f xml:space="preserve">  BE3 &amp; " - " &amp; CG3 &amp; " / * " &amp; GR$8</f>
        <v>F vSML/glvert - F vSML/glvert / * 0,75</v>
      </c>
      <c r="GS3" s="132"/>
      <c r="GT3" s="132"/>
      <c r="GU3" s="132"/>
      <c r="GV3" s="132"/>
      <c r="GW3" s="132"/>
      <c r="GX3" s="132"/>
      <c r="GY3" s="132"/>
      <c r="GZ3" s="132"/>
      <c r="HA3" s="132"/>
      <c r="HB3" s="132"/>
      <c r="HC3" s="132"/>
      <c r="HD3" s="132"/>
      <c r="HE3" s="132"/>
      <c r="HF3" s="132"/>
      <c r="HG3" s="132"/>
      <c r="HH3" s="132"/>
      <c r="HI3" s="132"/>
      <c r="HJ3" s="132"/>
      <c r="HK3" s="132"/>
      <c r="HL3" s="132"/>
    </row>
    <row r="4" spans="1:220" x14ac:dyDescent="0.2">
      <c r="EB4" s="52"/>
      <c r="EC4" s="52"/>
      <c r="ED4" s="52"/>
      <c r="EE4" s="52"/>
      <c r="EF4" s="52"/>
      <c r="EG4" s="58" t="str">
        <f xml:space="preserve"> TRIM(  LEFT( EG3, SEARCH( "+", EG3 ) - 1 )  )</f>
        <v>M mSML</v>
      </c>
      <c r="EH4" s="58" t="str">
        <f xml:space="preserve"> TRIM(  LEFT( EH3, SEARCH( "+", EH3 ) - 1 )  )</f>
        <v>F mSML</v>
      </c>
      <c r="EI4" s="60" t="str">
        <f xml:space="preserve"> lambdax</f>
        <v>λ_x</v>
      </c>
      <c r="EJ4" s="52"/>
      <c r="EK4" s="58" t="str">
        <f xml:space="preserve"> TRIM(  LEFT( EK3, SEARCH( "+", EK3 ) - 1 )  )</f>
        <v>M vSML</v>
      </c>
      <c r="EL4" s="58" t="str">
        <f xml:space="preserve"> TRIM(  LEFT( EL3, SEARCH( "+", EL3 ) - 1 )  )</f>
        <v>F vSML</v>
      </c>
      <c r="EM4" s="58" t="str">
        <f xml:space="preserve"> TRIM(  LEFT( EM3, SEARCH( "+", EM3 ) - 1 )  )</f>
        <v>M vSML/glvert</v>
      </c>
      <c r="EN4" s="58" t="str">
        <f xml:space="preserve"> TRIM(  LEFT( EN3, SEARCH( "+", EN3 ) - 1 )  )</f>
        <v>F vSML/glvert</v>
      </c>
      <c r="EP4" s="52"/>
      <c r="EQ4" s="52"/>
      <c r="ER4" s="52"/>
      <c r="ES4" s="52"/>
      <c r="ET4" s="52"/>
      <c r="EU4" s="58" t="str">
        <f xml:space="preserve"> TRIM(  LEFT( EU3, SEARCH( "+", EU3 ) - 1 )  )</f>
        <v>M mSML</v>
      </c>
      <c r="EV4" s="58" t="str">
        <f xml:space="preserve"> TRIM(  LEFT( EV3, SEARCH( "+", EV3 ) - 1 )  )</f>
        <v>F mSML</v>
      </c>
      <c r="EW4" s="60" t="str">
        <f xml:space="preserve"> lambdax</f>
        <v>λ_x</v>
      </c>
      <c r="EX4" s="52"/>
      <c r="EY4" s="58" t="str">
        <f xml:space="preserve"> TRIM(  LEFT( EY3, SEARCH( "+", EY3 ) - 1 )  )</f>
        <v>M vSML</v>
      </c>
      <c r="EZ4" s="58" t="str">
        <f xml:space="preserve"> TRIM(  LEFT( EZ3, SEARCH( "+", EZ3 ) - 1 )  )</f>
        <v>F vSML</v>
      </c>
      <c r="FA4" s="58" t="str">
        <f xml:space="preserve"> TRIM(  LEFT( FA3, SEARCH( "+", FA3 ) - 1 )  )</f>
        <v>M vSML/glvert</v>
      </c>
      <c r="FB4" s="58" t="str">
        <f xml:space="preserve"> TRIM(  LEFT( FB3, SEARCH( "+", FB3 ) - 1 )  )</f>
        <v>F vSML/glvert</v>
      </c>
      <c r="FD4" s="52"/>
      <c r="FE4" s="52"/>
      <c r="FF4" s="52"/>
      <c r="FG4" s="52"/>
      <c r="FH4" s="52"/>
      <c r="FI4" s="58" t="str">
        <f xml:space="preserve"> TRIM(  LEFT( FI3, SEARCH( "+", FI3 ) - 1 )  )</f>
        <v>M mSML</v>
      </c>
      <c r="FJ4" s="58" t="str">
        <f xml:space="preserve"> TRIM(  LEFT( FJ3, SEARCH( "+", FJ3 ) - 1 )  )</f>
        <v>F mSML</v>
      </c>
      <c r="FK4" s="60" t="str">
        <f xml:space="preserve"> lambdax</f>
        <v>λ_x</v>
      </c>
      <c r="FL4" s="52"/>
      <c r="FM4" s="58" t="str">
        <f xml:space="preserve"> TRIM(  LEFT( FM3, SEARCH( "+", FM3 ) - 1 )  )</f>
        <v>M vSML</v>
      </c>
      <c r="FN4" s="58" t="str">
        <f xml:space="preserve"> TRIM(  LEFT( FN3, SEARCH( "+", FN3 ) - 1 )  )</f>
        <v>F vSML</v>
      </c>
      <c r="FO4" s="58" t="str">
        <f xml:space="preserve"> TRIM(  LEFT( FO3, SEARCH( "+", FO3 ) - 1 )  )</f>
        <v>M vSML/glvert</v>
      </c>
      <c r="FP4" s="58" t="str">
        <f xml:space="preserve"> TRIM(  LEFT( FP3, SEARCH( "+", FP3 ) - 1 )  )</f>
        <v>F vSML/glvert</v>
      </c>
      <c r="FR4" s="52"/>
      <c r="FS4" s="52"/>
      <c r="FT4" s="52"/>
      <c r="FU4" s="52"/>
      <c r="FV4" s="52"/>
      <c r="FW4" s="58" t="str">
        <f xml:space="preserve"> TRIM(  LEFT( FW3, SEARCH( "+", FW3 ) - 1 )  )</f>
        <v>M mSML</v>
      </c>
      <c r="FX4" s="58" t="str">
        <f xml:space="preserve"> TRIM(  LEFT( FX3, SEARCH( "+", FX3 ) - 1 )  )</f>
        <v>F mSML</v>
      </c>
      <c r="FY4" s="60" t="str">
        <f xml:space="preserve"> lambdax</f>
        <v>λ_x</v>
      </c>
      <c r="FZ4" s="52"/>
      <c r="GA4" s="58" t="str">
        <f xml:space="preserve"> TRIM(  LEFT( GA3, SEARCH( "+", GA3 ) - 1 )  )</f>
        <v>M vSML</v>
      </c>
      <c r="GB4" s="58" t="str">
        <f xml:space="preserve"> TRIM(  LEFT( GB3, SEARCH( "+", GB3 ) - 1 )  )</f>
        <v>F vSML</v>
      </c>
      <c r="GC4" s="58" t="str">
        <f xml:space="preserve"> TRIM(  LEFT( GC3, SEARCH( "+", GC3 ) - 1 )  )</f>
        <v>M vSML/glvert</v>
      </c>
      <c r="GD4" s="58" t="str">
        <f xml:space="preserve"> TRIM(  LEFT( GD3, SEARCH( "+", GD3 ) - 1 )  )</f>
        <v>F vSML/glvert</v>
      </c>
      <c r="GF4" s="52"/>
      <c r="GG4" s="52"/>
      <c r="GH4" s="52"/>
      <c r="GI4" s="52"/>
      <c r="GJ4" s="52"/>
      <c r="GK4" s="63" t="str">
        <f xml:space="preserve"> TRIM(  LEFT( GK3, SEARCH( "-", GK3 ) - 1 )  )</f>
        <v>M mSML</v>
      </c>
      <c r="GL4" s="63" t="str">
        <f xml:space="preserve"> TRIM(  LEFT( GL3, SEARCH( "-", GL3 ) - 1 )  )</f>
        <v>F mSML</v>
      </c>
      <c r="GM4" s="60" t="str">
        <f xml:space="preserve"> lambdax</f>
        <v>λ_x</v>
      </c>
      <c r="GN4" s="52"/>
      <c r="GO4" s="63" t="str">
        <f xml:space="preserve"> TRIM(  LEFT( GO3, SEARCH( "-", GO3 ) - 1 )  )</f>
        <v>M vSML</v>
      </c>
      <c r="GP4" s="63" t="str">
        <f xml:space="preserve"> TRIM(  LEFT( GP3, SEARCH( "-", GP3 ) - 1 )  )</f>
        <v>F vSML</v>
      </c>
      <c r="GQ4" s="63" t="str">
        <f xml:space="preserve"> TRIM(  LEFT( GQ3, SEARCH( "-", GQ3 ) - 1 )  )</f>
        <v>M vSML/glvert</v>
      </c>
      <c r="GR4" s="63" t="str">
        <f xml:space="preserve"> TRIM(  LEFT( GR3, SEARCH( "-", GR3 ) - 1 )  )</f>
        <v>F vSML/glvert</v>
      </c>
    </row>
    <row r="5" spans="1:220" x14ac:dyDescent="0.2">
      <c r="ES5" s="57"/>
      <c r="FG5" s="57"/>
      <c r="GI5" s="57"/>
      <c r="GM5" s="1"/>
    </row>
    <row r="6" spans="1:220" s="120" customFormat="1" ht="77.25" customHeight="1" x14ac:dyDescent="0.2">
      <c r="C6" s="124" t="s">
        <v>76</v>
      </c>
      <c r="D6" s="78" t="str">
        <f xml:space="preserve"> C6</f>
        <v>1_Amb_N_0-100</v>
      </c>
      <c r="E6" s="78" t="str">
        <f t="shared" ref="E6:O6" si="10" xml:space="preserve"> D6</f>
        <v>1_Amb_N_0-100</v>
      </c>
      <c r="F6" s="78" t="str">
        <f t="shared" si="10"/>
        <v>1_Amb_N_0-100</v>
      </c>
      <c r="G6" s="78" t="str">
        <f t="shared" si="10"/>
        <v>1_Amb_N_0-100</v>
      </c>
      <c r="H6" s="78" t="str">
        <f t="shared" si="10"/>
        <v>1_Amb_N_0-100</v>
      </c>
      <c r="I6" s="78" t="str">
        <f t="shared" si="10"/>
        <v>1_Amb_N_0-100</v>
      </c>
      <c r="J6" s="78" t="str">
        <f t="shared" si="10"/>
        <v>1_Amb_N_0-100</v>
      </c>
      <c r="K6" s="78" t="str">
        <f t="shared" si="10"/>
        <v>1_Amb_N_0-100</v>
      </c>
      <c r="L6" s="78" t="str">
        <f t="shared" si="10"/>
        <v>1_Amb_N_0-100</v>
      </c>
      <c r="M6" s="78" t="str">
        <f t="shared" si="10"/>
        <v>1_Amb_N_0-100</v>
      </c>
      <c r="N6" s="78" t="str">
        <f t="shared" si="10"/>
        <v>1_Amb_N_0-100</v>
      </c>
      <c r="O6" s="78" t="str">
        <f t="shared" si="10"/>
        <v>1_Amb_N_0-100</v>
      </c>
      <c r="Q6" s="124" t="s">
        <v>84</v>
      </c>
      <c r="R6" s="78" t="str">
        <f xml:space="preserve"> Q6</f>
        <v>1_Amb_N_251-400</v>
      </c>
      <c r="S6" s="78" t="str">
        <f t="shared" ref="S6:AC6" si="11" xml:space="preserve"> R6</f>
        <v>1_Amb_N_251-400</v>
      </c>
      <c r="T6" s="78" t="str">
        <f t="shared" si="11"/>
        <v>1_Amb_N_251-400</v>
      </c>
      <c r="U6" s="78" t="str">
        <f t="shared" si="11"/>
        <v>1_Amb_N_251-400</v>
      </c>
      <c r="V6" s="78" t="str">
        <f t="shared" si="11"/>
        <v>1_Amb_N_251-400</v>
      </c>
      <c r="W6" s="78" t="str">
        <f t="shared" si="11"/>
        <v>1_Amb_N_251-400</v>
      </c>
      <c r="X6" s="78" t="str">
        <f t="shared" si="11"/>
        <v>1_Amb_N_251-400</v>
      </c>
      <c r="Y6" s="78" t="str">
        <f t="shared" si="11"/>
        <v>1_Amb_N_251-400</v>
      </c>
      <c r="Z6" s="78" t="str">
        <f t="shared" si="11"/>
        <v>1_Amb_N_251-400</v>
      </c>
      <c r="AA6" s="78" t="str">
        <f t="shared" si="11"/>
        <v>1_Amb_N_251-400</v>
      </c>
      <c r="AB6" s="78" t="str">
        <f t="shared" si="11"/>
        <v>1_Amb_N_251-400</v>
      </c>
      <c r="AC6" s="78" t="str">
        <f t="shared" si="11"/>
        <v>1_Amb_N_251-400</v>
      </c>
      <c r="AE6" s="124" t="s">
        <v>85</v>
      </c>
      <c r="AF6" s="78" t="str">
        <f xml:space="preserve"> AE6</f>
        <v>1_Amb_N_901-1100</v>
      </c>
      <c r="AG6" s="78" t="str">
        <f t="shared" ref="AG6:AQ6" si="12" xml:space="preserve"> AF6</f>
        <v>1_Amb_N_901-1100</v>
      </c>
      <c r="AH6" s="78" t="str">
        <f t="shared" si="12"/>
        <v>1_Amb_N_901-1100</v>
      </c>
      <c r="AI6" s="78" t="str">
        <f t="shared" si="12"/>
        <v>1_Amb_N_901-1100</v>
      </c>
      <c r="AJ6" s="78" t="str">
        <f t="shared" si="12"/>
        <v>1_Amb_N_901-1100</v>
      </c>
      <c r="AK6" s="78" t="str">
        <f t="shared" si="12"/>
        <v>1_Amb_N_901-1100</v>
      </c>
      <c r="AL6" s="78" t="str">
        <f t="shared" si="12"/>
        <v>1_Amb_N_901-1100</v>
      </c>
      <c r="AM6" s="78" t="str">
        <f t="shared" si="12"/>
        <v>1_Amb_N_901-1100</v>
      </c>
      <c r="AN6" s="78" t="str">
        <f t="shared" si="12"/>
        <v>1_Amb_N_901-1100</v>
      </c>
      <c r="AO6" s="78" t="str">
        <f t="shared" si="12"/>
        <v>1_Amb_N_901-1100</v>
      </c>
      <c r="AP6" s="78" t="str">
        <f t="shared" si="12"/>
        <v>1_Amb_N_901-1100</v>
      </c>
      <c r="AQ6" s="78" t="str">
        <f t="shared" si="12"/>
        <v>1_Amb_N_901-1100</v>
      </c>
      <c r="AS6" s="124" t="s">
        <v>86</v>
      </c>
      <c r="AT6" s="78" t="str">
        <f xml:space="preserve"> AS6</f>
        <v>2_Stat_N_EB</v>
      </c>
      <c r="AU6" s="78" t="str">
        <f t="shared" ref="AU6:BE6" si="13" xml:space="preserve"> AT6</f>
        <v>2_Stat_N_EB</v>
      </c>
      <c r="AV6" s="78" t="str">
        <f t="shared" si="13"/>
        <v>2_Stat_N_EB</v>
      </c>
      <c r="AW6" s="78" t="str">
        <f t="shared" si="13"/>
        <v>2_Stat_N_EB</v>
      </c>
      <c r="AX6" s="78" t="str">
        <f t="shared" si="13"/>
        <v>2_Stat_N_EB</v>
      </c>
      <c r="AY6" s="78" t="str">
        <f t="shared" si="13"/>
        <v>2_Stat_N_EB</v>
      </c>
      <c r="AZ6" s="78" t="str">
        <f t="shared" si="13"/>
        <v>2_Stat_N_EB</v>
      </c>
      <c r="BA6" s="78" t="str">
        <f t="shared" si="13"/>
        <v>2_Stat_N_EB</v>
      </c>
      <c r="BB6" s="78" t="str">
        <f t="shared" si="13"/>
        <v>2_Stat_N_EB</v>
      </c>
      <c r="BC6" s="78" t="str">
        <f t="shared" si="13"/>
        <v>2_Stat_N_EB</v>
      </c>
      <c r="BD6" s="78" t="str">
        <f t="shared" si="13"/>
        <v>2_Stat_N_EB</v>
      </c>
      <c r="BE6" s="78" t="str">
        <f t="shared" si="13"/>
        <v>2_Stat_N_EB</v>
      </c>
      <c r="BG6" s="124" t="s">
        <v>87</v>
      </c>
      <c r="BH6" s="78" t="str">
        <f xml:space="preserve"> BG6</f>
        <v>2_Stat_N_ZB</v>
      </c>
      <c r="BI6" s="78" t="str">
        <f t="shared" ref="BI6:BS6" si="14" xml:space="preserve"> BH6</f>
        <v>2_Stat_N_ZB</v>
      </c>
      <c r="BJ6" s="78" t="str">
        <f t="shared" si="14"/>
        <v>2_Stat_N_ZB</v>
      </c>
      <c r="BK6" s="78" t="str">
        <f t="shared" si="14"/>
        <v>2_Stat_N_ZB</v>
      </c>
      <c r="BL6" s="78" t="str">
        <f t="shared" si="14"/>
        <v>2_Stat_N_ZB</v>
      </c>
      <c r="BM6" s="78" t="str">
        <f t="shared" si="14"/>
        <v>2_Stat_N_ZB</v>
      </c>
      <c r="BN6" s="78" t="str">
        <f t="shared" si="14"/>
        <v>2_Stat_N_ZB</v>
      </c>
      <c r="BO6" s="78" t="str">
        <f t="shared" si="14"/>
        <v>2_Stat_N_ZB</v>
      </c>
      <c r="BP6" s="78" t="str">
        <f t="shared" si="14"/>
        <v>2_Stat_N_ZB</v>
      </c>
      <c r="BQ6" s="78" t="str">
        <f t="shared" si="14"/>
        <v>2_Stat_N_ZB</v>
      </c>
      <c r="BR6" s="78" t="str">
        <f t="shared" si="14"/>
        <v>2_Stat_N_ZB</v>
      </c>
      <c r="BS6" s="78" t="str">
        <f t="shared" si="14"/>
        <v>2_Stat_N_ZB</v>
      </c>
      <c r="BU6" s="124" t="s">
        <v>88</v>
      </c>
      <c r="BV6" s="78" t="str">
        <f xml:space="preserve"> BU6</f>
        <v>2_Stat_N_MB</v>
      </c>
      <c r="BW6" s="78" t="str">
        <f t="shared" ref="BW6:CG6" si="15" xml:space="preserve"> BV6</f>
        <v>2_Stat_N_MB</v>
      </c>
      <c r="BX6" s="78" t="str">
        <f t="shared" si="15"/>
        <v>2_Stat_N_MB</v>
      </c>
      <c r="BY6" s="78" t="str">
        <f t="shared" si="15"/>
        <v>2_Stat_N_MB</v>
      </c>
      <c r="BZ6" s="78" t="str">
        <f t="shared" si="15"/>
        <v>2_Stat_N_MB</v>
      </c>
      <c r="CA6" s="78" t="str">
        <f t="shared" si="15"/>
        <v>2_Stat_N_MB</v>
      </c>
      <c r="CB6" s="78" t="str">
        <f t="shared" si="15"/>
        <v>2_Stat_N_MB</v>
      </c>
      <c r="CC6" s="78" t="str">
        <f t="shared" si="15"/>
        <v>2_Stat_N_MB</v>
      </c>
      <c r="CD6" s="78" t="str">
        <f t="shared" si="15"/>
        <v>2_Stat_N_MB</v>
      </c>
      <c r="CE6" s="78" t="str">
        <f t="shared" si="15"/>
        <v>2_Stat_N_MB</v>
      </c>
      <c r="CF6" s="78" t="str">
        <f t="shared" si="15"/>
        <v>2_Stat_N_MB</v>
      </c>
      <c r="CG6" s="78" t="str">
        <f t="shared" si="15"/>
        <v>2_Stat_N_MB</v>
      </c>
      <c r="CI6" s="124" t="s">
        <v>91</v>
      </c>
      <c r="CJ6" s="78" t="str">
        <f xml:space="preserve"> CI6</f>
        <v>3_Zahn_N_Beh</v>
      </c>
      <c r="CK6" s="78" t="str">
        <f t="shared" ref="CK6:CU6" si="16" xml:space="preserve"> CJ6</f>
        <v>3_Zahn_N_Beh</v>
      </c>
      <c r="CL6" s="78" t="str">
        <f t="shared" si="16"/>
        <v>3_Zahn_N_Beh</v>
      </c>
      <c r="CM6" s="78" t="str">
        <f t="shared" si="16"/>
        <v>3_Zahn_N_Beh</v>
      </c>
      <c r="CN6" s="78" t="str">
        <f t="shared" si="16"/>
        <v>3_Zahn_N_Beh</v>
      </c>
      <c r="CO6" s="78" t="str">
        <f t="shared" si="16"/>
        <v>3_Zahn_N_Beh</v>
      </c>
      <c r="CP6" s="78" t="str">
        <f t="shared" si="16"/>
        <v>3_Zahn_N_Beh</v>
      </c>
      <c r="CQ6" s="78" t="str">
        <f t="shared" si="16"/>
        <v>3_Zahn_N_Beh</v>
      </c>
      <c r="CR6" s="78" t="str">
        <f t="shared" si="16"/>
        <v>3_Zahn_N_Beh</v>
      </c>
      <c r="CS6" s="78" t="str">
        <f t="shared" si="16"/>
        <v>3_Zahn_N_Beh</v>
      </c>
      <c r="CT6" s="78" t="str">
        <f t="shared" si="16"/>
        <v>3_Zahn_N_Beh</v>
      </c>
      <c r="CU6" s="78" t="str">
        <f t="shared" si="16"/>
        <v>3_Zahn_N_Beh</v>
      </c>
      <c r="CW6" s="124" t="s">
        <v>89</v>
      </c>
      <c r="CX6" s="78" t="str">
        <f xml:space="preserve"> CW6</f>
        <v>3_Zahn_N_Ers_70-80</v>
      </c>
      <c r="CY6" s="78" t="str">
        <f t="shared" ref="CY6:DI6" si="17" xml:space="preserve"> CX6</f>
        <v>3_Zahn_N_Ers_70-80</v>
      </c>
      <c r="CZ6" s="78" t="str">
        <f t="shared" si="17"/>
        <v>3_Zahn_N_Ers_70-80</v>
      </c>
      <c r="DA6" s="78" t="str">
        <f t="shared" si="17"/>
        <v>3_Zahn_N_Ers_70-80</v>
      </c>
      <c r="DB6" s="78" t="str">
        <f t="shared" si="17"/>
        <v>3_Zahn_N_Ers_70-80</v>
      </c>
      <c r="DC6" s="78" t="str">
        <f t="shared" si="17"/>
        <v>3_Zahn_N_Ers_70-80</v>
      </c>
      <c r="DD6" s="78" t="str">
        <f t="shared" si="17"/>
        <v>3_Zahn_N_Ers_70-80</v>
      </c>
      <c r="DE6" s="78" t="str">
        <f t="shared" si="17"/>
        <v>3_Zahn_N_Ers_70-80</v>
      </c>
      <c r="DF6" s="78" t="str">
        <f t="shared" si="17"/>
        <v>3_Zahn_N_Ers_70-80</v>
      </c>
      <c r="DG6" s="78" t="str">
        <f t="shared" si="17"/>
        <v>3_Zahn_N_Ers_70-80</v>
      </c>
      <c r="DH6" s="78" t="str">
        <f t="shared" si="17"/>
        <v>3_Zahn_N_Ers_70-80</v>
      </c>
      <c r="DI6" s="78" t="str">
        <f t="shared" si="17"/>
        <v>3_Zahn_N_Ers_70-80</v>
      </c>
      <c r="DK6" s="124" t="s">
        <v>90</v>
      </c>
      <c r="DL6" s="78" t="str">
        <f xml:space="preserve"> DK6</f>
        <v>3_Zahn_N_Ers_50-65</v>
      </c>
      <c r="DM6" s="78" t="str">
        <f t="shared" ref="DM6:DW6" si="18" xml:space="preserve"> DL6</f>
        <v>3_Zahn_N_Ers_50-65</v>
      </c>
      <c r="DN6" s="78" t="str">
        <f t="shared" si="18"/>
        <v>3_Zahn_N_Ers_50-65</v>
      </c>
      <c r="DO6" s="78" t="str">
        <f t="shared" si="18"/>
        <v>3_Zahn_N_Ers_50-65</v>
      </c>
      <c r="DP6" s="78" t="str">
        <f t="shared" si="18"/>
        <v>3_Zahn_N_Ers_50-65</v>
      </c>
      <c r="DQ6" s="78" t="str">
        <f t="shared" si="18"/>
        <v>3_Zahn_N_Ers_50-65</v>
      </c>
      <c r="DR6" s="78" t="str">
        <f t="shared" si="18"/>
        <v>3_Zahn_N_Ers_50-65</v>
      </c>
      <c r="DS6" s="78" t="str">
        <f t="shared" si="18"/>
        <v>3_Zahn_N_Ers_50-65</v>
      </c>
      <c r="DT6" s="78" t="str">
        <f t="shared" si="18"/>
        <v>3_Zahn_N_Ers_50-65</v>
      </c>
      <c r="DU6" s="78" t="str">
        <f t="shared" si="18"/>
        <v>3_Zahn_N_Ers_50-65</v>
      </c>
      <c r="DV6" s="78" t="str">
        <f t="shared" si="18"/>
        <v>3_Zahn_N_Ers_50-65</v>
      </c>
      <c r="DW6" s="78" t="str">
        <f t="shared" si="18"/>
        <v>3_Zahn_N_Ers_50-65</v>
      </c>
      <c r="EA6" s="132"/>
      <c r="EB6" s="79" t="str">
        <f t="shared" ref="EB6:EN6" si="19" xml:space="preserve"> C6 &amp; " + " &amp; AS6 &amp; " + " &amp; CI6 &amp; " + " &amp; EB$8 &amp; " * " &amp; CW6</f>
        <v>1_Amb_N_0-100 + 2_Stat_N_EB + 3_Zahn_N_Beh +  * 3_Zahn_N_Ers_70-80</v>
      </c>
      <c r="EC6" s="79" t="str">
        <f t="shared" si="19"/>
        <v>1_Amb_N_0-100 + 2_Stat_N_EB + 3_Zahn_N_Beh +  * 3_Zahn_N_Ers_70-80</v>
      </c>
      <c r="ED6" s="79" t="str">
        <f t="shared" si="19"/>
        <v>1_Amb_N_0-100 + 2_Stat_N_EB + 3_Zahn_N_Beh +  * 3_Zahn_N_Ers_70-80</v>
      </c>
      <c r="EE6" s="79" t="str">
        <f t="shared" si="19"/>
        <v>1_Amb_N_0-100 + 2_Stat_N_EB + 3_Zahn_N_Beh + 1 * 3_Zahn_N_Ers_70-80</v>
      </c>
      <c r="EF6" s="79" t="str">
        <f t="shared" si="19"/>
        <v>1_Amb_N_0-100 + 2_Stat_N_EB + 3_Zahn_N_Beh + 1 * 3_Zahn_N_Ers_70-80</v>
      </c>
      <c r="EG6" s="79" t="str">
        <f t="shared" si="19"/>
        <v>1_Amb_N_0-100 + 2_Stat_N_EB + 3_Zahn_N_Beh + 0,8 * 3_Zahn_N_Ers_70-80</v>
      </c>
      <c r="EH6" s="79" t="str">
        <f t="shared" si="19"/>
        <v>1_Amb_N_0-100 + 2_Stat_N_EB + 3_Zahn_N_Beh + 0,8 * 3_Zahn_N_Ers_70-80</v>
      </c>
      <c r="EI6" s="79" t="str">
        <f t="shared" si="19"/>
        <v>1_Amb_N_0-100 + 2_Stat_N_EB + 3_Zahn_N_Beh + 0,8 * 3_Zahn_N_Ers_70-80</v>
      </c>
      <c r="EJ6" s="79" t="str">
        <f t="shared" si="19"/>
        <v>1_Amb_N_0-100 + 2_Stat_N_EB + 3_Zahn_N_Beh + 0,8 * 3_Zahn_N_Ers_70-80</v>
      </c>
      <c r="EK6" s="79" t="str">
        <f t="shared" si="19"/>
        <v>1_Amb_N_0-100 + 2_Stat_N_EB + 3_Zahn_N_Beh + 0,8 * 3_Zahn_N_Ers_70-80</v>
      </c>
      <c r="EL6" s="79" t="str">
        <f t="shared" si="19"/>
        <v>1_Amb_N_0-100 + 2_Stat_N_EB + 3_Zahn_N_Beh + 0,8 * 3_Zahn_N_Ers_70-80</v>
      </c>
      <c r="EM6" s="79" t="str">
        <f t="shared" si="19"/>
        <v>1_Amb_N_0-100 + 2_Stat_N_EB + 3_Zahn_N_Beh + 0,8 * 3_Zahn_N_Ers_70-80</v>
      </c>
      <c r="EN6" s="79" t="str">
        <f t="shared" si="19"/>
        <v>1_Amb_N_0-100 + 2_Stat_N_EB + 3_Zahn_N_Beh + 0,8 * 3_Zahn_N_Ers_70-80</v>
      </c>
      <c r="EO6" s="132"/>
      <c r="EP6" s="79" t="str">
        <f t="shared" ref="EP6:EV6" si="20" xml:space="preserve"> Q6 &amp; " + " &amp; BG6 &amp; " + " &amp; CI6 &amp; " + " &amp; EP$8 &amp; " * " &amp; CW6</f>
        <v>1_Amb_N_251-400 + 2_Stat_N_ZB + 3_Zahn_N_Beh +  * 3_Zahn_N_Ers_70-80</v>
      </c>
      <c r="EQ6" s="79" t="str">
        <f t="shared" si="20"/>
        <v>1_Amb_N_251-400 + 2_Stat_N_ZB + 3_Zahn_N_Beh +  * 3_Zahn_N_Ers_70-80</v>
      </c>
      <c r="ER6" s="79" t="str">
        <f t="shared" si="20"/>
        <v>1_Amb_N_251-400 + 2_Stat_N_ZB + 3_Zahn_N_Beh +  * 3_Zahn_N_Ers_70-80</v>
      </c>
      <c r="ES6" s="79" t="str">
        <f t="shared" si="20"/>
        <v>1_Amb_N_251-400 + 2_Stat_N_ZB + 3_Zahn_N_Beh + 1 * 3_Zahn_N_Ers_70-80</v>
      </c>
      <c r="ET6" s="79" t="str">
        <f t="shared" si="20"/>
        <v>1_Amb_N_251-400 + 2_Stat_N_ZB + 3_Zahn_N_Beh + 1 * 3_Zahn_N_Ers_70-80</v>
      </c>
      <c r="EU6" s="79" t="str">
        <f t="shared" si="20"/>
        <v>1_Amb_N_251-400 + 2_Stat_N_ZB + 3_Zahn_N_Beh + 0,7 * 3_Zahn_N_Ers_70-80</v>
      </c>
      <c r="EV6" s="79" t="str">
        <f t="shared" si="20"/>
        <v>1_Amb_N_251-400 + 2_Stat_N_ZB + 3_Zahn_N_Beh + 0,7 * 3_Zahn_N_Ers_70-80</v>
      </c>
      <c r="EW6" s="79" t="str">
        <f xml:space="preserve"> X6 &amp; " + " &amp; BN6 &amp; " + " &amp; DD6 &amp; " + " &amp; EW$8 &amp; " * " &amp; DR6</f>
        <v>1_Amb_N_251-400 + 2_Stat_N_ZB + 3_Zahn_N_Ers_70-80 + 0,7 * 3_Zahn_N_Ers_50-65</v>
      </c>
      <c r="EX6" s="79" t="str">
        <f xml:space="preserve"> Y6 &amp; " + " &amp; BO6 &amp; " + " &amp; DE6 &amp; " + " &amp; EX$8 &amp; " * " &amp; DS6</f>
        <v>1_Amb_N_251-400 + 2_Stat_N_ZB + 3_Zahn_N_Ers_70-80 + 0,7 * 3_Zahn_N_Ers_50-65</v>
      </c>
      <c r="EY6" s="79" t="str">
        <f xml:space="preserve"> Z6 &amp; " + " &amp; BP6 &amp; " + " &amp; CR6 &amp; " + " &amp; EY$8 &amp; " * " &amp; DF6</f>
        <v>1_Amb_N_251-400 + 2_Stat_N_ZB + 3_Zahn_N_Beh + 0,7 * 3_Zahn_N_Ers_70-80</v>
      </c>
      <c r="EZ6" s="79" t="str">
        <f xml:space="preserve"> AA6 &amp; " + " &amp; BQ6 &amp; " + " &amp; CS6 &amp; " + " &amp; EZ$8 &amp; " * " &amp; DG6</f>
        <v>1_Amb_N_251-400 + 2_Stat_N_ZB + 3_Zahn_N_Beh + 0,7 * 3_Zahn_N_Ers_70-80</v>
      </c>
      <c r="FA6" s="79" t="str">
        <f xml:space="preserve"> AB6 &amp; " + " &amp; BR6 &amp; " + " &amp; CT6 &amp; " + " &amp; FA$8 &amp; " * " &amp; DH6</f>
        <v>1_Amb_N_251-400 + 2_Stat_N_ZB + 3_Zahn_N_Beh + 0,7 * 3_Zahn_N_Ers_70-80</v>
      </c>
      <c r="FB6" s="79" t="str">
        <f xml:space="preserve"> AC6 &amp; " + " &amp; BS6 &amp; " + " &amp; CU6 &amp; " + " &amp; FB$8 &amp; " * " &amp; DI6</f>
        <v>1_Amb_N_251-400 + 2_Stat_N_ZB + 3_Zahn_N_Beh + 0,7 * 3_Zahn_N_Ers_70-80</v>
      </c>
      <c r="FC6" s="132"/>
      <c r="FD6" s="79" t="str">
        <f t="shared" ref="FD6:FJ6" si="21" xml:space="preserve"> AE6 &amp; " + " &amp; BU6 &amp; " + " &amp; CI6 &amp; " + " &amp; FD$8 &amp; " * " &amp; DK6</f>
        <v>1_Amb_N_901-1100 + 2_Stat_N_MB + 3_Zahn_N_Beh +  * 3_Zahn_N_Ers_50-65</v>
      </c>
      <c r="FE6" s="79" t="str">
        <f t="shared" si="21"/>
        <v>1_Amb_N_901-1100 + 2_Stat_N_MB + 3_Zahn_N_Beh +  * 3_Zahn_N_Ers_50-65</v>
      </c>
      <c r="FF6" s="79" t="str">
        <f t="shared" si="21"/>
        <v>1_Amb_N_901-1100 + 2_Stat_N_MB + 3_Zahn_N_Beh +  * 3_Zahn_N_Ers_50-65</v>
      </c>
      <c r="FG6" s="79" t="str">
        <f t="shared" si="21"/>
        <v>1_Amb_N_901-1100 + 2_Stat_N_MB + 3_Zahn_N_Beh + 1 * 3_Zahn_N_Ers_50-65</v>
      </c>
      <c r="FH6" s="79" t="str">
        <f t="shared" si="21"/>
        <v>1_Amb_N_901-1100 + 2_Stat_N_MB + 3_Zahn_N_Beh + 1 * 3_Zahn_N_Ers_50-65</v>
      </c>
      <c r="FI6" s="79" t="str">
        <f t="shared" si="21"/>
        <v>1_Amb_N_901-1100 + 2_Stat_N_MB + 3_Zahn_N_Beh + 0,6 * 3_Zahn_N_Ers_50-65</v>
      </c>
      <c r="FJ6" s="79" t="str">
        <f t="shared" si="21"/>
        <v>1_Amb_N_901-1100 + 2_Stat_N_MB + 3_Zahn_N_Beh + 0,6 * 3_Zahn_N_Ers_50-65</v>
      </c>
      <c r="FK6" s="79" t="str">
        <f xml:space="preserve"> AL6 &amp; " + " &amp; CB6 &amp; " + " &amp; DR6 &amp; " + " &amp; FK$8 &amp; " * " &amp; EH6</f>
        <v>1_Amb_N_901-1100 + 2_Stat_N_MB + 3_Zahn_N_Ers_50-65 + 0,6 * 1_Amb_N_0-100 + 2_Stat_N_EB + 3_Zahn_N_Beh + 0,8 * 3_Zahn_N_Ers_70-80</v>
      </c>
      <c r="FL6" s="79" t="str">
        <f xml:space="preserve"> AM6 &amp; " + " &amp; CC6 &amp; " + " &amp; DS6 &amp; " + " &amp; FL$8 &amp; " * " &amp; EI6</f>
        <v>1_Amb_N_901-1100 + 2_Stat_N_MB + 3_Zahn_N_Ers_50-65 + 0,6 * 1_Amb_N_0-100 + 2_Stat_N_EB + 3_Zahn_N_Beh + 0,8 * 3_Zahn_N_Ers_70-80</v>
      </c>
      <c r="FM6" s="79" t="str">
        <f xml:space="preserve"> AN6 &amp; " + " &amp; CD6 &amp; " + " &amp; CR6 &amp; " + " &amp; FM$8 &amp; " * " &amp; DT6</f>
        <v>1_Amb_N_901-1100 + 2_Stat_N_MB + 3_Zahn_N_Beh + 0,6 * 3_Zahn_N_Ers_50-65</v>
      </c>
      <c r="FN6" s="79" t="str">
        <f xml:space="preserve"> AO6 &amp; " + " &amp; CE6 &amp; " + " &amp; CS6 &amp; " + " &amp; FN$8 &amp; " * " &amp; DU6</f>
        <v>1_Amb_N_901-1100 + 2_Stat_N_MB + 3_Zahn_N_Beh + 0,6 * 3_Zahn_N_Ers_50-65</v>
      </c>
      <c r="FO6" s="79" t="str">
        <f xml:space="preserve"> AP6 &amp; " + " &amp; CF6 &amp; " + " &amp; CT6 &amp; " + " &amp; FO$8 &amp; " * " &amp; DV6</f>
        <v>1_Amb_N_901-1100 + 2_Stat_N_MB + 3_Zahn_N_Beh + 0,6 * 3_Zahn_N_Ers_50-65</v>
      </c>
      <c r="FP6" s="79" t="str">
        <f xml:space="preserve"> AQ6 &amp; " + " &amp; CG6 &amp; " + " &amp; CU6 &amp; " + " &amp; FP$8 &amp; " * " &amp; DW6</f>
        <v>1_Amb_N_901-1100 + 2_Stat_N_MB + 3_Zahn_N_Beh + 0,6 * 3_Zahn_N_Ers_50-65</v>
      </c>
      <c r="FQ6" s="132"/>
      <c r="FR6" s="79" t="str">
        <f t="shared" ref="FR6:GD6" si="22" xml:space="preserve"> CI6 &amp; " + " &amp; FR$8 &amp; " * " &amp; CW6</f>
        <v>3_Zahn_N_Beh +  * 3_Zahn_N_Ers_70-80</v>
      </c>
      <c r="FS6" s="79" t="str">
        <f t="shared" si="22"/>
        <v>3_Zahn_N_Beh +  * 3_Zahn_N_Ers_70-80</v>
      </c>
      <c r="FT6" s="79" t="str">
        <f t="shared" si="22"/>
        <v>3_Zahn_N_Beh +  * 3_Zahn_N_Ers_70-80</v>
      </c>
      <c r="FU6" s="79" t="str">
        <f t="shared" si="22"/>
        <v>3_Zahn_N_Beh + 1 * 3_Zahn_N_Ers_70-80</v>
      </c>
      <c r="FV6" s="79" t="str">
        <f t="shared" si="22"/>
        <v>3_Zahn_N_Beh + 1 * 3_Zahn_N_Ers_70-80</v>
      </c>
      <c r="FW6" s="79" t="str">
        <f t="shared" si="22"/>
        <v>3_Zahn_N_Beh + 0,8 * 3_Zahn_N_Ers_70-80</v>
      </c>
      <c r="FX6" s="79" t="str">
        <f t="shared" si="22"/>
        <v>3_Zahn_N_Beh + 0,8 * 3_Zahn_N_Ers_70-80</v>
      </c>
      <c r="FY6" s="79" t="str">
        <f t="shared" si="22"/>
        <v>3_Zahn_N_Beh + 0,8 * 3_Zahn_N_Ers_70-80</v>
      </c>
      <c r="FZ6" s="79" t="str">
        <f t="shared" si="22"/>
        <v>3_Zahn_N_Beh + 0,8 * 3_Zahn_N_Ers_70-80</v>
      </c>
      <c r="GA6" s="79" t="str">
        <f t="shared" si="22"/>
        <v>3_Zahn_N_Beh + 0,8 * 3_Zahn_N_Ers_70-80</v>
      </c>
      <c r="GB6" s="79" t="str">
        <f t="shared" si="22"/>
        <v>3_Zahn_N_Beh + 0,8 * 3_Zahn_N_Ers_70-80</v>
      </c>
      <c r="GC6" s="79" t="str">
        <f t="shared" si="22"/>
        <v>3_Zahn_N_Beh + 0,8 * 3_Zahn_N_Ers_70-80</v>
      </c>
      <c r="GD6" s="79" t="str">
        <f t="shared" si="22"/>
        <v>3_Zahn_N_Beh + 0,8 * 3_Zahn_N_Ers_70-80</v>
      </c>
      <c r="GE6" s="132"/>
      <c r="GF6" s="80" t="str">
        <f xml:space="preserve">  AS6 &amp; " - " &amp; BU6 &amp; " / * " &amp; GF$8</f>
        <v xml:space="preserve">2_Stat_N_EB - 2_Stat_N_MB / * </v>
      </c>
      <c r="GG6" s="80" t="str">
        <f xml:space="preserve">  AT6 &amp; " - " &amp; BV6 &amp; " / * " &amp; GG$8</f>
        <v xml:space="preserve">2_Stat_N_EB - 2_Stat_N_MB / * </v>
      </c>
      <c r="GH6" s="80" t="str">
        <f xml:space="preserve">  AU6 &amp; " - " &amp; BW6 &amp; " / * " &amp; GH$8</f>
        <v xml:space="preserve">2_Stat_N_EB - 2_Stat_N_MB / * </v>
      </c>
      <c r="GI6" s="79" t="str">
        <f xml:space="preserve">  AV6 &amp; " + " &amp; BX6 &amp; " / * " &amp; GI$8</f>
        <v>2_Stat_N_EB + 2_Stat_N_MB / * 1</v>
      </c>
      <c r="GJ6" s="79" t="str">
        <f xml:space="preserve">  AW6 &amp; " + " &amp; BY6 &amp; " / * " &amp; GJ$8</f>
        <v>2_Stat_N_EB + 2_Stat_N_MB / * 1</v>
      </c>
      <c r="GK6" s="80" t="str">
        <f t="shared" ref="GK6:GR6" si="23" xml:space="preserve">  AX6 &amp; " - " &amp; BZ6 &amp; " / * " &amp; GK$8</f>
        <v>2_Stat_N_EB - 2_Stat_N_MB / * 0,75</v>
      </c>
      <c r="GL6" s="80" t="str">
        <f t="shared" si="23"/>
        <v>2_Stat_N_EB - 2_Stat_N_MB / * 0,75</v>
      </c>
      <c r="GM6" s="80" t="str">
        <f t="shared" si="23"/>
        <v>2_Stat_N_EB - 2_Stat_N_MB / * 0,75</v>
      </c>
      <c r="GN6" s="80" t="str">
        <f t="shared" si="23"/>
        <v>2_Stat_N_EB - 2_Stat_N_MB / * 0,75</v>
      </c>
      <c r="GO6" s="80" t="str">
        <f t="shared" si="23"/>
        <v>2_Stat_N_EB - 2_Stat_N_MB / * 0,75</v>
      </c>
      <c r="GP6" s="80" t="str">
        <f t="shared" si="23"/>
        <v>2_Stat_N_EB - 2_Stat_N_MB / * 0,75</v>
      </c>
      <c r="GQ6" s="80" t="str">
        <f t="shared" si="23"/>
        <v>2_Stat_N_EB - 2_Stat_N_MB / * 0,75</v>
      </c>
      <c r="GR6" s="80" t="str">
        <f t="shared" si="23"/>
        <v>2_Stat_N_EB - 2_Stat_N_MB / * 0,75</v>
      </c>
      <c r="GS6" s="132"/>
      <c r="GT6" s="132"/>
      <c r="GU6" s="132"/>
      <c r="GV6" s="132"/>
      <c r="GW6" s="132"/>
      <c r="GX6" s="132"/>
      <c r="GY6" s="132"/>
      <c r="GZ6" s="132"/>
      <c r="HA6" s="132"/>
      <c r="HB6" s="132"/>
      <c r="HC6" s="132"/>
      <c r="HD6" s="132"/>
      <c r="HE6" s="132"/>
      <c r="HF6" s="132"/>
      <c r="HG6" s="132"/>
      <c r="HH6" s="132"/>
      <c r="HI6" s="132"/>
      <c r="HJ6" s="132"/>
      <c r="HK6" s="132"/>
      <c r="HL6" s="132"/>
    </row>
    <row r="7" spans="1:220" x14ac:dyDescent="0.2">
      <c r="FR7" s="79"/>
      <c r="FS7" s="79"/>
      <c r="FT7" s="79"/>
      <c r="FU7" s="79"/>
      <c r="FV7" s="79"/>
      <c r="FW7" s="79"/>
      <c r="FX7" s="79"/>
      <c r="FY7" s="79"/>
      <c r="FZ7" s="79"/>
      <c r="GA7" s="79"/>
      <c r="GB7" s="79"/>
      <c r="GC7" s="79"/>
      <c r="GD7" s="79"/>
      <c r="GK7" s="2" t="s">
        <v>66</v>
      </c>
      <c r="GM7" s="1"/>
    </row>
    <row r="8" spans="1:220" x14ac:dyDescent="0.2">
      <c r="C8" s="125">
        <v>1001.42</v>
      </c>
      <c r="D8" s="125">
        <v>1897.6</v>
      </c>
      <c r="E8" s="125">
        <v>181.94</v>
      </c>
      <c r="F8" s="188">
        <f xml:space="preserve"> SUM( F$25:F$29 )</f>
        <v>31757.922500000001</v>
      </c>
      <c r="G8" s="188">
        <f xml:space="preserve"> SUM( G$25:G$29 )</f>
        <v>30836.58</v>
      </c>
      <c r="H8" s="126"/>
      <c r="I8" s="126"/>
      <c r="J8" s="188">
        <f xml:space="preserve"> SUMPRODUCT( G$25:G$29, J$25:J$29 )</f>
        <v>104179.30316379739</v>
      </c>
      <c r="K8" s="93">
        <f xml:space="preserve"> IF(    SUM(F8:G8)=0,    0,   J8 / SUM(F8:G8)    )</f>
        <v>1.6643522833941748</v>
      </c>
      <c r="L8" s="126"/>
      <c r="M8" s="126"/>
      <c r="N8" s="94">
        <f xml:space="preserve"> K8</f>
        <v>1.6643522833941748</v>
      </c>
      <c r="O8" s="94">
        <f xml:space="preserve"> K8</f>
        <v>1.6643522833941748</v>
      </c>
      <c r="Q8" s="125">
        <v>636.41</v>
      </c>
      <c r="R8" s="125">
        <v>1191.49</v>
      </c>
      <c r="S8" s="125">
        <v>221.47</v>
      </c>
      <c r="T8" s="188">
        <f xml:space="preserve"> SUM( T$25:T$29 )</f>
        <v>5090.8858999999993</v>
      </c>
      <c r="U8" s="188">
        <f xml:space="preserve"> SUM( U$25:U$29 )</f>
        <v>4870.1034</v>
      </c>
      <c r="V8" s="126"/>
      <c r="W8" s="126"/>
      <c r="X8" s="188">
        <f xml:space="preserve"> SUMPRODUCT( U$25:U$29, X$25:X$29 )</f>
        <v>24809.876146554303</v>
      </c>
      <c r="Y8" s="93">
        <f xml:space="preserve"> IF(    SUM(T8:U8)=0,    0,   X8 / SUM(T8:U8)    )</f>
        <v>2.4907040254078283</v>
      </c>
      <c r="Z8" s="126"/>
      <c r="AA8" s="126"/>
      <c r="AB8" s="94">
        <f xml:space="preserve"> Y8</f>
        <v>2.4907040254078283</v>
      </c>
      <c r="AC8" s="94">
        <f xml:space="preserve"> Y8</f>
        <v>2.4907040254078283</v>
      </c>
      <c r="AE8" s="125">
        <v>460.08</v>
      </c>
      <c r="AF8" s="125">
        <v>1050.73</v>
      </c>
      <c r="AG8" s="125">
        <v>164.99</v>
      </c>
      <c r="AH8" s="188">
        <f xml:space="preserve"> SUM( AH$25:AH$29 )</f>
        <v>214.07339999999999</v>
      </c>
      <c r="AI8" s="188">
        <f xml:space="preserve"> SUM( AI$25:AI$29 )</f>
        <v>227.89329999999998</v>
      </c>
      <c r="AJ8" s="126"/>
      <c r="AK8" s="126"/>
      <c r="AL8" s="188">
        <f xml:space="preserve"> SUMPRODUCT( AI$25:AI$29, AL$25:AL$29 )</f>
        <v>2845.0827059942003</v>
      </c>
      <c r="AM8" s="93">
        <f xml:space="preserve"> IF(    SUM(AH8:AI8)=0,    0,   AL8 / SUM(AH8:AI8)    )</f>
        <v>6.4373236852328484</v>
      </c>
      <c r="AN8" s="126"/>
      <c r="AO8" s="126"/>
      <c r="AP8" s="94">
        <f xml:space="preserve"> AM8</f>
        <v>6.4373236852328484</v>
      </c>
      <c r="AQ8" s="94">
        <f xml:space="preserve"> AM8</f>
        <v>6.4373236852328484</v>
      </c>
      <c r="AS8" s="125">
        <v>350.64</v>
      </c>
      <c r="AT8" s="125">
        <v>704.98</v>
      </c>
      <c r="AU8" s="125">
        <v>252.88</v>
      </c>
      <c r="AV8" s="188">
        <f xml:space="preserve"> SUM( AV$25:AV$29 )</f>
        <v>34291.53</v>
      </c>
      <c r="AW8" s="188">
        <f xml:space="preserve"> SUM( AW$25:AW$29 )</f>
        <v>33210.005000000005</v>
      </c>
      <c r="AX8" s="126"/>
      <c r="AY8" s="126"/>
      <c r="AZ8" s="188">
        <f xml:space="preserve"> SUMPRODUCT( AW$25:AW$29, AZ$25:AZ$29 )</f>
        <v>77325.089345820787</v>
      </c>
      <c r="BA8" s="93">
        <f xml:space="preserve"> IF(    SUM(AV8:AW8)=0,    0,   AZ8 / SUM(AV8:AW8)    )</f>
        <v>1.1455308289777526</v>
      </c>
      <c r="BB8" s="126"/>
      <c r="BC8" s="126"/>
      <c r="BD8" s="94">
        <f xml:space="preserve"> BA8</f>
        <v>1.1455308289777526</v>
      </c>
      <c r="BE8" s="94">
        <f xml:space="preserve"> BA8</f>
        <v>1.1455308289777526</v>
      </c>
      <c r="BG8" s="125">
        <v>328.42</v>
      </c>
      <c r="BH8" s="125">
        <v>604.67999999999995</v>
      </c>
      <c r="BI8" s="125">
        <v>212.54</v>
      </c>
      <c r="BJ8" s="188">
        <f xml:space="preserve"> SUM( BJ$25:BJ$29 )</f>
        <v>16510.199199999999</v>
      </c>
      <c r="BK8" s="188">
        <f xml:space="preserve"> SUM( BK$25:BK$29 )</f>
        <v>15971.7526</v>
      </c>
      <c r="BL8" s="126"/>
      <c r="BM8" s="126"/>
      <c r="BN8" s="188">
        <f xml:space="preserve"> SUMPRODUCT( BK$25:BK$29, BN$25:BN$29 )</f>
        <v>30374.552539536398</v>
      </c>
      <c r="BO8" s="93">
        <f xml:space="preserve"> IF(    SUM(BJ8:BK8)=0,    0,   BN8 / SUM(BJ8:BK8)    )</f>
        <v>0.93512091658040075</v>
      </c>
      <c r="BP8" s="126"/>
      <c r="BQ8" s="126"/>
      <c r="BR8" s="94">
        <f xml:space="preserve"> BO8</f>
        <v>0.93512091658040075</v>
      </c>
      <c r="BS8" s="94">
        <f xml:space="preserve"> BO8</f>
        <v>0.93512091658040075</v>
      </c>
      <c r="BU8" s="125">
        <v>242.6</v>
      </c>
      <c r="BV8" s="125">
        <v>404.12</v>
      </c>
      <c r="BW8" s="125">
        <v>103.99</v>
      </c>
      <c r="BX8" s="188">
        <f xml:space="preserve"> SUM( BX$25:BX$29 )</f>
        <v>14872.8891</v>
      </c>
      <c r="BY8" s="188">
        <f xml:space="preserve"> SUM( BY$25:BY$29 )</f>
        <v>14229.638300000001</v>
      </c>
      <c r="BZ8" s="126"/>
      <c r="CA8" s="126"/>
      <c r="CB8" s="188">
        <f xml:space="preserve"> SUMPRODUCT( BY$25:BY$29, CB$25:CB$29 )</f>
        <v>27315.377077024597</v>
      </c>
      <c r="CC8" s="93">
        <f xml:space="preserve"> IF(    SUM(BX8:BY8)=0,    0,   CB8 / SUM(BX8:BY8)    )</f>
        <v>0.93859123304268754</v>
      </c>
      <c r="CD8" s="126"/>
      <c r="CE8" s="126"/>
      <c r="CF8" s="94">
        <f xml:space="preserve"> CC8</f>
        <v>0.93859123304268754</v>
      </c>
      <c r="CG8" s="94">
        <f xml:space="preserve"> CC8</f>
        <v>0.93859123304268754</v>
      </c>
      <c r="CI8" s="125">
        <v>212.28</v>
      </c>
      <c r="CJ8" s="125">
        <v>275.48</v>
      </c>
      <c r="CK8" s="125">
        <v>0.39</v>
      </c>
      <c r="CL8" s="188">
        <f xml:space="preserve"> SUM( CL$25:CL$29 )</f>
        <v>66828.776700000002</v>
      </c>
      <c r="CM8" s="188">
        <f xml:space="preserve"> SUM( CM$25:CM$29 )</f>
        <v>64555.629199999996</v>
      </c>
      <c r="CN8" s="126"/>
      <c r="CO8" s="126"/>
      <c r="CP8" s="188">
        <f xml:space="preserve"> SUMPRODUCT( CM$25:CM$29, CP$25:CP$29 )</f>
        <v>915.37639868999997</v>
      </c>
      <c r="CQ8" s="93">
        <f xml:space="preserve"> IF(    SUM(CL8:CM8)=0,    0,   CP8 / SUM(CL8:CM8)    )</f>
        <v>6.9671616842162838E-3</v>
      </c>
      <c r="CR8" s="126"/>
      <c r="CS8" s="126"/>
      <c r="CT8" s="94">
        <f xml:space="preserve"> CQ8</f>
        <v>6.9671616842162838E-3</v>
      </c>
      <c r="CU8" s="94">
        <f xml:space="preserve"> CQ8</f>
        <v>6.9671616842162838E-3</v>
      </c>
      <c r="CW8" s="125">
        <v>214.71</v>
      </c>
      <c r="CX8" s="125">
        <v>300.04000000000002</v>
      </c>
      <c r="CY8" s="125">
        <v>0.27</v>
      </c>
      <c r="CZ8" s="188">
        <f xml:space="preserve"> SUM( CZ$25:CZ$29 )</f>
        <v>29421.000100000001</v>
      </c>
      <c r="DA8" s="188">
        <f xml:space="preserve"> SUM( DA$25:DA$29 )</f>
        <v>28047.377399999998</v>
      </c>
      <c r="DB8" s="126"/>
      <c r="DC8" s="126"/>
      <c r="DD8" s="188">
        <f xml:space="preserve"> SUMPRODUCT( DA$25:DA$29, DD$25:DD$29 )</f>
        <v>562.94432297460003</v>
      </c>
      <c r="DE8" s="93">
        <f xml:space="preserve"> IF(    SUM(CZ8:DA8)=0,    0,   DD8 / SUM(CZ8:DA8)    )</f>
        <v>9.79572327363166E-3</v>
      </c>
      <c r="DF8" s="126"/>
      <c r="DG8" s="126"/>
      <c r="DH8" s="94">
        <f xml:space="preserve"> DE8</f>
        <v>9.79572327363166E-3</v>
      </c>
      <c r="DI8" s="94">
        <f xml:space="preserve"> DE8</f>
        <v>9.79572327363166E-3</v>
      </c>
      <c r="DK8" s="125">
        <v>132.36000000000001</v>
      </c>
      <c r="DL8" s="125">
        <v>193.63</v>
      </c>
      <c r="DM8" s="125">
        <v>0.19</v>
      </c>
      <c r="DN8" s="188">
        <f xml:space="preserve"> SUM( DN$25:DN$29 )</f>
        <v>5998.6491000000005</v>
      </c>
      <c r="DO8" s="188">
        <f xml:space="preserve"> SUM( DO$25:DO$29 )</f>
        <v>5667.1183000000001</v>
      </c>
      <c r="DP8" s="126"/>
      <c r="DQ8" s="126"/>
      <c r="DR8" s="188">
        <f xml:space="preserve"> SUMPRODUCT( DO$25:DO$29, DR$25:DR$29 )</f>
        <v>36.337632851799995</v>
      </c>
      <c r="DS8" s="93">
        <f xml:space="preserve"> IF(    SUM(DN8:DO8)=0,    0,   DR8 / SUM(DN8:DO8)    )</f>
        <v>3.1148943404957648E-3</v>
      </c>
      <c r="DT8" s="126"/>
      <c r="DU8" s="126"/>
      <c r="DV8" s="94">
        <f xml:space="preserve"> DS8</f>
        <v>3.1148943404957648E-3</v>
      </c>
      <c r="DW8" s="94">
        <f xml:space="preserve"> DS8</f>
        <v>3.1148943404957648E-3</v>
      </c>
      <c r="EB8" s="52"/>
      <c r="EC8" s="52"/>
      <c r="ED8" s="52"/>
      <c r="EE8" s="53">
        <v>1</v>
      </c>
      <c r="EF8" s="54">
        <f xml:space="preserve"> EE8</f>
        <v>1</v>
      </c>
      <c r="EG8" s="53">
        <v>0.8</v>
      </c>
      <c r="EH8" s="54">
        <f t="shared" ref="EH8:EN8" si="24" xml:space="preserve"> EG8</f>
        <v>0.8</v>
      </c>
      <c r="EI8" s="54">
        <f t="shared" si="24"/>
        <v>0.8</v>
      </c>
      <c r="EJ8" s="54">
        <f t="shared" si="24"/>
        <v>0.8</v>
      </c>
      <c r="EK8" s="54">
        <f t="shared" si="24"/>
        <v>0.8</v>
      </c>
      <c r="EL8" s="54">
        <f t="shared" si="24"/>
        <v>0.8</v>
      </c>
      <c r="EM8" s="54">
        <f t="shared" si="24"/>
        <v>0.8</v>
      </c>
      <c r="EN8" s="54">
        <f t="shared" si="24"/>
        <v>0.8</v>
      </c>
      <c r="EP8" s="52"/>
      <c r="EQ8" s="52"/>
      <c r="ER8" s="52"/>
      <c r="ES8" s="53">
        <v>1</v>
      </c>
      <c r="ET8" s="54">
        <f xml:space="preserve"> ES8</f>
        <v>1</v>
      </c>
      <c r="EU8" s="53">
        <v>0.7</v>
      </c>
      <c r="EV8" s="54">
        <f t="shared" ref="EV8:FB8" si="25" xml:space="preserve"> EU8</f>
        <v>0.7</v>
      </c>
      <c r="EW8" s="54">
        <f t="shared" si="25"/>
        <v>0.7</v>
      </c>
      <c r="EX8" s="54">
        <f t="shared" si="25"/>
        <v>0.7</v>
      </c>
      <c r="EY8" s="54">
        <f t="shared" si="25"/>
        <v>0.7</v>
      </c>
      <c r="EZ8" s="54">
        <f t="shared" si="25"/>
        <v>0.7</v>
      </c>
      <c r="FA8" s="54">
        <f t="shared" si="25"/>
        <v>0.7</v>
      </c>
      <c r="FB8" s="54">
        <f t="shared" si="25"/>
        <v>0.7</v>
      </c>
      <c r="FD8" s="52"/>
      <c r="FE8" s="52"/>
      <c r="FF8" s="52"/>
      <c r="FG8" s="53">
        <v>1</v>
      </c>
      <c r="FH8" s="54">
        <f xml:space="preserve"> FG8</f>
        <v>1</v>
      </c>
      <c r="FI8" s="53">
        <v>0.6</v>
      </c>
      <c r="FJ8" s="54">
        <f t="shared" ref="FJ8:FP8" si="26" xml:space="preserve"> FI8</f>
        <v>0.6</v>
      </c>
      <c r="FK8" s="54">
        <f t="shared" si="26"/>
        <v>0.6</v>
      </c>
      <c r="FL8" s="54">
        <f t="shared" si="26"/>
        <v>0.6</v>
      </c>
      <c r="FM8" s="54">
        <f t="shared" si="26"/>
        <v>0.6</v>
      </c>
      <c r="FN8" s="54">
        <f t="shared" si="26"/>
        <v>0.6</v>
      </c>
      <c r="FO8" s="54">
        <f t="shared" si="26"/>
        <v>0.6</v>
      </c>
      <c r="FP8" s="54">
        <f t="shared" si="26"/>
        <v>0.6</v>
      </c>
      <c r="FR8" s="52"/>
      <c r="FS8" s="52"/>
      <c r="FT8" s="52"/>
      <c r="FU8" s="53">
        <v>1</v>
      </c>
      <c r="FV8" s="54">
        <f xml:space="preserve"> FU8</f>
        <v>1</v>
      </c>
      <c r="FW8" s="53">
        <v>0.8</v>
      </c>
      <c r="FX8" s="54">
        <f t="shared" ref="FX8:GD8" si="27" xml:space="preserve"> FW8</f>
        <v>0.8</v>
      </c>
      <c r="FY8" s="54">
        <f t="shared" si="27"/>
        <v>0.8</v>
      </c>
      <c r="FZ8" s="54">
        <f t="shared" si="27"/>
        <v>0.8</v>
      </c>
      <c r="GA8" s="54">
        <f t="shared" si="27"/>
        <v>0.8</v>
      </c>
      <c r="GB8" s="54">
        <f t="shared" si="27"/>
        <v>0.8</v>
      </c>
      <c r="GC8" s="54">
        <f t="shared" si="27"/>
        <v>0.8</v>
      </c>
      <c r="GD8" s="54">
        <f t="shared" si="27"/>
        <v>0.8</v>
      </c>
      <c r="GF8" s="52"/>
      <c r="GG8" s="52"/>
      <c r="GH8" s="52"/>
      <c r="GI8" s="53">
        <v>1</v>
      </c>
      <c r="GJ8" s="54">
        <f xml:space="preserve"> GI8</f>
        <v>1</v>
      </c>
      <c r="GK8" s="53">
        <v>0.75</v>
      </c>
      <c r="GL8" s="54">
        <f t="shared" ref="GL8:GR8" si="28" xml:space="preserve"> GK8</f>
        <v>0.75</v>
      </c>
      <c r="GM8" s="54">
        <f t="shared" si="28"/>
        <v>0.75</v>
      </c>
      <c r="GN8" s="54">
        <f t="shared" si="28"/>
        <v>0.75</v>
      </c>
      <c r="GO8" s="54">
        <f t="shared" si="28"/>
        <v>0.75</v>
      </c>
      <c r="GP8" s="54">
        <f t="shared" si="28"/>
        <v>0.75</v>
      </c>
      <c r="GQ8" s="54">
        <f t="shared" si="28"/>
        <v>0.75</v>
      </c>
      <c r="GR8" s="54">
        <f t="shared" si="28"/>
        <v>0.75</v>
      </c>
    </row>
    <row r="9" spans="1:220" x14ac:dyDescent="0.2">
      <c r="C9" s="127"/>
      <c r="D9" s="127"/>
      <c r="E9" s="127"/>
      <c r="F9" s="188">
        <f xml:space="preserve"> SUM( F$30:F$74 )</f>
        <v>612105.48659999983</v>
      </c>
      <c r="G9" s="188">
        <f xml:space="preserve"> SUM( G$30:G$74 )</f>
        <v>158784.4417</v>
      </c>
      <c r="H9" s="126"/>
      <c r="I9" s="126"/>
      <c r="J9" s="188">
        <f xml:space="preserve"> SUMPRODUCT( G$30:G$74, J$30:J$74 )</f>
        <v>11585355.635553613</v>
      </c>
      <c r="K9" s="93">
        <f xml:space="preserve"> IF(    SUM(F9:G9)=0,    0,   J9 / SUM(F9:G9)    )</f>
        <v>15.028547150826249</v>
      </c>
      <c r="L9" s="126"/>
      <c r="M9" s="126"/>
      <c r="N9" s="94">
        <f xml:space="preserve"> K9</f>
        <v>15.028547150826249</v>
      </c>
      <c r="O9" s="94">
        <f xml:space="preserve"> K9</f>
        <v>15.028547150826249</v>
      </c>
      <c r="Q9" s="127"/>
      <c r="R9" s="127"/>
      <c r="S9" s="127"/>
      <c r="T9" s="188">
        <f xml:space="preserve"> SUM( T$30:T$74 )</f>
        <v>159536.06980000006</v>
      </c>
      <c r="U9" s="188">
        <f xml:space="preserve"> SUM( U$30:U$74 )</f>
        <v>62568.119400000025</v>
      </c>
      <c r="V9" s="126"/>
      <c r="W9" s="126"/>
      <c r="X9" s="188">
        <f xml:space="preserve"> SUMPRODUCT( U$30:U$74, X$30:X$74 )</f>
        <v>3842150.9356314787</v>
      </c>
      <c r="Y9" s="93">
        <f xml:space="preserve"> IF(    SUM(T9:U9)=0,    0,   X9 / SUM(T9:U9)    )</f>
        <v>17.298867479585017</v>
      </c>
      <c r="Z9" s="126"/>
      <c r="AA9" s="126"/>
      <c r="AB9" s="94">
        <f xml:space="preserve"> Y9</f>
        <v>17.298867479585017</v>
      </c>
      <c r="AC9" s="94">
        <f xml:space="preserve"> Y9</f>
        <v>17.298867479585017</v>
      </c>
      <c r="AE9" s="127"/>
      <c r="AF9" s="127"/>
      <c r="AG9" s="127"/>
      <c r="AH9" s="188">
        <f xml:space="preserve"> SUM( AH$30:AH$74 )</f>
        <v>18350.835300000006</v>
      </c>
      <c r="AI9" s="188">
        <f xml:space="preserve"> SUM( AI$30:AI$74 )</f>
        <v>6923.3022999999976</v>
      </c>
      <c r="AJ9" s="126"/>
      <c r="AK9" s="126"/>
      <c r="AL9" s="188">
        <f xml:space="preserve"> SUMPRODUCT( AI$30:AI$74, AL$30:AL$74 )</f>
        <v>298296.44399509917</v>
      </c>
      <c r="AM9" s="93">
        <f xml:space="preserve"> IF(    SUM(AH9:AI9)=0,    0,   AL9 / SUM(AH9:AI9)    )</f>
        <v>11.802438077851532</v>
      </c>
      <c r="AN9" s="126"/>
      <c r="AO9" s="126"/>
      <c r="AP9" s="94">
        <f xml:space="preserve"> AM9</f>
        <v>11.802438077851532</v>
      </c>
      <c r="AQ9" s="94">
        <f xml:space="preserve"> AM9</f>
        <v>11.802438077851532</v>
      </c>
      <c r="AS9" s="127"/>
      <c r="AT9" s="127"/>
      <c r="AU9" s="127"/>
      <c r="AV9" s="188">
        <f xml:space="preserve"> SUM( AV$30:AV$74 )</f>
        <v>720060.77149999992</v>
      </c>
      <c r="AW9" s="188">
        <f xml:space="preserve"> SUM( AW$30:AW$74 )</f>
        <v>218858.05850000004</v>
      </c>
      <c r="AX9" s="126"/>
      <c r="AY9" s="126"/>
      <c r="AZ9" s="188">
        <f xml:space="preserve"> SUMPRODUCT( AW$30:AW$74, AZ$30:AZ$74 )</f>
        <v>17518188.234769978</v>
      </c>
      <c r="BA9" s="93">
        <f xml:space="preserve"> IF(    SUM(AV9:AW9)=0,    0,   AZ9 / SUM(AV9:AW9)    )</f>
        <v>18.657830341702677</v>
      </c>
      <c r="BB9" s="126"/>
      <c r="BC9" s="126"/>
      <c r="BD9" s="94">
        <f xml:space="preserve"> BA9</f>
        <v>18.657830341702677</v>
      </c>
      <c r="BE9" s="94">
        <f xml:space="preserve"> BA9</f>
        <v>18.657830341702677</v>
      </c>
      <c r="BG9" s="127"/>
      <c r="BH9" s="127"/>
      <c r="BI9" s="127"/>
      <c r="BJ9" s="188">
        <f xml:space="preserve"> SUM( BJ$30:BJ$74 )</f>
        <v>409017.54569999996</v>
      </c>
      <c r="BK9" s="188">
        <f xml:space="preserve"> SUM( BK$30:BK$74 )</f>
        <v>134019.84509999998</v>
      </c>
      <c r="BL9" s="126"/>
      <c r="BM9" s="126"/>
      <c r="BN9" s="188">
        <f xml:space="preserve"> SUMPRODUCT( BK$30:BK$74, BN$30:BN$74 )</f>
        <v>10154759.243901413</v>
      </c>
      <c r="BO9" s="93">
        <f xml:space="preserve"> IF(    SUM(BJ9:BK9)=0,    0,   BN9 / SUM(BJ9:BK9)    )</f>
        <v>18.699926406433033</v>
      </c>
      <c r="BP9" s="126"/>
      <c r="BQ9" s="126"/>
      <c r="BR9" s="94">
        <f xml:space="preserve"> BO9</f>
        <v>18.699926406433033</v>
      </c>
      <c r="BS9" s="94">
        <f xml:space="preserve"> BO9</f>
        <v>18.699926406433033</v>
      </c>
      <c r="BU9" s="127"/>
      <c r="BV9" s="127"/>
      <c r="BW9" s="127"/>
      <c r="BX9" s="188">
        <f xml:space="preserve"> SUM( BX$30:BX$74 )</f>
        <v>506793.38910000009</v>
      </c>
      <c r="BY9" s="188">
        <f xml:space="preserve"> SUM( BY$30:BY$74 )</f>
        <v>170991.16989999998</v>
      </c>
      <c r="BZ9" s="126"/>
      <c r="CA9" s="126"/>
      <c r="CB9" s="188">
        <f xml:space="preserve"> SUMPRODUCT( BY$30:BY$74, CB$30:CB$74 )</f>
        <v>8157037.0480976012</v>
      </c>
      <c r="CC9" s="93">
        <f xml:space="preserve"> IF(    SUM(BX9:BY9)=0,    0,   CB9 / SUM(BX9:BY9)    )</f>
        <v>12.034852284230924</v>
      </c>
      <c r="CD9" s="126"/>
      <c r="CE9" s="126"/>
      <c r="CF9" s="94">
        <f xml:space="preserve"> CC9</f>
        <v>12.034852284230924</v>
      </c>
      <c r="CG9" s="94">
        <f xml:space="preserve"> CC9</f>
        <v>12.034852284230924</v>
      </c>
      <c r="CI9" s="127"/>
      <c r="CJ9" s="127"/>
      <c r="CK9" s="127"/>
      <c r="CL9" s="188">
        <f xml:space="preserve"> SUM( CL$30:CL$74 )</f>
        <v>1663188.5490999999</v>
      </c>
      <c r="CM9" s="188">
        <f xml:space="preserve"> SUM( CM$30:CM$74 )</f>
        <v>536207.36419999995</v>
      </c>
      <c r="CN9" s="126"/>
      <c r="CO9" s="126"/>
      <c r="CP9" s="188">
        <f xml:space="preserve"> SUMPRODUCT( CM$30:CM$74, CP$30:CP$74 )</f>
        <v>72907.658032755004</v>
      </c>
      <c r="CQ9" s="93">
        <f xml:space="preserve"> IF(    SUM(CL9:CM9)=0,    0,   CP9 / SUM(CL9:CM9)    )</f>
        <v>3.3148946759368789E-2</v>
      </c>
      <c r="CR9" s="126"/>
      <c r="CS9" s="126"/>
      <c r="CT9" s="94">
        <f xml:space="preserve"> CQ9</f>
        <v>3.3148946759368789E-2</v>
      </c>
      <c r="CU9" s="94">
        <f xml:space="preserve"> CQ9</f>
        <v>3.3148946759368789E-2</v>
      </c>
      <c r="CW9" s="127"/>
      <c r="CX9" s="127"/>
      <c r="CY9" s="127"/>
      <c r="CZ9" s="188">
        <f xml:space="preserve"> SUM( CZ$30:CZ$74 )</f>
        <v>778843.02090000012</v>
      </c>
      <c r="DA9" s="188">
        <f xml:space="preserve"> SUM( DA$30:DA$74 )</f>
        <v>228617.99420000002</v>
      </c>
      <c r="DB9" s="126"/>
      <c r="DC9" s="126"/>
      <c r="DD9" s="188">
        <f xml:space="preserve"> SUMPRODUCT( DA$30:DA$74, DD$30:DD$74 )</f>
        <v>23158.706655472193</v>
      </c>
      <c r="DE9" s="93">
        <f xml:space="preserve"> IF(    SUM(CZ9:DA9)=0,    0,   DD9 / SUM(CZ9:DA9)    )</f>
        <v>2.2987198817984503E-2</v>
      </c>
      <c r="DF9" s="126"/>
      <c r="DG9" s="126"/>
      <c r="DH9" s="94">
        <f xml:space="preserve"> DE9</f>
        <v>2.2987198817984503E-2</v>
      </c>
      <c r="DI9" s="94">
        <f xml:space="preserve"> DE9</f>
        <v>2.2987198817984503E-2</v>
      </c>
      <c r="DK9" s="127"/>
      <c r="DL9" s="127"/>
      <c r="DM9" s="127"/>
      <c r="DN9" s="188">
        <f xml:space="preserve"> SUM( DN$30:DN$74 )</f>
        <v>210048.6115</v>
      </c>
      <c r="DO9" s="188">
        <f xml:space="preserve"> SUM( DO$30:DO$74 )</f>
        <v>82306.790600000022</v>
      </c>
      <c r="DP9" s="126"/>
      <c r="DQ9" s="126"/>
      <c r="DR9" s="188">
        <f xml:space="preserve"> SUMPRODUCT( DO$30:DO$74, DR$30:DR$74 )</f>
        <v>6468.7870493865003</v>
      </c>
      <c r="DS9" s="93">
        <f xml:space="preserve"> IF(    SUM(DN9:DO9)=0,    0,   DR9 / SUM(DN9:DO9)    )</f>
        <v>2.2126449529993139E-2</v>
      </c>
      <c r="DT9" s="126"/>
      <c r="DU9" s="126"/>
      <c r="DV9" s="94">
        <f xml:space="preserve"> DS9</f>
        <v>2.2126449529993139E-2</v>
      </c>
      <c r="DW9" s="94">
        <f xml:space="preserve"> DS9</f>
        <v>2.2126449529993139E-2</v>
      </c>
      <c r="EM9" s="55">
        <f xml:space="preserve"> N9 + BD9 + CT9 + EM$8 * DH9</f>
        <v>33.737916198342681</v>
      </c>
      <c r="EN9" s="55">
        <f xml:space="preserve"> O9 + BE9 + CU9 + EN$8 * DI9</f>
        <v>33.737916198342681</v>
      </c>
      <c r="FA9" s="55">
        <f xml:space="preserve"> AB9 + BR9 + CT9 + FA$8 * DH9</f>
        <v>36.048033871950004</v>
      </c>
      <c r="FB9" s="55">
        <f xml:space="preserve"> AC9 + BS9 + CU9 + FB$8 * DI9</f>
        <v>36.048033871950004</v>
      </c>
      <c r="FO9" s="55">
        <f xml:space="preserve"> AP9 + CF9 + CT9 + FO$8 * DV9</f>
        <v>23.883715178559822</v>
      </c>
      <c r="FP9" s="55">
        <f xml:space="preserve"> AQ9 + CG9 + CU9 + FP$8 * DW9</f>
        <v>23.883715178559822</v>
      </c>
      <c r="GC9" s="55">
        <f xml:space="preserve"> CT9 + GC$8 * DH9</f>
        <v>5.1538705813756393E-2</v>
      </c>
      <c r="GD9" s="55">
        <f xml:space="preserve"> CU9 + GD$8 * DI9</f>
        <v>5.1538705813756393E-2</v>
      </c>
      <c r="GM9" s="1"/>
      <c r="GQ9" s="56">
        <f xml:space="preserve"> MAX( 0, BD9 - CF9 ) * GQ$8</f>
        <v>4.9672335431038146</v>
      </c>
      <c r="GR9" s="56">
        <f xml:space="preserve"> MAX( 0, BE9 - CG9 ) * GR$8</f>
        <v>4.9672335431038146</v>
      </c>
    </row>
    <row r="10" spans="1:220" x14ac:dyDescent="0.2">
      <c r="A10" s="118">
        <v>0</v>
      </c>
      <c r="C10" s="128">
        <v>1.2795000000000001</v>
      </c>
      <c r="D10" s="128">
        <v>0.67979999999999996</v>
      </c>
      <c r="E10" s="128">
        <v>0</v>
      </c>
      <c r="F10" s="128">
        <v>3285.9949999999999</v>
      </c>
      <c r="G10" s="128">
        <v>3082.0508</v>
      </c>
      <c r="H10" s="49">
        <f t="shared" ref="H10:J41" si="29" xml:space="preserve"> C10 * C$8</f>
        <v>1281.3168900000001</v>
      </c>
      <c r="I10" s="49">
        <f t="shared" si="29"/>
        <v>1289.9884799999998</v>
      </c>
      <c r="J10" s="47">
        <f t="shared" si="29"/>
        <v>0</v>
      </c>
      <c r="K10" s="47">
        <f xml:space="preserve"> IF(    SUM(F10:G10)=0,    0,   J10 * G10 / SUM(F10:G10)    )</f>
        <v>0</v>
      </c>
      <c r="L10" s="48">
        <f xml:space="preserve"> H10 + K10</f>
        <v>1281.3168900000001</v>
      </c>
      <c r="M10" s="48">
        <f xml:space="preserve"> I10 - J10 + K10</f>
        <v>1289.9884799999998</v>
      </c>
      <c r="N10" s="93">
        <f xml:space="preserve"> H10 + IF( OR( $A10&lt;=14, $A10&gt;=65 ),0, IF( $A10&lt;=19, N$8, N$9 ) )</f>
        <v>1281.3168900000001</v>
      </c>
      <c r="O10" s="93">
        <f xml:space="preserve"> I10 - J10 + IF( OR( $A10&lt;=14, $A10&gt;=65 ),0, IF( $A10&lt;=19, O$8, O$9 ) )</f>
        <v>1289.9884799999998</v>
      </c>
      <c r="Q10" s="128">
        <v>1.4174</v>
      </c>
      <c r="R10" s="130">
        <v>0.74180000000000001</v>
      </c>
      <c r="S10" s="128">
        <v>0</v>
      </c>
      <c r="T10" s="128">
        <v>405.46749999999997</v>
      </c>
      <c r="U10" s="128">
        <v>337.1567</v>
      </c>
      <c r="V10" s="49">
        <f t="shared" ref="V10:X41" si="30" xml:space="preserve"> Q10 * Q$8</f>
        <v>902.04753399999993</v>
      </c>
      <c r="W10" s="49">
        <f t="shared" si="30"/>
        <v>883.84728200000006</v>
      </c>
      <c r="X10" s="47">
        <f t="shared" si="30"/>
        <v>0</v>
      </c>
      <c r="Y10" s="47">
        <f xml:space="preserve"> IF(    SUM(V10:W10)=0,    0,   X10 * W10 / SUM(V10:W10)    )</f>
        <v>0</v>
      </c>
      <c r="Z10" s="48">
        <f xml:space="preserve"> V10 + Y10</f>
        <v>902.04753399999993</v>
      </c>
      <c r="AA10" s="48">
        <f xml:space="preserve"> W10 - X10 + Y10</f>
        <v>883.84728200000006</v>
      </c>
      <c r="AB10" s="93">
        <f xml:space="preserve"> V10 + IF( OR( $A10&lt;=14, $A10&gt;=65 ),0, IF( $A10&lt;=19, AB$8, AB$9 ) )</f>
        <v>902.04753399999993</v>
      </c>
      <c r="AC10" s="93">
        <f xml:space="preserve"> W10 - X10 + IF( OR( $A10&lt;=14, $A10&gt;=65 ),0, IF( $A10&lt;=19, AC$8, AC$9 ) )</f>
        <v>883.84728200000006</v>
      </c>
      <c r="AE10" s="128">
        <v>0.73619999999999997</v>
      </c>
      <c r="AF10" s="130">
        <v>0.28620000000000001</v>
      </c>
      <c r="AG10" s="128">
        <v>0</v>
      </c>
      <c r="AH10" s="128">
        <v>21.055800000000001</v>
      </c>
      <c r="AI10" s="128">
        <v>18.9542</v>
      </c>
      <c r="AJ10" s="49">
        <f t="shared" ref="AJ10:AL41" si="31" xml:space="preserve"> AE10 * AE$8</f>
        <v>338.71089599999999</v>
      </c>
      <c r="AK10" s="49">
        <f t="shared" si="31"/>
        <v>300.71892600000001</v>
      </c>
      <c r="AL10" s="47">
        <f t="shared" si="31"/>
        <v>0</v>
      </c>
      <c r="AM10" s="47">
        <f xml:space="preserve"> IF(    SUM(AJ10:AK10)=0,    0,   AL10 * AK10 / SUM(AJ10:AK10)    )</f>
        <v>0</v>
      </c>
      <c r="AN10" s="48">
        <f xml:space="preserve"> AJ10 + AM10</f>
        <v>338.71089599999999</v>
      </c>
      <c r="AO10" s="48">
        <f xml:space="preserve"> AK10 - AL10 + AM10</f>
        <v>300.71892600000001</v>
      </c>
      <c r="AP10" s="93">
        <f xml:space="preserve"> AJ10 + IF( OR( $A10&lt;=14, $A10&gt;=65 ),0, IF( $A10&lt;=19, AP$8, AP$9 ) )</f>
        <v>338.71089599999999</v>
      </c>
      <c r="AQ10" s="93">
        <f xml:space="preserve"> AK10 - AL10 + IF( OR( $A10&lt;=14, $A10&gt;=65 ),0, IF( $A10&lt;=19, AQ$8, AQ$9 ) )</f>
        <v>300.71892600000001</v>
      </c>
      <c r="AS10" s="128">
        <v>8.0975000000000001</v>
      </c>
      <c r="AT10" s="130">
        <v>2.9487000000000001</v>
      </c>
      <c r="AU10" s="128">
        <v>0</v>
      </c>
      <c r="AV10" s="128">
        <v>4099.7533000000003</v>
      </c>
      <c r="AW10" s="128">
        <v>3822.7766999999999</v>
      </c>
      <c r="AX10" s="49">
        <f t="shared" ref="AX10:AZ41" si="32" xml:space="preserve"> AS10 * AS$8</f>
        <v>2839.3074000000001</v>
      </c>
      <c r="AY10" s="49">
        <f t="shared" si="32"/>
        <v>2078.7745260000002</v>
      </c>
      <c r="AZ10" s="47">
        <f t="shared" si="32"/>
        <v>0</v>
      </c>
      <c r="BA10" s="47">
        <f xml:space="preserve"> IF(    SUM(AX10:AY10)=0,    0,   AZ10 * AY10 / SUM(AX10:AY10)    )</f>
        <v>0</v>
      </c>
      <c r="BB10" s="48">
        <f xml:space="preserve"> AX10 + BA10</f>
        <v>2839.3074000000001</v>
      </c>
      <c r="BC10" s="48">
        <f xml:space="preserve"> AY10 - AZ10 + BA10</f>
        <v>2078.7745260000002</v>
      </c>
      <c r="BD10" s="93">
        <f xml:space="preserve"> AX10 + IF( OR( $A10&lt;=14, $A10&gt;=65 ),0, IF( $A10&lt;=19, BD$8, BD$9 ) )</f>
        <v>2839.3074000000001</v>
      </c>
      <c r="BE10" s="93">
        <f xml:space="preserve"> AY10 - AZ10 + IF( OR( $A10&lt;=14, $A10&gt;=65 ),0, IF( $A10&lt;=19, BE$8, BE$9 ) )</f>
        <v>2078.7745260000002</v>
      </c>
      <c r="BG10" s="128">
        <v>6.3007</v>
      </c>
      <c r="BH10" s="130">
        <v>3.7191000000000001</v>
      </c>
      <c r="BI10" s="128">
        <v>0</v>
      </c>
      <c r="BJ10" s="128">
        <v>1815.9349999999999</v>
      </c>
      <c r="BK10" s="128">
        <v>1714.0117</v>
      </c>
      <c r="BL10" s="49">
        <f t="shared" ref="BL10:BN41" si="33" xml:space="preserve"> BG10 * BG$8</f>
        <v>2069.2758939999999</v>
      </c>
      <c r="BM10" s="49">
        <f t="shared" si="33"/>
        <v>2248.8653879999997</v>
      </c>
      <c r="BN10" s="47">
        <f t="shared" si="33"/>
        <v>0</v>
      </c>
      <c r="BO10" s="47">
        <f xml:space="preserve"> IF(    SUM(BL10:BM10)=0,    0,   BN10 * BM10 / SUM(BL10:BM10)    )</f>
        <v>0</v>
      </c>
      <c r="BP10" s="48">
        <f xml:space="preserve"> BL10 + BO10</f>
        <v>2069.2758939999999</v>
      </c>
      <c r="BQ10" s="48">
        <f xml:space="preserve"> BM10 - BN10 + BO10</f>
        <v>2248.8653879999997</v>
      </c>
      <c r="BR10" s="93">
        <f xml:space="preserve"> BL10 + IF( OR( $A10&lt;=14, $A10&gt;=65 ),0, IF( $A10&lt;=19, BR$8, BR$9 ) )</f>
        <v>2069.2758939999999</v>
      </c>
      <c r="BS10" s="93">
        <f xml:space="preserve"> BM10 - BN10 + IF( OR( $A10&lt;=14, $A10&gt;=65 ),0, IF( $A10&lt;=19, BS$8, BS$9 ) )</f>
        <v>2248.8653879999997</v>
      </c>
      <c r="BU10" s="128">
        <v>8.8239000000000001</v>
      </c>
      <c r="BV10" s="130">
        <v>2.9420999999999999</v>
      </c>
      <c r="BW10" s="128">
        <v>0</v>
      </c>
      <c r="BX10" s="128">
        <v>1040.6675</v>
      </c>
      <c r="BY10" s="128">
        <v>1011.085</v>
      </c>
      <c r="BZ10" s="49">
        <f t="shared" ref="BZ10:CB41" si="34" xml:space="preserve"> BU10 * BU$8</f>
        <v>2140.67814</v>
      </c>
      <c r="CA10" s="49">
        <f t="shared" si="34"/>
        <v>1188.961452</v>
      </c>
      <c r="CB10" s="47">
        <f t="shared" si="34"/>
        <v>0</v>
      </c>
      <c r="CC10" s="47">
        <f xml:space="preserve"> IF(    SUM(BZ10:CA10)=0,    0,   CB10 * CA10 / SUM(BZ10:CA10)    )</f>
        <v>0</v>
      </c>
      <c r="CD10" s="48">
        <f xml:space="preserve"> BZ10 + CC10</f>
        <v>2140.67814</v>
      </c>
      <c r="CE10" s="48">
        <f xml:space="preserve"> CA10 - CB10 + CC10</f>
        <v>1188.961452</v>
      </c>
      <c r="CF10" s="93">
        <f xml:space="preserve"> BZ10 + IF( OR( $A10&lt;=14, $A10&gt;=65 ),0, IF( $A10&lt;=19, CF$8, CF$9 ) )</f>
        <v>2140.67814</v>
      </c>
      <c r="CG10" s="93">
        <f xml:space="preserve"> CA10 - CB10 + IF( OR( $A10&lt;=14, $A10&gt;=65 ),0, IF( $A10&lt;=19, CG$8, CG$9 ) )</f>
        <v>1188.961452</v>
      </c>
      <c r="CI10" s="128">
        <v>0</v>
      </c>
      <c r="CJ10" s="130">
        <v>0</v>
      </c>
      <c r="CK10" s="128">
        <v>0</v>
      </c>
      <c r="CL10" s="128">
        <v>7053.4841999999999</v>
      </c>
      <c r="CM10" s="128">
        <v>6642.9025000000001</v>
      </c>
      <c r="CN10" s="49">
        <f t="shared" ref="CN10:CP41" si="35" xml:space="preserve"> CI10 * CI$8</f>
        <v>0</v>
      </c>
      <c r="CO10" s="49">
        <f t="shared" si="35"/>
        <v>0</v>
      </c>
      <c r="CP10" s="47">
        <f t="shared" si="35"/>
        <v>0</v>
      </c>
      <c r="CQ10" s="47">
        <f xml:space="preserve"> IF(    SUM(CN10:CO10)=0,    0,   CP10 * CO10 / SUM(CN10:CO10)    )</f>
        <v>0</v>
      </c>
      <c r="CR10" s="48">
        <f xml:space="preserve"> CN10 + CQ10</f>
        <v>0</v>
      </c>
      <c r="CS10" s="48">
        <f xml:space="preserve"> CO10 - CP10 + CQ10</f>
        <v>0</v>
      </c>
      <c r="CT10" s="93">
        <f xml:space="preserve"> CN10 + IF( OR( $A10&lt;=14, $A10&gt;=65 ),0, IF( $A10&lt;=19, CT$8, CT$9 ) )</f>
        <v>0</v>
      </c>
      <c r="CU10" s="93">
        <f xml:space="preserve"> CO10 - CP10 + IF( OR( $A10&lt;=14, $A10&gt;=65 ),0, IF( $A10&lt;=19, CU$8, CU$9 ) )</f>
        <v>0</v>
      </c>
      <c r="CW10" s="128">
        <v>8.0000000000000004E-4</v>
      </c>
      <c r="CX10" s="130">
        <v>0</v>
      </c>
      <c r="CY10" s="128">
        <v>0</v>
      </c>
      <c r="CZ10" s="128">
        <v>3058.0408000000002</v>
      </c>
      <c r="DA10" s="128">
        <v>2975.0650000000001</v>
      </c>
      <c r="DB10" s="49">
        <f t="shared" ref="DB10:DD41" si="36" xml:space="preserve"> CW10 * CW$8</f>
        <v>0.171768</v>
      </c>
      <c r="DC10" s="49">
        <f t="shared" si="36"/>
        <v>0</v>
      </c>
      <c r="DD10" s="47">
        <f t="shared" si="36"/>
        <v>0</v>
      </c>
      <c r="DE10" s="47">
        <f xml:space="preserve"> IF(    SUM(DB10:DC10)=0,    0,   DD10 * DC10 / SUM(DB10:DC10)    )</f>
        <v>0</v>
      </c>
      <c r="DF10" s="48">
        <f xml:space="preserve"> DB10 + DE10</f>
        <v>0.171768</v>
      </c>
      <c r="DG10" s="48">
        <f xml:space="preserve"> DC10 - DD10 + DE10</f>
        <v>0</v>
      </c>
      <c r="DH10" s="93">
        <f xml:space="preserve"> DB10 + IF( OR( $A10&lt;=14, $A10&gt;=65 ),0, IF( $A10&lt;=19, DH$8, DH$9 ) )</f>
        <v>0.171768</v>
      </c>
      <c r="DI10" s="93">
        <f xml:space="preserve"> DC10 - DD10 + IF( OR( $A10&lt;=14, $A10&gt;=65 ),0, IF( $A10&lt;=19, DI$8, DI$9 ) )</f>
        <v>0</v>
      </c>
      <c r="DK10" s="128">
        <v>6.0000000000000001E-3</v>
      </c>
      <c r="DL10" s="130">
        <v>0</v>
      </c>
      <c r="DM10" s="128">
        <v>1.5E-3</v>
      </c>
      <c r="DN10" s="128">
        <v>361.86250000000001</v>
      </c>
      <c r="DO10" s="128">
        <v>307.54750000000001</v>
      </c>
      <c r="DP10" s="49">
        <f t="shared" ref="DP10:DR41" si="37" xml:space="preserve"> DK10 * DK$8</f>
        <v>0.79416000000000009</v>
      </c>
      <c r="DQ10" s="49">
        <f t="shared" si="37"/>
        <v>0</v>
      </c>
      <c r="DR10" s="47">
        <f t="shared" si="37"/>
        <v>2.8499999999999999E-4</v>
      </c>
      <c r="DS10" s="47">
        <f xml:space="preserve"> IF(    SUM(DP10:DQ10)=0,    0,   DR10 * DQ10 / SUM(DP10:DQ10)    )</f>
        <v>0</v>
      </c>
      <c r="DT10" s="48">
        <f xml:space="preserve"> DP10 + DS10</f>
        <v>0.79416000000000009</v>
      </c>
      <c r="DU10" s="48">
        <f xml:space="preserve"> DQ10 - DR10 + DS10</f>
        <v>-2.8499999999999999E-4</v>
      </c>
      <c r="DV10" s="93">
        <f xml:space="preserve"> DP10 + IF( OR( $A10&lt;=14, $A10&gt;=65 ),0, IF( $A10&lt;=19, DV$8, DV$9 ) )</f>
        <v>0.79416000000000009</v>
      </c>
      <c r="DW10" s="93">
        <f xml:space="preserve"> DQ10 - DR10 + IF( OR( $A10&lt;=14, $A10&gt;=65 ),0, IF( $A10&lt;=19, DW$8, DW$9 ) )</f>
        <v>-2.8499999999999999E-4</v>
      </c>
      <c r="EB10" s="52"/>
      <c r="EC10" s="52"/>
      <c r="ED10" s="52"/>
      <c r="EE10" s="55">
        <f xml:space="preserve"> F10 + AV10 + CL10 + EE$8 * CZ10</f>
        <v>17497.273300000001</v>
      </c>
      <c r="EF10" s="55">
        <f xml:space="preserve"> G10 + AW10 + CM10 + EF$8 * DA10</f>
        <v>16522.794999999998</v>
      </c>
      <c r="EG10" s="55">
        <f xml:space="preserve"> H10 + AX10 + CN10 + EG$8 * DB10</f>
        <v>4120.7617043999999</v>
      </c>
      <c r="EH10" s="55">
        <f xml:space="preserve"> I10 + AY10 + CO10 + EH$8 * DC10</f>
        <v>3368.7630060000001</v>
      </c>
      <c r="EI10" s="298">
        <f t="shared" ref="EI10:EI41" si="38" xml:space="preserve"> IF(   SUM(EE10:EF10) = 0,    IF( EG10&lt;EH10, lambdax_min, lambdax_max ),
                                                                   MAX( lambdax_min, MIN( lambdax_max, EE10 / SUM(EE10:EF10) ) )     )</f>
        <v>0.51432210969429482</v>
      </c>
      <c r="EJ10" s="52"/>
      <c r="EK10" s="55">
        <f xml:space="preserve"> L10 + BB10 + CR10 + EK$8 * DF10</f>
        <v>4120.7617043999999</v>
      </c>
      <c r="EL10" s="55">
        <f xml:space="preserve"> M10 + BC10 + CS10 + EL$8 * DG10</f>
        <v>3368.7630060000001</v>
      </c>
      <c r="EM10" s="55">
        <f t="shared" ref="EM10:EN74" si="39" xml:space="preserve"> N10 + BD10 + CT10 + EM$8 * DH10</f>
        <v>4120.7617043999999</v>
      </c>
      <c r="EN10" s="55">
        <f xml:space="preserve"> O10 + BE10 + CU10 + EN$8 * DI10</f>
        <v>3368.7630060000001</v>
      </c>
      <c r="EP10" s="52"/>
      <c r="EQ10" s="52"/>
      <c r="ER10" s="52"/>
      <c r="ES10" s="55">
        <f t="shared" ref="ES10:EV41" si="40" xml:space="preserve"> T10 + BJ10 + CL10 + ES$8 * CZ10</f>
        <v>12332.9275</v>
      </c>
      <c r="ET10" s="55">
        <f t="shared" si="40"/>
        <v>11669.135900000001</v>
      </c>
      <c r="EU10" s="55">
        <f t="shared" si="40"/>
        <v>2971.4436655999998</v>
      </c>
      <c r="EV10" s="55">
        <f t="shared" si="40"/>
        <v>3132.7126699999999</v>
      </c>
      <c r="EW10" s="298">
        <f t="shared" ref="EW10:EW41" si="41" xml:space="preserve"> IF(   SUM(ES10:ET10) = 0,    IF( EU10&lt;EV10, lambdax_min, lambdax_max ),
                                                                   MAX( lambdax_min, MIN( lambdax_max, ES10 / SUM(ES10:ET10) ) )     )</f>
        <v>0.51382780282131912</v>
      </c>
      <c r="EX10" s="52"/>
      <c r="EY10" s="55">
        <f t="shared" ref="EY10:FB41" si="42" xml:space="preserve"> Z10 + BP10 + CR10 + EY$8 * DF10</f>
        <v>2971.4436655999998</v>
      </c>
      <c r="EZ10" s="55">
        <f t="shared" si="42"/>
        <v>3132.7126699999999</v>
      </c>
      <c r="FA10" s="55">
        <f t="shared" si="42"/>
        <v>2971.4436655999998</v>
      </c>
      <c r="FB10" s="55">
        <f t="shared" si="42"/>
        <v>3132.7126699999999</v>
      </c>
      <c r="FD10" s="52"/>
      <c r="FE10" s="52"/>
      <c r="FF10" s="52"/>
      <c r="FG10" s="55">
        <f t="shared" ref="FG10:FJ41" si="43" xml:space="preserve"> AH10 + BX10 + CL10 + FG$8 * DN10</f>
        <v>8477.07</v>
      </c>
      <c r="FH10" s="55">
        <f t="shared" si="43"/>
        <v>7980.4892</v>
      </c>
      <c r="FI10" s="55">
        <f t="shared" si="43"/>
        <v>2479.8655320000003</v>
      </c>
      <c r="FJ10" s="55">
        <f t="shared" si="43"/>
        <v>1489.680378</v>
      </c>
      <c r="FK10" s="298">
        <f t="shared" ref="FK10:FK41" si="44" xml:space="preserve"> IF(   SUM(FG10:FH10) = 0,    IF( FI10&lt;FJ10, lambdax_min, lambdax_max ),
                                                                   MAX( lambdax_min, MIN( lambdax_max, FG10 / SUM(FG10:FH10) ) )     )</f>
        <v>0.51508670860500383</v>
      </c>
      <c r="FL10" s="52"/>
      <c r="FM10" s="55">
        <f t="shared" ref="FM10:FP41" si="45" xml:space="preserve"> AN10 + CD10 + CR10 + FM$8 * DT10</f>
        <v>2479.8655320000003</v>
      </c>
      <c r="FN10" s="55">
        <f t="shared" si="45"/>
        <v>1489.6802070000001</v>
      </c>
      <c r="FO10" s="55">
        <f t="shared" si="45"/>
        <v>2479.8655320000003</v>
      </c>
      <c r="FP10" s="55">
        <f t="shared" si="45"/>
        <v>1489.6802070000001</v>
      </c>
      <c r="FR10" s="52"/>
      <c r="FS10" s="52"/>
      <c r="FT10" s="52"/>
      <c r="FU10" s="55">
        <f t="shared" ref="FU10:FX41" si="46" xml:space="preserve"> CL10 + FU$8 * CZ10</f>
        <v>10111.525</v>
      </c>
      <c r="FV10" s="55">
        <f t="shared" si="46"/>
        <v>9617.9675000000007</v>
      </c>
      <c r="FW10" s="55">
        <f t="shared" si="46"/>
        <v>0.13741440000000002</v>
      </c>
      <c r="FX10" s="55">
        <f t="shared" si="46"/>
        <v>0</v>
      </c>
      <c r="FY10" s="298">
        <f t="shared" ref="FY10:FY41" si="47" xml:space="preserve"> IF(   SUM(FU10:FV10) = 0,    IF( FW10&lt;FX10, lambdax_min, lambdax_max ),
                                                                   MAX( lambdax_min, MIN( lambdax_max, FU10 / SUM(FU10:FV10) ) )     )</f>
        <v>0.51250811443832123</v>
      </c>
      <c r="FZ10" s="52"/>
      <c r="GA10" s="55">
        <f t="shared" ref="GA10:GD41" si="48" xml:space="preserve"> CR10 + GA$8 * DF10</f>
        <v>0.13741440000000002</v>
      </c>
      <c r="GB10" s="55">
        <f t="shared" si="48"/>
        <v>0</v>
      </c>
      <c r="GC10" s="55">
        <f t="shared" si="48"/>
        <v>0.13741440000000002</v>
      </c>
      <c r="GD10" s="55">
        <f t="shared" si="48"/>
        <v>0</v>
      </c>
      <c r="GF10" s="52"/>
      <c r="GG10" s="52"/>
      <c r="GH10" s="52"/>
      <c r="GI10" s="55">
        <f t="shared" ref="GI10:GJ41" si="49" xml:space="preserve"> MAX( 0, AV10 + BX10 ) * GI$8</f>
        <v>5140.4207999999999</v>
      </c>
      <c r="GJ10" s="55">
        <f t="shared" si="49"/>
        <v>4833.8616999999995</v>
      </c>
      <c r="GK10" s="56">
        <f t="shared" ref="GK10:GL41" si="50" xml:space="preserve"> MAX( 0, AX10 - BZ10 ) * GK$8</f>
        <v>523.97194500000012</v>
      </c>
      <c r="GL10" s="56">
        <f t="shared" si="50"/>
        <v>667.35980550000011</v>
      </c>
      <c r="GM10" s="298">
        <f t="shared" ref="GM10:GM41" si="51" xml:space="preserve"> IF(   SUM(GI10:GJ10) = 0,    IF( GK10&lt;GL10, lambdax_min, lambdax_max ),
                                                                   MAX( lambdax_min, MIN( lambdax_max, GI10 / SUM(GI10:GJ10) ) )     )</f>
        <v>0.51536747630719304</v>
      </c>
      <c r="GN10" s="52"/>
      <c r="GO10" s="56">
        <f t="shared" ref="GO10:GR41" si="52" xml:space="preserve"> MAX( 0, BB10 - CD10 ) * GO$8</f>
        <v>523.97194500000012</v>
      </c>
      <c r="GP10" s="56">
        <f t="shared" si="52"/>
        <v>667.35980550000011</v>
      </c>
      <c r="GQ10" s="56">
        <f t="shared" si="52"/>
        <v>523.97194500000012</v>
      </c>
      <c r="GR10" s="56">
        <f t="shared" si="52"/>
        <v>667.35980550000011</v>
      </c>
    </row>
    <row r="11" spans="1:220" x14ac:dyDescent="0.2">
      <c r="A11" s="118">
        <v>1</v>
      </c>
      <c r="C11" s="128">
        <v>1.1923999999999999</v>
      </c>
      <c r="D11" s="128">
        <v>0.59379999999999999</v>
      </c>
      <c r="E11" s="128">
        <v>0</v>
      </c>
      <c r="F11" s="128">
        <v>6441.5466999999999</v>
      </c>
      <c r="G11" s="128">
        <v>6129.5775000000003</v>
      </c>
      <c r="H11" s="49">
        <f t="shared" si="29"/>
        <v>1194.0932079999998</v>
      </c>
      <c r="I11" s="49">
        <f t="shared" si="29"/>
        <v>1126.7948799999999</v>
      </c>
      <c r="J11" s="47">
        <f t="shared" si="29"/>
        <v>0</v>
      </c>
      <c r="K11" s="47">
        <f t="shared" ref="K11:K74" si="53" xml:space="preserve"> IF(    SUM(F11:G11)=0,    0,   J11 * G11 / SUM(F11:G11)    )</f>
        <v>0</v>
      </c>
      <c r="L11" s="48">
        <f t="shared" ref="L11:L74" si="54" xml:space="preserve"> H11 + K11</f>
        <v>1194.0932079999998</v>
      </c>
      <c r="M11" s="48">
        <f t="shared" ref="M11:M74" si="55" xml:space="preserve"> I11 - J11 + K11</f>
        <v>1126.7948799999999</v>
      </c>
      <c r="N11" s="93">
        <f t="shared" ref="N11:N74" si="56" xml:space="preserve"> H11 + IF( OR( $A11&lt;=14, $A11&gt;=65 ),0, IF( $A11&lt;=19, N$8, N$9 ) )</f>
        <v>1194.0932079999998</v>
      </c>
      <c r="O11" s="93">
        <f t="shared" ref="O11:O74" si="57" xml:space="preserve"> I11 - J11 + IF( OR( $A11&lt;=14, $A11&gt;=65 ),0, IF( $A11&lt;=19, O$8, O$9 ) )</f>
        <v>1126.7948799999999</v>
      </c>
      <c r="Q11" s="128">
        <v>1.3219000000000001</v>
      </c>
      <c r="R11" s="130">
        <v>0.65480000000000005</v>
      </c>
      <c r="S11" s="128">
        <v>0</v>
      </c>
      <c r="T11" s="128">
        <v>790.67250000000001</v>
      </c>
      <c r="U11" s="128">
        <v>783.5317</v>
      </c>
      <c r="V11" s="49">
        <f t="shared" si="30"/>
        <v>841.27037900000005</v>
      </c>
      <c r="W11" s="49">
        <f t="shared" si="30"/>
        <v>780.18765200000007</v>
      </c>
      <c r="X11" s="47">
        <f t="shared" si="30"/>
        <v>0</v>
      </c>
      <c r="Y11" s="47">
        <f t="shared" ref="Y11:Y74" si="58" xml:space="preserve"> IF(    SUM(V11:W11)=0,    0,   X11 * W11 / SUM(V11:W11)    )</f>
        <v>0</v>
      </c>
      <c r="Z11" s="48">
        <f t="shared" ref="Z11:Z74" si="59" xml:space="preserve"> V11 + Y11</f>
        <v>841.27037900000005</v>
      </c>
      <c r="AA11" s="48">
        <f t="shared" ref="AA11:AA74" si="60" xml:space="preserve"> W11 - X11 + Y11</f>
        <v>780.18765200000007</v>
      </c>
      <c r="AB11" s="93">
        <f t="shared" ref="AB11:AB74" si="61" xml:space="preserve"> V11 + IF( OR( $A11&lt;=14, $A11&gt;=65 ),0, IF( $A11&lt;=19, AB$8, AB$9 ) )</f>
        <v>841.27037900000005</v>
      </c>
      <c r="AC11" s="93">
        <f t="shared" ref="AC11:AC74" si="62" xml:space="preserve"> W11 - X11 + IF( OR( $A11&lt;=14, $A11&gt;=65 ),0, IF( $A11&lt;=19, AC$8, AC$9 ) )</f>
        <v>780.18765200000007</v>
      </c>
      <c r="AE11" s="128">
        <v>0.71830000000000005</v>
      </c>
      <c r="AF11" s="130">
        <v>0.25459999999999999</v>
      </c>
      <c r="AG11" s="128">
        <v>0</v>
      </c>
      <c r="AH11" s="128">
        <v>48.084200000000003</v>
      </c>
      <c r="AI11" s="128">
        <v>40.85</v>
      </c>
      <c r="AJ11" s="49">
        <f t="shared" si="31"/>
        <v>330.47546399999999</v>
      </c>
      <c r="AK11" s="49">
        <f t="shared" si="31"/>
        <v>267.51585799999998</v>
      </c>
      <c r="AL11" s="47">
        <f t="shared" si="31"/>
        <v>0</v>
      </c>
      <c r="AM11" s="47">
        <f t="shared" ref="AM11:AM74" si="63" xml:space="preserve"> IF(    SUM(AJ11:AK11)=0,    0,   AL11 * AK11 / SUM(AJ11:AK11)    )</f>
        <v>0</v>
      </c>
      <c r="AN11" s="48">
        <f t="shared" ref="AN11:AN74" si="64" xml:space="preserve"> AJ11 + AM11</f>
        <v>330.47546399999999</v>
      </c>
      <c r="AO11" s="48">
        <f t="shared" ref="AO11:AO74" si="65" xml:space="preserve"> AK11 - AL11 + AM11</f>
        <v>267.51585799999998</v>
      </c>
      <c r="AP11" s="93">
        <f t="shared" ref="AP11:AP74" si="66" xml:space="preserve"> AJ11 + IF( OR( $A11&lt;=14, $A11&gt;=65 ),0, IF( $A11&lt;=19, AP$8, AP$9 ) )</f>
        <v>330.47546399999999</v>
      </c>
      <c r="AQ11" s="93">
        <f t="shared" ref="AQ11:AQ74" si="67" xml:space="preserve"> AK11 - AL11 + IF( OR( $A11&lt;=14, $A11&gt;=65 ),0, IF( $A11&lt;=19, AQ$8, AQ$9 ) )</f>
        <v>267.51585799999998</v>
      </c>
      <c r="AS11" s="128">
        <v>2.0244</v>
      </c>
      <c r="AT11" s="130">
        <v>1.3069</v>
      </c>
      <c r="AU11" s="128">
        <v>0</v>
      </c>
      <c r="AV11" s="128">
        <v>8099.5649999999996</v>
      </c>
      <c r="AW11" s="128">
        <v>7779.6266999999998</v>
      </c>
      <c r="AX11" s="49">
        <f t="shared" si="32"/>
        <v>709.83561599999996</v>
      </c>
      <c r="AY11" s="49">
        <f t="shared" si="32"/>
        <v>921.33836199999996</v>
      </c>
      <c r="AZ11" s="47">
        <f t="shared" si="32"/>
        <v>0</v>
      </c>
      <c r="BA11" s="47">
        <f t="shared" ref="BA11:BA74" si="68" xml:space="preserve"> IF(    SUM(AX11:AY11)=0,    0,   AZ11 * AY11 / SUM(AX11:AY11)    )</f>
        <v>0</v>
      </c>
      <c r="BB11" s="48">
        <f t="shared" ref="BB11:BB74" si="69" xml:space="preserve"> AX11 + BA11</f>
        <v>709.83561599999996</v>
      </c>
      <c r="BC11" s="48">
        <f t="shared" ref="BC11:BC74" si="70" xml:space="preserve"> AY11 - AZ11 + BA11</f>
        <v>921.33836199999996</v>
      </c>
      <c r="BD11" s="93">
        <f t="shared" ref="BD11:BD74" si="71" xml:space="preserve"> AX11 + IF( OR( $A11&lt;=14, $A11&gt;=65 ),0, IF( $A11&lt;=19, BD$8, BD$9 ) )</f>
        <v>709.83561599999996</v>
      </c>
      <c r="BE11" s="93">
        <f t="shared" ref="BE11:BE74" si="72" xml:space="preserve"> AY11 - AZ11 + IF( OR( $A11&lt;=14, $A11&gt;=65 ),0, IF( $A11&lt;=19, BE$8, BE$9 ) )</f>
        <v>921.33836199999996</v>
      </c>
      <c r="BG11" s="128">
        <v>1.4314</v>
      </c>
      <c r="BH11" s="130">
        <v>1.0481</v>
      </c>
      <c r="BI11" s="128">
        <v>0</v>
      </c>
      <c r="BJ11" s="128">
        <v>3459.87</v>
      </c>
      <c r="BK11" s="128">
        <v>3327.2166999999999</v>
      </c>
      <c r="BL11" s="49">
        <f t="shared" si="33"/>
        <v>470.10038800000001</v>
      </c>
      <c r="BM11" s="49">
        <f t="shared" si="33"/>
        <v>633.76510799999994</v>
      </c>
      <c r="BN11" s="47">
        <f t="shared" si="33"/>
        <v>0</v>
      </c>
      <c r="BO11" s="47">
        <f t="shared" ref="BO11:BO74" si="73" xml:space="preserve"> IF(    SUM(BL11:BM11)=0,    0,   BN11 * BM11 / SUM(BL11:BM11)    )</f>
        <v>0</v>
      </c>
      <c r="BP11" s="48">
        <f t="shared" ref="BP11:BP74" si="74" xml:space="preserve"> BL11 + BO11</f>
        <v>470.10038800000001</v>
      </c>
      <c r="BQ11" s="48">
        <f t="shared" ref="BQ11:BQ74" si="75" xml:space="preserve"> BM11 - BN11 + BO11</f>
        <v>633.76510799999994</v>
      </c>
      <c r="BR11" s="93">
        <f t="shared" ref="BR11:BR74" si="76" xml:space="preserve"> BL11 + IF( OR( $A11&lt;=14, $A11&gt;=65 ),0, IF( $A11&lt;=19, BR$8, BR$9 ) )</f>
        <v>470.10038800000001</v>
      </c>
      <c r="BS11" s="93">
        <f t="shared" ref="BS11:BS74" si="77" xml:space="preserve"> BM11 - BN11 + IF( OR( $A11&lt;=14, $A11&gt;=65 ),0, IF( $A11&lt;=19, BS$8, BS$9 ) )</f>
        <v>633.76510799999994</v>
      </c>
      <c r="BU11" s="128">
        <v>2.3069000000000002</v>
      </c>
      <c r="BV11" s="130">
        <v>1.3134999999999999</v>
      </c>
      <c r="BW11" s="128">
        <v>0</v>
      </c>
      <c r="BX11" s="128">
        <v>2126.0983000000001</v>
      </c>
      <c r="BY11" s="128">
        <v>2024.375</v>
      </c>
      <c r="BZ11" s="49">
        <f t="shared" si="34"/>
        <v>559.65394000000003</v>
      </c>
      <c r="CA11" s="49">
        <f t="shared" si="34"/>
        <v>530.81161999999995</v>
      </c>
      <c r="CB11" s="47">
        <f t="shared" si="34"/>
        <v>0</v>
      </c>
      <c r="CC11" s="47">
        <f t="shared" ref="CC11:CC74" si="78" xml:space="preserve"> IF(    SUM(BZ11:CA11)=0,    0,   CB11 * CA11 / SUM(BZ11:CA11)    )</f>
        <v>0</v>
      </c>
      <c r="CD11" s="48">
        <f t="shared" ref="CD11:CD74" si="79" xml:space="preserve"> BZ11 + CC11</f>
        <v>559.65394000000003</v>
      </c>
      <c r="CE11" s="48">
        <f t="shared" ref="CE11:CE74" si="80" xml:space="preserve"> CA11 - CB11 + CC11</f>
        <v>530.81161999999995</v>
      </c>
      <c r="CF11" s="93">
        <f t="shared" ref="CF11:CF74" si="81" xml:space="preserve"> BZ11 + IF( OR( $A11&lt;=14, $A11&gt;=65 ),0, IF( $A11&lt;=19, CF$8, CF$9 ) )</f>
        <v>559.65394000000003</v>
      </c>
      <c r="CG11" s="93">
        <f t="shared" ref="CG11:CG74" si="82" xml:space="preserve"> CA11 - CB11 + IF( OR( $A11&lt;=14, $A11&gt;=65 ),0, IF( $A11&lt;=19, CG$8, CG$9 ) )</f>
        <v>530.81161999999995</v>
      </c>
      <c r="CI11" s="128">
        <v>1.3100000000000001E-2</v>
      </c>
      <c r="CJ11" s="130">
        <v>1.0200000000000001E-2</v>
      </c>
      <c r="CK11" s="128">
        <v>0</v>
      </c>
      <c r="CL11" s="128">
        <v>13900.1167</v>
      </c>
      <c r="CM11" s="128">
        <v>13336.984200000001</v>
      </c>
      <c r="CN11" s="49">
        <f t="shared" si="35"/>
        <v>2.7808680000000003</v>
      </c>
      <c r="CO11" s="49">
        <f t="shared" si="35"/>
        <v>2.8098960000000002</v>
      </c>
      <c r="CP11" s="47">
        <f t="shared" si="35"/>
        <v>0</v>
      </c>
      <c r="CQ11" s="47">
        <f t="shared" ref="CQ11:CQ74" si="83" xml:space="preserve"> IF(    SUM(CN11:CO11)=0,    0,   CP11 * CO11 / SUM(CN11:CO11)    )</f>
        <v>0</v>
      </c>
      <c r="CR11" s="48">
        <f t="shared" ref="CR11:CR74" si="84" xml:space="preserve"> CN11 + CQ11</f>
        <v>2.7808680000000003</v>
      </c>
      <c r="CS11" s="48">
        <f t="shared" ref="CS11:CS74" si="85" xml:space="preserve"> CO11 - CP11 + CQ11</f>
        <v>2.8098960000000002</v>
      </c>
      <c r="CT11" s="93">
        <f t="shared" ref="CT11:CT74" si="86" xml:space="preserve"> CN11 + IF( OR( $A11&lt;=14, $A11&gt;=65 ),0, IF( $A11&lt;=19, CT$8, CT$9 ) )</f>
        <v>2.7808680000000003</v>
      </c>
      <c r="CU11" s="93">
        <f t="shared" ref="CU11:CU74" si="87" xml:space="preserve"> CO11 - CP11 + IF( OR( $A11&lt;=14, $A11&gt;=65 ),0, IF( $A11&lt;=19, CU$8, CU$9 ) )</f>
        <v>2.8098960000000002</v>
      </c>
      <c r="CW11" s="128">
        <v>0</v>
      </c>
      <c r="CX11" s="130">
        <v>0</v>
      </c>
      <c r="CY11" s="128">
        <v>0</v>
      </c>
      <c r="CZ11" s="128">
        <v>6172.5249999999996</v>
      </c>
      <c r="DA11" s="128">
        <v>5961.1692000000003</v>
      </c>
      <c r="DB11" s="49">
        <f t="shared" si="36"/>
        <v>0</v>
      </c>
      <c r="DC11" s="49">
        <f t="shared" si="36"/>
        <v>0</v>
      </c>
      <c r="DD11" s="47">
        <f t="shared" si="36"/>
        <v>0</v>
      </c>
      <c r="DE11" s="47">
        <f t="shared" ref="DE11:DE74" si="88" xml:space="preserve"> IF(    SUM(DB11:DC11)=0,    0,   DD11 * DC11 / SUM(DB11:DC11)    )</f>
        <v>0</v>
      </c>
      <c r="DF11" s="48">
        <f t="shared" ref="DF11:DF74" si="89" xml:space="preserve"> DB11 + DE11</f>
        <v>0</v>
      </c>
      <c r="DG11" s="48">
        <f t="shared" ref="DG11:DG74" si="90" xml:space="preserve"> DC11 - DD11 + DE11</f>
        <v>0</v>
      </c>
      <c r="DH11" s="93">
        <f t="shared" ref="DH11:DH74" si="91" xml:space="preserve"> DB11 + IF( OR( $A11&lt;=14, $A11&gt;=65 ),0, IF( $A11&lt;=19, DH$8, DH$9 ) )</f>
        <v>0</v>
      </c>
      <c r="DI11" s="93">
        <f t="shared" ref="DI11:DI74" si="92" xml:space="preserve"> DC11 - DD11 + IF( OR( $A11&lt;=14, $A11&gt;=65 ),0, IF( $A11&lt;=19, DI$8, DI$9 ) )</f>
        <v>0</v>
      </c>
      <c r="DK11" s="128">
        <v>3.8E-3</v>
      </c>
      <c r="DL11" s="130">
        <v>0</v>
      </c>
      <c r="DM11" s="128">
        <v>8.0000000000000004E-4</v>
      </c>
      <c r="DN11" s="128">
        <v>761.35749999999996</v>
      </c>
      <c r="DO11" s="128">
        <v>682.87329999999997</v>
      </c>
      <c r="DP11" s="49">
        <f t="shared" si="37"/>
        <v>0.50296800000000008</v>
      </c>
      <c r="DQ11" s="49">
        <f t="shared" si="37"/>
        <v>0</v>
      </c>
      <c r="DR11" s="47">
        <f t="shared" si="37"/>
        <v>1.5200000000000001E-4</v>
      </c>
      <c r="DS11" s="47">
        <f t="shared" ref="DS11:DS74" si="93" xml:space="preserve"> IF(    SUM(DP11:DQ11)=0,    0,   DR11 * DQ11 / SUM(DP11:DQ11)    )</f>
        <v>0</v>
      </c>
      <c r="DT11" s="48">
        <f t="shared" ref="DT11:DT74" si="94" xml:space="preserve"> DP11 + DS11</f>
        <v>0.50296800000000008</v>
      </c>
      <c r="DU11" s="48">
        <f t="shared" ref="DU11:DU74" si="95" xml:space="preserve"> DQ11 - DR11 + DS11</f>
        <v>-1.5200000000000001E-4</v>
      </c>
      <c r="DV11" s="93">
        <f t="shared" ref="DV11:DV74" si="96" xml:space="preserve"> DP11 + IF( OR( $A11&lt;=14, $A11&gt;=65 ),0, IF( $A11&lt;=19, DV$8, DV$9 ) )</f>
        <v>0.50296800000000008</v>
      </c>
      <c r="DW11" s="93">
        <f t="shared" ref="DW11:DW74" si="97" xml:space="preserve"> DQ11 - DR11 + IF( OR( $A11&lt;=14, $A11&gt;=65 ),0, IF( $A11&lt;=19, DW$8, DW$9 ) )</f>
        <v>-1.5200000000000001E-4</v>
      </c>
      <c r="EB11" s="52"/>
      <c r="EC11" s="52"/>
      <c r="ED11" s="52"/>
      <c r="EE11" s="55">
        <f t="shared" ref="EE11:EH74" si="98" xml:space="preserve"> F11 + AV11 + CL11 + EE$8 * CZ11</f>
        <v>34613.753400000001</v>
      </c>
      <c r="EF11" s="55">
        <f t="shared" si="98"/>
        <v>33207.357600000003</v>
      </c>
      <c r="EG11" s="55">
        <f t="shared" si="98"/>
        <v>1906.7096919999997</v>
      </c>
      <c r="EH11" s="55">
        <f t="shared" si="98"/>
        <v>2050.9431380000001</v>
      </c>
      <c r="EI11" s="298">
        <f t="shared" si="38"/>
        <v>0.51036842200948318</v>
      </c>
      <c r="EJ11" s="52"/>
      <c r="EK11" s="55">
        <f t="shared" ref="EK11:EL74" si="99" xml:space="preserve"> L11 + BB11 + CR11 + EK$8 * DF11</f>
        <v>1906.7096919999997</v>
      </c>
      <c r="EL11" s="55">
        <f t="shared" si="99"/>
        <v>2050.9431380000001</v>
      </c>
      <c r="EM11" s="55">
        <f t="shared" si="39"/>
        <v>1906.7096919999997</v>
      </c>
      <c r="EN11" s="55">
        <f t="shared" si="39"/>
        <v>2050.9431380000001</v>
      </c>
      <c r="EP11" s="52"/>
      <c r="EQ11" s="52"/>
      <c r="ER11" s="52"/>
      <c r="ES11" s="55">
        <f t="shared" si="40"/>
        <v>24323.184200000003</v>
      </c>
      <c r="ET11" s="55">
        <f t="shared" si="40"/>
        <v>23408.901800000003</v>
      </c>
      <c r="EU11" s="55">
        <f t="shared" si="40"/>
        <v>1314.1516350000002</v>
      </c>
      <c r="EV11" s="55">
        <f t="shared" si="40"/>
        <v>1416.7626560000001</v>
      </c>
      <c r="EW11" s="298">
        <f t="shared" si="41"/>
        <v>0.50957723071227179</v>
      </c>
      <c r="EX11" s="52"/>
      <c r="EY11" s="55">
        <f t="shared" si="42"/>
        <v>1314.1516350000002</v>
      </c>
      <c r="EZ11" s="55">
        <f t="shared" si="42"/>
        <v>1416.7626560000001</v>
      </c>
      <c r="FA11" s="55">
        <f t="shared" si="42"/>
        <v>1314.1516350000002</v>
      </c>
      <c r="FB11" s="55">
        <f t="shared" si="42"/>
        <v>1416.7626560000001</v>
      </c>
      <c r="FD11" s="52"/>
      <c r="FE11" s="52"/>
      <c r="FF11" s="52"/>
      <c r="FG11" s="55">
        <f t="shared" si="43"/>
        <v>16835.6567</v>
      </c>
      <c r="FH11" s="55">
        <f t="shared" si="43"/>
        <v>16085.0825</v>
      </c>
      <c r="FI11" s="55">
        <f t="shared" si="43"/>
        <v>893.21205280000004</v>
      </c>
      <c r="FJ11" s="55">
        <f t="shared" si="43"/>
        <v>801.13737399999991</v>
      </c>
      <c r="FK11" s="298">
        <f t="shared" si="44"/>
        <v>0.51139971668679907</v>
      </c>
      <c r="FL11" s="52"/>
      <c r="FM11" s="55">
        <f t="shared" si="45"/>
        <v>893.21205280000004</v>
      </c>
      <c r="FN11" s="55">
        <f t="shared" si="45"/>
        <v>801.13728279999987</v>
      </c>
      <c r="FO11" s="55">
        <f t="shared" si="45"/>
        <v>893.21205280000004</v>
      </c>
      <c r="FP11" s="55">
        <f t="shared" si="45"/>
        <v>801.13728279999987</v>
      </c>
      <c r="FR11" s="52"/>
      <c r="FS11" s="52"/>
      <c r="FT11" s="52"/>
      <c r="FU11" s="55">
        <f t="shared" si="46"/>
        <v>20072.6417</v>
      </c>
      <c r="FV11" s="55">
        <f t="shared" si="46"/>
        <v>19298.153400000003</v>
      </c>
      <c r="FW11" s="55">
        <f t="shared" si="46"/>
        <v>2.7808680000000003</v>
      </c>
      <c r="FX11" s="55">
        <f t="shared" si="46"/>
        <v>2.8098960000000002</v>
      </c>
      <c r="FY11" s="298">
        <f t="shared" si="47"/>
        <v>0.50983582244189929</v>
      </c>
      <c r="FZ11" s="52"/>
      <c r="GA11" s="55">
        <f t="shared" si="48"/>
        <v>2.7808680000000003</v>
      </c>
      <c r="GB11" s="55">
        <f t="shared" si="48"/>
        <v>2.8098960000000002</v>
      </c>
      <c r="GC11" s="55">
        <f t="shared" si="48"/>
        <v>2.7808680000000003</v>
      </c>
      <c r="GD11" s="55">
        <f t="shared" si="48"/>
        <v>2.8098960000000002</v>
      </c>
      <c r="GF11" s="52"/>
      <c r="GG11" s="52"/>
      <c r="GH11" s="52"/>
      <c r="GI11" s="55">
        <f t="shared" si="49"/>
        <v>10225.6633</v>
      </c>
      <c r="GJ11" s="55">
        <f t="shared" si="49"/>
        <v>9804.0017000000007</v>
      </c>
      <c r="GK11" s="56">
        <f t="shared" si="50"/>
        <v>112.63625699999994</v>
      </c>
      <c r="GL11" s="56">
        <f t="shared" si="50"/>
        <v>292.89505650000001</v>
      </c>
      <c r="GM11" s="298">
        <f t="shared" si="51"/>
        <v>0.51052592741815706</v>
      </c>
      <c r="GN11" s="52"/>
      <c r="GO11" s="56">
        <f t="shared" si="52"/>
        <v>112.63625699999994</v>
      </c>
      <c r="GP11" s="56">
        <f t="shared" si="52"/>
        <v>292.89505650000001</v>
      </c>
      <c r="GQ11" s="56">
        <f t="shared" si="52"/>
        <v>112.63625699999994</v>
      </c>
      <c r="GR11" s="56">
        <f t="shared" si="52"/>
        <v>292.89505650000001</v>
      </c>
    </row>
    <row r="12" spans="1:220" x14ac:dyDescent="0.2">
      <c r="A12" s="118">
        <v>2</v>
      </c>
      <c r="C12" s="128">
        <v>1.1073</v>
      </c>
      <c r="D12" s="128">
        <v>0.51180000000000003</v>
      </c>
      <c r="E12" s="128">
        <v>0</v>
      </c>
      <c r="F12" s="128">
        <v>7336.13</v>
      </c>
      <c r="G12" s="128">
        <v>7014.1225000000004</v>
      </c>
      <c r="H12" s="49">
        <f t="shared" si="29"/>
        <v>1108.8723659999998</v>
      </c>
      <c r="I12" s="49">
        <f t="shared" si="29"/>
        <v>971.19168000000002</v>
      </c>
      <c r="J12" s="47">
        <f t="shared" si="29"/>
        <v>0</v>
      </c>
      <c r="K12" s="47">
        <f t="shared" si="53"/>
        <v>0</v>
      </c>
      <c r="L12" s="48">
        <f t="shared" si="54"/>
        <v>1108.8723659999998</v>
      </c>
      <c r="M12" s="48">
        <f t="shared" si="55"/>
        <v>971.19168000000002</v>
      </c>
      <c r="N12" s="93">
        <f t="shared" si="56"/>
        <v>1108.8723659999998</v>
      </c>
      <c r="O12" s="93">
        <f t="shared" si="57"/>
        <v>971.19168000000002</v>
      </c>
      <c r="Q12" s="128">
        <v>1.2299</v>
      </c>
      <c r="R12" s="130">
        <v>0.57140000000000002</v>
      </c>
      <c r="S12" s="128">
        <v>0</v>
      </c>
      <c r="T12" s="128">
        <v>1056.4224999999999</v>
      </c>
      <c r="U12" s="128">
        <v>1016.3617</v>
      </c>
      <c r="V12" s="49">
        <f t="shared" si="30"/>
        <v>782.72065899999996</v>
      </c>
      <c r="W12" s="49">
        <f t="shared" si="30"/>
        <v>680.81738600000006</v>
      </c>
      <c r="X12" s="47">
        <f t="shared" si="30"/>
        <v>0</v>
      </c>
      <c r="Y12" s="47">
        <f t="shared" si="58"/>
        <v>0</v>
      </c>
      <c r="Z12" s="48">
        <f t="shared" si="59"/>
        <v>782.72065899999996</v>
      </c>
      <c r="AA12" s="48">
        <f t="shared" si="60"/>
        <v>680.81738600000006</v>
      </c>
      <c r="AB12" s="93">
        <f t="shared" si="61"/>
        <v>782.72065899999996</v>
      </c>
      <c r="AC12" s="93">
        <f t="shared" si="62"/>
        <v>680.81738600000006</v>
      </c>
      <c r="AE12" s="128">
        <v>0.70140000000000002</v>
      </c>
      <c r="AF12" s="130">
        <v>0.22409999999999999</v>
      </c>
      <c r="AG12" s="128">
        <v>0</v>
      </c>
      <c r="AH12" s="128">
        <v>61.377499999999998</v>
      </c>
      <c r="AI12" s="128">
        <v>56.0075</v>
      </c>
      <c r="AJ12" s="49">
        <f t="shared" si="31"/>
        <v>322.70011199999999</v>
      </c>
      <c r="AK12" s="49">
        <f t="shared" si="31"/>
        <v>235.468593</v>
      </c>
      <c r="AL12" s="47">
        <f t="shared" si="31"/>
        <v>0</v>
      </c>
      <c r="AM12" s="47">
        <f t="shared" si="63"/>
        <v>0</v>
      </c>
      <c r="AN12" s="48">
        <f t="shared" si="64"/>
        <v>322.70011199999999</v>
      </c>
      <c r="AO12" s="48">
        <f t="shared" si="65"/>
        <v>235.468593</v>
      </c>
      <c r="AP12" s="93">
        <f t="shared" si="66"/>
        <v>322.70011199999999</v>
      </c>
      <c r="AQ12" s="93">
        <f t="shared" si="67"/>
        <v>235.468593</v>
      </c>
      <c r="AS12" s="128">
        <v>1.0122</v>
      </c>
      <c r="AT12" s="130">
        <v>0.40670000000000001</v>
      </c>
      <c r="AU12" s="128">
        <v>0</v>
      </c>
      <c r="AV12" s="128">
        <v>7794.3882999999996</v>
      </c>
      <c r="AW12" s="128">
        <v>7396.6183000000001</v>
      </c>
      <c r="AX12" s="49">
        <f t="shared" si="32"/>
        <v>354.91780799999998</v>
      </c>
      <c r="AY12" s="49">
        <f t="shared" si="32"/>
        <v>286.71536600000002</v>
      </c>
      <c r="AZ12" s="47">
        <f t="shared" si="32"/>
        <v>0</v>
      </c>
      <c r="BA12" s="47">
        <f t="shared" si="68"/>
        <v>0</v>
      </c>
      <c r="BB12" s="48">
        <f t="shared" si="69"/>
        <v>354.91780799999998</v>
      </c>
      <c r="BC12" s="48">
        <f t="shared" si="70"/>
        <v>286.71536600000002</v>
      </c>
      <c r="BD12" s="93">
        <f t="shared" si="71"/>
        <v>354.91780799999998</v>
      </c>
      <c r="BE12" s="93">
        <f t="shared" si="72"/>
        <v>286.71536600000002</v>
      </c>
      <c r="BG12" s="128">
        <v>1.1074999999999999</v>
      </c>
      <c r="BH12" s="130">
        <v>0.43109999999999998</v>
      </c>
      <c r="BI12" s="128">
        <v>0</v>
      </c>
      <c r="BJ12" s="128">
        <v>4387.1633000000002</v>
      </c>
      <c r="BK12" s="128">
        <v>4217.5050000000001</v>
      </c>
      <c r="BL12" s="49">
        <f t="shared" si="33"/>
        <v>363.72514999999999</v>
      </c>
      <c r="BM12" s="49">
        <f t="shared" si="33"/>
        <v>260.67754799999994</v>
      </c>
      <c r="BN12" s="47">
        <f t="shared" si="33"/>
        <v>0</v>
      </c>
      <c r="BO12" s="47">
        <f t="shared" si="73"/>
        <v>0</v>
      </c>
      <c r="BP12" s="48">
        <f t="shared" si="74"/>
        <v>363.72514999999999</v>
      </c>
      <c r="BQ12" s="48">
        <f t="shared" si="75"/>
        <v>260.67754799999994</v>
      </c>
      <c r="BR12" s="93">
        <f t="shared" si="76"/>
        <v>363.72514999999999</v>
      </c>
      <c r="BS12" s="93">
        <f t="shared" si="77"/>
        <v>260.67754799999994</v>
      </c>
      <c r="BU12" s="128">
        <v>1.1598999999999999</v>
      </c>
      <c r="BV12" s="130">
        <v>0.52539999999999998</v>
      </c>
      <c r="BW12" s="128">
        <v>0</v>
      </c>
      <c r="BX12" s="128">
        <v>2102.9108000000001</v>
      </c>
      <c r="BY12" s="128">
        <v>2020.7708</v>
      </c>
      <c r="BZ12" s="49">
        <f t="shared" si="34"/>
        <v>281.39173999999997</v>
      </c>
      <c r="CA12" s="49">
        <f t="shared" si="34"/>
        <v>212.324648</v>
      </c>
      <c r="CB12" s="47">
        <f t="shared" si="34"/>
        <v>0</v>
      </c>
      <c r="CC12" s="47">
        <f t="shared" si="78"/>
        <v>0</v>
      </c>
      <c r="CD12" s="48">
        <f t="shared" si="79"/>
        <v>281.39173999999997</v>
      </c>
      <c r="CE12" s="48">
        <f t="shared" si="80"/>
        <v>212.324648</v>
      </c>
      <c r="CF12" s="93">
        <f t="shared" si="81"/>
        <v>281.39173999999997</v>
      </c>
      <c r="CG12" s="93">
        <f t="shared" si="82"/>
        <v>212.324648</v>
      </c>
      <c r="CI12" s="128">
        <v>7.3400000000000007E-2</v>
      </c>
      <c r="CJ12" s="130">
        <v>4.6699999999999998E-2</v>
      </c>
      <c r="CK12" s="128">
        <v>0</v>
      </c>
      <c r="CL12" s="128">
        <v>14584.8408</v>
      </c>
      <c r="CM12" s="128">
        <v>13901.9292</v>
      </c>
      <c r="CN12" s="49">
        <f t="shared" si="35"/>
        <v>15.581352000000001</v>
      </c>
      <c r="CO12" s="49">
        <f t="shared" si="35"/>
        <v>12.864916000000001</v>
      </c>
      <c r="CP12" s="47">
        <f t="shared" si="35"/>
        <v>0</v>
      </c>
      <c r="CQ12" s="47">
        <f t="shared" si="83"/>
        <v>0</v>
      </c>
      <c r="CR12" s="48">
        <f t="shared" si="84"/>
        <v>15.581352000000001</v>
      </c>
      <c r="CS12" s="48">
        <f t="shared" si="85"/>
        <v>12.864916000000001</v>
      </c>
      <c r="CT12" s="93">
        <f t="shared" si="86"/>
        <v>15.581352000000001</v>
      </c>
      <c r="CU12" s="93">
        <f t="shared" si="87"/>
        <v>12.864916000000001</v>
      </c>
      <c r="CW12" s="128">
        <v>0</v>
      </c>
      <c r="CX12" s="130">
        <v>0</v>
      </c>
      <c r="CY12" s="128">
        <v>0</v>
      </c>
      <c r="CZ12" s="128">
        <v>6727.3917000000001</v>
      </c>
      <c r="DA12" s="128">
        <v>6230.94</v>
      </c>
      <c r="DB12" s="49">
        <f t="shared" si="36"/>
        <v>0</v>
      </c>
      <c r="DC12" s="49">
        <f t="shared" si="36"/>
        <v>0</v>
      </c>
      <c r="DD12" s="47">
        <f t="shared" si="36"/>
        <v>0</v>
      </c>
      <c r="DE12" s="47">
        <f t="shared" si="88"/>
        <v>0</v>
      </c>
      <c r="DF12" s="48">
        <f t="shared" si="89"/>
        <v>0</v>
      </c>
      <c r="DG12" s="48">
        <f t="shared" si="90"/>
        <v>0</v>
      </c>
      <c r="DH12" s="93">
        <f t="shared" si="91"/>
        <v>0</v>
      </c>
      <c r="DI12" s="93">
        <f t="shared" si="92"/>
        <v>0</v>
      </c>
      <c r="DK12" s="128">
        <v>7.4999999999999997E-3</v>
      </c>
      <c r="DL12" s="130">
        <v>0</v>
      </c>
      <c r="DM12" s="128">
        <v>1E-4</v>
      </c>
      <c r="DN12" s="128">
        <v>1274.8082999999999</v>
      </c>
      <c r="DO12" s="128">
        <v>1269.4942000000001</v>
      </c>
      <c r="DP12" s="49">
        <f t="shared" si="37"/>
        <v>0.99270000000000003</v>
      </c>
      <c r="DQ12" s="49">
        <f t="shared" si="37"/>
        <v>0</v>
      </c>
      <c r="DR12" s="47">
        <f t="shared" si="37"/>
        <v>1.9000000000000001E-5</v>
      </c>
      <c r="DS12" s="47">
        <f t="shared" si="93"/>
        <v>0</v>
      </c>
      <c r="DT12" s="48">
        <f t="shared" si="94"/>
        <v>0.99270000000000003</v>
      </c>
      <c r="DU12" s="48">
        <f t="shared" si="95"/>
        <v>-1.9000000000000001E-5</v>
      </c>
      <c r="DV12" s="93">
        <f t="shared" si="96"/>
        <v>0.99270000000000003</v>
      </c>
      <c r="DW12" s="93">
        <f t="shared" si="97"/>
        <v>-1.9000000000000001E-5</v>
      </c>
      <c r="EB12" s="52"/>
      <c r="EC12" s="52"/>
      <c r="ED12" s="52"/>
      <c r="EE12" s="55">
        <f t="shared" si="98"/>
        <v>36442.750800000002</v>
      </c>
      <c r="EF12" s="55">
        <f t="shared" si="98"/>
        <v>34543.61</v>
      </c>
      <c r="EG12" s="55">
        <f t="shared" si="98"/>
        <v>1479.3715259999997</v>
      </c>
      <c r="EH12" s="55">
        <f t="shared" si="98"/>
        <v>1270.771962</v>
      </c>
      <c r="EI12" s="298">
        <f t="shared" si="38"/>
        <v>0.51337680068816827</v>
      </c>
      <c r="EJ12" s="52"/>
      <c r="EK12" s="55">
        <f t="shared" si="99"/>
        <v>1479.3715259999997</v>
      </c>
      <c r="EL12" s="55">
        <f t="shared" si="99"/>
        <v>1270.771962</v>
      </c>
      <c r="EM12" s="55">
        <f t="shared" si="39"/>
        <v>1479.3715259999997</v>
      </c>
      <c r="EN12" s="55">
        <f t="shared" si="39"/>
        <v>1270.771962</v>
      </c>
      <c r="EP12" s="52"/>
      <c r="EQ12" s="52"/>
      <c r="ER12" s="52"/>
      <c r="ES12" s="55">
        <f t="shared" si="40"/>
        <v>26755.818299999999</v>
      </c>
      <c r="ET12" s="55">
        <f t="shared" si="40"/>
        <v>25366.7359</v>
      </c>
      <c r="EU12" s="55">
        <f t="shared" si="40"/>
        <v>1162.0271609999998</v>
      </c>
      <c r="EV12" s="55">
        <f t="shared" si="40"/>
        <v>954.35985000000005</v>
      </c>
      <c r="EW12" s="298">
        <f t="shared" si="41"/>
        <v>0.51332515665550404</v>
      </c>
      <c r="EX12" s="52"/>
      <c r="EY12" s="55">
        <f t="shared" si="42"/>
        <v>1162.0271609999998</v>
      </c>
      <c r="EZ12" s="55">
        <f t="shared" si="42"/>
        <v>954.35985000000005</v>
      </c>
      <c r="FA12" s="55">
        <f t="shared" si="42"/>
        <v>1162.0271609999998</v>
      </c>
      <c r="FB12" s="55">
        <f t="shared" si="42"/>
        <v>954.35985000000005</v>
      </c>
      <c r="FD12" s="52"/>
      <c r="FE12" s="52"/>
      <c r="FF12" s="52"/>
      <c r="FG12" s="55">
        <f t="shared" si="43"/>
        <v>18023.937399999999</v>
      </c>
      <c r="FH12" s="55">
        <f t="shared" si="43"/>
        <v>17248.201700000001</v>
      </c>
      <c r="FI12" s="55">
        <f t="shared" si="43"/>
        <v>620.26882400000011</v>
      </c>
      <c r="FJ12" s="55">
        <f t="shared" si="43"/>
        <v>460.65815699999996</v>
      </c>
      <c r="FK12" s="298">
        <f t="shared" si="44"/>
        <v>0.51099643684496576</v>
      </c>
      <c r="FL12" s="52"/>
      <c r="FM12" s="55">
        <f t="shared" si="45"/>
        <v>620.26882400000011</v>
      </c>
      <c r="FN12" s="55">
        <f t="shared" si="45"/>
        <v>460.65814559999995</v>
      </c>
      <c r="FO12" s="55">
        <f t="shared" si="45"/>
        <v>620.26882400000011</v>
      </c>
      <c r="FP12" s="55">
        <f t="shared" si="45"/>
        <v>460.65814559999995</v>
      </c>
      <c r="FR12" s="52"/>
      <c r="FS12" s="52"/>
      <c r="FT12" s="52"/>
      <c r="FU12" s="55">
        <f t="shared" si="46"/>
        <v>21312.232499999998</v>
      </c>
      <c r="FV12" s="55">
        <f t="shared" si="46"/>
        <v>20132.869200000001</v>
      </c>
      <c r="FW12" s="55">
        <f t="shared" si="46"/>
        <v>15.581352000000001</v>
      </c>
      <c r="FX12" s="55">
        <f t="shared" si="46"/>
        <v>12.864916000000001</v>
      </c>
      <c r="FY12" s="298">
        <f t="shared" si="47"/>
        <v>0.51422801792762884</v>
      </c>
      <c r="FZ12" s="52"/>
      <c r="GA12" s="55">
        <f t="shared" si="48"/>
        <v>15.581352000000001</v>
      </c>
      <c r="GB12" s="55">
        <f t="shared" si="48"/>
        <v>12.864916000000001</v>
      </c>
      <c r="GC12" s="55">
        <f t="shared" si="48"/>
        <v>15.581352000000001</v>
      </c>
      <c r="GD12" s="55">
        <f t="shared" si="48"/>
        <v>12.864916000000001</v>
      </c>
      <c r="GF12" s="52"/>
      <c r="GG12" s="52"/>
      <c r="GH12" s="52"/>
      <c r="GI12" s="55">
        <f t="shared" si="49"/>
        <v>9897.2991000000002</v>
      </c>
      <c r="GJ12" s="55">
        <f t="shared" si="49"/>
        <v>9417.3891000000003</v>
      </c>
      <c r="GK12" s="56">
        <f t="shared" si="50"/>
        <v>55.144551000000007</v>
      </c>
      <c r="GL12" s="56">
        <f t="shared" si="50"/>
        <v>55.793038500000016</v>
      </c>
      <c r="GM12" s="298">
        <f t="shared" si="51"/>
        <v>0.51242344673210927</v>
      </c>
      <c r="GN12" s="52"/>
      <c r="GO12" s="56">
        <f t="shared" si="52"/>
        <v>55.144551000000007</v>
      </c>
      <c r="GP12" s="56">
        <f t="shared" si="52"/>
        <v>55.793038500000016</v>
      </c>
      <c r="GQ12" s="56">
        <f t="shared" si="52"/>
        <v>55.144551000000007</v>
      </c>
      <c r="GR12" s="56">
        <f t="shared" si="52"/>
        <v>55.793038500000016</v>
      </c>
    </row>
    <row r="13" spans="1:220" x14ac:dyDescent="0.2">
      <c r="A13" s="118">
        <v>3</v>
      </c>
      <c r="C13" s="128">
        <v>1.0294000000000001</v>
      </c>
      <c r="D13" s="128">
        <v>0.44159999999999999</v>
      </c>
      <c r="E13" s="128">
        <v>0</v>
      </c>
      <c r="F13" s="128">
        <v>7497.0258000000003</v>
      </c>
      <c r="G13" s="128">
        <v>7152.8132999999998</v>
      </c>
      <c r="H13" s="49">
        <f t="shared" si="29"/>
        <v>1030.861748</v>
      </c>
      <c r="I13" s="49">
        <f t="shared" si="29"/>
        <v>837.98015999999996</v>
      </c>
      <c r="J13" s="47">
        <f t="shared" si="29"/>
        <v>0</v>
      </c>
      <c r="K13" s="47">
        <f t="shared" si="53"/>
        <v>0</v>
      </c>
      <c r="L13" s="48">
        <f t="shared" si="54"/>
        <v>1030.861748</v>
      </c>
      <c r="M13" s="48">
        <f t="shared" si="55"/>
        <v>837.98015999999996</v>
      </c>
      <c r="N13" s="93">
        <f t="shared" si="56"/>
        <v>1030.861748</v>
      </c>
      <c r="O13" s="93">
        <f t="shared" si="57"/>
        <v>837.98015999999996</v>
      </c>
      <c r="Q13" s="128">
        <v>1.1480999999999999</v>
      </c>
      <c r="R13" s="130">
        <v>0.49809999999999999</v>
      </c>
      <c r="S13" s="128">
        <v>0</v>
      </c>
      <c r="T13" s="128">
        <v>1096.9833000000001</v>
      </c>
      <c r="U13" s="128">
        <v>1063.8308</v>
      </c>
      <c r="V13" s="49">
        <f t="shared" si="30"/>
        <v>730.66232099999991</v>
      </c>
      <c r="W13" s="49">
        <f t="shared" si="30"/>
        <v>593.48116900000002</v>
      </c>
      <c r="X13" s="47">
        <f t="shared" si="30"/>
        <v>0</v>
      </c>
      <c r="Y13" s="47">
        <f t="shared" si="58"/>
        <v>0</v>
      </c>
      <c r="Z13" s="48">
        <f t="shared" si="59"/>
        <v>730.66232099999991</v>
      </c>
      <c r="AA13" s="48">
        <f t="shared" si="60"/>
        <v>593.48116900000002</v>
      </c>
      <c r="AB13" s="93">
        <f t="shared" si="61"/>
        <v>730.66232099999991</v>
      </c>
      <c r="AC13" s="93">
        <f t="shared" si="62"/>
        <v>593.48116900000002</v>
      </c>
      <c r="AE13" s="128">
        <v>0.6875</v>
      </c>
      <c r="AF13" s="130">
        <v>0.1961</v>
      </c>
      <c r="AG13" s="128">
        <v>0</v>
      </c>
      <c r="AH13" s="128">
        <v>52.549199999999999</v>
      </c>
      <c r="AI13" s="128">
        <v>60.5458</v>
      </c>
      <c r="AJ13" s="49">
        <f t="shared" si="31"/>
        <v>316.30500000000001</v>
      </c>
      <c r="AK13" s="49">
        <f t="shared" si="31"/>
        <v>206.04815300000001</v>
      </c>
      <c r="AL13" s="47">
        <f t="shared" si="31"/>
        <v>0</v>
      </c>
      <c r="AM13" s="47">
        <f t="shared" si="63"/>
        <v>0</v>
      </c>
      <c r="AN13" s="48">
        <f t="shared" si="64"/>
        <v>316.30500000000001</v>
      </c>
      <c r="AO13" s="48">
        <f t="shared" si="65"/>
        <v>206.04815300000001</v>
      </c>
      <c r="AP13" s="93">
        <f t="shared" si="66"/>
        <v>316.30500000000001</v>
      </c>
      <c r="AQ13" s="93">
        <f t="shared" si="67"/>
        <v>206.04815300000001</v>
      </c>
      <c r="AS13" s="128">
        <v>0.78080000000000005</v>
      </c>
      <c r="AT13" s="130">
        <v>0.32869999999999999</v>
      </c>
      <c r="AU13" s="128">
        <v>0</v>
      </c>
      <c r="AV13" s="128">
        <v>8006.0357999999997</v>
      </c>
      <c r="AW13" s="128">
        <v>7580.3975</v>
      </c>
      <c r="AX13" s="49">
        <f t="shared" si="32"/>
        <v>273.77971200000002</v>
      </c>
      <c r="AY13" s="49">
        <f t="shared" si="32"/>
        <v>231.72692599999999</v>
      </c>
      <c r="AZ13" s="47">
        <f t="shared" si="32"/>
        <v>0</v>
      </c>
      <c r="BA13" s="47">
        <f t="shared" si="68"/>
        <v>0</v>
      </c>
      <c r="BB13" s="48">
        <f t="shared" si="69"/>
        <v>273.77971200000002</v>
      </c>
      <c r="BC13" s="48">
        <f t="shared" si="70"/>
        <v>231.72692599999999</v>
      </c>
      <c r="BD13" s="93">
        <f t="shared" si="71"/>
        <v>273.77971200000002</v>
      </c>
      <c r="BE13" s="93">
        <f t="shared" si="72"/>
        <v>231.72692599999999</v>
      </c>
      <c r="BG13" s="128">
        <v>0.84599999999999997</v>
      </c>
      <c r="BH13" s="130">
        <v>0.33810000000000001</v>
      </c>
      <c r="BI13" s="128">
        <v>0</v>
      </c>
      <c r="BJ13" s="128">
        <v>4264.8366999999998</v>
      </c>
      <c r="BK13" s="128">
        <v>4040.0032999999999</v>
      </c>
      <c r="BL13" s="49">
        <f t="shared" si="33"/>
        <v>277.84332000000001</v>
      </c>
      <c r="BM13" s="49">
        <f t="shared" si="33"/>
        <v>204.442308</v>
      </c>
      <c r="BN13" s="47">
        <f t="shared" si="33"/>
        <v>0</v>
      </c>
      <c r="BO13" s="47">
        <f t="shared" si="73"/>
        <v>0</v>
      </c>
      <c r="BP13" s="48">
        <f t="shared" si="74"/>
        <v>277.84332000000001</v>
      </c>
      <c r="BQ13" s="48">
        <f t="shared" si="75"/>
        <v>204.442308</v>
      </c>
      <c r="BR13" s="93">
        <f t="shared" si="76"/>
        <v>277.84332000000001</v>
      </c>
      <c r="BS13" s="93">
        <f t="shared" si="77"/>
        <v>204.442308</v>
      </c>
      <c r="BU13" s="128">
        <v>0.80920000000000003</v>
      </c>
      <c r="BV13" s="130">
        <v>0.31019999999999998</v>
      </c>
      <c r="BW13" s="128">
        <v>0</v>
      </c>
      <c r="BX13" s="128">
        <v>2040.3916999999999</v>
      </c>
      <c r="BY13" s="128">
        <v>1970.49</v>
      </c>
      <c r="BZ13" s="49">
        <f t="shared" si="34"/>
        <v>196.31192000000001</v>
      </c>
      <c r="CA13" s="49">
        <f t="shared" si="34"/>
        <v>125.35802399999999</v>
      </c>
      <c r="CB13" s="47">
        <f t="shared" si="34"/>
        <v>0</v>
      </c>
      <c r="CC13" s="47">
        <f t="shared" si="78"/>
        <v>0</v>
      </c>
      <c r="CD13" s="48">
        <f t="shared" si="79"/>
        <v>196.31192000000001</v>
      </c>
      <c r="CE13" s="48">
        <f t="shared" si="80"/>
        <v>125.35802399999999</v>
      </c>
      <c r="CF13" s="93">
        <f t="shared" si="81"/>
        <v>196.31192000000001</v>
      </c>
      <c r="CG13" s="93">
        <f t="shared" si="82"/>
        <v>125.35802399999999</v>
      </c>
      <c r="CI13" s="128">
        <v>0.15559999999999999</v>
      </c>
      <c r="CJ13" s="130">
        <v>0.1042</v>
      </c>
      <c r="CK13" s="128">
        <v>0</v>
      </c>
      <c r="CL13" s="128">
        <v>14639.43</v>
      </c>
      <c r="CM13" s="128">
        <v>13888.557500000001</v>
      </c>
      <c r="CN13" s="49">
        <f t="shared" si="35"/>
        <v>33.030767999999995</v>
      </c>
      <c r="CO13" s="49">
        <f t="shared" si="35"/>
        <v>28.705016000000001</v>
      </c>
      <c r="CP13" s="47">
        <f t="shared" si="35"/>
        <v>0</v>
      </c>
      <c r="CQ13" s="47">
        <f t="shared" si="83"/>
        <v>0</v>
      </c>
      <c r="CR13" s="48">
        <f t="shared" si="84"/>
        <v>33.030767999999995</v>
      </c>
      <c r="CS13" s="48">
        <f t="shared" si="85"/>
        <v>28.705016000000001</v>
      </c>
      <c r="CT13" s="93">
        <f t="shared" si="86"/>
        <v>33.030767999999995</v>
      </c>
      <c r="CU13" s="93">
        <f t="shared" si="87"/>
        <v>28.705016000000001</v>
      </c>
      <c r="CW13" s="128">
        <v>0</v>
      </c>
      <c r="CX13" s="130">
        <v>0</v>
      </c>
      <c r="CY13" s="128">
        <v>0</v>
      </c>
      <c r="CZ13" s="128">
        <v>6693.5974999999999</v>
      </c>
      <c r="DA13" s="128">
        <v>6374.3032999999996</v>
      </c>
      <c r="DB13" s="49">
        <f t="shared" si="36"/>
        <v>0</v>
      </c>
      <c r="DC13" s="49">
        <f t="shared" si="36"/>
        <v>0</v>
      </c>
      <c r="DD13" s="47">
        <f t="shared" si="36"/>
        <v>0</v>
      </c>
      <c r="DE13" s="47">
        <f t="shared" si="88"/>
        <v>0</v>
      </c>
      <c r="DF13" s="48">
        <f t="shared" si="89"/>
        <v>0</v>
      </c>
      <c r="DG13" s="48">
        <f t="shared" si="90"/>
        <v>0</v>
      </c>
      <c r="DH13" s="93">
        <f t="shared" si="91"/>
        <v>0</v>
      </c>
      <c r="DI13" s="93">
        <f t="shared" si="92"/>
        <v>0</v>
      </c>
      <c r="DK13" s="128">
        <v>1.3899999999999999E-2</v>
      </c>
      <c r="DL13" s="130">
        <v>1E-4</v>
      </c>
      <c r="DM13" s="128">
        <v>0</v>
      </c>
      <c r="DN13" s="128">
        <v>1480.1641999999999</v>
      </c>
      <c r="DO13" s="128">
        <v>1383.7958000000001</v>
      </c>
      <c r="DP13" s="49">
        <f t="shared" si="37"/>
        <v>1.839804</v>
      </c>
      <c r="DQ13" s="49">
        <f t="shared" si="37"/>
        <v>1.9363000000000002E-2</v>
      </c>
      <c r="DR13" s="47">
        <f t="shared" si="37"/>
        <v>0</v>
      </c>
      <c r="DS13" s="47">
        <f t="shared" si="93"/>
        <v>0</v>
      </c>
      <c r="DT13" s="48">
        <f t="shared" si="94"/>
        <v>1.839804</v>
      </c>
      <c r="DU13" s="48">
        <f t="shared" si="95"/>
        <v>1.9363000000000002E-2</v>
      </c>
      <c r="DV13" s="93">
        <f t="shared" si="96"/>
        <v>1.839804</v>
      </c>
      <c r="DW13" s="93">
        <f t="shared" si="97"/>
        <v>1.9363000000000002E-2</v>
      </c>
      <c r="EB13" s="52"/>
      <c r="EC13" s="52"/>
      <c r="ED13" s="52"/>
      <c r="EE13" s="55">
        <f t="shared" si="98"/>
        <v>36836.089099999997</v>
      </c>
      <c r="EF13" s="55">
        <f t="shared" si="98"/>
        <v>34996.071600000003</v>
      </c>
      <c r="EG13" s="55">
        <f t="shared" si="98"/>
        <v>1337.6722280000001</v>
      </c>
      <c r="EH13" s="55">
        <f t="shared" si="98"/>
        <v>1098.4121019999998</v>
      </c>
      <c r="EI13" s="298">
        <f t="shared" si="38"/>
        <v>0.51280775548214841</v>
      </c>
      <c r="EJ13" s="52"/>
      <c r="EK13" s="55">
        <f t="shared" si="99"/>
        <v>1337.6722280000001</v>
      </c>
      <c r="EL13" s="55">
        <f t="shared" si="99"/>
        <v>1098.4121019999998</v>
      </c>
      <c r="EM13" s="55">
        <f t="shared" si="39"/>
        <v>1337.6722280000001</v>
      </c>
      <c r="EN13" s="55">
        <f t="shared" si="39"/>
        <v>1098.4121019999998</v>
      </c>
      <c r="EP13" s="52"/>
      <c r="EQ13" s="52"/>
      <c r="ER13" s="52"/>
      <c r="ES13" s="55">
        <f t="shared" si="40"/>
        <v>26694.8475</v>
      </c>
      <c r="ET13" s="55">
        <f t="shared" si="40"/>
        <v>25366.694900000002</v>
      </c>
      <c r="EU13" s="55">
        <f t="shared" si="40"/>
        <v>1041.536409</v>
      </c>
      <c r="EV13" s="55">
        <f t="shared" si="40"/>
        <v>826.62849300000005</v>
      </c>
      <c r="EW13" s="298">
        <f t="shared" si="41"/>
        <v>0.51275560172416246</v>
      </c>
      <c r="EX13" s="52"/>
      <c r="EY13" s="55">
        <f t="shared" si="42"/>
        <v>1041.536409</v>
      </c>
      <c r="EZ13" s="55">
        <f t="shared" si="42"/>
        <v>826.62849300000005</v>
      </c>
      <c r="FA13" s="55">
        <f t="shared" si="42"/>
        <v>1041.536409</v>
      </c>
      <c r="FB13" s="55">
        <f t="shared" si="42"/>
        <v>826.62849300000005</v>
      </c>
      <c r="FD13" s="52"/>
      <c r="FE13" s="52"/>
      <c r="FF13" s="52"/>
      <c r="FG13" s="55">
        <f t="shared" si="43"/>
        <v>18212.535100000001</v>
      </c>
      <c r="FH13" s="55">
        <f t="shared" si="43"/>
        <v>17303.3891</v>
      </c>
      <c r="FI13" s="55">
        <f t="shared" si="43"/>
        <v>546.75157039999999</v>
      </c>
      <c r="FJ13" s="55">
        <f t="shared" si="43"/>
        <v>360.12281080000002</v>
      </c>
      <c r="FK13" s="298">
        <f t="shared" si="44"/>
        <v>0.51279913194543869</v>
      </c>
      <c r="FL13" s="52"/>
      <c r="FM13" s="55">
        <f t="shared" si="45"/>
        <v>546.75157039999999</v>
      </c>
      <c r="FN13" s="55">
        <f t="shared" si="45"/>
        <v>360.12281080000002</v>
      </c>
      <c r="FO13" s="55">
        <f t="shared" si="45"/>
        <v>546.75157039999999</v>
      </c>
      <c r="FP13" s="55">
        <f t="shared" si="45"/>
        <v>360.12281080000002</v>
      </c>
      <c r="FR13" s="52"/>
      <c r="FS13" s="52"/>
      <c r="FT13" s="52"/>
      <c r="FU13" s="55">
        <f t="shared" si="46"/>
        <v>21333.0275</v>
      </c>
      <c r="FV13" s="55">
        <f t="shared" si="46"/>
        <v>20262.860800000002</v>
      </c>
      <c r="FW13" s="55">
        <f t="shared" si="46"/>
        <v>33.030767999999995</v>
      </c>
      <c r="FX13" s="55">
        <f t="shared" si="46"/>
        <v>28.705016000000001</v>
      </c>
      <c r="FY13" s="298">
        <f t="shared" si="47"/>
        <v>0.51286385197836959</v>
      </c>
      <c r="FZ13" s="52"/>
      <c r="GA13" s="55">
        <f t="shared" si="48"/>
        <v>33.030767999999995</v>
      </c>
      <c r="GB13" s="55">
        <f t="shared" si="48"/>
        <v>28.705016000000001</v>
      </c>
      <c r="GC13" s="55">
        <f t="shared" si="48"/>
        <v>33.030767999999995</v>
      </c>
      <c r="GD13" s="55">
        <f t="shared" si="48"/>
        <v>28.705016000000001</v>
      </c>
      <c r="GF13" s="52"/>
      <c r="GG13" s="52"/>
      <c r="GH13" s="52"/>
      <c r="GI13" s="55">
        <f t="shared" si="49"/>
        <v>10046.4275</v>
      </c>
      <c r="GJ13" s="55">
        <f t="shared" si="49"/>
        <v>9550.8875000000007</v>
      </c>
      <c r="GK13" s="56">
        <f t="shared" si="50"/>
        <v>58.100844000000002</v>
      </c>
      <c r="GL13" s="56">
        <f t="shared" si="50"/>
        <v>79.776676500000008</v>
      </c>
      <c r="GM13" s="298">
        <f t="shared" si="51"/>
        <v>0.51264305850061598</v>
      </c>
      <c r="GN13" s="52"/>
      <c r="GO13" s="56">
        <f t="shared" si="52"/>
        <v>58.100844000000002</v>
      </c>
      <c r="GP13" s="56">
        <f t="shared" si="52"/>
        <v>79.776676500000008</v>
      </c>
      <c r="GQ13" s="56">
        <f t="shared" si="52"/>
        <v>58.100844000000002</v>
      </c>
      <c r="GR13" s="56">
        <f t="shared" si="52"/>
        <v>79.776676500000008</v>
      </c>
    </row>
    <row r="14" spans="1:220" x14ac:dyDescent="0.2">
      <c r="A14" s="118">
        <v>4</v>
      </c>
      <c r="C14" s="128">
        <v>0.96120000000000005</v>
      </c>
      <c r="D14" s="128">
        <v>0.38650000000000001</v>
      </c>
      <c r="E14" s="128">
        <v>0</v>
      </c>
      <c r="F14" s="128">
        <v>8329.6841999999997</v>
      </c>
      <c r="G14" s="128">
        <v>8038.5757999999996</v>
      </c>
      <c r="H14" s="49">
        <f t="shared" si="29"/>
        <v>962.56490400000007</v>
      </c>
      <c r="I14" s="49">
        <f t="shared" si="29"/>
        <v>733.42240000000004</v>
      </c>
      <c r="J14" s="47">
        <f t="shared" si="29"/>
        <v>0</v>
      </c>
      <c r="K14" s="47">
        <f t="shared" si="53"/>
        <v>0</v>
      </c>
      <c r="L14" s="48">
        <f t="shared" si="54"/>
        <v>962.56490400000007</v>
      </c>
      <c r="M14" s="48">
        <f t="shared" si="55"/>
        <v>733.42240000000004</v>
      </c>
      <c r="N14" s="93">
        <f t="shared" si="56"/>
        <v>962.56490400000007</v>
      </c>
      <c r="O14" s="93">
        <f t="shared" si="57"/>
        <v>733.42240000000004</v>
      </c>
      <c r="Q14" s="128">
        <v>1.0801000000000001</v>
      </c>
      <c r="R14" s="130">
        <v>0.43819999999999998</v>
      </c>
      <c r="S14" s="128">
        <v>0</v>
      </c>
      <c r="T14" s="128">
        <v>1326.6067</v>
      </c>
      <c r="U14" s="128">
        <v>1274.9957999999999</v>
      </c>
      <c r="V14" s="49">
        <f t="shared" si="30"/>
        <v>687.38644099999999</v>
      </c>
      <c r="W14" s="49">
        <f t="shared" si="30"/>
        <v>522.11091799999997</v>
      </c>
      <c r="X14" s="47">
        <f t="shared" si="30"/>
        <v>0</v>
      </c>
      <c r="Y14" s="47">
        <f t="shared" si="58"/>
        <v>0</v>
      </c>
      <c r="Z14" s="48">
        <f t="shared" si="59"/>
        <v>687.38644099999999</v>
      </c>
      <c r="AA14" s="48">
        <f t="shared" si="60"/>
        <v>522.11091799999997</v>
      </c>
      <c r="AB14" s="93">
        <f t="shared" si="61"/>
        <v>687.38644099999999</v>
      </c>
      <c r="AC14" s="93">
        <f t="shared" si="62"/>
        <v>522.11091799999997</v>
      </c>
      <c r="AE14" s="128">
        <v>0.67789999999999995</v>
      </c>
      <c r="AF14" s="130">
        <v>0.17180000000000001</v>
      </c>
      <c r="AG14" s="128">
        <v>0</v>
      </c>
      <c r="AH14" s="128">
        <v>84.968299999999999</v>
      </c>
      <c r="AI14" s="128">
        <v>65.968299999999999</v>
      </c>
      <c r="AJ14" s="49">
        <f t="shared" si="31"/>
        <v>311.88823199999996</v>
      </c>
      <c r="AK14" s="49">
        <f t="shared" si="31"/>
        <v>180.51541400000002</v>
      </c>
      <c r="AL14" s="47">
        <f t="shared" si="31"/>
        <v>0</v>
      </c>
      <c r="AM14" s="47">
        <f t="shared" si="63"/>
        <v>0</v>
      </c>
      <c r="AN14" s="48">
        <f t="shared" si="64"/>
        <v>311.88823199999996</v>
      </c>
      <c r="AO14" s="48">
        <f t="shared" si="65"/>
        <v>180.51541400000002</v>
      </c>
      <c r="AP14" s="93">
        <f t="shared" si="66"/>
        <v>311.88823199999996</v>
      </c>
      <c r="AQ14" s="93">
        <f t="shared" si="67"/>
        <v>180.51541400000002</v>
      </c>
      <c r="AS14" s="128">
        <v>0.63619999999999999</v>
      </c>
      <c r="AT14" s="130">
        <v>0.27200000000000002</v>
      </c>
      <c r="AU14" s="128">
        <v>0</v>
      </c>
      <c r="AV14" s="128">
        <v>8912.5125000000007</v>
      </c>
      <c r="AW14" s="128">
        <v>8473.2000000000007</v>
      </c>
      <c r="AX14" s="49">
        <f t="shared" si="32"/>
        <v>223.077168</v>
      </c>
      <c r="AY14" s="49">
        <f t="shared" si="32"/>
        <v>191.75456000000003</v>
      </c>
      <c r="AZ14" s="47">
        <f t="shared" si="32"/>
        <v>0</v>
      </c>
      <c r="BA14" s="47">
        <f t="shared" si="68"/>
        <v>0</v>
      </c>
      <c r="BB14" s="48">
        <f t="shared" si="69"/>
        <v>223.077168</v>
      </c>
      <c r="BC14" s="48">
        <f t="shared" si="70"/>
        <v>191.75456000000003</v>
      </c>
      <c r="BD14" s="93">
        <f t="shared" si="71"/>
        <v>223.077168</v>
      </c>
      <c r="BE14" s="93">
        <f t="shared" si="72"/>
        <v>191.75456000000003</v>
      </c>
      <c r="BG14" s="128">
        <v>0.66510000000000002</v>
      </c>
      <c r="BH14" s="130">
        <v>0.27050000000000002</v>
      </c>
      <c r="BI14" s="128">
        <v>0</v>
      </c>
      <c r="BJ14" s="128">
        <v>4553.6742000000004</v>
      </c>
      <c r="BK14" s="128">
        <v>4497.0757999999996</v>
      </c>
      <c r="BL14" s="49">
        <f t="shared" si="33"/>
        <v>218.43214200000003</v>
      </c>
      <c r="BM14" s="49">
        <f t="shared" si="33"/>
        <v>163.56593999999998</v>
      </c>
      <c r="BN14" s="47">
        <f t="shared" si="33"/>
        <v>0</v>
      </c>
      <c r="BO14" s="47">
        <f t="shared" si="73"/>
        <v>0</v>
      </c>
      <c r="BP14" s="48">
        <f t="shared" si="74"/>
        <v>218.43214200000003</v>
      </c>
      <c r="BQ14" s="48">
        <f t="shared" si="75"/>
        <v>163.56593999999998</v>
      </c>
      <c r="BR14" s="93">
        <f t="shared" si="76"/>
        <v>218.43214200000003</v>
      </c>
      <c r="BS14" s="93">
        <f t="shared" si="77"/>
        <v>163.56593999999998</v>
      </c>
      <c r="BU14" s="128">
        <v>0.72729999999999995</v>
      </c>
      <c r="BV14" s="130">
        <v>0.29609999999999997</v>
      </c>
      <c r="BW14" s="128">
        <v>0</v>
      </c>
      <c r="BX14" s="128">
        <v>2325.0100000000002</v>
      </c>
      <c r="BY14" s="128">
        <v>2256.3933000000002</v>
      </c>
      <c r="BZ14" s="49">
        <f t="shared" si="34"/>
        <v>176.44297999999998</v>
      </c>
      <c r="CA14" s="49">
        <f t="shared" si="34"/>
        <v>119.659932</v>
      </c>
      <c r="CB14" s="47">
        <f t="shared" si="34"/>
        <v>0</v>
      </c>
      <c r="CC14" s="47">
        <f t="shared" si="78"/>
        <v>0</v>
      </c>
      <c r="CD14" s="48">
        <f t="shared" si="79"/>
        <v>176.44297999999998</v>
      </c>
      <c r="CE14" s="48">
        <f t="shared" si="80"/>
        <v>119.659932</v>
      </c>
      <c r="CF14" s="93">
        <f t="shared" si="81"/>
        <v>176.44297999999998</v>
      </c>
      <c r="CG14" s="93">
        <f t="shared" si="82"/>
        <v>119.659932</v>
      </c>
      <c r="CI14" s="128">
        <v>0.25629999999999997</v>
      </c>
      <c r="CJ14" s="130">
        <v>0.18010000000000001</v>
      </c>
      <c r="CK14" s="128">
        <v>0</v>
      </c>
      <c r="CL14" s="128">
        <v>16118.5942</v>
      </c>
      <c r="CM14" s="128">
        <v>15545.9192</v>
      </c>
      <c r="CN14" s="49">
        <f t="shared" si="35"/>
        <v>54.407363999999994</v>
      </c>
      <c r="CO14" s="49">
        <f t="shared" si="35"/>
        <v>49.613948000000008</v>
      </c>
      <c r="CP14" s="47">
        <f t="shared" si="35"/>
        <v>0</v>
      </c>
      <c r="CQ14" s="47">
        <f t="shared" si="83"/>
        <v>0</v>
      </c>
      <c r="CR14" s="48">
        <f t="shared" si="84"/>
        <v>54.407363999999994</v>
      </c>
      <c r="CS14" s="48">
        <f t="shared" si="85"/>
        <v>49.613948000000008</v>
      </c>
      <c r="CT14" s="93">
        <f t="shared" si="86"/>
        <v>54.407363999999994</v>
      </c>
      <c r="CU14" s="93">
        <f t="shared" si="87"/>
        <v>49.613948000000008</v>
      </c>
      <c r="CW14" s="128">
        <v>4.4999999999999997E-3</v>
      </c>
      <c r="CX14" s="130">
        <v>0</v>
      </c>
      <c r="CY14" s="128">
        <v>0</v>
      </c>
      <c r="CZ14" s="128">
        <v>7414.9782999999998</v>
      </c>
      <c r="DA14" s="128">
        <v>7128.6808000000001</v>
      </c>
      <c r="DB14" s="49">
        <f t="shared" si="36"/>
        <v>0.96619499999999992</v>
      </c>
      <c r="DC14" s="49">
        <f t="shared" si="36"/>
        <v>0</v>
      </c>
      <c r="DD14" s="47">
        <f t="shared" si="36"/>
        <v>0</v>
      </c>
      <c r="DE14" s="47">
        <f t="shared" si="88"/>
        <v>0</v>
      </c>
      <c r="DF14" s="48">
        <f t="shared" si="89"/>
        <v>0.96619499999999992</v>
      </c>
      <c r="DG14" s="48">
        <f t="shared" si="90"/>
        <v>0</v>
      </c>
      <c r="DH14" s="93">
        <f t="shared" si="91"/>
        <v>0.96619499999999992</v>
      </c>
      <c r="DI14" s="93">
        <f t="shared" si="92"/>
        <v>0</v>
      </c>
      <c r="DK14" s="128">
        <v>2.52E-2</v>
      </c>
      <c r="DL14" s="130">
        <v>7.7999999999999996E-3</v>
      </c>
      <c r="DM14" s="128">
        <v>0</v>
      </c>
      <c r="DN14" s="128">
        <v>1557.19</v>
      </c>
      <c r="DO14" s="128">
        <v>1557.74</v>
      </c>
      <c r="DP14" s="49">
        <f t="shared" si="37"/>
        <v>3.3354720000000002</v>
      </c>
      <c r="DQ14" s="49">
        <f t="shared" si="37"/>
        <v>1.5103139999999999</v>
      </c>
      <c r="DR14" s="47">
        <f t="shared" si="37"/>
        <v>0</v>
      </c>
      <c r="DS14" s="47">
        <f t="shared" si="93"/>
        <v>0</v>
      </c>
      <c r="DT14" s="48">
        <f t="shared" si="94"/>
        <v>3.3354720000000002</v>
      </c>
      <c r="DU14" s="48">
        <f t="shared" si="95"/>
        <v>1.5103139999999999</v>
      </c>
      <c r="DV14" s="93">
        <f t="shared" si="96"/>
        <v>3.3354720000000002</v>
      </c>
      <c r="DW14" s="93">
        <f t="shared" si="97"/>
        <v>1.5103139999999999</v>
      </c>
      <c r="EB14" s="52"/>
      <c r="EC14" s="52"/>
      <c r="ED14" s="52"/>
      <c r="EE14" s="55">
        <f t="shared" si="98"/>
        <v>40775.769200000002</v>
      </c>
      <c r="EF14" s="55">
        <f t="shared" si="98"/>
        <v>39186.375800000002</v>
      </c>
      <c r="EG14" s="55">
        <f t="shared" si="98"/>
        <v>1240.822392</v>
      </c>
      <c r="EH14" s="55">
        <f t="shared" si="98"/>
        <v>974.79090800000006</v>
      </c>
      <c r="EI14" s="298">
        <f t="shared" si="38"/>
        <v>0.50993841148208319</v>
      </c>
      <c r="EJ14" s="52"/>
      <c r="EK14" s="55">
        <f t="shared" si="99"/>
        <v>1240.822392</v>
      </c>
      <c r="EL14" s="55">
        <f t="shared" si="99"/>
        <v>974.79090800000006</v>
      </c>
      <c r="EM14" s="55">
        <f t="shared" si="39"/>
        <v>1240.822392</v>
      </c>
      <c r="EN14" s="55">
        <f t="shared" si="39"/>
        <v>974.79090800000006</v>
      </c>
      <c r="EP14" s="52"/>
      <c r="EQ14" s="52"/>
      <c r="ER14" s="52"/>
      <c r="ES14" s="55">
        <f t="shared" si="40"/>
        <v>29413.8534</v>
      </c>
      <c r="ET14" s="55">
        <f t="shared" si="40"/>
        <v>28446.671600000001</v>
      </c>
      <c r="EU14" s="55">
        <f t="shared" si="40"/>
        <v>960.90228350000007</v>
      </c>
      <c r="EV14" s="55">
        <f t="shared" si="40"/>
        <v>735.29080599999998</v>
      </c>
      <c r="EW14" s="298">
        <f t="shared" si="41"/>
        <v>0.50835787266015986</v>
      </c>
      <c r="EX14" s="52"/>
      <c r="EY14" s="55">
        <f t="shared" si="42"/>
        <v>960.90228350000007</v>
      </c>
      <c r="EZ14" s="55">
        <f t="shared" si="42"/>
        <v>735.29080599999998</v>
      </c>
      <c r="FA14" s="55">
        <f t="shared" si="42"/>
        <v>960.90228350000007</v>
      </c>
      <c r="FB14" s="55">
        <f t="shared" si="42"/>
        <v>735.29080599999998</v>
      </c>
      <c r="FD14" s="52"/>
      <c r="FE14" s="52"/>
      <c r="FF14" s="52"/>
      <c r="FG14" s="55">
        <f t="shared" si="43"/>
        <v>20085.762499999997</v>
      </c>
      <c r="FH14" s="55">
        <f t="shared" si="43"/>
        <v>19426.020800000002</v>
      </c>
      <c r="FI14" s="55">
        <f t="shared" si="43"/>
        <v>544.73985919999996</v>
      </c>
      <c r="FJ14" s="55">
        <f t="shared" si="43"/>
        <v>350.6954824</v>
      </c>
      <c r="FK14" s="298">
        <f t="shared" si="44"/>
        <v>0.5083486702560448</v>
      </c>
      <c r="FL14" s="52"/>
      <c r="FM14" s="55">
        <f t="shared" si="45"/>
        <v>544.73985919999996</v>
      </c>
      <c r="FN14" s="55">
        <f t="shared" si="45"/>
        <v>350.6954824</v>
      </c>
      <c r="FO14" s="55">
        <f t="shared" si="45"/>
        <v>544.73985919999996</v>
      </c>
      <c r="FP14" s="55">
        <f t="shared" si="45"/>
        <v>350.6954824</v>
      </c>
      <c r="FR14" s="52"/>
      <c r="FS14" s="52"/>
      <c r="FT14" s="52"/>
      <c r="FU14" s="55">
        <f t="shared" si="46"/>
        <v>23533.572499999998</v>
      </c>
      <c r="FV14" s="55">
        <f t="shared" si="46"/>
        <v>22674.6</v>
      </c>
      <c r="FW14" s="55">
        <f t="shared" si="46"/>
        <v>55.180319999999995</v>
      </c>
      <c r="FX14" s="55">
        <f t="shared" si="46"/>
        <v>49.613948000000008</v>
      </c>
      <c r="FY14" s="298">
        <f t="shared" si="47"/>
        <v>0.50929459501996099</v>
      </c>
      <c r="FZ14" s="52"/>
      <c r="GA14" s="55">
        <f t="shared" si="48"/>
        <v>55.180319999999995</v>
      </c>
      <c r="GB14" s="55">
        <f t="shared" si="48"/>
        <v>49.613948000000008</v>
      </c>
      <c r="GC14" s="55">
        <f t="shared" si="48"/>
        <v>55.180319999999995</v>
      </c>
      <c r="GD14" s="55">
        <f t="shared" si="48"/>
        <v>49.613948000000008</v>
      </c>
      <c r="GF14" s="52"/>
      <c r="GG14" s="52"/>
      <c r="GH14" s="52"/>
      <c r="GI14" s="55">
        <f t="shared" si="49"/>
        <v>11237.522500000001</v>
      </c>
      <c r="GJ14" s="55">
        <f t="shared" si="49"/>
        <v>10729.5933</v>
      </c>
      <c r="GK14" s="56">
        <f t="shared" si="50"/>
        <v>34.975641000000017</v>
      </c>
      <c r="GL14" s="56">
        <f t="shared" si="50"/>
        <v>54.070971000000021</v>
      </c>
      <c r="GM14" s="298">
        <f t="shared" si="51"/>
        <v>0.51156112629041639</v>
      </c>
      <c r="GN14" s="52"/>
      <c r="GO14" s="56">
        <f t="shared" si="52"/>
        <v>34.975641000000017</v>
      </c>
      <c r="GP14" s="56">
        <f t="shared" si="52"/>
        <v>54.070971000000021</v>
      </c>
      <c r="GQ14" s="56">
        <f t="shared" si="52"/>
        <v>34.975641000000017</v>
      </c>
      <c r="GR14" s="56">
        <f t="shared" si="52"/>
        <v>54.070971000000021</v>
      </c>
    </row>
    <row r="15" spans="1:220" x14ac:dyDescent="0.2">
      <c r="A15" s="118">
        <v>5</v>
      </c>
      <c r="C15" s="128">
        <v>0.90349999999999997</v>
      </c>
      <c r="D15" s="128">
        <v>0.34510000000000002</v>
      </c>
      <c r="E15" s="128">
        <v>0</v>
      </c>
      <c r="F15" s="128">
        <v>8600.0066999999999</v>
      </c>
      <c r="G15" s="128">
        <v>8428.1875</v>
      </c>
      <c r="H15" s="49">
        <f t="shared" si="29"/>
        <v>904.78296999999998</v>
      </c>
      <c r="I15" s="49">
        <f t="shared" si="29"/>
        <v>654.86176</v>
      </c>
      <c r="J15" s="47">
        <f t="shared" si="29"/>
        <v>0</v>
      </c>
      <c r="K15" s="47">
        <f t="shared" si="53"/>
        <v>0</v>
      </c>
      <c r="L15" s="48">
        <f t="shared" si="54"/>
        <v>904.78296999999998</v>
      </c>
      <c r="M15" s="48">
        <f t="shared" si="55"/>
        <v>654.86176</v>
      </c>
      <c r="N15" s="93">
        <f t="shared" si="56"/>
        <v>904.78296999999998</v>
      </c>
      <c r="O15" s="93">
        <f t="shared" si="57"/>
        <v>654.86176</v>
      </c>
      <c r="Q15" s="128">
        <v>1.0254000000000001</v>
      </c>
      <c r="R15" s="130">
        <v>0.39179999999999998</v>
      </c>
      <c r="S15" s="128">
        <v>0</v>
      </c>
      <c r="T15" s="128">
        <v>1536.12</v>
      </c>
      <c r="U15" s="128">
        <v>1481.3342</v>
      </c>
      <c r="V15" s="49">
        <f t="shared" si="30"/>
        <v>652.57481400000006</v>
      </c>
      <c r="W15" s="49">
        <f t="shared" si="30"/>
        <v>466.825782</v>
      </c>
      <c r="X15" s="47">
        <f t="shared" si="30"/>
        <v>0</v>
      </c>
      <c r="Y15" s="47">
        <f t="shared" si="58"/>
        <v>0</v>
      </c>
      <c r="Z15" s="48">
        <f t="shared" si="59"/>
        <v>652.57481400000006</v>
      </c>
      <c r="AA15" s="48">
        <f t="shared" si="60"/>
        <v>466.825782</v>
      </c>
      <c r="AB15" s="93">
        <f t="shared" si="61"/>
        <v>652.57481400000006</v>
      </c>
      <c r="AC15" s="93">
        <f t="shared" si="62"/>
        <v>466.825782</v>
      </c>
      <c r="AE15" s="128">
        <v>0.67410000000000003</v>
      </c>
      <c r="AF15" s="130">
        <v>0.1522</v>
      </c>
      <c r="AG15" s="128">
        <v>0</v>
      </c>
      <c r="AH15" s="128">
        <v>85.306700000000006</v>
      </c>
      <c r="AI15" s="128">
        <v>83.545000000000002</v>
      </c>
      <c r="AJ15" s="49">
        <f t="shared" si="31"/>
        <v>310.139928</v>
      </c>
      <c r="AK15" s="49">
        <f t="shared" si="31"/>
        <v>159.92110600000001</v>
      </c>
      <c r="AL15" s="47">
        <f t="shared" si="31"/>
        <v>0</v>
      </c>
      <c r="AM15" s="47">
        <f t="shared" si="63"/>
        <v>0</v>
      </c>
      <c r="AN15" s="48">
        <f t="shared" si="64"/>
        <v>310.139928</v>
      </c>
      <c r="AO15" s="48">
        <f t="shared" si="65"/>
        <v>159.92110600000001</v>
      </c>
      <c r="AP15" s="93">
        <f t="shared" si="66"/>
        <v>310.139928</v>
      </c>
      <c r="AQ15" s="93">
        <f t="shared" si="67"/>
        <v>159.92110600000001</v>
      </c>
      <c r="AS15" s="128">
        <v>0.60729999999999995</v>
      </c>
      <c r="AT15" s="130">
        <v>0.22359999999999999</v>
      </c>
      <c r="AU15" s="128">
        <v>0</v>
      </c>
      <c r="AV15" s="128">
        <v>9430.8649999999998</v>
      </c>
      <c r="AW15" s="128">
        <v>9000.1474999999991</v>
      </c>
      <c r="AX15" s="49">
        <f t="shared" si="32"/>
        <v>212.94367199999996</v>
      </c>
      <c r="AY15" s="49">
        <f t="shared" si="32"/>
        <v>157.63352800000001</v>
      </c>
      <c r="AZ15" s="47">
        <f t="shared" si="32"/>
        <v>0</v>
      </c>
      <c r="BA15" s="47">
        <f t="shared" si="68"/>
        <v>0</v>
      </c>
      <c r="BB15" s="48">
        <f t="shared" si="69"/>
        <v>212.94367199999996</v>
      </c>
      <c r="BC15" s="48">
        <f t="shared" si="70"/>
        <v>157.63352800000001</v>
      </c>
      <c r="BD15" s="93">
        <f t="shared" si="71"/>
        <v>212.94367199999996</v>
      </c>
      <c r="BE15" s="93">
        <f t="shared" si="72"/>
        <v>157.63352800000001</v>
      </c>
      <c r="BG15" s="128">
        <v>0.55859999999999999</v>
      </c>
      <c r="BH15" s="130">
        <v>0.25359999999999999</v>
      </c>
      <c r="BI15" s="128">
        <v>0</v>
      </c>
      <c r="BJ15" s="128">
        <v>4633.3950000000004</v>
      </c>
      <c r="BK15" s="128">
        <v>4613.2849999999999</v>
      </c>
      <c r="BL15" s="49">
        <f t="shared" si="33"/>
        <v>183.455412</v>
      </c>
      <c r="BM15" s="49">
        <f t="shared" si="33"/>
        <v>153.34684799999999</v>
      </c>
      <c r="BN15" s="47">
        <f t="shared" si="33"/>
        <v>0</v>
      </c>
      <c r="BO15" s="47">
        <f t="shared" si="73"/>
        <v>0</v>
      </c>
      <c r="BP15" s="48">
        <f t="shared" si="74"/>
        <v>183.455412</v>
      </c>
      <c r="BQ15" s="48">
        <f t="shared" si="75"/>
        <v>153.34684799999999</v>
      </c>
      <c r="BR15" s="93">
        <f t="shared" si="76"/>
        <v>183.455412</v>
      </c>
      <c r="BS15" s="93">
        <f t="shared" si="77"/>
        <v>153.34684799999999</v>
      </c>
      <c r="BU15" s="128">
        <v>0.65500000000000003</v>
      </c>
      <c r="BV15" s="130">
        <v>0.28129999999999999</v>
      </c>
      <c r="BW15" s="128">
        <v>0</v>
      </c>
      <c r="BX15" s="128">
        <v>2509.1491999999998</v>
      </c>
      <c r="BY15" s="128">
        <v>2345.2667000000001</v>
      </c>
      <c r="BZ15" s="49">
        <f t="shared" si="34"/>
        <v>158.90299999999999</v>
      </c>
      <c r="CA15" s="49">
        <f t="shared" si="34"/>
        <v>113.678956</v>
      </c>
      <c r="CB15" s="47">
        <f t="shared" si="34"/>
        <v>0</v>
      </c>
      <c r="CC15" s="47">
        <f t="shared" si="78"/>
        <v>0</v>
      </c>
      <c r="CD15" s="48">
        <f t="shared" si="79"/>
        <v>158.90299999999999</v>
      </c>
      <c r="CE15" s="48">
        <f t="shared" si="80"/>
        <v>113.678956</v>
      </c>
      <c r="CF15" s="93">
        <f t="shared" si="81"/>
        <v>158.90299999999999</v>
      </c>
      <c r="CG15" s="93">
        <f t="shared" si="82"/>
        <v>113.678956</v>
      </c>
      <c r="CI15" s="128">
        <v>0.36799999999999999</v>
      </c>
      <c r="CJ15" s="130">
        <v>0.26889999999999997</v>
      </c>
      <c r="CK15" s="128">
        <v>0</v>
      </c>
      <c r="CL15" s="128">
        <v>16864.2425</v>
      </c>
      <c r="CM15" s="128">
        <v>16206.782499999999</v>
      </c>
      <c r="CN15" s="49">
        <f t="shared" si="35"/>
        <v>78.119039999999998</v>
      </c>
      <c r="CO15" s="49">
        <f t="shared" si="35"/>
        <v>74.076571999999999</v>
      </c>
      <c r="CP15" s="47">
        <f t="shared" si="35"/>
        <v>0</v>
      </c>
      <c r="CQ15" s="47">
        <f t="shared" si="83"/>
        <v>0</v>
      </c>
      <c r="CR15" s="48">
        <f t="shared" si="84"/>
        <v>78.119039999999998</v>
      </c>
      <c r="CS15" s="48">
        <f t="shared" si="85"/>
        <v>74.076571999999999</v>
      </c>
      <c r="CT15" s="93">
        <f t="shared" si="86"/>
        <v>78.119039999999998</v>
      </c>
      <c r="CU15" s="93">
        <f t="shared" si="87"/>
        <v>74.076571999999999</v>
      </c>
      <c r="CW15" s="128">
        <v>3.56E-2</v>
      </c>
      <c r="CX15" s="130">
        <v>2.2599999999999999E-2</v>
      </c>
      <c r="CY15" s="128">
        <v>0</v>
      </c>
      <c r="CZ15" s="128">
        <v>7696.5474999999997</v>
      </c>
      <c r="DA15" s="128">
        <v>7306.03</v>
      </c>
      <c r="DB15" s="49">
        <f t="shared" si="36"/>
        <v>7.6436760000000001</v>
      </c>
      <c r="DC15" s="49">
        <f t="shared" si="36"/>
        <v>6.7809039999999996</v>
      </c>
      <c r="DD15" s="47">
        <f t="shared" si="36"/>
        <v>0</v>
      </c>
      <c r="DE15" s="47">
        <f t="shared" si="88"/>
        <v>0</v>
      </c>
      <c r="DF15" s="48">
        <f t="shared" si="89"/>
        <v>7.6436760000000001</v>
      </c>
      <c r="DG15" s="48">
        <f t="shared" si="90"/>
        <v>6.7809039999999996</v>
      </c>
      <c r="DH15" s="93">
        <f t="shared" si="91"/>
        <v>7.6436760000000001</v>
      </c>
      <c r="DI15" s="93">
        <f t="shared" si="92"/>
        <v>6.7809039999999996</v>
      </c>
      <c r="DK15" s="128">
        <v>3.6600000000000001E-2</v>
      </c>
      <c r="DL15" s="130">
        <v>3.3599999999999998E-2</v>
      </c>
      <c r="DM15" s="128">
        <v>0</v>
      </c>
      <c r="DN15" s="128">
        <v>1753.7633000000001</v>
      </c>
      <c r="DO15" s="128">
        <v>1725.59</v>
      </c>
      <c r="DP15" s="49">
        <f t="shared" si="37"/>
        <v>4.8443760000000005</v>
      </c>
      <c r="DQ15" s="49">
        <f t="shared" si="37"/>
        <v>6.5059679999999993</v>
      </c>
      <c r="DR15" s="47">
        <f t="shared" si="37"/>
        <v>0</v>
      </c>
      <c r="DS15" s="47">
        <f t="shared" si="93"/>
        <v>0</v>
      </c>
      <c r="DT15" s="48">
        <f t="shared" si="94"/>
        <v>4.8443760000000005</v>
      </c>
      <c r="DU15" s="48">
        <f t="shared" si="95"/>
        <v>6.5059679999999993</v>
      </c>
      <c r="DV15" s="93">
        <f t="shared" si="96"/>
        <v>4.8443760000000005</v>
      </c>
      <c r="DW15" s="93">
        <f t="shared" si="97"/>
        <v>6.5059679999999993</v>
      </c>
      <c r="EB15" s="52"/>
      <c r="EC15" s="52"/>
      <c r="ED15" s="52"/>
      <c r="EE15" s="55">
        <f t="shared" si="98"/>
        <v>42591.661699999997</v>
      </c>
      <c r="EF15" s="55">
        <f t="shared" si="98"/>
        <v>40941.147499999999</v>
      </c>
      <c r="EG15" s="55">
        <f t="shared" si="98"/>
        <v>1201.9606228</v>
      </c>
      <c r="EH15" s="55">
        <f t="shared" si="98"/>
        <v>891.99658320000003</v>
      </c>
      <c r="EI15" s="298">
        <f t="shared" si="38"/>
        <v>0.50987943668964986</v>
      </c>
      <c r="EJ15" s="52"/>
      <c r="EK15" s="55">
        <f t="shared" si="99"/>
        <v>1201.9606228</v>
      </c>
      <c r="EL15" s="55">
        <f t="shared" si="99"/>
        <v>891.99658320000003</v>
      </c>
      <c r="EM15" s="55">
        <f t="shared" si="39"/>
        <v>1201.9606228</v>
      </c>
      <c r="EN15" s="55">
        <f t="shared" si="39"/>
        <v>891.99658320000003</v>
      </c>
      <c r="EP15" s="52"/>
      <c r="EQ15" s="52"/>
      <c r="ER15" s="52"/>
      <c r="ES15" s="55">
        <f t="shared" si="40"/>
        <v>30730.305</v>
      </c>
      <c r="ET15" s="55">
        <f t="shared" si="40"/>
        <v>29607.431699999997</v>
      </c>
      <c r="EU15" s="55">
        <f t="shared" si="40"/>
        <v>919.49983920000011</v>
      </c>
      <c r="EV15" s="55">
        <f t="shared" si="40"/>
        <v>698.99583480000001</v>
      </c>
      <c r="EW15" s="298">
        <f t="shared" si="41"/>
        <v>0.50930490072558532</v>
      </c>
      <c r="EX15" s="52"/>
      <c r="EY15" s="55">
        <f t="shared" si="42"/>
        <v>919.49983920000011</v>
      </c>
      <c r="EZ15" s="55">
        <f t="shared" si="42"/>
        <v>698.99583480000001</v>
      </c>
      <c r="FA15" s="55">
        <f t="shared" si="42"/>
        <v>919.49983920000011</v>
      </c>
      <c r="FB15" s="55">
        <f t="shared" si="42"/>
        <v>698.99583480000001</v>
      </c>
      <c r="FD15" s="52"/>
      <c r="FE15" s="52"/>
      <c r="FF15" s="52"/>
      <c r="FG15" s="55">
        <f t="shared" si="43"/>
        <v>21212.4617</v>
      </c>
      <c r="FH15" s="55">
        <f t="shared" si="43"/>
        <v>20361.1842</v>
      </c>
      <c r="FI15" s="55">
        <f t="shared" si="43"/>
        <v>550.06859359999999</v>
      </c>
      <c r="FJ15" s="55">
        <f t="shared" si="43"/>
        <v>351.58021479999996</v>
      </c>
      <c r="FK15" s="298">
        <f t="shared" si="44"/>
        <v>0.51023818673550592</v>
      </c>
      <c r="FL15" s="52"/>
      <c r="FM15" s="55">
        <f t="shared" si="45"/>
        <v>550.06859359999999</v>
      </c>
      <c r="FN15" s="55">
        <f t="shared" si="45"/>
        <v>351.58021479999996</v>
      </c>
      <c r="FO15" s="55">
        <f t="shared" si="45"/>
        <v>550.06859359999999</v>
      </c>
      <c r="FP15" s="55">
        <f t="shared" si="45"/>
        <v>351.58021479999996</v>
      </c>
      <c r="FR15" s="52"/>
      <c r="FS15" s="52"/>
      <c r="FT15" s="52"/>
      <c r="FU15" s="55">
        <f t="shared" si="46"/>
        <v>24560.79</v>
      </c>
      <c r="FV15" s="55">
        <f t="shared" si="46"/>
        <v>23512.8125</v>
      </c>
      <c r="FW15" s="55">
        <f t="shared" si="46"/>
        <v>84.233980799999998</v>
      </c>
      <c r="FX15" s="55">
        <f t="shared" si="46"/>
        <v>79.501295200000001</v>
      </c>
      <c r="FY15" s="298">
        <f t="shared" si="47"/>
        <v>0.51089971882177965</v>
      </c>
      <c r="FZ15" s="52"/>
      <c r="GA15" s="55">
        <f t="shared" si="48"/>
        <v>84.233980799999998</v>
      </c>
      <c r="GB15" s="55">
        <f t="shared" si="48"/>
        <v>79.501295200000001</v>
      </c>
      <c r="GC15" s="55">
        <f t="shared" si="48"/>
        <v>84.233980799999998</v>
      </c>
      <c r="GD15" s="55">
        <f t="shared" si="48"/>
        <v>79.501295200000001</v>
      </c>
      <c r="GF15" s="52"/>
      <c r="GG15" s="52"/>
      <c r="GH15" s="52"/>
      <c r="GI15" s="55">
        <f t="shared" si="49"/>
        <v>11940.0142</v>
      </c>
      <c r="GJ15" s="55">
        <f t="shared" si="49"/>
        <v>11345.414199999999</v>
      </c>
      <c r="GK15" s="56">
        <f t="shared" si="50"/>
        <v>40.530503999999979</v>
      </c>
      <c r="GL15" s="56">
        <f t="shared" si="50"/>
        <v>32.96592900000001</v>
      </c>
      <c r="GM15" s="298">
        <f t="shared" si="51"/>
        <v>0.51276764141474851</v>
      </c>
      <c r="GN15" s="52"/>
      <c r="GO15" s="56">
        <f t="shared" si="52"/>
        <v>40.530503999999979</v>
      </c>
      <c r="GP15" s="56">
        <f t="shared" si="52"/>
        <v>32.96592900000001</v>
      </c>
      <c r="GQ15" s="56">
        <f t="shared" si="52"/>
        <v>40.530503999999979</v>
      </c>
      <c r="GR15" s="56">
        <f t="shared" si="52"/>
        <v>32.96592900000001</v>
      </c>
    </row>
    <row r="16" spans="1:220" x14ac:dyDescent="0.2">
      <c r="A16" s="118">
        <v>6</v>
      </c>
      <c r="C16" s="128">
        <v>0.85540000000000005</v>
      </c>
      <c r="D16" s="128">
        <v>0.31519999999999998</v>
      </c>
      <c r="E16" s="128">
        <v>0</v>
      </c>
      <c r="F16" s="128">
        <v>8891.9599999999991</v>
      </c>
      <c r="G16" s="128">
        <v>8432.1741999999995</v>
      </c>
      <c r="H16" s="49">
        <f t="shared" si="29"/>
        <v>856.61466800000005</v>
      </c>
      <c r="I16" s="49">
        <f t="shared" si="29"/>
        <v>598.12351999999998</v>
      </c>
      <c r="J16" s="47">
        <f t="shared" si="29"/>
        <v>0</v>
      </c>
      <c r="K16" s="47">
        <f t="shared" si="53"/>
        <v>0</v>
      </c>
      <c r="L16" s="48">
        <f t="shared" si="54"/>
        <v>856.61466800000005</v>
      </c>
      <c r="M16" s="48">
        <f t="shared" si="55"/>
        <v>598.12351999999998</v>
      </c>
      <c r="N16" s="93">
        <f t="shared" si="56"/>
        <v>856.61466800000005</v>
      </c>
      <c r="O16" s="93">
        <f t="shared" si="57"/>
        <v>598.12351999999998</v>
      </c>
      <c r="Q16" s="128">
        <v>0.98199999999999998</v>
      </c>
      <c r="R16" s="130">
        <v>0.35820000000000002</v>
      </c>
      <c r="S16" s="128">
        <v>0</v>
      </c>
      <c r="T16" s="128">
        <v>1476.4733000000001</v>
      </c>
      <c r="U16" s="128">
        <v>1438.5066999999999</v>
      </c>
      <c r="V16" s="49">
        <f t="shared" si="30"/>
        <v>624.95461999999998</v>
      </c>
      <c r="W16" s="49">
        <f t="shared" si="30"/>
        <v>426.791718</v>
      </c>
      <c r="X16" s="47">
        <f t="shared" si="30"/>
        <v>0</v>
      </c>
      <c r="Y16" s="47">
        <f t="shared" si="58"/>
        <v>0</v>
      </c>
      <c r="Z16" s="48">
        <f t="shared" si="59"/>
        <v>624.95461999999998</v>
      </c>
      <c r="AA16" s="48">
        <f t="shared" si="60"/>
        <v>426.791718</v>
      </c>
      <c r="AB16" s="93">
        <f t="shared" si="61"/>
        <v>624.95461999999998</v>
      </c>
      <c r="AC16" s="93">
        <f t="shared" si="62"/>
        <v>426.791718</v>
      </c>
      <c r="AE16" s="128">
        <v>0.67630000000000001</v>
      </c>
      <c r="AF16" s="130">
        <v>0.13789999999999999</v>
      </c>
      <c r="AG16" s="128">
        <v>0</v>
      </c>
      <c r="AH16" s="128">
        <v>95.245800000000003</v>
      </c>
      <c r="AI16" s="128">
        <v>91.52</v>
      </c>
      <c r="AJ16" s="49">
        <f t="shared" si="31"/>
        <v>311.15210400000001</v>
      </c>
      <c r="AK16" s="49">
        <f t="shared" si="31"/>
        <v>144.895667</v>
      </c>
      <c r="AL16" s="47">
        <f t="shared" si="31"/>
        <v>0</v>
      </c>
      <c r="AM16" s="47">
        <f t="shared" si="63"/>
        <v>0</v>
      </c>
      <c r="AN16" s="48">
        <f t="shared" si="64"/>
        <v>311.15210400000001</v>
      </c>
      <c r="AO16" s="48">
        <f t="shared" si="65"/>
        <v>144.895667</v>
      </c>
      <c r="AP16" s="93">
        <f t="shared" si="66"/>
        <v>311.15210400000001</v>
      </c>
      <c r="AQ16" s="93">
        <f t="shared" si="67"/>
        <v>144.895667</v>
      </c>
      <c r="AS16" s="128">
        <v>0.62350000000000005</v>
      </c>
      <c r="AT16" s="130">
        <v>0.18859999999999999</v>
      </c>
      <c r="AU16" s="128">
        <v>0</v>
      </c>
      <c r="AV16" s="128">
        <v>9767.7482999999993</v>
      </c>
      <c r="AW16" s="128">
        <v>9326.1067000000003</v>
      </c>
      <c r="AX16" s="49">
        <f t="shared" si="32"/>
        <v>218.62404000000001</v>
      </c>
      <c r="AY16" s="49">
        <f t="shared" si="32"/>
        <v>132.959228</v>
      </c>
      <c r="AZ16" s="47">
        <f t="shared" si="32"/>
        <v>0</v>
      </c>
      <c r="BA16" s="47">
        <f t="shared" si="68"/>
        <v>0</v>
      </c>
      <c r="BB16" s="48">
        <f t="shared" si="69"/>
        <v>218.62404000000001</v>
      </c>
      <c r="BC16" s="48">
        <f t="shared" si="70"/>
        <v>132.959228</v>
      </c>
      <c r="BD16" s="93">
        <f t="shared" si="71"/>
        <v>218.62404000000001</v>
      </c>
      <c r="BE16" s="93">
        <f t="shared" si="72"/>
        <v>132.959228</v>
      </c>
      <c r="BG16" s="128">
        <v>0.49719999999999998</v>
      </c>
      <c r="BH16" s="130">
        <v>0.23280000000000001</v>
      </c>
      <c r="BI16" s="128">
        <v>0</v>
      </c>
      <c r="BJ16" s="128">
        <v>5160.1808000000001</v>
      </c>
      <c r="BK16" s="128">
        <v>4861.6917000000003</v>
      </c>
      <c r="BL16" s="49">
        <f t="shared" si="33"/>
        <v>163.290424</v>
      </c>
      <c r="BM16" s="49">
        <f t="shared" si="33"/>
        <v>140.76950399999998</v>
      </c>
      <c r="BN16" s="47">
        <f t="shared" si="33"/>
        <v>0</v>
      </c>
      <c r="BO16" s="47">
        <f t="shared" si="73"/>
        <v>0</v>
      </c>
      <c r="BP16" s="48">
        <f t="shared" si="74"/>
        <v>163.290424</v>
      </c>
      <c r="BQ16" s="48">
        <f t="shared" si="75"/>
        <v>140.76950399999998</v>
      </c>
      <c r="BR16" s="93">
        <f t="shared" si="76"/>
        <v>163.290424</v>
      </c>
      <c r="BS16" s="93">
        <f t="shared" si="77"/>
        <v>140.76950399999998</v>
      </c>
      <c r="BU16" s="128">
        <v>0.59419999999999995</v>
      </c>
      <c r="BV16" s="130">
        <v>0.26140000000000002</v>
      </c>
      <c r="BW16" s="128">
        <v>0</v>
      </c>
      <c r="BX16" s="128">
        <v>2723.34</v>
      </c>
      <c r="BY16" s="128">
        <v>2605.31</v>
      </c>
      <c r="BZ16" s="49">
        <f t="shared" si="34"/>
        <v>144.15291999999999</v>
      </c>
      <c r="CA16" s="49">
        <f t="shared" si="34"/>
        <v>105.63696800000001</v>
      </c>
      <c r="CB16" s="47">
        <f t="shared" si="34"/>
        <v>0</v>
      </c>
      <c r="CC16" s="47">
        <f t="shared" si="78"/>
        <v>0</v>
      </c>
      <c r="CD16" s="48">
        <f t="shared" si="79"/>
        <v>144.15291999999999</v>
      </c>
      <c r="CE16" s="48">
        <f t="shared" si="80"/>
        <v>105.63696800000001</v>
      </c>
      <c r="CF16" s="93">
        <f t="shared" si="81"/>
        <v>144.15291999999999</v>
      </c>
      <c r="CG16" s="93">
        <f t="shared" si="82"/>
        <v>105.63696800000001</v>
      </c>
      <c r="CI16" s="128">
        <v>0.47989999999999999</v>
      </c>
      <c r="CJ16" s="130">
        <v>0.3609</v>
      </c>
      <c r="CK16" s="128">
        <v>0</v>
      </c>
      <c r="CL16" s="128">
        <v>17936.352500000001</v>
      </c>
      <c r="CM16" s="128">
        <v>17056.980800000001</v>
      </c>
      <c r="CN16" s="49">
        <f t="shared" si="35"/>
        <v>101.873172</v>
      </c>
      <c r="CO16" s="49">
        <f t="shared" si="35"/>
        <v>99.420732000000001</v>
      </c>
      <c r="CP16" s="47">
        <f t="shared" si="35"/>
        <v>0</v>
      </c>
      <c r="CQ16" s="47">
        <f t="shared" si="83"/>
        <v>0</v>
      </c>
      <c r="CR16" s="48">
        <f t="shared" si="84"/>
        <v>101.873172</v>
      </c>
      <c r="CS16" s="48">
        <f t="shared" si="85"/>
        <v>99.420732000000001</v>
      </c>
      <c r="CT16" s="93">
        <f t="shared" si="86"/>
        <v>101.873172</v>
      </c>
      <c r="CU16" s="93">
        <f t="shared" si="87"/>
        <v>99.420732000000001</v>
      </c>
      <c r="CW16" s="128">
        <v>0.1157</v>
      </c>
      <c r="CX16" s="130">
        <v>0.1079</v>
      </c>
      <c r="CY16" s="128">
        <v>0</v>
      </c>
      <c r="CZ16" s="128">
        <v>8172.6432999999997</v>
      </c>
      <c r="DA16" s="128">
        <v>7678.3657999999996</v>
      </c>
      <c r="DB16" s="49">
        <f t="shared" si="36"/>
        <v>24.841947000000001</v>
      </c>
      <c r="DC16" s="49">
        <f t="shared" si="36"/>
        <v>32.374316</v>
      </c>
      <c r="DD16" s="47">
        <f t="shared" si="36"/>
        <v>0</v>
      </c>
      <c r="DE16" s="47">
        <f t="shared" si="88"/>
        <v>0</v>
      </c>
      <c r="DF16" s="48">
        <f t="shared" si="89"/>
        <v>24.841947000000001</v>
      </c>
      <c r="DG16" s="48">
        <f t="shared" si="90"/>
        <v>32.374316</v>
      </c>
      <c r="DH16" s="93">
        <f t="shared" si="91"/>
        <v>24.841947000000001</v>
      </c>
      <c r="DI16" s="93">
        <f t="shared" si="92"/>
        <v>32.374316</v>
      </c>
      <c r="DK16" s="128">
        <v>0.1016</v>
      </c>
      <c r="DL16" s="130">
        <v>0.1055</v>
      </c>
      <c r="DM16" s="128">
        <v>0</v>
      </c>
      <c r="DN16" s="128">
        <v>2066.5832999999998</v>
      </c>
      <c r="DO16" s="128">
        <v>1940.8516999999999</v>
      </c>
      <c r="DP16" s="49">
        <f t="shared" si="37"/>
        <v>13.447776000000001</v>
      </c>
      <c r="DQ16" s="49">
        <f t="shared" si="37"/>
        <v>20.427965</v>
      </c>
      <c r="DR16" s="47">
        <f t="shared" si="37"/>
        <v>0</v>
      </c>
      <c r="DS16" s="47">
        <f t="shared" si="93"/>
        <v>0</v>
      </c>
      <c r="DT16" s="48">
        <f t="shared" si="94"/>
        <v>13.447776000000001</v>
      </c>
      <c r="DU16" s="48">
        <f t="shared" si="95"/>
        <v>20.427965</v>
      </c>
      <c r="DV16" s="93">
        <f t="shared" si="96"/>
        <v>13.447776000000001</v>
      </c>
      <c r="DW16" s="93">
        <f t="shared" si="97"/>
        <v>20.427965</v>
      </c>
      <c r="EB16" s="52"/>
      <c r="EC16" s="52"/>
      <c r="ED16" s="52"/>
      <c r="EE16" s="55">
        <f t="shared" si="98"/>
        <v>44768.704100000003</v>
      </c>
      <c r="EF16" s="55">
        <f t="shared" si="98"/>
        <v>42493.627500000002</v>
      </c>
      <c r="EG16" s="55">
        <f t="shared" si="98"/>
        <v>1196.9854376000001</v>
      </c>
      <c r="EH16" s="55">
        <f t="shared" si="98"/>
        <v>856.40293280000003</v>
      </c>
      <c r="EI16" s="298">
        <f t="shared" si="38"/>
        <v>0.51303584581276529</v>
      </c>
      <c r="EJ16" s="52"/>
      <c r="EK16" s="55">
        <f t="shared" si="99"/>
        <v>1196.9854376000001</v>
      </c>
      <c r="EL16" s="55">
        <f t="shared" si="99"/>
        <v>856.40293280000003</v>
      </c>
      <c r="EM16" s="55">
        <f t="shared" si="39"/>
        <v>1196.9854376000001</v>
      </c>
      <c r="EN16" s="55">
        <f t="shared" si="39"/>
        <v>856.40293280000003</v>
      </c>
      <c r="EP16" s="52"/>
      <c r="EQ16" s="52"/>
      <c r="ER16" s="52"/>
      <c r="ES16" s="55">
        <f t="shared" si="40"/>
        <v>32745.6499</v>
      </c>
      <c r="ET16" s="55">
        <f t="shared" si="40"/>
        <v>31035.545000000002</v>
      </c>
      <c r="EU16" s="55">
        <f t="shared" si="40"/>
        <v>907.5075789</v>
      </c>
      <c r="EV16" s="55">
        <f t="shared" si="40"/>
        <v>689.64397520000011</v>
      </c>
      <c r="EW16" s="298">
        <f t="shared" si="41"/>
        <v>0.51340602745590769</v>
      </c>
      <c r="EX16" s="52"/>
      <c r="EY16" s="55">
        <f t="shared" si="42"/>
        <v>907.5075789</v>
      </c>
      <c r="EZ16" s="55">
        <f t="shared" si="42"/>
        <v>689.64397520000011</v>
      </c>
      <c r="FA16" s="55">
        <f t="shared" si="42"/>
        <v>907.5075789</v>
      </c>
      <c r="FB16" s="55">
        <f t="shared" si="42"/>
        <v>689.64397520000011</v>
      </c>
      <c r="FD16" s="52"/>
      <c r="FE16" s="52"/>
      <c r="FF16" s="52"/>
      <c r="FG16" s="55">
        <f t="shared" si="43"/>
        <v>22821.5216</v>
      </c>
      <c r="FH16" s="55">
        <f t="shared" si="43"/>
        <v>21694.662499999999</v>
      </c>
      <c r="FI16" s="55">
        <f t="shared" si="43"/>
        <v>565.24686159999999</v>
      </c>
      <c r="FJ16" s="55">
        <f t="shared" si="43"/>
        <v>362.21014600000001</v>
      </c>
      <c r="FK16" s="298">
        <f t="shared" si="44"/>
        <v>0.51265673510412135</v>
      </c>
      <c r="FL16" s="52"/>
      <c r="FM16" s="55">
        <f t="shared" si="45"/>
        <v>565.24686159999999</v>
      </c>
      <c r="FN16" s="55">
        <f t="shared" si="45"/>
        <v>362.21014600000001</v>
      </c>
      <c r="FO16" s="55">
        <f t="shared" si="45"/>
        <v>565.24686159999999</v>
      </c>
      <c r="FP16" s="55">
        <f t="shared" si="45"/>
        <v>362.21014600000001</v>
      </c>
      <c r="FR16" s="52"/>
      <c r="FS16" s="52"/>
      <c r="FT16" s="52"/>
      <c r="FU16" s="55">
        <f t="shared" si="46"/>
        <v>26108.995800000001</v>
      </c>
      <c r="FV16" s="55">
        <f t="shared" si="46"/>
        <v>24735.346600000001</v>
      </c>
      <c r="FW16" s="55">
        <f t="shared" si="46"/>
        <v>121.74672959999999</v>
      </c>
      <c r="FX16" s="55">
        <f t="shared" si="46"/>
        <v>125.32018480000001</v>
      </c>
      <c r="FY16" s="298">
        <f t="shared" si="47"/>
        <v>0.51350837807275884</v>
      </c>
      <c r="FZ16" s="52"/>
      <c r="GA16" s="55">
        <f t="shared" si="48"/>
        <v>121.74672959999999</v>
      </c>
      <c r="GB16" s="55">
        <f t="shared" si="48"/>
        <v>125.32018480000001</v>
      </c>
      <c r="GC16" s="55">
        <f t="shared" si="48"/>
        <v>121.74672959999999</v>
      </c>
      <c r="GD16" s="55">
        <f t="shared" si="48"/>
        <v>125.32018480000001</v>
      </c>
      <c r="GF16" s="52"/>
      <c r="GG16" s="52"/>
      <c r="GH16" s="52"/>
      <c r="GI16" s="55">
        <f t="shared" si="49"/>
        <v>12491.088299999999</v>
      </c>
      <c r="GJ16" s="55">
        <f t="shared" si="49"/>
        <v>11931.4167</v>
      </c>
      <c r="GK16" s="56">
        <f t="shared" si="50"/>
        <v>55.85334000000001</v>
      </c>
      <c r="GL16" s="56">
        <f t="shared" si="50"/>
        <v>20.491694999999989</v>
      </c>
      <c r="GM16" s="298">
        <f t="shared" si="51"/>
        <v>0.51145811209783765</v>
      </c>
      <c r="GN16" s="52"/>
      <c r="GO16" s="56">
        <f t="shared" si="52"/>
        <v>55.85334000000001</v>
      </c>
      <c r="GP16" s="56">
        <f t="shared" si="52"/>
        <v>20.491694999999989</v>
      </c>
      <c r="GQ16" s="56">
        <f t="shared" si="52"/>
        <v>55.85334000000001</v>
      </c>
      <c r="GR16" s="56">
        <f t="shared" si="52"/>
        <v>20.491694999999989</v>
      </c>
    </row>
    <row r="17" spans="1:220" x14ac:dyDescent="0.2">
      <c r="A17" s="118">
        <v>7</v>
      </c>
      <c r="C17" s="128">
        <v>0.81659999999999999</v>
      </c>
      <c r="D17" s="128">
        <v>0.29559999999999997</v>
      </c>
      <c r="E17" s="128">
        <v>0</v>
      </c>
      <c r="F17" s="128">
        <v>8969.8407999999999</v>
      </c>
      <c r="G17" s="128">
        <v>8623.0192000000006</v>
      </c>
      <c r="H17" s="49">
        <f t="shared" si="29"/>
        <v>817.75957199999993</v>
      </c>
      <c r="I17" s="49">
        <f t="shared" si="29"/>
        <v>560.9305599999999</v>
      </c>
      <c r="J17" s="47">
        <f t="shared" si="29"/>
        <v>0</v>
      </c>
      <c r="K17" s="47">
        <f t="shared" si="53"/>
        <v>0</v>
      </c>
      <c r="L17" s="48">
        <f t="shared" si="54"/>
        <v>817.75957199999993</v>
      </c>
      <c r="M17" s="48">
        <f t="shared" si="55"/>
        <v>560.9305599999999</v>
      </c>
      <c r="N17" s="93">
        <f t="shared" si="56"/>
        <v>817.75957199999993</v>
      </c>
      <c r="O17" s="93">
        <f t="shared" si="57"/>
        <v>560.9305599999999</v>
      </c>
      <c r="Q17" s="128">
        <v>0.94830000000000003</v>
      </c>
      <c r="R17" s="130">
        <v>0.33689999999999998</v>
      </c>
      <c r="S17" s="128">
        <v>0</v>
      </c>
      <c r="T17" s="128">
        <v>1647.6741999999999</v>
      </c>
      <c r="U17" s="128">
        <v>1543.74</v>
      </c>
      <c r="V17" s="49">
        <f t="shared" si="30"/>
        <v>603.50760300000002</v>
      </c>
      <c r="W17" s="49">
        <f t="shared" si="30"/>
        <v>401.412981</v>
      </c>
      <c r="X17" s="47">
        <f t="shared" si="30"/>
        <v>0</v>
      </c>
      <c r="Y17" s="47">
        <f t="shared" si="58"/>
        <v>0</v>
      </c>
      <c r="Z17" s="48">
        <f t="shared" si="59"/>
        <v>603.50760300000002</v>
      </c>
      <c r="AA17" s="48">
        <f t="shared" si="60"/>
        <v>401.412981</v>
      </c>
      <c r="AB17" s="93">
        <f t="shared" si="61"/>
        <v>603.50760300000002</v>
      </c>
      <c r="AC17" s="93">
        <f t="shared" si="62"/>
        <v>401.412981</v>
      </c>
      <c r="AE17" s="128">
        <v>0.68430000000000002</v>
      </c>
      <c r="AF17" s="130">
        <v>0.12939999999999999</v>
      </c>
      <c r="AG17" s="128">
        <v>0</v>
      </c>
      <c r="AH17" s="128">
        <v>94.678299999999993</v>
      </c>
      <c r="AI17" s="128">
        <v>86.854200000000006</v>
      </c>
      <c r="AJ17" s="49">
        <f t="shared" si="31"/>
        <v>314.83274399999999</v>
      </c>
      <c r="AK17" s="49">
        <f t="shared" si="31"/>
        <v>135.964462</v>
      </c>
      <c r="AL17" s="47">
        <f t="shared" si="31"/>
        <v>0</v>
      </c>
      <c r="AM17" s="47">
        <f t="shared" si="63"/>
        <v>0</v>
      </c>
      <c r="AN17" s="48">
        <f t="shared" si="64"/>
        <v>314.83274399999999</v>
      </c>
      <c r="AO17" s="48">
        <f t="shared" si="65"/>
        <v>135.964462</v>
      </c>
      <c r="AP17" s="93">
        <f t="shared" si="66"/>
        <v>314.83274399999999</v>
      </c>
      <c r="AQ17" s="93">
        <f t="shared" si="67"/>
        <v>135.964462</v>
      </c>
      <c r="AS17" s="128">
        <v>0.54810000000000003</v>
      </c>
      <c r="AT17" s="130">
        <v>0.15909999999999999</v>
      </c>
      <c r="AU17" s="128">
        <v>0</v>
      </c>
      <c r="AV17" s="128">
        <v>10088.4817</v>
      </c>
      <c r="AW17" s="128">
        <v>9696.6707999999999</v>
      </c>
      <c r="AX17" s="49">
        <f t="shared" si="32"/>
        <v>192.18578400000001</v>
      </c>
      <c r="AY17" s="49">
        <f t="shared" si="32"/>
        <v>112.162318</v>
      </c>
      <c r="AZ17" s="47">
        <f t="shared" si="32"/>
        <v>0</v>
      </c>
      <c r="BA17" s="47">
        <f t="shared" si="68"/>
        <v>0</v>
      </c>
      <c r="BB17" s="48">
        <f t="shared" si="69"/>
        <v>192.18578400000001</v>
      </c>
      <c r="BC17" s="48">
        <f t="shared" si="70"/>
        <v>112.162318</v>
      </c>
      <c r="BD17" s="93">
        <f t="shared" si="71"/>
        <v>192.18578400000001</v>
      </c>
      <c r="BE17" s="93">
        <f t="shared" si="72"/>
        <v>112.162318</v>
      </c>
      <c r="BG17" s="128">
        <v>0.45479999999999998</v>
      </c>
      <c r="BH17" s="130">
        <v>0.20480000000000001</v>
      </c>
      <c r="BI17" s="128">
        <v>0</v>
      </c>
      <c r="BJ17" s="128">
        <v>5149.6791999999996</v>
      </c>
      <c r="BK17" s="128">
        <v>4934.2425000000003</v>
      </c>
      <c r="BL17" s="49">
        <f t="shared" si="33"/>
        <v>149.36541600000001</v>
      </c>
      <c r="BM17" s="49">
        <f t="shared" si="33"/>
        <v>123.838464</v>
      </c>
      <c r="BN17" s="47">
        <f t="shared" si="33"/>
        <v>0</v>
      </c>
      <c r="BO17" s="47">
        <f t="shared" si="73"/>
        <v>0</v>
      </c>
      <c r="BP17" s="48">
        <f t="shared" si="74"/>
        <v>149.36541600000001</v>
      </c>
      <c r="BQ17" s="48">
        <f t="shared" si="75"/>
        <v>123.838464</v>
      </c>
      <c r="BR17" s="93">
        <f t="shared" si="76"/>
        <v>149.36541600000001</v>
      </c>
      <c r="BS17" s="93">
        <f t="shared" si="77"/>
        <v>123.838464</v>
      </c>
      <c r="BU17" s="128">
        <v>0.54969999999999997</v>
      </c>
      <c r="BV17" s="130">
        <v>0.2432</v>
      </c>
      <c r="BW17" s="128">
        <v>0</v>
      </c>
      <c r="BX17" s="128">
        <v>2812.8842</v>
      </c>
      <c r="BY17" s="128">
        <v>2769.8508000000002</v>
      </c>
      <c r="BZ17" s="49">
        <f t="shared" si="34"/>
        <v>133.35721999999998</v>
      </c>
      <c r="CA17" s="49">
        <f t="shared" si="34"/>
        <v>98.281983999999994</v>
      </c>
      <c r="CB17" s="47">
        <f t="shared" si="34"/>
        <v>0</v>
      </c>
      <c r="CC17" s="47">
        <f t="shared" si="78"/>
        <v>0</v>
      </c>
      <c r="CD17" s="48">
        <f t="shared" si="79"/>
        <v>133.35721999999998</v>
      </c>
      <c r="CE17" s="48">
        <f t="shared" si="80"/>
        <v>98.281983999999994</v>
      </c>
      <c r="CF17" s="93">
        <f t="shared" si="81"/>
        <v>133.35721999999998</v>
      </c>
      <c r="CG17" s="93">
        <f t="shared" si="82"/>
        <v>98.281983999999994</v>
      </c>
      <c r="CI17" s="128">
        <v>0.57909999999999995</v>
      </c>
      <c r="CJ17" s="130">
        <v>0.44269999999999998</v>
      </c>
      <c r="CK17" s="128">
        <v>0</v>
      </c>
      <c r="CL17" s="128">
        <v>18347.068299999999</v>
      </c>
      <c r="CM17" s="128">
        <v>17674.430799999998</v>
      </c>
      <c r="CN17" s="49">
        <f t="shared" si="35"/>
        <v>122.93134799999999</v>
      </c>
      <c r="CO17" s="49">
        <f t="shared" si="35"/>
        <v>121.95499600000001</v>
      </c>
      <c r="CP17" s="47">
        <f t="shared" si="35"/>
        <v>0</v>
      </c>
      <c r="CQ17" s="47">
        <f t="shared" si="83"/>
        <v>0</v>
      </c>
      <c r="CR17" s="48">
        <f t="shared" si="84"/>
        <v>122.93134799999999</v>
      </c>
      <c r="CS17" s="48">
        <f t="shared" si="85"/>
        <v>121.95499600000001</v>
      </c>
      <c r="CT17" s="93">
        <f t="shared" si="86"/>
        <v>122.93134799999999</v>
      </c>
      <c r="CU17" s="93">
        <f t="shared" si="87"/>
        <v>121.95499600000001</v>
      </c>
      <c r="CW17" s="128">
        <v>0.27679999999999999</v>
      </c>
      <c r="CX17" s="130">
        <v>0.27560000000000001</v>
      </c>
      <c r="CY17" s="128">
        <v>0</v>
      </c>
      <c r="CZ17" s="128">
        <v>8404.8392000000003</v>
      </c>
      <c r="DA17" s="128">
        <v>7855.4566999999997</v>
      </c>
      <c r="DB17" s="49">
        <f t="shared" si="36"/>
        <v>59.431728</v>
      </c>
      <c r="DC17" s="49">
        <f t="shared" si="36"/>
        <v>82.691024000000013</v>
      </c>
      <c r="DD17" s="47">
        <f t="shared" si="36"/>
        <v>0</v>
      </c>
      <c r="DE17" s="47">
        <f t="shared" si="88"/>
        <v>0</v>
      </c>
      <c r="DF17" s="48">
        <f t="shared" si="89"/>
        <v>59.431728</v>
      </c>
      <c r="DG17" s="48">
        <f t="shared" si="90"/>
        <v>82.691024000000013</v>
      </c>
      <c r="DH17" s="93">
        <f t="shared" si="91"/>
        <v>59.431728</v>
      </c>
      <c r="DI17" s="93">
        <f t="shared" si="92"/>
        <v>82.691024000000013</v>
      </c>
      <c r="DK17" s="128">
        <v>0.32050000000000001</v>
      </c>
      <c r="DL17" s="130">
        <v>0.26490000000000002</v>
      </c>
      <c r="DM17" s="128">
        <v>0</v>
      </c>
      <c r="DN17" s="128">
        <v>2077.4749999999999</v>
      </c>
      <c r="DO17" s="128">
        <v>2050.1541999999999</v>
      </c>
      <c r="DP17" s="49">
        <f t="shared" si="37"/>
        <v>42.421380000000006</v>
      </c>
      <c r="DQ17" s="49">
        <f t="shared" si="37"/>
        <v>51.292587000000005</v>
      </c>
      <c r="DR17" s="47">
        <f t="shared" si="37"/>
        <v>0</v>
      </c>
      <c r="DS17" s="47">
        <f t="shared" si="93"/>
        <v>0</v>
      </c>
      <c r="DT17" s="48">
        <f t="shared" si="94"/>
        <v>42.421380000000006</v>
      </c>
      <c r="DU17" s="48">
        <f t="shared" si="95"/>
        <v>51.292587000000005</v>
      </c>
      <c r="DV17" s="93">
        <f t="shared" si="96"/>
        <v>42.421380000000006</v>
      </c>
      <c r="DW17" s="93">
        <f t="shared" si="97"/>
        <v>51.292587000000005</v>
      </c>
      <c r="EA17" s="51"/>
      <c r="EB17" s="52"/>
      <c r="EC17" s="52"/>
      <c r="ED17" s="52"/>
      <c r="EE17" s="55">
        <f t="shared" si="98"/>
        <v>45810.23</v>
      </c>
      <c r="EF17" s="55">
        <f t="shared" si="98"/>
        <v>43849.577500000007</v>
      </c>
      <c r="EG17" s="55">
        <f t="shared" si="98"/>
        <v>1180.4220864000001</v>
      </c>
      <c r="EH17" s="55">
        <f t="shared" si="98"/>
        <v>861.20069319999993</v>
      </c>
      <c r="EI17" s="298">
        <f t="shared" si="38"/>
        <v>0.51093384290391208</v>
      </c>
      <c r="EJ17" s="52"/>
      <c r="EK17" s="55">
        <f t="shared" si="99"/>
        <v>1180.4220864000001</v>
      </c>
      <c r="EL17" s="55">
        <f t="shared" si="99"/>
        <v>861.20069319999993</v>
      </c>
      <c r="EM17" s="55">
        <f t="shared" si="39"/>
        <v>1180.4220864000001</v>
      </c>
      <c r="EN17" s="55">
        <f t="shared" si="39"/>
        <v>861.20069319999993</v>
      </c>
      <c r="EO17" s="51"/>
      <c r="EP17" s="52"/>
      <c r="EQ17" s="52"/>
      <c r="ER17" s="52"/>
      <c r="ES17" s="55">
        <f t="shared" si="40"/>
        <v>33549.260900000001</v>
      </c>
      <c r="ET17" s="55">
        <f t="shared" si="40"/>
        <v>32007.87</v>
      </c>
      <c r="EU17" s="55">
        <f t="shared" si="40"/>
        <v>917.40657659999999</v>
      </c>
      <c r="EV17" s="55">
        <f t="shared" si="40"/>
        <v>705.09015780000004</v>
      </c>
      <c r="EW17" s="298">
        <f t="shared" si="41"/>
        <v>0.51175608876440315</v>
      </c>
      <c r="EX17" s="52"/>
      <c r="EY17" s="55">
        <f t="shared" si="42"/>
        <v>917.40657659999999</v>
      </c>
      <c r="EZ17" s="55">
        <f t="shared" si="42"/>
        <v>705.09015780000004</v>
      </c>
      <c r="FA17" s="55">
        <f t="shared" si="42"/>
        <v>917.40657659999999</v>
      </c>
      <c r="FB17" s="55">
        <f t="shared" si="42"/>
        <v>705.09015780000004</v>
      </c>
      <c r="FC17" s="51"/>
      <c r="FD17" s="52"/>
      <c r="FE17" s="52"/>
      <c r="FF17" s="52"/>
      <c r="FG17" s="55">
        <f t="shared" si="43"/>
        <v>23332.105799999998</v>
      </c>
      <c r="FH17" s="55">
        <f t="shared" si="43"/>
        <v>22581.29</v>
      </c>
      <c r="FI17" s="55">
        <f t="shared" si="43"/>
        <v>596.57413999999994</v>
      </c>
      <c r="FJ17" s="55">
        <f t="shared" si="43"/>
        <v>386.97699419999998</v>
      </c>
      <c r="FK17" s="298">
        <f t="shared" si="44"/>
        <v>0.50817643507867039</v>
      </c>
      <c r="FL17" s="52"/>
      <c r="FM17" s="55">
        <f t="shared" si="45"/>
        <v>596.57413999999994</v>
      </c>
      <c r="FN17" s="55">
        <f t="shared" si="45"/>
        <v>386.97699419999998</v>
      </c>
      <c r="FO17" s="55">
        <f t="shared" si="45"/>
        <v>596.57413999999994</v>
      </c>
      <c r="FP17" s="55">
        <f t="shared" si="45"/>
        <v>386.97699419999998</v>
      </c>
      <c r="FQ17" s="51"/>
      <c r="FR17" s="52"/>
      <c r="FS17" s="52"/>
      <c r="FT17" s="52"/>
      <c r="FU17" s="55">
        <f t="shared" si="46"/>
        <v>26751.907500000001</v>
      </c>
      <c r="FV17" s="55">
        <f t="shared" si="46"/>
        <v>25529.887499999997</v>
      </c>
      <c r="FW17" s="55">
        <f t="shared" si="46"/>
        <v>170.47673039999998</v>
      </c>
      <c r="FX17" s="55">
        <f t="shared" si="46"/>
        <v>188.1078152</v>
      </c>
      <c r="FY17" s="298">
        <f t="shared" si="47"/>
        <v>0.51168685964206095</v>
      </c>
      <c r="FZ17" s="52"/>
      <c r="GA17" s="55">
        <f t="shared" si="48"/>
        <v>170.47673039999998</v>
      </c>
      <c r="GB17" s="55">
        <f t="shared" si="48"/>
        <v>188.1078152</v>
      </c>
      <c r="GC17" s="55">
        <f t="shared" si="48"/>
        <v>170.47673039999998</v>
      </c>
      <c r="GD17" s="55">
        <f t="shared" si="48"/>
        <v>188.1078152</v>
      </c>
      <c r="GE17" s="51"/>
      <c r="GF17" s="52"/>
      <c r="GG17" s="52"/>
      <c r="GH17" s="52"/>
      <c r="GI17" s="55">
        <f t="shared" si="49"/>
        <v>12901.365900000001</v>
      </c>
      <c r="GJ17" s="55">
        <f t="shared" si="49"/>
        <v>12466.5216</v>
      </c>
      <c r="GK17" s="56">
        <f t="shared" si="50"/>
        <v>44.121423000000021</v>
      </c>
      <c r="GL17" s="56">
        <f t="shared" si="50"/>
        <v>10.410250500000004</v>
      </c>
      <c r="GM17" s="298">
        <f t="shared" si="51"/>
        <v>0.50857076293798609</v>
      </c>
      <c r="GN17" s="52"/>
      <c r="GO17" s="56">
        <f t="shared" si="52"/>
        <v>44.121423000000021</v>
      </c>
      <c r="GP17" s="56">
        <f t="shared" si="52"/>
        <v>10.410250500000004</v>
      </c>
      <c r="GQ17" s="56">
        <f t="shared" si="52"/>
        <v>44.121423000000021</v>
      </c>
      <c r="GR17" s="56">
        <f t="shared" si="52"/>
        <v>10.410250500000004</v>
      </c>
      <c r="GS17" s="51"/>
      <c r="GT17" s="51"/>
      <c r="GU17" s="51"/>
      <c r="GV17" s="51"/>
      <c r="GW17" s="51"/>
      <c r="GX17" s="51"/>
      <c r="GY17" s="51"/>
      <c r="GZ17" s="51"/>
      <c r="HA17" s="51"/>
      <c r="HB17" s="51"/>
      <c r="HC17" s="51"/>
      <c r="HD17" s="51"/>
      <c r="HE17" s="51"/>
      <c r="HF17" s="51"/>
      <c r="HG17" s="51"/>
      <c r="HH17" s="51"/>
      <c r="HI17" s="51"/>
      <c r="HJ17" s="51"/>
      <c r="HK17" s="51"/>
      <c r="HL17" s="51"/>
    </row>
    <row r="18" spans="1:220" x14ac:dyDescent="0.2">
      <c r="A18" s="118">
        <v>8</v>
      </c>
      <c r="C18" s="128">
        <v>0.78649999999999998</v>
      </c>
      <c r="D18" s="128">
        <v>0.28610000000000002</v>
      </c>
      <c r="E18" s="128">
        <v>0</v>
      </c>
      <c r="F18" s="128">
        <v>8527.31</v>
      </c>
      <c r="G18" s="128">
        <v>8362.5133000000005</v>
      </c>
      <c r="H18" s="49">
        <f t="shared" si="29"/>
        <v>787.61682999999994</v>
      </c>
      <c r="I18" s="49">
        <f t="shared" si="29"/>
        <v>542.90336000000002</v>
      </c>
      <c r="J18" s="47">
        <f t="shared" si="29"/>
        <v>0</v>
      </c>
      <c r="K18" s="47">
        <f t="shared" si="53"/>
        <v>0</v>
      </c>
      <c r="L18" s="48">
        <f t="shared" si="54"/>
        <v>787.61682999999994</v>
      </c>
      <c r="M18" s="48">
        <f t="shared" si="55"/>
        <v>542.90336000000002</v>
      </c>
      <c r="N18" s="93">
        <f t="shared" si="56"/>
        <v>787.61682999999994</v>
      </c>
      <c r="O18" s="93">
        <f t="shared" si="57"/>
        <v>542.90336000000002</v>
      </c>
      <c r="Q18" s="128">
        <v>0.92349999999999999</v>
      </c>
      <c r="R18" s="130">
        <v>0.32729999999999998</v>
      </c>
      <c r="S18" s="128">
        <v>0</v>
      </c>
      <c r="T18" s="128">
        <v>1677.71</v>
      </c>
      <c r="U18" s="128">
        <v>1512.0074999999999</v>
      </c>
      <c r="V18" s="49">
        <f t="shared" si="30"/>
        <v>587.72463499999992</v>
      </c>
      <c r="W18" s="49">
        <f t="shared" si="30"/>
        <v>389.97467699999999</v>
      </c>
      <c r="X18" s="47">
        <f t="shared" si="30"/>
        <v>0</v>
      </c>
      <c r="Y18" s="47">
        <f t="shared" si="58"/>
        <v>0</v>
      </c>
      <c r="Z18" s="48">
        <f t="shared" si="59"/>
        <v>587.72463499999992</v>
      </c>
      <c r="AA18" s="48">
        <f t="shared" si="60"/>
        <v>389.97467699999999</v>
      </c>
      <c r="AB18" s="93">
        <f t="shared" si="61"/>
        <v>587.72463499999992</v>
      </c>
      <c r="AC18" s="93">
        <f t="shared" si="62"/>
        <v>389.97467699999999</v>
      </c>
      <c r="AE18" s="128">
        <v>0.69740000000000002</v>
      </c>
      <c r="AF18" s="130">
        <v>0.12659999999999999</v>
      </c>
      <c r="AG18" s="128">
        <v>0</v>
      </c>
      <c r="AH18" s="128">
        <v>87.708299999999994</v>
      </c>
      <c r="AI18" s="128">
        <v>94.063299999999998</v>
      </c>
      <c r="AJ18" s="49">
        <f t="shared" si="31"/>
        <v>320.85979199999997</v>
      </c>
      <c r="AK18" s="49">
        <f t="shared" si="31"/>
        <v>133.02241799999999</v>
      </c>
      <c r="AL18" s="47">
        <f t="shared" si="31"/>
        <v>0</v>
      </c>
      <c r="AM18" s="47">
        <f t="shared" si="63"/>
        <v>0</v>
      </c>
      <c r="AN18" s="48">
        <f t="shared" si="64"/>
        <v>320.85979199999997</v>
      </c>
      <c r="AO18" s="48">
        <f t="shared" si="65"/>
        <v>133.02241799999999</v>
      </c>
      <c r="AP18" s="93">
        <f t="shared" si="66"/>
        <v>320.85979199999997</v>
      </c>
      <c r="AQ18" s="93">
        <f t="shared" si="67"/>
        <v>133.02241799999999</v>
      </c>
      <c r="AS18" s="128">
        <v>0.52559999999999996</v>
      </c>
      <c r="AT18" s="130">
        <v>0.1726</v>
      </c>
      <c r="AU18" s="128">
        <v>0</v>
      </c>
      <c r="AV18" s="128">
        <v>9692.3924999999999</v>
      </c>
      <c r="AW18" s="128">
        <v>9405.4333000000006</v>
      </c>
      <c r="AX18" s="49">
        <f t="shared" si="32"/>
        <v>184.29638399999999</v>
      </c>
      <c r="AY18" s="49">
        <f t="shared" si="32"/>
        <v>121.67954800000001</v>
      </c>
      <c r="AZ18" s="47">
        <f t="shared" si="32"/>
        <v>0</v>
      </c>
      <c r="BA18" s="47">
        <f t="shared" si="68"/>
        <v>0</v>
      </c>
      <c r="BB18" s="48">
        <f t="shared" si="69"/>
        <v>184.29638399999999</v>
      </c>
      <c r="BC18" s="48">
        <f t="shared" si="70"/>
        <v>121.67954800000001</v>
      </c>
      <c r="BD18" s="93">
        <f t="shared" si="71"/>
        <v>184.29638399999999</v>
      </c>
      <c r="BE18" s="93">
        <f t="shared" si="72"/>
        <v>121.67954800000001</v>
      </c>
      <c r="BG18" s="128">
        <v>0.42759999999999998</v>
      </c>
      <c r="BH18" s="130">
        <v>0.1893</v>
      </c>
      <c r="BI18" s="128">
        <v>0</v>
      </c>
      <c r="BJ18" s="128">
        <v>5058.7566999999999</v>
      </c>
      <c r="BK18" s="128">
        <v>4666.4425000000001</v>
      </c>
      <c r="BL18" s="49">
        <f t="shared" si="33"/>
        <v>140.43239199999999</v>
      </c>
      <c r="BM18" s="49">
        <f t="shared" si="33"/>
        <v>114.46592399999999</v>
      </c>
      <c r="BN18" s="47">
        <f t="shared" si="33"/>
        <v>0</v>
      </c>
      <c r="BO18" s="47">
        <f t="shared" si="73"/>
        <v>0</v>
      </c>
      <c r="BP18" s="48">
        <f t="shared" si="74"/>
        <v>140.43239199999999</v>
      </c>
      <c r="BQ18" s="48">
        <f t="shared" si="75"/>
        <v>114.46592399999999</v>
      </c>
      <c r="BR18" s="93">
        <f t="shared" si="76"/>
        <v>140.43239199999999</v>
      </c>
      <c r="BS18" s="93">
        <f t="shared" si="77"/>
        <v>114.46592399999999</v>
      </c>
      <c r="BU18" s="128">
        <v>0.52559999999999996</v>
      </c>
      <c r="BV18" s="130">
        <v>0.23180000000000001</v>
      </c>
      <c r="BW18" s="128">
        <v>0</v>
      </c>
      <c r="BX18" s="128">
        <v>2855.0392000000002</v>
      </c>
      <c r="BY18" s="128">
        <v>2657.8258000000001</v>
      </c>
      <c r="BZ18" s="49">
        <f t="shared" si="34"/>
        <v>127.51055999999998</v>
      </c>
      <c r="CA18" s="49">
        <f t="shared" si="34"/>
        <v>93.675015999999999</v>
      </c>
      <c r="CB18" s="47">
        <f t="shared" si="34"/>
        <v>0</v>
      </c>
      <c r="CC18" s="47">
        <f t="shared" si="78"/>
        <v>0</v>
      </c>
      <c r="CD18" s="48">
        <f t="shared" si="79"/>
        <v>127.51055999999998</v>
      </c>
      <c r="CE18" s="48">
        <f t="shared" si="80"/>
        <v>93.675015999999999</v>
      </c>
      <c r="CF18" s="93">
        <f t="shared" si="81"/>
        <v>127.51055999999998</v>
      </c>
      <c r="CG18" s="93">
        <f t="shared" si="82"/>
        <v>93.675015999999999</v>
      </c>
      <c r="CI18" s="128">
        <v>0.65610000000000002</v>
      </c>
      <c r="CJ18" s="130">
        <v>0.50370000000000004</v>
      </c>
      <c r="CK18" s="128">
        <v>0</v>
      </c>
      <c r="CL18" s="128">
        <v>17893.605</v>
      </c>
      <c r="CM18" s="128">
        <v>16981.785</v>
      </c>
      <c r="CN18" s="49">
        <f t="shared" si="35"/>
        <v>139.27690799999999</v>
      </c>
      <c r="CO18" s="49">
        <f t="shared" si="35"/>
        <v>138.75927600000003</v>
      </c>
      <c r="CP18" s="47">
        <f t="shared" si="35"/>
        <v>0</v>
      </c>
      <c r="CQ18" s="47">
        <f t="shared" si="83"/>
        <v>0</v>
      </c>
      <c r="CR18" s="48">
        <f t="shared" si="84"/>
        <v>139.27690799999999</v>
      </c>
      <c r="CS18" s="48">
        <f t="shared" si="85"/>
        <v>138.75927600000003</v>
      </c>
      <c r="CT18" s="93">
        <f t="shared" si="86"/>
        <v>139.27690799999999</v>
      </c>
      <c r="CU18" s="93">
        <f t="shared" si="87"/>
        <v>138.75927600000003</v>
      </c>
      <c r="CW18" s="128">
        <v>0.5323</v>
      </c>
      <c r="CX18" s="130">
        <v>0.54559999999999997</v>
      </c>
      <c r="CY18" s="128">
        <v>0</v>
      </c>
      <c r="CZ18" s="128">
        <v>8108.67</v>
      </c>
      <c r="DA18" s="128">
        <v>7670.1242000000002</v>
      </c>
      <c r="DB18" s="49">
        <f t="shared" si="36"/>
        <v>114.290133</v>
      </c>
      <c r="DC18" s="49">
        <f t="shared" si="36"/>
        <v>163.70182400000002</v>
      </c>
      <c r="DD18" s="47">
        <f t="shared" si="36"/>
        <v>0</v>
      </c>
      <c r="DE18" s="47">
        <f t="shared" si="88"/>
        <v>0</v>
      </c>
      <c r="DF18" s="48">
        <f t="shared" si="89"/>
        <v>114.290133</v>
      </c>
      <c r="DG18" s="48">
        <f t="shared" si="90"/>
        <v>163.70182400000002</v>
      </c>
      <c r="DH18" s="93">
        <f t="shared" si="91"/>
        <v>114.290133</v>
      </c>
      <c r="DI18" s="93">
        <f t="shared" si="92"/>
        <v>163.70182400000002</v>
      </c>
      <c r="DK18" s="128">
        <v>0.68620000000000003</v>
      </c>
      <c r="DL18" s="130">
        <v>0.54259999999999997</v>
      </c>
      <c r="DM18" s="128">
        <v>0</v>
      </c>
      <c r="DN18" s="128">
        <v>2061.6633000000002</v>
      </c>
      <c r="DO18" s="128">
        <v>1775.26</v>
      </c>
      <c r="DP18" s="49">
        <f t="shared" si="37"/>
        <v>90.825432000000021</v>
      </c>
      <c r="DQ18" s="49">
        <f t="shared" si="37"/>
        <v>105.063638</v>
      </c>
      <c r="DR18" s="47">
        <f t="shared" si="37"/>
        <v>0</v>
      </c>
      <c r="DS18" s="47">
        <f t="shared" si="93"/>
        <v>0</v>
      </c>
      <c r="DT18" s="48">
        <f t="shared" si="94"/>
        <v>90.825432000000021</v>
      </c>
      <c r="DU18" s="48">
        <f t="shared" si="95"/>
        <v>105.063638</v>
      </c>
      <c r="DV18" s="93">
        <f t="shared" si="96"/>
        <v>90.825432000000021</v>
      </c>
      <c r="DW18" s="93">
        <f t="shared" si="97"/>
        <v>105.063638</v>
      </c>
      <c r="EB18" s="52"/>
      <c r="EC18" s="52"/>
      <c r="ED18" s="52"/>
      <c r="EE18" s="55">
        <f t="shared" si="98"/>
        <v>44221.977499999994</v>
      </c>
      <c r="EF18" s="55">
        <f t="shared" si="98"/>
        <v>42419.855799999998</v>
      </c>
      <c r="EG18" s="55">
        <f t="shared" si="98"/>
        <v>1202.6222284</v>
      </c>
      <c r="EH18" s="55">
        <f t="shared" si="98"/>
        <v>934.30364320000012</v>
      </c>
      <c r="EI18" s="298">
        <f t="shared" si="38"/>
        <v>0.51039983591852267</v>
      </c>
      <c r="EJ18" s="52"/>
      <c r="EK18" s="55">
        <f t="shared" si="99"/>
        <v>1202.6222284</v>
      </c>
      <c r="EL18" s="55">
        <f t="shared" si="99"/>
        <v>934.30364320000012</v>
      </c>
      <c r="EM18" s="55">
        <f t="shared" si="39"/>
        <v>1202.6222284</v>
      </c>
      <c r="EN18" s="55">
        <f t="shared" si="39"/>
        <v>934.30364320000012</v>
      </c>
      <c r="EP18" s="52"/>
      <c r="EQ18" s="52"/>
      <c r="ER18" s="52"/>
      <c r="ES18" s="55">
        <f t="shared" si="40"/>
        <v>32738.741699999999</v>
      </c>
      <c r="ET18" s="55">
        <f t="shared" si="40"/>
        <v>30830.359199999999</v>
      </c>
      <c r="EU18" s="55">
        <f t="shared" si="40"/>
        <v>947.43702810000002</v>
      </c>
      <c r="EV18" s="55">
        <f t="shared" si="40"/>
        <v>757.79115380000007</v>
      </c>
      <c r="EW18" s="298">
        <f t="shared" si="41"/>
        <v>0.51501029960296318</v>
      </c>
      <c r="EX18" s="52"/>
      <c r="EY18" s="55">
        <f t="shared" si="42"/>
        <v>947.43702810000002</v>
      </c>
      <c r="EZ18" s="55">
        <f t="shared" si="42"/>
        <v>757.79115380000007</v>
      </c>
      <c r="FA18" s="55">
        <f t="shared" si="42"/>
        <v>947.43702810000002</v>
      </c>
      <c r="FB18" s="55">
        <f t="shared" si="42"/>
        <v>757.79115380000007</v>
      </c>
      <c r="FD18" s="52"/>
      <c r="FE18" s="52"/>
      <c r="FF18" s="52"/>
      <c r="FG18" s="55">
        <f t="shared" si="43"/>
        <v>22898.015800000001</v>
      </c>
      <c r="FH18" s="55">
        <f t="shared" si="43"/>
        <v>21508.934099999999</v>
      </c>
      <c r="FI18" s="55">
        <f t="shared" si="43"/>
        <v>642.14251919999992</v>
      </c>
      <c r="FJ18" s="55">
        <f t="shared" si="43"/>
        <v>428.49489280000006</v>
      </c>
      <c r="FK18" s="298">
        <f t="shared" si="44"/>
        <v>0.51564036376206968</v>
      </c>
      <c r="FL18" s="52"/>
      <c r="FM18" s="55">
        <f t="shared" si="45"/>
        <v>642.14251919999992</v>
      </c>
      <c r="FN18" s="55">
        <f t="shared" si="45"/>
        <v>428.49489280000006</v>
      </c>
      <c r="FO18" s="55">
        <f t="shared" si="45"/>
        <v>642.14251919999992</v>
      </c>
      <c r="FP18" s="55">
        <f t="shared" si="45"/>
        <v>428.49489280000006</v>
      </c>
      <c r="FR18" s="52"/>
      <c r="FS18" s="52"/>
      <c r="FT18" s="52"/>
      <c r="FU18" s="55">
        <f t="shared" si="46"/>
        <v>26002.275000000001</v>
      </c>
      <c r="FV18" s="55">
        <f t="shared" si="46"/>
        <v>24651.909200000002</v>
      </c>
      <c r="FW18" s="55">
        <f t="shared" si="46"/>
        <v>230.7090144</v>
      </c>
      <c r="FX18" s="55">
        <f t="shared" si="46"/>
        <v>269.72073520000004</v>
      </c>
      <c r="FY18" s="298">
        <f t="shared" si="47"/>
        <v>0.51332926214612695</v>
      </c>
      <c r="FZ18" s="52"/>
      <c r="GA18" s="55">
        <f t="shared" si="48"/>
        <v>230.7090144</v>
      </c>
      <c r="GB18" s="55">
        <f t="shared" si="48"/>
        <v>269.72073520000004</v>
      </c>
      <c r="GC18" s="55">
        <f t="shared" si="48"/>
        <v>230.7090144</v>
      </c>
      <c r="GD18" s="55">
        <f t="shared" si="48"/>
        <v>269.72073520000004</v>
      </c>
      <c r="GF18" s="52"/>
      <c r="GG18" s="52"/>
      <c r="GH18" s="52"/>
      <c r="GI18" s="55">
        <f t="shared" si="49"/>
        <v>12547.431700000001</v>
      </c>
      <c r="GJ18" s="55">
        <f t="shared" si="49"/>
        <v>12063.259100000001</v>
      </c>
      <c r="GK18" s="56">
        <f t="shared" si="50"/>
        <v>42.589368000000007</v>
      </c>
      <c r="GL18" s="56">
        <f t="shared" si="50"/>
        <v>21.003399000000009</v>
      </c>
      <c r="GM18" s="298">
        <f t="shared" si="51"/>
        <v>0.50983663164790149</v>
      </c>
      <c r="GN18" s="52"/>
      <c r="GO18" s="56">
        <f t="shared" si="52"/>
        <v>42.589368000000007</v>
      </c>
      <c r="GP18" s="56">
        <f t="shared" si="52"/>
        <v>21.003399000000009</v>
      </c>
      <c r="GQ18" s="56">
        <f t="shared" si="52"/>
        <v>42.589368000000007</v>
      </c>
      <c r="GR18" s="56">
        <f t="shared" si="52"/>
        <v>21.003399000000009</v>
      </c>
    </row>
    <row r="19" spans="1:220" x14ac:dyDescent="0.2">
      <c r="A19" s="118">
        <v>9</v>
      </c>
      <c r="C19" s="128">
        <v>0.76380000000000003</v>
      </c>
      <c r="D19" s="128">
        <v>0.28610000000000002</v>
      </c>
      <c r="E19" s="128">
        <v>0</v>
      </c>
      <c r="F19" s="128">
        <v>9202.4982999999993</v>
      </c>
      <c r="G19" s="128">
        <v>8567.7450000000008</v>
      </c>
      <c r="H19" s="49">
        <f t="shared" si="29"/>
        <v>764.88459599999999</v>
      </c>
      <c r="I19" s="49">
        <f t="shared" si="29"/>
        <v>542.90336000000002</v>
      </c>
      <c r="J19" s="47">
        <f t="shared" si="29"/>
        <v>0</v>
      </c>
      <c r="K19" s="47">
        <f t="shared" si="53"/>
        <v>0</v>
      </c>
      <c r="L19" s="48">
        <f t="shared" si="54"/>
        <v>764.88459599999999</v>
      </c>
      <c r="M19" s="48">
        <f t="shared" si="55"/>
        <v>542.90336000000002</v>
      </c>
      <c r="N19" s="93">
        <f t="shared" si="56"/>
        <v>764.88459599999999</v>
      </c>
      <c r="O19" s="93">
        <f t="shared" si="57"/>
        <v>542.90336000000002</v>
      </c>
      <c r="Q19" s="128">
        <v>0.9073</v>
      </c>
      <c r="R19" s="130">
        <v>0.32879999999999998</v>
      </c>
      <c r="S19" s="128">
        <v>0</v>
      </c>
      <c r="T19" s="128">
        <v>1636.3683000000001</v>
      </c>
      <c r="U19" s="128">
        <v>1564.2708</v>
      </c>
      <c r="V19" s="49">
        <f t="shared" si="30"/>
        <v>577.41479299999992</v>
      </c>
      <c r="W19" s="49">
        <f t="shared" si="30"/>
        <v>391.761912</v>
      </c>
      <c r="X19" s="47">
        <f t="shared" si="30"/>
        <v>0</v>
      </c>
      <c r="Y19" s="47">
        <f t="shared" si="58"/>
        <v>0</v>
      </c>
      <c r="Z19" s="48">
        <f t="shared" si="59"/>
        <v>577.41479299999992</v>
      </c>
      <c r="AA19" s="48">
        <f t="shared" si="60"/>
        <v>391.761912</v>
      </c>
      <c r="AB19" s="93">
        <f t="shared" si="61"/>
        <v>577.41479299999992</v>
      </c>
      <c r="AC19" s="93">
        <f t="shared" si="62"/>
        <v>391.761912</v>
      </c>
      <c r="AE19" s="128">
        <v>0.71350000000000002</v>
      </c>
      <c r="AF19" s="130">
        <v>0.12989999999999999</v>
      </c>
      <c r="AG19" s="128">
        <v>0</v>
      </c>
      <c r="AH19" s="128">
        <v>91.775800000000004</v>
      </c>
      <c r="AI19" s="128">
        <v>89.99</v>
      </c>
      <c r="AJ19" s="49">
        <f t="shared" si="31"/>
        <v>328.26708000000002</v>
      </c>
      <c r="AK19" s="49">
        <f t="shared" si="31"/>
        <v>136.48982699999999</v>
      </c>
      <c r="AL19" s="47">
        <f t="shared" si="31"/>
        <v>0</v>
      </c>
      <c r="AM19" s="47">
        <f t="shared" si="63"/>
        <v>0</v>
      </c>
      <c r="AN19" s="48">
        <f t="shared" si="64"/>
        <v>328.26708000000002</v>
      </c>
      <c r="AO19" s="48">
        <f t="shared" si="65"/>
        <v>136.48982699999999</v>
      </c>
      <c r="AP19" s="93">
        <f t="shared" si="66"/>
        <v>328.26708000000002</v>
      </c>
      <c r="AQ19" s="93">
        <f t="shared" si="67"/>
        <v>136.48982699999999</v>
      </c>
      <c r="AS19" s="128">
        <v>0.49630000000000002</v>
      </c>
      <c r="AT19" s="130">
        <v>0.184</v>
      </c>
      <c r="AU19" s="128">
        <v>0</v>
      </c>
      <c r="AV19" s="128">
        <v>10013.6517</v>
      </c>
      <c r="AW19" s="128">
        <v>9331.2291999999998</v>
      </c>
      <c r="AX19" s="49">
        <f t="shared" si="32"/>
        <v>174.02263199999999</v>
      </c>
      <c r="AY19" s="49">
        <f t="shared" si="32"/>
        <v>129.71632</v>
      </c>
      <c r="AZ19" s="47">
        <f t="shared" si="32"/>
        <v>0</v>
      </c>
      <c r="BA19" s="47">
        <f t="shared" si="68"/>
        <v>0</v>
      </c>
      <c r="BB19" s="48">
        <f t="shared" si="69"/>
        <v>174.02263199999999</v>
      </c>
      <c r="BC19" s="48">
        <f t="shared" si="70"/>
        <v>129.71632</v>
      </c>
      <c r="BD19" s="93">
        <f t="shared" si="71"/>
        <v>174.02263199999999</v>
      </c>
      <c r="BE19" s="93">
        <f t="shared" si="72"/>
        <v>129.71632</v>
      </c>
      <c r="BG19" s="128">
        <v>0.43519999999999998</v>
      </c>
      <c r="BH19" s="130">
        <v>0.1903</v>
      </c>
      <c r="BI19" s="128">
        <v>0</v>
      </c>
      <c r="BJ19" s="128">
        <v>4914.5766999999996</v>
      </c>
      <c r="BK19" s="128">
        <v>4756.0833000000002</v>
      </c>
      <c r="BL19" s="49">
        <f t="shared" si="33"/>
        <v>142.92838399999999</v>
      </c>
      <c r="BM19" s="49">
        <f t="shared" si="33"/>
        <v>115.07060399999999</v>
      </c>
      <c r="BN19" s="47">
        <f t="shared" si="33"/>
        <v>0</v>
      </c>
      <c r="BO19" s="47">
        <f t="shared" si="73"/>
        <v>0</v>
      </c>
      <c r="BP19" s="48">
        <f t="shared" si="74"/>
        <v>142.92838399999999</v>
      </c>
      <c r="BQ19" s="48">
        <f t="shared" si="75"/>
        <v>115.07060399999999</v>
      </c>
      <c r="BR19" s="93">
        <f t="shared" si="76"/>
        <v>142.92838399999999</v>
      </c>
      <c r="BS19" s="93">
        <f t="shared" si="77"/>
        <v>115.07060399999999</v>
      </c>
      <c r="BU19" s="128">
        <v>0.52349999999999997</v>
      </c>
      <c r="BV19" s="130">
        <v>0.23180000000000001</v>
      </c>
      <c r="BW19" s="128">
        <v>0</v>
      </c>
      <c r="BX19" s="128">
        <v>3036.6741999999999</v>
      </c>
      <c r="BY19" s="128">
        <v>2909.4641999999999</v>
      </c>
      <c r="BZ19" s="49">
        <f t="shared" si="34"/>
        <v>127.00109999999999</v>
      </c>
      <c r="CA19" s="49">
        <f t="shared" si="34"/>
        <v>93.675015999999999</v>
      </c>
      <c r="CB19" s="47">
        <f t="shared" si="34"/>
        <v>0</v>
      </c>
      <c r="CC19" s="47">
        <f t="shared" si="78"/>
        <v>0</v>
      </c>
      <c r="CD19" s="48">
        <f t="shared" si="79"/>
        <v>127.00109999999999</v>
      </c>
      <c r="CE19" s="48">
        <f t="shared" si="80"/>
        <v>93.675015999999999</v>
      </c>
      <c r="CF19" s="93">
        <f t="shared" si="81"/>
        <v>127.00109999999999</v>
      </c>
      <c r="CG19" s="93">
        <f t="shared" si="82"/>
        <v>93.675015999999999</v>
      </c>
      <c r="CI19" s="128">
        <v>0.71</v>
      </c>
      <c r="CJ19" s="130">
        <v>0.54469999999999996</v>
      </c>
      <c r="CK19" s="128">
        <v>0</v>
      </c>
      <c r="CL19" s="128">
        <v>18264.956699999999</v>
      </c>
      <c r="CM19" s="128">
        <v>17273.241699999999</v>
      </c>
      <c r="CN19" s="49">
        <f t="shared" si="35"/>
        <v>150.71879999999999</v>
      </c>
      <c r="CO19" s="49">
        <f t="shared" si="35"/>
        <v>150.053956</v>
      </c>
      <c r="CP19" s="47">
        <f t="shared" si="35"/>
        <v>0</v>
      </c>
      <c r="CQ19" s="47">
        <f t="shared" si="83"/>
        <v>0</v>
      </c>
      <c r="CR19" s="48">
        <f t="shared" si="84"/>
        <v>150.71879999999999</v>
      </c>
      <c r="CS19" s="48">
        <f t="shared" si="85"/>
        <v>150.053956</v>
      </c>
      <c r="CT19" s="93">
        <f t="shared" si="86"/>
        <v>150.71879999999999</v>
      </c>
      <c r="CU19" s="93">
        <f t="shared" si="87"/>
        <v>150.053956</v>
      </c>
      <c r="CW19" s="128">
        <v>0.86809999999999998</v>
      </c>
      <c r="CX19" s="130">
        <v>0.91930000000000001</v>
      </c>
      <c r="CY19" s="128">
        <v>2.3E-3</v>
      </c>
      <c r="CZ19" s="128">
        <v>8033.7267000000002</v>
      </c>
      <c r="DA19" s="128">
        <v>7831.2291999999998</v>
      </c>
      <c r="DB19" s="49">
        <f t="shared" si="36"/>
        <v>186.38975099999999</v>
      </c>
      <c r="DC19" s="49">
        <f t="shared" si="36"/>
        <v>275.82677200000001</v>
      </c>
      <c r="DD19" s="47">
        <f t="shared" si="36"/>
        <v>6.2100000000000002E-4</v>
      </c>
      <c r="DE19" s="47">
        <f t="shared" si="88"/>
        <v>3.7058048963775365E-4</v>
      </c>
      <c r="DF19" s="48">
        <f t="shared" si="89"/>
        <v>186.39012158048962</v>
      </c>
      <c r="DG19" s="48">
        <f t="shared" si="90"/>
        <v>275.82652158048961</v>
      </c>
      <c r="DH19" s="93">
        <f t="shared" si="91"/>
        <v>186.38975099999999</v>
      </c>
      <c r="DI19" s="93">
        <f t="shared" si="92"/>
        <v>275.82615099999998</v>
      </c>
      <c r="DK19" s="128">
        <v>1.0448</v>
      </c>
      <c r="DL19" s="130">
        <v>0.92159999999999997</v>
      </c>
      <c r="DM19" s="128">
        <v>0</v>
      </c>
      <c r="DN19" s="128">
        <v>2076.915</v>
      </c>
      <c r="DO19" s="128">
        <v>1870.0342000000001</v>
      </c>
      <c r="DP19" s="49">
        <f t="shared" si="37"/>
        <v>138.289728</v>
      </c>
      <c r="DQ19" s="49">
        <f t="shared" si="37"/>
        <v>178.44940799999998</v>
      </c>
      <c r="DR19" s="47">
        <f t="shared" si="37"/>
        <v>0</v>
      </c>
      <c r="DS19" s="47">
        <f t="shared" si="93"/>
        <v>0</v>
      </c>
      <c r="DT19" s="48">
        <f t="shared" si="94"/>
        <v>138.289728</v>
      </c>
      <c r="DU19" s="48">
        <f t="shared" si="95"/>
        <v>178.44940799999998</v>
      </c>
      <c r="DV19" s="93">
        <f t="shared" si="96"/>
        <v>138.289728</v>
      </c>
      <c r="DW19" s="93">
        <f t="shared" si="97"/>
        <v>178.44940799999998</v>
      </c>
      <c r="EB19" s="52"/>
      <c r="EC19" s="52"/>
      <c r="ED19" s="52"/>
      <c r="EE19" s="55">
        <f t="shared" si="98"/>
        <v>45514.833400000003</v>
      </c>
      <c r="EF19" s="55">
        <f t="shared" si="98"/>
        <v>43003.445099999997</v>
      </c>
      <c r="EG19" s="55">
        <f t="shared" si="98"/>
        <v>1238.7378288000002</v>
      </c>
      <c r="EH19" s="55">
        <f t="shared" si="98"/>
        <v>1043.3350536</v>
      </c>
      <c r="EI19" s="298">
        <f t="shared" si="38"/>
        <v>0.51418570459433421</v>
      </c>
      <c r="EJ19" s="52"/>
      <c r="EK19" s="55">
        <f t="shared" si="99"/>
        <v>1238.7381252643918</v>
      </c>
      <c r="EL19" s="55">
        <f t="shared" si="99"/>
        <v>1043.3348532643918</v>
      </c>
      <c r="EM19" s="55">
        <f t="shared" si="39"/>
        <v>1238.7378288000002</v>
      </c>
      <c r="EN19" s="55">
        <f t="shared" si="39"/>
        <v>1043.3345568</v>
      </c>
      <c r="EP19" s="52"/>
      <c r="EQ19" s="52"/>
      <c r="ER19" s="52"/>
      <c r="ES19" s="55">
        <f t="shared" si="40"/>
        <v>32849.628400000001</v>
      </c>
      <c r="ET19" s="55">
        <f t="shared" si="40"/>
        <v>31424.824999999997</v>
      </c>
      <c r="EU19" s="55">
        <f t="shared" si="40"/>
        <v>1001.5348027</v>
      </c>
      <c r="EV19" s="55">
        <f t="shared" si="40"/>
        <v>849.96521240000004</v>
      </c>
      <c r="EW19" s="298">
        <f t="shared" si="41"/>
        <v>0.51108374575457693</v>
      </c>
      <c r="EX19" s="52"/>
      <c r="EY19" s="55">
        <f t="shared" si="42"/>
        <v>1001.5350621063427</v>
      </c>
      <c r="EZ19" s="55">
        <f t="shared" si="42"/>
        <v>849.96503710634272</v>
      </c>
      <c r="FA19" s="55">
        <f t="shared" si="42"/>
        <v>1001.5348027</v>
      </c>
      <c r="FB19" s="55">
        <f t="shared" si="42"/>
        <v>849.96477770000001</v>
      </c>
      <c r="FD19" s="52"/>
      <c r="FE19" s="52"/>
      <c r="FF19" s="52"/>
      <c r="FG19" s="55">
        <f t="shared" si="43"/>
        <v>23470.3217</v>
      </c>
      <c r="FH19" s="55">
        <f t="shared" si="43"/>
        <v>22142.730100000001</v>
      </c>
      <c r="FI19" s="55">
        <f t="shared" si="43"/>
        <v>688.96081679999998</v>
      </c>
      <c r="FJ19" s="55">
        <f t="shared" si="43"/>
        <v>487.28844379999998</v>
      </c>
      <c r="FK19" s="298">
        <f t="shared" si="44"/>
        <v>0.51455276009398698</v>
      </c>
      <c r="FL19" s="52"/>
      <c r="FM19" s="55">
        <f t="shared" si="45"/>
        <v>688.96081679999998</v>
      </c>
      <c r="FN19" s="55">
        <f t="shared" si="45"/>
        <v>487.28844379999998</v>
      </c>
      <c r="FO19" s="55">
        <f t="shared" si="45"/>
        <v>688.96081679999998</v>
      </c>
      <c r="FP19" s="55">
        <f t="shared" si="45"/>
        <v>487.28844379999998</v>
      </c>
      <c r="FR19" s="52"/>
      <c r="FS19" s="52"/>
      <c r="FT19" s="52"/>
      <c r="FU19" s="55">
        <f t="shared" si="46"/>
        <v>26298.683399999998</v>
      </c>
      <c r="FV19" s="55">
        <f t="shared" si="46"/>
        <v>25104.4709</v>
      </c>
      <c r="FW19" s="55">
        <f t="shared" si="46"/>
        <v>299.83060079999996</v>
      </c>
      <c r="FX19" s="55">
        <f t="shared" si="46"/>
        <v>370.71537360000002</v>
      </c>
      <c r="FY19" s="298">
        <f t="shared" si="47"/>
        <v>0.51161614025698032</v>
      </c>
      <c r="FZ19" s="52"/>
      <c r="GA19" s="55">
        <f t="shared" si="48"/>
        <v>299.83089726439169</v>
      </c>
      <c r="GB19" s="55">
        <f t="shared" si="48"/>
        <v>370.71517326439169</v>
      </c>
      <c r="GC19" s="55">
        <f t="shared" si="48"/>
        <v>299.83060079999996</v>
      </c>
      <c r="GD19" s="55">
        <f t="shared" si="48"/>
        <v>370.71487679999996</v>
      </c>
      <c r="GF19" s="52"/>
      <c r="GG19" s="52"/>
      <c r="GH19" s="52"/>
      <c r="GI19" s="55">
        <f t="shared" si="49"/>
        <v>13050.3259</v>
      </c>
      <c r="GJ19" s="55">
        <f t="shared" si="49"/>
        <v>12240.6934</v>
      </c>
      <c r="GK19" s="56">
        <f t="shared" si="50"/>
        <v>35.266148999999999</v>
      </c>
      <c r="GL19" s="56">
        <f t="shared" si="50"/>
        <v>27.030977999999998</v>
      </c>
      <c r="GM19" s="298">
        <f t="shared" si="51"/>
        <v>0.51600632403139246</v>
      </c>
      <c r="GN19" s="52"/>
      <c r="GO19" s="56">
        <f t="shared" si="52"/>
        <v>35.266148999999999</v>
      </c>
      <c r="GP19" s="56">
        <f t="shared" si="52"/>
        <v>27.030977999999998</v>
      </c>
      <c r="GQ19" s="56">
        <f t="shared" si="52"/>
        <v>35.266148999999999</v>
      </c>
      <c r="GR19" s="56">
        <f t="shared" si="52"/>
        <v>27.030977999999998</v>
      </c>
    </row>
    <row r="20" spans="1:220" x14ac:dyDescent="0.2">
      <c r="A20" s="118">
        <v>10</v>
      </c>
      <c r="C20" s="128">
        <v>0.74690000000000001</v>
      </c>
      <c r="D20" s="128">
        <v>0.2949</v>
      </c>
      <c r="E20" s="128">
        <v>0</v>
      </c>
      <c r="F20" s="128">
        <v>9175.1841999999997</v>
      </c>
      <c r="G20" s="128">
        <v>8802.7383000000009</v>
      </c>
      <c r="H20" s="49">
        <f t="shared" si="29"/>
        <v>747.960598</v>
      </c>
      <c r="I20" s="49">
        <f t="shared" si="29"/>
        <v>559.60223999999994</v>
      </c>
      <c r="J20" s="47">
        <f t="shared" si="29"/>
        <v>0</v>
      </c>
      <c r="K20" s="47">
        <f t="shared" si="53"/>
        <v>0</v>
      </c>
      <c r="L20" s="48">
        <f t="shared" si="54"/>
        <v>747.960598</v>
      </c>
      <c r="M20" s="48">
        <f t="shared" si="55"/>
        <v>559.60223999999994</v>
      </c>
      <c r="N20" s="93">
        <f t="shared" si="56"/>
        <v>747.960598</v>
      </c>
      <c r="O20" s="93">
        <f t="shared" si="57"/>
        <v>559.60223999999994</v>
      </c>
      <c r="Q20" s="128">
        <v>0.89910000000000001</v>
      </c>
      <c r="R20" s="130">
        <v>0.34089999999999998</v>
      </c>
      <c r="S20" s="128">
        <v>0</v>
      </c>
      <c r="T20" s="128">
        <v>1623.3533</v>
      </c>
      <c r="U20" s="128">
        <v>1576.3816999999999</v>
      </c>
      <c r="V20" s="49">
        <f t="shared" si="30"/>
        <v>572.19623100000001</v>
      </c>
      <c r="W20" s="49">
        <f t="shared" si="30"/>
        <v>406.17894099999995</v>
      </c>
      <c r="X20" s="47">
        <f t="shared" si="30"/>
        <v>0</v>
      </c>
      <c r="Y20" s="47">
        <f t="shared" si="58"/>
        <v>0</v>
      </c>
      <c r="Z20" s="48">
        <f t="shared" si="59"/>
        <v>572.19623100000001</v>
      </c>
      <c r="AA20" s="48">
        <f t="shared" si="60"/>
        <v>406.17894099999995</v>
      </c>
      <c r="AB20" s="93">
        <f t="shared" si="61"/>
        <v>572.19623100000001</v>
      </c>
      <c r="AC20" s="93">
        <f t="shared" si="62"/>
        <v>406.17894099999995</v>
      </c>
      <c r="AE20" s="128">
        <v>0.73009999999999997</v>
      </c>
      <c r="AF20" s="130">
        <v>0.13930000000000001</v>
      </c>
      <c r="AG20" s="128">
        <v>0</v>
      </c>
      <c r="AH20" s="128">
        <v>121.28919999999999</v>
      </c>
      <c r="AI20" s="128">
        <v>85.150800000000004</v>
      </c>
      <c r="AJ20" s="49">
        <f t="shared" si="31"/>
        <v>335.90440799999999</v>
      </c>
      <c r="AK20" s="49">
        <f t="shared" si="31"/>
        <v>146.36668900000001</v>
      </c>
      <c r="AL20" s="47">
        <f t="shared" si="31"/>
        <v>0</v>
      </c>
      <c r="AM20" s="47">
        <f t="shared" si="63"/>
        <v>0</v>
      </c>
      <c r="AN20" s="48">
        <f t="shared" si="64"/>
        <v>335.90440799999999</v>
      </c>
      <c r="AO20" s="48">
        <f t="shared" si="65"/>
        <v>146.36668900000001</v>
      </c>
      <c r="AP20" s="93">
        <f t="shared" si="66"/>
        <v>335.90440799999999</v>
      </c>
      <c r="AQ20" s="93">
        <f t="shared" si="67"/>
        <v>146.36668900000001</v>
      </c>
      <c r="AS20" s="128">
        <v>0.49390000000000001</v>
      </c>
      <c r="AT20" s="130">
        <v>0.20230000000000001</v>
      </c>
      <c r="AU20" s="128">
        <v>0</v>
      </c>
      <c r="AV20" s="128">
        <v>10054.602500000001</v>
      </c>
      <c r="AW20" s="128">
        <v>9550.3250000000007</v>
      </c>
      <c r="AX20" s="49">
        <f t="shared" si="32"/>
        <v>173.181096</v>
      </c>
      <c r="AY20" s="49">
        <f t="shared" si="32"/>
        <v>142.61745400000001</v>
      </c>
      <c r="AZ20" s="47">
        <f t="shared" si="32"/>
        <v>0</v>
      </c>
      <c r="BA20" s="47">
        <f t="shared" si="68"/>
        <v>0</v>
      </c>
      <c r="BB20" s="48">
        <f t="shared" si="69"/>
        <v>173.181096</v>
      </c>
      <c r="BC20" s="48">
        <f t="shared" si="70"/>
        <v>142.61745400000001</v>
      </c>
      <c r="BD20" s="93">
        <f t="shared" si="71"/>
        <v>173.181096</v>
      </c>
      <c r="BE20" s="93">
        <f t="shared" si="72"/>
        <v>142.61745400000001</v>
      </c>
      <c r="BG20" s="128">
        <v>0.50639999999999996</v>
      </c>
      <c r="BH20" s="130">
        <v>0.20710000000000001</v>
      </c>
      <c r="BI20" s="128">
        <v>0</v>
      </c>
      <c r="BJ20" s="128">
        <v>4739.7658000000001</v>
      </c>
      <c r="BK20" s="128">
        <v>4637.6192000000001</v>
      </c>
      <c r="BL20" s="49">
        <f t="shared" si="33"/>
        <v>166.31188799999998</v>
      </c>
      <c r="BM20" s="49">
        <f t="shared" si="33"/>
        <v>125.22922799999999</v>
      </c>
      <c r="BN20" s="47">
        <f t="shared" si="33"/>
        <v>0</v>
      </c>
      <c r="BO20" s="47">
        <f t="shared" si="73"/>
        <v>0</v>
      </c>
      <c r="BP20" s="48">
        <f t="shared" si="74"/>
        <v>166.31188799999998</v>
      </c>
      <c r="BQ20" s="48">
        <f t="shared" si="75"/>
        <v>125.22922799999999</v>
      </c>
      <c r="BR20" s="93">
        <f t="shared" si="76"/>
        <v>166.31188799999998</v>
      </c>
      <c r="BS20" s="93">
        <f t="shared" si="77"/>
        <v>125.22922799999999</v>
      </c>
      <c r="BU20" s="128">
        <v>0.5413</v>
      </c>
      <c r="BV20" s="130">
        <v>0.247</v>
      </c>
      <c r="BW20" s="128">
        <v>0</v>
      </c>
      <c r="BX20" s="128">
        <v>3152.1158</v>
      </c>
      <c r="BY20" s="128">
        <v>2999.2192</v>
      </c>
      <c r="BZ20" s="49">
        <f t="shared" si="34"/>
        <v>131.31938</v>
      </c>
      <c r="CA20" s="49">
        <f t="shared" si="34"/>
        <v>99.817639999999997</v>
      </c>
      <c r="CB20" s="47">
        <f t="shared" si="34"/>
        <v>0</v>
      </c>
      <c r="CC20" s="47">
        <f t="shared" si="78"/>
        <v>0</v>
      </c>
      <c r="CD20" s="48">
        <f t="shared" si="79"/>
        <v>131.31938</v>
      </c>
      <c r="CE20" s="48">
        <f t="shared" si="80"/>
        <v>99.817639999999997</v>
      </c>
      <c r="CF20" s="93">
        <f t="shared" si="81"/>
        <v>131.31938</v>
      </c>
      <c r="CG20" s="93">
        <f t="shared" si="82"/>
        <v>99.817639999999997</v>
      </c>
      <c r="CI20" s="128">
        <v>0.74850000000000005</v>
      </c>
      <c r="CJ20" s="130">
        <v>0.57699999999999996</v>
      </c>
      <c r="CK20" s="128">
        <v>0</v>
      </c>
      <c r="CL20" s="128">
        <v>18226.067500000001</v>
      </c>
      <c r="CM20" s="128">
        <v>17470.4967</v>
      </c>
      <c r="CN20" s="49">
        <f t="shared" si="35"/>
        <v>158.89158</v>
      </c>
      <c r="CO20" s="49">
        <f t="shared" si="35"/>
        <v>158.95195999999999</v>
      </c>
      <c r="CP20" s="47">
        <f t="shared" si="35"/>
        <v>0</v>
      </c>
      <c r="CQ20" s="47">
        <f t="shared" si="83"/>
        <v>0</v>
      </c>
      <c r="CR20" s="48">
        <f t="shared" si="84"/>
        <v>158.89158</v>
      </c>
      <c r="CS20" s="48">
        <f t="shared" si="85"/>
        <v>158.95195999999999</v>
      </c>
      <c r="CT20" s="93">
        <f t="shared" si="86"/>
        <v>158.89158</v>
      </c>
      <c r="CU20" s="93">
        <f t="shared" si="87"/>
        <v>158.95195999999999</v>
      </c>
      <c r="CW20" s="128">
        <v>1.3062</v>
      </c>
      <c r="CX20" s="130">
        <v>1.4000999999999999</v>
      </c>
      <c r="CY20" s="128">
        <v>5.7999999999999996E-3</v>
      </c>
      <c r="CZ20" s="128">
        <v>7960.9183000000003</v>
      </c>
      <c r="DA20" s="128">
        <v>7691.3242</v>
      </c>
      <c r="DB20" s="49">
        <f t="shared" si="36"/>
        <v>280.45420200000001</v>
      </c>
      <c r="DC20" s="49">
        <f t="shared" si="36"/>
        <v>420.086004</v>
      </c>
      <c r="DD20" s="47">
        <f t="shared" si="36"/>
        <v>1.5659999999999999E-3</v>
      </c>
      <c r="DE20" s="47">
        <f t="shared" si="88"/>
        <v>9.3906770322330362E-4</v>
      </c>
      <c r="DF20" s="48">
        <f t="shared" si="89"/>
        <v>280.45514106770321</v>
      </c>
      <c r="DG20" s="48">
        <f t="shared" si="90"/>
        <v>420.08537706770318</v>
      </c>
      <c r="DH20" s="93">
        <f t="shared" si="91"/>
        <v>280.45420200000001</v>
      </c>
      <c r="DI20" s="93">
        <f t="shared" si="92"/>
        <v>420.08443799999998</v>
      </c>
      <c r="DK20" s="128">
        <v>1.3904000000000001</v>
      </c>
      <c r="DL20" s="130">
        <v>1.4610000000000001</v>
      </c>
      <c r="DM20" s="128">
        <v>0</v>
      </c>
      <c r="DN20" s="128">
        <v>1977.79</v>
      </c>
      <c r="DO20" s="128">
        <v>1890.405</v>
      </c>
      <c r="DP20" s="49">
        <f t="shared" si="37"/>
        <v>184.03334400000003</v>
      </c>
      <c r="DQ20" s="49">
        <f t="shared" si="37"/>
        <v>282.89343000000002</v>
      </c>
      <c r="DR20" s="47">
        <f t="shared" si="37"/>
        <v>0</v>
      </c>
      <c r="DS20" s="47">
        <f t="shared" si="93"/>
        <v>0</v>
      </c>
      <c r="DT20" s="48">
        <f t="shared" si="94"/>
        <v>184.03334400000003</v>
      </c>
      <c r="DU20" s="48">
        <f t="shared" si="95"/>
        <v>282.89343000000002</v>
      </c>
      <c r="DV20" s="93">
        <f t="shared" si="96"/>
        <v>184.03334400000003</v>
      </c>
      <c r="DW20" s="93">
        <f t="shared" si="97"/>
        <v>282.89343000000002</v>
      </c>
      <c r="EB20" s="52"/>
      <c r="EC20" s="52"/>
      <c r="ED20" s="52"/>
      <c r="EE20" s="55">
        <f t="shared" si="98"/>
        <v>45416.772499999999</v>
      </c>
      <c r="EF20" s="55">
        <f t="shared" si="98"/>
        <v>43514.8842</v>
      </c>
      <c r="EG20" s="55">
        <f t="shared" si="98"/>
        <v>1304.3966356000001</v>
      </c>
      <c r="EH20" s="55">
        <f t="shared" si="98"/>
        <v>1197.2404572</v>
      </c>
      <c r="EI20" s="298">
        <f t="shared" si="38"/>
        <v>0.51069297689132109</v>
      </c>
      <c r="EJ20" s="52"/>
      <c r="EK20" s="55">
        <f t="shared" si="99"/>
        <v>1304.3973868541627</v>
      </c>
      <c r="EL20" s="55">
        <f t="shared" si="99"/>
        <v>1197.2399556541625</v>
      </c>
      <c r="EM20" s="55">
        <f t="shared" si="39"/>
        <v>1304.3966356000001</v>
      </c>
      <c r="EN20" s="55">
        <f t="shared" si="39"/>
        <v>1197.2392043999998</v>
      </c>
      <c r="EP20" s="52"/>
      <c r="EQ20" s="52"/>
      <c r="ER20" s="52"/>
      <c r="ES20" s="55">
        <f t="shared" si="40"/>
        <v>32550.104900000002</v>
      </c>
      <c r="ET20" s="55">
        <f t="shared" si="40"/>
        <v>31375.821799999998</v>
      </c>
      <c r="EU20" s="55">
        <f t="shared" si="40"/>
        <v>1093.7176403999999</v>
      </c>
      <c r="EV20" s="55">
        <f t="shared" si="40"/>
        <v>984.42033179999987</v>
      </c>
      <c r="EW20" s="298">
        <f t="shared" si="41"/>
        <v>0.50918471706723034</v>
      </c>
      <c r="EX20" s="52"/>
      <c r="EY20" s="55">
        <f t="shared" si="42"/>
        <v>1093.7182977473922</v>
      </c>
      <c r="EZ20" s="55">
        <f t="shared" si="42"/>
        <v>984.4198929473921</v>
      </c>
      <c r="FA20" s="55">
        <f t="shared" si="42"/>
        <v>1093.7176403999999</v>
      </c>
      <c r="FB20" s="55">
        <f t="shared" si="42"/>
        <v>984.41923559999987</v>
      </c>
      <c r="FD20" s="52"/>
      <c r="FE20" s="52"/>
      <c r="FF20" s="52"/>
      <c r="FG20" s="55">
        <f t="shared" si="43"/>
        <v>23477.262500000001</v>
      </c>
      <c r="FH20" s="55">
        <f t="shared" si="43"/>
        <v>22445.271699999998</v>
      </c>
      <c r="FI20" s="55">
        <f t="shared" si="43"/>
        <v>736.53537440000002</v>
      </c>
      <c r="FJ20" s="55">
        <f t="shared" si="43"/>
        <v>574.87234699999999</v>
      </c>
      <c r="FK20" s="298">
        <f t="shared" si="44"/>
        <v>0.51123621352760629</v>
      </c>
      <c r="FL20" s="52"/>
      <c r="FM20" s="55">
        <f t="shared" si="45"/>
        <v>736.53537440000002</v>
      </c>
      <c r="FN20" s="55">
        <f t="shared" si="45"/>
        <v>574.87234699999999</v>
      </c>
      <c r="FO20" s="55">
        <f t="shared" si="45"/>
        <v>736.53537440000002</v>
      </c>
      <c r="FP20" s="55">
        <f t="shared" si="45"/>
        <v>574.87234699999999</v>
      </c>
      <c r="FR20" s="52"/>
      <c r="FS20" s="52"/>
      <c r="FT20" s="52"/>
      <c r="FU20" s="55">
        <f t="shared" si="46"/>
        <v>26186.985800000002</v>
      </c>
      <c r="FV20" s="55">
        <f t="shared" si="46"/>
        <v>25161.820899999999</v>
      </c>
      <c r="FW20" s="55">
        <f t="shared" si="46"/>
        <v>383.25494160000005</v>
      </c>
      <c r="FX20" s="55">
        <f t="shared" si="46"/>
        <v>495.02076320000003</v>
      </c>
      <c r="FY20" s="298">
        <f t="shared" si="47"/>
        <v>0.50998236342656822</v>
      </c>
      <c r="FZ20" s="52"/>
      <c r="GA20" s="55">
        <f t="shared" si="48"/>
        <v>383.25569285416259</v>
      </c>
      <c r="GB20" s="55">
        <f t="shared" si="48"/>
        <v>495.02026165416254</v>
      </c>
      <c r="GC20" s="55">
        <f t="shared" si="48"/>
        <v>383.25494160000005</v>
      </c>
      <c r="GD20" s="55">
        <f t="shared" si="48"/>
        <v>495.0195104</v>
      </c>
      <c r="GF20" s="52"/>
      <c r="GG20" s="52"/>
      <c r="GH20" s="52"/>
      <c r="GI20" s="55">
        <f t="shared" si="49"/>
        <v>13206.7183</v>
      </c>
      <c r="GJ20" s="55">
        <f t="shared" si="49"/>
        <v>12549.5442</v>
      </c>
      <c r="GK20" s="56">
        <f t="shared" si="50"/>
        <v>31.396287000000001</v>
      </c>
      <c r="GL20" s="56">
        <f t="shared" si="50"/>
        <v>32.099860500000005</v>
      </c>
      <c r="GM20" s="298">
        <f t="shared" si="51"/>
        <v>0.51275755944792067</v>
      </c>
      <c r="GN20" s="52"/>
      <c r="GO20" s="56">
        <f t="shared" si="52"/>
        <v>31.396287000000001</v>
      </c>
      <c r="GP20" s="56">
        <f t="shared" si="52"/>
        <v>32.099860500000005</v>
      </c>
      <c r="GQ20" s="56">
        <f t="shared" si="52"/>
        <v>31.396287000000001</v>
      </c>
      <c r="GR20" s="56">
        <f t="shared" si="52"/>
        <v>32.099860500000005</v>
      </c>
    </row>
    <row r="21" spans="1:220" x14ac:dyDescent="0.2">
      <c r="A21" s="118">
        <v>11</v>
      </c>
      <c r="C21" s="128">
        <v>0.7349</v>
      </c>
      <c r="D21" s="128">
        <v>0.312</v>
      </c>
      <c r="E21" s="128">
        <v>0</v>
      </c>
      <c r="F21" s="128">
        <v>8957.4575000000004</v>
      </c>
      <c r="G21" s="128">
        <v>8246.2366999999995</v>
      </c>
      <c r="H21" s="49">
        <f t="shared" si="29"/>
        <v>735.94355799999994</v>
      </c>
      <c r="I21" s="49">
        <f t="shared" si="29"/>
        <v>592.05119999999999</v>
      </c>
      <c r="J21" s="47">
        <f t="shared" si="29"/>
        <v>0</v>
      </c>
      <c r="K21" s="47">
        <f t="shared" si="53"/>
        <v>0</v>
      </c>
      <c r="L21" s="48">
        <f t="shared" si="54"/>
        <v>735.94355799999994</v>
      </c>
      <c r="M21" s="48">
        <f t="shared" si="55"/>
        <v>592.05119999999999</v>
      </c>
      <c r="N21" s="93">
        <f t="shared" si="56"/>
        <v>735.94355799999994</v>
      </c>
      <c r="O21" s="93">
        <f t="shared" si="57"/>
        <v>592.05119999999999</v>
      </c>
      <c r="Q21" s="128">
        <v>0.89859999999999995</v>
      </c>
      <c r="R21" s="130">
        <v>0.36299999999999999</v>
      </c>
      <c r="S21" s="128">
        <v>0</v>
      </c>
      <c r="T21" s="128">
        <v>1643.3942</v>
      </c>
      <c r="U21" s="128">
        <v>1511.1</v>
      </c>
      <c r="V21" s="49">
        <f t="shared" si="30"/>
        <v>571.87802599999998</v>
      </c>
      <c r="W21" s="49">
        <f t="shared" si="30"/>
        <v>432.51087000000001</v>
      </c>
      <c r="X21" s="47">
        <f t="shared" si="30"/>
        <v>0</v>
      </c>
      <c r="Y21" s="47">
        <f t="shared" si="58"/>
        <v>0</v>
      </c>
      <c r="Z21" s="48">
        <f t="shared" si="59"/>
        <v>571.87802599999998</v>
      </c>
      <c r="AA21" s="48">
        <f t="shared" si="60"/>
        <v>432.51087000000001</v>
      </c>
      <c r="AB21" s="93">
        <f t="shared" si="61"/>
        <v>571.87802599999998</v>
      </c>
      <c r="AC21" s="93">
        <f t="shared" si="62"/>
        <v>432.51087000000001</v>
      </c>
      <c r="AE21" s="128">
        <v>0.74299999999999999</v>
      </c>
      <c r="AF21" s="130">
        <v>0.15479999999999999</v>
      </c>
      <c r="AG21" s="128">
        <v>0</v>
      </c>
      <c r="AH21" s="128">
        <v>105.3858</v>
      </c>
      <c r="AI21" s="128">
        <v>101.955</v>
      </c>
      <c r="AJ21" s="49">
        <f t="shared" si="31"/>
        <v>341.83943999999997</v>
      </c>
      <c r="AK21" s="49">
        <f t="shared" si="31"/>
        <v>162.65300399999998</v>
      </c>
      <c r="AL21" s="47">
        <f t="shared" si="31"/>
        <v>0</v>
      </c>
      <c r="AM21" s="47">
        <f t="shared" si="63"/>
        <v>0</v>
      </c>
      <c r="AN21" s="48">
        <f t="shared" si="64"/>
        <v>341.83943999999997</v>
      </c>
      <c r="AO21" s="48">
        <f t="shared" si="65"/>
        <v>162.65300399999998</v>
      </c>
      <c r="AP21" s="93">
        <f t="shared" si="66"/>
        <v>341.83943999999997</v>
      </c>
      <c r="AQ21" s="93">
        <f t="shared" si="67"/>
        <v>162.65300399999998</v>
      </c>
      <c r="AS21" s="128">
        <v>0.49730000000000002</v>
      </c>
      <c r="AT21" s="130">
        <v>0.2263</v>
      </c>
      <c r="AU21" s="128">
        <v>0</v>
      </c>
      <c r="AV21" s="128">
        <v>9729.7474999999995</v>
      </c>
      <c r="AW21" s="128">
        <v>9066.7075000000004</v>
      </c>
      <c r="AX21" s="49">
        <f t="shared" si="32"/>
        <v>174.37327200000001</v>
      </c>
      <c r="AY21" s="49">
        <f t="shared" si="32"/>
        <v>159.53697400000001</v>
      </c>
      <c r="AZ21" s="47">
        <f t="shared" si="32"/>
        <v>0</v>
      </c>
      <c r="BA21" s="47">
        <f t="shared" si="68"/>
        <v>0</v>
      </c>
      <c r="BB21" s="48">
        <f t="shared" si="69"/>
        <v>174.37327200000001</v>
      </c>
      <c r="BC21" s="48">
        <f t="shared" si="70"/>
        <v>159.53697400000001</v>
      </c>
      <c r="BD21" s="93">
        <f t="shared" si="71"/>
        <v>174.37327200000001</v>
      </c>
      <c r="BE21" s="93">
        <f t="shared" si="72"/>
        <v>159.53697400000001</v>
      </c>
      <c r="BG21" s="128">
        <v>0.57909999999999995</v>
      </c>
      <c r="BH21" s="130">
        <v>0.2437</v>
      </c>
      <c r="BI21" s="128">
        <v>0</v>
      </c>
      <c r="BJ21" s="128">
        <v>4688.3982999999998</v>
      </c>
      <c r="BK21" s="128">
        <v>4313.1049999999996</v>
      </c>
      <c r="BL21" s="49">
        <f t="shared" si="33"/>
        <v>190.18802199999999</v>
      </c>
      <c r="BM21" s="49">
        <f t="shared" si="33"/>
        <v>147.36051599999999</v>
      </c>
      <c r="BN21" s="47">
        <f t="shared" si="33"/>
        <v>0</v>
      </c>
      <c r="BO21" s="47">
        <f t="shared" si="73"/>
        <v>0</v>
      </c>
      <c r="BP21" s="48">
        <f t="shared" si="74"/>
        <v>190.18802199999999</v>
      </c>
      <c r="BQ21" s="48">
        <f t="shared" si="75"/>
        <v>147.36051599999999</v>
      </c>
      <c r="BR21" s="93">
        <f t="shared" si="76"/>
        <v>190.18802199999999</v>
      </c>
      <c r="BS21" s="93">
        <f t="shared" si="77"/>
        <v>147.36051599999999</v>
      </c>
      <c r="BU21" s="128">
        <v>0.57520000000000004</v>
      </c>
      <c r="BV21" s="130">
        <v>0.2823</v>
      </c>
      <c r="BW21" s="128">
        <v>0</v>
      </c>
      <c r="BX21" s="128">
        <v>3085.1333</v>
      </c>
      <c r="BY21" s="128">
        <v>2935.7667000000001</v>
      </c>
      <c r="BZ21" s="49">
        <f t="shared" si="34"/>
        <v>139.54352</v>
      </c>
      <c r="CA21" s="49">
        <f t="shared" si="34"/>
        <v>114.08307600000001</v>
      </c>
      <c r="CB21" s="47">
        <f t="shared" si="34"/>
        <v>0</v>
      </c>
      <c r="CC21" s="47">
        <f t="shared" si="78"/>
        <v>0</v>
      </c>
      <c r="CD21" s="48">
        <f t="shared" si="79"/>
        <v>139.54352</v>
      </c>
      <c r="CE21" s="48">
        <f t="shared" si="80"/>
        <v>114.08307600000001</v>
      </c>
      <c r="CF21" s="93">
        <f t="shared" si="81"/>
        <v>139.54352</v>
      </c>
      <c r="CG21" s="93">
        <f t="shared" si="82"/>
        <v>114.08307600000001</v>
      </c>
      <c r="CI21" s="128">
        <v>0.78310000000000002</v>
      </c>
      <c r="CJ21" s="130">
        <v>0.61329999999999996</v>
      </c>
      <c r="CK21" s="128">
        <v>5.9999999999999995E-4</v>
      </c>
      <c r="CL21" s="128">
        <v>17782.980800000001</v>
      </c>
      <c r="CM21" s="128">
        <v>16588.245800000001</v>
      </c>
      <c r="CN21" s="49">
        <f t="shared" si="35"/>
        <v>166.236468</v>
      </c>
      <c r="CO21" s="49">
        <f t="shared" si="35"/>
        <v>168.95188400000001</v>
      </c>
      <c r="CP21" s="47">
        <f t="shared" si="35"/>
        <v>2.34E-4</v>
      </c>
      <c r="CQ21" s="47">
        <f t="shared" si="83"/>
        <v>1.1794783625416673E-4</v>
      </c>
      <c r="CR21" s="48">
        <f t="shared" si="84"/>
        <v>166.23658594783626</v>
      </c>
      <c r="CS21" s="48">
        <f t="shared" si="85"/>
        <v>168.95176794783626</v>
      </c>
      <c r="CT21" s="93">
        <f t="shared" si="86"/>
        <v>166.236468</v>
      </c>
      <c r="CU21" s="93">
        <f t="shared" si="87"/>
        <v>168.95165</v>
      </c>
      <c r="CW21" s="128">
        <v>1.9158999999999999</v>
      </c>
      <c r="CX21" s="130">
        <v>1.9671000000000001</v>
      </c>
      <c r="CY21" s="128">
        <v>1.0800000000000001E-2</v>
      </c>
      <c r="CZ21" s="128">
        <v>7793.0333000000001</v>
      </c>
      <c r="DA21" s="128">
        <v>7284.91</v>
      </c>
      <c r="DB21" s="49">
        <f t="shared" si="36"/>
        <v>411.362889</v>
      </c>
      <c r="DC21" s="49">
        <f t="shared" si="36"/>
        <v>590.20868400000006</v>
      </c>
      <c r="DD21" s="47">
        <f t="shared" si="36"/>
        <v>2.9160000000000002E-3</v>
      </c>
      <c r="DE21" s="47">
        <f t="shared" si="88"/>
        <v>1.7183480132018484E-3</v>
      </c>
      <c r="DF21" s="48">
        <f t="shared" si="89"/>
        <v>411.36460734801318</v>
      </c>
      <c r="DG21" s="48">
        <f t="shared" si="90"/>
        <v>590.20748634801328</v>
      </c>
      <c r="DH21" s="93">
        <f t="shared" si="91"/>
        <v>411.362889</v>
      </c>
      <c r="DI21" s="93">
        <f t="shared" si="92"/>
        <v>590.20576800000003</v>
      </c>
      <c r="DK21" s="128">
        <v>1.9675</v>
      </c>
      <c r="DL21" s="130">
        <v>2.2366999999999999</v>
      </c>
      <c r="DM21" s="128">
        <v>0</v>
      </c>
      <c r="DN21" s="128">
        <v>1878.6224999999999</v>
      </c>
      <c r="DO21" s="128">
        <v>1685.6992</v>
      </c>
      <c r="DP21" s="49">
        <f t="shared" si="37"/>
        <v>260.41830000000004</v>
      </c>
      <c r="DQ21" s="49">
        <f t="shared" si="37"/>
        <v>433.092221</v>
      </c>
      <c r="DR21" s="47">
        <f t="shared" si="37"/>
        <v>0</v>
      </c>
      <c r="DS21" s="47">
        <f t="shared" si="93"/>
        <v>0</v>
      </c>
      <c r="DT21" s="48">
        <f t="shared" si="94"/>
        <v>260.41830000000004</v>
      </c>
      <c r="DU21" s="48">
        <f t="shared" si="95"/>
        <v>433.092221</v>
      </c>
      <c r="DV21" s="93">
        <f t="shared" si="96"/>
        <v>260.41830000000004</v>
      </c>
      <c r="DW21" s="93">
        <f t="shared" si="97"/>
        <v>433.092221</v>
      </c>
      <c r="EB21" s="52"/>
      <c r="EC21" s="52"/>
      <c r="ED21" s="52"/>
      <c r="EE21" s="55">
        <f t="shared" si="98"/>
        <v>44263.219100000009</v>
      </c>
      <c r="EF21" s="55">
        <f t="shared" si="98"/>
        <v>41186.100000000006</v>
      </c>
      <c r="EG21" s="55">
        <f t="shared" si="98"/>
        <v>1405.6436092000001</v>
      </c>
      <c r="EH21" s="55">
        <f t="shared" si="98"/>
        <v>1392.7070052000001</v>
      </c>
      <c r="EI21" s="298">
        <f t="shared" si="38"/>
        <v>0.51800552147407342</v>
      </c>
      <c r="EJ21" s="52"/>
      <c r="EK21" s="55">
        <f t="shared" si="99"/>
        <v>1405.6451018262467</v>
      </c>
      <c r="EL21" s="55">
        <f t="shared" si="99"/>
        <v>1392.7059310262468</v>
      </c>
      <c r="EM21" s="55">
        <f t="shared" si="39"/>
        <v>1405.6436092000001</v>
      </c>
      <c r="EN21" s="55">
        <f t="shared" si="39"/>
        <v>1392.7044384000001</v>
      </c>
      <c r="EP21" s="52"/>
      <c r="EQ21" s="52"/>
      <c r="ER21" s="52"/>
      <c r="ES21" s="55">
        <f t="shared" si="40"/>
        <v>31907.8066</v>
      </c>
      <c r="ET21" s="55">
        <f t="shared" si="40"/>
        <v>29697.360799999999</v>
      </c>
      <c r="EU21" s="55">
        <f t="shared" si="40"/>
        <v>1216.2565382999999</v>
      </c>
      <c r="EV21" s="55">
        <f t="shared" si="40"/>
        <v>1161.9693488</v>
      </c>
      <c r="EW21" s="298">
        <f t="shared" si="41"/>
        <v>0.51794042523776995</v>
      </c>
      <c r="EX21" s="52"/>
      <c r="EY21" s="55">
        <f t="shared" si="42"/>
        <v>1216.2578590914454</v>
      </c>
      <c r="EZ21" s="55">
        <f t="shared" si="42"/>
        <v>1161.9683943914456</v>
      </c>
      <c r="FA21" s="55">
        <f t="shared" si="42"/>
        <v>1216.2565382999999</v>
      </c>
      <c r="FB21" s="55">
        <f t="shared" si="42"/>
        <v>1161.9670736</v>
      </c>
      <c r="FD21" s="52"/>
      <c r="FE21" s="52"/>
      <c r="FF21" s="52"/>
      <c r="FG21" s="55">
        <f t="shared" si="43"/>
        <v>22852.122400000004</v>
      </c>
      <c r="FH21" s="55">
        <f t="shared" si="43"/>
        <v>21311.666699999998</v>
      </c>
      <c r="FI21" s="55">
        <f t="shared" si="43"/>
        <v>803.870408</v>
      </c>
      <c r="FJ21" s="55">
        <f t="shared" si="43"/>
        <v>705.54329660000008</v>
      </c>
      <c r="FK21" s="298">
        <f t="shared" si="44"/>
        <v>0.51744025740762367</v>
      </c>
      <c r="FL21" s="52"/>
      <c r="FM21" s="55">
        <f t="shared" si="45"/>
        <v>803.87052594783631</v>
      </c>
      <c r="FN21" s="55">
        <f t="shared" si="45"/>
        <v>705.5431805478363</v>
      </c>
      <c r="FO21" s="55">
        <f t="shared" si="45"/>
        <v>803.870408</v>
      </c>
      <c r="FP21" s="55">
        <f t="shared" si="45"/>
        <v>705.54306259999998</v>
      </c>
      <c r="FR21" s="52"/>
      <c r="FS21" s="52"/>
      <c r="FT21" s="52"/>
      <c r="FU21" s="55">
        <f t="shared" si="46"/>
        <v>25576.0141</v>
      </c>
      <c r="FV21" s="55">
        <f t="shared" si="46"/>
        <v>23873.1558</v>
      </c>
      <c r="FW21" s="55">
        <f t="shared" si="46"/>
        <v>495.32677920000003</v>
      </c>
      <c r="FX21" s="55">
        <f t="shared" si="46"/>
        <v>641.11883120000016</v>
      </c>
      <c r="FY21" s="298">
        <f t="shared" si="47"/>
        <v>0.51721826982579944</v>
      </c>
      <c r="FZ21" s="52"/>
      <c r="GA21" s="55">
        <f t="shared" si="48"/>
        <v>495.32827182624681</v>
      </c>
      <c r="GB21" s="55">
        <f t="shared" si="48"/>
        <v>641.11775702624686</v>
      </c>
      <c r="GC21" s="55">
        <f t="shared" si="48"/>
        <v>495.32677920000003</v>
      </c>
      <c r="GD21" s="55">
        <f t="shared" si="48"/>
        <v>641.11626440000009</v>
      </c>
      <c r="GF21" s="52"/>
      <c r="GG21" s="52"/>
      <c r="GH21" s="52"/>
      <c r="GI21" s="55">
        <f t="shared" si="49"/>
        <v>12814.880799999999</v>
      </c>
      <c r="GJ21" s="55">
        <f t="shared" si="49"/>
        <v>12002.474200000001</v>
      </c>
      <c r="GK21" s="56">
        <f t="shared" si="50"/>
        <v>26.12231400000001</v>
      </c>
      <c r="GL21" s="56">
        <f t="shared" si="50"/>
        <v>34.090423500000007</v>
      </c>
      <c r="GM21" s="298">
        <f t="shared" si="51"/>
        <v>0.51636771122466518</v>
      </c>
      <c r="GN21" s="52"/>
      <c r="GO21" s="56">
        <f t="shared" si="52"/>
        <v>26.12231400000001</v>
      </c>
      <c r="GP21" s="56">
        <f t="shared" si="52"/>
        <v>34.090423500000007</v>
      </c>
      <c r="GQ21" s="56">
        <f t="shared" si="52"/>
        <v>26.12231400000001</v>
      </c>
      <c r="GR21" s="56">
        <f t="shared" si="52"/>
        <v>34.090423500000007</v>
      </c>
    </row>
    <row r="22" spans="1:220" x14ac:dyDescent="0.2">
      <c r="A22" s="118">
        <v>12</v>
      </c>
      <c r="C22" s="128">
        <v>0.72699999999999998</v>
      </c>
      <c r="D22" s="128">
        <v>0.33679999999999999</v>
      </c>
      <c r="E22" s="128">
        <v>0</v>
      </c>
      <c r="F22" s="128">
        <v>8732.9032999999999</v>
      </c>
      <c r="G22" s="128">
        <v>8349.3482999999997</v>
      </c>
      <c r="H22" s="49">
        <f t="shared" si="29"/>
        <v>728.03233999999998</v>
      </c>
      <c r="I22" s="49">
        <f t="shared" si="29"/>
        <v>639.11167999999998</v>
      </c>
      <c r="J22" s="47">
        <f t="shared" si="29"/>
        <v>0</v>
      </c>
      <c r="K22" s="47">
        <f t="shared" si="53"/>
        <v>0</v>
      </c>
      <c r="L22" s="48">
        <f t="shared" si="54"/>
        <v>728.03233999999998</v>
      </c>
      <c r="M22" s="48">
        <f t="shared" si="55"/>
        <v>639.11167999999998</v>
      </c>
      <c r="N22" s="93">
        <f t="shared" si="56"/>
        <v>728.03233999999998</v>
      </c>
      <c r="O22" s="93">
        <f t="shared" si="57"/>
        <v>639.11167999999998</v>
      </c>
      <c r="Q22" s="128">
        <v>0.90349999999999997</v>
      </c>
      <c r="R22" s="130">
        <v>0.39340000000000003</v>
      </c>
      <c r="S22" s="128">
        <v>0</v>
      </c>
      <c r="T22" s="128">
        <v>1563.2357999999999</v>
      </c>
      <c r="U22" s="128">
        <v>1468.1717000000001</v>
      </c>
      <c r="V22" s="49">
        <f t="shared" si="30"/>
        <v>574.99643499999991</v>
      </c>
      <c r="W22" s="49">
        <f t="shared" si="30"/>
        <v>468.73216600000006</v>
      </c>
      <c r="X22" s="47">
        <f t="shared" si="30"/>
        <v>0</v>
      </c>
      <c r="Y22" s="47">
        <f t="shared" si="58"/>
        <v>0</v>
      </c>
      <c r="Z22" s="48">
        <f t="shared" si="59"/>
        <v>574.99643499999991</v>
      </c>
      <c r="AA22" s="48">
        <f t="shared" si="60"/>
        <v>468.73216600000006</v>
      </c>
      <c r="AB22" s="93">
        <f t="shared" si="61"/>
        <v>574.99643499999991</v>
      </c>
      <c r="AC22" s="93">
        <f t="shared" si="62"/>
        <v>468.73216600000006</v>
      </c>
      <c r="AE22" s="128">
        <v>0.75070000000000003</v>
      </c>
      <c r="AF22" s="130">
        <v>0.17630000000000001</v>
      </c>
      <c r="AG22" s="128">
        <v>1.6000000000000001E-3</v>
      </c>
      <c r="AH22" s="128">
        <v>97.491699999999994</v>
      </c>
      <c r="AI22" s="128">
        <v>84.195800000000006</v>
      </c>
      <c r="AJ22" s="49">
        <f t="shared" si="31"/>
        <v>345.38205599999998</v>
      </c>
      <c r="AK22" s="49">
        <f t="shared" si="31"/>
        <v>185.24369900000002</v>
      </c>
      <c r="AL22" s="47">
        <f t="shared" si="31"/>
        <v>0.26398400000000005</v>
      </c>
      <c r="AM22" s="47">
        <f t="shared" si="63"/>
        <v>9.2157932735127054E-2</v>
      </c>
      <c r="AN22" s="48">
        <f t="shared" si="64"/>
        <v>345.4742139327351</v>
      </c>
      <c r="AO22" s="48">
        <f t="shared" si="65"/>
        <v>185.07187293273515</v>
      </c>
      <c r="AP22" s="93">
        <f t="shared" si="66"/>
        <v>345.38205599999998</v>
      </c>
      <c r="AQ22" s="93">
        <f t="shared" si="67"/>
        <v>184.97971500000003</v>
      </c>
      <c r="AS22" s="128">
        <v>0.57520000000000004</v>
      </c>
      <c r="AT22" s="130">
        <v>0.29330000000000001</v>
      </c>
      <c r="AU22" s="128">
        <v>0</v>
      </c>
      <c r="AV22" s="128">
        <v>9503.4583000000002</v>
      </c>
      <c r="AW22" s="128">
        <v>8959.5249999999996</v>
      </c>
      <c r="AX22" s="49">
        <f t="shared" si="32"/>
        <v>201.68812800000001</v>
      </c>
      <c r="AY22" s="49">
        <f t="shared" si="32"/>
        <v>206.770634</v>
      </c>
      <c r="AZ22" s="47">
        <f t="shared" si="32"/>
        <v>0</v>
      </c>
      <c r="BA22" s="47">
        <f t="shared" si="68"/>
        <v>0</v>
      </c>
      <c r="BB22" s="48">
        <f t="shared" si="69"/>
        <v>201.68812800000001</v>
      </c>
      <c r="BC22" s="48">
        <f t="shared" si="70"/>
        <v>206.770634</v>
      </c>
      <c r="BD22" s="93">
        <f t="shared" si="71"/>
        <v>201.68812800000001</v>
      </c>
      <c r="BE22" s="93">
        <f t="shared" si="72"/>
        <v>206.770634</v>
      </c>
      <c r="BG22" s="128">
        <v>0.65959999999999996</v>
      </c>
      <c r="BH22" s="130">
        <v>0.29339999999999999</v>
      </c>
      <c r="BI22" s="128">
        <v>0</v>
      </c>
      <c r="BJ22" s="128">
        <v>4270.6975000000002</v>
      </c>
      <c r="BK22" s="128">
        <v>4303.7507999999998</v>
      </c>
      <c r="BL22" s="49">
        <f t="shared" si="33"/>
        <v>216.625832</v>
      </c>
      <c r="BM22" s="49">
        <f t="shared" si="33"/>
        <v>177.41311199999998</v>
      </c>
      <c r="BN22" s="47">
        <f t="shared" si="33"/>
        <v>0</v>
      </c>
      <c r="BO22" s="47">
        <f t="shared" si="73"/>
        <v>0</v>
      </c>
      <c r="BP22" s="48">
        <f t="shared" si="74"/>
        <v>216.625832</v>
      </c>
      <c r="BQ22" s="48">
        <f t="shared" si="75"/>
        <v>177.41311199999998</v>
      </c>
      <c r="BR22" s="93">
        <f t="shared" si="76"/>
        <v>216.625832</v>
      </c>
      <c r="BS22" s="93">
        <f t="shared" si="77"/>
        <v>177.41311199999998</v>
      </c>
      <c r="BU22" s="128">
        <v>0.61950000000000005</v>
      </c>
      <c r="BV22" s="130">
        <v>0.34129999999999999</v>
      </c>
      <c r="BW22" s="128">
        <v>0</v>
      </c>
      <c r="BX22" s="128">
        <v>3202.2</v>
      </c>
      <c r="BY22" s="128">
        <v>3033.0450000000001</v>
      </c>
      <c r="BZ22" s="49">
        <f t="shared" si="34"/>
        <v>150.29070000000002</v>
      </c>
      <c r="CA22" s="49">
        <f t="shared" si="34"/>
        <v>137.92615599999999</v>
      </c>
      <c r="CB22" s="47">
        <f t="shared" si="34"/>
        <v>0</v>
      </c>
      <c r="CC22" s="47">
        <f t="shared" si="78"/>
        <v>0</v>
      </c>
      <c r="CD22" s="48">
        <f t="shared" si="79"/>
        <v>150.29070000000002</v>
      </c>
      <c r="CE22" s="48">
        <f t="shared" si="80"/>
        <v>137.92615599999999</v>
      </c>
      <c r="CF22" s="93">
        <f t="shared" si="81"/>
        <v>150.29070000000002</v>
      </c>
      <c r="CG22" s="93">
        <f t="shared" si="82"/>
        <v>137.92615599999999</v>
      </c>
      <c r="CI22" s="128">
        <v>0.82110000000000005</v>
      </c>
      <c r="CJ22" s="130">
        <v>0.6593</v>
      </c>
      <c r="CK22" s="128">
        <v>3.0000000000000001E-3</v>
      </c>
      <c r="CL22" s="128">
        <v>17260.355800000001</v>
      </c>
      <c r="CM22" s="128">
        <v>16572.568299999999</v>
      </c>
      <c r="CN22" s="49">
        <f t="shared" si="35"/>
        <v>174.30310800000001</v>
      </c>
      <c r="CO22" s="49">
        <f t="shared" si="35"/>
        <v>181.623964</v>
      </c>
      <c r="CP22" s="47">
        <f t="shared" si="35"/>
        <v>1.17E-3</v>
      </c>
      <c r="CQ22" s="47">
        <f t="shared" si="83"/>
        <v>5.9703252322430823E-4</v>
      </c>
      <c r="CR22" s="48">
        <f t="shared" si="84"/>
        <v>174.30370503252323</v>
      </c>
      <c r="CS22" s="48">
        <f t="shared" si="85"/>
        <v>181.62339103252322</v>
      </c>
      <c r="CT22" s="93">
        <f t="shared" si="86"/>
        <v>174.30310800000001</v>
      </c>
      <c r="CU22" s="93">
        <f t="shared" si="87"/>
        <v>181.622794</v>
      </c>
      <c r="CW22" s="128">
        <v>2.6665000000000001</v>
      </c>
      <c r="CX22" s="130">
        <v>2.5066000000000002</v>
      </c>
      <c r="CY22" s="128">
        <v>1.72E-2</v>
      </c>
      <c r="CZ22" s="128">
        <v>7548.4041999999999</v>
      </c>
      <c r="DA22" s="128">
        <v>7254.7974999999997</v>
      </c>
      <c r="DB22" s="49">
        <f t="shared" si="36"/>
        <v>572.52421500000003</v>
      </c>
      <c r="DC22" s="49">
        <f t="shared" si="36"/>
        <v>752.08026400000006</v>
      </c>
      <c r="DD22" s="47">
        <f t="shared" si="36"/>
        <v>4.6440000000000006E-3</v>
      </c>
      <c r="DE22" s="47">
        <f t="shared" si="88"/>
        <v>2.6367574633695623E-3</v>
      </c>
      <c r="DF22" s="48">
        <f t="shared" si="89"/>
        <v>572.52685175746342</v>
      </c>
      <c r="DG22" s="48">
        <f t="shared" si="90"/>
        <v>752.07825675746346</v>
      </c>
      <c r="DH22" s="93">
        <f t="shared" si="91"/>
        <v>572.52421500000003</v>
      </c>
      <c r="DI22" s="93">
        <f t="shared" si="92"/>
        <v>752.07562000000007</v>
      </c>
      <c r="DK22" s="128">
        <v>2.9904000000000002</v>
      </c>
      <c r="DL22" s="130">
        <v>3.1015000000000001</v>
      </c>
      <c r="DM22" s="128">
        <v>0</v>
      </c>
      <c r="DN22" s="128">
        <v>1748.8182999999999</v>
      </c>
      <c r="DO22" s="128">
        <v>1665.3507999999999</v>
      </c>
      <c r="DP22" s="49">
        <f t="shared" si="37"/>
        <v>395.80934400000007</v>
      </c>
      <c r="DQ22" s="49">
        <f t="shared" si="37"/>
        <v>600.54344500000002</v>
      </c>
      <c r="DR22" s="47">
        <f t="shared" si="37"/>
        <v>0</v>
      </c>
      <c r="DS22" s="47">
        <f t="shared" si="93"/>
        <v>0</v>
      </c>
      <c r="DT22" s="48">
        <f t="shared" si="94"/>
        <v>395.80934400000007</v>
      </c>
      <c r="DU22" s="48">
        <f t="shared" si="95"/>
        <v>600.54344500000002</v>
      </c>
      <c r="DV22" s="93">
        <f t="shared" si="96"/>
        <v>395.80934400000007</v>
      </c>
      <c r="DW22" s="93">
        <f t="shared" si="97"/>
        <v>600.54344500000002</v>
      </c>
      <c r="EB22" s="52"/>
      <c r="EC22" s="52"/>
      <c r="ED22" s="52"/>
      <c r="EE22" s="55">
        <f t="shared" si="98"/>
        <v>43045.121599999999</v>
      </c>
      <c r="EF22" s="55">
        <f t="shared" si="98"/>
        <v>41136.239099999999</v>
      </c>
      <c r="EG22" s="55">
        <f t="shared" si="98"/>
        <v>1562.042948</v>
      </c>
      <c r="EH22" s="55">
        <f t="shared" si="98"/>
        <v>1629.1704891999998</v>
      </c>
      <c r="EI22" s="298">
        <f t="shared" si="38"/>
        <v>0.51133791663693084</v>
      </c>
      <c r="EJ22" s="52"/>
      <c r="EK22" s="55">
        <f t="shared" si="99"/>
        <v>1562.045654438494</v>
      </c>
      <c r="EL22" s="55">
        <f t="shared" si="99"/>
        <v>1629.1683104384938</v>
      </c>
      <c r="EM22" s="55">
        <f t="shared" si="39"/>
        <v>1562.042948</v>
      </c>
      <c r="EN22" s="55">
        <f t="shared" si="39"/>
        <v>1629.1656039999998</v>
      </c>
      <c r="EP22" s="52"/>
      <c r="EQ22" s="52"/>
      <c r="ER22" s="52"/>
      <c r="ES22" s="55">
        <f t="shared" si="40"/>
        <v>30642.693300000003</v>
      </c>
      <c r="ET22" s="55">
        <f t="shared" si="40"/>
        <v>29599.2883</v>
      </c>
      <c r="EU22" s="55">
        <f t="shared" si="40"/>
        <v>1366.6923255000002</v>
      </c>
      <c r="EV22" s="55">
        <f t="shared" si="40"/>
        <v>1354.2254268000002</v>
      </c>
      <c r="EW22" s="298">
        <f t="shared" si="41"/>
        <v>0.50866011519116439</v>
      </c>
      <c r="EX22" s="52"/>
      <c r="EY22" s="55">
        <f t="shared" si="42"/>
        <v>1366.6947682627476</v>
      </c>
      <c r="EZ22" s="55">
        <f t="shared" si="42"/>
        <v>1354.2234487627477</v>
      </c>
      <c r="FA22" s="55">
        <f t="shared" si="42"/>
        <v>1366.6923255000002</v>
      </c>
      <c r="FB22" s="55">
        <f t="shared" si="42"/>
        <v>1354.2210060000002</v>
      </c>
      <c r="FD22" s="52"/>
      <c r="FE22" s="52"/>
      <c r="FF22" s="52"/>
      <c r="FG22" s="55">
        <f t="shared" si="43"/>
        <v>22308.8658</v>
      </c>
      <c r="FH22" s="55">
        <f t="shared" si="43"/>
        <v>21355.159899999999</v>
      </c>
      <c r="FI22" s="55">
        <f t="shared" si="43"/>
        <v>907.46147040000005</v>
      </c>
      <c r="FJ22" s="55">
        <f t="shared" si="43"/>
        <v>865.11988599999995</v>
      </c>
      <c r="FK22" s="298">
        <f t="shared" si="44"/>
        <v>0.51092095706603613</v>
      </c>
      <c r="FL22" s="52"/>
      <c r="FM22" s="55">
        <f t="shared" si="45"/>
        <v>907.55422536525839</v>
      </c>
      <c r="FN22" s="55">
        <f t="shared" si="45"/>
        <v>864.94748696525835</v>
      </c>
      <c r="FO22" s="55">
        <f t="shared" si="45"/>
        <v>907.46147040000005</v>
      </c>
      <c r="FP22" s="55">
        <f t="shared" si="45"/>
        <v>864.85473200000001</v>
      </c>
      <c r="FR22" s="52"/>
      <c r="FS22" s="52"/>
      <c r="FT22" s="52"/>
      <c r="FU22" s="55">
        <f t="shared" si="46"/>
        <v>24808.760000000002</v>
      </c>
      <c r="FV22" s="55">
        <f t="shared" si="46"/>
        <v>23827.3658</v>
      </c>
      <c r="FW22" s="55">
        <f t="shared" si="46"/>
        <v>632.32248000000004</v>
      </c>
      <c r="FX22" s="55">
        <f t="shared" si="46"/>
        <v>783.28817520000007</v>
      </c>
      <c r="FY22" s="298">
        <f t="shared" si="47"/>
        <v>0.51008914858921595</v>
      </c>
      <c r="FZ22" s="52"/>
      <c r="GA22" s="55">
        <f t="shared" si="48"/>
        <v>632.32518643849403</v>
      </c>
      <c r="GB22" s="55">
        <f t="shared" si="48"/>
        <v>783.28599643849407</v>
      </c>
      <c r="GC22" s="55">
        <f t="shared" si="48"/>
        <v>632.32248000000004</v>
      </c>
      <c r="GD22" s="55">
        <f t="shared" si="48"/>
        <v>783.28329000000008</v>
      </c>
      <c r="GF22" s="52"/>
      <c r="GG22" s="52"/>
      <c r="GH22" s="52"/>
      <c r="GI22" s="55">
        <f t="shared" si="49"/>
        <v>12705.658299999999</v>
      </c>
      <c r="GJ22" s="55">
        <f t="shared" si="49"/>
        <v>11992.57</v>
      </c>
      <c r="GK22" s="56">
        <f t="shared" si="50"/>
        <v>38.548070999999993</v>
      </c>
      <c r="GL22" s="56">
        <f t="shared" si="50"/>
        <v>51.633358500000007</v>
      </c>
      <c r="GM22" s="298">
        <f t="shared" si="51"/>
        <v>0.51443602130764987</v>
      </c>
      <c r="GN22" s="52"/>
      <c r="GO22" s="56">
        <f t="shared" si="52"/>
        <v>38.548070999999993</v>
      </c>
      <c r="GP22" s="56">
        <f t="shared" si="52"/>
        <v>51.633358500000007</v>
      </c>
      <c r="GQ22" s="56">
        <f t="shared" si="52"/>
        <v>38.548070999999993</v>
      </c>
      <c r="GR22" s="56">
        <f t="shared" si="52"/>
        <v>51.633358500000007</v>
      </c>
    </row>
    <row r="23" spans="1:220" x14ac:dyDescent="0.2">
      <c r="A23" s="118">
        <v>13</v>
      </c>
      <c r="C23" s="128">
        <v>0.72289999999999999</v>
      </c>
      <c r="D23" s="128">
        <v>0.36809999999999998</v>
      </c>
      <c r="E23" s="128">
        <v>0</v>
      </c>
      <c r="F23" s="128">
        <v>8314.4392000000007</v>
      </c>
      <c r="G23" s="128">
        <v>8082.8716999999997</v>
      </c>
      <c r="H23" s="49">
        <f t="shared" si="29"/>
        <v>723.92651799999999</v>
      </c>
      <c r="I23" s="49">
        <f t="shared" si="29"/>
        <v>698.50655999999992</v>
      </c>
      <c r="J23" s="47">
        <f t="shared" si="29"/>
        <v>0</v>
      </c>
      <c r="K23" s="47">
        <f t="shared" si="53"/>
        <v>0</v>
      </c>
      <c r="L23" s="48">
        <f t="shared" si="54"/>
        <v>723.92651799999999</v>
      </c>
      <c r="M23" s="48">
        <f t="shared" si="55"/>
        <v>698.50655999999992</v>
      </c>
      <c r="N23" s="93">
        <f t="shared" si="56"/>
        <v>723.92651799999999</v>
      </c>
      <c r="O23" s="93">
        <f t="shared" si="57"/>
        <v>698.50655999999992</v>
      </c>
      <c r="Q23" s="128">
        <v>0.90969999999999995</v>
      </c>
      <c r="R23" s="130">
        <v>0.42909999999999998</v>
      </c>
      <c r="S23" s="128">
        <v>2.8999999999999998E-3</v>
      </c>
      <c r="T23" s="128">
        <v>1586.1342</v>
      </c>
      <c r="U23" s="128">
        <v>1562.1858</v>
      </c>
      <c r="V23" s="49">
        <f t="shared" si="30"/>
        <v>578.9421769999999</v>
      </c>
      <c r="W23" s="49">
        <f t="shared" si="30"/>
        <v>511.26835899999998</v>
      </c>
      <c r="X23" s="47">
        <f t="shared" si="30"/>
        <v>0.64226299999999992</v>
      </c>
      <c r="Y23" s="47">
        <f t="shared" si="58"/>
        <v>0.30119755699775863</v>
      </c>
      <c r="Z23" s="48">
        <f t="shared" si="59"/>
        <v>579.24337455699765</v>
      </c>
      <c r="AA23" s="48">
        <f t="shared" si="60"/>
        <v>510.92729355699771</v>
      </c>
      <c r="AB23" s="93">
        <f t="shared" si="61"/>
        <v>578.9421769999999</v>
      </c>
      <c r="AC23" s="93">
        <f t="shared" si="62"/>
        <v>510.62609599999996</v>
      </c>
      <c r="AE23" s="128">
        <v>0.753</v>
      </c>
      <c r="AF23" s="130">
        <v>0.20330000000000001</v>
      </c>
      <c r="AG23" s="128">
        <v>9.5999999999999992E-3</v>
      </c>
      <c r="AH23" s="128">
        <v>108.7017</v>
      </c>
      <c r="AI23" s="128">
        <v>118.23</v>
      </c>
      <c r="AJ23" s="49">
        <f t="shared" si="31"/>
        <v>346.44024000000002</v>
      </c>
      <c r="AK23" s="49">
        <f t="shared" si="31"/>
        <v>213.61340900000002</v>
      </c>
      <c r="AL23" s="47">
        <f t="shared" si="31"/>
        <v>1.583904</v>
      </c>
      <c r="AM23" s="47">
        <f t="shared" si="63"/>
        <v>0.60412628963825565</v>
      </c>
      <c r="AN23" s="48">
        <f t="shared" si="64"/>
        <v>347.04436628963828</v>
      </c>
      <c r="AO23" s="48">
        <f t="shared" si="65"/>
        <v>212.63363128963829</v>
      </c>
      <c r="AP23" s="93">
        <f t="shared" si="66"/>
        <v>346.44024000000002</v>
      </c>
      <c r="AQ23" s="93">
        <f t="shared" si="67"/>
        <v>212.02950500000003</v>
      </c>
      <c r="AS23" s="128">
        <v>0.6583</v>
      </c>
      <c r="AT23" s="130">
        <v>0.37009999999999998</v>
      </c>
      <c r="AU23" s="128">
        <v>0</v>
      </c>
      <c r="AV23" s="128">
        <v>9077.7358000000004</v>
      </c>
      <c r="AW23" s="128">
        <v>8721.1474999999991</v>
      </c>
      <c r="AX23" s="49">
        <f t="shared" si="32"/>
        <v>230.826312</v>
      </c>
      <c r="AY23" s="49">
        <f t="shared" si="32"/>
        <v>260.91309799999999</v>
      </c>
      <c r="AZ23" s="47">
        <f t="shared" si="32"/>
        <v>0</v>
      </c>
      <c r="BA23" s="47">
        <f t="shared" si="68"/>
        <v>0</v>
      </c>
      <c r="BB23" s="48">
        <f t="shared" si="69"/>
        <v>230.826312</v>
      </c>
      <c r="BC23" s="48">
        <f t="shared" si="70"/>
        <v>260.91309799999999</v>
      </c>
      <c r="BD23" s="93">
        <f t="shared" si="71"/>
        <v>230.826312</v>
      </c>
      <c r="BE23" s="93">
        <f t="shared" si="72"/>
        <v>260.91309799999999</v>
      </c>
      <c r="BG23" s="128">
        <v>0.69599999999999995</v>
      </c>
      <c r="BH23" s="130">
        <v>0.34389999999999998</v>
      </c>
      <c r="BI23" s="128">
        <v>2.9999999999999997E-4</v>
      </c>
      <c r="BJ23" s="128">
        <v>4233.3283000000001</v>
      </c>
      <c r="BK23" s="128">
        <v>4206.7825000000003</v>
      </c>
      <c r="BL23" s="49">
        <f t="shared" si="33"/>
        <v>228.58032</v>
      </c>
      <c r="BM23" s="49">
        <f t="shared" si="33"/>
        <v>207.94945199999998</v>
      </c>
      <c r="BN23" s="47">
        <f t="shared" si="33"/>
        <v>6.3761999999999985E-2</v>
      </c>
      <c r="BO23" s="47">
        <f t="shared" si="73"/>
        <v>3.0374269543347425E-2</v>
      </c>
      <c r="BP23" s="48">
        <f t="shared" si="74"/>
        <v>228.61069426954336</v>
      </c>
      <c r="BQ23" s="48">
        <f t="shared" si="75"/>
        <v>207.91606426954334</v>
      </c>
      <c r="BR23" s="93">
        <f t="shared" si="76"/>
        <v>228.58032</v>
      </c>
      <c r="BS23" s="93">
        <f t="shared" si="77"/>
        <v>207.88568999999998</v>
      </c>
      <c r="BU23" s="128">
        <v>0.66869999999999996</v>
      </c>
      <c r="BV23" s="130">
        <v>0.4264</v>
      </c>
      <c r="BW23" s="128">
        <v>0</v>
      </c>
      <c r="BX23" s="128">
        <v>3181.2267000000002</v>
      </c>
      <c r="BY23" s="128">
        <v>3084.6383000000001</v>
      </c>
      <c r="BZ23" s="49">
        <f t="shared" si="34"/>
        <v>162.22662</v>
      </c>
      <c r="CA23" s="49">
        <f t="shared" si="34"/>
        <v>172.316768</v>
      </c>
      <c r="CB23" s="47">
        <f t="shared" si="34"/>
        <v>0</v>
      </c>
      <c r="CC23" s="47">
        <f t="shared" si="78"/>
        <v>0</v>
      </c>
      <c r="CD23" s="48">
        <f t="shared" si="79"/>
        <v>162.22662</v>
      </c>
      <c r="CE23" s="48">
        <f t="shared" si="80"/>
        <v>172.316768</v>
      </c>
      <c r="CF23" s="93">
        <f t="shared" si="81"/>
        <v>162.22662</v>
      </c>
      <c r="CG23" s="93">
        <f t="shared" si="82"/>
        <v>172.316768</v>
      </c>
      <c r="CI23" s="128">
        <v>0.86250000000000004</v>
      </c>
      <c r="CJ23" s="130">
        <v>0.7107</v>
      </c>
      <c r="CK23" s="128">
        <v>7.1999999999999998E-3</v>
      </c>
      <c r="CL23" s="128">
        <v>16757.2075</v>
      </c>
      <c r="CM23" s="128">
        <v>16301.5283</v>
      </c>
      <c r="CN23" s="49">
        <f t="shared" si="35"/>
        <v>183.0915</v>
      </c>
      <c r="CO23" s="49">
        <f t="shared" si="35"/>
        <v>195.783636</v>
      </c>
      <c r="CP23" s="47">
        <f t="shared" si="35"/>
        <v>2.8080000000000002E-3</v>
      </c>
      <c r="CQ23" s="47">
        <f t="shared" si="83"/>
        <v>1.4510333290596298E-3</v>
      </c>
      <c r="CR23" s="48">
        <f t="shared" si="84"/>
        <v>183.09295103332906</v>
      </c>
      <c r="CS23" s="48">
        <f t="shared" si="85"/>
        <v>195.78227903332908</v>
      </c>
      <c r="CT23" s="93">
        <f t="shared" si="86"/>
        <v>183.0915</v>
      </c>
      <c r="CU23" s="93">
        <f t="shared" si="87"/>
        <v>195.78082800000001</v>
      </c>
      <c r="CW23" s="128">
        <v>3.3081999999999998</v>
      </c>
      <c r="CX23" s="130">
        <v>2.8203999999999998</v>
      </c>
      <c r="CY23" s="128">
        <v>2.52E-2</v>
      </c>
      <c r="CZ23" s="128">
        <v>7218.0492000000004</v>
      </c>
      <c r="DA23" s="128">
        <v>7140.0941999999995</v>
      </c>
      <c r="DB23" s="49">
        <f t="shared" si="36"/>
        <v>710.30362200000002</v>
      </c>
      <c r="DC23" s="49">
        <f t="shared" si="36"/>
        <v>846.23281599999996</v>
      </c>
      <c r="DD23" s="47">
        <f t="shared" si="36"/>
        <v>6.8040000000000002E-3</v>
      </c>
      <c r="DE23" s="47">
        <f t="shared" si="88"/>
        <v>3.6990898121615312E-3</v>
      </c>
      <c r="DF23" s="48">
        <f t="shared" si="89"/>
        <v>710.30732108981215</v>
      </c>
      <c r="DG23" s="48">
        <f t="shared" si="90"/>
        <v>846.2297110898121</v>
      </c>
      <c r="DH23" s="93">
        <f t="shared" si="91"/>
        <v>710.30362200000002</v>
      </c>
      <c r="DI23" s="93">
        <f t="shared" si="92"/>
        <v>846.22601199999997</v>
      </c>
      <c r="DK23" s="128">
        <v>3.9883999999999999</v>
      </c>
      <c r="DL23" s="130">
        <v>3.6366999999999998</v>
      </c>
      <c r="DM23" s="128">
        <v>0</v>
      </c>
      <c r="DN23" s="128">
        <v>1683.2325000000001</v>
      </c>
      <c r="DO23" s="128">
        <v>1607.0033000000001</v>
      </c>
      <c r="DP23" s="49">
        <f t="shared" si="37"/>
        <v>527.90462400000001</v>
      </c>
      <c r="DQ23" s="49">
        <f t="shared" si="37"/>
        <v>704.17422099999999</v>
      </c>
      <c r="DR23" s="47">
        <f t="shared" si="37"/>
        <v>0</v>
      </c>
      <c r="DS23" s="47">
        <f t="shared" si="93"/>
        <v>0</v>
      </c>
      <c r="DT23" s="48">
        <f t="shared" si="94"/>
        <v>527.90462400000001</v>
      </c>
      <c r="DU23" s="48">
        <f t="shared" si="95"/>
        <v>704.17422099999999</v>
      </c>
      <c r="DV23" s="93">
        <f t="shared" si="96"/>
        <v>527.90462400000001</v>
      </c>
      <c r="DW23" s="93">
        <f t="shared" si="97"/>
        <v>704.17422099999999</v>
      </c>
      <c r="EB23" s="52"/>
      <c r="EC23" s="52"/>
      <c r="ED23" s="52"/>
      <c r="EE23" s="55">
        <f t="shared" si="98"/>
        <v>41367.431700000008</v>
      </c>
      <c r="EF23" s="55">
        <f t="shared" si="98"/>
        <v>40245.6417</v>
      </c>
      <c r="EG23" s="55">
        <f t="shared" si="98"/>
        <v>1706.0872276</v>
      </c>
      <c r="EH23" s="55">
        <f t="shared" si="98"/>
        <v>1832.1895467999998</v>
      </c>
      <c r="EI23" s="298">
        <f t="shared" si="38"/>
        <v>0.50687261215186641</v>
      </c>
      <c r="EJ23" s="52"/>
      <c r="EK23" s="55">
        <f t="shared" si="99"/>
        <v>1706.0916379051787</v>
      </c>
      <c r="EL23" s="55">
        <f t="shared" si="99"/>
        <v>1832.1857059051786</v>
      </c>
      <c r="EM23" s="55">
        <f t="shared" si="39"/>
        <v>1706.0872276</v>
      </c>
      <c r="EN23" s="55">
        <f t="shared" si="39"/>
        <v>1832.1812955999999</v>
      </c>
      <c r="EP23" s="52"/>
      <c r="EQ23" s="52"/>
      <c r="ER23" s="52"/>
      <c r="ES23" s="55">
        <f t="shared" si="40"/>
        <v>29794.7192</v>
      </c>
      <c r="ET23" s="55">
        <f t="shared" si="40"/>
        <v>29210.590799999998</v>
      </c>
      <c r="EU23" s="55">
        <f t="shared" si="40"/>
        <v>1487.8265323999999</v>
      </c>
      <c r="EV23" s="55">
        <f t="shared" si="40"/>
        <v>1507.3644181999998</v>
      </c>
      <c r="EW23" s="298">
        <f t="shared" si="41"/>
        <v>0.50494979519639849</v>
      </c>
      <c r="EX23" s="52"/>
      <c r="EY23" s="55">
        <f t="shared" si="42"/>
        <v>1488.1621446227387</v>
      </c>
      <c r="EZ23" s="55">
        <f t="shared" si="42"/>
        <v>1506.9864346227387</v>
      </c>
      <c r="FA23" s="55">
        <f t="shared" si="42"/>
        <v>1487.8265323999999</v>
      </c>
      <c r="FB23" s="55">
        <f t="shared" si="42"/>
        <v>1506.6508223999999</v>
      </c>
      <c r="FD23" s="52"/>
      <c r="FE23" s="52"/>
      <c r="FF23" s="52"/>
      <c r="FG23" s="55">
        <f t="shared" si="43"/>
        <v>21730.368399999999</v>
      </c>
      <c r="FH23" s="55">
        <f t="shared" si="43"/>
        <v>21111.3999</v>
      </c>
      <c r="FI23" s="55">
        <f t="shared" si="43"/>
        <v>1008.5011344</v>
      </c>
      <c r="FJ23" s="55">
        <f t="shared" si="43"/>
        <v>1004.2183456</v>
      </c>
      <c r="FK23" s="298">
        <f t="shared" si="44"/>
        <v>0.50722389066279505</v>
      </c>
      <c r="FL23" s="52"/>
      <c r="FM23" s="55">
        <f t="shared" si="45"/>
        <v>1009.1067117229672</v>
      </c>
      <c r="FN23" s="55">
        <f t="shared" si="45"/>
        <v>1003.2372109229673</v>
      </c>
      <c r="FO23" s="55">
        <f t="shared" si="45"/>
        <v>1008.5011344</v>
      </c>
      <c r="FP23" s="55">
        <f t="shared" si="45"/>
        <v>1002.6316336</v>
      </c>
      <c r="FR23" s="52"/>
      <c r="FS23" s="52"/>
      <c r="FT23" s="52"/>
      <c r="FU23" s="55">
        <f t="shared" si="46"/>
        <v>23975.256700000002</v>
      </c>
      <c r="FV23" s="55">
        <f t="shared" si="46"/>
        <v>23441.622499999998</v>
      </c>
      <c r="FW23" s="55">
        <f t="shared" si="46"/>
        <v>751.33439759999999</v>
      </c>
      <c r="FX23" s="55">
        <f t="shared" si="46"/>
        <v>872.76988879999999</v>
      </c>
      <c r="FY23" s="298">
        <f t="shared" si="47"/>
        <v>0.50562704894336452</v>
      </c>
      <c r="FZ23" s="52"/>
      <c r="GA23" s="55">
        <f t="shared" si="48"/>
        <v>751.33880790517878</v>
      </c>
      <c r="GB23" s="55">
        <f t="shared" si="48"/>
        <v>872.76604790517877</v>
      </c>
      <c r="GC23" s="55">
        <f t="shared" si="48"/>
        <v>751.33439759999999</v>
      </c>
      <c r="GD23" s="55">
        <f t="shared" si="48"/>
        <v>872.76163760000009</v>
      </c>
      <c r="GF23" s="52"/>
      <c r="GG23" s="52"/>
      <c r="GH23" s="52"/>
      <c r="GI23" s="55">
        <f t="shared" si="49"/>
        <v>12258.962500000001</v>
      </c>
      <c r="GJ23" s="55">
        <f t="shared" si="49"/>
        <v>11805.7858</v>
      </c>
      <c r="GK23" s="56">
        <f t="shared" si="50"/>
        <v>51.449769000000003</v>
      </c>
      <c r="GL23" s="56">
        <f t="shared" si="50"/>
        <v>66.447247500000003</v>
      </c>
      <c r="GM23" s="298">
        <f t="shared" si="51"/>
        <v>0.50941577893004608</v>
      </c>
      <c r="GN23" s="52"/>
      <c r="GO23" s="56">
        <f t="shared" si="52"/>
        <v>51.449769000000003</v>
      </c>
      <c r="GP23" s="56">
        <f t="shared" si="52"/>
        <v>66.447247500000003</v>
      </c>
      <c r="GQ23" s="56">
        <f t="shared" si="52"/>
        <v>51.449769000000003</v>
      </c>
      <c r="GR23" s="56">
        <f t="shared" si="52"/>
        <v>66.447247500000003</v>
      </c>
    </row>
    <row r="24" spans="1:220" x14ac:dyDescent="0.2">
      <c r="A24" s="118">
        <v>14</v>
      </c>
      <c r="C24" s="128">
        <v>0.72160000000000002</v>
      </c>
      <c r="D24" s="128">
        <v>0.40360000000000001</v>
      </c>
      <c r="E24" s="128">
        <v>0</v>
      </c>
      <c r="F24" s="128">
        <v>8189.8850000000002</v>
      </c>
      <c r="G24" s="128">
        <v>7917.6607999999997</v>
      </c>
      <c r="H24" s="49">
        <f t="shared" si="29"/>
        <v>722.62467200000003</v>
      </c>
      <c r="I24" s="49">
        <f t="shared" si="29"/>
        <v>765.87135999999998</v>
      </c>
      <c r="J24" s="47">
        <f t="shared" si="29"/>
        <v>0</v>
      </c>
      <c r="K24" s="47">
        <f t="shared" si="53"/>
        <v>0</v>
      </c>
      <c r="L24" s="48">
        <f t="shared" si="54"/>
        <v>722.62467200000003</v>
      </c>
      <c r="M24" s="48">
        <f t="shared" si="55"/>
        <v>765.87135999999998</v>
      </c>
      <c r="N24" s="93">
        <f t="shared" si="56"/>
        <v>722.62467200000003</v>
      </c>
      <c r="O24" s="93">
        <f t="shared" si="57"/>
        <v>765.87135999999998</v>
      </c>
      <c r="Q24" s="128">
        <v>0.91539999999999999</v>
      </c>
      <c r="R24" s="130">
        <v>0.46800000000000003</v>
      </c>
      <c r="S24" s="128">
        <v>6.1999999999999998E-3</v>
      </c>
      <c r="T24" s="128">
        <v>1554.3150000000001</v>
      </c>
      <c r="U24" s="128">
        <v>1529.2233000000001</v>
      </c>
      <c r="V24" s="49">
        <f t="shared" si="30"/>
        <v>582.56971399999998</v>
      </c>
      <c r="W24" s="49">
        <f t="shared" si="30"/>
        <v>557.61732000000006</v>
      </c>
      <c r="X24" s="47">
        <f t="shared" si="30"/>
        <v>1.3731139999999999</v>
      </c>
      <c r="Y24" s="47">
        <f t="shared" si="58"/>
        <v>0.6715320608833375</v>
      </c>
      <c r="Z24" s="48">
        <f t="shared" si="59"/>
        <v>583.24124606088333</v>
      </c>
      <c r="AA24" s="48">
        <f t="shared" si="60"/>
        <v>556.91573806088343</v>
      </c>
      <c r="AB24" s="93">
        <f t="shared" si="61"/>
        <v>582.56971399999998</v>
      </c>
      <c r="AC24" s="93">
        <f t="shared" si="62"/>
        <v>556.24420600000008</v>
      </c>
      <c r="AE24" s="128">
        <v>0.75190000000000001</v>
      </c>
      <c r="AF24" s="130">
        <v>0.2349</v>
      </c>
      <c r="AG24" s="128">
        <v>2.2599999999999999E-2</v>
      </c>
      <c r="AH24" s="128">
        <v>114.0275</v>
      </c>
      <c r="AI24" s="128">
        <v>126.67</v>
      </c>
      <c r="AJ24" s="49">
        <f t="shared" si="31"/>
        <v>345.93415199999998</v>
      </c>
      <c r="AK24" s="49">
        <f t="shared" si="31"/>
        <v>246.81647699999999</v>
      </c>
      <c r="AL24" s="47">
        <f t="shared" si="31"/>
        <v>3.728774</v>
      </c>
      <c r="AM24" s="47">
        <f t="shared" si="63"/>
        <v>1.552630764410708</v>
      </c>
      <c r="AN24" s="48">
        <f t="shared" si="64"/>
        <v>347.48678276441069</v>
      </c>
      <c r="AO24" s="48">
        <f t="shared" si="65"/>
        <v>244.64033376441071</v>
      </c>
      <c r="AP24" s="93">
        <f t="shared" si="66"/>
        <v>345.93415199999998</v>
      </c>
      <c r="AQ24" s="93">
        <f t="shared" si="67"/>
        <v>243.087703</v>
      </c>
      <c r="AS24" s="128">
        <v>0.74229999999999996</v>
      </c>
      <c r="AT24" s="130">
        <v>0.45150000000000001</v>
      </c>
      <c r="AU24" s="128">
        <v>0</v>
      </c>
      <c r="AV24" s="128">
        <v>8939.4416999999994</v>
      </c>
      <c r="AW24" s="128">
        <v>8777.1542000000009</v>
      </c>
      <c r="AX24" s="49">
        <f t="shared" si="32"/>
        <v>260.28007199999996</v>
      </c>
      <c r="AY24" s="49">
        <f t="shared" si="32"/>
        <v>318.29847000000001</v>
      </c>
      <c r="AZ24" s="47">
        <f t="shared" si="32"/>
        <v>0</v>
      </c>
      <c r="BA24" s="47">
        <f t="shared" si="68"/>
        <v>0</v>
      </c>
      <c r="BB24" s="48">
        <f t="shared" si="69"/>
        <v>260.28007199999996</v>
      </c>
      <c r="BC24" s="48">
        <f t="shared" si="70"/>
        <v>318.29847000000001</v>
      </c>
      <c r="BD24" s="93">
        <f t="shared" si="71"/>
        <v>260.28007199999996</v>
      </c>
      <c r="BE24" s="93">
        <f t="shared" si="72"/>
        <v>318.29847000000001</v>
      </c>
      <c r="BG24" s="128">
        <v>0.73180000000000001</v>
      </c>
      <c r="BH24" s="130">
        <v>0.43130000000000002</v>
      </c>
      <c r="BI24" s="128">
        <v>6.9999999999999999E-4</v>
      </c>
      <c r="BJ24" s="128">
        <v>4198.8582999999999</v>
      </c>
      <c r="BK24" s="128">
        <v>4028.6567</v>
      </c>
      <c r="BL24" s="49">
        <f t="shared" si="33"/>
        <v>240.33775600000001</v>
      </c>
      <c r="BM24" s="49">
        <f t="shared" si="33"/>
        <v>260.79848399999997</v>
      </c>
      <c r="BN24" s="47">
        <f t="shared" si="33"/>
        <v>0.14877799999999999</v>
      </c>
      <c r="BO24" s="47">
        <f t="shared" si="73"/>
        <v>7.7426204204573176E-2</v>
      </c>
      <c r="BP24" s="48">
        <f t="shared" si="74"/>
        <v>240.4151822042046</v>
      </c>
      <c r="BQ24" s="48">
        <f t="shared" si="75"/>
        <v>260.72713220420457</v>
      </c>
      <c r="BR24" s="93">
        <f t="shared" si="76"/>
        <v>240.33775600000001</v>
      </c>
      <c r="BS24" s="93">
        <f t="shared" si="77"/>
        <v>260.64970599999998</v>
      </c>
      <c r="BU24" s="128">
        <v>0.71709999999999996</v>
      </c>
      <c r="BV24" s="130">
        <v>0.52610000000000001</v>
      </c>
      <c r="BW24" s="128">
        <v>0</v>
      </c>
      <c r="BX24" s="128">
        <v>3292.7667000000001</v>
      </c>
      <c r="BY24" s="128">
        <v>3219.5742</v>
      </c>
      <c r="BZ24" s="49">
        <f t="shared" si="34"/>
        <v>173.96845999999999</v>
      </c>
      <c r="CA24" s="49">
        <f t="shared" si="34"/>
        <v>212.60753200000002</v>
      </c>
      <c r="CB24" s="47">
        <f t="shared" si="34"/>
        <v>0</v>
      </c>
      <c r="CC24" s="47">
        <f t="shared" si="78"/>
        <v>0</v>
      </c>
      <c r="CD24" s="48">
        <f t="shared" si="79"/>
        <v>173.96845999999999</v>
      </c>
      <c r="CE24" s="48">
        <f t="shared" si="80"/>
        <v>212.60753200000002</v>
      </c>
      <c r="CF24" s="93">
        <f t="shared" si="81"/>
        <v>173.96845999999999</v>
      </c>
      <c r="CG24" s="93">
        <f t="shared" si="82"/>
        <v>212.60753200000002</v>
      </c>
      <c r="CI24" s="128">
        <v>0.90110000000000001</v>
      </c>
      <c r="CJ24" s="130">
        <v>0.75860000000000005</v>
      </c>
      <c r="CK24" s="128">
        <v>1.34E-2</v>
      </c>
      <c r="CL24" s="128">
        <v>16669.4833</v>
      </c>
      <c r="CM24" s="128">
        <v>16258.4683</v>
      </c>
      <c r="CN24" s="49">
        <f t="shared" si="35"/>
        <v>191.28550799999999</v>
      </c>
      <c r="CO24" s="49">
        <f t="shared" si="35"/>
        <v>208.97912800000003</v>
      </c>
      <c r="CP24" s="47">
        <f t="shared" si="35"/>
        <v>5.2260000000000006E-3</v>
      </c>
      <c r="CQ24" s="47">
        <f t="shared" si="83"/>
        <v>2.7285071542718061E-3</v>
      </c>
      <c r="CR24" s="48">
        <f t="shared" si="84"/>
        <v>191.28823650715427</v>
      </c>
      <c r="CS24" s="48">
        <f t="shared" si="85"/>
        <v>208.97663050715431</v>
      </c>
      <c r="CT24" s="93">
        <f t="shared" si="86"/>
        <v>191.28550799999999</v>
      </c>
      <c r="CU24" s="93">
        <f t="shared" si="87"/>
        <v>208.97390200000004</v>
      </c>
      <c r="CW24" s="128">
        <v>3.5158</v>
      </c>
      <c r="CX24" s="130">
        <v>2.7705000000000002</v>
      </c>
      <c r="CY24" s="128">
        <v>3.5000000000000003E-2</v>
      </c>
      <c r="CZ24" s="128">
        <v>7337.6274999999996</v>
      </c>
      <c r="DA24" s="128">
        <v>6967.625</v>
      </c>
      <c r="DB24" s="49">
        <f t="shared" si="36"/>
        <v>754.87741800000003</v>
      </c>
      <c r="DC24" s="49">
        <f t="shared" si="36"/>
        <v>831.26082000000008</v>
      </c>
      <c r="DD24" s="47">
        <f t="shared" si="36"/>
        <v>9.4500000000000018E-3</v>
      </c>
      <c r="DE24" s="47">
        <f t="shared" si="88"/>
        <v>4.9525410590347306E-3</v>
      </c>
      <c r="DF24" s="48">
        <f t="shared" si="89"/>
        <v>754.88237054105912</v>
      </c>
      <c r="DG24" s="48">
        <f t="shared" si="90"/>
        <v>831.25632254105915</v>
      </c>
      <c r="DH24" s="93">
        <f t="shared" si="91"/>
        <v>754.87741800000003</v>
      </c>
      <c r="DI24" s="93">
        <f t="shared" si="92"/>
        <v>831.25137000000007</v>
      </c>
      <c r="DK24" s="128">
        <v>4.4793000000000003</v>
      </c>
      <c r="DL24" s="130">
        <v>3.5558999999999998</v>
      </c>
      <c r="DM24" s="128">
        <v>4.3E-3</v>
      </c>
      <c r="DN24" s="128">
        <v>1546.8008</v>
      </c>
      <c r="DO24" s="128">
        <v>1526.42</v>
      </c>
      <c r="DP24" s="49">
        <f t="shared" si="37"/>
        <v>592.88014800000008</v>
      </c>
      <c r="DQ24" s="49">
        <f t="shared" si="37"/>
        <v>688.52891699999998</v>
      </c>
      <c r="DR24" s="47">
        <f t="shared" si="37"/>
        <v>8.1700000000000002E-4</v>
      </c>
      <c r="DS24" s="47">
        <f t="shared" si="93"/>
        <v>4.3899184152329995E-4</v>
      </c>
      <c r="DT24" s="48">
        <f t="shared" si="94"/>
        <v>592.8805869918416</v>
      </c>
      <c r="DU24" s="48">
        <f t="shared" si="95"/>
        <v>688.52853899184151</v>
      </c>
      <c r="DV24" s="93">
        <f t="shared" si="96"/>
        <v>592.88014800000008</v>
      </c>
      <c r="DW24" s="93">
        <f t="shared" si="97"/>
        <v>688.52809999999999</v>
      </c>
      <c r="EB24" s="52"/>
      <c r="EC24" s="52"/>
      <c r="ED24" s="52"/>
      <c r="EE24" s="55">
        <f t="shared" si="98"/>
        <v>41136.4375</v>
      </c>
      <c r="EF24" s="55">
        <f t="shared" si="98"/>
        <v>39920.908300000003</v>
      </c>
      <c r="EG24" s="55">
        <f t="shared" si="98"/>
        <v>1778.0921863999999</v>
      </c>
      <c r="EH24" s="55">
        <f t="shared" si="98"/>
        <v>1958.1576140000002</v>
      </c>
      <c r="EI24" s="298">
        <f t="shared" si="38"/>
        <v>0.50749795831582722</v>
      </c>
      <c r="EJ24" s="52"/>
      <c r="EK24" s="55">
        <f t="shared" si="99"/>
        <v>1778.0988769400014</v>
      </c>
      <c r="EL24" s="55">
        <f t="shared" si="99"/>
        <v>1958.1515185400017</v>
      </c>
      <c r="EM24" s="55">
        <f t="shared" si="39"/>
        <v>1778.0921863999999</v>
      </c>
      <c r="EN24" s="55">
        <f t="shared" si="39"/>
        <v>1958.144828</v>
      </c>
      <c r="EP24" s="52"/>
      <c r="EQ24" s="52"/>
      <c r="ER24" s="52"/>
      <c r="ES24" s="55">
        <f t="shared" si="40"/>
        <v>29760.284100000001</v>
      </c>
      <c r="ET24" s="55">
        <f t="shared" si="40"/>
        <v>28783.973300000001</v>
      </c>
      <c r="EU24" s="55">
        <f t="shared" si="40"/>
        <v>1542.6071706</v>
      </c>
      <c r="EV24" s="55">
        <f t="shared" si="40"/>
        <v>1609.2775059999999</v>
      </c>
      <c r="EW24" s="298">
        <f t="shared" si="41"/>
        <v>0.50833822857577149</v>
      </c>
      <c r="EX24" s="52"/>
      <c r="EY24" s="55">
        <f t="shared" si="42"/>
        <v>1543.3623241509836</v>
      </c>
      <c r="EZ24" s="55">
        <f t="shared" si="42"/>
        <v>1608.4989265509839</v>
      </c>
      <c r="FA24" s="55">
        <f t="shared" si="42"/>
        <v>1542.6071706</v>
      </c>
      <c r="FB24" s="55">
        <f t="shared" si="42"/>
        <v>1607.7437729999999</v>
      </c>
      <c r="FD24" s="52"/>
      <c r="FE24" s="52"/>
      <c r="FF24" s="52"/>
      <c r="FG24" s="55">
        <f t="shared" si="43"/>
        <v>21623.078300000001</v>
      </c>
      <c r="FH24" s="55">
        <f t="shared" si="43"/>
        <v>21131.1325</v>
      </c>
      <c r="FI24" s="55">
        <f t="shared" si="43"/>
        <v>1066.9162088</v>
      </c>
      <c r="FJ24" s="55">
        <f t="shared" si="43"/>
        <v>1081.5204871999999</v>
      </c>
      <c r="FK24" s="298">
        <f t="shared" si="44"/>
        <v>0.5057531853681182</v>
      </c>
      <c r="FL24" s="52"/>
      <c r="FM24" s="55">
        <f t="shared" si="45"/>
        <v>1068.47183146667</v>
      </c>
      <c r="FN24" s="55">
        <f t="shared" si="45"/>
        <v>1079.3416196666699</v>
      </c>
      <c r="FO24" s="55">
        <f t="shared" si="45"/>
        <v>1066.9162088</v>
      </c>
      <c r="FP24" s="55">
        <f t="shared" si="45"/>
        <v>1077.785997</v>
      </c>
      <c r="FR24" s="52"/>
      <c r="FS24" s="52"/>
      <c r="FT24" s="52"/>
      <c r="FU24" s="55">
        <f t="shared" si="46"/>
        <v>24007.110799999999</v>
      </c>
      <c r="FV24" s="55">
        <f t="shared" si="46"/>
        <v>23226.0933</v>
      </c>
      <c r="FW24" s="55">
        <f t="shared" si="46"/>
        <v>795.18744240000001</v>
      </c>
      <c r="FX24" s="55">
        <f t="shared" si="46"/>
        <v>873.98778400000015</v>
      </c>
      <c r="FY24" s="298">
        <f t="shared" si="47"/>
        <v>0.5082676743498753</v>
      </c>
      <c r="FZ24" s="52"/>
      <c r="GA24" s="55">
        <f t="shared" si="48"/>
        <v>795.19413294000151</v>
      </c>
      <c r="GB24" s="55">
        <f t="shared" si="48"/>
        <v>873.98168854000164</v>
      </c>
      <c r="GC24" s="55">
        <f t="shared" si="48"/>
        <v>795.18744240000001</v>
      </c>
      <c r="GD24" s="55">
        <f t="shared" si="48"/>
        <v>873.97499800000014</v>
      </c>
      <c r="GF24" s="52"/>
      <c r="GG24" s="52"/>
      <c r="GH24" s="52"/>
      <c r="GI24" s="55">
        <f t="shared" si="49"/>
        <v>12232.2084</v>
      </c>
      <c r="GJ24" s="55">
        <f t="shared" si="49"/>
        <v>11996.7284</v>
      </c>
      <c r="GK24" s="56">
        <f t="shared" si="50"/>
        <v>64.733708999999976</v>
      </c>
      <c r="GL24" s="56">
        <f t="shared" si="50"/>
        <v>79.268203499999998</v>
      </c>
      <c r="GM24" s="298">
        <f t="shared" si="51"/>
        <v>0.50485947860493818</v>
      </c>
      <c r="GN24" s="52"/>
      <c r="GO24" s="56">
        <f t="shared" si="52"/>
        <v>64.733708999999976</v>
      </c>
      <c r="GP24" s="56">
        <f t="shared" si="52"/>
        <v>79.268203499999998</v>
      </c>
      <c r="GQ24" s="56">
        <f t="shared" si="52"/>
        <v>64.733708999999976</v>
      </c>
      <c r="GR24" s="56">
        <f t="shared" si="52"/>
        <v>79.268203499999998</v>
      </c>
    </row>
    <row r="25" spans="1:220" x14ac:dyDescent="0.2">
      <c r="A25" s="118">
        <v>15</v>
      </c>
      <c r="C25" s="128">
        <v>0.72260000000000002</v>
      </c>
      <c r="D25" s="128">
        <v>0.44090000000000001</v>
      </c>
      <c r="E25" s="128">
        <v>0</v>
      </c>
      <c r="F25" s="128">
        <v>7904.6125000000002</v>
      </c>
      <c r="G25" s="128">
        <v>7518.3433000000005</v>
      </c>
      <c r="H25" s="49">
        <f t="shared" si="29"/>
        <v>723.62609199999997</v>
      </c>
      <c r="I25" s="49">
        <f t="shared" si="29"/>
        <v>836.65183999999999</v>
      </c>
      <c r="J25" s="47">
        <f t="shared" si="29"/>
        <v>0</v>
      </c>
      <c r="K25" s="47">
        <f t="shared" si="53"/>
        <v>0</v>
      </c>
      <c r="L25" s="48">
        <f t="shared" si="54"/>
        <v>723.62609199999997</v>
      </c>
      <c r="M25" s="48">
        <f t="shared" si="55"/>
        <v>836.65183999999999</v>
      </c>
      <c r="N25" s="93">
        <f t="shared" si="56"/>
        <v>725.29044428339409</v>
      </c>
      <c r="O25" s="93">
        <f t="shared" si="57"/>
        <v>838.31619228339412</v>
      </c>
      <c r="Q25" s="128">
        <v>0.91920000000000002</v>
      </c>
      <c r="R25" s="130">
        <v>0.50800000000000001</v>
      </c>
      <c r="S25" s="128">
        <v>1.35E-2</v>
      </c>
      <c r="T25" s="128">
        <v>1216.3416999999999</v>
      </c>
      <c r="U25" s="128">
        <v>1191.5775000000001</v>
      </c>
      <c r="V25" s="49">
        <f t="shared" si="30"/>
        <v>584.98807199999999</v>
      </c>
      <c r="W25" s="49">
        <f t="shared" si="30"/>
        <v>605.27692000000002</v>
      </c>
      <c r="X25" s="47">
        <f t="shared" si="30"/>
        <v>2.9898449999999999</v>
      </c>
      <c r="Y25" s="47">
        <f t="shared" si="58"/>
        <v>1.5204044351809349</v>
      </c>
      <c r="Z25" s="48">
        <f t="shared" si="59"/>
        <v>586.50847643518091</v>
      </c>
      <c r="AA25" s="48">
        <f t="shared" si="60"/>
        <v>603.80747943518099</v>
      </c>
      <c r="AB25" s="93">
        <f t="shared" si="61"/>
        <v>587.4787760254078</v>
      </c>
      <c r="AC25" s="93">
        <f t="shared" si="62"/>
        <v>604.77777902540788</v>
      </c>
      <c r="AE25" s="128">
        <v>0.74850000000000005</v>
      </c>
      <c r="AF25" s="130">
        <v>0.26919999999999999</v>
      </c>
      <c r="AG25" s="128">
        <v>4.1000000000000002E-2</v>
      </c>
      <c r="AH25" s="128">
        <v>65.166700000000006</v>
      </c>
      <c r="AI25" s="128">
        <v>59.08</v>
      </c>
      <c r="AJ25" s="49">
        <f t="shared" si="31"/>
        <v>344.36988000000002</v>
      </c>
      <c r="AK25" s="49">
        <f t="shared" si="31"/>
        <v>282.856516</v>
      </c>
      <c r="AL25" s="47">
        <f t="shared" si="31"/>
        <v>6.764590000000001</v>
      </c>
      <c r="AM25" s="47">
        <f t="shared" si="63"/>
        <v>3.0505864736732802</v>
      </c>
      <c r="AN25" s="48">
        <f t="shared" si="64"/>
        <v>347.42046647367329</v>
      </c>
      <c r="AO25" s="48">
        <f t="shared" si="65"/>
        <v>279.14251247367326</v>
      </c>
      <c r="AP25" s="93">
        <f t="shared" si="66"/>
        <v>350.80720368523288</v>
      </c>
      <c r="AQ25" s="93">
        <f t="shared" si="67"/>
        <v>282.52924968523286</v>
      </c>
      <c r="AS25" s="128">
        <v>0.82530000000000003</v>
      </c>
      <c r="AT25" s="130">
        <v>0.52890000000000004</v>
      </c>
      <c r="AU25" s="128">
        <v>0</v>
      </c>
      <c r="AV25" s="128">
        <v>8619.4699999999993</v>
      </c>
      <c r="AW25" s="128">
        <v>8264.8525000000009</v>
      </c>
      <c r="AX25" s="49">
        <f t="shared" si="32"/>
        <v>289.38319200000001</v>
      </c>
      <c r="AY25" s="49">
        <f t="shared" si="32"/>
        <v>372.86392200000006</v>
      </c>
      <c r="AZ25" s="47">
        <f t="shared" si="32"/>
        <v>0</v>
      </c>
      <c r="BA25" s="47">
        <f t="shared" si="68"/>
        <v>0</v>
      </c>
      <c r="BB25" s="48">
        <f t="shared" si="69"/>
        <v>289.38319200000001</v>
      </c>
      <c r="BC25" s="48">
        <f t="shared" si="70"/>
        <v>372.86392200000006</v>
      </c>
      <c r="BD25" s="93">
        <f t="shared" si="71"/>
        <v>290.52872282897778</v>
      </c>
      <c r="BE25" s="93">
        <f t="shared" si="72"/>
        <v>374.00945282897783</v>
      </c>
      <c r="BG25" s="128">
        <v>0.7661</v>
      </c>
      <c r="BH25" s="130">
        <v>0.497</v>
      </c>
      <c r="BI25" s="128">
        <v>1.8E-3</v>
      </c>
      <c r="BJ25" s="128">
        <v>4041.7557999999999</v>
      </c>
      <c r="BK25" s="128">
        <v>3972.5342000000001</v>
      </c>
      <c r="BL25" s="49">
        <f t="shared" si="33"/>
        <v>251.60256200000001</v>
      </c>
      <c r="BM25" s="49">
        <f t="shared" si="33"/>
        <v>300.52596</v>
      </c>
      <c r="BN25" s="47">
        <f t="shared" si="33"/>
        <v>0.38257199999999997</v>
      </c>
      <c r="BO25" s="47">
        <f t="shared" si="73"/>
        <v>0.20823560636325902</v>
      </c>
      <c r="BP25" s="48">
        <f t="shared" si="74"/>
        <v>251.81079760636325</v>
      </c>
      <c r="BQ25" s="48">
        <f t="shared" si="75"/>
        <v>300.35162360636326</v>
      </c>
      <c r="BR25" s="93">
        <f t="shared" si="76"/>
        <v>252.53768291658039</v>
      </c>
      <c r="BS25" s="93">
        <f t="shared" si="77"/>
        <v>301.0785089165804</v>
      </c>
      <c r="BU25" s="128">
        <v>0.75939999999999996</v>
      </c>
      <c r="BV25" s="130">
        <v>0.61890000000000001</v>
      </c>
      <c r="BW25" s="128">
        <v>0</v>
      </c>
      <c r="BX25" s="128">
        <v>3475.1858000000002</v>
      </c>
      <c r="BY25" s="128">
        <v>3169.1950000000002</v>
      </c>
      <c r="BZ25" s="49">
        <f t="shared" si="34"/>
        <v>184.23043999999999</v>
      </c>
      <c r="CA25" s="49">
        <f t="shared" si="34"/>
        <v>250.10986800000001</v>
      </c>
      <c r="CB25" s="47">
        <f t="shared" si="34"/>
        <v>0</v>
      </c>
      <c r="CC25" s="47">
        <f t="shared" si="78"/>
        <v>0</v>
      </c>
      <c r="CD25" s="48">
        <f t="shared" si="79"/>
        <v>184.23043999999999</v>
      </c>
      <c r="CE25" s="48">
        <f t="shared" si="80"/>
        <v>250.10986800000001</v>
      </c>
      <c r="CF25" s="93">
        <f t="shared" si="81"/>
        <v>185.16903123304269</v>
      </c>
      <c r="CG25" s="93">
        <f t="shared" si="82"/>
        <v>251.04845923304271</v>
      </c>
      <c r="CI25" s="128">
        <v>0.92889999999999995</v>
      </c>
      <c r="CJ25" s="130">
        <v>0.7954</v>
      </c>
      <c r="CK25" s="128">
        <v>2.1299999999999999E-2</v>
      </c>
      <c r="CL25" s="128">
        <v>16421.9192</v>
      </c>
      <c r="CM25" s="128">
        <v>15681.415000000001</v>
      </c>
      <c r="CN25" s="49">
        <f t="shared" si="35"/>
        <v>197.186892</v>
      </c>
      <c r="CO25" s="49">
        <f t="shared" si="35"/>
        <v>219.116792</v>
      </c>
      <c r="CP25" s="47">
        <f t="shared" si="35"/>
        <v>8.3070000000000001E-3</v>
      </c>
      <c r="CQ25" s="47">
        <f t="shared" si="83"/>
        <v>4.3722966216748638E-3</v>
      </c>
      <c r="CR25" s="48">
        <f t="shared" si="84"/>
        <v>197.19126429662168</v>
      </c>
      <c r="CS25" s="48">
        <f t="shared" si="85"/>
        <v>219.11285729662168</v>
      </c>
      <c r="CT25" s="93">
        <f t="shared" si="86"/>
        <v>197.19385916168423</v>
      </c>
      <c r="CU25" s="93">
        <f t="shared" si="87"/>
        <v>219.11545216168423</v>
      </c>
      <c r="CW25" s="128">
        <v>3.1684999999999999</v>
      </c>
      <c r="CX25" s="130">
        <v>2.3755999999999999</v>
      </c>
      <c r="CY25" s="128">
        <v>4.6699999999999998E-2</v>
      </c>
      <c r="CZ25" s="128">
        <v>7161.5366999999997</v>
      </c>
      <c r="DA25" s="128">
        <v>6796.2083000000002</v>
      </c>
      <c r="DB25" s="49">
        <f t="shared" si="36"/>
        <v>680.30863499999998</v>
      </c>
      <c r="DC25" s="49">
        <f t="shared" si="36"/>
        <v>712.77502400000003</v>
      </c>
      <c r="DD25" s="47">
        <f t="shared" si="36"/>
        <v>1.2609E-2</v>
      </c>
      <c r="DE25" s="47">
        <f t="shared" si="88"/>
        <v>6.4514289716580487E-3</v>
      </c>
      <c r="DF25" s="48">
        <f t="shared" si="89"/>
        <v>680.31508642897165</v>
      </c>
      <c r="DG25" s="48">
        <f t="shared" si="90"/>
        <v>712.76886642897171</v>
      </c>
      <c r="DH25" s="93">
        <f t="shared" si="91"/>
        <v>680.31843072327365</v>
      </c>
      <c r="DI25" s="93">
        <f t="shared" si="92"/>
        <v>712.7722107232737</v>
      </c>
      <c r="DK25" s="128">
        <v>3.9910000000000001</v>
      </c>
      <c r="DL25" s="130">
        <v>2.9224999999999999</v>
      </c>
      <c r="DM25" s="128">
        <v>1.09E-2</v>
      </c>
      <c r="DN25" s="128">
        <v>1509.9733000000001</v>
      </c>
      <c r="DO25" s="128">
        <v>1448.5625</v>
      </c>
      <c r="DP25" s="49">
        <f t="shared" si="37"/>
        <v>528.24876000000006</v>
      </c>
      <c r="DQ25" s="49">
        <f t="shared" si="37"/>
        <v>565.88367499999993</v>
      </c>
      <c r="DR25" s="47">
        <f t="shared" si="37"/>
        <v>2.0709999999999999E-3</v>
      </c>
      <c r="DS25" s="47">
        <f t="shared" si="93"/>
        <v>1.0711181329022567E-3</v>
      </c>
      <c r="DT25" s="48">
        <f t="shared" si="94"/>
        <v>528.24983111813299</v>
      </c>
      <c r="DU25" s="48">
        <f t="shared" si="95"/>
        <v>565.88267511813285</v>
      </c>
      <c r="DV25" s="93">
        <f t="shared" si="96"/>
        <v>528.25187489434052</v>
      </c>
      <c r="DW25" s="93">
        <f t="shared" si="97"/>
        <v>565.88471889434038</v>
      </c>
      <c r="EB25" s="52"/>
      <c r="EC25" s="52"/>
      <c r="ED25" s="52"/>
      <c r="EE25" s="55">
        <f t="shared" si="98"/>
        <v>40107.538399999998</v>
      </c>
      <c r="EF25" s="55">
        <f t="shared" si="98"/>
        <v>38260.819100000001</v>
      </c>
      <c r="EG25" s="55">
        <f t="shared" si="98"/>
        <v>1754.443084</v>
      </c>
      <c r="EH25" s="55">
        <f t="shared" si="98"/>
        <v>1998.8525732000001</v>
      </c>
      <c r="EI25" s="298">
        <f t="shared" si="38"/>
        <v>0.51178230193225627</v>
      </c>
      <c r="EJ25" s="52"/>
      <c r="EK25" s="55">
        <f t="shared" si="99"/>
        <v>1754.452617439799</v>
      </c>
      <c r="EL25" s="55">
        <f t="shared" si="99"/>
        <v>1998.8437124397992</v>
      </c>
      <c r="EM25" s="55">
        <f t="shared" si="39"/>
        <v>1757.2677708526749</v>
      </c>
      <c r="EN25" s="55">
        <f t="shared" si="39"/>
        <v>2001.6588658526753</v>
      </c>
      <c r="EP25" s="52"/>
      <c r="EQ25" s="52"/>
      <c r="ER25" s="52"/>
      <c r="ES25" s="55">
        <f t="shared" si="40"/>
        <v>28841.553400000001</v>
      </c>
      <c r="ET25" s="55">
        <f t="shared" si="40"/>
        <v>27641.735000000001</v>
      </c>
      <c r="EU25" s="55">
        <f t="shared" si="40"/>
        <v>1509.9935705</v>
      </c>
      <c r="EV25" s="55">
        <f t="shared" si="40"/>
        <v>1623.8621888</v>
      </c>
      <c r="EW25" s="298">
        <f t="shared" si="41"/>
        <v>0.51062100343293748</v>
      </c>
      <c r="EX25" s="52"/>
      <c r="EY25" s="55">
        <f t="shared" si="42"/>
        <v>1511.7310988384459</v>
      </c>
      <c r="EZ25" s="55">
        <f t="shared" si="42"/>
        <v>1622.2101668384462</v>
      </c>
      <c r="FA25" s="55">
        <f t="shared" si="42"/>
        <v>1513.4332196099638</v>
      </c>
      <c r="FB25" s="55">
        <f t="shared" si="42"/>
        <v>1623.9122876099641</v>
      </c>
      <c r="FD25" s="52"/>
      <c r="FE25" s="52"/>
      <c r="FF25" s="52"/>
      <c r="FG25" s="55">
        <f t="shared" si="43"/>
        <v>21472.245000000003</v>
      </c>
      <c r="FH25" s="55">
        <f t="shared" si="43"/>
        <v>20358.252500000002</v>
      </c>
      <c r="FI25" s="55">
        <f t="shared" si="43"/>
        <v>1042.7364680000001</v>
      </c>
      <c r="FJ25" s="55">
        <f t="shared" si="43"/>
        <v>1091.6133810000001</v>
      </c>
      <c r="FK25" s="298">
        <f t="shared" si="44"/>
        <v>0.51331555404044626</v>
      </c>
      <c r="FL25" s="52"/>
      <c r="FM25" s="55">
        <f t="shared" si="45"/>
        <v>1045.7920694411748</v>
      </c>
      <c r="FN25" s="55">
        <f t="shared" si="45"/>
        <v>1087.8948428411745</v>
      </c>
      <c r="FO25" s="55">
        <f t="shared" si="45"/>
        <v>1050.1212190165643</v>
      </c>
      <c r="FP25" s="55">
        <f t="shared" si="45"/>
        <v>1092.223992416564</v>
      </c>
      <c r="FR25" s="52"/>
      <c r="FS25" s="52"/>
      <c r="FT25" s="52"/>
      <c r="FU25" s="55">
        <f t="shared" si="46"/>
        <v>23583.455900000001</v>
      </c>
      <c r="FV25" s="55">
        <f t="shared" si="46"/>
        <v>22477.623299999999</v>
      </c>
      <c r="FW25" s="55">
        <f t="shared" si="46"/>
        <v>741.43380000000002</v>
      </c>
      <c r="FX25" s="55">
        <f t="shared" si="46"/>
        <v>789.33681120000006</v>
      </c>
      <c r="FY25" s="298">
        <f t="shared" si="47"/>
        <v>0.51200398057542695</v>
      </c>
      <c r="FZ25" s="52"/>
      <c r="GA25" s="55">
        <f t="shared" si="48"/>
        <v>741.44333343979906</v>
      </c>
      <c r="GB25" s="55">
        <f t="shared" si="48"/>
        <v>789.327950439799</v>
      </c>
      <c r="GC25" s="55">
        <f t="shared" si="48"/>
        <v>741.44860374030316</v>
      </c>
      <c r="GD25" s="55">
        <f t="shared" si="48"/>
        <v>789.3332207403032</v>
      </c>
      <c r="GF25" s="52"/>
      <c r="GG25" s="52"/>
      <c r="GH25" s="52"/>
      <c r="GI25" s="55">
        <f t="shared" si="49"/>
        <v>12094.6558</v>
      </c>
      <c r="GJ25" s="55">
        <f t="shared" si="49"/>
        <v>11434.047500000001</v>
      </c>
      <c r="GK25" s="56">
        <f t="shared" si="50"/>
        <v>78.864564000000016</v>
      </c>
      <c r="GL25" s="56">
        <f t="shared" si="50"/>
        <v>92.06554050000004</v>
      </c>
      <c r="GM25" s="298">
        <f t="shared" si="51"/>
        <v>0.51403834906618084</v>
      </c>
      <c r="GN25" s="52"/>
      <c r="GO25" s="56">
        <f t="shared" si="52"/>
        <v>78.864564000000016</v>
      </c>
      <c r="GP25" s="56">
        <f t="shared" si="52"/>
        <v>92.06554050000004</v>
      </c>
      <c r="GQ25" s="56">
        <f t="shared" si="52"/>
        <v>79.019768696951317</v>
      </c>
      <c r="GR25" s="56">
        <f t="shared" si="52"/>
        <v>92.220745196951341</v>
      </c>
    </row>
    <row r="26" spans="1:220" x14ac:dyDescent="0.2">
      <c r="A26" s="118">
        <v>16</v>
      </c>
      <c r="C26" s="128">
        <v>0.72470000000000001</v>
      </c>
      <c r="D26" s="128">
        <v>0.47770000000000001</v>
      </c>
      <c r="E26" s="128">
        <v>1.6000000000000001E-3</v>
      </c>
      <c r="F26" s="128">
        <v>7447.7524999999996</v>
      </c>
      <c r="G26" s="128">
        <v>7005.0591999999997</v>
      </c>
      <c r="H26" s="49">
        <f t="shared" si="29"/>
        <v>725.72907399999997</v>
      </c>
      <c r="I26" s="49">
        <f t="shared" si="29"/>
        <v>906.48352</v>
      </c>
      <c r="J26" s="47">
        <f t="shared" si="29"/>
        <v>0.29110400000000003</v>
      </c>
      <c r="K26" s="47">
        <f t="shared" si="53"/>
        <v>0.14109370520317513</v>
      </c>
      <c r="L26" s="48">
        <f t="shared" si="54"/>
        <v>725.87016770520313</v>
      </c>
      <c r="M26" s="48">
        <f t="shared" si="55"/>
        <v>906.33350970520314</v>
      </c>
      <c r="N26" s="93">
        <f t="shared" si="56"/>
        <v>727.39342628339409</v>
      </c>
      <c r="O26" s="93">
        <f t="shared" si="57"/>
        <v>907.8567682833941</v>
      </c>
      <c r="Q26" s="128">
        <v>0.9194</v>
      </c>
      <c r="R26" s="130">
        <v>0.54749999999999999</v>
      </c>
      <c r="S26" s="128">
        <v>2.12E-2</v>
      </c>
      <c r="T26" s="128">
        <v>1247.6142</v>
      </c>
      <c r="U26" s="128">
        <v>1159.0042000000001</v>
      </c>
      <c r="V26" s="49">
        <f t="shared" si="30"/>
        <v>585.11535399999991</v>
      </c>
      <c r="W26" s="49">
        <f t="shared" si="30"/>
        <v>652.34077500000001</v>
      </c>
      <c r="X26" s="47">
        <f t="shared" si="30"/>
        <v>4.6951640000000001</v>
      </c>
      <c r="Y26" s="47">
        <f t="shared" si="58"/>
        <v>2.4751155622682286</v>
      </c>
      <c r="Z26" s="48">
        <f t="shared" si="59"/>
        <v>587.59046956226814</v>
      </c>
      <c r="AA26" s="48">
        <f t="shared" si="60"/>
        <v>650.12072656226826</v>
      </c>
      <c r="AB26" s="93">
        <f t="shared" si="61"/>
        <v>587.60605802540772</v>
      </c>
      <c r="AC26" s="93">
        <f t="shared" si="62"/>
        <v>650.13631502540784</v>
      </c>
      <c r="AE26" s="128">
        <v>0.74309999999999998</v>
      </c>
      <c r="AF26" s="130">
        <v>0.3029</v>
      </c>
      <c r="AG26" s="128">
        <v>6.2600000000000003E-2</v>
      </c>
      <c r="AH26" s="128">
        <v>55.9133</v>
      </c>
      <c r="AI26" s="128">
        <v>60.658299999999997</v>
      </c>
      <c r="AJ26" s="49">
        <f t="shared" si="31"/>
        <v>341.885448</v>
      </c>
      <c r="AK26" s="49">
        <f t="shared" si="31"/>
        <v>318.26611700000001</v>
      </c>
      <c r="AL26" s="47">
        <f t="shared" si="31"/>
        <v>10.328374</v>
      </c>
      <c r="AM26" s="47">
        <f t="shared" si="63"/>
        <v>4.9794193669809115</v>
      </c>
      <c r="AN26" s="48">
        <f t="shared" si="64"/>
        <v>346.86486736698089</v>
      </c>
      <c r="AO26" s="48">
        <f t="shared" si="65"/>
        <v>312.9171623669809</v>
      </c>
      <c r="AP26" s="93">
        <f t="shared" si="66"/>
        <v>348.32277168523285</v>
      </c>
      <c r="AQ26" s="93">
        <f t="shared" si="67"/>
        <v>314.37506668523287</v>
      </c>
      <c r="AS26" s="128">
        <v>0.90849999999999997</v>
      </c>
      <c r="AT26" s="130">
        <v>0.59719999999999995</v>
      </c>
      <c r="AU26" s="128">
        <v>5.4999999999999997E-3</v>
      </c>
      <c r="AV26" s="128">
        <v>7987.9542000000001</v>
      </c>
      <c r="AW26" s="128">
        <v>7565.4883</v>
      </c>
      <c r="AX26" s="49">
        <f t="shared" si="32"/>
        <v>318.55643999999995</v>
      </c>
      <c r="AY26" s="49">
        <f t="shared" si="32"/>
        <v>421.01405599999998</v>
      </c>
      <c r="AZ26" s="47">
        <f t="shared" si="32"/>
        <v>1.3908399999999999</v>
      </c>
      <c r="BA26" s="47">
        <f t="shared" si="68"/>
        <v>0.79176115436470851</v>
      </c>
      <c r="BB26" s="48">
        <f t="shared" si="69"/>
        <v>319.34820115436469</v>
      </c>
      <c r="BC26" s="48">
        <f t="shared" si="70"/>
        <v>420.41497715436469</v>
      </c>
      <c r="BD26" s="93">
        <f t="shared" si="71"/>
        <v>319.70197082897772</v>
      </c>
      <c r="BE26" s="93">
        <f t="shared" si="72"/>
        <v>420.76874682897773</v>
      </c>
      <c r="BG26" s="128">
        <v>0.79790000000000005</v>
      </c>
      <c r="BH26" s="130">
        <v>0.55789999999999995</v>
      </c>
      <c r="BI26" s="128">
        <v>3.8E-3</v>
      </c>
      <c r="BJ26" s="128">
        <v>3899.3141999999998</v>
      </c>
      <c r="BK26" s="128">
        <v>3709.6091999999999</v>
      </c>
      <c r="BL26" s="49">
        <f t="shared" si="33"/>
        <v>262.04631800000004</v>
      </c>
      <c r="BM26" s="49">
        <f t="shared" si="33"/>
        <v>337.35097199999996</v>
      </c>
      <c r="BN26" s="47">
        <f t="shared" si="33"/>
        <v>0.80765199999999993</v>
      </c>
      <c r="BO26" s="47">
        <f t="shared" si="73"/>
        <v>0.45456025875216077</v>
      </c>
      <c r="BP26" s="48">
        <f t="shared" si="74"/>
        <v>262.50087825875221</v>
      </c>
      <c r="BQ26" s="48">
        <f t="shared" si="75"/>
        <v>336.9978802587521</v>
      </c>
      <c r="BR26" s="93">
        <f t="shared" si="76"/>
        <v>262.98143891658043</v>
      </c>
      <c r="BS26" s="93">
        <f t="shared" si="77"/>
        <v>337.47844091658033</v>
      </c>
      <c r="BU26" s="128">
        <v>0.79210000000000003</v>
      </c>
      <c r="BV26" s="130">
        <v>0.68940000000000001</v>
      </c>
      <c r="BW26" s="128">
        <v>0</v>
      </c>
      <c r="BX26" s="128">
        <v>3435.8274999999999</v>
      </c>
      <c r="BY26" s="128">
        <v>3179.2892000000002</v>
      </c>
      <c r="BZ26" s="49">
        <f t="shared" si="34"/>
        <v>192.16346000000001</v>
      </c>
      <c r="CA26" s="49">
        <f t="shared" si="34"/>
        <v>278.60032799999999</v>
      </c>
      <c r="CB26" s="47">
        <f t="shared" si="34"/>
        <v>0</v>
      </c>
      <c r="CC26" s="47">
        <f t="shared" si="78"/>
        <v>0</v>
      </c>
      <c r="CD26" s="48">
        <f t="shared" si="79"/>
        <v>192.16346000000001</v>
      </c>
      <c r="CE26" s="48">
        <f t="shared" si="80"/>
        <v>278.60032799999999</v>
      </c>
      <c r="CF26" s="93">
        <f t="shared" si="81"/>
        <v>193.10205123304272</v>
      </c>
      <c r="CG26" s="93">
        <f t="shared" si="82"/>
        <v>279.53891923304269</v>
      </c>
      <c r="CI26" s="128">
        <v>0.9395</v>
      </c>
      <c r="CJ26" s="130">
        <v>0.81710000000000005</v>
      </c>
      <c r="CK26" s="128">
        <v>2.8299999999999999E-2</v>
      </c>
      <c r="CL26" s="128">
        <v>15549.5533</v>
      </c>
      <c r="CM26" s="128">
        <v>14680.550800000001</v>
      </c>
      <c r="CN26" s="49">
        <f t="shared" si="35"/>
        <v>199.43706</v>
      </c>
      <c r="CO26" s="49">
        <f t="shared" si="35"/>
        <v>225.09470800000003</v>
      </c>
      <c r="CP26" s="47">
        <f t="shared" si="35"/>
        <v>1.1037E-2</v>
      </c>
      <c r="CQ26" s="47">
        <f t="shared" si="83"/>
        <v>5.8520244642704814E-3</v>
      </c>
      <c r="CR26" s="48">
        <f t="shared" si="84"/>
        <v>199.44291202446428</v>
      </c>
      <c r="CS26" s="48">
        <f t="shared" si="85"/>
        <v>225.08952302446431</v>
      </c>
      <c r="CT26" s="93">
        <f t="shared" si="86"/>
        <v>199.44402716168423</v>
      </c>
      <c r="CU26" s="93">
        <f t="shared" si="87"/>
        <v>225.09063816168427</v>
      </c>
      <c r="CW26" s="128">
        <v>2.4590999999999998</v>
      </c>
      <c r="CX26" s="130">
        <v>1.8045</v>
      </c>
      <c r="CY26" s="128">
        <v>6.0100000000000001E-2</v>
      </c>
      <c r="CZ26" s="128">
        <v>6852.5158000000001</v>
      </c>
      <c r="DA26" s="128">
        <v>6467.99</v>
      </c>
      <c r="DB26" s="49">
        <f t="shared" si="36"/>
        <v>527.99336099999994</v>
      </c>
      <c r="DC26" s="49">
        <f t="shared" si="36"/>
        <v>541.42218000000003</v>
      </c>
      <c r="DD26" s="47">
        <f t="shared" si="36"/>
        <v>1.6227000000000002E-2</v>
      </c>
      <c r="DE26" s="47">
        <f t="shared" si="88"/>
        <v>8.2153824944835013E-3</v>
      </c>
      <c r="DF26" s="48">
        <f t="shared" si="89"/>
        <v>528.00157638249436</v>
      </c>
      <c r="DG26" s="48">
        <f t="shared" si="90"/>
        <v>541.41416838249449</v>
      </c>
      <c r="DH26" s="93">
        <f t="shared" si="91"/>
        <v>528.00315672327361</v>
      </c>
      <c r="DI26" s="93">
        <f t="shared" si="92"/>
        <v>541.41574872327374</v>
      </c>
      <c r="DK26" s="128">
        <v>2.8717000000000001</v>
      </c>
      <c r="DL26" s="130">
        <v>2.0811000000000002</v>
      </c>
      <c r="DM26" s="128">
        <v>0.02</v>
      </c>
      <c r="DN26" s="128">
        <v>1332.8583000000001</v>
      </c>
      <c r="DO26" s="128">
        <v>1285.9583</v>
      </c>
      <c r="DP26" s="49">
        <f t="shared" si="37"/>
        <v>380.09821200000005</v>
      </c>
      <c r="DQ26" s="49">
        <f t="shared" si="37"/>
        <v>402.963393</v>
      </c>
      <c r="DR26" s="47">
        <f t="shared" si="37"/>
        <v>3.8E-3</v>
      </c>
      <c r="DS26" s="47">
        <f t="shared" si="93"/>
        <v>1.9554794713756906E-3</v>
      </c>
      <c r="DT26" s="48">
        <f t="shared" si="94"/>
        <v>380.10016747947139</v>
      </c>
      <c r="DU26" s="48">
        <f t="shared" si="95"/>
        <v>402.96154847947133</v>
      </c>
      <c r="DV26" s="93">
        <f t="shared" si="96"/>
        <v>380.10132689434056</v>
      </c>
      <c r="DW26" s="93">
        <f t="shared" si="97"/>
        <v>402.9627078943405</v>
      </c>
      <c r="EB26" s="52"/>
      <c r="EC26" s="52"/>
      <c r="ED26" s="52"/>
      <c r="EE26" s="55">
        <f t="shared" si="98"/>
        <v>37837.775799999996</v>
      </c>
      <c r="EF26" s="55">
        <f t="shared" si="98"/>
        <v>35719.088300000003</v>
      </c>
      <c r="EG26" s="55">
        <f t="shared" si="98"/>
        <v>1666.1172627999999</v>
      </c>
      <c r="EH26" s="55">
        <f t="shared" si="98"/>
        <v>1985.7300280000002</v>
      </c>
      <c r="EI26" s="298">
        <f t="shared" si="38"/>
        <v>0.51440169810066705</v>
      </c>
      <c r="EJ26" s="52"/>
      <c r="EK26" s="55">
        <f t="shared" si="99"/>
        <v>1667.0625419900275</v>
      </c>
      <c r="EL26" s="55">
        <f t="shared" si="99"/>
        <v>1984.969344590028</v>
      </c>
      <c r="EM26" s="55">
        <f t="shared" si="39"/>
        <v>1668.941949652675</v>
      </c>
      <c r="EN26" s="55">
        <f t="shared" si="39"/>
        <v>1986.848752252675</v>
      </c>
      <c r="EP26" s="52"/>
      <c r="EQ26" s="52"/>
      <c r="ER26" s="52"/>
      <c r="ES26" s="55">
        <f t="shared" si="40"/>
        <v>27548.997500000001</v>
      </c>
      <c r="ET26" s="55">
        <f t="shared" si="40"/>
        <v>26017.154199999997</v>
      </c>
      <c r="EU26" s="55">
        <f t="shared" si="40"/>
        <v>1416.1940846999998</v>
      </c>
      <c r="EV26" s="55">
        <f t="shared" si="40"/>
        <v>1593.7819809999999</v>
      </c>
      <c r="EW26" s="298">
        <f t="shared" si="41"/>
        <v>0.51429861256954923</v>
      </c>
      <c r="EX26" s="52"/>
      <c r="EY26" s="55">
        <f t="shared" si="42"/>
        <v>1419.1353633132308</v>
      </c>
      <c r="EZ26" s="55">
        <f t="shared" si="42"/>
        <v>1591.1980477132308</v>
      </c>
      <c r="FA26" s="55">
        <f t="shared" si="42"/>
        <v>1419.6337338099638</v>
      </c>
      <c r="FB26" s="55">
        <f t="shared" si="42"/>
        <v>1591.6964182099641</v>
      </c>
      <c r="FD26" s="52"/>
      <c r="FE26" s="52"/>
      <c r="FF26" s="52"/>
      <c r="FG26" s="55">
        <f t="shared" si="43"/>
        <v>20374.152399999999</v>
      </c>
      <c r="FH26" s="55">
        <f t="shared" si="43"/>
        <v>19206.456599999998</v>
      </c>
      <c r="FI26" s="55">
        <f t="shared" si="43"/>
        <v>961.54489519999993</v>
      </c>
      <c r="FJ26" s="55">
        <f t="shared" si="43"/>
        <v>1063.7391888</v>
      </c>
      <c r="FK26" s="298">
        <f t="shared" si="44"/>
        <v>0.51475085691581957</v>
      </c>
      <c r="FL26" s="52"/>
      <c r="FM26" s="55">
        <f t="shared" si="45"/>
        <v>966.53133987912793</v>
      </c>
      <c r="FN26" s="55">
        <f t="shared" si="45"/>
        <v>1058.3839424791281</v>
      </c>
      <c r="FO26" s="55">
        <f t="shared" si="45"/>
        <v>968.92964621656415</v>
      </c>
      <c r="FP26" s="55">
        <f t="shared" si="45"/>
        <v>1060.7822488165641</v>
      </c>
      <c r="FR26" s="52"/>
      <c r="FS26" s="52"/>
      <c r="FT26" s="52"/>
      <c r="FU26" s="55">
        <f t="shared" si="46"/>
        <v>22402.069100000001</v>
      </c>
      <c r="FV26" s="55">
        <f t="shared" si="46"/>
        <v>21148.540800000002</v>
      </c>
      <c r="FW26" s="55">
        <f t="shared" si="46"/>
        <v>621.83174880000001</v>
      </c>
      <c r="FX26" s="55">
        <f t="shared" si="46"/>
        <v>658.23245200000008</v>
      </c>
      <c r="FY26" s="298">
        <f t="shared" si="47"/>
        <v>0.51439162738338595</v>
      </c>
      <c r="FZ26" s="52"/>
      <c r="GA26" s="55">
        <f t="shared" si="48"/>
        <v>621.84417313045981</v>
      </c>
      <c r="GB26" s="55">
        <f t="shared" si="48"/>
        <v>658.22085773046001</v>
      </c>
      <c r="GC26" s="55">
        <f t="shared" si="48"/>
        <v>621.84655254030315</v>
      </c>
      <c r="GD26" s="55">
        <f t="shared" si="48"/>
        <v>658.22323714030324</v>
      </c>
      <c r="GF26" s="52"/>
      <c r="GG26" s="52"/>
      <c r="GH26" s="52"/>
      <c r="GI26" s="55">
        <f t="shared" si="49"/>
        <v>11423.7817</v>
      </c>
      <c r="GJ26" s="55">
        <f t="shared" si="49"/>
        <v>10744.7775</v>
      </c>
      <c r="GK26" s="56">
        <f t="shared" si="50"/>
        <v>94.794734999999946</v>
      </c>
      <c r="GL26" s="56">
        <f t="shared" si="50"/>
        <v>106.81029599999999</v>
      </c>
      <c r="GM26" s="298">
        <f t="shared" si="51"/>
        <v>0.51531457669111846</v>
      </c>
      <c r="GN26" s="52"/>
      <c r="GO26" s="56">
        <f t="shared" si="52"/>
        <v>95.388555865773498</v>
      </c>
      <c r="GP26" s="56">
        <f t="shared" si="52"/>
        <v>106.36098686577353</v>
      </c>
      <c r="GQ26" s="56">
        <f t="shared" si="52"/>
        <v>94.949939696951247</v>
      </c>
      <c r="GR26" s="56">
        <f t="shared" si="52"/>
        <v>105.92237069695128</v>
      </c>
    </row>
    <row r="27" spans="1:220" x14ac:dyDescent="0.2">
      <c r="A27" s="118">
        <v>17</v>
      </c>
      <c r="C27" s="128">
        <v>0.72699999999999998</v>
      </c>
      <c r="D27" s="128">
        <v>0.51249999999999996</v>
      </c>
      <c r="E27" s="128">
        <v>1.2E-2</v>
      </c>
      <c r="F27" s="128">
        <v>6920.3549999999996</v>
      </c>
      <c r="G27" s="128">
        <v>6878.7624999999998</v>
      </c>
      <c r="H27" s="49">
        <f t="shared" si="29"/>
        <v>728.03233999999998</v>
      </c>
      <c r="I27" s="49">
        <f t="shared" si="29"/>
        <v>972.51999999999987</v>
      </c>
      <c r="J27" s="47">
        <f t="shared" si="29"/>
        <v>2.1832799999999999</v>
      </c>
      <c r="K27" s="47">
        <f t="shared" si="53"/>
        <v>1.0883496419970333</v>
      </c>
      <c r="L27" s="48">
        <f t="shared" si="54"/>
        <v>729.12068964199705</v>
      </c>
      <c r="M27" s="48">
        <f t="shared" si="55"/>
        <v>971.42506964199697</v>
      </c>
      <c r="N27" s="93">
        <f t="shared" si="56"/>
        <v>729.6966922833941</v>
      </c>
      <c r="O27" s="93">
        <f t="shared" si="57"/>
        <v>972.00107228339402</v>
      </c>
      <c r="Q27" s="128">
        <v>0.91520000000000001</v>
      </c>
      <c r="R27" s="130">
        <v>0.58499999999999996</v>
      </c>
      <c r="S27" s="128">
        <v>2.52E-2</v>
      </c>
      <c r="T27" s="128">
        <v>1086.0408</v>
      </c>
      <c r="U27" s="128">
        <v>1054.5442</v>
      </c>
      <c r="V27" s="49">
        <f t="shared" si="30"/>
        <v>582.44243199999994</v>
      </c>
      <c r="W27" s="49">
        <f t="shared" si="30"/>
        <v>697.02164999999991</v>
      </c>
      <c r="X27" s="47">
        <f t="shared" si="30"/>
        <v>5.5810440000000003</v>
      </c>
      <c r="Y27" s="47">
        <f t="shared" si="58"/>
        <v>3.0404202449526831</v>
      </c>
      <c r="Z27" s="48">
        <f t="shared" si="59"/>
        <v>585.4828522449526</v>
      </c>
      <c r="AA27" s="48">
        <f t="shared" si="60"/>
        <v>694.48102624495255</v>
      </c>
      <c r="AB27" s="93">
        <f t="shared" si="61"/>
        <v>584.93313602540775</v>
      </c>
      <c r="AC27" s="93">
        <f t="shared" si="62"/>
        <v>693.9313100254077</v>
      </c>
      <c r="AE27" s="128">
        <v>0.73580000000000001</v>
      </c>
      <c r="AF27" s="130">
        <v>0.33600000000000002</v>
      </c>
      <c r="AG27" s="128">
        <v>8.3000000000000004E-2</v>
      </c>
      <c r="AH27" s="128">
        <v>39.094999999999999</v>
      </c>
      <c r="AI27" s="128">
        <v>43.5867</v>
      </c>
      <c r="AJ27" s="49">
        <f t="shared" si="31"/>
        <v>338.52686399999999</v>
      </c>
      <c r="AK27" s="49">
        <f t="shared" si="31"/>
        <v>353.04528000000005</v>
      </c>
      <c r="AL27" s="47">
        <f t="shared" si="31"/>
        <v>13.694170000000002</v>
      </c>
      <c r="AM27" s="47">
        <f t="shared" si="63"/>
        <v>6.9908282511991997</v>
      </c>
      <c r="AN27" s="48">
        <f t="shared" si="64"/>
        <v>345.51769225119921</v>
      </c>
      <c r="AO27" s="48">
        <f t="shared" si="65"/>
        <v>346.34193825119928</v>
      </c>
      <c r="AP27" s="93">
        <f t="shared" si="66"/>
        <v>344.96418768523284</v>
      </c>
      <c r="AQ27" s="93">
        <f t="shared" si="67"/>
        <v>345.78843368523292</v>
      </c>
      <c r="AS27" s="128">
        <v>0.99339999999999995</v>
      </c>
      <c r="AT27" s="130">
        <v>0.65510000000000002</v>
      </c>
      <c r="AU27" s="128">
        <v>9.1000000000000004E-3</v>
      </c>
      <c r="AV27" s="128">
        <v>7445.8608000000004</v>
      </c>
      <c r="AW27" s="128">
        <v>7214.8774999999996</v>
      </c>
      <c r="AX27" s="49">
        <f t="shared" si="32"/>
        <v>348.32577599999996</v>
      </c>
      <c r="AY27" s="49">
        <f t="shared" si="32"/>
        <v>461.83239800000001</v>
      </c>
      <c r="AZ27" s="47">
        <f t="shared" si="32"/>
        <v>2.3012079999999999</v>
      </c>
      <c r="BA27" s="47">
        <f t="shared" si="68"/>
        <v>1.3118085369546417</v>
      </c>
      <c r="BB27" s="48">
        <f t="shared" si="69"/>
        <v>349.63758453695459</v>
      </c>
      <c r="BC27" s="48">
        <f t="shared" si="70"/>
        <v>460.84299853695467</v>
      </c>
      <c r="BD27" s="93">
        <f t="shared" si="71"/>
        <v>349.47130682897773</v>
      </c>
      <c r="BE27" s="93">
        <f t="shared" si="72"/>
        <v>460.67672082897781</v>
      </c>
      <c r="BG27" s="128">
        <v>0.82630000000000003</v>
      </c>
      <c r="BH27" s="130">
        <v>0.6129</v>
      </c>
      <c r="BI27" s="128">
        <v>6.7000000000000002E-3</v>
      </c>
      <c r="BJ27" s="128">
        <v>3519.7732999999998</v>
      </c>
      <c r="BK27" s="128">
        <v>3453.7516999999998</v>
      </c>
      <c r="BL27" s="49">
        <f t="shared" si="33"/>
        <v>271.373446</v>
      </c>
      <c r="BM27" s="49">
        <f t="shared" si="33"/>
        <v>370.60837199999997</v>
      </c>
      <c r="BN27" s="47">
        <f t="shared" si="33"/>
        <v>1.424018</v>
      </c>
      <c r="BO27" s="47">
        <f t="shared" si="73"/>
        <v>0.82206844163099946</v>
      </c>
      <c r="BP27" s="48">
        <f t="shared" si="74"/>
        <v>272.19551444163102</v>
      </c>
      <c r="BQ27" s="48">
        <f t="shared" si="75"/>
        <v>370.006422441631</v>
      </c>
      <c r="BR27" s="93">
        <f t="shared" si="76"/>
        <v>272.30856691658039</v>
      </c>
      <c r="BS27" s="93">
        <f t="shared" si="77"/>
        <v>370.11947491658037</v>
      </c>
      <c r="BU27" s="128">
        <v>0.81279999999999997</v>
      </c>
      <c r="BV27" s="130">
        <v>0.72860000000000003</v>
      </c>
      <c r="BW27" s="128">
        <v>9.7999999999999997E-3</v>
      </c>
      <c r="BX27" s="128">
        <v>3198.6608000000001</v>
      </c>
      <c r="BY27" s="128">
        <v>3194.2925</v>
      </c>
      <c r="BZ27" s="49">
        <f t="shared" si="34"/>
        <v>197.18527999999998</v>
      </c>
      <c r="CA27" s="49">
        <f t="shared" si="34"/>
        <v>294.44183200000003</v>
      </c>
      <c r="CB27" s="47">
        <f t="shared" si="34"/>
        <v>1.019102</v>
      </c>
      <c r="CC27" s="47">
        <f t="shared" si="78"/>
        <v>0.61035336040389909</v>
      </c>
      <c r="CD27" s="48">
        <f t="shared" si="79"/>
        <v>197.79563336040388</v>
      </c>
      <c r="CE27" s="48">
        <f t="shared" si="80"/>
        <v>294.03308336040396</v>
      </c>
      <c r="CF27" s="93">
        <f t="shared" si="81"/>
        <v>198.12387123304268</v>
      </c>
      <c r="CG27" s="93">
        <f t="shared" si="82"/>
        <v>294.36132123304276</v>
      </c>
      <c r="CI27" s="128">
        <v>0.93069999999999997</v>
      </c>
      <c r="CJ27" s="130">
        <v>0.82369999999999999</v>
      </c>
      <c r="CK27" s="128">
        <v>3.5900000000000001E-2</v>
      </c>
      <c r="CL27" s="128">
        <v>14386.1283</v>
      </c>
      <c r="CM27" s="128">
        <v>14104.644200000001</v>
      </c>
      <c r="CN27" s="49">
        <f t="shared" si="35"/>
        <v>197.568996</v>
      </c>
      <c r="CO27" s="49">
        <f t="shared" si="35"/>
        <v>226.91287600000001</v>
      </c>
      <c r="CP27" s="47">
        <f t="shared" si="35"/>
        <v>1.4001000000000001E-2</v>
      </c>
      <c r="CQ27" s="47">
        <f t="shared" si="83"/>
        <v>7.4844354645985933E-3</v>
      </c>
      <c r="CR27" s="48">
        <f t="shared" si="84"/>
        <v>197.57648043546459</v>
      </c>
      <c r="CS27" s="48">
        <f t="shared" si="85"/>
        <v>226.90635943546459</v>
      </c>
      <c r="CT27" s="93">
        <f t="shared" si="86"/>
        <v>197.57596316168423</v>
      </c>
      <c r="CU27" s="93">
        <f t="shared" si="87"/>
        <v>226.90584216168423</v>
      </c>
      <c r="CW27" s="128">
        <v>1.6949000000000001</v>
      </c>
      <c r="CX27" s="130">
        <v>1.2431000000000001</v>
      </c>
      <c r="CY27" s="128">
        <v>7.5499999999999998E-2</v>
      </c>
      <c r="CZ27" s="128">
        <v>6381.2217000000001</v>
      </c>
      <c r="DA27" s="128">
        <v>6128.8182999999999</v>
      </c>
      <c r="DB27" s="49">
        <f t="shared" si="36"/>
        <v>363.91197900000003</v>
      </c>
      <c r="DC27" s="49">
        <f t="shared" si="36"/>
        <v>372.97972400000003</v>
      </c>
      <c r="DD27" s="47">
        <f t="shared" si="36"/>
        <v>2.0385E-2</v>
      </c>
      <c r="DE27" s="47">
        <f t="shared" si="88"/>
        <v>1.0317922759594431E-2</v>
      </c>
      <c r="DF27" s="48">
        <f t="shared" si="89"/>
        <v>363.92229692275964</v>
      </c>
      <c r="DG27" s="48">
        <f t="shared" si="90"/>
        <v>372.96965692275967</v>
      </c>
      <c r="DH27" s="93">
        <f t="shared" si="91"/>
        <v>363.92177472327364</v>
      </c>
      <c r="DI27" s="93">
        <f t="shared" si="92"/>
        <v>372.96913472327367</v>
      </c>
      <c r="DK27" s="128">
        <v>1.9809000000000001</v>
      </c>
      <c r="DL27" s="130">
        <v>1.6116999999999999</v>
      </c>
      <c r="DM27" s="128">
        <v>3.3099999999999997E-2</v>
      </c>
      <c r="DN27" s="128">
        <v>1315.6892</v>
      </c>
      <c r="DO27" s="128">
        <v>1175.5291999999999</v>
      </c>
      <c r="DP27" s="49">
        <f t="shared" si="37"/>
        <v>262.19192400000003</v>
      </c>
      <c r="DQ27" s="49">
        <f t="shared" si="37"/>
        <v>312.07347099999998</v>
      </c>
      <c r="DR27" s="47">
        <f t="shared" si="37"/>
        <v>6.2889999999999995E-3</v>
      </c>
      <c r="DS27" s="47">
        <f t="shared" si="93"/>
        <v>3.4176359505677678E-3</v>
      </c>
      <c r="DT27" s="48">
        <f t="shared" si="94"/>
        <v>262.19534163595057</v>
      </c>
      <c r="DU27" s="48">
        <f t="shared" si="95"/>
        <v>312.07059963595054</v>
      </c>
      <c r="DV27" s="93">
        <f t="shared" si="96"/>
        <v>262.19503889434054</v>
      </c>
      <c r="DW27" s="93">
        <f t="shared" si="97"/>
        <v>312.07029689434052</v>
      </c>
      <c r="EB27" s="52"/>
      <c r="EC27" s="52"/>
      <c r="ED27" s="52"/>
      <c r="EE27" s="55">
        <f t="shared" si="98"/>
        <v>35133.565800000004</v>
      </c>
      <c r="EF27" s="55">
        <f t="shared" si="98"/>
        <v>34327.102500000001</v>
      </c>
      <c r="EG27" s="55">
        <f t="shared" si="98"/>
        <v>1565.0566951999999</v>
      </c>
      <c r="EH27" s="55">
        <f t="shared" si="98"/>
        <v>1959.6490532000003</v>
      </c>
      <c r="EI27" s="298">
        <f t="shared" si="38"/>
        <v>0.50580517953352322</v>
      </c>
      <c r="EJ27" s="52"/>
      <c r="EK27" s="55">
        <f t="shared" si="99"/>
        <v>1567.472592152624</v>
      </c>
      <c r="EL27" s="55">
        <f t="shared" si="99"/>
        <v>1957.5501531526238</v>
      </c>
      <c r="EM27" s="55">
        <f t="shared" si="39"/>
        <v>1567.8813820526752</v>
      </c>
      <c r="EN27" s="55">
        <f t="shared" si="39"/>
        <v>1957.9589430526748</v>
      </c>
      <c r="EP27" s="52"/>
      <c r="EQ27" s="52"/>
      <c r="ER27" s="52"/>
      <c r="ES27" s="55">
        <f t="shared" si="40"/>
        <v>25373.164100000002</v>
      </c>
      <c r="ET27" s="55">
        <f t="shared" si="40"/>
        <v>24741.758399999999</v>
      </c>
      <c r="EU27" s="55">
        <f t="shared" si="40"/>
        <v>1306.1232593</v>
      </c>
      <c r="EV27" s="55">
        <f t="shared" si="40"/>
        <v>1555.6287047999999</v>
      </c>
      <c r="EW27" s="298">
        <f t="shared" si="41"/>
        <v>0.50629957773555379</v>
      </c>
      <c r="EX27" s="52"/>
      <c r="EY27" s="55">
        <f t="shared" si="42"/>
        <v>1310.00045496798</v>
      </c>
      <c r="EZ27" s="55">
        <f t="shared" si="42"/>
        <v>1552.4725679679798</v>
      </c>
      <c r="FA27" s="55">
        <f t="shared" si="42"/>
        <v>1309.5629084099639</v>
      </c>
      <c r="FB27" s="55">
        <f t="shared" si="42"/>
        <v>1552.0350214099637</v>
      </c>
      <c r="FD27" s="52"/>
      <c r="FE27" s="52"/>
      <c r="FF27" s="52"/>
      <c r="FG27" s="55">
        <f t="shared" si="43"/>
        <v>18939.5733</v>
      </c>
      <c r="FH27" s="55">
        <f t="shared" si="43"/>
        <v>18518.052600000003</v>
      </c>
      <c r="FI27" s="55">
        <f t="shared" si="43"/>
        <v>890.59629439999992</v>
      </c>
      <c r="FJ27" s="55">
        <f t="shared" si="43"/>
        <v>1061.6440706000001</v>
      </c>
      <c r="FK27" s="298">
        <f t="shared" si="44"/>
        <v>0.50562663396133711</v>
      </c>
      <c r="FL27" s="52"/>
      <c r="FM27" s="55">
        <f t="shared" si="45"/>
        <v>898.20701102863791</v>
      </c>
      <c r="FN27" s="55">
        <f t="shared" si="45"/>
        <v>1054.523740828638</v>
      </c>
      <c r="FO27" s="55">
        <f t="shared" si="45"/>
        <v>897.98104541656403</v>
      </c>
      <c r="FP27" s="55">
        <f t="shared" si="45"/>
        <v>1054.2977752165641</v>
      </c>
      <c r="FR27" s="52"/>
      <c r="FS27" s="52"/>
      <c r="FT27" s="52"/>
      <c r="FU27" s="55">
        <f t="shared" si="46"/>
        <v>20767.349999999999</v>
      </c>
      <c r="FV27" s="55">
        <f t="shared" si="46"/>
        <v>20233.462500000001</v>
      </c>
      <c r="FW27" s="55">
        <f t="shared" si="46"/>
        <v>488.69857920000004</v>
      </c>
      <c r="FX27" s="55">
        <f t="shared" si="46"/>
        <v>525.29665520000003</v>
      </c>
      <c r="FY27" s="298">
        <f t="shared" si="47"/>
        <v>0.50651069414782934</v>
      </c>
      <c r="FZ27" s="52"/>
      <c r="GA27" s="55">
        <f t="shared" si="48"/>
        <v>488.71431797367234</v>
      </c>
      <c r="GB27" s="55">
        <f t="shared" si="48"/>
        <v>525.28208497367234</v>
      </c>
      <c r="GC27" s="55">
        <f t="shared" si="48"/>
        <v>488.71338294030318</v>
      </c>
      <c r="GD27" s="55">
        <f t="shared" si="48"/>
        <v>525.28114994030318</v>
      </c>
      <c r="GF27" s="52"/>
      <c r="GG27" s="52"/>
      <c r="GH27" s="52"/>
      <c r="GI27" s="55">
        <f t="shared" si="49"/>
        <v>10644.5216</v>
      </c>
      <c r="GJ27" s="55">
        <f t="shared" si="49"/>
        <v>10409.17</v>
      </c>
      <c r="GK27" s="56">
        <f t="shared" si="50"/>
        <v>113.35537199999999</v>
      </c>
      <c r="GL27" s="56">
        <f t="shared" si="50"/>
        <v>125.54292449999998</v>
      </c>
      <c r="GM27" s="298">
        <f t="shared" si="51"/>
        <v>0.5055893190721954</v>
      </c>
      <c r="GN27" s="52"/>
      <c r="GO27" s="56">
        <f t="shared" si="52"/>
        <v>113.88146338241303</v>
      </c>
      <c r="GP27" s="56">
        <f t="shared" si="52"/>
        <v>125.10743638241303</v>
      </c>
      <c r="GQ27" s="56">
        <f t="shared" si="52"/>
        <v>113.51057669695129</v>
      </c>
      <c r="GR27" s="56">
        <f t="shared" si="52"/>
        <v>124.73654969695129</v>
      </c>
    </row>
    <row r="28" spans="1:220" x14ac:dyDescent="0.2">
      <c r="A28" s="118">
        <v>18</v>
      </c>
      <c r="C28" s="128">
        <v>0.72850000000000004</v>
      </c>
      <c r="D28" s="128">
        <v>0.54490000000000005</v>
      </c>
      <c r="E28" s="128">
        <v>3.4500000000000003E-2</v>
      </c>
      <c r="F28" s="128">
        <v>5469.6166999999996</v>
      </c>
      <c r="G28" s="128">
        <v>5571.3932999999997</v>
      </c>
      <c r="H28" s="49">
        <f t="shared" si="29"/>
        <v>729.53447000000006</v>
      </c>
      <c r="I28" s="49">
        <f t="shared" si="29"/>
        <v>1034.00224</v>
      </c>
      <c r="J28" s="47">
        <f t="shared" si="29"/>
        <v>6.2769300000000001</v>
      </c>
      <c r="K28" s="47">
        <f t="shared" si="53"/>
        <v>3.1673955323443241</v>
      </c>
      <c r="L28" s="48">
        <f t="shared" si="54"/>
        <v>732.70186553234441</v>
      </c>
      <c r="M28" s="48">
        <f t="shared" si="55"/>
        <v>1030.8927055323443</v>
      </c>
      <c r="N28" s="93">
        <f t="shared" si="56"/>
        <v>731.19882228339418</v>
      </c>
      <c r="O28" s="93">
        <f t="shared" si="57"/>
        <v>1029.3896622833943</v>
      </c>
      <c r="Q28" s="128">
        <v>0.90629999999999999</v>
      </c>
      <c r="R28" s="130">
        <v>0.61960000000000004</v>
      </c>
      <c r="S28" s="128">
        <v>2.98E-2</v>
      </c>
      <c r="T28" s="128">
        <v>888.83169999999996</v>
      </c>
      <c r="U28" s="128">
        <v>834.08079999999995</v>
      </c>
      <c r="V28" s="49">
        <f t="shared" si="30"/>
        <v>576.77838299999996</v>
      </c>
      <c r="W28" s="49">
        <f t="shared" si="30"/>
        <v>738.24720400000001</v>
      </c>
      <c r="X28" s="47">
        <f t="shared" si="30"/>
        <v>6.5998060000000001</v>
      </c>
      <c r="Y28" s="47">
        <f t="shared" si="58"/>
        <v>3.7050901325484431</v>
      </c>
      <c r="Z28" s="48">
        <f t="shared" si="59"/>
        <v>580.4834731325484</v>
      </c>
      <c r="AA28" s="48">
        <f t="shared" si="60"/>
        <v>735.3524881325485</v>
      </c>
      <c r="AB28" s="93">
        <f t="shared" si="61"/>
        <v>579.26908702540777</v>
      </c>
      <c r="AC28" s="93">
        <f t="shared" si="62"/>
        <v>734.13810202540787</v>
      </c>
      <c r="AE28" s="128">
        <v>0.72650000000000003</v>
      </c>
      <c r="AF28" s="130">
        <v>0.36870000000000003</v>
      </c>
      <c r="AG28" s="128">
        <v>0.10299999999999999</v>
      </c>
      <c r="AH28" s="128">
        <v>31.944199999999999</v>
      </c>
      <c r="AI28" s="128">
        <v>37.068300000000001</v>
      </c>
      <c r="AJ28" s="49">
        <f t="shared" si="31"/>
        <v>334.24812000000003</v>
      </c>
      <c r="AK28" s="49">
        <f t="shared" si="31"/>
        <v>387.40415100000001</v>
      </c>
      <c r="AL28" s="47">
        <f t="shared" si="31"/>
        <v>16.993970000000001</v>
      </c>
      <c r="AM28" s="47">
        <f t="shared" si="63"/>
        <v>9.1228626092267504</v>
      </c>
      <c r="AN28" s="48">
        <f t="shared" si="64"/>
        <v>343.37098260922676</v>
      </c>
      <c r="AO28" s="48">
        <f t="shared" si="65"/>
        <v>379.53304360922675</v>
      </c>
      <c r="AP28" s="93">
        <f t="shared" si="66"/>
        <v>340.68544368523288</v>
      </c>
      <c r="AQ28" s="93">
        <f t="shared" si="67"/>
        <v>376.84750468523288</v>
      </c>
      <c r="AS28" s="128">
        <v>1.077</v>
      </c>
      <c r="AT28" s="130">
        <v>0.70489999999999997</v>
      </c>
      <c r="AU28" s="128">
        <v>1.5299999999999999E-2</v>
      </c>
      <c r="AV28" s="128">
        <v>5898.7566999999999</v>
      </c>
      <c r="AW28" s="128">
        <v>5990.9041999999999</v>
      </c>
      <c r="AX28" s="49">
        <f t="shared" si="32"/>
        <v>377.63927999999999</v>
      </c>
      <c r="AY28" s="49">
        <f t="shared" si="32"/>
        <v>496.94040200000001</v>
      </c>
      <c r="AZ28" s="47">
        <f t="shared" si="32"/>
        <v>3.8690639999999998</v>
      </c>
      <c r="BA28" s="47">
        <f t="shared" si="68"/>
        <v>2.1984208632961679</v>
      </c>
      <c r="BB28" s="48">
        <f t="shared" si="69"/>
        <v>379.83770086329616</v>
      </c>
      <c r="BC28" s="48">
        <f t="shared" si="70"/>
        <v>495.2697588632962</v>
      </c>
      <c r="BD28" s="93">
        <f t="shared" si="71"/>
        <v>378.78481082897775</v>
      </c>
      <c r="BE28" s="93">
        <f t="shared" si="72"/>
        <v>494.21686882897779</v>
      </c>
      <c r="BG28" s="128">
        <v>0.85070000000000001</v>
      </c>
      <c r="BH28" s="130">
        <v>0.66169999999999995</v>
      </c>
      <c r="BI28" s="128">
        <v>1.37E-2</v>
      </c>
      <c r="BJ28" s="128">
        <v>2914.3791999999999</v>
      </c>
      <c r="BK28" s="128">
        <v>2767.03</v>
      </c>
      <c r="BL28" s="49">
        <f t="shared" si="33"/>
        <v>279.38689400000004</v>
      </c>
      <c r="BM28" s="49">
        <f t="shared" si="33"/>
        <v>400.11675599999995</v>
      </c>
      <c r="BN28" s="47">
        <f t="shared" si="33"/>
        <v>2.9117980000000001</v>
      </c>
      <c r="BO28" s="47">
        <f t="shared" si="73"/>
        <v>1.7145738214758492</v>
      </c>
      <c r="BP28" s="48">
        <f t="shared" si="74"/>
        <v>281.10146782147586</v>
      </c>
      <c r="BQ28" s="48">
        <f t="shared" si="75"/>
        <v>398.9195318214758</v>
      </c>
      <c r="BR28" s="93">
        <f t="shared" si="76"/>
        <v>280.32201491658043</v>
      </c>
      <c r="BS28" s="93">
        <f t="shared" si="77"/>
        <v>398.14007891658036</v>
      </c>
      <c r="BU28" s="128">
        <v>0.82130000000000003</v>
      </c>
      <c r="BV28" s="130">
        <v>0.74619999999999997</v>
      </c>
      <c r="BW28" s="128">
        <v>3.2300000000000002E-2</v>
      </c>
      <c r="BX28" s="128">
        <v>2676.5342000000001</v>
      </c>
      <c r="BY28" s="128">
        <v>2646.4683</v>
      </c>
      <c r="BZ28" s="49">
        <f t="shared" si="34"/>
        <v>199.24737999999999</v>
      </c>
      <c r="CA28" s="49">
        <f t="shared" si="34"/>
        <v>301.55434400000001</v>
      </c>
      <c r="CB28" s="47">
        <f t="shared" si="34"/>
        <v>3.3588770000000001</v>
      </c>
      <c r="CC28" s="47">
        <f t="shared" si="78"/>
        <v>2.022524887138144</v>
      </c>
      <c r="CD28" s="48">
        <f t="shared" si="79"/>
        <v>201.26990488713813</v>
      </c>
      <c r="CE28" s="48">
        <f t="shared" si="80"/>
        <v>300.21799188713817</v>
      </c>
      <c r="CF28" s="93">
        <f t="shared" si="81"/>
        <v>200.18597123304269</v>
      </c>
      <c r="CG28" s="93">
        <f t="shared" si="82"/>
        <v>299.13405823304271</v>
      </c>
      <c r="CI28" s="128">
        <v>0.90490000000000004</v>
      </c>
      <c r="CJ28" s="130">
        <v>0.8175</v>
      </c>
      <c r="CK28" s="128">
        <v>4.7399999999999998E-2</v>
      </c>
      <c r="CL28" s="128">
        <v>11721.646699999999</v>
      </c>
      <c r="CM28" s="128">
        <v>11609.2017</v>
      </c>
      <c r="CN28" s="49">
        <f t="shared" si="35"/>
        <v>192.09217200000001</v>
      </c>
      <c r="CO28" s="49">
        <f t="shared" si="35"/>
        <v>225.20490000000001</v>
      </c>
      <c r="CP28" s="47">
        <f t="shared" si="35"/>
        <v>1.8485999999999999E-2</v>
      </c>
      <c r="CQ28" s="47">
        <f t="shared" si="83"/>
        <v>9.9764365981460795E-3</v>
      </c>
      <c r="CR28" s="48">
        <f t="shared" si="84"/>
        <v>192.10214843659816</v>
      </c>
      <c r="CS28" s="48">
        <f t="shared" si="85"/>
        <v>225.19639043659816</v>
      </c>
      <c r="CT28" s="93">
        <f t="shared" si="86"/>
        <v>192.09913916168423</v>
      </c>
      <c r="CU28" s="93">
        <f t="shared" si="87"/>
        <v>225.19338116168424</v>
      </c>
      <c r="CW28" s="128">
        <v>1.0878000000000001</v>
      </c>
      <c r="CX28" s="130">
        <v>0.80789999999999995</v>
      </c>
      <c r="CY28" s="128">
        <v>9.4899999999999998E-2</v>
      </c>
      <c r="CZ28" s="128">
        <v>5209.6041999999998</v>
      </c>
      <c r="DA28" s="128">
        <v>5006.4674999999997</v>
      </c>
      <c r="DB28" s="49">
        <f t="shared" si="36"/>
        <v>233.56153800000004</v>
      </c>
      <c r="DC28" s="49">
        <f t="shared" si="36"/>
        <v>242.40231600000001</v>
      </c>
      <c r="DD28" s="47">
        <f t="shared" si="36"/>
        <v>2.5623E-2</v>
      </c>
      <c r="DE28" s="47">
        <f t="shared" si="88"/>
        <v>1.304946686743149E-2</v>
      </c>
      <c r="DF28" s="48">
        <f t="shared" si="89"/>
        <v>233.57458746686748</v>
      </c>
      <c r="DG28" s="48">
        <f t="shared" si="90"/>
        <v>242.38974246686746</v>
      </c>
      <c r="DH28" s="93">
        <f t="shared" si="91"/>
        <v>233.57133372327368</v>
      </c>
      <c r="DI28" s="93">
        <f t="shared" si="92"/>
        <v>242.38648872327366</v>
      </c>
      <c r="DK28" s="128">
        <v>1.2438</v>
      </c>
      <c r="DL28" s="130">
        <v>1.097</v>
      </c>
      <c r="DM28" s="128">
        <v>5.1499999999999997E-2</v>
      </c>
      <c r="DN28" s="128">
        <v>1052.4024999999999</v>
      </c>
      <c r="DO28" s="128">
        <v>962.41330000000005</v>
      </c>
      <c r="DP28" s="49">
        <f t="shared" si="37"/>
        <v>164.62936800000003</v>
      </c>
      <c r="DQ28" s="49">
        <f t="shared" si="37"/>
        <v>212.41210999999998</v>
      </c>
      <c r="DR28" s="47">
        <f t="shared" si="37"/>
        <v>9.7850000000000003E-3</v>
      </c>
      <c r="DS28" s="47">
        <f t="shared" si="93"/>
        <v>5.5125300998050929E-3</v>
      </c>
      <c r="DT28" s="48">
        <f t="shared" si="94"/>
        <v>164.63488053009982</v>
      </c>
      <c r="DU28" s="48">
        <f t="shared" si="95"/>
        <v>212.40783753009978</v>
      </c>
      <c r="DV28" s="93">
        <f t="shared" si="96"/>
        <v>164.63248289434051</v>
      </c>
      <c r="DW28" s="93">
        <f t="shared" si="97"/>
        <v>212.40543989434047</v>
      </c>
      <c r="EB28" s="52"/>
      <c r="EC28" s="52"/>
      <c r="ED28" s="52"/>
      <c r="EE28" s="55">
        <f t="shared" si="98"/>
        <v>28299.624300000003</v>
      </c>
      <c r="EF28" s="55">
        <f t="shared" si="98"/>
        <v>28177.966699999997</v>
      </c>
      <c r="EG28" s="55">
        <f t="shared" si="98"/>
        <v>1486.1151524000002</v>
      </c>
      <c r="EH28" s="55">
        <f t="shared" si="98"/>
        <v>1950.0693947999998</v>
      </c>
      <c r="EI28" s="298">
        <f t="shared" si="38"/>
        <v>0.50107704310546819</v>
      </c>
      <c r="EJ28" s="52"/>
      <c r="EK28" s="55">
        <f t="shared" si="99"/>
        <v>1491.5013848057326</v>
      </c>
      <c r="EL28" s="55">
        <f t="shared" si="99"/>
        <v>1945.2706488057327</v>
      </c>
      <c r="EM28" s="55">
        <f t="shared" si="39"/>
        <v>1488.939839252675</v>
      </c>
      <c r="EN28" s="55">
        <f t="shared" si="39"/>
        <v>1942.7091032526753</v>
      </c>
      <c r="EP28" s="52"/>
      <c r="EQ28" s="52"/>
      <c r="ER28" s="52"/>
      <c r="ES28" s="55">
        <f t="shared" si="40"/>
        <v>20734.461799999997</v>
      </c>
      <c r="ET28" s="55">
        <f t="shared" si="40"/>
        <v>20216.78</v>
      </c>
      <c r="EU28" s="55">
        <f t="shared" si="40"/>
        <v>1211.7505256000002</v>
      </c>
      <c r="EV28" s="55">
        <f t="shared" si="40"/>
        <v>1533.2504811999997</v>
      </c>
      <c r="EW28" s="298">
        <f t="shared" si="41"/>
        <v>0.50632070942473839</v>
      </c>
      <c r="EX28" s="52"/>
      <c r="EY28" s="55">
        <f t="shared" si="42"/>
        <v>1217.1893006174296</v>
      </c>
      <c r="EZ28" s="55">
        <f t="shared" si="42"/>
        <v>1529.1412301174296</v>
      </c>
      <c r="FA28" s="55">
        <f t="shared" si="42"/>
        <v>1215.1901747099639</v>
      </c>
      <c r="FB28" s="55">
        <f t="shared" si="42"/>
        <v>1527.1421042099641</v>
      </c>
      <c r="FD28" s="52"/>
      <c r="FE28" s="52"/>
      <c r="FF28" s="52"/>
      <c r="FG28" s="55">
        <f t="shared" si="43"/>
        <v>15482.527599999999</v>
      </c>
      <c r="FH28" s="55">
        <f t="shared" si="43"/>
        <v>15255.151599999999</v>
      </c>
      <c r="FI28" s="55">
        <f t="shared" si="43"/>
        <v>824.36529280000002</v>
      </c>
      <c r="FJ28" s="55">
        <f t="shared" si="43"/>
        <v>1041.6106609999999</v>
      </c>
      <c r="FK28" s="298">
        <f t="shared" si="44"/>
        <v>0.50369865269463809</v>
      </c>
      <c r="FL28" s="52"/>
      <c r="FM28" s="55">
        <f t="shared" si="45"/>
        <v>835.5239642510229</v>
      </c>
      <c r="FN28" s="55">
        <f t="shared" si="45"/>
        <v>1032.3921284510229</v>
      </c>
      <c r="FO28" s="55">
        <f t="shared" si="45"/>
        <v>831.75004381656413</v>
      </c>
      <c r="FP28" s="55">
        <f t="shared" si="45"/>
        <v>1028.618208016564</v>
      </c>
      <c r="FR28" s="52"/>
      <c r="FS28" s="52"/>
      <c r="FT28" s="52"/>
      <c r="FU28" s="55">
        <f t="shared" si="46"/>
        <v>16931.250899999999</v>
      </c>
      <c r="FV28" s="55">
        <f t="shared" si="46"/>
        <v>16615.6692</v>
      </c>
      <c r="FW28" s="55">
        <f t="shared" si="46"/>
        <v>378.94140240000002</v>
      </c>
      <c r="FX28" s="55">
        <f t="shared" si="46"/>
        <v>419.12675280000002</v>
      </c>
      <c r="FY28" s="298">
        <f t="shared" si="47"/>
        <v>0.50470358678321703</v>
      </c>
      <c r="FZ28" s="52"/>
      <c r="GA28" s="55">
        <f t="shared" si="48"/>
        <v>378.96181841009218</v>
      </c>
      <c r="GB28" s="55">
        <f t="shared" si="48"/>
        <v>419.10818441009212</v>
      </c>
      <c r="GC28" s="55">
        <f t="shared" si="48"/>
        <v>378.95620614030315</v>
      </c>
      <c r="GD28" s="55">
        <f t="shared" si="48"/>
        <v>419.10257214030321</v>
      </c>
      <c r="GF28" s="52"/>
      <c r="GG28" s="52"/>
      <c r="GH28" s="52"/>
      <c r="GI28" s="55">
        <f t="shared" si="49"/>
        <v>8575.2909</v>
      </c>
      <c r="GJ28" s="55">
        <f t="shared" si="49"/>
        <v>8637.3724999999995</v>
      </c>
      <c r="GK28" s="56">
        <f t="shared" si="50"/>
        <v>133.793925</v>
      </c>
      <c r="GL28" s="56">
        <f t="shared" si="50"/>
        <v>146.53954349999998</v>
      </c>
      <c r="GM28" s="298">
        <f t="shared" si="51"/>
        <v>0.49819663004622522</v>
      </c>
      <c r="GN28" s="52"/>
      <c r="GO28" s="56">
        <f t="shared" si="52"/>
        <v>133.92584698211851</v>
      </c>
      <c r="GP28" s="56">
        <f t="shared" si="52"/>
        <v>146.28882523211854</v>
      </c>
      <c r="GQ28" s="56">
        <f t="shared" si="52"/>
        <v>133.9491296969513</v>
      </c>
      <c r="GR28" s="56">
        <f t="shared" si="52"/>
        <v>146.3121079469513</v>
      </c>
    </row>
    <row r="29" spans="1:220" x14ac:dyDescent="0.2">
      <c r="A29" s="118">
        <v>19</v>
      </c>
      <c r="C29" s="128">
        <v>0.72850000000000004</v>
      </c>
      <c r="D29" s="128">
        <v>0.5756</v>
      </c>
      <c r="E29" s="128">
        <v>7.4200000000000002E-2</v>
      </c>
      <c r="F29" s="128">
        <v>4015.5857999999998</v>
      </c>
      <c r="G29" s="128">
        <v>3863.0216999999998</v>
      </c>
      <c r="H29" s="49">
        <f t="shared" si="29"/>
        <v>729.53447000000006</v>
      </c>
      <c r="I29" s="49">
        <f t="shared" si="29"/>
        <v>1092.25856</v>
      </c>
      <c r="J29" s="47">
        <f t="shared" si="29"/>
        <v>13.499948</v>
      </c>
      <c r="K29" s="47">
        <f t="shared" si="53"/>
        <v>6.6192651522330044</v>
      </c>
      <c r="L29" s="48">
        <f t="shared" si="54"/>
        <v>736.15373515223303</v>
      </c>
      <c r="M29" s="48">
        <f t="shared" si="55"/>
        <v>1085.3778771522332</v>
      </c>
      <c r="N29" s="93">
        <f t="shared" si="56"/>
        <v>731.19882228339418</v>
      </c>
      <c r="O29" s="93">
        <f t="shared" si="57"/>
        <v>1080.4229642833943</v>
      </c>
      <c r="Q29" s="128">
        <v>0.89270000000000005</v>
      </c>
      <c r="R29" s="130">
        <v>0.65080000000000005</v>
      </c>
      <c r="S29" s="128">
        <v>3.1600000000000003E-2</v>
      </c>
      <c r="T29" s="128">
        <v>652.0575</v>
      </c>
      <c r="U29" s="128">
        <v>630.89670000000001</v>
      </c>
      <c r="V29" s="49">
        <f t="shared" si="30"/>
        <v>568.12320699999998</v>
      </c>
      <c r="W29" s="49">
        <f t="shared" si="30"/>
        <v>775.42169200000001</v>
      </c>
      <c r="X29" s="47">
        <f t="shared" si="30"/>
        <v>6.9984520000000003</v>
      </c>
      <c r="Y29" s="47">
        <f t="shared" si="58"/>
        <v>4.0391292432875998</v>
      </c>
      <c r="Z29" s="48">
        <f t="shared" si="59"/>
        <v>572.16233624328754</v>
      </c>
      <c r="AA29" s="48">
        <f t="shared" si="60"/>
        <v>772.46236924328753</v>
      </c>
      <c r="AB29" s="93">
        <f t="shared" si="61"/>
        <v>570.61391102540779</v>
      </c>
      <c r="AC29" s="93">
        <f t="shared" si="62"/>
        <v>770.91394402540777</v>
      </c>
      <c r="AE29" s="128">
        <v>0.71479999999999999</v>
      </c>
      <c r="AF29" s="130">
        <v>0.40100000000000002</v>
      </c>
      <c r="AG29" s="128">
        <v>0.1305</v>
      </c>
      <c r="AH29" s="128">
        <v>21.9542</v>
      </c>
      <c r="AI29" s="128">
        <v>27.5</v>
      </c>
      <c r="AJ29" s="49">
        <f t="shared" si="31"/>
        <v>328.865184</v>
      </c>
      <c r="AK29" s="49">
        <f t="shared" si="31"/>
        <v>421.34273000000002</v>
      </c>
      <c r="AL29" s="47">
        <f t="shared" si="31"/>
        <v>21.531195</v>
      </c>
      <c r="AM29" s="47">
        <f t="shared" si="63"/>
        <v>12.092664329667882</v>
      </c>
      <c r="AN29" s="48">
        <f t="shared" si="64"/>
        <v>340.95784832966785</v>
      </c>
      <c r="AO29" s="48">
        <f t="shared" si="65"/>
        <v>411.90419932966785</v>
      </c>
      <c r="AP29" s="93">
        <f t="shared" si="66"/>
        <v>335.30250768523285</v>
      </c>
      <c r="AQ29" s="93">
        <f t="shared" si="67"/>
        <v>406.24885868523285</v>
      </c>
      <c r="AS29" s="128">
        <v>1.1537999999999999</v>
      </c>
      <c r="AT29" s="130">
        <v>0.75009999999999999</v>
      </c>
      <c r="AU29" s="128">
        <v>2.5600000000000001E-2</v>
      </c>
      <c r="AV29" s="128">
        <v>4339.4883</v>
      </c>
      <c r="AW29" s="128">
        <v>4173.8824999999997</v>
      </c>
      <c r="AX29" s="49">
        <f t="shared" si="32"/>
        <v>404.56843199999997</v>
      </c>
      <c r="AY29" s="49">
        <f t="shared" si="32"/>
        <v>528.80549800000006</v>
      </c>
      <c r="AZ29" s="47">
        <f t="shared" si="32"/>
        <v>6.4737280000000004</v>
      </c>
      <c r="BA29" s="47">
        <f t="shared" si="68"/>
        <v>3.6677079238291395</v>
      </c>
      <c r="BB29" s="48">
        <f t="shared" si="69"/>
        <v>408.23613992382911</v>
      </c>
      <c r="BC29" s="48">
        <f t="shared" si="70"/>
        <v>525.99947792382909</v>
      </c>
      <c r="BD29" s="93">
        <f t="shared" si="71"/>
        <v>405.71396282897774</v>
      </c>
      <c r="BE29" s="93">
        <f t="shared" si="72"/>
        <v>523.47730082897772</v>
      </c>
      <c r="BG29" s="128">
        <v>0.87090000000000001</v>
      </c>
      <c r="BH29" s="130">
        <v>0.70650000000000002</v>
      </c>
      <c r="BI29" s="128">
        <v>2.93E-2</v>
      </c>
      <c r="BJ29" s="128">
        <v>2134.9767000000002</v>
      </c>
      <c r="BK29" s="128">
        <v>2068.8274999999999</v>
      </c>
      <c r="BL29" s="49">
        <f t="shared" si="33"/>
        <v>286.02097800000001</v>
      </c>
      <c r="BM29" s="49">
        <f t="shared" si="33"/>
        <v>427.20641999999998</v>
      </c>
      <c r="BN29" s="47">
        <f t="shared" si="33"/>
        <v>6.2274219999999998</v>
      </c>
      <c r="BO29" s="47">
        <f t="shared" si="73"/>
        <v>3.7300791667698099</v>
      </c>
      <c r="BP29" s="48">
        <f t="shared" si="74"/>
        <v>289.75105716676984</v>
      </c>
      <c r="BQ29" s="48">
        <f t="shared" si="75"/>
        <v>424.70907716676982</v>
      </c>
      <c r="BR29" s="93">
        <f t="shared" si="76"/>
        <v>286.9560989165804</v>
      </c>
      <c r="BS29" s="93">
        <f t="shared" si="77"/>
        <v>421.91411891658038</v>
      </c>
      <c r="BU29" s="128">
        <v>0.81899999999999995</v>
      </c>
      <c r="BV29" s="130">
        <v>0.75660000000000005</v>
      </c>
      <c r="BW29" s="128">
        <v>7.1499999999999994E-2</v>
      </c>
      <c r="BX29" s="128">
        <v>2086.6808000000001</v>
      </c>
      <c r="BY29" s="128">
        <v>2040.3933</v>
      </c>
      <c r="BZ29" s="49">
        <f t="shared" si="34"/>
        <v>198.68939999999998</v>
      </c>
      <c r="CA29" s="49">
        <f t="shared" si="34"/>
        <v>305.75719200000003</v>
      </c>
      <c r="CB29" s="47">
        <f t="shared" si="34"/>
        <v>7.4352849999999986</v>
      </c>
      <c r="CC29" s="47">
        <f t="shared" si="78"/>
        <v>4.5067047718695257</v>
      </c>
      <c r="CD29" s="48">
        <f t="shared" si="79"/>
        <v>203.1961047718695</v>
      </c>
      <c r="CE29" s="48">
        <f t="shared" si="80"/>
        <v>302.82861177186953</v>
      </c>
      <c r="CF29" s="93">
        <f t="shared" si="81"/>
        <v>199.62799123304268</v>
      </c>
      <c r="CG29" s="93">
        <f t="shared" si="82"/>
        <v>299.26049823304271</v>
      </c>
      <c r="CI29" s="128">
        <v>0.86780000000000002</v>
      </c>
      <c r="CJ29" s="130">
        <v>0.80100000000000005</v>
      </c>
      <c r="CK29" s="128">
        <v>6.3799999999999996E-2</v>
      </c>
      <c r="CL29" s="128">
        <v>8749.5292000000009</v>
      </c>
      <c r="CM29" s="128">
        <v>8479.8174999999992</v>
      </c>
      <c r="CN29" s="49">
        <f t="shared" si="35"/>
        <v>184.21658400000001</v>
      </c>
      <c r="CO29" s="49">
        <f t="shared" si="35"/>
        <v>220.65948000000003</v>
      </c>
      <c r="CP29" s="47">
        <f t="shared" si="35"/>
        <v>2.4881999999999998E-2</v>
      </c>
      <c r="CQ29" s="47">
        <f t="shared" si="83"/>
        <v>1.3560814455457659E-2</v>
      </c>
      <c r="CR29" s="48">
        <f t="shared" si="84"/>
        <v>184.23014481445546</v>
      </c>
      <c r="CS29" s="48">
        <f t="shared" si="85"/>
        <v>220.64815881445548</v>
      </c>
      <c r="CT29" s="93">
        <f t="shared" si="86"/>
        <v>184.22355116168424</v>
      </c>
      <c r="CU29" s="93">
        <f t="shared" si="87"/>
        <v>220.64156516168427</v>
      </c>
      <c r="CW29" s="128">
        <v>0.68759999999999999</v>
      </c>
      <c r="CX29" s="130">
        <v>0.5222</v>
      </c>
      <c r="CY29" s="128">
        <v>0.12089999999999999</v>
      </c>
      <c r="CZ29" s="128">
        <v>3816.1217000000001</v>
      </c>
      <c r="DA29" s="128">
        <v>3647.8933000000002</v>
      </c>
      <c r="DB29" s="49">
        <f t="shared" si="36"/>
        <v>147.63459600000002</v>
      </c>
      <c r="DC29" s="49">
        <f t="shared" si="36"/>
        <v>156.68088800000001</v>
      </c>
      <c r="DD29" s="47">
        <f t="shared" si="36"/>
        <v>3.2642999999999998E-2</v>
      </c>
      <c r="DE29" s="47">
        <f t="shared" si="88"/>
        <v>1.6806684167881513E-2</v>
      </c>
      <c r="DF29" s="48">
        <f t="shared" si="89"/>
        <v>147.65140268416789</v>
      </c>
      <c r="DG29" s="48">
        <f t="shared" si="90"/>
        <v>156.66505168416788</v>
      </c>
      <c r="DH29" s="93">
        <f t="shared" si="91"/>
        <v>147.64439172327366</v>
      </c>
      <c r="DI29" s="93">
        <f t="shared" si="92"/>
        <v>156.65804072327364</v>
      </c>
      <c r="DK29" s="128">
        <v>0.746</v>
      </c>
      <c r="DL29" s="130">
        <v>0.71609999999999996</v>
      </c>
      <c r="DM29" s="128">
        <v>7.7100000000000002E-2</v>
      </c>
      <c r="DN29" s="128">
        <v>787.72580000000005</v>
      </c>
      <c r="DO29" s="128">
        <v>794.65499999999997</v>
      </c>
      <c r="DP29" s="49">
        <f t="shared" si="37"/>
        <v>98.740560000000016</v>
      </c>
      <c r="DQ29" s="49">
        <f t="shared" si="37"/>
        <v>138.65844299999998</v>
      </c>
      <c r="DR29" s="47">
        <f t="shared" si="37"/>
        <v>1.4649000000000001E-2</v>
      </c>
      <c r="DS29" s="47">
        <f t="shared" si="93"/>
        <v>8.5560912465457994E-3</v>
      </c>
      <c r="DT29" s="48">
        <f t="shared" si="94"/>
        <v>98.749116091246563</v>
      </c>
      <c r="DU29" s="48">
        <f t="shared" si="95"/>
        <v>138.65235009124652</v>
      </c>
      <c r="DV29" s="93">
        <f t="shared" si="96"/>
        <v>98.743674894340515</v>
      </c>
      <c r="DW29" s="93">
        <f t="shared" si="97"/>
        <v>138.64690889434047</v>
      </c>
      <c r="EB29" s="52"/>
      <c r="EC29" s="52"/>
      <c r="ED29" s="52"/>
      <c r="EE29" s="55">
        <f t="shared" si="98"/>
        <v>20920.725000000002</v>
      </c>
      <c r="EF29" s="55">
        <f t="shared" si="98"/>
        <v>20164.614999999998</v>
      </c>
      <c r="EG29" s="55">
        <f t="shared" si="98"/>
        <v>1436.4271628000001</v>
      </c>
      <c r="EH29" s="55">
        <f t="shared" si="98"/>
        <v>1967.0682483999999</v>
      </c>
      <c r="EI29" s="298">
        <f t="shared" si="38"/>
        <v>0.50920170065527037</v>
      </c>
      <c r="EJ29" s="52"/>
      <c r="EK29" s="55">
        <f t="shared" si="99"/>
        <v>1446.7411420378519</v>
      </c>
      <c r="EL29" s="55">
        <f t="shared" si="99"/>
        <v>1957.357555237852</v>
      </c>
      <c r="EM29" s="55">
        <f t="shared" si="39"/>
        <v>1439.2518496526752</v>
      </c>
      <c r="EN29" s="55">
        <f t="shared" si="39"/>
        <v>1949.8682628526751</v>
      </c>
      <c r="EP29" s="52"/>
      <c r="EQ29" s="52"/>
      <c r="ER29" s="52"/>
      <c r="ES29" s="55">
        <f t="shared" si="40"/>
        <v>15352.685100000001</v>
      </c>
      <c r="ET29" s="55">
        <f t="shared" si="40"/>
        <v>14827.434999999998</v>
      </c>
      <c r="EU29" s="55">
        <f t="shared" si="40"/>
        <v>1141.7049861999999</v>
      </c>
      <c r="EV29" s="55">
        <f t="shared" si="40"/>
        <v>1532.9642136</v>
      </c>
      <c r="EW29" s="298">
        <f t="shared" si="41"/>
        <v>0.50870192196484998</v>
      </c>
      <c r="EX29" s="52"/>
      <c r="EY29" s="55">
        <f t="shared" si="42"/>
        <v>1149.4995201034301</v>
      </c>
      <c r="EZ29" s="55">
        <f t="shared" si="42"/>
        <v>1527.4851414034304</v>
      </c>
      <c r="FA29" s="55">
        <f t="shared" si="42"/>
        <v>1145.1446353099641</v>
      </c>
      <c r="FB29" s="55">
        <f t="shared" si="42"/>
        <v>1523.1302566099639</v>
      </c>
      <c r="FD29" s="52"/>
      <c r="FE29" s="52"/>
      <c r="FF29" s="52"/>
      <c r="FG29" s="55">
        <f t="shared" si="43"/>
        <v>11645.890000000001</v>
      </c>
      <c r="FH29" s="55">
        <f t="shared" si="43"/>
        <v>11342.3658</v>
      </c>
      <c r="FI29" s="55">
        <f t="shared" si="43"/>
        <v>771.01550399999996</v>
      </c>
      <c r="FJ29" s="55">
        <f t="shared" si="43"/>
        <v>1030.9544678000002</v>
      </c>
      <c r="FK29" s="298">
        <f t="shared" si="44"/>
        <v>0.50660172312855511</v>
      </c>
      <c r="FL29" s="52"/>
      <c r="FM29" s="55">
        <f t="shared" si="45"/>
        <v>787.63356757074075</v>
      </c>
      <c r="FN29" s="55">
        <f t="shared" si="45"/>
        <v>1018.5723799707407</v>
      </c>
      <c r="FO29" s="55">
        <f t="shared" si="45"/>
        <v>778.40025501656407</v>
      </c>
      <c r="FP29" s="55">
        <f t="shared" si="45"/>
        <v>1009.3390674165641</v>
      </c>
      <c r="FR29" s="52"/>
      <c r="FS29" s="52"/>
      <c r="FT29" s="52"/>
      <c r="FU29" s="55">
        <f t="shared" si="46"/>
        <v>12565.650900000001</v>
      </c>
      <c r="FV29" s="55">
        <f t="shared" si="46"/>
        <v>12127.710799999999</v>
      </c>
      <c r="FW29" s="55">
        <f t="shared" si="46"/>
        <v>302.32426080000005</v>
      </c>
      <c r="FX29" s="55">
        <f t="shared" si="46"/>
        <v>346.00419040000003</v>
      </c>
      <c r="FY29" s="298">
        <f t="shared" si="47"/>
        <v>0.5088675674321006</v>
      </c>
      <c r="FZ29" s="52"/>
      <c r="GA29" s="55">
        <f t="shared" si="48"/>
        <v>302.35126696178975</v>
      </c>
      <c r="GB29" s="55">
        <f t="shared" si="48"/>
        <v>345.98020016178981</v>
      </c>
      <c r="GC29" s="55">
        <f t="shared" si="48"/>
        <v>302.33906454030318</v>
      </c>
      <c r="GD29" s="55">
        <f t="shared" si="48"/>
        <v>345.96799774030319</v>
      </c>
      <c r="GF29" s="52"/>
      <c r="GG29" s="52"/>
      <c r="GH29" s="52"/>
      <c r="GI29" s="55">
        <f t="shared" si="49"/>
        <v>6426.1691000000001</v>
      </c>
      <c r="GJ29" s="55">
        <f t="shared" si="49"/>
        <v>6214.2757999999994</v>
      </c>
      <c r="GK29" s="56">
        <f t="shared" si="50"/>
        <v>154.40927399999998</v>
      </c>
      <c r="GL29" s="56">
        <f t="shared" si="50"/>
        <v>167.28622950000002</v>
      </c>
      <c r="GM29" s="298">
        <f t="shared" si="51"/>
        <v>0.50838156020916647</v>
      </c>
      <c r="GN29" s="52"/>
      <c r="GO29" s="56">
        <f t="shared" si="52"/>
        <v>153.78002636396971</v>
      </c>
      <c r="GP29" s="56">
        <f t="shared" si="52"/>
        <v>167.37814961396967</v>
      </c>
      <c r="GQ29" s="56">
        <f t="shared" si="52"/>
        <v>154.56447869695131</v>
      </c>
      <c r="GR29" s="56">
        <f t="shared" si="52"/>
        <v>168.16260194695127</v>
      </c>
    </row>
    <row r="30" spans="1:220" x14ac:dyDescent="0.2">
      <c r="A30" s="118">
        <v>20</v>
      </c>
      <c r="C30" s="128">
        <v>0.7268</v>
      </c>
      <c r="D30" s="128">
        <v>0.60550000000000004</v>
      </c>
      <c r="E30" s="128">
        <v>0.13500000000000001</v>
      </c>
      <c r="F30" s="128">
        <v>2050.0167000000001</v>
      </c>
      <c r="G30" s="128">
        <v>1824.8692000000001</v>
      </c>
      <c r="H30" s="49">
        <f t="shared" si="29"/>
        <v>727.83205599999997</v>
      </c>
      <c r="I30" s="49">
        <f t="shared" si="29"/>
        <v>1148.9968000000001</v>
      </c>
      <c r="J30" s="47">
        <f t="shared" si="29"/>
        <v>24.561900000000001</v>
      </c>
      <c r="K30" s="47">
        <f t="shared" si="53"/>
        <v>11.567374100868365</v>
      </c>
      <c r="L30" s="48">
        <f t="shared" si="54"/>
        <v>739.39943010086836</v>
      </c>
      <c r="M30" s="48">
        <f t="shared" si="55"/>
        <v>1136.0022741008686</v>
      </c>
      <c r="N30" s="93">
        <f t="shared" si="56"/>
        <v>742.86060315082625</v>
      </c>
      <c r="O30" s="93">
        <f t="shared" si="57"/>
        <v>1139.4634471508264</v>
      </c>
      <c r="Q30" s="128">
        <v>0.87390000000000001</v>
      </c>
      <c r="R30" s="130">
        <v>0.67849999999999999</v>
      </c>
      <c r="S30" s="128">
        <v>3.1600000000000003E-2</v>
      </c>
      <c r="T30" s="128">
        <v>424.58580000000001</v>
      </c>
      <c r="U30" s="128">
        <v>399.96249999999998</v>
      </c>
      <c r="V30" s="49">
        <f t="shared" si="30"/>
        <v>556.15869899999996</v>
      </c>
      <c r="W30" s="49">
        <f t="shared" si="30"/>
        <v>808.42596500000002</v>
      </c>
      <c r="X30" s="47">
        <f t="shared" si="30"/>
        <v>6.9984520000000003</v>
      </c>
      <c r="Y30" s="47">
        <f t="shared" si="58"/>
        <v>4.1461189333769184</v>
      </c>
      <c r="Z30" s="48">
        <f t="shared" si="59"/>
        <v>560.30481793337685</v>
      </c>
      <c r="AA30" s="48">
        <f t="shared" si="60"/>
        <v>805.57363193337687</v>
      </c>
      <c r="AB30" s="93">
        <f t="shared" si="61"/>
        <v>573.45756647958501</v>
      </c>
      <c r="AC30" s="93">
        <f t="shared" si="62"/>
        <v>818.72638047958503</v>
      </c>
      <c r="AE30" s="128">
        <v>0.70079999999999998</v>
      </c>
      <c r="AF30" s="130">
        <v>0.43369999999999997</v>
      </c>
      <c r="AG30" s="128">
        <v>0.16950000000000001</v>
      </c>
      <c r="AH30" s="128">
        <v>23.9133</v>
      </c>
      <c r="AI30" s="128">
        <v>27.1067</v>
      </c>
      <c r="AJ30" s="49">
        <f t="shared" si="31"/>
        <v>322.42406399999999</v>
      </c>
      <c r="AK30" s="49">
        <f t="shared" si="31"/>
        <v>455.70160099999998</v>
      </c>
      <c r="AL30" s="47">
        <f t="shared" si="31"/>
        <v>27.965805000000003</v>
      </c>
      <c r="AM30" s="47">
        <f t="shared" si="63"/>
        <v>16.377897150781944</v>
      </c>
      <c r="AN30" s="48">
        <f t="shared" si="64"/>
        <v>338.80196115078195</v>
      </c>
      <c r="AO30" s="48">
        <f t="shared" si="65"/>
        <v>444.11369315078196</v>
      </c>
      <c r="AP30" s="93">
        <f t="shared" si="66"/>
        <v>334.22650207785153</v>
      </c>
      <c r="AQ30" s="93">
        <f t="shared" si="67"/>
        <v>439.53823407785154</v>
      </c>
      <c r="AS30" s="128">
        <v>1.2190000000000001</v>
      </c>
      <c r="AT30" s="130">
        <v>0.79349999999999998</v>
      </c>
      <c r="AU30" s="128">
        <v>3.9199999999999999E-2</v>
      </c>
      <c r="AV30" s="128">
        <v>2646.8366999999998</v>
      </c>
      <c r="AW30" s="128">
        <v>2474.0192000000002</v>
      </c>
      <c r="AX30" s="49">
        <f t="shared" si="32"/>
        <v>427.43016</v>
      </c>
      <c r="AY30" s="49">
        <f t="shared" si="32"/>
        <v>559.40162999999995</v>
      </c>
      <c r="AZ30" s="47">
        <f t="shared" si="32"/>
        <v>9.9128959999999999</v>
      </c>
      <c r="BA30" s="47">
        <f t="shared" si="68"/>
        <v>5.6192861201000426</v>
      </c>
      <c r="BB30" s="48">
        <f t="shared" si="69"/>
        <v>433.04944612010001</v>
      </c>
      <c r="BC30" s="48">
        <f t="shared" si="70"/>
        <v>555.10802012009992</v>
      </c>
      <c r="BD30" s="93">
        <f t="shared" si="71"/>
        <v>446.08799034170266</v>
      </c>
      <c r="BE30" s="93">
        <f t="shared" si="72"/>
        <v>568.14656434170263</v>
      </c>
      <c r="BG30" s="128">
        <v>0.88690000000000002</v>
      </c>
      <c r="BH30" s="130">
        <v>0.74950000000000006</v>
      </c>
      <c r="BI30" s="128">
        <v>5.79E-2</v>
      </c>
      <c r="BJ30" s="128">
        <v>1326.9475</v>
      </c>
      <c r="BK30" s="128">
        <v>1206.9332999999999</v>
      </c>
      <c r="BL30" s="49">
        <f t="shared" si="33"/>
        <v>291.27569800000003</v>
      </c>
      <c r="BM30" s="49">
        <f t="shared" si="33"/>
        <v>453.20765999999998</v>
      </c>
      <c r="BN30" s="47">
        <f t="shared" si="33"/>
        <v>12.306066</v>
      </c>
      <c r="BO30" s="47">
        <f t="shared" si="73"/>
        <v>7.4913741398441838</v>
      </c>
      <c r="BP30" s="48">
        <f t="shared" si="74"/>
        <v>298.76707213984423</v>
      </c>
      <c r="BQ30" s="48">
        <f t="shared" si="75"/>
        <v>448.39296813984419</v>
      </c>
      <c r="BR30" s="93">
        <f t="shared" si="76"/>
        <v>309.97562440643304</v>
      </c>
      <c r="BS30" s="93">
        <f t="shared" si="77"/>
        <v>459.601520406433</v>
      </c>
      <c r="BU30" s="128">
        <v>0.80989999999999995</v>
      </c>
      <c r="BV30" s="130">
        <v>0.77410000000000001</v>
      </c>
      <c r="BW30" s="128">
        <v>0.1343</v>
      </c>
      <c r="BX30" s="128">
        <v>1291.6025</v>
      </c>
      <c r="BY30" s="128">
        <v>1189.3317</v>
      </c>
      <c r="BZ30" s="49">
        <f t="shared" si="34"/>
        <v>196.48173999999997</v>
      </c>
      <c r="CA30" s="49">
        <f t="shared" si="34"/>
        <v>312.82929200000001</v>
      </c>
      <c r="CB30" s="47">
        <f t="shared" si="34"/>
        <v>13.965857</v>
      </c>
      <c r="CC30" s="47">
        <f t="shared" si="78"/>
        <v>8.5781160881731005</v>
      </c>
      <c r="CD30" s="48">
        <f t="shared" si="79"/>
        <v>205.05985608817306</v>
      </c>
      <c r="CE30" s="48">
        <f t="shared" si="80"/>
        <v>307.44155108817307</v>
      </c>
      <c r="CF30" s="93">
        <f t="shared" si="81"/>
        <v>208.51659228423091</v>
      </c>
      <c r="CG30" s="93">
        <f t="shared" si="82"/>
        <v>310.89828728423089</v>
      </c>
      <c r="CI30" s="128">
        <v>0.82540000000000002</v>
      </c>
      <c r="CJ30" s="130">
        <v>0.77649999999999997</v>
      </c>
      <c r="CK30" s="128">
        <v>8.6300000000000002E-2</v>
      </c>
      <c r="CL30" s="128">
        <v>5420.5249999999996</v>
      </c>
      <c r="CM30" s="128">
        <v>5034.1441999999997</v>
      </c>
      <c r="CN30" s="49">
        <f t="shared" si="35"/>
        <v>175.215912</v>
      </c>
      <c r="CO30" s="49">
        <f t="shared" si="35"/>
        <v>213.91022000000001</v>
      </c>
      <c r="CP30" s="47">
        <f t="shared" si="35"/>
        <v>3.3656999999999999E-2</v>
      </c>
      <c r="CQ30" s="47">
        <f t="shared" si="83"/>
        <v>1.8501908976239097E-2</v>
      </c>
      <c r="CR30" s="48">
        <f t="shared" si="84"/>
        <v>175.23441390897625</v>
      </c>
      <c r="CS30" s="48">
        <f t="shared" si="85"/>
        <v>213.89506490897625</v>
      </c>
      <c r="CT30" s="93">
        <f t="shared" si="86"/>
        <v>175.24906094675939</v>
      </c>
      <c r="CU30" s="93">
        <f t="shared" si="87"/>
        <v>213.90971194675939</v>
      </c>
      <c r="CW30" s="128">
        <v>0.45440000000000003</v>
      </c>
      <c r="CX30" s="130">
        <v>0.36159999999999998</v>
      </c>
      <c r="CY30" s="128">
        <v>0.15540000000000001</v>
      </c>
      <c r="CZ30" s="128">
        <v>2393.4050000000002</v>
      </c>
      <c r="DA30" s="128">
        <v>2196.4675000000002</v>
      </c>
      <c r="DB30" s="49">
        <f t="shared" si="36"/>
        <v>97.56422400000001</v>
      </c>
      <c r="DC30" s="49">
        <f t="shared" si="36"/>
        <v>108.49446399999999</v>
      </c>
      <c r="DD30" s="47">
        <f t="shared" si="36"/>
        <v>4.1958000000000002E-2</v>
      </c>
      <c r="DE30" s="47">
        <f t="shared" si="88"/>
        <v>2.2091816485369446E-2</v>
      </c>
      <c r="DF30" s="48">
        <f t="shared" si="89"/>
        <v>97.586315816485381</v>
      </c>
      <c r="DG30" s="48">
        <f t="shared" si="90"/>
        <v>108.47459781648537</v>
      </c>
      <c r="DH30" s="93">
        <f t="shared" si="91"/>
        <v>97.587211198817997</v>
      </c>
      <c r="DI30" s="93">
        <f t="shared" si="92"/>
        <v>108.47549319881799</v>
      </c>
      <c r="DK30" s="128">
        <v>0.4602</v>
      </c>
      <c r="DL30" s="130">
        <v>0.4637</v>
      </c>
      <c r="DM30" s="128">
        <v>0.111</v>
      </c>
      <c r="DN30" s="128">
        <v>538.70669999999996</v>
      </c>
      <c r="DO30" s="128">
        <v>520.60170000000005</v>
      </c>
      <c r="DP30" s="49">
        <f t="shared" si="37"/>
        <v>60.912072000000009</v>
      </c>
      <c r="DQ30" s="49">
        <f t="shared" si="37"/>
        <v>89.786231000000001</v>
      </c>
      <c r="DR30" s="47">
        <f t="shared" si="37"/>
        <v>2.1090000000000001E-2</v>
      </c>
      <c r="DS30" s="47">
        <f t="shared" si="93"/>
        <v>1.25654474807855E-2</v>
      </c>
      <c r="DT30" s="48">
        <f t="shared" si="94"/>
        <v>60.924637447480798</v>
      </c>
      <c r="DU30" s="48">
        <f t="shared" si="95"/>
        <v>89.777706447480782</v>
      </c>
      <c r="DV30" s="93">
        <f t="shared" si="96"/>
        <v>60.934198449530001</v>
      </c>
      <c r="DW30" s="93">
        <f t="shared" si="97"/>
        <v>89.787267449529992</v>
      </c>
      <c r="EB30" s="52"/>
      <c r="EC30" s="52"/>
      <c r="ED30" s="52"/>
      <c r="EE30" s="55">
        <f t="shared" si="98"/>
        <v>12510.7834</v>
      </c>
      <c r="EF30" s="55">
        <f t="shared" si="98"/>
        <v>11529.500099999999</v>
      </c>
      <c r="EG30" s="55">
        <f t="shared" si="98"/>
        <v>1408.5295072000001</v>
      </c>
      <c r="EH30" s="55">
        <f t="shared" si="98"/>
        <v>2009.1042212000002</v>
      </c>
      <c r="EI30" s="298">
        <f t="shared" si="38"/>
        <v>0.52040914575737018</v>
      </c>
      <c r="EJ30" s="52"/>
      <c r="EK30" s="55">
        <f t="shared" si="99"/>
        <v>1425.7523427831329</v>
      </c>
      <c r="EL30" s="55">
        <f t="shared" si="99"/>
        <v>1991.7850373831334</v>
      </c>
      <c r="EM30" s="55">
        <f t="shared" si="39"/>
        <v>1442.2674233983428</v>
      </c>
      <c r="EN30" s="55">
        <f t="shared" si="39"/>
        <v>2008.3001179983428</v>
      </c>
      <c r="EP30" s="52"/>
      <c r="EQ30" s="52"/>
      <c r="ER30" s="52"/>
      <c r="ES30" s="55">
        <f t="shared" si="40"/>
        <v>9565.4632999999994</v>
      </c>
      <c r="ET30" s="55">
        <f t="shared" si="40"/>
        <v>8837.5074999999997</v>
      </c>
      <c r="EU30" s="55">
        <f t="shared" si="40"/>
        <v>1090.9452658</v>
      </c>
      <c r="EV30" s="55">
        <f t="shared" si="40"/>
        <v>1551.4899697999999</v>
      </c>
      <c r="EW30" s="298">
        <f t="shared" si="41"/>
        <v>0.51977821428701065</v>
      </c>
      <c r="EX30" s="52"/>
      <c r="EY30" s="55">
        <f t="shared" si="42"/>
        <v>1102.6167250537371</v>
      </c>
      <c r="EZ30" s="55">
        <f t="shared" si="42"/>
        <v>1543.7938834537372</v>
      </c>
      <c r="FA30" s="55">
        <f t="shared" si="42"/>
        <v>1126.9932996719499</v>
      </c>
      <c r="FB30" s="55">
        <f t="shared" si="42"/>
        <v>1568.1704580719502</v>
      </c>
      <c r="FD30" s="52"/>
      <c r="FE30" s="52"/>
      <c r="FF30" s="52"/>
      <c r="FG30" s="55">
        <f t="shared" si="43"/>
        <v>7274.7474999999995</v>
      </c>
      <c r="FH30" s="55">
        <f t="shared" si="43"/>
        <v>6771.1842999999999</v>
      </c>
      <c r="FI30" s="55">
        <f t="shared" si="43"/>
        <v>730.66895920000002</v>
      </c>
      <c r="FJ30" s="55">
        <f t="shared" si="43"/>
        <v>1036.3128515999999</v>
      </c>
      <c r="FK30" s="298">
        <f t="shared" si="44"/>
        <v>0.51792558895950214</v>
      </c>
      <c r="FL30" s="52"/>
      <c r="FM30" s="55">
        <f t="shared" si="45"/>
        <v>755.65101361641985</v>
      </c>
      <c r="FN30" s="55">
        <f t="shared" si="45"/>
        <v>1019.3169330164197</v>
      </c>
      <c r="FO30" s="55">
        <f t="shared" si="45"/>
        <v>754.55267437855991</v>
      </c>
      <c r="FP30" s="55">
        <f t="shared" si="45"/>
        <v>1018.2185937785599</v>
      </c>
      <c r="FR30" s="52"/>
      <c r="FS30" s="52"/>
      <c r="FT30" s="52"/>
      <c r="FU30" s="55">
        <f t="shared" si="46"/>
        <v>7813.93</v>
      </c>
      <c r="FV30" s="55">
        <f t="shared" si="46"/>
        <v>7230.6116999999995</v>
      </c>
      <c r="FW30" s="55">
        <f t="shared" si="46"/>
        <v>253.26729120000002</v>
      </c>
      <c r="FX30" s="55">
        <f t="shared" si="46"/>
        <v>300.70579120000002</v>
      </c>
      <c r="FY30" s="298">
        <f t="shared" si="47"/>
        <v>0.51938637652219077</v>
      </c>
      <c r="FZ30" s="52"/>
      <c r="GA30" s="55">
        <f t="shared" si="48"/>
        <v>253.30346656216454</v>
      </c>
      <c r="GB30" s="55">
        <f t="shared" si="48"/>
        <v>300.67474316216453</v>
      </c>
      <c r="GC30" s="55">
        <f t="shared" si="48"/>
        <v>253.3188299058138</v>
      </c>
      <c r="GD30" s="55">
        <f t="shared" si="48"/>
        <v>300.69010650581379</v>
      </c>
      <c r="GF30" s="52"/>
      <c r="GG30" s="52"/>
      <c r="GH30" s="52"/>
      <c r="GI30" s="55">
        <f t="shared" si="49"/>
        <v>3938.4391999999998</v>
      </c>
      <c r="GJ30" s="55">
        <f t="shared" si="49"/>
        <v>3663.3509000000004</v>
      </c>
      <c r="GK30" s="56">
        <f t="shared" si="50"/>
        <v>173.21131500000001</v>
      </c>
      <c r="GL30" s="56">
        <f t="shared" si="50"/>
        <v>184.92925349999996</v>
      </c>
      <c r="GM30" s="298">
        <f t="shared" si="51"/>
        <v>0.51809365270424923</v>
      </c>
      <c r="GN30" s="52"/>
      <c r="GO30" s="56">
        <f t="shared" si="52"/>
        <v>170.99219252394522</v>
      </c>
      <c r="GP30" s="56">
        <f t="shared" si="52"/>
        <v>185.74985177394512</v>
      </c>
      <c r="GQ30" s="56">
        <f t="shared" si="52"/>
        <v>178.17854854310383</v>
      </c>
      <c r="GR30" s="56">
        <f t="shared" si="52"/>
        <v>192.93620779310379</v>
      </c>
    </row>
    <row r="31" spans="1:220" x14ac:dyDescent="0.2">
      <c r="A31" s="118">
        <v>21</v>
      </c>
      <c r="C31" s="128">
        <v>0.72340000000000004</v>
      </c>
      <c r="D31" s="128">
        <v>0.63439999999999996</v>
      </c>
      <c r="E31" s="128">
        <v>0.219</v>
      </c>
      <c r="F31" s="128">
        <v>1042.9308000000001</v>
      </c>
      <c r="G31" s="128">
        <v>861.38919999999996</v>
      </c>
      <c r="H31" s="49">
        <f t="shared" si="29"/>
        <v>724.42722800000001</v>
      </c>
      <c r="I31" s="49">
        <f t="shared" si="29"/>
        <v>1203.8374399999998</v>
      </c>
      <c r="J31" s="47">
        <f t="shared" si="29"/>
        <v>39.844859999999997</v>
      </c>
      <c r="K31" s="47">
        <f t="shared" si="53"/>
        <v>18.023195723151566</v>
      </c>
      <c r="L31" s="48">
        <f t="shared" si="54"/>
        <v>742.45042372315163</v>
      </c>
      <c r="M31" s="48">
        <f t="shared" si="55"/>
        <v>1182.0157757231514</v>
      </c>
      <c r="N31" s="93">
        <f t="shared" si="56"/>
        <v>739.4557751508263</v>
      </c>
      <c r="O31" s="93">
        <f t="shared" si="57"/>
        <v>1179.021127150826</v>
      </c>
      <c r="Q31" s="128">
        <v>0.85</v>
      </c>
      <c r="R31" s="130">
        <v>0.7036</v>
      </c>
      <c r="S31" s="128">
        <v>3.5900000000000001E-2</v>
      </c>
      <c r="T31" s="128">
        <v>210.09829999999999</v>
      </c>
      <c r="U31" s="128">
        <v>194.94749999999999</v>
      </c>
      <c r="V31" s="49">
        <f t="shared" si="30"/>
        <v>540.94849999999997</v>
      </c>
      <c r="W31" s="49">
        <f t="shared" si="30"/>
        <v>838.33236399999998</v>
      </c>
      <c r="X31" s="47">
        <f t="shared" si="30"/>
        <v>7.9507729999999999</v>
      </c>
      <c r="Y31" s="47">
        <f t="shared" si="58"/>
        <v>4.8325112735830524</v>
      </c>
      <c r="Z31" s="48">
        <f t="shared" si="59"/>
        <v>545.78101127358298</v>
      </c>
      <c r="AA31" s="48">
        <f t="shared" si="60"/>
        <v>835.21410227358297</v>
      </c>
      <c r="AB31" s="93">
        <f t="shared" si="61"/>
        <v>558.24736747958502</v>
      </c>
      <c r="AC31" s="93">
        <f t="shared" si="62"/>
        <v>847.68045847958501</v>
      </c>
      <c r="AE31" s="128">
        <v>0.68500000000000005</v>
      </c>
      <c r="AF31" s="130">
        <v>0.4672</v>
      </c>
      <c r="AG31" s="128">
        <v>0.2208</v>
      </c>
      <c r="AH31" s="128">
        <v>13.9008</v>
      </c>
      <c r="AI31" s="128">
        <v>11.083299999999999</v>
      </c>
      <c r="AJ31" s="49">
        <f t="shared" si="31"/>
        <v>315.15480000000002</v>
      </c>
      <c r="AK31" s="49">
        <f t="shared" si="31"/>
        <v>490.90105600000004</v>
      </c>
      <c r="AL31" s="47">
        <f t="shared" si="31"/>
        <v>36.429791999999999</v>
      </c>
      <c r="AM31" s="47">
        <f t="shared" si="63"/>
        <v>22.186332658639419</v>
      </c>
      <c r="AN31" s="48">
        <f t="shared" si="64"/>
        <v>337.34113265863942</v>
      </c>
      <c r="AO31" s="48">
        <f t="shared" si="65"/>
        <v>476.65759665863942</v>
      </c>
      <c r="AP31" s="93">
        <f t="shared" si="66"/>
        <v>326.95723807785157</v>
      </c>
      <c r="AQ31" s="93">
        <f t="shared" si="67"/>
        <v>466.27370207785157</v>
      </c>
      <c r="AS31" s="128">
        <v>1.2687999999999999</v>
      </c>
      <c r="AT31" s="130">
        <v>0.83589999999999998</v>
      </c>
      <c r="AU31" s="128">
        <v>6.0299999999999999E-2</v>
      </c>
      <c r="AV31" s="128">
        <v>1240.4425000000001</v>
      </c>
      <c r="AW31" s="128">
        <v>1144.3967</v>
      </c>
      <c r="AX31" s="49">
        <f t="shared" si="32"/>
        <v>444.89203199999997</v>
      </c>
      <c r="AY31" s="49">
        <f t="shared" si="32"/>
        <v>589.29278199999999</v>
      </c>
      <c r="AZ31" s="47">
        <f t="shared" si="32"/>
        <v>15.248664</v>
      </c>
      <c r="BA31" s="47">
        <f t="shared" si="68"/>
        <v>8.6888992264232261</v>
      </c>
      <c r="BB31" s="48">
        <f t="shared" si="69"/>
        <v>453.58093122642322</v>
      </c>
      <c r="BC31" s="48">
        <f t="shared" si="70"/>
        <v>582.73301722642327</v>
      </c>
      <c r="BD31" s="93">
        <f t="shared" si="71"/>
        <v>463.54986234170264</v>
      </c>
      <c r="BE31" s="93">
        <f t="shared" si="72"/>
        <v>592.70194834170275</v>
      </c>
      <c r="BG31" s="128">
        <v>0.89810000000000001</v>
      </c>
      <c r="BH31" s="130">
        <v>0.79190000000000005</v>
      </c>
      <c r="BI31" s="128">
        <v>0.1037</v>
      </c>
      <c r="BJ31" s="128">
        <v>703.375</v>
      </c>
      <c r="BK31" s="128">
        <v>642.08079999999995</v>
      </c>
      <c r="BL31" s="49">
        <f t="shared" si="33"/>
        <v>294.954002</v>
      </c>
      <c r="BM31" s="49">
        <f t="shared" si="33"/>
        <v>478.846092</v>
      </c>
      <c r="BN31" s="47">
        <f t="shared" si="33"/>
        <v>22.040398</v>
      </c>
      <c r="BO31" s="47">
        <f t="shared" si="73"/>
        <v>13.639127896545094</v>
      </c>
      <c r="BP31" s="48">
        <f t="shared" si="74"/>
        <v>308.59312989654512</v>
      </c>
      <c r="BQ31" s="48">
        <f t="shared" si="75"/>
        <v>470.44482189654514</v>
      </c>
      <c r="BR31" s="93">
        <f t="shared" si="76"/>
        <v>313.65392840643301</v>
      </c>
      <c r="BS31" s="93">
        <f t="shared" si="77"/>
        <v>475.50562040643302</v>
      </c>
      <c r="BU31" s="128">
        <v>0.79930000000000001</v>
      </c>
      <c r="BV31" s="130">
        <v>0.79849999999999999</v>
      </c>
      <c r="BW31" s="128">
        <v>0.22550000000000001</v>
      </c>
      <c r="BX31" s="128">
        <v>834.38250000000005</v>
      </c>
      <c r="BY31" s="128">
        <v>689.95830000000001</v>
      </c>
      <c r="BZ31" s="49">
        <f t="shared" si="34"/>
        <v>193.91018</v>
      </c>
      <c r="CA31" s="49">
        <f t="shared" si="34"/>
        <v>322.68982</v>
      </c>
      <c r="CB31" s="47">
        <f t="shared" si="34"/>
        <v>23.449745</v>
      </c>
      <c r="CC31" s="47">
        <f t="shared" si="78"/>
        <v>14.647684849198411</v>
      </c>
      <c r="CD31" s="48">
        <f t="shared" si="79"/>
        <v>208.55786484919841</v>
      </c>
      <c r="CE31" s="48">
        <f t="shared" si="80"/>
        <v>313.8877598491984</v>
      </c>
      <c r="CF31" s="93">
        <f t="shared" si="81"/>
        <v>205.94503228423093</v>
      </c>
      <c r="CG31" s="93">
        <f t="shared" si="82"/>
        <v>311.2749272842309</v>
      </c>
      <c r="CI31" s="128">
        <v>0.78400000000000003</v>
      </c>
      <c r="CJ31" s="130">
        <v>0.74660000000000004</v>
      </c>
      <c r="CK31" s="128">
        <v>0.1164</v>
      </c>
      <c r="CL31" s="128">
        <v>2978.0592000000001</v>
      </c>
      <c r="CM31" s="128">
        <v>2660.7692000000002</v>
      </c>
      <c r="CN31" s="49">
        <f t="shared" si="35"/>
        <v>166.42752000000002</v>
      </c>
      <c r="CO31" s="49">
        <f t="shared" si="35"/>
        <v>205.67336800000004</v>
      </c>
      <c r="CP31" s="47">
        <f t="shared" si="35"/>
        <v>4.5396000000000006E-2</v>
      </c>
      <c r="CQ31" s="47">
        <f t="shared" si="83"/>
        <v>2.5091980467748846E-2</v>
      </c>
      <c r="CR31" s="48">
        <f t="shared" si="84"/>
        <v>166.45261198046776</v>
      </c>
      <c r="CS31" s="48">
        <f t="shared" si="85"/>
        <v>205.65306398046778</v>
      </c>
      <c r="CT31" s="93">
        <f t="shared" si="86"/>
        <v>166.4606689467594</v>
      </c>
      <c r="CU31" s="93">
        <f t="shared" si="87"/>
        <v>205.66112094675941</v>
      </c>
      <c r="CW31" s="128">
        <v>0.33329999999999999</v>
      </c>
      <c r="CX31" s="130">
        <v>0.28770000000000001</v>
      </c>
      <c r="CY31" s="128">
        <v>0.2001</v>
      </c>
      <c r="CZ31" s="128">
        <v>1423.3358000000001</v>
      </c>
      <c r="DA31" s="128">
        <v>1290.6507999999999</v>
      </c>
      <c r="DB31" s="49">
        <f t="shared" si="36"/>
        <v>71.562843000000001</v>
      </c>
      <c r="DC31" s="49">
        <f t="shared" si="36"/>
        <v>86.321508000000009</v>
      </c>
      <c r="DD31" s="47">
        <f t="shared" si="36"/>
        <v>5.4027000000000006E-2</v>
      </c>
      <c r="DE31" s="47">
        <f t="shared" si="88"/>
        <v>2.9538659678285666E-2</v>
      </c>
      <c r="DF31" s="48">
        <f t="shared" si="89"/>
        <v>71.592381659678281</v>
      </c>
      <c r="DG31" s="48">
        <f t="shared" si="90"/>
        <v>86.297019659678284</v>
      </c>
      <c r="DH31" s="93">
        <f t="shared" si="91"/>
        <v>71.585830198817987</v>
      </c>
      <c r="DI31" s="93">
        <f t="shared" si="92"/>
        <v>86.29046819881799</v>
      </c>
      <c r="DK31" s="128">
        <v>0.32350000000000001</v>
      </c>
      <c r="DL31" s="130">
        <v>0.31640000000000001</v>
      </c>
      <c r="DM31" s="128">
        <v>0.1545</v>
      </c>
      <c r="DN31" s="128">
        <v>424.79829999999998</v>
      </c>
      <c r="DO31" s="128">
        <v>376.97579999999999</v>
      </c>
      <c r="DP31" s="49">
        <f t="shared" si="37"/>
        <v>42.818460000000009</v>
      </c>
      <c r="DQ31" s="49">
        <f t="shared" si="37"/>
        <v>61.264532000000003</v>
      </c>
      <c r="DR31" s="47">
        <f t="shared" si="37"/>
        <v>2.9354999999999999E-2</v>
      </c>
      <c r="DS31" s="47">
        <f t="shared" si="93"/>
        <v>1.727871482460842E-2</v>
      </c>
      <c r="DT31" s="48">
        <f t="shared" si="94"/>
        <v>42.835738714824615</v>
      </c>
      <c r="DU31" s="48">
        <f t="shared" si="95"/>
        <v>61.252455714824606</v>
      </c>
      <c r="DV31" s="93">
        <f t="shared" si="96"/>
        <v>42.840586449530001</v>
      </c>
      <c r="DW31" s="93">
        <f t="shared" si="97"/>
        <v>61.257303449529992</v>
      </c>
      <c r="EB31" s="52"/>
      <c r="EC31" s="52"/>
      <c r="ED31" s="52"/>
      <c r="EE31" s="55">
        <f t="shared" si="98"/>
        <v>6684.7683000000006</v>
      </c>
      <c r="EF31" s="55">
        <f t="shared" si="98"/>
        <v>5957.205899999999</v>
      </c>
      <c r="EG31" s="55">
        <f t="shared" si="98"/>
        <v>1392.9970544</v>
      </c>
      <c r="EH31" s="55">
        <f t="shared" si="98"/>
        <v>2067.8607963999998</v>
      </c>
      <c r="EI31" s="298">
        <f t="shared" si="38"/>
        <v>0.5287756638516159</v>
      </c>
      <c r="EJ31" s="52"/>
      <c r="EK31" s="55">
        <f t="shared" si="99"/>
        <v>1419.7578722577853</v>
      </c>
      <c r="EL31" s="55">
        <f t="shared" si="99"/>
        <v>2039.439472657785</v>
      </c>
      <c r="EM31" s="55">
        <f t="shared" si="39"/>
        <v>1426.7349705983427</v>
      </c>
      <c r="EN31" s="55">
        <f t="shared" si="39"/>
        <v>2046.4165709983426</v>
      </c>
      <c r="EP31" s="52"/>
      <c r="EQ31" s="52"/>
      <c r="ER31" s="52"/>
      <c r="ES31" s="55">
        <f t="shared" si="40"/>
        <v>5314.8683000000001</v>
      </c>
      <c r="ET31" s="55">
        <f t="shared" si="40"/>
        <v>4788.4483</v>
      </c>
      <c r="EU31" s="55">
        <f t="shared" si="40"/>
        <v>1052.4240120999998</v>
      </c>
      <c r="EV31" s="55">
        <f t="shared" si="40"/>
        <v>1583.2768796</v>
      </c>
      <c r="EW31" s="298">
        <f t="shared" si="41"/>
        <v>0.5260518412339964</v>
      </c>
      <c r="EX31" s="52"/>
      <c r="EY31" s="55">
        <f t="shared" si="42"/>
        <v>1070.9414203123706</v>
      </c>
      <c r="EZ31" s="55">
        <f t="shared" si="42"/>
        <v>1571.7199019123707</v>
      </c>
      <c r="FA31" s="55">
        <f t="shared" si="42"/>
        <v>1088.4720459719499</v>
      </c>
      <c r="FB31" s="55">
        <f t="shared" si="42"/>
        <v>1589.25052757195</v>
      </c>
      <c r="FD31" s="52"/>
      <c r="FE31" s="52"/>
      <c r="FF31" s="52"/>
      <c r="FG31" s="55">
        <f t="shared" si="43"/>
        <v>4251.1408000000001</v>
      </c>
      <c r="FH31" s="55">
        <f t="shared" si="43"/>
        <v>3738.7866000000004</v>
      </c>
      <c r="FI31" s="55">
        <f t="shared" si="43"/>
        <v>701.18357600000002</v>
      </c>
      <c r="FJ31" s="55">
        <f t="shared" si="43"/>
        <v>1056.0229632</v>
      </c>
      <c r="FK31" s="298">
        <f t="shared" si="44"/>
        <v>0.53206250660049803</v>
      </c>
      <c r="FL31" s="52"/>
      <c r="FM31" s="55">
        <f t="shared" si="45"/>
        <v>738.05305271720033</v>
      </c>
      <c r="FN31" s="55">
        <f t="shared" si="45"/>
        <v>1032.9498939172004</v>
      </c>
      <c r="FO31" s="55">
        <f t="shared" si="45"/>
        <v>725.06729117855991</v>
      </c>
      <c r="FP31" s="55">
        <f t="shared" si="45"/>
        <v>1019.9641323785598</v>
      </c>
      <c r="FR31" s="52"/>
      <c r="FS31" s="52"/>
      <c r="FT31" s="52"/>
      <c r="FU31" s="55">
        <f t="shared" si="46"/>
        <v>4401.3950000000004</v>
      </c>
      <c r="FV31" s="55">
        <f t="shared" si="46"/>
        <v>3951.42</v>
      </c>
      <c r="FW31" s="55">
        <f t="shared" si="46"/>
        <v>223.67779440000001</v>
      </c>
      <c r="FX31" s="55">
        <f t="shared" si="46"/>
        <v>274.73057440000002</v>
      </c>
      <c r="FY31" s="298">
        <f t="shared" si="47"/>
        <v>0.5269355301176909</v>
      </c>
      <c r="FZ31" s="52"/>
      <c r="GA31" s="55">
        <f t="shared" si="48"/>
        <v>223.72651730821039</v>
      </c>
      <c r="GB31" s="55">
        <f t="shared" si="48"/>
        <v>274.69067970821038</v>
      </c>
      <c r="GC31" s="55">
        <f t="shared" si="48"/>
        <v>223.72933310581379</v>
      </c>
      <c r="GD31" s="55">
        <f t="shared" si="48"/>
        <v>274.69349550581381</v>
      </c>
      <c r="GF31" s="52"/>
      <c r="GG31" s="52"/>
      <c r="GH31" s="52"/>
      <c r="GI31" s="55">
        <f t="shared" si="49"/>
        <v>2074.8250000000003</v>
      </c>
      <c r="GJ31" s="55">
        <f t="shared" si="49"/>
        <v>1834.355</v>
      </c>
      <c r="GK31" s="56">
        <f t="shared" si="50"/>
        <v>188.23638899999997</v>
      </c>
      <c r="GL31" s="56">
        <f t="shared" si="50"/>
        <v>199.95222150000001</v>
      </c>
      <c r="GM31" s="298">
        <f t="shared" si="51"/>
        <v>0.5307570897221412</v>
      </c>
      <c r="GN31" s="52"/>
      <c r="GO31" s="56">
        <f t="shared" si="52"/>
        <v>183.7672997829186</v>
      </c>
      <c r="GP31" s="56">
        <f t="shared" si="52"/>
        <v>201.63394303291864</v>
      </c>
      <c r="GQ31" s="56">
        <f t="shared" si="52"/>
        <v>193.20362254310379</v>
      </c>
      <c r="GR31" s="56">
        <f t="shared" si="52"/>
        <v>211.07026579310389</v>
      </c>
    </row>
    <row r="32" spans="1:220" x14ac:dyDescent="0.2">
      <c r="A32" s="118">
        <v>22</v>
      </c>
      <c r="C32" s="128">
        <v>0.71850000000000003</v>
      </c>
      <c r="D32" s="128">
        <v>0.6623</v>
      </c>
      <c r="E32" s="128">
        <v>0.32579999999999998</v>
      </c>
      <c r="F32" s="128">
        <v>689.875</v>
      </c>
      <c r="G32" s="128">
        <v>452.11079999999998</v>
      </c>
      <c r="H32" s="49">
        <f t="shared" si="29"/>
        <v>719.52026999999998</v>
      </c>
      <c r="I32" s="49">
        <f t="shared" si="29"/>
        <v>1256.7804799999999</v>
      </c>
      <c r="J32" s="47">
        <f t="shared" si="29"/>
        <v>59.276051999999993</v>
      </c>
      <c r="K32" s="47">
        <f t="shared" si="53"/>
        <v>23.467317448747259</v>
      </c>
      <c r="L32" s="48">
        <f t="shared" si="54"/>
        <v>742.98758744874726</v>
      </c>
      <c r="M32" s="48">
        <f t="shared" si="55"/>
        <v>1220.9717454487472</v>
      </c>
      <c r="N32" s="93">
        <f t="shared" si="56"/>
        <v>734.54881715082627</v>
      </c>
      <c r="O32" s="93">
        <f t="shared" si="57"/>
        <v>1212.5329751508261</v>
      </c>
      <c r="Q32" s="128">
        <v>0.82210000000000005</v>
      </c>
      <c r="R32" s="130">
        <v>0.72689999999999999</v>
      </c>
      <c r="S32" s="128">
        <v>5.3100000000000001E-2</v>
      </c>
      <c r="T32" s="128">
        <v>166.10919999999999</v>
      </c>
      <c r="U32" s="128">
        <v>128.26580000000001</v>
      </c>
      <c r="V32" s="49">
        <f t="shared" si="30"/>
        <v>523.19266100000004</v>
      </c>
      <c r="W32" s="49">
        <f t="shared" si="30"/>
        <v>866.09408099999996</v>
      </c>
      <c r="X32" s="47">
        <f t="shared" si="30"/>
        <v>11.760057</v>
      </c>
      <c r="Y32" s="47">
        <f t="shared" si="58"/>
        <v>7.3313272573665831</v>
      </c>
      <c r="Z32" s="48">
        <f t="shared" si="59"/>
        <v>530.52398825736668</v>
      </c>
      <c r="AA32" s="48">
        <f t="shared" si="60"/>
        <v>861.66535125736664</v>
      </c>
      <c r="AB32" s="93">
        <f t="shared" si="61"/>
        <v>540.4915284795851</v>
      </c>
      <c r="AC32" s="93">
        <f t="shared" si="62"/>
        <v>871.63289147958506</v>
      </c>
      <c r="AE32" s="128">
        <v>0.66769999999999996</v>
      </c>
      <c r="AF32" s="130">
        <v>0.50119999999999998</v>
      </c>
      <c r="AG32" s="128">
        <v>0.2797</v>
      </c>
      <c r="AH32" s="128">
        <v>16.4617</v>
      </c>
      <c r="AI32" s="128">
        <v>18.215800000000002</v>
      </c>
      <c r="AJ32" s="49">
        <f t="shared" si="31"/>
        <v>307.19541599999997</v>
      </c>
      <c r="AK32" s="49">
        <f t="shared" si="31"/>
        <v>526.62587599999995</v>
      </c>
      <c r="AL32" s="47">
        <f t="shared" si="31"/>
        <v>46.147703</v>
      </c>
      <c r="AM32" s="47">
        <f t="shared" si="63"/>
        <v>29.146022955915154</v>
      </c>
      <c r="AN32" s="48">
        <f t="shared" si="64"/>
        <v>336.34143895591512</v>
      </c>
      <c r="AO32" s="48">
        <f t="shared" si="65"/>
        <v>509.62419595591513</v>
      </c>
      <c r="AP32" s="93">
        <f t="shared" si="66"/>
        <v>318.99785407785151</v>
      </c>
      <c r="AQ32" s="93">
        <f t="shared" si="67"/>
        <v>492.28061107785152</v>
      </c>
      <c r="AS32" s="128">
        <v>1.3017000000000001</v>
      </c>
      <c r="AT32" s="130">
        <v>0.87760000000000005</v>
      </c>
      <c r="AU32" s="128">
        <v>9.5899999999999999E-2</v>
      </c>
      <c r="AV32" s="128">
        <v>993.90170000000001</v>
      </c>
      <c r="AW32" s="128">
        <v>799.4325</v>
      </c>
      <c r="AX32" s="49">
        <f t="shared" si="32"/>
        <v>456.428088</v>
      </c>
      <c r="AY32" s="49">
        <f t="shared" si="32"/>
        <v>618.69044800000006</v>
      </c>
      <c r="AZ32" s="47">
        <f t="shared" si="32"/>
        <v>24.251192</v>
      </c>
      <c r="BA32" s="47">
        <f t="shared" si="68"/>
        <v>13.955652647229606</v>
      </c>
      <c r="BB32" s="48">
        <f t="shared" si="69"/>
        <v>470.38374064722962</v>
      </c>
      <c r="BC32" s="48">
        <f t="shared" si="70"/>
        <v>608.39490864722973</v>
      </c>
      <c r="BD32" s="93">
        <f t="shared" si="71"/>
        <v>475.08591834170267</v>
      </c>
      <c r="BE32" s="93">
        <f t="shared" si="72"/>
        <v>613.09708634170283</v>
      </c>
      <c r="BG32" s="128">
        <v>0.90439999999999998</v>
      </c>
      <c r="BH32" s="130">
        <v>0.83409999999999995</v>
      </c>
      <c r="BI32" s="128">
        <v>0.17150000000000001</v>
      </c>
      <c r="BJ32" s="128">
        <v>505.27330000000001</v>
      </c>
      <c r="BK32" s="128">
        <v>352.95749999999998</v>
      </c>
      <c r="BL32" s="49">
        <f t="shared" si="33"/>
        <v>297.02304800000002</v>
      </c>
      <c r="BM32" s="49">
        <f t="shared" si="33"/>
        <v>504.36358799999994</v>
      </c>
      <c r="BN32" s="47">
        <f t="shared" si="33"/>
        <v>36.450610000000005</v>
      </c>
      <c r="BO32" s="47">
        <f t="shared" si="73"/>
        <v>22.940687576413094</v>
      </c>
      <c r="BP32" s="48">
        <f t="shared" si="74"/>
        <v>319.96373557641311</v>
      </c>
      <c r="BQ32" s="48">
        <f t="shared" si="75"/>
        <v>490.85366557641305</v>
      </c>
      <c r="BR32" s="93">
        <f t="shared" si="76"/>
        <v>315.72297440643302</v>
      </c>
      <c r="BS32" s="93">
        <f t="shared" si="77"/>
        <v>486.61290440643296</v>
      </c>
      <c r="BU32" s="128">
        <v>0.7923</v>
      </c>
      <c r="BV32" s="130">
        <v>0.82110000000000005</v>
      </c>
      <c r="BW32" s="128">
        <v>0.35239999999999999</v>
      </c>
      <c r="BX32" s="128">
        <v>654.77170000000001</v>
      </c>
      <c r="BY32" s="128">
        <v>523.16920000000005</v>
      </c>
      <c r="BZ32" s="49">
        <f t="shared" si="34"/>
        <v>192.21197999999998</v>
      </c>
      <c r="CA32" s="49">
        <f t="shared" si="34"/>
        <v>331.82293200000004</v>
      </c>
      <c r="CB32" s="47">
        <f t="shared" si="34"/>
        <v>36.646076000000001</v>
      </c>
      <c r="CC32" s="47">
        <f t="shared" si="78"/>
        <v>23.204576844328326</v>
      </c>
      <c r="CD32" s="48">
        <f t="shared" si="79"/>
        <v>215.41655684432831</v>
      </c>
      <c r="CE32" s="48">
        <f t="shared" si="80"/>
        <v>318.38143284432834</v>
      </c>
      <c r="CF32" s="93">
        <f t="shared" si="81"/>
        <v>204.24683228423092</v>
      </c>
      <c r="CG32" s="93">
        <f t="shared" si="82"/>
        <v>307.21170828423095</v>
      </c>
      <c r="CI32" s="128">
        <v>0.74890000000000001</v>
      </c>
      <c r="CJ32" s="130">
        <v>0.7157</v>
      </c>
      <c r="CK32" s="128">
        <v>0.15970000000000001</v>
      </c>
      <c r="CL32" s="128">
        <v>2363.9007999999999</v>
      </c>
      <c r="CM32" s="128">
        <v>1901.0183</v>
      </c>
      <c r="CN32" s="49">
        <f t="shared" si="35"/>
        <v>158.97649200000001</v>
      </c>
      <c r="CO32" s="49">
        <f t="shared" si="35"/>
        <v>197.16103600000002</v>
      </c>
      <c r="CP32" s="47">
        <f t="shared" si="35"/>
        <v>6.2283000000000005E-2</v>
      </c>
      <c r="CQ32" s="47">
        <f t="shared" si="83"/>
        <v>3.4480446006768486E-2</v>
      </c>
      <c r="CR32" s="48">
        <f t="shared" si="84"/>
        <v>159.01097244600678</v>
      </c>
      <c r="CS32" s="48">
        <f t="shared" si="85"/>
        <v>197.13323344600678</v>
      </c>
      <c r="CT32" s="93">
        <f t="shared" si="86"/>
        <v>159.00964094675939</v>
      </c>
      <c r="CU32" s="93">
        <f t="shared" si="87"/>
        <v>197.1319019467594</v>
      </c>
      <c r="CW32" s="128">
        <v>0.28050000000000003</v>
      </c>
      <c r="CX32" s="130">
        <v>0.26919999999999999</v>
      </c>
      <c r="CY32" s="128">
        <v>0.25559999999999999</v>
      </c>
      <c r="CZ32" s="128">
        <v>991.89829999999995</v>
      </c>
      <c r="DA32" s="128">
        <v>763.51919999999996</v>
      </c>
      <c r="DB32" s="49">
        <f t="shared" si="36"/>
        <v>60.226155000000006</v>
      </c>
      <c r="DC32" s="49">
        <f t="shared" si="36"/>
        <v>80.770768000000004</v>
      </c>
      <c r="DD32" s="47">
        <f t="shared" si="36"/>
        <v>6.9012000000000004E-2</v>
      </c>
      <c r="DE32" s="47">
        <f t="shared" si="88"/>
        <v>3.9533857353865803E-2</v>
      </c>
      <c r="DF32" s="48">
        <f t="shared" si="89"/>
        <v>60.265688857353872</v>
      </c>
      <c r="DG32" s="48">
        <f t="shared" si="90"/>
        <v>80.741289857353863</v>
      </c>
      <c r="DH32" s="93">
        <f t="shared" si="91"/>
        <v>60.249142198817992</v>
      </c>
      <c r="DI32" s="93">
        <f t="shared" si="92"/>
        <v>80.72474319881799</v>
      </c>
      <c r="DK32" s="128">
        <v>0.27429999999999999</v>
      </c>
      <c r="DL32" s="130">
        <v>0.24709999999999999</v>
      </c>
      <c r="DM32" s="128">
        <v>0.20810000000000001</v>
      </c>
      <c r="DN32" s="128">
        <v>354.48079999999999</v>
      </c>
      <c r="DO32" s="128">
        <v>347.98579999999998</v>
      </c>
      <c r="DP32" s="49">
        <f t="shared" si="37"/>
        <v>36.306348</v>
      </c>
      <c r="DQ32" s="49">
        <f t="shared" si="37"/>
        <v>47.845972999999994</v>
      </c>
      <c r="DR32" s="47">
        <f t="shared" si="37"/>
        <v>3.9539000000000005E-2</v>
      </c>
      <c r="DS32" s="47">
        <f t="shared" si="93"/>
        <v>2.2480448595672126E-2</v>
      </c>
      <c r="DT32" s="48">
        <f t="shared" si="94"/>
        <v>36.328828448595672</v>
      </c>
      <c r="DU32" s="48">
        <f t="shared" si="95"/>
        <v>47.828914448595668</v>
      </c>
      <c r="DV32" s="93">
        <f t="shared" si="96"/>
        <v>36.328474449529992</v>
      </c>
      <c r="DW32" s="93">
        <f t="shared" si="97"/>
        <v>47.828560449529988</v>
      </c>
      <c r="EB32" s="52"/>
      <c r="EC32" s="52"/>
      <c r="ED32" s="52"/>
      <c r="EE32" s="55">
        <f t="shared" si="98"/>
        <v>5039.5757999999996</v>
      </c>
      <c r="EF32" s="55">
        <f t="shared" si="98"/>
        <v>3916.0807999999997</v>
      </c>
      <c r="EG32" s="55">
        <f t="shared" si="98"/>
        <v>1383.1057740000001</v>
      </c>
      <c r="EH32" s="55">
        <f t="shared" si="98"/>
        <v>2137.2485784</v>
      </c>
      <c r="EI32" s="298">
        <f t="shared" si="38"/>
        <v>0.56272543991916801</v>
      </c>
      <c r="EJ32" s="52"/>
      <c r="EK32" s="55">
        <f t="shared" si="99"/>
        <v>1420.5948516278668</v>
      </c>
      <c r="EL32" s="55">
        <f t="shared" si="99"/>
        <v>2091.0929194278669</v>
      </c>
      <c r="EM32" s="55">
        <f t="shared" si="39"/>
        <v>1416.8436901983428</v>
      </c>
      <c r="EN32" s="55">
        <f t="shared" si="39"/>
        <v>2087.3417579983429</v>
      </c>
      <c r="EP32" s="52"/>
      <c r="EQ32" s="52"/>
      <c r="ER32" s="52"/>
      <c r="ES32" s="55">
        <f t="shared" si="40"/>
        <v>4027.1815999999999</v>
      </c>
      <c r="ET32" s="55">
        <f t="shared" si="40"/>
        <v>3145.7608</v>
      </c>
      <c r="EU32" s="55">
        <f t="shared" si="40"/>
        <v>1021.3505095</v>
      </c>
      <c r="EV32" s="55">
        <f t="shared" si="40"/>
        <v>1624.1582425999998</v>
      </c>
      <c r="EW32" s="298">
        <f t="shared" si="41"/>
        <v>0.56144067182248669</v>
      </c>
      <c r="EX32" s="52"/>
      <c r="EY32" s="55">
        <f t="shared" si="42"/>
        <v>1051.6846784799343</v>
      </c>
      <c r="EZ32" s="55">
        <f t="shared" si="42"/>
        <v>1606.1711531799342</v>
      </c>
      <c r="FA32" s="55">
        <f t="shared" si="42"/>
        <v>1057.3985433719502</v>
      </c>
      <c r="FB32" s="55">
        <f t="shared" si="42"/>
        <v>1611.8850180719498</v>
      </c>
      <c r="FD32" s="52"/>
      <c r="FE32" s="52"/>
      <c r="FF32" s="52"/>
      <c r="FG32" s="55">
        <f t="shared" si="43"/>
        <v>3389.6149999999998</v>
      </c>
      <c r="FH32" s="55">
        <f t="shared" si="43"/>
        <v>2790.3890999999999</v>
      </c>
      <c r="FI32" s="55">
        <f t="shared" si="43"/>
        <v>680.16769679999993</v>
      </c>
      <c r="FJ32" s="55">
        <f t="shared" si="43"/>
        <v>1084.3174278000001</v>
      </c>
      <c r="FK32" s="298">
        <f t="shared" si="44"/>
        <v>0.54848102770676155</v>
      </c>
      <c r="FL32" s="52"/>
      <c r="FM32" s="55">
        <f t="shared" si="45"/>
        <v>732.56626531540758</v>
      </c>
      <c r="FN32" s="55">
        <f t="shared" si="45"/>
        <v>1053.8362109154077</v>
      </c>
      <c r="FO32" s="55">
        <f t="shared" si="45"/>
        <v>704.05141197855983</v>
      </c>
      <c r="FP32" s="55">
        <f t="shared" si="45"/>
        <v>1025.3213575785599</v>
      </c>
      <c r="FR32" s="52"/>
      <c r="FS32" s="52"/>
      <c r="FT32" s="52"/>
      <c r="FU32" s="55">
        <f t="shared" si="46"/>
        <v>3355.7990999999997</v>
      </c>
      <c r="FV32" s="55">
        <f t="shared" si="46"/>
        <v>2664.5374999999999</v>
      </c>
      <c r="FW32" s="55">
        <f t="shared" si="46"/>
        <v>207.15741600000001</v>
      </c>
      <c r="FX32" s="55">
        <f t="shared" si="46"/>
        <v>261.77765040000003</v>
      </c>
      <c r="FY32" s="298">
        <f t="shared" si="47"/>
        <v>0.55741054412140345</v>
      </c>
      <c r="FZ32" s="52"/>
      <c r="GA32" s="55">
        <f t="shared" si="48"/>
        <v>207.22352353188987</v>
      </c>
      <c r="GB32" s="55">
        <f t="shared" si="48"/>
        <v>261.72626533188986</v>
      </c>
      <c r="GC32" s="55">
        <f t="shared" si="48"/>
        <v>207.2089547058138</v>
      </c>
      <c r="GD32" s="55">
        <f t="shared" si="48"/>
        <v>261.71169650581379</v>
      </c>
      <c r="GF32" s="52"/>
      <c r="GG32" s="52"/>
      <c r="GH32" s="52"/>
      <c r="GI32" s="55">
        <f t="shared" si="49"/>
        <v>1648.6734000000001</v>
      </c>
      <c r="GJ32" s="55">
        <f t="shared" si="49"/>
        <v>1322.6017000000002</v>
      </c>
      <c r="GK32" s="56">
        <f t="shared" si="50"/>
        <v>198.162081</v>
      </c>
      <c r="GL32" s="56">
        <f t="shared" si="50"/>
        <v>215.15063700000002</v>
      </c>
      <c r="GM32" s="298">
        <f t="shared" si="51"/>
        <v>0.55487066815186514</v>
      </c>
      <c r="GN32" s="52"/>
      <c r="GO32" s="56">
        <f t="shared" si="52"/>
        <v>191.22538785217597</v>
      </c>
      <c r="GP32" s="56">
        <f t="shared" si="52"/>
        <v>217.51010685217602</v>
      </c>
      <c r="GQ32" s="56">
        <f t="shared" si="52"/>
        <v>203.12931454310379</v>
      </c>
      <c r="GR32" s="56">
        <f t="shared" si="52"/>
        <v>229.41403354310393</v>
      </c>
    </row>
    <row r="33" spans="1:200" x14ac:dyDescent="0.2">
      <c r="A33" s="118">
        <v>23</v>
      </c>
      <c r="C33" s="128">
        <v>0.71279999999999999</v>
      </c>
      <c r="D33" s="128">
        <v>0.68940000000000001</v>
      </c>
      <c r="E33" s="128">
        <v>0.45519999999999999</v>
      </c>
      <c r="F33" s="128">
        <v>686.63750000000005</v>
      </c>
      <c r="G33" s="128">
        <v>386.99250000000001</v>
      </c>
      <c r="H33" s="49">
        <f t="shared" si="29"/>
        <v>713.81217599999991</v>
      </c>
      <c r="I33" s="49">
        <f t="shared" si="29"/>
        <v>1308.20544</v>
      </c>
      <c r="J33" s="47">
        <f t="shared" si="29"/>
        <v>82.819087999999994</v>
      </c>
      <c r="K33" s="47">
        <f t="shared" si="53"/>
        <v>29.852338247664463</v>
      </c>
      <c r="L33" s="48">
        <f t="shared" si="54"/>
        <v>743.66451424766433</v>
      </c>
      <c r="M33" s="48">
        <f t="shared" si="55"/>
        <v>1255.2386902476644</v>
      </c>
      <c r="N33" s="93">
        <f t="shared" si="56"/>
        <v>728.84072315082619</v>
      </c>
      <c r="O33" s="93">
        <f t="shared" si="57"/>
        <v>1240.4148991508262</v>
      </c>
      <c r="Q33" s="128">
        <v>0.79169999999999996</v>
      </c>
      <c r="R33" s="130">
        <v>0.74939999999999996</v>
      </c>
      <c r="S33" s="128">
        <v>9.5200000000000007E-2</v>
      </c>
      <c r="T33" s="128">
        <v>155.0917</v>
      </c>
      <c r="U33" s="128">
        <v>103.72669999999999</v>
      </c>
      <c r="V33" s="49">
        <f t="shared" si="30"/>
        <v>503.84579699999995</v>
      </c>
      <c r="W33" s="49">
        <f t="shared" si="30"/>
        <v>892.90260599999999</v>
      </c>
      <c r="X33" s="47">
        <f t="shared" si="30"/>
        <v>21.083944000000002</v>
      </c>
      <c r="Y33" s="47">
        <f t="shared" si="58"/>
        <v>13.478382006324775</v>
      </c>
      <c r="Z33" s="48">
        <f t="shared" si="59"/>
        <v>517.3241790063247</v>
      </c>
      <c r="AA33" s="48">
        <f t="shared" si="60"/>
        <v>885.29704400632477</v>
      </c>
      <c r="AB33" s="93">
        <f t="shared" si="61"/>
        <v>521.144664479585</v>
      </c>
      <c r="AC33" s="93">
        <f t="shared" si="62"/>
        <v>889.11752947958507</v>
      </c>
      <c r="AE33" s="128">
        <v>0.64910000000000001</v>
      </c>
      <c r="AF33" s="130">
        <v>0.53580000000000005</v>
      </c>
      <c r="AG33" s="128">
        <v>0.34710000000000002</v>
      </c>
      <c r="AH33" s="128">
        <v>18.215</v>
      </c>
      <c r="AI33" s="128">
        <v>9.5832999999999995</v>
      </c>
      <c r="AJ33" s="49">
        <f t="shared" si="31"/>
        <v>298.63792799999999</v>
      </c>
      <c r="AK33" s="49">
        <f t="shared" si="31"/>
        <v>562.98113400000011</v>
      </c>
      <c r="AL33" s="47">
        <f t="shared" si="31"/>
        <v>57.268029000000006</v>
      </c>
      <c r="AM33" s="47">
        <f t="shared" si="63"/>
        <v>37.418879560913069</v>
      </c>
      <c r="AN33" s="48">
        <f t="shared" si="64"/>
        <v>336.05680756091306</v>
      </c>
      <c r="AO33" s="48">
        <f t="shared" si="65"/>
        <v>543.13198456091322</v>
      </c>
      <c r="AP33" s="93">
        <f t="shared" si="66"/>
        <v>310.44036607785154</v>
      </c>
      <c r="AQ33" s="93">
        <f t="shared" si="67"/>
        <v>517.51554307785159</v>
      </c>
      <c r="AS33" s="128">
        <v>1.3169999999999999</v>
      </c>
      <c r="AT33" s="130">
        <v>0.91900000000000004</v>
      </c>
      <c r="AU33" s="128">
        <v>0.1512</v>
      </c>
      <c r="AV33" s="128">
        <v>931.77170000000001</v>
      </c>
      <c r="AW33" s="128">
        <v>759.68920000000003</v>
      </c>
      <c r="AX33" s="49">
        <f t="shared" si="32"/>
        <v>461.79287999999997</v>
      </c>
      <c r="AY33" s="49">
        <f t="shared" si="32"/>
        <v>647.87662</v>
      </c>
      <c r="AZ33" s="47">
        <f t="shared" si="32"/>
        <v>38.235455999999999</v>
      </c>
      <c r="BA33" s="47">
        <f t="shared" si="68"/>
        <v>22.323635999222041</v>
      </c>
      <c r="BB33" s="48">
        <f t="shared" si="69"/>
        <v>484.11651599922203</v>
      </c>
      <c r="BC33" s="48">
        <f t="shared" si="70"/>
        <v>631.96479999922201</v>
      </c>
      <c r="BD33" s="93">
        <f t="shared" si="71"/>
        <v>480.45071034170263</v>
      </c>
      <c r="BE33" s="93">
        <f t="shared" si="72"/>
        <v>628.29899434170272</v>
      </c>
      <c r="BG33" s="128">
        <v>0.90620000000000001</v>
      </c>
      <c r="BH33" s="130">
        <v>0.87629999999999997</v>
      </c>
      <c r="BI33" s="128">
        <v>0.26490000000000002</v>
      </c>
      <c r="BJ33" s="128">
        <v>506.82749999999999</v>
      </c>
      <c r="BK33" s="128">
        <v>325.7475</v>
      </c>
      <c r="BL33" s="49">
        <f t="shared" si="33"/>
        <v>297.61420400000003</v>
      </c>
      <c r="BM33" s="49">
        <f t="shared" si="33"/>
        <v>529.88108399999999</v>
      </c>
      <c r="BN33" s="47">
        <f t="shared" si="33"/>
        <v>56.301846000000005</v>
      </c>
      <c r="BO33" s="47">
        <f t="shared" si="73"/>
        <v>36.05251126176934</v>
      </c>
      <c r="BP33" s="48">
        <f t="shared" si="74"/>
        <v>333.66671526176935</v>
      </c>
      <c r="BQ33" s="48">
        <f t="shared" si="75"/>
        <v>509.6317492617693</v>
      </c>
      <c r="BR33" s="93">
        <f t="shared" si="76"/>
        <v>316.31413040643304</v>
      </c>
      <c r="BS33" s="93">
        <f t="shared" si="77"/>
        <v>492.27916440643298</v>
      </c>
      <c r="BU33" s="128">
        <v>0.79369999999999996</v>
      </c>
      <c r="BV33" s="130">
        <v>0.84509999999999996</v>
      </c>
      <c r="BW33" s="128">
        <v>0.52010000000000001</v>
      </c>
      <c r="BX33" s="128">
        <v>731.8075</v>
      </c>
      <c r="BY33" s="128">
        <v>453.74419999999998</v>
      </c>
      <c r="BZ33" s="49">
        <f t="shared" si="34"/>
        <v>192.55161999999999</v>
      </c>
      <c r="CA33" s="49">
        <f t="shared" si="34"/>
        <v>341.52181200000001</v>
      </c>
      <c r="CB33" s="47">
        <f t="shared" si="34"/>
        <v>54.085198999999996</v>
      </c>
      <c r="CC33" s="47">
        <f t="shared" si="78"/>
        <v>34.58564695062492</v>
      </c>
      <c r="CD33" s="48">
        <f t="shared" si="79"/>
        <v>227.13726695062491</v>
      </c>
      <c r="CE33" s="48">
        <f t="shared" si="80"/>
        <v>322.02225995062497</v>
      </c>
      <c r="CF33" s="93">
        <f t="shared" si="81"/>
        <v>204.58647228423092</v>
      </c>
      <c r="CG33" s="93">
        <f t="shared" si="82"/>
        <v>299.47146528423093</v>
      </c>
      <c r="CI33" s="128">
        <v>0.7238</v>
      </c>
      <c r="CJ33" s="130">
        <v>0.68869999999999998</v>
      </c>
      <c r="CK33" s="128">
        <v>0.2198</v>
      </c>
      <c r="CL33" s="128">
        <v>2401.4949999999999</v>
      </c>
      <c r="CM33" s="128">
        <v>1761.8475000000001</v>
      </c>
      <c r="CN33" s="49">
        <f t="shared" si="35"/>
        <v>153.64826400000001</v>
      </c>
      <c r="CO33" s="49">
        <f t="shared" si="35"/>
        <v>189.72307600000002</v>
      </c>
      <c r="CP33" s="47">
        <f t="shared" si="35"/>
        <v>8.5722000000000007E-2</v>
      </c>
      <c r="CQ33" s="47">
        <f t="shared" si="83"/>
        <v>4.736400399891267E-2</v>
      </c>
      <c r="CR33" s="48">
        <f t="shared" si="84"/>
        <v>153.69562800399893</v>
      </c>
      <c r="CS33" s="48">
        <f t="shared" si="85"/>
        <v>189.68471800399894</v>
      </c>
      <c r="CT33" s="93">
        <f t="shared" si="86"/>
        <v>153.68141294675939</v>
      </c>
      <c r="CU33" s="93">
        <f t="shared" si="87"/>
        <v>189.6705029467594</v>
      </c>
      <c r="CW33" s="128">
        <v>0.26979999999999998</v>
      </c>
      <c r="CX33" s="130">
        <v>0.2843</v>
      </c>
      <c r="CY33" s="128">
        <v>0.32240000000000002</v>
      </c>
      <c r="CZ33" s="128">
        <v>1035.5017</v>
      </c>
      <c r="DA33" s="128">
        <v>709.00250000000005</v>
      </c>
      <c r="DB33" s="49">
        <f t="shared" si="36"/>
        <v>57.928758000000002</v>
      </c>
      <c r="DC33" s="49">
        <f t="shared" si="36"/>
        <v>85.301372000000001</v>
      </c>
      <c r="DD33" s="47">
        <f t="shared" si="36"/>
        <v>8.7048000000000014E-2</v>
      </c>
      <c r="DE33" s="47">
        <f t="shared" si="88"/>
        <v>5.1841842424188267E-2</v>
      </c>
      <c r="DF33" s="48">
        <f t="shared" si="89"/>
        <v>57.980599842424191</v>
      </c>
      <c r="DG33" s="48">
        <f t="shared" si="90"/>
        <v>85.266165842424186</v>
      </c>
      <c r="DH33" s="93">
        <f t="shared" si="91"/>
        <v>57.951745198817989</v>
      </c>
      <c r="DI33" s="93">
        <f t="shared" si="92"/>
        <v>85.237311198817991</v>
      </c>
      <c r="DK33" s="128">
        <v>0.27829999999999999</v>
      </c>
      <c r="DL33" s="130">
        <v>0.2276</v>
      </c>
      <c r="DM33" s="128">
        <v>0.2722</v>
      </c>
      <c r="DN33" s="128">
        <v>392.36500000000001</v>
      </c>
      <c r="DO33" s="128">
        <v>298.7158</v>
      </c>
      <c r="DP33" s="49">
        <f t="shared" si="37"/>
        <v>36.835788000000001</v>
      </c>
      <c r="DQ33" s="49">
        <f t="shared" si="37"/>
        <v>44.070188000000002</v>
      </c>
      <c r="DR33" s="47">
        <f t="shared" si="37"/>
        <v>5.1718E-2</v>
      </c>
      <c r="DS33" s="47">
        <f t="shared" si="93"/>
        <v>2.8171243901488809E-2</v>
      </c>
      <c r="DT33" s="48">
        <f t="shared" si="94"/>
        <v>36.86395924390149</v>
      </c>
      <c r="DU33" s="48">
        <f t="shared" si="95"/>
        <v>44.04664124390149</v>
      </c>
      <c r="DV33" s="93">
        <f t="shared" si="96"/>
        <v>36.857914449529993</v>
      </c>
      <c r="DW33" s="93">
        <f t="shared" si="97"/>
        <v>44.040596449529993</v>
      </c>
      <c r="EB33" s="52"/>
      <c r="EC33" s="52"/>
      <c r="ED33" s="52"/>
      <c r="EE33" s="55">
        <f t="shared" si="98"/>
        <v>5055.4058999999997</v>
      </c>
      <c r="EF33" s="55">
        <f t="shared" si="98"/>
        <v>3617.5317</v>
      </c>
      <c r="EG33" s="55">
        <f t="shared" si="98"/>
        <v>1375.5963263999997</v>
      </c>
      <c r="EH33" s="55">
        <f t="shared" si="98"/>
        <v>2214.0462336000001</v>
      </c>
      <c r="EI33" s="298">
        <f t="shared" si="38"/>
        <v>0.5828943010036185</v>
      </c>
      <c r="EJ33" s="52"/>
      <c r="EK33" s="55">
        <f t="shared" si="99"/>
        <v>1427.8611381248247</v>
      </c>
      <c r="EL33" s="55">
        <f t="shared" si="99"/>
        <v>2145.1011409248249</v>
      </c>
      <c r="EM33" s="55">
        <f t="shared" si="39"/>
        <v>1409.3342425983426</v>
      </c>
      <c r="EN33" s="55">
        <f t="shared" si="39"/>
        <v>2126.5742453983426</v>
      </c>
      <c r="EP33" s="52"/>
      <c r="EQ33" s="52"/>
      <c r="ER33" s="52"/>
      <c r="ES33" s="55">
        <f t="shared" si="40"/>
        <v>4098.9159</v>
      </c>
      <c r="ET33" s="55">
        <f t="shared" si="40"/>
        <v>2900.3242</v>
      </c>
      <c r="EU33" s="55">
        <f t="shared" si="40"/>
        <v>995.65839559999995</v>
      </c>
      <c r="EV33" s="55">
        <f t="shared" si="40"/>
        <v>1672.2177263999999</v>
      </c>
      <c r="EW33" s="298">
        <f t="shared" si="41"/>
        <v>0.58562298784406608</v>
      </c>
      <c r="EX33" s="52"/>
      <c r="EY33" s="55">
        <f t="shared" si="42"/>
        <v>1045.2729421617901</v>
      </c>
      <c r="EZ33" s="55">
        <f t="shared" si="42"/>
        <v>1644.29982736179</v>
      </c>
      <c r="FA33" s="55">
        <f t="shared" si="42"/>
        <v>1031.7064294719501</v>
      </c>
      <c r="FB33" s="55">
        <f t="shared" si="42"/>
        <v>1630.73331467195</v>
      </c>
      <c r="FD33" s="52"/>
      <c r="FE33" s="52"/>
      <c r="FF33" s="52"/>
      <c r="FG33" s="55">
        <f t="shared" si="43"/>
        <v>3543.8824999999997</v>
      </c>
      <c r="FH33" s="55">
        <f t="shared" si="43"/>
        <v>2523.8908000000001</v>
      </c>
      <c r="FI33" s="55">
        <f t="shared" si="43"/>
        <v>666.9392848</v>
      </c>
      <c r="FJ33" s="55">
        <f t="shared" si="43"/>
        <v>1120.6681348</v>
      </c>
      <c r="FK33" s="298">
        <f t="shared" si="44"/>
        <v>0.58404991827891783</v>
      </c>
      <c r="FL33" s="52"/>
      <c r="FM33" s="55">
        <f t="shared" si="45"/>
        <v>739.00807806187788</v>
      </c>
      <c r="FN33" s="55">
        <f t="shared" si="45"/>
        <v>1081.2669472618779</v>
      </c>
      <c r="FO33" s="55">
        <f t="shared" si="45"/>
        <v>690.82299997855989</v>
      </c>
      <c r="FP33" s="55">
        <f t="shared" si="45"/>
        <v>1033.0818691785598</v>
      </c>
      <c r="FR33" s="52"/>
      <c r="FS33" s="52"/>
      <c r="FT33" s="52"/>
      <c r="FU33" s="55">
        <f t="shared" si="46"/>
        <v>3436.9966999999997</v>
      </c>
      <c r="FV33" s="55">
        <f t="shared" si="46"/>
        <v>2470.8500000000004</v>
      </c>
      <c r="FW33" s="55">
        <f t="shared" si="46"/>
        <v>199.99127040000002</v>
      </c>
      <c r="FX33" s="55">
        <f t="shared" si="46"/>
        <v>257.96417360000004</v>
      </c>
      <c r="FY33" s="298">
        <f t="shared" si="47"/>
        <v>0.58176809157895037</v>
      </c>
      <c r="FZ33" s="52"/>
      <c r="GA33" s="55">
        <f t="shared" si="48"/>
        <v>200.0801078779383</v>
      </c>
      <c r="GB33" s="55">
        <f t="shared" si="48"/>
        <v>257.89765067793826</v>
      </c>
      <c r="GC33" s="55">
        <f t="shared" si="48"/>
        <v>200.04280910581377</v>
      </c>
      <c r="GD33" s="55">
        <f t="shared" si="48"/>
        <v>257.86035190581379</v>
      </c>
      <c r="GF33" s="52"/>
      <c r="GG33" s="52"/>
      <c r="GH33" s="52"/>
      <c r="GI33" s="55">
        <f t="shared" si="49"/>
        <v>1663.5792000000001</v>
      </c>
      <c r="GJ33" s="55">
        <f t="shared" si="49"/>
        <v>1213.4333999999999</v>
      </c>
      <c r="GK33" s="56">
        <f t="shared" si="50"/>
        <v>201.93094500000001</v>
      </c>
      <c r="GL33" s="56">
        <f t="shared" si="50"/>
        <v>229.76610599999998</v>
      </c>
      <c r="GM33" s="298">
        <f t="shared" si="51"/>
        <v>0.57823146134292225</v>
      </c>
      <c r="GN33" s="52"/>
      <c r="GO33" s="56">
        <f t="shared" si="52"/>
        <v>192.73443678644784</v>
      </c>
      <c r="GP33" s="56">
        <f t="shared" si="52"/>
        <v>232.45690503644778</v>
      </c>
      <c r="GQ33" s="56">
        <f t="shared" si="52"/>
        <v>206.89817854310377</v>
      </c>
      <c r="GR33" s="56">
        <f t="shared" si="52"/>
        <v>246.62064679310384</v>
      </c>
    </row>
    <row r="34" spans="1:200" x14ac:dyDescent="0.2">
      <c r="A34" s="118">
        <v>24</v>
      </c>
      <c r="C34" s="128">
        <v>0.70679999999999998</v>
      </c>
      <c r="D34" s="128">
        <v>0.71579999999999999</v>
      </c>
      <c r="E34" s="128">
        <v>0.60260000000000002</v>
      </c>
      <c r="F34" s="128">
        <v>806.77329999999995</v>
      </c>
      <c r="G34" s="128">
        <v>410.75749999999999</v>
      </c>
      <c r="H34" s="49">
        <f t="shared" si="29"/>
        <v>707.80365599999993</v>
      </c>
      <c r="I34" s="49">
        <f t="shared" si="29"/>
        <v>1358.3020799999999</v>
      </c>
      <c r="J34" s="47">
        <f t="shared" si="29"/>
        <v>109.637044</v>
      </c>
      <c r="K34" s="47">
        <f t="shared" si="53"/>
        <v>36.988171552481468</v>
      </c>
      <c r="L34" s="48">
        <f t="shared" si="54"/>
        <v>744.79182755248144</v>
      </c>
      <c r="M34" s="48">
        <f t="shared" si="55"/>
        <v>1285.6532075524813</v>
      </c>
      <c r="N34" s="93">
        <f t="shared" si="56"/>
        <v>722.83220315082622</v>
      </c>
      <c r="O34" s="93">
        <f t="shared" si="57"/>
        <v>1263.693583150826</v>
      </c>
      <c r="Q34" s="128">
        <v>0.76029999999999998</v>
      </c>
      <c r="R34" s="130">
        <v>0.77139999999999997</v>
      </c>
      <c r="S34" s="128">
        <v>0.1729</v>
      </c>
      <c r="T34" s="128">
        <v>162.4983</v>
      </c>
      <c r="U34" s="128">
        <v>126.9258</v>
      </c>
      <c r="V34" s="49">
        <f t="shared" si="30"/>
        <v>483.86252299999995</v>
      </c>
      <c r="W34" s="49">
        <f t="shared" si="30"/>
        <v>919.11538599999994</v>
      </c>
      <c r="X34" s="47">
        <f t="shared" si="30"/>
        <v>38.292163000000002</v>
      </c>
      <c r="Y34" s="47">
        <f t="shared" si="58"/>
        <v>25.085866249744292</v>
      </c>
      <c r="Z34" s="48">
        <f t="shared" si="59"/>
        <v>508.94838924974425</v>
      </c>
      <c r="AA34" s="48">
        <f t="shared" si="60"/>
        <v>905.90908924974428</v>
      </c>
      <c r="AB34" s="93">
        <f t="shared" si="61"/>
        <v>501.16139047958495</v>
      </c>
      <c r="AC34" s="93">
        <f t="shared" si="62"/>
        <v>898.12209047958504</v>
      </c>
      <c r="AE34" s="128">
        <v>0.62949999999999995</v>
      </c>
      <c r="AF34" s="130">
        <v>0.57120000000000004</v>
      </c>
      <c r="AG34" s="128">
        <v>0.42759999999999998</v>
      </c>
      <c r="AH34" s="128">
        <v>17.996700000000001</v>
      </c>
      <c r="AI34" s="128">
        <v>12.75</v>
      </c>
      <c r="AJ34" s="49">
        <f t="shared" si="31"/>
        <v>289.62035999999995</v>
      </c>
      <c r="AK34" s="49">
        <f t="shared" si="31"/>
        <v>600.17697600000008</v>
      </c>
      <c r="AL34" s="47">
        <f t="shared" si="31"/>
        <v>70.549723999999998</v>
      </c>
      <c r="AM34" s="47">
        <f t="shared" si="63"/>
        <v>47.586476487219585</v>
      </c>
      <c r="AN34" s="48">
        <f t="shared" si="64"/>
        <v>337.20683648721956</v>
      </c>
      <c r="AO34" s="48">
        <f t="shared" si="65"/>
        <v>577.21372848721967</v>
      </c>
      <c r="AP34" s="93">
        <f t="shared" si="66"/>
        <v>301.4227980778515</v>
      </c>
      <c r="AQ34" s="93">
        <f t="shared" si="67"/>
        <v>541.42969007785166</v>
      </c>
      <c r="AS34" s="128">
        <v>1.3138000000000001</v>
      </c>
      <c r="AT34" s="130">
        <v>0.9607</v>
      </c>
      <c r="AU34" s="128">
        <v>0.2326</v>
      </c>
      <c r="AV34" s="128">
        <v>1008.0783</v>
      </c>
      <c r="AW34" s="128">
        <v>700.13329999999996</v>
      </c>
      <c r="AX34" s="49">
        <f t="shared" si="32"/>
        <v>460.67083200000002</v>
      </c>
      <c r="AY34" s="49">
        <f t="shared" si="32"/>
        <v>677.27428599999996</v>
      </c>
      <c r="AZ34" s="47">
        <f t="shared" si="32"/>
        <v>58.819887999999999</v>
      </c>
      <c r="BA34" s="47">
        <f t="shared" si="68"/>
        <v>35.008013143741053</v>
      </c>
      <c r="BB34" s="48">
        <f t="shared" si="69"/>
        <v>495.67884514374106</v>
      </c>
      <c r="BC34" s="48">
        <f t="shared" si="70"/>
        <v>653.46241114374106</v>
      </c>
      <c r="BD34" s="93">
        <f t="shared" si="71"/>
        <v>479.32866234170268</v>
      </c>
      <c r="BE34" s="93">
        <f t="shared" si="72"/>
        <v>637.11222834170269</v>
      </c>
      <c r="BG34" s="128">
        <v>0.90390000000000004</v>
      </c>
      <c r="BH34" s="130">
        <v>0.91859999999999997</v>
      </c>
      <c r="BI34" s="128">
        <v>0.38600000000000001</v>
      </c>
      <c r="BJ34" s="128">
        <v>599.69330000000002</v>
      </c>
      <c r="BK34" s="128">
        <v>336.3075</v>
      </c>
      <c r="BL34" s="49">
        <f t="shared" si="33"/>
        <v>296.85883800000005</v>
      </c>
      <c r="BM34" s="49">
        <f t="shared" si="33"/>
        <v>555.45904799999994</v>
      </c>
      <c r="BN34" s="47">
        <f t="shared" si="33"/>
        <v>82.040440000000004</v>
      </c>
      <c r="BO34" s="47">
        <f t="shared" si="73"/>
        <v>53.466089880813684</v>
      </c>
      <c r="BP34" s="48">
        <f t="shared" si="74"/>
        <v>350.32492788081373</v>
      </c>
      <c r="BQ34" s="48">
        <f t="shared" si="75"/>
        <v>526.88469788081363</v>
      </c>
      <c r="BR34" s="93">
        <f t="shared" si="76"/>
        <v>315.55876440643306</v>
      </c>
      <c r="BS34" s="93">
        <f t="shared" si="77"/>
        <v>492.11853440643296</v>
      </c>
      <c r="BU34" s="128">
        <v>0.80649999999999999</v>
      </c>
      <c r="BV34" s="130">
        <v>0.87270000000000003</v>
      </c>
      <c r="BW34" s="128">
        <v>0.73219999999999996</v>
      </c>
      <c r="BX34" s="128">
        <v>1017.1092</v>
      </c>
      <c r="BY34" s="128">
        <v>574.54830000000004</v>
      </c>
      <c r="BZ34" s="49">
        <f t="shared" si="34"/>
        <v>195.65690000000001</v>
      </c>
      <c r="CA34" s="49">
        <f t="shared" si="34"/>
        <v>352.675524</v>
      </c>
      <c r="CB34" s="47">
        <f t="shared" si="34"/>
        <v>76.141477999999992</v>
      </c>
      <c r="CC34" s="47">
        <f t="shared" si="78"/>
        <v>48.972547448305683</v>
      </c>
      <c r="CD34" s="48">
        <f t="shared" si="79"/>
        <v>244.62944744830568</v>
      </c>
      <c r="CE34" s="48">
        <f t="shared" si="80"/>
        <v>325.50659344830569</v>
      </c>
      <c r="CF34" s="93">
        <f t="shared" si="81"/>
        <v>207.69175228423094</v>
      </c>
      <c r="CG34" s="93">
        <f t="shared" si="82"/>
        <v>288.5688982842309</v>
      </c>
      <c r="CI34" s="128">
        <v>0.71020000000000005</v>
      </c>
      <c r="CJ34" s="130">
        <v>0.6694</v>
      </c>
      <c r="CK34" s="128">
        <v>0.3024</v>
      </c>
      <c r="CL34" s="128">
        <v>2878.6992</v>
      </c>
      <c r="CM34" s="128">
        <v>1839.0882999999999</v>
      </c>
      <c r="CN34" s="49">
        <f t="shared" si="35"/>
        <v>150.761256</v>
      </c>
      <c r="CO34" s="49">
        <f t="shared" si="35"/>
        <v>184.40631200000001</v>
      </c>
      <c r="CP34" s="47">
        <f t="shared" si="35"/>
        <v>0.117936</v>
      </c>
      <c r="CQ34" s="47">
        <f t="shared" si="83"/>
        <v>6.4887372432263488E-2</v>
      </c>
      <c r="CR34" s="48">
        <f t="shared" si="84"/>
        <v>150.82614337243226</v>
      </c>
      <c r="CS34" s="48">
        <f t="shared" si="85"/>
        <v>184.35326337243228</v>
      </c>
      <c r="CT34" s="93">
        <f t="shared" si="86"/>
        <v>150.79440494675939</v>
      </c>
      <c r="CU34" s="93">
        <f t="shared" si="87"/>
        <v>184.32152494675941</v>
      </c>
      <c r="CW34" s="128">
        <v>0.28599999999999998</v>
      </c>
      <c r="CX34" s="130">
        <v>0.31740000000000002</v>
      </c>
      <c r="CY34" s="128">
        <v>0.40060000000000001</v>
      </c>
      <c r="CZ34" s="128">
        <v>1124.6242</v>
      </c>
      <c r="DA34" s="128">
        <v>701.91579999999999</v>
      </c>
      <c r="DB34" s="49">
        <f t="shared" si="36"/>
        <v>61.407059999999994</v>
      </c>
      <c r="DC34" s="49">
        <f t="shared" si="36"/>
        <v>95.232696000000004</v>
      </c>
      <c r="DD34" s="47">
        <f t="shared" si="36"/>
        <v>0.10816200000000001</v>
      </c>
      <c r="DE34" s="47">
        <f t="shared" si="88"/>
        <v>6.5759543603681317E-2</v>
      </c>
      <c r="DF34" s="48">
        <f t="shared" si="89"/>
        <v>61.472819543603677</v>
      </c>
      <c r="DG34" s="48">
        <f t="shared" si="90"/>
        <v>95.190293543603687</v>
      </c>
      <c r="DH34" s="93">
        <f t="shared" si="91"/>
        <v>61.430047198817981</v>
      </c>
      <c r="DI34" s="93">
        <f t="shared" si="92"/>
        <v>95.147521198817998</v>
      </c>
      <c r="DK34" s="128">
        <v>0.30470000000000003</v>
      </c>
      <c r="DL34" s="130">
        <v>0.23799999999999999</v>
      </c>
      <c r="DM34" s="128">
        <v>0.34639999999999999</v>
      </c>
      <c r="DN34" s="128">
        <v>510.26249999999999</v>
      </c>
      <c r="DO34" s="128">
        <v>325.62920000000003</v>
      </c>
      <c r="DP34" s="49">
        <f t="shared" si="37"/>
        <v>40.330092000000008</v>
      </c>
      <c r="DQ34" s="49">
        <f t="shared" si="37"/>
        <v>46.083939999999998</v>
      </c>
      <c r="DR34" s="47">
        <f t="shared" si="37"/>
        <v>6.5816E-2</v>
      </c>
      <c r="DS34" s="47">
        <f t="shared" si="93"/>
        <v>3.5099167633330659E-2</v>
      </c>
      <c r="DT34" s="48">
        <f t="shared" si="94"/>
        <v>40.365191167633341</v>
      </c>
      <c r="DU34" s="48">
        <f t="shared" si="95"/>
        <v>46.053223167633334</v>
      </c>
      <c r="DV34" s="93">
        <f t="shared" si="96"/>
        <v>40.35221844953</v>
      </c>
      <c r="DW34" s="93">
        <f t="shared" si="97"/>
        <v>46.040250449529992</v>
      </c>
      <c r="EB34" s="52"/>
      <c r="EC34" s="52"/>
      <c r="ED34" s="52"/>
      <c r="EE34" s="55">
        <f t="shared" si="98"/>
        <v>5818.1750000000002</v>
      </c>
      <c r="EF34" s="55">
        <f t="shared" si="98"/>
        <v>3651.8948999999993</v>
      </c>
      <c r="EG34" s="55">
        <f t="shared" si="98"/>
        <v>1368.3613919999998</v>
      </c>
      <c r="EH34" s="55">
        <f t="shared" si="98"/>
        <v>2296.1688347999998</v>
      </c>
      <c r="EI34" s="298">
        <f t="shared" si="38"/>
        <v>0.61437508502445171</v>
      </c>
      <c r="EJ34" s="52"/>
      <c r="EK34" s="55">
        <f t="shared" si="99"/>
        <v>1440.4750717035377</v>
      </c>
      <c r="EL34" s="55">
        <f t="shared" si="99"/>
        <v>2199.6211169035378</v>
      </c>
      <c r="EM34" s="55">
        <f t="shared" si="39"/>
        <v>1402.0993081983427</v>
      </c>
      <c r="EN34" s="55">
        <f t="shared" si="39"/>
        <v>2161.2453533983426</v>
      </c>
      <c r="EP34" s="52"/>
      <c r="EQ34" s="52"/>
      <c r="ER34" s="52"/>
      <c r="ES34" s="55">
        <f t="shared" si="40"/>
        <v>4765.5150000000003</v>
      </c>
      <c r="ET34" s="55">
        <f t="shared" si="40"/>
        <v>3004.2374</v>
      </c>
      <c r="EU34" s="55">
        <f t="shared" si="40"/>
        <v>974.46755900000005</v>
      </c>
      <c r="EV34" s="55">
        <f t="shared" si="40"/>
        <v>1725.6436331999998</v>
      </c>
      <c r="EW34" s="298">
        <f t="shared" si="41"/>
        <v>0.61334193866975739</v>
      </c>
      <c r="EX34" s="52"/>
      <c r="EY34" s="55">
        <f t="shared" si="42"/>
        <v>1053.1304341835128</v>
      </c>
      <c r="EZ34" s="55">
        <f t="shared" si="42"/>
        <v>1683.7802559835129</v>
      </c>
      <c r="FA34" s="55">
        <f t="shared" si="42"/>
        <v>1010.51559287195</v>
      </c>
      <c r="FB34" s="55">
        <f t="shared" si="42"/>
        <v>1641.16541467195</v>
      </c>
      <c r="FD34" s="52"/>
      <c r="FE34" s="52"/>
      <c r="FF34" s="52"/>
      <c r="FG34" s="55">
        <f t="shared" si="43"/>
        <v>4424.0676000000003</v>
      </c>
      <c r="FH34" s="55">
        <f t="shared" si="43"/>
        <v>2752.0157999999997</v>
      </c>
      <c r="FI34" s="55">
        <f t="shared" si="43"/>
        <v>660.23657119999996</v>
      </c>
      <c r="FJ34" s="55">
        <f t="shared" si="43"/>
        <v>1164.9091760000001</v>
      </c>
      <c r="FK34" s="298">
        <f t="shared" si="44"/>
        <v>0.61650169784816056</v>
      </c>
      <c r="FL34" s="52"/>
      <c r="FM34" s="55">
        <f t="shared" si="45"/>
        <v>756.88154200853751</v>
      </c>
      <c r="FN34" s="55">
        <f t="shared" si="45"/>
        <v>1114.7055192085377</v>
      </c>
      <c r="FO34" s="55">
        <f t="shared" si="45"/>
        <v>684.12028637855985</v>
      </c>
      <c r="FP34" s="55">
        <f t="shared" si="45"/>
        <v>1041.9442635785599</v>
      </c>
      <c r="FR34" s="52"/>
      <c r="FS34" s="52"/>
      <c r="FT34" s="52"/>
      <c r="FU34" s="55">
        <f t="shared" si="46"/>
        <v>4003.3234000000002</v>
      </c>
      <c r="FV34" s="55">
        <f t="shared" si="46"/>
        <v>2541.0041000000001</v>
      </c>
      <c r="FW34" s="55">
        <f t="shared" si="46"/>
        <v>199.88690400000002</v>
      </c>
      <c r="FX34" s="55">
        <f t="shared" si="46"/>
        <v>260.59246880000001</v>
      </c>
      <c r="FY34" s="298">
        <f t="shared" si="47"/>
        <v>0.61172418403571638</v>
      </c>
      <c r="FZ34" s="52"/>
      <c r="GA34" s="55">
        <f t="shared" si="48"/>
        <v>200.00439900731521</v>
      </c>
      <c r="GB34" s="55">
        <f t="shared" si="48"/>
        <v>260.50549820731521</v>
      </c>
      <c r="GC34" s="55">
        <f t="shared" si="48"/>
        <v>199.93844270581377</v>
      </c>
      <c r="GD34" s="55">
        <f t="shared" si="48"/>
        <v>260.43954190581383</v>
      </c>
      <c r="GF34" s="52"/>
      <c r="GG34" s="52"/>
      <c r="GH34" s="52"/>
      <c r="GI34" s="55">
        <f t="shared" si="49"/>
        <v>2025.1875</v>
      </c>
      <c r="GJ34" s="55">
        <f t="shared" si="49"/>
        <v>1274.6815999999999</v>
      </c>
      <c r="GK34" s="56">
        <f t="shared" si="50"/>
        <v>198.76044899999999</v>
      </c>
      <c r="GL34" s="56">
        <f t="shared" si="50"/>
        <v>243.44907149999997</v>
      </c>
      <c r="GM34" s="298">
        <f t="shared" si="51"/>
        <v>0.61371752594671103</v>
      </c>
      <c r="GN34" s="52"/>
      <c r="GO34" s="56">
        <f t="shared" si="52"/>
        <v>188.28704827157654</v>
      </c>
      <c r="GP34" s="56">
        <f t="shared" si="52"/>
        <v>245.96686327157653</v>
      </c>
      <c r="GQ34" s="56">
        <f t="shared" si="52"/>
        <v>203.72768254310378</v>
      </c>
      <c r="GR34" s="56">
        <f t="shared" si="52"/>
        <v>261.40749754310383</v>
      </c>
    </row>
    <row r="35" spans="1:200" x14ac:dyDescent="0.2">
      <c r="A35" s="118">
        <v>25</v>
      </c>
      <c r="C35" s="128">
        <v>0.70120000000000005</v>
      </c>
      <c r="D35" s="128">
        <v>0.7419</v>
      </c>
      <c r="E35" s="128">
        <v>0.76239999999999997</v>
      </c>
      <c r="F35" s="128">
        <v>991.49580000000003</v>
      </c>
      <c r="G35" s="128">
        <v>420.17</v>
      </c>
      <c r="H35" s="49">
        <f t="shared" si="29"/>
        <v>702.19570399999998</v>
      </c>
      <c r="I35" s="49">
        <f t="shared" si="29"/>
        <v>1407.82944</v>
      </c>
      <c r="J35" s="47">
        <f t="shared" si="29"/>
        <v>138.71105599999999</v>
      </c>
      <c r="K35" s="47">
        <f t="shared" si="53"/>
        <v>41.286134720781646</v>
      </c>
      <c r="L35" s="48">
        <f t="shared" si="54"/>
        <v>743.48183872078164</v>
      </c>
      <c r="M35" s="48">
        <f t="shared" si="55"/>
        <v>1310.4045187207814</v>
      </c>
      <c r="N35" s="93">
        <f t="shared" si="56"/>
        <v>717.22425115082626</v>
      </c>
      <c r="O35" s="93">
        <f t="shared" si="57"/>
        <v>1284.146931150826</v>
      </c>
      <c r="Q35" s="128">
        <v>0.72929999999999995</v>
      </c>
      <c r="R35" s="130">
        <v>0.79320000000000002</v>
      </c>
      <c r="S35" s="128">
        <v>0.30780000000000002</v>
      </c>
      <c r="T35" s="128">
        <v>174.30330000000001</v>
      </c>
      <c r="U35" s="128">
        <v>97.969200000000001</v>
      </c>
      <c r="V35" s="49">
        <f t="shared" si="30"/>
        <v>464.13381299999992</v>
      </c>
      <c r="W35" s="49">
        <f t="shared" si="30"/>
        <v>945.08986800000002</v>
      </c>
      <c r="X35" s="47">
        <f t="shared" si="30"/>
        <v>68.168466000000009</v>
      </c>
      <c r="Y35" s="47">
        <f t="shared" si="58"/>
        <v>45.716891791078623</v>
      </c>
      <c r="Z35" s="48">
        <f t="shared" si="59"/>
        <v>509.85070479107856</v>
      </c>
      <c r="AA35" s="48">
        <f t="shared" si="60"/>
        <v>922.63829379107869</v>
      </c>
      <c r="AB35" s="93">
        <f t="shared" si="61"/>
        <v>481.43268047958492</v>
      </c>
      <c r="AC35" s="93">
        <f t="shared" si="62"/>
        <v>894.22026947958511</v>
      </c>
      <c r="AE35" s="128">
        <v>0.61</v>
      </c>
      <c r="AF35" s="130">
        <v>0.60729999999999995</v>
      </c>
      <c r="AG35" s="128">
        <v>0.52759999999999996</v>
      </c>
      <c r="AH35" s="128">
        <v>14.8467</v>
      </c>
      <c r="AI35" s="128">
        <v>10.341699999999999</v>
      </c>
      <c r="AJ35" s="49">
        <f t="shared" si="31"/>
        <v>280.64879999999999</v>
      </c>
      <c r="AK35" s="49">
        <f t="shared" si="31"/>
        <v>638.10832899999991</v>
      </c>
      <c r="AL35" s="47">
        <f t="shared" si="31"/>
        <v>87.048723999999993</v>
      </c>
      <c r="AM35" s="47">
        <f t="shared" si="63"/>
        <v>60.458323598185864</v>
      </c>
      <c r="AN35" s="48">
        <f t="shared" si="64"/>
        <v>341.10712359818586</v>
      </c>
      <c r="AO35" s="48">
        <f t="shared" si="65"/>
        <v>611.51792859818579</v>
      </c>
      <c r="AP35" s="93">
        <f t="shared" si="66"/>
        <v>292.45123807785154</v>
      </c>
      <c r="AQ35" s="93">
        <f t="shared" si="67"/>
        <v>562.86204307785147</v>
      </c>
      <c r="AS35" s="128">
        <v>1.2921</v>
      </c>
      <c r="AT35" s="130">
        <v>1.0025999999999999</v>
      </c>
      <c r="AU35" s="128">
        <v>0.34760000000000002</v>
      </c>
      <c r="AV35" s="128">
        <v>1037.78</v>
      </c>
      <c r="AW35" s="128">
        <v>790.26750000000004</v>
      </c>
      <c r="AX35" s="49">
        <f t="shared" si="32"/>
        <v>453.06194399999998</v>
      </c>
      <c r="AY35" s="49">
        <f t="shared" si="32"/>
        <v>706.81294800000001</v>
      </c>
      <c r="AZ35" s="47">
        <f t="shared" si="32"/>
        <v>87.901088000000001</v>
      </c>
      <c r="BA35" s="47">
        <f t="shared" si="68"/>
        <v>53.565800561951832</v>
      </c>
      <c r="BB35" s="48">
        <f t="shared" si="69"/>
        <v>506.62774456195183</v>
      </c>
      <c r="BC35" s="48">
        <f t="shared" si="70"/>
        <v>672.47766056195189</v>
      </c>
      <c r="BD35" s="93">
        <f t="shared" si="71"/>
        <v>471.71977434170265</v>
      </c>
      <c r="BE35" s="93">
        <f t="shared" si="72"/>
        <v>637.56969034170277</v>
      </c>
      <c r="BG35" s="128">
        <v>0.8982</v>
      </c>
      <c r="BH35" s="130">
        <v>0.96109999999999995</v>
      </c>
      <c r="BI35" s="128">
        <v>0.53769999999999996</v>
      </c>
      <c r="BJ35" s="128">
        <v>698.96749999999997</v>
      </c>
      <c r="BK35" s="128">
        <v>367.47</v>
      </c>
      <c r="BL35" s="49">
        <f t="shared" si="33"/>
        <v>294.98684400000002</v>
      </c>
      <c r="BM35" s="49">
        <f t="shared" si="33"/>
        <v>581.15794799999992</v>
      </c>
      <c r="BN35" s="47">
        <f t="shared" si="33"/>
        <v>114.28275799999999</v>
      </c>
      <c r="BO35" s="47">
        <f t="shared" si="73"/>
        <v>75.805202219430157</v>
      </c>
      <c r="BP35" s="48">
        <f t="shared" si="74"/>
        <v>370.79204621943018</v>
      </c>
      <c r="BQ35" s="48">
        <f t="shared" si="75"/>
        <v>542.68039221943013</v>
      </c>
      <c r="BR35" s="93">
        <f t="shared" si="76"/>
        <v>313.68677040643303</v>
      </c>
      <c r="BS35" s="93">
        <f t="shared" si="77"/>
        <v>485.57511640643293</v>
      </c>
      <c r="BU35" s="128">
        <v>0.83199999999999996</v>
      </c>
      <c r="BV35" s="130">
        <v>0.90549999999999997</v>
      </c>
      <c r="BW35" s="128">
        <v>0.98609999999999998</v>
      </c>
      <c r="BX35" s="128">
        <v>1290.6875</v>
      </c>
      <c r="BY35" s="128">
        <v>656.28499999999997</v>
      </c>
      <c r="BZ35" s="49">
        <f t="shared" si="34"/>
        <v>201.8432</v>
      </c>
      <c r="CA35" s="49">
        <f t="shared" si="34"/>
        <v>365.93065999999999</v>
      </c>
      <c r="CB35" s="47">
        <f t="shared" si="34"/>
        <v>102.54453899999999</v>
      </c>
      <c r="CC35" s="47">
        <f t="shared" si="78"/>
        <v>66.090028934522863</v>
      </c>
      <c r="CD35" s="48">
        <f t="shared" si="79"/>
        <v>267.93322893452284</v>
      </c>
      <c r="CE35" s="48">
        <f t="shared" si="80"/>
        <v>329.47614993452288</v>
      </c>
      <c r="CF35" s="93">
        <f t="shared" si="81"/>
        <v>213.87805228423093</v>
      </c>
      <c r="CG35" s="93">
        <f t="shared" si="82"/>
        <v>275.42097328423091</v>
      </c>
      <c r="CI35" s="128">
        <v>0.70760000000000001</v>
      </c>
      <c r="CJ35" s="130">
        <v>0.65990000000000004</v>
      </c>
      <c r="CK35" s="128">
        <v>0.41199999999999998</v>
      </c>
      <c r="CL35" s="128">
        <v>3300.9158000000002</v>
      </c>
      <c r="CM35" s="128">
        <v>2057.7550000000001</v>
      </c>
      <c r="CN35" s="49">
        <f t="shared" si="35"/>
        <v>150.209328</v>
      </c>
      <c r="CO35" s="49">
        <f t="shared" si="35"/>
        <v>181.78925200000003</v>
      </c>
      <c r="CP35" s="47">
        <f t="shared" si="35"/>
        <v>0.16067999999999999</v>
      </c>
      <c r="CQ35" s="47">
        <f t="shared" si="83"/>
        <v>8.7981993812624129E-2</v>
      </c>
      <c r="CR35" s="48">
        <f t="shared" si="84"/>
        <v>150.29730999381263</v>
      </c>
      <c r="CS35" s="48">
        <f t="shared" si="85"/>
        <v>181.71655399381265</v>
      </c>
      <c r="CT35" s="93">
        <f t="shared" si="86"/>
        <v>150.24247694675938</v>
      </c>
      <c r="CU35" s="93">
        <f t="shared" si="87"/>
        <v>181.6617209467594</v>
      </c>
      <c r="CW35" s="128">
        <v>0.31859999999999999</v>
      </c>
      <c r="CX35" s="130">
        <v>0.3574</v>
      </c>
      <c r="CY35" s="128">
        <v>0.48959999999999998</v>
      </c>
      <c r="CZ35" s="128">
        <v>1318.4183</v>
      </c>
      <c r="DA35" s="128">
        <v>617.42750000000001</v>
      </c>
      <c r="DB35" s="49">
        <f t="shared" si="36"/>
        <v>68.406605999999996</v>
      </c>
      <c r="DC35" s="49">
        <f t="shared" si="36"/>
        <v>107.234296</v>
      </c>
      <c r="DD35" s="47">
        <f t="shared" si="36"/>
        <v>0.132192</v>
      </c>
      <c r="DE35" s="47">
        <f t="shared" si="88"/>
        <v>8.0707374509110655E-2</v>
      </c>
      <c r="DF35" s="48">
        <f t="shared" si="89"/>
        <v>68.487313374509114</v>
      </c>
      <c r="DG35" s="48">
        <f t="shared" si="90"/>
        <v>107.18281137450911</v>
      </c>
      <c r="DH35" s="93">
        <f t="shared" si="91"/>
        <v>68.429593198817983</v>
      </c>
      <c r="DI35" s="93">
        <f t="shared" si="92"/>
        <v>107.12509119881798</v>
      </c>
      <c r="DK35" s="128">
        <v>0.33550000000000002</v>
      </c>
      <c r="DL35" s="130">
        <v>0.26400000000000001</v>
      </c>
      <c r="DM35" s="128">
        <v>0.43009999999999998</v>
      </c>
      <c r="DN35" s="128">
        <v>640.30330000000004</v>
      </c>
      <c r="DO35" s="128">
        <v>380.93579999999997</v>
      </c>
      <c r="DP35" s="49">
        <f t="shared" si="37"/>
        <v>44.406780000000005</v>
      </c>
      <c r="DQ35" s="49">
        <f t="shared" si="37"/>
        <v>51.118320000000004</v>
      </c>
      <c r="DR35" s="47">
        <f t="shared" si="37"/>
        <v>8.1719E-2</v>
      </c>
      <c r="DS35" s="47">
        <f t="shared" si="93"/>
        <v>4.3730265575016407E-2</v>
      </c>
      <c r="DT35" s="48">
        <f t="shared" si="94"/>
        <v>44.450510265575019</v>
      </c>
      <c r="DU35" s="48">
        <f t="shared" si="95"/>
        <v>51.080331265575019</v>
      </c>
      <c r="DV35" s="93">
        <f t="shared" si="96"/>
        <v>44.428906449529997</v>
      </c>
      <c r="DW35" s="93">
        <f t="shared" si="97"/>
        <v>51.058727449529997</v>
      </c>
      <c r="EB35" s="52"/>
      <c r="EC35" s="52"/>
      <c r="ED35" s="52"/>
      <c r="EE35" s="55">
        <f t="shared" si="98"/>
        <v>6648.6099000000004</v>
      </c>
      <c r="EF35" s="55">
        <f t="shared" si="98"/>
        <v>3885.62</v>
      </c>
      <c r="EG35" s="55">
        <f t="shared" si="98"/>
        <v>1360.1922608</v>
      </c>
      <c r="EH35" s="55">
        <f t="shared" si="98"/>
        <v>2382.2190768</v>
      </c>
      <c r="EI35" s="298">
        <f t="shared" si="38"/>
        <v>0.63114342131454715</v>
      </c>
      <c r="EJ35" s="52"/>
      <c r="EK35" s="55">
        <f t="shared" si="99"/>
        <v>1455.1967439761534</v>
      </c>
      <c r="EL35" s="55">
        <f t="shared" si="99"/>
        <v>2250.3449823761534</v>
      </c>
      <c r="EM35" s="55">
        <f t="shared" si="39"/>
        <v>1393.9301769983426</v>
      </c>
      <c r="EN35" s="55">
        <f t="shared" si="39"/>
        <v>2189.0784153983427</v>
      </c>
      <c r="EP35" s="52"/>
      <c r="EQ35" s="52"/>
      <c r="ER35" s="52"/>
      <c r="ES35" s="55">
        <f t="shared" si="40"/>
        <v>5492.6049000000003</v>
      </c>
      <c r="ET35" s="55">
        <f t="shared" si="40"/>
        <v>3140.6216999999997</v>
      </c>
      <c r="EU35" s="55">
        <f t="shared" si="40"/>
        <v>957.21460919999993</v>
      </c>
      <c r="EV35" s="55">
        <f t="shared" si="40"/>
        <v>1783.1010752000002</v>
      </c>
      <c r="EW35" s="298">
        <f t="shared" si="41"/>
        <v>0.63621692728417445</v>
      </c>
      <c r="EX35" s="52"/>
      <c r="EY35" s="55">
        <f t="shared" si="42"/>
        <v>1078.8811803664776</v>
      </c>
      <c r="EZ35" s="55">
        <f t="shared" si="42"/>
        <v>1722.0632079664779</v>
      </c>
      <c r="FA35" s="55">
        <f t="shared" si="42"/>
        <v>993.26264307194992</v>
      </c>
      <c r="FB35" s="55">
        <f t="shared" si="42"/>
        <v>1636.44467067195</v>
      </c>
      <c r="FD35" s="52"/>
      <c r="FE35" s="52"/>
      <c r="FF35" s="52"/>
      <c r="FG35" s="55">
        <f t="shared" si="43"/>
        <v>5246.7533000000003</v>
      </c>
      <c r="FH35" s="55">
        <f t="shared" si="43"/>
        <v>3105.3175000000001</v>
      </c>
      <c r="FI35" s="55">
        <f t="shared" si="43"/>
        <v>659.34539599999994</v>
      </c>
      <c r="FJ35" s="55">
        <f t="shared" si="43"/>
        <v>1216.499233</v>
      </c>
      <c r="FK35" s="298">
        <f t="shared" si="44"/>
        <v>0.62819789554465932</v>
      </c>
      <c r="FL35" s="52"/>
      <c r="FM35" s="55">
        <f t="shared" si="45"/>
        <v>786.00796868586644</v>
      </c>
      <c r="FN35" s="55">
        <f t="shared" si="45"/>
        <v>1153.3588312858662</v>
      </c>
      <c r="FO35" s="55">
        <f t="shared" si="45"/>
        <v>683.22911117855983</v>
      </c>
      <c r="FP35" s="55">
        <f t="shared" si="45"/>
        <v>1050.5799737785599</v>
      </c>
      <c r="FR35" s="52"/>
      <c r="FS35" s="52"/>
      <c r="FT35" s="52"/>
      <c r="FU35" s="55">
        <f t="shared" si="46"/>
        <v>4619.3341</v>
      </c>
      <c r="FV35" s="55">
        <f t="shared" si="46"/>
        <v>2675.1824999999999</v>
      </c>
      <c r="FW35" s="55">
        <f t="shared" si="46"/>
        <v>204.9346128</v>
      </c>
      <c r="FX35" s="55">
        <f t="shared" si="46"/>
        <v>267.57668880000006</v>
      </c>
      <c r="FY35" s="298">
        <f t="shared" si="47"/>
        <v>0.6332611677105513</v>
      </c>
      <c r="FZ35" s="52"/>
      <c r="GA35" s="55">
        <f t="shared" si="48"/>
        <v>205.08716069341992</v>
      </c>
      <c r="GB35" s="55">
        <f t="shared" si="48"/>
        <v>267.46280309341995</v>
      </c>
      <c r="GC35" s="55">
        <f t="shared" si="48"/>
        <v>204.98615150581378</v>
      </c>
      <c r="GD35" s="55">
        <f t="shared" si="48"/>
        <v>267.36179390581378</v>
      </c>
      <c r="GF35" s="52"/>
      <c r="GG35" s="52"/>
      <c r="GH35" s="52"/>
      <c r="GI35" s="55">
        <f t="shared" si="49"/>
        <v>2328.4674999999997</v>
      </c>
      <c r="GJ35" s="55">
        <f t="shared" si="49"/>
        <v>1446.5525</v>
      </c>
      <c r="GK35" s="56">
        <f t="shared" si="50"/>
        <v>188.41405799999998</v>
      </c>
      <c r="GL35" s="56">
        <f t="shared" si="50"/>
        <v>255.66171600000001</v>
      </c>
      <c r="GM35" s="298">
        <f t="shared" si="51"/>
        <v>0.61680931491753688</v>
      </c>
      <c r="GN35" s="52"/>
      <c r="GO35" s="56">
        <f t="shared" si="52"/>
        <v>179.02088672057175</v>
      </c>
      <c r="GP35" s="56">
        <f t="shared" si="52"/>
        <v>257.25113297057175</v>
      </c>
      <c r="GQ35" s="56">
        <f t="shared" si="52"/>
        <v>193.38129154310377</v>
      </c>
      <c r="GR35" s="56">
        <f t="shared" si="52"/>
        <v>271.61153779310388</v>
      </c>
    </row>
    <row r="36" spans="1:200" x14ac:dyDescent="0.2">
      <c r="A36" s="118">
        <v>26</v>
      </c>
      <c r="C36" s="128">
        <v>0.69689999999999996</v>
      </c>
      <c r="D36" s="128">
        <v>0.76800000000000002</v>
      </c>
      <c r="E36" s="128">
        <v>0.92749999999999999</v>
      </c>
      <c r="F36" s="128">
        <v>1413.6</v>
      </c>
      <c r="G36" s="128">
        <v>473.73750000000001</v>
      </c>
      <c r="H36" s="49">
        <f t="shared" si="29"/>
        <v>697.88959799999998</v>
      </c>
      <c r="I36" s="49">
        <f t="shared" si="29"/>
        <v>1457.3568</v>
      </c>
      <c r="J36" s="47">
        <f t="shared" si="29"/>
        <v>168.74934999999999</v>
      </c>
      <c r="K36" s="47">
        <f t="shared" si="53"/>
        <v>42.357498431321901</v>
      </c>
      <c r="L36" s="48">
        <f t="shared" si="54"/>
        <v>740.24709643132189</v>
      </c>
      <c r="M36" s="48">
        <f t="shared" si="55"/>
        <v>1330.9649484313218</v>
      </c>
      <c r="N36" s="93">
        <f t="shared" si="56"/>
        <v>712.91814515082626</v>
      </c>
      <c r="O36" s="93">
        <f t="shared" si="57"/>
        <v>1303.6359971508261</v>
      </c>
      <c r="Q36" s="128">
        <v>0.70030000000000003</v>
      </c>
      <c r="R36" s="130">
        <v>0.81520000000000004</v>
      </c>
      <c r="S36" s="128">
        <v>0.51929999999999998</v>
      </c>
      <c r="T36" s="128">
        <v>242.04419999999999</v>
      </c>
      <c r="U36" s="128">
        <v>151.9975</v>
      </c>
      <c r="V36" s="49">
        <f t="shared" si="30"/>
        <v>445.67792300000002</v>
      </c>
      <c r="W36" s="49">
        <f t="shared" si="30"/>
        <v>971.30264800000009</v>
      </c>
      <c r="X36" s="47">
        <f t="shared" si="30"/>
        <v>115.009371</v>
      </c>
      <c r="Y36" s="47">
        <f t="shared" si="58"/>
        <v>78.835877416638496</v>
      </c>
      <c r="Z36" s="48">
        <f t="shared" si="59"/>
        <v>524.51380041663856</v>
      </c>
      <c r="AA36" s="48">
        <f t="shared" si="60"/>
        <v>935.12915441663858</v>
      </c>
      <c r="AB36" s="93">
        <f t="shared" si="61"/>
        <v>462.97679047958502</v>
      </c>
      <c r="AC36" s="93">
        <f t="shared" si="62"/>
        <v>873.59214447958516</v>
      </c>
      <c r="AE36" s="128">
        <v>0.59179999999999999</v>
      </c>
      <c r="AF36" s="130">
        <v>0.64410000000000001</v>
      </c>
      <c r="AG36" s="128">
        <v>0.65100000000000002</v>
      </c>
      <c r="AH36" s="128">
        <v>21.493300000000001</v>
      </c>
      <c r="AI36" s="128">
        <v>11.753299999999999</v>
      </c>
      <c r="AJ36" s="49">
        <f t="shared" si="31"/>
        <v>272.27534399999996</v>
      </c>
      <c r="AK36" s="49">
        <f t="shared" si="31"/>
        <v>676.77519300000006</v>
      </c>
      <c r="AL36" s="47">
        <f t="shared" si="31"/>
        <v>107.40849000000001</v>
      </c>
      <c r="AM36" s="47">
        <f t="shared" si="63"/>
        <v>76.593815308687383</v>
      </c>
      <c r="AN36" s="48">
        <f t="shared" si="64"/>
        <v>348.86915930868736</v>
      </c>
      <c r="AO36" s="48">
        <f t="shared" si="65"/>
        <v>645.96051830868737</v>
      </c>
      <c r="AP36" s="93">
        <f t="shared" si="66"/>
        <v>284.07778207785151</v>
      </c>
      <c r="AQ36" s="93">
        <f t="shared" si="67"/>
        <v>581.16914107785158</v>
      </c>
      <c r="AS36" s="128">
        <v>1.2541</v>
      </c>
      <c r="AT36" s="130">
        <v>1.0444</v>
      </c>
      <c r="AU36" s="128">
        <v>0.50600000000000001</v>
      </c>
      <c r="AV36" s="128">
        <v>1407.58</v>
      </c>
      <c r="AW36" s="128">
        <v>1061.425</v>
      </c>
      <c r="AX36" s="49">
        <f t="shared" si="32"/>
        <v>439.73762399999998</v>
      </c>
      <c r="AY36" s="49">
        <f t="shared" si="32"/>
        <v>736.28111200000001</v>
      </c>
      <c r="AZ36" s="47">
        <f t="shared" si="32"/>
        <v>127.95728</v>
      </c>
      <c r="BA36" s="47">
        <f t="shared" si="68"/>
        <v>80.111417890620544</v>
      </c>
      <c r="BB36" s="48">
        <f t="shared" si="69"/>
        <v>519.84904189062058</v>
      </c>
      <c r="BC36" s="48">
        <f t="shared" si="70"/>
        <v>688.43524989062053</v>
      </c>
      <c r="BD36" s="93">
        <f t="shared" si="71"/>
        <v>458.39545434170265</v>
      </c>
      <c r="BE36" s="93">
        <f t="shared" si="72"/>
        <v>626.98166234170276</v>
      </c>
      <c r="BG36" s="128">
        <v>0.88929999999999998</v>
      </c>
      <c r="BH36" s="130">
        <v>1.0036</v>
      </c>
      <c r="BI36" s="128">
        <v>0.72030000000000005</v>
      </c>
      <c r="BJ36" s="128">
        <v>1048.6758</v>
      </c>
      <c r="BK36" s="128">
        <v>528.85829999999999</v>
      </c>
      <c r="BL36" s="49">
        <f t="shared" si="33"/>
        <v>292.06390600000003</v>
      </c>
      <c r="BM36" s="49">
        <f t="shared" si="33"/>
        <v>606.85684800000001</v>
      </c>
      <c r="BN36" s="47">
        <f t="shared" si="33"/>
        <v>153.09256200000002</v>
      </c>
      <c r="BO36" s="47">
        <f t="shared" si="73"/>
        <v>103.35201319377325</v>
      </c>
      <c r="BP36" s="48">
        <f t="shared" si="74"/>
        <v>395.41591919377328</v>
      </c>
      <c r="BQ36" s="48">
        <f t="shared" si="75"/>
        <v>557.11629919377322</v>
      </c>
      <c r="BR36" s="93">
        <f t="shared" si="76"/>
        <v>310.76383240643304</v>
      </c>
      <c r="BS36" s="93">
        <f t="shared" si="77"/>
        <v>472.46421240643298</v>
      </c>
      <c r="BU36" s="128">
        <v>0.88160000000000005</v>
      </c>
      <c r="BV36" s="130">
        <v>0.94379999999999997</v>
      </c>
      <c r="BW36" s="128">
        <v>1.2712000000000001</v>
      </c>
      <c r="BX36" s="128">
        <v>1867.7308</v>
      </c>
      <c r="BY36" s="128">
        <v>803.36170000000004</v>
      </c>
      <c r="BZ36" s="49">
        <f t="shared" si="34"/>
        <v>213.87616</v>
      </c>
      <c r="CA36" s="49">
        <f t="shared" si="34"/>
        <v>381.408456</v>
      </c>
      <c r="CB36" s="47">
        <f t="shared" si="34"/>
        <v>132.19208800000001</v>
      </c>
      <c r="CC36" s="47">
        <f t="shared" si="78"/>
        <v>84.697603170541427</v>
      </c>
      <c r="CD36" s="48">
        <f t="shared" si="79"/>
        <v>298.57376317054144</v>
      </c>
      <c r="CE36" s="48">
        <f t="shared" si="80"/>
        <v>333.9139711705414</v>
      </c>
      <c r="CF36" s="93">
        <f t="shared" si="81"/>
        <v>225.91101228423094</v>
      </c>
      <c r="CG36" s="93">
        <f t="shared" si="82"/>
        <v>261.2512202842309</v>
      </c>
      <c r="CI36" s="128">
        <v>0.71419999999999995</v>
      </c>
      <c r="CJ36" s="130">
        <v>0.66110000000000002</v>
      </c>
      <c r="CK36" s="128">
        <v>0.54930000000000001</v>
      </c>
      <c r="CL36" s="128">
        <v>4598.7758000000003</v>
      </c>
      <c r="CM36" s="128">
        <v>2660.3049999999998</v>
      </c>
      <c r="CN36" s="49">
        <f t="shared" si="35"/>
        <v>151.610376</v>
      </c>
      <c r="CO36" s="49">
        <f t="shared" si="35"/>
        <v>182.11982800000001</v>
      </c>
      <c r="CP36" s="47">
        <f t="shared" si="35"/>
        <v>0.214227</v>
      </c>
      <c r="CQ36" s="47">
        <f t="shared" si="83"/>
        <v>0.11690576377364993</v>
      </c>
      <c r="CR36" s="48">
        <f t="shared" si="84"/>
        <v>151.72728176377365</v>
      </c>
      <c r="CS36" s="48">
        <f t="shared" si="85"/>
        <v>182.02250676377366</v>
      </c>
      <c r="CT36" s="93">
        <f t="shared" si="86"/>
        <v>151.64352494675938</v>
      </c>
      <c r="CU36" s="93">
        <f t="shared" si="87"/>
        <v>181.9387499467594</v>
      </c>
      <c r="CW36" s="128">
        <v>0.36049999999999999</v>
      </c>
      <c r="CX36" s="130">
        <v>0.39889999999999998</v>
      </c>
      <c r="CY36" s="128">
        <v>0.58830000000000005</v>
      </c>
      <c r="CZ36" s="128">
        <v>1692.1192000000001</v>
      </c>
      <c r="DA36" s="128">
        <v>751.55499999999995</v>
      </c>
      <c r="DB36" s="49">
        <f t="shared" si="36"/>
        <v>77.402955000000006</v>
      </c>
      <c r="DC36" s="49">
        <f t="shared" si="36"/>
        <v>119.685956</v>
      </c>
      <c r="DD36" s="47">
        <f t="shared" si="36"/>
        <v>0.15884100000000001</v>
      </c>
      <c r="DE36" s="47">
        <f t="shared" si="88"/>
        <v>9.6459191136309047E-2</v>
      </c>
      <c r="DF36" s="48">
        <f t="shared" si="89"/>
        <v>77.49941419113631</v>
      </c>
      <c r="DG36" s="48">
        <f t="shared" si="90"/>
        <v>119.62357419113631</v>
      </c>
      <c r="DH36" s="93">
        <f t="shared" si="91"/>
        <v>77.425942198817992</v>
      </c>
      <c r="DI36" s="93">
        <f t="shared" si="92"/>
        <v>119.550102198818</v>
      </c>
      <c r="DK36" s="128">
        <v>0.3695</v>
      </c>
      <c r="DL36" s="130">
        <v>0.30099999999999999</v>
      </c>
      <c r="DM36" s="128">
        <v>0.52159999999999995</v>
      </c>
      <c r="DN36" s="128">
        <v>816.76250000000005</v>
      </c>
      <c r="DO36" s="128">
        <v>401.42579999999998</v>
      </c>
      <c r="DP36" s="49">
        <f t="shared" si="37"/>
        <v>48.907020000000003</v>
      </c>
      <c r="DQ36" s="49">
        <f t="shared" si="37"/>
        <v>58.282629999999997</v>
      </c>
      <c r="DR36" s="47">
        <f t="shared" si="37"/>
        <v>9.9103999999999998E-2</v>
      </c>
      <c r="DS36" s="47">
        <f t="shared" si="93"/>
        <v>5.3886189231143113E-2</v>
      </c>
      <c r="DT36" s="48">
        <f t="shared" si="94"/>
        <v>48.960906189231146</v>
      </c>
      <c r="DU36" s="48">
        <f t="shared" si="95"/>
        <v>58.237412189231144</v>
      </c>
      <c r="DV36" s="93">
        <f t="shared" si="96"/>
        <v>48.929146449529995</v>
      </c>
      <c r="DW36" s="93">
        <f t="shared" si="97"/>
        <v>58.205652449529993</v>
      </c>
      <c r="EB36" s="52"/>
      <c r="EC36" s="52"/>
      <c r="ED36" s="52"/>
      <c r="EE36" s="55">
        <f t="shared" si="98"/>
        <v>9112.0750000000007</v>
      </c>
      <c r="EF36" s="55">
        <f t="shared" si="98"/>
        <v>4947.0225</v>
      </c>
      <c r="EG36" s="55">
        <f t="shared" si="98"/>
        <v>1351.1599620000002</v>
      </c>
      <c r="EH36" s="55">
        <f t="shared" si="98"/>
        <v>2471.5065048000001</v>
      </c>
      <c r="EI36" s="298">
        <f t="shared" si="38"/>
        <v>0.64812659560828856</v>
      </c>
      <c r="EJ36" s="52"/>
      <c r="EK36" s="55">
        <f t="shared" si="99"/>
        <v>1473.8229514386251</v>
      </c>
      <c r="EL36" s="55">
        <f t="shared" si="99"/>
        <v>2297.1215644386252</v>
      </c>
      <c r="EM36" s="55">
        <f t="shared" si="39"/>
        <v>1384.8978781983426</v>
      </c>
      <c r="EN36" s="55">
        <f t="shared" si="39"/>
        <v>2208.1964911983428</v>
      </c>
      <c r="EP36" s="52"/>
      <c r="EQ36" s="52"/>
      <c r="ER36" s="52"/>
      <c r="ES36" s="55">
        <f t="shared" si="40"/>
        <v>7581.6150000000007</v>
      </c>
      <c r="ET36" s="55">
        <f t="shared" si="40"/>
        <v>4092.7157999999995</v>
      </c>
      <c r="EU36" s="55">
        <f t="shared" si="40"/>
        <v>943.53427350000004</v>
      </c>
      <c r="EV36" s="55">
        <f t="shared" si="40"/>
        <v>1844.0594932000004</v>
      </c>
      <c r="EW36" s="298">
        <f t="shared" si="41"/>
        <v>0.64942608958793602</v>
      </c>
      <c r="EX36" s="52"/>
      <c r="EY36" s="55">
        <f t="shared" si="42"/>
        <v>1125.906591307981</v>
      </c>
      <c r="EZ36" s="55">
        <f t="shared" si="42"/>
        <v>1758.0044623079809</v>
      </c>
      <c r="FA36" s="55">
        <f t="shared" si="42"/>
        <v>979.58230737195004</v>
      </c>
      <c r="FB36" s="55">
        <f t="shared" si="42"/>
        <v>1611.6801783719502</v>
      </c>
      <c r="FD36" s="52"/>
      <c r="FE36" s="52"/>
      <c r="FF36" s="52"/>
      <c r="FG36" s="55">
        <f t="shared" si="43"/>
        <v>7304.7624000000005</v>
      </c>
      <c r="FH36" s="55">
        <f t="shared" si="43"/>
        <v>3876.8458000000001</v>
      </c>
      <c r="FI36" s="55">
        <f t="shared" si="43"/>
        <v>667.10609199999988</v>
      </c>
      <c r="FJ36" s="55">
        <f t="shared" si="43"/>
        <v>1275.2730550000001</v>
      </c>
      <c r="FK36" s="298">
        <f t="shared" si="44"/>
        <v>0.65328370207069142</v>
      </c>
      <c r="FL36" s="52"/>
      <c r="FM36" s="55">
        <f t="shared" si="45"/>
        <v>828.54674795654114</v>
      </c>
      <c r="FN36" s="55">
        <f t="shared" si="45"/>
        <v>1196.839443556541</v>
      </c>
      <c r="FO36" s="55">
        <f t="shared" si="45"/>
        <v>690.98980717855977</v>
      </c>
      <c r="FP36" s="55">
        <f t="shared" si="45"/>
        <v>1059.2825027785598</v>
      </c>
      <c r="FR36" s="52"/>
      <c r="FS36" s="52"/>
      <c r="FT36" s="52"/>
      <c r="FU36" s="55">
        <f t="shared" si="46"/>
        <v>6290.8950000000004</v>
      </c>
      <c r="FV36" s="55">
        <f t="shared" si="46"/>
        <v>3411.8599999999997</v>
      </c>
      <c r="FW36" s="55">
        <f t="shared" si="46"/>
        <v>213.53274000000002</v>
      </c>
      <c r="FX36" s="55">
        <f t="shared" si="46"/>
        <v>277.86859279999999</v>
      </c>
      <c r="FY36" s="298">
        <f t="shared" si="47"/>
        <v>0.64836172818957083</v>
      </c>
      <c r="FZ36" s="52"/>
      <c r="GA36" s="55">
        <f t="shared" si="48"/>
        <v>213.72681311668271</v>
      </c>
      <c r="GB36" s="55">
        <f t="shared" si="48"/>
        <v>277.7213661166827</v>
      </c>
      <c r="GC36" s="55">
        <f t="shared" si="48"/>
        <v>213.58427870581377</v>
      </c>
      <c r="GD36" s="55">
        <f t="shared" si="48"/>
        <v>277.5788317058138</v>
      </c>
      <c r="GF36" s="52"/>
      <c r="GG36" s="52"/>
      <c r="GH36" s="52"/>
      <c r="GI36" s="55">
        <f t="shared" si="49"/>
        <v>3275.3108000000002</v>
      </c>
      <c r="GJ36" s="55">
        <f t="shared" si="49"/>
        <v>1864.7867000000001</v>
      </c>
      <c r="GK36" s="56">
        <f t="shared" si="50"/>
        <v>169.39609799999999</v>
      </c>
      <c r="GL36" s="56">
        <f t="shared" si="50"/>
        <v>266.154492</v>
      </c>
      <c r="GM36" s="298">
        <f t="shared" si="51"/>
        <v>0.63720791288492107</v>
      </c>
      <c r="GN36" s="52"/>
      <c r="GO36" s="56">
        <f t="shared" si="52"/>
        <v>165.95645904005937</v>
      </c>
      <c r="GP36" s="56">
        <f t="shared" si="52"/>
        <v>265.89095904005933</v>
      </c>
      <c r="GQ36" s="56">
        <f t="shared" si="52"/>
        <v>174.36333154310378</v>
      </c>
      <c r="GR36" s="56">
        <f t="shared" si="52"/>
        <v>274.29783154310388</v>
      </c>
    </row>
    <row r="37" spans="1:200" x14ac:dyDescent="0.2">
      <c r="A37" s="118">
        <v>27</v>
      </c>
      <c r="C37" s="128">
        <v>0.69450000000000001</v>
      </c>
      <c r="D37" s="128">
        <v>0.7944</v>
      </c>
      <c r="E37" s="128">
        <v>1.0981000000000001</v>
      </c>
      <c r="F37" s="128">
        <v>1737.8167000000001</v>
      </c>
      <c r="G37" s="128">
        <v>603.38829999999996</v>
      </c>
      <c r="H37" s="49">
        <f t="shared" si="29"/>
        <v>695.48618999999997</v>
      </c>
      <c r="I37" s="49">
        <f t="shared" si="29"/>
        <v>1507.45344</v>
      </c>
      <c r="J37" s="47">
        <f t="shared" si="29"/>
        <v>199.78831400000001</v>
      </c>
      <c r="K37" s="47">
        <f t="shared" si="53"/>
        <v>51.490549159226212</v>
      </c>
      <c r="L37" s="48">
        <f t="shared" si="54"/>
        <v>746.97673915922621</v>
      </c>
      <c r="M37" s="48">
        <f t="shared" si="55"/>
        <v>1359.1556751592261</v>
      </c>
      <c r="N37" s="93">
        <f t="shared" si="56"/>
        <v>710.51473715082625</v>
      </c>
      <c r="O37" s="93">
        <f t="shared" si="57"/>
        <v>1322.693673150826</v>
      </c>
      <c r="Q37" s="128">
        <v>0.67510000000000003</v>
      </c>
      <c r="R37" s="130">
        <v>0.8377</v>
      </c>
      <c r="S37" s="128">
        <v>0.7863</v>
      </c>
      <c r="T37" s="128">
        <v>288.41669999999999</v>
      </c>
      <c r="U37" s="128">
        <v>151.7792</v>
      </c>
      <c r="V37" s="49">
        <f t="shared" si="30"/>
        <v>429.64039100000002</v>
      </c>
      <c r="W37" s="49">
        <f t="shared" si="30"/>
        <v>998.11117300000001</v>
      </c>
      <c r="X37" s="47">
        <f t="shared" si="30"/>
        <v>174.14186100000001</v>
      </c>
      <c r="Y37" s="47">
        <f t="shared" si="58"/>
        <v>121.73892260650534</v>
      </c>
      <c r="Z37" s="48">
        <f t="shared" si="59"/>
        <v>551.37931360650532</v>
      </c>
      <c r="AA37" s="48">
        <f t="shared" si="60"/>
        <v>945.70823460650524</v>
      </c>
      <c r="AB37" s="93">
        <f t="shared" si="61"/>
        <v>446.93925847958502</v>
      </c>
      <c r="AC37" s="93">
        <f t="shared" si="62"/>
        <v>841.268179479585</v>
      </c>
      <c r="AE37" s="128">
        <v>0.5766</v>
      </c>
      <c r="AF37" s="130">
        <v>0.68149999999999999</v>
      </c>
      <c r="AG37" s="128">
        <v>0.79610000000000003</v>
      </c>
      <c r="AH37" s="128">
        <v>21.591699999999999</v>
      </c>
      <c r="AI37" s="128">
        <v>8.5242000000000004</v>
      </c>
      <c r="AJ37" s="49">
        <f t="shared" si="31"/>
        <v>265.282128</v>
      </c>
      <c r="AK37" s="49">
        <f t="shared" si="31"/>
        <v>716.072495</v>
      </c>
      <c r="AL37" s="47">
        <f t="shared" si="31"/>
        <v>131.34853900000002</v>
      </c>
      <c r="AM37" s="47">
        <f t="shared" si="63"/>
        <v>95.842087897653727</v>
      </c>
      <c r="AN37" s="48">
        <f t="shared" si="64"/>
        <v>361.1242158976537</v>
      </c>
      <c r="AO37" s="48">
        <f t="shared" si="65"/>
        <v>680.5660438976538</v>
      </c>
      <c r="AP37" s="93">
        <f t="shared" si="66"/>
        <v>277.08456607785155</v>
      </c>
      <c r="AQ37" s="93">
        <f t="shared" si="67"/>
        <v>596.52639407785159</v>
      </c>
      <c r="AS37" s="128">
        <v>1.2043999999999999</v>
      </c>
      <c r="AT37" s="130">
        <v>1.0859000000000001</v>
      </c>
      <c r="AU37" s="128">
        <v>0.71220000000000006</v>
      </c>
      <c r="AV37" s="128">
        <v>1558.1133</v>
      </c>
      <c r="AW37" s="128">
        <v>683.08669999999995</v>
      </c>
      <c r="AX37" s="49">
        <f t="shared" si="32"/>
        <v>422.31081599999993</v>
      </c>
      <c r="AY37" s="49">
        <f t="shared" si="32"/>
        <v>765.53778200000011</v>
      </c>
      <c r="AZ37" s="47">
        <f t="shared" si="32"/>
        <v>180.101136</v>
      </c>
      <c r="BA37" s="47">
        <f t="shared" si="68"/>
        <v>116.07053661658686</v>
      </c>
      <c r="BB37" s="48">
        <f t="shared" si="69"/>
        <v>538.38135261658681</v>
      </c>
      <c r="BC37" s="48">
        <f t="shared" si="70"/>
        <v>701.50718261658699</v>
      </c>
      <c r="BD37" s="93">
        <f t="shared" si="71"/>
        <v>440.96864634170259</v>
      </c>
      <c r="BE37" s="93">
        <f t="shared" si="72"/>
        <v>604.09447634170283</v>
      </c>
      <c r="BG37" s="128">
        <v>0.87760000000000005</v>
      </c>
      <c r="BH37" s="130">
        <v>1.0451999999999999</v>
      </c>
      <c r="BI37" s="128">
        <v>0.92900000000000005</v>
      </c>
      <c r="BJ37" s="128">
        <v>1272.0517</v>
      </c>
      <c r="BK37" s="128">
        <v>528.39170000000001</v>
      </c>
      <c r="BL37" s="49">
        <f t="shared" si="33"/>
        <v>288.22139200000004</v>
      </c>
      <c r="BM37" s="49">
        <f t="shared" si="33"/>
        <v>632.01153599999986</v>
      </c>
      <c r="BN37" s="47">
        <f t="shared" si="33"/>
        <v>197.44965999999999</v>
      </c>
      <c r="BO37" s="47">
        <f t="shared" si="73"/>
        <v>135.60747404517755</v>
      </c>
      <c r="BP37" s="48">
        <f t="shared" si="74"/>
        <v>423.82886604517762</v>
      </c>
      <c r="BQ37" s="48">
        <f t="shared" si="75"/>
        <v>570.16935004517745</v>
      </c>
      <c r="BR37" s="93">
        <f t="shared" si="76"/>
        <v>306.92131840643304</v>
      </c>
      <c r="BS37" s="93">
        <f t="shared" si="77"/>
        <v>453.26180240643288</v>
      </c>
      <c r="BU37" s="128">
        <v>0.88190000000000002</v>
      </c>
      <c r="BV37" s="130">
        <v>0.98619999999999997</v>
      </c>
      <c r="BW37" s="128">
        <v>1.5721000000000001</v>
      </c>
      <c r="BX37" s="128">
        <v>2307.4333000000001</v>
      </c>
      <c r="BY37" s="128">
        <v>897.755</v>
      </c>
      <c r="BZ37" s="49">
        <f t="shared" si="34"/>
        <v>213.94893999999999</v>
      </c>
      <c r="CA37" s="49">
        <f t="shared" si="34"/>
        <v>398.54314399999998</v>
      </c>
      <c r="CB37" s="47">
        <f t="shared" si="34"/>
        <v>163.48267899999999</v>
      </c>
      <c r="CC37" s="47">
        <f t="shared" si="78"/>
        <v>106.37672319403032</v>
      </c>
      <c r="CD37" s="48">
        <f t="shared" si="79"/>
        <v>320.32566319403031</v>
      </c>
      <c r="CE37" s="48">
        <f t="shared" si="80"/>
        <v>341.43718819403034</v>
      </c>
      <c r="CF37" s="93">
        <f t="shared" si="81"/>
        <v>225.98379228423093</v>
      </c>
      <c r="CG37" s="93">
        <f t="shared" si="82"/>
        <v>247.09531728423093</v>
      </c>
      <c r="CI37" s="128">
        <v>0.72740000000000005</v>
      </c>
      <c r="CJ37" s="130">
        <v>0.67279999999999995</v>
      </c>
      <c r="CK37" s="128">
        <v>0.71099999999999997</v>
      </c>
      <c r="CL37" s="128">
        <v>5416.7</v>
      </c>
      <c r="CM37" s="128">
        <v>2392.5925000000002</v>
      </c>
      <c r="CN37" s="49">
        <f t="shared" si="35"/>
        <v>154.41247200000001</v>
      </c>
      <c r="CO37" s="49">
        <f t="shared" si="35"/>
        <v>185.34294399999999</v>
      </c>
      <c r="CP37" s="47">
        <f t="shared" si="35"/>
        <v>0.27728999999999998</v>
      </c>
      <c r="CQ37" s="47">
        <f t="shared" si="83"/>
        <v>0.15126688941953464</v>
      </c>
      <c r="CR37" s="48">
        <f t="shared" si="84"/>
        <v>154.56373888941954</v>
      </c>
      <c r="CS37" s="48">
        <f t="shared" si="85"/>
        <v>185.21692088941953</v>
      </c>
      <c r="CT37" s="93">
        <f t="shared" si="86"/>
        <v>154.44562094675939</v>
      </c>
      <c r="CU37" s="93">
        <f t="shared" si="87"/>
        <v>185.09880294675938</v>
      </c>
      <c r="CW37" s="128">
        <v>0.40679999999999999</v>
      </c>
      <c r="CX37" s="130">
        <v>0.4405</v>
      </c>
      <c r="CY37" s="128">
        <v>0.69479999999999997</v>
      </c>
      <c r="CZ37" s="128">
        <v>2066.4232999999999</v>
      </c>
      <c r="DA37" s="128">
        <v>692.44079999999997</v>
      </c>
      <c r="DB37" s="49">
        <f t="shared" si="36"/>
        <v>87.344028000000009</v>
      </c>
      <c r="DC37" s="49">
        <f t="shared" si="36"/>
        <v>132.16762</v>
      </c>
      <c r="DD37" s="47">
        <f t="shared" si="36"/>
        <v>0.18759600000000001</v>
      </c>
      <c r="DE37" s="47">
        <f t="shared" si="88"/>
        <v>0.11295125824721611</v>
      </c>
      <c r="DF37" s="48">
        <f t="shared" si="89"/>
        <v>87.45697925824723</v>
      </c>
      <c r="DG37" s="48">
        <f t="shared" si="90"/>
        <v>132.09297525824721</v>
      </c>
      <c r="DH37" s="93">
        <f t="shared" si="91"/>
        <v>87.367015198817995</v>
      </c>
      <c r="DI37" s="93">
        <f t="shared" si="92"/>
        <v>132.00301119881797</v>
      </c>
      <c r="DK37" s="128">
        <v>0.39979999999999999</v>
      </c>
      <c r="DL37" s="130">
        <v>0.36659999999999998</v>
      </c>
      <c r="DM37" s="128">
        <v>0.61809999999999998</v>
      </c>
      <c r="DN37" s="128">
        <v>1027.9592</v>
      </c>
      <c r="DO37" s="128">
        <v>515.53579999999999</v>
      </c>
      <c r="DP37" s="49">
        <f t="shared" si="37"/>
        <v>52.917528000000004</v>
      </c>
      <c r="DQ37" s="49">
        <f t="shared" si="37"/>
        <v>70.984757999999999</v>
      </c>
      <c r="DR37" s="47">
        <f t="shared" si="37"/>
        <v>0.117439</v>
      </c>
      <c r="DS37" s="47">
        <f t="shared" si="93"/>
        <v>6.7281882069246082E-2</v>
      </c>
      <c r="DT37" s="48">
        <f t="shared" si="94"/>
        <v>52.98480988206925</v>
      </c>
      <c r="DU37" s="48">
        <f t="shared" si="95"/>
        <v>70.934600882069248</v>
      </c>
      <c r="DV37" s="93">
        <f t="shared" si="96"/>
        <v>52.939654449529996</v>
      </c>
      <c r="DW37" s="93">
        <f t="shared" si="97"/>
        <v>70.889445449529987</v>
      </c>
      <c r="EB37" s="52"/>
      <c r="EC37" s="52"/>
      <c r="ED37" s="52"/>
      <c r="EE37" s="55">
        <f t="shared" si="98"/>
        <v>10779.053300000001</v>
      </c>
      <c r="EF37" s="55">
        <f t="shared" si="98"/>
        <v>4371.5083000000004</v>
      </c>
      <c r="EG37" s="55">
        <f t="shared" si="98"/>
        <v>1342.0847003999997</v>
      </c>
      <c r="EH37" s="55">
        <f t="shared" si="98"/>
        <v>2564.0682620000002</v>
      </c>
      <c r="EI37" s="298">
        <f t="shared" si="38"/>
        <v>0.71146229325254851</v>
      </c>
      <c r="EJ37" s="52"/>
      <c r="EK37" s="55">
        <f t="shared" si="99"/>
        <v>1509.8874140718303</v>
      </c>
      <c r="EL37" s="55">
        <f t="shared" si="99"/>
        <v>2351.5541588718302</v>
      </c>
      <c r="EM37" s="55">
        <f t="shared" si="39"/>
        <v>1375.8226165983426</v>
      </c>
      <c r="EN37" s="55">
        <f t="shared" si="39"/>
        <v>2217.4893613983422</v>
      </c>
      <c r="EP37" s="52"/>
      <c r="EQ37" s="52"/>
      <c r="ER37" s="52"/>
      <c r="ES37" s="55">
        <f t="shared" si="40"/>
        <v>9043.591699999999</v>
      </c>
      <c r="ET37" s="55">
        <f t="shared" si="40"/>
        <v>3765.2042000000001</v>
      </c>
      <c r="EU37" s="55">
        <f t="shared" si="40"/>
        <v>933.41507460000003</v>
      </c>
      <c r="EV37" s="55">
        <f t="shared" si="40"/>
        <v>1907.9829869999996</v>
      </c>
      <c r="EW37" s="298">
        <f t="shared" si="41"/>
        <v>0.70604542149039939</v>
      </c>
      <c r="EX37" s="52"/>
      <c r="EY37" s="55">
        <f t="shared" si="42"/>
        <v>1190.9918040218754</v>
      </c>
      <c r="EZ37" s="55">
        <f t="shared" si="42"/>
        <v>1793.5595882218754</v>
      </c>
      <c r="FA37" s="55">
        <f t="shared" si="42"/>
        <v>969.46310847195002</v>
      </c>
      <c r="FB37" s="55">
        <f t="shared" si="42"/>
        <v>1572.0308926719499</v>
      </c>
      <c r="FD37" s="52"/>
      <c r="FE37" s="52"/>
      <c r="FF37" s="52"/>
      <c r="FG37" s="55">
        <f t="shared" si="43"/>
        <v>8773.6841999999997</v>
      </c>
      <c r="FH37" s="55">
        <f t="shared" si="43"/>
        <v>3814.4075000000003</v>
      </c>
      <c r="FI37" s="55">
        <f t="shared" si="43"/>
        <v>665.39405680000004</v>
      </c>
      <c r="FJ37" s="55">
        <f t="shared" si="43"/>
        <v>1342.5494378000001</v>
      </c>
      <c r="FK37" s="298">
        <f t="shared" si="44"/>
        <v>0.69698286357415073</v>
      </c>
      <c r="FL37" s="52"/>
      <c r="FM37" s="55">
        <f t="shared" si="45"/>
        <v>867.80450391034515</v>
      </c>
      <c r="FN37" s="55">
        <f t="shared" si="45"/>
        <v>1249.7809135103453</v>
      </c>
      <c r="FO37" s="55">
        <f t="shared" si="45"/>
        <v>689.27777197855983</v>
      </c>
      <c r="FP37" s="55">
        <f t="shared" si="45"/>
        <v>1071.2541815785601</v>
      </c>
      <c r="FR37" s="52"/>
      <c r="FS37" s="52"/>
      <c r="FT37" s="52"/>
      <c r="FU37" s="55">
        <f t="shared" si="46"/>
        <v>7483.1232999999993</v>
      </c>
      <c r="FV37" s="55">
        <f t="shared" si="46"/>
        <v>3085.0333000000001</v>
      </c>
      <c r="FW37" s="55">
        <f t="shared" si="46"/>
        <v>224.28769440000002</v>
      </c>
      <c r="FX37" s="55">
        <f t="shared" si="46"/>
        <v>291.07704000000001</v>
      </c>
      <c r="FY37" s="298">
        <f t="shared" si="47"/>
        <v>0.70808217395264572</v>
      </c>
      <c r="FZ37" s="52"/>
      <c r="GA37" s="55">
        <f t="shared" si="48"/>
        <v>224.52932229601731</v>
      </c>
      <c r="GB37" s="55">
        <f t="shared" si="48"/>
        <v>290.89130109601729</v>
      </c>
      <c r="GC37" s="55">
        <f t="shared" si="48"/>
        <v>224.33923310581378</v>
      </c>
      <c r="GD37" s="55">
        <f t="shared" si="48"/>
        <v>290.70121190581375</v>
      </c>
      <c r="GF37" s="52"/>
      <c r="GG37" s="52"/>
      <c r="GH37" s="52"/>
      <c r="GI37" s="55">
        <f t="shared" si="49"/>
        <v>3865.5466000000001</v>
      </c>
      <c r="GJ37" s="55">
        <f t="shared" si="49"/>
        <v>1580.8416999999999</v>
      </c>
      <c r="GK37" s="56">
        <f t="shared" si="50"/>
        <v>156.27140699999995</v>
      </c>
      <c r="GL37" s="56">
        <f t="shared" si="50"/>
        <v>275.24597850000009</v>
      </c>
      <c r="GM37" s="298">
        <f t="shared" si="51"/>
        <v>0.70974495153053996</v>
      </c>
      <c r="GN37" s="52"/>
      <c r="GO37" s="56">
        <f t="shared" si="52"/>
        <v>163.54176706691737</v>
      </c>
      <c r="GP37" s="56">
        <f t="shared" si="52"/>
        <v>270.05249581691749</v>
      </c>
      <c r="GQ37" s="56">
        <f t="shared" si="52"/>
        <v>161.23864054310374</v>
      </c>
      <c r="GR37" s="56">
        <f t="shared" si="52"/>
        <v>267.74936929310394</v>
      </c>
    </row>
    <row r="38" spans="1:200" x14ac:dyDescent="0.2">
      <c r="A38" s="118">
        <v>28</v>
      </c>
      <c r="C38" s="128">
        <v>0.69489999999999996</v>
      </c>
      <c r="D38" s="128">
        <v>0.82130000000000003</v>
      </c>
      <c r="E38" s="128">
        <v>1.2776000000000001</v>
      </c>
      <c r="F38" s="128">
        <v>2320.3017</v>
      </c>
      <c r="G38" s="128">
        <v>745.20079999999996</v>
      </c>
      <c r="H38" s="49">
        <f t="shared" si="29"/>
        <v>695.88675799999999</v>
      </c>
      <c r="I38" s="49">
        <f t="shared" si="29"/>
        <v>1558.4988799999999</v>
      </c>
      <c r="J38" s="47">
        <f t="shared" si="29"/>
        <v>232.44654400000002</v>
      </c>
      <c r="K38" s="47">
        <f t="shared" si="53"/>
        <v>56.506021621589028</v>
      </c>
      <c r="L38" s="48">
        <f t="shared" si="54"/>
        <v>752.39277962158906</v>
      </c>
      <c r="M38" s="48">
        <f t="shared" si="55"/>
        <v>1382.5583576215888</v>
      </c>
      <c r="N38" s="93">
        <f t="shared" si="56"/>
        <v>710.91530515082627</v>
      </c>
      <c r="O38" s="93">
        <f t="shared" si="57"/>
        <v>1341.0808831508259</v>
      </c>
      <c r="Q38" s="128">
        <v>0.65580000000000005</v>
      </c>
      <c r="R38" s="130">
        <v>0.86070000000000002</v>
      </c>
      <c r="S38" s="128">
        <v>1.0770999999999999</v>
      </c>
      <c r="T38" s="128">
        <v>340.03579999999999</v>
      </c>
      <c r="U38" s="128">
        <v>183.0317</v>
      </c>
      <c r="V38" s="49">
        <f t="shared" si="30"/>
        <v>417.35767800000002</v>
      </c>
      <c r="W38" s="49">
        <f t="shared" si="30"/>
        <v>1025.515443</v>
      </c>
      <c r="X38" s="47">
        <f t="shared" si="30"/>
        <v>238.54533699999999</v>
      </c>
      <c r="Y38" s="47">
        <f t="shared" si="58"/>
        <v>169.54500252911654</v>
      </c>
      <c r="Z38" s="48">
        <f t="shared" si="59"/>
        <v>586.90268052911654</v>
      </c>
      <c r="AA38" s="48">
        <f t="shared" si="60"/>
        <v>956.51510852911656</v>
      </c>
      <c r="AB38" s="93">
        <f t="shared" si="61"/>
        <v>434.65654547958502</v>
      </c>
      <c r="AC38" s="93">
        <f t="shared" si="62"/>
        <v>804.26897347958504</v>
      </c>
      <c r="AE38" s="128">
        <v>0.56579999999999997</v>
      </c>
      <c r="AF38" s="130">
        <v>0.71940000000000004</v>
      </c>
      <c r="AG38" s="128">
        <v>0.95599999999999996</v>
      </c>
      <c r="AH38" s="128">
        <v>35.25</v>
      </c>
      <c r="AI38" s="128">
        <v>13.190799999999999</v>
      </c>
      <c r="AJ38" s="49">
        <f t="shared" si="31"/>
        <v>260.313264</v>
      </c>
      <c r="AK38" s="49">
        <f t="shared" si="31"/>
        <v>755.89516200000003</v>
      </c>
      <c r="AL38" s="47">
        <f t="shared" si="31"/>
        <v>157.73044000000002</v>
      </c>
      <c r="AM38" s="47">
        <f t="shared" si="63"/>
        <v>117.32600660027522</v>
      </c>
      <c r="AN38" s="48">
        <f t="shared" si="64"/>
        <v>377.63927060027521</v>
      </c>
      <c r="AO38" s="48">
        <f t="shared" si="65"/>
        <v>715.49072860027525</v>
      </c>
      <c r="AP38" s="93">
        <f t="shared" si="66"/>
        <v>272.11570207785155</v>
      </c>
      <c r="AQ38" s="93">
        <f t="shared" si="67"/>
        <v>609.96716007785153</v>
      </c>
      <c r="AS38" s="128">
        <v>1.1486000000000001</v>
      </c>
      <c r="AT38" s="130">
        <v>1.1273</v>
      </c>
      <c r="AU38" s="128">
        <v>0.96120000000000005</v>
      </c>
      <c r="AV38" s="128">
        <v>1932.4849999999999</v>
      </c>
      <c r="AW38" s="128">
        <v>758.57249999999999</v>
      </c>
      <c r="AX38" s="49">
        <f t="shared" si="32"/>
        <v>402.74510400000003</v>
      </c>
      <c r="AY38" s="49">
        <f t="shared" si="32"/>
        <v>794.72395400000005</v>
      </c>
      <c r="AZ38" s="47">
        <f t="shared" si="32"/>
        <v>243.06825600000002</v>
      </c>
      <c r="BA38" s="47">
        <f t="shared" si="68"/>
        <v>161.31704131281549</v>
      </c>
      <c r="BB38" s="48">
        <f t="shared" si="69"/>
        <v>564.06214531281557</v>
      </c>
      <c r="BC38" s="48">
        <f t="shared" si="70"/>
        <v>712.97273931281552</v>
      </c>
      <c r="BD38" s="93">
        <f t="shared" si="71"/>
        <v>421.40293434170269</v>
      </c>
      <c r="BE38" s="93">
        <f t="shared" si="72"/>
        <v>570.31352834170275</v>
      </c>
      <c r="BG38" s="128">
        <v>0.86419999999999997</v>
      </c>
      <c r="BH38" s="130">
        <v>1.0851</v>
      </c>
      <c r="BI38" s="128">
        <v>1.1553</v>
      </c>
      <c r="BJ38" s="128">
        <v>1633.9132999999999</v>
      </c>
      <c r="BK38" s="128">
        <v>587.84670000000006</v>
      </c>
      <c r="BL38" s="49">
        <f t="shared" si="33"/>
        <v>283.82056399999999</v>
      </c>
      <c r="BM38" s="49">
        <f t="shared" si="33"/>
        <v>656.13826799999993</v>
      </c>
      <c r="BN38" s="47">
        <f t="shared" si="33"/>
        <v>245.547462</v>
      </c>
      <c r="BO38" s="47">
        <f t="shared" si="73"/>
        <v>171.40440723948197</v>
      </c>
      <c r="BP38" s="48">
        <f t="shared" si="74"/>
        <v>455.22497123948199</v>
      </c>
      <c r="BQ38" s="48">
        <f t="shared" si="75"/>
        <v>581.99521323948193</v>
      </c>
      <c r="BR38" s="93">
        <f t="shared" si="76"/>
        <v>302.520490406433</v>
      </c>
      <c r="BS38" s="93">
        <f t="shared" si="77"/>
        <v>429.29073240643294</v>
      </c>
      <c r="BU38" s="128">
        <v>0.87949999999999995</v>
      </c>
      <c r="BV38" s="130">
        <v>1.0311999999999999</v>
      </c>
      <c r="BW38" s="128">
        <v>1.8701000000000001</v>
      </c>
      <c r="BX38" s="128">
        <v>2965.2592</v>
      </c>
      <c r="BY38" s="128">
        <v>1170.1817000000001</v>
      </c>
      <c r="BZ38" s="49">
        <f t="shared" si="34"/>
        <v>213.36669999999998</v>
      </c>
      <c r="CA38" s="49">
        <f t="shared" si="34"/>
        <v>416.72854399999994</v>
      </c>
      <c r="CB38" s="47">
        <f t="shared" si="34"/>
        <v>194.471699</v>
      </c>
      <c r="CC38" s="47">
        <f t="shared" si="78"/>
        <v>128.6185044962445</v>
      </c>
      <c r="CD38" s="48">
        <f t="shared" si="79"/>
        <v>341.98520449624448</v>
      </c>
      <c r="CE38" s="48">
        <f t="shared" si="80"/>
        <v>350.87534949624444</v>
      </c>
      <c r="CF38" s="93">
        <f t="shared" si="81"/>
        <v>225.40155228423092</v>
      </c>
      <c r="CG38" s="93">
        <f t="shared" si="82"/>
        <v>234.29169728423088</v>
      </c>
      <c r="CI38" s="128">
        <v>0.745</v>
      </c>
      <c r="CJ38" s="130">
        <v>0.69430000000000003</v>
      </c>
      <c r="CK38" s="128">
        <v>0.88959999999999995</v>
      </c>
      <c r="CL38" s="128">
        <v>6838.08</v>
      </c>
      <c r="CM38" s="128">
        <v>2802.1691999999998</v>
      </c>
      <c r="CN38" s="49">
        <f t="shared" si="35"/>
        <v>158.14859999999999</v>
      </c>
      <c r="CO38" s="49">
        <f t="shared" si="35"/>
        <v>191.26576400000002</v>
      </c>
      <c r="CP38" s="47">
        <f t="shared" si="35"/>
        <v>0.34694399999999997</v>
      </c>
      <c r="CQ38" s="47">
        <f t="shared" si="83"/>
        <v>0.18991351261454151</v>
      </c>
      <c r="CR38" s="48">
        <f t="shared" si="84"/>
        <v>158.33851351261453</v>
      </c>
      <c r="CS38" s="48">
        <f t="shared" si="85"/>
        <v>191.10873351261455</v>
      </c>
      <c r="CT38" s="93">
        <f t="shared" si="86"/>
        <v>158.18174894675937</v>
      </c>
      <c r="CU38" s="93">
        <f t="shared" si="87"/>
        <v>190.95196894675939</v>
      </c>
      <c r="CW38" s="128">
        <v>0.45910000000000001</v>
      </c>
      <c r="CX38" s="130">
        <v>0.48380000000000001</v>
      </c>
      <c r="CY38" s="128">
        <v>0.80679999999999996</v>
      </c>
      <c r="CZ38" s="128">
        <v>2591.2925</v>
      </c>
      <c r="DA38" s="128">
        <v>769.99249999999995</v>
      </c>
      <c r="DB38" s="49">
        <f t="shared" si="36"/>
        <v>98.573361000000006</v>
      </c>
      <c r="DC38" s="49">
        <f t="shared" si="36"/>
        <v>145.15935200000001</v>
      </c>
      <c r="DD38" s="47">
        <f t="shared" si="36"/>
        <v>0.217836</v>
      </c>
      <c r="DE38" s="47">
        <f t="shared" si="88"/>
        <v>0.12973610400123844</v>
      </c>
      <c r="DF38" s="48">
        <f t="shared" si="89"/>
        <v>98.703097104001245</v>
      </c>
      <c r="DG38" s="48">
        <f t="shared" si="90"/>
        <v>145.07125210400125</v>
      </c>
      <c r="DH38" s="93">
        <f t="shared" si="91"/>
        <v>98.596348198817992</v>
      </c>
      <c r="DI38" s="93">
        <f t="shared" si="92"/>
        <v>144.96450319881799</v>
      </c>
      <c r="DK38" s="128">
        <v>0.4395</v>
      </c>
      <c r="DL38" s="130">
        <v>0.41909999999999997</v>
      </c>
      <c r="DM38" s="128">
        <v>0.71519999999999995</v>
      </c>
      <c r="DN38" s="128">
        <v>1289.2192</v>
      </c>
      <c r="DO38" s="128">
        <v>623.84079999999994</v>
      </c>
      <c r="DP38" s="49">
        <f t="shared" si="37"/>
        <v>58.172220000000003</v>
      </c>
      <c r="DQ38" s="49">
        <f t="shared" si="37"/>
        <v>81.150332999999989</v>
      </c>
      <c r="DR38" s="47">
        <f t="shared" si="37"/>
        <v>0.13588799999999998</v>
      </c>
      <c r="DS38" s="47">
        <f t="shared" si="93"/>
        <v>7.9149830470763752E-2</v>
      </c>
      <c r="DT38" s="48">
        <f t="shared" si="94"/>
        <v>58.251369830470765</v>
      </c>
      <c r="DU38" s="48">
        <f t="shared" si="95"/>
        <v>81.093594830470764</v>
      </c>
      <c r="DV38" s="93">
        <f t="shared" si="96"/>
        <v>58.194346449529995</v>
      </c>
      <c r="DW38" s="93">
        <f t="shared" si="97"/>
        <v>81.036571449529987</v>
      </c>
      <c r="EB38" s="52"/>
      <c r="EC38" s="52"/>
      <c r="ED38" s="52"/>
      <c r="EE38" s="55">
        <f t="shared" si="98"/>
        <v>13682.159199999998</v>
      </c>
      <c r="EF38" s="55">
        <f t="shared" si="98"/>
        <v>5075.9349999999995</v>
      </c>
      <c r="EG38" s="55">
        <f t="shared" si="98"/>
        <v>1335.6391507999999</v>
      </c>
      <c r="EH38" s="55">
        <f t="shared" si="98"/>
        <v>2660.6160796000004</v>
      </c>
      <c r="EI38" s="298">
        <f t="shared" si="38"/>
        <v>0.72940028203931284</v>
      </c>
      <c r="EJ38" s="52"/>
      <c r="EK38" s="55">
        <f t="shared" si="99"/>
        <v>1553.7559161302202</v>
      </c>
      <c r="EL38" s="55">
        <f t="shared" si="99"/>
        <v>2402.6968321302202</v>
      </c>
      <c r="EM38" s="55">
        <f t="shared" si="39"/>
        <v>1369.3770669983426</v>
      </c>
      <c r="EN38" s="55">
        <f t="shared" si="39"/>
        <v>2218.3179829983424</v>
      </c>
      <c r="EP38" s="52"/>
      <c r="EQ38" s="52"/>
      <c r="ER38" s="52"/>
      <c r="ES38" s="55">
        <f t="shared" si="40"/>
        <v>11403.321599999999</v>
      </c>
      <c r="ET38" s="55">
        <f t="shared" si="40"/>
        <v>4343.0401000000002</v>
      </c>
      <c r="EU38" s="55">
        <f t="shared" si="40"/>
        <v>928.32819469999993</v>
      </c>
      <c r="EV38" s="55">
        <f t="shared" si="40"/>
        <v>1974.5310213999999</v>
      </c>
      <c r="EW38" s="298">
        <f t="shared" si="41"/>
        <v>0.72418770870733906</v>
      </c>
      <c r="EX38" s="52"/>
      <c r="EY38" s="55">
        <f t="shared" si="42"/>
        <v>1269.5583332540139</v>
      </c>
      <c r="EZ38" s="55">
        <f t="shared" si="42"/>
        <v>1831.168931754014</v>
      </c>
      <c r="FA38" s="55">
        <f t="shared" si="42"/>
        <v>964.37622857195004</v>
      </c>
      <c r="FB38" s="55">
        <f t="shared" si="42"/>
        <v>1525.9868270719498</v>
      </c>
      <c r="FD38" s="52"/>
      <c r="FE38" s="52"/>
      <c r="FF38" s="52"/>
      <c r="FG38" s="55">
        <f t="shared" si="43"/>
        <v>11127.8084</v>
      </c>
      <c r="FH38" s="55">
        <f t="shared" si="43"/>
        <v>4609.3824999999997</v>
      </c>
      <c r="FI38" s="55">
        <f t="shared" si="43"/>
        <v>666.73189599999989</v>
      </c>
      <c r="FJ38" s="55">
        <f t="shared" si="43"/>
        <v>1412.5796697999999</v>
      </c>
      <c r="FK38" s="298">
        <f t="shared" si="44"/>
        <v>0.70710258715867769</v>
      </c>
      <c r="FL38" s="52"/>
      <c r="FM38" s="55">
        <f t="shared" si="45"/>
        <v>912.91381050741677</v>
      </c>
      <c r="FN38" s="55">
        <f t="shared" si="45"/>
        <v>1306.1309685074166</v>
      </c>
      <c r="FO38" s="55">
        <f t="shared" si="45"/>
        <v>690.61561117855979</v>
      </c>
      <c r="FP38" s="55">
        <f t="shared" si="45"/>
        <v>1083.8327691785596</v>
      </c>
      <c r="FR38" s="52"/>
      <c r="FS38" s="52"/>
      <c r="FT38" s="52"/>
      <c r="FU38" s="55">
        <f t="shared" si="46"/>
        <v>9429.3724999999995</v>
      </c>
      <c r="FV38" s="55">
        <f t="shared" si="46"/>
        <v>3572.1616999999997</v>
      </c>
      <c r="FW38" s="55">
        <f t="shared" si="46"/>
        <v>237.0072888</v>
      </c>
      <c r="FX38" s="55">
        <f t="shared" si="46"/>
        <v>307.3932456</v>
      </c>
      <c r="FY38" s="298">
        <f t="shared" si="47"/>
        <v>0.72525075540700423</v>
      </c>
      <c r="FZ38" s="52"/>
      <c r="GA38" s="55">
        <f t="shared" si="48"/>
        <v>237.30099119581553</v>
      </c>
      <c r="GB38" s="55">
        <f t="shared" si="48"/>
        <v>307.16573519581556</v>
      </c>
      <c r="GC38" s="55">
        <f t="shared" si="48"/>
        <v>237.05882750581378</v>
      </c>
      <c r="GD38" s="55">
        <f t="shared" si="48"/>
        <v>306.92357150581381</v>
      </c>
      <c r="GF38" s="52"/>
      <c r="GG38" s="52"/>
      <c r="GH38" s="52"/>
      <c r="GI38" s="55">
        <f t="shared" si="49"/>
        <v>4897.7442000000001</v>
      </c>
      <c r="GJ38" s="55">
        <f t="shared" si="49"/>
        <v>1928.7542000000001</v>
      </c>
      <c r="GK38" s="56">
        <f t="shared" si="50"/>
        <v>142.03380300000003</v>
      </c>
      <c r="GL38" s="56">
        <f t="shared" si="50"/>
        <v>283.49655750000011</v>
      </c>
      <c r="GM38" s="298">
        <f t="shared" si="51"/>
        <v>0.71746068233166216</v>
      </c>
      <c r="GN38" s="52"/>
      <c r="GO38" s="56">
        <f t="shared" si="52"/>
        <v>166.55770561242832</v>
      </c>
      <c r="GP38" s="56">
        <f t="shared" si="52"/>
        <v>271.57304236242828</v>
      </c>
      <c r="GQ38" s="56">
        <f t="shared" si="52"/>
        <v>147.00103654310382</v>
      </c>
      <c r="GR38" s="56">
        <f t="shared" si="52"/>
        <v>252.01637329310392</v>
      </c>
    </row>
    <row r="39" spans="1:200" x14ac:dyDescent="0.2">
      <c r="A39" s="118">
        <v>29</v>
      </c>
      <c r="C39" s="128">
        <v>0.69879999999999998</v>
      </c>
      <c r="D39" s="128">
        <v>0.84860000000000002</v>
      </c>
      <c r="E39" s="128">
        <v>1.4617</v>
      </c>
      <c r="F39" s="128">
        <v>2982.2917000000002</v>
      </c>
      <c r="G39" s="128">
        <v>919.74829999999997</v>
      </c>
      <c r="H39" s="49">
        <f t="shared" si="29"/>
        <v>699.79229599999996</v>
      </c>
      <c r="I39" s="49">
        <f t="shared" si="29"/>
        <v>1610.3033599999999</v>
      </c>
      <c r="J39" s="47">
        <f t="shared" si="29"/>
        <v>265.94169799999997</v>
      </c>
      <c r="K39" s="47">
        <f t="shared" si="53"/>
        <v>62.685012105107418</v>
      </c>
      <c r="L39" s="48">
        <f t="shared" si="54"/>
        <v>762.47730810510734</v>
      </c>
      <c r="M39" s="48">
        <f t="shared" si="55"/>
        <v>1407.0466741051073</v>
      </c>
      <c r="N39" s="93">
        <f t="shared" si="56"/>
        <v>714.82084315082625</v>
      </c>
      <c r="O39" s="93">
        <f t="shared" si="57"/>
        <v>1359.390209150826</v>
      </c>
      <c r="Q39" s="128">
        <v>0.64380000000000004</v>
      </c>
      <c r="R39" s="130">
        <v>0.88400000000000001</v>
      </c>
      <c r="S39" s="128">
        <v>1.2804</v>
      </c>
      <c r="T39" s="128">
        <v>465.33749999999998</v>
      </c>
      <c r="U39" s="128">
        <v>245.70500000000001</v>
      </c>
      <c r="V39" s="49">
        <f t="shared" si="30"/>
        <v>409.72075799999999</v>
      </c>
      <c r="W39" s="49">
        <f t="shared" si="30"/>
        <v>1053.2771600000001</v>
      </c>
      <c r="X39" s="47">
        <f t="shared" si="30"/>
        <v>283.57018799999997</v>
      </c>
      <c r="Y39" s="47">
        <f t="shared" si="58"/>
        <v>204.15476919175362</v>
      </c>
      <c r="Z39" s="48">
        <f t="shared" si="59"/>
        <v>613.87552719175358</v>
      </c>
      <c r="AA39" s="48">
        <f t="shared" si="60"/>
        <v>973.86174119175382</v>
      </c>
      <c r="AB39" s="93">
        <f t="shared" si="61"/>
        <v>427.01962547958499</v>
      </c>
      <c r="AC39" s="93">
        <f t="shared" si="62"/>
        <v>787.00583947958523</v>
      </c>
      <c r="AE39" s="128">
        <v>0.5605</v>
      </c>
      <c r="AF39" s="130">
        <v>0.75770000000000004</v>
      </c>
      <c r="AG39" s="128">
        <v>1.1271</v>
      </c>
      <c r="AH39" s="128">
        <v>42.156700000000001</v>
      </c>
      <c r="AI39" s="128">
        <v>23.002500000000001</v>
      </c>
      <c r="AJ39" s="49">
        <f t="shared" si="31"/>
        <v>257.87484000000001</v>
      </c>
      <c r="AK39" s="49">
        <f t="shared" si="31"/>
        <v>796.13812100000007</v>
      </c>
      <c r="AL39" s="47">
        <f t="shared" si="31"/>
        <v>185.960229</v>
      </c>
      <c r="AM39" s="47">
        <f t="shared" si="63"/>
        <v>140.46319426312036</v>
      </c>
      <c r="AN39" s="48">
        <f t="shared" si="64"/>
        <v>398.33803426312033</v>
      </c>
      <c r="AO39" s="48">
        <f t="shared" si="65"/>
        <v>750.64108626312043</v>
      </c>
      <c r="AP39" s="93">
        <f t="shared" si="66"/>
        <v>269.67727807785155</v>
      </c>
      <c r="AQ39" s="93">
        <f t="shared" si="67"/>
        <v>621.98033007785159</v>
      </c>
      <c r="AS39" s="128">
        <v>1.0912999999999999</v>
      </c>
      <c r="AT39" s="130">
        <v>1.1681999999999999</v>
      </c>
      <c r="AU39" s="128">
        <v>1.2405999999999999</v>
      </c>
      <c r="AV39" s="128">
        <v>2376.5558000000001</v>
      </c>
      <c r="AW39" s="128">
        <v>875.14499999999998</v>
      </c>
      <c r="AX39" s="49">
        <f t="shared" si="32"/>
        <v>382.65343199999995</v>
      </c>
      <c r="AY39" s="49">
        <f t="shared" si="32"/>
        <v>823.557636</v>
      </c>
      <c r="AZ39" s="47">
        <f t="shared" si="32"/>
        <v>313.72292799999997</v>
      </c>
      <c r="BA39" s="47">
        <f t="shared" si="68"/>
        <v>214.19875824143753</v>
      </c>
      <c r="BB39" s="48">
        <f t="shared" si="69"/>
        <v>596.85219024143748</v>
      </c>
      <c r="BC39" s="48">
        <f t="shared" si="70"/>
        <v>724.03346624143751</v>
      </c>
      <c r="BD39" s="93">
        <f t="shared" si="71"/>
        <v>401.31126234170262</v>
      </c>
      <c r="BE39" s="93">
        <f t="shared" si="72"/>
        <v>528.4925383417027</v>
      </c>
      <c r="BG39" s="128">
        <v>0.85070000000000001</v>
      </c>
      <c r="BH39" s="130">
        <v>1.1223000000000001</v>
      </c>
      <c r="BI39" s="128">
        <v>1.3863000000000001</v>
      </c>
      <c r="BJ39" s="128">
        <v>2050.4274999999998</v>
      </c>
      <c r="BK39" s="128">
        <v>747.23080000000004</v>
      </c>
      <c r="BL39" s="49">
        <f t="shared" si="33"/>
        <v>279.38689400000004</v>
      </c>
      <c r="BM39" s="49">
        <f t="shared" si="33"/>
        <v>678.63236399999994</v>
      </c>
      <c r="BN39" s="47">
        <f t="shared" si="33"/>
        <v>294.64420200000001</v>
      </c>
      <c r="BO39" s="47">
        <f t="shared" si="73"/>
        <v>208.71719401506385</v>
      </c>
      <c r="BP39" s="48">
        <f t="shared" si="74"/>
        <v>488.10408801506389</v>
      </c>
      <c r="BQ39" s="48">
        <f t="shared" si="75"/>
        <v>592.70535601506378</v>
      </c>
      <c r="BR39" s="93">
        <f t="shared" si="76"/>
        <v>298.08682040643305</v>
      </c>
      <c r="BS39" s="93">
        <f t="shared" si="77"/>
        <v>402.68808840643294</v>
      </c>
      <c r="BU39" s="128">
        <v>0.874</v>
      </c>
      <c r="BV39" s="130">
        <v>1.0764</v>
      </c>
      <c r="BW39" s="128">
        <v>2.1389999999999998</v>
      </c>
      <c r="BX39" s="128">
        <v>3595.9657999999999</v>
      </c>
      <c r="BY39" s="128">
        <v>1314.6025</v>
      </c>
      <c r="BZ39" s="49">
        <f t="shared" si="34"/>
        <v>212.0324</v>
      </c>
      <c r="CA39" s="49">
        <f t="shared" si="34"/>
        <v>434.99476800000002</v>
      </c>
      <c r="CB39" s="47">
        <f t="shared" si="34"/>
        <v>222.43460999999996</v>
      </c>
      <c r="CC39" s="47">
        <f t="shared" si="78"/>
        <v>149.54223927135075</v>
      </c>
      <c r="CD39" s="48">
        <f t="shared" si="79"/>
        <v>361.57463927135075</v>
      </c>
      <c r="CE39" s="48">
        <f t="shared" si="80"/>
        <v>362.10239727135081</v>
      </c>
      <c r="CF39" s="93">
        <f t="shared" si="81"/>
        <v>224.06725228423093</v>
      </c>
      <c r="CG39" s="93">
        <f t="shared" si="82"/>
        <v>224.59501028423099</v>
      </c>
      <c r="CI39" s="128">
        <v>0.76549999999999996</v>
      </c>
      <c r="CJ39" s="130">
        <v>0.72399999999999998</v>
      </c>
      <c r="CK39" s="128">
        <v>1.0771999999999999</v>
      </c>
      <c r="CL39" s="128">
        <v>8325.8966999999993</v>
      </c>
      <c r="CM39" s="128">
        <v>3210.0358000000001</v>
      </c>
      <c r="CN39" s="49">
        <f t="shared" si="35"/>
        <v>162.50033999999999</v>
      </c>
      <c r="CO39" s="49">
        <f t="shared" si="35"/>
        <v>199.44752</v>
      </c>
      <c r="CP39" s="47">
        <f t="shared" si="35"/>
        <v>0.42010799999999998</v>
      </c>
      <c r="CQ39" s="47">
        <f t="shared" si="83"/>
        <v>0.23149604678463909</v>
      </c>
      <c r="CR39" s="48">
        <f t="shared" si="84"/>
        <v>162.73183604678462</v>
      </c>
      <c r="CS39" s="48">
        <f t="shared" si="85"/>
        <v>199.25890804678463</v>
      </c>
      <c r="CT39" s="93">
        <f t="shared" si="86"/>
        <v>162.53348894675938</v>
      </c>
      <c r="CU39" s="93">
        <f t="shared" si="87"/>
        <v>199.06056094675938</v>
      </c>
      <c r="CW39" s="128">
        <v>0.51239999999999997</v>
      </c>
      <c r="CX39" s="130">
        <v>0.52810000000000001</v>
      </c>
      <c r="CY39" s="128">
        <v>0.92079999999999995</v>
      </c>
      <c r="CZ39" s="128">
        <v>3189.3966999999998</v>
      </c>
      <c r="DA39" s="128">
        <v>983.53499999999997</v>
      </c>
      <c r="DB39" s="49">
        <f t="shared" si="36"/>
        <v>110.017404</v>
      </c>
      <c r="DC39" s="49">
        <f t="shared" si="36"/>
        <v>158.45112400000002</v>
      </c>
      <c r="DD39" s="47">
        <f t="shared" si="36"/>
        <v>0.248616</v>
      </c>
      <c r="DE39" s="47">
        <f t="shared" si="88"/>
        <v>0.14673408811771041</v>
      </c>
      <c r="DF39" s="48">
        <f t="shared" si="89"/>
        <v>110.16413808811771</v>
      </c>
      <c r="DG39" s="48">
        <f t="shared" si="90"/>
        <v>158.34924208811773</v>
      </c>
      <c r="DH39" s="93">
        <f t="shared" si="91"/>
        <v>110.04039119881799</v>
      </c>
      <c r="DI39" s="93">
        <f t="shared" si="92"/>
        <v>158.22549519881801</v>
      </c>
      <c r="DK39" s="128">
        <v>0.50109999999999999</v>
      </c>
      <c r="DL39" s="130">
        <v>0.47139999999999999</v>
      </c>
      <c r="DM39" s="128">
        <v>0.80630000000000002</v>
      </c>
      <c r="DN39" s="128">
        <v>1619.8275000000001</v>
      </c>
      <c r="DO39" s="128">
        <v>703.62329999999997</v>
      </c>
      <c r="DP39" s="49">
        <f t="shared" si="37"/>
        <v>66.325596000000004</v>
      </c>
      <c r="DQ39" s="49">
        <f t="shared" si="37"/>
        <v>91.277181999999996</v>
      </c>
      <c r="DR39" s="47">
        <f t="shared" si="37"/>
        <v>0.153197</v>
      </c>
      <c r="DS39" s="47">
        <f t="shared" si="93"/>
        <v>8.8725532812968563E-2</v>
      </c>
      <c r="DT39" s="48">
        <f t="shared" si="94"/>
        <v>66.414321532812977</v>
      </c>
      <c r="DU39" s="48">
        <f t="shared" si="95"/>
        <v>91.212710532812963</v>
      </c>
      <c r="DV39" s="93">
        <f t="shared" si="96"/>
        <v>66.347722449529996</v>
      </c>
      <c r="DW39" s="93">
        <f t="shared" si="97"/>
        <v>91.146111449529982</v>
      </c>
      <c r="EB39" s="52"/>
      <c r="EC39" s="52"/>
      <c r="ED39" s="52"/>
      <c r="EE39" s="55">
        <f t="shared" si="98"/>
        <v>16874.140899999999</v>
      </c>
      <c r="EF39" s="55">
        <f t="shared" si="98"/>
        <v>5988.4641000000001</v>
      </c>
      <c r="EG39" s="55">
        <f t="shared" si="98"/>
        <v>1332.9599911999999</v>
      </c>
      <c r="EH39" s="55">
        <f t="shared" si="98"/>
        <v>2760.0694152000001</v>
      </c>
      <c r="EI39" s="298">
        <f t="shared" si="38"/>
        <v>0.73806728935744637</v>
      </c>
      <c r="EJ39" s="52"/>
      <c r="EK39" s="55">
        <f t="shared" si="99"/>
        <v>1610.1926448638235</v>
      </c>
      <c r="EL39" s="55">
        <f t="shared" si="99"/>
        <v>2457.0184420638238</v>
      </c>
      <c r="EM39" s="55">
        <f t="shared" si="39"/>
        <v>1366.6979073983427</v>
      </c>
      <c r="EN39" s="55">
        <f t="shared" si="39"/>
        <v>2213.5237045983426</v>
      </c>
      <c r="EP39" s="52"/>
      <c r="EQ39" s="52"/>
      <c r="ER39" s="52"/>
      <c r="ES39" s="55">
        <f t="shared" si="40"/>
        <v>14031.058399999998</v>
      </c>
      <c r="ET39" s="55">
        <f t="shared" si="40"/>
        <v>5186.5065999999997</v>
      </c>
      <c r="EU39" s="55">
        <f t="shared" si="40"/>
        <v>928.62017479999997</v>
      </c>
      <c r="EV39" s="55">
        <f t="shared" si="40"/>
        <v>2042.2728308000001</v>
      </c>
      <c r="EW39" s="298">
        <f t="shared" si="41"/>
        <v>0.73011634928774793</v>
      </c>
      <c r="EX39" s="52"/>
      <c r="EY39" s="55">
        <f t="shared" si="42"/>
        <v>1341.8263479152845</v>
      </c>
      <c r="EZ39" s="55">
        <f t="shared" si="42"/>
        <v>1876.6704747152846</v>
      </c>
      <c r="FA39" s="55">
        <f t="shared" si="42"/>
        <v>964.66820867194997</v>
      </c>
      <c r="FB39" s="55">
        <f t="shared" si="42"/>
        <v>1499.5123354719501</v>
      </c>
      <c r="FD39" s="52"/>
      <c r="FE39" s="52"/>
      <c r="FF39" s="52"/>
      <c r="FG39" s="55">
        <f t="shared" si="43"/>
        <v>13583.846699999998</v>
      </c>
      <c r="FH39" s="55">
        <f t="shared" si="43"/>
        <v>5251.2641000000003</v>
      </c>
      <c r="FI39" s="55">
        <f t="shared" si="43"/>
        <v>672.20293760000004</v>
      </c>
      <c r="FJ39" s="55">
        <f t="shared" si="43"/>
        <v>1485.3467181999999</v>
      </c>
      <c r="FK39" s="298">
        <f t="shared" si="44"/>
        <v>0.72119813067412375</v>
      </c>
      <c r="FL39" s="52"/>
      <c r="FM39" s="55">
        <f t="shared" si="45"/>
        <v>962.49310250094356</v>
      </c>
      <c r="FN39" s="55">
        <f t="shared" si="45"/>
        <v>1366.7300179009435</v>
      </c>
      <c r="FO39" s="55">
        <f t="shared" si="45"/>
        <v>696.08665277855982</v>
      </c>
      <c r="FP39" s="55">
        <f t="shared" si="45"/>
        <v>1100.32356817856</v>
      </c>
      <c r="FR39" s="52"/>
      <c r="FS39" s="52"/>
      <c r="FT39" s="52"/>
      <c r="FU39" s="55">
        <f t="shared" si="46"/>
        <v>11515.293399999999</v>
      </c>
      <c r="FV39" s="55">
        <f t="shared" si="46"/>
        <v>4193.5708000000004</v>
      </c>
      <c r="FW39" s="55">
        <f t="shared" si="46"/>
        <v>250.51426320000002</v>
      </c>
      <c r="FX39" s="55">
        <f t="shared" si="46"/>
        <v>326.20841920000004</v>
      </c>
      <c r="FY39" s="298">
        <f t="shared" si="47"/>
        <v>0.73304430246459185</v>
      </c>
      <c r="FZ39" s="52"/>
      <c r="GA39" s="55">
        <f t="shared" si="48"/>
        <v>250.86314651727878</v>
      </c>
      <c r="GB39" s="55">
        <f t="shared" si="48"/>
        <v>325.93830171727882</v>
      </c>
      <c r="GC39" s="55">
        <f t="shared" si="48"/>
        <v>250.56580190581377</v>
      </c>
      <c r="GD39" s="55">
        <f t="shared" si="48"/>
        <v>325.64095710581381</v>
      </c>
      <c r="GF39" s="52"/>
      <c r="GG39" s="52"/>
      <c r="GH39" s="52"/>
      <c r="GI39" s="55">
        <f t="shared" si="49"/>
        <v>5972.5216</v>
      </c>
      <c r="GJ39" s="55">
        <f t="shared" si="49"/>
        <v>2189.7474999999999</v>
      </c>
      <c r="GK39" s="56">
        <f t="shared" si="50"/>
        <v>127.96577399999997</v>
      </c>
      <c r="GL39" s="56">
        <f t="shared" si="50"/>
        <v>291.42215099999999</v>
      </c>
      <c r="GM39" s="298">
        <f t="shared" si="51"/>
        <v>0.73172319202266933</v>
      </c>
      <c r="GN39" s="52"/>
      <c r="GO39" s="56">
        <f t="shared" si="52"/>
        <v>176.45816322756505</v>
      </c>
      <c r="GP39" s="56">
        <f t="shared" si="52"/>
        <v>271.44830172756502</v>
      </c>
      <c r="GQ39" s="56">
        <f t="shared" si="52"/>
        <v>132.93300754310377</v>
      </c>
      <c r="GR39" s="56">
        <f t="shared" si="52"/>
        <v>227.9231460431038</v>
      </c>
    </row>
    <row r="40" spans="1:200" x14ac:dyDescent="0.2">
      <c r="A40" s="118">
        <v>30</v>
      </c>
      <c r="C40" s="128">
        <v>0.70720000000000005</v>
      </c>
      <c r="D40" s="128">
        <v>0.87590000000000001</v>
      </c>
      <c r="E40" s="128">
        <v>1.6376999999999999</v>
      </c>
      <c r="F40" s="128">
        <v>3667.4416999999999</v>
      </c>
      <c r="G40" s="128">
        <v>1048.6832999999999</v>
      </c>
      <c r="H40" s="49">
        <f t="shared" si="29"/>
        <v>708.20422400000007</v>
      </c>
      <c r="I40" s="49">
        <f t="shared" si="29"/>
        <v>1662.1078399999999</v>
      </c>
      <c r="J40" s="47">
        <f t="shared" si="29"/>
        <v>297.96313799999996</v>
      </c>
      <c r="K40" s="47">
        <f t="shared" si="53"/>
        <v>66.25544633278281</v>
      </c>
      <c r="L40" s="48">
        <f t="shared" si="54"/>
        <v>774.45967033278293</v>
      </c>
      <c r="M40" s="48">
        <f t="shared" si="55"/>
        <v>1430.4001483327829</v>
      </c>
      <c r="N40" s="93">
        <f t="shared" si="56"/>
        <v>723.23277115082635</v>
      </c>
      <c r="O40" s="93">
        <f t="shared" si="57"/>
        <v>1379.1732491508262</v>
      </c>
      <c r="Q40" s="128">
        <v>0.63990000000000002</v>
      </c>
      <c r="R40" s="130">
        <v>0.90710000000000002</v>
      </c>
      <c r="S40" s="128">
        <v>1.45</v>
      </c>
      <c r="T40" s="128">
        <v>634.82920000000001</v>
      </c>
      <c r="U40" s="128">
        <v>314.185</v>
      </c>
      <c r="V40" s="49">
        <f t="shared" si="30"/>
        <v>407.23875900000002</v>
      </c>
      <c r="W40" s="49">
        <f t="shared" si="30"/>
        <v>1080.800579</v>
      </c>
      <c r="X40" s="47">
        <f t="shared" si="30"/>
        <v>321.13150000000002</v>
      </c>
      <c r="Y40" s="47">
        <f t="shared" si="58"/>
        <v>233.24592453424674</v>
      </c>
      <c r="Z40" s="48">
        <f t="shared" si="59"/>
        <v>640.48468353424676</v>
      </c>
      <c r="AA40" s="48">
        <f t="shared" si="60"/>
        <v>992.91500353424681</v>
      </c>
      <c r="AB40" s="93">
        <f t="shared" si="61"/>
        <v>424.53762647958501</v>
      </c>
      <c r="AC40" s="93">
        <f t="shared" si="62"/>
        <v>776.96794647958507</v>
      </c>
      <c r="AE40" s="128">
        <v>0.56120000000000003</v>
      </c>
      <c r="AF40" s="130">
        <v>0.79669999999999996</v>
      </c>
      <c r="AG40" s="128">
        <v>1.3092999999999999</v>
      </c>
      <c r="AH40" s="128">
        <v>57.341700000000003</v>
      </c>
      <c r="AI40" s="128">
        <v>12.083299999999999</v>
      </c>
      <c r="AJ40" s="49">
        <f t="shared" si="31"/>
        <v>258.19689599999998</v>
      </c>
      <c r="AK40" s="49">
        <f t="shared" si="31"/>
        <v>837.11659099999997</v>
      </c>
      <c r="AL40" s="47">
        <f t="shared" si="31"/>
        <v>216.02140700000001</v>
      </c>
      <c r="AM40" s="47">
        <f t="shared" si="63"/>
        <v>165.09894743116914</v>
      </c>
      <c r="AN40" s="48">
        <f t="shared" si="64"/>
        <v>423.29584343116915</v>
      </c>
      <c r="AO40" s="48">
        <f t="shared" si="65"/>
        <v>786.19413143116913</v>
      </c>
      <c r="AP40" s="93">
        <f t="shared" si="66"/>
        <v>269.99933407785153</v>
      </c>
      <c r="AQ40" s="93">
        <f t="shared" si="67"/>
        <v>632.89762207785157</v>
      </c>
      <c r="AS40" s="128">
        <v>1.0361</v>
      </c>
      <c r="AT40" s="130">
        <v>1.2070000000000001</v>
      </c>
      <c r="AU40" s="128">
        <v>1.5309999999999999</v>
      </c>
      <c r="AV40" s="128">
        <v>3019.75</v>
      </c>
      <c r="AW40" s="128">
        <v>1035.9517000000001</v>
      </c>
      <c r="AX40" s="49">
        <f t="shared" si="32"/>
        <v>363.29810399999997</v>
      </c>
      <c r="AY40" s="49">
        <f t="shared" si="32"/>
        <v>850.91086000000007</v>
      </c>
      <c r="AZ40" s="47">
        <f t="shared" si="32"/>
        <v>387.15927999999997</v>
      </c>
      <c r="BA40" s="47">
        <f t="shared" si="68"/>
        <v>271.31906094359954</v>
      </c>
      <c r="BB40" s="48">
        <f t="shared" si="69"/>
        <v>634.61716494359951</v>
      </c>
      <c r="BC40" s="48">
        <f t="shared" si="70"/>
        <v>735.07064094359964</v>
      </c>
      <c r="BD40" s="93">
        <f t="shared" si="71"/>
        <v>381.95593434170263</v>
      </c>
      <c r="BE40" s="93">
        <f t="shared" si="72"/>
        <v>482.40941034170277</v>
      </c>
      <c r="BG40" s="128">
        <v>0.83860000000000001</v>
      </c>
      <c r="BH40" s="130">
        <v>1.1556</v>
      </c>
      <c r="BI40" s="128">
        <v>1.6084000000000001</v>
      </c>
      <c r="BJ40" s="128">
        <v>2536.8807999999999</v>
      </c>
      <c r="BK40" s="128">
        <v>903.02</v>
      </c>
      <c r="BL40" s="49">
        <f t="shared" si="33"/>
        <v>275.41301200000004</v>
      </c>
      <c r="BM40" s="49">
        <f t="shared" si="33"/>
        <v>698.76820799999996</v>
      </c>
      <c r="BN40" s="47">
        <f t="shared" si="33"/>
        <v>341.84933599999999</v>
      </c>
      <c r="BO40" s="47">
        <f t="shared" si="73"/>
        <v>245.20432443022241</v>
      </c>
      <c r="BP40" s="48">
        <f t="shared" si="74"/>
        <v>520.61733643022239</v>
      </c>
      <c r="BQ40" s="48">
        <f t="shared" si="75"/>
        <v>602.12319643022238</v>
      </c>
      <c r="BR40" s="93">
        <f t="shared" si="76"/>
        <v>294.11293840643305</v>
      </c>
      <c r="BS40" s="93">
        <f t="shared" si="77"/>
        <v>375.61879840643297</v>
      </c>
      <c r="BU40" s="128">
        <v>0.86670000000000003</v>
      </c>
      <c r="BV40" s="130">
        <v>1.1180000000000001</v>
      </c>
      <c r="BW40" s="128">
        <v>2.347</v>
      </c>
      <c r="BX40" s="128">
        <v>4465.58</v>
      </c>
      <c r="BY40" s="128">
        <v>1500.895</v>
      </c>
      <c r="BZ40" s="49">
        <f t="shared" si="34"/>
        <v>210.26142000000002</v>
      </c>
      <c r="CA40" s="49">
        <f t="shared" si="34"/>
        <v>451.80616000000003</v>
      </c>
      <c r="CB40" s="47">
        <f t="shared" si="34"/>
        <v>244.06452999999999</v>
      </c>
      <c r="CC40" s="47">
        <f t="shared" si="78"/>
        <v>166.55378004086049</v>
      </c>
      <c r="CD40" s="48">
        <f t="shared" si="79"/>
        <v>376.81520004086053</v>
      </c>
      <c r="CE40" s="48">
        <f t="shared" si="80"/>
        <v>374.29541004086053</v>
      </c>
      <c r="CF40" s="93">
        <f t="shared" si="81"/>
        <v>222.29627228423095</v>
      </c>
      <c r="CG40" s="93">
        <f t="shared" si="82"/>
        <v>219.77648228423098</v>
      </c>
      <c r="CI40" s="128">
        <v>0.78769999999999996</v>
      </c>
      <c r="CJ40" s="130">
        <v>0.75960000000000005</v>
      </c>
      <c r="CK40" s="128">
        <v>1.2633000000000001</v>
      </c>
      <c r="CL40" s="128">
        <v>10370.719999999999</v>
      </c>
      <c r="CM40" s="128">
        <v>3728.0057999999999</v>
      </c>
      <c r="CN40" s="49">
        <f t="shared" si="35"/>
        <v>167.21295599999999</v>
      </c>
      <c r="CO40" s="49">
        <f t="shared" si="35"/>
        <v>209.25460800000002</v>
      </c>
      <c r="CP40" s="47">
        <f t="shared" si="35"/>
        <v>0.49268700000000004</v>
      </c>
      <c r="CQ40" s="47">
        <f t="shared" si="83"/>
        <v>0.27385367269435201</v>
      </c>
      <c r="CR40" s="48">
        <f t="shared" si="84"/>
        <v>167.48680967269433</v>
      </c>
      <c r="CS40" s="48">
        <f t="shared" si="85"/>
        <v>209.03577467269437</v>
      </c>
      <c r="CT40" s="93">
        <f t="shared" si="86"/>
        <v>167.24610494675937</v>
      </c>
      <c r="CU40" s="93">
        <f t="shared" si="87"/>
        <v>208.79506994675941</v>
      </c>
      <c r="CW40" s="128">
        <v>0.5554</v>
      </c>
      <c r="CX40" s="130">
        <v>0.58850000000000002</v>
      </c>
      <c r="CY40" s="128">
        <v>1.0325</v>
      </c>
      <c r="CZ40" s="128">
        <v>4036.0749999999998</v>
      </c>
      <c r="DA40" s="128">
        <v>1085.3942</v>
      </c>
      <c r="DB40" s="49">
        <f t="shared" si="36"/>
        <v>119.24993400000001</v>
      </c>
      <c r="DC40" s="49">
        <f t="shared" si="36"/>
        <v>176.57354000000001</v>
      </c>
      <c r="DD40" s="47">
        <f t="shared" si="36"/>
        <v>0.278775</v>
      </c>
      <c r="DE40" s="47">
        <f t="shared" si="88"/>
        <v>0.16639750709404486</v>
      </c>
      <c r="DF40" s="48">
        <f t="shared" si="89"/>
        <v>119.41633150709406</v>
      </c>
      <c r="DG40" s="48">
        <f t="shared" si="90"/>
        <v>176.46116250709406</v>
      </c>
      <c r="DH40" s="93">
        <f t="shared" si="91"/>
        <v>119.272921198818</v>
      </c>
      <c r="DI40" s="93">
        <f t="shared" si="92"/>
        <v>176.317752198818</v>
      </c>
      <c r="DK40" s="128">
        <v>0.54320000000000002</v>
      </c>
      <c r="DL40" s="130">
        <v>0.5232</v>
      </c>
      <c r="DM40" s="128">
        <v>0.88790000000000002</v>
      </c>
      <c r="DN40" s="128">
        <v>1921.8907999999999</v>
      </c>
      <c r="DO40" s="128">
        <v>822.8125</v>
      </c>
      <c r="DP40" s="49">
        <f t="shared" si="37"/>
        <v>71.897952000000004</v>
      </c>
      <c r="DQ40" s="49">
        <f t="shared" si="37"/>
        <v>101.307216</v>
      </c>
      <c r="DR40" s="47">
        <f t="shared" si="37"/>
        <v>0.16870100000000002</v>
      </c>
      <c r="DS40" s="47">
        <f t="shared" si="93"/>
        <v>9.8672740794985975E-2</v>
      </c>
      <c r="DT40" s="48">
        <f t="shared" si="94"/>
        <v>71.996624740794985</v>
      </c>
      <c r="DU40" s="48">
        <f t="shared" si="95"/>
        <v>101.23718774079498</v>
      </c>
      <c r="DV40" s="93">
        <f t="shared" si="96"/>
        <v>71.920078449529996</v>
      </c>
      <c r="DW40" s="93">
        <f t="shared" si="97"/>
        <v>101.16064144952999</v>
      </c>
      <c r="EB40" s="52"/>
      <c r="EC40" s="52"/>
      <c r="ED40" s="52"/>
      <c r="EE40" s="55">
        <f t="shared" si="98"/>
        <v>21093.986699999998</v>
      </c>
      <c r="EF40" s="55">
        <f t="shared" si="98"/>
        <v>6898.0349999999999</v>
      </c>
      <c r="EG40" s="55">
        <f t="shared" si="98"/>
        <v>1334.1152312000002</v>
      </c>
      <c r="EH40" s="55">
        <f t="shared" si="98"/>
        <v>2863.5321400000003</v>
      </c>
      <c r="EI40" s="298">
        <f t="shared" si="38"/>
        <v>0.75357138995073014</v>
      </c>
      <c r="EJ40" s="52"/>
      <c r="EK40" s="55">
        <f t="shared" si="99"/>
        <v>1672.0967101547521</v>
      </c>
      <c r="EL40" s="55">
        <f t="shared" si="99"/>
        <v>2515.6754939547523</v>
      </c>
      <c r="EM40" s="55">
        <f t="shared" si="39"/>
        <v>1367.8531473983428</v>
      </c>
      <c r="EN40" s="55">
        <f t="shared" si="39"/>
        <v>2211.4319311983427</v>
      </c>
      <c r="EP40" s="52"/>
      <c r="EQ40" s="52"/>
      <c r="ER40" s="52"/>
      <c r="ES40" s="55">
        <f t="shared" si="40"/>
        <v>17578.505000000001</v>
      </c>
      <c r="ET40" s="55">
        <f t="shared" si="40"/>
        <v>6030.6049999999996</v>
      </c>
      <c r="EU40" s="55">
        <f t="shared" si="40"/>
        <v>933.3396808</v>
      </c>
      <c r="EV40" s="55">
        <f t="shared" si="40"/>
        <v>2112.4248729999999</v>
      </c>
      <c r="EW40" s="298">
        <f t="shared" si="41"/>
        <v>0.74456449226590926</v>
      </c>
      <c r="EX40" s="52"/>
      <c r="EY40" s="55">
        <f t="shared" si="42"/>
        <v>1412.1802616921293</v>
      </c>
      <c r="EZ40" s="55">
        <f t="shared" si="42"/>
        <v>1927.5967883921294</v>
      </c>
      <c r="FA40" s="55">
        <f t="shared" si="42"/>
        <v>969.38771467194999</v>
      </c>
      <c r="FB40" s="55">
        <f t="shared" si="42"/>
        <v>1484.8042413719502</v>
      </c>
      <c r="FD40" s="52"/>
      <c r="FE40" s="52"/>
      <c r="FF40" s="52"/>
      <c r="FG40" s="55">
        <f t="shared" si="43"/>
        <v>16815.532500000001</v>
      </c>
      <c r="FH40" s="55">
        <f t="shared" si="43"/>
        <v>6063.7965999999997</v>
      </c>
      <c r="FI40" s="55">
        <f t="shared" si="43"/>
        <v>678.81004319999988</v>
      </c>
      <c r="FJ40" s="55">
        <f t="shared" si="43"/>
        <v>1558.9616886000001</v>
      </c>
      <c r="FK40" s="298">
        <f t="shared" si="44"/>
        <v>0.73496615335630622</v>
      </c>
      <c r="FL40" s="52"/>
      <c r="FM40" s="55">
        <f t="shared" si="45"/>
        <v>1010.795827989201</v>
      </c>
      <c r="FN40" s="55">
        <f t="shared" si="45"/>
        <v>1430.2676287892009</v>
      </c>
      <c r="FO40" s="55">
        <f t="shared" si="45"/>
        <v>702.69375837855989</v>
      </c>
      <c r="FP40" s="55">
        <f t="shared" si="45"/>
        <v>1122.16555917856</v>
      </c>
      <c r="FR40" s="52"/>
      <c r="FS40" s="52"/>
      <c r="FT40" s="52"/>
      <c r="FU40" s="55">
        <f t="shared" si="46"/>
        <v>14406.794999999998</v>
      </c>
      <c r="FV40" s="55">
        <f t="shared" si="46"/>
        <v>4813.3999999999996</v>
      </c>
      <c r="FW40" s="55">
        <f t="shared" si="46"/>
        <v>262.61290320000001</v>
      </c>
      <c r="FX40" s="55">
        <f t="shared" si="46"/>
        <v>350.51344000000006</v>
      </c>
      <c r="FY40" s="298">
        <f t="shared" si="47"/>
        <v>0.74956549608367651</v>
      </c>
      <c r="FZ40" s="52"/>
      <c r="GA40" s="55">
        <f t="shared" si="48"/>
        <v>263.01987487836959</v>
      </c>
      <c r="GB40" s="55">
        <f t="shared" si="48"/>
        <v>350.20470467836964</v>
      </c>
      <c r="GC40" s="55">
        <f t="shared" si="48"/>
        <v>262.66444190581376</v>
      </c>
      <c r="GD40" s="55">
        <f t="shared" si="48"/>
        <v>349.84927170581381</v>
      </c>
      <c r="GF40" s="52"/>
      <c r="GG40" s="52"/>
      <c r="GH40" s="52"/>
      <c r="GI40" s="55">
        <f t="shared" si="49"/>
        <v>7485.33</v>
      </c>
      <c r="GJ40" s="55">
        <f t="shared" si="49"/>
        <v>2536.8467000000001</v>
      </c>
      <c r="GK40" s="56">
        <f t="shared" si="50"/>
        <v>114.77751299999997</v>
      </c>
      <c r="GL40" s="56">
        <f t="shared" si="50"/>
        <v>299.32852500000001</v>
      </c>
      <c r="GM40" s="298">
        <f t="shared" si="51"/>
        <v>0.74687667400635627</v>
      </c>
      <c r="GN40" s="52"/>
      <c r="GO40" s="56">
        <f t="shared" si="52"/>
        <v>193.35147367705423</v>
      </c>
      <c r="GP40" s="56">
        <f t="shared" si="52"/>
        <v>270.58142317705432</v>
      </c>
      <c r="GQ40" s="56">
        <f t="shared" si="52"/>
        <v>119.74474654310376</v>
      </c>
      <c r="GR40" s="56">
        <f t="shared" si="52"/>
        <v>196.97469604310382</v>
      </c>
    </row>
    <row r="41" spans="1:200" x14ac:dyDescent="0.2">
      <c r="A41" s="118">
        <v>31</v>
      </c>
      <c r="C41" s="128">
        <v>0.72040000000000004</v>
      </c>
      <c r="D41" s="128">
        <v>0.90280000000000005</v>
      </c>
      <c r="E41" s="128">
        <v>1.8025</v>
      </c>
      <c r="F41" s="128">
        <v>4719.0433000000003</v>
      </c>
      <c r="G41" s="128">
        <v>1419.7225000000001</v>
      </c>
      <c r="H41" s="49">
        <f t="shared" si="29"/>
        <v>721.42296799999997</v>
      </c>
      <c r="I41" s="49">
        <f t="shared" si="29"/>
        <v>1713.15328</v>
      </c>
      <c r="J41" s="47">
        <f t="shared" si="29"/>
        <v>327.94684999999998</v>
      </c>
      <c r="K41" s="47">
        <f t="shared" si="53"/>
        <v>75.844809350623052</v>
      </c>
      <c r="L41" s="48">
        <f t="shared" si="54"/>
        <v>797.26777735062296</v>
      </c>
      <c r="M41" s="48">
        <f t="shared" si="55"/>
        <v>1461.0512393506231</v>
      </c>
      <c r="N41" s="93">
        <f t="shared" si="56"/>
        <v>736.45151515082625</v>
      </c>
      <c r="O41" s="93">
        <f t="shared" si="57"/>
        <v>1400.2349771508261</v>
      </c>
      <c r="Q41" s="128">
        <v>0.64429999999999998</v>
      </c>
      <c r="R41" s="130">
        <v>0.92989999999999995</v>
      </c>
      <c r="S41" s="128">
        <v>1.5887</v>
      </c>
      <c r="T41" s="128">
        <v>782.02499999999998</v>
      </c>
      <c r="U41" s="128">
        <v>378.98579999999998</v>
      </c>
      <c r="V41" s="49">
        <f t="shared" si="30"/>
        <v>410.03896299999997</v>
      </c>
      <c r="W41" s="49">
        <f t="shared" si="30"/>
        <v>1107.966551</v>
      </c>
      <c r="X41" s="47">
        <f t="shared" si="30"/>
        <v>351.84938899999997</v>
      </c>
      <c r="Y41" s="47">
        <f t="shared" si="58"/>
        <v>256.80891828551506</v>
      </c>
      <c r="Z41" s="48">
        <f t="shared" si="59"/>
        <v>666.84788128551509</v>
      </c>
      <c r="AA41" s="48">
        <f t="shared" si="60"/>
        <v>1012.9260802855151</v>
      </c>
      <c r="AB41" s="93">
        <f t="shared" si="61"/>
        <v>427.33783047958497</v>
      </c>
      <c r="AC41" s="93">
        <f t="shared" si="62"/>
        <v>773.41602947958506</v>
      </c>
      <c r="AE41" s="128">
        <v>0.56840000000000002</v>
      </c>
      <c r="AF41" s="130">
        <v>0.83650000000000002</v>
      </c>
      <c r="AG41" s="128">
        <v>1.5662</v>
      </c>
      <c r="AH41" s="128">
        <v>68.75</v>
      </c>
      <c r="AI41" s="128">
        <v>32.75</v>
      </c>
      <c r="AJ41" s="49">
        <f t="shared" si="31"/>
        <v>261.50947200000002</v>
      </c>
      <c r="AK41" s="49">
        <f t="shared" si="31"/>
        <v>878.93564500000002</v>
      </c>
      <c r="AL41" s="47">
        <f t="shared" si="31"/>
        <v>258.40733800000004</v>
      </c>
      <c r="AM41" s="47">
        <f t="shared" si="63"/>
        <v>199.1533103278332</v>
      </c>
      <c r="AN41" s="48">
        <f t="shared" si="64"/>
        <v>460.66278232783321</v>
      </c>
      <c r="AO41" s="48">
        <f t="shared" si="65"/>
        <v>819.68161732783324</v>
      </c>
      <c r="AP41" s="93">
        <f t="shared" si="66"/>
        <v>273.31191007785156</v>
      </c>
      <c r="AQ41" s="93">
        <f t="shared" si="67"/>
        <v>632.33074507785159</v>
      </c>
      <c r="AS41" s="128">
        <v>0.98680000000000001</v>
      </c>
      <c r="AT41" s="130">
        <v>1.2412000000000001</v>
      </c>
      <c r="AU41" s="128">
        <v>1.8041</v>
      </c>
      <c r="AV41" s="128">
        <v>3891.0266999999999</v>
      </c>
      <c r="AW41" s="128">
        <v>1327.6167</v>
      </c>
      <c r="AX41" s="49">
        <f t="shared" si="32"/>
        <v>346.01155199999999</v>
      </c>
      <c r="AY41" s="49">
        <f t="shared" si="32"/>
        <v>875.02117600000008</v>
      </c>
      <c r="AZ41" s="47">
        <f t="shared" si="32"/>
        <v>456.22080799999998</v>
      </c>
      <c r="BA41" s="47">
        <f t="shared" si="68"/>
        <v>326.93871243378351</v>
      </c>
      <c r="BB41" s="48">
        <f t="shared" si="69"/>
        <v>672.95026443378356</v>
      </c>
      <c r="BC41" s="48">
        <f t="shared" si="70"/>
        <v>745.73908043378356</v>
      </c>
      <c r="BD41" s="93">
        <f t="shared" si="71"/>
        <v>364.66938234170266</v>
      </c>
      <c r="BE41" s="93">
        <f t="shared" si="72"/>
        <v>437.45819834170277</v>
      </c>
      <c r="BG41" s="128">
        <v>0.82969999999999999</v>
      </c>
      <c r="BH41" s="130">
        <v>1.1835</v>
      </c>
      <c r="BI41" s="128">
        <v>1.8067</v>
      </c>
      <c r="BJ41" s="128">
        <v>3287.5974999999999</v>
      </c>
      <c r="BK41" s="128">
        <v>1118.6992</v>
      </c>
      <c r="BL41" s="49">
        <f t="shared" si="33"/>
        <v>272.49007399999999</v>
      </c>
      <c r="BM41" s="49">
        <f t="shared" si="33"/>
        <v>715.63877999999988</v>
      </c>
      <c r="BN41" s="47">
        <f t="shared" si="33"/>
        <v>383.99601799999999</v>
      </c>
      <c r="BO41" s="47">
        <f t="shared" si="73"/>
        <v>278.10385329196959</v>
      </c>
      <c r="BP41" s="48">
        <f t="shared" si="74"/>
        <v>550.59392729196952</v>
      </c>
      <c r="BQ41" s="48">
        <f t="shared" si="75"/>
        <v>609.74661529196942</v>
      </c>
      <c r="BR41" s="93">
        <f t="shared" si="76"/>
        <v>291.190000406433</v>
      </c>
      <c r="BS41" s="93">
        <f t="shared" si="77"/>
        <v>350.3426884064329</v>
      </c>
      <c r="BU41" s="128">
        <v>0.85919999999999996</v>
      </c>
      <c r="BV41" s="130">
        <v>1.1529</v>
      </c>
      <c r="BW41" s="128">
        <v>2.4775999999999998</v>
      </c>
      <c r="BX41" s="128">
        <v>5440.7183000000005</v>
      </c>
      <c r="BY41" s="128">
        <v>1919.2025000000001</v>
      </c>
      <c r="BZ41" s="49">
        <f t="shared" si="34"/>
        <v>208.44191999999998</v>
      </c>
      <c r="CA41" s="49">
        <f t="shared" si="34"/>
        <v>465.90994800000004</v>
      </c>
      <c r="CB41" s="47">
        <f t="shared" si="34"/>
        <v>257.64562399999994</v>
      </c>
      <c r="CC41" s="47">
        <f t="shared" si="78"/>
        <v>178.00745423347377</v>
      </c>
      <c r="CD41" s="48">
        <f t="shared" si="79"/>
        <v>386.44937423347375</v>
      </c>
      <c r="CE41" s="48">
        <f t="shared" si="80"/>
        <v>386.27177823347387</v>
      </c>
      <c r="CF41" s="93">
        <f t="shared" si="81"/>
        <v>220.47677228423092</v>
      </c>
      <c r="CG41" s="93">
        <f t="shared" si="82"/>
        <v>220.29917628423104</v>
      </c>
      <c r="CI41" s="128">
        <v>0.81089999999999995</v>
      </c>
      <c r="CJ41" s="130">
        <v>0.79810000000000003</v>
      </c>
      <c r="CK41" s="128">
        <v>1.4339</v>
      </c>
      <c r="CL41" s="128">
        <v>12989.213299999999</v>
      </c>
      <c r="CM41" s="128">
        <v>4604.0907999999999</v>
      </c>
      <c r="CN41" s="49">
        <f t="shared" si="35"/>
        <v>172.13785199999998</v>
      </c>
      <c r="CO41" s="49">
        <f t="shared" si="35"/>
        <v>219.86058800000004</v>
      </c>
      <c r="CP41" s="47">
        <f t="shared" si="35"/>
        <v>0.55922099999999997</v>
      </c>
      <c r="CQ41" s="47">
        <f t="shared" si="83"/>
        <v>0.31365088565645316</v>
      </c>
      <c r="CR41" s="48">
        <f t="shared" si="84"/>
        <v>172.45150288565642</v>
      </c>
      <c r="CS41" s="48">
        <f t="shared" si="85"/>
        <v>219.61501788565647</v>
      </c>
      <c r="CT41" s="93">
        <f t="shared" si="86"/>
        <v>172.17100094675936</v>
      </c>
      <c r="CU41" s="93">
        <f t="shared" si="87"/>
        <v>219.33451594675941</v>
      </c>
      <c r="CW41" s="128">
        <v>0.60270000000000001</v>
      </c>
      <c r="CX41" s="130">
        <v>0.6341</v>
      </c>
      <c r="CY41" s="128">
        <v>1.1405000000000001</v>
      </c>
      <c r="CZ41" s="128">
        <v>5091.3167000000003</v>
      </c>
      <c r="DA41" s="128">
        <v>1566.6767</v>
      </c>
      <c r="DB41" s="49">
        <f t="shared" si="36"/>
        <v>129.40571700000001</v>
      </c>
      <c r="DC41" s="49">
        <f t="shared" si="36"/>
        <v>190.25536400000001</v>
      </c>
      <c r="DD41" s="47">
        <f t="shared" si="36"/>
        <v>0.30793500000000001</v>
      </c>
      <c r="DE41" s="47">
        <f t="shared" si="88"/>
        <v>0.1832762541190931</v>
      </c>
      <c r="DF41" s="48">
        <f t="shared" si="89"/>
        <v>129.58899325411909</v>
      </c>
      <c r="DG41" s="48">
        <f t="shared" si="90"/>
        <v>190.13070525411911</v>
      </c>
      <c r="DH41" s="93">
        <f t="shared" si="91"/>
        <v>129.428704198818</v>
      </c>
      <c r="DI41" s="93">
        <f t="shared" si="92"/>
        <v>189.97041619881801</v>
      </c>
      <c r="DK41" s="128">
        <v>0.58530000000000004</v>
      </c>
      <c r="DL41" s="130">
        <v>0.57440000000000002</v>
      </c>
      <c r="DM41" s="128">
        <v>0.95989999999999998</v>
      </c>
      <c r="DN41" s="128">
        <v>2312.6491999999998</v>
      </c>
      <c r="DO41" s="128">
        <v>924.26329999999996</v>
      </c>
      <c r="DP41" s="49">
        <f t="shared" si="37"/>
        <v>77.470308000000017</v>
      </c>
      <c r="DQ41" s="49">
        <f t="shared" si="37"/>
        <v>111.22107200000001</v>
      </c>
      <c r="DR41" s="47">
        <f t="shared" si="37"/>
        <v>0.18238099999999999</v>
      </c>
      <c r="DS41" s="47">
        <f t="shared" si="93"/>
        <v>0.10750152090907383</v>
      </c>
      <c r="DT41" s="48">
        <f t="shared" si="94"/>
        <v>77.577809520909085</v>
      </c>
      <c r="DU41" s="48">
        <f t="shared" si="95"/>
        <v>111.14619252090907</v>
      </c>
      <c r="DV41" s="93">
        <f t="shared" si="96"/>
        <v>77.492434449530009</v>
      </c>
      <c r="DW41" s="93">
        <f t="shared" si="97"/>
        <v>111.06081744952999</v>
      </c>
      <c r="EB41" s="52"/>
      <c r="EC41" s="52"/>
      <c r="ED41" s="52"/>
      <c r="EE41" s="55">
        <f t="shared" si="98"/>
        <v>26690.6</v>
      </c>
      <c r="EF41" s="55">
        <f t="shared" si="98"/>
        <v>8918.1067000000003</v>
      </c>
      <c r="EG41" s="55">
        <f t="shared" si="98"/>
        <v>1343.0969456</v>
      </c>
      <c r="EH41" s="55">
        <f t="shared" si="98"/>
        <v>2960.2393352000004</v>
      </c>
      <c r="EI41" s="298">
        <f t="shared" si="38"/>
        <v>0.74955263679935902</v>
      </c>
      <c r="EJ41" s="52"/>
      <c r="EK41" s="55">
        <f t="shared" si="99"/>
        <v>1746.3407392733584</v>
      </c>
      <c r="EL41" s="55">
        <f t="shared" si="99"/>
        <v>2578.5099018733586</v>
      </c>
      <c r="EM41" s="55">
        <f t="shared" si="39"/>
        <v>1376.8348617983424</v>
      </c>
      <c r="EN41" s="55">
        <f t="shared" si="39"/>
        <v>2209.0040243983431</v>
      </c>
      <c r="EP41" s="52"/>
      <c r="EQ41" s="52"/>
      <c r="ER41" s="52"/>
      <c r="ES41" s="55">
        <f t="shared" si="40"/>
        <v>22150.1525</v>
      </c>
      <c r="ET41" s="55">
        <f t="shared" si="40"/>
        <v>7668.4524999999994</v>
      </c>
      <c r="EU41" s="55">
        <f t="shared" si="40"/>
        <v>945.25089089999994</v>
      </c>
      <c r="EV41" s="55">
        <f t="shared" si="40"/>
        <v>2176.6446738</v>
      </c>
      <c r="EW41" s="298">
        <f t="shared" si="41"/>
        <v>0.74282993788609497</v>
      </c>
      <c r="EX41" s="52"/>
      <c r="EY41" s="55">
        <f t="shared" si="42"/>
        <v>1480.6056067410245</v>
      </c>
      <c r="EZ41" s="55">
        <f t="shared" si="42"/>
        <v>1975.3792071410244</v>
      </c>
      <c r="FA41" s="55">
        <f t="shared" si="42"/>
        <v>981.29892477194983</v>
      </c>
      <c r="FB41" s="55">
        <f t="shared" si="42"/>
        <v>1476.07252517195</v>
      </c>
      <c r="FD41" s="52"/>
      <c r="FE41" s="52"/>
      <c r="FF41" s="52"/>
      <c r="FG41" s="55">
        <f t="shared" si="43"/>
        <v>20811.3308</v>
      </c>
      <c r="FH41" s="55">
        <f t="shared" si="43"/>
        <v>7480.3065999999999</v>
      </c>
      <c r="FI41" s="55">
        <f t="shared" si="43"/>
        <v>688.57142880000004</v>
      </c>
      <c r="FJ41" s="55">
        <f t="shared" si="43"/>
        <v>1631.4388242</v>
      </c>
      <c r="FK41" s="298">
        <f t="shared" si="44"/>
        <v>0.73560008230559326</v>
      </c>
      <c r="FL41" s="52"/>
      <c r="FM41" s="55">
        <f t="shared" si="45"/>
        <v>1066.1103451595088</v>
      </c>
      <c r="FN41" s="55">
        <f t="shared" si="45"/>
        <v>1492.2561289595092</v>
      </c>
      <c r="FO41" s="55">
        <f t="shared" si="45"/>
        <v>712.45514397855982</v>
      </c>
      <c r="FP41" s="55">
        <f t="shared" si="45"/>
        <v>1138.6009277785599</v>
      </c>
      <c r="FR41" s="52"/>
      <c r="FS41" s="52"/>
      <c r="FT41" s="52"/>
      <c r="FU41" s="55">
        <f t="shared" si="46"/>
        <v>18080.53</v>
      </c>
      <c r="FV41" s="55">
        <f t="shared" si="46"/>
        <v>6170.7674999999999</v>
      </c>
      <c r="FW41" s="55">
        <f t="shared" si="46"/>
        <v>275.66242560000001</v>
      </c>
      <c r="FX41" s="55">
        <f t="shared" si="46"/>
        <v>372.06487920000006</v>
      </c>
      <c r="FY41" s="298">
        <f t="shared" si="47"/>
        <v>0.7455489752661687</v>
      </c>
      <c r="FZ41" s="52"/>
      <c r="GA41" s="55">
        <f t="shared" si="48"/>
        <v>276.1226974889517</v>
      </c>
      <c r="GB41" s="55">
        <f t="shared" si="48"/>
        <v>371.71958208895177</v>
      </c>
      <c r="GC41" s="55">
        <f t="shared" si="48"/>
        <v>275.71396430581376</v>
      </c>
      <c r="GD41" s="55">
        <f t="shared" si="48"/>
        <v>371.31084890581383</v>
      </c>
      <c r="GF41" s="52"/>
      <c r="GG41" s="52"/>
      <c r="GH41" s="52"/>
      <c r="GI41" s="55">
        <f t="shared" si="49"/>
        <v>9331.7450000000008</v>
      </c>
      <c r="GJ41" s="55">
        <f t="shared" si="49"/>
        <v>3246.8191999999999</v>
      </c>
      <c r="GK41" s="56">
        <f t="shared" si="50"/>
        <v>103.17722400000001</v>
      </c>
      <c r="GL41" s="56">
        <f t="shared" si="50"/>
        <v>306.83342100000004</v>
      </c>
      <c r="GM41" s="298">
        <f t="shared" si="51"/>
        <v>0.74187680339541462</v>
      </c>
      <c r="GN41" s="52"/>
      <c r="GO41" s="56">
        <f t="shared" si="52"/>
        <v>214.87566765023234</v>
      </c>
      <c r="GP41" s="56">
        <f t="shared" si="52"/>
        <v>269.60047665023228</v>
      </c>
      <c r="GQ41" s="56">
        <f t="shared" si="52"/>
        <v>108.14445754310381</v>
      </c>
      <c r="GR41" s="56">
        <f t="shared" si="52"/>
        <v>162.86926654310381</v>
      </c>
    </row>
    <row r="42" spans="1:200" x14ac:dyDescent="0.2">
      <c r="A42" s="118">
        <v>32</v>
      </c>
      <c r="C42" s="128">
        <v>0.73860000000000003</v>
      </c>
      <c r="D42" s="128">
        <v>0.92869999999999997</v>
      </c>
      <c r="E42" s="128">
        <v>1.9418</v>
      </c>
      <c r="F42" s="128">
        <v>6043.8141999999998</v>
      </c>
      <c r="G42" s="128">
        <v>1697.6683</v>
      </c>
      <c r="H42" s="49">
        <f t="shared" ref="H42:J73" si="100" xml:space="preserve"> C42 * C$8</f>
        <v>739.64881200000002</v>
      </c>
      <c r="I42" s="49">
        <f t="shared" si="100"/>
        <v>1762.3011199999999</v>
      </c>
      <c r="J42" s="47">
        <f t="shared" si="100"/>
        <v>353.29109199999999</v>
      </c>
      <c r="K42" s="47">
        <f t="shared" si="53"/>
        <v>77.474965235765069</v>
      </c>
      <c r="L42" s="48">
        <f t="shared" si="54"/>
        <v>817.12377723576515</v>
      </c>
      <c r="M42" s="48">
        <f t="shared" si="55"/>
        <v>1486.4849932357649</v>
      </c>
      <c r="N42" s="93">
        <f t="shared" si="56"/>
        <v>754.67735915082631</v>
      </c>
      <c r="O42" s="93">
        <f t="shared" si="57"/>
        <v>1424.0385751508261</v>
      </c>
      <c r="Q42" s="128">
        <v>0.65739999999999998</v>
      </c>
      <c r="R42" s="130">
        <v>0.95209999999999995</v>
      </c>
      <c r="S42" s="128">
        <v>1.6904999999999999</v>
      </c>
      <c r="T42" s="128">
        <v>992.14829999999995</v>
      </c>
      <c r="U42" s="128">
        <v>451.08170000000001</v>
      </c>
      <c r="V42" s="49">
        <f t="shared" ref="V42:X73" si="101" xml:space="preserve"> Q42 * Q$8</f>
        <v>418.37593399999997</v>
      </c>
      <c r="W42" s="49">
        <f t="shared" si="101"/>
        <v>1134.417629</v>
      </c>
      <c r="X42" s="47">
        <f t="shared" si="101"/>
        <v>374.39503499999995</v>
      </c>
      <c r="Y42" s="47">
        <f t="shared" si="58"/>
        <v>273.52014977027051</v>
      </c>
      <c r="Z42" s="48">
        <f t="shared" si="59"/>
        <v>691.89608377027048</v>
      </c>
      <c r="AA42" s="48">
        <f t="shared" si="60"/>
        <v>1033.5427437702706</v>
      </c>
      <c r="AB42" s="93">
        <f t="shared" si="61"/>
        <v>435.67480147958497</v>
      </c>
      <c r="AC42" s="93">
        <f t="shared" si="62"/>
        <v>777.32146147958508</v>
      </c>
      <c r="AE42" s="128">
        <v>0.58209999999999995</v>
      </c>
      <c r="AF42" s="130">
        <v>0.876</v>
      </c>
      <c r="AG42" s="128">
        <v>1.7090000000000001</v>
      </c>
      <c r="AH42" s="128">
        <v>88.426699999999997</v>
      </c>
      <c r="AI42" s="128">
        <v>41.333300000000001</v>
      </c>
      <c r="AJ42" s="49">
        <f t="shared" ref="AJ42:AL73" si="102" xml:space="preserve"> AE42 * AE$8</f>
        <v>267.81256799999994</v>
      </c>
      <c r="AK42" s="49">
        <f t="shared" si="102"/>
        <v>920.43948</v>
      </c>
      <c r="AL42" s="47">
        <f t="shared" si="102"/>
        <v>281.96791000000002</v>
      </c>
      <c r="AM42" s="47">
        <f t="shared" si="63"/>
        <v>218.41695698645819</v>
      </c>
      <c r="AN42" s="48">
        <f t="shared" si="64"/>
        <v>486.22952498645816</v>
      </c>
      <c r="AO42" s="48">
        <f t="shared" si="65"/>
        <v>856.88852698645815</v>
      </c>
      <c r="AP42" s="93">
        <f t="shared" si="66"/>
        <v>279.61500607785149</v>
      </c>
      <c r="AQ42" s="93">
        <f t="shared" si="67"/>
        <v>650.27400807785148</v>
      </c>
      <c r="AS42" s="128">
        <v>0.94630000000000003</v>
      </c>
      <c r="AT42" s="130">
        <v>1.2676000000000001</v>
      </c>
      <c r="AU42" s="128">
        <v>2.0363000000000002</v>
      </c>
      <c r="AV42" s="128">
        <v>5122.1508000000003</v>
      </c>
      <c r="AW42" s="128">
        <v>1630.97</v>
      </c>
      <c r="AX42" s="49">
        <f t="shared" ref="AX42:AZ73" si="103" xml:space="preserve"> AS42 * AS$8</f>
        <v>331.810632</v>
      </c>
      <c r="AY42" s="49">
        <f t="shared" si="103"/>
        <v>893.63264800000002</v>
      </c>
      <c r="AZ42" s="47">
        <f t="shared" si="103"/>
        <v>514.93954400000007</v>
      </c>
      <c r="BA42" s="47">
        <f t="shared" si="68"/>
        <v>375.51047508672337</v>
      </c>
      <c r="BB42" s="48">
        <f t="shared" si="69"/>
        <v>707.32110708672337</v>
      </c>
      <c r="BC42" s="48">
        <f t="shared" si="70"/>
        <v>754.20357908672327</v>
      </c>
      <c r="BD42" s="93">
        <f t="shared" si="71"/>
        <v>350.46846234170266</v>
      </c>
      <c r="BE42" s="93">
        <f t="shared" si="72"/>
        <v>397.35093434170261</v>
      </c>
      <c r="BG42" s="128">
        <v>0.82499999999999996</v>
      </c>
      <c r="BH42" s="130">
        <v>1.2040999999999999</v>
      </c>
      <c r="BI42" s="128">
        <v>1.9655</v>
      </c>
      <c r="BJ42" s="128">
        <v>4043.7325000000001</v>
      </c>
      <c r="BK42" s="128">
        <v>1303.1792</v>
      </c>
      <c r="BL42" s="49">
        <f t="shared" ref="BL42:BN73" si="104" xml:space="preserve"> BG42 * BG$8</f>
        <v>270.94650000000001</v>
      </c>
      <c r="BM42" s="49">
        <f t="shared" si="104"/>
        <v>728.09518799999989</v>
      </c>
      <c r="BN42" s="47">
        <f t="shared" si="104"/>
        <v>417.74736999999999</v>
      </c>
      <c r="BO42" s="47">
        <f t="shared" si="73"/>
        <v>304.45160952748506</v>
      </c>
      <c r="BP42" s="48">
        <f t="shared" si="74"/>
        <v>575.39810952748508</v>
      </c>
      <c r="BQ42" s="48">
        <f t="shared" si="75"/>
        <v>614.79942752748502</v>
      </c>
      <c r="BR42" s="93">
        <f t="shared" si="76"/>
        <v>289.64642640643302</v>
      </c>
      <c r="BS42" s="93">
        <f t="shared" si="77"/>
        <v>329.04774440643291</v>
      </c>
      <c r="BU42" s="128">
        <v>0.85350000000000004</v>
      </c>
      <c r="BV42" s="130">
        <v>1.1787000000000001</v>
      </c>
      <c r="BW42" s="128">
        <v>2.5198999999999998</v>
      </c>
      <c r="BX42" s="128">
        <v>6518.4183000000003</v>
      </c>
      <c r="BY42" s="128">
        <v>2188.1017000000002</v>
      </c>
      <c r="BZ42" s="49">
        <f t="shared" ref="BZ42:CB73" si="105" xml:space="preserve"> BU42 * BU$8</f>
        <v>207.0591</v>
      </c>
      <c r="CA42" s="49">
        <f t="shared" si="105"/>
        <v>476.33624400000002</v>
      </c>
      <c r="CB42" s="47">
        <f t="shared" si="105"/>
        <v>262.04440099999999</v>
      </c>
      <c r="CC42" s="47">
        <f t="shared" si="78"/>
        <v>182.64866278276816</v>
      </c>
      <c r="CD42" s="48">
        <f t="shared" si="79"/>
        <v>389.70776278276816</v>
      </c>
      <c r="CE42" s="48">
        <f t="shared" si="80"/>
        <v>396.94050578276818</v>
      </c>
      <c r="CF42" s="93">
        <f t="shared" si="81"/>
        <v>219.09395228423094</v>
      </c>
      <c r="CG42" s="93">
        <f t="shared" si="82"/>
        <v>226.32669528423096</v>
      </c>
      <c r="CI42" s="128">
        <v>0.83440000000000003</v>
      </c>
      <c r="CJ42" s="130">
        <v>0.83660000000000001</v>
      </c>
      <c r="CK42" s="128">
        <v>1.5795999999999999</v>
      </c>
      <c r="CL42" s="128">
        <v>16064.525799999999</v>
      </c>
      <c r="CM42" s="128">
        <v>5366.5842000000002</v>
      </c>
      <c r="CN42" s="49">
        <f t="shared" ref="CN42:CP73" si="106" xml:space="preserve"> CI42 * CI$8</f>
        <v>177.12643199999999</v>
      </c>
      <c r="CO42" s="49">
        <f t="shared" si="106"/>
        <v>230.46656800000002</v>
      </c>
      <c r="CP42" s="47">
        <f t="shared" si="106"/>
        <v>0.61604399999999992</v>
      </c>
      <c r="CQ42" s="47">
        <f t="shared" si="83"/>
        <v>0.34833166030081969</v>
      </c>
      <c r="CR42" s="48">
        <f t="shared" si="84"/>
        <v>177.47476366030082</v>
      </c>
      <c r="CS42" s="48">
        <f t="shared" si="85"/>
        <v>230.19885566030086</v>
      </c>
      <c r="CT42" s="93">
        <f t="shared" si="86"/>
        <v>177.15958094675938</v>
      </c>
      <c r="CU42" s="93">
        <f t="shared" si="87"/>
        <v>229.88367294675942</v>
      </c>
      <c r="CW42" s="128">
        <v>0.65480000000000005</v>
      </c>
      <c r="CX42" s="130">
        <v>0.67949999999999999</v>
      </c>
      <c r="CY42" s="128">
        <v>1.2589999999999999</v>
      </c>
      <c r="CZ42" s="128">
        <v>6495.1324999999997</v>
      </c>
      <c r="DA42" s="128">
        <v>1809.7542000000001</v>
      </c>
      <c r="DB42" s="49">
        <f t="shared" ref="DB42:DD73" si="107" xml:space="preserve"> CW42 * CW$8</f>
        <v>140.59210800000002</v>
      </c>
      <c r="DC42" s="49">
        <f t="shared" si="107"/>
        <v>203.87718000000001</v>
      </c>
      <c r="DD42" s="47">
        <f t="shared" si="107"/>
        <v>0.33993000000000001</v>
      </c>
      <c r="DE42" s="47">
        <f t="shared" si="88"/>
        <v>0.20119056244398775</v>
      </c>
      <c r="DF42" s="48">
        <f t="shared" si="89"/>
        <v>140.79329856244402</v>
      </c>
      <c r="DG42" s="48">
        <f t="shared" si="90"/>
        <v>203.738440562444</v>
      </c>
      <c r="DH42" s="93">
        <f t="shared" si="91"/>
        <v>140.61509519881801</v>
      </c>
      <c r="DI42" s="93">
        <f t="shared" si="92"/>
        <v>203.56023719881799</v>
      </c>
      <c r="DK42" s="128">
        <v>0.62719999999999998</v>
      </c>
      <c r="DL42" s="130">
        <v>0.625</v>
      </c>
      <c r="DM42" s="128">
        <v>1.0250999999999999</v>
      </c>
      <c r="DN42" s="128">
        <v>2762.5967000000001</v>
      </c>
      <c r="DO42" s="128">
        <v>1042.3892000000001</v>
      </c>
      <c r="DP42" s="49">
        <f t="shared" ref="DP42:DR73" si="108" xml:space="preserve"> DK42 * DK$8</f>
        <v>83.016192000000004</v>
      </c>
      <c r="DQ42" s="49">
        <f t="shared" si="108"/>
        <v>121.01875</v>
      </c>
      <c r="DR42" s="47">
        <f t="shared" si="108"/>
        <v>0.19476899999999997</v>
      </c>
      <c r="DS42" s="47">
        <f t="shared" si="93"/>
        <v>0.11552286430796739</v>
      </c>
      <c r="DT42" s="48">
        <f t="shared" si="94"/>
        <v>83.131714864307966</v>
      </c>
      <c r="DU42" s="48">
        <f t="shared" si="95"/>
        <v>120.93950386430797</v>
      </c>
      <c r="DV42" s="93">
        <f t="shared" si="96"/>
        <v>83.038318449529996</v>
      </c>
      <c r="DW42" s="93">
        <f t="shared" si="97"/>
        <v>120.84610744953</v>
      </c>
      <c r="EB42" s="52"/>
      <c r="EC42" s="52"/>
      <c r="ED42" s="52"/>
      <c r="EE42" s="55">
        <f t="shared" si="98"/>
        <v>33725.623299999999</v>
      </c>
      <c r="EF42" s="55">
        <f t="shared" si="98"/>
        <v>10504.976699999999</v>
      </c>
      <c r="EG42" s="55">
        <f t="shared" si="98"/>
        <v>1361.0595624000002</v>
      </c>
      <c r="EH42" s="55">
        <f t="shared" si="98"/>
        <v>3049.5020799999998</v>
      </c>
      <c r="EI42" s="298">
        <f t="shared" ref="EI42:EI73" si="109" xml:space="preserve"> IF(   SUM(EE42:EF42) = 0,    IF( EG42&lt;EH42, lambdax_min, lambdax_max ),
                                                                   MAX( lambdax_min, MIN( lambdax_max, EE42 / SUM(EE42:EF42) ) )     )</f>
        <v>0.76249527024277308</v>
      </c>
      <c r="EJ42" s="52"/>
      <c r="EK42" s="55">
        <f t="shared" si="99"/>
        <v>1814.5542868327448</v>
      </c>
      <c r="EL42" s="55">
        <f t="shared" si="99"/>
        <v>2633.8781804327446</v>
      </c>
      <c r="EM42" s="55">
        <f t="shared" si="39"/>
        <v>1394.7974785983429</v>
      </c>
      <c r="EN42" s="55">
        <f t="shared" si="39"/>
        <v>2214.1213721983427</v>
      </c>
      <c r="EP42" s="52"/>
      <c r="EQ42" s="52"/>
      <c r="ER42" s="52"/>
      <c r="ES42" s="55">
        <f t="shared" ref="ES42:EV73" si="110" xml:space="preserve"> T42 + BJ42 + CL42 + ES$8 * CZ42</f>
        <v>27595.539099999998</v>
      </c>
      <c r="ET42" s="55">
        <f t="shared" si="110"/>
        <v>8930.5992999999999</v>
      </c>
      <c r="EU42" s="55">
        <f t="shared" si="110"/>
        <v>964.86334160000001</v>
      </c>
      <c r="EV42" s="55">
        <f t="shared" si="110"/>
        <v>2235.6934109999997</v>
      </c>
      <c r="EW42" s="298">
        <f t="shared" ref="EW42:EW73" si="111" xml:space="preserve"> IF(   SUM(ES42:ET42) = 0,    IF( EU42&lt;EV42, lambdax_min, lambdax_max ),
                                                                   MAX( lambdax_min, MIN( lambdax_max, ES42 / SUM(ES42:ET42) ) )     )</f>
        <v>0.75550113723491785</v>
      </c>
      <c r="EX42" s="52"/>
      <c r="EY42" s="55">
        <f t="shared" ref="EY42:FB73" si="112" xml:space="preserve"> Z42 + BP42 + CR42 + EY$8 * DF42</f>
        <v>1543.3242659517673</v>
      </c>
      <c r="EZ42" s="55">
        <f t="shared" si="112"/>
        <v>2021.1579353517673</v>
      </c>
      <c r="FA42" s="55">
        <f t="shared" si="112"/>
        <v>1000.9113754719501</v>
      </c>
      <c r="FB42" s="55">
        <f t="shared" si="112"/>
        <v>1478.7450448719499</v>
      </c>
      <c r="FD42" s="52"/>
      <c r="FE42" s="52"/>
      <c r="FF42" s="52"/>
      <c r="FG42" s="55">
        <f t="shared" ref="FG42:FJ73" si="113" xml:space="preserve"> AH42 + BX42 + CL42 + FG$8 * DN42</f>
        <v>25433.967499999999</v>
      </c>
      <c r="FH42" s="55">
        <f t="shared" si="113"/>
        <v>8638.4084000000003</v>
      </c>
      <c r="FI42" s="55">
        <f t="shared" si="113"/>
        <v>701.80781519999994</v>
      </c>
      <c r="FJ42" s="55">
        <f t="shared" si="113"/>
        <v>1699.8535420000001</v>
      </c>
      <c r="FK42" s="298">
        <f t="shared" ref="FK42:FK73" si="114" xml:space="preserve"> IF(   SUM(FG42:FH42) = 0,    IF( FI42&lt;FJ42, lambdax_min, lambdax_max ),
                                                                   MAX( lambdax_min, MIN( lambdax_max, FG42 / SUM(FG42:FH42) ) )     )</f>
        <v>0.74646885719525069</v>
      </c>
      <c r="FL42" s="52"/>
      <c r="FM42" s="55">
        <f t="shared" ref="FM42:FP73" si="115" xml:space="preserve"> AN42 + CD42 + CR42 + FM$8 * DT42</f>
        <v>1103.2910803481118</v>
      </c>
      <c r="FN42" s="55">
        <f t="shared" si="115"/>
        <v>1556.5915907481119</v>
      </c>
      <c r="FO42" s="55">
        <f t="shared" si="115"/>
        <v>725.69153037855972</v>
      </c>
      <c r="FP42" s="55">
        <f t="shared" si="115"/>
        <v>1178.9920407785598</v>
      </c>
      <c r="FR42" s="52"/>
      <c r="FS42" s="52"/>
      <c r="FT42" s="52"/>
      <c r="FU42" s="55">
        <f t="shared" ref="FU42:FX73" si="116" xml:space="preserve"> CL42 + FU$8 * CZ42</f>
        <v>22559.658299999999</v>
      </c>
      <c r="FV42" s="55">
        <f t="shared" si="116"/>
        <v>7176.3384000000005</v>
      </c>
      <c r="FW42" s="55">
        <f t="shared" si="116"/>
        <v>289.60011840000004</v>
      </c>
      <c r="FX42" s="55">
        <f t="shared" si="116"/>
        <v>393.56831200000005</v>
      </c>
      <c r="FY42" s="298">
        <f t="shared" ref="FY42:FY73" si="117" xml:space="preserve"> IF(   SUM(FU42:FV42) = 0,    IF( FW42&lt;FX42, lambdax_min, lambdax_max ),
                                                                   MAX( lambdax_min, MIN( lambdax_max, FU42 / SUM(FU42:FV42) ) )     )</f>
        <v>0.75866494496886994</v>
      </c>
      <c r="FZ42" s="52"/>
      <c r="GA42" s="55">
        <f t="shared" ref="GA42:GD73" si="118" xml:space="preserve"> CR42 + GA$8 * DF42</f>
        <v>290.10940251025602</v>
      </c>
      <c r="GB42" s="55">
        <f t="shared" si="118"/>
        <v>393.18960811025607</v>
      </c>
      <c r="GC42" s="55">
        <f t="shared" si="118"/>
        <v>289.6516571058138</v>
      </c>
      <c r="GD42" s="55">
        <f t="shared" si="118"/>
        <v>392.7318627058138</v>
      </c>
      <c r="GF42" s="52"/>
      <c r="GG42" s="52"/>
      <c r="GH42" s="52"/>
      <c r="GI42" s="55">
        <f t="shared" ref="GI42:GJ73" si="119" xml:space="preserve"> MAX( 0, AV42 + BX42 ) * GI$8</f>
        <v>11640.569100000001</v>
      </c>
      <c r="GJ42" s="55">
        <f t="shared" si="119"/>
        <v>3819.0717000000004</v>
      </c>
      <c r="GK42" s="56">
        <f t="shared" ref="GK42:GL73" si="120" xml:space="preserve"> MAX( 0, AX42 - BZ42 ) * GK$8</f>
        <v>93.563648999999998</v>
      </c>
      <c r="GL42" s="56">
        <f t="shared" si="120"/>
        <v>312.97230300000001</v>
      </c>
      <c r="GM42" s="298">
        <f t="shared" ref="GM42:GM73" si="121" xml:space="preserve"> IF(   SUM(GI42:GJ42) = 0,    IF( GK42&lt;GL42, lambdax_min, lambdax_max ),
                                                                   MAX( lambdax_min, MIN( lambdax_max, GI42 / SUM(GI42:GJ42) ) )     )</f>
        <v>0.75296504301704081</v>
      </c>
      <c r="GN42" s="52"/>
      <c r="GO42" s="56">
        <f t="shared" ref="GO42:GR73" si="122" xml:space="preserve"> MAX( 0, BB42 - CD42 ) * GO$8</f>
        <v>238.2100082279664</v>
      </c>
      <c r="GP42" s="56">
        <f t="shared" si="122"/>
        <v>267.94730497796633</v>
      </c>
      <c r="GQ42" s="56">
        <f t="shared" si="122"/>
        <v>98.530882543103786</v>
      </c>
      <c r="GR42" s="56">
        <f t="shared" si="122"/>
        <v>128.26817929310374</v>
      </c>
    </row>
    <row r="43" spans="1:200" x14ac:dyDescent="0.2">
      <c r="A43" s="118">
        <v>33</v>
      </c>
      <c r="C43" s="128">
        <v>0.76170000000000004</v>
      </c>
      <c r="D43" s="128">
        <v>0.95289999999999997</v>
      </c>
      <c r="E43" s="128">
        <v>2.0425</v>
      </c>
      <c r="F43" s="128">
        <v>7366.4758000000002</v>
      </c>
      <c r="G43" s="128">
        <v>2094.8017</v>
      </c>
      <c r="H43" s="49">
        <f t="shared" si="100"/>
        <v>762.78161399999999</v>
      </c>
      <c r="I43" s="49">
        <f t="shared" si="100"/>
        <v>1808.2230399999999</v>
      </c>
      <c r="J43" s="47">
        <f t="shared" si="100"/>
        <v>371.61244999999997</v>
      </c>
      <c r="K43" s="47">
        <f t="shared" si="53"/>
        <v>82.277936779802189</v>
      </c>
      <c r="L43" s="48">
        <f t="shared" si="54"/>
        <v>845.05955077980218</v>
      </c>
      <c r="M43" s="48">
        <f t="shared" si="55"/>
        <v>1518.8885267798019</v>
      </c>
      <c r="N43" s="93">
        <f t="shared" si="56"/>
        <v>777.81016115082627</v>
      </c>
      <c r="O43" s="93">
        <f t="shared" si="57"/>
        <v>1451.6391371508259</v>
      </c>
      <c r="Q43" s="128">
        <v>0.67920000000000003</v>
      </c>
      <c r="R43" s="130">
        <v>0.97219999999999995</v>
      </c>
      <c r="S43" s="128">
        <v>1.7596000000000001</v>
      </c>
      <c r="T43" s="128">
        <v>1139.3050000000001</v>
      </c>
      <c r="U43" s="128">
        <v>514.39670000000001</v>
      </c>
      <c r="V43" s="49">
        <f t="shared" si="101"/>
        <v>432.24967199999998</v>
      </c>
      <c r="W43" s="49">
        <f t="shared" si="101"/>
        <v>1158.3665779999999</v>
      </c>
      <c r="X43" s="47">
        <f t="shared" si="101"/>
        <v>389.69861200000003</v>
      </c>
      <c r="Y43" s="47">
        <f t="shared" si="58"/>
        <v>283.79808620324968</v>
      </c>
      <c r="Z43" s="48">
        <f t="shared" si="59"/>
        <v>716.04775820324971</v>
      </c>
      <c r="AA43" s="48">
        <f t="shared" si="60"/>
        <v>1052.4660522032495</v>
      </c>
      <c r="AB43" s="93">
        <f t="shared" si="61"/>
        <v>449.54853947958497</v>
      </c>
      <c r="AC43" s="93">
        <f t="shared" si="62"/>
        <v>785.96683347958492</v>
      </c>
      <c r="AE43" s="128">
        <v>0.60240000000000005</v>
      </c>
      <c r="AF43" s="130">
        <v>0.91390000000000005</v>
      </c>
      <c r="AG43" s="128">
        <v>1.8134999999999999</v>
      </c>
      <c r="AH43" s="128">
        <v>124.39749999999999</v>
      </c>
      <c r="AI43" s="128">
        <v>45.05</v>
      </c>
      <c r="AJ43" s="49">
        <f t="shared" si="102"/>
        <v>277.15219200000001</v>
      </c>
      <c r="AK43" s="49">
        <f t="shared" si="102"/>
        <v>960.26214700000003</v>
      </c>
      <c r="AL43" s="47">
        <f t="shared" si="102"/>
        <v>299.20936499999999</v>
      </c>
      <c r="AM43" s="47">
        <f t="shared" si="63"/>
        <v>232.19338760014699</v>
      </c>
      <c r="AN43" s="48">
        <f t="shared" si="64"/>
        <v>509.345579600147</v>
      </c>
      <c r="AO43" s="48">
        <f t="shared" si="65"/>
        <v>893.24616960014691</v>
      </c>
      <c r="AP43" s="93">
        <f t="shared" si="66"/>
        <v>288.95463007785156</v>
      </c>
      <c r="AQ43" s="93">
        <f t="shared" si="67"/>
        <v>672.85522007785153</v>
      </c>
      <c r="AS43" s="128">
        <v>0.91749999999999998</v>
      </c>
      <c r="AT43" s="130">
        <v>1.2833000000000001</v>
      </c>
      <c r="AU43" s="128">
        <v>2.1934999999999998</v>
      </c>
      <c r="AV43" s="128">
        <v>6417.83</v>
      </c>
      <c r="AW43" s="128">
        <v>1926.4849999999999</v>
      </c>
      <c r="AX43" s="49">
        <f t="shared" si="103"/>
        <v>321.7122</v>
      </c>
      <c r="AY43" s="49">
        <f t="shared" si="103"/>
        <v>904.7008340000001</v>
      </c>
      <c r="AZ43" s="47">
        <f t="shared" si="103"/>
        <v>554.69227999999998</v>
      </c>
      <c r="BA43" s="47">
        <f t="shared" si="68"/>
        <v>409.18561236471783</v>
      </c>
      <c r="BB43" s="48">
        <f t="shared" si="69"/>
        <v>730.89781236471777</v>
      </c>
      <c r="BC43" s="48">
        <f t="shared" si="70"/>
        <v>759.19416636471794</v>
      </c>
      <c r="BD43" s="93">
        <f t="shared" si="71"/>
        <v>340.37003034170266</v>
      </c>
      <c r="BE43" s="93">
        <f t="shared" si="72"/>
        <v>368.66638434170278</v>
      </c>
      <c r="BG43" s="128">
        <v>0.82540000000000002</v>
      </c>
      <c r="BH43" s="130">
        <v>1.2151000000000001</v>
      </c>
      <c r="BI43" s="128">
        <v>2.0718000000000001</v>
      </c>
      <c r="BJ43" s="128">
        <v>4870.1707999999999</v>
      </c>
      <c r="BK43" s="128">
        <v>1630.8117</v>
      </c>
      <c r="BL43" s="49">
        <f t="shared" si="104"/>
        <v>271.07786800000002</v>
      </c>
      <c r="BM43" s="49">
        <f t="shared" si="104"/>
        <v>734.746668</v>
      </c>
      <c r="BN43" s="47">
        <f t="shared" si="104"/>
        <v>440.340372</v>
      </c>
      <c r="BO43" s="47">
        <f t="shared" si="73"/>
        <v>321.66507132500539</v>
      </c>
      <c r="BP43" s="48">
        <f t="shared" si="74"/>
        <v>592.74293932500541</v>
      </c>
      <c r="BQ43" s="48">
        <f t="shared" si="75"/>
        <v>616.07136732500544</v>
      </c>
      <c r="BR43" s="93">
        <f t="shared" si="76"/>
        <v>289.77779440643303</v>
      </c>
      <c r="BS43" s="93">
        <f t="shared" si="77"/>
        <v>313.10622240643301</v>
      </c>
      <c r="BU43" s="128">
        <v>0.85119999999999996</v>
      </c>
      <c r="BV43" s="130">
        <v>1.1941999999999999</v>
      </c>
      <c r="BW43" s="128">
        <v>2.4823</v>
      </c>
      <c r="BX43" s="128">
        <v>7438.6607999999997</v>
      </c>
      <c r="BY43" s="128">
        <v>2531.8807999999999</v>
      </c>
      <c r="BZ43" s="49">
        <f t="shared" si="105"/>
        <v>206.50111999999999</v>
      </c>
      <c r="CA43" s="49">
        <f t="shared" si="105"/>
        <v>482.60010399999999</v>
      </c>
      <c r="CB43" s="47">
        <f t="shared" si="105"/>
        <v>258.13437699999997</v>
      </c>
      <c r="CC43" s="47">
        <f t="shared" si="78"/>
        <v>180.77993892255108</v>
      </c>
      <c r="CD43" s="48">
        <f t="shared" si="79"/>
        <v>387.2810589225511</v>
      </c>
      <c r="CE43" s="48">
        <f t="shared" si="80"/>
        <v>405.2456659225511</v>
      </c>
      <c r="CF43" s="93">
        <f t="shared" si="81"/>
        <v>218.53597228423092</v>
      </c>
      <c r="CG43" s="93">
        <f t="shared" si="82"/>
        <v>236.50057928423095</v>
      </c>
      <c r="CI43" s="128">
        <v>0.85799999999999998</v>
      </c>
      <c r="CJ43" s="130">
        <v>0.87239999999999995</v>
      </c>
      <c r="CK43" s="128">
        <v>1.6880999999999999</v>
      </c>
      <c r="CL43" s="128">
        <v>19054.1217</v>
      </c>
      <c r="CM43" s="128">
        <v>6322.3374999999996</v>
      </c>
      <c r="CN43" s="49">
        <f t="shared" si="106"/>
        <v>182.13623999999999</v>
      </c>
      <c r="CO43" s="49">
        <f t="shared" si="106"/>
        <v>240.32875200000001</v>
      </c>
      <c r="CP43" s="47">
        <f t="shared" si="106"/>
        <v>0.65835900000000003</v>
      </c>
      <c r="CQ43" s="47">
        <f t="shared" si="83"/>
        <v>0.37452238607730132</v>
      </c>
      <c r="CR43" s="48">
        <f t="shared" si="84"/>
        <v>182.51076238607729</v>
      </c>
      <c r="CS43" s="48">
        <f t="shared" si="85"/>
        <v>240.04491538607732</v>
      </c>
      <c r="CT43" s="93">
        <f t="shared" si="86"/>
        <v>182.16938894675937</v>
      </c>
      <c r="CU43" s="93">
        <f t="shared" si="87"/>
        <v>239.7035419467594</v>
      </c>
      <c r="CW43" s="128">
        <v>0.70740000000000003</v>
      </c>
      <c r="CX43" s="130">
        <v>0.72440000000000004</v>
      </c>
      <c r="CY43" s="128">
        <v>1.3539000000000001</v>
      </c>
      <c r="CZ43" s="128">
        <v>7890.6841999999997</v>
      </c>
      <c r="DA43" s="128">
        <v>2341.81</v>
      </c>
      <c r="DB43" s="49">
        <f t="shared" si="107"/>
        <v>151.88585400000002</v>
      </c>
      <c r="DC43" s="49">
        <f t="shared" si="107"/>
        <v>217.34897600000002</v>
      </c>
      <c r="DD43" s="47">
        <f t="shared" si="107"/>
        <v>0.36555300000000007</v>
      </c>
      <c r="DE43" s="47">
        <f t="shared" si="88"/>
        <v>0.21518167780576933</v>
      </c>
      <c r="DF43" s="48">
        <f t="shared" si="89"/>
        <v>152.10103567780578</v>
      </c>
      <c r="DG43" s="48">
        <f t="shared" si="90"/>
        <v>217.19860467780578</v>
      </c>
      <c r="DH43" s="93">
        <f t="shared" si="91"/>
        <v>151.90884119881801</v>
      </c>
      <c r="DI43" s="93">
        <f t="shared" si="92"/>
        <v>217.006410198818</v>
      </c>
      <c r="DK43" s="128">
        <v>0.66920000000000002</v>
      </c>
      <c r="DL43" s="130">
        <v>0.67420000000000002</v>
      </c>
      <c r="DM43" s="128">
        <v>1.083</v>
      </c>
      <c r="DN43" s="128">
        <v>3063.3157999999999</v>
      </c>
      <c r="DO43" s="128">
        <v>1225.5942</v>
      </c>
      <c r="DP43" s="49">
        <f t="shared" si="108"/>
        <v>88.575312000000011</v>
      </c>
      <c r="DQ43" s="49">
        <f t="shared" si="108"/>
        <v>130.545346</v>
      </c>
      <c r="DR43" s="47">
        <f t="shared" si="108"/>
        <v>0.20577000000000001</v>
      </c>
      <c r="DS43" s="47">
        <f t="shared" si="93"/>
        <v>0.12259143474468756</v>
      </c>
      <c r="DT43" s="48">
        <f t="shared" si="94"/>
        <v>88.697903434744703</v>
      </c>
      <c r="DU43" s="48">
        <f t="shared" si="95"/>
        <v>130.46216743474469</v>
      </c>
      <c r="DV43" s="93">
        <f t="shared" si="96"/>
        <v>88.597438449530003</v>
      </c>
      <c r="DW43" s="93">
        <f t="shared" si="97"/>
        <v>130.36170244952999</v>
      </c>
      <c r="EB43" s="52"/>
      <c r="EC43" s="52"/>
      <c r="ED43" s="52"/>
      <c r="EE43" s="55">
        <f t="shared" si="98"/>
        <v>40729.111699999994</v>
      </c>
      <c r="EF43" s="55">
        <f t="shared" si="98"/>
        <v>12685.434199999998</v>
      </c>
      <c r="EG43" s="55">
        <f t="shared" si="98"/>
        <v>1388.1387371999999</v>
      </c>
      <c r="EH43" s="55">
        <f t="shared" si="98"/>
        <v>3127.1318068</v>
      </c>
      <c r="EI43" s="298">
        <f t="shared" si="109"/>
        <v>0.76250974362397417</v>
      </c>
      <c r="EJ43" s="52"/>
      <c r="EK43" s="55">
        <f t="shared" si="99"/>
        <v>1880.1489540728419</v>
      </c>
      <c r="EL43" s="55">
        <f t="shared" si="99"/>
        <v>2691.8864922728417</v>
      </c>
      <c r="EM43" s="55">
        <f t="shared" si="39"/>
        <v>1421.876653398343</v>
      </c>
      <c r="EN43" s="55">
        <f t="shared" si="39"/>
        <v>2233.6141915983426</v>
      </c>
      <c r="EP43" s="52"/>
      <c r="EQ43" s="52"/>
      <c r="ER43" s="52"/>
      <c r="ES43" s="55">
        <f t="shared" si="110"/>
        <v>32954.2817</v>
      </c>
      <c r="ET43" s="55">
        <f t="shared" si="110"/>
        <v>10809.355899999999</v>
      </c>
      <c r="EU43" s="55">
        <f t="shared" si="110"/>
        <v>991.78387780000003</v>
      </c>
      <c r="EV43" s="55">
        <f t="shared" si="110"/>
        <v>2285.5862811999996</v>
      </c>
      <c r="EW43" s="298">
        <f t="shared" si="111"/>
        <v>0.75300600012280505</v>
      </c>
      <c r="EX43" s="52"/>
      <c r="EY43" s="55">
        <f t="shared" si="112"/>
        <v>1597.7721848887963</v>
      </c>
      <c r="EZ43" s="55">
        <f t="shared" si="112"/>
        <v>2060.6213581887964</v>
      </c>
      <c r="FA43" s="55">
        <f t="shared" si="112"/>
        <v>1027.8319116719499</v>
      </c>
      <c r="FB43" s="55">
        <f t="shared" si="112"/>
        <v>1490.68108497195</v>
      </c>
      <c r="FD43" s="52"/>
      <c r="FE43" s="52"/>
      <c r="FF43" s="52"/>
      <c r="FG43" s="55">
        <f t="shared" si="113"/>
        <v>29680.495800000001</v>
      </c>
      <c r="FH43" s="55">
        <f t="shared" si="113"/>
        <v>10124.862499999999</v>
      </c>
      <c r="FI43" s="55">
        <f t="shared" si="113"/>
        <v>718.93473919999997</v>
      </c>
      <c r="FJ43" s="55">
        <f t="shared" si="113"/>
        <v>1761.5182106</v>
      </c>
      <c r="FK43" s="298">
        <f t="shared" si="114"/>
        <v>0.74564071440603008</v>
      </c>
      <c r="FL43" s="52"/>
      <c r="FM43" s="55">
        <f t="shared" si="115"/>
        <v>1132.3561429696222</v>
      </c>
      <c r="FN43" s="55">
        <f t="shared" si="115"/>
        <v>1616.8140513696221</v>
      </c>
      <c r="FO43" s="55">
        <f t="shared" si="115"/>
        <v>742.81845437855986</v>
      </c>
      <c r="FP43" s="55">
        <f t="shared" si="115"/>
        <v>1227.2763627785598</v>
      </c>
      <c r="FR43" s="52"/>
      <c r="FS43" s="52"/>
      <c r="FT43" s="52"/>
      <c r="FU43" s="55">
        <f t="shared" si="116"/>
        <v>26944.805899999999</v>
      </c>
      <c r="FV43" s="55">
        <f t="shared" si="116"/>
        <v>8664.1474999999991</v>
      </c>
      <c r="FW43" s="55">
        <f t="shared" si="116"/>
        <v>303.64492319999999</v>
      </c>
      <c r="FX43" s="55">
        <f t="shared" si="116"/>
        <v>414.20793280000004</v>
      </c>
      <c r="FY43" s="298">
        <f t="shared" si="117"/>
        <v>0.75668626362941627</v>
      </c>
      <c r="FZ43" s="52"/>
      <c r="GA43" s="55">
        <f t="shared" si="118"/>
        <v>304.19159092832194</v>
      </c>
      <c r="GB43" s="55">
        <f t="shared" si="118"/>
        <v>413.80379912832194</v>
      </c>
      <c r="GC43" s="55">
        <f t="shared" si="118"/>
        <v>303.69646190581375</v>
      </c>
      <c r="GD43" s="55">
        <f t="shared" si="118"/>
        <v>413.3086701058138</v>
      </c>
      <c r="GF43" s="52"/>
      <c r="GG43" s="52"/>
      <c r="GH43" s="52"/>
      <c r="GI43" s="55">
        <f t="shared" si="119"/>
        <v>13856.4908</v>
      </c>
      <c r="GJ43" s="55">
        <f t="shared" si="119"/>
        <v>4458.3657999999996</v>
      </c>
      <c r="GK43" s="56">
        <f t="shared" si="120"/>
        <v>86.40831</v>
      </c>
      <c r="GL43" s="56">
        <f t="shared" si="120"/>
        <v>316.57554750000008</v>
      </c>
      <c r="GM43" s="298">
        <f t="shared" si="121"/>
        <v>0.75657107793025258</v>
      </c>
      <c r="GN43" s="52"/>
      <c r="GO43" s="56">
        <f t="shared" si="122"/>
        <v>257.71256508162503</v>
      </c>
      <c r="GP43" s="56">
        <f t="shared" si="122"/>
        <v>265.46137533162516</v>
      </c>
      <c r="GQ43" s="56">
        <f t="shared" si="122"/>
        <v>91.375543543103802</v>
      </c>
      <c r="GR43" s="56">
        <f t="shared" si="122"/>
        <v>99.124353793103865</v>
      </c>
    </row>
    <row r="44" spans="1:200" x14ac:dyDescent="0.2">
      <c r="A44" s="118">
        <v>34</v>
      </c>
      <c r="C44" s="128">
        <v>0.78900000000000003</v>
      </c>
      <c r="D44" s="128">
        <v>0.97470000000000001</v>
      </c>
      <c r="E44" s="128">
        <v>2.081</v>
      </c>
      <c r="F44" s="128">
        <v>8971.6474999999991</v>
      </c>
      <c r="G44" s="128">
        <v>2406.7608</v>
      </c>
      <c r="H44" s="49">
        <f t="shared" si="100"/>
        <v>790.12037999999995</v>
      </c>
      <c r="I44" s="49">
        <f t="shared" si="100"/>
        <v>1849.5907199999999</v>
      </c>
      <c r="J44" s="47">
        <f t="shared" si="100"/>
        <v>378.61714000000001</v>
      </c>
      <c r="K44" s="47">
        <f t="shared" si="53"/>
        <v>80.085093339471044</v>
      </c>
      <c r="L44" s="48">
        <f t="shared" si="54"/>
        <v>870.20547333947104</v>
      </c>
      <c r="M44" s="48">
        <f t="shared" si="55"/>
        <v>1551.0586733394709</v>
      </c>
      <c r="N44" s="93">
        <f t="shared" si="56"/>
        <v>805.14892715082624</v>
      </c>
      <c r="O44" s="93">
        <f t="shared" si="57"/>
        <v>1486.002127150826</v>
      </c>
      <c r="Q44" s="128">
        <v>0.70960000000000001</v>
      </c>
      <c r="R44" s="130">
        <v>0.98809999999999998</v>
      </c>
      <c r="S44" s="128">
        <v>1.7867999999999999</v>
      </c>
      <c r="T44" s="128">
        <v>1477.3883000000001</v>
      </c>
      <c r="U44" s="128">
        <v>683.90250000000003</v>
      </c>
      <c r="V44" s="49">
        <f t="shared" si="101"/>
        <v>451.59653599999996</v>
      </c>
      <c r="W44" s="49">
        <f t="shared" si="101"/>
        <v>1177.311269</v>
      </c>
      <c r="X44" s="47">
        <f t="shared" si="101"/>
        <v>395.72259600000001</v>
      </c>
      <c r="Y44" s="47">
        <f t="shared" si="58"/>
        <v>286.01291628578963</v>
      </c>
      <c r="Z44" s="48">
        <f t="shared" si="59"/>
        <v>737.60945228578953</v>
      </c>
      <c r="AA44" s="48">
        <f t="shared" si="60"/>
        <v>1067.6015892857895</v>
      </c>
      <c r="AB44" s="93">
        <f t="shared" si="61"/>
        <v>468.89540347958496</v>
      </c>
      <c r="AC44" s="93">
        <f t="shared" si="62"/>
        <v>798.88754047958503</v>
      </c>
      <c r="AE44" s="128">
        <v>0.62980000000000003</v>
      </c>
      <c r="AF44" s="130">
        <v>0.94699999999999995</v>
      </c>
      <c r="AG44" s="128">
        <v>1.8676999999999999</v>
      </c>
      <c r="AH44" s="128">
        <v>156.77000000000001</v>
      </c>
      <c r="AI44" s="128">
        <v>56.25</v>
      </c>
      <c r="AJ44" s="49">
        <f t="shared" si="102"/>
        <v>289.75838399999998</v>
      </c>
      <c r="AK44" s="49">
        <f t="shared" si="102"/>
        <v>995.04130999999995</v>
      </c>
      <c r="AL44" s="47">
        <f t="shared" si="102"/>
        <v>308.15182299999998</v>
      </c>
      <c r="AM44" s="47">
        <f t="shared" si="63"/>
        <v>238.6549398079232</v>
      </c>
      <c r="AN44" s="48">
        <f t="shared" si="64"/>
        <v>528.41332380792323</v>
      </c>
      <c r="AO44" s="48">
        <f t="shared" si="65"/>
        <v>925.54442680792317</v>
      </c>
      <c r="AP44" s="93">
        <f t="shared" si="66"/>
        <v>301.56082207785153</v>
      </c>
      <c r="AQ44" s="93">
        <f t="shared" si="67"/>
        <v>698.69192507785147</v>
      </c>
      <c r="AS44" s="128">
        <v>0.9012</v>
      </c>
      <c r="AT44" s="130">
        <v>1.2856000000000001</v>
      </c>
      <c r="AU44" s="128">
        <v>2.2523</v>
      </c>
      <c r="AV44" s="128">
        <v>8108.0483000000004</v>
      </c>
      <c r="AW44" s="128">
        <v>2385.4825000000001</v>
      </c>
      <c r="AX44" s="49">
        <f t="shared" si="103"/>
        <v>315.99676799999997</v>
      </c>
      <c r="AY44" s="49">
        <f t="shared" si="103"/>
        <v>906.32228800000007</v>
      </c>
      <c r="AZ44" s="47">
        <f t="shared" si="103"/>
        <v>569.56162399999994</v>
      </c>
      <c r="BA44" s="47">
        <f t="shared" si="68"/>
        <v>422.31722698486317</v>
      </c>
      <c r="BB44" s="48">
        <f t="shared" si="69"/>
        <v>738.31399498486314</v>
      </c>
      <c r="BC44" s="48">
        <f t="shared" si="70"/>
        <v>759.0778909848633</v>
      </c>
      <c r="BD44" s="93">
        <f t="shared" si="71"/>
        <v>334.65459834170264</v>
      </c>
      <c r="BE44" s="93">
        <f t="shared" si="72"/>
        <v>355.4184943417028</v>
      </c>
      <c r="BG44" s="128">
        <v>0.83189999999999997</v>
      </c>
      <c r="BH44" s="130">
        <v>1.2145999999999999</v>
      </c>
      <c r="BI44" s="128">
        <v>2.1120999999999999</v>
      </c>
      <c r="BJ44" s="128">
        <v>5979.6307999999999</v>
      </c>
      <c r="BK44" s="128">
        <v>1930.7266999999999</v>
      </c>
      <c r="BL44" s="49">
        <f t="shared" si="104"/>
        <v>273.21259800000001</v>
      </c>
      <c r="BM44" s="49">
        <f t="shared" si="104"/>
        <v>734.44432799999993</v>
      </c>
      <c r="BN44" s="47">
        <f t="shared" si="104"/>
        <v>448.90573399999994</v>
      </c>
      <c r="BO44" s="47">
        <f t="shared" si="73"/>
        <v>327.19099292230408</v>
      </c>
      <c r="BP44" s="48">
        <f t="shared" si="74"/>
        <v>600.40359092230415</v>
      </c>
      <c r="BQ44" s="48">
        <f t="shared" si="75"/>
        <v>612.72958692230407</v>
      </c>
      <c r="BR44" s="93">
        <f t="shared" si="76"/>
        <v>291.91252440643302</v>
      </c>
      <c r="BS44" s="93">
        <f t="shared" si="77"/>
        <v>304.238520406433</v>
      </c>
      <c r="BU44" s="128">
        <v>0.85340000000000005</v>
      </c>
      <c r="BV44" s="130">
        <v>1.1988000000000001</v>
      </c>
      <c r="BW44" s="128">
        <v>2.3788</v>
      </c>
      <c r="BX44" s="128">
        <v>8679.0332999999991</v>
      </c>
      <c r="BY44" s="128">
        <v>2853.9783000000002</v>
      </c>
      <c r="BZ44" s="49">
        <f t="shared" si="105"/>
        <v>207.03484</v>
      </c>
      <c r="CA44" s="49">
        <f t="shared" si="105"/>
        <v>484.45905600000003</v>
      </c>
      <c r="CB44" s="47">
        <f t="shared" si="105"/>
        <v>247.37141199999999</v>
      </c>
      <c r="CC44" s="47">
        <f t="shared" si="78"/>
        <v>173.30785048449229</v>
      </c>
      <c r="CD44" s="48">
        <f t="shared" si="79"/>
        <v>380.34269048449232</v>
      </c>
      <c r="CE44" s="48">
        <f t="shared" si="80"/>
        <v>410.39549448449236</v>
      </c>
      <c r="CF44" s="93">
        <f t="shared" si="81"/>
        <v>219.06969228423094</v>
      </c>
      <c r="CG44" s="93">
        <f t="shared" si="82"/>
        <v>249.12249628423098</v>
      </c>
      <c r="CI44" s="128">
        <v>0.88229999999999997</v>
      </c>
      <c r="CJ44" s="130">
        <v>0.90339999999999998</v>
      </c>
      <c r="CK44" s="128">
        <v>1.7419</v>
      </c>
      <c r="CL44" s="128">
        <v>23111.425800000001</v>
      </c>
      <c r="CM44" s="128">
        <v>7377.6041999999998</v>
      </c>
      <c r="CN44" s="49">
        <f t="shared" si="106"/>
        <v>187.29464400000001</v>
      </c>
      <c r="CO44" s="49">
        <f t="shared" si="106"/>
        <v>248.86863200000002</v>
      </c>
      <c r="CP44" s="47">
        <f t="shared" si="106"/>
        <v>0.67934099999999997</v>
      </c>
      <c r="CQ44" s="47">
        <f t="shared" si="83"/>
        <v>0.38762242177287759</v>
      </c>
      <c r="CR44" s="48">
        <f t="shared" si="84"/>
        <v>187.68226642177288</v>
      </c>
      <c r="CS44" s="48">
        <f t="shared" si="85"/>
        <v>248.5769134217729</v>
      </c>
      <c r="CT44" s="93">
        <f t="shared" si="86"/>
        <v>187.32779294675939</v>
      </c>
      <c r="CU44" s="93">
        <f t="shared" si="87"/>
        <v>248.22243994675941</v>
      </c>
      <c r="CW44" s="128">
        <v>0.76290000000000002</v>
      </c>
      <c r="CX44" s="130">
        <v>0.76849999999999996</v>
      </c>
      <c r="CY44" s="128">
        <v>1.4167000000000001</v>
      </c>
      <c r="CZ44" s="128">
        <v>9873.0467000000008</v>
      </c>
      <c r="DA44" s="128">
        <v>2819.4016999999999</v>
      </c>
      <c r="DB44" s="49">
        <f t="shared" si="107"/>
        <v>163.80225900000002</v>
      </c>
      <c r="DC44" s="49">
        <f t="shared" si="107"/>
        <v>230.58073999999999</v>
      </c>
      <c r="DD44" s="47">
        <f t="shared" si="107"/>
        <v>0.38250900000000004</v>
      </c>
      <c r="DE44" s="47">
        <f t="shared" si="88"/>
        <v>0.22363846438689919</v>
      </c>
      <c r="DF44" s="48">
        <f t="shared" si="89"/>
        <v>164.02589746438693</v>
      </c>
      <c r="DG44" s="48">
        <f t="shared" si="90"/>
        <v>230.4218694643869</v>
      </c>
      <c r="DH44" s="93">
        <f t="shared" si="91"/>
        <v>163.82524619881801</v>
      </c>
      <c r="DI44" s="93">
        <f t="shared" si="92"/>
        <v>230.22121819881798</v>
      </c>
      <c r="DK44" s="128">
        <v>0.71209999999999996</v>
      </c>
      <c r="DL44" s="130">
        <v>0.72219999999999995</v>
      </c>
      <c r="DM44" s="128">
        <v>1.1311</v>
      </c>
      <c r="DN44" s="128">
        <v>3643.71</v>
      </c>
      <c r="DO44" s="128">
        <v>1363.1375</v>
      </c>
      <c r="DP44" s="49">
        <f t="shared" si="108"/>
        <v>94.253556000000003</v>
      </c>
      <c r="DQ44" s="49">
        <f t="shared" si="108"/>
        <v>139.839586</v>
      </c>
      <c r="DR44" s="47">
        <f t="shared" si="108"/>
        <v>0.21490899999999999</v>
      </c>
      <c r="DS44" s="47">
        <f t="shared" si="93"/>
        <v>0.12837960706971074</v>
      </c>
      <c r="DT44" s="48">
        <f t="shared" si="94"/>
        <v>94.381935607069721</v>
      </c>
      <c r="DU44" s="48">
        <f t="shared" si="95"/>
        <v>139.75305660706971</v>
      </c>
      <c r="DV44" s="93">
        <f t="shared" si="96"/>
        <v>94.275682449529995</v>
      </c>
      <c r="DW44" s="93">
        <f t="shared" si="97"/>
        <v>139.64680344952998</v>
      </c>
      <c r="EB44" s="52"/>
      <c r="EC44" s="52"/>
      <c r="ED44" s="52"/>
      <c r="EE44" s="55">
        <f t="shared" si="98"/>
        <v>50064.168299999998</v>
      </c>
      <c r="EF44" s="55">
        <f t="shared" si="98"/>
        <v>14989.2492</v>
      </c>
      <c r="EG44" s="55">
        <f t="shared" si="98"/>
        <v>1424.4535991999999</v>
      </c>
      <c r="EH44" s="55">
        <f t="shared" si="98"/>
        <v>3189.246232</v>
      </c>
      <c r="EI44" s="298">
        <f t="shared" si="109"/>
        <v>0.76958552254383872</v>
      </c>
      <c r="EJ44" s="52"/>
      <c r="EK44" s="55">
        <f t="shared" si="99"/>
        <v>1927.4224527176166</v>
      </c>
      <c r="EL44" s="55">
        <f t="shared" si="99"/>
        <v>2743.0509733176168</v>
      </c>
      <c r="EM44" s="55">
        <f t="shared" si="39"/>
        <v>1458.1915153983427</v>
      </c>
      <c r="EN44" s="55">
        <f t="shared" si="39"/>
        <v>2273.820035998343</v>
      </c>
      <c r="EP44" s="52"/>
      <c r="EQ44" s="52"/>
      <c r="ER44" s="52"/>
      <c r="ES44" s="55">
        <f t="shared" si="110"/>
        <v>40441.491600000001</v>
      </c>
      <c r="ET44" s="55">
        <f t="shared" si="110"/>
        <v>12811.6351</v>
      </c>
      <c r="EU44" s="55">
        <f t="shared" si="110"/>
        <v>1026.7653593</v>
      </c>
      <c r="EV44" s="55">
        <f t="shared" si="110"/>
        <v>2322.0307469999998</v>
      </c>
      <c r="EW44" s="298">
        <f t="shared" si="111"/>
        <v>0.75942003983777351</v>
      </c>
      <c r="EX44" s="52"/>
      <c r="EY44" s="55">
        <f t="shared" si="112"/>
        <v>1640.5134378549374</v>
      </c>
      <c r="EZ44" s="55">
        <f t="shared" si="112"/>
        <v>2090.2033982549369</v>
      </c>
      <c r="FA44" s="55">
        <f t="shared" si="112"/>
        <v>1062.8133931719499</v>
      </c>
      <c r="FB44" s="55">
        <f t="shared" si="112"/>
        <v>1512.5033535719499</v>
      </c>
      <c r="FD44" s="52"/>
      <c r="FE44" s="52"/>
      <c r="FF44" s="52"/>
      <c r="FG44" s="55">
        <f t="shared" si="113"/>
        <v>35590.939100000003</v>
      </c>
      <c r="FH44" s="55">
        <f t="shared" si="113"/>
        <v>11650.970000000001</v>
      </c>
      <c r="FI44" s="55">
        <f t="shared" si="113"/>
        <v>740.64000160000012</v>
      </c>
      <c r="FJ44" s="55">
        <f t="shared" si="113"/>
        <v>1812.2727496</v>
      </c>
      <c r="FK44" s="298">
        <f t="shared" si="114"/>
        <v>0.75337639350396191</v>
      </c>
      <c r="FL44" s="52"/>
      <c r="FM44" s="55">
        <f t="shared" si="115"/>
        <v>1153.0674420784303</v>
      </c>
      <c r="FN44" s="55">
        <f t="shared" si="115"/>
        <v>1668.3686686784301</v>
      </c>
      <c r="FO44" s="55">
        <f t="shared" si="115"/>
        <v>764.5237167785599</v>
      </c>
      <c r="FP44" s="55">
        <f t="shared" si="115"/>
        <v>1279.8249433785597</v>
      </c>
      <c r="FR44" s="52"/>
      <c r="FS44" s="52"/>
      <c r="FT44" s="52"/>
      <c r="FU44" s="55">
        <f t="shared" si="116"/>
        <v>32984.472500000003</v>
      </c>
      <c r="FV44" s="55">
        <f t="shared" si="116"/>
        <v>10197.0059</v>
      </c>
      <c r="FW44" s="55">
        <f t="shared" si="116"/>
        <v>318.33645120000006</v>
      </c>
      <c r="FX44" s="55">
        <f t="shared" si="116"/>
        <v>433.33322400000003</v>
      </c>
      <c r="FY44" s="298">
        <f t="shared" si="117"/>
        <v>0.76385695261420228</v>
      </c>
      <c r="FZ44" s="52"/>
      <c r="GA44" s="55">
        <f t="shared" si="118"/>
        <v>318.9029843932824</v>
      </c>
      <c r="GB44" s="55">
        <f t="shared" si="118"/>
        <v>432.91440899328245</v>
      </c>
      <c r="GC44" s="55">
        <f t="shared" si="118"/>
        <v>318.38798990581381</v>
      </c>
      <c r="GD44" s="55">
        <f t="shared" si="118"/>
        <v>432.39941450581381</v>
      </c>
      <c r="GF44" s="52"/>
      <c r="GG44" s="52"/>
      <c r="GH44" s="52"/>
      <c r="GI44" s="55">
        <f t="shared" si="119"/>
        <v>16787.081599999998</v>
      </c>
      <c r="GJ44" s="55">
        <f t="shared" si="119"/>
        <v>5239.4608000000007</v>
      </c>
      <c r="GK44" s="56">
        <f t="shared" si="120"/>
        <v>81.721445999999986</v>
      </c>
      <c r="GL44" s="56">
        <f t="shared" si="120"/>
        <v>316.397424</v>
      </c>
      <c r="GM44" s="298">
        <f t="shared" si="121"/>
        <v>0.76212967496886841</v>
      </c>
      <c r="GN44" s="52"/>
      <c r="GO44" s="56">
        <f t="shared" si="122"/>
        <v>268.47847837527809</v>
      </c>
      <c r="GP44" s="56">
        <f t="shared" si="122"/>
        <v>261.51179737527821</v>
      </c>
      <c r="GQ44" s="56">
        <f t="shared" si="122"/>
        <v>86.688679543103774</v>
      </c>
      <c r="GR44" s="56">
        <f t="shared" si="122"/>
        <v>79.721998543103865</v>
      </c>
    </row>
    <row r="45" spans="1:200" x14ac:dyDescent="0.2">
      <c r="A45" s="118">
        <v>35</v>
      </c>
      <c r="C45" s="128">
        <v>0.82</v>
      </c>
      <c r="D45" s="128">
        <v>0.99260000000000004</v>
      </c>
      <c r="E45" s="128">
        <v>2.0346000000000002</v>
      </c>
      <c r="F45" s="128">
        <v>10243.7567</v>
      </c>
      <c r="G45" s="128">
        <v>2692.6075000000001</v>
      </c>
      <c r="H45" s="49">
        <f t="shared" si="100"/>
        <v>821.16439999999989</v>
      </c>
      <c r="I45" s="49">
        <f t="shared" si="100"/>
        <v>1883.5577599999999</v>
      </c>
      <c r="J45" s="47">
        <f t="shared" si="100"/>
        <v>370.17512400000004</v>
      </c>
      <c r="K45" s="47">
        <f t="shared" si="53"/>
        <v>77.049184746656266</v>
      </c>
      <c r="L45" s="48">
        <f t="shared" si="54"/>
        <v>898.21358474665612</v>
      </c>
      <c r="M45" s="48">
        <f t="shared" si="55"/>
        <v>1590.4318207466561</v>
      </c>
      <c r="N45" s="93">
        <f t="shared" si="56"/>
        <v>836.19294715082617</v>
      </c>
      <c r="O45" s="93">
        <f t="shared" si="57"/>
        <v>1528.411183150826</v>
      </c>
      <c r="Q45" s="128">
        <v>0.74770000000000003</v>
      </c>
      <c r="R45" s="130">
        <v>0.99950000000000006</v>
      </c>
      <c r="S45" s="128">
        <v>1.7758</v>
      </c>
      <c r="T45" s="128">
        <v>1624.3258000000001</v>
      </c>
      <c r="U45" s="128">
        <v>725.67750000000001</v>
      </c>
      <c r="V45" s="49">
        <f t="shared" si="101"/>
        <v>475.84375699999998</v>
      </c>
      <c r="W45" s="49">
        <f t="shared" si="101"/>
        <v>1190.8942550000002</v>
      </c>
      <c r="X45" s="47">
        <f t="shared" si="101"/>
        <v>393.28642600000001</v>
      </c>
      <c r="Y45" s="47">
        <f t="shared" si="58"/>
        <v>281.00549811717059</v>
      </c>
      <c r="Z45" s="48">
        <f t="shared" si="59"/>
        <v>756.84925511717051</v>
      </c>
      <c r="AA45" s="48">
        <f t="shared" si="60"/>
        <v>1078.6133271171707</v>
      </c>
      <c r="AB45" s="93">
        <f t="shared" si="61"/>
        <v>493.14262447958498</v>
      </c>
      <c r="AC45" s="93">
        <f t="shared" si="62"/>
        <v>814.90669647958521</v>
      </c>
      <c r="AE45" s="128">
        <v>0.66520000000000001</v>
      </c>
      <c r="AF45" s="130">
        <v>0.97270000000000001</v>
      </c>
      <c r="AG45" s="128">
        <v>1.8621000000000001</v>
      </c>
      <c r="AH45" s="128">
        <v>200.98</v>
      </c>
      <c r="AI45" s="128">
        <v>80.507499999999993</v>
      </c>
      <c r="AJ45" s="49">
        <f t="shared" si="102"/>
        <v>306.04521599999998</v>
      </c>
      <c r="AK45" s="49">
        <f t="shared" si="102"/>
        <v>1022.045071</v>
      </c>
      <c r="AL45" s="47">
        <f t="shared" si="102"/>
        <v>307.22787900000003</v>
      </c>
      <c r="AM45" s="47">
        <f t="shared" si="63"/>
        <v>236.43026568248251</v>
      </c>
      <c r="AN45" s="48">
        <f t="shared" si="64"/>
        <v>542.4754816824825</v>
      </c>
      <c r="AO45" s="48">
        <f t="shared" si="65"/>
        <v>951.24745768248249</v>
      </c>
      <c r="AP45" s="93">
        <f t="shared" si="66"/>
        <v>317.84765407785153</v>
      </c>
      <c r="AQ45" s="93">
        <f t="shared" si="67"/>
        <v>726.61963007785153</v>
      </c>
      <c r="AS45" s="128">
        <v>0.89629999999999999</v>
      </c>
      <c r="AT45" s="130">
        <v>1.2723</v>
      </c>
      <c r="AU45" s="128">
        <v>2.2046999999999999</v>
      </c>
      <c r="AV45" s="128">
        <v>9136.7383000000009</v>
      </c>
      <c r="AW45" s="128">
        <v>2791.1842000000001</v>
      </c>
      <c r="AX45" s="49">
        <f t="shared" si="103"/>
        <v>314.27863199999996</v>
      </c>
      <c r="AY45" s="49">
        <f t="shared" si="103"/>
        <v>896.946054</v>
      </c>
      <c r="AZ45" s="47">
        <f t="shared" si="103"/>
        <v>557.52453600000001</v>
      </c>
      <c r="BA45" s="47">
        <f t="shared" si="68"/>
        <v>412.86264914632108</v>
      </c>
      <c r="BB45" s="48">
        <f t="shared" si="69"/>
        <v>727.14128114632103</v>
      </c>
      <c r="BC45" s="48">
        <f t="shared" si="70"/>
        <v>752.28416714632112</v>
      </c>
      <c r="BD45" s="93">
        <f t="shared" si="71"/>
        <v>332.93646234170262</v>
      </c>
      <c r="BE45" s="93">
        <f t="shared" si="72"/>
        <v>358.07934834170266</v>
      </c>
      <c r="BG45" s="128">
        <v>0.84519999999999995</v>
      </c>
      <c r="BH45" s="130">
        <v>1.2014</v>
      </c>
      <c r="BI45" s="128">
        <v>2.0764999999999998</v>
      </c>
      <c r="BJ45" s="128">
        <v>6616.9916999999996</v>
      </c>
      <c r="BK45" s="128">
        <v>2089.9499999999998</v>
      </c>
      <c r="BL45" s="49">
        <f t="shared" si="104"/>
        <v>277.58058399999999</v>
      </c>
      <c r="BM45" s="49">
        <f t="shared" si="104"/>
        <v>726.46255199999996</v>
      </c>
      <c r="BN45" s="47">
        <f t="shared" si="104"/>
        <v>441.33930999999995</v>
      </c>
      <c r="BO45" s="47">
        <f t="shared" si="73"/>
        <v>319.32540539823884</v>
      </c>
      <c r="BP45" s="48">
        <f t="shared" si="74"/>
        <v>596.90598939823883</v>
      </c>
      <c r="BQ45" s="48">
        <f t="shared" si="75"/>
        <v>604.44864739823879</v>
      </c>
      <c r="BR45" s="93">
        <f t="shared" si="76"/>
        <v>296.280510406433</v>
      </c>
      <c r="BS45" s="93">
        <f t="shared" si="77"/>
        <v>303.82316840643301</v>
      </c>
      <c r="BU45" s="128">
        <v>0.86070000000000002</v>
      </c>
      <c r="BV45" s="130">
        <v>1.1910000000000001</v>
      </c>
      <c r="BW45" s="128">
        <v>2.2233999999999998</v>
      </c>
      <c r="BX45" s="128">
        <v>9657.0892000000003</v>
      </c>
      <c r="BY45" s="128">
        <v>3044.4225000000001</v>
      </c>
      <c r="BZ45" s="49">
        <f t="shared" si="105"/>
        <v>208.80582000000001</v>
      </c>
      <c r="CA45" s="49">
        <f t="shared" si="105"/>
        <v>481.30692000000005</v>
      </c>
      <c r="CB45" s="47">
        <f t="shared" si="105"/>
        <v>231.21136599999997</v>
      </c>
      <c r="CC45" s="47">
        <f t="shared" si="78"/>
        <v>161.2542762773119</v>
      </c>
      <c r="CD45" s="48">
        <f t="shared" si="79"/>
        <v>370.06009627731191</v>
      </c>
      <c r="CE45" s="48">
        <f t="shared" si="80"/>
        <v>411.34983027731198</v>
      </c>
      <c r="CF45" s="93">
        <f t="shared" si="81"/>
        <v>220.84067228423095</v>
      </c>
      <c r="CG45" s="93">
        <f t="shared" si="82"/>
        <v>262.13040628423101</v>
      </c>
      <c r="CI45" s="128">
        <v>0.90749999999999997</v>
      </c>
      <c r="CJ45" s="130">
        <v>0.92930000000000001</v>
      </c>
      <c r="CK45" s="128">
        <v>1.7317</v>
      </c>
      <c r="CL45" s="128">
        <v>25756.6525</v>
      </c>
      <c r="CM45" s="128">
        <v>8144.8867</v>
      </c>
      <c r="CN45" s="49">
        <f t="shared" si="106"/>
        <v>192.64410000000001</v>
      </c>
      <c r="CO45" s="49">
        <f t="shared" si="106"/>
        <v>256.00356400000004</v>
      </c>
      <c r="CP45" s="47">
        <f t="shared" si="106"/>
        <v>0.67536300000000005</v>
      </c>
      <c r="CQ45" s="47">
        <f t="shared" si="83"/>
        <v>0.38536996593775202</v>
      </c>
      <c r="CR45" s="48">
        <f t="shared" si="84"/>
        <v>193.02946996593775</v>
      </c>
      <c r="CS45" s="48">
        <f t="shared" si="85"/>
        <v>255.71357096593778</v>
      </c>
      <c r="CT45" s="93">
        <f t="shared" si="86"/>
        <v>192.67724894675939</v>
      </c>
      <c r="CU45" s="93">
        <f t="shared" si="87"/>
        <v>255.36134994675942</v>
      </c>
      <c r="CW45" s="128">
        <v>0.81240000000000001</v>
      </c>
      <c r="CX45" s="130">
        <v>0.81079999999999997</v>
      </c>
      <c r="CY45" s="128">
        <v>1.4402999999999999</v>
      </c>
      <c r="CZ45" s="128">
        <v>11367.262500000001</v>
      </c>
      <c r="DA45" s="128">
        <v>3206.6608000000001</v>
      </c>
      <c r="DB45" s="49">
        <f t="shared" si="107"/>
        <v>174.43040400000001</v>
      </c>
      <c r="DC45" s="49">
        <f t="shared" si="107"/>
        <v>243.27243200000001</v>
      </c>
      <c r="DD45" s="47">
        <f t="shared" si="107"/>
        <v>0.38888099999999998</v>
      </c>
      <c r="DE45" s="47">
        <f t="shared" si="88"/>
        <v>0.22648643599008741</v>
      </c>
      <c r="DF45" s="48">
        <f t="shared" si="89"/>
        <v>174.65689043599011</v>
      </c>
      <c r="DG45" s="48">
        <f t="shared" si="90"/>
        <v>243.11003743599011</v>
      </c>
      <c r="DH45" s="93">
        <f t="shared" si="91"/>
        <v>174.453391198818</v>
      </c>
      <c r="DI45" s="93">
        <f t="shared" si="92"/>
        <v>242.906538198818</v>
      </c>
      <c r="DK45" s="128">
        <v>0.75649999999999995</v>
      </c>
      <c r="DL45" s="130">
        <v>0.76929999999999998</v>
      </c>
      <c r="DM45" s="128">
        <v>1.1634</v>
      </c>
      <c r="DN45" s="128">
        <v>3934.24</v>
      </c>
      <c r="DO45" s="128">
        <v>1430.2442000000001</v>
      </c>
      <c r="DP45" s="49">
        <f t="shared" si="108"/>
        <v>100.13034</v>
      </c>
      <c r="DQ45" s="49">
        <f t="shared" si="108"/>
        <v>148.95955899999998</v>
      </c>
      <c r="DR45" s="47">
        <f t="shared" si="108"/>
        <v>0.22104599999999999</v>
      </c>
      <c r="DS45" s="47">
        <f t="shared" si="93"/>
        <v>0.13218887964105683</v>
      </c>
      <c r="DT45" s="48">
        <f t="shared" si="94"/>
        <v>100.26252887964107</v>
      </c>
      <c r="DU45" s="48">
        <f t="shared" si="95"/>
        <v>148.87070187964105</v>
      </c>
      <c r="DV45" s="93">
        <f t="shared" si="96"/>
        <v>100.15246644953</v>
      </c>
      <c r="DW45" s="93">
        <f t="shared" si="97"/>
        <v>148.76063944952998</v>
      </c>
      <c r="EB45" s="52"/>
      <c r="EC45" s="52"/>
      <c r="ED45" s="52"/>
      <c r="EE45" s="55">
        <f t="shared" si="98"/>
        <v>56504.41</v>
      </c>
      <c r="EF45" s="55">
        <f t="shared" si="98"/>
        <v>16835.339200000002</v>
      </c>
      <c r="EG45" s="55">
        <f t="shared" si="98"/>
        <v>1467.6314551999999</v>
      </c>
      <c r="EH45" s="55">
        <f t="shared" si="98"/>
        <v>3231.1253235999998</v>
      </c>
      <c r="EI45" s="298">
        <f t="shared" si="109"/>
        <v>0.77044727608640362</v>
      </c>
      <c r="EJ45" s="52"/>
      <c r="EK45" s="55">
        <f t="shared" si="99"/>
        <v>1958.109848207707</v>
      </c>
      <c r="EL45" s="55">
        <f t="shared" si="99"/>
        <v>2792.917588807707</v>
      </c>
      <c r="EM45" s="55">
        <f t="shared" si="39"/>
        <v>1501.3693713983425</v>
      </c>
      <c r="EN45" s="55">
        <f t="shared" si="39"/>
        <v>2336.1771119983423</v>
      </c>
      <c r="EP45" s="52"/>
      <c r="EQ45" s="52"/>
      <c r="ER45" s="52"/>
      <c r="ES45" s="55">
        <f t="shared" si="110"/>
        <v>45365.232499999998</v>
      </c>
      <c r="ET45" s="55">
        <f t="shared" si="110"/>
        <v>14167.174999999999</v>
      </c>
      <c r="EU45" s="55">
        <f t="shared" si="110"/>
        <v>1068.1697237999999</v>
      </c>
      <c r="EV45" s="55">
        <f t="shared" si="110"/>
        <v>2343.6510734000003</v>
      </c>
      <c r="EW45" s="298">
        <f t="shared" si="111"/>
        <v>0.76202583441632188</v>
      </c>
      <c r="EX45" s="52"/>
      <c r="EY45" s="55">
        <f t="shared" si="112"/>
        <v>1669.0445377865401</v>
      </c>
      <c r="EZ45" s="55">
        <f t="shared" si="112"/>
        <v>2108.9525716865405</v>
      </c>
      <c r="FA45" s="55">
        <f t="shared" si="112"/>
        <v>1104.21775767195</v>
      </c>
      <c r="FB45" s="55">
        <f t="shared" si="112"/>
        <v>1544.1257915719502</v>
      </c>
      <c r="FD45" s="52"/>
      <c r="FE45" s="52"/>
      <c r="FF45" s="52"/>
      <c r="FG45" s="55">
        <f t="shared" si="113"/>
        <v>39548.9617</v>
      </c>
      <c r="FH45" s="55">
        <f t="shared" si="113"/>
        <v>12700.0609</v>
      </c>
      <c r="FI45" s="55">
        <f t="shared" si="113"/>
        <v>767.57334000000003</v>
      </c>
      <c r="FJ45" s="55">
        <f t="shared" si="113"/>
        <v>1848.7312904</v>
      </c>
      <c r="FK45" s="298">
        <f t="shared" si="114"/>
        <v>0.75693208661093692</v>
      </c>
      <c r="FL45" s="52"/>
      <c r="FM45" s="55">
        <f t="shared" si="115"/>
        <v>1165.7225652535169</v>
      </c>
      <c r="FN45" s="55">
        <f t="shared" si="115"/>
        <v>1707.6332800535167</v>
      </c>
      <c r="FO45" s="55">
        <f t="shared" si="115"/>
        <v>791.45705517855993</v>
      </c>
      <c r="FP45" s="55">
        <f t="shared" si="115"/>
        <v>1333.3677699785599</v>
      </c>
      <c r="FR45" s="52"/>
      <c r="FS45" s="52"/>
      <c r="FT45" s="52"/>
      <c r="FU45" s="55">
        <f t="shared" si="116"/>
        <v>37123.915000000001</v>
      </c>
      <c r="FV45" s="55">
        <f t="shared" si="116"/>
        <v>11351.547500000001</v>
      </c>
      <c r="FW45" s="55">
        <f t="shared" si="116"/>
        <v>332.18842319999999</v>
      </c>
      <c r="FX45" s="55">
        <f t="shared" si="116"/>
        <v>450.62150960000008</v>
      </c>
      <c r="FY45" s="298">
        <f t="shared" si="117"/>
        <v>0.76582900060004588</v>
      </c>
      <c r="FZ45" s="52"/>
      <c r="GA45" s="55">
        <f t="shared" si="118"/>
        <v>332.75498231472983</v>
      </c>
      <c r="GB45" s="55">
        <f t="shared" si="118"/>
        <v>450.20160091472985</v>
      </c>
      <c r="GC45" s="55">
        <f t="shared" si="118"/>
        <v>332.2399619058138</v>
      </c>
      <c r="GD45" s="55">
        <f t="shared" si="118"/>
        <v>449.68658050581382</v>
      </c>
      <c r="GF45" s="52"/>
      <c r="GG45" s="52"/>
      <c r="GH45" s="52"/>
      <c r="GI45" s="55">
        <f t="shared" si="119"/>
        <v>18793.827499999999</v>
      </c>
      <c r="GJ45" s="55">
        <f t="shared" si="119"/>
        <v>5835.6067000000003</v>
      </c>
      <c r="GK45" s="56">
        <f t="shared" si="120"/>
        <v>79.104608999999954</v>
      </c>
      <c r="GL45" s="56">
        <f t="shared" si="120"/>
        <v>311.72935049999995</v>
      </c>
      <c r="GM45" s="298">
        <f t="shared" si="121"/>
        <v>0.76306371260449013</v>
      </c>
      <c r="GN45" s="52"/>
      <c r="GO45" s="56">
        <f t="shared" si="122"/>
        <v>267.81088865175684</v>
      </c>
      <c r="GP45" s="56">
        <f t="shared" si="122"/>
        <v>255.70075265175686</v>
      </c>
      <c r="GQ45" s="56">
        <f t="shared" si="122"/>
        <v>84.071842543103756</v>
      </c>
      <c r="GR45" s="56">
        <f t="shared" si="122"/>
        <v>71.96170654310373</v>
      </c>
    </row>
    <row r="46" spans="1:200" x14ac:dyDescent="0.2">
      <c r="A46" s="118">
        <v>36</v>
      </c>
      <c r="C46" s="128">
        <v>0.85370000000000001</v>
      </c>
      <c r="D46" s="128">
        <v>1.0055000000000001</v>
      </c>
      <c r="E46" s="128">
        <v>1.9058999999999999</v>
      </c>
      <c r="F46" s="128">
        <v>11766.19</v>
      </c>
      <c r="G46" s="128">
        <v>3017.1316999999999</v>
      </c>
      <c r="H46" s="49">
        <f t="shared" si="100"/>
        <v>854.91225399999996</v>
      </c>
      <c r="I46" s="49">
        <f t="shared" si="100"/>
        <v>1908.0368000000001</v>
      </c>
      <c r="J46" s="47">
        <f t="shared" si="100"/>
        <v>346.75944599999997</v>
      </c>
      <c r="K46" s="47">
        <f t="shared" si="53"/>
        <v>70.770219172125437</v>
      </c>
      <c r="L46" s="48">
        <f t="shared" si="54"/>
        <v>925.68247317212536</v>
      </c>
      <c r="M46" s="48">
        <f t="shared" si="55"/>
        <v>1632.0475731721256</v>
      </c>
      <c r="N46" s="93">
        <f t="shared" si="56"/>
        <v>869.94080115082625</v>
      </c>
      <c r="O46" s="93">
        <f t="shared" si="57"/>
        <v>1576.3059011508262</v>
      </c>
      <c r="Q46" s="128">
        <v>0.79259999999999997</v>
      </c>
      <c r="R46" s="130">
        <v>1.0062</v>
      </c>
      <c r="S46" s="128">
        <v>1.7210000000000001</v>
      </c>
      <c r="T46" s="128">
        <v>1897.9549999999999</v>
      </c>
      <c r="U46" s="128">
        <v>843.46579999999994</v>
      </c>
      <c r="V46" s="49">
        <f t="shared" si="101"/>
        <v>504.41856599999994</v>
      </c>
      <c r="W46" s="49">
        <f t="shared" si="101"/>
        <v>1198.877238</v>
      </c>
      <c r="X46" s="47">
        <f t="shared" si="101"/>
        <v>381.14987000000002</v>
      </c>
      <c r="Y46" s="47">
        <f t="shared" si="58"/>
        <v>268.27513009575824</v>
      </c>
      <c r="Z46" s="48">
        <f t="shared" si="59"/>
        <v>772.69369609575824</v>
      </c>
      <c r="AA46" s="48">
        <f t="shared" si="60"/>
        <v>1086.0024980957583</v>
      </c>
      <c r="AB46" s="93">
        <f t="shared" si="61"/>
        <v>521.717433479585</v>
      </c>
      <c r="AC46" s="93">
        <f t="shared" si="62"/>
        <v>835.02623547958513</v>
      </c>
      <c r="AE46" s="128">
        <v>0.70960000000000001</v>
      </c>
      <c r="AF46" s="130">
        <v>0.99060000000000004</v>
      </c>
      <c r="AG46" s="128">
        <v>1.7930999999999999</v>
      </c>
      <c r="AH46" s="128">
        <v>226.1917</v>
      </c>
      <c r="AI46" s="128">
        <v>91.44</v>
      </c>
      <c r="AJ46" s="49">
        <f t="shared" si="102"/>
        <v>326.47276799999997</v>
      </c>
      <c r="AK46" s="49">
        <f t="shared" si="102"/>
        <v>1040.8531379999999</v>
      </c>
      <c r="AL46" s="47">
        <f t="shared" si="102"/>
        <v>295.843569</v>
      </c>
      <c r="AM46" s="47">
        <f t="shared" si="63"/>
        <v>225.20578729587058</v>
      </c>
      <c r="AN46" s="48">
        <f t="shared" si="64"/>
        <v>551.67855529587052</v>
      </c>
      <c r="AO46" s="48">
        <f t="shared" si="65"/>
        <v>970.21535629587049</v>
      </c>
      <c r="AP46" s="93">
        <f t="shared" si="66"/>
        <v>338.27520607785152</v>
      </c>
      <c r="AQ46" s="93">
        <f t="shared" si="67"/>
        <v>756.81200707785149</v>
      </c>
      <c r="AS46" s="128">
        <v>0.90100000000000002</v>
      </c>
      <c r="AT46" s="130">
        <v>1.2427999999999999</v>
      </c>
      <c r="AU46" s="128">
        <v>2.0604</v>
      </c>
      <c r="AV46" s="128">
        <v>10908.623299999999</v>
      </c>
      <c r="AW46" s="128">
        <v>3088.47</v>
      </c>
      <c r="AX46" s="49">
        <f t="shared" si="103"/>
        <v>315.92664000000002</v>
      </c>
      <c r="AY46" s="49">
        <f t="shared" si="103"/>
        <v>876.14914399999998</v>
      </c>
      <c r="AZ46" s="47">
        <f t="shared" si="103"/>
        <v>521.033952</v>
      </c>
      <c r="BA46" s="47">
        <f t="shared" si="68"/>
        <v>382.94834704882913</v>
      </c>
      <c r="BB46" s="48">
        <f t="shared" si="69"/>
        <v>698.8749870488291</v>
      </c>
      <c r="BC46" s="48">
        <f t="shared" si="70"/>
        <v>738.06353904882917</v>
      </c>
      <c r="BD46" s="93">
        <f t="shared" si="71"/>
        <v>334.58447034170268</v>
      </c>
      <c r="BE46" s="93">
        <f t="shared" si="72"/>
        <v>373.77302234170264</v>
      </c>
      <c r="BG46" s="128">
        <v>0.86539999999999995</v>
      </c>
      <c r="BH46" s="130">
        <v>1.1765000000000001</v>
      </c>
      <c r="BI46" s="128">
        <v>1.9666999999999999</v>
      </c>
      <c r="BJ46" s="128">
        <v>7268.3117000000002</v>
      </c>
      <c r="BK46" s="128">
        <v>2228.7600000000002</v>
      </c>
      <c r="BL46" s="49">
        <f t="shared" si="104"/>
        <v>284.21466800000002</v>
      </c>
      <c r="BM46" s="49">
        <f t="shared" si="104"/>
        <v>711.40602000000001</v>
      </c>
      <c r="BN46" s="47">
        <f t="shared" si="104"/>
        <v>418.00241799999998</v>
      </c>
      <c r="BO46" s="47">
        <f t="shared" si="73"/>
        <v>298.6774382291224</v>
      </c>
      <c r="BP46" s="48">
        <f t="shared" si="74"/>
        <v>582.89210622912242</v>
      </c>
      <c r="BQ46" s="48">
        <f t="shared" si="75"/>
        <v>592.08104022912244</v>
      </c>
      <c r="BR46" s="93">
        <f t="shared" si="76"/>
        <v>302.91459440643303</v>
      </c>
      <c r="BS46" s="93">
        <f t="shared" si="77"/>
        <v>312.10352840643304</v>
      </c>
      <c r="BU46" s="128">
        <v>0.87360000000000004</v>
      </c>
      <c r="BV46" s="130">
        <v>1.1705000000000001</v>
      </c>
      <c r="BW46" s="128">
        <v>2.032</v>
      </c>
      <c r="BX46" s="128">
        <v>10396</v>
      </c>
      <c r="BY46" s="128">
        <v>3146.9142000000002</v>
      </c>
      <c r="BZ46" s="49">
        <f t="shared" si="105"/>
        <v>211.93536</v>
      </c>
      <c r="CA46" s="49">
        <f t="shared" si="105"/>
        <v>473.02246000000002</v>
      </c>
      <c r="CB46" s="47">
        <f t="shared" si="105"/>
        <v>211.30768</v>
      </c>
      <c r="CC46" s="47">
        <f t="shared" si="78"/>
        <v>145.92618069605044</v>
      </c>
      <c r="CD46" s="48">
        <f t="shared" si="79"/>
        <v>357.86154069605044</v>
      </c>
      <c r="CE46" s="48">
        <f t="shared" si="80"/>
        <v>407.64096069605046</v>
      </c>
      <c r="CF46" s="93">
        <f t="shared" si="81"/>
        <v>223.97021228423094</v>
      </c>
      <c r="CG46" s="93">
        <f t="shared" si="82"/>
        <v>273.74963228423093</v>
      </c>
      <c r="CI46" s="128">
        <v>0.93269999999999997</v>
      </c>
      <c r="CJ46" s="130">
        <v>0.95079999999999998</v>
      </c>
      <c r="CK46" s="128">
        <v>1.6644000000000001</v>
      </c>
      <c r="CL46" s="128">
        <v>28916.8933</v>
      </c>
      <c r="CM46" s="128">
        <v>8670.2999999999993</v>
      </c>
      <c r="CN46" s="49">
        <f t="shared" si="106"/>
        <v>197.99355599999998</v>
      </c>
      <c r="CO46" s="49">
        <f t="shared" si="106"/>
        <v>261.92638399999998</v>
      </c>
      <c r="CP46" s="47">
        <f t="shared" si="106"/>
        <v>0.64911600000000003</v>
      </c>
      <c r="CQ46" s="47">
        <f t="shared" si="83"/>
        <v>0.36967435392460696</v>
      </c>
      <c r="CR46" s="48">
        <f t="shared" si="84"/>
        <v>198.36323035392459</v>
      </c>
      <c r="CS46" s="48">
        <f t="shared" si="85"/>
        <v>261.6469423539246</v>
      </c>
      <c r="CT46" s="93">
        <f t="shared" si="86"/>
        <v>198.02670494675937</v>
      </c>
      <c r="CU46" s="93">
        <f t="shared" si="87"/>
        <v>261.31041694675935</v>
      </c>
      <c r="CW46" s="128">
        <v>0.85389999999999999</v>
      </c>
      <c r="CX46" s="130">
        <v>0.85160000000000002</v>
      </c>
      <c r="CY46" s="128">
        <v>1.4268000000000001</v>
      </c>
      <c r="CZ46" s="128">
        <v>13037.5092</v>
      </c>
      <c r="DA46" s="128">
        <v>3448.84</v>
      </c>
      <c r="DB46" s="49">
        <f t="shared" si="107"/>
        <v>183.340869</v>
      </c>
      <c r="DC46" s="49">
        <f t="shared" si="107"/>
        <v>255.51406400000002</v>
      </c>
      <c r="DD46" s="47">
        <f t="shared" si="107"/>
        <v>0.38523600000000002</v>
      </c>
      <c r="DE46" s="47">
        <f t="shared" si="88"/>
        <v>0.22429556684305066</v>
      </c>
      <c r="DF46" s="48">
        <f t="shared" si="89"/>
        <v>183.56516456684304</v>
      </c>
      <c r="DG46" s="48">
        <f t="shared" si="90"/>
        <v>255.35312356684307</v>
      </c>
      <c r="DH46" s="93">
        <f t="shared" si="91"/>
        <v>183.36385619881798</v>
      </c>
      <c r="DI46" s="93">
        <f t="shared" si="92"/>
        <v>255.15181519881801</v>
      </c>
      <c r="DK46" s="128">
        <v>0.8024</v>
      </c>
      <c r="DL46" s="130">
        <v>0.81679999999999997</v>
      </c>
      <c r="DM46" s="128">
        <v>1.1767000000000001</v>
      </c>
      <c r="DN46" s="128">
        <v>4320.3383000000003</v>
      </c>
      <c r="DO46" s="128">
        <v>1557.75</v>
      </c>
      <c r="DP46" s="49">
        <f t="shared" si="108"/>
        <v>106.20566400000001</v>
      </c>
      <c r="DQ46" s="49">
        <f t="shared" si="108"/>
        <v>158.15698399999999</v>
      </c>
      <c r="DR46" s="47">
        <f t="shared" si="108"/>
        <v>0.22357300000000002</v>
      </c>
      <c r="DS46" s="47">
        <f t="shared" si="93"/>
        <v>0.13375426389219705</v>
      </c>
      <c r="DT46" s="48">
        <f t="shared" si="94"/>
        <v>106.33941826389221</v>
      </c>
      <c r="DU46" s="48">
        <f t="shared" si="95"/>
        <v>158.06716526389221</v>
      </c>
      <c r="DV46" s="93">
        <f t="shared" si="96"/>
        <v>106.22779044953</v>
      </c>
      <c r="DW46" s="93">
        <f t="shared" si="97"/>
        <v>157.95553744953</v>
      </c>
      <c r="EB46" s="52"/>
      <c r="EC46" s="52"/>
      <c r="ED46" s="52"/>
      <c r="EE46" s="55">
        <f t="shared" si="98"/>
        <v>64629.215800000005</v>
      </c>
      <c r="EF46" s="55">
        <f t="shared" si="98"/>
        <v>18224.741699999999</v>
      </c>
      <c r="EG46" s="55">
        <f t="shared" si="98"/>
        <v>1515.5051451999998</v>
      </c>
      <c r="EH46" s="55">
        <f t="shared" si="98"/>
        <v>3250.5235791999999</v>
      </c>
      <c r="EI46" s="298">
        <f t="shared" si="109"/>
        <v>0.78003776464147778</v>
      </c>
      <c r="EJ46" s="52"/>
      <c r="EK46" s="55">
        <f t="shared" si="99"/>
        <v>1969.7728222283536</v>
      </c>
      <c r="EL46" s="55">
        <f t="shared" si="99"/>
        <v>2836.0405534283541</v>
      </c>
      <c r="EM46" s="55">
        <f t="shared" si="39"/>
        <v>1549.2430613983427</v>
      </c>
      <c r="EN46" s="55">
        <f t="shared" si="39"/>
        <v>2415.510792598343</v>
      </c>
      <c r="EP46" s="52"/>
      <c r="EQ46" s="52"/>
      <c r="ER46" s="52"/>
      <c r="ES46" s="55">
        <f t="shared" si="110"/>
        <v>51120.669200000004</v>
      </c>
      <c r="ET46" s="55">
        <f t="shared" si="110"/>
        <v>15191.3658</v>
      </c>
      <c r="EU46" s="55">
        <f t="shared" si="110"/>
        <v>1114.9653982999998</v>
      </c>
      <c r="EV46" s="55">
        <f t="shared" si="110"/>
        <v>2351.0694867999996</v>
      </c>
      <c r="EW46" s="298">
        <f t="shared" si="111"/>
        <v>0.77091087914886036</v>
      </c>
      <c r="EX46" s="52"/>
      <c r="EY46" s="55">
        <f t="shared" si="112"/>
        <v>1682.4446478755954</v>
      </c>
      <c r="EZ46" s="55">
        <f t="shared" si="112"/>
        <v>2118.4776671755953</v>
      </c>
      <c r="FA46" s="55">
        <f t="shared" si="112"/>
        <v>1151.0134321719499</v>
      </c>
      <c r="FB46" s="55">
        <f t="shared" si="112"/>
        <v>1587.0464514719501</v>
      </c>
      <c r="FD46" s="52"/>
      <c r="FE46" s="52"/>
      <c r="FF46" s="52"/>
      <c r="FG46" s="55">
        <f t="shared" si="113"/>
        <v>43859.423300000002</v>
      </c>
      <c r="FH46" s="55">
        <f t="shared" si="113"/>
        <v>13466.404199999999</v>
      </c>
      <c r="FI46" s="55">
        <f t="shared" si="113"/>
        <v>800.12508240000011</v>
      </c>
      <c r="FJ46" s="55">
        <f t="shared" si="113"/>
        <v>1870.6961724</v>
      </c>
      <c r="FK46" s="298">
        <f t="shared" si="114"/>
        <v>0.76509010358376428</v>
      </c>
      <c r="FL46" s="52"/>
      <c r="FM46" s="55">
        <f t="shared" si="115"/>
        <v>1171.7069773041808</v>
      </c>
      <c r="FN46" s="55">
        <f t="shared" si="115"/>
        <v>1734.3435585041807</v>
      </c>
      <c r="FO46" s="55">
        <f t="shared" si="115"/>
        <v>824.00879757855989</v>
      </c>
      <c r="FP46" s="55">
        <f t="shared" si="115"/>
        <v>1386.6453787785599</v>
      </c>
      <c r="FR46" s="52"/>
      <c r="FS46" s="52"/>
      <c r="FT46" s="52"/>
      <c r="FU46" s="55">
        <f t="shared" si="116"/>
        <v>41954.402499999997</v>
      </c>
      <c r="FV46" s="55">
        <f t="shared" si="116"/>
        <v>12119.14</v>
      </c>
      <c r="FW46" s="55">
        <f t="shared" si="116"/>
        <v>344.66625119999998</v>
      </c>
      <c r="FX46" s="55">
        <f t="shared" si="116"/>
        <v>466.33763520000002</v>
      </c>
      <c r="FY46" s="298">
        <f t="shared" si="117"/>
        <v>0.77587671456886698</v>
      </c>
      <c r="FZ46" s="52"/>
      <c r="GA46" s="55">
        <f t="shared" si="118"/>
        <v>345.21536200739899</v>
      </c>
      <c r="GB46" s="55">
        <f t="shared" si="118"/>
        <v>465.92944120739907</v>
      </c>
      <c r="GC46" s="55">
        <f t="shared" si="118"/>
        <v>344.71778990581379</v>
      </c>
      <c r="GD46" s="55">
        <f t="shared" si="118"/>
        <v>465.4318691058138</v>
      </c>
      <c r="GF46" s="52"/>
      <c r="GG46" s="52"/>
      <c r="GH46" s="52"/>
      <c r="GI46" s="55">
        <f t="shared" si="119"/>
        <v>21304.623299999999</v>
      </c>
      <c r="GJ46" s="55">
        <f t="shared" si="119"/>
        <v>6235.3842000000004</v>
      </c>
      <c r="GK46" s="56">
        <f t="shared" si="120"/>
        <v>77.993460000000013</v>
      </c>
      <c r="GL46" s="56">
        <f t="shared" si="120"/>
        <v>302.34501299999999</v>
      </c>
      <c r="GM46" s="298">
        <f t="shared" si="121"/>
        <v>0.7735881444476731</v>
      </c>
      <c r="GN46" s="52"/>
      <c r="GO46" s="56">
        <f t="shared" si="122"/>
        <v>255.76008476458401</v>
      </c>
      <c r="GP46" s="56">
        <f t="shared" si="122"/>
        <v>247.81693376458404</v>
      </c>
      <c r="GQ46" s="56">
        <f t="shared" si="122"/>
        <v>82.960693543103815</v>
      </c>
      <c r="GR46" s="56">
        <f t="shared" si="122"/>
        <v>75.017542543103787</v>
      </c>
    </row>
    <row r="47" spans="1:200" x14ac:dyDescent="0.2">
      <c r="A47" s="118">
        <v>37</v>
      </c>
      <c r="C47" s="128">
        <v>0.88970000000000005</v>
      </c>
      <c r="D47" s="128">
        <v>1.0126999999999999</v>
      </c>
      <c r="E47" s="128">
        <v>1.7063999999999999</v>
      </c>
      <c r="F47" s="128">
        <v>13387.046700000001</v>
      </c>
      <c r="G47" s="128">
        <v>3236.0841999999998</v>
      </c>
      <c r="H47" s="49">
        <f t="shared" si="100"/>
        <v>890.96337400000004</v>
      </c>
      <c r="I47" s="49">
        <f t="shared" si="100"/>
        <v>1921.6995199999999</v>
      </c>
      <c r="J47" s="47">
        <f t="shared" si="100"/>
        <v>310.46241599999996</v>
      </c>
      <c r="K47" s="47">
        <f t="shared" si="53"/>
        <v>60.438826184748805</v>
      </c>
      <c r="L47" s="48">
        <f t="shared" si="54"/>
        <v>951.40220018474884</v>
      </c>
      <c r="M47" s="48">
        <f t="shared" si="55"/>
        <v>1671.6759301847487</v>
      </c>
      <c r="N47" s="93">
        <f t="shared" si="56"/>
        <v>905.99192115082633</v>
      </c>
      <c r="O47" s="93">
        <f t="shared" si="57"/>
        <v>1626.265651150826</v>
      </c>
      <c r="Q47" s="128">
        <v>0.8427</v>
      </c>
      <c r="R47" s="130">
        <v>1.0084</v>
      </c>
      <c r="S47" s="128">
        <v>1.6097999999999999</v>
      </c>
      <c r="T47" s="128">
        <v>2191.1633000000002</v>
      </c>
      <c r="U47" s="128">
        <v>966.39499999999998</v>
      </c>
      <c r="V47" s="49">
        <f t="shared" si="101"/>
        <v>536.30270699999994</v>
      </c>
      <c r="W47" s="49">
        <f t="shared" si="101"/>
        <v>1201.4985159999999</v>
      </c>
      <c r="X47" s="47">
        <f t="shared" si="101"/>
        <v>356.52240599999999</v>
      </c>
      <c r="Y47" s="47">
        <f t="shared" si="58"/>
        <v>246.49605263268333</v>
      </c>
      <c r="Z47" s="48">
        <f t="shared" si="59"/>
        <v>782.7987596326833</v>
      </c>
      <c r="AA47" s="48">
        <f t="shared" si="60"/>
        <v>1091.4721626326832</v>
      </c>
      <c r="AB47" s="93">
        <f t="shared" si="61"/>
        <v>553.601574479585</v>
      </c>
      <c r="AC47" s="93">
        <f t="shared" si="62"/>
        <v>862.27497747958489</v>
      </c>
      <c r="AE47" s="128">
        <v>0.7651</v>
      </c>
      <c r="AF47" s="130">
        <v>1.0008999999999999</v>
      </c>
      <c r="AG47" s="128">
        <v>1.6620999999999999</v>
      </c>
      <c r="AH47" s="128">
        <v>236.57669999999999</v>
      </c>
      <c r="AI47" s="128">
        <v>97.5</v>
      </c>
      <c r="AJ47" s="49">
        <f t="shared" si="102"/>
        <v>352.00720799999999</v>
      </c>
      <c r="AK47" s="49">
        <f t="shared" si="102"/>
        <v>1051.675657</v>
      </c>
      <c r="AL47" s="47">
        <f t="shared" si="102"/>
        <v>274.22987899999998</v>
      </c>
      <c r="AM47" s="47">
        <f t="shared" si="63"/>
        <v>205.46014727219421</v>
      </c>
      <c r="AN47" s="48">
        <f t="shared" si="64"/>
        <v>557.46735527219425</v>
      </c>
      <c r="AO47" s="48">
        <f t="shared" si="65"/>
        <v>982.90592527219428</v>
      </c>
      <c r="AP47" s="93">
        <f t="shared" si="66"/>
        <v>363.80964607785154</v>
      </c>
      <c r="AQ47" s="93">
        <f t="shared" si="67"/>
        <v>789.24821607785157</v>
      </c>
      <c r="AS47" s="128">
        <v>0.91269999999999996</v>
      </c>
      <c r="AT47" s="130">
        <v>1.1973</v>
      </c>
      <c r="AU47" s="128">
        <v>1.8371</v>
      </c>
      <c r="AV47" s="128">
        <v>12857.157499999999</v>
      </c>
      <c r="AW47" s="128">
        <v>3598.1842000000001</v>
      </c>
      <c r="AX47" s="49">
        <f t="shared" si="103"/>
        <v>320.02912799999996</v>
      </c>
      <c r="AY47" s="49">
        <f t="shared" si="103"/>
        <v>844.07255400000008</v>
      </c>
      <c r="AZ47" s="47">
        <f t="shared" si="103"/>
        <v>464.56584799999996</v>
      </c>
      <c r="BA47" s="47">
        <f t="shared" si="68"/>
        <v>336.84968236523497</v>
      </c>
      <c r="BB47" s="48">
        <f t="shared" si="69"/>
        <v>656.87881036523493</v>
      </c>
      <c r="BC47" s="48">
        <f t="shared" si="70"/>
        <v>716.35638836523503</v>
      </c>
      <c r="BD47" s="93">
        <f t="shared" si="71"/>
        <v>338.68695834170262</v>
      </c>
      <c r="BE47" s="93">
        <f t="shared" si="72"/>
        <v>398.16453634170279</v>
      </c>
      <c r="BG47" s="128">
        <v>0.89149999999999996</v>
      </c>
      <c r="BH47" s="130">
        <v>1.141</v>
      </c>
      <c r="BI47" s="128">
        <v>1.7867999999999999</v>
      </c>
      <c r="BJ47" s="128">
        <v>8183.9116999999997</v>
      </c>
      <c r="BK47" s="128">
        <v>2437.6116999999999</v>
      </c>
      <c r="BL47" s="49">
        <f t="shared" si="104"/>
        <v>292.78643</v>
      </c>
      <c r="BM47" s="49">
        <f t="shared" si="104"/>
        <v>689.9398799999999</v>
      </c>
      <c r="BN47" s="47">
        <f t="shared" si="104"/>
        <v>379.76647199999996</v>
      </c>
      <c r="BO47" s="47">
        <f t="shared" si="73"/>
        <v>266.62157251056334</v>
      </c>
      <c r="BP47" s="48">
        <f t="shared" si="74"/>
        <v>559.40800251056339</v>
      </c>
      <c r="BQ47" s="48">
        <f t="shared" si="75"/>
        <v>576.79498051056328</v>
      </c>
      <c r="BR47" s="93">
        <f t="shared" si="76"/>
        <v>311.486356406433</v>
      </c>
      <c r="BS47" s="93">
        <f t="shared" si="77"/>
        <v>328.87333440643295</v>
      </c>
      <c r="BU47" s="128">
        <v>0.89300000000000002</v>
      </c>
      <c r="BV47" s="130">
        <v>1.1367</v>
      </c>
      <c r="BW47" s="128">
        <v>1.8038000000000001</v>
      </c>
      <c r="BX47" s="128">
        <v>11261.3033</v>
      </c>
      <c r="BY47" s="128">
        <v>3440.86</v>
      </c>
      <c r="BZ47" s="49">
        <f t="shared" si="105"/>
        <v>216.64179999999999</v>
      </c>
      <c r="CA47" s="49">
        <f t="shared" si="105"/>
        <v>459.363204</v>
      </c>
      <c r="CB47" s="47">
        <f t="shared" si="105"/>
        <v>187.57716199999999</v>
      </c>
      <c r="CC47" s="47">
        <f t="shared" si="78"/>
        <v>127.46362175382218</v>
      </c>
      <c r="CD47" s="48">
        <f t="shared" si="79"/>
        <v>344.10542175382216</v>
      </c>
      <c r="CE47" s="48">
        <f t="shared" si="80"/>
        <v>399.24966375382218</v>
      </c>
      <c r="CF47" s="93">
        <f t="shared" si="81"/>
        <v>228.67665228423093</v>
      </c>
      <c r="CG47" s="93">
        <f t="shared" si="82"/>
        <v>283.82089428423092</v>
      </c>
      <c r="CI47" s="128">
        <v>0.95630000000000004</v>
      </c>
      <c r="CJ47" s="130">
        <v>0.96879999999999999</v>
      </c>
      <c r="CK47" s="128">
        <v>1.5512999999999999</v>
      </c>
      <c r="CL47" s="128">
        <v>32684.414199999999</v>
      </c>
      <c r="CM47" s="128">
        <v>9675.7392</v>
      </c>
      <c r="CN47" s="49">
        <f t="shared" si="106"/>
        <v>203.003364</v>
      </c>
      <c r="CO47" s="49">
        <f t="shared" si="106"/>
        <v>266.88502400000004</v>
      </c>
      <c r="CP47" s="47">
        <f t="shared" si="106"/>
        <v>0.60500699999999996</v>
      </c>
      <c r="CQ47" s="47">
        <f t="shared" si="83"/>
        <v>0.34362906562221318</v>
      </c>
      <c r="CR47" s="48">
        <f t="shared" si="84"/>
        <v>203.34699306562223</v>
      </c>
      <c r="CS47" s="48">
        <f t="shared" si="85"/>
        <v>266.62364606562227</v>
      </c>
      <c r="CT47" s="93">
        <f t="shared" si="86"/>
        <v>203.03651294675939</v>
      </c>
      <c r="CU47" s="93">
        <f t="shared" si="87"/>
        <v>266.3131659467594</v>
      </c>
      <c r="CW47" s="128">
        <v>0.88959999999999995</v>
      </c>
      <c r="CX47" s="130">
        <v>0.89119999999999999</v>
      </c>
      <c r="CY47" s="128">
        <v>1.3728</v>
      </c>
      <c r="CZ47" s="128">
        <v>14961.012500000001</v>
      </c>
      <c r="DA47" s="128">
        <v>3943.9832999999999</v>
      </c>
      <c r="DB47" s="49">
        <f t="shared" si="107"/>
        <v>191.00601599999999</v>
      </c>
      <c r="DC47" s="49">
        <f t="shared" si="107"/>
        <v>267.39564799999999</v>
      </c>
      <c r="DD47" s="47">
        <f t="shared" si="107"/>
        <v>0.37065600000000004</v>
      </c>
      <c r="DE47" s="47">
        <f t="shared" si="88"/>
        <v>0.21621169617981145</v>
      </c>
      <c r="DF47" s="48">
        <f t="shared" si="89"/>
        <v>191.2222276961798</v>
      </c>
      <c r="DG47" s="48">
        <f t="shared" si="90"/>
        <v>267.24120369617981</v>
      </c>
      <c r="DH47" s="93">
        <f t="shared" si="91"/>
        <v>191.02900319881797</v>
      </c>
      <c r="DI47" s="93">
        <f t="shared" si="92"/>
        <v>267.04797919881798</v>
      </c>
      <c r="DK47" s="128">
        <v>0.85</v>
      </c>
      <c r="DL47" s="130">
        <v>0.86360000000000003</v>
      </c>
      <c r="DM47" s="128">
        <v>1.1661999999999999</v>
      </c>
      <c r="DN47" s="128">
        <v>4704.4674999999997</v>
      </c>
      <c r="DO47" s="128">
        <v>1668.7433000000001</v>
      </c>
      <c r="DP47" s="49">
        <f t="shared" si="108"/>
        <v>112.50600000000001</v>
      </c>
      <c r="DQ47" s="49">
        <f t="shared" si="108"/>
        <v>167.21886800000001</v>
      </c>
      <c r="DR47" s="47">
        <f t="shared" si="108"/>
        <v>0.221578</v>
      </c>
      <c r="DS47" s="47">
        <f t="shared" si="93"/>
        <v>0.13245880710793292</v>
      </c>
      <c r="DT47" s="48">
        <f t="shared" si="94"/>
        <v>112.63845880710795</v>
      </c>
      <c r="DU47" s="48">
        <f t="shared" si="95"/>
        <v>167.12974880710794</v>
      </c>
      <c r="DV47" s="93">
        <f t="shared" si="96"/>
        <v>112.52812644953001</v>
      </c>
      <c r="DW47" s="93">
        <f t="shared" si="97"/>
        <v>167.01941644953001</v>
      </c>
      <c r="EB47" s="52"/>
      <c r="EC47" s="52"/>
      <c r="ED47" s="52"/>
      <c r="EE47" s="55">
        <f t="shared" si="98"/>
        <v>73889.630900000004</v>
      </c>
      <c r="EF47" s="55">
        <f t="shared" si="98"/>
        <v>20453.990900000001</v>
      </c>
      <c r="EG47" s="55">
        <f t="shared" si="98"/>
        <v>1566.8006788</v>
      </c>
      <c r="EH47" s="55">
        <f t="shared" si="98"/>
        <v>3246.5736164</v>
      </c>
      <c r="EI47" s="298">
        <f t="shared" si="109"/>
        <v>0.7831968869781083</v>
      </c>
      <c r="EJ47" s="52"/>
      <c r="EK47" s="55">
        <f t="shared" si="99"/>
        <v>1964.60578577255</v>
      </c>
      <c r="EL47" s="55">
        <f t="shared" si="99"/>
        <v>2868.44892757255</v>
      </c>
      <c r="EM47" s="55">
        <f t="shared" si="39"/>
        <v>1600.5385949983427</v>
      </c>
      <c r="EN47" s="55">
        <f t="shared" si="39"/>
        <v>2504.3817367983424</v>
      </c>
      <c r="EP47" s="52"/>
      <c r="EQ47" s="52"/>
      <c r="ER47" s="52"/>
      <c r="ES47" s="55">
        <f t="shared" si="110"/>
        <v>58020.501699999993</v>
      </c>
      <c r="ET47" s="55">
        <f t="shared" si="110"/>
        <v>17023.729200000002</v>
      </c>
      <c r="EU47" s="55">
        <f t="shared" si="110"/>
        <v>1165.7967121999998</v>
      </c>
      <c r="EV47" s="55">
        <f t="shared" si="110"/>
        <v>2345.5003735999999</v>
      </c>
      <c r="EW47" s="298">
        <f t="shared" si="111"/>
        <v>0.77315072729994483</v>
      </c>
      <c r="EX47" s="52"/>
      <c r="EY47" s="55">
        <f t="shared" si="112"/>
        <v>1679.4093145961947</v>
      </c>
      <c r="EZ47" s="55">
        <f t="shared" si="112"/>
        <v>2121.9596317961946</v>
      </c>
      <c r="FA47" s="55">
        <f t="shared" si="112"/>
        <v>1201.8447460719499</v>
      </c>
      <c r="FB47" s="55">
        <f t="shared" si="112"/>
        <v>1644.3950632719498</v>
      </c>
      <c r="FD47" s="52"/>
      <c r="FE47" s="52"/>
      <c r="FF47" s="52"/>
      <c r="FG47" s="55">
        <f t="shared" si="113"/>
        <v>48886.761699999995</v>
      </c>
      <c r="FH47" s="55">
        <f t="shared" si="113"/>
        <v>14882.842500000001</v>
      </c>
      <c r="FI47" s="55">
        <f t="shared" si="113"/>
        <v>839.15597200000002</v>
      </c>
      <c r="FJ47" s="55">
        <f t="shared" si="113"/>
        <v>1878.2552058000001</v>
      </c>
      <c r="FK47" s="298">
        <f t="shared" si="114"/>
        <v>0.7666154167536765</v>
      </c>
      <c r="FL47" s="52"/>
      <c r="FM47" s="55">
        <f t="shared" si="115"/>
        <v>1172.5028453759035</v>
      </c>
      <c r="FN47" s="55">
        <f t="shared" si="115"/>
        <v>1749.0570843759035</v>
      </c>
      <c r="FO47" s="55">
        <f t="shared" si="115"/>
        <v>863.03968717855992</v>
      </c>
      <c r="FP47" s="55">
        <f t="shared" si="115"/>
        <v>1439.59392617856</v>
      </c>
      <c r="FR47" s="52"/>
      <c r="FS47" s="52"/>
      <c r="FT47" s="52"/>
      <c r="FU47" s="55">
        <f t="shared" si="116"/>
        <v>47645.426699999996</v>
      </c>
      <c r="FV47" s="55">
        <f t="shared" si="116"/>
        <v>13619.7225</v>
      </c>
      <c r="FW47" s="55">
        <f t="shared" si="116"/>
        <v>355.80817680000001</v>
      </c>
      <c r="FX47" s="55">
        <f t="shared" si="116"/>
        <v>480.80154240000002</v>
      </c>
      <c r="FY47" s="298">
        <f t="shared" si="117"/>
        <v>0.7776921679315848</v>
      </c>
      <c r="FZ47" s="52"/>
      <c r="GA47" s="55">
        <f t="shared" si="118"/>
        <v>356.32477522256607</v>
      </c>
      <c r="GB47" s="55">
        <f t="shared" si="118"/>
        <v>480.41660902256615</v>
      </c>
      <c r="GC47" s="55">
        <f t="shared" si="118"/>
        <v>355.85971550581377</v>
      </c>
      <c r="GD47" s="55">
        <f t="shared" si="118"/>
        <v>479.95154930581378</v>
      </c>
      <c r="GF47" s="52"/>
      <c r="GG47" s="52"/>
      <c r="GH47" s="52"/>
      <c r="GI47" s="55">
        <f t="shared" si="119"/>
        <v>24118.460800000001</v>
      </c>
      <c r="GJ47" s="55">
        <f t="shared" si="119"/>
        <v>7039.0442000000003</v>
      </c>
      <c r="GK47" s="56">
        <f t="shared" si="120"/>
        <v>77.540495999999976</v>
      </c>
      <c r="GL47" s="56">
        <f t="shared" si="120"/>
        <v>288.53201250000006</v>
      </c>
      <c r="GM47" s="298">
        <f t="shared" si="121"/>
        <v>0.77408190418327782</v>
      </c>
      <c r="GN47" s="52"/>
      <c r="GO47" s="56">
        <f t="shared" si="122"/>
        <v>234.58004145855958</v>
      </c>
      <c r="GP47" s="56">
        <f t="shared" si="122"/>
        <v>237.83004345855966</v>
      </c>
      <c r="GQ47" s="56">
        <f t="shared" si="122"/>
        <v>82.507729543103778</v>
      </c>
      <c r="GR47" s="56">
        <f t="shared" si="122"/>
        <v>85.757731543103901</v>
      </c>
    </row>
    <row r="48" spans="1:200" x14ac:dyDescent="0.2">
      <c r="A48" s="118">
        <v>38</v>
      </c>
      <c r="C48" s="128">
        <v>0.92659999999999998</v>
      </c>
      <c r="D48" s="128">
        <v>1.0137</v>
      </c>
      <c r="E48" s="128">
        <v>1.4642999999999999</v>
      </c>
      <c r="F48" s="128">
        <v>14580.015799999999</v>
      </c>
      <c r="G48" s="128">
        <v>3529.2075</v>
      </c>
      <c r="H48" s="49">
        <f t="shared" si="100"/>
        <v>927.91577199999995</v>
      </c>
      <c r="I48" s="49">
        <f t="shared" si="100"/>
        <v>1923.5971199999999</v>
      </c>
      <c r="J48" s="47">
        <f t="shared" si="100"/>
        <v>266.41474199999999</v>
      </c>
      <c r="K48" s="47">
        <f t="shared" si="53"/>
        <v>51.920112199233031</v>
      </c>
      <c r="L48" s="48">
        <f t="shared" si="54"/>
        <v>979.83588419923296</v>
      </c>
      <c r="M48" s="48">
        <f t="shared" si="55"/>
        <v>1709.102490199233</v>
      </c>
      <c r="N48" s="93">
        <f t="shared" si="56"/>
        <v>942.94431915082623</v>
      </c>
      <c r="O48" s="93">
        <f t="shared" si="57"/>
        <v>1672.2109251508261</v>
      </c>
      <c r="Q48" s="128">
        <v>0.89559999999999995</v>
      </c>
      <c r="R48" s="130">
        <v>1.0074000000000001</v>
      </c>
      <c r="S48" s="128">
        <v>1.45</v>
      </c>
      <c r="T48" s="128">
        <v>2352.4699999999998</v>
      </c>
      <c r="U48" s="128">
        <v>1050.03</v>
      </c>
      <c r="V48" s="49">
        <f t="shared" si="101"/>
        <v>569.968796</v>
      </c>
      <c r="W48" s="49">
        <f t="shared" si="101"/>
        <v>1200.3070260000002</v>
      </c>
      <c r="X48" s="47">
        <f t="shared" si="101"/>
        <v>321.13150000000002</v>
      </c>
      <c r="Y48" s="47">
        <f t="shared" si="58"/>
        <v>217.73804450678367</v>
      </c>
      <c r="Z48" s="48">
        <f t="shared" si="59"/>
        <v>787.70684050678369</v>
      </c>
      <c r="AA48" s="48">
        <f t="shared" si="60"/>
        <v>1096.9135705067838</v>
      </c>
      <c r="AB48" s="93">
        <f t="shared" si="61"/>
        <v>587.26766347958505</v>
      </c>
      <c r="AC48" s="93">
        <f t="shared" si="62"/>
        <v>896.47439347958527</v>
      </c>
      <c r="AE48" s="128">
        <v>0.83279999999999998</v>
      </c>
      <c r="AF48" s="130">
        <v>1.0045999999999999</v>
      </c>
      <c r="AG48" s="128">
        <v>1.4762999999999999</v>
      </c>
      <c r="AH48" s="128">
        <v>303.2158</v>
      </c>
      <c r="AI48" s="128">
        <v>128.51329999999999</v>
      </c>
      <c r="AJ48" s="49">
        <f t="shared" si="102"/>
        <v>383.15462399999996</v>
      </c>
      <c r="AK48" s="49">
        <f t="shared" si="102"/>
        <v>1055.5633579999999</v>
      </c>
      <c r="AL48" s="47">
        <f t="shared" si="102"/>
        <v>243.574737</v>
      </c>
      <c r="AM48" s="47">
        <f t="shared" si="63"/>
        <v>178.70671704142697</v>
      </c>
      <c r="AN48" s="48">
        <f t="shared" si="64"/>
        <v>561.86134104142695</v>
      </c>
      <c r="AO48" s="48">
        <f t="shared" si="65"/>
        <v>990.69533804142679</v>
      </c>
      <c r="AP48" s="93">
        <f t="shared" si="66"/>
        <v>394.9570620778515</v>
      </c>
      <c r="AQ48" s="93">
        <f t="shared" si="67"/>
        <v>823.7910590778514</v>
      </c>
      <c r="AS48" s="128">
        <v>0.93210000000000004</v>
      </c>
      <c r="AT48" s="130">
        <v>1.1388</v>
      </c>
      <c r="AU48" s="128">
        <v>1.5702</v>
      </c>
      <c r="AV48" s="128">
        <v>14565.123299999999</v>
      </c>
      <c r="AW48" s="128">
        <v>4028.3182999999999</v>
      </c>
      <c r="AX48" s="49">
        <f t="shared" si="103"/>
        <v>326.83154400000001</v>
      </c>
      <c r="AY48" s="49">
        <f t="shared" si="103"/>
        <v>802.83122400000002</v>
      </c>
      <c r="AZ48" s="47">
        <f t="shared" si="103"/>
        <v>397.07217600000001</v>
      </c>
      <c r="BA48" s="47">
        <f t="shared" si="68"/>
        <v>282.19212857551076</v>
      </c>
      <c r="BB48" s="48">
        <f t="shared" si="69"/>
        <v>609.02367257551077</v>
      </c>
      <c r="BC48" s="48">
        <f t="shared" si="70"/>
        <v>687.95117657551077</v>
      </c>
      <c r="BD48" s="93">
        <f t="shared" si="71"/>
        <v>345.48937434170267</v>
      </c>
      <c r="BE48" s="93">
        <f t="shared" si="72"/>
        <v>424.41687834170267</v>
      </c>
      <c r="BG48" s="128">
        <v>0.92259999999999998</v>
      </c>
      <c r="BH48" s="130">
        <v>1.0972999999999999</v>
      </c>
      <c r="BI48" s="128">
        <v>1.5499000000000001</v>
      </c>
      <c r="BJ48" s="128">
        <v>8824.6841999999997</v>
      </c>
      <c r="BK48" s="128">
        <v>2690.0549999999998</v>
      </c>
      <c r="BL48" s="49">
        <f t="shared" si="104"/>
        <v>303.000292</v>
      </c>
      <c r="BM48" s="49">
        <f t="shared" si="104"/>
        <v>663.51536399999986</v>
      </c>
      <c r="BN48" s="47">
        <f t="shared" si="104"/>
        <v>329.41574600000001</v>
      </c>
      <c r="BO48" s="47">
        <f t="shared" si="73"/>
        <v>226.14471608157947</v>
      </c>
      <c r="BP48" s="48">
        <f t="shared" si="74"/>
        <v>529.14500808157948</v>
      </c>
      <c r="BQ48" s="48">
        <f t="shared" si="75"/>
        <v>560.24433408157938</v>
      </c>
      <c r="BR48" s="93">
        <f t="shared" si="76"/>
        <v>321.70021840643301</v>
      </c>
      <c r="BS48" s="93">
        <f t="shared" si="77"/>
        <v>352.79954440643286</v>
      </c>
      <c r="BU48" s="128">
        <v>0.92030000000000001</v>
      </c>
      <c r="BV48" s="130">
        <v>1.0945</v>
      </c>
      <c r="BW48" s="128">
        <v>1.5505</v>
      </c>
      <c r="BX48" s="128">
        <v>11502.045</v>
      </c>
      <c r="BY48" s="128">
        <v>3548.7483000000002</v>
      </c>
      <c r="BZ48" s="49">
        <f t="shared" si="105"/>
        <v>223.26478</v>
      </c>
      <c r="CA48" s="49">
        <f t="shared" si="105"/>
        <v>442.30934000000002</v>
      </c>
      <c r="CB48" s="47">
        <f t="shared" si="105"/>
        <v>161.23649499999999</v>
      </c>
      <c r="CC48" s="47">
        <f t="shared" si="78"/>
        <v>107.15021144055797</v>
      </c>
      <c r="CD48" s="48">
        <f t="shared" si="79"/>
        <v>330.41499144055797</v>
      </c>
      <c r="CE48" s="48">
        <f t="shared" si="80"/>
        <v>388.22305644055803</v>
      </c>
      <c r="CF48" s="93">
        <f t="shared" si="81"/>
        <v>235.29963228423094</v>
      </c>
      <c r="CG48" s="93">
        <f t="shared" si="82"/>
        <v>293.10769728423094</v>
      </c>
      <c r="CI48" s="128">
        <v>0.9758</v>
      </c>
      <c r="CJ48" s="130">
        <v>0.98309999999999997</v>
      </c>
      <c r="CK48" s="128">
        <v>1.3984000000000001</v>
      </c>
      <c r="CL48" s="128">
        <v>35332.952499999999</v>
      </c>
      <c r="CM48" s="128">
        <v>10461.4967</v>
      </c>
      <c r="CN48" s="49">
        <f t="shared" si="106"/>
        <v>207.14282399999999</v>
      </c>
      <c r="CO48" s="49">
        <f t="shared" si="106"/>
        <v>270.824388</v>
      </c>
      <c r="CP48" s="47">
        <f t="shared" si="106"/>
        <v>0.54537600000000008</v>
      </c>
      <c r="CQ48" s="47">
        <f t="shared" si="83"/>
        <v>0.30901935890507909</v>
      </c>
      <c r="CR48" s="48">
        <f t="shared" si="84"/>
        <v>207.45184335890508</v>
      </c>
      <c r="CS48" s="48">
        <f t="shared" si="85"/>
        <v>270.58803135890508</v>
      </c>
      <c r="CT48" s="93">
        <f t="shared" si="86"/>
        <v>207.17597294675937</v>
      </c>
      <c r="CU48" s="93">
        <f t="shared" si="87"/>
        <v>270.31216094675938</v>
      </c>
      <c r="CW48" s="128">
        <v>0.92330000000000001</v>
      </c>
      <c r="CX48" s="130">
        <v>0.92949999999999999</v>
      </c>
      <c r="CY48" s="128">
        <v>1.2781</v>
      </c>
      <c r="CZ48" s="128">
        <v>16545.192500000001</v>
      </c>
      <c r="DA48" s="128">
        <v>4487.0950000000003</v>
      </c>
      <c r="DB48" s="49">
        <f t="shared" si="107"/>
        <v>198.24174300000001</v>
      </c>
      <c r="DC48" s="49">
        <f t="shared" si="107"/>
        <v>278.88718</v>
      </c>
      <c r="DD48" s="47">
        <f t="shared" si="107"/>
        <v>0.34508700000000003</v>
      </c>
      <c r="DE48" s="47">
        <f t="shared" si="88"/>
        <v>0.20170720248845617</v>
      </c>
      <c r="DF48" s="48">
        <f t="shared" si="89"/>
        <v>198.44345020248846</v>
      </c>
      <c r="DG48" s="48">
        <f t="shared" si="90"/>
        <v>278.7438002024885</v>
      </c>
      <c r="DH48" s="93">
        <f t="shared" si="91"/>
        <v>198.264730198818</v>
      </c>
      <c r="DI48" s="93">
        <f t="shared" si="92"/>
        <v>278.56508019881801</v>
      </c>
      <c r="DK48" s="128">
        <v>0.89890000000000003</v>
      </c>
      <c r="DL48" s="130">
        <v>0.90890000000000004</v>
      </c>
      <c r="DM48" s="128">
        <v>1.1286</v>
      </c>
      <c r="DN48" s="128">
        <v>5002.2425000000003</v>
      </c>
      <c r="DO48" s="128">
        <v>1717.7733000000001</v>
      </c>
      <c r="DP48" s="49">
        <f t="shared" si="108"/>
        <v>118.97840400000001</v>
      </c>
      <c r="DQ48" s="49">
        <f t="shared" si="108"/>
        <v>175.990307</v>
      </c>
      <c r="DR48" s="47">
        <f t="shared" si="108"/>
        <v>0.21443400000000001</v>
      </c>
      <c r="DS48" s="47">
        <f t="shared" si="93"/>
        <v>0.1279400291756301</v>
      </c>
      <c r="DT48" s="48">
        <f t="shared" si="94"/>
        <v>119.10634402917565</v>
      </c>
      <c r="DU48" s="48">
        <f t="shared" si="95"/>
        <v>175.90381302917561</v>
      </c>
      <c r="DV48" s="93">
        <f t="shared" si="96"/>
        <v>119.00053044953</v>
      </c>
      <c r="DW48" s="93">
        <f t="shared" si="97"/>
        <v>175.79799944952998</v>
      </c>
      <c r="EB48" s="52"/>
      <c r="EC48" s="52"/>
      <c r="ED48" s="52"/>
      <c r="EE48" s="55">
        <f t="shared" si="98"/>
        <v>81023.284100000004</v>
      </c>
      <c r="EF48" s="55">
        <f t="shared" si="98"/>
        <v>22506.1175</v>
      </c>
      <c r="EG48" s="55">
        <f t="shared" si="98"/>
        <v>1620.4835344000001</v>
      </c>
      <c r="EH48" s="55">
        <f t="shared" si="98"/>
        <v>3220.3624759999998</v>
      </c>
      <c r="EI48" s="298">
        <f t="shared" si="109"/>
        <v>0.78261134371320462</v>
      </c>
      <c r="EJ48" s="52"/>
      <c r="EK48" s="55">
        <f t="shared" si="99"/>
        <v>1955.0661602956397</v>
      </c>
      <c r="EL48" s="55">
        <f t="shared" si="99"/>
        <v>2890.6367382956396</v>
      </c>
      <c r="EM48" s="55">
        <f t="shared" si="39"/>
        <v>1654.2214505983427</v>
      </c>
      <c r="EN48" s="55">
        <f t="shared" si="39"/>
        <v>2589.7920285983428</v>
      </c>
      <c r="EP48" s="52"/>
      <c r="EQ48" s="52"/>
      <c r="ER48" s="52"/>
      <c r="ES48" s="55">
        <f t="shared" si="110"/>
        <v>63055.299199999994</v>
      </c>
      <c r="ET48" s="55">
        <f t="shared" si="110"/>
        <v>18688.6767</v>
      </c>
      <c r="EU48" s="55">
        <f t="shared" si="110"/>
        <v>1218.8811321000001</v>
      </c>
      <c r="EV48" s="55">
        <f t="shared" si="110"/>
        <v>2329.8678040000004</v>
      </c>
      <c r="EW48" s="298">
        <f t="shared" si="111"/>
        <v>0.77137548676538015</v>
      </c>
      <c r="EX48" s="52"/>
      <c r="EY48" s="55">
        <f t="shared" si="112"/>
        <v>1663.2141070890102</v>
      </c>
      <c r="EZ48" s="55">
        <f t="shared" si="112"/>
        <v>2122.8665960890103</v>
      </c>
      <c r="FA48" s="55">
        <f t="shared" si="112"/>
        <v>1254.9291659719499</v>
      </c>
      <c r="FB48" s="55">
        <f t="shared" si="112"/>
        <v>1714.58165497195</v>
      </c>
      <c r="FD48" s="52"/>
      <c r="FE48" s="52"/>
      <c r="FF48" s="52"/>
      <c r="FG48" s="55">
        <f t="shared" si="113"/>
        <v>52140.455800000003</v>
      </c>
      <c r="FH48" s="55">
        <f t="shared" si="113"/>
        <v>15856.5316</v>
      </c>
      <c r="FI48" s="55">
        <f t="shared" si="113"/>
        <v>884.94927040000005</v>
      </c>
      <c r="FJ48" s="55">
        <f t="shared" si="113"/>
        <v>1874.2912701999999</v>
      </c>
      <c r="FK48" s="298">
        <f t="shared" si="114"/>
        <v>0.76680538055719816</v>
      </c>
      <c r="FL48" s="52"/>
      <c r="FM48" s="55">
        <f t="shared" si="115"/>
        <v>1171.1919822583952</v>
      </c>
      <c r="FN48" s="55">
        <f t="shared" si="115"/>
        <v>1755.0487136583952</v>
      </c>
      <c r="FO48" s="55">
        <f t="shared" si="115"/>
        <v>908.83298557855994</v>
      </c>
      <c r="FP48" s="55">
        <f t="shared" si="115"/>
        <v>1492.6897169785598</v>
      </c>
      <c r="FR48" s="52"/>
      <c r="FS48" s="52"/>
      <c r="FT48" s="52"/>
      <c r="FU48" s="55">
        <f t="shared" si="116"/>
        <v>51878.145000000004</v>
      </c>
      <c r="FV48" s="55">
        <f t="shared" si="116"/>
        <v>14948.591700000001</v>
      </c>
      <c r="FW48" s="55">
        <f t="shared" si="116"/>
        <v>365.73621839999998</v>
      </c>
      <c r="FX48" s="55">
        <f t="shared" si="116"/>
        <v>493.93413199999998</v>
      </c>
      <c r="FY48" s="298">
        <f t="shared" si="117"/>
        <v>0.77630821976078923</v>
      </c>
      <c r="FZ48" s="52"/>
      <c r="GA48" s="55">
        <f t="shared" si="118"/>
        <v>366.2066035208959</v>
      </c>
      <c r="GB48" s="55">
        <f t="shared" si="118"/>
        <v>493.58307152089588</v>
      </c>
      <c r="GC48" s="55">
        <f t="shared" si="118"/>
        <v>365.7877571058138</v>
      </c>
      <c r="GD48" s="55">
        <f t="shared" si="118"/>
        <v>493.16422510581378</v>
      </c>
      <c r="GF48" s="52"/>
      <c r="GG48" s="52"/>
      <c r="GH48" s="52"/>
      <c r="GI48" s="55">
        <f t="shared" si="119"/>
        <v>26067.168299999998</v>
      </c>
      <c r="GJ48" s="55">
        <f t="shared" si="119"/>
        <v>7577.0666000000001</v>
      </c>
      <c r="GK48" s="56">
        <f t="shared" si="120"/>
        <v>77.675072999999998</v>
      </c>
      <c r="GL48" s="56">
        <f t="shared" si="120"/>
        <v>270.391413</v>
      </c>
      <c r="GM48" s="298">
        <f t="shared" si="121"/>
        <v>0.77478855968872107</v>
      </c>
      <c r="GN48" s="52"/>
      <c r="GO48" s="56">
        <f t="shared" si="122"/>
        <v>208.9565108512146</v>
      </c>
      <c r="GP48" s="56">
        <f t="shared" si="122"/>
        <v>224.79609010121456</v>
      </c>
      <c r="GQ48" s="56">
        <f t="shared" si="122"/>
        <v>82.6423065431038</v>
      </c>
      <c r="GR48" s="56">
        <f t="shared" si="122"/>
        <v>98.4818857931038</v>
      </c>
    </row>
    <row r="49" spans="1:200" x14ac:dyDescent="0.2">
      <c r="A49" s="118">
        <v>39</v>
      </c>
      <c r="C49" s="128">
        <v>0.96360000000000001</v>
      </c>
      <c r="D49" s="128">
        <v>1.0089999999999999</v>
      </c>
      <c r="E49" s="128">
        <v>1.2383999999999999</v>
      </c>
      <c r="F49" s="128">
        <v>16171.6533</v>
      </c>
      <c r="G49" s="128">
        <v>3699.7408</v>
      </c>
      <c r="H49" s="49">
        <f t="shared" si="100"/>
        <v>964.96831199999997</v>
      </c>
      <c r="I49" s="49">
        <f t="shared" si="100"/>
        <v>1914.6783999999998</v>
      </c>
      <c r="J49" s="47">
        <f t="shared" si="100"/>
        <v>225.31449599999999</v>
      </c>
      <c r="K49" s="47">
        <f t="shared" si="53"/>
        <v>41.950012640665037</v>
      </c>
      <c r="L49" s="48">
        <f t="shared" si="54"/>
        <v>1006.918324640665</v>
      </c>
      <c r="M49" s="48">
        <f t="shared" si="55"/>
        <v>1731.313916640665</v>
      </c>
      <c r="N49" s="93">
        <f t="shared" si="56"/>
        <v>979.99685915082625</v>
      </c>
      <c r="O49" s="93">
        <f t="shared" si="57"/>
        <v>1704.392451150826</v>
      </c>
      <c r="Q49" s="128">
        <v>0.94889999999999997</v>
      </c>
      <c r="R49" s="130">
        <v>1.0043</v>
      </c>
      <c r="S49" s="128">
        <v>1.2414000000000001</v>
      </c>
      <c r="T49" s="128">
        <v>2695.3858</v>
      </c>
      <c r="U49" s="128">
        <v>1151.4908</v>
      </c>
      <c r="V49" s="49">
        <f t="shared" si="101"/>
        <v>603.8894489999999</v>
      </c>
      <c r="W49" s="49">
        <f t="shared" si="101"/>
        <v>1196.6134070000001</v>
      </c>
      <c r="X49" s="47">
        <f t="shared" si="101"/>
        <v>274.93285800000001</v>
      </c>
      <c r="Y49" s="47">
        <f t="shared" si="58"/>
        <v>182.7202566279224</v>
      </c>
      <c r="Z49" s="48">
        <f t="shared" si="59"/>
        <v>786.60970562792227</v>
      </c>
      <c r="AA49" s="48">
        <f t="shared" si="60"/>
        <v>1104.4008056279224</v>
      </c>
      <c r="AB49" s="93">
        <f t="shared" si="61"/>
        <v>621.18831647958496</v>
      </c>
      <c r="AC49" s="93">
        <f t="shared" si="62"/>
        <v>938.9794164795851</v>
      </c>
      <c r="AE49" s="128">
        <v>0.91169999999999995</v>
      </c>
      <c r="AF49" s="130">
        <v>1.0036</v>
      </c>
      <c r="AG49" s="128">
        <v>1.2492000000000001</v>
      </c>
      <c r="AH49" s="128">
        <v>308.9425</v>
      </c>
      <c r="AI49" s="128">
        <v>122.5258</v>
      </c>
      <c r="AJ49" s="49">
        <f t="shared" si="102"/>
        <v>419.45493599999998</v>
      </c>
      <c r="AK49" s="49">
        <f t="shared" si="102"/>
        <v>1054.5126280000002</v>
      </c>
      <c r="AL49" s="47">
        <f t="shared" si="102"/>
        <v>206.10550800000001</v>
      </c>
      <c r="AM49" s="47">
        <f t="shared" si="63"/>
        <v>147.45294685898196</v>
      </c>
      <c r="AN49" s="48">
        <f t="shared" si="64"/>
        <v>566.90788285898191</v>
      </c>
      <c r="AO49" s="48">
        <f t="shared" si="65"/>
        <v>995.86006685898212</v>
      </c>
      <c r="AP49" s="93">
        <f t="shared" si="66"/>
        <v>431.25737407785152</v>
      </c>
      <c r="AQ49" s="93">
        <f t="shared" si="67"/>
        <v>860.20955807785174</v>
      </c>
      <c r="AS49" s="128">
        <v>0.96089999999999998</v>
      </c>
      <c r="AT49" s="130">
        <v>1.0712999999999999</v>
      </c>
      <c r="AU49" s="128">
        <v>1.2846</v>
      </c>
      <c r="AV49" s="128">
        <v>16379.6525</v>
      </c>
      <c r="AW49" s="128">
        <v>4367.4949999999999</v>
      </c>
      <c r="AX49" s="49">
        <f t="shared" si="103"/>
        <v>336.92997599999995</v>
      </c>
      <c r="AY49" s="49">
        <f t="shared" si="103"/>
        <v>755.24507399999993</v>
      </c>
      <c r="AZ49" s="47">
        <f t="shared" si="103"/>
        <v>324.849648</v>
      </c>
      <c r="BA49" s="47">
        <f t="shared" si="68"/>
        <v>224.63532420250212</v>
      </c>
      <c r="BB49" s="48">
        <f t="shared" si="69"/>
        <v>561.56530020250204</v>
      </c>
      <c r="BC49" s="48">
        <f t="shared" si="70"/>
        <v>655.03075020250208</v>
      </c>
      <c r="BD49" s="93">
        <f t="shared" si="71"/>
        <v>355.58780634170262</v>
      </c>
      <c r="BE49" s="93">
        <f t="shared" si="72"/>
        <v>449.05325634170259</v>
      </c>
      <c r="BG49" s="128">
        <v>0.95899999999999996</v>
      </c>
      <c r="BH49" s="130">
        <v>1.0490999999999999</v>
      </c>
      <c r="BI49" s="128">
        <v>1.2764</v>
      </c>
      <c r="BJ49" s="128">
        <v>9361.1483000000007</v>
      </c>
      <c r="BK49" s="128">
        <v>2833.04</v>
      </c>
      <c r="BL49" s="49">
        <f t="shared" si="104"/>
        <v>314.95478000000003</v>
      </c>
      <c r="BM49" s="49">
        <f t="shared" si="104"/>
        <v>634.36978799999986</v>
      </c>
      <c r="BN49" s="47">
        <f t="shared" si="104"/>
        <v>271.28605599999997</v>
      </c>
      <c r="BO49" s="47">
        <f t="shared" si="73"/>
        <v>181.28223331946475</v>
      </c>
      <c r="BP49" s="48">
        <f t="shared" si="74"/>
        <v>496.23701331946478</v>
      </c>
      <c r="BQ49" s="48">
        <f t="shared" si="75"/>
        <v>544.36596531946464</v>
      </c>
      <c r="BR49" s="93">
        <f t="shared" si="76"/>
        <v>333.65470640643304</v>
      </c>
      <c r="BS49" s="93">
        <f t="shared" si="77"/>
        <v>381.78365840643289</v>
      </c>
      <c r="BU49" s="128">
        <v>0.95609999999999995</v>
      </c>
      <c r="BV49" s="130">
        <v>1.0472999999999999</v>
      </c>
      <c r="BW49" s="128">
        <v>1.2763</v>
      </c>
      <c r="BX49" s="128">
        <v>11956.931699999999</v>
      </c>
      <c r="BY49" s="128">
        <v>3619.9933000000001</v>
      </c>
      <c r="BZ49" s="49">
        <f t="shared" si="105"/>
        <v>231.94985999999997</v>
      </c>
      <c r="CA49" s="49">
        <f t="shared" si="105"/>
        <v>423.23487599999999</v>
      </c>
      <c r="CB49" s="47">
        <f t="shared" si="105"/>
        <v>132.72243699999999</v>
      </c>
      <c r="CC49" s="47">
        <f t="shared" si="78"/>
        <v>85.735764402961934</v>
      </c>
      <c r="CD49" s="48">
        <f t="shared" si="79"/>
        <v>317.68562440296193</v>
      </c>
      <c r="CE49" s="48">
        <f t="shared" si="80"/>
        <v>376.24820340296191</v>
      </c>
      <c r="CF49" s="93">
        <f t="shared" si="81"/>
        <v>243.98471228423091</v>
      </c>
      <c r="CG49" s="93">
        <f t="shared" si="82"/>
        <v>302.54729128423088</v>
      </c>
      <c r="CI49" s="128">
        <v>0.99009999999999998</v>
      </c>
      <c r="CJ49" s="130">
        <v>0.99339999999999995</v>
      </c>
      <c r="CK49" s="128">
        <v>1.2098</v>
      </c>
      <c r="CL49" s="128">
        <v>38132.1492</v>
      </c>
      <c r="CM49" s="128">
        <v>11010.997499999999</v>
      </c>
      <c r="CN49" s="49">
        <f t="shared" si="106"/>
        <v>210.178428</v>
      </c>
      <c r="CO49" s="49">
        <f t="shared" si="106"/>
        <v>273.661832</v>
      </c>
      <c r="CP49" s="47">
        <f t="shared" si="106"/>
        <v>0.47182200000000002</v>
      </c>
      <c r="CQ49" s="47">
        <f t="shared" si="83"/>
        <v>0.26686425990657331</v>
      </c>
      <c r="CR49" s="48">
        <f t="shared" si="84"/>
        <v>210.44529225990658</v>
      </c>
      <c r="CS49" s="48">
        <f t="shared" si="85"/>
        <v>273.45687425990661</v>
      </c>
      <c r="CT49" s="93">
        <f t="shared" si="86"/>
        <v>210.21157694675938</v>
      </c>
      <c r="CU49" s="93">
        <f t="shared" si="87"/>
        <v>273.22315894675938</v>
      </c>
      <c r="CW49" s="128">
        <v>0.95730000000000004</v>
      </c>
      <c r="CX49" s="130">
        <v>0.96589999999999998</v>
      </c>
      <c r="CY49" s="128">
        <v>1.1491</v>
      </c>
      <c r="CZ49" s="128">
        <v>17923.450799999999</v>
      </c>
      <c r="DA49" s="128">
        <v>4556.9650000000001</v>
      </c>
      <c r="DB49" s="49">
        <f t="shared" si="107"/>
        <v>205.54188300000001</v>
      </c>
      <c r="DC49" s="49">
        <f t="shared" si="107"/>
        <v>289.80863600000004</v>
      </c>
      <c r="DD49" s="47">
        <f t="shared" si="107"/>
        <v>0.31025700000000001</v>
      </c>
      <c r="DE49" s="47">
        <f t="shared" si="88"/>
        <v>0.18151824724231691</v>
      </c>
      <c r="DF49" s="48">
        <f t="shared" si="89"/>
        <v>205.72340124724232</v>
      </c>
      <c r="DG49" s="48">
        <f t="shared" si="90"/>
        <v>289.67989724724237</v>
      </c>
      <c r="DH49" s="93">
        <f t="shared" si="91"/>
        <v>205.564870198818</v>
      </c>
      <c r="DI49" s="93">
        <f t="shared" si="92"/>
        <v>289.52136619881804</v>
      </c>
      <c r="DK49" s="128">
        <v>0.94889999999999997</v>
      </c>
      <c r="DL49" s="130">
        <v>0.95389999999999997</v>
      </c>
      <c r="DM49" s="128">
        <v>1.0722</v>
      </c>
      <c r="DN49" s="128">
        <v>5366.4341999999997</v>
      </c>
      <c r="DO49" s="128">
        <v>1832.2583</v>
      </c>
      <c r="DP49" s="49">
        <f t="shared" si="108"/>
        <v>125.59640400000001</v>
      </c>
      <c r="DQ49" s="49">
        <f t="shared" si="108"/>
        <v>184.70365699999999</v>
      </c>
      <c r="DR49" s="47">
        <f t="shared" si="108"/>
        <v>0.20371800000000001</v>
      </c>
      <c r="DS49" s="47">
        <f t="shared" si="93"/>
        <v>0.12126152819778528</v>
      </c>
      <c r="DT49" s="48">
        <f t="shared" si="94"/>
        <v>125.7176655281978</v>
      </c>
      <c r="DU49" s="48">
        <f t="shared" si="95"/>
        <v>184.62120052819776</v>
      </c>
      <c r="DV49" s="93">
        <f t="shared" si="96"/>
        <v>125.61853044953</v>
      </c>
      <c r="DW49" s="93">
        <f t="shared" si="97"/>
        <v>184.52206544952998</v>
      </c>
      <c r="EB49" s="52"/>
      <c r="EC49" s="52"/>
      <c r="ED49" s="52"/>
      <c r="EE49" s="55">
        <f t="shared" si="98"/>
        <v>88606.905800000008</v>
      </c>
      <c r="EF49" s="55">
        <f t="shared" si="98"/>
        <v>23635.1983</v>
      </c>
      <c r="EG49" s="55">
        <f t="shared" si="98"/>
        <v>1676.5102223999997</v>
      </c>
      <c r="EH49" s="55">
        <f t="shared" si="98"/>
        <v>3175.4322148000001</v>
      </c>
      <c r="EI49" s="298">
        <f t="shared" si="109"/>
        <v>0.78942662836271615</v>
      </c>
      <c r="EJ49" s="52"/>
      <c r="EK49" s="55">
        <f t="shared" si="99"/>
        <v>1943.5076381008676</v>
      </c>
      <c r="EL49" s="55">
        <f t="shared" si="99"/>
        <v>2891.5454589008677</v>
      </c>
      <c r="EM49" s="55">
        <f t="shared" si="39"/>
        <v>1710.2481385983428</v>
      </c>
      <c r="EN49" s="55">
        <f t="shared" si="39"/>
        <v>2658.2859593983421</v>
      </c>
      <c r="EP49" s="52"/>
      <c r="EQ49" s="52"/>
      <c r="ER49" s="52"/>
      <c r="ES49" s="55">
        <f t="shared" si="110"/>
        <v>68112.134099999996</v>
      </c>
      <c r="ET49" s="55">
        <f t="shared" si="110"/>
        <v>19552.493300000002</v>
      </c>
      <c r="EU49" s="55">
        <f t="shared" si="110"/>
        <v>1272.9019751000001</v>
      </c>
      <c r="EV49" s="55">
        <f t="shared" si="110"/>
        <v>2307.5110721999995</v>
      </c>
      <c r="EW49" s="298">
        <f t="shared" si="111"/>
        <v>0.77696256882739001</v>
      </c>
      <c r="EX49" s="52"/>
      <c r="EY49" s="55">
        <f t="shared" si="112"/>
        <v>1637.2983920803633</v>
      </c>
      <c r="EZ49" s="55">
        <f t="shared" si="112"/>
        <v>2124.9995732803636</v>
      </c>
      <c r="FA49" s="55">
        <f t="shared" si="112"/>
        <v>1308.95000897195</v>
      </c>
      <c r="FB49" s="55">
        <f t="shared" si="112"/>
        <v>1796.65119017195</v>
      </c>
      <c r="FD49" s="52"/>
      <c r="FE49" s="52"/>
      <c r="FF49" s="52"/>
      <c r="FG49" s="55">
        <f t="shared" si="113"/>
        <v>55764.457599999994</v>
      </c>
      <c r="FH49" s="55">
        <f t="shared" si="113"/>
        <v>16585.7749</v>
      </c>
      <c r="FI49" s="55">
        <f t="shared" si="113"/>
        <v>936.94106639999995</v>
      </c>
      <c r="FJ49" s="55">
        <f t="shared" si="113"/>
        <v>1862.2315302000002</v>
      </c>
      <c r="FK49" s="298">
        <f t="shared" si="114"/>
        <v>0.77075713060078965</v>
      </c>
      <c r="FL49" s="52"/>
      <c r="FM49" s="55">
        <f t="shared" si="115"/>
        <v>1170.4693988387692</v>
      </c>
      <c r="FN49" s="55">
        <f t="shared" si="115"/>
        <v>1756.3378648387691</v>
      </c>
      <c r="FO49" s="55">
        <f t="shared" si="115"/>
        <v>960.82478157855974</v>
      </c>
      <c r="FP49" s="55">
        <f t="shared" si="115"/>
        <v>1546.6932475785602</v>
      </c>
      <c r="FR49" s="52"/>
      <c r="FS49" s="52"/>
      <c r="FT49" s="52"/>
      <c r="FU49" s="55">
        <f t="shared" si="116"/>
        <v>56055.6</v>
      </c>
      <c r="FV49" s="55">
        <f t="shared" si="116"/>
        <v>15567.9625</v>
      </c>
      <c r="FW49" s="55">
        <f t="shared" si="116"/>
        <v>374.6119344</v>
      </c>
      <c r="FX49" s="55">
        <f t="shared" si="116"/>
        <v>505.50874080000006</v>
      </c>
      <c r="FY49" s="298">
        <f t="shared" si="117"/>
        <v>0.78264188548286739</v>
      </c>
      <c r="FZ49" s="52"/>
      <c r="GA49" s="55">
        <f t="shared" si="118"/>
        <v>375.02401325770046</v>
      </c>
      <c r="GB49" s="55">
        <f t="shared" si="118"/>
        <v>505.20079205770048</v>
      </c>
      <c r="GC49" s="55">
        <f t="shared" si="118"/>
        <v>374.66347310581375</v>
      </c>
      <c r="GD49" s="55">
        <f t="shared" si="118"/>
        <v>504.84025190581383</v>
      </c>
      <c r="GF49" s="52"/>
      <c r="GG49" s="52"/>
      <c r="GH49" s="52"/>
      <c r="GI49" s="55">
        <f t="shared" si="119"/>
        <v>28336.584199999998</v>
      </c>
      <c r="GJ49" s="55">
        <f t="shared" si="119"/>
        <v>7987.4883</v>
      </c>
      <c r="GK49" s="56">
        <f t="shared" si="120"/>
        <v>78.735086999999993</v>
      </c>
      <c r="GL49" s="56">
        <f t="shared" si="120"/>
        <v>249.00764849999996</v>
      </c>
      <c r="GM49" s="298">
        <f t="shared" si="121"/>
        <v>0.78010482442462914</v>
      </c>
      <c r="GN49" s="52"/>
      <c r="GO49" s="56">
        <f t="shared" si="122"/>
        <v>182.90975684965508</v>
      </c>
      <c r="GP49" s="56">
        <f t="shared" si="122"/>
        <v>209.08691009965514</v>
      </c>
      <c r="GQ49" s="56">
        <f t="shared" si="122"/>
        <v>83.702320543103781</v>
      </c>
      <c r="GR49" s="56">
        <f t="shared" si="122"/>
        <v>109.87947379310378</v>
      </c>
    </row>
    <row r="50" spans="1:200" x14ac:dyDescent="0.2">
      <c r="A50" s="118">
        <v>40</v>
      </c>
      <c r="C50" s="128">
        <v>1</v>
      </c>
      <c r="D50" s="128">
        <v>1</v>
      </c>
      <c r="E50" s="128">
        <v>1</v>
      </c>
      <c r="F50" s="128">
        <v>17514.767500000002</v>
      </c>
      <c r="G50" s="128">
        <v>3982.9016999999999</v>
      </c>
      <c r="H50" s="49">
        <f t="shared" si="100"/>
        <v>1001.42</v>
      </c>
      <c r="I50" s="49">
        <f t="shared" si="100"/>
        <v>1897.6</v>
      </c>
      <c r="J50" s="47">
        <f t="shared" si="100"/>
        <v>181.94</v>
      </c>
      <c r="K50" s="47">
        <f t="shared" si="53"/>
        <v>33.708265233609602</v>
      </c>
      <c r="L50" s="48">
        <f t="shared" si="54"/>
        <v>1035.1282652336095</v>
      </c>
      <c r="M50" s="48">
        <f t="shared" si="55"/>
        <v>1749.3682652336095</v>
      </c>
      <c r="N50" s="93">
        <f t="shared" si="56"/>
        <v>1016.4485471508262</v>
      </c>
      <c r="O50" s="93">
        <f t="shared" si="57"/>
        <v>1730.688547150826</v>
      </c>
      <c r="Q50" s="128">
        <v>1</v>
      </c>
      <c r="R50" s="130">
        <v>1</v>
      </c>
      <c r="S50" s="128">
        <v>1</v>
      </c>
      <c r="T50" s="128">
        <v>3048.0725000000002</v>
      </c>
      <c r="U50" s="128">
        <v>1201.1207999999999</v>
      </c>
      <c r="V50" s="49">
        <f t="shared" si="101"/>
        <v>636.41</v>
      </c>
      <c r="W50" s="49">
        <f t="shared" si="101"/>
        <v>1191.49</v>
      </c>
      <c r="X50" s="47">
        <f t="shared" si="101"/>
        <v>221.47</v>
      </c>
      <c r="Y50" s="47">
        <f t="shared" si="58"/>
        <v>144.36199480277912</v>
      </c>
      <c r="Z50" s="48">
        <f t="shared" si="59"/>
        <v>780.77199480277909</v>
      </c>
      <c r="AA50" s="48">
        <f t="shared" si="60"/>
        <v>1114.381994802779</v>
      </c>
      <c r="AB50" s="93">
        <f t="shared" si="61"/>
        <v>653.70886747958502</v>
      </c>
      <c r="AC50" s="93">
        <f t="shared" si="62"/>
        <v>987.31886747958504</v>
      </c>
      <c r="AE50" s="128">
        <v>1</v>
      </c>
      <c r="AF50" s="130">
        <v>1</v>
      </c>
      <c r="AG50" s="128">
        <v>1</v>
      </c>
      <c r="AH50" s="128">
        <v>331.23579999999998</v>
      </c>
      <c r="AI50" s="128">
        <v>157.47329999999999</v>
      </c>
      <c r="AJ50" s="49">
        <f t="shared" si="102"/>
        <v>460.08</v>
      </c>
      <c r="AK50" s="49">
        <f t="shared" si="102"/>
        <v>1050.73</v>
      </c>
      <c r="AL50" s="47">
        <f t="shared" si="102"/>
        <v>164.99</v>
      </c>
      <c r="AM50" s="47">
        <f t="shared" si="63"/>
        <v>114.74635639160452</v>
      </c>
      <c r="AN50" s="48">
        <f t="shared" si="64"/>
        <v>574.82635639160446</v>
      </c>
      <c r="AO50" s="48">
        <f t="shared" si="65"/>
        <v>1000.4863563916045</v>
      </c>
      <c r="AP50" s="93">
        <f t="shared" si="66"/>
        <v>471.88243807785153</v>
      </c>
      <c r="AQ50" s="93">
        <f t="shared" si="67"/>
        <v>897.54243807785156</v>
      </c>
      <c r="AS50" s="128">
        <v>1</v>
      </c>
      <c r="AT50" s="130">
        <v>1</v>
      </c>
      <c r="AU50" s="128">
        <v>1</v>
      </c>
      <c r="AV50" s="128">
        <v>18398.129199999999</v>
      </c>
      <c r="AW50" s="128">
        <v>4843.3774999999996</v>
      </c>
      <c r="AX50" s="49">
        <f t="shared" si="103"/>
        <v>350.64</v>
      </c>
      <c r="AY50" s="49">
        <f t="shared" si="103"/>
        <v>704.98</v>
      </c>
      <c r="AZ50" s="47">
        <f t="shared" si="103"/>
        <v>252.88</v>
      </c>
      <c r="BA50" s="47">
        <f t="shared" si="68"/>
        <v>168.88211894431709</v>
      </c>
      <c r="BB50" s="48">
        <f t="shared" si="69"/>
        <v>519.52211894431707</v>
      </c>
      <c r="BC50" s="48">
        <f t="shared" si="70"/>
        <v>620.98211894431711</v>
      </c>
      <c r="BD50" s="93">
        <f t="shared" si="71"/>
        <v>369.29783034170265</v>
      </c>
      <c r="BE50" s="93">
        <f t="shared" si="72"/>
        <v>470.75783034170269</v>
      </c>
      <c r="BG50" s="128">
        <v>1</v>
      </c>
      <c r="BH50" s="130">
        <v>1</v>
      </c>
      <c r="BI50" s="128">
        <v>1</v>
      </c>
      <c r="BJ50" s="128">
        <v>10238.0967</v>
      </c>
      <c r="BK50" s="128">
        <v>3021.8742000000002</v>
      </c>
      <c r="BL50" s="49">
        <f t="shared" si="104"/>
        <v>328.42</v>
      </c>
      <c r="BM50" s="49">
        <f t="shared" si="104"/>
        <v>604.67999999999995</v>
      </c>
      <c r="BN50" s="47">
        <f t="shared" si="104"/>
        <v>212.54</v>
      </c>
      <c r="BO50" s="47">
        <f t="shared" si="73"/>
        <v>137.73302668524275</v>
      </c>
      <c r="BP50" s="48">
        <f t="shared" si="74"/>
        <v>466.15302668524276</v>
      </c>
      <c r="BQ50" s="48">
        <f t="shared" si="75"/>
        <v>529.87302668524273</v>
      </c>
      <c r="BR50" s="93">
        <f t="shared" si="76"/>
        <v>347.11992640643302</v>
      </c>
      <c r="BS50" s="93">
        <f t="shared" si="77"/>
        <v>410.83992640643299</v>
      </c>
      <c r="BU50" s="128">
        <v>1</v>
      </c>
      <c r="BV50" s="130">
        <v>1</v>
      </c>
      <c r="BW50" s="128">
        <v>1</v>
      </c>
      <c r="BX50" s="128">
        <v>12435.581700000001</v>
      </c>
      <c r="BY50" s="128">
        <v>3834.5308</v>
      </c>
      <c r="BZ50" s="49">
        <f t="shared" si="105"/>
        <v>242.6</v>
      </c>
      <c r="CA50" s="49">
        <f t="shared" si="105"/>
        <v>404.12</v>
      </c>
      <c r="CB50" s="47">
        <f t="shared" si="105"/>
        <v>103.99</v>
      </c>
      <c r="CC50" s="47">
        <f t="shared" si="78"/>
        <v>64.980886318654129</v>
      </c>
      <c r="CD50" s="48">
        <f t="shared" si="79"/>
        <v>307.58088631865411</v>
      </c>
      <c r="CE50" s="48">
        <f t="shared" si="80"/>
        <v>365.11088631865414</v>
      </c>
      <c r="CF50" s="93">
        <f t="shared" si="81"/>
        <v>254.63485228423093</v>
      </c>
      <c r="CG50" s="93">
        <f t="shared" si="82"/>
        <v>312.1648522842309</v>
      </c>
      <c r="CI50" s="128">
        <v>1</v>
      </c>
      <c r="CJ50" s="130">
        <v>1</v>
      </c>
      <c r="CK50" s="128">
        <v>1</v>
      </c>
      <c r="CL50" s="128">
        <v>41556.6083</v>
      </c>
      <c r="CM50" s="128">
        <v>11900.8367</v>
      </c>
      <c r="CN50" s="49">
        <f t="shared" si="106"/>
        <v>212.28</v>
      </c>
      <c r="CO50" s="49">
        <f t="shared" si="106"/>
        <v>275.48</v>
      </c>
      <c r="CP50" s="47">
        <f t="shared" si="106"/>
        <v>0.39</v>
      </c>
      <c r="CQ50" s="47">
        <f t="shared" si="83"/>
        <v>0.22026652452025589</v>
      </c>
      <c r="CR50" s="48">
        <f t="shared" si="84"/>
        <v>212.50026652452027</v>
      </c>
      <c r="CS50" s="48">
        <f t="shared" si="85"/>
        <v>275.31026652452027</v>
      </c>
      <c r="CT50" s="93">
        <f t="shared" si="86"/>
        <v>212.31314894675938</v>
      </c>
      <c r="CU50" s="93">
        <f t="shared" si="87"/>
        <v>275.12314894675939</v>
      </c>
      <c r="CW50" s="128">
        <v>1</v>
      </c>
      <c r="CX50" s="130">
        <v>1</v>
      </c>
      <c r="CY50" s="128">
        <v>1</v>
      </c>
      <c r="CZ50" s="128">
        <v>19719.921699999999</v>
      </c>
      <c r="DA50" s="128">
        <v>4990.1041999999998</v>
      </c>
      <c r="DB50" s="49">
        <f t="shared" si="107"/>
        <v>214.71</v>
      </c>
      <c r="DC50" s="49">
        <f t="shared" si="107"/>
        <v>300.04000000000002</v>
      </c>
      <c r="DD50" s="47">
        <f t="shared" si="107"/>
        <v>0.27</v>
      </c>
      <c r="DE50" s="47">
        <f t="shared" si="88"/>
        <v>0.15737892180670232</v>
      </c>
      <c r="DF50" s="48">
        <f t="shared" si="89"/>
        <v>214.8673789218067</v>
      </c>
      <c r="DG50" s="48">
        <f t="shared" si="90"/>
        <v>299.92737892180673</v>
      </c>
      <c r="DH50" s="93">
        <f t="shared" si="91"/>
        <v>214.73298719881799</v>
      </c>
      <c r="DI50" s="93">
        <f t="shared" si="92"/>
        <v>299.79298719881803</v>
      </c>
      <c r="DK50" s="128">
        <v>1</v>
      </c>
      <c r="DL50" s="130">
        <v>1</v>
      </c>
      <c r="DM50" s="128">
        <v>1</v>
      </c>
      <c r="DN50" s="128">
        <v>5496.4258</v>
      </c>
      <c r="DO50" s="128">
        <v>1935.1708000000001</v>
      </c>
      <c r="DP50" s="49">
        <f t="shared" si="108"/>
        <v>132.36000000000001</v>
      </c>
      <c r="DQ50" s="49">
        <f t="shared" si="108"/>
        <v>193.63</v>
      </c>
      <c r="DR50" s="47">
        <f t="shared" si="108"/>
        <v>0.19</v>
      </c>
      <c r="DS50" s="47">
        <f t="shared" si="93"/>
        <v>0.11285530230988679</v>
      </c>
      <c r="DT50" s="48">
        <f t="shared" si="94"/>
        <v>132.47285530230991</v>
      </c>
      <c r="DU50" s="48">
        <f t="shared" si="95"/>
        <v>193.55285530230989</v>
      </c>
      <c r="DV50" s="93">
        <f t="shared" si="96"/>
        <v>132.38212644953001</v>
      </c>
      <c r="DW50" s="93">
        <f t="shared" si="97"/>
        <v>193.46212644952999</v>
      </c>
      <c r="EB50" s="52"/>
      <c r="EC50" s="52"/>
      <c r="ED50" s="52"/>
      <c r="EE50" s="55">
        <f t="shared" si="98"/>
        <v>97189.426700000011</v>
      </c>
      <c r="EF50" s="55">
        <f t="shared" si="98"/>
        <v>25717.220099999999</v>
      </c>
      <c r="EG50" s="55">
        <f t="shared" si="98"/>
        <v>1736.1079999999999</v>
      </c>
      <c r="EH50" s="55">
        <f t="shared" si="98"/>
        <v>3118.0920000000001</v>
      </c>
      <c r="EI50" s="298">
        <f t="shared" si="109"/>
        <v>0.79075810161961069</v>
      </c>
      <c r="EJ50" s="52"/>
      <c r="EK50" s="55">
        <f t="shared" si="99"/>
        <v>1939.0445538398922</v>
      </c>
      <c r="EL50" s="55">
        <f t="shared" si="99"/>
        <v>2885.6025538398922</v>
      </c>
      <c r="EM50" s="55">
        <f t="shared" si="39"/>
        <v>1769.8459161983426</v>
      </c>
      <c r="EN50" s="55">
        <f t="shared" si="39"/>
        <v>2716.4039161983428</v>
      </c>
      <c r="EP50" s="52"/>
      <c r="EQ50" s="52"/>
      <c r="ER50" s="52"/>
      <c r="ES50" s="55">
        <f t="shared" si="110"/>
        <v>74562.699200000003</v>
      </c>
      <c r="ET50" s="55">
        <f t="shared" si="110"/>
        <v>21113.935899999997</v>
      </c>
      <c r="EU50" s="55">
        <f t="shared" si="110"/>
        <v>1327.4069999999999</v>
      </c>
      <c r="EV50" s="55">
        <f t="shared" si="110"/>
        <v>2281.6779999999999</v>
      </c>
      <c r="EW50" s="298">
        <f t="shared" si="111"/>
        <v>0.77931983207883537</v>
      </c>
      <c r="EX50" s="52"/>
      <c r="EY50" s="55">
        <f t="shared" si="112"/>
        <v>1609.8324532578069</v>
      </c>
      <c r="EZ50" s="55">
        <f t="shared" si="112"/>
        <v>2129.5144532578065</v>
      </c>
      <c r="FA50" s="55">
        <f t="shared" si="112"/>
        <v>1363.45503387195</v>
      </c>
      <c r="FB50" s="55">
        <f t="shared" si="112"/>
        <v>1883.1370338719498</v>
      </c>
      <c r="FD50" s="52"/>
      <c r="FE50" s="52"/>
      <c r="FF50" s="52"/>
      <c r="FG50" s="55">
        <f t="shared" si="113"/>
        <v>59819.851599999995</v>
      </c>
      <c r="FH50" s="55">
        <f t="shared" si="113"/>
        <v>17828.011600000002</v>
      </c>
      <c r="FI50" s="55">
        <f t="shared" si="113"/>
        <v>994.37599999999998</v>
      </c>
      <c r="FJ50" s="55">
        <f t="shared" si="113"/>
        <v>1846.5079999999998</v>
      </c>
      <c r="FK50" s="298">
        <f t="shared" si="114"/>
        <v>0.77039919882817842</v>
      </c>
      <c r="FL50" s="52"/>
      <c r="FM50" s="55">
        <f t="shared" si="115"/>
        <v>1174.3912224161647</v>
      </c>
      <c r="FN50" s="55">
        <f t="shared" si="115"/>
        <v>1757.0392224161651</v>
      </c>
      <c r="FO50" s="55">
        <f t="shared" si="115"/>
        <v>1018.2597151785599</v>
      </c>
      <c r="FP50" s="55">
        <f t="shared" si="115"/>
        <v>1600.9077151785598</v>
      </c>
      <c r="FR50" s="52"/>
      <c r="FS50" s="52"/>
      <c r="FT50" s="52"/>
      <c r="FU50" s="55">
        <f t="shared" si="116"/>
        <v>61276.53</v>
      </c>
      <c r="FV50" s="55">
        <f t="shared" si="116"/>
        <v>16890.940900000001</v>
      </c>
      <c r="FW50" s="55">
        <f t="shared" si="116"/>
        <v>384.048</v>
      </c>
      <c r="FX50" s="55">
        <f t="shared" si="116"/>
        <v>515.51200000000006</v>
      </c>
      <c r="FY50" s="298">
        <f t="shared" si="117"/>
        <v>0.78391342708773759</v>
      </c>
      <c r="FZ50" s="52"/>
      <c r="GA50" s="55">
        <f t="shared" si="118"/>
        <v>384.39416966196563</v>
      </c>
      <c r="GB50" s="55">
        <f t="shared" si="118"/>
        <v>515.2521696619657</v>
      </c>
      <c r="GC50" s="55">
        <f t="shared" si="118"/>
        <v>384.09953870581376</v>
      </c>
      <c r="GD50" s="55">
        <f t="shared" si="118"/>
        <v>514.95753870581382</v>
      </c>
      <c r="GF50" s="52"/>
      <c r="GG50" s="52"/>
      <c r="GH50" s="52"/>
      <c r="GI50" s="55">
        <f t="shared" si="119"/>
        <v>30833.710899999998</v>
      </c>
      <c r="GJ50" s="55">
        <f t="shared" si="119"/>
        <v>8677.9082999999991</v>
      </c>
      <c r="GK50" s="56">
        <f t="shared" si="120"/>
        <v>81.03</v>
      </c>
      <c r="GL50" s="56">
        <f t="shared" si="120"/>
        <v>225.64500000000001</v>
      </c>
      <c r="GM50" s="298">
        <f t="shared" si="121"/>
        <v>0.78037072446780409</v>
      </c>
      <c r="GN50" s="52"/>
      <c r="GO50" s="56">
        <f t="shared" si="122"/>
        <v>158.95592446924724</v>
      </c>
      <c r="GP50" s="56">
        <f t="shared" si="122"/>
        <v>191.90342446924723</v>
      </c>
      <c r="GQ50" s="56">
        <f t="shared" si="122"/>
        <v>85.997233543103789</v>
      </c>
      <c r="GR50" s="56">
        <f t="shared" si="122"/>
        <v>118.94473354310384</v>
      </c>
    </row>
    <row r="51" spans="1:200" x14ac:dyDescent="0.2">
      <c r="A51" s="118">
        <v>41</v>
      </c>
      <c r="C51" s="128">
        <v>1.0348999999999999</v>
      </c>
      <c r="D51" s="128">
        <v>0.98850000000000005</v>
      </c>
      <c r="E51" s="128">
        <v>0.76249999999999996</v>
      </c>
      <c r="F51" s="128">
        <v>18524.710800000001</v>
      </c>
      <c r="G51" s="128">
        <v>4341.4242000000004</v>
      </c>
      <c r="H51" s="49">
        <f t="shared" si="100"/>
        <v>1036.3695579999999</v>
      </c>
      <c r="I51" s="49">
        <f t="shared" si="100"/>
        <v>1875.7775999999999</v>
      </c>
      <c r="J51" s="47">
        <f t="shared" si="100"/>
        <v>138.72924999999998</v>
      </c>
      <c r="K51" s="47">
        <f t="shared" si="53"/>
        <v>26.339498266665963</v>
      </c>
      <c r="L51" s="48">
        <f t="shared" si="54"/>
        <v>1062.7090562666658</v>
      </c>
      <c r="M51" s="48">
        <f t="shared" si="55"/>
        <v>1763.387848266666</v>
      </c>
      <c r="N51" s="93">
        <f t="shared" si="56"/>
        <v>1051.398105150826</v>
      </c>
      <c r="O51" s="93">
        <f t="shared" si="57"/>
        <v>1752.0768971508262</v>
      </c>
      <c r="Q51" s="128">
        <v>1.048</v>
      </c>
      <c r="R51" s="130">
        <v>0.99660000000000004</v>
      </c>
      <c r="S51" s="128">
        <v>0.7399</v>
      </c>
      <c r="T51" s="128">
        <v>3368.2592</v>
      </c>
      <c r="U51" s="128">
        <v>1339.2692</v>
      </c>
      <c r="V51" s="49">
        <f t="shared" si="101"/>
        <v>666.95767999999998</v>
      </c>
      <c r="W51" s="49">
        <f t="shared" si="101"/>
        <v>1187.438934</v>
      </c>
      <c r="X51" s="47">
        <f t="shared" si="101"/>
        <v>163.86565300000001</v>
      </c>
      <c r="Y51" s="47">
        <f t="shared" si="58"/>
        <v>104.92925561259352</v>
      </c>
      <c r="Z51" s="48">
        <f t="shared" si="59"/>
        <v>771.88693561259356</v>
      </c>
      <c r="AA51" s="48">
        <f t="shared" si="60"/>
        <v>1128.5025366125935</v>
      </c>
      <c r="AB51" s="93">
        <f t="shared" si="61"/>
        <v>684.25654747958504</v>
      </c>
      <c r="AC51" s="93">
        <f t="shared" si="62"/>
        <v>1040.8721484795849</v>
      </c>
      <c r="AE51" s="128">
        <v>1.0938000000000001</v>
      </c>
      <c r="AF51" s="130">
        <v>0.99750000000000005</v>
      </c>
      <c r="AG51" s="128">
        <v>0.75129999999999997</v>
      </c>
      <c r="AH51" s="128">
        <v>369.20499999999998</v>
      </c>
      <c r="AI51" s="128">
        <v>169.79329999999999</v>
      </c>
      <c r="AJ51" s="49">
        <f t="shared" si="102"/>
        <v>503.23550400000005</v>
      </c>
      <c r="AK51" s="49">
        <f t="shared" si="102"/>
        <v>1048.103175</v>
      </c>
      <c r="AL51" s="47">
        <f t="shared" si="102"/>
        <v>123.956987</v>
      </c>
      <c r="AM51" s="47">
        <f t="shared" si="63"/>
        <v>83.74683967905743</v>
      </c>
      <c r="AN51" s="48">
        <f t="shared" si="64"/>
        <v>586.98234367905752</v>
      </c>
      <c r="AO51" s="48">
        <f t="shared" si="65"/>
        <v>1007.8930276790574</v>
      </c>
      <c r="AP51" s="93">
        <f t="shared" si="66"/>
        <v>515.03794207785154</v>
      </c>
      <c r="AQ51" s="93">
        <f t="shared" si="67"/>
        <v>935.94862607785149</v>
      </c>
      <c r="AS51" s="128">
        <v>1.0484</v>
      </c>
      <c r="AT51" s="130">
        <v>0.93189999999999995</v>
      </c>
      <c r="AU51" s="128">
        <v>0.73280000000000001</v>
      </c>
      <c r="AV51" s="128">
        <v>19927.7742</v>
      </c>
      <c r="AW51" s="128">
        <v>5421.1592000000001</v>
      </c>
      <c r="AX51" s="49">
        <f t="shared" si="103"/>
        <v>367.61097599999999</v>
      </c>
      <c r="AY51" s="49">
        <f t="shared" si="103"/>
        <v>656.97086200000001</v>
      </c>
      <c r="AZ51" s="47">
        <f t="shared" si="103"/>
        <v>185.310464</v>
      </c>
      <c r="BA51" s="47">
        <f t="shared" si="68"/>
        <v>118.82269503170713</v>
      </c>
      <c r="BB51" s="48">
        <f t="shared" si="69"/>
        <v>486.43367103170715</v>
      </c>
      <c r="BC51" s="48">
        <f t="shared" si="70"/>
        <v>590.48309303170709</v>
      </c>
      <c r="BD51" s="93">
        <f t="shared" si="71"/>
        <v>386.26880634170266</v>
      </c>
      <c r="BE51" s="93">
        <f t="shared" si="72"/>
        <v>490.31822834170265</v>
      </c>
      <c r="BG51" s="128">
        <v>1.0432999999999999</v>
      </c>
      <c r="BH51" s="130">
        <v>0.95299999999999996</v>
      </c>
      <c r="BI51" s="128">
        <v>0.73740000000000006</v>
      </c>
      <c r="BJ51" s="128">
        <v>10861.689200000001</v>
      </c>
      <c r="BK51" s="128">
        <v>3196.0632999999998</v>
      </c>
      <c r="BL51" s="49">
        <f t="shared" si="104"/>
        <v>342.64058599999998</v>
      </c>
      <c r="BM51" s="49">
        <f t="shared" si="104"/>
        <v>576.26003999999989</v>
      </c>
      <c r="BN51" s="47">
        <f t="shared" si="104"/>
        <v>156.72699600000001</v>
      </c>
      <c r="BO51" s="47">
        <f t="shared" si="73"/>
        <v>98.286476718582449</v>
      </c>
      <c r="BP51" s="48">
        <f t="shared" si="74"/>
        <v>440.92706271858242</v>
      </c>
      <c r="BQ51" s="48">
        <f t="shared" si="75"/>
        <v>517.81952071858234</v>
      </c>
      <c r="BR51" s="93">
        <f t="shared" si="76"/>
        <v>361.34051240643299</v>
      </c>
      <c r="BS51" s="93">
        <f t="shared" si="77"/>
        <v>438.23297040643291</v>
      </c>
      <c r="BU51" s="128">
        <v>1.0507</v>
      </c>
      <c r="BV51" s="130">
        <v>0.95730000000000004</v>
      </c>
      <c r="BW51" s="128">
        <v>0.73299999999999998</v>
      </c>
      <c r="BX51" s="128">
        <v>12730.976699999999</v>
      </c>
      <c r="BY51" s="128">
        <v>3982.0333000000001</v>
      </c>
      <c r="BZ51" s="49">
        <f t="shared" si="105"/>
        <v>254.89981999999998</v>
      </c>
      <c r="CA51" s="49">
        <f t="shared" si="105"/>
        <v>386.86407600000001</v>
      </c>
      <c r="CB51" s="47">
        <f t="shared" si="105"/>
        <v>76.224669999999989</v>
      </c>
      <c r="CC51" s="47">
        <f t="shared" si="78"/>
        <v>45.949276224094291</v>
      </c>
      <c r="CD51" s="48">
        <f t="shared" si="79"/>
        <v>300.8490962240943</v>
      </c>
      <c r="CE51" s="48">
        <f t="shared" si="80"/>
        <v>356.58868222409433</v>
      </c>
      <c r="CF51" s="93">
        <f t="shared" si="81"/>
        <v>266.93467228423088</v>
      </c>
      <c r="CG51" s="93">
        <f t="shared" si="82"/>
        <v>322.67425828423092</v>
      </c>
      <c r="CI51" s="128">
        <v>1.0079</v>
      </c>
      <c r="CJ51" s="130">
        <v>1.0008999999999999</v>
      </c>
      <c r="CK51" s="128">
        <v>0.78690000000000004</v>
      </c>
      <c r="CL51" s="128">
        <v>44038.5717</v>
      </c>
      <c r="CM51" s="128">
        <v>12843.8233</v>
      </c>
      <c r="CN51" s="49">
        <f t="shared" si="106"/>
        <v>213.95701199999999</v>
      </c>
      <c r="CO51" s="49">
        <f t="shared" si="106"/>
        <v>275.72793200000001</v>
      </c>
      <c r="CP51" s="47">
        <f t="shared" si="106"/>
        <v>0.30689100000000002</v>
      </c>
      <c r="CQ51" s="47">
        <f t="shared" si="83"/>
        <v>0.17280176124714999</v>
      </c>
      <c r="CR51" s="48">
        <f t="shared" si="84"/>
        <v>214.12981376124714</v>
      </c>
      <c r="CS51" s="48">
        <f t="shared" si="85"/>
        <v>275.59384276124717</v>
      </c>
      <c r="CT51" s="93">
        <f t="shared" si="86"/>
        <v>213.99016094675937</v>
      </c>
      <c r="CU51" s="93">
        <f t="shared" si="87"/>
        <v>275.45418994675936</v>
      </c>
      <c r="CW51" s="128">
        <v>1.0428999999999999</v>
      </c>
      <c r="CX51" s="130">
        <v>1.032</v>
      </c>
      <c r="CY51" s="128">
        <v>0.83650000000000002</v>
      </c>
      <c r="CZ51" s="128">
        <v>20869.861700000001</v>
      </c>
      <c r="DA51" s="128">
        <v>5386.4408000000003</v>
      </c>
      <c r="DB51" s="49">
        <f t="shared" si="107"/>
        <v>223.92105899999999</v>
      </c>
      <c r="DC51" s="49">
        <f t="shared" si="107"/>
        <v>309.64128000000005</v>
      </c>
      <c r="DD51" s="47">
        <f t="shared" si="107"/>
        <v>0.22585500000000003</v>
      </c>
      <c r="DE51" s="47">
        <f t="shared" si="88"/>
        <v>0.13107002909064017</v>
      </c>
      <c r="DF51" s="48">
        <f t="shared" si="89"/>
        <v>224.05212902909062</v>
      </c>
      <c r="DG51" s="48">
        <f t="shared" si="90"/>
        <v>309.54649502909069</v>
      </c>
      <c r="DH51" s="93">
        <f t="shared" si="91"/>
        <v>223.94404619881797</v>
      </c>
      <c r="DI51" s="93">
        <f t="shared" si="92"/>
        <v>309.43841219881801</v>
      </c>
      <c r="DK51" s="128">
        <v>1.0524</v>
      </c>
      <c r="DL51" s="130">
        <v>1.0476000000000001</v>
      </c>
      <c r="DM51" s="128">
        <v>0.91539999999999999</v>
      </c>
      <c r="DN51" s="128">
        <v>5684.3182999999999</v>
      </c>
      <c r="DO51" s="128">
        <v>2118.7791999999999</v>
      </c>
      <c r="DP51" s="49">
        <f t="shared" si="108"/>
        <v>139.29566400000002</v>
      </c>
      <c r="DQ51" s="49">
        <f t="shared" si="108"/>
        <v>202.846788</v>
      </c>
      <c r="DR51" s="47">
        <f t="shared" si="108"/>
        <v>0.173926</v>
      </c>
      <c r="DS51" s="47">
        <f t="shared" si="93"/>
        <v>0.1031159104737111</v>
      </c>
      <c r="DT51" s="48">
        <f t="shared" si="94"/>
        <v>139.39877991047373</v>
      </c>
      <c r="DU51" s="48">
        <f t="shared" si="95"/>
        <v>202.77597791047373</v>
      </c>
      <c r="DV51" s="93">
        <f t="shared" si="96"/>
        <v>139.31779044953001</v>
      </c>
      <c r="DW51" s="93">
        <f t="shared" si="97"/>
        <v>202.69498844953</v>
      </c>
      <c r="EB51" s="52"/>
      <c r="EC51" s="52"/>
      <c r="ED51" s="52"/>
      <c r="EE51" s="55">
        <f t="shared" si="98"/>
        <v>103360.9184</v>
      </c>
      <c r="EF51" s="55">
        <f t="shared" si="98"/>
        <v>27992.8475</v>
      </c>
      <c r="EG51" s="55">
        <f t="shared" si="98"/>
        <v>1797.0743931999998</v>
      </c>
      <c r="EH51" s="55">
        <f t="shared" si="98"/>
        <v>3056.1894180000004</v>
      </c>
      <c r="EI51" s="298">
        <f t="shared" si="109"/>
        <v>0.78688964638203795</v>
      </c>
      <c r="EJ51" s="52"/>
      <c r="EK51" s="55">
        <f t="shared" si="99"/>
        <v>1942.5142442828924</v>
      </c>
      <c r="EL51" s="55">
        <f t="shared" si="99"/>
        <v>2877.1019800828931</v>
      </c>
      <c r="EM51" s="55">
        <f t="shared" si="39"/>
        <v>1830.8123093983427</v>
      </c>
      <c r="EN51" s="55">
        <f t="shared" si="39"/>
        <v>2765.4000451983425</v>
      </c>
      <c r="EP51" s="52"/>
      <c r="EQ51" s="52"/>
      <c r="ER51" s="52"/>
      <c r="ES51" s="55">
        <f t="shared" si="110"/>
        <v>79138.381800000003</v>
      </c>
      <c r="ET51" s="55">
        <f t="shared" si="110"/>
        <v>22765.596600000001</v>
      </c>
      <c r="EU51" s="55">
        <f t="shared" si="110"/>
        <v>1380.3000193</v>
      </c>
      <c r="EV51" s="55">
        <f t="shared" si="110"/>
        <v>2256.1758019999997</v>
      </c>
      <c r="EW51" s="298">
        <f t="shared" si="111"/>
        <v>0.77659756804941382</v>
      </c>
      <c r="EX51" s="52"/>
      <c r="EY51" s="55">
        <f t="shared" si="112"/>
        <v>1583.7803024127866</v>
      </c>
      <c r="EZ51" s="55">
        <f t="shared" si="112"/>
        <v>2138.5984466127866</v>
      </c>
      <c r="FA51" s="55">
        <f t="shared" si="112"/>
        <v>1416.3480531719499</v>
      </c>
      <c r="FB51" s="55">
        <f t="shared" si="112"/>
        <v>1971.1661973719499</v>
      </c>
      <c r="FD51" s="52"/>
      <c r="FE51" s="52"/>
      <c r="FF51" s="52"/>
      <c r="FG51" s="55">
        <f t="shared" si="113"/>
        <v>62823.0717</v>
      </c>
      <c r="FH51" s="55">
        <f t="shared" si="113"/>
        <v>19114.429100000001</v>
      </c>
      <c r="FI51" s="55">
        <f t="shared" si="113"/>
        <v>1055.6697344000002</v>
      </c>
      <c r="FJ51" s="55">
        <f t="shared" si="113"/>
        <v>1832.4032558000001</v>
      </c>
      <c r="FK51" s="298">
        <f t="shared" si="114"/>
        <v>0.76671940304042074</v>
      </c>
      <c r="FL51" s="52"/>
      <c r="FM51" s="55">
        <f t="shared" si="115"/>
        <v>1185.6005216106832</v>
      </c>
      <c r="FN51" s="55">
        <f t="shared" si="115"/>
        <v>1761.741139410683</v>
      </c>
      <c r="FO51" s="55">
        <f t="shared" si="115"/>
        <v>1079.5534495785598</v>
      </c>
      <c r="FP51" s="55">
        <f t="shared" si="115"/>
        <v>1655.69406737856</v>
      </c>
      <c r="FR51" s="52"/>
      <c r="FS51" s="52"/>
      <c r="FT51" s="52"/>
      <c r="FU51" s="55">
        <f t="shared" si="116"/>
        <v>64908.433400000002</v>
      </c>
      <c r="FV51" s="55">
        <f t="shared" si="116"/>
        <v>18230.2641</v>
      </c>
      <c r="FW51" s="55">
        <f t="shared" si="116"/>
        <v>393.0938592</v>
      </c>
      <c r="FX51" s="55">
        <f t="shared" si="116"/>
        <v>523.44095600000003</v>
      </c>
      <c r="FY51" s="298">
        <f t="shared" si="117"/>
        <v>0.78072468479554891</v>
      </c>
      <c r="FZ51" s="52"/>
      <c r="GA51" s="55">
        <f t="shared" si="118"/>
        <v>393.37151698451964</v>
      </c>
      <c r="GB51" s="55">
        <f t="shared" si="118"/>
        <v>523.2310387845198</v>
      </c>
      <c r="GC51" s="55">
        <f t="shared" si="118"/>
        <v>393.14539790581375</v>
      </c>
      <c r="GD51" s="55">
        <f t="shared" si="118"/>
        <v>523.00491970581379</v>
      </c>
      <c r="GF51" s="52"/>
      <c r="GG51" s="52"/>
      <c r="GH51" s="52"/>
      <c r="GI51" s="55">
        <f t="shared" si="119"/>
        <v>32658.750899999999</v>
      </c>
      <c r="GJ51" s="55">
        <f t="shared" si="119"/>
        <v>9403.192500000001</v>
      </c>
      <c r="GK51" s="56">
        <f t="shared" si="120"/>
        <v>84.533367000000013</v>
      </c>
      <c r="GL51" s="56">
        <f t="shared" si="120"/>
        <v>202.58008949999999</v>
      </c>
      <c r="GM51" s="298">
        <f t="shared" si="121"/>
        <v>0.77644417399886467</v>
      </c>
      <c r="GN51" s="52"/>
      <c r="GO51" s="56">
        <f t="shared" si="122"/>
        <v>139.18843110570964</v>
      </c>
      <c r="GP51" s="56">
        <f t="shared" si="122"/>
        <v>175.42080810570957</v>
      </c>
      <c r="GQ51" s="56">
        <f t="shared" si="122"/>
        <v>89.500600543103829</v>
      </c>
      <c r="GR51" s="56">
        <f t="shared" si="122"/>
        <v>125.7329775431038</v>
      </c>
    </row>
    <row r="52" spans="1:200" x14ac:dyDescent="0.2">
      <c r="A52" s="118">
        <v>42</v>
      </c>
      <c r="C52" s="128">
        <v>1.0684</v>
      </c>
      <c r="D52" s="128">
        <v>0.97699999999999998</v>
      </c>
      <c r="E52" s="128">
        <v>0.54530000000000001</v>
      </c>
      <c r="F52" s="128">
        <v>21601.5308</v>
      </c>
      <c r="G52" s="128">
        <v>4808.79</v>
      </c>
      <c r="H52" s="49">
        <f t="shared" si="100"/>
        <v>1069.917128</v>
      </c>
      <c r="I52" s="49">
        <f t="shared" si="100"/>
        <v>1853.9551999999999</v>
      </c>
      <c r="J52" s="47">
        <f t="shared" si="100"/>
        <v>99.211882000000003</v>
      </c>
      <c r="K52" s="47">
        <f t="shared" si="53"/>
        <v>18.064494924377442</v>
      </c>
      <c r="L52" s="48">
        <f t="shared" si="54"/>
        <v>1087.9816229243775</v>
      </c>
      <c r="M52" s="48">
        <f t="shared" si="55"/>
        <v>1772.8078129243772</v>
      </c>
      <c r="N52" s="93">
        <f t="shared" si="56"/>
        <v>1084.9456751508262</v>
      </c>
      <c r="O52" s="93">
        <f t="shared" si="57"/>
        <v>1769.771865150826</v>
      </c>
      <c r="Q52" s="128">
        <v>1.0931999999999999</v>
      </c>
      <c r="R52" s="130">
        <v>0.99660000000000004</v>
      </c>
      <c r="S52" s="128">
        <v>0.50270000000000004</v>
      </c>
      <c r="T52" s="128">
        <v>4150.5007999999998</v>
      </c>
      <c r="U52" s="128">
        <v>1631.885</v>
      </c>
      <c r="V52" s="49">
        <f t="shared" si="101"/>
        <v>695.72341199999994</v>
      </c>
      <c r="W52" s="49">
        <f t="shared" si="101"/>
        <v>1187.438934</v>
      </c>
      <c r="X52" s="47">
        <f t="shared" si="101"/>
        <v>111.33296900000001</v>
      </c>
      <c r="Y52" s="47">
        <f t="shared" si="58"/>
        <v>70.20164900239304</v>
      </c>
      <c r="Z52" s="48">
        <f t="shared" si="59"/>
        <v>765.92506100239302</v>
      </c>
      <c r="AA52" s="48">
        <f t="shared" si="60"/>
        <v>1146.3076140023929</v>
      </c>
      <c r="AB52" s="93">
        <f t="shared" si="61"/>
        <v>713.02227947958499</v>
      </c>
      <c r="AC52" s="93">
        <f t="shared" si="62"/>
        <v>1093.4048324795849</v>
      </c>
      <c r="AE52" s="128">
        <v>1.1863999999999999</v>
      </c>
      <c r="AF52" s="130">
        <v>1.0009999999999999</v>
      </c>
      <c r="AG52" s="128">
        <v>0.52429999999999999</v>
      </c>
      <c r="AH52" s="128">
        <v>463.70749999999998</v>
      </c>
      <c r="AI52" s="128">
        <v>240.28579999999999</v>
      </c>
      <c r="AJ52" s="49">
        <f t="shared" si="102"/>
        <v>545.83891199999994</v>
      </c>
      <c r="AK52" s="49">
        <f t="shared" si="102"/>
        <v>1051.7807299999999</v>
      </c>
      <c r="AL52" s="47">
        <f t="shared" si="102"/>
        <v>86.50425700000001</v>
      </c>
      <c r="AM52" s="47">
        <f t="shared" si="63"/>
        <v>56.949419113093022</v>
      </c>
      <c r="AN52" s="48">
        <f t="shared" si="64"/>
        <v>602.78833111309291</v>
      </c>
      <c r="AO52" s="48">
        <f t="shared" si="65"/>
        <v>1022.2258921130929</v>
      </c>
      <c r="AP52" s="93">
        <f t="shared" si="66"/>
        <v>557.64135007785148</v>
      </c>
      <c r="AQ52" s="93">
        <f t="shared" si="67"/>
        <v>977.07891107785144</v>
      </c>
      <c r="AS52" s="128">
        <v>1.1075999999999999</v>
      </c>
      <c r="AT52" s="130">
        <v>0.87439999999999996</v>
      </c>
      <c r="AU52" s="128">
        <v>0.50209999999999999</v>
      </c>
      <c r="AV52" s="128">
        <v>23301.421699999999</v>
      </c>
      <c r="AW52" s="128">
        <v>6227.2632999999996</v>
      </c>
      <c r="AX52" s="49">
        <f t="shared" si="103"/>
        <v>388.36886399999997</v>
      </c>
      <c r="AY52" s="49">
        <f t="shared" si="103"/>
        <v>616.43451200000004</v>
      </c>
      <c r="AZ52" s="47">
        <f t="shared" si="103"/>
        <v>126.971048</v>
      </c>
      <c r="BA52" s="47">
        <f t="shared" si="68"/>
        <v>77.895176192171334</v>
      </c>
      <c r="BB52" s="48">
        <f t="shared" si="69"/>
        <v>466.26404019217131</v>
      </c>
      <c r="BC52" s="48">
        <f t="shared" si="70"/>
        <v>567.35864019217138</v>
      </c>
      <c r="BD52" s="93">
        <f t="shared" si="71"/>
        <v>407.02669434170264</v>
      </c>
      <c r="BE52" s="93">
        <f t="shared" si="72"/>
        <v>508.12129434170271</v>
      </c>
      <c r="BG52" s="128">
        <v>1.0876999999999999</v>
      </c>
      <c r="BH52" s="130">
        <v>0.91149999999999998</v>
      </c>
      <c r="BI52" s="128">
        <v>0.50700000000000001</v>
      </c>
      <c r="BJ52" s="128">
        <v>12768.6258</v>
      </c>
      <c r="BK52" s="128">
        <v>3771.1142</v>
      </c>
      <c r="BL52" s="49">
        <f t="shared" si="104"/>
        <v>357.22243399999996</v>
      </c>
      <c r="BM52" s="49">
        <f t="shared" si="104"/>
        <v>551.16581999999994</v>
      </c>
      <c r="BN52" s="47">
        <f t="shared" si="104"/>
        <v>107.75778</v>
      </c>
      <c r="BO52" s="47">
        <f t="shared" si="73"/>
        <v>65.382180927099029</v>
      </c>
      <c r="BP52" s="48">
        <f t="shared" si="74"/>
        <v>422.60461492709896</v>
      </c>
      <c r="BQ52" s="48">
        <f t="shared" si="75"/>
        <v>508.79022092709897</v>
      </c>
      <c r="BR52" s="93">
        <f t="shared" si="76"/>
        <v>375.92236040643297</v>
      </c>
      <c r="BS52" s="93">
        <f t="shared" si="77"/>
        <v>462.10796640643292</v>
      </c>
      <c r="BU52" s="128">
        <v>1.1068</v>
      </c>
      <c r="BV52" s="130">
        <v>0.92459999999999998</v>
      </c>
      <c r="BW52" s="128">
        <v>0.50029999999999997</v>
      </c>
      <c r="BX52" s="128">
        <v>14638.2083</v>
      </c>
      <c r="BY52" s="128">
        <v>4457.71</v>
      </c>
      <c r="BZ52" s="49">
        <f t="shared" si="105"/>
        <v>268.50968</v>
      </c>
      <c r="CA52" s="49">
        <f t="shared" si="105"/>
        <v>373.64935200000002</v>
      </c>
      <c r="CB52" s="47">
        <f t="shared" si="105"/>
        <v>52.026196999999996</v>
      </c>
      <c r="CC52" s="47">
        <f t="shared" si="78"/>
        <v>30.272181542833678</v>
      </c>
      <c r="CD52" s="48">
        <f t="shared" si="79"/>
        <v>298.78186154283367</v>
      </c>
      <c r="CE52" s="48">
        <f t="shared" si="80"/>
        <v>351.89533654283366</v>
      </c>
      <c r="CF52" s="93">
        <f t="shared" si="81"/>
        <v>280.54453228423091</v>
      </c>
      <c r="CG52" s="93">
        <f t="shared" si="82"/>
        <v>333.65800728423091</v>
      </c>
      <c r="CI52" s="128">
        <v>1.0161</v>
      </c>
      <c r="CJ52" s="130">
        <v>1.0068999999999999</v>
      </c>
      <c r="CK52" s="128">
        <v>0.58489999999999998</v>
      </c>
      <c r="CL52" s="128">
        <v>51352.231699999997</v>
      </c>
      <c r="CM52" s="128">
        <v>14700.3575</v>
      </c>
      <c r="CN52" s="49">
        <f t="shared" si="106"/>
        <v>215.69770800000001</v>
      </c>
      <c r="CO52" s="49">
        <f t="shared" si="106"/>
        <v>277.38081199999999</v>
      </c>
      <c r="CP52" s="47">
        <f t="shared" si="106"/>
        <v>0.22811100000000001</v>
      </c>
      <c r="CQ52" s="47">
        <f t="shared" si="83"/>
        <v>0.12832360737622883</v>
      </c>
      <c r="CR52" s="48">
        <f t="shared" si="84"/>
        <v>215.82603160737622</v>
      </c>
      <c r="CS52" s="48">
        <f t="shared" si="85"/>
        <v>277.2810246073762</v>
      </c>
      <c r="CT52" s="93">
        <f t="shared" si="86"/>
        <v>215.73085694675939</v>
      </c>
      <c r="CU52" s="93">
        <f t="shared" si="87"/>
        <v>277.18584994675933</v>
      </c>
      <c r="CW52" s="128">
        <v>1.085</v>
      </c>
      <c r="CX52" s="130">
        <v>1.0639000000000001</v>
      </c>
      <c r="CY52" s="128">
        <v>0.72419999999999995</v>
      </c>
      <c r="CZ52" s="128">
        <v>24684.727500000001</v>
      </c>
      <c r="DA52" s="128">
        <v>6344.0933000000005</v>
      </c>
      <c r="DB52" s="49">
        <f t="shared" si="107"/>
        <v>232.96035000000001</v>
      </c>
      <c r="DC52" s="49">
        <f t="shared" si="107"/>
        <v>319.21255600000006</v>
      </c>
      <c r="DD52" s="47">
        <f t="shared" si="107"/>
        <v>0.19553400000000001</v>
      </c>
      <c r="DE52" s="47">
        <f t="shared" si="88"/>
        <v>0.11303870082481739</v>
      </c>
      <c r="DF52" s="48">
        <f t="shared" si="89"/>
        <v>233.07338870082484</v>
      </c>
      <c r="DG52" s="48">
        <f t="shared" si="90"/>
        <v>319.13006070082486</v>
      </c>
      <c r="DH52" s="93">
        <f t="shared" si="91"/>
        <v>232.98333719881799</v>
      </c>
      <c r="DI52" s="93">
        <f t="shared" si="92"/>
        <v>319.04000919881804</v>
      </c>
      <c r="DK52" s="128">
        <v>1.1061000000000001</v>
      </c>
      <c r="DL52" s="130">
        <v>1.0971</v>
      </c>
      <c r="DM52" s="128">
        <v>0.82110000000000005</v>
      </c>
      <c r="DN52" s="128">
        <v>6433.2392</v>
      </c>
      <c r="DO52" s="128">
        <v>2342.4142000000002</v>
      </c>
      <c r="DP52" s="49">
        <f t="shared" si="108"/>
        <v>146.40339600000001</v>
      </c>
      <c r="DQ52" s="49">
        <f t="shared" si="108"/>
        <v>212.43147299999998</v>
      </c>
      <c r="DR52" s="47">
        <f t="shared" si="108"/>
        <v>0.15600900000000001</v>
      </c>
      <c r="DS52" s="47">
        <f t="shared" si="93"/>
        <v>9.2357863001482715E-2</v>
      </c>
      <c r="DT52" s="48">
        <f t="shared" si="94"/>
        <v>146.49575386300151</v>
      </c>
      <c r="DU52" s="48">
        <f t="shared" si="95"/>
        <v>212.36782186300147</v>
      </c>
      <c r="DV52" s="93">
        <f t="shared" si="96"/>
        <v>146.42552244953001</v>
      </c>
      <c r="DW52" s="93">
        <f t="shared" si="97"/>
        <v>212.29759044952996</v>
      </c>
      <c r="EB52" s="52"/>
      <c r="EC52" s="52"/>
      <c r="ED52" s="52"/>
      <c r="EE52" s="55">
        <f t="shared" si="98"/>
        <v>120939.9117</v>
      </c>
      <c r="EF52" s="55">
        <f t="shared" si="98"/>
        <v>32080.504099999998</v>
      </c>
      <c r="EG52" s="55">
        <f t="shared" si="98"/>
        <v>1860.3519799999999</v>
      </c>
      <c r="EH52" s="55">
        <f t="shared" si="98"/>
        <v>3003.1405688</v>
      </c>
      <c r="EI52" s="298">
        <f t="shared" si="109"/>
        <v>0.79035147740070388</v>
      </c>
      <c r="EJ52" s="52"/>
      <c r="EK52" s="55">
        <f t="shared" si="99"/>
        <v>1956.5304056845848</v>
      </c>
      <c r="EL52" s="55">
        <f t="shared" si="99"/>
        <v>2872.751526284585</v>
      </c>
      <c r="EM52" s="55">
        <f t="shared" si="39"/>
        <v>1894.0898961983426</v>
      </c>
      <c r="EN52" s="55">
        <f t="shared" si="39"/>
        <v>2810.3110167983427</v>
      </c>
      <c r="EP52" s="52"/>
      <c r="EQ52" s="52"/>
      <c r="ER52" s="52"/>
      <c r="ES52" s="55">
        <f t="shared" si="110"/>
        <v>92956.085800000001</v>
      </c>
      <c r="ET52" s="55">
        <f t="shared" si="110"/>
        <v>26447.45</v>
      </c>
      <c r="EU52" s="55">
        <f t="shared" si="110"/>
        <v>1431.7157989999998</v>
      </c>
      <c r="EV52" s="55">
        <f t="shared" si="110"/>
        <v>2239.4343552</v>
      </c>
      <c r="EW52" s="298">
        <f t="shared" si="111"/>
        <v>0.77850362786325467</v>
      </c>
      <c r="EX52" s="52"/>
      <c r="EY52" s="55">
        <f t="shared" si="112"/>
        <v>1567.5070796274456</v>
      </c>
      <c r="EZ52" s="55">
        <f t="shared" si="112"/>
        <v>2155.7699020274454</v>
      </c>
      <c r="FA52" s="55">
        <f t="shared" si="112"/>
        <v>1467.7638328719499</v>
      </c>
      <c r="FB52" s="55">
        <f t="shared" si="112"/>
        <v>2056.0266552719499</v>
      </c>
      <c r="FD52" s="52"/>
      <c r="FE52" s="52"/>
      <c r="FF52" s="52"/>
      <c r="FG52" s="55">
        <f t="shared" si="113"/>
        <v>72887.386699999988</v>
      </c>
      <c r="FH52" s="55">
        <f t="shared" si="113"/>
        <v>21740.767499999998</v>
      </c>
      <c r="FI52" s="55">
        <f t="shared" si="113"/>
        <v>1117.8883375999999</v>
      </c>
      <c r="FJ52" s="55">
        <f t="shared" si="113"/>
        <v>1830.2697777999997</v>
      </c>
      <c r="FK52" s="298">
        <f t="shared" si="114"/>
        <v>0.77025053818496647</v>
      </c>
      <c r="FL52" s="52"/>
      <c r="FM52" s="55">
        <f t="shared" si="115"/>
        <v>1205.2936765811037</v>
      </c>
      <c r="FN52" s="55">
        <f t="shared" si="115"/>
        <v>1778.8229463811037</v>
      </c>
      <c r="FO52" s="55">
        <f t="shared" si="115"/>
        <v>1141.7720527785596</v>
      </c>
      <c r="FP52" s="55">
        <f t="shared" si="115"/>
        <v>1715.3013225785598</v>
      </c>
      <c r="FR52" s="52"/>
      <c r="FS52" s="52"/>
      <c r="FT52" s="52"/>
      <c r="FU52" s="55">
        <f t="shared" si="116"/>
        <v>76036.959199999998</v>
      </c>
      <c r="FV52" s="55">
        <f t="shared" si="116"/>
        <v>21044.450799999999</v>
      </c>
      <c r="FW52" s="55">
        <f t="shared" si="116"/>
        <v>402.06598800000006</v>
      </c>
      <c r="FX52" s="55">
        <f t="shared" si="116"/>
        <v>532.75085680000007</v>
      </c>
      <c r="FY52" s="298">
        <f t="shared" si="117"/>
        <v>0.78322883031880142</v>
      </c>
      <c r="FZ52" s="52"/>
      <c r="GA52" s="55">
        <f t="shared" si="118"/>
        <v>402.28474256803611</v>
      </c>
      <c r="GB52" s="55">
        <f t="shared" si="118"/>
        <v>532.58507316803616</v>
      </c>
      <c r="GC52" s="55">
        <f t="shared" si="118"/>
        <v>402.11752670581382</v>
      </c>
      <c r="GD52" s="55">
        <f t="shared" si="118"/>
        <v>532.41785730581375</v>
      </c>
      <c r="GF52" s="52"/>
      <c r="GG52" s="52"/>
      <c r="GH52" s="52"/>
      <c r="GI52" s="55">
        <f t="shared" si="119"/>
        <v>37939.629999999997</v>
      </c>
      <c r="GJ52" s="55">
        <f t="shared" si="119"/>
        <v>10684.9733</v>
      </c>
      <c r="GK52" s="56">
        <f t="shared" si="120"/>
        <v>89.894387999999978</v>
      </c>
      <c r="GL52" s="56">
        <f t="shared" si="120"/>
        <v>182.08887000000001</v>
      </c>
      <c r="GM52" s="298">
        <f t="shared" si="121"/>
        <v>0.78025582575806851</v>
      </c>
      <c r="GN52" s="52"/>
      <c r="GO52" s="56">
        <f t="shared" si="122"/>
        <v>125.61163398700323</v>
      </c>
      <c r="GP52" s="56">
        <f t="shared" si="122"/>
        <v>161.59747773700329</v>
      </c>
      <c r="GQ52" s="56">
        <f t="shared" si="122"/>
        <v>94.861621543103794</v>
      </c>
      <c r="GR52" s="56">
        <f t="shared" si="122"/>
        <v>130.84746529310385</v>
      </c>
    </row>
    <row r="53" spans="1:200" x14ac:dyDescent="0.2">
      <c r="A53" s="118">
        <v>43</v>
      </c>
      <c r="C53" s="128">
        <v>1.1013999999999999</v>
      </c>
      <c r="D53" s="128">
        <v>0.96799999999999997</v>
      </c>
      <c r="E53" s="128">
        <v>0.36380000000000001</v>
      </c>
      <c r="F53" s="128">
        <v>24645.984199999999</v>
      </c>
      <c r="G53" s="128">
        <v>5671.9267</v>
      </c>
      <c r="H53" s="49">
        <f t="shared" si="100"/>
        <v>1102.963988</v>
      </c>
      <c r="I53" s="49">
        <f t="shared" si="100"/>
        <v>1836.8767999999998</v>
      </c>
      <c r="J53" s="47">
        <f t="shared" si="100"/>
        <v>66.189772000000005</v>
      </c>
      <c r="K53" s="47">
        <f t="shared" si="53"/>
        <v>12.382895916278731</v>
      </c>
      <c r="L53" s="48">
        <f t="shared" si="54"/>
        <v>1115.3468839162788</v>
      </c>
      <c r="M53" s="48">
        <f t="shared" si="55"/>
        <v>1783.0699239162786</v>
      </c>
      <c r="N53" s="93">
        <f t="shared" si="56"/>
        <v>1117.9925351508261</v>
      </c>
      <c r="O53" s="93">
        <f t="shared" si="57"/>
        <v>1785.715575150826</v>
      </c>
      <c r="Q53" s="128">
        <v>1.1359999999999999</v>
      </c>
      <c r="R53" s="130">
        <v>1.0018</v>
      </c>
      <c r="S53" s="128">
        <v>0.31719999999999998</v>
      </c>
      <c r="T53" s="128">
        <v>4968.7592000000004</v>
      </c>
      <c r="U53" s="128">
        <v>1879.3342</v>
      </c>
      <c r="V53" s="49">
        <f t="shared" si="101"/>
        <v>722.96175999999991</v>
      </c>
      <c r="W53" s="49">
        <f t="shared" si="101"/>
        <v>1193.6346820000001</v>
      </c>
      <c r="X53" s="47">
        <f t="shared" si="101"/>
        <v>70.250283999999994</v>
      </c>
      <c r="Y53" s="47">
        <f t="shared" si="58"/>
        <v>43.751085812956809</v>
      </c>
      <c r="Z53" s="48">
        <f t="shared" si="59"/>
        <v>766.71284581295674</v>
      </c>
      <c r="AA53" s="48">
        <f t="shared" si="60"/>
        <v>1167.1354838129569</v>
      </c>
      <c r="AB53" s="93">
        <f t="shared" si="61"/>
        <v>740.26062747958497</v>
      </c>
      <c r="AC53" s="93">
        <f t="shared" si="62"/>
        <v>1140.6832654795851</v>
      </c>
      <c r="AE53" s="128">
        <v>1.2676000000000001</v>
      </c>
      <c r="AF53" s="130">
        <v>1.0137</v>
      </c>
      <c r="AG53" s="128">
        <v>0.3347</v>
      </c>
      <c r="AH53" s="128">
        <v>557.16920000000005</v>
      </c>
      <c r="AI53" s="128">
        <v>270.03250000000003</v>
      </c>
      <c r="AJ53" s="49">
        <f t="shared" si="102"/>
        <v>583.197408</v>
      </c>
      <c r="AK53" s="49">
        <f t="shared" si="102"/>
        <v>1065.1250010000001</v>
      </c>
      <c r="AL53" s="47">
        <f t="shared" si="102"/>
        <v>55.222153000000006</v>
      </c>
      <c r="AM53" s="47">
        <f t="shared" si="63"/>
        <v>35.683853746204306</v>
      </c>
      <c r="AN53" s="48">
        <f t="shared" si="64"/>
        <v>618.88126174620425</v>
      </c>
      <c r="AO53" s="48">
        <f t="shared" si="65"/>
        <v>1045.5867017462044</v>
      </c>
      <c r="AP53" s="93">
        <f t="shared" si="66"/>
        <v>594.99984607785154</v>
      </c>
      <c r="AQ53" s="93">
        <f t="shared" si="67"/>
        <v>1021.7052860778516</v>
      </c>
      <c r="AS53" s="128">
        <v>1.1755</v>
      </c>
      <c r="AT53" s="130">
        <v>0.83169999999999999</v>
      </c>
      <c r="AU53" s="128">
        <v>0.31440000000000001</v>
      </c>
      <c r="AV53" s="128">
        <v>27372.8675</v>
      </c>
      <c r="AW53" s="128">
        <v>7352.6875</v>
      </c>
      <c r="AX53" s="49">
        <f t="shared" si="103"/>
        <v>412.17731999999995</v>
      </c>
      <c r="AY53" s="49">
        <f t="shared" si="103"/>
        <v>586.33186599999999</v>
      </c>
      <c r="AZ53" s="47">
        <f t="shared" si="103"/>
        <v>79.505471999999997</v>
      </c>
      <c r="BA53" s="47">
        <f t="shared" si="68"/>
        <v>46.686192183885176</v>
      </c>
      <c r="BB53" s="48">
        <f t="shared" si="69"/>
        <v>458.86351218388512</v>
      </c>
      <c r="BC53" s="48">
        <f t="shared" si="70"/>
        <v>553.51258618388522</v>
      </c>
      <c r="BD53" s="93">
        <f t="shared" si="71"/>
        <v>430.83515034170262</v>
      </c>
      <c r="BE53" s="93">
        <f t="shared" si="72"/>
        <v>525.48422434170266</v>
      </c>
      <c r="BG53" s="128">
        <v>1.1359999999999999</v>
      </c>
      <c r="BH53" s="130">
        <v>0.87860000000000005</v>
      </c>
      <c r="BI53" s="128">
        <v>0.32200000000000001</v>
      </c>
      <c r="BJ53" s="128">
        <v>14511.3892</v>
      </c>
      <c r="BK53" s="128">
        <v>4241.9782999999998</v>
      </c>
      <c r="BL53" s="49">
        <f t="shared" si="104"/>
        <v>373.08511999999996</v>
      </c>
      <c r="BM53" s="49">
        <f t="shared" si="104"/>
        <v>531.27184799999998</v>
      </c>
      <c r="BN53" s="47">
        <f t="shared" si="104"/>
        <v>68.437879999999993</v>
      </c>
      <c r="BO53" s="47">
        <f t="shared" si="73"/>
        <v>40.204388606869486</v>
      </c>
      <c r="BP53" s="48">
        <f t="shared" si="74"/>
        <v>413.28950860686945</v>
      </c>
      <c r="BQ53" s="48">
        <f t="shared" si="75"/>
        <v>503.03835660686946</v>
      </c>
      <c r="BR53" s="93">
        <f t="shared" si="76"/>
        <v>391.78504640643297</v>
      </c>
      <c r="BS53" s="93">
        <f t="shared" si="77"/>
        <v>481.53389440643298</v>
      </c>
      <c r="BU53" s="128">
        <v>1.167</v>
      </c>
      <c r="BV53" s="130">
        <v>0.90500000000000003</v>
      </c>
      <c r="BW53" s="128">
        <v>0.31950000000000001</v>
      </c>
      <c r="BX53" s="128">
        <v>16752.460800000001</v>
      </c>
      <c r="BY53" s="128">
        <v>5132.0366999999997</v>
      </c>
      <c r="BZ53" s="49">
        <f t="shared" si="105"/>
        <v>283.11419999999998</v>
      </c>
      <c r="CA53" s="49">
        <f t="shared" si="105"/>
        <v>365.72860000000003</v>
      </c>
      <c r="CB53" s="47">
        <f t="shared" si="105"/>
        <v>33.224804999999996</v>
      </c>
      <c r="CC53" s="47">
        <f t="shared" si="78"/>
        <v>18.727589206388668</v>
      </c>
      <c r="CD53" s="48">
        <f t="shared" si="79"/>
        <v>301.84178920638863</v>
      </c>
      <c r="CE53" s="48">
        <f t="shared" si="80"/>
        <v>351.23138420638867</v>
      </c>
      <c r="CF53" s="93">
        <f t="shared" si="81"/>
        <v>295.14905228423089</v>
      </c>
      <c r="CG53" s="93">
        <f t="shared" si="82"/>
        <v>344.53864728423093</v>
      </c>
      <c r="CI53" s="128">
        <v>1.0250999999999999</v>
      </c>
      <c r="CJ53" s="130">
        <v>1.0122</v>
      </c>
      <c r="CK53" s="128">
        <v>0.41510000000000002</v>
      </c>
      <c r="CL53" s="128">
        <v>59408.404999999999</v>
      </c>
      <c r="CM53" s="128">
        <v>16992.452499999999</v>
      </c>
      <c r="CN53" s="49">
        <f t="shared" si="106"/>
        <v>217.60822799999997</v>
      </c>
      <c r="CO53" s="49">
        <f t="shared" si="106"/>
        <v>278.84085600000003</v>
      </c>
      <c r="CP53" s="47">
        <f t="shared" si="106"/>
        <v>0.16188900000000001</v>
      </c>
      <c r="CQ53" s="47">
        <f t="shared" si="83"/>
        <v>9.0928292128713062E-2</v>
      </c>
      <c r="CR53" s="48">
        <f t="shared" si="84"/>
        <v>217.69915629212869</v>
      </c>
      <c r="CS53" s="48">
        <f t="shared" si="85"/>
        <v>278.76989529212875</v>
      </c>
      <c r="CT53" s="93">
        <f t="shared" si="86"/>
        <v>217.64137694675935</v>
      </c>
      <c r="CU53" s="93">
        <f t="shared" si="87"/>
        <v>278.71211594675941</v>
      </c>
      <c r="CW53" s="128">
        <v>1.1318999999999999</v>
      </c>
      <c r="CX53" s="130">
        <v>1.0986</v>
      </c>
      <c r="CY53" s="128">
        <v>0.61570000000000003</v>
      </c>
      <c r="CZ53" s="128">
        <v>28860.325000000001</v>
      </c>
      <c r="DA53" s="128">
        <v>7247.8416999999999</v>
      </c>
      <c r="DB53" s="49">
        <f t="shared" si="107"/>
        <v>243.030249</v>
      </c>
      <c r="DC53" s="49">
        <f t="shared" si="107"/>
        <v>329.62394400000005</v>
      </c>
      <c r="DD53" s="47">
        <f t="shared" si="107"/>
        <v>0.16623900000000003</v>
      </c>
      <c r="DE53" s="47">
        <f t="shared" si="88"/>
        <v>9.5688384886437064E-2</v>
      </c>
      <c r="DF53" s="48">
        <f t="shared" si="89"/>
        <v>243.12593738488644</v>
      </c>
      <c r="DG53" s="48">
        <f t="shared" si="90"/>
        <v>329.55339338488648</v>
      </c>
      <c r="DH53" s="93">
        <f t="shared" si="91"/>
        <v>243.05323619881798</v>
      </c>
      <c r="DI53" s="93">
        <f t="shared" si="92"/>
        <v>329.48069219881802</v>
      </c>
      <c r="DK53" s="128">
        <v>1.1609</v>
      </c>
      <c r="DL53" s="130">
        <v>1.1467000000000001</v>
      </c>
      <c r="DM53" s="128">
        <v>0.72289999999999999</v>
      </c>
      <c r="DN53" s="128">
        <v>7283.7066999999997</v>
      </c>
      <c r="DO53" s="128">
        <v>2687.5866999999998</v>
      </c>
      <c r="DP53" s="49">
        <f t="shared" si="108"/>
        <v>153.65672400000003</v>
      </c>
      <c r="DQ53" s="49">
        <f t="shared" si="108"/>
        <v>222.03552100000002</v>
      </c>
      <c r="DR53" s="47">
        <f t="shared" si="108"/>
        <v>0.137351</v>
      </c>
      <c r="DS53" s="47">
        <f t="shared" si="93"/>
        <v>8.1174954369555852E-2</v>
      </c>
      <c r="DT53" s="48">
        <f t="shared" si="94"/>
        <v>153.73789895436957</v>
      </c>
      <c r="DU53" s="48">
        <f t="shared" si="95"/>
        <v>221.97934495436957</v>
      </c>
      <c r="DV53" s="93">
        <f t="shared" si="96"/>
        <v>153.67885044953002</v>
      </c>
      <c r="DW53" s="93">
        <f t="shared" si="97"/>
        <v>221.92029644953001</v>
      </c>
      <c r="EB53" s="52"/>
      <c r="EC53" s="52"/>
      <c r="ED53" s="52"/>
      <c r="EE53" s="55">
        <f t="shared" si="98"/>
        <v>140287.58170000001</v>
      </c>
      <c r="EF53" s="55">
        <f t="shared" si="98"/>
        <v>37264.9084</v>
      </c>
      <c r="EG53" s="55">
        <f t="shared" si="98"/>
        <v>1927.1737352</v>
      </c>
      <c r="EH53" s="55">
        <f t="shared" si="98"/>
        <v>2965.7486771999993</v>
      </c>
      <c r="EI53" s="298">
        <f t="shared" si="109"/>
        <v>0.79011891988103422</v>
      </c>
      <c r="EJ53" s="52"/>
      <c r="EK53" s="55">
        <f t="shared" si="99"/>
        <v>1986.4103023002017</v>
      </c>
      <c r="EL53" s="55">
        <f t="shared" si="99"/>
        <v>2878.9951201002018</v>
      </c>
      <c r="EM53" s="55">
        <f t="shared" si="39"/>
        <v>1960.9116513983427</v>
      </c>
      <c r="EN53" s="55">
        <f t="shared" si="39"/>
        <v>2853.4964691983423</v>
      </c>
      <c r="EP53" s="52"/>
      <c r="EQ53" s="52"/>
      <c r="ER53" s="52"/>
      <c r="ES53" s="55">
        <f t="shared" si="110"/>
        <v>107748.8784</v>
      </c>
      <c r="ET53" s="55">
        <f t="shared" si="110"/>
        <v>30361.6067</v>
      </c>
      <c r="EU53" s="55">
        <f t="shared" si="110"/>
        <v>1483.7762822999998</v>
      </c>
      <c r="EV53" s="55">
        <f t="shared" si="110"/>
        <v>2234.4841468000004</v>
      </c>
      <c r="EW53" s="298">
        <f t="shared" si="111"/>
        <v>0.78016436132262934</v>
      </c>
      <c r="EX53" s="52"/>
      <c r="EY53" s="55">
        <f t="shared" si="112"/>
        <v>1567.8896668813754</v>
      </c>
      <c r="EZ53" s="55">
        <f t="shared" si="112"/>
        <v>2179.6311110813754</v>
      </c>
      <c r="FA53" s="55">
        <f t="shared" si="112"/>
        <v>1519.8243161719502</v>
      </c>
      <c r="FB53" s="55">
        <f t="shared" si="112"/>
        <v>2131.5657603719501</v>
      </c>
      <c r="FD53" s="52"/>
      <c r="FE53" s="52"/>
      <c r="FF53" s="52"/>
      <c r="FG53" s="55">
        <f t="shared" si="113"/>
        <v>84001.741699999999</v>
      </c>
      <c r="FH53" s="55">
        <f t="shared" si="113"/>
        <v>25082.108399999997</v>
      </c>
      <c r="FI53" s="55">
        <f t="shared" si="113"/>
        <v>1176.1138704</v>
      </c>
      <c r="FJ53" s="55">
        <f t="shared" si="113"/>
        <v>1842.9157696000002</v>
      </c>
      <c r="FK53" s="298">
        <f t="shared" si="114"/>
        <v>0.7700657945515621</v>
      </c>
      <c r="FL53" s="52"/>
      <c r="FM53" s="55">
        <f t="shared" si="115"/>
        <v>1230.6649466173433</v>
      </c>
      <c r="FN53" s="55">
        <f t="shared" si="115"/>
        <v>1808.7755882173435</v>
      </c>
      <c r="FO53" s="55">
        <f t="shared" si="115"/>
        <v>1199.9975855785599</v>
      </c>
      <c r="FP53" s="55">
        <f t="shared" si="115"/>
        <v>1778.1082271785599</v>
      </c>
      <c r="FR53" s="52"/>
      <c r="FS53" s="52"/>
      <c r="FT53" s="52"/>
      <c r="FU53" s="55">
        <f t="shared" si="116"/>
        <v>88268.73</v>
      </c>
      <c r="FV53" s="55">
        <f t="shared" si="116"/>
        <v>24240.2942</v>
      </c>
      <c r="FW53" s="55">
        <f t="shared" si="116"/>
        <v>412.03242719999997</v>
      </c>
      <c r="FX53" s="55">
        <f t="shared" si="116"/>
        <v>542.54001120000009</v>
      </c>
      <c r="FY53" s="298">
        <f t="shared" si="117"/>
        <v>0.7845480007282829</v>
      </c>
      <c r="FZ53" s="52"/>
      <c r="GA53" s="55">
        <f t="shared" si="118"/>
        <v>412.19990620003784</v>
      </c>
      <c r="GB53" s="55">
        <f t="shared" si="118"/>
        <v>542.41261000003794</v>
      </c>
      <c r="GC53" s="55">
        <f t="shared" si="118"/>
        <v>412.08396590581378</v>
      </c>
      <c r="GD53" s="55">
        <f t="shared" si="118"/>
        <v>542.29666970581388</v>
      </c>
      <c r="GF53" s="52"/>
      <c r="GG53" s="52"/>
      <c r="GH53" s="52"/>
      <c r="GI53" s="55">
        <f t="shared" si="119"/>
        <v>44125.328300000001</v>
      </c>
      <c r="GJ53" s="55">
        <f t="shared" si="119"/>
        <v>12484.724200000001</v>
      </c>
      <c r="GK53" s="56">
        <f t="shared" si="120"/>
        <v>96.797339999999977</v>
      </c>
      <c r="GL53" s="56">
        <f t="shared" si="120"/>
        <v>165.45244949999997</v>
      </c>
      <c r="GM53" s="298">
        <f t="shared" si="121"/>
        <v>0.77946100297292598</v>
      </c>
      <c r="GN53" s="52"/>
      <c r="GO53" s="56">
        <f t="shared" si="122"/>
        <v>117.76629223312237</v>
      </c>
      <c r="GP53" s="56">
        <f t="shared" si="122"/>
        <v>151.71090148312243</v>
      </c>
      <c r="GQ53" s="56">
        <f t="shared" si="122"/>
        <v>101.76457354310379</v>
      </c>
      <c r="GR53" s="56">
        <f t="shared" si="122"/>
        <v>135.70918279310379</v>
      </c>
    </row>
    <row r="54" spans="1:200" x14ac:dyDescent="0.2">
      <c r="A54" s="118">
        <v>44</v>
      </c>
      <c r="C54" s="128">
        <v>1.1356999999999999</v>
      </c>
      <c r="D54" s="128">
        <v>0.96440000000000003</v>
      </c>
      <c r="E54" s="128">
        <v>0.22509999999999999</v>
      </c>
      <c r="F54" s="128">
        <v>26391.2808</v>
      </c>
      <c r="G54" s="128">
        <v>5723.2691999999997</v>
      </c>
      <c r="H54" s="49">
        <f t="shared" si="100"/>
        <v>1137.312694</v>
      </c>
      <c r="I54" s="49">
        <f t="shared" si="100"/>
        <v>1830.0454399999999</v>
      </c>
      <c r="J54" s="47">
        <f t="shared" si="100"/>
        <v>40.954693999999996</v>
      </c>
      <c r="K54" s="47">
        <f t="shared" si="53"/>
        <v>7.2987084908748452</v>
      </c>
      <c r="L54" s="48">
        <f t="shared" si="54"/>
        <v>1144.6114024908748</v>
      </c>
      <c r="M54" s="48">
        <f t="shared" si="55"/>
        <v>1796.3894544908746</v>
      </c>
      <c r="N54" s="93">
        <f t="shared" si="56"/>
        <v>1152.3412411508261</v>
      </c>
      <c r="O54" s="93">
        <f t="shared" si="57"/>
        <v>1804.119293150826</v>
      </c>
      <c r="Q54" s="128">
        <v>1.1785000000000001</v>
      </c>
      <c r="R54" s="130">
        <v>1.0125</v>
      </c>
      <c r="S54" s="128">
        <v>0.18990000000000001</v>
      </c>
      <c r="T54" s="128">
        <v>5413.0308000000005</v>
      </c>
      <c r="U54" s="128">
        <v>2072.9949999999999</v>
      </c>
      <c r="V54" s="49">
        <f t="shared" si="101"/>
        <v>750.009185</v>
      </c>
      <c r="W54" s="49">
        <f t="shared" si="101"/>
        <v>1206.3836249999999</v>
      </c>
      <c r="X54" s="47">
        <f t="shared" si="101"/>
        <v>42.057153</v>
      </c>
      <c r="Y54" s="47">
        <f t="shared" si="58"/>
        <v>25.933984440128683</v>
      </c>
      <c r="Z54" s="48">
        <f t="shared" si="59"/>
        <v>775.94316944012871</v>
      </c>
      <c r="AA54" s="48">
        <f t="shared" si="60"/>
        <v>1190.2604564401286</v>
      </c>
      <c r="AB54" s="93">
        <f t="shared" si="61"/>
        <v>767.30805247958506</v>
      </c>
      <c r="AC54" s="93">
        <f t="shared" si="62"/>
        <v>1181.6253394795849</v>
      </c>
      <c r="AE54" s="128">
        <v>1.3239000000000001</v>
      </c>
      <c r="AF54" s="130">
        <v>1.0324</v>
      </c>
      <c r="AG54" s="128">
        <v>0.19040000000000001</v>
      </c>
      <c r="AH54" s="128">
        <v>628.50919999999996</v>
      </c>
      <c r="AI54" s="128">
        <v>257.6825</v>
      </c>
      <c r="AJ54" s="49">
        <f t="shared" si="102"/>
        <v>609.09991200000002</v>
      </c>
      <c r="AK54" s="49">
        <f t="shared" si="102"/>
        <v>1084.7736520000001</v>
      </c>
      <c r="AL54" s="47">
        <f t="shared" si="102"/>
        <v>31.414096000000004</v>
      </c>
      <c r="AM54" s="47">
        <f t="shared" si="63"/>
        <v>20.117902756405851</v>
      </c>
      <c r="AN54" s="48">
        <f t="shared" si="64"/>
        <v>629.21781475640591</v>
      </c>
      <c r="AO54" s="48">
        <f t="shared" si="65"/>
        <v>1073.4774587564059</v>
      </c>
      <c r="AP54" s="93">
        <f t="shared" si="66"/>
        <v>620.90235007785157</v>
      </c>
      <c r="AQ54" s="93">
        <f t="shared" si="67"/>
        <v>1065.1619940778517</v>
      </c>
      <c r="AS54" s="128">
        <v>1.2497</v>
      </c>
      <c r="AT54" s="130">
        <v>0.80559999999999998</v>
      </c>
      <c r="AU54" s="128">
        <v>0.17730000000000001</v>
      </c>
      <c r="AV54" s="128">
        <v>29221.513299999999</v>
      </c>
      <c r="AW54" s="128">
        <v>7669.2849999999999</v>
      </c>
      <c r="AX54" s="49">
        <f t="shared" si="103"/>
        <v>438.19480799999997</v>
      </c>
      <c r="AY54" s="49">
        <f t="shared" si="103"/>
        <v>567.93188799999996</v>
      </c>
      <c r="AZ54" s="47">
        <f t="shared" si="103"/>
        <v>44.835624000000003</v>
      </c>
      <c r="BA54" s="47">
        <f t="shared" si="68"/>
        <v>25.308522961583471</v>
      </c>
      <c r="BB54" s="48">
        <f t="shared" si="69"/>
        <v>463.50333096158346</v>
      </c>
      <c r="BC54" s="48">
        <f t="shared" si="70"/>
        <v>548.40478696158334</v>
      </c>
      <c r="BD54" s="93">
        <f t="shared" si="71"/>
        <v>456.85263834170263</v>
      </c>
      <c r="BE54" s="93">
        <f t="shared" si="72"/>
        <v>541.75409434170263</v>
      </c>
      <c r="BG54" s="128">
        <v>1.1910000000000001</v>
      </c>
      <c r="BH54" s="130">
        <v>0.85619999999999996</v>
      </c>
      <c r="BI54" s="128">
        <v>0.18629999999999999</v>
      </c>
      <c r="BJ54" s="128">
        <v>15393.8683</v>
      </c>
      <c r="BK54" s="128">
        <v>4313.6558000000005</v>
      </c>
      <c r="BL54" s="49">
        <f t="shared" si="104"/>
        <v>391.14822000000004</v>
      </c>
      <c r="BM54" s="49">
        <f t="shared" si="104"/>
        <v>517.72701599999994</v>
      </c>
      <c r="BN54" s="47">
        <f t="shared" si="104"/>
        <v>39.596201999999998</v>
      </c>
      <c r="BO54" s="47">
        <f t="shared" si="73"/>
        <v>22.555376903671327</v>
      </c>
      <c r="BP54" s="48">
        <f t="shared" si="74"/>
        <v>413.70359690367138</v>
      </c>
      <c r="BQ54" s="48">
        <f t="shared" si="75"/>
        <v>500.68619090367127</v>
      </c>
      <c r="BR54" s="93">
        <f t="shared" si="76"/>
        <v>409.84814640643305</v>
      </c>
      <c r="BS54" s="93">
        <f t="shared" si="77"/>
        <v>496.83074040643294</v>
      </c>
      <c r="BU54" s="128">
        <v>1.2312000000000001</v>
      </c>
      <c r="BV54" s="130">
        <v>0.89890000000000003</v>
      </c>
      <c r="BW54" s="128">
        <v>0.19120000000000001</v>
      </c>
      <c r="BX54" s="128">
        <v>17911.618299999998</v>
      </c>
      <c r="BY54" s="128">
        <v>5207.7282999999998</v>
      </c>
      <c r="BZ54" s="49">
        <f t="shared" si="105"/>
        <v>298.68912</v>
      </c>
      <c r="CA54" s="49">
        <f t="shared" si="105"/>
        <v>363.26346799999999</v>
      </c>
      <c r="CB54" s="47">
        <f t="shared" si="105"/>
        <v>19.882888000000001</v>
      </c>
      <c r="CC54" s="47">
        <f t="shared" si="78"/>
        <v>10.911244973840308</v>
      </c>
      <c r="CD54" s="48">
        <f t="shared" si="79"/>
        <v>309.60036497384033</v>
      </c>
      <c r="CE54" s="48">
        <f t="shared" si="80"/>
        <v>354.29182497384033</v>
      </c>
      <c r="CF54" s="93">
        <f t="shared" si="81"/>
        <v>310.72397228423091</v>
      </c>
      <c r="CG54" s="93">
        <f t="shared" si="82"/>
        <v>355.41543228423092</v>
      </c>
      <c r="CI54" s="128">
        <v>1.0347999999999999</v>
      </c>
      <c r="CJ54" s="130">
        <v>1.0176000000000001</v>
      </c>
      <c r="CK54" s="128">
        <v>0.28270000000000001</v>
      </c>
      <c r="CL54" s="128">
        <v>63367.644999999997</v>
      </c>
      <c r="CM54" s="128">
        <v>17453.349200000001</v>
      </c>
      <c r="CN54" s="49">
        <f t="shared" si="106"/>
        <v>219.66734399999999</v>
      </c>
      <c r="CO54" s="49">
        <f t="shared" si="106"/>
        <v>280.32844800000004</v>
      </c>
      <c r="CP54" s="47">
        <f t="shared" si="106"/>
        <v>0.110253</v>
      </c>
      <c r="CQ54" s="47">
        <f t="shared" si="83"/>
        <v>6.1814624986571892E-2</v>
      </c>
      <c r="CR54" s="48">
        <f t="shared" si="84"/>
        <v>219.72915862498655</v>
      </c>
      <c r="CS54" s="48">
        <f t="shared" si="85"/>
        <v>280.28000962498663</v>
      </c>
      <c r="CT54" s="93">
        <f t="shared" si="86"/>
        <v>219.70049294675937</v>
      </c>
      <c r="CU54" s="93">
        <f t="shared" si="87"/>
        <v>280.25134394675939</v>
      </c>
      <c r="CW54" s="128">
        <v>1.1808000000000001</v>
      </c>
      <c r="CX54" s="130">
        <v>1.1384000000000001</v>
      </c>
      <c r="CY54" s="128">
        <v>0.51470000000000005</v>
      </c>
      <c r="CZ54" s="128">
        <v>30865.892500000002</v>
      </c>
      <c r="DA54" s="128">
        <v>7617.0717000000004</v>
      </c>
      <c r="DB54" s="49">
        <f t="shared" si="107"/>
        <v>253.52956800000001</v>
      </c>
      <c r="DC54" s="49">
        <f t="shared" si="107"/>
        <v>341.56553600000007</v>
      </c>
      <c r="DD54" s="47">
        <f t="shared" si="107"/>
        <v>0.13896900000000001</v>
      </c>
      <c r="DE54" s="47">
        <f t="shared" si="88"/>
        <v>7.9763756504345237E-2</v>
      </c>
      <c r="DF54" s="48">
        <f t="shared" si="89"/>
        <v>253.60933175650436</v>
      </c>
      <c r="DG54" s="48">
        <f t="shared" si="90"/>
        <v>341.50633075650444</v>
      </c>
      <c r="DH54" s="93">
        <f t="shared" si="91"/>
        <v>253.552555198818</v>
      </c>
      <c r="DI54" s="93">
        <f t="shared" si="92"/>
        <v>341.44955419881808</v>
      </c>
      <c r="DK54" s="128">
        <v>1.2173</v>
      </c>
      <c r="DL54" s="130">
        <v>1.1943999999999999</v>
      </c>
      <c r="DM54" s="128">
        <v>0.62160000000000004</v>
      </c>
      <c r="DN54" s="128">
        <v>7762.4066999999995</v>
      </c>
      <c r="DO54" s="128">
        <v>2589.5083</v>
      </c>
      <c r="DP54" s="49">
        <f t="shared" si="108"/>
        <v>161.12182800000002</v>
      </c>
      <c r="DQ54" s="49">
        <f t="shared" si="108"/>
        <v>231.27167199999997</v>
      </c>
      <c r="DR54" s="47">
        <f t="shared" si="108"/>
        <v>0.11810400000000001</v>
      </c>
      <c r="DS54" s="47">
        <f t="shared" si="93"/>
        <v>6.960897555613943E-2</v>
      </c>
      <c r="DT54" s="48">
        <f t="shared" si="94"/>
        <v>161.19143697555617</v>
      </c>
      <c r="DU54" s="48">
        <f t="shared" si="95"/>
        <v>231.22317697555613</v>
      </c>
      <c r="DV54" s="93">
        <f t="shared" si="96"/>
        <v>161.14395444953001</v>
      </c>
      <c r="DW54" s="93">
        <f t="shared" si="97"/>
        <v>231.17569444952997</v>
      </c>
      <c r="EB54" s="52"/>
      <c r="EC54" s="52"/>
      <c r="ED54" s="52"/>
      <c r="EE54" s="55">
        <f t="shared" si="98"/>
        <v>149846.33159999998</v>
      </c>
      <c r="EF54" s="55">
        <f t="shared" si="98"/>
        <v>38462.975099999996</v>
      </c>
      <c r="EG54" s="55">
        <f t="shared" si="98"/>
        <v>1997.9985004</v>
      </c>
      <c r="EH54" s="55">
        <f t="shared" si="98"/>
        <v>2951.5582048000001</v>
      </c>
      <c r="EI54" s="298">
        <f t="shared" si="109"/>
        <v>0.7957457558840878</v>
      </c>
      <c r="EJ54" s="52"/>
      <c r="EK54" s="55">
        <f t="shared" si="99"/>
        <v>2030.7313574826483</v>
      </c>
      <c r="EL54" s="55">
        <f t="shared" si="99"/>
        <v>2898.2793156826478</v>
      </c>
      <c r="EM54" s="55">
        <f t="shared" si="39"/>
        <v>2031.7364165983427</v>
      </c>
      <c r="EN54" s="55">
        <f t="shared" si="39"/>
        <v>2899.2843747983425</v>
      </c>
      <c r="EP54" s="52"/>
      <c r="EQ54" s="52"/>
      <c r="ER54" s="52"/>
      <c r="ES54" s="55">
        <f t="shared" si="110"/>
        <v>115040.4366</v>
      </c>
      <c r="ET54" s="55">
        <f t="shared" si="110"/>
        <v>31457.0717</v>
      </c>
      <c r="EU54" s="55">
        <f t="shared" si="110"/>
        <v>1538.2954465999999</v>
      </c>
      <c r="EV54" s="55">
        <f t="shared" si="110"/>
        <v>2243.5349641999996</v>
      </c>
      <c r="EW54" s="298">
        <f t="shared" si="111"/>
        <v>0.78527230896254097</v>
      </c>
      <c r="EX54" s="52"/>
      <c r="EY54" s="55">
        <f t="shared" si="112"/>
        <v>1586.90245719834</v>
      </c>
      <c r="EZ54" s="55">
        <f t="shared" si="112"/>
        <v>2210.2810884983396</v>
      </c>
      <c r="FA54" s="55">
        <f t="shared" si="112"/>
        <v>1574.34348047195</v>
      </c>
      <c r="FB54" s="55">
        <f t="shared" si="112"/>
        <v>2197.72211177195</v>
      </c>
      <c r="FD54" s="52"/>
      <c r="FE54" s="52"/>
      <c r="FF54" s="52"/>
      <c r="FG54" s="55">
        <f t="shared" si="113"/>
        <v>89670.179199999984</v>
      </c>
      <c r="FH54" s="55">
        <f t="shared" si="113"/>
        <v>25508.268300000003</v>
      </c>
      <c r="FI54" s="55">
        <f t="shared" si="113"/>
        <v>1224.1294728</v>
      </c>
      <c r="FJ54" s="55">
        <f t="shared" si="113"/>
        <v>1867.1285711999999</v>
      </c>
      <c r="FK54" s="298">
        <f t="shared" si="114"/>
        <v>0.7785326260800659</v>
      </c>
      <c r="FL54" s="52"/>
      <c r="FM54" s="55">
        <f t="shared" si="115"/>
        <v>1255.2622005405665</v>
      </c>
      <c r="FN54" s="55">
        <f t="shared" si="115"/>
        <v>1846.7831995405663</v>
      </c>
      <c r="FO54" s="55">
        <f t="shared" si="115"/>
        <v>1248.0131879785597</v>
      </c>
      <c r="FP54" s="55">
        <f t="shared" si="115"/>
        <v>1839.53418697856</v>
      </c>
      <c r="FR54" s="52"/>
      <c r="FS54" s="52"/>
      <c r="FT54" s="52"/>
      <c r="FU54" s="55">
        <f t="shared" si="116"/>
        <v>94233.537500000006</v>
      </c>
      <c r="FV54" s="55">
        <f t="shared" si="116"/>
        <v>25070.420900000001</v>
      </c>
      <c r="FW54" s="55">
        <f t="shared" si="116"/>
        <v>422.49099839999997</v>
      </c>
      <c r="FX54" s="55">
        <f t="shared" si="116"/>
        <v>553.58087680000017</v>
      </c>
      <c r="FY54" s="298">
        <f t="shared" si="117"/>
        <v>0.7898609464746813</v>
      </c>
      <c r="FZ54" s="52"/>
      <c r="GA54" s="55">
        <f t="shared" si="118"/>
        <v>422.61662403019005</v>
      </c>
      <c r="GB54" s="55">
        <f t="shared" si="118"/>
        <v>553.48507423019021</v>
      </c>
      <c r="GC54" s="55">
        <f t="shared" si="118"/>
        <v>422.54253710581378</v>
      </c>
      <c r="GD54" s="55">
        <f t="shared" si="118"/>
        <v>553.41098730581393</v>
      </c>
      <c r="GF54" s="52"/>
      <c r="GG54" s="52"/>
      <c r="GH54" s="52"/>
      <c r="GI54" s="55">
        <f t="shared" si="119"/>
        <v>47133.131599999993</v>
      </c>
      <c r="GJ54" s="55">
        <f t="shared" si="119"/>
        <v>12877.013299999999</v>
      </c>
      <c r="GK54" s="56">
        <f t="shared" si="120"/>
        <v>104.62926599999997</v>
      </c>
      <c r="GL54" s="56">
        <f t="shared" si="120"/>
        <v>153.50131499999998</v>
      </c>
      <c r="GM54" s="298">
        <f t="shared" si="121"/>
        <v>0.78541939331327959</v>
      </c>
      <c r="GN54" s="52"/>
      <c r="GO54" s="56">
        <f t="shared" si="122"/>
        <v>115.42722449080735</v>
      </c>
      <c r="GP54" s="56">
        <f t="shared" si="122"/>
        <v>145.58472149080725</v>
      </c>
      <c r="GQ54" s="56">
        <f t="shared" si="122"/>
        <v>109.59649954310379</v>
      </c>
      <c r="GR54" s="56">
        <f t="shared" si="122"/>
        <v>139.75399654310377</v>
      </c>
    </row>
    <row r="55" spans="1:200" x14ac:dyDescent="0.2">
      <c r="A55" s="118">
        <v>45</v>
      </c>
      <c r="C55" s="128">
        <v>1.1722999999999999</v>
      </c>
      <c r="D55" s="128">
        <v>0.96789999999999998</v>
      </c>
      <c r="E55" s="128">
        <v>0.12720000000000001</v>
      </c>
      <c r="F55" s="128">
        <v>28362.712500000001</v>
      </c>
      <c r="G55" s="128">
        <v>6304.8783000000003</v>
      </c>
      <c r="H55" s="49">
        <f t="shared" si="100"/>
        <v>1173.9646659999999</v>
      </c>
      <c r="I55" s="49">
        <f t="shared" si="100"/>
        <v>1836.6870399999998</v>
      </c>
      <c r="J55" s="47">
        <f t="shared" si="100"/>
        <v>23.142768</v>
      </c>
      <c r="K55" s="47">
        <f t="shared" si="53"/>
        <v>4.2088974860385848</v>
      </c>
      <c r="L55" s="48">
        <f t="shared" si="54"/>
        <v>1178.1735634860383</v>
      </c>
      <c r="M55" s="48">
        <f t="shared" si="55"/>
        <v>1817.7531694860384</v>
      </c>
      <c r="N55" s="93">
        <f t="shared" si="56"/>
        <v>1188.993213150826</v>
      </c>
      <c r="O55" s="93">
        <f t="shared" si="57"/>
        <v>1828.572819150826</v>
      </c>
      <c r="Q55" s="128">
        <v>1.2236</v>
      </c>
      <c r="R55" s="130">
        <v>1.0299</v>
      </c>
      <c r="S55" s="128">
        <v>0.1118</v>
      </c>
      <c r="T55" s="128">
        <v>6140.5108</v>
      </c>
      <c r="U55" s="128">
        <v>2396.3733000000002</v>
      </c>
      <c r="V55" s="49">
        <f t="shared" si="101"/>
        <v>778.711276</v>
      </c>
      <c r="W55" s="49">
        <f t="shared" si="101"/>
        <v>1227.1155510000001</v>
      </c>
      <c r="X55" s="47">
        <f t="shared" si="101"/>
        <v>24.760345999999998</v>
      </c>
      <c r="Y55" s="47">
        <f t="shared" si="58"/>
        <v>15.147771091577212</v>
      </c>
      <c r="Z55" s="48">
        <f t="shared" si="59"/>
        <v>793.85904709157717</v>
      </c>
      <c r="AA55" s="48">
        <f t="shared" si="60"/>
        <v>1217.5029760915772</v>
      </c>
      <c r="AB55" s="93">
        <f t="shared" si="61"/>
        <v>796.01014347958505</v>
      </c>
      <c r="AC55" s="93">
        <f t="shared" si="62"/>
        <v>1219.654072479585</v>
      </c>
      <c r="AE55" s="128">
        <v>1.3529</v>
      </c>
      <c r="AF55" s="130">
        <v>1.0572999999999999</v>
      </c>
      <c r="AG55" s="128">
        <v>9.0899999999999995E-2</v>
      </c>
      <c r="AH55" s="128">
        <v>742.87829999999997</v>
      </c>
      <c r="AI55" s="128">
        <v>279.92919999999998</v>
      </c>
      <c r="AJ55" s="49">
        <f t="shared" si="102"/>
        <v>622.44223199999999</v>
      </c>
      <c r="AK55" s="49">
        <f t="shared" si="102"/>
        <v>1110.936829</v>
      </c>
      <c r="AL55" s="47">
        <f t="shared" si="102"/>
        <v>14.997591</v>
      </c>
      <c r="AM55" s="47">
        <f t="shared" si="63"/>
        <v>9.6120788366780321</v>
      </c>
      <c r="AN55" s="48">
        <f t="shared" si="64"/>
        <v>632.05431083667804</v>
      </c>
      <c r="AO55" s="48">
        <f t="shared" si="65"/>
        <v>1105.5513168366779</v>
      </c>
      <c r="AP55" s="93">
        <f t="shared" si="66"/>
        <v>634.24467007785154</v>
      </c>
      <c r="AQ55" s="93">
        <f t="shared" si="67"/>
        <v>1107.7416760778515</v>
      </c>
      <c r="AS55" s="128">
        <v>1.3294999999999999</v>
      </c>
      <c r="AT55" s="130">
        <v>0.79720000000000002</v>
      </c>
      <c r="AU55" s="128">
        <v>9.1200000000000003E-2</v>
      </c>
      <c r="AV55" s="128">
        <v>32523.695800000001</v>
      </c>
      <c r="AW55" s="128">
        <v>8661.3266999999996</v>
      </c>
      <c r="AX55" s="49">
        <f t="shared" si="103"/>
        <v>466.17587999999995</v>
      </c>
      <c r="AY55" s="49">
        <f t="shared" si="103"/>
        <v>562.01005600000008</v>
      </c>
      <c r="AZ55" s="47">
        <f t="shared" si="103"/>
        <v>23.062656</v>
      </c>
      <c r="BA55" s="47">
        <f t="shared" si="68"/>
        <v>12.606129043637043</v>
      </c>
      <c r="BB55" s="48">
        <f t="shared" si="69"/>
        <v>478.782009043637</v>
      </c>
      <c r="BC55" s="48">
        <f t="shared" si="70"/>
        <v>551.55352904363713</v>
      </c>
      <c r="BD55" s="93">
        <f t="shared" si="71"/>
        <v>484.83371034170261</v>
      </c>
      <c r="BE55" s="93">
        <f t="shared" si="72"/>
        <v>557.60523034170285</v>
      </c>
      <c r="BG55" s="128">
        <v>1.2522</v>
      </c>
      <c r="BH55" s="130">
        <v>0.84530000000000005</v>
      </c>
      <c r="BI55" s="128">
        <v>9.5200000000000007E-2</v>
      </c>
      <c r="BJ55" s="128">
        <v>17020.150000000001</v>
      </c>
      <c r="BK55" s="128">
        <v>4875.9467000000004</v>
      </c>
      <c r="BL55" s="49">
        <f t="shared" si="104"/>
        <v>411.247524</v>
      </c>
      <c r="BM55" s="49">
        <f t="shared" si="104"/>
        <v>511.13600400000001</v>
      </c>
      <c r="BN55" s="47">
        <f t="shared" si="104"/>
        <v>20.233808</v>
      </c>
      <c r="BO55" s="47">
        <f t="shared" si="73"/>
        <v>11.212502666052849</v>
      </c>
      <c r="BP55" s="48">
        <f t="shared" si="74"/>
        <v>422.46002666605284</v>
      </c>
      <c r="BQ55" s="48">
        <f t="shared" si="75"/>
        <v>502.11469866605285</v>
      </c>
      <c r="BR55" s="93">
        <f t="shared" si="76"/>
        <v>429.94745040643301</v>
      </c>
      <c r="BS55" s="93">
        <f t="shared" si="77"/>
        <v>509.60212240643301</v>
      </c>
      <c r="BU55" s="128">
        <v>1.2992999999999999</v>
      </c>
      <c r="BV55" s="130">
        <v>0.90500000000000003</v>
      </c>
      <c r="BW55" s="128">
        <v>0.10299999999999999</v>
      </c>
      <c r="BX55" s="128">
        <v>19129.513299999999</v>
      </c>
      <c r="BY55" s="128">
        <v>5695.9732999999997</v>
      </c>
      <c r="BZ55" s="49">
        <f t="shared" si="105"/>
        <v>315.21017999999998</v>
      </c>
      <c r="CA55" s="49">
        <f t="shared" si="105"/>
        <v>365.72860000000003</v>
      </c>
      <c r="CB55" s="47">
        <f t="shared" si="105"/>
        <v>10.71097</v>
      </c>
      <c r="CC55" s="47">
        <f t="shared" si="78"/>
        <v>5.7528050652982357</v>
      </c>
      <c r="CD55" s="48">
        <f t="shared" si="79"/>
        <v>320.9629850652982</v>
      </c>
      <c r="CE55" s="48">
        <f t="shared" si="80"/>
        <v>360.77043506529827</v>
      </c>
      <c r="CF55" s="93">
        <f t="shared" si="81"/>
        <v>327.24503228423089</v>
      </c>
      <c r="CG55" s="93">
        <f t="shared" si="82"/>
        <v>367.05248228423096</v>
      </c>
      <c r="CI55" s="128">
        <v>1.0465</v>
      </c>
      <c r="CJ55" s="130">
        <v>1.0236000000000001</v>
      </c>
      <c r="CK55" s="128">
        <v>0.18790000000000001</v>
      </c>
      <c r="CL55" s="128">
        <v>69634.079199999993</v>
      </c>
      <c r="CM55" s="128">
        <v>19561.595799999999</v>
      </c>
      <c r="CN55" s="49">
        <f t="shared" si="106"/>
        <v>222.15101999999999</v>
      </c>
      <c r="CO55" s="49">
        <f t="shared" si="106"/>
        <v>281.98132800000002</v>
      </c>
      <c r="CP55" s="47">
        <f t="shared" si="106"/>
        <v>7.3281000000000013E-2</v>
      </c>
      <c r="CQ55" s="47">
        <f t="shared" si="83"/>
        <v>4.0988985886634681E-2</v>
      </c>
      <c r="CR55" s="48">
        <f t="shared" si="84"/>
        <v>222.19200898588662</v>
      </c>
      <c r="CS55" s="48">
        <f t="shared" si="85"/>
        <v>281.94903598588667</v>
      </c>
      <c r="CT55" s="93">
        <f t="shared" si="86"/>
        <v>222.18416894675937</v>
      </c>
      <c r="CU55" s="93">
        <f t="shared" si="87"/>
        <v>281.94119594675936</v>
      </c>
      <c r="CW55" s="128">
        <v>1.2323</v>
      </c>
      <c r="CX55" s="130">
        <v>1.1841999999999999</v>
      </c>
      <c r="CY55" s="128">
        <v>0.42309999999999998</v>
      </c>
      <c r="CZ55" s="128">
        <v>34256.300000000003</v>
      </c>
      <c r="DA55" s="128">
        <v>8606.2342000000008</v>
      </c>
      <c r="DB55" s="49">
        <f t="shared" si="107"/>
        <v>264.58713299999999</v>
      </c>
      <c r="DC55" s="49">
        <f t="shared" si="107"/>
        <v>355.307368</v>
      </c>
      <c r="DD55" s="47">
        <f t="shared" si="107"/>
        <v>0.11423700000000001</v>
      </c>
      <c r="DE55" s="47">
        <f t="shared" si="88"/>
        <v>6.5477670366067664E-2</v>
      </c>
      <c r="DF55" s="48">
        <f t="shared" si="89"/>
        <v>264.65261067036607</v>
      </c>
      <c r="DG55" s="48">
        <f t="shared" si="90"/>
        <v>355.25860867036607</v>
      </c>
      <c r="DH55" s="93">
        <f t="shared" si="91"/>
        <v>264.61012019881798</v>
      </c>
      <c r="DI55" s="93">
        <f t="shared" si="92"/>
        <v>355.21611819881798</v>
      </c>
      <c r="DK55" s="128">
        <v>1.2753000000000001</v>
      </c>
      <c r="DL55" s="130">
        <v>1.2414000000000001</v>
      </c>
      <c r="DM55" s="128">
        <v>0.52180000000000004</v>
      </c>
      <c r="DN55" s="128">
        <v>8256.3183000000008</v>
      </c>
      <c r="DO55" s="128">
        <v>2929.7557999999999</v>
      </c>
      <c r="DP55" s="49">
        <f t="shared" si="108"/>
        <v>168.79870800000003</v>
      </c>
      <c r="DQ55" s="49">
        <f t="shared" si="108"/>
        <v>240.37228200000001</v>
      </c>
      <c r="DR55" s="47">
        <f t="shared" si="108"/>
        <v>9.9142000000000008E-2</v>
      </c>
      <c r="DS55" s="47">
        <f t="shared" si="93"/>
        <v>5.8242127043376161E-2</v>
      </c>
      <c r="DT55" s="48">
        <f t="shared" si="94"/>
        <v>168.8569501270434</v>
      </c>
      <c r="DU55" s="48">
        <f t="shared" si="95"/>
        <v>240.33138212704338</v>
      </c>
      <c r="DV55" s="93">
        <f t="shared" si="96"/>
        <v>168.82083444953003</v>
      </c>
      <c r="DW55" s="93">
        <f t="shared" si="97"/>
        <v>240.29526644953</v>
      </c>
      <c r="EB55" s="52"/>
      <c r="EC55" s="52"/>
      <c r="ED55" s="52"/>
      <c r="EE55" s="55">
        <f t="shared" si="98"/>
        <v>164776.78749999998</v>
      </c>
      <c r="EF55" s="55">
        <f t="shared" si="98"/>
        <v>43134.034999999996</v>
      </c>
      <c r="EG55" s="55">
        <f t="shared" si="98"/>
        <v>2073.9612723999999</v>
      </c>
      <c r="EH55" s="55">
        <f t="shared" si="98"/>
        <v>2964.9243183999997</v>
      </c>
      <c r="EI55" s="298">
        <f t="shared" si="109"/>
        <v>0.79253588398458663</v>
      </c>
      <c r="EJ55" s="52"/>
      <c r="EK55" s="55">
        <f t="shared" si="99"/>
        <v>2090.8696700518549</v>
      </c>
      <c r="EL55" s="55">
        <f t="shared" si="99"/>
        <v>2935.4626214518548</v>
      </c>
      <c r="EM55" s="55">
        <f t="shared" si="39"/>
        <v>2107.6991885983425</v>
      </c>
      <c r="EN55" s="55">
        <f t="shared" si="39"/>
        <v>2952.2921399983425</v>
      </c>
      <c r="EP55" s="52"/>
      <c r="EQ55" s="52"/>
      <c r="ER55" s="52"/>
      <c r="ES55" s="55">
        <f t="shared" si="110"/>
        <v>127051.04</v>
      </c>
      <c r="ET55" s="55">
        <f t="shared" si="110"/>
        <v>35440.15</v>
      </c>
      <c r="EU55" s="55">
        <f t="shared" si="110"/>
        <v>1597.3208130999999</v>
      </c>
      <c r="EV55" s="55">
        <f t="shared" si="110"/>
        <v>2268.9480406000002</v>
      </c>
      <c r="EW55" s="298">
        <f t="shared" si="111"/>
        <v>0.78189494458130304</v>
      </c>
      <c r="EX55" s="52"/>
      <c r="EY55" s="55">
        <f t="shared" si="112"/>
        <v>1623.7679102127729</v>
      </c>
      <c r="EZ55" s="55">
        <f t="shared" si="112"/>
        <v>2250.2477368127729</v>
      </c>
      <c r="FA55" s="55">
        <f t="shared" si="112"/>
        <v>1633.36884697195</v>
      </c>
      <c r="FB55" s="55">
        <f t="shared" si="112"/>
        <v>2259.8486735719498</v>
      </c>
      <c r="FD55" s="52"/>
      <c r="FE55" s="52"/>
      <c r="FF55" s="52"/>
      <c r="FG55" s="55">
        <f t="shared" si="113"/>
        <v>97762.789099999995</v>
      </c>
      <c r="FH55" s="55">
        <f t="shared" si="113"/>
        <v>28467.254099999998</v>
      </c>
      <c r="FI55" s="55">
        <f t="shared" si="113"/>
        <v>1261.0826568</v>
      </c>
      <c r="FJ55" s="55">
        <f t="shared" si="113"/>
        <v>1902.8701262000002</v>
      </c>
      <c r="FK55" s="298">
        <f t="shared" si="114"/>
        <v>0.77448115061724077</v>
      </c>
      <c r="FL55" s="52"/>
      <c r="FM55" s="55">
        <f t="shared" si="115"/>
        <v>1276.5234749640888</v>
      </c>
      <c r="FN55" s="55">
        <f t="shared" si="115"/>
        <v>1892.4696171640887</v>
      </c>
      <c r="FO55" s="55">
        <f t="shared" si="115"/>
        <v>1284.9663719785599</v>
      </c>
      <c r="FP55" s="55">
        <f t="shared" si="115"/>
        <v>1900.9125141785598</v>
      </c>
      <c r="FR55" s="52"/>
      <c r="FS55" s="52"/>
      <c r="FT55" s="52"/>
      <c r="FU55" s="55">
        <f t="shared" si="116"/>
        <v>103890.3792</v>
      </c>
      <c r="FV55" s="55">
        <f t="shared" si="116"/>
        <v>28167.83</v>
      </c>
      <c r="FW55" s="55">
        <f t="shared" si="116"/>
        <v>433.82072640000001</v>
      </c>
      <c r="FX55" s="55">
        <f t="shared" si="116"/>
        <v>566.22722240000007</v>
      </c>
      <c r="FY55" s="298">
        <f t="shared" si="117"/>
        <v>0.78670140863912308</v>
      </c>
      <c r="FZ55" s="52"/>
      <c r="GA55" s="55">
        <f t="shared" si="118"/>
        <v>433.91409752217947</v>
      </c>
      <c r="GB55" s="55">
        <f t="shared" si="118"/>
        <v>566.15592292217957</v>
      </c>
      <c r="GC55" s="55">
        <f t="shared" si="118"/>
        <v>433.87226510581377</v>
      </c>
      <c r="GD55" s="55">
        <f t="shared" si="118"/>
        <v>566.11409050581369</v>
      </c>
      <c r="GF55" s="52"/>
      <c r="GG55" s="52"/>
      <c r="GH55" s="52"/>
      <c r="GI55" s="55">
        <f t="shared" si="119"/>
        <v>51653.2091</v>
      </c>
      <c r="GJ55" s="55">
        <f t="shared" si="119"/>
        <v>14357.3</v>
      </c>
      <c r="GK55" s="56">
        <f t="shared" si="120"/>
        <v>113.22427499999998</v>
      </c>
      <c r="GL55" s="56">
        <f t="shared" si="120"/>
        <v>147.21109200000004</v>
      </c>
      <c r="GM55" s="298">
        <f t="shared" si="121"/>
        <v>0.78249978381093876</v>
      </c>
      <c r="GN55" s="52"/>
      <c r="GO55" s="56">
        <f t="shared" si="122"/>
        <v>118.3642679837541</v>
      </c>
      <c r="GP55" s="56">
        <f t="shared" si="122"/>
        <v>143.08732048375413</v>
      </c>
      <c r="GQ55" s="56">
        <f t="shared" si="122"/>
        <v>118.19150854310379</v>
      </c>
      <c r="GR55" s="56">
        <f t="shared" si="122"/>
        <v>142.9145610431039</v>
      </c>
    </row>
    <row r="56" spans="1:200" x14ac:dyDescent="0.2">
      <c r="A56" s="118">
        <v>46</v>
      </c>
      <c r="C56" s="128">
        <v>1.212</v>
      </c>
      <c r="D56" s="128">
        <v>0.97919999999999996</v>
      </c>
      <c r="E56" s="128">
        <v>6.5799999999999997E-2</v>
      </c>
      <c r="F56" s="128">
        <v>29399.793300000001</v>
      </c>
      <c r="G56" s="128">
        <v>6527.6541999999999</v>
      </c>
      <c r="H56" s="49">
        <f t="shared" si="100"/>
        <v>1213.7210399999999</v>
      </c>
      <c r="I56" s="49">
        <f t="shared" si="100"/>
        <v>1858.1299199999999</v>
      </c>
      <c r="J56" s="47">
        <f t="shared" si="100"/>
        <v>11.971651999999999</v>
      </c>
      <c r="K56" s="47">
        <f t="shared" si="53"/>
        <v>2.1751282068880173</v>
      </c>
      <c r="L56" s="48">
        <f t="shared" si="54"/>
        <v>1215.896168206888</v>
      </c>
      <c r="M56" s="48">
        <f t="shared" si="55"/>
        <v>1848.333396206888</v>
      </c>
      <c r="N56" s="93">
        <f t="shared" si="56"/>
        <v>1228.7495871508261</v>
      </c>
      <c r="O56" s="93">
        <f t="shared" si="57"/>
        <v>1861.1868151508261</v>
      </c>
      <c r="Q56" s="128">
        <v>1.274</v>
      </c>
      <c r="R56" s="130">
        <v>1.0563</v>
      </c>
      <c r="S56" s="128">
        <v>6.8400000000000002E-2</v>
      </c>
      <c r="T56" s="128">
        <v>6657.3316999999997</v>
      </c>
      <c r="U56" s="128">
        <v>2496.09</v>
      </c>
      <c r="V56" s="49">
        <f t="shared" si="101"/>
        <v>810.78634</v>
      </c>
      <c r="W56" s="49">
        <f t="shared" si="101"/>
        <v>1258.5708870000001</v>
      </c>
      <c r="X56" s="47">
        <f t="shared" si="101"/>
        <v>15.148548</v>
      </c>
      <c r="Y56" s="47">
        <f t="shared" si="58"/>
        <v>9.2132577422419466</v>
      </c>
      <c r="Z56" s="48">
        <f t="shared" si="59"/>
        <v>819.99959774224192</v>
      </c>
      <c r="AA56" s="48">
        <f t="shared" si="60"/>
        <v>1252.6355967422421</v>
      </c>
      <c r="AB56" s="93">
        <f t="shared" si="61"/>
        <v>828.08520747958505</v>
      </c>
      <c r="AC56" s="93">
        <f t="shared" si="62"/>
        <v>1260.7212064795851</v>
      </c>
      <c r="AE56" s="128">
        <v>1.3661000000000001</v>
      </c>
      <c r="AF56" s="130">
        <v>1.0881000000000001</v>
      </c>
      <c r="AG56" s="128">
        <v>3.0200000000000001E-2</v>
      </c>
      <c r="AH56" s="128">
        <v>847.39419999999996</v>
      </c>
      <c r="AI56" s="128">
        <v>314.29079999999999</v>
      </c>
      <c r="AJ56" s="49">
        <f t="shared" si="102"/>
        <v>628.51528800000006</v>
      </c>
      <c r="AK56" s="49">
        <f t="shared" si="102"/>
        <v>1143.299313</v>
      </c>
      <c r="AL56" s="47">
        <f t="shared" si="102"/>
        <v>4.9826980000000001</v>
      </c>
      <c r="AM56" s="47">
        <f t="shared" si="63"/>
        <v>3.2151869597819585</v>
      </c>
      <c r="AN56" s="48">
        <f t="shared" si="64"/>
        <v>631.73047495978199</v>
      </c>
      <c r="AO56" s="48">
        <f t="shared" si="65"/>
        <v>1141.5318019597819</v>
      </c>
      <c r="AP56" s="93">
        <f t="shared" si="66"/>
        <v>640.3177260778516</v>
      </c>
      <c r="AQ56" s="93">
        <f t="shared" si="67"/>
        <v>1150.1190530778515</v>
      </c>
      <c r="AS56" s="128">
        <v>1.4137999999999999</v>
      </c>
      <c r="AT56" s="130">
        <v>0.80489999999999995</v>
      </c>
      <c r="AU56" s="128">
        <v>4.6300000000000001E-2</v>
      </c>
      <c r="AV56" s="128">
        <v>34384.909200000002</v>
      </c>
      <c r="AW56" s="128">
        <v>9285.1792000000005</v>
      </c>
      <c r="AX56" s="49">
        <f t="shared" si="103"/>
        <v>495.73483199999998</v>
      </c>
      <c r="AY56" s="49">
        <f t="shared" si="103"/>
        <v>567.438402</v>
      </c>
      <c r="AZ56" s="47">
        <f t="shared" si="103"/>
        <v>11.708344</v>
      </c>
      <c r="BA56" s="47">
        <f t="shared" si="68"/>
        <v>6.2489947987406618</v>
      </c>
      <c r="BB56" s="48">
        <f t="shared" si="69"/>
        <v>501.98382679874067</v>
      </c>
      <c r="BC56" s="48">
        <f t="shared" si="70"/>
        <v>561.97905279874067</v>
      </c>
      <c r="BD56" s="93">
        <f t="shared" si="71"/>
        <v>514.3926623417027</v>
      </c>
      <c r="BE56" s="93">
        <f t="shared" si="72"/>
        <v>574.38788834170271</v>
      </c>
      <c r="BG56" s="128">
        <v>1.3217000000000001</v>
      </c>
      <c r="BH56" s="130">
        <v>0.84670000000000001</v>
      </c>
      <c r="BI56" s="128">
        <v>4.07E-2</v>
      </c>
      <c r="BJ56" s="128">
        <v>18072.3233</v>
      </c>
      <c r="BK56" s="128">
        <v>5266.0407999999998</v>
      </c>
      <c r="BL56" s="49">
        <f t="shared" si="104"/>
        <v>434.07271400000008</v>
      </c>
      <c r="BM56" s="49">
        <f t="shared" si="104"/>
        <v>511.98255599999999</v>
      </c>
      <c r="BN56" s="47">
        <f t="shared" si="104"/>
        <v>8.6503779999999999</v>
      </c>
      <c r="BO56" s="47">
        <f t="shared" si="73"/>
        <v>4.6813783287800597</v>
      </c>
      <c r="BP56" s="48">
        <f t="shared" si="74"/>
        <v>438.75409232878013</v>
      </c>
      <c r="BQ56" s="48">
        <f t="shared" si="75"/>
        <v>508.01355632878006</v>
      </c>
      <c r="BR56" s="93">
        <f t="shared" si="76"/>
        <v>452.77264040643308</v>
      </c>
      <c r="BS56" s="93">
        <f t="shared" si="77"/>
        <v>522.03210440643306</v>
      </c>
      <c r="BU56" s="128">
        <v>1.3715999999999999</v>
      </c>
      <c r="BV56" s="130">
        <v>0.91959999999999997</v>
      </c>
      <c r="BW56" s="128">
        <v>5.11E-2</v>
      </c>
      <c r="BX56" s="128">
        <v>20448.363300000001</v>
      </c>
      <c r="BY56" s="128">
        <v>5994.2033000000001</v>
      </c>
      <c r="BZ56" s="49">
        <f t="shared" si="105"/>
        <v>332.75015999999999</v>
      </c>
      <c r="CA56" s="49">
        <f t="shared" si="105"/>
        <v>371.62875200000002</v>
      </c>
      <c r="CB56" s="47">
        <f t="shared" si="105"/>
        <v>5.3138889999999996</v>
      </c>
      <c r="CC56" s="47">
        <f t="shared" si="78"/>
        <v>2.8035960527684396</v>
      </c>
      <c r="CD56" s="48">
        <f t="shared" si="79"/>
        <v>335.55375605276845</v>
      </c>
      <c r="CE56" s="48">
        <f t="shared" si="80"/>
        <v>369.11845905276846</v>
      </c>
      <c r="CF56" s="93">
        <f t="shared" si="81"/>
        <v>344.7850122842309</v>
      </c>
      <c r="CG56" s="93">
        <f t="shared" si="82"/>
        <v>378.34971528423091</v>
      </c>
      <c r="CI56" s="128">
        <v>1.0579000000000001</v>
      </c>
      <c r="CJ56" s="130">
        <v>1.0304</v>
      </c>
      <c r="CK56" s="128">
        <v>0.1239</v>
      </c>
      <c r="CL56" s="128">
        <v>73988.574999999997</v>
      </c>
      <c r="CM56" s="128">
        <v>20870.87</v>
      </c>
      <c r="CN56" s="49">
        <f t="shared" si="106"/>
        <v>224.57101200000002</v>
      </c>
      <c r="CO56" s="49">
        <f t="shared" si="106"/>
        <v>283.85459200000003</v>
      </c>
      <c r="CP56" s="47">
        <f t="shared" si="106"/>
        <v>4.8321000000000003E-2</v>
      </c>
      <c r="CQ56" s="47">
        <f t="shared" si="83"/>
        <v>2.6977669165599301E-2</v>
      </c>
      <c r="CR56" s="48">
        <f t="shared" si="84"/>
        <v>224.59798966916563</v>
      </c>
      <c r="CS56" s="48">
        <f t="shared" si="85"/>
        <v>283.83324866916564</v>
      </c>
      <c r="CT56" s="93">
        <f t="shared" si="86"/>
        <v>224.60416094675941</v>
      </c>
      <c r="CU56" s="93">
        <f t="shared" si="87"/>
        <v>283.83941994675939</v>
      </c>
      <c r="CW56" s="128">
        <v>1.2847999999999999</v>
      </c>
      <c r="CX56" s="130">
        <v>1.2349000000000001</v>
      </c>
      <c r="CY56" s="128">
        <v>0.34310000000000002</v>
      </c>
      <c r="CZ56" s="128">
        <v>36321.088300000003</v>
      </c>
      <c r="DA56" s="128">
        <v>9239.3292000000001</v>
      </c>
      <c r="DB56" s="49">
        <f t="shared" si="107"/>
        <v>275.85940799999997</v>
      </c>
      <c r="DC56" s="49">
        <f t="shared" si="107"/>
        <v>370.51939600000009</v>
      </c>
      <c r="DD56" s="47">
        <f t="shared" si="107"/>
        <v>9.2637000000000011E-2</v>
      </c>
      <c r="DE56" s="47">
        <f t="shared" si="88"/>
        <v>5.3101687547372003E-2</v>
      </c>
      <c r="DF56" s="48">
        <f t="shared" si="89"/>
        <v>275.91250968754736</v>
      </c>
      <c r="DG56" s="48">
        <f t="shared" si="90"/>
        <v>370.47986068754744</v>
      </c>
      <c r="DH56" s="93">
        <f t="shared" si="91"/>
        <v>275.88239519881796</v>
      </c>
      <c r="DI56" s="93">
        <f t="shared" si="92"/>
        <v>370.44974619881805</v>
      </c>
      <c r="DK56" s="128">
        <v>1.3343</v>
      </c>
      <c r="DL56" s="130">
        <v>1.2895000000000001</v>
      </c>
      <c r="DM56" s="128">
        <v>0.42430000000000001</v>
      </c>
      <c r="DN56" s="128">
        <v>8741.9657999999999</v>
      </c>
      <c r="DO56" s="128">
        <v>2961.7941999999998</v>
      </c>
      <c r="DP56" s="49">
        <f t="shared" si="108"/>
        <v>176.60794800000002</v>
      </c>
      <c r="DQ56" s="49">
        <f t="shared" si="108"/>
        <v>249.68588500000001</v>
      </c>
      <c r="DR56" s="47">
        <f t="shared" si="108"/>
        <v>8.0617000000000008E-2</v>
      </c>
      <c r="DS56" s="47">
        <f t="shared" si="93"/>
        <v>4.7218433467333315E-2</v>
      </c>
      <c r="DT56" s="48">
        <f t="shared" si="94"/>
        <v>176.65516643346734</v>
      </c>
      <c r="DU56" s="48">
        <f t="shared" si="95"/>
        <v>249.65248643346735</v>
      </c>
      <c r="DV56" s="93">
        <f t="shared" si="96"/>
        <v>176.63007444953001</v>
      </c>
      <c r="DW56" s="93">
        <f t="shared" si="97"/>
        <v>249.62739444953002</v>
      </c>
      <c r="EB56" s="52"/>
      <c r="EC56" s="52"/>
      <c r="ED56" s="52"/>
      <c r="EE56" s="55">
        <f t="shared" si="98"/>
        <v>174094.3658</v>
      </c>
      <c r="EF56" s="55">
        <f t="shared" si="98"/>
        <v>45923.032599999999</v>
      </c>
      <c r="EG56" s="55">
        <f t="shared" si="98"/>
        <v>2154.7144103999999</v>
      </c>
      <c r="EH56" s="55">
        <f t="shared" si="98"/>
        <v>3005.8384308000004</v>
      </c>
      <c r="EI56" s="298">
        <f t="shared" si="109"/>
        <v>0.79127544942373063</v>
      </c>
      <c r="EJ56" s="52"/>
      <c r="EK56" s="55">
        <f t="shared" si="99"/>
        <v>2163.2079924248319</v>
      </c>
      <c r="EL56" s="55">
        <f t="shared" si="99"/>
        <v>2990.5295862248327</v>
      </c>
      <c r="EM56" s="55">
        <f t="shared" si="39"/>
        <v>2188.4523265983426</v>
      </c>
      <c r="EN56" s="55">
        <f t="shared" si="39"/>
        <v>3015.7739203983429</v>
      </c>
      <c r="EP56" s="52"/>
      <c r="EQ56" s="52"/>
      <c r="ER56" s="52"/>
      <c r="ES56" s="55">
        <f t="shared" si="110"/>
        <v>135039.31829999998</v>
      </c>
      <c r="ET56" s="55">
        <f t="shared" si="110"/>
        <v>37872.33</v>
      </c>
      <c r="EU56" s="55">
        <f t="shared" si="110"/>
        <v>1662.5316516</v>
      </c>
      <c r="EV56" s="55">
        <f t="shared" si="110"/>
        <v>2313.7716122000002</v>
      </c>
      <c r="EW56" s="298">
        <f t="shared" si="111"/>
        <v>0.78097293980858995</v>
      </c>
      <c r="EX56" s="52"/>
      <c r="EY56" s="55">
        <f t="shared" si="112"/>
        <v>1676.4904365214707</v>
      </c>
      <c r="EZ56" s="55">
        <f t="shared" si="112"/>
        <v>2303.818304221471</v>
      </c>
      <c r="FA56" s="55">
        <f t="shared" si="112"/>
        <v>1698.5796854719499</v>
      </c>
      <c r="FB56" s="55">
        <f t="shared" si="112"/>
        <v>2325.9075531719504</v>
      </c>
      <c r="FD56" s="52"/>
      <c r="FE56" s="52"/>
      <c r="FF56" s="52"/>
      <c r="FG56" s="55">
        <f t="shared" si="113"/>
        <v>104026.29829999999</v>
      </c>
      <c r="FH56" s="55">
        <f t="shared" si="113"/>
        <v>30141.158299999999</v>
      </c>
      <c r="FI56" s="55">
        <f t="shared" si="113"/>
        <v>1291.8012288000002</v>
      </c>
      <c r="FJ56" s="55">
        <f t="shared" si="113"/>
        <v>1948.5941880000003</v>
      </c>
      <c r="FK56" s="298">
        <f t="shared" si="114"/>
        <v>0.77534672666665128</v>
      </c>
      <c r="FL56" s="52"/>
      <c r="FM56" s="55">
        <f t="shared" si="115"/>
        <v>1297.8753205417966</v>
      </c>
      <c r="FN56" s="55">
        <f t="shared" si="115"/>
        <v>1944.2750015417964</v>
      </c>
      <c r="FO56" s="55">
        <f t="shared" si="115"/>
        <v>1315.6849439785599</v>
      </c>
      <c r="FP56" s="55">
        <f t="shared" si="115"/>
        <v>1962.0846249785595</v>
      </c>
      <c r="FR56" s="52"/>
      <c r="FS56" s="52"/>
      <c r="FT56" s="52"/>
      <c r="FU56" s="55">
        <f t="shared" si="116"/>
        <v>110309.6633</v>
      </c>
      <c r="FV56" s="55">
        <f t="shared" si="116"/>
        <v>30110.199199999999</v>
      </c>
      <c r="FW56" s="55">
        <f t="shared" si="116"/>
        <v>445.25853840000002</v>
      </c>
      <c r="FX56" s="55">
        <f t="shared" si="116"/>
        <v>580.27010880000012</v>
      </c>
      <c r="FY56" s="298">
        <f t="shared" si="117"/>
        <v>0.78557022728889236</v>
      </c>
      <c r="FZ56" s="52"/>
      <c r="GA56" s="55">
        <f t="shared" si="118"/>
        <v>445.32799741920348</v>
      </c>
      <c r="GB56" s="55">
        <f t="shared" si="118"/>
        <v>580.21713721920355</v>
      </c>
      <c r="GC56" s="55">
        <f t="shared" si="118"/>
        <v>445.31007710581378</v>
      </c>
      <c r="GD56" s="55">
        <f t="shared" si="118"/>
        <v>580.19921690581384</v>
      </c>
      <c r="GF56" s="52"/>
      <c r="GG56" s="52"/>
      <c r="GH56" s="52"/>
      <c r="GI56" s="55">
        <f t="shared" si="119"/>
        <v>54833.272500000006</v>
      </c>
      <c r="GJ56" s="55">
        <f t="shared" si="119"/>
        <v>15279.3825</v>
      </c>
      <c r="GK56" s="56">
        <f t="shared" si="120"/>
        <v>122.23850399999999</v>
      </c>
      <c r="GL56" s="56">
        <f t="shared" si="120"/>
        <v>146.8572375</v>
      </c>
      <c r="GM56" s="298">
        <f t="shared" si="121"/>
        <v>0.78207382818408466</v>
      </c>
      <c r="GN56" s="52"/>
      <c r="GO56" s="56">
        <f t="shared" si="122"/>
        <v>124.82255305947916</v>
      </c>
      <c r="GP56" s="56">
        <f t="shared" si="122"/>
        <v>144.64544530947916</v>
      </c>
      <c r="GQ56" s="56">
        <f t="shared" si="122"/>
        <v>127.20573754310385</v>
      </c>
      <c r="GR56" s="56">
        <f t="shared" si="122"/>
        <v>147.02862979310385</v>
      </c>
    </row>
    <row r="57" spans="1:200" x14ac:dyDescent="0.2">
      <c r="A57" s="118">
        <v>47</v>
      </c>
      <c r="C57" s="128">
        <v>1.2558</v>
      </c>
      <c r="D57" s="128">
        <v>0.998</v>
      </c>
      <c r="E57" s="128">
        <v>3.2599999999999997E-2</v>
      </c>
      <c r="F57" s="128">
        <v>29929.262500000001</v>
      </c>
      <c r="G57" s="128">
        <v>6820.4282999999996</v>
      </c>
      <c r="H57" s="49">
        <f t="shared" si="100"/>
        <v>1257.5832359999999</v>
      </c>
      <c r="I57" s="49">
        <f t="shared" si="100"/>
        <v>1893.8047999999999</v>
      </c>
      <c r="J57" s="47">
        <f t="shared" si="100"/>
        <v>5.9312439999999995</v>
      </c>
      <c r="K57" s="47">
        <f t="shared" si="53"/>
        <v>1.1007881577007772</v>
      </c>
      <c r="L57" s="48">
        <f t="shared" si="54"/>
        <v>1258.6840241577008</v>
      </c>
      <c r="M57" s="48">
        <f t="shared" si="55"/>
        <v>1888.9743441577007</v>
      </c>
      <c r="N57" s="93">
        <f t="shared" si="56"/>
        <v>1272.6117831508261</v>
      </c>
      <c r="O57" s="93">
        <f t="shared" si="57"/>
        <v>1902.902103150826</v>
      </c>
      <c r="Q57" s="128">
        <v>1.3310999999999999</v>
      </c>
      <c r="R57" s="130">
        <v>1.0919000000000001</v>
      </c>
      <c r="S57" s="128">
        <v>4.6699999999999998E-2</v>
      </c>
      <c r="T57" s="128">
        <v>7148.3407999999999</v>
      </c>
      <c r="U57" s="128">
        <v>2680.3292000000001</v>
      </c>
      <c r="V57" s="49">
        <f t="shared" si="101"/>
        <v>847.12535099999991</v>
      </c>
      <c r="W57" s="49">
        <f t="shared" si="101"/>
        <v>1300.9879310000001</v>
      </c>
      <c r="X57" s="47">
        <f t="shared" si="101"/>
        <v>10.342649</v>
      </c>
      <c r="Y57" s="47">
        <f t="shared" si="58"/>
        <v>6.2639441021664046</v>
      </c>
      <c r="Z57" s="48">
        <f t="shared" si="59"/>
        <v>853.38929510216633</v>
      </c>
      <c r="AA57" s="48">
        <f t="shared" si="60"/>
        <v>1296.9092261021665</v>
      </c>
      <c r="AB57" s="93">
        <f t="shared" si="61"/>
        <v>864.42421847958497</v>
      </c>
      <c r="AC57" s="93">
        <f t="shared" si="62"/>
        <v>1307.9441494795851</v>
      </c>
      <c r="AE57" s="128">
        <v>1.3853</v>
      </c>
      <c r="AF57" s="130">
        <v>1.1248</v>
      </c>
      <c r="AG57" s="128">
        <v>0</v>
      </c>
      <c r="AH57" s="128">
        <v>867.09580000000005</v>
      </c>
      <c r="AI57" s="128">
        <v>348.91500000000002</v>
      </c>
      <c r="AJ57" s="49">
        <f t="shared" si="102"/>
        <v>637.34882399999992</v>
      </c>
      <c r="AK57" s="49">
        <f t="shared" si="102"/>
        <v>1181.8611040000001</v>
      </c>
      <c r="AL57" s="47">
        <f t="shared" si="102"/>
        <v>0</v>
      </c>
      <c r="AM57" s="47">
        <f t="shared" si="63"/>
        <v>0</v>
      </c>
      <c r="AN57" s="48">
        <f t="shared" si="64"/>
        <v>637.34882399999992</v>
      </c>
      <c r="AO57" s="48">
        <f t="shared" si="65"/>
        <v>1181.8611040000001</v>
      </c>
      <c r="AP57" s="93">
        <f t="shared" si="66"/>
        <v>649.15126207785147</v>
      </c>
      <c r="AQ57" s="93">
        <f t="shared" si="67"/>
        <v>1193.6635420778516</v>
      </c>
      <c r="AS57" s="128">
        <v>1.5044</v>
      </c>
      <c r="AT57" s="130">
        <v>0.82540000000000002</v>
      </c>
      <c r="AU57" s="128">
        <v>2.87E-2</v>
      </c>
      <c r="AV57" s="128">
        <v>35415.835800000001</v>
      </c>
      <c r="AW57" s="128">
        <v>9593.0316999999995</v>
      </c>
      <c r="AX57" s="49">
        <f t="shared" si="103"/>
        <v>527.50281599999994</v>
      </c>
      <c r="AY57" s="49">
        <f t="shared" si="103"/>
        <v>581.89049199999999</v>
      </c>
      <c r="AZ57" s="47">
        <f t="shared" si="103"/>
        <v>7.2576559999999999</v>
      </c>
      <c r="BA57" s="47">
        <f t="shared" si="68"/>
        <v>3.8067302102445635</v>
      </c>
      <c r="BB57" s="48">
        <f t="shared" si="69"/>
        <v>531.30954621024455</v>
      </c>
      <c r="BC57" s="48">
        <f t="shared" si="70"/>
        <v>578.43956621024461</v>
      </c>
      <c r="BD57" s="93">
        <f t="shared" si="71"/>
        <v>546.16064634170266</v>
      </c>
      <c r="BE57" s="93">
        <f t="shared" si="72"/>
        <v>593.29066634170272</v>
      </c>
      <c r="BG57" s="128">
        <v>1.3996</v>
      </c>
      <c r="BH57" s="130">
        <v>0.86080000000000001</v>
      </c>
      <c r="BI57" s="128">
        <v>1.2999999999999999E-2</v>
      </c>
      <c r="BJ57" s="128">
        <v>18592.601699999999</v>
      </c>
      <c r="BK57" s="128">
        <v>5365.2950000000001</v>
      </c>
      <c r="BL57" s="49">
        <f t="shared" si="104"/>
        <v>459.656632</v>
      </c>
      <c r="BM57" s="49">
        <f t="shared" si="104"/>
        <v>520.50854399999992</v>
      </c>
      <c r="BN57" s="47">
        <f t="shared" si="104"/>
        <v>2.7630199999999996</v>
      </c>
      <c r="BO57" s="47">
        <f t="shared" si="73"/>
        <v>1.4672787326642174</v>
      </c>
      <c r="BP57" s="48">
        <f t="shared" si="74"/>
        <v>461.12391073266423</v>
      </c>
      <c r="BQ57" s="48">
        <f t="shared" si="75"/>
        <v>519.21280273266416</v>
      </c>
      <c r="BR57" s="93">
        <f t="shared" si="76"/>
        <v>478.35655840643301</v>
      </c>
      <c r="BS57" s="93">
        <f t="shared" si="77"/>
        <v>536.445450406433</v>
      </c>
      <c r="BU57" s="128">
        <v>1.4477</v>
      </c>
      <c r="BV57" s="130">
        <v>0.94040000000000001</v>
      </c>
      <c r="BW57" s="128">
        <v>1.9599999999999999E-2</v>
      </c>
      <c r="BX57" s="128">
        <v>20937.3308</v>
      </c>
      <c r="BY57" s="128">
        <v>6200.8366999999998</v>
      </c>
      <c r="BZ57" s="49">
        <f t="shared" si="105"/>
        <v>351.21202</v>
      </c>
      <c r="CA57" s="49">
        <f t="shared" si="105"/>
        <v>380.034448</v>
      </c>
      <c r="CB57" s="47">
        <f t="shared" si="105"/>
        <v>2.0382039999999999</v>
      </c>
      <c r="CC57" s="47">
        <f t="shared" si="78"/>
        <v>1.0592703909667185</v>
      </c>
      <c r="CD57" s="48">
        <f t="shared" si="79"/>
        <v>352.27129039096673</v>
      </c>
      <c r="CE57" s="48">
        <f t="shared" si="80"/>
        <v>379.05551439096672</v>
      </c>
      <c r="CF57" s="93">
        <f t="shared" si="81"/>
        <v>363.2468722842309</v>
      </c>
      <c r="CG57" s="93">
        <f t="shared" si="82"/>
        <v>390.0310962842309</v>
      </c>
      <c r="CI57" s="128">
        <v>1.0689</v>
      </c>
      <c r="CJ57" s="130">
        <v>1.0376000000000001</v>
      </c>
      <c r="CK57" s="128">
        <v>8.5900000000000004E-2</v>
      </c>
      <c r="CL57" s="128">
        <v>76060.974199999997</v>
      </c>
      <c r="CM57" s="128">
        <v>21491.6633</v>
      </c>
      <c r="CN57" s="49">
        <f t="shared" si="106"/>
        <v>226.906092</v>
      </c>
      <c r="CO57" s="49">
        <f t="shared" si="106"/>
        <v>285.83804800000001</v>
      </c>
      <c r="CP57" s="47">
        <f t="shared" si="106"/>
        <v>3.3501000000000003E-2</v>
      </c>
      <c r="CQ57" s="47">
        <f t="shared" si="83"/>
        <v>1.8675709187135712E-2</v>
      </c>
      <c r="CR57" s="48">
        <f t="shared" si="84"/>
        <v>226.92476770918714</v>
      </c>
      <c r="CS57" s="48">
        <f t="shared" si="85"/>
        <v>285.82322270918718</v>
      </c>
      <c r="CT57" s="93">
        <f t="shared" si="86"/>
        <v>226.93924094675938</v>
      </c>
      <c r="CU57" s="93">
        <f t="shared" si="87"/>
        <v>285.83769594675937</v>
      </c>
      <c r="CW57" s="128">
        <v>1.3411999999999999</v>
      </c>
      <c r="CX57" s="130">
        <v>1.2908999999999999</v>
      </c>
      <c r="CY57" s="128">
        <v>0.27650000000000002</v>
      </c>
      <c r="CZ57" s="128">
        <v>37604.942499999997</v>
      </c>
      <c r="DA57" s="128">
        <v>9540.8691999999992</v>
      </c>
      <c r="DB57" s="49">
        <f t="shared" si="107"/>
        <v>287.96905199999998</v>
      </c>
      <c r="DC57" s="49">
        <f t="shared" si="107"/>
        <v>387.32163600000001</v>
      </c>
      <c r="DD57" s="47">
        <f t="shared" si="107"/>
        <v>7.4655000000000013E-2</v>
      </c>
      <c r="DE57" s="47">
        <f t="shared" si="88"/>
        <v>4.2819332843487996E-2</v>
      </c>
      <c r="DF57" s="48">
        <f t="shared" si="89"/>
        <v>288.01187133284344</v>
      </c>
      <c r="DG57" s="48">
        <f t="shared" si="90"/>
        <v>387.28980033284347</v>
      </c>
      <c r="DH57" s="93">
        <f t="shared" si="91"/>
        <v>287.99203919881796</v>
      </c>
      <c r="DI57" s="93">
        <f t="shared" si="92"/>
        <v>387.26996819881799</v>
      </c>
      <c r="DK57" s="128">
        <v>1.3938999999999999</v>
      </c>
      <c r="DL57" s="130">
        <v>1.3384</v>
      </c>
      <c r="DM57" s="128">
        <v>0.33989999999999998</v>
      </c>
      <c r="DN57" s="128">
        <v>8781.5249999999996</v>
      </c>
      <c r="DO57" s="128">
        <v>3156.73</v>
      </c>
      <c r="DP57" s="49">
        <f t="shared" si="108"/>
        <v>184.49660400000002</v>
      </c>
      <c r="DQ57" s="49">
        <f t="shared" si="108"/>
        <v>259.15439199999997</v>
      </c>
      <c r="DR57" s="47">
        <f t="shared" si="108"/>
        <v>6.4581E-2</v>
      </c>
      <c r="DS57" s="47">
        <f t="shared" si="93"/>
        <v>3.7724359779758049E-2</v>
      </c>
      <c r="DT57" s="48">
        <f t="shared" si="94"/>
        <v>184.53432835977978</v>
      </c>
      <c r="DU57" s="48">
        <f t="shared" si="95"/>
        <v>259.12753535977976</v>
      </c>
      <c r="DV57" s="93">
        <f t="shared" si="96"/>
        <v>184.51873044953001</v>
      </c>
      <c r="DW57" s="93">
        <f t="shared" si="97"/>
        <v>259.11193744952999</v>
      </c>
      <c r="EB57" s="52"/>
      <c r="EC57" s="52"/>
      <c r="ED57" s="52"/>
      <c r="EE57" s="55">
        <f t="shared" si="98"/>
        <v>179011.01500000001</v>
      </c>
      <c r="EF57" s="55">
        <f t="shared" si="98"/>
        <v>47445.9925</v>
      </c>
      <c r="EG57" s="55">
        <f t="shared" si="98"/>
        <v>2242.3673855999996</v>
      </c>
      <c r="EH57" s="55">
        <f t="shared" si="98"/>
        <v>3071.3906488000002</v>
      </c>
      <c r="EI57" s="298">
        <f t="shared" si="109"/>
        <v>0.79048565101258794</v>
      </c>
      <c r="EJ57" s="52"/>
      <c r="EK57" s="55">
        <f t="shared" si="99"/>
        <v>2247.3278351434074</v>
      </c>
      <c r="EL57" s="55">
        <f t="shared" si="99"/>
        <v>3063.0689733434074</v>
      </c>
      <c r="EM57" s="55">
        <f t="shared" si="39"/>
        <v>2276.1053017983427</v>
      </c>
      <c r="EN57" s="55">
        <f t="shared" si="39"/>
        <v>3091.8464399983432</v>
      </c>
      <c r="EP57" s="52"/>
      <c r="EQ57" s="52"/>
      <c r="ER57" s="52"/>
      <c r="ES57" s="55">
        <f t="shared" si="110"/>
        <v>139406.85920000001</v>
      </c>
      <c r="ET57" s="55">
        <f t="shared" si="110"/>
        <v>39078.1567</v>
      </c>
      <c r="EU57" s="55">
        <f t="shared" si="110"/>
        <v>1735.2664113999997</v>
      </c>
      <c r="EV57" s="55">
        <f t="shared" si="110"/>
        <v>2378.4596682000001</v>
      </c>
      <c r="EW57" s="298">
        <f t="shared" si="111"/>
        <v>0.78105637325939814</v>
      </c>
      <c r="EX57" s="52"/>
      <c r="EY57" s="55">
        <f t="shared" si="112"/>
        <v>1743.046283477008</v>
      </c>
      <c r="EZ57" s="55">
        <f t="shared" si="112"/>
        <v>2373.0481117770082</v>
      </c>
      <c r="FA57" s="55">
        <f t="shared" si="112"/>
        <v>1771.3144452719498</v>
      </c>
      <c r="FB57" s="55">
        <f t="shared" si="112"/>
        <v>2401.3162735719502</v>
      </c>
      <c r="FD57" s="52"/>
      <c r="FE57" s="52"/>
      <c r="FF57" s="52"/>
      <c r="FG57" s="55">
        <f t="shared" si="113"/>
        <v>106646.9258</v>
      </c>
      <c r="FH57" s="55">
        <f t="shared" si="113"/>
        <v>31198.145</v>
      </c>
      <c r="FI57" s="55">
        <f t="shared" si="113"/>
        <v>1326.1648983999999</v>
      </c>
      <c r="FJ57" s="55">
        <f t="shared" si="113"/>
        <v>2003.2262352</v>
      </c>
      <c r="FK57" s="298">
        <f t="shared" si="114"/>
        <v>0.77367239307914382</v>
      </c>
      <c r="FL57" s="52"/>
      <c r="FM57" s="55">
        <f t="shared" si="115"/>
        <v>1327.2654791160217</v>
      </c>
      <c r="FN57" s="55">
        <f t="shared" si="115"/>
        <v>2002.2163623160218</v>
      </c>
      <c r="FO57" s="55">
        <f t="shared" si="115"/>
        <v>1350.0486135785598</v>
      </c>
      <c r="FP57" s="55">
        <f t="shared" si="115"/>
        <v>2024.9994967785599</v>
      </c>
      <c r="FR57" s="52"/>
      <c r="FS57" s="52"/>
      <c r="FT57" s="52"/>
      <c r="FU57" s="55">
        <f t="shared" si="116"/>
        <v>113665.9167</v>
      </c>
      <c r="FV57" s="55">
        <f t="shared" si="116"/>
        <v>31032.532500000001</v>
      </c>
      <c r="FW57" s="55">
        <f t="shared" si="116"/>
        <v>457.28133359999998</v>
      </c>
      <c r="FX57" s="55">
        <f t="shared" si="116"/>
        <v>595.69535680000013</v>
      </c>
      <c r="FY57" s="298">
        <f t="shared" si="117"/>
        <v>0.78553652322073397</v>
      </c>
      <c r="FZ57" s="52"/>
      <c r="GA57" s="55">
        <f t="shared" si="118"/>
        <v>457.33426477546186</v>
      </c>
      <c r="GB57" s="55">
        <f t="shared" si="118"/>
        <v>595.65506297546199</v>
      </c>
      <c r="GC57" s="55">
        <f t="shared" si="118"/>
        <v>457.33287230581379</v>
      </c>
      <c r="GD57" s="55">
        <f t="shared" si="118"/>
        <v>595.65367050581381</v>
      </c>
      <c r="GF57" s="52"/>
      <c r="GG57" s="52"/>
      <c r="GH57" s="52"/>
      <c r="GI57" s="55">
        <f t="shared" si="119"/>
        <v>56353.166599999997</v>
      </c>
      <c r="GJ57" s="55">
        <f t="shared" si="119"/>
        <v>15793.868399999999</v>
      </c>
      <c r="GK57" s="56">
        <f t="shared" si="120"/>
        <v>132.21809699999994</v>
      </c>
      <c r="GL57" s="56">
        <f t="shared" si="120"/>
        <v>151.392033</v>
      </c>
      <c r="GM57" s="298">
        <f t="shared" si="121"/>
        <v>0.78108776888752252</v>
      </c>
      <c r="GN57" s="52"/>
      <c r="GO57" s="56">
        <f t="shared" si="122"/>
        <v>134.27869186445838</v>
      </c>
      <c r="GP57" s="56">
        <f t="shared" si="122"/>
        <v>149.53803886445843</v>
      </c>
      <c r="GQ57" s="56">
        <f t="shared" si="122"/>
        <v>137.18533054310382</v>
      </c>
      <c r="GR57" s="56">
        <f t="shared" si="122"/>
        <v>152.44467754310386</v>
      </c>
    </row>
    <row r="58" spans="1:200" x14ac:dyDescent="0.2">
      <c r="A58" s="118">
        <v>48</v>
      </c>
      <c r="C58" s="128">
        <v>1.3039000000000001</v>
      </c>
      <c r="D58" s="128">
        <v>1.0223</v>
      </c>
      <c r="E58" s="128">
        <v>1.7500000000000002E-2</v>
      </c>
      <c r="F58" s="128">
        <v>29252.063300000002</v>
      </c>
      <c r="G58" s="128">
        <v>6822.4192000000003</v>
      </c>
      <c r="H58" s="49">
        <f t="shared" si="100"/>
        <v>1305.751538</v>
      </c>
      <c r="I58" s="49">
        <f t="shared" si="100"/>
        <v>1939.9164799999999</v>
      </c>
      <c r="J58" s="47">
        <f t="shared" si="100"/>
        <v>3.1839500000000003</v>
      </c>
      <c r="K58" s="47">
        <f t="shared" si="53"/>
        <v>0.60214977752875609</v>
      </c>
      <c r="L58" s="48">
        <f t="shared" si="54"/>
        <v>1306.3536877775286</v>
      </c>
      <c r="M58" s="48">
        <f t="shared" si="55"/>
        <v>1937.3346797775284</v>
      </c>
      <c r="N58" s="93">
        <f t="shared" si="56"/>
        <v>1320.7800851508262</v>
      </c>
      <c r="O58" s="93">
        <f t="shared" si="57"/>
        <v>1951.7610771508259</v>
      </c>
      <c r="Q58" s="128">
        <v>1.3964000000000001</v>
      </c>
      <c r="R58" s="130">
        <v>1.1357999999999999</v>
      </c>
      <c r="S58" s="128">
        <v>3.7900000000000003E-2</v>
      </c>
      <c r="T58" s="128">
        <v>7504.9616999999998</v>
      </c>
      <c r="U58" s="128">
        <v>2747.1642000000002</v>
      </c>
      <c r="V58" s="49">
        <f t="shared" si="101"/>
        <v>888.68292399999996</v>
      </c>
      <c r="W58" s="49">
        <f t="shared" si="101"/>
        <v>1353.2943419999999</v>
      </c>
      <c r="X58" s="47">
        <f t="shared" si="101"/>
        <v>8.393713</v>
      </c>
      <c r="Y58" s="47">
        <f t="shared" si="58"/>
        <v>5.06658318241477</v>
      </c>
      <c r="Z58" s="48">
        <f t="shared" si="59"/>
        <v>893.74950718241473</v>
      </c>
      <c r="AA58" s="48">
        <f t="shared" si="60"/>
        <v>1349.9672121824146</v>
      </c>
      <c r="AB58" s="93">
        <f t="shared" si="61"/>
        <v>905.98179147958501</v>
      </c>
      <c r="AC58" s="93">
        <f t="shared" si="62"/>
        <v>1362.1994964795849</v>
      </c>
      <c r="AE58" s="128">
        <v>1.4235</v>
      </c>
      <c r="AF58" s="130">
        <v>1.1717</v>
      </c>
      <c r="AG58" s="128">
        <v>0</v>
      </c>
      <c r="AH58" s="128">
        <v>917.0367</v>
      </c>
      <c r="AI58" s="128">
        <v>313.20420000000001</v>
      </c>
      <c r="AJ58" s="49">
        <f t="shared" si="102"/>
        <v>654.92387999999994</v>
      </c>
      <c r="AK58" s="49">
        <f t="shared" si="102"/>
        <v>1231.140341</v>
      </c>
      <c r="AL58" s="47">
        <f t="shared" si="102"/>
        <v>0</v>
      </c>
      <c r="AM58" s="47">
        <f t="shared" si="63"/>
        <v>0</v>
      </c>
      <c r="AN58" s="48">
        <f t="shared" si="64"/>
        <v>654.92387999999994</v>
      </c>
      <c r="AO58" s="48">
        <f t="shared" si="65"/>
        <v>1231.140341</v>
      </c>
      <c r="AP58" s="93">
        <f t="shared" si="66"/>
        <v>666.72631807785149</v>
      </c>
      <c r="AQ58" s="93">
        <f t="shared" si="67"/>
        <v>1242.9427790778516</v>
      </c>
      <c r="AS58" s="128">
        <v>1.6062000000000001</v>
      </c>
      <c r="AT58" s="130">
        <v>0.85460000000000003</v>
      </c>
      <c r="AU58" s="128">
        <v>2.23E-2</v>
      </c>
      <c r="AV58" s="128">
        <v>34934.534200000002</v>
      </c>
      <c r="AW58" s="128">
        <v>9622.7425000000003</v>
      </c>
      <c r="AX58" s="49">
        <f t="shared" si="103"/>
        <v>563.19796800000006</v>
      </c>
      <c r="AY58" s="49">
        <f t="shared" si="103"/>
        <v>602.475908</v>
      </c>
      <c r="AZ58" s="47">
        <f t="shared" si="103"/>
        <v>5.6392239999999996</v>
      </c>
      <c r="BA58" s="47">
        <f t="shared" si="68"/>
        <v>2.914620177878458</v>
      </c>
      <c r="BB58" s="48">
        <f t="shared" si="69"/>
        <v>566.11258817787848</v>
      </c>
      <c r="BC58" s="48">
        <f t="shared" si="70"/>
        <v>599.75130417787841</v>
      </c>
      <c r="BD58" s="93">
        <f t="shared" si="71"/>
        <v>581.85579834170278</v>
      </c>
      <c r="BE58" s="93">
        <f t="shared" si="72"/>
        <v>615.49451434170271</v>
      </c>
      <c r="BG58" s="128">
        <v>1.4863999999999999</v>
      </c>
      <c r="BH58" s="130">
        <v>0.88619999999999999</v>
      </c>
      <c r="BI58" s="128">
        <v>1.6000000000000001E-3</v>
      </c>
      <c r="BJ58" s="128">
        <v>18418.238300000001</v>
      </c>
      <c r="BK58" s="128">
        <v>5409.3416999999999</v>
      </c>
      <c r="BL58" s="49">
        <f t="shared" si="104"/>
        <v>488.16348800000003</v>
      </c>
      <c r="BM58" s="49">
        <f t="shared" si="104"/>
        <v>535.86741599999993</v>
      </c>
      <c r="BN58" s="47">
        <f t="shared" si="104"/>
        <v>0.34006399999999998</v>
      </c>
      <c r="BO58" s="47">
        <f t="shared" si="73"/>
        <v>0.17795284912087378</v>
      </c>
      <c r="BP58" s="48">
        <f t="shared" si="74"/>
        <v>488.34144084912089</v>
      </c>
      <c r="BQ58" s="48">
        <f t="shared" si="75"/>
        <v>535.70530484912081</v>
      </c>
      <c r="BR58" s="93">
        <f t="shared" si="76"/>
        <v>506.86341440643304</v>
      </c>
      <c r="BS58" s="93">
        <f t="shared" si="77"/>
        <v>554.22727840643302</v>
      </c>
      <c r="BU58" s="128">
        <v>1.5282</v>
      </c>
      <c r="BV58" s="130">
        <v>0.96260000000000001</v>
      </c>
      <c r="BW58" s="128">
        <v>6.3E-3</v>
      </c>
      <c r="BX58" s="128">
        <v>21497.3567</v>
      </c>
      <c r="BY58" s="128">
        <v>6462.1850000000004</v>
      </c>
      <c r="BZ58" s="49">
        <f t="shared" si="105"/>
        <v>370.74131999999997</v>
      </c>
      <c r="CA58" s="49">
        <f t="shared" si="105"/>
        <v>389.00591200000002</v>
      </c>
      <c r="CB58" s="47">
        <f t="shared" si="105"/>
        <v>0.65513699999999997</v>
      </c>
      <c r="CC58" s="47">
        <f t="shared" si="78"/>
        <v>0.33544336252342416</v>
      </c>
      <c r="CD58" s="48">
        <f t="shared" si="79"/>
        <v>371.07676336252342</v>
      </c>
      <c r="CE58" s="48">
        <f t="shared" si="80"/>
        <v>388.68621836252345</v>
      </c>
      <c r="CF58" s="93">
        <f t="shared" si="81"/>
        <v>382.77617228423088</v>
      </c>
      <c r="CG58" s="93">
        <f t="shared" si="82"/>
        <v>400.38562728423091</v>
      </c>
      <c r="CI58" s="128">
        <v>1.0783</v>
      </c>
      <c r="CJ58" s="130">
        <v>1.0454000000000001</v>
      </c>
      <c r="CK58" s="128">
        <v>6.5600000000000006E-2</v>
      </c>
      <c r="CL58" s="128">
        <v>75991.925000000003</v>
      </c>
      <c r="CM58" s="128">
        <v>21853.414199999999</v>
      </c>
      <c r="CN58" s="49">
        <f t="shared" si="106"/>
        <v>228.90152399999999</v>
      </c>
      <c r="CO58" s="49">
        <f t="shared" si="106"/>
        <v>287.98679200000004</v>
      </c>
      <c r="CP58" s="47">
        <f t="shared" si="106"/>
        <v>2.5584000000000003E-2</v>
      </c>
      <c r="CQ58" s="47">
        <f t="shared" si="83"/>
        <v>1.4254247694250457E-2</v>
      </c>
      <c r="CR58" s="48">
        <f t="shared" si="84"/>
        <v>228.91577824769425</v>
      </c>
      <c r="CS58" s="48">
        <f t="shared" si="85"/>
        <v>287.97546224769428</v>
      </c>
      <c r="CT58" s="93">
        <f t="shared" si="86"/>
        <v>228.93467294675938</v>
      </c>
      <c r="CU58" s="93">
        <f t="shared" si="87"/>
        <v>287.99435694675941</v>
      </c>
      <c r="CW58" s="128">
        <v>1.4065000000000001</v>
      </c>
      <c r="CX58" s="130">
        <v>1.3524</v>
      </c>
      <c r="CY58" s="128">
        <v>0.22320000000000001</v>
      </c>
      <c r="CZ58" s="128">
        <v>37029.6708</v>
      </c>
      <c r="DA58" s="128">
        <v>9781.4258000000009</v>
      </c>
      <c r="DB58" s="49">
        <f t="shared" si="107"/>
        <v>301.98961500000001</v>
      </c>
      <c r="DC58" s="49">
        <f t="shared" si="107"/>
        <v>405.77409600000004</v>
      </c>
      <c r="DD58" s="47">
        <f t="shared" si="107"/>
        <v>6.0264000000000005E-2</v>
      </c>
      <c r="DE58" s="47">
        <f t="shared" si="88"/>
        <v>3.4550471776510737E-2</v>
      </c>
      <c r="DF58" s="48">
        <f t="shared" si="89"/>
        <v>302.02416547177654</v>
      </c>
      <c r="DG58" s="48">
        <f t="shared" si="90"/>
        <v>405.74838247177655</v>
      </c>
      <c r="DH58" s="93">
        <f t="shared" si="91"/>
        <v>302.012602198818</v>
      </c>
      <c r="DI58" s="93">
        <f t="shared" si="92"/>
        <v>405.73681919881801</v>
      </c>
      <c r="DK58" s="128">
        <v>1.4531000000000001</v>
      </c>
      <c r="DL58" s="130">
        <v>1.3883000000000001</v>
      </c>
      <c r="DM58" s="128">
        <v>0.27229999999999999</v>
      </c>
      <c r="DN58" s="128">
        <v>8868.2224999999999</v>
      </c>
      <c r="DO58" s="128">
        <v>3203.6967</v>
      </c>
      <c r="DP58" s="49">
        <f t="shared" si="108"/>
        <v>192.33231600000002</v>
      </c>
      <c r="DQ58" s="49">
        <f t="shared" si="108"/>
        <v>268.816529</v>
      </c>
      <c r="DR58" s="47">
        <f t="shared" si="108"/>
        <v>5.1736999999999998E-2</v>
      </c>
      <c r="DS58" s="47">
        <f t="shared" si="93"/>
        <v>3.0158940896562365E-2</v>
      </c>
      <c r="DT58" s="48">
        <f t="shared" si="94"/>
        <v>192.36247494089659</v>
      </c>
      <c r="DU58" s="48">
        <f t="shared" si="95"/>
        <v>268.79495094089657</v>
      </c>
      <c r="DV58" s="93">
        <f t="shared" si="96"/>
        <v>192.35444244953001</v>
      </c>
      <c r="DW58" s="93">
        <f t="shared" si="97"/>
        <v>268.78691844952999</v>
      </c>
      <c r="EB58" s="52"/>
      <c r="EC58" s="52"/>
      <c r="ED58" s="52"/>
      <c r="EE58" s="55">
        <f t="shared" si="98"/>
        <v>177208.19330000001</v>
      </c>
      <c r="EF58" s="55">
        <f t="shared" si="98"/>
        <v>48080.001699999993</v>
      </c>
      <c r="EG58" s="55">
        <f t="shared" si="98"/>
        <v>2339.4427219999998</v>
      </c>
      <c r="EH58" s="55">
        <f t="shared" si="98"/>
        <v>3154.9984568</v>
      </c>
      <c r="EI58" s="298">
        <f t="shared" si="109"/>
        <v>0.78658446040636976</v>
      </c>
      <c r="EJ58" s="52"/>
      <c r="EK58" s="55">
        <f t="shared" si="99"/>
        <v>2343.0013865805226</v>
      </c>
      <c r="EL58" s="55">
        <f t="shared" si="99"/>
        <v>3149.6601521805223</v>
      </c>
      <c r="EM58" s="55">
        <f t="shared" si="39"/>
        <v>2373.1806381983429</v>
      </c>
      <c r="EN58" s="55">
        <f t="shared" si="39"/>
        <v>3179.8394037983426</v>
      </c>
      <c r="EP58" s="52"/>
      <c r="EQ58" s="52"/>
      <c r="ER58" s="52"/>
      <c r="ES58" s="55">
        <f t="shared" si="110"/>
        <v>138944.79579999999</v>
      </c>
      <c r="ET58" s="55">
        <f t="shared" si="110"/>
        <v>39791.3459</v>
      </c>
      <c r="EU58" s="55">
        <f t="shared" si="110"/>
        <v>1817.1406664999997</v>
      </c>
      <c r="EV58" s="55">
        <f t="shared" si="110"/>
        <v>2461.1904172</v>
      </c>
      <c r="EW58" s="298">
        <f t="shared" si="111"/>
        <v>0.77737381191327359</v>
      </c>
      <c r="EX58" s="52"/>
      <c r="EY58" s="55">
        <f t="shared" si="112"/>
        <v>1822.4236421094736</v>
      </c>
      <c r="EZ58" s="55">
        <f t="shared" si="112"/>
        <v>2457.6718470094734</v>
      </c>
      <c r="FA58" s="55">
        <f t="shared" si="112"/>
        <v>1853.1887003719498</v>
      </c>
      <c r="FB58" s="55">
        <f t="shared" si="112"/>
        <v>2488.4369052719503</v>
      </c>
      <c r="FD58" s="52"/>
      <c r="FE58" s="52"/>
      <c r="FF58" s="52"/>
      <c r="FG58" s="55">
        <f t="shared" si="113"/>
        <v>107274.54090000001</v>
      </c>
      <c r="FH58" s="55">
        <f t="shared" si="113"/>
        <v>31832.500100000001</v>
      </c>
      <c r="FI58" s="55">
        <f t="shared" si="113"/>
        <v>1369.9661135999997</v>
      </c>
      <c r="FJ58" s="55">
        <f t="shared" si="113"/>
        <v>2069.4229624</v>
      </c>
      <c r="FK58" s="298">
        <f t="shared" si="114"/>
        <v>0.77116542864282489</v>
      </c>
      <c r="FL58" s="52"/>
      <c r="FM58" s="55">
        <f t="shared" si="115"/>
        <v>1370.3339065747555</v>
      </c>
      <c r="FN58" s="55">
        <f t="shared" si="115"/>
        <v>2069.0789921747555</v>
      </c>
      <c r="FO58" s="55">
        <f t="shared" si="115"/>
        <v>1393.8498287785596</v>
      </c>
      <c r="FP58" s="55">
        <f t="shared" si="115"/>
        <v>2092.5949143785597</v>
      </c>
      <c r="FR58" s="52"/>
      <c r="FS58" s="52"/>
      <c r="FT58" s="52"/>
      <c r="FU58" s="55">
        <f t="shared" si="116"/>
        <v>113021.59580000001</v>
      </c>
      <c r="FV58" s="55">
        <f t="shared" si="116"/>
        <v>31634.84</v>
      </c>
      <c r="FW58" s="55">
        <f t="shared" si="116"/>
        <v>470.49321600000002</v>
      </c>
      <c r="FX58" s="55">
        <f t="shared" si="116"/>
        <v>612.60606880000012</v>
      </c>
      <c r="FY58" s="298">
        <f t="shared" si="117"/>
        <v>0.78131052500327125</v>
      </c>
      <c r="FZ58" s="52"/>
      <c r="GA58" s="55">
        <f t="shared" si="118"/>
        <v>470.53511062511552</v>
      </c>
      <c r="GB58" s="55">
        <f t="shared" si="118"/>
        <v>612.5741682251155</v>
      </c>
      <c r="GC58" s="55">
        <f t="shared" si="118"/>
        <v>470.54475470581383</v>
      </c>
      <c r="GD58" s="55">
        <f t="shared" si="118"/>
        <v>612.58381230581381</v>
      </c>
      <c r="GF58" s="52"/>
      <c r="GG58" s="52"/>
      <c r="GH58" s="52"/>
      <c r="GI58" s="55">
        <f t="shared" si="119"/>
        <v>56431.890899999999</v>
      </c>
      <c r="GJ58" s="55">
        <f t="shared" si="119"/>
        <v>16084.927500000002</v>
      </c>
      <c r="GK58" s="56">
        <f t="shared" si="120"/>
        <v>144.34248600000006</v>
      </c>
      <c r="GL58" s="56">
        <f t="shared" si="120"/>
        <v>160.10249699999997</v>
      </c>
      <c r="GM58" s="298">
        <f t="shared" si="121"/>
        <v>0.77819038596982892</v>
      </c>
      <c r="GN58" s="52"/>
      <c r="GO58" s="56">
        <f t="shared" si="122"/>
        <v>146.27686861151631</v>
      </c>
      <c r="GP58" s="56">
        <f t="shared" si="122"/>
        <v>158.29881436151624</v>
      </c>
      <c r="GQ58" s="56">
        <f t="shared" si="122"/>
        <v>149.30971954310394</v>
      </c>
      <c r="GR58" s="56">
        <f t="shared" si="122"/>
        <v>161.33166529310387</v>
      </c>
    </row>
    <row r="59" spans="1:200" x14ac:dyDescent="0.2">
      <c r="A59" s="118">
        <v>49</v>
      </c>
      <c r="C59" s="128">
        <v>1.357</v>
      </c>
      <c r="D59" s="128">
        <v>1.0503</v>
      </c>
      <c r="E59" s="128">
        <v>1.1299999999999999E-2</v>
      </c>
      <c r="F59" s="128">
        <v>27945.172500000001</v>
      </c>
      <c r="G59" s="128">
        <v>6652.92</v>
      </c>
      <c r="H59" s="49">
        <f t="shared" si="100"/>
        <v>1358.9269399999998</v>
      </c>
      <c r="I59" s="49">
        <f t="shared" si="100"/>
        <v>1993.04928</v>
      </c>
      <c r="J59" s="47">
        <f t="shared" si="100"/>
        <v>2.0559219999999998</v>
      </c>
      <c r="K59" s="47">
        <f t="shared" si="53"/>
        <v>0.3953363785081504</v>
      </c>
      <c r="L59" s="48">
        <f t="shared" si="54"/>
        <v>1359.3222763785079</v>
      </c>
      <c r="M59" s="48">
        <f t="shared" si="55"/>
        <v>1991.388694378508</v>
      </c>
      <c r="N59" s="93">
        <f t="shared" si="56"/>
        <v>1373.955487150826</v>
      </c>
      <c r="O59" s="93">
        <f t="shared" si="57"/>
        <v>2006.0219051508261</v>
      </c>
      <c r="Q59" s="128">
        <v>1.47</v>
      </c>
      <c r="R59" s="130">
        <v>1.1882999999999999</v>
      </c>
      <c r="S59" s="128">
        <v>3.61E-2</v>
      </c>
      <c r="T59" s="128">
        <v>7319.7741999999998</v>
      </c>
      <c r="U59" s="128">
        <v>2670.7017000000001</v>
      </c>
      <c r="V59" s="49">
        <f t="shared" si="101"/>
        <v>935.52269999999999</v>
      </c>
      <c r="W59" s="49">
        <f t="shared" si="101"/>
        <v>1415.8475669999998</v>
      </c>
      <c r="X59" s="47">
        <f t="shared" si="101"/>
        <v>7.9950669999999997</v>
      </c>
      <c r="Y59" s="47">
        <f t="shared" si="58"/>
        <v>4.8141274553047619</v>
      </c>
      <c r="Z59" s="48">
        <f t="shared" si="59"/>
        <v>940.33682745530473</v>
      </c>
      <c r="AA59" s="48">
        <f t="shared" si="60"/>
        <v>1412.6666274553045</v>
      </c>
      <c r="AB59" s="93">
        <f t="shared" si="61"/>
        <v>952.82156747958504</v>
      </c>
      <c r="AC59" s="93">
        <f t="shared" si="62"/>
        <v>1425.1513674795847</v>
      </c>
      <c r="AE59" s="128">
        <v>1.4886999999999999</v>
      </c>
      <c r="AF59" s="130">
        <v>1.2283999999999999</v>
      </c>
      <c r="AG59" s="128">
        <v>0</v>
      </c>
      <c r="AH59" s="128">
        <v>892.9375</v>
      </c>
      <c r="AI59" s="128">
        <v>340.26830000000001</v>
      </c>
      <c r="AJ59" s="49">
        <f t="shared" si="102"/>
        <v>684.92109599999992</v>
      </c>
      <c r="AK59" s="49">
        <f t="shared" si="102"/>
        <v>1290.7167319999999</v>
      </c>
      <c r="AL59" s="47">
        <f t="shared" si="102"/>
        <v>0</v>
      </c>
      <c r="AM59" s="47">
        <f t="shared" si="63"/>
        <v>0</v>
      </c>
      <c r="AN59" s="48">
        <f t="shared" si="64"/>
        <v>684.92109599999992</v>
      </c>
      <c r="AO59" s="48">
        <f t="shared" si="65"/>
        <v>1290.7167319999999</v>
      </c>
      <c r="AP59" s="93">
        <f t="shared" si="66"/>
        <v>696.72353407785147</v>
      </c>
      <c r="AQ59" s="93">
        <f t="shared" si="67"/>
        <v>1302.5191700778514</v>
      </c>
      <c r="AS59" s="128">
        <v>1.7184999999999999</v>
      </c>
      <c r="AT59" s="130">
        <v>0.88900000000000001</v>
      </c>
      <c r="AU59" s="128">
        <v>1.9599999999999999E-2</v>
      </c>
      <c r="AV59" s="128">
        <v>33896.445</v>
      </c>
      <c r="AW59" s="128">
        <v>9399.7283000000007</v>
      </c>
      <c r="AX59" s="49">
        <f t="shared" si="103"/>
        <v>602.57483999999999</v>
      </c>
      <c r="AY59" s="49">
        <f t="shared" si="103"/>
        <v>626.72721999999999</v>
      </c>
      <c r="AZ59" s="47">
        <f t="shared" si="103"/>
        <v>4.956448</v>
      </c>
      <c r="BA59" s="47">
        <f t="shared" si="68"/>
        <v>2.5269142362899477</v>
      </c>
      <c r="BB59" s="48">
        <f t="shared" si="69"/>
        <v>605.10175423628993</v>
      </c>
      <c r="BC59" s="48">
        <f t="shared" si="70"/>
        <v>624.29768623628991</v>
      </c>
      <c r="BD59" s="93">
        <f t="shared" si="71"/>
        <v>621.23267034170271</v>
      </c>
      <c r="BE59" s="93">
        <f t="shared" si="72"/>
        <v>640.42860234170269</v>
      </c>
      <c r="BG59" s="128">
        <v>1.5839000000000001</v>
      </c>
      <c r="BH59" s="130">
        <v>0.92100000000000004</v>
      </c>
      <c r="BI59" s="128">
        <v>0</v>
      </c>
      <c r="BJ59" s="128">
        <v>17867.6558</v>
      </c>
      <c r="BK59" s="128">
        <v>5320.7566999999999</v>
      </c>
      <c r="BL59" s="49">
        <f t="shared" si="104"/>
        <v>520.184438</v>
      </c>
      <c r="BM59" s="49">
        <f t="shared" si="104"/>
        <v>556.91027999999994</v>
      </c>
      <c r="BN59" s="47">
        <f t="shared" si="104"/>
        <v>0</v>
      </c>
      <c r="BO59" s="47">
        <f t="shared" si="73"/>
        <v>0</v>
      </c>
      <c r="BP59" s="48">
        <f t="shared" si="74"/>
        <v>520.184438</v>
      </c>
      <c r="BQ59" s="48">
        <f t="shared" si="75"/>
        <v>556.91027999999994</v>
      </c>
      <c r="BR59" s="93">
        <f t="shared" si="76"/>
        <v>538.88436440643306</v>
      </c>
      <c r="BS59" s="93">
        <f t="shared" si="77"/>
        <v>575.61020640643301</v>
      </c>
      <c r="BU59" s="128">
        <v>1.6152</v>
      </c>
      <c r="BV59" s="130">
        <v>0.98480000000000001</v>
      </c>
      <c r="BW59" s="128">
        <v>6.3E-3</v>
      </c>
      <c r="BX59" s="128">
        <v>21167.903300000002</v>
      </c>
      <c r="BY59" s="128">
        <v>6530.4575000000004</v>
      </c>
      <c r="BZ59" s="49">
        <f t="shared" si="105"/>
        <v>391.84751999999997</v>
      </c>
      <c r="CA59" s="49">
        <f t="shared" si="105"/>
        <v>397.97737599999999</v>
      </c>
      <c r="CB59" s="47">
        <f t="shared" si="105"/>
        <v>0.65513699999999997</v>
      </c>
      <c r="CC59" s="47">
        <f t="shared" si="78"/>
        <v>0.33011076948948442</v>
      </c>
      <c r="CD59" s="48">
        <f t="shared" si="79"/>
        <v>392.17763076948944</v>
      </c>
      <c r="CE59" s="48">
        <f t="shared" si="80"/>
        <v>397.65234976948943</v>
      </c>
      <c r="CF59" s="93">
        <f t="shared" si="81"/>
        <v>403.88237228423088</v>
      </c>
      <c r="CG59" s="93">
        <f t="shared" si="82"/>
        <v>409.35709128423088</v>
      </c>
      <c r="CI59" s="128">
        <v>1.0872999999999999</v>
      </c>
      <c r="CJ59" s="130">
        <v>1.0530999999999999</v>
      </c>
      <c r="CK59" s="128">
        <v>5.8000000000000003E-2</v>
      </c>
      <c r="CL59" s="128">
        <v>74090.646699999998</v>
      </c>
      <c r="CM59" s="128">
        <v>21613.482499999998</v>
      </c>
      <c r="CN59" s="49">
        <f t="shared" si="106"/>
        <v>230.81204399999999</v>
      </c>
      <c r="CO59" s="49">
        <f t="shared" si="106"/>
        <v>290.10798799999998</v>
      </c>
      <c r="CP59" s="47">
        <f t="shared" si="106"/>
        <v>2.2620000000000001E-2</v>
      </c>
      <c r="CQ59" s="47">
        <f t="shared" si="83"/>
        <v>1.2597408979196253E-2</v>
      </c>
      <c r="CR59" s="48">
        <f t="shared" si="84"/>
        <v>230.82464140897918</v>
      </c>
      <c r="CS59" s="48">
        <f t="shared" si="85"/>
        <v>290.09796540897918</v>
      </c>
      <c r="CT59" s="93">
        <f t="shared" si="86"/>
        <v>230.84519294675937</v>
      </c>
      <c r="CU59" s="93">
        <f t="shared" si="87"/>
        <v>290.11851694675931</v>
      </c>
      <c r="CW59" s="128">
        <v>1.4804999999999999</v>
      </c>
      <c r="CX59" s="130">
        <v>1.4189000000000001</v>
      </c>
      <c r="CY59" s="128">
        <v>0.1822</v>
      </c>
      <c r="CZ59" s="128">
        <v>36092.379999999997</v>
      </c>
      <c r="DA59" s="128">
        <v>9383.7975000000006</v>
      </c>
      <c r="DB59" s="49">
        <f t="shared" si="107"/>
        <v>317.87815499999999</v>
      </c>
      <c r="DC59" s="49">
        <f t="shared" si="107"/>
        <v>425.72675600000002</v>
      </c>
      <c r="DD59" s="47">
        <f t="shared" si="107"/>
        <v>4.9194000000000002E-2</v>
      </c>
      <c r="DE59" s="47">
        <f t="shared" si="88"/>
        <v>2.8164421354479195E-2</v>
      </c>
      <c r="DF59" s="48">
        <f t="shared" si="89"/>
        <v>317.90631942135445</v>
      </c>
      <c r="DG59" s="48">
        <f t="shared" si="90"/>
        <v>425.70572642135448</v>
      </c>
      <c r="DH59" s="93">
        <f t="shared" si="91"/>
        <v>317.90114219881798</v>
      </c>
      <c r="DI59" s="93">
        <f t="shared" si="92"/>
        <v>425.70054919881801</v>
      </c>
      <c r="DK59" s="128">
        <v>1.5117</v>
      </c>
      <c r="DL59" s="130">
        <v>1.4401999999999999</v>
      </c>
      <c r="DM59" s="128">
        <v>0.2205</v>
      </c>
      <c r="DN59" s="128">
        <v>8590.1908000000003</v>
      </c>
      <c r="DO59" s="128">
        <v>3117.9875000000002</v>
      </c>
      <c r="DP59" s="49">
        <f t="shared" si="108"/>
        <v>200.08861200000004</v>
      </c>
      <c r="DQ59" s="49">
        <f t="shared" si="108"/>
        <v>278.865926</v>
      </c>
      <c r="DR59" s="47">
        <f t="shared" si="108"/>
        <v>4.1895000000000002E-2</v>
      </c>
      <c r="DS59" s="47">
        <f t="shared" si="93"/>
        <v>2.4392895447980907E-2</v>
      </c>
      <c r="DT59" s="48">
        <f t="shared" si="94"/>
        <v>200.11300489544803</v>
      </c>
      <c r="DU59" s="48">
        <f t="shared" si="95"/>
        <v>278.84842389544798</v>
      </c>
      <c r="DV59" s="93">
        <f t="shared" si="96"/>
        <v>200.11073844953003</v>
      </c>
      <c r="DW59" s="93">
        <f t="shared" si="97"/>
        <v>278.84615744952998</v>
      </c>
      <c r="EB59" s="52"/>
      <c r="EC59" s="52"/>
      <c r="ED59" s="52"/>
      <c r="EE59" s="55">
        <f t="shared" si="98"/>
        <v>172024.64420000001</v>
      </c>
      <c r="EF59" s="55">
        <f t="shared" si="98"/>
        <v>47049.9283</v>
      </c>
      <c r="EG59" s="55">
        <f t="shared" si="98"/>
        <v>2446.616348</v>
      </c>
      <c r="EH59" s="55">
        <f t="shared" si="98"/>
        <v>3250.4658927999999</v>
      </c>
      <c r="EI59" s="298">
        <f t="shared" si="109"/>
        <v>0.78523327576047197</v>
      </c>
      <c r="EJ59" s="52"/>
      <c r="EK59" s="55">
        <f t="shared" si="99"/>
        <v>2449.5737275608608</v>
      </c>
      <c r="EL59" s="55">
        <f t="shared" si="99"/>
        <v>3246.348927160861</v>
      </c>
      <c r="EM59" s="55">
        <f t="shared" si="39"/>
        <v>2480.3542641983422</v>
      </c>
      <c r="EN59" s="55">
        <f t="shared" si="39"/>
        <v>3277.1294637983424</v>
      </c>
      <c r="EP59" s="52"/>
      <c r="EQ59" s="52"/>
      <c r="ER59" s="52"/>
      <c r="ES59" s="55">
        <f t="shared" si="110"/>
        <v>135370.45670000001</v>
      </c>
      <c r="ET59" s="55">
        <f t="shared" si="110"/>
        <v>38988.738400000002</v>
      </c>
      <c r="EU59" s="55">
        <f t="shared" si="110"/>
        <v>1909.0338904999999</v>
      </c>
      <c r="EV59" s="55">
        <f t="shared" si="110"/>
        <v>2560.8745641999994</v>
      </c>
      <c r="EW59" s="298">
        <f t="shared" si="111"/>
        <v>0.77638840109557261</v>
      </c>
      <c r="EX59" s="52"/>
      <c r="EY59" s="55">
        <f t="shared" si="112"/>
        <v>1913.880330459232</v>
      </c>
      <c r="EZ59" s="55">
        <f t="shared" si="112"/>
        <v>2557.6688813592318</v>
      </c>
      <c r="FA59" s="55">
        <f t="shared" si="112"/>
        <v>1945.0819243719502</v>
      </c>
      <c r="FB59" s="55">
        <f t="shared" si="112"/>
        <v>2588.8704752719495</v>
      </c>
      <c r="FD59" s="52"/>
      <c r="FE59" s="52"/>
      <c r="FF59" s="52"/>
      <c r="FG59" s="55">
        <f t="shared" si="113"/>
        <v>104741.6783</v>
      </c>
      <c r="FH59" s="55">
        <f t="shared" si="113"/>
        <v>31602.195799999998</v>
      </c>
      <c r="FI59" s="55">
        <f t="shared" si="113"/>
        <v>1427.6338271999998</v>
      </c>
      <c r="FJ59" s="55">
        <f t="shared" si="113"/>
        <v>2146.1216516</v>
      </c>
      <c r="FK59" s="298">
        <f t="shared" si="114"/>
        <v>0.76821697337995776</v>
      </c>
      <c r="FL59" s="52"/>
      <c r="FM59" s="55">
        <f t="shared" si="115"/>
        <v>1427.9911711157374</v>
      </c>
      <c r="FN59" s="55">
        <f t="shared" si="115"/>
        <v>2145.7761015157371</v>
      </c>
      <c r="FO59" s="55">
        <f t="shared" si="115"/>
        <v>1451.5175423785597</v>
      </c>
      <c r="FP59" s="55">
        <f t="shared" si="115"/>
        <v>2169.3024727785596</v>
      </c>
      <c r="FR59" s="52"/>
      <c r="FS59" s="52"/>
      <c r="FT59" s="52"/>
      <c r="FU59" s="55">
        <f t="shared" si="116"/>
        <v>110183.02669999999</v>
      </c>
      <c r="FV59" s="55">
        <f t="shared" si="116"/>
        <v>30997.279999999999</v>
      </c>
      <c r="FW59" s="55">
        <f t="shared" si="116"/>
        <v>485.11456799999996</v>
      </c>
      <c r="FX59" s="55">
        <f t="shared" si="116"/>
        <v>630.68939279999995</v>
      </c>
      <c r="FY59" s="298">
        <f t="shared" si="117"/>
        <v>0.78044189926667729</v>
      </c>
      <c r="FZ59" s="52"/>
      <c r="GA59" s="55">
        <f t="shared" si="118"/>
        <v>485.14969694606276</v>
      </c>
      <c r="GB59" s="55">
        <f t="shared" si="118"/>
        <v>630.6625465460628</v>
      </c>
      <c r="GC59" s="55">
        <f t="shared" si="118"/>
        <v>485.16610670581377</v>
      </c>
      <c r="GD59" s="55">
        <f t="shared" si="118"/>
        <v>630.6789563058137</v>
      </c>
      <c r="GF59" s="52"/>
      <c r="GG59" s="52"/>
      <c r="GH59" s="52"/>
      <c r="GI59" s="55">
        <f t="shared" si="119"/>
        <v>55064.348299999998</v>
      </c>
      <c r="GJ59" s="55">
        <f t="shared" si="119"/>
        <v>15930.185800000001</v>
      </c>
      <c r="GK59" s="56">
        <f t="shared" si="120"/>
        <v>158.04549000000003</v>
      </c>
      <c r="GL59" s="56">
        <f t="shared" si="120"/>
        <v>171.56238300000001</v>
      </c>
      <c r="GM59" s="298">
        <f t="shared" si="121"/>
        <v>0.77561391166309512</v>
      </c>
      <c r="GN59" s="52"/>
      <c r="GO59" s="56">
        <f t="shared" si="122"/>
        <v>159.69309260010039</v>
      </c>
      <c r="GP59" s="56">
        <f t="shared" si="122"/>
        <v>169.98400235010035</v>
      </c>
      <c r="GQ59" s="56">
        <f t="shared" si="122"/>
        <v>163.01272354310387</v>
      </c>
      <c r="GR59" s="56">
        <f t="shared" si="122"/>
        <v>173.30363329310387</v>
      </c>
    </row>
    <row r="60" spans="1:200" x14ac:dyDescent="0.2">
      <c r="A60" s="118">
        <v>50</v>
      </c>
      <c r="C60" s="128">
        <v>1.4153</v>
      </c>
      <c r="D60" s="128">
        <v>1.0808</v>
      </c>
      <c r="E60" s="128">
        <v>9.1000000000000004E-3</v>
      </c>
      <c r="F60" s="128">
        <v>27047.088299999999</v>
      </c>
      <c r="G60" s="128">
        <v>6692.6257999999998</v>
      </c>
      <c r="H60" s="49">
        <f t="shared" si="100"/>
        <v>1417.309726</v>
      </c>
      <c r="I60" s="49">
        <f t="shared" si="100"/>
        <v>2050.9260799999997</v>
      </c>
      <c r="J60" s="47">
        <f t="shared" si="100"/>
        <v>1.655654</v>
      </c>
      <c r="K60" s="47">
        <f t="shared" si="53"/>
        <v>0.32841631803492966</v>
      </c>
      <c r="L60" s="48">
        <f t="shared" si="54"/>
        <v>1417.6381423180349</v>
      </c>
      <c r="M60" s="48">
        <f t="shared" si="55"/>
        <v>2049.5988423180347</v>
      </c>
      <c r="N60" s="93">
        <f t="shared" si="56"/>
        <v>1432.3382731508261</v>
      </c>
      <c r="O60" s="93">
        <f t="shared" si="57"/>
        <v>2064.298973150826</v>
      </c>
      <c r="Q60" s="128">
        <v>1.5522</v>
      </c>
      <c r="R60" s="130">
        <v>1.248</v>
      </c>
      <c r="S60" s="128">
        <v>3.6999999999999998E-2</v>
      </c>
      <c r="T60" s="128">
        <v>7481.8117000000002</v>
      </c>
      <c r="U60" s="128">
        <v>2699.2141999999999</v>
      </c>
      <c r="V60" s="49">
        <f t="shared" si="101"/>
        <v>987.83560199999999</v>
      </c>
      <c r="W60" s="49">
        <f t="shared" si="101"/>
        <v>1486.9795200000001</v>
      </c>
      <c r="X60" s="47">
        <f t="shared" si="101"/>
        <v>8.1943900000000003</v>
      </c>
      <c r="Y60" s="47">
        <f t="shared" si="58"/>
        <v>4.923555703444098</v>
      </c>
      <c r="Z60" s="48">
        <f t="shared" si="59"/>
        <v>992.75915770344409</v>
      </c>
      <c r="AA60" s="48">
        <f t="shared" si="60"/>
        <v>1483.7086857034442</v>
      </c>
      <c r="AB60" s="93">
        <f t="shared" si="61"/>
        <v>1005.1344694795851</v>
      </c>
      <c r="AC60" s="93">
        <f t="shared" si="62"/>
        <v>1496.0839974795849</v>
      </c>
      <c r="AE60" s="128">
        <v>1.5831999999999999</v>
      </c>
      <c r="AF60" s="130">
        <v>1.2912999999999999</v>
      </c>
      <c r="AG60" s="128">
        <v>0</v>
      </c>
      <c r="AH60" s="128">
        <v>967.53750000000002</v>
      </c>
      <c r="AI60" s="128">
        <v>322.11829999999998</v>
      </c>
      <c r="AJ60" s="49">
        <f t="shared" si="102"/>
        <v>728.39865599999996</v>
      </c>
      <c r="AK60" s="49">
        <f t="shared" si="102"/>
        <v>1356.8076489999999</v>
      </c>
      <c r="AL60" s="47">
        <f t="shared" si="102"/>
        <v>0</v>
      </c>
      <c r="AM60" s="47">
        <f t="shared" si="63"/>
        <v>0</v>
      </c>
      <c r="AN60" s="48">
        <f t="shared" si="64"/>
        <v>728.39865599999996</v>
      </c>
      <c r="AO60" s="48">
        <f t="shared" si="65"/>
        <v>1356.8076489999999</v>
      </c>
      <c r="AP60" s="93">
        <f t="shared" si="66"/>
        <v>740.20109407785151</v>
      </c>
      <c r="AQ60" s="93">
        <f t="shared" si="67"/>
        <v>1368.6100870778514</v>
      </c>
      <c r="AS60" s="128">
        <v>1.8383</v>
      </c>
      <c r="AT60" s="130">
        <v>0.92710000000000004</v>
      </c>
      <c r="AU60" s="128">
        <v>1.77E-2</v>
      </c>
      <c r="AV60" s="128">
        <v>33116.785799999998</v>
      </c>
      <c r="AW60" s="128">
        <v>9548.7857999999997</v>
      </c>
      <c r="AX60" s="49">
        <f t="shared" si="103"/>
        <v>644.58151199999998</v>
      </c>
      <c r="AY60" s="49">
        <f t="shared" si="103"/>
        <v>653.5869580000001</v>
      </c>
      <c r="AZ60" s="47">
        <f t="shared" si="103"/>
        <v>4.4759760000000002</v>
      </c>
      <c r="BA60" s="47">
        <f t="shared" si="68"/>
        <v>2.2535130112357518</v>
      </c>
      <c r="BB60" s="48">
        <f t="shared" si="69"/>
        <v>646.83502501123576</v>
      </c>
      <c r="BC60" s="48">
        <f t="shared" si="70"/>
        <v>651.36449501123593</v>
      </c>
      <c r="BD60" s="93">
        <f t="shared" si="71"/>
        <v>663.2393423417027</v>
      </c>
      <c r="BE60" s="93">
        <f t="shared" si="72"/>
        <v>667.76881234170287</v>
      </c>
      <c r="BG60" s="128">
        <v>1.6946000000000001</v>
      </c>
      <c r="BH60" s="130">
        <v>0.96260000000000001</v>
      </c>
      <c r="BI60" s="128">
        <v>1.5E-3</v>
      </c>
      <c r="BJ60" s="128">
        <v>17629.439999999999</v>
      </c>
      <c r="BK60" s="128">
        <v>5273.74</v>
      </c>
      <c r="BL60" s="49">
        <f t="shared" si="104"/>
        <v>556.5405320000001</v>
      </c>
      <c r="BM60" s="49">
        <f t="shared" si="104"/>
        <v>582.06496799999991</v>
      </c>
      <c r="BN60" s="47">
        <f t="shared" si="104"/>
        <v>0.31880999999999998</v>
      </c>
      <c r="BO60" s="47">
        <f t="shared" si="73"/>
        <v>0.16297842619597389</v>
      </c>
      <c r="BP60" s="48">
        <f t="shared" si="74"/>
        <v>556.70351042619609</v>
      </c>
      <c r="BQ60" s="48">
        <f t="shared" si="75"/>
        <v>581.90913642619591</v>
      </c>
      <c r="BR60" s="93">
        <f t="shared" si="76"/>
        <v>575.24045840643316</v>
      </c>
      <c r="BS60" s="93">
        <f t="shared" si="77"/>
        <v>600.44608440643299</v>
      </c>
      <c r="BU60" s="128">
        <v>1.7114</v>
      </c>
      <c r="BV60" s="130">
        <v>1.0056</v>
      </c>
      <c r="BW60" s="128">
        <v>6.3E-3</v>
      </c>
      <c r="BX60" s="128">
        <v>21385.5442</v>
      </c>
      <c r="BY60" s="128">
        <v>6716.8307999999997</v>
      </c>
      <c r="BZ60" s="49">
        <f t="shared" si="105"/>
        <v>415.18563999999998</v>
      </c>
      <c r="CA60" s="49">
        <f t="shared" si="105"/>
        <v>406.38307200000003</v>
      </c>
      <c r="CB60" s="47">
        <f t="shared" si="105"/>
        <v>0.65513699999999997</v>
      </c>
      <c r="CC60" s="47">
        <f t="shared" si="78"/>
        <v>0.3240588191251178</v>
      </c>
      <c r="CD60" s="48">
        <f t="shared" si="79"/>
        <v>415.50969881912511</v>
      </c>
      <c r="CE60" s="48">
        <f t="shared" si="80"/>
        <v>406.05199381912513</v>
      </c>
      <c r="CF60" s="93">
        <f t="shared" si="81"/>
        <v>427.22049228423089</v>
      </c>
      <c r="CG60" s="93">
        <f t="shared" si="82"/>
        <v>417.76278728423091</v>
      </c>
      <c r="CI60" s="128">
        <v>1.099</v>
      </c>
      <c r="CJ60" s="130">
        <v>1.0608</v>
      </c>
      <c r="CK60" s="128">
        <v>5.6099999999999997E-2</v>
      </c>
      <c r="CL60" s="128">
        <v>73333.3</v>
      </c>
      <c r="CM60" s="128">
        <v>21979.171699999999</v>
      </c>
      <c r="CN60" s="49">
        <f t="shared" si="106"/>
        <v>233.29571999999999</v>
      </c>
      <c r="CO60" s="49">
        <f t="shared" si="106"/>
        <v>292.22918400000003</v>
      </c>
      <c r="CP60" s="47">
        <f t="shared" si="106"/>
        <v>2.1878999999999999E-2</v>
      </c>
      <c r="CQ60" s="47">
        <f t="shared" si="83"/>
        <v>1.2166278454305185E-2</v>
      </c>
      <c r="CR60" s="48">
        <f t="shared" si="84"/>
        <v>233.3078862784543</v>
      </c>
      <c r="CS60" s="48">
        <f t="shared" si="85"/>
        <v>292.21947127845431</v>
      </c>
      <c r="CT60" s="93">
        <f t="shared" si="86"/>
        <v>233.32886894675937</v>
      </c>
      <c r="CU60" s="93">
        <f t="shared" si="87"/>
        <v>292.24045394675937</v>
      </c>
      <c r="CW60" s="128">
        <v>1.5622</v>
      </c>
      <c r="CX60" s="130">
        <v>1.4892000000000001</v>
      </c>
      <c r="CY60" s="128">
        <v>0.1515</v>
      </c>
      <c r="CZ60" s="128">
        <v>35228.802499999998</v>
      </c>
      <c r="DA60" s="128">
        <v>9647.0233000000007</v>
      </c>
      <c r="DB60" s="49">
        <f t="shared" si="107"/>
        <v>335.419962</v>
      </c>
      <c r="DC60" s="49">
        <f t="shared" si="107"/>
        <v>446.81956800000006</v>
      </c>
      <c r="DD60" s="47">
        <f t="shared" si="107"/>
        <v>4.0905000000000004E-2</v>
      </c>
      <c r="DE60" s="47">
        <f t="shared" si="88"/>
        <v>2.3365163390604925E-2</v>
      </c>
      <c r="DF60" s="48">
        <f t="shared" si="89"/>
        <v>335.44332716339062</v>
      </c>
      <c r="DG60" s="48">
        <f t="shared" si="90"/>
        <v>446.80202816339067</v>
      </c>
      <c r="DH60" s="93">
        <f t="shared" si="91"/>
        <v>335.44294919881798</v>
      </c>
      <c r="DI60" s="93">
        <f t="shared" si="92"/>
        <v>446.80165019881804</v>
      </c>
      <c r="DK60" s="128">
        <v>1.5702</v>
      </c>
      <c r="DL60" s="130">
        <v>1.4973000000000001</v>
      </c>
      <c r="DM60" s="128">
        <v>0.18310000000000001</v>
      </c>
      <c r="DN60" s="128">
        <v>8707.4133000000002</v>
      </c>
      <c r="DO60" s="128">
        <v>3210.28</v>
      </c>
      <c r="DP60" s="49">
        <f t="shared" si="108"/>
        <v>207.83167200000003</v>
      </c>
      <c r="DQ60" s="49">
        <f t="shared" si="108"/>
        <v>289.92219900000003</v>
      </c>
      <c r="DR60" s="47">
        <f t="shared" si="108"/>
        <v>3.4789E-2</v>
      </c>
      <c r="DS60" s="47">
        <f t="shared" si="93"/>
        <v>2.0263234439036638E-2</v>
      </c>
      <c r="DT60" s="48">
        <f t="shared" si="94"/>
        <v>207.85193523443905</v>
      </c>
      <c r="DU60" s="48">
        <f t="shared" si="95"/>
        <v>289.90767323443907</v>
      </c>
      <c r="DV60" s="93">
        <f t="shared" si="96"/>
        <v>207.85379844953002</v>
      </c>
      <c r="DW60" s="93">
        <f t="shared" si="97"/>
        <v>289.90953644953004</v>
      </c>
      <c r="EB60" s="52"/>
      <c r="EC60" s="52"/>
      <c r="ED60" s="52"/>
      <c r="EE60" s="55">
        <f t="shared" si="98"/>
        <v>168725.97659999999</v>
      </c>
      <c r="EF60" s="55">
        <f t="shared" si="98"/>
        <v>47867.606599999999</v>
      </c>
      <c r="EG60" s="55">
        <f t="shared" si="98"/>
        <v>2563.5229276</v>
      </c>
      <c r="EH60" s="55">
        <f t="shared" si="98"/>
        <v>3354.1978764</v>
      </c>
      <c r="EI60" s="298">
        <f t="shared" si="109"/>
        <v>0.77899803912565768</v>
      </c>
      <c r="EJ60" s="52"/>
      <c r="EK60" s="55">
        <f t="shared" si="99"/>
        <v>2566.1357153384374</v>
      </c>
      <c r="EL60" s="55">
        <f t="shared" si="99"/>
        <v>3350.624431138438</v>
      </c>
      <c r="EM60" s="55">
        <f t="shared" si="39"/>
        <v>2597.2608437983426</v>
      </c>
      <c r="EN60" s="55">
        <f t="shared" si="39"/>
        <v>3381.7495595983428</v>
      </c>
      <c r="EP60" s="52"/>
      <c r="EQ60" s="52"/>
      <c r="ER60" s="52"/>
      <c r="ES60" s="55">
        <f t="shared" si="110"/>
        <v>133673.3542</v>
      </c>
      <c r="ET60" s="55">
        <f t="shared" si="110"/>
        <v>39599.1492</v>
      </c>
      <c r="EU60" s="55">
        <f t="shared" si="110"/>
        <v>2012.4658274000001</v>
      </c>
      <c r="EV60" s="55">
        <f t="shared" si="110"/>
        <v>2674.0473696000004</v>
      </c>
      <c r="EW60" s="298">
        <f t="shared" si="111"/>
        <v>0.77146316684427851</v>
      </c>
      <c r="EX60" s="52"/>
      <c r="EY60" s="55">
        <f t="shared" si="112"/>
        <v>2017.5808834224679</v>
      </c>
      <c r="EZ60" s="55">
        <f t="shared" si="112"/>
        <v>2670.5987131224679</v>
      </c>
      <c r="FA60" s="55">
        <f t="shared" si="112"/>
        <v>2048.5138612719502</v>
      </c>
      <c r="FB60" s="55">
        <f t="shared" si="112"/>
        <v>2701.5316909719495</v>
      </c>
      <c r="FD60" s="52"/>
      <c r="FE60" s="52"/>
      <c r="FF60" s="52"/>
      <c r="FG60" s="55">
        <f t="shared" si="113"/>
        <v>104393.795</v>
      </c>
      <c r="FH60" s="55">
        <f t="shared" si="113"/>
        <v>32228.400799999996</v>
      </c>
      <c r="FI60" s="55">
        <f t="shared" si="113"/>
        <v>1501.5790192000002</v>
      </c>
      <c r="FJ60" s="55">
        <f t="shared" si="113"/>
        <v>2229.3732243999998</v>
      </c>
      <c r="FK60" s="298">
        <f t="shared" si="114"/>
        <v>0.76410567396253204</v>
      </c>
      <c r="FL60" s="52"/>
      <c r="FM60" s="55">
        <f t="shared" si="115"/>
        <v>1501.9274022382428</v>
      </c>
      <c r="FN60" s="55">
        <f t="shared" si="115"/>
        <v>2229.0237180382428</v>
      </c>
      <c r="FO60" s="55">
        <f t="shared" si="115"/>
        <v>1525.4627343785601</v>
      </c>
      <c r="FP60" s="55">
        <f t="shared" si="115"/>
        <v>2252.5590501785596</v>
      </c>
      <c r="FR60" s="52"/>
      <c r="FS60" s="52"/>
      <c r="FT60" s="52"/>
      <c r="FU60" s="55">
        <f t="shared" si="116"/>
        <v>108562.10250000001</v>
      </c>
      <c r="FV60" s="55">
        <f t="shared" si="116"/>
        <v>31626.195</v>
      </c>
      <c r="FW60" s="55">
        <f t="shared" si="116"/>
        <v>501.63168959999996</v>
      </c>
      <c r="FX60" s="55">
        <f t="shared" si="116"/>
        <v>649.6848384000001</v>
      </c>
      <c r="FY60" s="298">
        <f t="shared" si="117"/>
        <v>0.77440203238076988</v>
      </c>
      <c r="FZ60" s="52"/>
      <c r="GA60" s="55">
        <f t="shared" si="118"/>
        <v>501.66254800916681</v>
      </c>
      <c r="GB60" s="55">
        <f t="shared" si="118"/>
        <v>649.66109380916691</v>
      </c>
      <c r="GC60" s="55">
        <f t="shared" si="118"/>
        <v>501.68322830581377</v>
      </c>
      <c r="GD60" s="55">
        <f t="shared" si="118"/>
        <v>649.68177410581382</v>
      </c>
      <c r="GF60" s="52"/>
      <c r="GG60" s="52"/>
      <c r="GH60" s="52"/>
      <c r="GI60" s="55">
        <f t="shared" si="119"/>
        <v>54502.33</v>
      </c>
      <c r="GJ60" s="55">
        <f t="shared" si="119"/>
        <v>16265.616599999999</v>
      </c>
      <c r="GK60" s="56">
        <f t="shared" si="120"/>
        <v>172.04690399999998</v>
      </c>
      <c r="GL60" s="56">
        <f t="shared" si="120"/>
        <v>185.40291450000007</v>
      </c>
      <c r="GM60" s="298">
        <f t="shared" si="121"/>
        <v>0.77015559470818395</v>
      </c>
      <c r="GN60" s="52"/>
      <c r="GO60" s="56">
        <f t="shared" si="122"/>
        <v>173.49399464408299</v>
      </c>
      <c r="GP60" s="56">
        <f t="shared" si="122"/>
        <v>183.98437589408309</v>
      </c>
      <c r="GQ60" s="56">
        <f t="shared" si="122"/>
        <v>177.01413754310386</v>
      </c>
      <c r="GR60" s="56">
        <f t="shared" si="122"/>
        <v>187.50451879310395</v>
      </c>
    </row>
    <row r="61" spans="1:200" x14ac:dyDescent="0.2">
      <c r="A61" s="118">
        <v>51</v>
      </c>
      <c r="C61" s="128">
        <v>1.4784999999999999</v>
      </c>
      <c r="D61" s="128">
        <v>1.1082000000000001</v>
      </c>
      <c r="E61" s="128">
        <v>9.5999999999999992E-3</v>
      </c>
      <c r="F61" s="128">
        <v>25286.745800000001</v>
      </c>
      <c r="G61" s="128">
        <v>6450.25</v>
      </c>
      <c r="H61" s="49">
        <f t="shared" si="100"/>
        <v>1480.5994699999999</v>
      </c>
      <c r="I61" s="49">
        <f t="shared" si="100"/>
        <v>2102.9203200000002</v>
      </c>
      <c r="J61" s="47">
        <f t="shared" si="100"/>
        <v>1.7466239999999997</v>
      </c>
      <c r="K61" s="47">
        <f t="shared" si="53"/>
        <v>0.35498512609690669</v>
      </c>
      <c r="L61" s="48">
        <f t="shared" si="54"/>
        <v>1480.9544551260967</v>
      </c>
      <c r="M61" s="48">
        <f t="shared" si="55"/>
        <v>2101.5286811260971</v>
      </c>
      <c r="N61" s="93">
        <f t="shared" si="56"/>
        <v>1495.6280171508261</v>
      </c>
      <c r="O61" s="93">
        <f t="shared" si="57"/>
        <v>2116.2022431508267</v>
      </c>
      <c r="Q61" s="128">
        <v>1.6453</v>
      </c>
      <c r="R61" s="130">
        <v>1.3109</v>
      </c>
      <c r="S61" s="128">
        <v>3.7900000000000003E-2</v>
      </c>
      <c r="T61" s="128">
        <v>7271.4616999999998</v>
      </c>
      <c r="U61" s="128">
        <v>2749.0825</v>
      </c>
      <c r="V61" s="49">
        <f t="shared" si="101"/>
        <v>1047.0853729999999</v>
      </c>
      <c r="W61" s="49">
        <f t="shared" si="101"/>
        <v>1561.9242409999999</v>
      </c>
      <c r="X61" s="47">
        <f t="shared" si="101"/>
        <v>8.393713</v>
      </c>
      <c r="Y61" s="47">
        <f t="shared" si="58"/>
        <v>5.0250270203476655</v>
      </c>
      <c r="Z61" s="48">
        <f t="shared" si="59"/>
        <v>1052.1104000203475</v>
      </c>
      <c r="AA61" s="48">
        <f t="shared" si="60"/>
        <v>1558.5555550203476</v>
      </c>
      <c r="AB61" s="93">
        <f t="shared" si="61"/>
        <v>1064.3842404795848</v>
      </c>
      <c r="AC61" s="93">
        <f t="shared" si="62"/>
        <v>1570.8293954795849</v>
      </c>
      <c r="AE61" s="128">
        <v>1.7229000000000001</v>
      </c>
      <c r="AF61" s="130">
        <v>1.3544</v>
      </c>
      <c r="AG61" s="128">
        <v>0</v>
      </c>
      <c r="AH61" s="128">
        <v>871.84670000000006</v>
      </c>
      <c r="AI61" s="128">
        <v>339</v>
      </c>
      <c r="AJ61" s="49">
        <f t="shared" si="102"/>
        <v>792.67183199999999</v>
      </c>
      <c r="AK61" s="49">
        <f t="shared" si="102"/>
        <v>1423.108712</v>
      </c>
      <c r="AL61" s="47">
        <f t="shared" si="102"/>
        <v>0</v>
      </c>
      <c r="AM61" s="47">
        <f t="shared" si="63"/>
        <v>0</v>
      </c>
      <c r="AN61" s="48">
        <f t="shared" si="64"/>
        <v>792.67183199999999</v>
      </c>
      <c r="AO61" s="48">
        <f t="shared" si="65"/>
        <v>1423.108712</v>
      </c>
      <c r="AP61" s="93">
        <f t="shared" si="66"/>
        <v>804.47427007785154</v>
      </c>
      <c r="AQ61" s="93">
        <f t="shared" si="67"/>
        <v>1434.9111500778515</v>
      </c>
      <c r="AS61" s="128">
        <v>1.968</v>
      </c>
      <c r="AT61" s="130">
        <v>0.96889999999999998</v>
      </c>
      <c r="AU61" s="128">
        <v>0</v>
      </c>
      <c r="AV61" s="128">
        <v>31184.645</v>
      </c>
      <c r="AW61" s="128">
        <v>9160.4424999999992</v>
      </c>
      <c r="AX61" s="49">
        <f t="shared" si="103"/>
        <v>690.05951999999991</v>
      </c>
      <c r="AY61" s="49">
        <f t="shared" si="103"/>
        <v>683.05512199999998</v>
      </c>
      <c r="AZ61" s="47">
        <f t="shared" si="103"/>
        <v>0</v>
      </c>
      <c r="BA61" s="47">
        <f t="shared" si="68"/>
        <v>0</v>
      </c>
      <c r="BB61" s="48">
        <f t="shared" si="69"/>
        <v>690.05951999999991</v>
      </c>
      <c r="BC61" s="48">
        <f t="shared" si="70"/>
        <v>683.05512199999998</v>
      </c>
      <c r="BD61" s="93">
        <f t="shared" si="71"/>
        <v>708.71735034170263</v>
      </c>
      <c r="BE61" s="93">
        <f t="shared" si="72"/>
        <v>701.7129523417027</v>
      </c>
      <c r="BG61" s="128">
        <v>1.8212999999999999</v>
      </c>
      <c r="BH61" s="130">
        <v>1.0081</v>
      </c>
      <c r="BI61" s="128">
        <v>0</v>
      </c>
      <c r="BJ61" s="128">
        <v>16733.0867</v>
      </c>
      <c r="BK61" s="128">
        <v>5187.9566999999997</v>
      </c>
      <c r="BL61" s="49">
        <f t="shared" si="104"/>
        <v>598.15134599999999</v>
      </c>
      <c r="BM61" s="49">
        <f t="shared" si="104"/>
        <v>609.57790799999998</v>
      </c>
      <c r="BN61" s="47">
        <f t="shared" si="104"/>
        <v>0</v>
      </c>
      <c r="BO61" s="47">
        <f t="shared" si="73"/>
        <v>0</v>
      </c>
      <c r="BP61" s="48">
        <f t="shared" si="74"/>
        <v>598.15134599999999</v>
      </c>
      <c r="BQ61" s="48">
        <f t="shared" si="75"/>
        <v>609.57790799999998</v>
      </c>
      <c r="BR61" s="93">
        <f t="shared" si="76"/>
        <v>616.85127240643305</v>
      </c>
      <c r="BS61" s="93">
        <f t="shared" si="77"/>
        <v>628.27783440643304</v>
      </c>
      <c r="BU61" s="128">
        <v>1.8201000000000001</v>
      </c>
      <c r="BV61" s="130">
        <v>1.0268999999999999</v>
      </c>
      <c r="BW61" s="128">
        <v>6.3E-3</v>
      </c>
      <c r="BX61" s="128">
        <v>20628.9817</v>
      </c>
      <c r="BY61" s="128">
        <v>6684.7725</v>
      </c>
      <c r="BZ61" s="49">
        <f t="shared" si="105"/>
        <v>441.55626000000001</v>
      </c>
      <c r="CA61" s="49">
        <f t="shared" si="105"/>
        <v>414.99082799999996</v>
      </c>
      <c r="CB61" s="47">
        <f t="shared" si="105"/>
        <v>0.65513699999999997</v>
      </c>
      <c r="CC61" s="47">
        <f t="shared" si="78"/>
        <v>0.3174091067407096</v>
      </c>
      <c r="CD61" s="48">
        <f t="shared" si="79"/>
        <v>441.87366910674069</v>
      </c>
      <c r="CE61" s="48">
        <f t="shared" si="80"/>
        <v>414.65310010674062</v>
      </c>
      <c r="CF61" s="93">
        <f t="shared" si="81"/>
        <v>453.59111228423092</v>
      </c>
      <c r="CG61" s="93">
        <f t="shared" si="82"/>
        <v>426.37054328423085</v>
      </c>
      <c r="CI61" s="128">
        <v>1.1138999999999999</v>
      </c>
      <c r="CJ61" s="130">
        <v>1.0684</v>
      </c>
      <c r="CK61" s="128">
        <v>5.5E-2</v>
      </c>
      <c r="CL61" s="128">
        <v>69666.934200000003</v>
      </c>
      <c r="CM61" s="128">
        <v>21439.0425</v>
      </c>
      <c r="CN61" s="49">
        <f t="shared" si="106"/>
        <v>236.45869199999999</v>
      </c>
      <c r="CO61" s="49">
        <f t="shared" si="106"/>
        <v>294.32283200000001</v>
      </c>
      <c r="CP61" s="47">
        <f t="shared" si="106"/>
        <v>2.145E-2</v>
      </c>
      <c r="CQ61" s="47">
        <f t="shared" si="83"/>
        <v>1.1894205922661319E-2</v>
      </c>
      <c r="CR61" s="48">
        <f t="shared" si="84"/>
        <v>236.47058620592264</v>
      </c>
      <c r="CS61" s="48">
        <f t="shared" si="85"/>
        <v>294.31327620592265</v>
      </c>
      <c r="CT61" s="93">
        <f t="shared" si="86"/>
        <v>236.49184094675937</v>
      </c>
      <c r="CU61" s="93">
        <f t="shared" si="87"/>
        <v>294.33453094675934</v>
      </c>
      <c r="CW61" s="128">
        <v>1.6523000000000001</v>
      </c>
      <c r="CX61" s="130">
        <v>1.5617000000000001</v>
      </c>
      <c r="CY61" s="128">
        <v>0.129</v>
      </c>
      <c r="CZ61" s="128">
        <v>33104.525000000001</v>
      </c>
      <c r="DA61" s="128">
        <v>9390.7291999999998</v>
      </c>
      <c r="DB61" s="49">
        <f t="shared" si="107"/>
        <v>354.76533300000006</v>
      </c>
      <c r="DC61" s="49">
        <f t="shared" si="107"/>
        <v>468.57246800000007</v>
      </c>
      <c r="DD61" s="47">
        <f t="shared" si="107"/>
        <v>3.483E-2</v>
      </c>
      <c r="DE61" s="47">
        <f t="shared" si="88"/>
        <v>1.9822215183874451E-2</v>
      </c>
      <c r="DF61" s="48">
        <f t="shared" si="89"/>
        <v>354.78515521518392</v>
      </c>
      <c r="DG61" s="48">
        <f t="shared" si="90"/>
        <v>468.55746021518394</v>
      </c>
      <c r="DH61" s="93">
        <f t="shared" si="91"/>
        <v>354.78832019881804</v>
      </c>
      <c r="DI61" s="93">
        <f t="shared" si="92"/>
        <v>468.56062519881806</v>
      </c>
      <c r="DK61" s="128">
        <v>1.6713</v>
      </c>
      <c r="DL61" s="130">
        <v>1.5581</v>
      </c>
      <c r="DM61" s="128">
        <v>0.15390000000000001</v>
      </c>
      <c r="DN61" s="128">
        <v>8274.1725000000006</v>
      </c>
      <c r="DO61" s="128">
        <v>3191.9866999999999</v>
      </c>
      <c r="DP61" s="49">
        <f t="shared" si="108"/>
        <v>221.21326800000003</v>
      </c>
      <c r="DQ61" s="49">
        <f t="shared" si="108"/>
        <v>301.69490300000001</v>
      </c>
      <c r="DR61" s="47">
        <f t="shared" si="108"/>
        <v>2.9241000000000003E-2</v>
      </c>
      <c r="DS61" s="47">
        <f t="shared" si="93"/>
        <v>1.6870764596682884E-2</v>
      </c>
      <c r="DT61" s="48">
        <f t="shared" si="94"/>
        <v>221.23013876459672</v>
      </c>
      <c r="DU61" s="48">
        <f t="shared" si="95"/>
        <v>301.68253276459666</v>
      </c>
      <c r="DV61" s="93">
        <f t="shared" si="96"/>
        <v>221.23539444953002</v>
      </c>
      <c r="DW61" s="93">
        <f t="shared" si="97"/>
        <v>301.68778844952999</v>
      </c>
      <c r="EB61" s="52"/>
      <c r="EC61" s="52"/>
      <c r="ED61" s="52"/>
      <c r="EE61" s="55">
        <f t="shared" si="98"/>
        <v>159242.85</v>
      </c>
      <c r="EF61" s="55">
        <f t="shared" si="98"/>
        <v>46440.464200000002</v>
      </c>
      <c r="EG61" s="55">
        <f t="shared" si="98"/>
        <v>2690.9299484000003</v>
      </c>
      <c r="EH61" s="55">
        <f t="shared" si="98"/>
        <v>3455.1562483999996</v>
      </c>
      <c r="EI61" s="298">
        <f t="shared" si="109"/>
        <v>0.77421375000383963</v>
      </c>
      <c r="EJ61" s="52"/>
      <c r="EK61" s="55">
        <f t="shared" si="99"/>
        <v>2691.3126855041664</v>
      </c>
      <c r="EL61" s="55">
        <f t="shared" si="99"/>
        <v>3453.7430475041674</v>
      </c>
      <c r="EM61" s="55">
        <f t="shared" si="39"/>
        <v>2724.6678645983425</v>
      </c>
      <c r="EN61" s="55">
        <f t="shared" si="39"/>
        <v>3487.098226598343</v>
      </c>
      <c r="EP61" s="52"/>
      <c r="EQ61" s="52"/>
      <c r="ER61" s="52"/>
      <c r="ES61" s="55">
        <f t="shared" si="110"/>
        <v>126776.00760000001</v>
      </c>
      <c r="ET61" s="55">
        <f t="shared" si="110"/>
        <v>38766.810899999997</v>
      </c>
      <c r="EU61" s="55">
        <f t="shared" si="110"/>
        <v>2130.0311440999999</v>
      </c>
      <c r="EV61" s="55">
        <f t="shared" si="110"/>
        <v>2793.8257085999999</v>
      </c>
      <c r="EW61" s="298">
        <f t="shared" si="111"/>
        <v>0.76582003827607914</v>
      </c>
      <c r="EX61" s="52"/>
      <c r="EY61" s="55">
        <f t="shared" si="112"/>
        <v>2135.0819408768989</v>
      </c>
      <c r="EZ61" s="55">
        <f t="shared" si="112"/>
        <v>2790.4369613768986</v>
      </c>
      <c r="FA61" s="55">
        <f t="shared" si="112"/>
        <v>2166.0791779719498</v>
      </c>
      <c r="FB61" s="55">
        <f t="shared" si="112"/>
        <v>2821.4341984719504</v>
      </c>
      <c r="FD61" s="52"/>
      <c r="FE61" s="52"/>
      <c r="FF61" s="52"/>
      <c r="FG61" s="55">
        <f t="shared" si="113"/>
        <v>99441.935100000002</v>
      </c>
      <c r="FH61" s="55">
        <f t="shared" si="113"/>
        <v>31654.8017</v>
      </c>
      <c r="FI61" s="55">
        <f t="shared" si="113"/>
        <v>1603.4147447999999</v>
      </c>
      <c r="FJ61" s="55">
        <f t="shared" si="113"/>
        <v>2313.4393138</v>
      </c>
      <c r="FK61" s="298">
        <f t="shared" si="114"/>
        <v>0.75853859926130518</v>
      </c>
      <c r="FL61" s="52"/>
      <c r="FM61" s="55">
        <f t="shared" si="115"/>
        <v>1603.7541705714214</v>
      </c>
      <c r="FN61" s="55">
        <f t="shared" si="115"/>
        <v>2313.0846079714211</v>
      </c>
      <c r="FO61" s="55">
        <f t="shared" si="115"/>
        <v>1627.2984599785598</v>
      </c>
      <c r="FP61" s="55">
        <f t="shared" si="115"/>
        <v>2336.6288973785599</v>
      </c>
      <c r="FR61" s="52"/>
      <c r="FS61" s="52"/>
      <c r="FT61" s="52"/>
      <c r="FU61" s="55">
        <f t="shared" si="116"/>
        <v>102771.45920000001</v>
      </c>
      <c r="FV61" s="55">
        <f t="shared" si="116"/>
        <v>30829.771699999998</v>
      </c>
      <c r="FW61" s="55">
        <f t="shared" si="116"/>
        <v>520.27095840000004</v>
      </c>
      <c r="FX61" s="55">
        <f t="shared" si="116"/>
        <v>669.18080640000017</v>
      </c>
      <c r="FY61" s="298">
        <f t="shared" si="117"/>
        <v>0.76924036184160627</v>
      </c>
      <c r="FZ61" s="52"/>
      <c r="GA61" s="55">
        <f t="shared" si="118"/>
        <v>520.29871037806981</v>
      </c>
      <c r="GB61" s="55">
        <f t="shared" si="118"/>
        <v>669.15924437806984</v>
      </c>
      <c r="GC61" s="55">
        <f t="shared" si="118"/>
        <v>520.3224971058138</v>
      </c>
      <c r="GD61" s="55">
        <f t="shared" si="118"/>
        <v>669.18303110581382</v>
      </c>
      <c r="GF61" s="52"/>
      <c r="GG61" s="52"/>
      <c r="GH61" s="52"/>
      <c r="GI61" s="55">
        <f t="shared" si="119"/>
        <v>51813.626700000001</v>
      </c>
      <c r="GJ61" s="55">
        <f t="shared" si="119"/>
        <v>15845.215</v>
      </c>
      <c r="GK61" s="56">
        <f t="shared" si="120"/>
        <v>186.37744499999991</v>
      </c>
      <c r="GL61" s="56">
        <f t="shared" si="120"/>
        <v>201.04822050000001</v>
      </c>
      <c r="GM61" s="298">
        <f t="shared" si="121"/>
        <v>0.7658071790490022</v>
      </c>
      <c r="GN61" s="52"/>
      <c r="GO61" s="56">
        <f t="shared" si="122"/>
        <v>186.13938816994443</v>
      </c>
      <c r="GP61" s="56">
        <f t="shared" si="122"/>
        <v>201.30151641994451</v>
      </c>
      <c r="GQ61" s="56">
        <f t="shared" si="122"/>
        <v>191.34467854310378</v>
      </c>
      <c r="GR61" s="56">
        <f t="shared" si="122"/>
        <v>206.50680679310389</v>
      </c>
    </row>
    <row r="62" spans="1:200" x14ac:dyDescent="0.2">
      <c r="A62" s="118">
        <v>52</v>
      </c>
      <c r="C62" s="128">
        <v>1.5470999999999999</v>
      </c>
      <c r="D62" s="128">
        <v>1.139</v>
      </c>
      <c r="E62" s="128">
        <v>1.18E-2</v>
      </c>
      <c r="F62" s="128">
        <v>22873.369200000001</v>
      </c>
      <c r="G62" s="128">
        <v>5907.7583000000004</v>
      </c>
      <c r="H62" s="49">
        <f t="shared" si="100"/>
        <v>1549.2968819999999</v>
      </c>
      <c r="I62" s="49">
        <f t="shared" si="100"/>
        <v>2161.3663999999999</v>
      </c>
      <c r="J62" s="47">
        <f t="shared" si="100"/>
        <v>2.1468919999999998</v>
      </c>
      <c r="K62" s="47">
        <f t="shared" si="53"/>
        <v>0.44068179859192791</v>
      </c>
      <c r="L62" s="48">
        <f t="shared" si="54"/>
        <v>1549.7375637985917</v>
      </c>
      <c r="M62" s="48">
        <f t="shared" si="55"/>
        <v>2159.6601897985915</v>
      </c>
      <c r="N62" s="93">
        <f t="shared" si="56"/>
        <v>1564.325429150826</v>
      </c>
      <c r="O62" s="93">
        <f t="shared" si="57"/>
        <v>2174.2480551508261</v>
      </c>
      <c r="Q62" s="128">
        <v>1.7496</v>
      </c>
      <c r="R62" s="130">
        <v>1.3722000000000001</v>
      </c>
      <c r="S62" s="128">
        <v>3.7499999999999999E-2</v>
      </c>
      <c r="T62" s="128">
        <v>6887.4425000000001</v>
      </c>
      <c r="U62" s="128">
        <v>2533.7516999999998</v>
      </c>
      <c r="V62" s="49">
        <f t="shared" si="101"/>
        <v>1113.4629359999999</v>
      </c>
      <c r="W62" s="49">
        <f t="shared" si="101"/>
        <v>1634.9625780000001</v>
      </c>
      <c r="X62" s="47">
        <f t="shared" si="101"/>
        <v>8.3051250000000003</v>
      </c>
      <c r="Y62" s="47">
        <f t="shared" si="58"/>
        <v>4.9404899319429951</v>
      </c>
      <c r="Z62" s="48">
        <f t="shared" si="59"/>
        <v>1118.4034259319428</v>
      </c>
      <c r="AA62" s="48">
        <f t="shared" si="60"/>
        <v>1631.597942931943</v>
      </c>
      <c r="AB62" s="93">
        <f t="shared" si="61"/>
        <v>1130.7618034795848</v>
      </c>
      <c r="AC62" s="93">
        <f t="shared" si="62"/>
        <v>1643.956320479585</v>
      </c>
      <c r="AE62" s="128">
        <v>1.8762000000000001</v>
      </c>
      <c r="AF62" s="130">
        <v>1.415</v>
      </c>
      <c r="AG62" s="128">
        <v>0</v>
      </c>
      <c r="AH62" s="128">
        <v>802.69749999999999</v>
      </c>
      <c r="AI62" s="128">
        <v>321.05079999999998</v>
      </c>
      <c r="AJ62" s="49">
        <f t="shared" si="102"/>
        <v>863.20209599999998</v>
      </c>
      <c r="AK62" s="49">
        <f t="shared" si="102"/>
        <v>1486.78295</v>
      </c>
      <c r="AL62" s="47">
        <f t="shared" si="102"/>
        <v>0</v>
      </c>
      <c r="AM62" s="47">
        <f t="shared" si="63"/>
        <v>0</v>
      </c>
      <c r="AN62" s="48">
        <f t="shared" si="64"/>
        <v>863.20209599999998</v>
      </c>
      <c r="AO62" s="48">
        <f t="shared" si="65"/>
        <v>1486.78295</v>
      </c>
      <c r="AP62" s="93">
        <f t="shared" si="66"/>
        <v>875.00453407785153</v>
      </c>
      <c r="AQ62" s="93">
        <f t="shared" si="67"/>
        <v>1498.5853880778516</v>
      </c>
      <c r="AS62" s="128">
        <v>2.1103999999999998</v>
      </c>
      <c r="AT62" s="130">
        <v>1.0148999999999999</v>
      </c>
      <c r="AU62" s="128">
        <v>0</v>
      </c>
      <c r="AV62" s="128">
        <v>28738.813300000002</v>
      </c>
      <c r="AW62" s="128">
        <v>8427.9133000000002</v>
      </c>
      <c r="AX62" s="49">
        <f t="shared" si="103"/>
        <v>739.99065599999994</v>
      </c>
      <c r="AY62" s="49">
        <f t="shared" si="103"/>
        <v>715.48420199999998</v>
      </c>
      <c r="AZ62" s="47">
        <f t="shared" si="103"/>
        <v>0</v>
      </c>
      <c r="BA62" s="47">
        <f t="shared" si="68"/>
        <v>0</v>
      </c>
      <c r="BB62" s="48">
        <f t="shared" si="69"/>
        <v>739.99065599999994</v>
      </c>
      <c r="BC62" s="48">
        <f t="shared" si="70"/>
        <v>715.48420199999998</v>
      </c>
      <c r="BD62" s="93">
        <f t="shared" si="71"/>
        <v>758.64848634170266</v>
      </c>
      <c r="BE62" s="93">
        <f t="shared" si="72"/>
        <v>734.1420323417027</v>
      </c>
      <c r="BG62" s="128">
        <v>1.9658</v>
      </c>
      <c r="BH62" s="130">
        <v>1.0564</v>
      </c>
      <c r="BI62" s="128">
        <v>0</v>
      </c>
      <c r="BJ62" s="128">
        <v>15206.9467</v>
      </c>
      <c r="BK62" s="128">
        <v>4855.5124999999998</v>
      </c>
      <c r="BL62" s="49">
        <f t="shared" si="104"/>
        <v>645.60803600000008</v>
      </c>
      <c r="BM62" s="49">
        <f t="shared" si="104"/>
        <v>638.783952</v>
      </c>
      <c r="BN62" s="47">
        <f t="shared" si="104"/>
        <v>0</v>
      </c>
      <c r="BO62" s="47">
        <f t="shared" si="73"/>
        <v>0</v>
      </c>
      <c r="BP62" s="48">
        <f t="shared" si="74"/>
        <v>645.60803600000008</v>
      </c>
      <c r="BQ62" s="48">
        <f t="shared" si="75"/>
        <v>638.783952</v>
      </c>
      <c r="BR62" s="93">
        <f t="shared" si="76"/>
        <v>664.30796240643315</v>
      </c>
      <c r="BS62" s="93">
        <f t="shared" si="77"/>
        <v>657.48387840643306</v>
      </c>
      <c r="BU62" s="128">
        <v>1.9433</v>
      </c>
      <c r="BV62" s="130">
        <v>1.0487</v>
      </c>
      <c r="BW62" s="128">
        <v>4.7999999999999996E-3</v>
      </c>
      <c r="BX62" s="128">
        <v>19469.7117</v>
      </c>
      <c r="BY62" s="128">
        <v>6441.5442000000003</v>
      </c>
      <c r="BZ62" s="49">
        <f t="shared" si="105"/>
        <v>471.44457999999997</v>
      </c>
      <c r="CA62" s="49">
        <f t="shared" si="105"/>
        <v>423.80064399999998</v>
      </c>
      <c r="CB62" s="47">
        <f t="shared" si="105"/>
        <v>0.49915199999999993</v>
      </c>
      <c r="CC62" s="47">
        <f t="shared" si="78"/>
        <v>0.23629384819135094</v>
      </c>
      <c r="CD62" s="48">
        <f t="shared" si="79"/>
        <v>471.68087384819131</v>
      </c>
      <c r="CE62" s="48">
        <f t="shared" si="80"/>
        <v>423.53778584819133</v>
      </c>
      <c r="CF62" s="93">
        <f t="shared" si="81"/>
        <v>483.47943228423088</v>
      </c>
      <c r="CG62" s="93">
        <f t="shared" si="82"/>
        <v>435.3363442842309</v>
      </c>
      <c r="CI62" s="128">
        <v>1.1311</v>
      </c>
      <c r="CJ62" s="130">
        <v>1.0754999999999999</v>
      </c>
      <c r="CK62" s="128">
        <v>5.2499999999999998E-2</v>
      </c>
      <c r="CL62" s="128">
        <v>64495.784200000002</v>
      </c>
      <c r="CM62" s="128">
        <v>20110.604200000002</v>
      </c>
      <c r="CN62" s="49">
        <f t="shared" si="106"/>
        <v>240.10990799999999</v>
      </c>
      <c r="CO62" s="49">
        <f t="shared" si="106"/>
        <v>296.27873999999997</v>
      </c>
      <c r="CP62" s="47">
        <f t="shared" si="106"/>
        <v>2.0475E-2</v>
      </c>
      <c r="CQ62" s="47">
        <f t="shared" si="83"/>
        <v>1.1309536889192329E-2</v>
      </c>
      <c r="CR62" s="48">
        <f t="shared" si="84"/>
        <v>240.12121753688919</v>
      </c>
      <c r="CS62" s="48">
        <f t="shared" si="85"/>
        <v>296.26957453688919</v>
      </c>
      <c r="CT62" s="93">
        <f t="shared" si="86"/>
        <v>240.14305694675937</v>
      </c>
      <c r="CU62" s="93">
        <f t="shared" si="87"/>
        <v>296.29141394675935</v>
      </c>
      <c r="CW62" s="128">
        <v>1.7465999999999999</v>
      </c>
      <c r="CX62" s="130">
        <v>1.6325000000000001</v>
      </c>
      <c r="CY62" s="128">
        <v>0.1116</v>
      </c>
      <c r="CZ62" s="128">
        <v>30410.57</v>
      </c>
      <c r="DA62" s="128">
        <v>8816.6149999999998</v>
      </c>
      <c r="DB62" s="49">
        <f t="shared" si="107"/>
        <v>375.01248600000002</v>
      </c>
      <c r="DC62" s="49">
        <f t="shared" si="107"/>
        <v>489.81530000000004</v>
      </c>
      <c r="DD62" s="47">
        <f t="shared" si="107"/>
        <v>3.0132000000000003E-2</v>
      </c>
      <c r="DE62" s="47">
        <f t="shared" si="88"/>
        <v>1.7065957938127582E-2</v>
      </c>
      <c r="DF62" s="48">
        <f t="shared" si="89"/>
        <v>375.02955195793817</v>
      </c>
      <c r="DG62" s="48">
        <f t="shared" si="90"/>
        <v>489.8022339579382</v>
      </c>
      <c r="DH62" s="93">
        <f t="shared" si="91"/>
        <v>375.03547319881801</v>
      </c>
      <c r="DI62" s="93">
        <f t="shared" si="92"/>
        <v>489.80815519881804</v>
      </c>
      <c r="DK62" s="128">
        <v>1.7684</v>
      </c>
      <c r="DL62" s="130">
        <v>1.619</v>
      </c>
      <c r="DM62" s="128">
        <v>0.1293</v>
      </c>
      <c r="DN62" s="128">
        <v>7631.1207999999997</v>
      </c>
      <c r="DO62" s="128">
        <v>2831.0832999999998</v>
      </c>
      <c r="DP62" s="49">
        <f t="shared" si="108"/>
        <v>234.06542400000001</v>
      </c>
      <c r="DQ62" s="49">
        <f t="shared" si="108"/>
        <v>313.48696999999999</v>
      </c>
      <c r="DR62" s="47">
        <f t="shared" si="108"/>
        <v>2.4566999999999999E-2</v>
      </c>
      <c r="DS62" s="47">
        <f t="shared" si="93"/>
        <v>1.4065200839921811E-2</v>
      </c>
      <c r="DT62" s="48">
        <f t="shared" si="94"/>
        <v>234.07948920083993</v>
      </c>
      <c r="DU62" s="48">
        <f t="shared" si="95"/>
        <v>313.47646820083992</v>
      </c>
      <c r="DV62" s="93">
        <f t="shared" si="96"/>
        <v>234.08755044953</v>
      </c>
      <c r="DW62" s="93">
        <f t="shared" si="97"/>
        <v>313.48452944952999</v>
      </c>
      <c r="EB62" s="52"/>
      <c r="EC62" s="52"/>
      <c r="ED62" s="52"/>
      <c r="EE62" s="55">
        <f t="shared" si="98"/>
        <v>146518.5367</v>
      </c>
      <c r="EF62" s="55">
        <f t="shared" si="98"/>
        <v>43262.890800000001</v>
      </c>
      <c r="EG62" s="55">
        <f t="shared" si="98"/>
        <v>2829.4074347999995</v>
      </c>
      <c r="EH62" s="55">
        <f t="shared" si="98"/>
        <v>3564.9815820000003</v>
      </c>
      <c r="EI62" s="298">
        <f t="shared" si="109"/>
        <v>0.7720383318330768</v>
      </c>
      <c r="EJ62" s="52"/>
      <c r="EK62" s="55">
        <f t="shared" si="99"/>
        <v>2829.8730789018309</v>
      </c>
      <c r="EL62" s="55">
        <f t="shared" si="99"/>
        <v>3563.2557535018314</v>
      </c>
      <c r="EM62" s="55">
        <f t="shared" si="39"/>
        <v>2863.1453509983426</v>
      </c>
      <c r="EN62" s="55">
        <f t="shared" si="39"/>
        <v>3596.5280255983425</v>
      </c>
      <c r="EP62" s="52"/>
      <c r="EQ62" s="52"/>
      <c r="ER62" s="52"/>
      <c r="ES62" s="55">
        <f t="shared" si="110"/>
        <v>117000.74340000001</v>
      </c>
      <c r="ET62" s="55">
        <f t="shared" si="110"/>
        <v>36316.483399999997</v>
      </c>
      <c r="EU62" s="55">
        <f t="shared" si="110"/>
        <v>2261.6896201999998</v>
      </c>
      <c r="EV62" s="55">
        <f t="shared" si="110"/>
        <v>2912.8959800000002</v>
      </c>
      <c r="EW62" s="298">
        <f t="shared" si="111"/>
        <v>0.76312848752883911</v>
      </c>
      <c r="EX62" s="52"/>
      <c r="EY62" s="55">
        <f t="shared" si="112"/>
        <v>2266.6533658393887</v>
      </c>
      <c r="EZ62" s="55">
        <f t="shared" si="112"/>
        <v>2909.5130332393887</v>
      </c>
      <c r="FA62" s="55">
        <f t="shared" si="112"/>
        <v>2297.7376540719501</v>
      </c>
      <c r="FB62" s="55">
        <f t="shared" si="112"/>
        <v>2940.5973214719502</v>
      </c>
      <c r="FD62" s="52"/>
      <c r="FE62" s="52"/>
      <c r="FF62" s="52"/>
      <c r="FG62" s="55">
        <f t="shared" si="113"/>
        <v>92399.314200000008</v>
      </c>
      <c r="FH62" s="55">
        <f t="shared" si="113"/>
        <v>29704.282500000001</v>
      </c>
      <c r="FI62" s="55">
        <f t="shared" si="113"/>
        <v>1715.1958383999997</v>
      </c>
      <c r="FJ62" s="55">
        <f t="shared" si="113"/>
        <v>2394.9545159999998</v>
      </c>
      <c r="FK62" s="298">
        <f t="shared" si="114"/>
        <v>0.75672884908557325</v>
      </c>
      <c r="FL62" s="52"/>
      <c r="FM62" s="55">
        <f t="shared" si="115"/>
        <v>1715.4518809055844</v>
      </c>
      <c r="FN62" s="55">
        <f t="shared" si="115"/>
        <v>2394.6761913055843</v>
      </c>
      <c r="FO62" s="55">
        <f t="shared" si="115"/>
        <v>1739.0795535785596</v>
      </c>
      <c r="FP62" s="55">
        <f t="shared" si="115"/>
        <v>2418.3038639785595</v>
      </c>
      <c r="FR62" s="52"/>
      <c r="FS62" s="52"/>
      <c r="FT62" s="52"/>
      <c r="FU62" s="55">
        <f t="shared" si="116"/>
        <v>94906.354200000002</v>
      </c>
      <c r="FV62" s="55">
        <f t="shared" si="116"/>
        <v>28927.2192</v>
      </c>
      <c r="FW62" s="55">
        <f t="shared" si="116"/>
        <v>540.11989679999999</v>
      </c>
      <c r="FX62" s="55">
        <f t="shared" si="116"/>
        <v>688.13098000000002</v>
      </c>
      <c r="FY62" s="298">
        <f t="shared" si="117"/>
        <v>0.76640245124348483</v>
      </c>
      <c r="FZ62" s="52"/>
      <c r="GA62" s="55">
        <f t="shared" si="118"/>
        <v>540.1448591032397</v>
      </c>
      <c r="GB62" s="55">
        <f t="shared" si="118"/>
        <v>688.11136170323971</v>
      </c>
      <c r="GC62" s="55">
        <f t="shared" si="118"/>
        <v>540.17143550581386</v>
      </c>
      <c r="GD62" s="55">
        <f t="shared" si="118"/>
        <v>688.13793810581387</v>
      </c>
      <c r="GF62" s="52"/>
      <c r="GG62" s="52"/>
      <c r="GH62" s="52"/>
      <c r="GI62" s="55">
        <f t="shared" si="119"/>
        <v>48208.525000000001</v>
      </c>
      <c r="GJ62" s="55">
        <f t="shared" si="119"/>
        <v>14869.4575</v>
      </c>
      <c r="GK62" s="56">
        <f t="shared" si="120"/>
        <v>201.40955699999998</v>
      </c>
      <c r="GL62" s="56">
        <f t="shared" si="120"/>
        <v>218.76266850000002</v>
      </c>
      <c r="GM62" s="298">
        <f t="shared" si="121"/>
        <v>0.76426865745111616</v>
      </c>
      <c r="GN62" s="52"/>
      <c r="GO62" s="56">
        <f t="shared" si="122"/>
        <v>201.23233661385649</v>
      </c>
      <c r="GP62" s="56">
        <f t="shared" si="122"/>
        <v>218.95981211385649</v>
      </c>
      <c r="GQ62" s="56">
        <f t="shared" si="122"/>
        <v>206.37679054310382</v>
      </c>
      <c r="GR62" s="56">
        <f t="shared" si="122"/>
        <v>224.10426604310385</v>
      </c>
    </row>
    <row r="63" spans="1:200" x14ac:dyDescent="0.2">
      <c r="A63" s="118">
        <v>53</v>
      </c>
      <c r="C63" s="128">
        <v>1.6214</v>
      </c>
      <c r="D63" s="128">
        <v>1.1711</v>
      </c>
      <c r="E63" s="128">
        <v>1.4200000000000001E-2</v>
      </c>
      <c r="F63" s="128">
        <v>21335.159199999998</v>
      </c>
      <c r="G63" s="128">
        <v>5781.5924999999997</v>
      </c>
      <c r="H63" s="49">
        <f t="shared" si="100"/>
        <v>1623.7023879999999</v>
      </c>
      <c r="I63" s="49">
        <f t="shared" si="100"/>
        <v>2222.27936</v>
      </c>
      <c r="J63" s="47">
        <f t="shared" si="100"/>
        <v>2.583548</v>
      </c>
      <c r="K63" s="47">
        <f t="shared" si="53"/>
        <v>0.55084111494777599</v>
      </c>
      <c r="L63" s="48">
        <f t="shared" si="54"/>
        <v>1624.2532291149478</v>
      </c>
      <c r="M63" s="48">
        <f t="shared" si="55"/>
        <v>2220.2466531149475</v>
      </c>
      <c r="N63" s="93">
        <f t="shared" si="56"/>
        <v>1638.7309351508261</v>
      </c>
      <c r="O63" s="93">
        <f t="shared" si="57"/>
        <v>2234.7243591508263</v>
      </c>
      <c r="Q63" s="128">
        <v>1.8625</v>
      </c>
      <c r="R63" s="130">
        <v>1.429</v>
      </c>
      <c r="S63" s="128">
        <v>3.5299999999999998E-2</v>
      </c>
      <c r="T63" s="128">
        <v>6511.6867000000002</v>
      </c>
      <c r="U63" s="128">
        <v>2351.0425</v>
      </c>
      <c r="V63" s="49">
        <f t="shared" si="101"/>
        <v>1185.313625</v>
      </c>
      <c r="W63" s="49">
        <f t="shared" si="101"/>
        <v>1702.63921</v>
      </c>
      <c r="X63" s="47">
        <f t="shared" si="101"/>
        <v>7.8178909999999995</v>
      </c>
      <c r="Y63" s="47">
        <f t="shared" si="58"/>
        <v>4.6091638321739108</v>
      </c>
      <c r="Z63" s="48">
        <f t="shared" si="59"/>
        <v>1189.9227888321739</v>
      </c>
      <c r="AA63" s="48">
        <f t="shared" si="60"/>
        <v>1699.430482832174</v>
      </c>
      <c r="AB63" s="93">
        <f t="shared" si="61"/>
        <v>1202.6124924795849</v>
      </c>
      <c r="AC63" s="93">
        <f t="shared" si="62"/>
        <v>1712.1201864795851</v>
      </c>
      <c r="AE63" s="128">
        <v>2.0484</v>
      </c>
      <c r="AF63" s="130">
        <v>1.4715</v>
      </c>
      <c r="AG63" s="128">
        <v>0</v>
      </c>
      <c r="AH63" s="128">
        <v>820.98170000000005</v>
      </c>
      <c r="AI63" s="128">
        <v>325.86750000000001</v>
      </c>
      <c r="AJ63" s="49">
        <f t="shared" si="102"/>
        <v>942.42787199999998</v>
      </c>
      <c r="AK63" s="49">
        <f t="shared" si="102"/>
        <v>1546.149195</v>
      </c>
      <c r="AL63" s="47">
        <f t="shared" si="102"/>
        <v>0</v>
      </c>
      <c r="AM63" s="47">
        <f t="shared" si="63"/>
        <v>0</v>
      </c>
      <c r="AN63" s="48">
        <f t="shared" si="64"/>
        <v>942.42787199999998</v>
      </c>
      <c r="AO63" s="48">
        <f t="shared" si="65"/>
        <v>1546.149195</v>
      </c>
      <c r="AP63" s="93">
        <f t="shared" si="66"/>
        <v>954.23031007785153</v>
      </c>
      <c r="AQ63" s="93">
        <f t="shared" si="67"/>
        <v>1557.9516330778515</v>
      </c>
      <c r="AS63" s="128">
        <v>2.2665000000000002</v>
      </c>
      <c r="AT63" s="130">
        <v>1.0641</v>
      </c>
      <c r="AU63" s="128">
        <v>0</v>
      </c>
      <c r="AV63" s="128">
        <v>26961.5108</v>
      </c>
      <c r="AW63" s="128">
        <v>8035.05</v>
      </c>
      <c r="AX63" s="49">
        <f t="shared" si="103"/>
        <v>794.72556000000009</v>
      </c>
      <c r="AY63" s="49">
        <f t="shared" si="103"/>
        <v>750.169218</v>
      </c>
      <c r="AZ63" s="47">
        <f t="shared" si="103"/>
        <v>0</v>
      </c>
      <c r="BA63" s="47">
        <f t="shared" si="68"/>
        <v>0</v>
      </c>
      <c r="BB63" s="48">
        <f t="shared" si="69"/>
        <v>794.72556000000009</v>
      </c>
      <c r="BC63" s="48">
        <f t="shared" si="70"/>
        <v>750.169218</v>
      </c>
      <c r="BD63" s="93">
        <f t="shared" si="71"/>
        <v>813.38339034170281</v>
      </c>
      <c r="BE63" s="93">
        <f t="shared" si="72"/>
        <v>768.82704834170272</v>
      </c>
      <c r="BG63" s="128">
        <v>2.129</v>
      </c>
      <c r="BH63" s="130">
        <v>1.1082000000000001</v>
      </c>
      <c r="BI63" s="128">
        <v>0</v>
      </c>
      <c r="BJ63" s="128">
        <v>14433.7192</v>
      </c>
      <c r="BK63" s="128">
        <v>4848.0150000000003</v>
      </c>
      <c r="BL63" s="49">
        <f t="shared" si="104"/>
        <v>699.20618000000002</v>
      </c>
      <c r="BM63" s="49">
        <f t="shared" si="104"/>
        <v>670.10637599999995</v>
      </c>
      <c r="BN63" s="47">
        <f t="shared" si="104"/>
        <v>0</v>
      </c>
      <c r="BO63" s="47">
        <f t="shared" si="73"/>
        <v>0</v>
      </c>
      <c r="BP63" s="48">
        <f t="shared" si="74"/>
        <v>699.20618000000002</v>
      </c>
      <c r="BQ63" s="48">
        <f t="shared" si="75"/>
        <v>670.10637599999995</v>
      </c>
      <c r="BR63" s="93">
        <f t="shared" si="76"/>
        <v>717.90610640643308</v>
      </c>
      <c r="BS63" s="93">
        <f t="shared" si="77"/>
        <v>688.80630240643302</v>
      </c>
      <c r="BU63" s="128">
        <v>2.0813000000000001</v>
      </c>
      <c r="BV63" s="130">
        <v>1.0725</v>
      </c>
      <c r="BW63" s="128">
        <v>6.9999999999999999E-4</v>
      </c>
      <c r="BX63" s="128">
        <v>18294.561699999998</v>
      </c>
      <c r="BY63" s="128">
        <v>6225.2407999999996</v>
      </c>
      <c r="BZ63" s="49">
        <f t="shared" si="105"/>
        <v>504.92338000000001</v>
      </c>
      <c r="CA63" s="49">
        <f t="shared" si="105"/>
        <v>433.4187</v>
      </c>
      <c r="CB63" s="47">
        <f t="shared" si="105"/>
        <v>7.2792999999999997E-2</v>
      </c>
      <c r="CC63" s="47">
        <f t="shared" si="78"/>
        <v>3.3622969811926154E-2</v>
      </c>
      <c r="CD63" s="48">
        <f t="shared" si="79"/>
        <v>504.95700296981192</v>
      </c>
      <c r="CE63" s="48">
        <f t="shared" si="80"/>
        <v>433.37952996981193</v>
      </c>
      <c r="CF63" s="93">
        <f t="shared" si="81"/>
        <v>516.95823228423092</v>
      </c>
      <c r="CG63" s="93">
        <f t="shared" si="82"/>
        <v>445.38075928423092</v>
      </c>
      <c r="CI63" s="128">
        <v>1.1486000000000001</v>
      </c>
      <c r="CJ63" s="130">
        <v>1.081</v>
      </c>
      <c r="CK63" s="128">
        <v>4.7800000000000002E-2</v>
      </c>
      <c r="CL63" s="128">
        <v>60697.918299999998</v>
      </c>
      <c r="CM63" s="128">
        <v>19480.555799999998</v>
      </c>
      <c r="CN63" s="49">
        <f t="shared" si="106"/>
        <v>243.82480800000002</v>
      </c>
      <c r="CO63" s="49">
        <f t="shared" si="106"/>
        <v>297.79388</v>
      </c>
      <c r="CP63" s="47">
        <f t="shared" si="106"/>
        <v>1.8642000000000002E-2</v>
      </c>
      <c r="CQ63" s="47">
        <f t="shared" si="83"/>
        <v>1.024978205877564E-2</v>
      </c>
      <c r="CR63" s="48">
        <f t="shared" si="84"/>
        <v>243.83505778205878</v>
      </c>
      <c r="CS63" s="48">
        <f t="shared" si="85"/>
        <v>297.78548778205879</v>
      </c>
      <c r="CT63" s="93">
        <f t="shared" si="86"/>
        <v>243.8579569467594</v>
      </c>
      <c r="CU63" s="93">
        <f t="shared" si="87"/>
        <v>297.80838694675936</v>
      </c>
      <c r="CW63" s="128">
        <v>1.8414999999999999</v>
      </c>
      <c r="CX63" s="130">
        <v>1.6971000000000001</v>
      </c>
      <c r="CY63" s="128">
        <v>9.7699999999999995E-2</v>
      </c>
      <c r="CZ63" s="128">
        <v>28531.857499999998</v>
      </c>
      <c r="DA63" s="128">
        <v>8483.8575000000001</v>
      </c>
      <c r="DB63" s="49">
        <f t="shared" si="107"/>
        <v>395.388465</v>
      </c>
      <c r="DC63" s="49">
        <f t="shared" si="107"/>
        <v>509.19788400000004</v>
      </c>
      <c r="DD63" s="47">
        <f t="shared" si="107"/>
        <v>2.6379E-2</v>
      </c>
      <c r="DE63" s="47">
        <f t="shared" si="88"/>
        <v>1.4848920721482169E-2</v>
      </c>
      <c r="DF63" s="48">
        <f t="shared" si="89"/>
        <v>395.40331392072147</v>
      </c>
      <c r="DG63" s="48">
        <f t="shared" si="90"/>
        <v>509.1863539207215</v>
      </c>
      <c r="DH63" s="93">
        <f t="shared" si="91"/>
        <v>395.41145219881798</v>
      </c>
      <c r="DI63" s="93">
        <f t="shared" si="92"/>
        <v>509.19449219881801</v>
      </c>
      <c r="DK63" s="128">
        <v>1.8633999999999999</v>
      </c>
      <c r="DL63" s="130">
        <v>1.6773</v>
      </c>
      <c r="DM63" s="128">
        <v>0.1032</v>
      </c>
      <c r="DN63" s="128">
        <v>7182.1733000000004</v>
      </c>
      <c r="DO63" s="128">
        <v>2789.7067000000002</v>
      </c>
      <c r="DP63" s="49">
        <f t="shared" si="108"/>
        <v>246.63962400000003</v>
      </c>
      <c r="DQ63" s="49">
        <f t="shared" si="108"/>
        <v>324.775599</v>
      </c>
      <c r="DR63" s="47">
        <f t="shared" si="108"/>
        <v>1.9608E-2</v>
      </c>
      <c r="DS63" s="47">
        <f t="shared" si="93"/>
        <v>1.1144610239395039E-2</v>
      </c>
      <c r="DT63" s="48">
        <f t="shared" si="94"/>
        <v>246.65076861023942</v>
      </c>
      <c r="DU63" s="48">
        <f t="shared" si="95"/>
        <v>324.76713561023939</v>
      </c>
      <c r="DV63" s="93">
        <f t="shared" si="96"/>
        <v>246.66175044953002</v>
      </c>
      <c r="DW63" s="93">
        <f t="shared" si="97"/>
        <v>324.77811744952999</v>
      </c>
      <c r="EB63" s="52"/>
      <c r="EC63" s="52"/>
      <c r="ED63" s="52"/>
      <c r="EE63" s="55">
        <f t="shared" si="98"/>
        <v>137526.44579999999</v>
      </c>
      <c r="EF63" s="55">
        <f t="shared" si="98"/>
        <v>41781.055799999995</v>
      </c>
      <c r="EG63" s="55">
        <f t="shared" si="98"/>
        <v>2978.5635279999997</v>
      </c>
      <c r="EH63" s="55">
        <f t="shared" si="98"/>
        <v>3677.6007652000003</v>
      </c>
      <c r="EI63" s="298">
        <f t="shared" si="109"/>
        <v>0.76698657096229372</v>
      </c>
      <c r="EJ63" s="52"/>
      <c r="EK63" s="55">
        <f t="shared" si="99"/>
        <v>2979.1364980335838</v>
      </c>
      <c r="EL63" s="55">
        <f t="shared" si="99"/>
        <v>3675.5504420335833</v>
      </c>
      <c r="EM63" s="55">
        <f t="shared" si="39"/>
        <v>3012.3014441983428</v>
      </c>
      <c r="EN63" s="55">
        <f t="shared" si="39"/>
        <v>3708.7153881983431</v>
      </c>
      <c r="EP63" s="52"/>
      <c r="EQ63" s="52"/>
      <c r="ER63" s="52"/>
      <c r="ES63" s="55">
        <f t="shared" si="110"/>
        <v>110175.1817</v>
      </c>
      <c r="ET63" s="55">
        <f t="shared" si="110"/>
        <v>35163.470799999996</v>
      </c>
      <c r="EU63" s="55">
        <f t="shared" si="110"/>
        <v>2405.1165384999995</v>
      </c>
      <c r="EV63" s="55">
        <f t="shared" si="110"/>
        <v>3026.9779848000003</v>
      </c>
      <c r="EW63" s="298">
        <f t="shared" si="111"/>
        <v>0.75805836785228209</v>
      </c>
      <c r="EX63" s="52"/>
      <c r="EY63" s="55">
        <f t="shared" si="112"/>
        <v>2409.7463463587378</v>
      </c>
      <c r="EZ63" s="55">
        <f t="shared" si="112"/>
        <v>3023.7527943587374</v>
      </c>
      <c r="FA63" s="55">
        <f t="shared" si="112"/>
        <v>2441.1645723719498</v>
      </c>
      <c r="FB63" s="55">
        <f t="shared" si="112"/>
        <v>3055.1710203719495</v>
      </c>
      <c r="FD63" s="52"/>
      <c r="FE63" s="52"/>
      <c r="FF63" s="52"/>
      <c r="FG63" s="55">
        <f t="shared" si="113"/>
        <v>86995.634999999995</v>
      </c>
      <c r="FH63" s="55">
        <f t="shared" si="113"/>
        <v>28821.370799999997</v>
      </c>
      <c r="FI63" s="55">
        <f t="shared" si="113"/>
        <v>1839.1598343999999</v>
      </c>
      <c r="FJ63" s="55">
        <f t="shared" si="113"/>
        <v>2472.2271344000001</v>
      </c>
      <c r="FK63" s="298">
        <f t="shared" si="114"/>
        <v>0.75114733280386714</v>
      </c>
      <c r="FL63" s="52"/>
      <c r="FM63" s="55">
        <f t="shared" si="115"/>
        <v>1839.2103939180142</v>
      </c>
      <c r="FN63" s="55">
        <f t="shared" si="115"/>
        <v>2472.1744941180145</v>
      </c>
      <c r="FO63" s="55">
        <f t="shared" si="115"/>
        <v>1863.04354957856</v>
      </c>
      <c r="FP63" s="55">
        <f t="shared" si="115"/>
        <v>2496.0076497785599</v>
      </c>
      <c r="FR63" s="52"/>
      <c r="FS63" s="52"/>
      <c r="FT63" s="52"/>
      <c r="FU63" s="55">
        <f t="shared" si="116"/>
        <v>89229.775800000003</v>
      </c>
      <c r="FV63" s="55">
        <f t="shared" si="116"/>
        <v>27964.4133</v>
      </c>
      <c r="FW63" s="55">
        <f t="shared" si="116"/>
        <v>560.13558000000012</v>
      </c>
      <c r="FX63" s="55">
        <f t="shared" si="116"/>
        <v>705.15218720000007</v>
      </c>
      <c r="FY63" s="298">
        <f t="shared" si="117"/>
        <v>0.76138396011991349</v>
      </c>
      <c r="FZ63" s="52"/>
      <c r="GA63" s="55">
        <f t="shared" si="118"/>
        <v>560.15770891863599</v>
      </c>
      <c r="GB63" s="55">
        <f t="shared" si="118"/>
        <v>705.13457091863597</v>
      </c>
      <c r="GC63" s="55">
        <f t="shared" si="118"/>
        <v>560.18711870581376</v>
      </c>
      <c r="GD63" s="55">
        <f t="shared" si="118"/>
        <v>705.16398070581386</v>
      </c>
      <c r="GF63" s="52"/>
      <c r="GG63" s="52"/>
      <c r="GH63" s="52"/>
      <c r="GI63" s="55">
        <f t="shared" si="119"/>
        <v>45256.072499999995</v>
      </c>
      <c r="GJ63" s="55">
        <f t="shared" si="119"/>
        <v>14260.290799999999</v>
      </c>
      <c r="GK63" s="56">
        <f t="shared" si="120"/>
        <v>217.35163500000004</v>
      </c>
      <c r="GL63" s="56">
        <f t="shared" si="120"/>
        <v>237.56288849999999</v>
      </c>
      <c r="GM63" s="298">
        <f t="shared" si="121"/>
        <v>0.76039714106658118</v>
      </c>
      <c r="GN63" s="52"/>
      <c r="GO63" s="56">
        <f t="shared" si="122"/>
        <v>217.32641777264112</v>
      </c>
      <c r="GP63" s="56">
        <f t="shared" si="122"/>
        <v>237.59226602264107</v>
      </c>
      <c r="GQ63" s="56">
        <f t="shared" si="122"/>
        <v>222.31886854310392</v>
      </c>
      <c r="GR63" s="56">
        <f t="shared" si="122"/>
        <v>242.58471679310384</v>
      </c>
    </row>
    <row r="64" spans="1:200" x14ac:dyDescent="0.2">
      <c r="A64" s="118">
        <v>54</v>
      </c>
      <c r="C64" s="128">
        <v>1.7016</v>
      </c>
      <c r="D64" s="128">
        <v>1.2041999999999999</v>
      </c>
      <c r="E64" s="128">
        <v>1.5800000000000002E-2</v>
      </c>
      <c r="F64" s="128">
        <v>19199.0933</v>
      </c>
      <c r="G64" s="128">
        <v>5244.9324999999999</v>
      </c>
      <c r="H64" s="49">
        <f t="shared" si="100"/>
        <v>1704.0162719999998</v>
      </c>
      <c r="I64" s="49">
        <f t="shared" si="100"/>
        <v>2285.0899199999999</v>
      </c>
      <c r="J64" s="47">
        <f t="shared" si="100"/>
        <v>2.8746520000000002</v>
      </c>
      <c r="K64" s="47">
        <f t="shared" si="53"/>
        <v>0.61681147877818077</v>
      </c>
      <c r="L64" s="48">
        <f t="shared" si="54"/>
        <v>1704.633083478778</v>
      </c>
      <c r="M64" s="48">
        <f t="shared" si="55"/>
        <v>2282.8320794787783</v>
      </c>
      <c r="N64" s="93">
        <f t="shared" si="56"/>
        <v>1719.044819150826</v>
      </c>
      <c r="O64" s="93">
        <f t="shared" si="57"/>
        <v>2297.2438151508263</v>
      </c>
      <c r="Q64" s="128">
        <v>1.9815</v>
      </c>
      <c r="R64" s="130">
        <v>1.482</v>
      </c>
      <c r="S64" s="128">
        <v>3.0499999999999999E-2</v>
      </c>
      <c r="T64" s="128">
        <v>6142.1149999999998</v>
      </c>
      <c r="U64" s="128">
        <v>2301.2375000000002</v>
      </c>
      <c r="V64" s="49">
        <f t="shared" si="101"/>
        <v>1261.046415</v>
      </c>
      <c r="W64" s="49">
        <f t="shared" si="101"/>
        <v>1765.78818</v>
      </c>
      <c r="X64" s="47">
        <f t="shared" si="101"/>
        <v>6.7548349999999999</v>
      </c>
      <c r="Y64" s="47">
        <f t="shared" si="58"/>
        <v>3.9406209445846176</v>
      </c>
      <c r="Z64" s="48">
        <f t="shared" si="59"/>
        <v>1264.9870359445847</v>
      </c>
      <c r="AA64" s="48">
        <f t="shared" si="60"/>
        <v>1762.9739659445847</v>
      </c>
      <c r="AB64" s="93">
        <f t="shared" si="61"/>
        <v>1278.345282479585</v>
      </c>
      <c r="AC64" s="93">
        <f t="shared" si="62"/>
        <v>1776.332212479585</v>
      </c>
      <c r="AE64" s="128">
        <v>2.2347000000000001</v>
      </c>
      <c r="AF64" s="130">
        <v>1.5212000000000001</v>
      </c>
      <c r="AG64" s="128">
        <v>0</v>
      </c>
      <c r="AH64" s="128">
        <v>741.2867</v>
      </c>
      <c r="AI64" s="128">
        <v>219.20169999999999</v>
      </c>
      <c r="AJ64" s="49">
        <f t="shared" si="102"/>
        <v>1028.140776</v>
      </c>
      <c r="AK64" s="49">
        <f t="shared" si="102"/>
        <v>1598.3704760000001</v>
      </c>
      <c r="AL64" s="47">
        <f t="shared" si="102"/>
        <v>0</v>
      </c>
      <c r="AM64" s="47">
        <f t="shared" si="63"/>
        <v>0</v>
      </c>
      <c r="AN64" s="48">
        <f t="shared" si="64"/>
        <v>1028.140776</v>
      </c>
      <c r="AO64" s="48">
        <f t="shared" si="65"/>
        <v>1598.3704760000001</v>
      </c>
      <c r="AP64" s="93">
        <f t="shared" si="66"/>
        <v>1039.9432140778515</v>
      </c>
      <c r="AQ64" s="93">
        <f t="shared" si="67"/>
        <v>1610.1729140778516</v>
      </c>
      <c r="AS64" s="128">
        <v>2.4411999999999998</v>
      </c>
      <c r="AT64" s="130">
        <v>1.1161000000000001</v>
      </c>
      <c r="AU64" s="128">
        <v>0</v>
      </c>
      <c r="AV64" s="128">
        <v>25035.532500000001</v>
      </c>
      <c r="AW64" s="128">
        <v>7544.7992000000004</v>
      </c>
      <c r="AX64" s="49">
        <f t="shared" si="103"/>
        <v>855.98236799999995</v>
      </c>
      <c r="AY64" s="49">
        <f t="shared" si="103"/>
        <v>786.82817800000009</v>
      </c>
      <c r="AZ64" s="47">
        <f t="shared" si="103"/>
        <v>0</v>
      </c>
      <c r="BA64" s="47">
        <f t="shared" si="68"/>
        <v>0</v>
      </c>
      <c r="BB64" s="48">
        <f t="shared" si="69"/>
        <v>855.98236799999995</v>
      </c>
      <c r="BC64" s="48">
        <f t="shared" si="70"/>
        <v>786.82817800000009</v>
      </c>
      <c r="BD64" s="93">
        <f t="shared" si="71"/>
        <v>874.64019834170267</v>
      </c>
      <c r="BE64" s="93">
        <f t="shared" si="72"/>
        <v>805.48600834170281</v>
      </c>
      <c r="BG64" s="128">
        <v>2.3128000000000002</v>
      </c>
      <c r="BH64" s="130">
        <v>1.1628000000000001</v>
      </c>
      <c r="BI64" s="128">
        <v>0</v>
      </c>
      <c r="BJ64" s="128">
        <v>13161.9725</v>
      </c>
      <c r="BK64" s="128">
        <v>4497.0625</v>
      </c>
      <c r="BL64" s="49">
        <f t="shared" si="104"/>
        <v>759.56977600000005</v>
      </c>
      <c r="BM64" s="49">
        <f t="shared" si="104"/>
        <v>703.12190399999997</v>
      </c>
      <c r="BN64" s="47">
        <f t="shared" si="104"/>
        <v>0</v>
      </c>
      <c r="BO64" s="47">
        <f t="shared" si="73"/>
        <v>0</v>
      </c>
      <c r="BP64" s="48">
        <f t="shared" si="74"/>
        <v>759.56977600000005</v>
      </c>
      <c r="BQ64" s="48">
        <f t="shared" si="75"/>
        <v>703.12190399999997</v>
      </c>
      <c r="BR64" s="93">
        <f t="shared" si="76"/>
        <v>778.26970240643311</v>
      </c>
      <c r="BS64" s="93">
        <f t="shared" si="77"/>
        <v>721.82183040643304</v>
      </c>
      <c r="BU64" s="128">
        <v>2.2317999999999998</v>
      </c>
      <c r="BV64" s="130">
        <v>1.0971</v>
      </c>
      <c r="BW64" s="128">
        <v>6.9999999999999999E-4</v>
      </c>
      <c r="BX64" s="128">
        <v>16539.342499999999</v>
      </c>
      <c r="BY64" s="128">
        <v>5734.5282999999999</v>
      </c>
      <c r="BZ64" s="49">
        <f t="shared" si="105"/>
        <v>541.43467999999996</v>
      </c>
      <c r="CA64" s="49">
        <f t="shared" si="105"/>
        <v>443.360052</v>
      </c>
      <c r="CB64" s="47">
        <f t="shared" si="105"/>
        <v>7.2792999999999997E-2</v>
      </c>
      <c r="CC64" s="47">
        <f t="shared" si="78"/>
        <v>3.2771812456482551E-2</v>
      </c>
      <c r="CD64" s="48">
        <f t="shared" si="79"/>
        <v>541.46745181245649</v>
      </c>
      <c r="CE64" s="48">
        <f t="shared" si="80"/>
        <v>443.32003081245648</v>
      </c>
      <c r="CF64" s="93">
        <f t="shared" si="81"/>
        <v>553.46953228423092</v>
      </c>
      <c r="CG64" s="93">
        <f t="shared" si="82"/>
        <v>455.32211128423091</v>
      </c>
      <c r="CI64" s="128">
        <v>1.1659999999999999</v>
      </c>
      <c r="CJ64" s="130">
        <v>1.0845</v>
      </c>
      <c r="CK64" s="128">
        <v>4.1500000000000002E-2</v>
      </c>
      <c r="CL64" s="128">
        <v>55655.6783</v>
      </c>
      <c r="CM64" s="128">
        <v>18129.14</v>
      </c>
      <c r="CN64" s="49">
        <f t="shared" si="106"/>
        <v>247.51847999999998</v>
      </c>
      <c r="CO64" s="49">
        <f t="shared" si="106"/>
        <v>298.75806</v>
      </c>
      <c r="CP64" s="47">
        <f t="shared" si="106"/>
        <v>1.6185000000000001E-2</v>
      </c>
      <c r="CQ64" s="47">
        <f t="shared" si="83"/>
        <v>8.8515593239643798E-3</v>
      </c>
      <c r="CR64" s="48">
        <f t="shared" si="84"/>
        <v>247.52733155932395</v>
      </c>
      <c r="CS64" s="48">
        <f t="shared" si="85"/>
        <v>298.75072655932394</v>
      </c>
      <c r="CT64" s="93">
        <f t="shared" si="86"/>
        <v>247.55162894675937</v>
      </c>
      <c r="CU64" s="93">
        <f t="shared" si="87"/>
        <v>298.77502394675935</v>
      </c>
      <c r="CW64" s="128">
        <v>1.9303999999999999</v>
      </c>
      <c r="CX64" s="130">
        <v>1.7544</v>
      </c>
      <c r="CY64" s="128">
        <v>8.5999999999999993E-2</v>
      </c>
      <c r="CZ64" s="128">
        <v>26168.294999999998</v>
      </c>
      <c r="DA64" s="128">
        <v>7978.0892000000003</v>
      </c>
      <c r="DB64" s="49">
        <f t="shared" si="107"/>
        <v>414.47618399999999</v>
      </c>
      <c r="DC64" s="49">
        <f t="shared" si="107"/>
        <v>526.390176</v>
      </c>
      <c r="DD64" s="47">
        <f t="shared" si="107"/>
        <v>2.3220000000000001E-2</v>
      </c>
      <c r="DE64" s="47">
        <f t="shared" si="88"/>
        <v>1.2990984061455869E-2</v>
      </c>
      <c r="DF64" s="48">
        <f t="shared" si="89"/>
        <v>414.48917498406144</v>
      </c>
      <c r="DG64" s="48">
        <f t="shared" si="90"/>
        <v>526.37994698406146</v>
      </c>
      <c r="DH64" s="93">
        <f t="shared" si="91"/>
        <v>414.49917119881798</v>
      </c>
      <c r="DI64" s="93">
        <f t="shared" si="92"/>
        <v>526.38994319881795</v>
      </c>
      <c r="DK64" s="128">
        <v>1.9550000000000001</v>
      </c>
      <c r="DL64" s="130">
        <v>1.7283999999999999</v>
      </c>
      <c r="DM64" s="128">
        <v>7.85E-2</v>
      </c>
      <c r="DN64" s="128">
        <v>6449.9008000000003</v>
      </c>
      <c r="DO64" s="128">
        <v>2470.1208000000001</v>
      </c>
      <c r="DP64" s="49">
        <f t="shared" si="108"/>
        <v>258.76380000000006</v>
      </c>
      <c r="DQ64" s="49">
        <f t="shared" si="108"/>
        <v>334.67009199999995</v>
      </c>
      <c r="DR64" s="47">
        <f t="shared" si="108"/>
        <v>1.4914999999999999E-2</v>
      </c>
      <c r="DS64" s="47">
        <f t="shared" si="93"/>
        <v>8.4113908717906513E-3</v>
      </c>
      <c r="DT64" s="48">
        <f t="shared" si="94"/>
        <v>258.77221139087186</v>
      </c>
      <c r="DU64" s="48">
        <f t="shared" si="95"/>
        <v>334.66358839087178</v>
      </c>
      <c r="DV64" s="93">
        <f t="shared" si="96"/>
        <v>258.78592644953005</v>
      </c>
      <c r="DW64" s="93">
        <f t="shared" si="97"/>
        <v>334.67730344952997</v>
      </c>
      <c r="EB64" s="52"/>
      <c r="EC64" s="52"/>
      <c r="ED64" s="52"/>
      <c r="EE64" s="55">
        <f t="shared" si="98"/>
        <v>126058.59910000001</v>
      </c>
      <c r="EF64" s="55">
        <f t="shared" si="98"/>
        <v>38896.960899999998</v>
      </c>
      <c r="EG64" s="55">
        <f t="shared" si="98"/>
        <v>3139.0980672000001</v>
      </c>
      <c r="EH64" s="55">
        <f t="shared" si="98"/>
        <v>3791.7882988000001</v>
      </c>
      <c r="EI64" s="298">
        <f t="shared" si="109"/>
        <v>0.76419733351212904</v>
      </c>
      <c r="EJ64" s="52"/>
      <c r="EK64" s="55">
        <f t="shared" si="99"/>
        <v>3139.734123025351</v>
      </c>
      <c r="EL64" s="55">
        <f t="shared" si="99"/>
        <v>3789.5149416253516</v>
      </c>
      <c r="EM64" s="55">
        <f t="shared" si="39"/>
        <v>3172.8359833983423</v>
      </c>
      <c r="EN64" s="55">
        <f t="shared" si="39"/>
        <v>3822.6168019983434</v>
      </c>
      <c r="EP64" s="52"/>
      <c r="EQ64" s="52"/>
      <c r="ER64" s="52"/>
      <c r="ES64" s="55">
        <f t="shared" si="110"/>
        <v>101128.06079999999</v>
      </c>
      <c r="ET64" s="55">
        <f t="shared" si="110"/>
        <v>32905.529199999997</v>
      </c>
      <c r="EU64" s="55">
        <f t="shared" si="110"/>
        <v>2558.2679998000003</v>
      </c>
      <c r="EV64" s="55">
        <f t="shared" si="110"/>
        <v>3136.1412672000001</v>
      </c>
      <c r="EW64" s="298">
        <f t="shared" si="111"/>
        <v>0.75449788967079068</v>
      </c>
      <c r="EX64" s="52"/>
      <c r="EY64" s="55">
        <f t="shared" si="112"/>
        <v>2562.2265659927516</v>
      </c>
      <c r="EZ64" s="55">
        <f t="shared" si="112"/>
        <v>3133.3125593927516</v>
      </c>
      <c r="FA64" s="55">
        <f t="shared" si="112"/>
        <v>2594.3160336719498</v>
      </c>
      <c r="FB64" s="55">
        <f t="shared" si="112"/>
        <v>3165.4020270719502</v>
      </c>
      <c r="FD64" s="52"/>
      <c r="FE64" s="52"/>
      <c r="FF64" s="52"/>
      <c r="FG64" s="55">
        <f t="shared" si="113"/>
        <v>79386.208299999998</v>
      </c>
      <c r="FH64" s="55">
        <f t="shared" si="113"/>
        <v>26552.9908</v>
      </c>
      <c r="FI64" s="55">
        <f t="shared" si="113"/>
        <v>1972.352216</v>
      </c>
      <c r="FJ64" s="55">
        <f t="shared" si="113"/>
        <v>2541.2906432</v>
      </c>
      <c r="FK64" s="298">
        <f t="shared" si="114"/>
        <v>0.74935631923235868</v>
      </c>
      <c r="FL64" s="52"/>
      <c r="FM64" s="55">
        <f t="shared" si="115"/>
        <v>1972.3988862063034</v>
      </c>
      <c r="FN64" s="55">
        <f t="shared" si="115"/>
        <v>2541.2393864063038</v>
      </c>
      <c r="FO64" s="55">
        <f t="shared" si="115"/>
        <v>1996.2359311785599</v>
      </c>
      <c r="FP64" s="55">
        <f t="shared" si="115"/>
        <v>2565.0764313785603</v>
      </c>
      <c r="FR64" s="52"/>
      <c r="FS64" s="52"/>
      <c r="FT64" s="52"/>
      <c r="FU64" s="55">
        <f t="shared" si="116"/>
        <v>81823.973299999998</v>
      </c>
      <c r="FV64" s="55">
        <f t="shared" si="116"/>
        <v>26107.229200000002</v>
      </c>
      <c r="FW64" s="55">
        <f t="shared" si="116"/>
        <v>579.09942720000004</v>
      </c>
      <c r="FX64" s="55">
        <f t="shared" si="116"/>
        <v>719.87020080000002</v>
      </c>
      <c r="FY64" s="298">
        <f t="shared" si="117"/>
        <v>0.7581123104785199</v>
      </c>
      <c r="FZ64" s="52"/>
      <c r="GA64" s="55">
        <f t="shared" si="118"/>
        <v>579.11867154657307</v>
      </c>
      <c r="GB64" s="55">
        <f t="shared" si="118"/>
        <v>719.85468414657316</v>
      </c>
      <c r="GC64" s="55">
        <f t="shared" si="118"/>
        <v>579.15096590581379</v>
      </c>
      <c r="GD64" s="55">
        <f t="shared" si="118"/>
        <v>719.88697850581366</v>
      </c>
      <c r="GF64" s="52"/>
      <c r="GG64" s="52"/>
      <c r="GH64" s="52"/>
      <c r="GI64" s="55">
        <f t="shared" si="119"/>
        <v>41574.875</v>
      </c>
      <c r="GJ64" s="55">
        <f t="shared" si="119"/>
        <v>13279.327499999999</v>
      </c>
      <c r="GK64" s="56">
        <f t="shared" si="120"/>
        <v>235.910766</v>
      </c>
      <c r="GL64" s="56">
        <f t="shared" si="120"/>
        <v>257.60109450000004</v>
      </c>
      <c r="GM64" s="298">
        <f t="shared" si="121"/>
        <v>0.75791595001312795</v>
      </c>
      <c r="GN64" s="52"/>
      <c r="GO64" s="56">
        <f t="shared" si="122"/>
        <v>235.8861871406576</v>
      </c>
      <c r="GP64" s="56">
        <f t="shared" si="122"/>
        <v>257.63111039065768</v>
      </c>
      <c r="GQ64" s="56">
        <f t="shared" si="122"/>
        <v>240.87799954310381</v>
      </c>
      <c r="GR64" s="56">
        <f t="shared" si="122"/>
        <v>262.62292279310395</v>
      </c>
    </row>
    <row r="65" spans="1:200" x14ac:dyDescent="0.2">
      <c r="A65" s="118">
        <v>55</v>
      </c>
      <c r="C65" s="128">
        <v>1.7874000000000001</v>
      </c>
      <c r="D65" s="128">
        <v>1.238</v>
      </c>
      <c r="E65" s="128">
        <v>1.6E-2</v>
      </c>
      <c r="F65" s="128">
        <v>17425.109199999999</v>
      </c>
      <c r="G65" s="128">
        <v>4682.6274999999996</v>
      </c>
      <c r="H65" s="49">
        <f t="shared" si="100"/>
        <v>1789.9381080000001</v>
      </c>
      <c r="I65" s="49">
        <f t="shared" si="100"/>
        <v>2349.2287999999999</v>
      </c>
      <c r="J65" s="47">
        <f t="shared" si="100"/>
        <v>2.9110399999999998</v>
      </c>
      <c r="K65" s="47">
        <f t="shared" si="53"/>
        <v>0.61658577458994246</v>
      </c>
      <c r="L65" s="48">
        <f t="shared" si="54"/>
        <v>1790.5546937745901</v>
      </c>
      <c r="M65" s="48">
        <f t="shared" si="55"/>
        <v>2346.9343457745899</v>
      </c>
      <c r="N65" s="93">
        <f t="shared" si="56"/>
        <v>1804.9666551508262</v>
      </c>
      <c r="O65" s="93">
        <f t="shared" si="57"/>
        <v>2361.3463071508263</v>
      </c>
      <c r="Q65" s="128">
        <v>2.1006</v>
      </c>
      <c r="R65" s="130">
        <v>1.5319</v>
      </c>
      <c r="S65" s="128">
        <v>2.3800000000000002E-2</v>
      </c>
      <c r="T65" s="128">
        <v>5902.2933000000003</v>
      </c>
      <c r="U65" s="128">
        <v>2139.2824999999998</v>
      </c>
      <c r="V65" s="49">
        <f t="shared" si="101"/>
        <v>1336.842846</v>
      </c>
      <c r="W65" s="49">
        <f t="shared" si="101"/>
        <v>1825.2435310000001</v>
      </c>
      <c r="X65" s="47">
        <f t="shared" si="101"/>
        <v>5.2709860000000006</v>
      </c>
      <c r="Y65" s="47">
        <f t="shared" si="58"/>
        <v>3.0425585994330882</v>
      </c>
      <c r="Z65" s="48">
        <f t="shared" si="59"/>
        <v>1339.8854045994331</v>
      </c>
      <c r="AA65" s="48">
        <f t="shared" si="60"/>
        <v>1823.0151035994331</v>
      </c>
      <c r="AB65" s="93">
        <f t="shared" si="61"/>
        <v>1354.141713479585</v>
      </c>
      <c r="AC65" s="93">
        <f t="shared" si="62"/>
        <v>1837.271412479585</v>
      </c>
      <c r="AE65" s="128">
        <v>2.4344000000000001</v>
      </c>
      <c r="AF65" s="130">
        <v>1.5683</v>
      </c>
      <c r="AG65" s="128">
        <v>0</v>
      </c>
      <c r="AH65" s="128">
        <v>707.68330000000003</v>
      </c>
      <c r="AI65" s="128">
        <v>223.91</v>
      </c>
      <c r="AJ65" s="49">
        <f t="shared" si="102"/>
        <v>1120.0187519999999</v>
      </c>
      <c r="AK65" s="49">
        <f t="shared" si="102"/>
        <v>1647.8598590000001</v>
      </c>
      <c r="AL65" s="47">
        <f t="shared" si="102"/>
        <v>0</v>
      </c>
      <c r="AM65" s="47">
        <f t="shared" si="63"/>
        <v>0</v>
      </c>
      <c r="AN65" s="48">
        <f t="shared" si="64"/>
        <v>1120.0187519999999</v>
      </c>
      <c r="AO65" s="48">
        <f t="shared" si="65"/>
        <v>1647.8598590000001</v>
      </c>
      <c r="AP65" s="93">
        <f t="shared" si="66"/>
        <v>1131.8211900778515</v>
      </c>
      <c r="AQ65" s="93">
        <f t="shared" si="67"/>
        <v>1659.6622970778517</v>
      </c>
      <c r="AS65" s="128">
        <v>2.6303999999999998</v>
      </c>
      <c r="AT65" s="130">
        <v>1.1733</v>
      </c>
      <c r="AU65" s="128">
        <v>0</v>
      </c>
      <c r="AV65" s="128">
        <v>23246.5517</v>
      </c>
      <c r="AW65" s="128">
        <v>7021.3575000000001</v>
      </c>
      <c r="AX65" s="49">
        <f t="shared" si="103"/>
        <v>922.32345599999996</v>
      </c>
      <c r="AY65" s="49">
        <f t="shared" si="103"/>
        <v>827.15303400000005</v>
      </c>
      <c r="AZ65" s="47">
        <f t="shared" si="103"/>
        <v>0</v>
      </c>
      <c r="BA65" s="47">
        <f t="shared" si="68"/>
        <v>0</v>
      </c>
      <c r="BB65" s="48">
        <f t="shared" si="69"/>
        <v>922.32345599999996</v>
      </c>
      <c r="BC65" s="48">
        <f t="shared" si="70"/>
        <v>827.15303400000005</v>
      </c>
      <c r="BD65" s="93">
        <f t="shared" si="71"/>
        <v>940.98128634170268</v>
      </c>
      <c r="BE65" s="93">
        <f t="shared" si="72"/>
        <v>845.81086434170277</v>
      </c>
      <c r="BG65" s="128">
        <v>2.5163000000000002</v>
      </c>
      <c r="BH65" s="130">
        <v>1.2210000000000001</v>
      </c>
      <c r="BI65" s="128">
        <v>0</v>
      </c>
      <c r="BJ65" s="128">
        <v>12512.9542</v>
      </c>
      <c r="BK65" s="128">
        <v>4202.0333000000001</v>
      </c>
      <c r="BL65" s="49">
        <f t="shared" si="104"/>
        <v>826.40324600000008</v>
      </c>
      <c r="BM65" s="49">
        <f t="shared" si="104"/>
        <v>738.31427999999994</v>
      </c>
      <c r="BN65" s="47">
        <f t="shared" si="104"/>
        <v>0</v>
      </c>
      <c r="BO65" s="47">
        <f t="shared" si="73"/>
        <v>0</v>
      </c>
      <c r="BP65" s="48">
        <f t="shared" si="74"/>
        <v>826.40324600000008</v>
      </c>
      <c r="BQ65" s="48">
        <f t="shared" si="75"/>
        <v>738.31427999999994</v>
      </c>
      <c r="BR65" s="93">
        <f t="shared" si="76"/>
        <v>845.10317240643315</v>
      </c>
      <c r="BS65" s="93">
        <f t="shared" si="77"/>
        <v>757.014206406433</v>
      </c>
      <c r="BU65" s="128">
        <v>2.3902999999999999</v>
      </c>
      <c r="BV65" s="130">
        <v>1.1226</v>
      </c>
      <c r="BW65" s="128">
        <v>6.9999999999999999E-4</v>
      </c>
      <c r="BX65" s="128">
        <v>15096.175800000001</v>
      </c>
      <c r="BY65" s="128">
        <v>5240.8032999999996</v>
      </c>
      <c r="BZ65" s="49">
        <f t="shared" si="105"/>
        <v>579.88677999999993</v>
      </c>
      <c r="CA65" s="49">
        <f t="shared" si="105"/>
        <v>453.66511200000002</v>
      </c>
      <c r="CB65" s="47">
        <f t="shared" si="105"/>
        <v>7.2792999999999997E-2</v>
      </c>
      <c r="CC65" s="47">
        <f t="shared" si="78"/>
        <v>3.1951607610056991E-2</v>
      </c>
      <c r="CD65" s="48">
        <f t="shared" si="79"/>
        <v>579.91873160760997</v>
      </c>
      <c r="CE65" s="48">
        <f t="shared" si="80"/>
        <v>453.62427060761007</v>
      </c>
      <c r="CF65" s="93">
        <f t="shared" si="81"/>
        <v>591.9216322842309</v>
      </c>
      <c r="CG65" s="93">
        <f t="shared" si="82"/>
        <v>465.62717128423094</v>
      </c>
      <c r="CI65" s="128">
        <v>1.1821999999999999</v>
      </c>
      <c r="CJ65" s="130">
        <v>1.0854999999999999</v>
      </c>
      <c r="CK65" s="128">
        <v>3.3500000000000002E-2</v>
      </c>
      <c r="CL65" s="128">
        <v>51729.958299999998</v>
      </c>
      <c r="CM65" s="128">
        <v>16810.5275</v>
      </c>
      <c r="CN65" s="49">
        <f t="shared" si="106"/>
        <v>250.95741599999999</v>
      </c>
      <c r="CO65" s="49">
        <f t="shared" si="106"/>
        <v>299.03354000000002</v>
      </c>
      <c r="CP65" s="47">
        <f t="shared" si="106"/>
        <v>1.3065000000000002E-2</v>
      </c>
      <c r="CQ65" s="47">
        <f t="shared" si="83"/>
        <v>7.1035226261066025E-3</v>
      </c>
      <c r="CR65" s="48">
        <f t="shared" si="84"/>
        <v>250.96451952262609</v>
      </c>
      <c r="CS65" s="48">
        <f t="shared" si="85"/>
        <v>299.02757852262613</v>
      </c>
      <c r="CT65" s="93">
        <f t="shared" si="86"/>
        <v>250.99056494675938</v>
      </c>
      <c r="CU65" s="93">
        <f t="shared" si="87"/>
        <v>299.05362394675939</v>
      </c>
      <c r="CW65" s="128">
        <v>2.0099</v>
      </c>
      <c r="CX65" s="130">
        <v>1.8056000000000001</v>
      </c>
      <c r="CY65" s="128">
        <v>7.51E-2</v>
      </c>
      <c r="CZ65" s="128">
        <v>24430.279200000001</v>
      </c>
      <c r="DA65" s="128">
        <v>7502.5749999999998</v>
      </c>
      <c r="DB65" s="49">
        <f t="shared" si="107"/>
        <v>431.54562900000002</v>
      </c>
      <c r="DC65" s="49">
        <f t="shared" si="107"/>
        <v>541.75222400000007</v>
      </c>
      <c r="DD65" s="47">
        <f t="shared" si="107"/>
        <v>2.0277E-2</v>
      </c>
      <c r="DE65" s="47">
        <f t="shared" si="88"/>
        <v>1.128648317900687E-2</v>
      </c>
      <c r="DF65" s="48">
        <f t="shared" si="89"/>
        <v>431.55691548317901</v>
      </c>
      <c r="DG65" s="48">
        <f t="shared" si="90"/>
        <v>541.7432334831791</v>
      </c>
      <c r="DH65" s="93">
        <f t="shared" si="91"/>
        <v>431.56861619881801</v>
      </c>
      <c r="DI65" s="93">
        <f t="shared" si="92"/>
        <v>541.75493419881809</v>
      </c>
      <c r="DK65" s="128">
        <v>2.0348000000000002</v>
      </c>
      <c r="DL65" s="130">
        <v>1.7699</v>
      </c>
      <c r="DM65" s="128">
        <v>5.7200000000000001E-2</v>
      </c>
      <c r="DN65" s="128">
        <v>5764.8891999999996</v>
      </c>
      <c r="DO65" s="128">
        <v>2272.7908000000002</v>
      </c>
      <c r="DP65" s="49">
        <f t="shared" si="108"/>
        <v>269.32612800000004</v>
      </c>
      <c r="DQ65" s="49">
        <f t="shared" si="108"/>
        <v>342.705737</v>
      </c>
      <c r="DR65" s="47">
        <f t="shared" si="108"/>
        <v>1.0868000000000001E-2</v>
      </c>
      <c r="DS65" s="47">
        <f t="shared" si="93"/>
        <v>6.0855098610200636E-3</v>
      </c>
      <c r="DT65" s="48">
        <f t="shared" si="94"/>
        <v>269.33221350986105</v>
      </c>
      <c r="DU65" s="48">
        <f t="shared" si="95"/>
        <v>342.70095450986099</v>
      </c>
      <c r="DV65" s="93">
        <f t="shared" si="96"/>
        <v>269.34825444953003</v>
      </c>
      <c r="DW65" s="93">
        <f t="shared" si="97"/>
        <v>342.71699544952997</v>
      </c>
      <c r="EB65" s="52"/>
      <c r="EC65" s="52"/>
      <c r="ED65" s="52"/>
      <c r="EE65" s="55">
        <f t="shared" si="98"/>
        <v>116831.89840000001</v>
      </c>
      <c r="EF65" s="55">
        <f t="shared" si="98"/>
        <v>36017.087500000001</v>
      </c>
      <c r="EG65" s="55">
        <f t="shared" si="98"/>
        <v>3308.4554832000003</v>
      </c>
      <c r="EH65" s="55">
        <f t="shared" si="98"/>
        <v>3908.8171531999997</v>
      </c>
      <c r="EI65" s="298">
        <f t="shared" si="109"/>
        <v>0.76436161949046999</v>
      </c>
      <c r="EJ65" s="52"/>
      <c r="EK65" s="55">
        <f t="shared" si="99"/>
        <v>3309.0882016837595</v>
      </c>
      <c r="EL65" s="55">
        <f t="shared" si="99"/>
        <v>3906.5095450837593</v>
      </c>
      <c r="EM65" s="55">
        <f t="shared" si="39"/>
        <v>3342.1933993983425</v>
      </c>
      <c r="EN65" s="55">
        <f t="shared" si="39"/>
        <v>3939.6147427983428</v>
      </c>
      <c r="EP65" s="52"/>
      <c r="EQ65" s="52"/>
      <c r="ER65" s="52"/>
      <c r="ES65" s="55">
        <f t="shared" si="110"/>
        <v>94575.485000000001</v>
      </c>
      <c r="ET65" s="55">
        <f t="shared" si="110"/>
        <v>30654.418300000001</v>
      </c>
      <c r="EU65" s="55">
        <f t="shared" si="110"/>
        <v>2716.2854483000006</v>
      </c>
      <c r="EV65" s="55">
        <f t="shared" si="110"/>
        <v>3241.8179078000003</v>
      </c>
      <c r="EW65" s="298">
        <f t="shared" si="111"/>
        <v>0.75521486887549161</v>
      </c>
      <c r="EX65" s="52"/>
      <c r="EY65" s="55">
        <f t="shared" si="112"/>
        <v>2719.3430109602846</v>
      </c>
      <c r="EZ65" s="55">
        <f t="shared" si="112"/>
        <v>3239.5772255602847</v>
      </c>
      <c r="FA65" s="55">
        <f t="shared" si="112"/>
        <v>2752.3334821719495</v>
      </c>
      <c r="FB65" s="55">
        <f t="shared" si="112"/>
        <v>3272.5676967719496</v>
      </c>
      <c r="FD65" s="52"/>
      <c r="FE65" s="52"/>
      <c r="FF65" s="52"/>
      <c r="FG65" s="55">
        <f t="shared" si="113"/>
        <v>73298.706600000005</v>
      </c>
      <c r="FH65" s="55">
        <f t="shared" si="113"/>
        <v>24548.031599999998</v>
      </c>
      <c r="FI65" s="55">
        <f t="shared" si="113"/>
        <v>2112.4586247999996</v>
      </c>
      <c r="FJ65" s="55">
        <f t="shared" si="113"/>
        <v>2606.1819532</v>
      </c>
      <c r="FK65" s="298">
        <f t="shared" si="114"/>
        <v>0.74911752755801109</v>
      </c>
      <c r="FL65" s="52"/>
      <c r="FM65" s="55">
        <f t="shared" si="115"/>
        <v>2112.5013312361525</v>
      </c>
      <c r="FN65" s="55">
        <f t="shared" si="115"/>
        <v>2606.1322808361529</v>
      </c>
      <c r="FO65" s="55">
        <f t="shared" si="115"/>
        <v>2136.3423399785597</v>
      </c>
      <c r="FP65" s="55">
        <f t="shared" si="115"/>
        <v>2629.9732895785596</v>
      </c>
      <c r="FR65" s="52"/>
      <c r="FS65" s="52"/>
      <c r="FT65" s="52"/>
      <c r="FU65" s="55">
        <f t="shared" si="116"/>
        <v>76160.237500000003</v>
      </c>
      <c r="FV65" s="55">
        <f t="shared" si="116"/>
        <v>24313.102500000001</v>
      </c>
      <c r="FW65" s="55">
        <f t="shared" si="116"/>
        <v>596.19391919999998</v>
      </c>
      <c r="FX65" s="55">
        <f t="shared" si="116"/>
        <v>732.43531920000009</v>
      </c>
      <c r="FY65" s="298">
        <f t="shared" si="117"/>
        <v>0.75801438968785162</v>
      </c>
      <c r="FZ65" s="52"/>
      <c r="GA65" s="55">
        <f t="shared" si="118"/>
        <v>596.21005190916935</v>
      </c>
      <c r="GB65" s="55">
        <f t="shared" si="118"/>
        <v>732.42216530916949</v>
      </c>
      <c r="GC65" s="55">
        <f t="shared" si="118"/>
        <v>596.24545790581374</v>
      </c>
      <c r="GD65" s="55">
        <f t="shared" si="118"/>
        <v>732.45757130581387</v>
      </c>
      <c r="GF65" s="52"/>
      <c r="GG65" s="52"/>
      <c r="GH65" s="52"/>
      <c r="GI65" s="55">
        <f t="shared" si="119"/>
        <v>38342.727500000001</v>
      </c>
      <c r="GJ65" s="55">
        <f t="shared" si="119"/>
        <v>12262.1608</v>
      </c>
      <c r="GK65" s="56">
        <f t="shared" si="120"/>
        <v>256.82750700000003</v>
      </c>
      <c r="GL65" s="56">
        <f t="shared" si="120"/>
        <v>280.11594150000002</v>
      </c>
      <c r="GM65" s="298">
        <f t="shared" si="121"/>
        <v>0.75768821527069752</v>
      </c>
      <c r="GN65" s="52"/>
      <c r="GO65" s="56">
        <f t="shared" si="122"/>
        <v>256.80354329429247</v>
      </c>
      <c r="GP65" s="56">
        <f t="shared" si="122"/>
        <v>280.1465725442925</v>
      </c>
      <c r="GQ65" s="56">
        <f t="shared" si="122"/>
        <v>261.79474054310384</v>
      </c>
      <c r="GR65" s="56">
        <f t="shared" si="122"/>
        <v>285.13776979310387</v>
      </c>
    </row>
    <row r="66" spans="1:200" x14ac:dyDescent="0.2">
      <c r="A66" s="118">
        <v>56</v>
      </c>
      <c r="C66" s="128">
        <v>1.8786</v>
      </c>
      <c r="D66" s="128">
        <v>1.2726999999999999</v>
      </c>
      <c r="E66" s="128">
        <v>1.46E-2</v>
      </c>
      <c r="F66" s="128">
        <v>15610.279200000001</v>
      </c>
      <c r="G66" s="128">
        <v>4435.4267</v>
      </c>
      <c r="H66" s="49">
        <f t="shared" si="100"/>
        <v>1881.2676119999999</v>
      </c>
      <c r="I66" s="49">
        <f t="shared" si="100"/>
        <v>2415.0755199999999</v>
      </c>
      <c r="J66" s="47">
        <f t="shared" si="100"/>
        <v>2.6563240000000001</v>
      </c>
      <c r="K66" s="47">
        <f t="shared" si="53"/>
        <v>0.58775332992642582</v>
      </c>
      <c r="L66" s="48">
        <f t="shared" si="54"/>
        <v>1881.8553653299264</v>
      </c>
      <c r="M66" s="48">
        <f t="shared" si="55"/>
        <v>2413.0069493299261</v>
      </c>
      <c r="N66" s="93">
        <f t="shared" si="56"/>
        <v>1896.296159150826</v>
      </c>
      <c r="O66" s="93">
        <f t="shared" si="57"/>
        <v>2427.4477431508262</v>
      </c>
      <c r="Q66" s="128">
        <v>2.2183999999999999</v>
      </c>
      <c r="R66" s="130">
        <v>1.5790999999999999</v>
      </c>
      <c r="S66" s="128">
        <v>1.6799999999999999E-2</v>
      </c>
      <c r="T66" s="128">
        <v>5534.72</v>
      </c>
      <c r="U66" s="128">
        <v>2101.1583000000001</v>
      </c>
      <c r="V66" s="49">
        <f t="shared" si="101"/>
        <v>1411.8119439999998</v>
      </c>
      <c r="W66" s="49">
        <f t="shared" si="101"/>
        <v>1881.481859</v>
      </c>
      <c r="X66" s="47">
        <f t="shared" si="101"/>
        <v>3.7206959999999998</v>
      </c>
      <c r="Y66" s="47">
        <f t="shared" si="58"/>
        <v>2.1256597332667027</v>
      </c>
      <c r="Z66" s="48">
        <f t="shared" si="59"/>
        <v>1413.9376037332665</v>
      </c>
      <c r="AA66" s="48">
        <f t="shared" si="60"/>
        <v>1879.8868227332666</v>
      </c>
      <c r="AB66" s="93">
        <f t="shared" si="61"/>
        <v>1429.1108114795848</v>
      </c>
      <c r="AC66" s="93">
        <f t="shared" si="62"/>
        <v>1895.0600304795848</v>
      </c>
      <c r="AE66" s="128">
        <v>2.6423000000000001</v>
      </c>
      <c r="AF66" s="130">
        <v>1.6173999999999999</v>
      </c>
      <c r="AG66" s="128">
        <v>0</v>
      </c>
      <c r="AH66" s="128">
        <v>660.41330000000005</v>
      </c>
      <c r="AI66" s="128">
        <v>232.25</v>
      </c>
      <c r="AJ66" s="49">
        <f t="shared" si="102"/>
        <v>1215.669384</v>
      </c>
      <c r="AK66" s="49">
        <f t="shared" si="102"/>
        <v>1699.4507019999999</v>
      </c>
      <c r="AL66" s="47">
        <f t="shared" si="102"/>
        <v>0</v>
      </c>
      <c r="AM66" s="47">
        <f t="shared" si="63"/>
        <v>0</v>
      </c>
      <c r="AN66" s="48">
        <f t="shared" si="64"/>
        <v>1215.669384</v>
      </c>
      <c r="AO66" s="48">
        <f t="shared" si="65"/>
        <v>1699.4507019999999</v>
      </c>
      <c r="AP66" s="93">
        <f t="shared" si="66"/>
        <v>1227.4718220778516</v>
      </c>
      <c r="AQ66" s="93">
        <f t="shared" si="67"/>
        <v>1711.2531400778514</v>
      </c>
      <c r="AS66" s="128">
        <v>2.8431999999999999</v>
      </c>
      <c r="AT66" s="130">
        <v>1.2379</v>
      </c>
      <c r="AU66" s="128">
        <v>0</v>
      </c>
      <c r="AV66" s="128">
        <v>21326.8933</v>
      </c>
      <c r="AW66" s="128">
        <v>6933.0517</v>
      </c>
      <c r="AX66" s="49">
        <f t="shared" si="103"/>
        <v>996.93964799999992</v>
      </c>
      <c r="AY66" s="49">
        <f t="shared" si="103"/>
        <v>872.69474200000002</v>
      </c>
      <c r="AZ66" s="47">
        <f t="shared" si="103"/>
        <v>0</v>
      </c>
      <c r="BA66" s="47">
        <f t="shared" si="68"/>
        <v>0</v>
      </c>
      <c r="BB66" s="48">
        <f t="shared" si="69"/>
        <v>996.93964799999992</v>
      </c>
      <c r="BC66" s="48">
        <f t="shared" si="70"/>
        <v>872.69474200000002</v>
      </c>
      <c r="BD66" s="93">
        <f t="shared" si="71"/>
        <v>1015.5974783417026</v>
      </c>
      <c r="BE66" s="93">
        <f t="shared" si="72"/>
        <v>891.35257234170274</v>
      </c>
      <c r="BG66" s="128">
        <v>2.7374000000000001</v>
      </c>
      <c r="BH66" s="130">
        <v>1.2827</v>
      </c>
      <c r="BI66" s="128">
        <v>0</v>
      </c>
      <c r="BJ66" s="128">
        <v>11709.217500000001</v>
      </c>
      <c r="BK66" s="128">
        <v>4050.3391999999999</v>
      </c>
      <c r="BL66" s="49">
        <f t="shared" si="104"/>
        <v>899.01690800000006</v>
      </c>
      <c r="BM66" s="49">
        <f t="shared" si="104"/>
        <v>775.62303599999996</v>
      </c>
      <c r="BN66" s="47">
        <f t="shared" si="104"/>
        <v>0</v>
      </c>
      <c r="BO66" s="47">
        <f t="shared" si="73"/>
        <v>0</v>
      </c>
      <c r="BP66" s="48">
        <f t="shared" si="74"/>
        <v>899.01690800000006</v>
      </c>
      <c r="BQ66" s="48">
        <f t="shared" si="75"/>
        <v>775.62303599999996</v>
      </c>
      <c r="BR66" s="93">
        <f t="shared" si="76"/>
        <v>917.71683440643312</v>
      </c>
      <c r="BS66" s="93">
        <f t="shared" si="77"/>
        <v>794.32296240643302</v>
      </c>
      <c r="BU66" s="128">
        <v>2.5518000000000001</v>
      </c>
      <c r="BV66" s="130">
        <v>1.1504000000000001</v>
      </c>
      <c r="BW66" s="128">
        <v>6.9999999999999999E-4</v>
      </c>
      <c r="BX66" s="128">
        <v>13805.4692</v>
      </c>
      <c r="BY66" s="128">
        <v>4947.8017</v>
      </c>
      <c r="BZ66" s="49">
        <f t="shared" si="105"/>
        <v>619.06668000000002</v>
      </c>
      <c r="CA66" s="49">
        <f t="shared" si="105"/>
        <v>464.89964800000001</v>
      </c>
      <c r="CB66" s="47">
        <f t="shared" si="105"/>
        <v>7.2792999999999997E-2</v>
      </c>
      <c r="CC66" s="47">
        <f t="shared" si="78"/>
        <v>3.1220010440088132E-2</v>
      </c>
      <c r="CD66" s="48">
        <f t="shared" si="79"/>
        <v>619.09790001044007</v>
      </c>
      <c r="CE66" s="48">
        <f t="shared" si="80"/>
        <v>464.85807501044013</v>
      </c>
      <c r="CF66" s="93">
        <f t="shared" si="81"/>
        <v>631.10153228423098</v>
      </c>
      <c r="CG66" s="93">
        <f t="shared" si="82"/>
        <v>476.86170728423093</v>
      </c>
      <c r="CI66" s="128">
        <v>1.1966000000000001</v>
      </c>
      <c r="CJ66" s="130">
        <v>1.0849</v>
      </c>
      <c r="CK66" s="128">
        <v>2.46E-2</v>
      </c>
      <c r="CL66" s="128">
        <v>47656.110800000002</v>
      </c>
      <c r="CM66" s="128">
        <v>16228.025799999999</v>
      </c>
      <c r="CN66" s="49">
        <f t="shared" si="106"/>
        <v>254.01424800000004</v>
      </c>
      <c r="CO66" s="49">
        <f t="shared" si="106"/>
        <v>298.86825200000004</v>
      </c>
      <c r="CP66" s="47">
        <f t="shared" si="106"/>
        <v>9.5940000000000001E-3</v>
      </c>
      <c r="CQ66" s="47">
        <f t="shared" si="83"/>
        <v>5.1861688689513602E-3</v>
      </c>
      <c r="CR66" s="48">
        <f t="shared" si="84"/>
        <v>254.019434168869</v>
      </c>
      <c r="CS66" s="48">
        <f t="shared" si="85"/>
        <v>298.86384416886898</v>
      </c>
      <c r="CT66" s="93">
        <f t="shared" si="86"/>
        <v>254.04739694675942</v>
      </c>
      <c r="CU66" s="93">
        <f t="shared" si="87"/>
        <v>298.8918069467594</v>
      </c>
      <c r="CW66" s="128">
        <v>2.0878999999999999</v>
      </c>
      <c r="CX66" s="130">
        <v>1.8534999999999999</v>
      </c>
      <c r="CY66" s="128">
        <v>6.4500000000000002E-2</v>
      </c>
      <c r="CZ66" s="128">
        <v>22371.2575</v>
      </c>
      <c r="DA66" s="128">
        <v>7219.7782999999999</v>
      </c>
      <c r="DB66" s="49">
        <f t="shared" si="107"/>
        <v>448.29300899999998</v>
      </c>
      <c r="DC66" s="49">
        <f t="shared" si="107"/>
        <v>556.12414000000001</v>
      </c>
      <c r="DD66" s="47">
        <f t="shared" si="107"/>
        <v>1.7415E-2</v>
      </c>
      <c r="DE66" s="47">
        <f t="shared" si="88"/>
        <v>9.6423103764629176E-3</v>
      </c>
      <c r="DF66" s="48">
        <f t="shared" si="89"/>
        <v>448.30265131037646</v>
      </c>
      <c r="DG66" s="48">
        <f t="shared" si="90"/>
        <v>556.1163673103764</v>
      </c>
      <c r="DH66" s="93">
        <f t="shared" si="91"/>
        <v>448.31599619881797</v>
      </c>
      <c r="DI66" s="93">
        <f t="shared" si="92"/>
        <v>556.12971219881797</v>
      </c>
      <c r="DK66" s="128">
        <v>2.0954999999999999</v>
      </c>
      <c r="DL66" s="130">
        <v>1.8031999999999999</v>
      </c>
      <c r="DM66" s="128">
        <v>4.0099999999999997E-2</v>
      </c>
      <c r="DN66" s="128">
        <v>5270.5991999999997</v>
      </c>
      <c r="DO66" s="128">
        <v>2233.2782999999999</v>
      </c>
      <c r="DP66" s="49">
        <f t="shared" si="108"/>
        <v>277.36038000000002</v>
      </c>
      <c r="DQ66" s="49">
        <f t="shared" si="108"/>
        <v>349.153616</v>
      </c>
      <c r="DR66" s="47">
        <f t="shared" si="108"/>
        <v>7.6189999999999999E-3</v>
      </c>
      <c r="DS66" s="47">
        <f t="shared" si="93"/>
        <v>4.2460366684354163E-3</v>
      </c>
      <c r="DT66" s="48">
        <f t="shared" si="94"/>
        <v>277.36462603666848</v>
      </c>
      <c r="DU66" s="48">
        <f t="shared" si="95"/>
        <v>349.15024303666848</v>
      </c>
      <c r="DV66" s="93">
        <f t="shared" si="96"/>
        <v>277.38250644953001</v>
      </c>
      <c r="DW66" s="93">
        <f t="shared" si="97"/>
        <v>349.16812344953001</v>
      </c>
      <c r="EB66" s="52"/>
      <c r="EC66" s="52"/>
      <c r="ED66" s="52"/>
      <c r="EE66" s="55">
        <f t="shared" si="98"/>
        <v>106964.54080000002</v>
      </c>
      <c r="EF66" s="55">
        <f t="shared" si="98"/>
        <v>34816.282500000001</v>
      </c>
      <c r="EG66" s="55">
        <f t="shared" si="98"/>
        <v>3490.8559151999998</v>
      </c>
      <c r="EH66" s="55">
        <f t="shared" si="98"/>
        <v>4031.5378260000002</v>
      </c>
      <c r="EI66" s="298">
        <f t="shared" si="109"/>
        <v>0.75443588427801156</v>
      </c>
      <c r="EJ66" s="52"/>
      <c r="EK66" s="55">
        <f t="shared" si="99"/>
        <v>3491.4565685470966</v>
      </c>
      <c r="EL66" s="55">
        <f t="shared" si="99"/>
        <v>4029.4586293470966</v>
      </c>
      <c r="EM66" s="55">
        <f t="shared" si="39"/>
        <v>3524.5938313983424</v>
      </c>
      <c r="EN66" s="55">
        <f t="shared" si="39"/>
        <v>4062.5958921983429</v>
      </c>
      <c r="EP66" s="52"/>
      <c r="EQ66" s="52"/>
      <c r="ER66" s="52"/>
      <c r="ES66" s="55">
        <f t="shared" si="110"/>
        <v>87271.305800000002</v>
      </c>
      <c r="ET66" s="55">
        <f t="shared" si="110"/>
        <v>29599.301599999999</v>
      </c>
      <c r="EU66" s="55">
        <f t="shared" si="110"/>
        <v>2878.6482062999994</v>
      </c>
      <c r="EV66" s="55">
        <f t="shared" si="110"/>
        <v>3345.260045</v>
      </c>
      <c r="EW66" s="298">
        <f t="shared" si="111"/>
        <v>0.74673442486104502</v>
      </c>
      <c r="EX66" s="52"/>
      <c r="EY66" s="55">
        <f t="shared" si="112"/>
        <v>2880.7858018193988</v>
      </c>
      <c r="EZ66" s="55">
        <f t="shared" si="112"/>
        <v>3343.6551600193993</v>
      </c>
      <c r="FA66" s="55">
        <f t="shared" si="112"/>
        <v>2914.6962401719497</v>
      </c>
      <c r="FB66" s="55">
        <f t="shared" si="112"/>
        <v>3377.5655983719498</v>
      </c>
      <c r="FD66" s="52"/>
      <c r="FE66" s="52"/>
      <c r="FF66" s="52"/>
      <c r="FG66" s="55">
        <f t="shared" si="113"/>
        <v>67392.592499999999</v>
      </c>
      <c r="FH66" s="55">
        <f t="shared" si="113"/>
        <v>23641.355799999998</v>
      </c>
      <c r="FI66" s="55">
        <f t="shared" si="113"/>
        <v>2255.1665400000002</v>
      </c>
      <c r="FJ66" s="55">
        <f t="shared" si="113"/>
        <v>2672.7107716</v>
      </c>
      <c r="FK66" s="298">
        <f t="shared" si="114"/>
        <v>0.74030176388603375</v>
      </c>
      <c r="FL66" s="52"/>
      <c r="FM66" s="55">
        <f t="shared" si="115"/>
        <v>2255.2054938013102</v>
      </c>
      <c r="FN66" s="55">
        <f t="shared" si="115"/>
        <v>2672.6627670013099</v>
      </c>
      <c r="FO66" s="55">
        <f t="shared" si="115"/>
        <v>2279.0502551785598</v>
      </c>
      <c r="FP66" s="55">
        <f t="shared" si="115"/>
        <v>2696.50752837856</v>
      </c>
      <c r="FR66" s="52"/>
      <c r="FS66" s="52"/>
      <c r="FT66" s="52"/>
      <c r="FU66" s="55">
        <f t="shared" si="116"/>
        <v>70027.368300000002</v>
      </c>
      <c r="FV66" s="55">
        <f t="shared" si="116"/>
        <v>23447.804100000001</v>
      </c>
      <c r="FW66" s="55">
        <f t="shared" si="116"/>
        <v>612.64865520000001</v>
      </c>
      <c r="FX66" s="55">
        <f t="shared" si="116"/>
        <v>743.76756399999999</v>
      </c>
      <c r="FY66" s="298">
        <f t="shared" si="117"/>
        <v>0.74915473811953082</v>
      </c>
      <c r="FZ66" s="52"/>
      <c r="GA66" s="55">
        <f t="shared" si="118"/>
        <v>612.66155521717019</v>
      </c>
      <c r="GB66" s="55">
        <f t="shared" si="118"/>
        <v>743.75693801717011</v>
      </c>
      <c r="GC66" s="55">
        <f t="shared" si="118"/>
        <v>612.70019390581388</v>
      </c>
      <c r="GD66" s="55">
        <f t="shared" si="118"/>
        <v>743.7955767058138</v>
      </c>
      <c r="GF66" s="52"/>
      <c r="GG66" s="52"/>
      <c r="GH66" s="52"/>
      <c r="GI66" s="55">
        <f t="shared" si="119"/>
        <v>35132.362500000003</v>
      </c>
      <c r="GJ66" s="55">
        <f t="shared" si="119"/>
        <v>11880.8534</v>
      </c>
      <c r="GK66" s="56">
        <f t="shared" si="120"/>
        <v>283.40472599999993</v>
      </c>
      <c r="GL66" s="56">
        <f t="shared" si="120"/>
        <v>305.84632049999999</v>
      </c>
      <c r="GM66" s="298">
        <f t="shared" si="121"/>
        <v>0.74728694532891971</v>
      </c>
      <c r="GN66" s="52"/>
      <c r="GO66" s="56">
        <f t="shared" si="122"/>
        <v>283.38131099216992</v>
      </c>
      <c r="GP66" s="56">
        <f t="shared" si="122"/>
        <v>305.8775002421699</v>
      </c>
      <c r="GQ66" s="56">
        <f t="shared" si="122"/>
        <v>288.37195954310374</v>
      </c>
      <c r="GR66" s="56">
        <f t="shared" si="122"/>
        <v>310.86814879310384</v>
      </c>
    </row>
    <row r="67" spans="1:200" x14ac:dyDescent="0.2">
      <c r="A67" s="118">
        <v>57</v>
      </c>
      <c r="C67" s="128">
        <v>1.9762</v>
      </c>
      <c r="D67" s="128">
        <v>1.3085</v>
      </c>
      <c r="E67" s="128">
        <v>1.2500000000000001E-2</v>
      </c>
      <c r="F67" s="128">
        <v>15152.92</v>
      </c>
      <c r="G67" s="128">
        <v>4385.6707999999999</v>
      </c>
      <c r="H67" s="49">
        <f t="shared" si="100"/>
        <v>1979.0062039999998</v>
      </c>
      <c r="I67" s="49">
        <f t="shared" si="100"/>
        <v>2483.0095999999999</v>
      </c>
      <c r="J67" s="47">
        <f t="shared" si="100"/>
        <v>2.2742499999999999</v>
      </c>
      <c r="K67" s="47">
        <f t="shared" si="53"/>
        <v>0.51048266064817727</v>
      </c>
      <c r="L67" s="48">
        <f t="shared" si="54"/>
        <v>1979.516686660648</v>
      </c>
      <c r="M67" s="48">
        <f t="shared" si="55"/>
        <v>2481.2458326606479</v>
      </c>
      <c r="N67" s="93">
        <f t="shared" si="56"/>
        <v>1994.034751150826</v>
      </c>
      <c r="O67" s="93">
        <f t="shared" si="57"/>
        <v>2495.7638971508263</v>
      </c>
      <c r="Q67" s="128">
        <v>2.3391999999999999</v>
      </c>
      <c r="R67" s="130">
        <v>1.6252</v>
      </c>
      <c r="S67" s="128">
        <v>1.0999999999999999E-2</v>
      </c>
      <c r="T67" s="128">
        <v>5498.2782999999999</v>
      </c>
      <c r="U67" s="128">
        <v>2126.7741999999998</v>
      </c>
      <c r="V67" s="49">
        <f t="shared" si="101"/>
        <v>1488.6902719999998</v>
      </c>
      <c r="W67" s="49">
        <f t="shared" si="101"/>
        <v>1936.4095480000001</v>
      </c>
      <c r="X67" s="47">
        <f t="shared" si="101"/>
        <v>2.4361699999999997</v>
      </c>
      <c r="Y67" s="47">
        <f t="shared" si="58"/>
        <v>1.3773095957685577</v>
      </c>
      <c r="Z67" s="48">
        <f t="shared" si="59"/>
        <v>1490.0675815957684</v>
      </c>
      <c r="AA67" s="48">
        <f t="shared" si="60"/>
        <v>1935.3506875957687</v>
      </c>
      <c r="AB67" s="93">
        <f t="shared" si="61"/>
        <v>1505.9891394795848</v>
      </c>
      <c r="AC67" s="93">
        <f t="shared" si="62"/>
        <v>1951.2722454795851</v>
      </c>
      <c r="AE67" s="128">
        <v>2.8582000000000001</v>
      </c>
      <c r="AF67" s="130">
        <v>1.67</v>
      </c>
      <c r="AG67" s="128">
        <v>0</v>
      </c>
      <c r="AH67" s="128">
        <v>614.83330000000001</v>
      </c>
      <c r="AI67" s="128">
        <v>204.75</v>
      </c>
      <c r="AJ67" s="49">
        <f t="shared" si="102"/>
        <v>1315.0006559999999</v>
      </c>
      <c r="AK67" s="49">
        <f t="shared" si="102"/>
        <v>1754.7191</v>
      </c>
      <c r="AL67" s="47">
        <f t="shared" si="102"/>
        <v>0</v>
      </c>
      <c r="AM67" s="47">
        <f t="shared" si="63"/>
        <v>0</v>
      </c>
      <c r="AN67" s="48">
        <f t="shared" si="64"/>
        <v>1315.0006559999999</v>
      </c>
      <c r="AO67" s="48">
        <f t="shared" si="65"/>
        <v>1754.7191</v>
      </c>
      <c r="AP67" s="93">
        <f t="shared" si="66"/>
        <v>1326.8030940778515</v>
      </c>
      <c r="AQ67" s="93">
        <f t="shared" si="67"/>
        <v>1766.5215380778516</v>
      </c>
      <c r="AS67" s="128">
        <v>3.0790000000000002</v>
      </c>
      <c r="AT67" s="130">
        <v>1.3104</v>
      </c>
      <c r="AU67" s="128">
        <v>0</v>
      </c>
      <c r="AV67" s="128">
        <v>20275.476699999999</v>
      </c>
      <c r="AW67" s="128">
        <v>6622.2857999999997</v>
      </c>
      <c r="AX67" s="49">
        <f t="shared" si="103"/>
        <v>1079.6205600000001</v>
      </c>
      <c r="AY67" s="49">
        <f t="shared" si="103"/>
        <v>923.805792</v>
      </c>
      <c r="AZ67" s="47">
        <f t="shared" si="103"/>
        <v>0</v>
      </c>
      <c r="BA67" s="47">
        <f t="shared" si="68"/>
        <v>0</v>
      </c>
      <c r="BB67" s="48">
        <f t="shared" si="69"/>
        <v>1079.6205600000001</v>
      </c>
      <c r="BC67" s="48">
        <f t="shared" si="70"/>
        <v>923.805792</v>
      </c>
      <c r="BD67" s="93">
        <f t="shared" si="71"/>
        <v>1098.2783903417028</v>
      </c>
      <c r="BE67" s="93">
        <f t="shared" si="72"/>
        <v>942.46362234170272</v>
      </c>
      <c r="BG67" s="128">
        <v>2.9748999999999999</v>
      </c>
      <c r="BH67" s="130">
        <v>1.347</v>
      </c>
      <c r="BI67" s="128">
        <v>0</v>
      </c>
      <c r="BJ67" s="128">
        <v>11485.525799999999</v>
      </c>
      <c r="BK67" s="128">
        <v>4182.1657999999998</v>
      </c>
      <c r="BL67" s="49">
        <f t="shared" si="104"/>
        <v>977.01665800000001</v>
      </c>
      <c r="BM67" s="49">
        <f t="shared" si="104"/>
        <v>814.50395999999989</v>
      </c>
      <c r="BN67" s="47">
        <f t="shared" si="104"/>
        <v>0</v>
      </c>
      <c r="BO67" s="47">
        <f t="shared" si="73"/>
        <v>0</v>
      </c>
      <c r="BP67" s="48">
        <f t="shared" si="74"/>
        <v>977.01665800000001</v>
      </c>
      <c r="BQ67" s="48">
        <f t="shared" si="75"/>
        <v>814.50395999999989</v>
      </c>
      <c r="BR67" s="93">
        <f t="shared" si="76"/>
        <v>995.71658440643307</v>
      </c>
      <c r="BS67" s="93">
        <f t="shared" si="77"/>
        <v>833.20388640643296</v>
      </c>
      <c r="BU67" s="128">
        <v>2.7124000000000001</v>
      </c>
      <c r="BV67" s="130">
        <v>1.1807000000000001</v>
      </c>
      <c r="BW67" s="128">
        <v>0</v>
      </c>
      <c r="BX67" s="128">
        <v>13873.925800000001</v>
      </c>
      <c r="BY67" s="128">
        <v>5182.8882999999996</v>
      </c>
      <c r="BZ67" s="49">
        <f t="shared" si="105"/>
        <v>658.02823999999998</v>
      </c>
      <c r="CA67" s="49">
        <f t="shared" si="105"/>
        <v>477.14448400000003</v>
      </c>
      <c r="CB67" s="47">
        <f t="shared" si="105"/>
        <v>0</v>
      </c>
      <c r="CC67" s="47">
        <f t="shared" si="78"/>
        <v>0</v>
      </c>
      <c r="CD67" s="48">
        <f t="shared" si="79"/>
        <v>658.02823999999998</v>
      </c>
      <c r="CE67" s="48">
        <f t="shared" si="80"/>
        <v>477.14448400000003</v>
      </c>
      <c r="CF67" s="93">
        <f t="shared" si="81"/>
        <v>670.06309228423095</v>
      </c>
      <c r="CG67" s="93">
        <f t="shared" si="82"/>
        <v>489.17933628423094</v>
      </c>
      <c r="CI67" s="128">
        <v>1.2088000000000001</v>
      </c>
      <c r="CJ67" s="130">
        <v>1.0834999999999999</v>
      </c>
      <c r="CK67" s="128">
        <v>1.7100000000000001E-2</v>
      </c>
      <c r="CL67" s="128">
        <v>46429.750800000002</v>
      </c>
      <c r="CM67" s="128">
        <v>16323.8375</v>
      </c>
      <c r="CN67" s="49">
        <f t="shared" si="106"/>
        <v>256.60406399999999</v>
      </c>
      <c r="CO67" s="49">
        <f t="shared" si="106"/>
        <v>298.48257999999998</v>
      </c>
      <c r="CP67" s="47">
        <f t="shared" si="106"/>
        <v>6.6690000000000004E-3</v>
      </c>
      <c r="CQ67" s="47">
        <f t="shared" si="83"/>
        <v>3.5860713773902299E-3</v>
      </c>
      <c r="CR67" s="48">
        <f t="shared" si="84"/>
        <v>256.60765007137741</v>
      </c>
      <c r="CS67" s="48">
        <f t="shared" si="85"/>
        <v>298.47949707137741</v>
      </c>
      <c r="CT67" s="93">
        <f t="shared" si="86"/>
        <v>256.63721294675935</v>
      </c>
      <c r="CU67" s="93">
        <f t="shared" si="87"/>
        <v>298.50905994675935</v>
      </c>
      <c r="CW67" s="128">
        <v>2.1753999999999998</v>
      </c>
      <c r="CX67" s="130">
        <v>1.8985000000000001</v>
      </c>
      <c r="CY67" s="128">
        <v>5.4399999999999997E-2</v>
      </c>
      <c r="CZ67" s="128">
        <v>21667.702499999999</v>
      </c>
      <c r="DA67" s="128">
        <v>7220.9575000000004</v>
      </c>
      <c r="DB67" s="49">
        <f t="shared" si="107"/>
        <v>467.08013399999999</v>
      </c>
      <c r="DC67" s="49">
        <f t="shared" si="107"/>
        <v>569.62594000000001</v>
      </c>
      <c r="DD67" s="47">
        <f t="shared" si="107"/>
        <v>1.4688E-2</v>
      </c>
      <c r="DE67" s="47">
        <f t="shared" si="88"/>
        <v>8.0704319349054008E-3</v>
      </c>
      <c r="DF67" s="48">
        <f t="shared" si="89"/>
        <v>467.08820443193491</v>
      </c>
      <c r="DG67" s="48">
        <f t="shared" si="90"/>
        <v>569.61932243193496</v>
      </c>
      <c r="DH67" s="93">
        <f t="shared" si="91"/>
        <v>467.10312119881797</v>
      </c>
      <c r="DI67" s="93">
        <f t="shared" si="92"/>
        <v>569.63423919881802</v>
      </c>
      <c r="DK67" s="128">
        <v>2.1423000000000001</v>
      </c>
      <c r="DL67" s="130">
        <v>1.8309</v>
      </c>
      <c r="DM67" s="128">
        <v>2.7099999999999999E-2</v>
      </c>
      <c r="DN67" s="128">
        <v>5346.3249999999998</v>
      </c>
      <c r="DO67" s="128">
        <v>2255.9908</v>
      </c>
      <c r="DP67" s="49">
        <f t="shared" si="108"/>
        <v>283.55482800000004</v>
      </c>
      <c r="DQ67" s="49">
        <f t="shared" si="108"/>
        <v>354.51716699999997</v>
      </c>
      <c r="DR67" s="47">
        <f t="shared" si="108"/>
        <v>5.1489999999999999E-3</v>
      </c>
      <c r="DS67" s="47">
        <f t="shared" si="93"/>
        <v>2.8608196366352043E-3</v>
      </c>
      <c r="DT67" s="48">
        <f t="shared" si="94"/>
        <v>283.55768881963667</v>
      </c>
      <c r="DU67" s="48">
        <f t="shared" si="95"/>
        <v>354.51487881963658</v>
      </c>
      <c r="DV67" s="93">
        <f t="shared" si="96"/>
        <v>283.57695444953004</v>
      </c>
      <c r="DW67" s="93">
        <f t="shared" si="97"/>
        <v>354.53414444952995</v>
      </c>
      <c r="EB67" s="52"/>
      <c r="EC67" s="52"/>
      <c r="ED67" s="52"/>
      <c r="EE67" s="55">
        <f t="shared" si="98"/>
        <v>103525.84999999999</v>
      </c>
      <c r="EF67" s="55">
        <f t="shared" si="98"/>
        <v>34552.751600000003</v>
      </c>
      <c r="EG67" s="55">
        <f t="shared" si="98"/>
        <v>3688.8949352</v>
      </c>
      <c r="EH67" s="55">
        <f t="shared" si="98"/>
        <v>4160.998724</v>
      </c>
      <c r="EI67" s="298">
        <f t="shared" si="109"/>
        <v>0.7497602727749525</v>
      </c>
      <c r="EJ67" s="52"/>
      <c r="EK67" s="55">
        <f t="shared" si="99"/>
        <v>3689.4154602775734</v>
      </c>
      <c r="EL67" s="55">
        <f t="shared" si="99"/>
        <v>4159.2265796775737</v>
      </c>
      <c r="EM67" s="55">
        <f t="shared" si="39"/>
        <v>3722.6328513983426</v>
      </c>
      <c r="EN67" s="55">
        <f t="shared" si="39"/>
        <v>4192.4439707983429</v>
      </c>
      <c r="EP67" s="52"/>
      <c r="EQ67" s="52"/>
      <c r="ER67" s="52"/>
      <c r="ES67" s="55">
        <f t="shared" si="110"/>
        <v>85081.257400000002</v>
      </c>
      <c r="ET67" s="55">
        <f t="shared" si="110"/>
        <v>29853.735000000001</v>
      </c>
      <c r="EU67" s="55">
        <f t="shared" si="110"/>
        <v>3049.2670877999999</v>
      </c>
      <c r="EV67" s="55">
        <f t="shared" si="110"/>
        <v>3448.1342460000001</v>
      </c>
      <c r="EW67" s="298">
        <f t="shared" si="111"/>
        <v>0.74025547505930844</v>
      </c>
      <c r="EX67" s="52"/>
      <c r="EY67" s="55">
        <f t="shared" si="112"/>
        <v>3050.6536327695003</v>
      </c>
      <c r="EZ67" s="55">
        <f t="shared" si="112"/>
        <v>3447.0676703695008</v>
      </c>
      <c r="FA67" s="55">
        <f t="shared" si="112"/>
        <v>3085.3151216719498</v>
      </c>
      <c r="FB67" s="55">
        <f t="shared" si="112"/>
        <v>3481.7291592719503</v>
      </c>
      <c r="FD67" s="52"/>
      <c r="FE67" s="52"/>
      <c r="FF67" s="52"/>
      <c r="FG67" s="55">
        <f t="shared" si="113"/>
        <v>66264.834900000002</v>
      </c>
      <c r="FH67" s="55">
        <f t="shared" si="113"/>
        <v>23967.4666</v>
      </c>
      <c r="FI67" s="55">
        <f t="shared" si="113"/>
        <v>2399.7658567999997</v>
      </c>
      <c r="FJ67" s="55">
        <f t="shared" si="113"/>
        <v>2743.0564641999999</v>
      </c>
      <c r="FK67" s="298">
        <f t="shared" si="114"/>
        <v>0.73438041364821005</v>
      </c>
      <c r="FL67" s="52"/>
      <c r="FM67" s="55">
        <f t="shared" si="115"/>
        <v>2399.7711593631593</v>
      </c>
      <c r="FN67" s="55">
        <f t="shared" si="115"/>
        <v>2743.0520083631595</v>
      </c>
      <c r="FO67" s="55">
        <f t="shared" si="115"/>
        <v>2423.6495719785598</v>
      </c>
      <c r="FP67" s="55">
        <f t="shared" si="115"/>
        <v>2766.9304209785601</v>
      </c>
      <c r="FR67" s="52"/>
      <c r="FS67" s="52"/>
      <c r="FT67" s="52"/>
      <c r="FU67" s="55">
        <f t="shared" si="116"/>
        <v>68097.453299999994</v>
      </c>
      <c r="FV67" s="55">
        <f t="shared" si="116"/>
        <v>23544.794999999998</v>
      </c>
      <c r="FW67" s="55">
        <f t="shared" si="116"/>
        <v>630.26817119999998</v>
      </c>
      <c r="FX67" s="55">
        <f t="shared" si="116"/>
        <v>754.18333200000006</v>
      </c>
      <c r="FY67" s="298">
        <f t="shared" si="117"/>
        <v>0.74307925179963097</v>
      </c>
      <c r="FZ67" s="52"/>
      <c r="GA67" s="55">
        <f t="shared" si="118"/>
        <v>630.27821361692531</v>
      </c>
      <c r="GB67" s="55">
        <f t="shared" si="118"/>
        <v>754.17495501692542</v>
      </c>
      <c r="GC67" s="55">
        <f t="shared" si="118"/>
        <v>630.31970990581374</v>
      </c>
      <c r="GD67" s="55">
        <f t="shared" si="118"/>
        <v>754.21645130581373</v>
      </c>
      <c r="GF67" s="52"/>
      <c r="GG67" s="52"/>
      <c r="GH67" s="52"/>
      <c r="GI67" s="55">
        <f t="shared" si="119"/>
        <v>34149.402499999997</v>
      </c>
      <c r="GJ67" s="55">
        <f t="shared" si="119"/>
        <v>11805.1741</v>
      </c>
      <c r="GK67" s="56">
        <f t="shared" si="120"/>
        <v>316.19424000000004</v>
      </c>
      <c r="GL67" s="56">
        <f t="shared" si="120"/>
        <v>334.99598099999997</v>
      </c>
      <c r="GM67" s="298">
        <f t="shared" si="121"/>
        <v>0.74311211258118737</v>
      </c>
      <c r="GN67" s="52"/>
      <c r="GO67" s="56">
        <f t="shared" si="122"/>
        <v>316.19424000000004</v>
      </c>
      <c r="GP67" s="56">
        <f t="shared" si="122"/>
        <v>334.99598099999997</v>
      </c>
      <c r="GQ67" s="56">
        <f t="shared" si="122"/>
        <v>321.16147354310385</v>
      </c>
      <c r="GR67" s="56">
        <f t="shared" si="122"/>
        <v>339.96321454310385</v>
      </c>
    </row>
    <row r="68" spans="1:200" x14ac:dyDescent="0.2">
      <c r="A68" s="118">
        <v>58</v>
      </c>
      <c r="C68" s="128">
        <v>2.0807000000000002</v>
      </c>
      <c r="D68" s="128">
        <v>1.3458000000000001</v>
      </c>
      <c r="E68" s="128">
        <v>1.04E-2</v>
      </c>
      <c r="F68" s="128">
        <v>14323.7583</v>
      </c>
      <c r="G68" s="128">
        <v>4344.7650000000003</v>
      </c>
      <c r="H68" s="49">
        <f t="shared" si="100"/>
        <v>2083.6545940000001</v>
      </c>
      <c r="I68" s="49">
        <f t="shared" si="100"/>
        <v>2553.7900800000002</v>
      </c>
      <c r="J68" s="47">
        <f t="shared" si="100"/>
        <v>1.8921759999999999</v>
      </c>
      <c r="K68" s="47">
        <f t="shared" si="53"/>
        <v>0.44037013139866288</v>
      </c>
      <c r="L68" s="48">
        <f t="shared" si="54"/>
        <v>2084.0949641313987</v>
      </c>
      <c r="M68" s="48">
        <f t="shared" si="55"/>
        <v>2552.338274131399</v>
      </c>
      <c r="N68" s="93">
        <f t="shared" si="56"/>
        <v>2098.6831411508265</v>
      </c>
      <c r="O68" s="93">
        <f t="shared" si="57"/>
        <v>2566.9264511508268</v>
      </c>
      <c r="Q68" s="128">
        <v>2.4666999999999999</v>
      </c>
      <c r="R68" s="130">
        <v>1.6712</v>
      </c>
      <c r="S68" s="128">
        <v>6.8999999999999999E-3</v>
      </c>
      <c r="T68" s="128">
        <v>5336.5617000000002</v>
      </c>
      <c r="U68" s="128">
        <v>2091.4792000000002</v>
      </c>
      <c r="V68" s="49">
        <f t="shared" si="101"/>
        <v>1569.8325469999997</v>
      </c>
      <c r="W68" s="49">
        <f t="shared" si="101"/>
        <v>1991.2180880000001</v>
      </c>
      <c r="X68" s="47">
        <f t="shared" si="101"/>
        <v>1.528143</v>
      </c>
      <c r="Y68" s="47">
        <f t="shared" si="58"/>
        <v>0.85448545795546782</v>
      </c>
      <c r="Z68" s="48">
        <f t="shared" si="59"/>
        <v>1570.6870324579552</v>
      </c>
      <c r="AA68" s="48">
        <f t="shared" si="60"/>
        <v>1990.5444304579555</v>
      </c>
      <c r="AB68" s="93">
        <f t="shared" si="61"/>
        <v>1587.1314144795847</v>
      </c>
      <c r="AC68" s="93">
        <f t="shared" si="62"/>
        <v>2006.988812479585</v>
      </c>
      <c r="AE68" s="128">
        <v>3.0829</v>
      </c>
      <c r="AF68" s="130">
        <v>1.7290000000000001</v>
      </c>
      <c r="AG68" s="128">
        <v>0</v>
      </c>
      <c r="AH68" s="128">
        <v>633.93920000000003</v>
      </c>
      <c r="AI68" s="128">
        <v>211.41669999999999</v>
      </c>
      <c r="AJ68" s="49">
        <f t="shared" si="102"/>
        <v>1418.3806319999999</v>
      </c>
      <c r="AK68" s="49">
        <f t="shared" si="102"/>
        <v>1816.7121700000002</v>
      </c>
      <c r="AL68" s="47">
        <f t="shared" si="102"/>
        <v>0</v>
      </c>
      <c r="AM68" s="47">
        <f t="shared" si="63"/>
        <v>0</v>
      </c>
      <c r="AN68" s="48">
        <f t="shared" si="64"/>
        <v>1418.3806319999999</v>
      </c>
      <c r="AO68" s="48">
        <f t="shared" si="65"/>
        <v>1816.7121700000002</v>
      </c>
      <c r="AP68" s="93">
        <f t="shared" si="66"/>
        <v>1430.1830700778514</v>
      </c>
      <c r="AQ68" s="93">
        <f t="shared" si="67"/>
        <v>1828.5146080778518</v>
      </c>
      <c r="AS68" s="128">
        <v>3.3349000000000002</v>
      </c>
      <c r="AT68" s="130">
        <v>1.389</v>
      </c>
      <c r="AU68" s="128">
        <v>0</v>
      </c>
      <c r="AV68" s="128">
        <v>19366.474999999999</v>
      </c>
      <c r="AW68" s="128">
        <v>6753.5308000000005</v>
      </c>
      <c r="AX68" s="49">
        <f t="shared" si="103"/>
        <v>1169.349336</v>
      </c>
      <c r="AY68" s="49">
        <f t="shared" si="103"/>
        <v>979.21722</v>
      </c>
      <c r="AZ68" s="47">
        <f t="shared" si="103"/>
        <v>0</v>
      </c>
      <c r="BA68" s="47">
        <f t="shared" si="68"/>
        <v>0</v>
      </c>
      <c r="BB68" s="48">
        <f t="shared" si="69"/>
        <v>1169.349336</v>
      </c>
      <c r="BC68" s="48">
        <f t="shared" si="70"/>
        <v>979.21722</v>
      </c>
      <c r="BD68" s="93">
        <f t="shared" si="71"/>
        <v>1188.0071663417027</v>
      </c>
      <c r="BE68" s="93">
        <f t="shared" si="72"/>
        <v>997.87505034170272</v>
      </c>
      <c r="BG68" s="128">
        <v>3.2282000000000002</v>
      </c>
      <c r="BH68" s="130">
        <v>1.4138999999999999</v>
      </c>
      <c r="BI68" s="128">
        <v>0</v>
      </c>
      <c r="BJ68" s="128">
        <v>11112.2408</v>
      </c>
      <c r="BK68" s="128">
        <v>4132.7825000000003</v>
      </c>
      <c r="BL68" s="49">
        <f t="shared" si="104"/>
        <v>1060.2054440000002</v>
      </c>
      <c r="BM68" s="49">
        <f t="shared" si="104"/>
        <v>854.95705199999986</v>
      </c>
      <c r="BN68" s="47">
        <f t="shared" si="104"/>
        <v>0</v>
      </c>
      <c r="BO68" s="47">
        <f t="shared" si="73"/>
        <v>0</v>
      </c>
      <c r="BP68" s="48">
        <f t="shared" si="74"/>
        <v>1060.2054440000002</v>
      </c>
      <c r="BQ68" s="48">
        <f t="shared" si="75"/>
        <v>854.95705199999986</v>
      </c>
      <c r="BR68" s="93">
        <f t="shared" si="76"/>
        <v>1078.9053704064331</v>
      </c>
      <c r="BS68" s="93">
        <f t="shared" si="77"/>
        <v>873.65697840643293</v>
      </c>
      <c r="BU68" s="128">
        <v>2.871</v>
      </c>
      <c r="BV68" s="130">
        <v>1.2142999999999999</v>
      </c>
      <c r="BW68" s="128">
        <v>0</v>
      </c>
      <c r="BX68" s="128">
        <v>13404.342500000001</v>
      </c>
      <c r="BY68" s="128">
        <v>5162.3649999999998</v>
      </c>
      <c r="BZ68" s="49">
        <f t="shared" si="105"/>
        <v>696.50459999999998</v>
      </c>
      <c r="CA68" s="49">
        <f t="shared" si="105"/>
        <v>490.722916</v>
      </c>
      <c r="CB68" s="47">
        <f t="shared" si="105"/>
        <v>0</v>
      </c>
      <c r="CC68" s="47">
        <f t="shared" si="78"/>
        <v>0</v>
      </c>
      <c r="CD68" s="48">
        <f t="shared" si="79"/>
        <v>696.50459999999998</v>
      </c>
      <c r="CE68" s="48">
        <f t="shared" si="80"/>
        <v>490.722916</v>
      </c>
      <c r="CF68" s="93">
        <f t="shared" si="81"/>
        <v>708.53945228423095</v>
      </c>
      <c r="CG68" s="93">
        <f t="shared" si="82"/>
        <v>502.75776828423091</v>
      </c>
      <c r="CI68" s="128">
        <v>1.2197</v>
      </c>
      <c r="CJ68" s="130">
        <v>1.0821000000000001</v>
      </c>
      <c r="CK68" s="128">
        <v>1.17E-2</v>
      </c>
      <c r="CL68" s="128">
        <v>44652.741699999999</v>
      </c>
      <c r="CM68" s="128">
        <v>16373.844999999999</v>
      </c>
      <c r="CN68" s="49">
        <f t="shared" si="106"/>
        <v>258.91791599999999</v>
      </c>
      <c r="CO68" s="49">
        <f t="shared" si="106"/>
        <v>298.09690800000004</v>
      </c>
      <c r="CP68" s="47">
        <f t="shared" si="106"/>
        <v>4.5630000000000002E-3</v>
      </c>
      <c r="CQ68" s="47">
        <f t="shared" si="83"/>
        <v>2.4419748498542655E-3</v>
      </c>
      <c r="CR68" s="48">
        <f t="shared" si="84"/>
        <v>258.92035797484982</v>
      </c>
      <c r="CS68" s="48">
        <f t="shared" si="85"/>
        <v>298.09478697484985</v>
      </c>
      <c r="CT68" s="93">
        <f t="shared" si="86"/>
        <v>258.95106494675935</v>
      </c>
      <c r="CU68" s="93">
        <f t="shared" si="87"/>
        <v>298.12549394675938</v>
      </c>
      <c r="CW68" s="128">
        <v>2.2660999999999998</v>
      </c>
      <c r="CX68" s="130">
        <v>1.9424999999999999</v>
      </c>
      <c r="CY68" s="128">
        <v>4.4900000000000002E-2</v>
      </c>
      <c r="CZ68" s="128">
        <v>20593.8433</v>
      </c>
      <c r="DA68" s="128">
        <v>7467.8182999999999</v>
      </c>
      <c r="DB68" s="49">
        <f t="shared" si="107"/>
        <v>486.55433099999999</v>
      </c>
      <c r="DC68" s="49">
        <f t="shared" si="107"/>
        <v>582.82770000000005</v>
      </c>
      <c r="DD68" s="47">
        <f t="shared" si="107"/>
        <v>1.2123000000000002E-2</v>
      </c>
      <c r="DE68" s="47">
        <f t="shared" si="88"/>
        <v>6.607199300415402E-3</v>
      </c>
      <c r="DF68" s="48">
        <f t="shared" si="89"/>
        <v>486.56093819930038</v>
      </c>
      <c r="DG68" s="48">
        <f t="shared" si="90"/>
        <v>582.82218419930052</v>
      </c>
      <c r="DH68" s="93">
        <f t="shared" si="91"/>
        <v>486.57731819881798</v>
      </c>
      <c r="DI68" s="93">
        <f t="shared" si="92"/>
        <v>582.83856419881806</v>
      </c>
      <c r="DK68" s="128">
        <v>2.1781000000000001</v>
      </c>
      <c r="DL68" s="130">
        <v>1.8537999999999999</v>
      </c>
      <c r="DM68" s="128">
        <v>1.77E-2</v>
      </c>
      <c r="DN68" s="128">
        <v>5252.9767000000002</v>
      </c>
      <c r="DO68" s="128">
        <v>2213.3157999999999</v>
      </c>
      <c r="DP68" s="49">
        <f t="shared" si="108"/>
        <v>288.29331600000006</v>
      </c>
      <c r="DQ68" s="49">
        <f t="shared" si="108"/>
        <v>358.95129399999996</v>
      </c>
      <c r="DR68" s="47">
        <f t="shared" si="108"/>
        <v>3.3630000000000001E-3</v>
      </c>
      <c r="DS68" s="47">
        <f t="shared" si="93"/>
        <v>1.8650648967505499E-3</v>
      </c>
      <c r="DT68" s="48">
        <f t="shared" si="94"/>
        <v>288.29518106489684</v>
      </c>
      <c r="DU68" s="48">
        <f t="shared" si="95"/>
        <v>358.94979606489676</v>
      </c>
      <c r="DV68" s="93">
        <f t="shared" si="96"/>
        <v>288.31544244953005</v>
      </c>
      <c r="DW68" s="93">
        <f t="shared" si="97"/>
        <v>358.97005744952997</v>
      </c>
      <c r="EB68" s="52"/>
      <c r="EC68" s="52"/>
      <c r="ED68" s="52"/>
      <c r="EE68" s="55">
        <f t="shared" si="98"/>
        <v>98936.818300000014</v>
      </c>
      <c r="EF68" s="55">
        <f t="shared" si="98"/>
        <v>34939.9591</v>
      </c>
      <c r="EG68" s="55">
        <f t="shared" si="98"/>
        <v>3901.1653107999996</v>
      </c>
      <c r="EH68" s="55">
        <f t="shared" si="98"/>
        <v>4297.366368</v>
      </c>
      <c r="EI68" s="298">
        <f t="shared" si="109"/>
        <v>0.7390140412806202</v>
      </c>
      <c r="EJ68" s="52"/>
      <c r="EK68" s="55">
        <f t="shared" si="99"/>
        <v>3901.6134086656889</v>
      </c>
      <c r="EL68" s="55">
        <f t="shared" si="99"/>
        <v>4295.9080284656893</v>
      </c>
      <c r="EM68" s="55">
        <f t="shared" si="39"/>
        <v>3934.9032269983431</v>
      </c>
      <c r="EN68" s="55">
        <f t="shared" si="39"/>
        <v>4329.1978467983436</v>
      </c>
      <c r="EP68" s="52"/>
      <c r="EQ68" s="52"/>
      <c r="ER68" s="52"/>
      <c r="ES68" s="55">
        <f t="shared" si="110"/>
        <v>81695.387499999997</v>
      </c>
      <c r="ET68" s="55">
        <f t="shared" si="110"/>
        <v>30065.924999999999</v>
      </c>
      <c r="EU68" s="55">
        <f t="shared" si="110"/>
        <v>3229.5439387000001</v>
      </c>
      <c r="EV68" s="55">
        <f t="shared" si="110"/>
        <v>3552.2514379999998</v>
      </c>
      <c r="EW68" s="298">
        <f t="shared" si="111"/>
        <v>0.73098092419056016</v>
      </c>
      <c r="EX68" s="52"/>
      <c r="EY68" s="55">
        <f t="shared" si="112"/>
        <v>3230.4054911723156</v>
      </c>
      <c r="EZ68" s="55">
        <f t="shared" si="112"/>
        <v>3551.5717983723152</v>
      </c>
      <c r="FA68" s="55">
        <f t="shared" si="112"/>
        <v>3265.5919725719496</v>
      </c>
      <c r="FB68" s="55">
        <f t="shared" si="112"/>
        <v>3586.7582797719501</v>
      </c>
      <c r="FD68" s="52"/>
      <c r="FE68" s="52"/>
      <c r="FF68" s="52"/>
      <c r="FG68" s="55">
        <f t="shared" si="113"/>
        <v>63944.000099999997</v>
      </c>
      <c r="FH68" s="55">
        <f t="shared" si="113"/>
        <v>23960.942500000001</v>
      </c>
      <c r="FI68" s="55">
        <f t="shared" si="113"/>
        <v>2546.7791375999996</v>
      </c>
      <c r="FJ68" s="55">
        <f t="shared" si="113"/>
        <v>2820.9027704000005</v>
      </c>
      <c r="FK68" s="298">
        <f t="shared" si="114"/>
        <v>0.72742212449837829</v>
      </c>
      <c r="FL68" s="52"/>
      <c r="FM68" s="55">
        <f t="shared" si="115"/>
        <v>2546.7826986137879</v>
      </c>
      <c r="FN68" s="55">
        <f t="shared" si="115"/>
        <v>2820.899750613788</v>
      </c>
      <c r="FO68" s="55">
        <f t="shared" si="115"/>
        <v>2570.6628527785597</v>
      </c>
      <c r="FP68" s="55">
        <f t="shared" si="115"/>
        <v>2844.7799047785597</v>
      </c>
      <c r="FR68" s="52"/>
      <c r="FS68" s="52"/>
      <c r="FT68" s="52"/>
      <c r="FU68" s="55">
        <f t="shared" si="116"/>
        <v>65246.584999999999</v>
      </c>
      <c r="FV68" s="55">
        <f t="shared" si="116"/>
        <v>23841.6633</v>
      </c>
      <c r="FW68" s="55">
        <f t="shared" si="116"/>
        <v>648.16138079999996</v>
      </c>
      <c r="FX68" s="55">
        <f t="shared" si="116"/>
        <v>764.35906800000009</v>
      </c>
      <c r="FY68" s="298">
        <f t="shared" si="117"/>
        <v>0.73238150087187193</v>
      </c>
      <c r="FZ68" s="52"/>
      <c r="GA68" s="55">
        <f t="shared" si="118"/>
        <v>648.16910853429022</v>
      </c>
      <c r="GB68" s="55">
        <f t="shared" si="118"/>
        <v>764.35253433429034</v>
      </c>
      <c r="GC68" s="55">
        <f t="shared" si="118"/>
        <v>648.21291950581372</v>
      </c>
      <c r="GD68" s="55">
        <f t="shared" si="118"/>
        <v>764.39634530581384</v>
      </c>
      <c r="GF68" s="52"/>
      <c r="GG68" s="52"/>
      <c r="GH68" s="52"/>
      <c r="GI68" s="55">
        <f t="shared" si="119"/>
        <v>32770.817499999997</v>
      </c>
      <c r="GJ68" s="55">
        <f t="shared" si="119"/>
        <v>11915.8958</v>
      </c>
      <c r="GK68" s="56">
        <f t="shared" si="120"/>
        <v>354.63355200000001</v>
      </c>
      <c r="GL68" s="56">
        <f t="shared" si="120"/>
        <v>366.37072799999999</v>
      </c>
      <c r="GM68" s="298">
        <f t="shared" si="121"/>
        <v>0.73334588919073629</v>
      </c>
      <c r="GN68" s="52"/>
      <c r="GO68" s="56">
        <f t="shared" si="122"/>
        <v>354.63355200000001</v>
      </c>
      <c r="GP68" s="56">
        <f t="shared" si="122"/>
        <v>366.37072799999999</v>
      </c>
      <c r="GQ68" s="56">
        <f t="shared" si="122"/>
        <v>359.60078554310383</v>
      </c>
      <c r="GR68" s="56">
        <f t="shared" si="122"/>
        <v>371.33796154310386</v>
      </c>
    </row>
    <row r="69" spans="1:200" x14ac:dyDescent="0.2">
      <c r="A69" s="118">
        <v>59</v>
      </c>
      <c r="C69" s="128">
        <v>2.1930999999999998</v>
      </c>
      <c r="D69" s="128">
        <v>1.3855999999999999</v>
      </c>
      <c r="E69" s="128">
        <v>8.2000000000000007E-3</v>
      </c>
      <c r="F69" s="128">
        <v>13504.665800000001</v>
      </c>
      <c r="G69" s="128">
        <v>4051.5333000000001</v>
      </c>
      <c r="H69" s="49">
        <f t="shared" si="100"/>
        <v>2196.2142019999997</v>
      </c>
      <c r="I69" s="49">
        <f t="shared" si="100"/>
        <v>2629.3145599999998</v>
      </c>
      <c r="J69" s="47">
        <f t="shared" si="100"/>
        <v>1.491908</v>
      </c>
      <c r="K69" s="47">
        <f t="shared" si="53"/>
        <v>0.3442951921487607</v>
      </c>
      <c r="L69" s="48">
        <f t="shared" si="54"/>
        <v>2196.5584971921485</v>
      </c>
      <c r="M69" s="48">
        <f t="shared" si="55"/>
        <v>2628.1669471921487</v>
      </c>
      <c r="N69" s="93">
        <f t="shared" si="56"/>
        <v>2211.2427491508261</v>
      </c>
      <c r="O69" s="93">
        <f t="shared" si="57"/>
        <v>2642.8511991508262</v>
      </c>
      <c r="Q69" s="128">
        <v>2.6053999999999999</v>
      </c>
      <c r="R69" s="130">
        <v>1.7183999999999999</v>
      </c>
      <c r="S69" s="128">
        <v>4.0000000000000001E-3</v>
      </c>
      <c r="T69" s="128">
        <v>5195.46</v>
      </c>
      <c r="U69" s="128">
        <v>1935.0958000000001</v>
      </c>
      <c r="V69" s="49">
        <f t="shared" si="101"/>
        <v>1658.1026139999999</v>
      </c>
      <c r="W69" s="49">
        <f t="shared" si="101"/>
        <v>2047.456416</v>
      </c>
      <c r="X69" s="47">
        <f t="shared" si="101"/>
        <v>0.88588</v>
      </c>
      <c r="Y69" s="47">
        <f t="shared" si="58"/>
        <v>0.48948098657224198</v>
      </c>
      <c r="Z69" s="48">
        <f t="shared" si="59"/>
        <v>1658.5920949865722</v>
      </c>
      <c r="AA69" s="48">
        <f t="shared" si="60"/>
        <v>2047.0600169865722</v>
      </c>
      <c r="AB69" s="93">
        <f t="shared" si="61"/>
        <v>1675.4014814795848</v>
      </c>
      <c r="AC69" s="93">
        <f t="shared" si="62"/>
        <v>2063.8694034795849</v>
      </c>
      <c r="AE69" s="128">
        <v>3.3174000000000001</v>
      </c>
      <c r="AF69" s="130">
        <v>1.7957000000000001</v>
      </c>
      <c r="AG69" s="128">
        <v>0</v>
      </c>
      <c r="AH69" s="128">
        <v>558.50170000000003</v>
      </c>
      <c r="AI69" s="128">
        <v>195.41669999999999</v>
      </c>
      <c r="AJ69" s="49">
        <f t="shared" si="102"/>
        <v>1526.2693919999999</v>
      </c>
      <c r="AK69" s="49">
        <f t="shared" si="102"/>
        <v>1886.7958610000001</v>
      </c>
      <c r="AL69" s="47">
        <f t="shared" si="102"/>
        <v>0</v>
      </c>
      <c r="AM69" s="47">
        <f t="shared" si="63"/>
        <v>0</v>
      </c>
      <c r="AN69" s="48">
        <f t="shared" si="64"/>
        <v>1526.2693919999999</v>
      </c>
      <c r="AO69" s="48">
        <f t="shared" si="65"/>
        <v>1886.7958610000001</v>
      </c>
      <c r="AP69" s="93">
        <f t="shared" si="66"/>
        <v>1538.0718300778515</v>
      </c>
      <c r="AQ69" s="93">
        <f t="shared" si="67"/>
        <v>1898.5982990778516</v>
      </c>
      <c r="AS69" s="128">
        <v>3.6111</v>
      </c>
      <c r="AT69" s="130">
        <v>1.474</v>
      </c>
      <c r="AU69" s="128">
        <v>0</v>
      </c>
      <c r="AV69" s="128">
        <v>18351.7667</v>
      </c>
      <c r="AW69" s="128">
        <v>6336.1707999999999</v>
      </c>
      <c r="AX69" s="49">
        <f t="shared" si="103"/>
        <v>1266.1961039999999</v>
      </c>
      <c r="AY69" s="49">
        <f t="shared" si="103"/>
        <v>1039.1405199999999</v>
      </c>
      <c r="AZ69" s="47">
        <f t="shared" si="103"/>
        <v>0</v>
      </c>
      <c r="BA69" s="47">
        <f t="shared" si="68"/>
        <v>0</v>
      </c>
      <c r="BB69" s="48">
        <f t="shared" si="69"/>
        <v>1266.1961039999999</v>
      </c>
      <c r="BC69" s="48">
        <f t="shared" si="70"/>
        <v>1039.1405199999999</v>
      </c>
      <c r="BD69" s="93">
        <f t="shared" si="71"/>
        <v>1284.8539343417026</v>
      </c>
      <c r="BE69" s="93">
        <f t="shared" si="72"/>
        <v>1057.7983503417026</v>
      </c>
      <c r="BG69" s="128">
        <v>3.4973999999999998</v>
      </c>
      <c r="BH69" s="130">
        <v>1.484</v>
      </c>
      <c r="BI69" s="128">
        <v>0</v>
      </c>
      <c r="BJ69" s="128">
        <v>10864.6325</v>
      </c>
      <c r="BK69" s="128">
        <v>4119.5508</v>
      </c>
      <c r="BL69" s="49">
        <f t="shared" si="104"/>
        <v>1148.6161079999999</v>
      </c>
      <c r="BM69" s="49">
        <f t="shared" si="104"/>
        <v>897.34511999999995</v>
      </c>
      <c r="BN69" s="47">
        <f t="shared" si="104"/>
        <v>0</v>
      </c>
      <c r="BO69" s="47">
        <f t="shared" si="73"/>
        <v>0</v>
      </c>
      <c r="BP69" s="48">
        <f t="shared" si="74"/>
        <v>1148.6161079999999</v>
      </c>
      <c r="BQ69" s="48">
        <f t="shared" si="75"/>
        <v>897.34511999999995</v>
      </c>
      <c r="BR69" s="93">
        <f t="shared" si="76"/>
        <v>1167.3160344064329</v>
      </c>
      <c r="BS69" s="93">
        <f t="shared" si="77"/>
        <v>916.04504640643302</v>
      </c>
      <c r="BU69" s="128">
        <v>3.0289000000000001</v>
      </c>
      <c r="BV69" s="130">
        <v>1.2490000000000001</v>
      </c>
      <c r="BW69" s="128">
        <v>0</v>
      </c>
      <c r="BX69" s="128">
        <v>13071.824199999999</v>
      </c>
      <c r="BY69" s="128">
        <v>5135.5225</v>
      </c>
      <c r="BZ69" s="49">
        <f t="shared" si="105"/>
        <v>734.81114000000002</v>
      </c>
      <c r="CA69" s="49">
        <f t="shared" si="105"/>
        <v>504.74588000000006</v>
      </c>
      <c r="CB69" s="47">
        <f t="shared" si="105"/>
        <v>0</v>
      </c>
      <c r="CC69" s="47">
        <f t="shared" si="78"/>
        <v>0</v>
      </c>
      <c r="CD69" s="48">
        <f t="shared" si="79"/>
        <v>734.81114000000002</v>
      </c>
      <c r="CE69" s="48">
        <f t="shared" si="80"/>
        <v>504.74588000000006</v>
      </c>
      <c r="CF69" s="93">
        <f t="shared" si="81"/>
        <v>746.84599228423099</v>
      </c>
      <c r="CG69" s="93">
        <f t="shared" si="82"/>
        <v>516.78073228423102</v>
      </c>
      <c r="CI69" s="128">
        <v>1.2312000000000001</v>
      </c>
      <c r="CJ69" s="130">
        <v>1.0812999999999999</v>
      </c>
      <c r="CK69" s="128">
        <v>7.6E-3</v>
      </c>
      <c r="CL69" s="128">
        <v>43043.173300000002</v>
      </c>
      <c r="CM69" s="128">
        <v>15869.1608</v>
      </c>
      <c r="CN69" s="49">
        <f t="shared" si="106"/>
        <v>261.35913600000003</v>
      </c>
      <c r="CO69" s="49">
        <f t="shared" si="106"/>
        <v>297.87652400000002</v>
      </c>
      <c r="CP69" s="47">
        <f t="shared" si="106"/>
        <v>2.9640000000000001E-3</v>
      </c>
      <c r="CQ69" s="47">
        <f t="shared" si="83"/>
        <v>1.5787727433833529E-3</v>
      </c>
      <c r="CR69" s="48">
        <f t="shared" si="84"/>
        <v>261.36071477274339</v>
      </c>
      <c r="CS69" s="48">
        <f t="shared" si="85"/>
        <v>297.87513877274336</v>
      </c>
      <c r="CT69" s="93">
        <f t="shared" si="86"/>
        <v>261.39228494675939</v>
      </c>
      <c r="CU69" s="93">
        <f t="shared" si="87"/>
        <v>297.90670894675935</v>
      </c>
      <c r="CW69" s="128">
        <v>2.3584999999999998</v>
      </c>
      <c r="CX69" s="130">
        <v>1.9867999999999999</v>
      </c>
      <c r="CY69" s="128">
        <v>3.5499999999999997E-2</v>
      </c>
      <c r="CZ69" s="128">
        <v>19969.57</v>
      </c>
      <c r="DA69" s="128">
        <v>7029.4741999999997</v>
      </c>
      <c r="DB69" s="49">
        <f t="shared" si="107"/>
        <v>506.39353499999999</v>
      </c>
      <c r="DC69" s="49">
        <f t="shared" si="107"/>
        <v>596.11947199999997</v>
      </c>
      <c r="DD69" s="47">
        <f t="shared" si="107"/>
        <v>9.5849999999999998E-3</v>
      </c>
      <c r="DE69" s="47">
        <f t="shared" si="88"/>
        <v>5.1825285532617754E-3</v>
      </c>
      <c r="DF69" s="48">
        <f t="shared" si="89"/>
        <v>506.39871752855322</v>
      </c>
      <c r="DG69" s="48">
        <f t="shared" si="90"/>
        <v>596.11506952855325</v>
      </c>
      <c r="DH69" s="93">
        <f t="shared" si="91"/>
        <v>506.41652219881797</v>
      </c>
      <c r="DI69" s="93">
        <f t="shared" si="92"/>
        <v>596.13287419881794</v>
      </c>
      <c r="DK69" s="128">
        <v>2.2107999999999999</v>
      </c>
      <c r="DL69" s="130">
        <v>1.8715999999999999</v>
      </c>
      <c r="DM69" s="128">
        <v>1.0800000000000001E-2</v>
      </c>
      <c r="DN69" s="128">
        <v>5098.2433000000001</v>
      </c>
      <c r="DO69" s="128">
        <v>2253.8649999999998</v>
      </c>
      <c r="DP69" s="49">
        <f t="shared" si="108"/>
        <v>292.621488</v>
      </c>
      <c r="DQ69" s="49">
        <f t="shared" si="108"/>
        <v>362.39790799999997</v>
      </c>
      <c r="DR69" s="47">
        <f t="shared" si="108"/>
        <v>2.052E-3</v>
      </c>
      <c r="DS69" s="47">
        <f t="shared" si="93"/>
        <v>1.1352954000403372E-3</v>
      </c>
      <c r="DT69" s="48">
        <f t="shared" si="94"/>
        <v>292.62262329540005</v>
      </c>
      <c r="DU69" s="48">
        <f t="shared" si="95"/>
        <v>362.39699129540003</v>
      </c>
      <c r="DV69" s="93">
        <f t="shared" si="96"/>
        <v>292.64361444952999</v>
      </c>
      <c r="DW69" s="93">
        <f t="shared" si="97"/>
        <v>362.41798244952997</v>
      </c>
      <c r="EB69" s="52"/>
      <c r="EC69" s="52"/>
      <c r="ED69" s="52"/>
      <c r="EE69" s="55">
        <f t="shared" si="98"/>
        <v>94869.175799999997</v>
      </c>
      <c r="EF69" s="55">
        <f t="shared" si="98"/>
        <v>33286.339099999997</v>
      </c>
      <c r="EG69" s="55">
        <f t="shared" si="98"/>
        <v>4128.8842699999996</v>
      </c>
      <c r="EH69" s="55">
        <f t="shared" si="98"/>
        <v>4443.2271816000002</v>
      </c>
      <c r="EI69" s="298">
        <f t="shared" si="109"/>
        <v>0.74026604219121284</v>
      </c>
      <c r="EJ69" s="52"/>
      <c r="EK69" s="55">
        <f t="shared" si="99"/>
        <v>4129.2342899877349</v>
      </c>
      <c r="EL69" s="55">
        <f t="shared" si="99"/>
        <v>4442.0746615877342</v>
      </c>
      <c r="EM69" s="55">
        <f t="shared" si="39"/>
        <v>4162.6221861983422</v>
      </c>
      <c r="EN69" s="55">
        <f t="shared" si="39"/>
        <v>4475.4625577983425</v>
      </c>
      <c r="EP69" s="52"/>
      <c r="EQ69" s="52"/>
      <c r="ER69" s="52"/>
      <c r="ES69" s="55">
        <f t="shared" si="110"/>
        <v>79072.835800000001</v>
      </c>
      <c r="ET69" s="55">
        <f t="shared" si="110"/>
        <v>28953.281599999998</v>
      </c>
      <c r="EU69" s="55">
        <f t="shared" si="110"/>
        <v>3422.5533324999997</v>
      </c>
      <c r="EV69" s="55">
        <f t="shared" si="110"/>
        <v>3659.9616904</v>
      </c>
      <c r="EW69" s="298">
        <f t="shared" si="111"/>
        <v>0.73197887421250596</v>
      </c>
      <c r="EX69" s="52"/>
      <c r="EY69" s="55">
        <f t="shared" si="112"/>
        <v>3423.0480200293032</v>
      </c>
      <c r="EZ69" s="55">
        <f t="shared" si="112"/>
        <v>3659.5608244293026</v>
      </c>
      <c r="FA69" s="55">
        <f t="shared" si="112"/>
        <v>3458.6013663719496</v>
      </c>
      <c r="FB69" s="55">
        <f t="shared" si="112"/>
        <v>3695.1141707719498</v>
      </c>
      <c r="FD69" s="52"/>
      <c r="FE69" s="52"/>
      <c r="FF69" s="52"/>
      <c r="FG69" s="55">
        <f t="shared" si="113"/>
        <v>61771.742500000008</v>
      </c>
      <c r="FH69" s="55">
        <f t="shared" si="113"/>
        <v>23453.964999999997</v>
      </c>
      <c r="FI69" s="55">
        <f t="shared" si="113"/>
        <v>2698.0125607999998</v>
      </c>
      <c r="FJ69" s="55">
        <f t="shared" si="113"/>
        <v>2906.8570098</v>
      </c>
      <c r="FK69" s="298">
        <f t="shared" si="114"/>
        <v>0.72480175655919321</v>
      </c>
      <c r="FL69" s="52"/>
      <c r="FM69" s="55">
        <f t="shared" si="115"/>
        <v>2698.0148207499833</v>
      </c>
      <c r="FN69" s="55">
        <f t="shared" si="115"/>
        <v>2906.8550745499833</v>
      </c>
      <c r="FO69" s="55">
        <f t="shared" si="115"/>
        <v>2721.89627597856</v>
      </c>
      <c r="FP69" s="55">
        <f t="shared" si="115"/>
        <v>2930.73652977856</v>
      </c>
      <c r="FR69" s="52"/>
      <c r="FS69" s="52"/>
      <c r="FT69" s="52"/>
      <c r="FU69" s="55">
        <f t="shared" si="116"/>
        <v>63012.743300000002</v>
      </c>
      <c r="FV69" s="55">
        <f t="shared" si="116"/>
        <v>22898.634999999998</v>
      </c>
      <c r="FW69" s="55">
        <f t="shared" si="116"/>
        <v>666.47396400000002</v>
      </c>
      <c r="FX69" s="55">
        <f t="shared" si="116"/>
        <v>774.77210160000004</v>
      </c>
      <c r="FY69" s="298">
        <f t="shared" si="117"/>
        <v>0.73346213908897329</v>
      </c>
      <c r="FZ69" s="52"/>
      <c r="GA69" s="55">
        <f t="shared" si="118"/>
        <v>666.47968879558607</v>
      </c>
      <c r="GB69" s="55">
        <f t="shared" si="118"/>
        <v>774.76719439558599</v>
      </c>
      <c r="GC69" s="55">
        <f t="shared" si="118"/>
        <v>666.52550270581378</v>
      </c>
      <c r="GD69" s="55">
        <f t="shared" si="118"/>
        <v>774.81300830581381</v>
      </c>
      <c r="GF69" s="52"/>
      <c r="GG69" s="52"/>
      <c r="GH69" s="52"/>
      <c r="GI69" s="55">
        <f t="shared" si="119"/>
        <v>31423.590899999999</v>
      </c>
      <c r="GJ69" s="55">
        <f t="shared" si="119"/>
        <v>11471.693299999999</v>
      </c>
      <c r="GK69" s="56">
        <f t="shared" si="120"/>
        <v>398.53872299999989</v>
      </c>
      <c r="GL69" s="56">
        <f t="shared" si="120"/>
        <v>400.79597999999987</v>
      </c>
      <c r="GM69" s="298">
        <f t="shared" si="121"/>
        <v>0.73256516388810877</v>
      </c>
      <c r="GN69" s="52"/>
      <c r="GO69" s="56">
        <f t="shared" si="122"/>
        <v>398.53872299999989</v>
      </c>
      <c r="GP69" s="56">
        <f t="shared" si="122"/>
        <v>400.79597999999987</v>
      </c>
      <c r="GQ69" s="56">
        <f t="shared" si="122"/>
        <v>403.50595654310371</v>
      </c>
      <c r="GR69" s="56">
        <f t="shared" si="122"/>
        <v>405.76321354310369</v>
      </c>
    </row>
    <row r="70" spans="1:200" x14ac:dyDescent="0.2">
      <c r="A70" s="118">
        <v>60</v>
      </c>
      <c r="C70" s="128">
        <v>2.3136000000000001</v>
      </c>
      <c r="D70" s="128">
        <v>1.4286000000000001</v>
      </c>
      <c r="E70" s="128">
        <v>5.7999999999999996E-3</v>
      </c>
      <c r="F70" s="128">
        <v>12804.7317</v>
      </c>
      <c r="G70" s="128">
        <v>3859.6242000000002</v>
      </c>
      <c r="H70" s="49">
        <f t="shared" si="100"/>
        <v>2316.8853119999999</v>
      </c>
      <c r="I70" s="49">
        <f t="shared" si="100"/>
        <v>2710.9113600000001</v>
      </c>
      <c r="J70" s="47">
        <f t="shared" si="100"/>
        <v>1.0552519999999999</v>
      </c>
      <c r="K70" s="47">
        <f t="shared" si="53"/>
        <v>0.24440645535531313</v>
      </c>
      <c r="L70" s="48">
        <f t="shared" si="54"/>
        <v>2317.129718455355</v>
      </c>
      <c r="M70" s="48">
        <f t="shared" si="55"/>
        <v>2710.1005144553551</v>
      </c>
      <c r="N70" s="93">
        <f t="shared" si="56"/>
        <v>2331.9138591508263</v>
      </c>
      <c r="O70" s="93">
        <f t="shared" si="57"/>
        <v>2724.8846551508263</v>
      </c>
      <c r="Q70" s="128">
        <v>2.7566000000000002</v>
      </c>
      <c r="R70" s="130">
        <v>1.7682</v>
      </c>
      <c r="S70" s="128">
        <v>1.9E-3</v>
      </c>
      <c r="T70" s="128">
        <v>5189.2708000000002</v>
      </c>
      <c r="U70" s="128">
        <v>2146.0967000000001</v>
      </c>
      <c r="V70" s="49">
        <f t="shared" si="101"/>
        <v>1754.327806</v>
      </c>
      <c r="W70" s="49">
        <f t="shared" si="101"/>
        <v>2106.7926179999999</v>
      </c>
      <c r="X70" s="47">
        <f t="shared" si="101"/>
        <v>0.42079299999999997</v>
      </c>
      <c r="Y70" s="47">
        <f t="shared" si="58"/>
        <v>0.22960267713889723</v>
      </c>
      <c r="Z70" s="48">
        <f t="shared" si="59"/>
        <v>1754.5574086771389</v>
      </c>
      <c r="AA70" s="48">
        <f t="shared" si="60"/>
        <v>2106.6014276771389</v>
      </c>
      <c r="AB70" s="93">
        <f t="shared" si="61"/>
        <v>1771.626673479585</v>
      </c>
      <c r="AC70" s="93">
        <f t="shared" si="62"/>
        <v>2123.6706924795853</v>
      </c>
      <c r="AE70" s="128">
        <v>3.5573999999999999</v>
      </c>
      <c r="AF70" s="130">
        <v>1.8714999999999999</v>
      </c>
      <c r="AG70" s="128">
        <v>0</v>
      </c>
      <c r="AH70" s="128">
        <v>552.53499999999997</v>
      </c>
      <c r="AI70" s="128">
        <v>201.66669999999999</v>
      </c>
      <c r="AJ70" s="49">
        <f t="shared" si="102"/>
        <v>1636.688592</v>
      </c>
      <c r="AK70" s="49">
        <f t="shared" si="102"/>
        <v>1966.4411949999999</v>
      </c>
      <c r="AL70" s="47">
        <f t="shared" si="102"/>
        <v>0</v>
      </c>
      <c r="AM70" s="47">
        <f t="shared" si="63"/>
        <v>0</v>
      </c>
      <c r="AN70" s="48">
        <f t="shared" si="64"/>
        <v>1636.688592</v>
      </c>
      <c r="AO70" s="48">
        <f t="shared" si="65"/>
        <v>1966.4411949999999</v>
      </c>
      <c r="AP70" s="93">
        <f t="shared" si="66"/>
        <v>1648.4910300778515</v>
      </c>
      <c r="AQ70" s="93">
        <f t="shared" si="67"/>
        <v>1978.2436330778514</v>
      </c>
      <c r="AS70" s="128">
        <v>3.9097</v>
      </c>
      <c r="AT70" s="130">
        <v>1.5662</v>
      </c>
      <c r="AU70" s="128">
        <v>0</v>
      </c>
      <c r="AV70" s="128">
        <v>17537.834999999999</v>
      </c>
      <c r="AW70" s="128">
        <v>6183.4892</v>
      </c>
      <c r="AX70" s="49">
        <f t="shared" si="103"/>
        <v>1370.8972079999999</v>
      </c>
      <c r="AY70" s="49">
        <f t="shared" si="103"/>
        <v>1104.139676</v>
      </c>
      <c r="AZ70" s="47">
        <f t="shared" si="103"/>
        <v>0</v>
      </c>
      <c r="BA70" s="47">
        <f t="shared" si="68"/>
        <v>0</v>
      </c>
      <c r="BB70" s="48">
        <f t="shared" si="69"/>
        <v>1370.8972079999999</v>
      </c>
      <c r="BC70" s="48">
        <f t="shared" si="70"/>
        <v>1104.139676</v>
      </c>
      <c r="BD70" s="93">
        <f t="shared" si="71"/>
        <v>1389.5550383417026</v>
      </c>
      <c r="BE70" s="93">
        <f t="shared" si="72"/>
        <v>1122.7975063417027</v>
      </c>
      <c r="BG70" s="128">
        <v>3.7831000000000001</v>
      </c>
      <c r="BH70" s="130">
        <v>1.5588</v>
      </c>
      <c r="BI70" s="128">
        <v>0</v>
      </c>
      <c r="BJ70" s="128">
        <v>10746.373299999999</v>
      </c>
      <c r="BK70" s="128">
        <v>4108.9775</v>
      </c>
      <c r="BL70" s="49">
        <f t="shared" si="104"/>
        <v>1242.4457020000002</v>
      </c>
      <c r="BM70" s="49">
        <f t="shared" si="104"/>
        <v>942.57518399999992</v>
      </c>
      <c r="BN70" s="47">
        <f t="shared" si="104"/>
        <v>0</v>
      </c>
      <c r="BO70" s="47">
        <f t="shared" si="73"/>
        <v>0</v>
      </c>
      <c r="BP70" s="48">
        <f t="shared" si="74"/>
        <v>1242.4457020000002</v>
      </c>
      <c r="BQ70" s="48">
        <f t="shared" si="75"/>
        <v>942.57518399999992</v>
      </c>
      <c r="BR70" s="93">
        <f t="shared" si="76"/>
        <v>1261.1456284064332</v>
      </c>
      <c r="BS70" s="93">
        <f t="shared" si="77"/>
        <v>961.27511040643299</v>
      </c>
      <c r="BU70" s="128">
        <v>3.1888999999999998</v>
      </c>
      <c r="BV70" s="130">
        <v>1.2867</v>
      </c>
      <c r="BW70" s="128">
        <v>0</v>
      </c>
      <c r="BX70" s="128">
        <v>12709.460800000001</v>
      </c>
      <c r="BY70" s="128">
        <v>5020.1441999999997</v>
      </c>
      <c r="BZ70" s="49">
        <f t="shared" si="105"/>
        <v>773.62713999999994</v>
      </c>
      <c r="CA70" s="49">
        <f t="shared" si="105"/>
        <v>519.98120399999993</v>
      </c>
      <c r="CB70" s="47">
        <f t="shared" si="105"/>
        <v>0</v>
      </c>
      <c r="CC70" s="47">
        <f t="shared" si="78"/>
        <v>0</v>
      </c>
      <c r="CD70" s="48">
        <f t="shared" si="79"/>
        <v>773.62713999999994</v>
      </c>
      <c r="CE70" s="48">
        <f t="shared" si="80"/>
        <v>519.98120399999993</v>
      </c>
      <c r="CF70" s="93">
        <f t="shared" si="81"/>
        <v>785.66199228423091</v>
      </c>
      <c r="CG70" s="93">
        <f t="shared" si="82"/>
        <v>532.0160562842309</v>
      </c>
      <c r="CI70" s="128">
        <v>1.2435</v>
      </c>
      <c r="CJ70" s="130">
        <v>1.0810999999999999</v>
      </c>
      <c r="CK70" s="128">
        <v>4.0000000000000001E-3</v>
      </c>
      <c r="CL70" s="128">
        <v>41737.425799999997</v>
      </c>
      <c r="CM70" s="128">
        <v>15627.790800000001</v>
      </c>
      <c r="CN70" s="49">
        <f t="shared" si="106"/>
        <v>263.97018000000003</v>
      </c>
      <c r="CO70" s="49">
        <f t="shared" si="106"/>
        <v>297.82142800000003</v>
      </c>
      <c r="CP70" s="47">
        <f t="shared" si="106"/>
        <v>1.5600000000000002E-3</v>
      </c>
      <c r="CQ70" s="47">
        <f t="shared" si="83"/>
        <v>8.2699958679340068E-4</v>
      </c>
      <c r="CR70" s="48">
        <f t="shared" si="84"/>
        <v>263.97100699958685</v>
      </c>
      <c r="CS70" s="48">
        <f t="shared" si="85"/>
        <v>297.82069499958686</v>
      </c>
      <c r="CT70" s="93">
        <f t="shared" si="86"/>
        <v>264.00332894675938</v>
      </c>
      <c r="CU70" s="93">
        <f t="shared" si="87"/>
        <v>297.8530169467594</v>
      </c>
      <c r="CW70" s="128">
        <v>2.4493</v>
      </c>
      <c r="CX70" s="130">
        <v>2.0312000000000001</v>
      </c>
      <c r="CY70" s="128">
        <v>2.6800000000000001E-2</v>
      </c>
      <c r="CZ70" s="128">
        <v>18842.005000000001</v>
      </c>
      <c r="DA70" s="128">
        <v>6673.5725000000002</v>
      </c>
      <c r="DB70" s="49">
        <f t="shared" si="107"/>
        <v>525.88920300000007</v>
      </c>
      <c r="DC70" s="49">
        <f t="shared" si="107"/>
        <v>609.44124800000009</v>
      </c>
      <c r="DD70" s="47">
        <f t="shared" si="107"/>
        <v>7.2360000000000011E-3</v>
      </c>
      <c r="DE70" s="47">
        <f t="shared" si="88"/>
        <v>3.8842584259443954E-3</v>
      </c>
      <c r="DF70" s="48">
        <f t="shared" si="89"/>
        <v>525.89308725842602</v>
      </c>
      <c r="DG70" s="48">
        <f t="shared" si="90"/>
        <v>609.43789625842601</v>
      </c>
      <c r="DH70" s="93">
        <f t="shared" si="91"/>
        <v>525.91219019881805</v>
      </c>
      <c r="DI70" s="93">
        <f t="shared" si="92"/>
        <v>609.45699919881804</v>
      </c>
      <c r="DK70" s="128">
        <v>2.2458999999999998</v>
      </c>
      <c r="DL70" s="130">
        <v>1.8872</v>
      </c>
      <c r="DM70" s="128">
        <v>5.4999999999999997E-3</v>
      </c>
      <c r="DN70" s="128">
        <v>5019.0825000000004</v>
      </c>
      <c r="DO70" s="128">
        <v>2279.3467000000001</v>
      </c>
      <c r="DP70" s="49">
        <f t="shared" si="108"/>
        <v>297.26732400000003</v>
      </c>
      <c r="DQ70" s="49">
        <f t="shared" si="108"/>
        <v>365.41853600000002</v>
      </c>
      <c r="DR70" s="47">
        <f t="shared" si="108"/>
        <v>1.0449999999999999E-3</v>
      </c>
      <c r="DS70" s="47">
        <f t="shared" si="93"/>
        <v>5.7623437162217402E-4</v>
      </c>
      <c r="DT70" s="48">
        <f t="shared" si="94"/>
        <v>297.26790023437167</v>
      </c>
      <c r="DU70" s="48">
        <f t="shared" si="95"/>
        <v>365.41806723437168</v>
      </c>
      <c r="DV70" s="93">
        <f t="shared" si="96"/>
        <v>297.28945044953002</v>
      </c>
      <c r="DW70" s="93">
        <f t="shared" si="97"/>
        <v>365.43961744953003</v>
      </c>
      <c r="EB70" s="52"/>
      <c r="EC70" s="52"/>
      <c r="ED70" s="52"/>
      <c r="EE70" s="55">
        <f t="shared" si="98"/>
        <v>90921.997499999998</v>
      </c>
      <c r="EF70" s="55">
        <f t="shared" si="98"/>
        <v>32344.476699999999</v>
      </c>
      <c r="EG70" s="55">
        <f t="shared" si="98"/>
        <v>4372.4640624000003</v>
      </c>
      <c r="EH70" s="55">
        <f t="shared" si="98"/>
        <v>4600.4254624000005</v>
      </c>
      <c r="EI70" s="298">
        <f t="shared" si="109"/>
        <v>0.73760524173409026</v>
      </c>
      <c r="EJ70" s="52"/>
      <c r="EK70" s="55">
        <f t="shared" si="99"/>
        <v>4372.7124032616821</v>
      </c>
      <c r="EL70" s="55">
        <f t="shared" si="99"/>
        <v>4599.6112024616823</v>
      </c>
      <c r="EM70" s="55">
        <f t="shared" si="39"/>
        <v>4406.201978598343</v>
      </c>
      <c r="EN70" s="55">
        <f t="shared" si="39"/>
        <v>4633.1007777983432</v>
      </c>
      <c r="EP70" s="52"/>
      <c r="EQ70" s="52"/>
      <c r="ER70" s="52"/>
      <c r="ES70" s="55">
        <f t="shared" si="110"/>
        <v>76515.074899999992</v>
      </c>
      <c r="ET70" s="55">
        <f t="shared" si="110"/>
        <v>28556.4375</v>
      </c>
      <c r="EU70" s="55">
        <f t="shared" si="110"/>
        <v>3628.8661301000006</v>
      </c>
      <c r="EV70" s="55">
        <f t="shared" si="110"/>
        <v>3773.7981036000001</v>
      </c>
      <c r="EW70" s="298">
        <f t="shared" si="111"/>
        <v>0.7282190305657007</v>
      </c>
      <c r="EX70" s="52"/>
      <c r="EY70" s="55">
        <f t="shared" si="112"/>
        <v>3629.0992787576242</v>
      </c>
      <c r="EZ70" s="55">
        <f t="shared" si="112"/>
        <v>3773.6038340576238</v>
      </c>
      <c r="FA70" s="55">
        <f t="shared" si="112"/>
        <v>3664.9141639719496</v>
      </c>
      <c r="FB70" s="55">
        <f t="shared" si="112"/>
        <v>3809.4187192719501</v>
      </c>
      <c r="FD70" s="52"/>
      <c r="FE70" s="52"/>
      <c r="FF70" s="52"/>
      <c r="FG70" s="55">
        <f t="shared" si="113"/>
        <v>60018.504100000006</v>
      </c>
      <c r="FH70" s="55">
        <f t="shared" si="113"/>
        <v>23128.948400000001</v>
      </c>
      <c r="FI70" s="55">
        <f t="shared" si="113"/>
        <v>2852.6463064000004</v>
      </c>
      <c r="FJ70" s="55">
        <f t="shared" si="113"/>
        <v>3003.4949486</v>
      </c>
      <c r="FK70" s="298">
        <f t="shared" si="114"/>
        <v>0.72183214633064063</v>
      </c>
      <c r="FL70" s="52"/>
      <c r="FM70" s="55">
        <f t="shared" si="115"/>
        <v>2852.6474791402097</v>
      </c>
      <c r="FN70" s="55">
        <f t="shared" si="115"/>
        <v>3003.4939343402102</v>
      </c>
      <c r="FO70" s="55">
        <f t="shared" si="115"/>
        <v>2876.5300215785596</v>
      </c>
      <c r="FP70" s="55">
        <f t="shared" si="115"/>
        <v>3027.3764767785597</v>
      </c>
      <c r="FR70" s="52"/>
      <c r="FS70" s="52"/>
      <c r="FT70" s="52"/>
      <c r="FU70" s="55">
        <f t="shared" si="116"/>
        <v>60579.430800000002</v>
      </c>
      <c r="FV70" s="55">
        <f t="shared" si="116"/>
        <v>22301.363300000001</v>
      </c>
      <c r="FW70" s="55">
        <f t="shared" si="116"/>
        <v>684.68154240000013</v>
      </c>
      <c r="FX70" s="55">
        <f t="shared" si="116"/>
        <v>785.37442640000017</v>
      </c>
      <c r="FY70" s="298">
        <f t="shared" si="117"/>
        <v>0.7309224224723011</v>
      </c>
      <c r="FZ70" s="52"/>
      <c r="GA70" s="55">
        <f t="shared" si="118"/>
        <v>684.68547680632764</v>
      </c>
      <c r="GB70" s="55">
        <f t="shared" si="118"/>
        <v>785.37101200632765</v>
      </c>
      <c r="GC70" s="55">
        <f t="shared" si="118"/>
        <v>684.73308110581388</v>
      </c>
      <c r="GD70" s="55">
        <f t="shared" si="118"/>
        <v>785.41861630581388</v>
      </c>
      <c r="GF70" s="52"/>
      <c r="GG70" s="52"/>
      <c r="GH70" s="52"/>
      <c r="GI70" s="55">
        <f t="shared" si="119"/>
        <v>30247.2958</v>
      </c>
      <c r="GJ70" s="55">
        <f t="shared" si="119"/>
        <v>11203.633399999999</v>
      </c>
      <c r="GK70" s="56">
        <f t="shared" si="120"/>
        <v>447.95255099999997</v>
      </c>
      <c r="GL70" s="56">
        <f t="shared" si="120"/>
        <v>438.11885400000006</v>
      </c>
      <c r="GM70" s="298">
        <f t="shared" si="121"/>
        <v>0.7297133353526849</v>
      </c>
      <c r="GN70" s="52"/>
      <c r="GO70" s="56">
        <f t="shared" si="122"/>
        <v>447.95255099999997</v>
      </c>
      <c r="GP70" s="56">
        <f t="shared" si="122"/>
        <v>438.11885400000006</v>
      </c>
      <c r="GQ70" s="56">
        <f t="shared" si="122"/>
        <v>452.91978454310379</v>
      </c>
      <c r="GR70" s="56">
        <f t="shared" si="122"/>
        <v>443.08608754310387</v>
      </c>
    </row>
    <row r="71" spans="1:200" x14ac:dyDescent="0.2">
      <c r="A71" s="118">
        <v>61</v>
      </c>
      <c r="C71" s="128">
        <v>2.4420000000000002</v>
      </c>
      <c r="D71" s="128">
        <v>1.4754</v>
      </c>
      <c r="E71" s="128">
        <v>3.7000000000000002E-3</v>
      </c>
      <c r="F71" s="128">
        <v>12062.941699999999</v>
      </c>
      <c r="G71" s="128">
        <v>3664.27</v>
      </c>
      <c r="H71" s="49">
        <f t="shared" si="100"/>
        <v>2445.4676399999998</v>
      </c>
      <c r="I71" s="49">
        <f t="shared" si="100"/>
        <v>2799.7190399999999</v>
      </c>
      <c r="J71" s="47">
        <f t="shared" si="100"/>
        <v>0.67317800000000005</v>
      </c>
      <c r="K71" s="47">
        <f t="shared" si="53"/>
        <v>0.15684318346525469</v>
      </c>
      <c r="L71" s="48">
        <f t="shared" si="54"/>
        <v>2445.6244831834651</v>
      </c>
      <c r="M71" s="48">
        <f t="shared" si="55"/>
        <v>2799.2027051834652</v>
      </c>
      <c r="N71" s="93">
        <f t="shared" si="56"/>
        <v>2460.4961871508262</v>
      </c>
      <c r="O71" s="93">
        <f t="shared" si="57"/>
        <v>2814.0744091508263</v>
      </c>
      <c r="Q71" s="128">
        <v>2.9213</v>
      </c>
      <c r="R71" s="130">
        <v>1.8229</v>
      </c>
      <c r="S71" s="128">
        <v>0</v>
      </c>
      <c r="T71" s="128">
        <v>4938.6633000000002</v>
      </c>
      <c r="U71" s="128">
        <v>1972.7833000000001</v>
      </c>
      <c r="V71" s="49">
        <f t="shared" si="101"/>
        <v>1859.1445329999999</v>
      </c>
      <c r="W71" s="49">
        <f t="shared" si="101"/>
        <v>2171.9671210000001</v>
      </c>
      <c r="X71" s="47">
        <f t="shared" si="101"/>
        <v>0</v>
      </c>
      <c r="Y71" s="47">
        <f t="shared" si="58"/>
        <v>0</v>
      </c>
      <c r="Z71" s="48">
        <f t="shared" si="59"/>
        <v>1859.1445329999999</v>
      </c>
      <c r="AA71" s="48">
        <f t="shared" si="60"/>
        <v>2171.9671210000001</v>
      </c>
      <c r="AB71" s="93">
        <f t="shared" si="61"/>
        <v>1876.4434004795849</v>
      </c>
      <c r="AC71" s="93">
        <f t="shared" si="62"/>
        <v>2189.2659884795853</v>
      </c>
      <c r="AE71" s="128">
        <v>3.8028</v>
      </c>
      <c r="AF71" s="130">
        <v>1.9560999999999999</v>
      </c>
      <c r="AG71" s="128">
        <v>0</v>
      </c>
      <c r="AH71" s="128">
        <v>504.92919999999998</v>
      </c>
      <c r="AI71" s="128">
        <v>148.97999999999999</v>
      </c>
      <c r="AJ71" s="49">
        <f t="shared" si="102"/>
        <v>1749.592224</v>
      </c>
      <c r="AK71" s="49">
        <f t="shared" si="102"/>
        <v>2055.3329530000001</v>
      </c>
      <c r="AL71" s="47">
        <f t="shared" si="102"/>
        <v>0</v>
      </c>
      <c r="AM71" s="47">
        <f t="shared" si="63"/>
        <v>0</v>
      </c>
      <c r="AN71" s="48">
        <f t="shared" si="64"/>
        <v>1749.592224</v>
      </c>
      <c r="AO71" s="48">
        <f t="shared" si="65"/>
        <v>2055.3329530000001</v>
      </c>
      <c r="AP71" s="93">
        <f t="shared" si="66"/>
        <v>1761.3946620778515</v>
      </c>
      <c r="AQ71" s="93">
        <f t="shared" si="67"/>
        <v>2067.1353910778516</v>
      </c>
      <c r="AS71" s="128">
        <v>4.2285000000000004</v>
      </c>
      <c r="AT71" s="130">
        <v>1.6653</v>
      </c>
      <c r="AU71" s="128">
        <v>0</v>
      </c>
      <c r="AV71" s="128">
        <v>16078.46</v>
      </c>
      <c r="AW71" s="128">
        <v>5708.7916999999998</v>
      </c>
      <c r="AX71" s="49">
        <f t="shared" si="103"/>
        <v>1482.6812400000001</v>
      </c>
      <c r="AY71" s="49">
        <f t="shared" si="103"/>
        <v>1174.0031940000001</v>
      </c>
      <c r="AZ71" s="47">
        <f t="shared" si="103"/>
        <v>0</v>
      </c>
      <c r="BA71" s="47">
        <f t="shared" si="68"/>
        <v>0</v>
      </c>
      <c r="BB71" s="48">
        <f t="shared" si="69"/>
        <v>1482.6812400000001</v>
      </c>
      <c r="BC71" s="48">
        <f t="shared" si="70"/>
        <v>1174.0031940000001</v>
      </c>
      <c r="BD71" s="93">
        <f t="shared" si="71"/>
        <v>1501.3390703417028</v>
      </c>
      <c r="BE71" s="93">
        <f t="shared" si="72"/>
        <v>1192.6610243417028</v>
      </c>
      <c r="BG71" s="128">
        <v>4.0868000000000002</v>
      </c>
      <c r="BH71" s="130">
        <v>1.6293</v>
      </c>
      <c r="BI71" s="128">
        <v>0</v>
      </c>
      <c r="BJ71" s="128">
        <v>10515.0283</v>
      </c>
      <c r="BK71" s="128">
        <v>3881.2592</v>
      </c>
      <c r="BL71" s="49">
        <f t="shared" si="104"/>
        <v>1342.186856</v>
      </c>
      <c r="BM71" s="49">
        <f t="shared" si="104"/>
        <v>985.20512399999996</v>
      </c>
      <c r="BN71" s="47">
        <f t="shared" si="104"/>
        <v>0</v>
      </c>
      <c r="BO71" s="47">
        <f t="shared" si="73"/>
        <v>0</v>
      </c>
      <c r="BP71" s="48">
        <f t="shared" si="74"/>
        <v>1342.186856</v>
      </c>
      <c r="BQ71" s="48">
        <f t="shared" si="75"/>
        <v>985.20512399999996</v>
      </c>
      <c r="BR71" s="93">
        <f t="shared" si="76"/>
        <v>1360.886782406433</v>
      </c>
      <c r="BS71" s="93">
        <f t="shared" si="77"/>
        <v>1003.905050406433</v>
      </c>
      <c r="BU71" s="128">
        <v>3.3544999999999998</v>
      </c>
      <c r="BV71" s="130">
        <v>1.3328</v>
      </c>
      <c r="BW71" s="128">
        <v>0</v>
      </c>
      <c r="BX71" s="128">
        <v>12304.745000000001</v>
      </c>
      <c r="BY71" s="128">
        <v>4953.3792000000003</v>
      </c>
      <c r="BZ71" s="49">
        <f t="shared" si="105"/>
        <v>813.80169999999998</v>
      </c>
      <c r="CA71" s="49">
        <f t="shared" si="105"/>
        <v>538.61113599999999</v>
      </c>
      <c r="CB71" s="47">
        <f t="shared" si="105"/>
        <v>0</v>
      </c>
      <c r="CC71" s="47">
        <f t="shared" si="78"/>
        <v>0</v>
      </c>
      <c r="CD71" s="48">
        <f t="shared" si="79"/>
        <v>813.80169999999998</v>
      </c>
      <c r="CE71" s="48">
        <f t="shared" si="80"/>
        <v>538.61113599999999</v>
      </c>
      <c r="CF71" s="93">
        <f t="shared" si="81"/>
        <v>825.83655228423095</v>
      </c>
      <c r="CG71" s="93">
        <f t="shared" si="82"/>
        <v>550.64598828423095</v>
      </c>
      <c r="CI71" s="128">
        <v>1.2568999999999999</v>
      </c>
      <c r="CJ71" s="130">
        <v>1.0818000000000001</v>
      </c>
      <c r="CK71" s="128">
        <v>1.6000000000000001E-3</v>
      </c>
      <c r="CL71" s="128">
        <v>39530.4833</v>
      </c>
      <c r="CM71" s="128">
        <v>14813.3467</v>
      </c>
      <c r="CN71" s="49">
        <f t="shared" si="106"/>
        <v>266.81473199999999</v>
      </c>
      <c r="CO71" s="49">
        <f t="shared" si="106"/>
        <v>298.01426400000003</v>
      </c>
      <c r="CP71" s="47">
        <f t="shared" si="106"/>
        <v>6.240000000000001E-4</v>
      </c>
      <c r="CQ71" s="47">
        <f t="shared" si="83"/>
        <v>3.2923398418448061E-4</v>
      </c>
      <c r="CR71" s="48">
        <f t="shared" si="84"/>
        <v>266.81506123398418</v>
      </c>
      <c r="CS71" s="48">
        <f t="shared" si="85"/>
        <v>298.0139692339842</v>
      </c>
      <c r="CT71" s="93">
        <f t="shared" si="86"/>
        <v>266.84788094675935</v>
      </c>
      <c r="CU71" s="93">
        <f t="shared" si="87"/>
        <v>298.04678894675936</v>
      </c>
      <c r="CW71" s="128">
        <v>2.5314000000000001</v>
      </c>
      <c r="CX71" s="130">
        <v>2.0731999999999999</v>
      </c>
      <c r="CY71" s="128">
        <v>1.9199999999999998E-2</v>
      </c>
      <c r="CZ71" s="128">
        <v>17631.568299999999</v>
      </c>
      <c r="DA71" s="128">
        <v>6264.8275000000003</v>
      </c>
      <c r="DB71" s="49">
        <f t="shared" si="107"/>
        <v>543.51689400000009</v>
      </c>
      <c r="DC71" s="49">
        <f t="shared" si="107"/>
        <v>622.04292800000007</v>
      </c>
      <c r="DD71" s="47">
        <f t="shared" si="107"/>
        <v>5.1840000000000002E-3</v>
      </c>
      <c r="DE71" s="47">
        <f t="shared" si="88"/>
        <v>2.7666280853939729E-3</v>
      </c>
      <c r="DF71" s="48">
        <f t="shared" si="89"/>
        <v>543.51966062808549</v>
      </c>
      <c r="DG71" s="48">
        <f t="shared" si="90"/>
        <v>622.04051062808549</v>
      </c>
      <c r="DH71" s="93">
        <f t="shared" si="91"/>
        <v>543.53988119881808</v>
      </c>
      <c r="DI71" s="93">
        <f t="shared" si="92"/>
        <v>622.06073119881808</v>
      </c>
      <c r="DK71" s="128">
        <v>2.2856000000000001</v>
      </c>
      <c r="DL71" s="130">
        <v>1.9040999999999999</v>
      </c>
      <c r="DM71" s="128">
        <v>1.8E-3</v>
      </c>
      <c r="DN71" s="128">
        <v>4952.5357999999997</v>
      </c>
      <c r="DO71" s="128">
        <v>2252.2467000000001</v>
      </c>
      <c r="DP71" s="49">
        <f t="shared" si="108"/>
        <v>302.52201600000006</v>
      </c>
      <c r="DQ71" s="49">
        <f t="shared" si="108"/>
        <v>368.69088299999999</v>
      </c>
      <c r="DR71" s="47">
        <f t="shared" si="108"/>
        <v>3.4200000000000002E-4</v>
      </c>
      <c r="DS71" s="47">
        <f t="shared" si="93"/>
        <v>1.8785735818524545E-4</v>
      </c>
      <c r="DT71" s="48">
        <f t="shared" si="94"/>
        <v>302.52220385735825</v>
      </c>
      <c r="DU71" s="48">
        <f t="shared" si="95"/>
        <v>368.69072885735818</v>
      </c>
      <c r="DV71" s="93">
        <f t="shared" si="96"/>
        <v>302.54414244953006</v>
      </c>
      <c r="DW71" s="93">
        <f t="shared" si="97"/>
        <v>368.71266744952999</v>
      </c>
      <c r="EB71" s="52"/>
      <c r="EC71" s="52"/>
      <c r="ED71" s="52"/>
      <c r="EE71" s="55">
        <f t="shared" si="98"/>
        <v>85303.453299999994</v>
      </c>
      <c r="EF71" s="55">
        <f t="shared" si="98"/>
        <v>30451.2359</v>
      </c>
      <c r="EG71" s="55">
        <f t="shared" si="98"/>
        <v>4629.7771272</v>
      </c>
      <c r="EH71" s="55">
        <f t="shared" si="98"/>
        <v>4769.3708403999999</v>
      </c>
      <c r="EI71" s="298">
        <f t="shared" si="109"/>
        <v>0.73693302525838411</v>
      </c>
      <c r="EJ71" s="52"/>
      <c r="EK71" s="55">
        <f t="shared" si="99"/>
        <v>4629.9365129199177</v>
      </c>
      <c r="EL71" s="55">
        <f t="shared" si="99"/>
        <v>4768.852276919918</v>
      </c>
      <c r="EM71" s="55">
        <f t="shared" si="39"/>
        <v>4663.5150433983436</v>
      </c>
      <c r="EN71" s="55">
        <f t="shared" si="39"/>
        <v>4802.4308073983429</v>
      </c>
      <c r="EP71" s="52"/>
      <c r="EQ71" s="52"/>
      <c r="ER71" s="52"/>
      <c r="ES71" s="55">
        <f t="shared" si="110"/>
        <v>72615.743199999997</v>
      </c>
      <c r="ET71" s="55">
        <f t="shared" si="110"/>
        <v>26932.216699999997</v>
      </c>
      <c r="EU71" s="55">
        <f t="shared" si="110"/>
        <v>3848.6079467999998</v>
      </c>
      <c r="EV71" s="55">
        <f t="shared" si="110"/>
        <v>3890.6165586000002</v>
      </c>
      <c r="EW71" s="298">
        <f t="shared" si="111"/>
        <v>0.72945486048077224</v>
      </c>
      <c r="EX71" s="52"/>
      <c r="EY71" s="55">
        <f t="shared" si="112"/>
        <v>3848.6102126736441</v>
      </c>
      <c r="EZ71" s="55">
        <f t="shared" si="112"/>
        <v>3890.6145716736441</v>
      </c>
      <c r="FA71" s="55">
        <f t="shared" si="112"/>
        <v>3884.6559806719497</v>
      </c>
      <c r="FB71" s="55">
        <f t="shared" si="112"/>
        <v>3926.6603396719506</v>
      </c>
      <c r="FD71" s="52"/>
      <c r="FE71" s="52"/>
      <c r="FF71" s="52"/>
      <c r="FG71" s="55">
        <f t="shared" si="113"/>
        <v>57292.693299999999</v>
      </c>
      <c r="FH71" s="55">
        <f t="shared" si="113"/>
        <v>22167.952600000001</v>
      </c>
      <c r="FI71" s="55">
        <f t="shared" si="113"/>
        <v>3011.7218656</v>
      </c>
      <c r="FJ71" s="55">
        <f t="shared" si="113"/>
        <v>3113.1728828</v>
      </c>
      <c r="FK71" s="298">
        <f t="shared" si="114"/>
        <v>0.72101972808152059</v>
      </c>
      <c r="FL71" s="52"/>
      <c r="FM71" s="55">
        <f t="shared" si="115"/>
        <v>3011.7223075483989</v>
      </c>
      <c r="FN71" s="55">
        <f t="shared" si="115"/>
        <v>3113.1724955483987</v>
      </c>
      <c r="FO71" s="55">
        <f t="shared" si="115"/>
        <v>3035.6055807785597</v>
      </c>
      <c r="FP71" s="55">
        <f t="shared" si="115"/>
        <v>3137.0557687785599</v>
      </c>
      <c r="FR71" s="52"/>
      <c r="FS71" s="52"/>
      <c r="FT71" s="52"/>
      <c r="FU71" s="55">
        <f t="shared" si="116"/>
        <v>57162.051599999999</v>
      </c>
      <c r="FV71" s="55">
        <f t="shared" si="116"/>
        <v>21078.174200000001</v>
      </c>
      <c r="FW71" s="55">
        <f t="shared" si="116"/>
        <v>701.62824720000003</v>
      </c>
      <c r="FX71" s="55">
        <f t="shared" si="116"/>
        <v>795.64860640000006</v>
      </c>
      <c r="FY71" s="298">
        <f t="shared" si="117"/>
        <v>0.73059671052227459</v>
      </c>
      <c r="FZ71" s="52"/>
      <c r="GA71" s="55">
        <f t="shared" si="118"/>
        <v>701.63078973645258</v>
      </c>
      <c r="GB71" s="55">
        <f t="shared" si="118"/>
        <v>795.64637773645268</v>
      </c>
      <c r="GC71" s="55">
        <f t="shared" si="118"/>
        <v>701.67978590581379</v>
      </c>
      <c r="GD71" s="55">
        <f t="shared" si="118"/>
        <v>795.69537390581377</v>
      </c>
      <c r="GF71" s="52"/>
      <c r="GG71" s="52"/>
      <c r="GH71" s="52"/>
      <c r="GI71" s="55">
        <f t="shared" si="119"/>
        <v>28383.205000000002</v>
      </c>
      <c r="GJ71" s="55">
        <f t="shared" si="119"/>
        <v>10662.170900000001</v>
      </c>
      <c r="GK71" s="56">
        <f t="shared" si="120"/>
        <v>501.6596550000001</v>
      </c>
      <c r="GL71" s="56">
        <f t="shared" si="120"/>
        <v>476.5440435000001</v>
      </c>
      <c r="GM71" s="298">
        <f t="shared" si="121"/>
        <v>0.72692871680100801</v>
      </c>
      <c r="GN71" s="52"/>
      <c r="GO71" s="56">
        <f t="shared" si="122"/>
        <v>501.6596550000001</v>
      </c>
      <c r="GP71" s="56">
        <f t="shared" si="122"/>
        <v>476.5440435000001</v>
      </c>
      <c r="GQ71" s="56">
        <f t="shared" si="122"/>
        <v>506.62688854310392</v>
      </c>
      <c r="GR71" s="56">
        <f t="shared" si="122"/>
        <v>481.51127704310392</v>
      </c>
    </row>
    <row r="72" spans="1:200" x14ac:dyDescent="0.2">
      <c r="A72" s="118">
        <v>62</v>
      </c>
      <c r="C72" s="128">
        <v>2.5779999999999998</v>
      </c>
      <c r="D72" s="128">
        <v>1.5266</v>
      </c>
      <c r="E72" s="128">
        <v>2E-3</v>
      </c>
      <c r="F72" s="128">
        <v>10967.129199999999</v>
      </c>
      <c r="G72" s="128">
        <v>3525.46</v>
      </c>
      <c r="H72" s="49">
        <f t="shared" si="100"/>
        <v>2581.6607599999998</v>
      </c>
      <c r="I72" s="49">
        <f t="shared" si="100"/>
        <v>2896.8761599999998</v>
      </c>
      <c r="J72" s="47">
        <f t="shared" si="100"/>
        <v>0.36387999999999998</v>
      </c>
      <c r="K72" s="47">
        <f t="shared" si="53"/>
        <v>8.8517266797295269E-2</v>
      </c>
      <c r="L72" s="48">
        <f t="shared" si="54"/>
        <v>2581.749277266797</v>
      </c>
      <c r="M72" s="48">
        <f t="shared" si="55"/>
        <v>2896.6007972667971</v>
      </c>
      <c r="N72" s="93">
        <f t="shared" si="56"/>
        <v>2596.6893071508262</v>
      </c>
      <c r="O72" s="93">
        <f t="shared" si="57"/>
        <v>2911.5408271508263</v>
      </c>
      <c r="Q72" s="128">
        <v>3.0983000000000001</v>
      </c>
      <c r="R72" s="130">
        <v>1.8843000000000001</v>
      </c>
      <c r="S72" s="128">
        <v>0</v>
      </c>
      <c r="T72" s="128">
        <v>4643.9083000000001</v>
      </c>
      <c r="U72" s="128">
        <v>1888.3525</v>
      </c>
      <c r="V72" s="49">
        <f t="shared" si="101"/>
        <v>1971.7891029999998</v>
      </c>
      <c r="W72" s="49">
        <f t="shared" si="101"/>
        <v>2245.1246070000002</v>
      </c>
      <c r="X72" s="47">
        <f t="shared" si="101"/>
        <v>0</v>
      </c>
      <c r="Y72" s="47">
        <f t="shared" si="58"/>
        <v>0</v>
      </c>
      <c r="Z72" s="48">
        <f t="shared" si="59"/>
        <v>1971.7891029999998</v>
      </c>
      <c r="AA72" s="48">
        <f t="shared" si="60"/>
        <v>2245.1246070000002</v>
      </c>
      <c r="AB72" s="93">
        <f t="shared" si="61"/>
        <v>1989.0879704795848</v>
      </c>
      <c r="AC72" s="93">
        <f t="shared" si="62"/>
        <v>2262.4234744795854</v>
      </c>
      <c r="AE72" s="128">
        <v>4.0537000000000001</v>
      </c>
      <c r="AF72" s="130">
        <v>2.0499000000000001</v>
      </c>
      <c r="AG72" s="128">
        <v>0</v>
      </c>
      <c r="AH72" s="128">
        <v>463.22579999999999</v>
      </c>
      <c r="AI72" s="128">
        <v>152.82669999999999</v>
      </c>
      <c r="AJ72" s="49">
        <f t="shared" si="102"/>
        <v>1865.026296</v>
      </c>
      <c r="AK72" s="49">
        <f t="shared" si="102"/>
        <v>2153.891427</v>
      </c>
      <c r="AL72" s="47">
        <f t="shared" si="102"/>
        <v>0</v>
      </c>
      <c r="AM72" s="47">
        <f t="shared" si="63"/>
        <v>0</v>
      </c>
      <c r="AN72" s="48">
        <f t="shared" si="64"/>
        <v>1865.026296</v>
      </c>
      <c r="AO72" s="48">
        <f t="shared" si="65"/>
        <v>2153.891427</v>
      </c>
      <c r="AP72" s="93">
        <f t="shared" si="66"/>
        <v>1876.8287340778515</v>
      </c>
      <c r="AQ72" s="93">
        <f t="shared" si="67"/>
        <v>2165.6938650778516</v>
      </c>
      <c r="AS72" s="128">
        <v>4.5731999999999999</v>
      </c>
      <c r="AT72" s="130">
        <v>1.7710999999999999</v>
      </c>
      <c r="AU72" s="128">
        <v>0</v>
      </c>
      <c r="AV72" s="128">
        <v>15535.5358</v>
      </c>
      <c r="AW72" s="128">
        <v>5697.5757999999996</v>
      </c>
      <c r="AX72" s="49">
        <f t="shared" si="103"/>
        <v>1603.546848</v>
      </c>
      <c r="AY72" s="49">
        <f t="shared" si="103"/>
        <v>1248.5900779999999</v>
      </c>
      <c r="AZ72" s="47">
        <f t="shared" si="103"/>
        <v>0</v>
      </c>
      <c r="BA72" s="47">
        <f t="shared" si="68"/>
        <v>0</v>
      </c>
      <c r="BB72" s="48">
        <f t="shared" si="69"/>
        <v>1603.546848</v>
      </c>
      <c r="BC72" s="48">
        <f t="shared" si="70"/>
        <v>1248.5900779999999</v>
      </c>
      <c r="BD72" s="93">
        <f t="shared" si="71"/>
        <v>1622.2046783417027</v>
      </c>
      <c r="BE72" s="93">
        <f t="shared" si="72"/>
        <v>1267.2479083417027</v>
      </c>
      <c r="BG72" s="128">
        <v>4.4093999999999998</v>
      </c>
      <c r="BH72" s="130">
        <v>1.7193000000000001</v>
      </c>
      <c r="BI72" s="128">
        <v>0</v>
      </c>
      <c r="BJ72" s="128">
        <v>9756.8700000000008</v>
      </c>
      <c r="BK72" s="128">
        <v>3779.1891999999998</v>
      </c>
      <c r="BL72" s="49">
        <f t="shared" si="104"/>
        <v>1448.1351480000001</v>
      </c>
      <c r="BM72" s="49">
        <f t="shared" si="104"/>
        <v>1039.6263239999998</v>
      </c>
      <c r="BN72" s="47">
        <f t="shared" si="104"/>
        <v>0</v>
      </c>
      <c r="BO72" s="47">
        <f t="shared" si="73"/>
        <v>0</v>
      </c>
      <c r="BP72" s="48">
        <f t="shared" si="74"/>
        <v>1448.1351480000001</v>
      </c>
      <c r="BQ72" s="48">
        <f t="shared" si="75"/>
        <v>1039.6263239999998</v>
      </c>
      <c r="BR72" s="93">
        <f t="shared" si="76"/>
        <v>1466.835074406433</v>
      </c>
      <c r="BS72" s="93">
        <f t="shared" si="77"/>
        <v>1058.3262504064328</v>
      </c>
      <c r="BU72" s="128">
        <v>3.5308000000000002</v>
      </c>
      <c r="BV72" s="130">
        <v>1.391</v>
      </c>
      <c r="BW72" s="128">
        <v>0</v>
      </c>
      <c r="BX72" s="128">
        <v>11742.825000000001</v>
      </c>
      <c r="BY72" s="128">
        <v>4799.3450000000003</v>
      </c>
      <c r="BZ72" s="49">
        <f t="shared" si="105"/>
        <v>856.57208000000003</v>
      </c>
      <c r="CA72" s="49">
        <f t="shared" si="105"/>
        <v>562.13092000000006</v>
      </c>
      <c r="CB72" s="47">
        <f t="shared" si="105"/>
        <v>0</v>
      </c>
      <c r="CC72" s="47">
        <f t="shared" si="78"/>
        <v>0</v>
      </c>
      <c r="CD72" s="48">
        <f t="shared" si="79"/>
        <v>856.57208000000003</v>
      </c>
      <c r="CE72" s="48">
        <f t="shared" si="80"/>
        <v>562.13092000000006</v>
      </c>
      <c r="CF72" s="93">
        <f t="shared" si="81"/>
        <v>868.60693228423099</v>
      </c>
      <c r="CG72" s="93">
        <f t="shared" si="82"/>
        <v>574.16577228423102</v>
      </c>
      <c r="CI72" s="128">
        <v>1.2709999999999999</v>
      </c>
      <c r="CJ72" s="130">
        <v>1.0835999999999999</v>
      </c>
      <c r="CK72" s="128">
        <v>2.0000000000000001E-4</v>
      </c>
      <c r="CL72" s="128">
        <v>37640.364200000004</v>
      </c>
      <c r="CM72" s="128">
        <v>14541.737499999999</v>
      </c>
      <c r="CN72" s="49">
        <f t="shared" si="106"/>
        <v>269.80787999999995</v>
      </c>
      <c r="CO72" s="49">
        <f t="shared" si="106"/>
        <v>298.51012800000001</v>
      </c>
      <c r="CP72" s="47">
        <f t="shared" si="106"/>
        <v>7.8000000000000012E-5</v>
      </c>
      <c r="CQ72" s="47">
        <f t="shared" si="83"/>
        <v>4.0969650189229984E-5</v>
      </c>
      <c r="CR72" s="48">
        <f t="shared" si="84"/>
        <v>269.80792096965013</v>
      </c>
      <c r="CS72" s="48">
        <f t="shared" si="85"/>
        <v>298.51009096965021</v>
      </c>
      <c r="CT72" s="93">
        <f t="shared" si="86"/>
        <v>269.84102894675931</v>
      </c>
      <c r="CU72" s="93">
        <f t="shared" si="87"/>
        <v>298.54319894675939</v>
      </c>
      <c r="CW72" s="128">
        <v>2.6032000000000002</v>
      </c>
      <c r="CX72" s="130">
        <v>2.1111</v>
      </c>
      <c r="CY72" s="128">
        <v>1.2800000000000001E-2</v>
      </c>
      <c r="CZ72" s="128">
        <v>17081.366699999999</v>
      </c>
      <c r="DA72" s="128">
        <v>6282.22</v>
      </c>
      <c r="DB72" s="49">
        <f t="shared" si="107"/>
        <v>558.93307200000004</v>
      </c>
      <c r="DC72" s="49">
        <f t="shared" si="107"/>
        <v>633.414444</v>
      </c>
      <c r="DD72" s="47">
        <f t="shared" si="107"/>
        <v>3.4560000000000003E-3</v>
      </c>
      <c r="DE72" s="47">
        <f t="shared" si="88"/>
        <v>1.8359415263494373E-3</v>
      </c>
      <c r="DF72" s="48">
        <f t="shared" si="89"/>
        <v>558.93490794152638</v>
      </c>
      <c r="DG72" s="48">
        <f t="shared" si="90"/>
        <v>633.41282394152631</v>
      </c>
      <c r="DH72" s="93">
        <f t="shared" si="91"/>
        <v>558.95605919881802</v>
      </c>
      <c r="DI72" s="93">
        <f t="shared" si="92"/>
        <v>633.43397519881796</v>
      </c>
      <c r="DK72" s="128">
        <v>2.3349000000000002</v>
      </c>
      <c r="DL72" s="130">
        <v>1.9248000000000001</v>
      </c>
      <c r="DM72" s="128">
        <v>0</v>
      </c>
      <c r="DN72" s="128">
        <v>4778.8582999999999</v>
      </c>
      <c r="DO72" s="128">
        <v>2301.8625000000002</v>
      </c>
      <c r="DP72" s="49">
        <f t="shared" si="108"/>
        <v>309.04736400000007</v>
      </c>
      <c r="DQ72" s="49">
        <f t="shared" si="108"/>
        <v>372.69902400000001</v>
      </c>
      <c r="DR72" s="47">
        <f t="shared" si="108"/>
        <v>0</v>
      </c>
      <c r="DS72" s="47">
        <f t="shared" si="93"/>
        <v>0</v>
      </c>
      <c r="DT72" s="48">
        <f t="shared" si="94"/>
        <v>309.04736400000007</v>
      </c>
      <c r="DU72" s="48">
        <f t="shared" si="95"/>
        <v>372.69902400000001</v>
      </c>
      <c r="DV72" s="93">
        <f t="shared" si="96"/>
        <v>309.06949044953006</v>
      </c>
      <c r="DW72" s="93">
        <f t="shared" si="97"/>
        <v>372.72115044953</v>
      </c>
      <c r="EB72" s="52"/>
      <c r="EC72" s="52"/>
      <c r="ED72" s="52"/>
      <c r="EE72" s="55">
        <f t="shared" si="98"/>
        <v>81224.395900000003</v>
      </c>
      <c r="EF72" s="55">
        <f t="shared" si="98"/>
        <v>30046.993300000002</v>
      </c>
      <c r="EG72" s="55">
        <f t="shared" si="98"/>
        <v>4902.1619455999999</v>
      </c>
      <c r="EH72" s="55">
        <f t="shared" si="98"/>
        <v>4950.7079211999999</v>
      </c>
      <c r="EI72" s="298">
        <f t="shared" si="109"/>
        <v>0.72996658425830097</v>
      </c>
      <c r="EJ72" s="52"/>
      <c r="EK72" s="55">
        <f t="shared" si="99"/>
        <v>4902.2519725896682</v>
      </c>
      <c r="EL72" s="55">
        <f t="shared" si="99"/>
        <v>4950.4312253896678</v>
      </c>
      <c r="EM72" s="55">
        <f t="shared" si="39"/>
        <v>4935.8998617983416</v>
      </c>
      <c r="EN72" s="55">
        <f t="shared" si="39"/>
        <v>4984.079114598343</v>
      </c>
      <c r="EP72" s="52"/>
      <c r="EQ72" s="52"/>
      <c r="ER72" s="52"/>
      <c r="ES72" s="55">
        <f t="shared" si="110"/>
        <v>69122.5092</v>
      </c>
      <c r="ET72" s="55">
        <f t="shared" si="110"/>
        <v>26491.499199999998</v>
      </c>
      <c r="EU72" s="55">
        <f t="shared" si="110"/>
        <v>4080.9852813999996</v>
      </c>
      <c r="EV72" s="55">
        <f t="shared" si="110"/>
        <v>4026.6511697999999</v>
      </c>
      <c r="EW72" s="298">
        <f t="shared" si="111"/>
        <v>0.72293286681201419</v>
      </c>
      <c r="EX72" s="52"/>
      <c r="EY72" s="55">
        <f t="shared" si="112"/>
        <v>4080.9866075287187</v>
      </c>
      <c r="EZ72" s="55">
        <f t="shared" si="112"/>
        <v>4026.6499987287189</v>
      </c>
      <c r="FA72" s="55">
        <f t="shared" si="112"/>
        <v>4117.0333152719495</v>
      </c>
      <c r="FB72" s="55">
        <f t="shared" si="112"/>
        <v>4062.6967064719502</v>
      </c>
      <c r="FD72" s="52"/>
      <c r="FE72" s="52"/>
      <c r="FF72" s="52"/>
      <c r="FG72" s="55">
        <f t="shared" si="113"/>
        <v>54625.273300000008</v>
      </c>
      <c r="FH72" s="55">
        <f t="shared" si="113"/>
        <v>21795.771699999998</v>
      </c>
      <c r="FI72" s="55">
        <f t="shared" si="113"/>
        <v>3176.8346743999996</v>
      </c>
      <c r="FJ72" s="55">
        <f t="shared" si="113"/>
        <v>3238.1518894000001</v>
      </c>
      <c r="FK72" s="298">
        <f t="shared" si="114"/>
        <v>0.71479359252415353</v>
      </c>
      <c r="FL72" s="52"/>
      <c r="FM72" s="55">
        <f t="shared" si="115"/>
        <v>3176.83471536965</v>
      </c>
      <c r="FN72" s="55">
        <f t="shared" si="115"/>
        <v>3238.1518523696504</v>
      </c>
      <c r="FO72" s="55">
        <f t="shared" si="115"/>
        <v>3200.7183895785597</v>
      </c>
      <c r="FP72" s="55">
        <f t="shared" si="115"/>
        <v>3262.0355265785597</v>
      </c>
      <c r="FR72" s="52"/>
      <c r="FS72" s="52"/>
      <c r="FT72" s="52"/>
      <c r="FU72" s="55">
        <f t="shared" si="116"/>
        <v>54721.730900000002</v>
      </c>
      <c r="FV72" s="55">
        <f t="shared" si="116"/>
        <v>20823.9575</v>
      </c>
      <c r="FW72" s="55">
        <f t="shared" si="116"/>
        <v>716.95433760000003</v>
      </c>
      <c r="FX72" s="55">
        <f t="shared" si="116"/>
        <v>805.24168320000001</v>
      </c>
      <c r="FY72" s="298">
        <f t="shared" si="117"/>
        <v>0.72435279972907096</v>
      </c>
      <c r="FZ72" s="52"/>
      <c r="GA72" s="55">
        <f t="shared" si="118"/>
        <v>716.95584732287125</v>
      </c>
      <c r="GB72" s="55">
        <f t="shared" si="118"/>
        <v>805.24035012287129</v>
      </c>
      <c r="GC72" s="55">
        <f t="shared" si="118"/>
        <v>717.00587630581367</v>
      </c>
      <c r="GD72" s="55">
        <f t="shared" si="118"/>
        <v>805.29037910581383</v>
      </c>
      <c r="GF72" s="52"/>
      <c r="GG72" s="52"/>
      <c r="GH72" s="52"/>
      <c r="GI72" s="55">
        <f t="shared" si="119"/>
        <v>27278.360800000002</v>
      </c>
      <c r="GJ72" s="55">
        <f t="shared" si="119"/>
        <v>10496.9208</v>
      </c>
      <c r="GK72" s="56">
        <f t="shared" si="120"/>
        <v>560.23107599999992</v>
      </c>
      <c r="GL72" s="56">
        <f t="shared" si="120"/>
        <v>514.84436849999997</v>
      </c>
      <c r="GM72" s="298">
        <f t="shared" si="121"/>
        <v>0.72212197089220376</v>
      </c>
      <c r="GN72" s="52"/>
      <c r="GO72" s="56">
        <f t="shared" si="122"/>
        <v>560.23107599999992</v>
      </c>
      <c r="GP72" s="56">
        <f t="shared" si="122"/>
        <v>514.84436849999997</v>
      </c>
      <c r="GQ72" s="56">
        <f t="shared" si="122"/>
        <v>565.19830954310373</v>
      </c>
      <c r="GR72" s="56">
        <f t="shared" si="122"/>
        <v>519.81160204310368</v>
      </c>
    </row>
    <row r="73" spans="1:200" x14ac:dyDescent="0.2">
      <c r="A73" s="118">
        <v>63</v>
      </c>
      <c r="C73" s="128">
        <v>2.7216</v>
      </c>
      <c r="D73" s="128">
        <v>1.5823</v>
      </c>
      <c r="E73" s="128">
        <v>8.0000000000000004E-4</v>
      </c>
      <c r="F73" s="128">
        <v>9903.0275000000001</v>
      </c>
      <c r="G73" s="128">
        <v>3140.5041999999999</v>
      </c>
      <c r="H73" s="49">
        <f t="shared" si="100"/>
        <v>2725.4646720000001</v>
      </c>
      <c r="I73" s="49">
        <f t="shared" si="100"/>
        <v>3002.5724799999998</v>
      </c>
      <c r="J73" s="47">
        <f t="shared" si="100"/>
        <v>0.14555200000000001</v>
      </c>
      <c r="K73" s="47">
        <f t="shared" si="53"/>
        <v>3.5044700916271015E-2</v>
      </c>
      <c r="L73" s="48">
        <f t="shared" si="54"/>
        <v>2725.4997167009165</v>
      </c>
      <c r="M73" s="48">
        <f t="shared" si="55"/>
        <v>3002.4619727009162</v>
      </c>
      <c r="N73" s="93">
        <f t="shared" si="56"/>
        <v>2740.4932191508265</v>
      </c>
      <c r="O73" s="93">
        <f t="shared" si="57"/>
        <v>3017.4554751508263</v>
      </c>
      <c r="Q73" s="128">
        <v>3.2858000000000001</v>
      </c>
      <c r="R73" s="130">
        <v>1.9522999999999999</v>
      </c>
      <c r="S73" s="128">
        <v>0</v>
      </c>
      <c r="T73" s="128">
        <v>4334.95</v>
      </c>
      <c r="U73" s="128">
        <v>1812.5967000000001</v>
      </c>
      <c r="V73" s="49">
        <f t="shared" si="101"/>
        <v>2091.1159779999998</v>
      </c>
      <c r="W73" s="49">
        <f t="shared" si="101"/>
        <v>2326.145927</v>
      </c>
      <c r="X73" s="47">
        <f t="shared" si="101"/>
        <v>0</v>
      </c>
      <c r="Y73" s="47">
        <f t="shared" si="58"/>
        <v>0</v>
      </c>
      <c r="Z73" s="48">
        <f t="shared" si="59"/>
        <v>2091.1159779999998</v>
      </c>
      <c r="AA73" s="48">
        <f t="shared" si="60"/>
        <v>2326.145927</v>
      </c>
      <c r="AB73" s="93">
        <f t="shared" si="61"/>
        <v>2108.414845479585</v>
      </c>
      <c r="AC73" s="93">
        <f t="shared" si="62"/>
        <v>2343.4447944795852</v>
      </c>
      <c r="AE73" s="128">
        <v>4.3061999999999996</v>
      </c>
      <c r="AF73" s="130">
        <v>2.1509</v>
      </c>
      <c r="AG73" s="128">
        <v>0</v>
      </c>
      <c r="AH73" s="128">
        <v>434.13170000000002</v>
      </c>
      <c r="AI73" s="128">
        <v>150.07</v>
      </c>
      <c r="AJ73" s="49">
        <f t="shared" si="102"/>
        <v>1981.1964959999998</v>
      </c>
      <c r="AK73" s="49">
        <f t="shared" si="102"/>
        <v>2260.0151570000003</v>
      </c>
      <c r="AL73" s="47">
        <f t="shared" si="102"/>
        <v>0</v>
      </c>
      <c r="AM73" s="47">
        <f t="shared" si="63"/>
        <v>0</v>
      </c>
      <c r="AN73" s="48">
        <f t="shared" si="64"/>
        <v>1981.1964959999998</v>
      </c>
      <c r="AO73" s="48">
        <f t="shared" si="65"/>
        <v>2260.0151570000003</v>
      </c>
      <c r="AP73" s="93">
        <f t="shared" si="66"/>
        <v>1992.9989340778513</v>
      </c>
      <c r="AQ73" s="93">
        <f t="shared" si="67"/>
        <v>2271.8175950778518</v>
      </c>
      <c r="AS73" s="128">
        <v>4.9493999999999998</v>
      </c>
      <c r="AT73" s="130">
        <v>1.8858999999999999</v>
      </c>
      <c r="AU73" s="128">
        <v>0</v>
      </c>
      <c r="AV73" s="128">
        <v>14361.0833</v>
      </c>
      <c r="AW73" s="128">
        <v>5447.4224999999997</v>
      </c>
      <c r="AX73" s="49">
        <f t="shared" si="103"/>
        <v>1735.4576159999999</v>
      </c>
      <c r="AY73" s="49">
        <f t="shared" si="103"/>
        <v>1329.521782</v>
      </c>
      <c r="AZ73" s="47">
        <f t="shared" si="103"/>
        <v>0</v>
      </c>
      <c r="BA73" s="47">
        <f t="shared" si="68"/>
        <v>0</v>
      </c>
      <c r="BB73" s="48">
        <f t="shared" si="69"/>
        <v>1735.4576159999999</v>
      </c>
      <c r="BC73" s="48">
        <f t="shared" si="70"/>
        <v>1329.521782</v>
      </c>
      <c r="BD73" s="93">
        <f t="shared" si="71"/>
        <v>1754.1154463417026</v>
      </c>
      <c r="BE73" s="93">
        <f t="shared" si="72"/>
        <v>1348.1796123417028</v>
      </c>
      <c r="BG73" s="128">
        <v>4.7519999999999998</v>
      </c>
      <c r="BH73" s="130">
        <v>1.8239000000000001</v>
      </c>
      <c r="BI73" s="128">
        <v>0</v>
      </c>
      <c r="BJ73" s="128">
        <v>8988.9107999999997</v>
      </c>
      <c r="BK73" s="128">
        <v>3666.3483000000001</v>
      </c>
      <c r="BL73" s="49">
        <f t="shared" si="104"/>
        <v>1560.65184</v>
      </c>
      <c r="BM73" s="49">
        <f t="shared" si="104"/>
        <v>1102.8758519999999</v>
      </c>
      <c r="BN73" s="47">
        <f t="shared" si="104"/>
        <v>0</v>
      </c>
      <c r="BO73" s="47">
        <f t="shared" si="73"/>
        <v>0</v>
      </c>
      <c r="BP73" s="48">
        <f t="shared" si="74"/>
        <v>1560.65184</v>
      </c>
      <c r="BQ73" s="48">
        <f t="shared" si="75"/>
        <v>1102.8758519999999</v>
      </c>
      <c r="BR73" s="93">
        <f t="shared" si="76"/>
        <v>1579.3517664064329</v>
      </c>
      <c r="BS73" s="93">
        <f t="shared" si="77"/>
        <v>1121.5757784064328</v>
      </c>
      <c r="BU73" s="128">
        <v>3.7252000000000001</v>
      </c>
      <c r="BV73" s="130">
        <v>1.4609000000000001</v>
      </c>
      <c r="BW73" s="128">
        <v>0</v>
      </c>
      <c r="BX73" s="128">
        <v>11599.4192</v>
      </c>
      <c r="BY73" s="128">
        <v>4624.8357999999998</v>
      </c>
      <c r="BZ73" s="49">
        <f t="shared" si="105"/>
        <v>903.73352</v>
      </c>
      <c r="CA73" s="49">
        <f t="shared" si="105"/>
        <v>590.37890800000002</v>
      </c>
      <c r="CB73" s="47">
        <f t="shared" si="105"/>
        <v>0</v>
      </c>
      <c r="CC73" s="47">
        <f t="shared" si="78"/>
        <v>0</v>
      </c>
      <c r="CD73" s="48">
        <f t="shared" si="79"/>
        <v>903.73352</v>
      </c>
      <c r="CE73" s="48">
        <f t="shared" si="80"/>
        <v>590.37890800000002</v>
      </c>
      <c r="CF73" s="93">
        <f t="shared" si="81"/>
        <v>915.76837228423096</v>
      </c>
      <c r="CG73" s="93">
        <f t="shared" si="82"/>
        <v>602.41376028423099</v>
      </c>
      <c r="CI73" s="128">
        <v>1.2859</v>
      </c>
      <c r="CJ73" s="130">
        <v>1.0864</v>
      </c>
      <c r="CK73" s="128">
        <v>0</v>
      </c>
      <c r="CL73" s="128">
        <v>35502.802499999998</v>
      </c>
      <c r="CM73" s="128">
        <v>13957.0558</v>
      </c>
      <c r="CN73" s="49">
        <f t="shared" si="106"/>
        <v>272.97085200000004</v>
      </c>
      <c r="CO73" s="49">
        <f t="shared" si="106"/>
        <v>299.28147200000001</v>
      </c>
      <c r="CP73" s="47">
        <f t="shared" si="106"/>
        <v>0</v>
      </c>
      <c r="CQ73" s="47">
        <f t="shared" si="83"/>
        <v>0</v>
      </c>
      <c r="CR73" s="48">
        <f t="shared" si="84"/>
        <v>272.97085200000004</v>
      </c>
      <c r="CS73" s="48">
        <f t="shared" si="85"/>
        <v>299.28147200000001</v>
      </c>
      <c r="CT73" s="93">
        <f t="shared" si="86"/>
        <v>273.00400094675939</v>
      </c>
      <c r="CU73" s="93">
        <f t="shared" si="87"/>
        <v>299.31462094675936</v>
      </c>
      <c r="CW73" s="128">
        <v>2.6680000000000001</v>
      </c>
      <c r="CX73" s="130">
        <v>2.1436999999999999</v>
      </c>
      <c r="CY73" s="128">
        <v>7.6E-3</v>
      </c>
      <c r="CZ73" s="128">
        <v>15840.467500000001</v>
      </c>
      <c r="DA73" s="128">
        <v>6045.8958000000002</v>
      </c>
      <c r="DB73" s="49">
        <f t="shared" si="107"/>
        <v>572.84628000000009</v>
      </c>
      <c r="DC73" s="49">
        <f t="shared" si="107"/>
        <v>643.19574799999998</v>
      </c>
      <c r="DD73" s="47">
        <f t="shared" si="107"/>
        <v>2.052E-3</v>
      </c>
      <c r="DE73" s="47">
        <f t="shared" si="88"/>
        <v>1.0853553121570234E-3</v>
      </c>
      <c r="DF73" s="48">
        <f t="shared" si="89"/>
        <v>572.84736535531226</v>
      </c>
      <c r="DG73" s="48">
        <f t="shared" si="90"/>
        <v>643.1947813553121</v>
      </c>
      <c r="DH73" s="93">
        <f t="shared" si="91"/>
        <v>572.86926719881808</v>
      </c>
      <c r="DI73" s="93">
        <f t="shared" si="92"/>
        <v>643.21668319881792</v>
      </c>
      <c r="DK73" s="128">
        <v>2.3931</v>
      </c>
      <c r="DL73" s="130">
        <v>1.9513</v>
      </c>
      <c r="DM73" s="128">
        <v>0</v>
      </c>
      <c r="DN73" s="128">
        <v>4828.2775000000001</v>
      </c>
      <c r="DO73" s="128">
        <v>2273.4692</v>
      </c>
      <c r="DP73" s="49">
        <f t="shared" si="108"/>
        <v>316.75071600000001</v>
      </c>
      <c r="DQ73" s="49">
        <f t="shared" si="108"/>
        <v>377.830219</v>
      </c>
      <c r="DR73" s="47">
        <f t="shared" si="108"/>
        <v>0</v>
      </c>
      <c r="DS73" s="47">
        <f t="shared" si="93"/>
        <v>0</v>
      </c>
      <c r="DT73" s="48">
        <f t="shared" si="94"/>
        <v>316.75071600000001</v>
      </c>
      <c r="DU73" s="48">
        <f t="shared" si="95"/>
        <v>377.830219</v>
      </c>
      <c r="DV73" s="93">
        <f t="shared" si="96"/>
        <v>316.77284244953</v>
      </c>
      <c r="DW73" s="93">
        <f t="shared" si="97"/>
        <v>377.85234544952999</v>
      </c>
      <c r="EB73" s="52"/>
      <c r="EC73" s="52"/>
      <c r="ED73" s="52"/>
      <c r="EE73" s="55">
        <f t="shared" si="98"/>
        <v>75607.380799999999</v>
      </c>
      <c r="EF73" s="55">
        <f t="shared" si="98"/>
        <v>28590.878299999997</v>
      </c>
      <c r="EG73" s="55">
        <f t="shared" si="98"/>
        <v>5192.1701640000001</v>
      </c>
      <c r="EH73" s="55">
        <f t="shared" si="98"/>
        <v>5145.9323323999997</v>
      </c>
      <c r="EI73" s="298">
        <f t="shared" si="109"/>
        <v>0.72561078709999294</v>
      </c>
      <c r="EJ73" s="52"/>
      <c r="EK73" s="55">
        <f t="shared" si="99"/>
        <v>5192.2060769851669</v>
      </c>
      <c r="EL73" s="55">
        <f t="shared" si="99"/>
        <v>5145.8210517851658</v>
      </c>
      <c r="EM73" s="55">
        <f t="shared" si="39"/>
        <v>5225.9080801983428</v>
      </c>
      <c r="EN73" s="55">
        <f t="shared" si="39"/>
        <v>5179.5230549983435</v>
      </c>
      <c r="EP73" s="52"/>
      <c r="EQ73" s="52"/>
      <c r="ER73" s="52"/>
      <c r="ES73" s="55">
        <f t="shared" si="110"/>
        <v>64667.130799999999</v>
      </c>
      <c r="ET73" s="55">
        <f t="shared" si="110"/>
        <v>25481.8966</v>
      </c>
      <c r="EU73" s="55">
        <f t="shared" si="110"/>
        <v>4325.7310659999994</v>
      </c>
      <c r="EV73" s="55">
        <f t="shared" si="110"/>
        <v>4178.5402746</v>
      </c>
      <c r="EW73" s="298">
        <f t="shared" si="111"/>
        <v>0.71733586778552427</v>
      </c>
      <c r="EX73" s="52"/>
      <c r="EY73" s="55">
        <f t="shared" si="112"/>
        <v>4325.7318257487186</v>
      </c>
      <c r="EZ73" s="55">
        <f t="shared" si="112"/>
        <v>4178.5395979487184</v>
      </c>
      <c r="FA73" s="55">
        <f t="shared" si="112"/>
        <v>4361.7790998719502</v>
      </c>
      <c r="FB73" s="55">
        <f t="shared" si="112"/>
        <v>4214.58687207195</v>
      </c>
      <c r="FD73" s="52"/>
      <c r="FE73" s="52"/>
      <c r="FF73" s="52"/>
      <c r="FG73" s="55">
        <f t="shared" si="113"/>
        <v>52364.630900000004</v>
      </c>
      <c r="FH73" s="55">
        <f t="shared" si="113"/>
        <v>21005.430799999998</v>
      </c>
      <c r="FI73" s="55">
        <f t="shared" si="113"/>
        <v>3347.9512975999996</v>
      </c>
      <c r="FJ73" s="55">
        <f t="shared" si="113"/>
        <v>3376.3736684000005</v>
      </c>
      <c r="FK73" s="298">
        <f t="shared" si="114"/>
        <v>0.71370569530269323</v>
      </c>
      <c r="FL73" s="52"/>
      <c r="FM73" s="55">
        <f t="shared" si="115"/>
        <v>3347.9512975999996</v>
      </c>
      <c r="FN73" s="55">
        <f t="shared" si="115"/>
        <v>3376.3736684000005</v>
      </c>
      <c r="FO73" s="55">
        <f t="shared" si="115"/>
        <v>3371.8350127785598</v>
      </c>
      <c r="FP73" s="55">
        <f t="shared" si="115"/>
        <v>3400.2573835785606</v>
      </c>
      <c r="FR73" s="52"/>
      <c r="FS73" s="52"/>
      <c r="FT73" s="52"/>
      <c r="FU73" s="55">
        <f t="shared" si="116"/>
        <v>51343.27</v>
      </c>
      <c r="FV73" s="55">
        <f t="shared" si="116"/>
        <v>20002.9516</v>
      </c>
      <c r="FW73" s="55">
        <f t="shared" si="116"/>
        <v>731.24787600000013</v>
      </c>
      <c r="FX73" s="55">
        <f t="shared" si="116"/>
        <v>813.83807039999999</v>
      </c>
      <c r="FY73" s="298">
        <f t="shared" si="117"/>
        <v>0.71963544597854368</v>
      </c>
      <c r="FZ73" s="52"/>
      <c r="GA73" s="55">
        <f t="shared" si="118"/>
        <v>731.24874428424982</v>
      </c>
      <c r="GB73" s="55">
        <f t="shared" si="118"/>
        <v>813.83729708424971</v>
      </c>
      <c r="GC73" s="55">
        <f t="shared" si="118"/>
        <v>731.29941470581389</v>
      </c>
      <c r="GD73" s="55">
        <f t="shared" si="118"/>
        <v>813.88796750581378</v>
      </c>
      <c r="GF73" s="52"/>
      <c r="GG73" s="52"/>
      <c r="GH73" s="52"/>
      <c r="GI73" s="55">
        <f t="shared" si="119"/>
        <v>25960.502500000002</v>
      </c>
      <c r="GJ73" s="55">
        <f t="shared" si="119"/>
        <v>10072.2583</v>
      </c>
      <c r="GK73" s="56">
        <f t="shared" si="120"/>
        <v>623.79307199999994</v>
      </c>
      <c r="GL73" s="56">
        <f t="shared" si="120"/>
        <v>554.35715549999998</v>
      </c>
      <c r="GM73" s="298">
        <f t="shared" si="121"/>
        <v>0.72046942625611965</v>
      </c>
      <c r="GN73" s="52"/>
      <c r="GO73" s="56">
        <f t="shared" si="122"/>
        <v>623.79307199999994</v>
      </c>
      <c r="GP73" s="56">
        <f t="shared" si="122"/>
        <v>554.35715549999998</v>
      </c>
      <c r="GQ73" s="56">
        <f t="shared" si="122"/>
        <v>628.76030554310375</v>
      </c>
      <c r="GR73" s="56">
        <f t="shared" si="122"/>
        <v>559.32438904310379</v>
      </c>
    </row>
    <row r="74" spans="1:200" x14ac:dyDescent="0.2">
      <c r="A74" s="118">
        <v>64</v>
      </c>
      <c r="C74" s="128">
        <v>2.8725999999999998</v>
      </c>
      <c r="D74" s="128">
        <v>1.6427</v>
      </c>
      <c r="E74" s="128">
        <v>0</v>
      </c>
      <c r="F74" s="128">
        <v>9403.3657999999996</v>
      </c>
      <c r="G74" s="128">
        <v>3020.0167000000001</v>
      </c>
      <c r="H74" s="49">
        <f t="shared" ref="H74:J110" si="123" xml:space="preserve"> C74 * C$8</f>
        <v>2876.6790919999999</v>
      </c>
      <c r="I74" s="49">
        <f t="shared" si="123"/>
        <v>3117.1875199999999</v>
      </c>
      <c r="J74" s="47">
        <f t="shared" si="123"/>
        <v>0</v>
      </c>
      <c r="K74" s="47">
        <f t="shared" si="53"/>
        <v>0</v>
      </c>
      <c r="L74" s="48">
        <f t="shared" si="54"/>
        <v>2876.6790919999999</v>
      </c>
      <c r="M74" s="48">
        <f t="shared" si="55"/>
        <v>3117.1875199999999</v>
      </c>
      <c r="N74" s="93">
        <f t="shared" si="56"/>
        <v>2891.7076391508263</v>
      </c>
      <c r="O74" s="93">
        <f t="shared" si="57"/>
        <v>3132.2160671508263</v>
      </c>
      <c r="Q74" s="128">
        <v>3.4824999999999999</v>
      </c>
      <c r="R74" s="130">
        <v>2.0283000000000002</v>
      </c>
      <c r="S74" s="128">
        <v>0</v>
      </c>
      <c r="T74" s="128">
        <v>4532.3882999999996</v>
      </c>
      <c r="U74" s="128">
        <v>1740.9875</v>
      </c>
      <c r="V74" s="49">
        <f t="shared" ref="V74:X110" si="124" xml:space="preserve"> Q74 * Q$8</f>
        <v>2216.2978249999996</v>
      </c>
      <c r="W74" s="49">
        <f t="shared" si="124"/>
        <v>2416.6991670000002</v>
      </c>
      <c r="X74" s="47">
        <f t="shared" si="124"/>
        <v>0</v>
      </c>
      <c r="Y74" s="47">
        <f t="shared" si="58"/>
        <v>0</v>
      </c>
      <c r="Z74" s="48">
        <f t="shared" si="59"/>
        <v>2216.2978249999996</v>
      </c>
      <c r="AA74" s="48">
        <f t="shared" si="60"/>
        <v>2416.6991670000002</v>
      </c>
      <c r="AB74" s="93">
        <f t="shared" si="61"/>
        <v>2233.5966924795848</v>
      </c>
      <c r="AC74" s="93">
        <f t="shared" si="62"/>
        <v>2433.9980344795854</v>
      </c>
      <c r="AE74" s="128">
        <v>4.5545999999999998</v>
      </c>
      <c r="AF74" s="130">
        <v>2.2549999999999999</v>
      </c>
      <c r="AG74" s="128">
        <v>0</v>
      </c>
      <c r="AH74" s="128">
        <v>401.70499999999998</v>
      </c>
      <c r="AI74" s="128">
        <v>129.39750000000001</v>
      </c>
      <c r="AJ74" s="49">
        <f t="shared" ref="AJ74:AL110" si="125" xml:space="preserve"> AE74 * AE$8</f>
        <v>2095.480368</v>
      </c>
      <c r="AK74" s="49">
        <f t="shared" si="125"/>
        <v>2369.39615</v>
      </c>
      <c r="AL74" s="47">
        <f t="shared" si="125"/>
        <v>0</v>
      </c>
      <c r="AM74" s="47">
        <f t="shared" si="63"/>
        <v>0</v>
      </c>
      <c r="AN74" s="48">
        <f t="shared" si="64"/>
        <v>2095.480368</v>
      </c>
      <c r="AO74" s="48">
        <f t="shared" si="65"/>
        <v>2369.39615</v>
      </c>
      <c r="AP74" s="93">
        <f t="shared" si="66"/>
        <v>2107.2828060778515</v>
      </c>
      <c r="AQ74" s="93">
        <f t="shared" si="67"/>
        <v>2381.1985880778516</v>
      </c>
      <c r="AS74" s="128">
        <v>5.3627000000000002</v>
      </c>
      <c r="AT74" s="130">
        <v>2.0133000000000001</v>
      </c>
      <c r="AU74" s="128">
        <v>0</v>
      </c>
      <c r="AV74" s="128">
        <v>14026.635</v>
      </c>
      <c r="AW74" s="128">
        <v>5135.2857999999997</v>
      </c>
      <c r="AX74" s="49">
        <f t="shared" ref="AX74:AZ110" si="126" xml:space="preserve"> AS74 * AS$8</f>
        <v>1880.3771280000001</v>
      </c>
      <c r="AY74" s="49">
        <f t="shared" si="126"/>
        <v>1419.3362340000001</v>
      </c>
      <c r="AZ74" s="47">
        <f t="shared" si="126"/>
        <v>0</v>
      </c>
      <c r="BA74" s="47">
        <f t="shared" si="68"/>
        <v>0</v>
      </c>
      <c r="BB74" s="48">
        <f t="shared" si="69"/>
        <v>1880.3771280000001</v>
      </c>
      <c r="BC74" s="48">
        <f t="shared" si="70"/>
        <v>1419.3362340000001</v>
      </c>
      <c r="BD74" s="93">
        <f t="shared" si="71"/>
        <v>1899.0349583417028</v>
      </c>
      <c r="BE74" s="93">
        <f t="shared" si="72"/>
        <v>1437.9940643417028</v>
      </c>
      <c r="BG74" s="128">
        <v>5.1166999999999998</v>
      </c>
      <c r="BH74" s="130">
        <v>1.9446000000000001</v>
      </c>
      <c r="BI74" s="128">
        <v>0</v>
      </c>
      <c r="BJ74" s="128">
        <v>9096.7767000000003</v>
      </c>
      <c r="BK74" s="128">
        <v>3663.1682999999998</v>
      </c>
      <c r="BL74" s="49">
        <f t="shared" ref="BL74:BN110" si="127" xml:space="preserve"> BG74 * BG$8</f>
        <v>1680.426614</v>
      </c>
      <c r="BM74" s="49">
        <f t="shared" si="127"/>
        <v>1175.8607279999999</v>
      </c>
      <c r="BN74" s="47">
        <f t="shared" si="127"/>
        <v>0</v>
      </c>
      <c r="BO74" s="47">
        <f t="shared" si="73"/>
        <v>0</v>
      </c>
      <c r="BP74" s="48">
        <f t="shared" si="74"/>
        <v>1680.426614</v>
      </c>
      <c r="BQ74" s="48">
        <f t="shared" si="75"/>
        <v>1175.8607279999999</v>
      </c>
      <c r="BR74" s="93">
        <f t="shared" si="76"/>
        <v>1699.1265404064329</v>
      </c>
      <c r="BS74" s="93">
        <f t="shared" si="77"/>
        <v>1194.5606544064328</v>
      </c>
      <c r="BU74" s="128">
        <v>3.9449000000000001</v>
      </c>
      <c r="BV74" s="130">
        <v>1.5417000000000001</v>
      </c>
      <c r="BW74" s="128">
        <v>0</v>
      </c>
      <c r="BX74" s="128">
        <v>11345.216700000001</v>
      </c>
      <c r="BY74" s="128">
        <v>4555.5392000000002</v>
      </c>
      <c r="BZ74" s="49">
        <f t="shared" ref="BZ74:CB110" si="128" xml:space="preserve"> BU74 * BU$8</f>
        <v>957.03273999999999</v>
      </c>
      <c r="CA74" s="49">
        <f t="shared" si="128"/>
        <v>623.03180400000008</v>
      </c>
      <c r="CB74" s="47">
        <f t="shared" si="128"/>
        <v>0</v>
      </c>
      <c r="CC74" s="47">
        <f t="shared" si="78"/>
        <v>0</v>
      </c>
      <c r="CD74" s="48">
        <f t="shared" si="79"/>
        <v>957.03273999999999</v>
      </c>
      <c r="CE74" s="48">
        <f t="shared" si="80"/>
        <v>623.03180400000008</v>
      </c>
      <c r="CF74" s="93">
        <f t="shared" si="81"/>
        <v>969.06759228423095</v>
      </c>
      <c r="CG74" s="93">
        <f t="shared" si="82"/>
        <v>635.06665628423104</v>
      </c>
      <c r="CI74" s="128">
        <v>1.3008999999999999</v>
      </c>
      <c r="CJ74" s="130">
        <v>1.0893999999999999</v>
      </c>
      <c r="CK74" s="128">
        <v>0</v>
      </c>
      <c r="CL74" s="128">
        <v>34990.345800000003</v>
      </c>
      <c r="CM74" s="128">
        <v>13559.91</v>
      </c>
      <c r="CN74" s="49">
        <f t="shared" ref="CN74:CP110" si="129" xml:space="preserve"> CI74 * CI$8</f>
        <v>276.15505200000001</v>
      </c>
      <c r="CO74" s="49">
        <f t="shared" si="129"/>
        <v>300.107912</v>
      </c>
      <c r="CP74" s="47">
        <f t="shared" si="129"/>
        <v>0</v>
      </c>
      <c r="CQ74" s="47">
        <f t="shared" si="83"/>
        <v>0</v>
      </c>
      <c r="CR74" s="48">
        <f t="shared" si="84"/>
        <v>276.15505200000001</v>
      </c>
      <c r="CS74" s="48">
        <f t="shared" si="85"/>
        <v>300.107912</v>
      </c>
      <c r="CT74" s="93">
        <f t="shared" si="86"/>
        <v>276.18820094675937</v>
      </c>
      <c r="CU74" s="93">
        <f t="shared" si="87"/>
        <v>300.14106094675935</v>
      </c>
      <c r="CW74" s="128">
        <v>2.7292000000000001</v>
      </c>
      <c r="CX74" s="130">
        <v>2.1718999999999999</v>
      </c>
      <c r="CY74" s="128">
        <v>3.5999999999999999E-3</v>
      </c>
      <c r="CZ74" s="128">
        <v>15618.703299999999</v>
      </c>
      <c r="DA74" s="128">
        <v>5714.2658000000001</v>
      </c>
      <c r="DB74" s="49">
        <f t="shared" ref="DB74:DD110" si="130" xml:space="preserve"> CW74 * CW$8</f>
        <v>585.98653200000001</v>
      </c>
      <c r="DC74" s="49">
        <f t="shared" si="130"/>
        <v>651.65687600000001</v>
      </c>
      <c r="DD74" s="47">
        <f t="shared" si="130"/>
        <v>9.7199999999999999E-4</v>
      </c>
      <c r="DE74" s="47">
        <f t="shared" si="88"/>
        <v>5.117875467018203E-4</v>
      </c>
      <c r="DF74" s="48">
        <f t="shared" si="89"/>
        <v>585.98704378754667</v>
      </c>
      <c r="DG74" s="48">
        <f t="shared" si="90"/>
        <v>651.65641578754662</v>
      </c>
      <c r="DH74" s="93">
        <f t="shared" si="91"/>
        <v>586.009519198818</v>
      </c>
      <c r="DI74" s="93">
        <f t="shared" si="92"/>
        <v>651.67889119881795</v>
      </c>
      <c r="DK74" s="128">
        <v>2.4611000000000001</v>
      </c>
      <c r="DL74" s="130">
        <v>1.9847999999999999</v>
      </c>
      <c r="DM74" s="128">
        <v>0</v>
      </c>
      <c r="DN74" s="128">
        <v>4947.1541999999999</v>
      </c>
      <c r="DO74" s="128">
        <v>2353.7883000000002</v>
      </c>
      <c r="DP74" s="49">
        <f t="shared" ref="DP74:DR110" si="131" xml:space="preserve"> DK74 * DK$8</f>
        <v>325.75119600000005</v>
      </c>
      <c r="DQ74" s="49">
        <f t="shared" si="131"/>
        <v>384.316824</v>
      </c>
      <c r="DR74" s="47">
        <f t="shared" si="131"/>
        <v>0</v>
      </c>
      <c r="DS74" s="47">
        <f t="shared" si="93"/>
        <v>0</v>
      </c>
      <c r="DT74" s="48">
        <f t="shared" si="94"/>
        <v>325.75119600000005</v>
      </c>
      <c r="DU74" s="48">
        <f t="shared" si="95"/>
        <v>384.316824</v>
      </c>
      <c r="DV74" s="93">
        <f t="shared" si="96"/>
        <v>325.77332244953004</v>
      </c>
      <c r="DW74" s="93">
        <f t="shared" si="97"/>
        <v>384.33895044952999</v>
      </c>
      <c r="EB74" s="52"/>
      <c r="EC74" s="52"/>
      <c r="ED74" s="52"/>
      <c r="EE74" s="55">
        <f t="shared" si="98"/>
        <v>74039.049899999998</v>
      </c>
      <c r="EF74" s="55">
        <f t="shared" si="98"/>
        <v>27429.478300000002</v>
      </c>
      <c r="EG74" s="55">
        <f t="shared" si="98"/>
        <v>5502.0004976</v>
      </c>
      <c r="EH74" s="55">
        <f t="shared" ref="EH74:EH110" si="132" xml:space="preserve"> I74 + AY74 + CO74 + EH$8 * DC74</f>
        <v>5357.9571667999999</v>
      </c>
      <c r="EI74" s="298">
        <f t="shared" ref="EI74:EI105" si="133" xml:space="preserve"> IF(   SUM(EE74:EF74) = 0,    IF( EG74&lt;EH74, lambdax_min, lambdax_max ),
                                                                   MAX( lambdax_min, MIN( lambdax_max, EE74 / SUM(EE74:EF74) ) )     )</f>
        <v>0.72967501562716075</v>
      </c>
      <c r="EJ74" s="52"/>
      <c r="EK74" s="55">
        <f t="shared" si="99"/>
        <v>5502.0009070300375</v>
      </c>
      <c r="EL74" s="55">
        <f t="shared" si="99"/>
        <v>5357.9567986300372</v>
      </c>
      <c r="EM74" s="55">
        <f t="shared" si="39"/>
        <v>5535.7384137983427</v>
      </c>
      <c r="EN74" s="55">
        <f t="shared" si="39"/>
        <v>5391.6943053983432</v>
      </c>
      <c r="EP74" s="52"/>
      <c r="EQ74" s="52"/>
      <c r="ER74" s="52"/>
      <c r="ES74" s="55">
        <f t="shared" ref="ES74:EV110" si="134" xml:space="preserve"> T74 + BJ74 + CL74 + ES$8 * CZ74</f>
        <v>64238.214100000005</v>
      </c>
      <c r="ET74" s="55">
        <f t="shared" si="134"/>
        <v>24678.331600000001</v>
      </c>
      <c r="EU74" s="55">
        <f t="shared" si="134"/>
        <v>4583.0700633999995</v>
      </c>
      <c r="EV74" s="55">
        <f t="shared" si="134"/>
        <v>4348.8276202000006</v>
      </c>
      <c r="EW74" s="298">
        <f t="shared" ref="EW74:EW105" si="135" xml:space="preserve"> IF(   SUM(ES74:ET74) = 0,    IF( EU74&lt;EV74, lambdax_min, lambdax_max ),
                                                                   MAX( lambdax_min, MIN( lambdax_max, ES74 / SUM(ES74:ET74) ) )     )</f>
        <v>0.72245512456968963</v>
      </c>
      <c r="EX74" s="52"/>
      <c r="EY74" s="55">
        <f t="shared" ref="EY74:FB110" si="136" xml:space="preserve"> Z74 + BP74 + CR74 + EY$8 * DF74</f>
        <v>4583.0704216512822</v>
      </c>
      <c r="EZ74" s="55">
        <f t="shared" si="136"/>
        <v>4348.8272980512829</v>
      </c>
      <c r="FA74" s="55">
        <f t="shared" si="136"/>
        <v>4619.1180972719494</v>
      </c>
      <c r="FB74" s="55">
        <f t="shared" si="136"/>
        <v>4384.8749736719501</v>
      </c>
      <c r="FD74" s="52"/>
      <c r="FE74" s="52"/>
      <c r="FF74" s="52"/>
      <c r="FG74" s="55">
        <f t="shared" ref="FG74:FJ110" si="137" xml:space="preserve"> AH74 + BX74 + CL74 + FG$8 * DN74</f>
        <v>51684.421699999999</v>
      </c>
      <c r="FH74" s="55">
        <f t="shared" si="137"/>
        <v>20598.635000000002</v>
      </c>
      <c r="FI74" s="55">
        <f t="shared" si="137"/>
        <v>3524.1188776000004</v>
      </c>
      <c r="FJ74" s="55">
        <f t="shared" si="137"/>
        <v>3523.1259604000002</v>
      </c>
      <c r="FK74" s="298">
        <f t="shared" ref="FK74:FK105" si="138" xml:space="preserve"> IF(   SUM(FG74:FH74) = 0,    IF( FI74&lt;FJ74, lambdax_min, lambdax_max ),
                                                                   MAX( lambdax_min, MIN( lambdax_max, FG74 / SUM(FG74:FH74) ) )     )</f>
        <v>0.71502816925006984</v>
      </c>
      <c r="FL74" s="52"/>
      <c r="FM74" s="55">
        <f t="shared" ref="FM74:FP110" si="139" xml:space="preserve"> AN74 + CD74 + CR74 + FM$8 * DT74</f>
        <v>3524.1188776000004</v>
      </c>
      <c r="FN74" s="55">
        <f t="shared" si="139"/>
        <v>3523.1259604000002</v>
      </c>
      <c r="FO74" s="55">
        <f t="shared" si="139"/>
        <v>3548.00259277856</v>
      </c>
      <c r="FP74" s="55">
        <f t="shared" si="139"/>
        <v>3547.0096755785598</v>
      </c>
      <c r="FR74" s="52"/>
      <c r="FS74" s="52"/>
      <c r="FT74" s="52"/>
      <c r="FU74" s="55">
        <f t="shared" ref="FU74:FX110" si="140" xml:space="preserve"> CL74 + FU$8 * CZ74</f>
        <v>50609.049100000004</v>
      </c>
      <c r="FV74" s="55">
        <f t="shared" si="140"/>
        <v>19274.175800000001</v>
      </c>
      <c r="FW74" s="55">
        <f t="shared" si="140"/>
        <v>744.94427760000008</v>
      </c>
      <c r="FX74" s="55">
        <f t="shared" si="140"/>
        <v>821.43341280000004</v>
      </c>
      <c r="FY74" s="298">
        <f t="shared" ref="FY74:FY105" si="141" xml:space="preserve"> IF(   SUM(FU74:FV74) = 0,    IF( FW74&lt;FX74, lambdax_min, lambdax_max ),
                                                                   MAX( lambdax_min, MIN( lambdax_max, FU74 / SUM(FU74:FV74) ) )     )</f>
        <v>0.72419452840677367</v>
      </c>
      <c r="FZ74" s="52"/>
      <c r="GA74" s="55">
        <f t="shared" ref="GA74:GD110" si="142" xml:space="preserve"> CR74 + GA$8 * DF74</f>
        <v>744.94468703003736</v>
      </c>
      <c r="GB74" s="55">
        <f t="shared" si="142"/>
        <v>821.43304463003733</v>
      </c>
      <c r="GC74" s="55">
        <f t="shared" si="142"/>
        <v>744.99581630581383</v>
      </c>
      <c r="GD74" s="55">
        <f t="shared" si="142"/>
        <v>821.48417390581369</v>
      </c>
      <c r="GF74" s="52"/>
      <c r="GG74" s="52"/>
      <c r="GH74" s="52"/>
      <c r="GI74" s="55">
        <f t="shared" ref="GI74:GJ110" si="143" xml:space="preserve"> MAX( 0, AV74 + BX74 ) * GI$8</f>
        <v>25371.851699999999</v>
      </c>
      <c r="GJ74" s="55">
        <f t="shared" si="143"/>
        <v>9690.8250000000007</v>
      </c>
      <c r="GK74" s="56">
        <f t="shared" ref="GK74:GL110" si="144" xml:space="preserve"> MAX( 0, AX74 - BZ74 ) * GK$8</f>
        <v>692.5082910000001</v>
      </c>
      <c r="GL74" s="56">
        <f t="shared" si="144"/>
        <v>597.22832249999999</v>
      </c>
      <c r="GM74" s="298">
        <f t="shared" ref="GM74:GM105" si="145" xml:space="preserve"> IF(   SUM(GI74:GJ74) = 0,    IF( GK74&lt;GL74, lambdax_min, lambdax_max ),
                                                                   MAX( lambdax_min, MIN( lambdax_max, GI74 / SUM(GI74:GJ74) ) )     )</f>
        <v>0.72361422709065459</v>
      </c>
      <c r="GN74" s="52"/>
      <c r="GO74" s="56">
        <f t="shared" ref="GO74:GR110" si="146" xml:space="preserve"> MAX( 0, BB74 - CD74 ) * GO$8</f>
        <v>692.5082910000001</v>
      </c>
      <c r="GP74" s="56">
        <f t="shared" si="146"/>
        <v>597.22832249999999</v>
      </c>
      <c r="GQ74" s="56">
        <f t="shared" si="146"/>
        <v>697.47552454310392</v>
      </c>
      <c r="GR74" s="56">
        <f t="shared" si="146"/>
        <v>602.19555604310381</v>
      </c>
    </row>
    <row r="75" spans="1:200" x14ac:dyDescent="0.2">
      <c r="A75" s="118">
        <v>65</v>
      </c>
      <c r="C75" s="128">
        <v>3.03</v>
      </c>
      <c r="D75" s="128">
        <v>1.7075</v>
      </c>
      <c r="E75" s="128">
        <v>0</v>
      </c>
      <c r="F75" s="128">
        <v>8696.3482999999997</v>
      </c>
      <c r="G75" s="128">
        <v>2736.9375</v>
      </c>
      <c r="H75" s="49">
        <f t="shared" si="123"/>
        <v>3034.3025999999995</v>
      </c>
      <c r="I75" s="49">
        <f t="shared" si="123"/>
        <v>3240.152</v>
      </c>
      <c r="J75" s="47">
        <f t="shared" si="123"/>
        <v>0</v>
      </c>
      <c r="K75" s="47">
        <f t="shared" ref="K75:K110" si="147" xml:space="preserve"> IF(    SUM(F75:G75)=0,    0,   J75 * G75 / SUM(F75:G75)    )</f>
        <v>0</v>
      </c>
      <c r="L75" s="48">
        <f t="shared" ref="L75:L110" si="148" xml:space="preserve"> H75 + K75</f>
        <v>3034.3025999999995</v>
      </c>
      <c r="M75" s="48">
        <f t="shared" ref="M75:M110" si="149" xml:space="preserve"> I75 - J75 + K75</f>
        <v>3240.152</v>
      </c>
      <c r="N75" s="93">
        <f t="shared" ref="N75:N110" si="150" xml:space="preserve"> H75 + IF( OR( $A75&lt;=14, $A75&gt;=65 ),0, IF( $A75&lt;=19, N$8, N$9 ) )</f>
        <v>3034.3025999999995</v>
      </c>
      <c r="O75" s="93">
        <f t="shared" ref="O75:O110" si="151" xml:space="preserve"> I75 - J75 + IF( OR( $A75&lt;=14, $A75&gt;=65 ),0, IF( $A75&lt;=19, O$8, O$9 ) )</f>
        <v>3240.152</v>
      </c>
      <c r="Q75" s="128">
        <v>3.6886999999999999</v>
      </c>
      <c r="R75" s="130">
        <v>2.1128999999999998</v>
      </c>
      <c r="S75" s="128">
        <v>0</v>
      </c>
      <c r="T75" s="128">
        <v>4390.0442000000003</v>
      </c>
      <c r="U75" s="128">
        <v>1651.7891999999999</v>
      </c>
      <c r="V75" s="49">
        <f t="shared" si="124"/>
        <v>2347.5255669999997</v>
      </c>
      <c r="W75" s="49">
        <f t="shared" si="124"/>
        <v>2517.4992209999996</v>
      </c>
      <c r="X75" s="47">
        <f t="shared" si="124"/>
        <v>0</v>
      </c>
      <c r="Y75" s="47">
        <f t="shared" ref="Y75:Y110" si="152" xml:space="preserve"> IF(    SUM(V75:W75)=0,    0,   X75 * W75 / SUM(V75:W75)    )</f>
        <v>0</v>
      </c>
      <c r="Z75" s="48">
        <f t="shared" ref="Z75:Z110" si="153" xml:space="preserve"> V75 + Y75</f>
        <v>2347.5255669999997</v>
      </c>
      <c r="AA75" s="48">
        <f t="shared" ref="AA75:AA110" si="154" xml:space="preserve"> W75 - X75 + Y75</f>
        <v>2517.4992209999996</v>
      </c>
      <c r="AB75" s="93">
        <f t="shared" ref="AB75:AB110" si="155" xml:space="preserve"> V75 + IF( OR( $A75&lt;=14, $A75&gt;=65 ),0, IF( $A75&lt;=19, AB$8, AB$9 ) )</f>
        <v>2347.5255669999997</v>
      </c>
      <c r="AC75" s="93">
        <f t="shared" ref="AC75:AC110" si="156" xml:space="preserve"> W75 - X75 + IF( OR( $A75&lt;=14, $A75&gt;=65 ),0, IF( $A75&lt;=19, AC$8, AC$9 ) )</f>
        <v>2517.4992209999996</v>
      </c>
      <c r="AE75" s="128">
        <v>4.7935999999999996</v>
      </c>
      <c r="AF75" s="130">
        <v>2.3612000000000002</v>
      </c>
      <c r="AG75" s="128">
        <v>0</v>
      </c>
      <c r="AH75" s="128">
        <v>434.0675</v>
      </c>
      <c r="AI75" s="128">
        <v>144.91669999999999</v>
      </c>
      <c r="AJ75" s="49">
        <f t="shared" si="125"/>
        <v>2205.439488</v>
      </c>
      <c r="AK75" s="49">
        <f t="shared" si="125"/>
        <v>2480.9836760000003</v>
      </c>
      <c r="AL75" s="47">
        <f t="shared" si="125"/>
        <v>0</v>
      </c>
      <c r="AM75" s="47">
        <f t="shared" ref="AM75:AM110" si="157" xml:space="preserve"> IF(    SUM(AJ75:AK75)=0,    0,   AL75 * AK75 / SUM(AJ75:AK75)    )</f>
        <v>0</v>
      </c>
      <c r="AN75" s="48">
        <f t="shared" ref="AN75:AN110" si="158" xml:space="preserve"> AJ75 + AM75</f>
        <v>2205.439488</v>
      </c>
      <c r="AO75" s="48">
        <f t="shared" ref="AO75:AO110" si="159" xml:space="preserve"> AK75 - AL75 + AM75</f>
        <v>2480.9836760000003</v>
      </c>
      <c r="AP75" s="93">
        <f t="shared" ref="AP75:AP110" si="160" xml:space="preserve"> AJ75 + IF( OR( $A75&lt;=14, $A75&gt;=65 ),0, IF( $A75&lt;=19, AP$8, AP$9 ) )</f>
        <v>2205.439488</v>
      </c>
      <c r="AQ75" s="93">
        <f t="shared" ref="AQ75:AQ110" si="161" xml:space="preserve"> AK75 - AL75 + IF( OR( $A75&lt;=14, $A75&gt;=65 ),0, IF( $A75&lt;=19, AQ$8, AQ$9 ) )</f>
        <v>2480.9836760000003</v>
      </c>
      <c r="AS75" s="128">
        <v>5.8048999999999999</v>
      </c>
      <c r="AT75" s="130">
        <v>2.1560999999999999</v>
      </c>
      <c r="AU75" s="128">
        <v>0</v>
      </c>
      <c r="AV75" s="128">
        <v>13740.7317</v>
      </c>
      <c r="AW75" s="128">
        <v>5167.3058000000001</v>
      </c>
      <c r="AX75" s="49">
        <f t="shared" si="126"/>
        <v>2035.4301359999999</v>
      </c>
      <c r="AY75" s="49">
        <f t="shared" si="126"/>
        <v>1520.007378</v>
      </c>
      <c r="AZ75" s="47">
        <f t="shared" si="126"/>
        <v>0</v>
      </c>
      <c r="BA75" s="47">
        <f t="shared" ref="BA75:BA110" si="162" xml:space="preserve"> IF(    SUM(AX75:AY75)=0,    0,   AZ75 * AY75 / SUM(AX75:AY75)    )</f>
        <v>0</v>
      </c>
      <c r="BB75" s="48">
        <f t="shared" ref="BB75:BB110" si="163" xml:space="preserve"> AX75 + BA75</f>
        <v>2035.4301359999999</v>
      </c>
      <c r="BC75" s="48">
        <f t="shared" ref="BC75:BC110" si="164" xml:space="preserve"> AY75 - AZ75 + BA75</f>
        <v>1520.007378</v>
      </c>
      <c r="BD75" s="93">
        <f t="shared" ref="BD75:BD110" si="165" xml:space="preserve"> AX75 + IF( OR( $A75&lt;=14, $A75&gt;=65 ),0, IF( $A75&lt;=19, BD$8, BD$9 ) )</f>
        <v>2035.4301359999999</v>
      </c>
      <c r="BE75" s="93">
        <f t="shared" ref="BE75:BE110" si="166" xml:space="preserve"> AY75 - AZ75 + IF( OR( $A75&lt;=14, $A75&gt;=65 ),0, IF( $A75&lt;=19, BE$8, BE$9 ) )</f>
        <v>1520.007378</v>
      </c>
      <c r="BG75" s="128">
        <v>5.4966999999999997</v>
      </c>
      <c r="BH75" s="130">
        <v>2.0788000000000002</v>
      </c>
      <c r="BI75" s="128">
        <v>0</v>
      </c>
      <c r="BJ75" s="128">
        <v>8783.2325000000001</v>
      </c>
      <c r="BK75" s="128">
        <v>3545.4517000000001</v>
      </c>
      <c r="BL75" s="49">
        <f t="shared" si="127"/>
        <v>1805.226214</v>
      </c>
      <c r="BM75" s="49">
        <f t="shared" si="127"/>
        <v>1257.0087840000001</v>
      </c>
      <c r="BN75" s="47">
        <f t="shared" si="127"/>
        <v>0</v>
      </c>
      <c r="BO75" s="47">
        <f t="shared" ref="BO75:BO110" si="167" xml:space="preserve"> IF(    SUM(BL75:BM75)=0,    0,   BN75 * BM75 / SUM(BL75:BM75)    )</f>
        <v>0</v>
      </c>
      <c r="BP75" s="48">
        <f t="shared" ref="BP75:BP110" si="168" xml:space="preserve"> BL75 + BO75</f>
        <v>1805.226214</v>
      </c>
      <c r="BQ75" s="48">
        <f t="shared" ref="BQ75:BQ110" si="169" xml:space="preserve"> BM75 - BN75 + BO75</f>
        <v>1257.0087840000001</v>
      </c>
      <c r="BR75" s="93">
        <f t="shared" ref="BR75:BR110" si="170" xml:space="preserve"> BL75 + IF( OR( $A75&lt;=14, $A75&gt;=65 ),0, IF( $A75&lt;=19, BR$8, BR$9 ) )</f>
        <v>1805.226214</v>
      </c>
      <c r="BS75" s="93">
        <f t="shared" ref="BS75:BS110" si="171" xml:space="preserve"> BM75 - BN75 + IF( OR( $A75&lt;=14, $A75&gt;=65 ),0, IF( $A75&lt;=19, BS$8, BS$9 ) )</f>
        <v>1257.0087840000001</v>
      </c>
      <c r="BU75" s="128">
        <v>4.1943000000000001</v>
      </c>
      <c r="BV75" s="130">
        <v>1.6339999999999999</v>
      </c>
      <c r="BW75" s="128">
        <v>0</v>
      </c>
      <c r="BX75" s="128">
        <v>10837.362499999999</v>
      </c>
      <c r="BY75" s="128">
        <v>4112.1333000000004</v>
      </c>
      <c r="BZ75" s="49">
        <f t="shared" si="128"/>
        <v>1017.53718</v>
      </c>
      <c r="CA75" s="49">
        <f t="shared" si="128"/>
        <v>660.33208000000002</v>
      </c>
      <c r="CB75" s="47">
        <f t="shared" si="128"/>
        <v>0</v>
      </c>
      <c r="CC75" s="47">
        <f t="shared" ref="CC75:CC110" si="172" xml:space="preserve"> IF(    SUM(BZ75:CA75)=0,    0,   CB75 * CA75 / SUM(BZ75:CA75)    )</f>
        <v>0</v>
      </c>
      <c r="CD75" s="48">
        <f t="shared" ref="CD75:CD110" si="173" xml:space="preserve"> BZ75 + CC75</f>
        <v>1017.53718</v>
      </c>
      <c r="CE75" s="48">
        <f t="shared" ref="CE75:CE110" si="174" xml:space="preserve"> CA75 - CB75 + CC75</f>
        <v>660.33208000000002</v>
      </c>
      <c r="CF75" s="93">
        <f t="shared" ref="CF75:CF110" si="175" xml:space="preserve"> BZ75 + IF( OR( $A75&lt;=14, $A75&gt;=65 ),0, IF( $A75&lt;=19, CF$8, CF$9 ) )</f>
        <v>1017.53718</v>
      </c>
      <c r="CG75" s="93">
        <f t="shared" ref="CG75:CG110" si="176" xml:space="preserve"> CA75 - CB75 + IF( OR( $A75&lt;=14, $A75&gt;=65 ),0, IF( $A75&lt;=19, CG$8, CG$9 ) )</f>
        <v>660.33208000000002</v>
      </c>
      <c r="CI75" s="128">
        <v>1.3158000000000001</v>
      </c>
      <c r="CJ75" s="130">
        <v>1.0921000000000001</v>
      </c>
      <c r="CK75" s="128">
        <v>0</v>
      </c>
      <c r="CL75" s="128">
        <v>33856.01</v>
      </c>
      <c r="CM75" s="128">
        <v>13024.390799999999</v>
      </c>
      <c r="CN75" s="49">
        <f t="shared" si="129"/>
        <v>279.31802400000004</v>
      </c>
      <c r="CO75" s="49">
        <f t="shared" si="129"/>
        <v>300.85170800000003</v>
      </c>
      <c r="CP75" s="47">
        <f t="shared" si="129"/>
        <v>0</v>
      </c>
      <c r="CQ75" s="47">
        <f t="shared" ref="CQ75:CQ110" si="177" xml:space="preserve"> IF(    SUM(CN75:CO75)=0,    0,   CP75 * CO75 / SUM(CN75:CO75)    )</f>
        <v>0</v>
      </c>
      <c r="CR75" s="48">
        <f t="shared" ref="CR75:CR110" si="178" xml:space="preserve"> CN75 + CQ75</f>
        <v>279.31802400000004</v>
      </c>
      <c r="CS75" s="48">
        <f t="shared" ref="CS75:CS110" si="179" xml:space="preserve"> CO75 - CP75 + CQ75</f>
        <v>300.85170800000003</v>
      </c>
      <c r="CT75" s="93">
        <f t="shared" ref="CT75:CT110" si="180" xml:space="preserve"> CN75 + IF( OR( $A75&lt;=14, $A75&gt;=65 ),0, IF( $A75&lt;=19, CT$8, CT$9 ) )</f>
        <v>279.31802400000004</v>
      </c>
      <c r="CU75" s="93">
        <f t="shared" ref="CU75:CU110" si="181" xml:space="preserve"> CO75 - CP75 + IF( OR( $A75&lt;=14, $A75&gt;=65 ),0, IF( $A75&lt;=19, CU$8, CU$9 ) )</f>
        <v>300.85170800000003</v>
      </c>
      <c r="CW75" s="128">
        <v>2.7812999999999999</v>
      </c>
      <c r="CX75" s="130">
        <v>2.1998000000000002</v>
      </c>
      <c r="CY75" s="128">
        <v>5.9999999999999995E-4</v>
      </c>
      <c r="CZ75" s="128">
        <v>14993.424999999999</v>
      </c>
      <c r="DA75" s="128">
        <v>5519.9133000000002</v>
      </c>
      <c r="DB75" s="49">
        <f t="shared" si="130"/>
        <v>597.17292299999997</v>
      </c>
      <c r="DC75" s="49">
        <f t="shared" si="130"/>
        <v>660.02799200000015</v>
      </c>
      <c r="DD75" s="47">
        <f t="shared" si="130"/>
        <v>1.6200000000000001E-4</v>
      </c>
      <c r="DE75" s="47">
        <f t="shared" ref="DE75:DE110" si="182" xml:space="preserve"> IF(    SUM(DB75:DC75)=0,    0,   DD75 * DC75 / SUM(DB75:DC75)    )</f>
        <v>8.5049679353757079E-5</v>
      </c>
      <c r="DF75" s="48">
        <f t="shared" ref="DF75:DF110" si="183" xml:space="preserve"> DB75 + DE75</f>
        <v>597.17300804967931</v>
      </c>
      <c r="DG75" s="48">
        <f t="shared" ref="DG75:DG110" si="184" xml:space="preserve"> DC75 - DD75 + DE75</f>
        <v>660.02791504967945</v>
      </c>
      <c r="DH75" s="93">
        <f t="shared" ref="DH75:DH110" si="185" xml:space="preserve"> DB75 + IF( OR( $A75&lt;=14, $A75&gt;=65 ),0, IF( $A75&lt;=19, DH$8, DH$9 ) )</f>
        <v>597.17292299999997</v>
      </c>
      <c r="DI75" s="93">
        <f t="shared" ref="DI75:DI110" si="186" xml:space="preserve"> DC75 - DD75 + IF( OR( $A75&lt;=14, $A75&gt;=65 ),0, IF( $A75&lt;=19, DI$8, DI$9 ) )</f>
        <v>660.02783000000011</v>
      </c>
      <c r="DK75" s="128">
        <v>2.5341</v>
      </c>
      <c r="DL75" s="130">
        <v>2.0276999999999998</v>
      </c>
      <c r="DM75" s="128">
        <v>0</v>
      </c>
      <c r="DN75" s="128">
        <v>4913.9282999999996</v>
      </c>
      <c r="DO75" s="128">
        <v>2239.5691999999999</v>
      </c>
      <c r="DP75" s="49">
        <f t="shared" si="131"/>
        <v>335.41347600000006</v>
      </c>
      <c r="DQ75" s="49">
        <f t="shared" si="131"/>
        <v>392.62355099999996</v>
      </c>
      <c r="DR75" s="47">
        <f t="shared" si="131"/>
        <v>0</v>
      </c>
      <c r="DS75" s="47">
        <f t="shared" ref="DS75:DS110" si="187" xml:space="preserve"> IF(    SUM(DP75:DQ75)=0,    0,   DR75 * DQ75 / SUM(DP75:DQ75)    )</f>
        <v>0</v>
      </c>
      <c r="DT75" s="48">
        <f t="shared" ref="DT75:DT110" si="188" xml:space="preserve"> DP75 + DS75</f>
        <v>335.41347600000006</v>
      </c>
      <c r="DU75" s="48">
        <f t="shared" ref="DU75:DU110" si="189" xml:space="preserve"> DQ75 - DR75 + DS75</f>
        <v>392.62355099999996</v>
      </c>
      <c r="DV75" s="93">
        <f t="shared" ref="DV75:DV110" si="190" xml:space="preserve"> DP75 + IF( OR( $A75&lt;=14, $A75&gt;=65 ),0, IF( $A75&lt;=19, DV$8, DV$9 ) )</f>
        <v>335.41347600000006</v>
      </c>
      <c r="DW75" s="93">
        <f t="shared" ref="DW75:DW110" si="191" xml:space="preserve"> DQ75 - DR75 + IF( OR( $A75&lt;=14, $A75&gt;=65 ),0, IF( $A75&lt;=19, DW$8, DW$9 ) )</f>
        <v>392.62355099999996</v>
      </c>
      <c r="EB75" s="52"/>
      <c r="EC75" s="52"/>
      <c r="ED75" s="52"/>
      <c r="EE75" s="55">
        <f t="shared" ref="EE75:EG110" si="192" xml:space="preserve"> F75 + AV75 + CL75 + EE$8 * CZ75</f>
        <v>71286.514999999999</v>
      </c>
      <c r="EF75" s="55">
        <f t="shared" si="192"/>
        <v>26448.547399999999</v>
      </c>
      <c r="EG75" s="55">
        <f t="shared" si="192"/>
        <v>5826.7890984000005</v>
      </c>
      <c r="EH75" s="55">
        <f t="shared" si="132"/>
        <v>5589.0334796000006</v>
      </c>
      <c r="EI75" s="298">
        <f t="shared" si="133"/>
        <v>0.7293852712575748</v>
      </c>
      <c r="EJ75" s="52"/>
      <c r="EK75" s="55">
        <f t="shared" ref="EK75:EN110" si="193" xml:space="preserve"> L75 + BB75 + CR75 + EK$8 * DF75</f>
        <v>5826.7891664397439</v>
      </c>
      <c r="EL75" s="55">
        <f t="shared" si="193"/>
        <v>5589.033418039744</v>
      </c>
      <c r="EM75" s="55">
        <f t="shared" si="193"/>
        <v>5826.7890984000005</v>
      </c>
      <c r="EN75" s="55">
        <f t="shared" si="193"/>
        <v>5589.0333500000006</v>
      </c>
      <c r="EP75" s="52"/>
      <c r="EQ75" s="52"/>
      <c r="ER75" s="52"/>
      <c r="ES75" s="55">
        <f t="shared" si="134"/>
        <v>62022.7117</v>
      </c>
      <c r="ET75" s="55">
        <f t="shared" si="134"/>
        <v>23741.544999999998</v>
      </c>
      <c r="EU75" s="55">
        <f t="shared" si="134"/>
        <v>4850.0908510999998</v>
      </c>
      <c r="EV75" s="55">
        <f t="shared" si="134"/>
        <v>4537.3793073999996</v>
      </c>
      <c r="EW75" s="298">
        <f t="shared" si="135"/>
        <v>0.72317669488995873</v>
      </c>
      <c r="EX75" s="52"/>
      <c r="EY75" s="55">
        <f t="shared" si="136"/>
        <v>4850.0909106347754</v>
      </c>
      <c r="EZ75" s="55">
        <f t="shared" si="136"/>
        <v>4537.3792535347757</v>
      </c>
      <c r="FA75" s="55">
        <f t="shared" si="136"/>
        <v>4850.0908510999998</v>
      </c>
      <c r="FB75" s="55">
        <f t="shared" si="136"/>
        <v>4537.3791940000001</v>
      </c>
      <c r="FD75" s="52"/>
      <c r="FE75" s="52"/>
      <c r="FF75" s="52"/>
      <c r="FG75" s="55">
        <f t="shared" si="137"/>
        <v>50041.368300000002</v>
      </c>
      <c r="FH75" s="55">
        <f t="shared" si="137"/>
        <v>19521.010000000002</v>
      </c>
      <c r="FI75" s="55">
        <f t="shared" si="137"/>
        <v>3703.5427776000006</v>
      </c>
      <c r="FJ75" s="55">
        <f t="shared" si="137"/>
        <v>3677.7415946000006</v>
      </c>
      <c r="FK75" s="298">
        <f t="shared" si="138"/>
        <v>0.71937402836038444</v>
      </c>
      <c r="FL75" s="52"/>
      <c r="FM75" s="55">
        <f t="shared" si="139"/>
        <v>3703.5427776000006</v>
      </c>
      <c r="FN75" s="55">
        <f t="shared" si="139"/>
        <v>3677.7415946000006</v>
      </c>
      <c r="FO75" s="55">
        <f t="shared" si="139"/>
        <v>3703.5427776000006</v>
      </c>
      <c r="FP75" s="55">
        <f t="shared" si="139"/>
        <v>3677.7415946000006</v>
      </c>
      <c r="FR75" s="52"/>
      <c r="FS75" s="52"/>
      <c r="FT75" s="52"/>
      <c r="FU75" s="55">
        <f t="shared" si="140"/>
        <v>48849.434999999998</v>
      </c>
      <c r="FV75" s="55">
        <f t="shared" si="140"/>
        <v>18544.304100000001</v>
      </c>
      <c r="FW75" s="55">
        <f t="shared" si="140"/>
        <v>757.05636240000001</v>
      </c>
      <c r="FX75" s="55">
        <f t="shared" si="140"/>
        <v>828.87410160000013</v>
      </c>
      <c r="FY75" s="298">
        <f t="shared" si="141"/>
        <v>0.72483639656075993</v>
      </c>
      <c r="FZ75" s="52"/>
      <c r="GA75" s="55">
        <f t="shared" si="142"/>
        <v>757.05643043974351</v>
      </c>
      <c r="GB75" s="55">
        <f t="shared" si="142"/>
        <v>828.87404003974359</v>
      </c>
      <c r="GC75" s="55">
        <f t="shared" si="142"/>
        <v>757.05636240000001</v>
      </c>
      <c r="GD75" s="55">
        <f t="shared" si="142"/>
        <v>828.87397200000009</v>
      </c>
      <c r="GF75" s="52"/>
      <c r="GG75" s="52"/>
      <c r="GH75" s="52"/>
      <c r="GI75" s="55">
        <f t="shared" si="143"/>
        <v>24578.0942</v>
      </c>
      <c r="GJ75" s="55">
        <f t="shared" si="143"/>
        <v>9279.4390999999996</v>
      </c>
      <c r="GK75" s="56">
        <f t="shared" si="144"/>
        <v>763.41971699999999</v>
      </c>
      <c r="GL75" s="56">
        <f t="shared" si="144"/>
        <v>644.75647349999997</v>
      </c>
      <c r="GM75" s="298">
        <f t="shared" si="145"/>
        <v>0.72592690029193596</v>
      </c>
      <c r="GN75" s="52"/>
      <c r="GO75" s="56">
        <f t="shared" si="146"/>
        <v>763.41971699999999</v>
      </c>
      <c r="GP75" s="56">
        <f t="shared" si="146"/>
        <v>644.75647349999997</v>
      </c>
      <c r="GQ75" s="56">
        <f t="shared" si="146"/>
        <v>763.41971699999999</v>
      </c>
      <c r="GR75" s="56">
        <f t="shared" si="146"/>
        <v>644.75647349999997</v>
      </c>
    </row>
    <row r="76" spans="1:200" x14ac:dyDescent="0.2">
      <c r="A76" s="118">
        <v>66</v>
      </c>
      <c r="C76" s="128">
        <v>3.1922999999999999</v>
      </c>
      <c r="D76" s="128">
        <v>1.7759</v>
      </c>
      <c r="E76" s="128">
        <v>0</v>
      </c>
      <c r="F76" s="128">
        <v>7667.8716999999997</v>
      </c>
      <c r="G76" s="128">
        <v>2351.6867000000002</v>
      </c>
      <c r="H76" s="49">
        <f t="shared" si="123"/>
        <v>3196.8330659999997</v>
      </c>
      <c r="I76" s="49">
        <f t="shared" si="123"/>
        <v>3369.9478399999998</v>
      </c>
      <c r="J76" s="47">
        <f t="shared" si="123"/>
        <v>0</v>
      </c>
      <c r="K76" s="47">
        <f t="shared" si="147"/>
        <v>0</v>
      </c>
      <c r="L76" s="48">
        <f t="shared" si="148"/>
        <v>3196.8330659999997</v>
      </c>
      <c r="M76" s="48">
        <f t="shared" si="149"/>
        <v>3369.9478399999998</v>
      </c>
      <c r="N76" s="93">
        <f t="shared" si="150"/>
        <v>3196.8330659999997</v>
      </c>
      <c r="O76" s="93">
        <f t="shared" si="151"/>
        <v>3369.9478399999998</v>
      </c>
      <c r="Q76" s="128">
        <v>3.9055</v>
      </c>
      <c r="R76" s="130">
        <v>2.2044000000000001</v>
      </c>
      <c r="S76" s="128">
        <v>0</v>
      </c>
      <c r="T76" s="128">
        <v>3945.7950000000001</v>
      </c>
      <c r="U76" s="128">
        <v>1426.87</v>
      </c>
      <c r="V76" s="49">
        <f t="shared" si="124"/>
        <v>2485.4992549999997</v>
      </c>
      <c r="W76" s="49">
        <f t="shared" si="124"/>
        <v>2626.5205560000004</v>
      </c>
      <c r="X76" s="47">
        <f t="shared" si="124"/>
        <v>0</v>
      </c>
      <c r="Y76" s="47">
        <f t="shared" si="152"/>
        <v>0</v>
      </c>
      <c r="Z76" s="48">
        <f t="shared" si="153"/>
        <v>2485.4992549999997</v>
      </c>
      <c r="AA76" s="48">
        <f t="shared" si="154"/>
        <v>2626.5205560000004</v>
      </c>
      <c r="AB76" s="93">
        <f t="shared" si="155"/>
        <v>2485.4992549999997</v>
      </c>
      <c r="AC76" s="93">
        <f t="shared" si="156"/>
        <v>2626.5205560000004</v>
      </c>
      <c r="AE76" s="128">
        <v>5.0247999999999999</v>
      </c>
      <c r="AF76" s="130">
        <v>2.4664999999999999</v>
      </c>
      <c r="AG76" s="128">
        <v>0</v>
      </c>
      <c r="AH76" s="128">
        <v>346.51330000000002</v>
      </c>
      <c r="AI76" s="128">
        <v>118.66670000000001</v>
      </c>
      <c r="AJ76" s="49">
        <f t="shared" si="125"/>
        <v>2311.809984</v>
      </c>
      <c r="AK76" s="49">
        <f t="shared" si="125"/>
        <v>2591.6255449999999</v>
      </c>
      <c r="AL76" s="47">
        <f t="shared" si="125"/>
        <v>0</v>
      </c>
      <c r="AM76" s="47">
        <f t="shared" si="157"/>
        <v>0</v>
      </c>
      <c r="AN76" s="48">
        <f t="shared" si="158"/>
        <v>2311.809984</v>
      </c>
      <c r="AO76" s="48">
        <f t="shared" si="159"/>
        <v>2591.6255449999999</v>
      </c>
      <c r="AP76" s="93">
        <f t="shared" si="160"/>
        <v>2311.809984</v>
      </c>
      <c r="AQ76" s="93">
        <f t="shared" si="161"/>
        <v>2591.6255449999999</v>
      </c>
      <c r="AS76" s="128">
        <v>6.2637</v>
      </c>
      <c r="AT76" s="130">
        <v>2.3071999999999999</v>
      </c>
      <c r="AU76" s="128">
        <v>0</v>
      </c>
      <c r="AV76" s="128">
        <v>12342.6692</v>
      </c>
      <c r="AW76" s="128">
        <v>4611.3333000000002</v>
      </c>
      <c r="AX76" s="49">
        <f t="shared" si="126"/>
        <v>2196.3037679999998</v>
      </c>
      <c r="AY76" s="49">
        <f t="shared" si="126"/>
        <v>1626.5298559999999</v>
      </c>
      <c r="AZ76" s="47">
        <f t="shared" si="126"/>
        <v>0</v>
      </c>
      <c r="BA76" s="47">
        <f t="shared" si="162"/>
        <v>0</v>
      </c>
      <c r="BB76" s="48">
        <f t="shared" si="163"/>
        <v>2196.3037679999998</v>
      </c>
      <c r="BC76" s="48">
        <f t="shared" si="164"/>
        <v>1626.5298559999999</v>
      </c>
      <c r="BD76" s="93">
        <f t="shared" si="165"/>
        <v>2196.3037679999998</v>
      </c>
      <c r="BE76" s="93">
        <f t="shared" si="166"/>
        <v>1626.5298559999999</v>
      </c>
      <c r="BG76" s="128">
        <v>5.8837999999999999</v>
      </c>
      <c r="BH76" s="130">
        <v>2.2189999999999999</v>
      </c>
      <c r="BI76" s="128">
        <v>0</v>
      </c>
      <c r="BJ76" s="128">
        <v>7863.0316999999995</v>
      </c>
      <c r="BK76" s="128">
        <v>3273.2392</v>
      </c>
      <c r="BL76" s="49">
        <f t="shared" si="127"/>
        <v>1932.3575960000001</v>
      </c>
      <c r="BM76" s="49">
        <f t="shared" si="127"/>
        <v>1341.7849199999998</v>
      </c>
      <c r="BN76" s="47">
        <f t="shared" si="127"/>
        <v>0</v>
      </c>
      <c r="BO76" s="47">
        <f t="shared" si="167"/>
        <v>0</v>
      </c>
      <c r="BP76" s="48">
        <f t="shared" si="168"/>
        <v>1932.3575960000001</v>
      </c>
      <c r="BQ76" s="48">
        <f t="shared" si="169"/>
        <v>1341.7849199999998</v>
      </c>
      <c r="BR76" s="93">
        <f t="shared" si="170"/>
        <v>1932.3575960000001</v>
      </c>
      <c r="BS76" s="93">
        <f t="shared" si="171"/>
        <v>1341.7849199999998</v>
      </c>
      <c r="BU76" s="128">
        <v>4.4748999999999999</v>
      </c>
      <c r="BV76" s="130">
        <v>1.7357</v>
      </c>
      <c r="BW76" s="128">
        <v>0</v>
      </c>
      <c r="BX76" s="128">
        <v>9873.7266999999993</v>
      </c>
      <c r="BY76" s="128">
        <v>3621.2458000000001</v>
      </c>
      <c r="BZ76" s="49">
        <f t="shared" si="128"/>
        <v>1085.6107399999999</v>
      </c>
      <c r="CA76" s="49">
        <f t="shared" si="128"/>
        <v>701.43108400000006</v>
      </c>
      <c r="CB76" s="47">
        <f t="shared" si="128"/>
        <v>0</v>
      </c>
      <c r="CC76" s="47">
        <f t="shared" si="172"/>
        <v>0</v>
      </c>
      <c r="CD76" s="48">
        <f t="shared" si="173"/>
        <v>1085.6107399999999</v>
      </c>
      <c r="CE76" s="48">
        <f t="shared" si="174"/>
        <v>701.43108400000006</v>
      </c>
      <c r="CF76" s="93">
        <f t="shared" si="175"/>
        <v>1085.6107399999999</v>
      </c>
      <c r="CG76" s="93">
        <f t="shared" si="176"/>
        <v>701.43108400000006</v>
      </c>
      <c r="CI76" s="128">
        <v>1.3304</v>
      </c>
      <c r="CJ76" s="130">
        <v>1.0938000000000001</v>
      </c>
      <c r="CK76" s="128">
        <v>0</v>
      </c>
      <c r="CL76" s="128">
        <v>30565.0108</v>
      </c>
      <c r="CM76" s="128">
        <v>11662.351699999999</v>
      </c>
      <c r="CN76" s="49">
        <f t="shared" si="129"/>
        <v>282.41731199999998</v>
      </c>
      <c r="CO76" s="49">
        <f t="shared" si="129"/>
        <v>301.32002400000005</v>
      </c>
      <c r="CP76" s="47">
        <f t="shared" si="129"/>
        <v>0</v>
      </c>
      <c r="CQ76" s="47">
        <f t="shared" si="177"/>
        <v>0</v>
      </c>
      <c r="CR76" s="48">
        <f t="shared" si="178"/>
        <v>282.41731199999998</v>
      </c>
      <c r="CS76" s="48">
        <f t="shared" si="179"/>
        <v>301.32002400000005</v>
      </c>
      <c r="CT76" s="93">
        <f t="shared" si="180"/>
        <v>282.41731199999998</v>
      </c>
      <c r="CU76" s="93">
        <f t="shared" si="181"/>
        <v>301.32002400000005</v>
      </c>
      <c r="CW76" s="128">
        <v>2.8279000000000001</v>
      </c>
      <c r="CX76" s="130">
        <v>2.2277</v>
      </c>
      <c r="CY76" s="128">
        <v>0</v>
      </c>
      <c r="CZ76" s="128">
        <v>13365.41</v>
      </c>
      <c r="DA76" s="128">
        <v>4991.9650000000001</v>
      </c>
      <c r="DB76" s="49">
        <f t="shared" si="130"/>
        <v>607.17840899999999</v>
      </c>
      <c r="DC76" s="49">
        <f t="shared" si="130"/>
        <v>668.39910800000007</v>
      </c>
      <c r="DD76" s="47">
        <f t="shared" si="130"/>
        <v>0</v>
      </c>
      <c r="DE76" s="47">
        <f t="shared" si="182"/>
        <v>0</v>
      </c>
      <c r="DF76" s="48">
        <f t="shared" si="183"/>
        <v>607.17840899999999</v>
      </c>
      <c r="DG76" s="48">
        <f t="shared" si="184"/>
        <v>668.39910800000007</v>
      </c>
      <c r="DH76" s="93">
        <f t="shared" si="185"/>
        <v>607.17840899999999</v>
      </c>
      <c r="DI76" s="93">
        <f t="shared" si="186"/>
        <v>668.39910800000007</v>
      </c>
      <c r="DK76" s="128">
        <v>2.6061000000000001</v>
      </c>
      <c r="DL76" s="130">
        <v>2.0773999999999999</v>
      </c>
      <c r="DM76" s="128">
        <v>0</v>
      </c>
      <c r="DN76" s="128">
        <v>4849.1192000000001</v>
      </c>
      <c r="DO76" s="128">
        <v>2131.4632999999999</v>
      </c>
      <c r="DP76" s="49">
        <f t="shared" si="131"/>
        <v>344.94339600000006</v>
      </c>
      <c r="DQ76" s="49">
        <f t="shared" si="131"/>
        <v>402.246962</v>
      </c>
      <c r="DR76" s="47">
        <f t="shared" si="131"/>
        <v>0</v>
      </c>
      <c r="DS76" s="47">
        <f t="shared" si="187"/>
        <v>0</v>
      </c>
      <c r="DT76" s="48">
        <f t="shared" si="188"/>
        <v>344.94339600000006</v>
      </c>
      <c r="DU76" s="48">
        <f t="shared" si="189"/>
        <v>402.246962</v>
      </c>
      <c r="DV76" s="93">
        <f t="shared" si="190"/>
        <v>344.94339600000006</v>
      </c>
      <c r="DW76" s="93">
        <f t="shared" si="191"/>
        <v>402.246962</v>
      </c>
      <c r="EB76" s="52"/>
      <c r="EC76" s="52"/>
      <c r="ED76" s="52"/>
      <c r="EE76" s="55">
        <f t="shared" si="192"/>
        <v>63940.9617</v>
      </c>
      <c r="EF76" s="55">
        <f t="shared" si="192"/>
        <v>23617.3367</v>
      </c>
      <c r="EG76" s="55">
        <f t="shared" si="192"/>
        <v>6161.296873199999</v>
      </c>
      <c r="EH76" s="55">
        <f t="shared" si="132"/>
        <v>5832.5170063999994</v>
      </c>
      <c r="EI76" s="298">
        <f t="shared" si="133"/>
        <v>0.73026729468739882</v>
      </c>
      <c r="EJ76" s="52"/>
      <c r="EK76" s="55">
        <f t="shared" si="193"/>
        <v>6161.296873199999</v>
      </c>
      <c r="EL76" s="55">
        <f t="shared" si="193"/>
        <v>5832.5170063999994</v>
      </c>
      <c r="EM76" s="55">
        <f t="shared" si="193"/>
        <v>6161.296873199999</v>
      </c>
      <c r="EN76" s="55">
        <f t="shared" si="193"/>
        <v>5832.5170063999994</v>
      </c>
      <c r="EP76" s="52"/>
      <c r="EQ76" s="52"/>
      <c r="ER76" s="52"/>
      <c r="ES76" s="55">
        <f t="shared" si="134"/>
        <v>55739.247499999998</v>
      </c>
      <c r="ET76" s="55">
        <f t="shared" si="134"/>
        <v>21354.425899999998</v>
      </c>
      <c r="EU76" s="55">
        <f t="shared" si="134"/>
        <v>5125.2990492999988</v>
      </c>
      <c r="EV76" s="55">
        <f t="shared" si="134"/>
        <v>4737.5048755999997</v>
      </c>
      <c r="EW76" s="298">
        <f t="shared" si="135"/>
        <v>0.72300676620761462</v>
      </c>
      <c r="EX76" s="52"/>
      <c r="EY76" s="55">
        <f t="shared" si="136"/>
        <v>5125.2990492999988</v>
      </c>
      <c r="EZ76" s="55">
        <f t="shared" si="136"/>
        <v>4737.5048755999997</v>
      </c>
      <c r="FA76" s="55">
        <f t="shared" si="136"/>
        <v>5125.2990492999988</v>
      </c>
      <c r="FB76" s="55">
        <f t="shared" si="136"/>
        <v>4737.5048755999997</v>
      </c>
      <c r="FD76" s="52"/>
      <c r="FE76" s="52"/>
      <c r="FF76" s="52"/>
      <c r="FG76" s="55">
        <f t="shared" si="137"/>
        <v>45634.37</v>
      </c>
      <c r="FH76" s="55">
        <f t="shared" si="137"/>
        <v>17533.727500000001</v>
      </c>
      <c r="FI76" s="55">
        <f t="shared" si="137"/>
        <v>3886.8040735999998</v>
      </c>
      <c r="FJ76" s="55">
        <f t="shared" si="137"/>
        <v>3835.7248301999998</v>
      </c>
      <c r="FK76" s="298">
        <f t="shared" si="138"/>
        <v>0.72242748802114864</v>
      </c>
      <c r="FL76" s="52"/>
      <c r="FM76" s="55">
        <f t="shared" si="139"/>
        <v>3886.8040735999998</v>
      </c>
      <c r="FN76" s="55">
        <f t="shared" si="139"/>
        <v>3835.7248301999998</v>
      </c>
      <c r="FO76" s="55">
        <f t="shared" si="139"/>
        <v>3886.8040735999998</v>
      </c>
      <c r="FP76" s="55">
        <f t="shared" si="139"/>
        <v>3835.7248301999998</v>
      </c>
      <c r="FR76" s="52"/>
      <c r="FS76" s="52"/>
      <c r="FT76" s="52"/>
      <c r="FU76" s="55">
        <f t="shared" si="140"/>
        <v>43930.4208</v>
      </c>
      <c r="FV76" s="55">
        <f t="shared" si="140"/>
        <v>16654.316699999999</v>
      </c>
      <c r="FW76" s="55">
        <f t="shared" si="140"/>
        <v>768.16003920000003</v>
      </c>
      <c r="FX76" s="55">
        <f t="shared" si="140"/>
        <v>836.0393104000002</v>
      </c>
      <c r="FY76" s="298">
        <f t="shared" si="141"/>
        <v>0.7251070585227839</v>
      </c>
      <c r="FZ76" s="52"/>
      <c r="GA76" s="55">
        <f t="shared" si="142"/>
        <v>768.16003920000003</v>
      </c>
      <c r="GB76" s="55">
        <f t="shared" si="142"/>
        <v>836.0393104000002</v>
      </c>
      <c r="GC76" s="55">
        <f t="shared" si="142"/>
        <v>768.16003920000003</v>
      </c>
      <c r="GD76" s="55">
        <f t="shared" si="142"/>
        <v>836.0393104000002</v>
      </c>
      <c r="GF76" s="52"/>
      <c r="GG76" s="52"/>
      <c r="GH76" s="52"/>
      <c r="GI76" s="55">
        <f t="shared" si="143"/>
        <v>22216.3959</v>
      </c>
      <c r="GJ76" s="55">
        <f t="shared" si="143"/>
        <v>8232.5791000000008</v>
      </c>
      <c r="GK76" s="56">
        <f t="shared" si="144"/>
        <v>833.01977099999999</v>
      </c>
      <c r="GL76" s="56">
        <f t="shared" si="144"/>
        <v>693.82407899999987</v>
      </c>
      <c r="GM76" s="298">
        <f t="shared" si="145"/>
        <v>0.72962705312740417</v>
      </c>
      <c r="GN76" s="52"/>
      <c r="GO76" s="56">
        <f t="shared" si="146"/>
        <v>833.01977099999999</v>
      </c>
      <c r="GP76" s="56">
        <f t="shared" si="146"/>
        <v>693.82407899999987</v>
      </c>
      <c r="GQ76" s="56">
        <f t="shared" si="146"/>
        <v>833.01977099999999</v>
      </c>
      <c r="GR76" s="56">
        <f t="shared" si="146"/>
        <v>693.82407899999987</v>
      </c>
    </row>
    <row r="77" spans="1:200" x14ac:dyDescent="0.2">
      <c r="A77" s="118">
        <v>67</v>
      </c>
      <c r="C77" s="128">
        <v>3.3578999999999999</v>
      </c>
      <c r="D77" s="128">
        <v>1.8469</v>
      </c>
      <c r="E77" s="128">
        <v>0</v>
      </c>
      <c r="F77" s="128">
        <v>6639.1274999999996</v>
      </c>
      <c r="G77" s="128">
        <v>2087.4933000000001</v>
      </c>
      <c r="H77" s="49">
        <f t="shared" si="123"/>
        <v>3362.6682179999998</v>
      </c>
      <c r="I77" s="49">
        <f t="shared" si="123"/>
        <v>3504.6774399999999</v>
      </c>
      <c r="J77" s="47">
        <f t="shared" si="123"/>
        <v>0</v>
      </c>
      <c r="K77" s="47">
        <f t="shared" si="147"/>
        <v>0</v>
      </c>
      <c r="L77" s="48">
        <f t="shared" si="148"/>
        <v>3362.6682179999998</v>
      </c>
      <c r="M77" s="48">
        <f t="shared" si="149"/>
        <v>3504.6774399999999</v>
      </c>
      <c r="N77" s="93">
        <f t="shared" si="150"/>
        <v>3362.6682179999998</v>
      </c>
      <c r="O77" s="93">
        <f t="shared" si="151"/>
        <v>3504.6774399999999</v>
      </c>
      <c r="Q77" s="128">
        <v>4.1353</v>
      </c>
      <c r="R77" s="130">
        <v>2.3037999999999998</v>
      </c>
      <c r="S77" s="128">
        <v>0</v>
      </c>
      <c r="T77" s="128">
        <v>3442.8117000000002</v>
      </c>
      <c r="U77" s="128">
        <v>1348.6183000000001</v>
      </c>
      <c r="V77" s="49">
        <f t="shared" si="124"/>
        <v>2631.7462729999997</v>
      </c>
      <c r="W77" s="49">
        <f t="shared" si="124"/>
        <v>2744.9546619999996</v>
      </c>
      <c r="X77" s="47">
        <f t="shared" si="124"/>
        <v>0</v>
      </c>
      <c r="Y77" s="47">
        <f t="shared" si="152"/>
        <v>0</v>
      </c>
      <c r="Z77" s="48">
        <f t="shared" si="153"/>
        <v>2631.7462729999997</v>
      </c>
      <c r="AA77" s="48">
        <f t="shared" si="154"/>
        <v>2744.9546619999996</v>
      </c>
      <c r="AB77" s="93">
        <f t="shared" si="155"/>
        <v>2631.7462729999997</v>
      </c>
      <c r="AC77" s="93">
        <f t="shared" si="156"/>
        <v>2744.9546619999996</v>
      </c>
      <c r="AE77" s="128">
        <v>5.2558999999999996</v>
      </c>
      <c r="AF77" s="130">
        <v>2.5661999999999998</v>
      </c>
      <c r="AG77" s="128">
        <v>0</v>
      </c>
      <c r="AH77" s="128">
        <v>324.20249999999999</v>
      </c>
      <c r="AI77" s="128">
        <v>114.41670000000001</v>
      </c>
      <c r="AJ77" s="49">
        <f t="shared" si="125"/>
        <v>2418.1344719999997</v>
      </c>
      <c r="AK77" s="49">
        <f t="shared" si="125"/>
        <v>2696.3833259999997</v>
      </c>
      <c r="AL77" s="47">
        <f t="shared" si="125"/>
        <v>0</v>
      </c>
      <c r="AM77" s="47">
        <f t="shared" si="157"/>
        <v>0</v>
      </c>
      <c r="AN77" s="48">
        <f t="shared" si="158"/>
        <v>2418.1344719999997</v>
      </c>
      <c r="AO77" s="48">
        <f t="shared" si="159"/>
        <v>2696.3833259999997</v>
      </c>
      <c r="AP77" s="93">
        <f t="shared" si="160"/>
        <v>2418.1344719999997</v>
      </c>
      <c r="AQ77" s="93">
        <f t="shared" si="161"/>
        <v>2696.3833259999997</v>
      </c>
      <c r="AS77" s="128">
        <v>6.7276999999999996</v>
      </c>
      <c r="AT77" s="130">
        <v>2.4786000000000001</v>
      </c>
      <c r="AU77" s="128">
        <v>0</v>
      </c>
      <c r="AV77" s="128">
        <v>11133.244199999999</v>
      </c>
      <c r="AW77" s="128">
        <v>4269.7049999999999</v>
      </c>
      <c r="AX77" s="49">
        <f t="shared" si="126"/>
        <v>2359.000728</v>
      </c>
      <c r="AY77" s="49">
        <f t="shared" si="126"/>
        <v>1747.3634280000001</v>
      </c>
      <c r="AZ77" s="47">
        <f t="shared" si="126"/>
        <v>0</v>
      </c>
      <c r="BA77" s="47">
        <f t="shared" si="162"/>
        <v>0</v>
      </c>
      <c r="BB77" s="48">
        <f t="shared" si="163"/>
        <v>2359.000728</v>
      </c>
      <c r="BC77" s="48">
        <f t="shared" si="164"/>
        <v>1747.3634280000001</v>
      </c>
      <c r="BD77" s="93">
        <f t="shared" si="165"/>
        <v>2359.000728</v>
      </c>
      <c r="BE77" s="93">
        <f t="shared" si="166"/>
        <v>1747.3634280000001</v>
      </c>
      <c r="BG77" s="128">
        <v>6.2717000000000001</v>
      </c>
      <c r="BH77" s="130">
        <v>2.3603000000000001</v>
      </c>
      <c r="BI77" s="128">
        <v>0</v>
      </c>
      <c r="BJ77" s="128">
        <v>7084.3149999999996</v>
      </c>
      <c r="BK77" s="128">
        <v>3046.9792000000002</v>
      </c>
      <c r="BL77" s="49">
        <f t="shared" si="127"/>
        <v>2059.751714</v>
      </c>
      <c r="BM77" s="49">
        <f t="shared" si="127"/>
        <v>1427.2262039999998</v>
      </c>
      <c r="BN77" s="47">
        <f t="shared" si="127"/>
        <v>0</v>
      </c>
      <c r="BO77" s="47">
        <f t="shared" si="167"/>
        <v>0</v>
      </c>
      <c r="BP77" s="48">
        <f t="shared" si="168"/>
        <v>2059.751714</v>
      </c>
      <c r="BQ77" s="48">
        <f t="shared" si="169"/>
        <v>1427.2262039999998</v>
      </c>
      <c r="BR77" s="93">
        <f t="shared" si="170"/>
        <v>2059.751714</v>
      </c>
      <c r="BS77" s="93">
        <f t="shared" si="171"/>
        <v>1427.2262039999998</v>
      </c>
      <c r="BU77" s="128">
        <v>4.7854000000000001</v>
      </c>
      <c r="BV77" s="130">
        <v>1.8452999999999999</v>
      </c>
      <c r="BW77" s="128">
        <v>0</v>
      </c>
      <c r="BX77" s="128">
        <v>8944.7224999999999</v>
      </c>
      <c r="BY77" s="128">
        <v>3260.9232999999999</v>
      </c>
      <c r="BZ77" s="49">
        <f t="shared" si="128"/>
        <v>1160.93804</v>
      </c>
      <c r="CA77" s="49">
        <f t="shared" si="128"/>
        <v>745.72263599999997</v>
      </c>
      <c r="CB77" s="47">
        <f t="shared" si="128"/>
        <v>0</v>
      </c>
      <c r="CC77" s="47">
        <f t="shared" si="172"/>
        <v>0</v>
      </c>
      <c r="CD77" s="48">
        <f t="shared" si="173"/>
        <v>1160.93804</v>
      </c>
      <c r="CE77" s="48">
        <f t="shared" si="174"/>
        <v>745.72263599999997</v>
      </c>
      <c r="CF77" s="93">
        <f t="shared" si="175"/>
        <v>1160.93804</v>
      </c>
      <c r="CG77" s="93">
        <f t="shared" si="176"/>
        <v>745.72263599999997</v>
      </c>
      <c r="CI77" s="128">
        <v>1.3431</v>
      </c>
      <c r="CJ77" s="130">
        <v>1.0942000000000001</v>
      </c>
      <c r="CK77" s="128">
        <v>0</v>
      </c>
      <c r="CL77" s="128">
        <v>27585.1983</v>
      </c>
      <c r="CM77" s="128">
        <v>10706.9408</v>
      </c>
      <c r="CN77" s="49">
        <f t="shared" si="129"/>
        <v>285.11326800000001</v>
      </c>
      <c r="CO77" s="49">
        <f t="shared" si="129"/>
        <v>301.43021600000003</v>
      </c>
      <c r="CP77" s="47">
        <f t="shared" si="129"/>
        <v>0</v>
      </c>
      <c r="CQ77" s="47">
        <f t="shared" si="177"/>
        <v>0</v>
      </c>
      <c r="CR77" s="48">
        <f t="shared" si="178"/>
        <v>285.11326800000001</v>
      </c>
      <c r="CS77" s="48">
        <f t="shared" si="179"/>
        <v>301.43021600000003</v>
      </c>
      <c r="CT77" s="93">
        <f t="shared" si="180"/>
        <v>285.11326800000001</v>
      </c>
      <c r="CU77" s="93">
        <f t="shared" si="181"/>
        <v>301.43021600000003</v>
      </c>
      <c r="CW77" s="128">
        <v>2.8654999999999999</v>
      </c>
      <c r="CX77" s="130">
        <v>2.2570000000000001</v>
      </c>
      <c r="CY77" s="128">
        <v>0</v>
      </c>
      <c r="CZ77" s="128">
        <v>11987.515799999999</v>
      </c>
      <c r="DA77" s="128">
        <v>4555.4516999999996</v>
      </c>
      <c r="DB77" s="49">
        <f t="shared" si="130"/>
        <v>615.25150500000007</v>
      </c>
      <c r="DC77" s="49">
        <f t="shared" si="130"/>
        <v>677.19028000000003</v>
      </c>
      <c r="DD77" s="47">
        <f t="shared" si="130"/>
        <v>0</v>
      </c>
      <c r="DE77" s="47">
        <f t="shared" si="182"/>
        <v>0</v>
      </c>
      <c r="DF77" s="48">
        <f t="shared" si="183"/>
        <v>615.25150500000007</v>
      </c>
      <c r="DG77" s="48">
        <f t="shared" si="184"/>
        <v>677.19028000000003</v>
      </c>
      <c r="DH77" s="93">
        <f t="shared" si="185"/>
        <v>615.25150500000007</v>
      </c>
      <c r="DI77" s="93">
        <f t="shared" si="186"/>
        <v>677.19028000000003</v>
      </c>
      <c r="DK77" s="128">
        <v>2.6709000000000001</v>
      </c>
      <c r="DL77" s="130">
        <v>2.1324999999999998</v>
      </c>
      <c r="DM77" s="128">
        <v>0</v>
      </c>
      <c r="DN77" s="128">
        <v>4519.915</v>
      </c>
      <c r="DO77" s="128">
        <v>1955.6258</v>
      </c>
      <c r="DP77" s="49">
        <f t="shared" si="131"/>
        <v>353.52032400000002</v>
      </c>
      <c r="DQ77" s="49">
        <f t="shared" si="131"/>
        <v>412.91597499999995</v>
      </c>
      <c r="DR77" s="47">
        <f t="shared" si="131"/>
        <v>0</v>
      </c>
      <c r="DS77" s="47">
        <f t="shared" si="187"/>
        <v>0</v>
      </c>
      <c r="DT77" s="48">
        <f t="shared" si="188"/>
        <v>353.52032400000002</v>
      </c>
      <c r="DU77" s="48">
        <f t="shared" si="189"/>
        <v>412.91597499999995</v>
      </c>
      <c r="DV77" s="93">
        <f t="shared" si="190"/>
        <v>353.52032400000002</v>
      </c>
      <c r="DW77" s="93">
        <f t="shared" si="191"/>
        <v>412.91597499999995</v>
      </c>
      <c r="EB77" s="52"/>
      <c r="EC77" s="52"/>
      <c r="ED77" s="52"/>
      <c r="EE77" s="55">
        <f t="shared" si="192"/>
        <v>57345.085800000001</v>
      </c>
      <c r="EF77" s="55">
        <f t="shared" si="192"/>
        <v>21619.590799999998</v>
      </c>
      <c r="EG77" s="55">
        <f t="shared" si="192"/>
        <v>6498.9834179999998</v>
      </c>
      <c r="EH77" s="55">
        <f t="shared" si="132"/>
        <v>6095.2233079999996</v>
      </c>
      <c r="EI77" s="298">
        <f t="shared" si="133"/>
        <v>0.72621187433572032</v>
      </c>
      <c r="EJ77" s="52"/>
      <c r="EK77" s="55">
        <f t="shared" si="193"/>
        <v>6498.9834179999998</v>
      </c>
      <c r="EL77" s="55">
        <f t="shared" si="193"/>
        <v>6095.2233079999996</v>
      </c>
      <c r="EM77" s="55">
        <f t="shared" si="193"/>
        <v>6498.9834179999998</v>
      </c>
      <c r="EN77" s="55">
        <f t="shared" si="193"/>
        <v>6095.2233079999996</v>
      </c>
      <c r="EP77" s="52"/>
      <c r="EQ77" s="52"/>
      <c r="ER77" s="52"/>
      <c r="ES77" s="55">
        <f t="shared" si="134"/>
        <v>50099.840799999998</v>
      </c>
      <c r="ET77" s="55">
        <f t="shared" si="134"/>
        <v>19657.989999999998</v>
      </c>
      <c r="EU77" s="55">
        <f t="shared" si="134"/>
        <v>5407.2873085000001</v>
      </c>
      <c r="EV77" s="55">
        <f t="shared" si="134"/>
        <v>4947.6442779999998</v>
      </c>
      <c r="EW77" s="298">
        <f t="shared" si="135"/>
        <v>0.71819665585128833</v>
      </c>
      <c r="EX77" s="52"/>
      <c r="EY77" s="55">
        <f t="shared" si="136"/>
        <v>5407.2873085000001</v>
      </c>
      <c r="EZ77" s="55">
        <f t="shared" si="136"/>
        <v>4947.6442779999998</v>
      </c>
      <c r="FA77" s="55">
        <f t="shared" si="136"/>
        <v>5407.2873085000001</v>
      </c>
      <c r="FB77" s="55">
        <f t="shared" si="136"/>
        <v>4947.6442779999998</v>
      </c>
      <c r="FD77" s="52"/>
      <c r="FE77" s="52"/>
      <c r="FF77" s="52"/>
      <c r="FG77" s="55">
        <f t="shared" si="137"/>
        <v>41374.0383</v>
      </c>
      <c r="FH77" s="55">
        <f t="shared" si="137"/>
        <v>16037.9066</v>
      </c>
      <c r="FI77" s="55">
        <f t="shared" si="137"/>
        <v>4076.2979743999999</v>
      </c>
      <c r="FJ77" s="55">
        <f t="shared" si="137"/>
        <v>3991.2857629999999</v>
      </c>
      <c r="FK77" s="298">
        <f t="shared" si="138"/>
        <v>0.72065209377709127</v>
      </c>
      <c r="FL77" s="52"/>
      <c r="FM77" s="55">
        <f t="shared" si="139"/>
        <v>4076.2979743999999</v>
      </c>
      <c r="FN77" s="55">
        <f t="shared" si="139"/>
        <v>3991.2857629999999</v>
      </c>
      <c r="FO77" s="55">
        <f t="shared" si="139"/>
        <v>4076.2979743999999</v>
      </c>
      <c r="FP77" s="55">
        <f t="shared" si="139"/>
        <v>3991.2857629999999</v>
      </c>
      <c r="FR77" s="52"/>
      <c r="FS77" s="52"/>
      <c r="FT77" s="52"/>
      <c r="FU77" s="55">
        <f t="shared" si="140"/>
        <v>39572.714099999997</v>
      </c>
      <c r="FV77" s="55">
        <f t="shared" si="140"/>
        <v>15262.3925</v>
      </c>
      <c r="FW77" s="55">
        <f t="shared" si="140"/>
        <v>777.31447200000002</v>
      </c>
      <c r="FX77" s="55">
        <f t="shared" si="140"/>
        <v>843.18244000000004</v>
      </c>
      <c r="FY77" s="298">
        <f t="shared" si="141"/>
        <v>0.72166749649393402</v>
      </c>
      <c r="FZ77" s="52"/>
      <c r="GA77" s="55">
        <f t="shared" si="142"/>
        <v>777.31447200000002</v>
      </c>
      <c r="GB77" s="55">
        <f t="shared" si="142"/>
        <v>843.18244000000004</v>
      </c>
      <c r="GC77" s="55">
        <f t="shared" si="142"/>
        <v>777.31447200000002</v>
      </c>
      <c r="GD77" s="55">
        <f t="shared" si="142"/>
        <v>843.18244000000004</v>
      </c>
      <c r="GF77" s="52"/>
      <c r="GG77" s="52"/>
      <c r="GH77" s="52"/>
      <c r="GI77" s="55">
        <f t="shared" si="143"/>
        <v>20077.966699999997</v>
      </c>
      <c r="GJ77" s="55">
        <f t="shared" si="143"/>
        <v>7530.6283000000003</v>
      </c>
      <c r="GK77" s="56">
        <f t="shared" si="144"/>
        <v>898.54701599999999</v>
      </c>
      <c r="GL77" s="56">
        <f t="shared" si="144"/>
        <v>751.23059400000011</v>
      </c>
      <c r="GM77" s="298">
        <f t="shared" si="145"/>
        <v>0.72723609078984275</v>
      </c>
      <c r="GN77" s="52"/>
      <c r="GO77" s="56">
        <f t="shared" si="146"/>
        <v>898.54701599999999</v>
      </c>
      <c r="GP77" s="56">
        <f t="shared" si="146"/>
        <v>751.23059400000011</v>
      </c>
      <c r="GQ77" s="56">
        <f t="shared" si="146"/>
        <v>898.54701599999999</v>
      </c>
      <c r="GR77" s="56">
        <f t="shared" si="146"/>
        <v>751.23059400000011</v>
      </c>
    </row>
    <row r="78" spans="1:200" x14ac:dyDescent="0.2">
      <c r="A78" s="118">
        <v>68</v>
      </c>
      <c r="C78" s="128">
        <v>3.5255999999999998</v>
      </c>
      <c r="D78" s="128">
        <v>1.9196</v>
      </c>
      <c r="E78" s="128">
        <v>0</v>
      </c>
      <c r="F78" s="128">
        <v>5391.2416999999996</v>
      </c>
      <c r="G78" s="128">
        <v>1783.8667</v>
      </c>
      <c r="H78" s="49">
        <f t="shared" si="123"/>
        <v>3530.6063519999998</v>
      </c>
      <c r="I78" s="49">
        <f t="shared" si="123"/>
        <v>3642.6329599999999</v>
      </c>
      <c r="J78" s="47">
        <f t="shared" si="123"/>
        <v>0</v>
      </c>
      <c r="K78" s="47">
        <f t="shared" si="147"/>
        <v>0</v>
      </c>
      <c r="L78" s="48">
        <f t="shared" si="148"/>
        <v>3530.6063519999998</v>
      </c>
      <c r="M78" s="48">
        <f t="shared" si="149"/>
        <v>3642.6329599999999</v>
      </c>
      <c r="N78" s="93">
        <f t="shared" si="150"/>
        <v>3530.6063519999998</v>
      </c>
      <c r="O78" s="93">
        <f t="shared" si="151"/>
        <v>3642.6329599999999</v>
      </c>
      <c r="Q78" s="128">
        <v>4.3798000000000004</v>
      </c>
      <c r="R78" s="130">
        <v>2.4112</v>
      </c>
      <c r="S78" s="128">
        <v>0</v>
      </c>
      <c r="T78" s="128">
        <v>3001.36</v>
      </c>
      <c r="U78" s="128">
        <v>1135.0433</v>
      </c>
      <c r="V78" s="49">
        <f t="shared" si="124"/>
        <v>2787.3485180000002</v>
      </c>
      <c r="W78" s="49">
        <f t="shared" si="124"/>
        <v>2872.9206880000002</v>
      </c>
      <c r="X78" s="47">
        <f t="shared" si="124"/>
        <v>0</v>
      </c>
      <c r="Y78" s="47">
        <f t="shared" si="152"/>
        <v>0</v>
      </c>
      <c r="Z78" s="48">
        <f t="shared" si="153"/>
        <v>2787.3485180000002</v>
      </c>
      <c r="AA78" s="48">
        <f t="shared" si="154"/>
        <v>2872.9206880000002</v>
      </c>
      <c r="AB78" s="93">
        <f t="shared" si="155"/>
        <v>2787.3485180000002</v>
      </c>
      <c r="AC78" s="93">
        <f t="shared" si="156"/>
        <v>2872.9206880000002</v>
      </c>
      <c r="AE78" s="128">
        <v>5.4920999999999998</v>
      </c>
      <c r="AF78" s="130">
        <v>2.6581999999999999</v>
      </c>
      <c r="AG78" s="128">
        <v>0</v>
      </c>
      <c r="AH78" s="128">
        <v>291.91669999999999</v>
      </c>
      <c r="AI78" s="128">
        <v>81.5</v>
      </c>
      <c r="AJ78" s="49">
        <f t="shared" si="125"/>
        <v>2526.8053679999998</v>
      </c>
      <c r="AK78" s="49">
        <f t="shared" si="125"/>
        <v>2793.0504860000001</v>
      </c>
      <c r="AL78" s="47">
        <f t="shared" si="125"/>
        <v>0</v>
      </c>
      <c r="AM78" s="47">
        <f t="shared" si="157"/>
        <v>0</v>
      </c>
      <c r="AN78" s="48">
        <f t="shared" si="158"/>
        <v>2526.8053679999998</v>
      </c>
      <c r="AO78" s="48">
        <f t="shared" si="159"/>
        <v>2793.0504860000001</v>
      </c>
      <c r="AP78" s="93">
        <f t="shared" si="160"/>
        <v>2526.8053679999998</v>
      </c>
      <c r="AQ78" s="93">
        <f t="shared" si="161"/>
        <v>2793.0504860000001</v>
      </c>
      <c r="AS78" s="128">
        <v>7.1940999999999997</v>
      </c>
      <c r="AT78" s="130">
        <v>2.6568000000000001</v>
      </c>
      <c r="AU78" s="128">
        <v>0</v>
      </c>
      <c r="AV78" s="128">
        <v>9448.2832999999991</v>
      </c>
      <c r="AW78" s="128">
        <v>3840.5158000000001</v>
      </c>
      <c r="AX78" s="49">
        <f t="shared" si="126"/>
        <v>2522.5392239999996</v>
      </c>
      <c r="AY78" s="49">
        <f t="shared" si="126"/>
        <v>1872.9908640000001</v>
      </c>
      <c r="AZ78" s="47">
        <f t="shared" si="126"/>
        <v>0</v>
      </c>
      <c r="BA78" s="47">
        <f t="shared" si="162"/>
        <v>0</v>
      </c>
      <c r="BB78" s="48">
        <f t="shared" si="163"/>
        <v>2522.5392239999996</v>
      </c>
      <c r="BC78" s="48">
        <f t="shared" si="164"/>
        <v>1872.9908640000001</v>
      </c>
      <c r="BD78" s="93">
        <f t="shared" si="165"/>
        <v>2522.5392239999996</v>
      </c>
      <c r="BE78" s="93">
        <f t="shared" si="166"/>
        <v>1872.9908640000001</v>
      </c>
      <c r="BG78" s="128">
        <v>6.6612999999999998</v>
      </c>
      <c r="BH78" s="130">
        <v>2.4992000000000001</v>
      </c>
      <c r="BI78" s="128">
        <v>0</v>
      </c>
      <c r="BJ78" s="128">
        <v>6275.6733000000004</v>
      </c>
      <c r="BK78" s="128">
        <v>2664.3733000000002</v>
      </c>
      <c r="BL78" s="49">
        <f t="shared" si="127"/>
        <v>2187.704146</v>
      </c>
      <c r="BM78" s="49">
        <f t="shared" si="127"/>
        <v>1511.2162559999999</v>
      </c>
      <c r="BN78" s="47">
        <f t="shared" si="127"/>
        <v>0</v>
      </c>
      <c r="BO78" s="47">
        <f t="shared" si="167"/>
        <v>0</v>
      </c>
      <c r="BP78" s="48">
        <f t="shared" si="168"/>
        <v>2187.704146</v>
      </c>
      <c r="BQ78" s="48">
        <f t="shared" si="169"/>
        <v>1511.2162559999999</v>
      </c>
      <c r="BR78" s="93">
        <f t="shared" si="170"/>
        <v>2187.704146</v>
      </c>
      <c r="BS78" s="93">
        <f t="shared" si="171"/>
        <v>1511.2162559999999</v>
      </c>
      <c r="BU78" s="128">
        <v>5.1231</v>
      </c>
      <c r="BV78" s="130">
        <v>1.9595</v>
      </c>
      <c r="BW78" s="128">
        <v>0</v>
      </c>
      <c r="BX78" s="128">
        <v>7134.9607999999998</v>
      </c>
      <c r="BY78" s="128">
        <v>2730.2824999999998</v>
      </c>
      <c r="BZ78" s="49">
        <f t="shared" si="128"/>
        <v>1242.8640599999999</v>
      </c>
      <c r="CA78" s="49">
        <f t="shared" si="128"/>
        <v>791.87314000000003</v>
      </c>
      <c r="CB78" s="47">
        <f t="shared" si="128"/>
        <v>0</v>
      </c>
      <c r="CC78" s="47">
        <f t="shared" si="172"/>
        <v>0</v>
      </c>
      <c r="CD78" s="48">
        <f t="shared" si="173"/>
        <v>1242.8640599999999</v>
      </c>
      <c r="CE78" s="48">
        <f t="shared" si="174"/>
        <v>791.87314000000003</v>
      </c>
      <c r="CF78" s="93">
        <f t="shared" si="175"/>
        <v>1242.8640599999999</v>
      </c>
      <c r="CG78" s="93">
        <f t="shared" si="176"/>
        <v>791.87314000000003</v>
      </c>
      <c r="CI78" s="128">
        <v>1.3537999999999999</v>
      </c>
      <c r="CJ78" s="130">
        <v>1.0929</v>
      </c>
      <c r="CK78" s="128">
        <v>0</v>
      </c>
      <c r="CL78" s="128">
        <v>23177.4175</v>
      </c>
      <c r="CM78" s="128">
        <v>9358.6717000000008</v>
      </c>
      <c r="CN78" s="49">
        <f t="shared" si="129"/>
        <v>287.38466399999999</v>
      </c>
      <c r="CO78" s="49">
        <f t="shared" si="129"/>
        <v>301.072092</v>
      </c>
      <c r="CP78" s="47">
        <f t="shared" si="129"/>
        <v>0</v>
      </c>
      <c r="CQ78" s="47">
        <f t="shared" si="177"/>
        <v>0</v>
      </c>
      <c r="CR78" s="48">
        <f t="shared" si="178"/>
        <v>287.38466399999999</v>
      </c>
      <c r="CS78" s="48">
        <f t="shared" si="179"/>
        <v>301.072092</v>
      </c>
      <c r="CT78" s="93">
        <f t="shared" si="180"/>
        <v>287.38466399999999</v>
      </c>
      <c r="CU78" s="93">
        <f t="shared" si="181"/>
        <v>301.072092</v>
      </c>
      <c r="CW78" s="128">
        <v>2.8919999999999999</v>
      </c>
      <c r="CX78" s="130">
        <v>2.2864</v>
      </c>
      <c r="CY78" s="128">
        <v>0</v>
      </c>
      <c r="CZ78" s="128">
        <v>9925.6299999999992</v>
      </c>
      <c r="DA78" s="128">
        <v>4015.0983000000001</v>
      </c>
      <c r="DB78" s="49">
        <f t="shared" si="130"/>
        <v>620.94132000000002</v>
      </c>
      <c r="DC78" s="49">
        <f t="shared" si="130"/>
        <v>686.01145600000007</v>
      </c>
      <c r="DD78" s="47">
        <f t="shared" si="130"/>
        <v>0</v>
      </c>
      <c r="DE78" s="47">
        <f t="shared" si="182"/>
        <v>0</v>
      </c>
      <c r="DF78" s="48">
        <f t="shared" si="183"/>
        <v>620.94132000000002</v>
      </c>
      <c r="DG78" s="48">
        <f t="shared" si="184"/>
        <v>686.01145600000007</v>
      </c>
      <c r="DH78" s="93">
        <f t="shared" si="185"/>
        <v>620.94132000000002</v>
      </c>
      <c r="DI78" s="93">
        <f t="shared" si="186"/>
        <v>686.01145600000007</v>
      </c>
      <c r="DK78" s="128">
        <v>2.7244999999999999</v>
      </c>
      <c r="DL78" s="130">
        <v>2.1909000000000001</v>
      </c>
      <c r="DM78" s="128">
        <v>0</v>
      </c>
      <c r="DN78" s="128">
        <v>3902.5207999999998</v>
      </c>
      <c r="DO78" s="128">
        <v>1669.7466999999999</v>
      </c>
      <c r="DP78" s="49">
        <f t="shared" si="131"/>
        <v>360.61482000000001</v>
      </c>
      <c r="DQ78" s="49">
        <f t="shared" si="131"/>
        <v>424.22396700000002</v>
      </c>
      <c r="DR78" s="47">
        <f t="shared" si="131"/>
        <v>0</v>
      </c>
      <c r="DS78" s="47">
        <f t="shared" si="187"/>
        <v>0</v>
      </c>
      <c r="DT78" s="48">
        <f t="shared" si="188"/>
        <v>360.61482000000001</v>
      </c>
      <c r="DU78" s="48">
        <f t="shared" si="189"/>
        <v>424.22396700000002</v>
      </c>
      <c r="DV78" s="93">
        <f t="shared" si="190"/>
        <v>360.61482000000001</v>
      </c>
      <c r="DW78" s="93">
        <f t="shared" si="191"/>
        <v>424.22396700000002</v>
      </c>
      <c r="EB78" s="52"/>
      <c r="EC78" s="52"/>
      <c r="ED78" s="52"/>
      <c r="EE78" s="55">
        <f t="shared" si="192"/>
        <v>47942.572499999995</v>
      </c>
      <c r="EF78" s="55">
        <f t="shared" si="192"/>
        <v>18998.1525</v>
      </c>
      <c r="EG78" s="55">
        <f t="shared" si="192"/>
        <v>6837.2832959999996</v>
      </c>
      <c r="EH78" s="55">
        <f t="shared" si="132"/>
        <v>6365.5050808000005</v>
      </c>
      <c r="EI78" s="298">
        <f t="shared" si="133"/>
        <v>0.71619440183834282</v>
      </c>
      <c r="EJ78" s="52"/>
      <c r="EK78" s="55">
        <f t="shared" si="193"/>
        <v>6837.2832959999996</v>
      </c>
      <c r="EL78" s="55">
        <f t="shared" si="193"/>
        <v>6365.5050808000005</v>
      </c>
      <c r="EM78" s="55">
        <f t="shared" si="193"/>
        <v>6837.2832959999996</v>
      </c>
      <c r="EN78" s="55">
        <f t="shared" si="193"/>
        <v>6365.5050808000005</v>
      </c>
      <c r="EP78" s="52"/>
      <c r="EQ78" s="52"/>
      <c r="ER78" s="52"/>
      <c r="ES78" s="55">
        <f t="shared" si="134"/>
        <v>42380.080799999996</v>
      </c>
      <c r="ET78" s="55">
        <f t="shared" si="134"/>
        <v>17173.186600000001</v>
      </c>
      <c r="EU78" s="55">
        <f t="shared" si="134"/>
        <v>5697.0962520000012</v>
      </c>
      <c r="EV78" s="55">
        <f t="shared" si="134"/>
        <v>5165.4170552000005</v>
      </c>
      <c r="EW78" s="298">
        <f t="shared" si="135"/>
        <v>0.71163317564671524</v>
      </c>
      <c r="EX78" s="52"/>
      <c r="EY78" s="55">
        <f t="shared" si="136"/>
        <v>5697.0962520000012</v>
      </c>
      <c r="EZ78" s="55">
        <f t="shared" si="136"/>
        <v>5165.4170552000005</v>
      </c>
      <c r="FA78" s="55">
        <f t="shared" si="136"/>
        <v>5697.0962520000012</v>
      </c>
      <c r="FB78" s="55">
        <f t="shared" si="136"/>
        <v>5165.4170552000005</v>
      </c>
      <c r="FD78" s="52"/>
      <c r="FE78" s="52"/>
      <c r="FF78" s="52"/>
      <c r="FG78" s="55">
        <f t="shared" si="137"/>
        <v>34506.815799999997</v>
      </c>
      <c r="FH78" s="55">
        <f t="shared" si="137"/>
        <v>13840.2009</v>
      </c>
      <c r="FI78" s="55">
        <f t="shared" si="137"/>
        <v>4273.4229839999998</v>
      </c>
      <c r="FJ78" s="55">
        <f t="shared" si="137"/>
        <v>4140.5300981999999</v>
      </c>
      <c r="FK78" s="298">
        <f t="shared" si="138"/>
        <v>0.71373205950058138</v>
      </c>
      <c r="FL78" s="52"/>
      <c r="FM78" s="55">
        <f t="shared" si="139"/>
        <v>4273.4229839999998</v>
      </c>
      <c r="FN78" s="55">
        <f t="shared" si="139"/>
        <v>4140.5300981999999</v>
      </c>
      <c r="FO78" s="55">
        <f t="shared" si="139"/>
        <v>4273.4229839999998</v>
      </c>
      <c r="FP78" s="55">
        <f t="shared" si="139"/>
        <v>4140.5300981999999</v>
      </c>
      <c r="FR78" s="52"/>
      <c r="FS78" s="52"/>
      <c r="FT78" s="52"/>
      <c r="FU78" s="55">
        <f t="shared" si="140"/>
        <v>33103.047500000001</v>
      </c>
      <c r="FV78" s="55">
        <f t="shared" si="140"/>
        <v>13373.77</v>
      </c>
      <c r="FW78" s="55">
        <f t="shared" si="140"/>
        <v>784.13771999999994</v>
      </c>
      <c r="FX78" s="55">
        <f t="shared" si="140"/>
        <v>849.88125680000007</v>
      </c>
      <c r="FY78" s="298">
        <f t="shared" si="141"/>
        <v>0.71224858500692301</v>
      </c>
      <c r="FZ78" s="52"/>
      <c r="GA78" s="55">
        <f t="shared" si="142"/>
        <v>784.13771999999994</v>
      </c>
      <c r="GB78" s="55">
        <f t="shared" si="142"/>
        <v>849.88125680000007</v>
      </c>
      <c r="GC78" s="55">
        <f t="shared" si="142"/>
        <v>784.13771999999994</v>
      </c>
      <c r="GD78" s="55">
        <f t="shared" si="142"/>
        <v>849.88125680000007</v>
      </c>
      <c r="GF78" s="52"/>
      <c r="GG78" s="52"/>
      <c r="GH78" s="52"/>
      <c r="GI78" s="55">
        <f t="shared" si="143"/>
        <v>16583.2441</v>
      </c>
      <c r="GJ78" s="55">
        <f t="shared" si="143"/>
        <v>6570.7983000000004</v>
      </c>
      <c r="GK78" s="56">
        <f t="shared" si="144"/>
        <v>959.75637299999983</v>
      </c>
      <c r="GL78" s="56">
        <f t="shared" si="144"/>
        <v>810.83829300000014</v>
      </c>
      <c r="GM78" s="298">
        <f t="shared" si="145"/>
        <v>0.71621377440338452</v>
      </c>
      <c r="GN78" s="52"/>
      <c r="GO78" s="56">
        <f t="shared" si="146"/>
        <v>959.75637299999983</v>
      </c>
      <c r="GP78" s="56">
        <f t="shared" si="146"/>
        <v>810.83829300000014</v>
      </c>
      <c r="GQ78" s="56">
        <f t="shared" si="146"/>
        <v>959.75637299999983</v>
      </c>
      <c r="GR78" s="56">
        <f t="shared" si="146"/>
        <v>810.83829300000014</v>
      </c>
    </row>
    <row r="79" spans="1:200" x14ac:dyDescent="0.2">
      <c r="A79" s="118">
        <v>69</v>
      </c>
      <c r="C79" s="128">
        <v>3.6947999999999999</v>
      </c>
      <c r="D79" s="128">
        <v>1.9933000000000001</v>
      </c>
      <c r="E79" s="128">
        <v>0</v>
      </c>
      <c r="F79" s="128">
        <v>4343.1391999999996</v>
      </c>
      <c r="G79" s="128">
        <v>1494.42</v>
      </c>
      <c r="H79" s="49">
        <f t="shared" si="123"/>
        <v>3700.0466159999996</v>
      </c>
      <c r="I79" s="49">
        <f t="shared" si="123"/>
        <v>3782.4860800000001</v>
      </c>
      <c r="J79" s="47">
        <f t="shared" si="123"/>
        <v>0</v>
      </c>
      <c r="K79" s="47">
        <f t="shared" si="147"/>
        <v>0</v>
      </c>
      <c r="L79" s="48">
        <f t="shared" si="148"/>
        <v>3700.0466159999996</v>
      </c>
      <c r="M79" s="48">
        <f t="shared" si="149"/>
        <v>3782.4860800000001</v>
      </c>
      <c r="N79" s="93">
        <f t="shared" si="150"/>
        <v>3700.0466159999996</v>
      </c>
      <c r="O79" s="93">
        <f t="shared" si="151"/>
        <v>3782.4860800000001</v>
      </c>
      <c r="Q79" s="128">
        <v>4.6383000000000001</v>
      </c>
      <c r="R79" s="130">
        <v>2.5259999999999998</v>
      </c>
      <c r="S79" s="128">
        <v>0</v>
      </c>
      <c r="T79" s="128">
        <v>2373.8474999999999</v>
      </c>
      <c r="U79" s="128">
        <v>982.81169999999997</v>
      </c>
      <c r="V79" s="49">
        <f t="shared" si="124"/>
        <v>2951.8605029999999</v>
      </c>
      <c r="W79" s="49">
        <f t="shared" si="124"/>
        <v>3009.7037399999999</v>
      </c>
      <c r="X79" s="47">
        <f t="shared" si="124"/>
        <v>0</v>
      </c>
      <c r="Y79" s="47">
        <f t="shared" si="152"/>
        <v>0</v>
      </c>
      <c r="Z79" s="48">
        <f t="shared" si="153"/>
        <v>2951.8605029999999</v>
      </c>
      <c r="AA79" s="48">
        <f t="shared" si="154"/>
        <v>3009.7037399999999</v>
      </c>
      <c r="AB79" s="93">
        <f t="shared" si="155"/>
        <v>2951.8605029999999</v>
      </c>
      <c r="AC79" s="93">
        <f t="shared" si="156"/>
        <v>3009.7037399999999</v>
      </c>
      <c r="AE79" s="128">
        <v>5.7375999999999996</v>
      </c>
      <c r="AF79" s="130">
        <v>2.7423000000000002</v>
      </c>
      <c r="AG79" s="128">
        <v>0</v>
      </c>
      <c r="AH79" s="128">
        <v>213.29329999999999</v>
      </c>
      <c r="AI79" s="128">
        <v>74.583299999999994</v>
      </c>
      <c r="AJ79" s="49">
        <f t="shared" si="125"/>
        <v>2639.7550079999996</v>
      </c>
      <c r="AK79" s="49">
        <f t="shared" si="125"/>
        <v>2881.4168790000003</v>
      </c>
      <c r="AL79" s="47">
        <f t="shared" si="125"/>
        <v>0</v>
      </c>
      <c r="AM79" s="47">
        <f t="shared" si="157"/>
        <v>0</v>
      </c>
      <c r="AN79" s="48">
        <f t="shared" si="158"/>
        <v>2639.7550079999996</v>
      </c>
      <c r="AO79" s="48">
        <f t="shared" si="159"/>
        <v>2881.4168790000003</v>
      </c>
      <c r="AP79" s="93">
        <f t="shared" si="160"/>
        <v>2639.7550079999996</v>
      </c>
      <c r="AQ79" s="93">
        <f t="shared" si="161"/>
        <v>2881.4168790000003</v>
      </c>
      <c r="AS79" s="128">
        <v>7.6623999999999999</v>
      </c>
      <c r="AT79" s="130">
        <v>2.8445</v>
      </c>
      <c r="AU79" s="128">
        <v>0</v>
      </c>
      <c r="AV79" s="128">
        <v>7531.4849999999997</v>
      </c>
      <c r="AW79" s="128">
        <v>3142.1882999999998</v>
      </c>
      <c r="AX79" s="49">
        <f t="shared" si="126"/>
        <v>2686.7439359999998</v>
      </c>
      <c r="AY79" s="49">
        <f t="shared" si="126"/>
        <v>2005.3156100000001</v>
      </c>
      <c r="AZ79" s="47">
        <f t="shared" si="126"/>
        <v>0</v>
      </c>
      <c r="BA79" s="47">
        <f t="shared" si="162"/>
        <v>0</v>
      </c>
      <c r="BB79" s="48">
        <f t="shared" si="163"/>
        <v>2686.7439359999998</v>
      </c>
      <c r="BC79" s="48">
        <f t="shared" si="164"/>
        <v>2005.3156100000001</v>
      </c>
      <c r="BD79" s="93">
        <f t="shared" si="165"/>
        <v>2686.7439359999998</v>
      </c>
      <c r="BE79" s="93">
        <f t="shared" si="166"/>
        <v>2005.3156100000001</v>
      </c>
      <c r="BG79" s="128">
        <v>7.0556000000000001</v>
      </c>
      <c r="BH79" s="130">
        <v>2.6366000000000001</v>
      </c>
      <c r="BI79" s="128">
        <v>0</v>
      </c>
      <c r="BJ79" s="128">
        <v>4893.7749999999996</v>
      </c>
      <c r="BK79" s="128">
        <v>2366.3000000000002</v>
      </c>
      <c r="BL79" s="49">
        <f t="shared" si="127"/>
        <v>2317.2001520000003</v>
      </c>
      <c r="BM79" s="49">
        <f t="shared" si="127"/>
        <v>1594.2992879999999</v>
      </c>
      <c r="BN79" s="47">
        <f t="shared" si="127"/>
        <v>0</v>
      </c>
      <c r="BO79" s="47">
        <f t="shared" si="167"/>
        <v>0</v>
      </c>
      <c r="BP79" s="48">
        <f t="shared" si="168"/>
        <v>2317.2001520000003</v>
      </c>
      <c r="BQ79" s="48">
        <f t="shared" si="169"/>
        <v>1594.2992879999999</v>
      </c>
      <c r="BR79" s="93">
        <f t="shared" si="170"/>
        <v>2317.2001520000003</v>
      </c>
      <c r="BS79" s="93">
        <f t="shared" si="171"/>
        <v>1594.2992879999999</v>
      </c>
      <c r="BU79" s="128">
        <v>5.4861000000000004</v>
      </c>
      <c r="BV79" s="130">
        <v>2.0756000000000001</v>
      </c>
      <c r="BW79" s="128">
        <v>0</v>
      </c>
      <c r="BX79" s="128">
        <v>6155.8842000000004</v>
      </c>
      <c r="BY79" s="128">
        <v>2379.37</v>
      </c>
      <c r="BZ79" s="49">
        <f t="shared" si="128"/>
        <v>1330.92786</v>
      </c>
      <c r="CA79" s="49">
        <f t="shared" si="128"/>
        <v>838.791472</v>
      </c>
      <c r="CB79" s="47">
        <f t="shared" si="128"/>
        <v>0</v>
      </c>
      <c r="CC79" s="47">
        <f t="shared" si="172"/>
        <v>0</v>
      </c>
      <c r="CD79" s="48">
        <f t="shared" si="173"/>
        <v>1330.92786</v>
      </c>
      <c r="CE79" s="48">
        <f t="shared" si="174"/>
        <v>838.791472</v>
      </c>
      <c r="CF79" s="93">
        <f t="shared" si="175"/>
        <v>1330.92786</v>
      </c>
      <c r="CG79" s="93">
        <f t="shared" si="176"/>
        <v>838.791472</v>
      </c>
      <c r="CI79" s="128">
        <v>1.3621000000000001</v>
      </c>
      <c r="CJ79" s="130">
        <v>1.0893999999999999</v>
      </c>
      <c r="CK79" s="128">
        <v>0</v>
      </c>
      <c r="CL79" s="128">
        <v>18853.560799999999</v>
      </c>
      <c r="CM79" s="128">
        <v>8005.7075000000004</v>
      </c>
      <c r="CN79" s="49">
        <f t="shared" si="129"/>
        <v>289.14658800000001</v>
      </c>
      <c r="CO79" s="49">
        <f t="shared" si="129"/>
        <v>300.107912</v>
      </c>
      <c r="CP79" s="47">
        <f t="shared" si="129"/>
        <v>0</v>
      </c>
      <c r="CQ79" s="47">
        <f t="shared" si="177"/>
        <v>0</v>
      </c>
      <c r="CR79" s="48">
        <f t="shared" si="178"/>
        <v>289.14658800000001</v>
      </c>
      <c r="CS79" s="48">
        <f t="shared" si="179"/>
        <v>300.107912</v>
      </c>
      <c r="CT79" s="93">
        <f t="shared" si="180"/>
        <v>289.14658800000001</v>
      </c>
      <c r="CU79" s="93">
        <f t="shared" si="181"/>
        <v>300.107912</v>
      </c>
      <c r="CW79" s="128">
        <v>2.9146000000000001</v>
      </c>
      <c r="CX79" s="130">
        <v>2.3126000000000002</v>
      </c>
      <c r="CY79" s="128">
        <v>0</v>
      </c>
      <c r="CZ79" s="128">
        <v>8049.5066999999999</v>
      </c>
      <c r="DA79" s="128">
        <v>3289.6142</v>
      </c>
      <c r="DB79" s="49">
        <f t="shared" si="130"/>
        <v>625.79376600000001</v>
      </c>
      <c r="DC79" s="49">
        <f t="shared" si="130"/>
        <v>693.87250400000016</v>
      </c>
      <c r="DD79" s="47">
        <f t="shared" si="130"/>
        <v>0</v>
      </c>
      <c r="DE79" s="47">
        <f t="shared" si="182"/>
        <v>0</v>
      </c>
      <c r="DF79" s="48">
        <f t="shared" si="183"/>
        <v>625.79376600000001</v>
      </c>
      <c r="DG79" s="48">
        <f t="shared" si="184"/>
        <v>693.87250400000016</v>
      </c>
      <c r="DH79" s="93">
        <f t="shared" si="185"/>
        <v>625.79376600000001</v>
      </c>
      <c r="DI79" s="93">
        <f t="shared" si="186"/>
        <v>693.87250400000016</v>
      </c>
      <c r="DK79" s="128">
        <v>2.7721</v>
      </c>
      <c r="DL79" s="130">
        <v>2.2505000000000002</v>
      </c>
      <c r="DM79" s="128">
        <v>0</v>
      </c>
      <c r="DN79" s="128">
        <v>3475.4175</v>
      </c>
      <c r="DO79" s="128">
        <v>1515.8150000000001</v>
      </c>
      <c r="DP79" s="49">
        <f t="shared" si="131"/>
        <v>366.91515600000002</v>
      </c>
      <c r="DQ79" s="49">
        <f t="shared" si="131"/>
        <v>435.76431500000001</v>
      </c>
      <c r="DR79" s="47">
        <f t="shared" si="131"/>
        <v>0</v>
      </c>
      <c r="DS79" s="47">
        <f t="shared" si="187"/>
        <v>0</v>
      </c>
      <c r="DT79" s="48">
        <f t="shared" si="188"/>
        <v>366.91515600000002</v>
      </c>
      <c r="DU79" s="48">
        <f t="shared" si="189"/>
        <v>435.76431500000001</v>
      </c>
      <c r="DV79" s="93">
        <f t="shared" si="190"/>
        <v>366.91515600000002</v>
      </c>
      <c r="DW79" s="93">
        <f t="shared" si="191"/>
        <v>435.76431500000001</v>
      </c>
      <c r="EB79" s="52"/>
      <c r="EC79" s="52"/>
      <c r="ED79" s="52"/>
      <c r="EE79" s="55">
        <f t="shared" si="192"/>
        <v>38777.691699999996</v>
      </c>
      <c r="EF79" s="55">
        <f t="shared" si="192"/>
        <v>15931.93</v>
      </c>
      <c r="EG79" s="55">
        <f t="shared" si="192"/>
        <v>7176.5721527999995</v>
      </c>
      <c r="EH79" s="55">
        <f t="shared" si="132"/>
        <v>6643.0076052000004</v>
      </c>
      <c r="EI79" s="298">
        <f t="shared" si="133"/>
        <v>0.70879107723751633</v>
      </c>
      <c r="EJ79" s="52"/>
      <c r="EK79" s="55">
        <f t="shared" si="193"/>
        <v>7176.5721527999995</v>
      </c>
      <c r="EL79" s="55">
        <f t="shared" si="193"/>
        <v>6643.0076052000004</v>
      </c>
      <c r="EM79" s="55">
        <f t="shared" si="193"/>
        <v>7176.5721527999995</v>
      </c>
      <c r="EN79" s="55">
        <f t="shared" si="193"/>
        <v>6643.0076052000004</v>
      </c>
      <c r="EP79" s="52"/>
      <c r="EQ79" s="52"/>
      <c r="ER79" s="52"/>
      <c r="ES79" s="55">
        <f t="shared" si="134"/>
        <v>34170.689999999995</v>
      </c>
      <c r="ET79" s="55">
        <f t="shared" si="134"/>
        <v>14644.433400000002</v>
      </c>
      <c r="EU79" s="55">
        <f t="shared" si="134"/>
        <v>5996.2628791999996</v>
      </c>
      <c r="EV79" s="55">
        <f t="shared" si="134"/>
        <v>5389.8216928000002</v>
      </c>
      <c r="EW79" s="298">
        <f t="shared" si="135"/>
        <v>0.70000212270281792</v>
      </c>
      <c r="EX79" s="52"/>
      <c r="EY79" s="55">
        <f t="shared" si="136"/>
        <v>5996.2628791999996</v>
      </c>
      <c r="EZ79" s="55">
        <f t="shared" si="136"/>
        <v>5389.8216928000002</v>
      </c>
      <c r="FA79" s="55">
        <f t="shared" si="136"/>
        <v>5996.2628791999996</v>
      </c>
      <c r="FB79" s="55">
        <f t="shared" si="136"/>
        <v>5389.8216928000002</v>
      </c>
      <c r="FD79" s="52"/>
      <c r="FE79" s="52"/>
      <c r="FF79" s="52"/>
      <c r="FG79" s="55">
        <f t="shared" si="137"/>
        <v>28698.1558</v>
      </c>
      <c r="FH79" s="55">
        <f t="shared" si="137"/>
        <v>11975.4758</v>
      </c>
      <c r="FI79" s="55">
        <f t="shared" si="137"/>
        <v>4479.9785495999995</v>
      </c>
      <c r="FJ79" s="55">
        <f t="shared" si="137"/>
        <v>4281.7748520000005</v>
      </c>
      <c r="FK79" s="298">
        <f t="shared" si="138"/>
        <v>0.7055715133142918</v>
      </c>
      <c r="FL79" s="52"/>
      <c r="FM79" s="55">
        <f t="shared" si="139"/>
        <v>4479.9785495999995</v>
      </c>
      <c r="FN79" s="55">
        <f t="shared" si="139"/>
        <v>4281.7748520000005</v>
      </c>
      <c r="FO79" s="55">
        <f t="shared" si="139"/>
        <v>4479.9785495999995</v>
      </c>
      <c r="FP79" s="55">
        <f t="shared" si="139"/>
        <v>4281.7748520000005</v>
      </c>
      <c r="FR79" s="52"/>
      <c r="FS79" s="52"/>
      <c r="FT79" s="52"/>
      <c r="FU79" s="55">
        <f t="shared" si="140"/>
        <v>26903.067499999997</v>
      </c>
      <c r="FV79" s="55">
        <f t="shared" si="140"/>
        <v>11295.3217</v>
      </c>
      <c r="FW79" s="55">
        <f t="shared" si="140"/>
        <v>789.78160079999998</v>
      </c>
      <c r="FX79" s="55">
        <f t="shared" si="140"/>
        <v>855.20591520000016</v>
      </c>
      <c r="FY79" s="298">
        <f t="shared" si="141"/>
        <v>0.70429848125637717</v>
      </c>
      <c r="FZ79" s="52"/>
      <c r="GA79" s="55">
        <f t="shared" si="142"/>
        <v>789.78160079999998</v>
      </c>
      <c r="GB79" s="55">
        <f t="shared" si="142"/>
        <v>855.20591520000016</v>
      </c>
      <c r="GC79" s="55">
        <f t="shared" si="142"/>
        <v>789.78160079999998</v>
      </c>
      <c r="GD79" s="55">
        <f t="shared" si="142"/>
        <v>855.20591520000016</v>
      </c>
      <c r="GF79" s="52"/>
      <c r="GG79" s="52"/>
      <c r="GH79" s="52"/>
      <c r="GI79" s="55">
        <f t="shared" si="143"/>
        <v>13687.369200000001</v>
      </c>
      <c r="GJ79" s="55">
        <f t="shared" si="143"/>
        <v>5521.5582999999997</v>
      </c>
      <c r="GK79" s="56">
        <f t="shared" si="144"/>
        <v>1016.8620569999998</v>
      </c>
      <c r="GL79" s="56">
        <f t="shared" si="144"/>
        <v>874.89310350000017</v>
      </c>
      <c r="GM79" s="298">
        <f t="shared" si="145"/>
        <v>0.71255249414627653</v>
      </c>
      <c r="GN79" s="52"/>
      <c r="GO79" s="56">
        <f t="shared" si="146"/>
        <v>1016.8620569999998</v>
      </c>
      <c r="GP79" s="56">
        <f t="shared" si="146"/>
        <v>874.89310350000017</v>
      </c>
      <c r="GQ79" s="56">
        <f t="shared" si="146"/>
        <v>1016.8620569999998</v>
      </c>
      <c r="GR79" s="56">
        <f t="shared" si="146"/>
        <v>874.89310350000017</v>
      </c>
    </row>
    <row r="80" spans="1:200" x14ac:dyDescent="0.2">
      <c r="A80" s="118">
        <v>70</v>
      </c>
      <c r="C80" s="128">
        <v>3.8652000000000002</v>
      </c>
      <c r="D80" s="128">
        <v>2.0676999999999999</v>
      </c>
      <c r="E80" s="128">
        <v>0</v>
      </c>
      <c r="F80" s="128">
        <v>5615.3675000000003</v>
      </c>
      <c r="G80" s="128">
        <v>1915.1475</v>
      </c>
      <c r="H80" s="49">
        <f t="shared" si="123"/>
        <v>3870.688584</v>
      </c>
      <c r="I80" s="49">
        <f t="shared" si="123"/>
        <v>3923.6675199999995</v>
      </c>
      <c r="J80" s="47">
        <f t="shared" si="123"/>
        <v>0</v>
      </c>
      <c r="K80" s="47">
        <f t="shared" si="147"/>
        <v>0</v>
      </c>
      <c r="L80" s="48">
        <f t="shared" si="148"/>
        <v>3870.688584</v>
      </c>
      <c r="M80" s="48">
        <f t="shared" si="149"/>
        <v>3923.6675199999995</v>
      </c>
      <c r="N80" s="93">
        <f t="shared" si="150"/>
        <v>3870.688584</v>
      </c>
      <c r="O80" s="93">
        <f t="shared" si="151"/>
        <v>3923.6675199999995</v>
      </c>
      <c r="Q80" s="128">
        <v>4.9130000000000003</v>
      </c>
      <c r="R80" s="130">
        <v>2.6476000000000002</v>
      </c>
      <c r="S80" s="128">
        <v>0</v>
      </c>
      <c r="T80" s="128">
        <v>3044.0207999999998</v>
      </c>
      <c r="U80" s="128">
        <v>1238.0608</v>
      </c>
      <c r="V80" s="49">
        <f t="shared" si="124"/>
        <v>3126.6823300000001</v>
      </c>
      <c r="W80" s="49">
        <f t="shared" si="124"/>
        <v>3154.5889240000001</v>
      </c>
      <c r="X80" s="47">
        <f t="shared" si="124"/>
        <v>0</v>
      </c>
      <c r="Y80" s="47">
        <f t="shared" si="152"/>
        <v>0</v>
      </c>
      <c r="Z80" s="48">
        <f t="shared" si="153"/>
        <v>3126.6823300000001</v>
      </c>
      <c r="AA80" s="48">
        <f t="shared" si="154"/>
        <v>3154.5889240000001</v>
      </c>
      <c r="AB80" s="93">
        <f t="shared" si="155"/>
        <v>3126.6823300000001</v>
      </c>
      <c r="AC80" s="93">
        <f t="shared" si="156"/>
        <v>3154.5889240000001</v>
      </c>
      <c r="AE80" s="128">
        <v>5.9928999999999997</v>
      </c>
      <c r="AF80" s="130">
        <v>2.8222</v>
      </c>
      <c r="AG80" s="128">
        <v>0</v>
      </c>
      <c r="AH80" s="128">
        <v>284.02330000000001</v>
      </c>
      <c r="AI80" s="128">
        <v>111.75</v>
      </c>
      <c r="AJ80" s="49">
        <f t="shared" si="125"/>
        <v>2757.2134319999996</v>
      </c>
      <c r="AK80" s="49">
        <f t="shared" si="125"/>
        <v>2965.3702060000001</v>
      </c>
      <c r="AL80" s="47">
        <f t="shared" si="125"/>
        <v>0</v>
      </c>
      <c r="AM80" s="47">
        <f t="shared" si="157"/>
        <v>0</v>
      </c>
      <c r="AN80" s="48">
        <f t="shared" si="158"/>
        <v>2757.2134319999996</v>
      </c>
      <c r="AO80" s="48">
        <f t="shared" si="159"/>
        <v>2965.3702060000001</v>
      </c>
      <c r="AP80" s="93">
        <f t="shared" si="160"/>
        <v>2757.2134319999996</v>
      </c>
      <c r="AQ80" s="93">
        <f t="shared" si="161"/>
        <v>2965.3702060000001</v>
      </c>
      <c r="AS80" s="128">
        <v>8.1424000000000003</v>
      </c>
      <c r="AT80" s="130">
        <v>3.0417999999999998</v>
      </c>
      <c r="AU80" s="128">
        <v>0</v>
      </c>
      <c r="AV80" s="128">
        <v>10020.441699999999</v>
      </c>
      <c r="AW80" s="128">
        <v>4217.7275</v>
      </c>
      <c r="AX80" s="49">
        <f t="shared" si="126"/>
        <v>2855.051136</v>
      </c>
      <c r="AY80" s="49">
        <f t="shared" si="126"/>
        <v>2144.4081639999999</v>
      </c>
      <c r="AZ80" s="47">
        <f t="shared" si="126"/>
        <v>0</v>
      </c>
      <c r="BA80" s="47">
        <f t="shared" si="162"/>
        <v>0</v>
      </c>
      <c r="BB80" s="48">
        <f t="shared" si="163"/>
        <v>2855.051136</v>
      </c>
      <c r="BC80" s="48">
        <f t="shared" si="164"/>
        <v>2144.4081639999999</v>
      </c>
      <c r="BD80" s="93">
        <f t="shared" si="165"/>
        <v>2855.051136</v>
      </c>
      <c r="BE80" s="93">
        <f t="shared" si="166"/>
        <v>2144.4081639999999</v>
      </c>
      <c r="BG80" s="128">
        <v>7.4558999999999997</v>
      </c>
      <c r="BH80" s="130">
        <v>2.7751999999999999</v>
      </c>
      <c r="BI80" s="128">
        <v>0</v>
      </c>
      <c r="BJ80" s="128">
        <v>6429.8867</v>
      </c>
      <c r="BK80" s="128">
        <v>3142.5567000000001</v>
      </c>
      <c r="BL80" s="49">
        <f t="shared" si="127"/>
        <v>2448.666678</v>
      </c>
      <c r="BM80" s="49">
        <f t="shared" si="127"/>
        <v>1678.1079359999999</v>
      </c>
      <c r="BN80" s="47">
        <f t="shared" si="127"/>
        <v>0</v>
      </c>
      <c r="BO80" s="47">
        <f t="shared" si="167"/>
        <v>0</v>
      </c>
      <c r="BP80" s="48">
        <f t="shared" si="168"/>
        <v>2448.666678</v>
      </c>
      <c r="BQ80" s="48">
        <f t="shared" si="169"/>
        <v>1678.1079359999999</v>
      </c>
      <c r="BR80" s="93">
        <f t="shared" si="170"/>
        <v>2448.666678</v>
      </c>
      <c r="BS80" s="93">
        <f t="shared" si="171"/>
        <v>1678.1079359999999</v>
      </c>
      <c r="BU80" s="128">
        <v>5.8716999999999997</v>
      </c>
      <c r="BV80" s="130">
        <v>2.1972</v>
      </c>
      <c r="BW80" s="128">
        <v>0</v>
      </c>
      <c r="BX80" s="128">
        <v>7833.9207999999999</v>
      </c>
      <c r="BY80" s="128">
        <v>2922.24</v>
      </c>
      <c r="BZ80" s="49">
        <f t="shared" si="128"/>
        <v>1424.4744199999998</v>
      </c>
      <c r="CA80" s="49">
        <f t="shared" si="128"/>
        <v>887.93246399999998</v>
      </c>
      <c r="CB80" s="47">
        <f t="shared" si="128"/>
        <v>0</v>
      </c>
      <c r="CC80" s="47">
        <f t="shared" si="172"/>
        <v>0</v>
      </c>
      <c r="CD80" s="48">
        <f t="shared" si="173"/>
        <v>1424.4744199999998</v>
      </c>
      <c r="CE80" s="48">
        <f t="shared" si="174"/>
        <v>887.93246399999998</v>
      </c>
      <c r="CF80" s="93">
        <f t="shared" si="175"/>
        <v>1424.4744199999998</v>
      </c>
      <c r="CG80" s="93">
        <f t="shared" si="176"/>
        <v>887.93246399999998</v>
      </c>
      <c r="CI80" s="128">
        <v>1.3675999999999999</v>
      </c>
      <c r="CJ80" s="130">
        <v>1.0828</v>
      </c>
      <c r="CK80" s="128">
        <v>0</v>
      </c>
      <c r="CL80" s="128">
        <v>24637.860799999999</v>
      </c>
      <c r="CM80" s="128">
        <v>10429.6908</v>
      </c>
      <c r="CN80" s="49">
        <f t="shared" si="129"/>
        <v>290.31412799999998</v>
      </c>
      <c r="CO80" s="49">
        <f t="shared" si="129"/>
        <v>298.28974400000004</v>
      </c>
      <c r="CP80" s="47">
        <f t="shared" si="129"/>
        <v>0</v>
      </c>
      <c r="CQ80" s="47">
        <f t="shared" si="177"/>
        <v>0</v>
      </c>
      <c r="CR80" s="48">
        <f t="shared" si="178"/>
        <v>290.31412799999998</v>
      </c>
      <c r="CS80" s="48">
        <f t="shared" si="179"/>
        <v>298.28974400000004</v>
      </c>
      <c r="CT80" s="93">
        <f t="shared" si="180"/>
        <v>290.31412799999998</v>
      </c>
      <c r="CU80" s="93">
        <f t="shared" si="181"/>
        <v>298.28974400000004</v>
      </c>
      <c r="CW80" s="128">
        <v>2.9348000000000001</v>
      </c>
      <c r="CX80" s="130">
        <v>2.3319999999999999</v>
      </c>
      <c r="CY80" s="128">
        <v>6.9999999999999999E-4</v>
      </c>
      <c r="CZ80" s="128">
        <v>10463.4683</v>
      </c>
      <c r="DA80" s="128">
        <v>4377.34</v>
      </c>
      <c r="DB80" s="49">
        <f t="shared" si="130"/>
        <v>630.13090800000009</v>
      </c>
      <c r="DC80" s="49">
        <f t="shared" si="130"/>
        <v>699.69327999999996</v>
      </c>
      <c r="DD80" s="47">
        <f t="shared" si="130"/>
        <v>1.8900000000000001E-4</v>
      </c>
      <c r="DE80" s="47">
        <f t="shared" si="182"/>
        <v>9.9443243034168667E-5</v>
      </c>
      <c r="DF80" s="48">
        <f t="shared" si="183"/>
        <v>630.13100744324311</v>
      </c>
      <c r="DG80" s="48">
        <f t="shared" si="184"/>
        <v>699.693190443243</v>
      </c>
      <c r="DH80" s="93">
        <f t="shared" si="185"/>
        <v>630.13090800000009</v>
      </c>
      <c r="DI80" s="93">
        <f t="shared" si="186"/>
        <v>699.69309099999998</v>
      </c>
      <c r="DK80" s="128">
        <v>2.8216999999999999</v>
      </c>
      <c r="DL80" s="130">
        <v>2.3096999999999999</v>
      </c>
      <c r="DM80" s="128">
        <v>0</v>
      </c>
      <c r="DN80" s="128">
        <v>4556.1142</v>
      </c>
      <c r="DO80" s="128">
        <v>2046.3616999999999</v>
      </c>
      <c r="DP80" s="49">
        <f t="shared" si="131"/>
        <v>373.48021199999999</v>
      </c>
      <c r="DQ80" s="49">
        <f t="shared" si="131"/>
        <v>447.22721099999995</v>
      </c>
      <c r="DR80" s="47">
        <f t="shared" si="131"/>
        <v>0</v>
      </c>
      <c r="DS80" s="47">
        <f t="shared" si="187"/>
        <v>0</v>
      </c>
      <c r="DT80" s="48">
        <f t="shared" si="188"/>
        <v>373.48021199999999</v>
      </c>
      <c r="DU80" s="48">
        <f t="shared" si="189"/>
        <v>447.22721099999995</v>
      </c>
      <c r="DV80" s="93">
        <f t="shared" si="190"/>
        <v>373.48021199999999</v>
      </c>
      <c r="DW80" s="93">
        <f t="shared" si="191"/>
        <v>447.22721099999995</v>
      </c>
      <c r="EB80" s="52"/>
      <c r="EC80" s="52"/>
      <c r="ED80" s="52"/>
      <c r="EE80" s="55">
        <f t="shared" si="192"/>
        <v>50737.138299999999</v>
      </c>
      <c r="EF80" s="55">
        <f t="shared" si="192"/>
        <v>20939.9058</v>
      </c>
      <c r="EG80" s="55">
        <f t="shared" si="192"/>
        <v>7520.1585743999995</v>
      </c>
      <c r="EH80" s="55">
        <f t="shared" si="132"/>
        <v>6926.1200519999993</v>
      </c>
      <c r="EI80" s="298">
        <f t="shared" si="133"/>
        <v>0.70785757053840337</v>
      </c>
      <c r="EJ80" s="52"/>
      <c r="EK80" s="55">
        <f t="shared" si="193"/>
        <v>7520.1586539545942</v>
      </c>
      <c r="EL80" s="55">
        <f t="shared" si="193"/>
        <v>6926.1199803545933</v>
      </c>
      <c r="EM80" s="55">
        <f t="shared" si="193"/>
        <v>7520.1585743999995</v>
      </c>
      <c r="EN80" s="55">
        <f t="shared" si="193"/>
        <v>6926.1199007999994</v>
      </c>
      <c r="EP80" s="52"/>
      <c r="EQ80" s="52"/>
      <c r="ER80" s="52"/>
      <c r="ES80" s="55">
        <f t="shared" si="134"/>
        <v>44575.236599999997</v>
      </c>
      <c r="ET80" s="55">
        <f t="shared" si="134"/>
        <v>19187.648300000001</v>
      </c>
      <c r="EU80" s="55">
        <f t="shared" si="134"/>
        <v>6306.7547715999999</v>
      </c>
      <c r="EV80" s="55">
        <f t="shared" si="134"/>
        <v>5620.7718999999997</v>
      </c>
      <c r="EW80" s="298">
        <f t="shared" si="135"/>
        <v>0.69907810272241933</v>
      </c>
      <c r="EX80" s="52"/>
      <c r="EY80" s="55">
        <f t="shared" si="136"/>
        <v>6306.7548412102706</v>
      </c>
      <c r="EZ80" s="55">
        <f t="shared" si="136"/>
        <v>5620.7718373102698</v>
      </c>
      <c r="FA80" s="55">
        <f t="shared" si="136"/>
        <v>6306.7547715999999</v>
      </c>
      <c r="FB80" s="55">
        <f t="shared" si="136"/>
        <v>5620.7717677000001</v>
      </c>
      <c r="FD80" s="52"/>
      <c r="FE80" s="52"/>
      <c r="FF80" s="52"/>
      <c r="FG80" s="55">
        <f t="shared" si="137"/>
        <v>37311.919099999999</v>
      </c>
      <c r="FH80" s="55">
        <f t="shared" si="137"/>
        <v>15510.0425</v>
      </c>
      <c r="FI80" s="55">
        <f t="shared" si="137"/>
        <v>4696.0901071999988</v>
      </c>
      <c r="FJ80" s="55">
        <f t="shared" si="137"/>
        <v>4419.9287405999994</v>
      </c>
      <c r="FK80" s="298">
        <f t="shared" si="138"/>
        <v>0.70637132680812831</v>
      </c>
      <c r="FL80" s="52"/>
      <c r="FM80" s="55">
        <f t="shared" si="139"/>
        <v>4696.0901071999988</v>
      </c>
      <c r="FN80" s="55">
        <f t="shared" si="139"/>
        <v>4419.9287405999994</v>
      </c>
      <c r="FO80" s="55">
        <f t="shared" si="139"/>
        <v>4696.0901071999988</v>
      </c>
      <c r="FP80" s="55">
        <f t="shared" si="139"/>
        <v>4419.9287405999994</v>
      </c>
      <c r="FR80" s="52"/>
      <c r="FS80" s="52"/>
      <c r="FT80" s="52"/>
      <c r="FU80" s="55">
        <f t="shared" si="140"/>
        <v>35101.329100000003</v>
      </c>
      <c r="FV80" s="55">
        <f t="shared" si="140"/>
        <v>14807.0308</v>
      </c>
      <c r="FW80" s="55">
        <f t="shared" si="140"/>
        <v>794.4188544000001</v>
      </c>
      <c r="FX80" s="55">
        <f t="shared" si="140"/>
        <v>858.04436800000008</v>
      </c>
      <c r="FY80" s="298">
        <f t="shared" si="141"/>
        <v>0.70331562027547212</v>
      </c>
      <c r="FZ80" s="52"/>
      <c r="GA80" s="55">
        <f t="shared" si="142"/>
        <v>794.41893395459442</v>
      </c>
      <c r="GB80" s="55">
        <f t="shared" si="142"/>
        <v>858.04429635459451</v>
      </c>
      <c r="GC80" s="55">
        <f t="shared" si="142"/>
        <v>794.4188544000001</v>
      </c>
      <c r="GD80" s="55">
        <f t="shared" si="142"/>
        <v>858.04421680000007</v>
      </c>
      <c r="GF80" s="52"/>
      <c r="GG80" s="52"/>
      <c r="GH80" s="52"/>
      <c r="GI80" s="55">
        <f t="shared" si="143"/>
        <v>17854.362499999999</v>
      </c>
      <c r="GJ80" s="55">
        <f t="shared" si="143"/>
        <v>7139.9674999999997</v>
      </c>
      <c r="GK80" s="56">
        <f t="shared" si="144"/>
        <v>1072.9325370000001</v>
      </c>
      <c r="GL80" s="56">
        <f t="shared" si="144"/>
        <v>942.35677499999997</v>
      </c>
      <c r="GM80" s="298">
        <f t="shared" si="145"/>
        <v>0.7143365115208129</v>
      </c>
      <c r="GN80" s="52"/>
      <c r="GO80" s="56">
        <f t="shared" si="146"/>
        <v>1072.9325370000001</v>
      </c>
      <c r="GP80" s="56">
        <f t="shared" si="146"/>
        <v>942.35677499999997</v>
      </c>
      <c r="GQ80" s="56">
        <f t="shared" si="146"/>
        <v>1072.9325370000001</v>
      </c>
      <c r="GR80" s="56">
        <f t="shared" si="146"/>
        <v>942.35677499999997</v>
      </c>
    </row>
    <row r="81" spans="1:200" x14ac:dyDescent="0.2">
      <c r="A81" s="118">
        <v>71</v>
      </c>
      <c r="C81" s="128">
        <v>4.0362999999999998</v>
      </c>
      <c r="D81" s="128">
        <v>2.1425999999999998</v>
      </c>
      <c r="E81" s="128">
        <v>0</v>
      </c>
      <c r="F81" s="128">
        <v>5076.5974999999999</v>
      </c>
      <c r="G81" s="128">
        <v>1878.5474999999999</v>
      </c>
      <c r="H81" s="49">
        <f t="shared" si="123"/>
        <v>4042.0315459999997</v>
      </c>
      <c r="I81" s="49">
        <f t="shared" si="123"/>
        <v>4065.7977599999995</v>
      </c>
      <c r="J81" s="47">
        <f t="shared" si="123"/>
        <v>0</v>
      </c>
      <c r="K81" s="47">
        <f t="shared" si="147"/>
        <v>0</v>
      </c>
      <c r="L81" s="48">
        <f t="shared" si="148"/>
        <v>4042.0315459999997</v>
      </c>
      <c r="M81" s="48">
        <f t="shared" si="149"/>
        <v>4065.7977599999995</v>
      </c>
      <c r="N81" s="93">
        <f t="shared" si="150"/>
        <v>4042.0315459999997</v>
      </c>
      <c r="O81" s="93">
        <f t="shared" si="151"/>
        <v>4065.7977599999995</v>
      </c>
      <c r="Q81" s="128">
        <v>5.2065000000000001</v>
      </c>
      <c r="R81" s="130">
        <v>2.7816000000000001</v>
      </c>
      <c r="S81" s="128">
        <v>0</v>
      </c>
      <c r="T81" s="128">
        <v>2893.4866999999999</v>
      </c>
      <c r="U81" s="128">
        <v>1126.1975</v>
      </c>
      <c r="V81" s="49">
        <f t="shared" si="124"/>
        <v>3313.4686649999999</v>
      </c>
      <c r="W81" s="49">
        <f t="shared" si="124"/>
        <v>3314.2485839999999</v>
      </c>
      <c r="X81" s="47">
        <f t="shared" si="124"/>
        <v>0</v>
      </c>
      <c r="Y81" s="47">
        <f t="shared" si="152"/>
        <v>0</v>
      </c>
      <c r="Z81" s="48">
        <f t="shared" si="153"/>
        <v>3313.4686649999999</v>
      </c>
      <c r="AA81" s="48">
        <f t="shared" si="154"/>
        <v>3314.2485839999999</v>
      </c>
      <c r="AB81" s="93">
        <f t="shared" si="155"/>
        <v>3313.4686649999999</v>
      </c>
      <c r="AC81" s="93">
        <f t="shared" si="156"/>
        <v>3314.2485839999999</v>
      </c>
      <c r="AE81" s="128">
        <v>6.2591999999999999</v>
      </c>
      <c r="AF81" s="130">
        <v>2.9036</v>
      </c>
      <c r="AG81" s="128">
        <v>0</v>
      </c>
      <c r="AH81" s="128">
        <v>270.29919999999998</v>
      </c>
      <c r="AI81" s="128">
        <v>106</v>
      </c>
      <c r="AJ81" s="49">
        <f t="shared" si="125"/>
        <v>2879.7327359999999</v>
      </c>
      <c r="AK81" s="49">
        <f t="shared" si="125"/>
        <v>3050.8996280000001</v>
      </c>
      <c r="AL81" s="47">
        <f t="shared" si="125"/>
        <v>0</v>
      </c>
      <c r="AM81" s="47">
        <f t="shared" si="157"/>
        <v>0</v>
      </c>
      <c r="AN81" s="48">
        <f t="shared" si="158"/>
        <v>2879.7327359999999</v>
      </c>
      <c r="AO81" s="48">
        <f t="shared" si="159"/>
        <v>3050.8996280000001</v>
      </c>
      <c r="AP81" s="93">
        <f t="shared" si="160"/>
        <v>2879.7327359999999</v>
      </c>
      <c r="AQ81" s="93">
        <f t="shared" si="161"/>
        <v>3050.8996280000001</v>
      </c>
      <c r="AS81" s="128">
        <v>8.6403999999999996</v>
      </c>
      <c r="AT81" s="130">
        <v>3.2494999999999998</v>
      </c>
      <c r="AU81" s="128">
        <v>0</v>
      </c>
      <c r="AV81" s="128">
        <v>9362.14</v>
      </c>
      <c r="AW81" s="128">
        <v>4118.2849999999999</v>
      </c>
      <c r="AX81" s="49">
        <f t="shared" si="126"/>
        <v>3029.669856</v>
      </c>
      <c r="AY81" s="49">
        <f t="shared" si="126"/>
        <v>2290.8325099999997</v>
      </c>
      <c r="AZ81" s="47">
        <f t="shared" si="126"/>
        <v>0</v>
      </c>
      <c r="BA81" s="47">
        <f t="shared" si="162"/>
        <v>0</v>
      </c>
      <c r="BB81" s="48">
        <f t="shared" si="163"/>
        <v>3029.669856</v>
      </c>
      <c r="BC81" s="48">
        <f t="shared" si="164"/>
        <v>2290.8325099999997</v>
      </c>
      <c r="BD81" s="93">
        <f t="shared" si="165"/>
        <v>3029.669856</v>
      </c>
      <c r="BE81" s="93">
        <f t="shared" si="166"/>
        <v>2290.8325099999997</v>
      </c>
      <c r="BG81" s="128">
        <v>7.8638000000000003</v>
      </c>
      <c r="BH81" s="130">
        <v>2.9184000000000001</v>
      </c>
      <c r="BI81" s="128">
        <v>0</v>
      </c>
      <c r="BJ81" s="128">
        <v>5990.2057999999997</v>
      </c>
      <c r="BK81" s="128">
        <v>3113.1342</v>
      </c>
      <c r="BL81" s="49">
        <f t="shared" si="127"/>
        <v>2582.6291960000003</v>
      </c>
      <c r="BM81" s="49">
        <f t="shared" si="127"/>
        <v>1764.6981119999998</v>
      </c>
      <c r="BN81" s="47">
        <f t="shared" si="127"/>
        <v>0</v>
      </c>
      <c r="BO81" s="47">
        <f t="shared" si="167"/>
        <v>0</v>
      </c>
      <c r="BP81" s="48">
        <f t="shared" si="168"/>
        <v>2582.6291960000003</v>
      </c>
      <c r="BQ81" s="48">
        <f t="shared" si="169"/>
        <v>1764.6981119999998</v>
      </c>
      <c r="BR81" s="93">
        <f t="shared" si="170"/>
        <v>2582.6291960000003</v>
      </c>
      <c r="BS81" s="93">
        <f t="shared" si="171"/>
        <v>1764.6981119999998</v>
      </c>
      <c r="BU81" s="128">
        <v>6.3109999999999999</v>
      </c>
      <c r="BV81" s="130">
        <v>2.3107000000000002</v>
      </c>
      <c r="BW81" s="128">
        <v>0</v>
      </c>
      <c r="BX81" s="128">
        <v>7399.7425000000003</v>
      </c>
      <c r="BY81" s="128">
        <v>2717.4841999999999</v>
      </c>
      <c r="BZ81" s="49">
        <f t="shared" si="128"/>
        <v>1531.0485999999999</v>
      </c>
      <c r="CA81" s="49">
        <f t="shared" si="128"/>
        <v>933.80008400000008</v>
      </c>
      <c r="CB81" s="47">
        <f t="shared" si="128"/>
        <v>0</v>
      </c>
      <c r="CC81" s="47">
        <f t="shared" si="172"/>
        <v>0</v>
      </c>
      <c r="CD81" s="48">
        <f t="shared" si="173"/>
        <v>1531.0485999999999</v>
      </c>
      <c r="CE81" s="48">
        <f t="shared" si="174"/>
        <v>933.80008400000008</v>
      </c>
      <c r="CF81" s="93">
        <f t="shared" si="175"/>
        <v>1531.0485999999999</v>
      </c>
      <c r="CG81" s="93">
        <f t="shared" si="176"/>
        <v>933.80008400000008</v>
      </c>
      <c r="CI81" s="128">
        <v>1.3704000000000001</v>
      </c>
      <c r="CJ81" s="130">
        <v>1.0724</v>
      </c>
      <c r="CK81" s="128">
        <v>0</v>
      </c>
      <c r="CL81" s="128">
        <v>23119.771700000001</v>
      </c>
      <c r="CM81" s="128">
        <v>10057.486699999999</v>
      </c>
      <c r="CN81" s="49">
        <f t="shared" si="129"/>
        <v>290.90851200000003</v>
      </c>
      <c r="CO81" s="49">
        <f t="shared" si="129"/>
        <v>295.42475200000001</v>
      </c>
      <c r="CP81" s="47">
        <f t="shared" si="129"/>
        <v>0</v>
      </c>
      <c r="CQ81" s="47">
        <f t="shared" si="177"/>
        <v>0</v>
      </c>
      <c r="CR81" s="48">
        <f t="shared" si="178"/>
        <v>290.90851200000003</v>
      </c>
      <c r="CS81" s="48">
        <f t="shared" si="179"/>
        <v>295.42475200000001</v>
      </c>
      <c r="CT81" s="93">
        <f t="shared" si="180"/>
        <v>290.90851200000003</v>
      </c>
      <c r="CU81" s="93">
        <f t="shared" si="181"/>
        <v>295.42475200000001</v>
      </c>
      <c r="CW81" s="128">
        <v>2.9518</v>
      </c>
      <c r="CX81" s="130">
        <v>2.3441999999999998</v>
      </c>
      <c r="CY81" s="128">
        <v>1.1999999999999999E-3</v>
      </c>
      <c r="CZ81" s="128">
        <v>9777.8024999999998</v>
      </c>
      <c r="DA81" s="128">
        <v>4048.2725</v>
      </c>
      <c r="DB81" s="49">
        <f t="shared" si="130"/>
        <v>633.780978</v>
      </c>
      <c r="DC81" s="49">
        <f t="shared" si="130"/>
        <v>703.35376799999995</v>
      </c>
      <c r="DD81" s="47">
        <f t="shared" si="130"/>
        <v>3.2400000000000001E-4</v>
      </c>
      <c r="DE81" s="47">
        <f t="shared" si="182"/>
        <v>1.7042906222706144E-4</v>
      </c>
      <c r="DF81" s="48">
        <f t="shared" si="183"/>
        <v>633.78114842906223</v>
      </c>
      <c r="DG81" s="48">
        <f t="shared" si="184"/>
        <v>703.35361442906219</v>
      </c>
      <c r="DH81" s="93">
        <f t="shared" si="185"/>
        <v>633.780978</v>
      </c>
      <c r="DI81" s="93">
        <f t="shared" si="186"/>
        <v>703.35344399999997</v>
      </c>
      <c r="DK81" s="128">
        <v>2.8795000000000002</v>
      </c>
      <c r="DL81" s="130">
        <v>2.3563000000000001</v>
      </c>
      <c r="DM81" s="128">
        <v>0</v>
      </c>
      <c r="DN81" s="128">
        <v>4353.2142000000003</v>
      </c>
      <c r="DO81" s="128">
        <v>1933.0166999999999</v>
      </c>
      <c r="DP81" s="49">
        <f t="shared" si="131"/>
        <v>381.13062000000008</v>
      </c>
      <c r="DQ81" s="49">
        <f t="shared" si="131"/>
        <v>456.25036899999998</v>
      </c>
      <c r="DR81" s="47">
        <f t="shared" si="131"/>
        <v>0</v>
      </c>
      <c r="DS81" s="47">
        <f t="shared" si="187"/>
        <v>0</v>
      </c>
      <c r="DT81" s="48">
        <f t="shared" si="188"/>
        <v>381.13062000000008</v>
      </c>
      <c r="DU81" s="48">
        <f t="shared" si="189"/>
        <v>456.25036899999998</v>
      </c>
      <c r="DV81" s="93">
        <f t="shared" si="190"/>
        <v>381.13062000000008</v>
      </c>
      <c r="DW81" s="93">
        <f t="shared" si="191"/>
        <v>456.25036899999998</v>
      </c>
      <c r="EB81" s="52"/>
      <c r="EC81" s="52"/>
      <c r="ED81" s="52"/>
      <c r="EE81" s="55">
        <f t="shared" si="192"/>
        <v>47336.311699999998</v>
      </c>
      <c r="EF81" s="55">
        <f t="shared" si="192"/>
        <v>20102.591699999997</v>
      </c>
      <c r="EG81" s="55">
        <f t="shared" si="192"/>
        <v>7869.6346963999995</v>
      </c>
      <c r="EH81" s="55">
        <f t="shared" si="132"/>
        <v>7214.7380363999991</v>
      </c>
      <c r="EI81" s="298">
        <f t="shared" si="133"/>
        <v>0.70191401866715408</v>
      </c>
      <c r="EJ81" s="52"/>
      <c r="EK81" s="55">
        <f t="shared" si="193"/>
        <v>7869.6348327432497</v>
      </c>
      <c r="EL81" s="55">
        <f t="shared" si="193"/>
        <v>7214.7379135432493</v>
      </c>
      <c r="EM81" s="55">
        <f t="shared" si="193"/>
        <v>7869.6346963999995</v>
      </c>
      <c r="EN81" s="55">
        <f t="shared" si="193"/>
        <v>7214.7377772</v>
      </c>
      <c r="EP81" s="52"/>
      <c r="EQ81" s="52"/>
      <c r="ER81" s="52"/>
      <c r="ES81" s="55">
        <f t="shared" si="134"/>
        <v>41781.2667</v>
      </c>
      <c r="ET81" s="55">
        <f t="shared" si="134"/>
        <v>18345.090899999999</v>
      </c>
      <c r="EU81" s="55">
        <f t="shared" si="134"/>
        <v>6630.6530576000005</v>
      </c>
      <c r="EV81" s="55">
        <f t="shared" si="134"/>
        <v>5866.7190855999997</v>
      </c>
      <c r="EW81" s="298">
        <f t="shared" si="135"/>
        <v>0.69489103228165605</v>
      </c>
      <c r="EX81" s="52"/>
      <c r="EY81" s="55">
        <f t="shared" si="136"/>
        <v>6630.6531769003441</v>
      </c>
      <c r="EZ81" s="55">
        <f t="shared" si="136"/>
        <v>5866.7189781003435</v>
      </c>
      <c r="FA81" s="55">
        <f t="shared" si="136"/>
        <v>6630.6530576000005</v>
      </c>
      <c r="FB81" s="55">
        <f t="shared" si="136"/>
        <v>5866.7188587999999</v>
      </c>
      <c r="FD81" s="52"/>
      <c r="FE81" s="52"/>
      <c r="FF81" s="52"/>
      <c r="FG81" s="55">
        <f t="shared" si="137"/>
        <v>35143.027600000001</v>
      </c>
      <c r="FH81" s="55">
        <f t="shared" si="137"/>
        <v>14813.9876</v>
      </c>
      <c r="FI81" s="55">
        <f t="shared" si="137"/>
        <v>4930.3682200000003</v>
      </c>
      <c r="FJ81" s="55">
        <f t="shared" si="137"/>
        <v>4553.8746854000001</v>
      </c>
      <c r="FK81" s="298">
        <f t="shared" si="138"/>
        <v>0.70346531832029868</v>
      </c>
      <c r="FL81" s="52"/>
      <c r="FM81" s="55">
        <f t="shared" si="139"/>
        <v>4930.3682200000003</v>
      </c>
      <c r="FN81" s="55">
        <f t="shared" si="139"/>
        <v>4553.8746854000001</v>
      </c>
      <c r="FO81" s="55">
        <f t="shared" si="139"/>
        <v>4930.3682200000003</v>
      </c>
      <c r="FP81" s="55">
        <f t="shared" si="139"/>
        <v>4553.8746854000001</v>
      </c>
      <c r="FR81" s="52"/>
      <c r="FS81" s="52"/>
      <c r="FT81" s="52"/>
      <c r="FU81" s="55">
        <f t="shared" si="140"/>
        <v>32897.574200000003</v>
      </c>
      <c r="FV81" s="55">
        <f t="shared" si="140"/>
        <v>14105.7592</v>
      </c>
      <c r="FW81" s="55">
        <f t="shared" si="140"/>
        <v>797.93329440000002</v>
      </c>
      <c r="FX81" s="55">
        <f t="shared" si="140"/>
        <v>858.10776639999995</v>
      </c>
      <c r="FY81" s="298">
        <f t="shared" si="141"/>
        <v>0.69989874803219809</v>
      </c>
      <c r="FZ81" s="52"/>
      <c r="GA81" s="55">
        <f t="shared" si="142"/>
        <v>797.9334307432498</v>
      </c>
      <c r="GB81" s="55">
        <f t="shared" si="142"/>
        <v>858.10764354324976</v>
      </c>
      <c r="GC81" s="55">
        <f t="shared" si="142"/>
        <v>797.93329440000002</v>
      </c>
      <c r="GD81" s="55">
        <f t="shared" si="142"/>
        <v>858.10750719999999</v>
      </c>
      <c r="GF81" s="52"/>
      <c r="GG81" s="52"/>
      <c r="GH81" s="52"/>
      <c r="GI81" s="55">
        <f t="shared" si="143"/>
        <v>16761.8825</v>
      </c>
      <c r="GJ81" s="55">
        <f t="shared" si="143"/>
        <v>6835.7691999999997</v>
      </c>
      <c r="GK81" s="56">
        <f t="shared" si="144"/>
        <v>1123.965942</v>
      </c>
      <c r="GL81" s="56">
        <f t="shared" si="144"/>
        <v>1017.7743194999998</v>
      </c>
      <c r="GM81" s="298">
        <f t="shared" si="145"/>
        <v>0.71031993831826923</v>
      </c>
      <c r="GN81" s="52"/>
      <c r="GO81" s="56">
        <f t="shared" si="146"/>
        <v>1123.965942</v>
      </c>
      <c r="GP81" s="56">
        <f t="shared" si="146"/>
        <v>1017.7743194999998</v>
      </c>
      <c r="GQ81" s="56">
        <f t="shared" si="146"/>
        <v>1123.965942</v>
      </c>
      <c r="GR81" s="56">
        <f t="shared" si="146"/>
        <v>1017.7743194999998</v>
      </c>
    </row>
    <row r="82" spans="1:200" x14ac:dyDescent="0.2">
      <c r="A82" s="118">
        <v>72</v>
      </c>
      <c r="C82" s="128">
        <v>4.2077</v>
      </c>
      <c r="D82" s="128">
        <v>2.2176</v>
      </c>
      <c r="E82" s="128">
        <v>0</v>
      </c>
      <c r="F82" s="128">
        <v>4280.0766999999996</v>
      </c>
      <c r="G82" s="128">
        <v>1534.6925000000001</v>
      </c>
      <c r="H82" s="49">
        <f t="shared" si="123"/>
        <v>4213.6749339999997</v>
      </c>
      <c r="I82" s="49">
        <f t="shared" si="123"/>
        <v>4208.1177600000001</v>
      </c>
      <c r="J82" s="47">
        <f t="shared" si="123"/>
        <v>0</v>
      </c>
      <c r="K82" s="47">
        <f t="shared" si="147"/>
        <v>0</v>
      </c>
      <c r="L82" s="48">
        <f t="shared" si="148"/>
        <v>4213.6749339999997</v>
      </c>
      <c r="M82" s="48">
        <f t="shared" si="149"/>
        <v>4208.1177600000001</v>
      </c>
      <c r="N82" s="93">
        <f t="shared" si="150"/>
        <v>4213.6749339999997</v>
      </c>
      <c r="O82" s="93">
        <f t="shared" si="151"/>
        <v>4208.1177600000001</v>
      </c>
      <c r="Q82" s="128">
        <v>5.5179</v>
      </c>
      <c r="R82" s="130">
        <v>2.9079000000000002</v>
      </c>
      <c r="S82" s="128">
        <v>0</v>
      </c>
      <c r="T82" s="128">
        <v>2407.5808000000002</v>
      </c>
      <c r="U82" s="128">
        <v>966.80669999999998</v>
      </c>
      <c r="V82" s="49">
        <f t="shared" si="124"/>
        <v>3511.6467389999998</v>
      </c>
      <c r="W82" s="49">
        <f t="shared" si="124"/>
        <v>3464.7337710000002</v>
      </c>
      <c r="X82" s="47">
        <f t="shared" si="124"/>
        <v>0</v>
      </c>
      <c r="Y82" s="47">
        <f t="shared" si="152"/>
        <v>0</v>
      </c>
      <c r="Z82" s="48">
        <f t="shared" si="153"/>
        <v>3511.6467389999998</v>
      </c>
      <c r="AA82" s="48">
        <f t="shared" si="154"/>
        <v>3464.7337710000002</v>
      </c>
      <c r="AB82" s="93">
        <f t="shared" si="155"/>
        <v>3511.6467389999998</v>
      </c>
      <c r="AC82" s="93">
        <f t="shared" si="156"/>
        <v>3464.7337710000002</v>
      </c>
      <c r="AE82" s="128">
        <v>6.5353000000000003</v>
      </c>
      <c r="AF82" s="130">
        <v>2.9914999999999998</v>
      </c>
      <c r="AG82" s="128">
        <v>0</v>
      </c>
      <c r="AH82" s="128">
        <v>227.66669999999999</v>
      </c>
      <c r="AI82" s="128">
        <v>87.150800000000004</v>
      </c>
      <c r="AJ82" s="49">
        <f t="shared" si="125"/>
        <v>3006.760824</v>
      </c>
      <c r="AK82" s="49">
        <f t="shared" si="125"/>
        <v>3143.2587949999997</v>
      </c>
      <c r="AL82" s="47">
        <f t="shared" si="125"/>
        <v>0</v>
      </c>
      <c r="AM82" s="47">
        <f t="shared" si="157"/>
        <v>0</v>
      </c>
      <c r="AN82" s="48">
        <f t="shared" si="158"/>
        <v>3006.760824</v>
      </c>
      <c r="AO82" s="48">
        <f t="shared" si="159"/>
        <v>3143.2587949999997</v>
      </c>
      <c r="AP82" s="93">
        <f t="shared" si="160"/>
        <v>3006.760824</v>
      </c>
      <c r="AQ82" s="93">
        <f t="shared" si="161"/>
        <v>3143.2587949999997</v>
      </c>
      <c r="AS82" s="128">
        <v>9.1616</v>
      </c>
      <c r="AT82" s="130">
        <v>3.4721000000000002</v>
      </c>
      <c r="AU82" s="128">
        <v>0</v>
      </c>
      <c r="AV82" s="128">
        <v>7783.2749999999996</v>
      </c>
      <c r="AW82" s="128">
        <v>3512.2166999999999</v>
      </c>
      <c r="AX82" s="49">
        <f t="shared" si="126"/>
        <v>3212.4234240000001</v>
      </c>
      <c r="AY82" s="49">
        <f t="shared" si="126"/>
        <v>2447.761058</v>
      </c>
      <c r="AZ82" s="47">
        <f t="shared" si="126"/>
        <v>0</v>
      </c>
      <c r="BA82" s="47">
        <f t="shared" si="162"/>
        <v>0</v>
      </c>
      <c r="BB82" s="48">
        <f t="shared" si="163"/>
        <v>3212.4234240000001</v>
      </c>
      <c r="BC82" s="48">
        <f t="shared" si="164"/>
        <v>2447.761058</v>
      </c>
      <c r="BD82" s="93">
        <f t="shared" si="165"/>
        <v>3212.4234240000001</v>
      </c>
      <c r="BE82" s="93">
        <f t="shared" si="166"/>
        <v>2447.761058</v>
      </c>
      <c r="BG82" s="128">
        <v>8.2780000000000005</v>
      </c>
      <c r="BH82" s="130">
        <v>3.0686</v>
      </c>
      <c r="BI82" s="128">
        <v>0</v>
      </c>
      <c r="BJ82" s="128">
        <v>5136.7950000000001</v>
      </c>
      <c r="BK82" s="128">
        <v>2781.5783000000001</v>
      </c>
      <c r="BL82" s="49">
        <f t="shared" si="127"/>
        <v>2718.6607600000002</v>
      </c>
      <c r="BM82" s="49">
        <f t="shared" si="127"/>
        <v>1855.5210479999998</v>
      </c>
      <c r="BN82" s="47">
        <f t="shared" si="127"/>
        <v>0</v>
      </c>
      <c r="BO82" s="47">
        <f t="shared" si="167"/>
        <v>0</v>
      </c>
      <c r="BP82" s="48">
        <f t="shared" si="168"/>
        <v>2718.6607600000002</v>
      </c>
      <c r="BQ82" s="48">
        <f t="shared" si="169"/>
        <v>1855.5210479999998</v>
      </c>
      <c r="BR82" s="93">
        <f t="shared" si="170"/>
        <v>2718.6607600000002</v>
      </c>
      <c r="BS82" s="93">
        <f t="shared" si="171"/>
        <v>1855.5210479999998</v>
      </c>
      <c r="BU82" s="128">
        <v>6.6858000000000004</v>
      </c>
      <c r="BV82" s="130">
        <v>2.4430999999999998</v>
      </c>
      <c r="BW82" s="128">
        <v>0</v>
      </c>
      <c r="BX82" s="128">
        <v>6231.6058000000003</v>
      </c>
      <c r="BY82" s="128">
        <v>2454.1624999999999</v>
      </c>
      <c r="BZ82" s="49">
        <f t="shared" si="128"/>
        <v>1621.9750800000002</v>
      </c>
      <c r="CA82" s="49">
        <f t="shared" si="128"/>
        <v>987.30557199999998</v>
      </c>
      <c r="CB82" s="47">
        <f t="shared" si="128"/>
        <v>0</v>
      </c>
      <c r="CC82" s="47">
        <f t="shared" si="172"/>
        <v>0</v>
      </c>
      <c r="CD82" s="48">
        <f t="shared" si="173"/>
        <v>1621.9750800000002</v>
      </c>
      <c r="CE82" s="48">
        <f t="shared" si="174"/>
        <v>987.30557199999998</v>
      </c>
      <c r="CF82" s="93">
        <f t="shared" si="175"/>
        <v>1621.9750800000002</v>
      </c>
      <c r="CG82" s="93">
        <f t="shared" si="176"/>
        <v>987.30557199999998</v>
      </c>
      <c r="CI82" s="128">
        <v>1.3698999999999999</v>
      </c>
      <c r="CJ82" s="130">
        <v>1.0578000000000001</v>
      </c>
      <c r="CK82" s="128">
        <v>0</v>
      </c>
      <c r="CL82" s="128">
        <v>19410.8367</v>
      </c>
      <c r="CM82" s="128">
        <v>8863.2075000000004</v>
      </c>
      <c r="CN82" s="49">
        <f t="shared" si="129"/>
        <v>290.80237199999999</v>
      </c>
      <c r="CO82" s="49">
        <f t="shared" si="129"/>
        <v>291.40274400000004</v>
      </c>
      <c r="CP82" s="47">
        <f t="shared" si="129"/>
        <v>0</v>
      </c>
      <c r="CQ82" s="47">
        <f t="shared" si="177"/>
        <v>0</v>
      </c>
      <c r="CR82" s="48">
        <f t="shared" si="178"/>
        <v>290.80237199999999</v>
      </c>
      <c r="CS82" s="48">
        <f t="shared" si="179"/>
        <v>291.40274400000004</v>
      </c>
      <c r="CT82" s="93">
        <f t="shared" si="180"/>
        <v>290.80237199999999</v>
      </c>
      <c r="CU82" s="93">
        <f t="shared" si="181"/>
        <v>291.40274400000004</v>
      </c>
      <c r="CW82" s="128">
        <v>2.9613999999999998</v>
      </c>
      <c r="CX82" s="130">
        <v>2.347</v>
      </c>
      <c r="CY82" s="128">
        <v>1.2999999999999999E-3</v>
      </c>
      <c r="CZ82" s="128">
        <v>8054.2674999999999</v>
      </c>
      <c r="DA82" s="128">
        <v>3587.4508000000001</v>
      </c>
      <c r="DB82" s="49">
        <f t="shared" si="130"/>
        <v>635.84219399999995</v>
      </c>
      <c r="DC82" s="49">
        <f t="shared" si="130"/>
        <v>704.19388000000004</v>
      </c>
      <c r="DD82" s="47">
        <f t="shared" si="130"/>
        <v>3.5100000000000002E-4</v>
      </c>
      <c r="DE82" s="47">
        <f t="shared" si="182"/>
        <v>1.8445178952697358E-4</v>
      </c>
      <c r="DF82" s="48">
        <f t="shared" si="183"/>
        <v>635.8423784517895</v>
      </c>
      <c r="DG82" s="48">
        <f t="shared" si="184"/>
        <v>704.19371345178956</v>
      </c>
      <c r="DH82" s="93">
        <f t="shared" si="185"/>
        <v>635.84219399999995</v>
      </c>
      <c r="DI82" s="93">
        <f t="shared" si="186"/>
        <v>704.19352900000001</v>
      </c>
      <c r="DK82" s="128">
        <v>2.9499</v>
      </c>
      <c r="DL82" s="130">
        <v>2.3933</v>
      </c>
      <c r="DM82" s="128">
        <v>0</v>
      </c>
      <c r="DN82" s="128">
        <v>3758.3274999999999</v>
      </c>
      <c r="DO82" s="128">
        <v>1682.7383</v>
      </c>
      <c r="DP82" s="49">
        <f t="shared" si="131"/>
        <v>390.44876400000004</v>
      </c>
      <c r="DQ82" s="49">
        <f t="shared" si="131"/>
        <v>463.41467899999998</v>
      </c>
      <c r="DR82" s="47">
        <f t="shared" si="131"/>
        <v>0</v>
      </c>
      <c r="DS82" s="47">
        <f t="shared" si="187"/>
        <v>0</v>
      </c>
      <c r="DT82" s="48">
        <f t="shared" si="188"/>
        <v>390.44876400000004</v>
      </c>
      <c r="DU82" s="48">
        <f t="shared" si="189"/>
        <v>463.41467899999998</v>
      </c>
      <c r="DV82" s="93">
        <f t="shared" si="190"/>
        <v>390.44876400000004</v>
      </c>
      <c r="DW82" s="93">
        <f t="shared" si="191"/>
        <v>463.41467899999998</v>
      </c>
      <c r="EB82" s="52"/>
      <c r="EC82" s="52"/>
      <c r="ED82" s="52"/>
      <c r="EE82" s="55">
        <f t="shared" si="192"/>
        <v>39528.455900000001</v>
      </c>
      <c r="EF82" s="55">
        <f t="shared" si="192"/>
        <v>17497.567500000001</v>
      </c>
      <c r="EG82" s="55">
        <f t="shared" si="192"/>
        <v>8225.5744851999989</v>
      </c>
      <c r="EH82" s="55">
        <f t="shared" si="132"/>
        <v>7510.6366660000003</v>
      </c>
      <c r="EI82" s="298">
        <f t="shared" si="133"/>
        <v>0.69316521726815683</v>
      </c>
      <c r="EJ82" s="52"/>
      <c r="EK82" s="55">
        <f t="shared" si="193"/>
        <v>8225.5746327614306</v>
      </c>
      <c r="EL82" s="55">
        <f t="shared" si="193"/>
        <v>7510.6365327614321</v>
      </c>
      <c r="EM82" s="55">
        <f t="shared" si="193"/>
        <v>8225.5744851999989</v>
      </c>
      <c r="EN82" s="55">
        <f t="shared" si="193"/>
        <v>7510.6363852000004</v>
      </c>
      <c r="EP82" s="52"/>
      <c r="EQ82" s="52"/>
      <c r="ER82" s="52"/>
      <c r="ES82" s="55">
        <f t="shared" si="134"/>
        <v>35009.480000000003</v>
      </c>
      <c r="ET82" s="55">
        <f t="shared" si="134"/>
        <v>16199.043300000001</v>
      </c>
      <c r="EU82" s="55">
        <f t="shared" si="134"/>
        <v>6966.1994068000004</v>
      </c>
      <c r="EV82" s="55">
        <f t="shared" si="134"/>
        <v>6104.5932789999997</v>
      </c>
      <c r="EW82" s="298">
        <f t="shared" si="135"/>
        <v>0.68366509604076009</v>
      </c>
      <c r="EX82" s="52"/>
      <c r="EY82" s="55">
        <f t="shared" si="136"/>
        <v>6966.1995359162529</v>
      </c>
      <c r="EZ82" s="55">
        <f t="shared" si="136"/>
        <v>6104.5931624162522</v>
      </c>
      <c r="FA82" s="55">
        <f t="shared" si="136"/>
        <v>6966.1994068000004</v>
      </c>
      <c r="FB82" s="55">
        <f t="shared" si="136"/>
        <v>6104.5930332999997</v>
      </c>
      <c r="FD82" s="52"/>
      <c r="FE82" s="52"/>
      <c r="FF82" s="52"/>
      <c r="FG82" s="55">
        <f t="shared" si="137"/>
        <v>29628.436699999998</v>
      </c>
      <c r="FH82" s="55">
        <f t="shared" si="137"/>
        <v>13087.259099999999</v>
      </c>
      <c r="FI82" s="55">
        <f t="shared" si="137"/>
        <v>5153.8075343999999</v>
      </c>
      <c r="FJ82" s="55">
        <f t="shared" si="137"/>
        <v>4700.0159184000004</v>
      </c>
      <c r="FK82" s="298">
        <f t="shared" si="138"/>
        <v>0.69361943297667172</v>
      </c>
      <c r="FL82" s="52"/>
      <c r="FM82" s="55">
        <f t="shared" si="139"/>
        <v>5153.8075343999999</v>
      </c>
      <c r="FN82" s="55">
        <f t="shared" si="139"/>
        <v>4700.0159184000004</v>
      </c>
      <c r="FO82" s="55">
        <f t="shared" si="139"/>
        <v>5153.8075343999999</v>
      </c>
      <c r="FP82" s="55">
        <f t="shared" si="139"/>
        <v>4700.0159184000004</v>
      </c>
      <c r="FR82" s="52"/>
      <c r="FS82" s="52"/>
      <c r="FT82" s="52"/>
      <c r="FU82" s="55">
        <f t="shared" si="140"/>
        <v>27465.104200000002</v>
      </c>
      <c r="FV82" s="55">
        <f t="shared" si="140"/>
        <v>12450.658300000001</v>
      </c>
      <c r="FW82" s="55">
        <f t="shared" si="140"/>
        <v>799.47612719999995</v>
      </c>
      <c r="FX82" s="55">
        <f t="shared" si="140"/>
        <v>854.75784800000019</v>
      </c>
      <c r="FY82" s="298">
        <f t="shared" si="141"/>
        <v>0.68807665142310637</v>
      </c>
      <c r="FZ82" s="52"/>
      <c r="GA82" s="55">
        <f t="shared" si="142"/>
        <v>799.47627476143157</v>
      </c>
      <c r="GB82" s="55">
        <f t="shared" si="142"/>
        <v>854.75771476143177</v>
      </c>
      <c r="GC82" s="55">
        <f t="shared" si="142"/>
        <v>799.47612719999995</v>
      </c>
      <c r="GD82" s="55">
        <f t="shared" si="142"/>
        <v>854.75756720000004</v>
      </c>
      <c r="GF82" s="52"/>
      <c r="GG82" s="52"/>
      <c r="GH82" s="52"/>
      <c r="GI82" s="55">
        <f t="shared" si="143"/>
        <v>14014.880799999999</v>
      </c>
      <c r="GJ82" s="55">
        <f t="shared" si="143"/>
        <v>5966.3791999999994</v>
      </c>
      <c r="GK82" s="56">
        <f t="shared" si="144"/>
        <v>1192.8362579999998</v>
      </c>
      <c r="GL82" s="56">
        <f t="shared" si="144"/>
        <v>1095.3416145000001</v>
      </c>
      <c r="GM82" s="298">
        <f t="shared" si="145"/>
        <v>0.70140125297403666</v>
      </c>
      <c r="GN82" s="52"/>
      <c r="GO82" s="56">
        <f t="shared" si="146"/>
        <v>1192.8362579999998</v>
      </c>
      <c r="GP82" s="56">
        <f t="shared" si="146"/>
        <v>1095.3416145000001</v>
      </c>
      <c r="GQ82" s="56">
        <f t="shared" si="146"/>
        <v>1192.8362579999998</v>
      </c>
      <c r="GR82" s="56">
        <f t="shared" si="146"/>
        <v>1095.3416145000001</v>
      </c>
    </row>
    <row r="83" spans="1:200" x14ac:dyDescent="0.2">
      <c r="A83" s="118">
        <v>73</v>
      </c>
      <c r="C83" s="128">
        <v>4.3789999999999996</v>
      </c>
      <c r="D83" s="128">
        <v>2.2924000000000002</v>
      </c>
      <c r="E83" s="128">
        <v>0</v>
      </c>
      <c r="F83" s="128">
        <v>4509.625</v>
      </c>
      <c r="G83" s="128">
        <v>1643.4567</v>
      </c>
      <c r="H83" s="49">
        <f t="shared" si="123"/>
        <v>4385.2181799999989</v>
      </c>
      <c r="I83" s="49">
        <f t="shared" si="123"/>
        <v>4350.0582400000003</v>
      </c>
      <c r="J83" s="47">
        <f t="shared" si="123"/>
        <v>0</v>
      </c>
      <c r="K83" s="47">
        <f t="shared" si="147"/>
        <v>0</v>
      </c>
      <c r="L83" s="48">
        <f t="shared" si="148"/>
        <v>4385.2181799999989</v>
      </c>
      <c r="M83" s="48">
        <f t="shared" si="149"/>
        <v>4350.0582400000003</v>
      </c>
      <c r="N83" s="93">
        <f t="shared" si="150"/>
        <v>4385.2181799999989</v>
      </c>
      <c r="O83" s="93">
        <f t="shared" si="151"/>
        <v>4350.0582400000003</v>
      </c>
      <c r="Q83" s="128">
        <v>5.8422000000000001</v>
      </c>
      <c r="R83" s="130">
        <v>3.0350000000000001</v>
      </c>
      <c r="S83" s="128">
        <v>0</v>
      </c>
      <c r="T83" s="128">
        <v>2489.4133000000002</v>
      </c>
      <c r="U83" s="128">
        <v>1018.1475</v>
      </c>
      <c r="V83" s="49">
        <f t="shared" si="124"/>
        <v>3718.034502</v>
      </c>
      <c r="W83" s="49">
        <f t="shared" si="124"/>
        <v>3616.1721500000003</v>
      </c>
      <c r="X83" s="47">
        <f t="shared" si="124"/>
        <v>0</v>
      </c>
      <c r="Y83" s="47">
        <f t="shared" si="152"/>
        <v>0</v>
      </c>
      <c r="Z83" s="48">
        <f t="shared" si="153"/>
        <v>3718.034502</v>
      </c>
      <c r="AA83" s="48">
        <f t="shared" si="154"/>
        <v>3616.1721500000003</v>
      </c>
      <c r="AB83" s="93">
        <f t="shared" si="155"/>
        <v>3718.034502</v>
      </c>
      <c r="AC83" s="93">
        <f t="shared" si="156"/>
        <v>3616.1721500000003</v>
      </c>
      <c r="AE83" s="128">
        <v>6.8246000000000002</v>
      </c>
      <c r="AF83" s="130">
        <v>3.0882000000000001</v>
      </c>
      <c r="AG83" s="128">
        <v>0</v>
      </c>
      <c r="AH83" s="128">
        <v>226.27420000000001</v>
      </c>
      <c r="AI83" s="128">
        <v>91.833299999999994</v>
      </c>
      <c r="AJ83" s="49">
        <f t="shared" si="125"/>
        <v>3139.8619680000002</v>
      </c>
      <c r="AK83" s="49">
        <f t="shared" si="125"/>
        <v>3244.8643860000002</v>
      </c>
      <c r="AL83" s="47">
        <f t="shared" si="125"/>
        <v>0</v>
      </c>
      <c r="AM83" s="47">
        <f t="shared" si="157"/>
        <v>0</v>
      </c>
      <c r="AN83" s="48">
        <f t="shared" si="158"/>
        <v>3139.8619680000002</v>
      </c>
      <c r="AO83" s="48">
        <f t="shared" si="159"/>
        <v>3244.8643860000002</v>
      </c>
      <c r="AP83" s="93">
        <f t="shared" si="160"/>
        <v>3139.8619680000002</v>
      </c>
      <c r="AQ83" s="93">
        <f t="shared" si="161"/>
        <v>3244.8643860000002</v>
      </c>
      <c r="AS83" s="128">
        <v>9.7117000000000004</v>
      </c>
      <c r="AT83" s="130">
        <v>3.7057000000000002</v>
      </c>
      <c r="AU83" s="128">
        <v>0</v>
      </c>
      <c r="AV83" s="128">
        <v>8476.5658000000003</v>
      </c>
      <c r="AW83" s="128">
        <v>3847.5650000000001</v>
      </c>
      <c r="AX83" s="49">
        <f t="shared" si="126"/>
        <v>3405.3104880000001</v>
      </c>
      <c r="AY83" s="49">
        <f t="shared" si="126"/>
        <v>2612.4443860000001</v>
      </c>
      <c r="AZ83" s="47">
        <f t="shared" si="126"/>
        <v>0</v>
      </c>
      <c r="BA83" s="47">
        <f t="shared" si="162"/>
        <v>0</v>
      </c>
      <c r="BB83" s="48">
        <f t="shared" si="163"/>
        <v>3405.3104880000001</v>
      </c>
      <c r="BC83" s="48">
        <f t="shared" si="164"/>
        <v>2612.4443860000001</v>
      </c>
      <c r="BD83" s="93">
        <f t="shared" si="165"/>
        <v>3405.3104880000001</v>
      </c>
      <c r="BE83" s="93">
        <f t="shared" si="166"/>
        <v>2612.4443860000001</v>
      </c>
      <c r="BG83" s="128">
        <v>8.6959999999999997</v>
      </c>
      <c r="BH83" s="130">
        <v>3.2267999999999999</v>
      </c>
      <c r="BI83" s="128">
        <v>0</v>
      </c>
      <c r="BJ83" s="128">
        <v>5467.7142000000003</v>
      </c>
      <c r="BK83" s="128">
        <v>3033.9607999999998</v>
      </c>
      <c r="BL83" s="49">
        <f t="shared" si="127"/>
        <v>2855.9403200000002</v>
      </c>
      <c r="BM83" s="49">
        <f t="shared" si="127"/>
        <v>1951.1814239999999</v>
      </c>
      <c r="BN83" s="47">
        <f t="shared" si="127"/>
        <v>0</v>
      </c>
      <c r="BO83" s="47">
        <f t="shared" si="167"/>
        <v>0</v>
      </c>
      <c r="BP83" s="48">
        <f t="shared" si="168"/>
        <v>2855.9403200000002</v>
      </c>
      <c r="BQ83" s="48">
        <f t="shared" si="169"/>
        <v>1951.1814239999999</v>
      </c>
      <c r="BR83" s="93">
        <f t="shared" si="170"/>
        <v>2855.9403200000002</v>
      </c>
      <c r="BS83" s="93">
        <f t="shared" si="171"/>
        <v>1951.1814239999999</v>
      </c>
      <c r="BU83" s="128">
        <v>7.0602</v>
      </c>
      <c r="BV83" s="130">
        <v>2.5950000000000002</v>
      </c>
      <c r="BW83" s="128">
        <v>0</v>
      </c>
      <c r="BX83" s="128">
        <v>6407.8316999999997</v>
      </c>
      <c r="BY83" s="128">
        <v>2382.91</v>
      </c>
      <c r="BZ83" s="49">
        <f t="shared" si="128"/>
        <v>1712.8045199999999</v>
      </c>
      <c r="CA83" s="49">
        <f t="shared" si="128"/>
        <v>1048.6914000000002</v>
      </c>
      <c r="CB83" s="47">
        <f t="shared" si="128"/>
        <v>0</v>
      </c>
      <c r="CC83" s="47">
        <f t="shared" si="172"/>
        <v>0</v>
      </c>
      <c r="CD83" s="48">
        <f t="shared" si="173"/>
        <v>1712.8045199999999</v>
      </c>
      <c r="CE83" s="48">
        <f t="shared" si="174"/>
        <v>1048.6914000000002</v>
      </c>
      <c r="CF83" s="93">
        <f t="shared" si="175"/>
        <v>1712.8045199999999</v>
      </c>
      <c r="CG83" s="93">
        <f t="shared" si="176"/>
        <v>1048.6914000000002</v>
      </c>
      <c r="CI83" s="128">
        <v>1.3654999999999999</v>
      </c>
      <c r="CJ83" s="130">
        <v>1.0384</v>
      </c>
      <c r="CK83" s="128">
        <v>0</v>
      </c>
      <c r="CL83" s="128">
        <v>20677.572499999998</v>
      </c>
      <c r="CM83" s="128">
        <v>9365.0300000000007</v>
      </c>
      <c r="CN83" s="49">
        <f t="shared" si="129"/>
        <v>289.86833999999999</v>
      </c>
      <c r="CO83" s="49">
        <f t="shared" si="129"/>
        <v>286.05843200000004</v>
      </c>
      <c r="CP83" s="47">
        <f t="shared" si="129"/>
        <v>0</v>
      </c>
      <c r="CQ83" s="47">
        <f t="shared" si="177"/>
        <v>0</v>
      </c>
      <c r="CR83" s="48">
        <f t="shared" si="178"/>
        <v>289.86833999999999</v>
      </c>
      <c r="CS83" s="48">
        <f t="shared" si="179"/>
        <v>286.05843200000004</v>
      </c>
      <c r="CT83" s="93">
        <f t="shared" si="180"/>
        <v>289.86833999999999</v>
      </c>
      <c r="CU83" s="93">
        <f t="shared" si="181"/>
        <v>286.05843200000004</v>
      </c>
      <c r="CW83" s="128">
        <v>2.9645000000000001</v>
      </c>
      <c r="CX83" s="130">
        <v>2.3401000000000001</v>
      </c>
      <c r="CY83" s="128">
        <v>1.1999999999999999E-3</v>
      </c>
      <c r="CZ83" s="128">
        <v>8496.8158000000003</v>
      </c>
      <c r="DA83" s="128">
        <v>3873.2292000000002</v>
      </c>
      <c r="DB83" s="49">
        <f t="shared" si="130"/>
        <v>636.5077950000001</v>
      </c>
      <c r="DC83" s="49">
        <f t="shared" si="130"/>
        <v>702.12360400000011</v>
      </c>
      <c r="DD83" s="47">
        <f t="shared" si="130"/>
        <v>3.2400000000000001E-4</v>
      </c>
      <c r="DE83" s="47">
        <f t="shared" si="182"/>
        <v>1.6994076776171598E-4</v>
      </c>
      <c r="DF83" s="48">
        <f t="shared" si="183"/>
        <v>636.50796494076781</v>
      </c>
      <c r="DG83" s="48">
        <f t="shared" si="184"/>
        <v>702.12344994076784</v>
      </c>
      <c r="DH83" s="93">
        <f t="shared" si="185"/>
        <v>636.5077950000001</v>
      </c>
      <c r="DI83" s="93">
        <f t="shared" si="186"/>
        <v>702.12328000000014</v>
      </c>
      <c r="DK83" s="128">
        <v>3.0234999999999999</v>
      </c>
      <c r="DL83" s="130">
        <v>2.4205000000000001</v>
      </c>
      <c r="DM83" s="128">
        <v>0</v>
      </c>
      <c r="DN83" s="128">
        <v>4041.9992000000002</v>
      </c>
      <c r="DO83" s="128">
        <v>1748.4132999999999</v>
      </c>
      <c r="DP83" s="49">
        <f t="shared" si="131"/>
        <v>400.19046000000003</v>
      </c>
      <c r="DQ83" s="49">
        <f t="shared" si="131"/>
        <v>468.68141500000002</v>
      </c>
      <c r="DR83" s="47">
        <f t="shared" si="131"/>
        <v>0</v>
      </c>
      <c r="DS83" s="47">
        <f t="shared" si="187"/>
        <v>0</v>
      </c>
      <c r="DT83" s="48">
        <f t="shared" si="188"/>
        <v>400.19046000000003</v>
      </c>
      <c r="DU83" s="48">
        <f t="shared" si="189"/>
        <v>468.68141500000002</v>
      </c>
      <c r="DV83" s="93">
        <f t="shared" si="190"/>
        <v>400.19046000000003</v>
      </c>
      <c r="DW83" s="93">
        <f t="shared" si="191"/>
        <v>468.68141500000002</v>
      </c>
      <c r="EB83" s="52"/>
      <c r="EC83" s="52"/>
      <c r="ED83" s="52"/>
      <c r="EE83" s="55">
        <f t="shared" si="192"/>
        <v>42160.579100000003</v>
      </c>
      <c r="EF83" s="55">
        <f t="shared" si="192"/>
        <v>18729.280900000002</v>
      </c>
      <c r="EG83" s="55">
        <f t="shared" si="192"/>
        <v>8589.6032439999999</v>
      </c>
      <c r="EH83" s="55">
        <f t="shared" si="132"/>
        <v>7810.2599412</v>
      </c>
      <c r="EI83" s="298">
        <f t="shared" si="133"/>
        <v>0.69240722675335442</v>
      </c>
      <c r="EJ83" s="52"/>
      <c r="EK83" s="55">
        <f t="shared" si="193"/>
        <v>8589.603379952614</v>
      </c>
      <c r="EL83" s="55">
        <f t="shared" si="193"/>
        <v>7810.2598179526149</v>
      </c>
      <c r="EM83" s="55">
        <f t="shared" si="193"/>
        <v>8589.6032439999999</v>
      </c>
      <c r="EN83" s="55">
        <f t="shared" si="193"/>
        <v>7810.2596819999999</v>
      </c>
      <c r="EP83" s="52"/>
      <c r="EQ83" s="52"/>
      <c r="ER83" s="52"/>
      <c r="ES83" s="55">
        <f t="shared" si="134"/>
        <v>37131.515799999994</v>
      </c>
      <c r="ET83" s="55">
        <f t="shared" si="134"/>
        <v>17290.3675</v>
      </c>
      <c r="EU83" s="55">
        <f t="shared" si="134"/>
        <v>7309.3986185000003</v>
      </c>
      <c r="EV83" s="55">
        <f t="shared" si="134"/>
        <v>6344.8985288000003</v>
      </c>
      <c r="EW83" s="298">
        <f t="shared" si="135"/>
        <v>0.68229016616924021</v>
      </c>
      <c r="EX83" s="52"/>
      <c r="EY83" s="55">
        <f t="shared" si="136"/>
        <v>7309.3987374585377</v>
      </c>
      <c r="EZ83" s="55">
        <f t="shared" si="136"/>
        <v>6344.8984209585378</v>
      </c>
      <c r="FA83" s="55">
        <f t="shared" si="136"/>
        <v>7309.3986185000003</v>
      </c>
      <c r="FB83" s="55">
        <f t="shared" si="136"/>
        <v>6344.8983020000005</v>
      </c>
      <c r="FD83" s="52"/>
      <c r="FE83" s="52"/>
      <c r="FF83" s="52"/>
      <c r="FG83" s="55">
        <f t="shared" si="137"/>
        <v>31353.677599999995</v>
      </c>
      <c r="FH83" s="55">
        <f t="shared" si="137"/>
        <v>13588.186600000001</v>
      </c>
      <c r="FI83" s="55">
        <f t="shared" si="137"/>
        <v>5382.6491040000001</v>
      </c>
      <c r="FJ83" s="55">
        <f t="shared" si="137"/>
        <v>4860.8230670000003</v>
      </c>
      <c r="FK83" s="298">
        <f t="shared" si="138"/>
        <v>0.69764968939583949</v>
      </c>
      <c r="FL83" s="52"/>
      <c r="FM83" s="55">
        <f t="shared" si="139"/>
        <v>5382.6491040000001</v>
      </c>
      <c r="FN83" s="55">
        <f t="shared" si="139"/>
        <v>4860.8230670000003</v>
      </c>
      <c r="FO83" s="55">
        <f t="shared" si="139"/>
        <v>5382.6491040000001</v>
      </c>
      <c r="FP83" s="55">
        <f t="shared" si="139"/>
        <v>4860.8230670000003</v>
      </c>
      <c r="FR83" s="52"/>
      <c r="FS83" s="52"/>
      <c r="FT83" s="52"/>
      <c r="FU83" s="55">
        <f t="shared" si="140"/>
        <v>29174.388299999999</v>
      </c>
      <c r="FV83" s="55">
        <f t="shared" si="140"/>
        <v>13238.2592</v>
      </c>
      <c r="FW83" s="55">
        <f t="shared" si="140"/>
        <v>799.07457600000009</v>
      </c>
      <c r="FX83" s="55">
        <f t="shared" si="140"/>
        <v>847.75731520000011</v>
      </c>
      <c r="FY83" s="298">
        <f t="shared" si="141"/>
        <v>0.68787001094425904</v>
      </c>
      <c r="FZ83" s="52"/>
      <c r="GA83" s="55">
        <f t="shared" si="142"/>
        <v>799.07471195261428</v>
      </c>
      <c r="GB83" s="55">
        <f t="shared" si="142"/>
        <v>847.75719195261433</v>
      </c>
      <c r="GC83" s="55">
        <f t="shared" si="142"/>
        <v>799.07457600000009</v>
      </c>
      <c r="GD83" s="55">
        <f t="shared" si="142"/>
        <v>847.75705600000015</v>
      </c>
      <c r="GF83" s="52"/>
      <c r="GG83" s="52"/>
      <c r="GH83" s="52"/>
      <c r="GI83" s="55">
        <f t="shared" si="143"/>
        <v>14884.397499999999</v>
      </c>
      <c r="GJ83" s="55">
        <f t="shared" si="143"/>
        <v>6230.4750000000004</v>
      </c>
      <c r="GK83" s="56">
        <f t="shared" si="144"/>
        <v>1269.3794760000001</v>
      </c>
      <c r="GL83" s="56">
        <f t="shared" si="144"/>
        <v>1172.8147395000001</v>
      </c>
      <c r="GM83" s="298">
        <f t="shared" si="145"/>
        <v>0.70492481069918844</v>
      </c>
      <c r="GN83" s="52"/>
      <c r="GO83" s="56">
        <f t="shared" si="146"/>
        <v>1269.3794760000001</v>
      </c>
      <c r="GP83" s="56">
        <f t="shared" si="146"/>
        <v>1172.8147395000001</v>
      </c>
      <c r="GQ83" s="56">
        <f t="shared" si="146"/>
        <v>1269.3794760000001</v>
      </c>
      <c r="GR83" s="56">
        <f t="shared" si="146"/>
        <v>1172.8147395000001</v>
      </c>
    </row>
    <row r="84" spans="1:200" x14ac:dyDescent="0.2">
      <c r="A84" s="118">
        <v>74</v>
      </c>
      <c r="C84" s="128">
        <v>4.5495000000000001</v>
      </c>
      <c r="D84" s="128">
        <v>2.3666</v>
      </c>
      <c r="E84" s="128">
        <v>0</v>
      </c>
      <c r="F84" s="128">
        <v>4081.2307999999998</v>
      </c>
      <c r="G84" s="128">
        <v>1557.4308000000001</v>
      </c>
      <c r="H84" s="49">
        <f t="shared" si="123"/>
        <v>4555.96029</v>
      </c>
      <c r="I84" s="49">
        <f t="shared" si="123"/>
        <v>4490.8601600000002</v>
      </c>
      <c r="J84" s="47">
        <f t="shared" si="123"/>
        <v>0</v>
      </c>
      <c r="K84" s="47">
        <f t="shared" si="147"/>
        <v>0</v>
      </c>
      <c r="L84" s="48">
        <f t="shared" si="148"/>
        <v>4555.96029</v>
      </c>
      <c r="M84" s="48">
        <f t="shared" si="149"/>
        <v>4490.8601600000002</v>
      </c>
      <c r="N84" s="93">
        <f t="shared" si="150"/>
        <v>4555.96029</v>
      </c>
      <c r="O84" s="93">
        <f t="shared" si="151"/>
        <v>4490.8601600000002</v>
      </c>
      <c r="Q84" s="128">
        <v>6.1722000000000001</v>
      </c>
      <c r="R84" s="130">
        <v>3.1600999999999999</v>
      </c>
      <c r="S84" s="128">
        <v>0</v>
      </c>
      <c r="T84" s="128">
        <v>2279.3942000000002</v>
      </c>
      <c r="U84" s="128">
        <v>941.2242</v>
      </c>
      <c r="V84" s="49">
        <f t="shared" si="124"/>
        <v>3928.049802</v>
      </c>
      <c r="W84" s="49">
        <f t="shared" si="124"/>
        <v>3765.2275489999997</v>
      </c>
      <c r="X84" s="47">
        <f t="shared" si="124"/>
        <v>0</v>
      </c>
      <c r="Y84" s="47">
        <f t="shared" si="152"/>
        <v>0</v>
      </c>
      <c r="Z84" s="48">
        <f t="shared" si="153"/>
        <v>3928.049802</v>
      </c>
      <c r="AA84" s="48">
        <f t="shared" si="154"/>
        <v>3765.2275489999997</v>
      </c>
      <c r="AB84" s="93">
        <f t="shared" si="155"/>
        <v>3928.049802</v>
      </c>
      <c r="AC84" s="93">
        <f t="shared" si="156"/>
        <v>3765.2275489999997</v>
      </c>
      <c r="AE84" s="128">
        <v>7.1288999999999998</v>
      </c>
      <c r="AF84" s="130">
        <v>3.1930000000000001</v>
      </c>
      <c r="AG84" s="128">
        <v>0</v>
      </c>
      <c r="AH84" s="128">
        <v>242.35249999999999</v>
      </c>
      <c r="AI84" s="128">
        <v>107.83329999999999</v>
      </c>
      <c r="AJ84" s="49">
        <f t="shared" si="125"/>
        <v>3279.8643119999997</v>
      </c>
      <c r="AK84" s="49">
        <f t="shared" si="125"/>
        <v>3354.9808900000003</v>
      </c>
      <c r="AL84" s="47">
        <f t="shared" si="125"/>
        <v>0</v>
      </c>
      <c r="AM84" s="47">
        <f t="shared" si="157"/>
        <v>0</v>
      </c>
      <c r="AN84" s="48">
        <f t="shared" si="158"/>
        <v>3279.8643119999997</v>
      </c>
      <c r="AO84" s="48">
        <f t="shared" si="159"/>
        <v>3354.9808900000003</v>
      </c>
      <c r="AP84" s="93">
        <f t="shared" si="160"/>
        <v>3279.8643119999997</v>
      </c>
      <c r="AQ84" s="93">
        <f t="shared" si="161"/>
        <v>3354.9808900000003</v>
      </c>
      <c r="AS84" s="128">
        <v>10.283799999999999</v>
      </c>
      <c r="AT84" s="130">
        <v>3.9493999999999998</v>
      </c>
      <c r="AU84" s="128">
        <v>0</v>
      </c>
      <c r="AV84" s="128">
        <v>7572.0874999999996</v>
      </c>
      <c r="AW84" s="128">
        <v>3503.8058000000001</v>
      </c>
      <c r="AX84" s="49">
        <f t="shared" si="126"/>
        <v>3605.9116319999998</v>
      </c>
      <c r="AY84" s="49">
        <f t="shared" si="126"/>
        <v>2784.248012</v>
      </c>
      <c r="AZ84" s="47">
        <f t="shared" si="126"/>
        <v>0</v>
      </c>
      <c r="BA84" s="47">
        <f t="shared" si="162"/>
        <v>0</v>
      </c>
      <c r="BB84" s="48">
        <f t="shared" si="163"/>
        <v>3605.9116319999998</v>
      </c>
      <c r="BC84" s="48">
        <f t="shared" si="164"/>
        <v>2784.248012</v>
      </c>
      <c r="BD84" s="93">
        <f t="shared" si="165"/>
        <v>3605.9116319999998</v>
      </c>
      <c r="BE84" s="93">
        <f t="shared" si="166"/>
        <v>2784.248012</v>
      </c>
      <c r="BG84" s="128">
        <v>9.1184999999999992</v>
      </c>
      <c r="BH84" s="130">
        <v>3.3894000000000002</v>
      </c>
      <c r="BI84" s="128">
        <v>0</v>
      </c>
      <c r="BJ84" s="128">
        <v>4949.6192000000001</v>
      </c>
      <c r="BK84" s="128">
        <v>2853.8591999999999</v>
      </c>
      <c r="BL84" s="49">
        <f t="shared" si="127"/>
        <v>2994.6977699999998</v>
      </c>
      <c r="BM84" s="49">
        <f t="shared" si="127"/>
        <v>2049.5023919999999</v>
      </c>
      <c r="BN84" s="47">
        <f t="shared" si="127"/>
        <v>0</v>
      </c>
      <c r="BO84" s="47">
        <f t="shared" si="167"/>
        <v>0</v>
      </c>
      <c r="BP84" s="48">
        <f t="shared" si="168"/>
        <v>2994.6977699999998</v>
      </c>
      <c r="BQ84" s="48">
        <f t="shared" si="169"/>
        <v>2049.5023919999999</v>
      </c>
      <c r="BR84" s="93">
        <f t="shared" si="170"/>
        <v>2994.6977699999998</v>
      </c>
      <c r="BS84" s="93">
        <f t="shared" si="171"/>
        <v>2049.5023919999999</v>
      </c>
      <c r="BU84" s="128">
        <v>7.4287000000000001</v>
      </c>
      <c r="BV84" s="130">
        <v>2.7658999999999998</v>
      </c>
      <c r="BW84" s="128">
        <v>0</v>
      </c>
      <c r="BX84" s="128">
        <v>5847.9008000000003</v>
      </c>
      <c r="BY84" s="128">
        <v>2296.0041999999999</v>
      </c>
      <c r="BZ84" s="49">
        <f t="shared" si="128"/>
        <v>1802.20262</v>
      </c>
      <c r="CA84" s="49">
        <f t="shared" si="128"/>
        <v>1117.755508</v>
      </c>
      <c r="CB84" s="47">
        <f t="shared" si="128"/>
        <v>0</v>
      </c>
      <c r="CC84" s="47">
        <f t="shared" si="172"/>
        <v>0</v>
      </c>
      <c r="CD84" s="48">
        <f t="shared" si="173"/>
        <v>1802.20262</v>
      </c>
      <c r="CE84" s="48">
        <f t="shared" si="174"/>
        <v>1117.755508</v>
      </c>
      <c r="CF84" s="93">
        <f t="shared" si="175"/>
        <v>1802.20262</v>
      </c>
      <c r="CG84" s="93">
        <f t="shared" si="176"/>
        <v>1117.755508</v>
      </c>
      <c r="CI84" s="128">
        <v>1.3573999999999999</v>
      </c>
      <c r="CJ84" s="130">
        <v>1.0145</v>
      </c>
      <c r="CK84" s="128">
        <v>0</v>
      </c>
      <c r="CL84" s="128">
        <v>18680.220799999999</v>
      </c>
      <c r="CM84" s="128">
        <v>8776.1957999999995</v>
      </c>
      <c r="CN84" s="49">
        <f t="shared" si="129"/>
        <v>288.14887199999998</v>
      </c>
      <c r="CO84" s="49">
        <f t="shared" si="129"/>
        <v>279.47446000000002</v>
      </c>
      <c r="CP84" s="47">
        <f t="shared" si="129"/>
        <v>0</v>
      </c>
      <c r="CQ84" s="47">
        <f t="shared" si="177"/>
        <v>0</v>
      </c>
      <c r="CR84" s="48">
        <f t="shared" si="178"/>
        <v>288.14887199999998</v>
      </c>
      <c r="CS84" s="48">
        <f t="shared" si="179"/>
        <v>279.47446000000002</v>
      </c>
      <c r="CT84" s="93">
        <f t="shared" si="180"/>
        <v>288.14887199999998</v>
      </c>
      <c r="CU84" s="93">
        <f t="shared" si="181"/>
        <v>279.47446000000002</v>
      </c>
      <c r="CW84" s="128">
        <v>2.964</v>
      </c>
      <c r="CX84" s="130">
        <v>2.3237999999999999</v>
      </c>
      <c r="CY84" s="128">
        <v>8.9999999999999998E-4</v>
      </c>
      <c r="CZ84" s="128">
        <v>7871.8108000000002</v>
      </c>
      <c r="DA84" s="128">
        <v>3461.7049999999999</v>
      </c>
      <c r="DB84" s="49">
        <f t="shared" si="130"/>
        <v>636.40044</v>
      </c>
      <c r="DC84" s="49">
        <f t="shared" si="130"/>
        <v>697.23295199999995</v>
      </c>
      <c r="DD84" s="47">
        <f t="shared" si="130"/>
        <v>2.43E-4</v>
      </c>
      <c r="DE84" s="47">
        <f t="shared" si="182"/>
        <v>1.2704211543617378E-4</v>
      </c>
      <c r="DF84" s="48">
        <f t="shared" si="183"/>
        <v>636.40056704211543</v>
      </c>
      <c r="DG84" s="48">
        <f t="shared" si="184"/>
        <v>697.23283604211542</v>
      </c>
      <c r="DH84" s="93">
        <f t="shared" si="185"/>
        <v>636.40044</v>
      </c>
      <c r="DI84" s="93">
        <f t="shared" si="186"/>
        <v>697.232709</v>
      </c>
      <c r="DK84" s="128">
        <v>3.0872999999999999</v>
      </c>
      <c r="DL84" s="130">
        <v>2.4352</v>
      </c>
      <c r="DM84" s="128">
        <v>0</v>
      </c>
      <c r="DN84" s="128">
        <v>3571.8566999999998</v>
      </c>
      <c r="DO84" s="128">
        <v>1668.345</v>
      </c>
      <c r="DP84" s="49">
        <f t="shared" si="131"/>
        <v>408.63502800000003</v>
      </c>
      <c r="DQ84" s="49">
        <f t="shared" si="131"/>
        <v>471.52777600000002</v>
      </c>
      <c r="DR84" s="47">
        <f t="shared" si="131"/>
        <v>0</v>
      </c>
      <c r="DS84" s="47">
        <f t="shared" si="187"/>
        <v>0</v>
      </c>
      <c r="DT84" s="48">
        <f t="shared" si="188"/>
        <v>408.63502800000003</v>
      </c>
      <c r="DU84" s="48">
        <f t="shared" si="189"/>
        <v>471.52777600000002</v>
      </c>
      <c r="DV84" s="93">
        <f t="shared" si="190"/>
        <v>408.63502800000003</v>
      </c>
      <c r="DW84" s="93">
        <f t="shared" si="191"/>
        <v>471.52777600000002</v>
      </c>
      <c r="EB84" s="52"/>
      <c r="EC84" s="52"/>
      <c r="ED84" s="52"/>
      <c r="EE84" s="55">
        <f t="shared" si="192"/>
        <v>38205.349900000001</v>
      </c>
      <c r="EF84" s="55">
        <f t="shared" si="192"/>
        <v>17299.1374</v>
      </c>
      <c r="EG84" s="55">
        <f t="shared" si="192"/>
        <v>8959.1411459999999</v>
      </c>
      <c r="EH84" s="55">
        <f t="shared" si="132"/>
        <v>8112.368993600001</v>
      </c>
      <c r="EI84" s="298">
        <f t="shared" si="133"/>
        <v>0.68832902993052236</v>
      </c>
      <c r="EJ84" s="52"/>
      <c r="EK84" s="55">
        <f t="shared" si="193"/>
        <v>8959.1412476336918</v>
      </c>
      <c r="EL84" s="55">
        <f t="shared" si="193"/>
        <v>8112.3689008336933</v>
      </c>
      <c r="EM84" s="55">
        <f t="shared" si="193"/>
        <v>8959.1411459999999</v>
      </c>
      <c r="EN84" s="55">
        <f t="shared" si="193"/>
        <v>8112.3687992000005</v>
      </c>
      <c r="EP84" s="52"/>
      <c r="EQ84" s="52"/>
      <c r="ER84" s="52"/>
      <c r="ES84" s="55">
        <f t="shared" si="134"/>
        <v>33781.044999999998</v>
      </c>
      <c r="ET84" s="55">
        <f t="shared" si="134"/>
        <v>16032.984199999999</v>
      </c>
      <c r="EU84" s="55">
        <f t="shared" si="134"/>
        <v>7656.3767520000001</v>
      </c>
      <c r="EV84" s="55">
        <f t="shared" si="134"/>
        <v>6582.2674674</v>
      </c>
      <c r="EW84" s="298">
        <f t="shared" si="135"/>
        <v>0.67814319665593326</v>
      </c>
      <c r="EX84" s="52"/>
      <c r="EY84" s="55">
        <f t="shared" si="136"/>
        <v>7656.3768409294807</v>
      </c>
      <c r="EZ84" s="55">
        <f t="shared" si="136"/>
        <v>6582.2673862294805</v>
      </c>
      <c r="FA84" s="55">
        <f t="shared" si="136"/>
        <v>7656.3767520000001</v>
      </c>
      <c r="FB84" s="55">
        <f t="shared" si="136"/>
        <v>6582.2672972999999</v>
      </c>
      <c r="FD84" s="52"/>
      <c r="FE84" s="52"/>
      <c r="FF84" s="52"/>
      <c r="FG84" s="55">
        <f t="shared" si="137"/>
        <v>28342.3308</v>
      </c>
      <c r="FH84" s="55">
        <f t="shared" si="137"/>
        <v>12848.378299999998</v>
      </c>
      <c r="FI84" s="55">
        <f t="shared" si="137"/>
        <v>5615.3968207999997</v>
      </c>
      <c r="FJ84" s="55">
        <f t="shared" si="137"/>
        <v>5035.1275236000001</v>
      </c>
      <c r="FK84" s="298">
        <f t="shared" si="138"/>
        <v>0.6880758165923393</v>
      </c>
      <c r="FL84" s="52"/>
      <c r="FM84" s="55">
        <f t="shared" si="139"/>
        <v>5615.3968207999997</v>
      </c>
      <c r="FN84" s="55">
        <f t="shared" si="139"/>
        <v>5035.1275236000001</v>
      </c>
      <c r="FO84" s="55">
        <f t="shared" si="139"/>
        <v>5615.3968207999997</v>
      </c>
      <c r="FP84" s="55">
        <f t="shared" si="139"/>
        <v>5035.1275236000001</v>
      </c>
      <c r="FR84" s="52"/>
      <c r="FS84" s="52"/>
      <c r="FT84" s="52"/>
      <c r="FU84" s="55">
        <f t="shared" si="140"/>
        <v>26552.031599999998</v>
      </c>
      <c r="FV84" s="55">
        <f t="shared" si="140"/>
        <v>12237.900799999999</v>
      </c>
      <c r="FW84" s="55">
        <f t="shared" si="140"/>
        <v>797.26922400000001</v>
      </c>
      <c r="FX84" s="55">
        <f t="shared" si="140"/>
        <v>837.26082159999999</v>
      </c>
      <c r="FY84" s="298">
        <f t="shared" si="141"/>
        <v>0.68450832360821545</v>
      </c>
      <c r="FZ84" s="52"/>
      <c r="GA84" s="55">
        <f t="shared" si="142"/>
        <v>797.26932563369235</v>
      </c>
      <c r="GB84" s="55">
        <f t="shared" si="142"/>
        <v>837.26072883369238</v>
      </c>
      <c r="GC84" s="55">
        <f t="shared" si="142"/>
        <v>797.26922400000001</v>
      </c>
      <c r="GD84" s="55">
        <f t="shared" si="142"/>
        <v>837.26062720000004</v>
      </c>
      <c r="GF84" s="52"/>
      <c r="GG84" s="52"/>
      <c r="GH84" s="52"/>
      <c r="GI84" s="55">
        <f t="shared" si="143"/>
        <v>13419.988300000001</v>
      </c>
      <c r="GJ84" s="55">
        <f t="shared" si="143"/>
        <v>5799.8099999999995</v>
      </c>
      <c r="GK84" s="56">
        <f t="shared" si="144"/>
        <v>1352.781759</v>
      </c>
      <c r="GL84" s="56">
        <f t="shared" si="144"/>
        <v>1249.8693780000001</v>
      </c>
      <c r="GM84" s="298">
        <f t="shared" si="145"/>
        <v>0.69823772812433726</v>
      </c>
      <c r="GN84" s="52"/>
      <c r="GO84" s="56">
        <f t="shared" si="146"/>
        <v>1352.781759</v>
      </c>
      <c r="GP84" s="56">
        <f t="shared" si="146"/>
        <v>1249.8693780000001</v>
      </c>
      <c r="GQ84" s="56">
        <f t="shared" si="146"/>
        <v>1352.781759</v>
      </c>
      <c r="GR84" s="56">
        <f t="shared" si="146"/>
        <v>1249.8693780000001</v>
      </c>
    </row>
    <row r="85" spans="1:200" x14ac:dyDescent="0.2">
      <c r="A85" s="118">
        <v>75</v>
      </c>
      <c r="C85" s="128">
        <v>4.7179000000000002</v>
      </c>
      <c r="D85" s="128">
        <v>2.4396</v>
      </c>
      <c r="E85" s="128">
        <v>0</v>
      </c>
      <c r="F85" s="128">
        <v>3498.2192</v>
      </c>
      <c r="G85" s="128">
        <v>1301.4341999999999</v>
      </c>
      <c r="H85" s="49">
        <f t="shared" si="123"/>
        <v>4724.5994179999998</v>
      </c>
      <c r="I85" s="49">
        <f t="shared" si="123"/>
        <v>4629.3849599999994</v>
      </c>
      <c r="J85" s="47">
        <f t="shared" si="123"/>
        <v>0</v>
      </c>
      <c r="K85" s="47">
        <f t="shared" si="147"/>
        <v>0</v>
      </c>
      <c r="L85" s="48">
        <f t="shared" si="148"/>
        <v>4724.5994179999998</v>
      </c>
      <c r="M85" s="48">
        <f t="shared" si="149"/>
        <v>4629.3849599999994</v>
      </c>
      <c r="N85" s="93">
        <f t="shared" si="150"/>
        <v>4724.5994179999998</v>
      </c>
      <c r="O85" s="93">
        <f t="shared" si="151"/>
        <v>4629.3849599999994</v>
      </c>
      <c r="Q85" s="128">
        <v>6.4993999999999996</v>
      </c>
      <c r="R85" s="130">
        <v>3.28</v>
      </c>
      <c r="S85" s="128">
        <v>0</v>
      </c>
      <c r="T85" s="128">
        <v>2024.5108</v>
      </c>
      <c r="U85" s="128">
        <v>807.40750000000003</v>
      </c>
      <c r="V85" s="49">
        <f t="shared" si="124"/>
        <v>4136.2831539999997</v>
      </c>
      <c r="W85" s="49">
        <f t="shared" si="124"/>
        <v>3908.0871999999999</v>
      </c>
      <c r="X85" s="47">
        <f t="shared" si="124"/>
        <v>0</v>
      </c>
      <c r="Y85" s="47">
        <f t="shared" si="152"/>
        <v>0</v>
      </c>
      <c r="Z85" s="48">
        <f t="shared" si="153"/>
        <v>4136.2831539999997</v>
      </c>
      <c r="AA85" s="48">
        <f t="shared" si="154"/>
        <v>3908.0871999999999</v>
      </c>
      <c r="AB85" s="93">
        <f t="shared" si="155"/>
        <v>4136.2831539999997</v>
      </c>
      <c r="AC85" s="93">
        <f t="shared" si="156"/>
        <v>3908.0871999999999</v>
      </c>
      <c r="AE85" s="128">
        <v>7.4458000000000002</v>
      </c>
      <c r="AF85" s="130">
        <v>3.3022999999999998</v>
      </c>
      <c r="AG85" s="128">
        <v>0</v>
      </c>
      <c r="AH85" s="128">
        <v>205.48079999999999</v>
      </c>
      <c r="AI85" s="128">
        <v>82.583299999999994</v>
      </c>
      <c r="AJ85" s="49">
        <f t="shared" si="125"/>
        <v>3425.6636640000002</v>
      </c>
      <c r="AK85" s="49">
        <f t="shared" si="125"/>
        <v>3469.825679</v>
      </c>
      <c r="AL85" s="47">
        <f t="shared" si="125"/>
        <v>0</v>
      </c>
      <c r="AM85" s="47">
        <f t="shared" si="157"/>
        <v>0</v>
      </c>
      <c r="AN85" s="48">
        <f t="shared" si="158"/>
        <v>3425.6636640000002</v>
      </c>
      <c r="AO85" s="48">
        <f t="shared" si="159"/>
        <v>3469.825679</v>
      </c>
      <c r="AP85" s="93">
        <f t="shared" si="160"/>
        <v>3425.6636640000002</v>
      </c>
      <c r="AQ85" s="93">
        <f t="shared" si="161"/>
        <v>3469.825679</v>
      </c>
      <c r="AS85" s="128">
        <v>10.8735</v>
      </c>
      <c r="AT85" s="130">
        <v>4.1982999999999997</v>
      </c>
      <c r="AU85" s="128">
        <v>0</v>
      </c>
      <c r="AV85" s="128">
        <v>6635.5333000000001</v>
      </c>
      <c r="AW85" s="128">
        <v>3039.45</v>
      </c>
      <c r="AX85" s="49">
        <f t="shared" si="126"/>
        <v>3812.6840399999996</v>
      </c>
      <c r="AY85" s="49">
        <f t="shared" si="126"/>
        <v>2959.7175339999999</v>
      </c>
      <c r="AZ85" s="47">
        <f t="shared" si="126"/>
        <v>0</v>
      </c>
      <c r="BA85" s="47">
        <f t="shared" si="162"/>
        <v>0</v>
      </c>
      <c r="BB85" s="48">
        <f t="shared" si="163"/>
        <v>3812.6840399999996</v>
      </c>
      <c r="BC85" s="48">
        <f t="shared" si="164"/>
        <v>2959.7175339999999</v>
      </c>
      <c r="BD85" s="93">
        <f t="shared" si="165"/>
        <v>3812.6840399999996</v>
      </c>
      <c r="BE85" s="93">
        <f t="shared" si="166"/>
        <v>2959.7175339999999</v>
      </c>
      <c r="BG85" s="128">
        <v>9.5482999999999993</v>
      </c>
      <c r="BH85" s="130">
        <v>3.5537999999999998</v>
      </c>
      <c r="BI85" s="128">
        <v>0</v>
      </c>
      <c r="BJ85" s="128">
        <v>4426.2791999999999</v>
      </c>
      <c r="BK85" s="128">
        <v>2726.8117000000002</v>
      </c>
      <c r="BL85" s="49">
        <f t="shared" si="127"/>
        <v>3135.8526859999997</v>
      </c>
      <c r="BM85" s="49">
        <f t="shared" si="127"/>
        <v>2148.9117839999999</v>
      </c>
      <c r="BN85" s="47">
        <f t="shared" si="127"/>
        <v>0</v>
      </c>
      <c r="BO85" s="47">
        <f t="shared" si="167"/>
        <v>0</v>
      </c>
      <c r="BP85" s="48">
        <f t="shared" si="168"/>
        <v>3135.8526859999997</v>
      </c>
      <c r="BQ85" s="48">
        <f t="shared" si="169"/>
        <v>2148.9117839999999</v>
      </c>
      <c r="BR85" s="93">
        <f t="shared" si="170"/>
        <v>3135.8526859999997</v>
      </c>
      <c r="BS85" s="93">
        <f t="shared" si="171"/>
        <v>2148.9117839999999</v>
      </c>
      <c r="BU85" s="128">
        <v>7.7853000000000003</v>
      </c>
      <c r="BV85" s="130">
        <v>2.9518</v>
      </c>
      <c r="BW85" s="128">
        <v>0</v>
      </c>
      <c r="BX85" s="128">
        <v>4849.4817000000003</v>
      </c>
      <c r="BY85" s="128">
        <v>1892.4124999999999</v>
      </c>
      <c r="BZ85" s="49">
        <f t="shared" si="128"/>
        <v>1888.71378</v>
      </c>
      <c r="CA85" s="49">
        <f t="shared" si="128"/>
        <v>1192.8814159999999</v>
      </c>
      <c r="CB85" s="47">
        <f t="shared" si="128"/>
        <v>0</v>
      </c>
      <c r="CC85" s="47">
        <f t="shared" si="172"/>
        <v>0</v>
      </c>
      <c r="CD85" s="48">
        <f t="shared" si="173"/>
        <v>1888.71378</v>
      </c>
      <c r="CE85" s="48">
        <f t="shared" si="174"/>
        <v>1192.8814159999999</v>
      </c>
      <c r="CF85" s="93">
        <f t="shared" si="175"/>
        <v>1888.71378</v>
      </c>
      <c r="CG85" s="93">
        <f t="shared" si="176"/>
        <v>1192.8814159999999</v>
      </c>
      <c r="CI85" s="128">
        <v>1.3448</v>
      </c>
      <c r="CJ85" s="130">
        <v>0.98640000000000005</v>
      </c>
      <c r="CK85" s="128">
        <v>0</v>
      </c>
      <c r="CL85" s="128">
        <v>16176.98</v>
      </c>
      <c r="CM85" s="128">
        <v>7749.8407999999999</v>
      </c>
      <c r="CN85" s="49">
        <f t="shared" si="129"/>
        <v>285.47414400000002</v>
      </c>
      <c r="CO85" s="49">
        <f t="shared" si="129"/>
        <v>271.73347200000001</v>
      </c>
      <c r="CP85" s="47">
        <f t="shared" si="129"/>
        <v>0</v>
      </c>
      <c r="CQ85" s="47">
        <f t="shared" si="177"/>
        <v>0</v>
      </c>
      <c r="CR85" s="48">
        <f t="shared" si="178"/>
        <v>285.47414400000002</v>
      </c>
      <c r="CS85" s="48">
        <f t="shared" si="179"/>
        <v>271.73347200000001</v>
      </c>
      <c r="CT85" s="93">
        <f t="shared" si="180"/>
        <v>285.47414400000002</v>
      </c>
      <c r="CU85" s="93">
        <f t="shared" si="181"/>
        <v>271.73347200000001</v>
      </c>
      <c r="CW85" s="128">
        <v>2.9611000000000001</v>
      </c>
      <c r="CX85" s="130">
        <v>2.2966000000000002</v>
      </c>
      <c r="CY85" s="128">
        <v>5.9999999999999995E-4</v>
      </c>
      <c r="CZ85" s="128">
        <v>6652.0108</v>
      </c>
      <c r="DA85" s="128">
        <v>3006.0117</v>
      </c>
      <c r="DB85" s="49">
        <f t="shared" si="130"/>
        <v>635.777781</v>
      </c>
      <c r="DC85" s="49">
        <f t="shared" si="130"/>
        <v>689.07186400000012</v>
      </c>
      <c r="DD85" s="47">
        <f t="shared" si="130"/>
        <v>1.6200000000000001E-4</v>
      </c>
      <c r="DE85" s="47">
        <f t="shared" si="182"/>
        <v>8.4258347646687119E-5</v>
      </c>
      <c r="DF85" s="48">
        <f t="shared" si="183"/>
        <v>635.77786525834767</v>
      </c>
      <c r="DG85" s="48">
        <f t="shared" si="184"/>
        <v>689.07178625834774</v>
      </c>
      <c r="DH85" s="93">
        <f t="shared" si="185"/>
        <v>635.777781</v>
      </c>
      <c r="DI85" s="93">
        <f t="shared" si="186"/>
        <v>689.07170200000007</v>
      </c>
      <c r="DK85" s="128">
        <v>3.1375000000000002</v>
      </c>
      <c r="DL85" s="130">
        <v>2.4350999999999998</v>
      </c>
      <c r="DM85" s="128">
        <v>0</v>
      </c>
      <c r="DN85" s="128">
        <v>3126.61</v>
      </c>
      <c r="DO85" s="128">
        <v>1505.4124999999999</v>
      </c>
      <c r="DP85" s="49">
        <f t="shared" si="131"/>
        <v>415.27950000000004</v>
      </c>
      <c r="DQ85" s="49">
        <f t="shared" si="131"/>
        <v>471.50841299999996</v>
      </c>
      <c r="DR85" s="47">
        <f t="shared" si="131"/>
        <v>0</v>
      </c>
      <c r="DS85" s="47">
        <f t="shared" si="187"/>
        <v>0</v>
      </c>
      <c r="DT85" s="48">
        <f t="shared" si="188"/>
        <v>415.27950000000004</v>
      </c>
      <c r="DU85" s="48">
        <f t="shared" si="189"/>
        <v>471.50841299999996</v>
      </c>
      <c r="DV85" s="93">
        <f t="shared" si="190"/>
        <v>415.27950000000004</v>
      </c>
      <c r="DW85" s="93">
        <f t="shared" si="191"/>
        <v>471.50841299999996</v>
      </c>
      <c r="EB85" s="52"/>
      <c r="EC85" s="52"/>
      <c r="ED85" s="52"/>
      <c r="EE85" s="55">
        <f t="shared" si="192"/>
        <v>32962.743300000002</v>
      </c>
      <c r="EF85" s="55">
        <f t="shared" si="192"/>
        <v>15096.736699999998</v>
      </c>
      <c r="EG85" s="55">
        <f t="shared" si="192"/>
        <v>9331.3798267999991</v>
      </c>
      <c r="EH85" s="55">
        <f t="shared" si="132"/>
        <v>8412.0934571999987</v>
      </c>
      <c r="EI85" s="298">
        <f t="shared" si="133"/>
        <v>0.68587390666732151</v>
      </c>
      <c r="EJ85" s="52"/>
      <c r="EK85" s="55">
        <f t="shared" si="193"/>
        <v>9331.3798942066787</v>
      </c>
      <c r="EL85" s="55">
        <f t="shared" si="193"/>
        <v>8412.0933950066774</v>
      </c>
      <c r="EM85" s="55">
        <f t="shared" si="193"/>
        <v>9331.3798267999991</v>
      </c>
      <c r="EN85" s="55">
        <f t="shared" si="193"/>
        <v>8412.0933275999996</v>
      </c>
      <c r="EP85" s="52"/>
      <c r="EQ85" s="52"/>
      <c r="ER85" s="52"/>
      <c r="ES85" s="55">
        <f t="shared" si="134"/>
        <v>29279.7808</v>
      </c>
      <c r="ET85" s="55">
        <f t="shared" si="134"/>
        <v>14290.0717</v>
      </c>
      <c r="EU85" s="55">
        <f t="shared" si="134"/>
        <v>8002.6544306999986</v>
      </c>
      <c r="EV85" s="55">
        <f t="shared" si="134"/>
        <v>6811.0827608</v>
      </c>
      <c r="EW85" s="298">
        <f t="shared" si="135"/>
        <v>0.67201927754976909</v>
      </c>
      <c r="EX85" s="52"/>
      <c r="EY85" s="55">
        <f t="shared" si="136"/>
        <v>8002.6544896808418</v>
      </c>
      <c r="EZ85" s="55">
        <f t="shared" si="136"/>
        <v>6811.0827063808429</v>
      </c>
      <c r="FA85" s="55">
        <f t="shared" si="136"/>
        <v>8002.6544306999986</v>
      </c>
      <c r="FB85" s="55">
        <f t="shared" si="136"/>
        <v>6811.0826473999996</v>
      </c>
      <c r="FD85" s="52"/>
      <c r="FE85" s="52"/>
      <c r="FF85" s="52"/>
      <c r="FG85" s="55">
        <f t="shared" si="137"/>
        <v>24358.552500000002</v>
      </c>
      <c r="FH85" s="55">
        <f t="shared" si="137"/>
        <v>11230.249100000001</v>
      </c>
      <c r="FI85" s="55">
        <f t="shared" si="137"/>
        <v>5849.0192879999995</v>
      </c>
      <c r="FJ85" s="55">
        <f t="shared" si="137"/>
        <v>5217.3456147999996</v>
      </c>
      <c r="FK85" s="298">
        <f t="shared" si="138"/>
        <v>0.68444430283935154</v>
      </c>
      <c r="FL85" s="52"/>
      <c r="FM85" s="55">
        <f t="shared" si="139"/>
        <v>5849.0192879999995</v>
      </c>
      <c r="FN85" s="55">
        <f t="shared" si="139"/>
        <v>5217.3456147999996</v>
      </c>
      <c r="FO85" s="55">
        <f t="shared" si="139"/>
        <v>5849.0192879999995</v>
      </c>
      <c r="FP85" s="55">
        <f t="shared" si="139"/>
        <v>5217.3456147999996</v>
      </c>
      <c r="FR85" s="52"/>
      <c r="FS85" s="52"/>
      <c r="FT85" s="52"/>
      <c r="FU85" s="55">
        <f t="shared" si="140"/>
        <v>22828.9908</v>
      </c>
      <c r="FV85" s="55">
        <f t="shared" si="140"/>
        <v>10755.852500000001</v>
      </c>
      <c r="FW85" s="55">
        <f t="shared" si="140"/>
        <v>794.09636880000005</v>
      </c>
      <c r="FX85" s="55">
        <f t="shared" si="140"/>
        <v>822.99096320000012</v>
      </c>
      <c r="FY85" s="298">
        <f t="shared" si="141"/>
        <v>0.67974087584919596</v>
      </c>
      <c r="FZ85" s="52"/>
      <c r="GA85" s="55">
        <f t="shared" si="142"/>
        <v>794.09643620667816</v>
      </c>
      <c r="GB85" s="55">
        <f t="shared" si="142"/>
        <v>822.9909010066782</v>
      </c>
      <c r="GC85" s="55">
        <f t="shared" si="142"/>
        <v>794.09636880000005</v>
      </c>
      <c r="GD85" s="55">
        <f t="shared" si="142"/>
        <v>822.99083360000009</v>
      </c>
      <c r="GF85" s="52"/>
      <c r="GG85" s="52"/>
      <c r="GH85" s="52"/>
      <c r="GI85" s="55">
        <f t="shared" si="143"/>
        <v>11485.014999999999</v>
      </c>
      <c r="GJ85" s="55">
        <f t="shared" si="143"/>
        <v>4931.8624999999993</v>
      </c>
      <c r="GK85" s="56">
        <f t="shared" si="144"/>
        <v>1442.9776949999996</v>
      </c>
      <c r="GL85" s="56">
        <f t="shared" si="144"/>
        <v>1325.1270884999999</v>
      </c>
      <c r="GM85" s="298">
        <f t="shared" si="145"/>
        <v>0.6995858378062455</v>
      </c>
      <c r="GN85" s="52"/>
      <c r="GO85" s="56">
        <f t="shared" si="146"/>
        <v>1442.9776949999996</v>
      </c>
      <c r="GP85" s="56">
        <f t="shared" si="146"/>
        <v>1325.1270884999999</v>
      </c>
      <c r="GQ85" s="56">
        <f t="shared" si="146"/>
        <v>1442.9776949999996</v>
      </c>
      <c r="GR85" s="56">
        <f t="shared" si="146"/>
        <v>1325.1270884999999</v>
      </c>
    </row>
    <row r="86" spans="1:200" x14ac:dyDescent="0.2">
      <c r="A86" s="118">
        <v>76</v>
      </c>
      <c r="C86" s="128">
        <v>4.9132999999999996</v>
      </c>
      <c r="D86" s="128">
        <v>2.5108000000000001</v>
      </c>
      <c r="E86" s="128">
        <v>0</v>
      </c>
      <c r="F86" s="128">
        <v>2833.4283</v>
      </c>
      <c r="G86" s="128">
        <v>1156.8358000000001</v>
      </c>
      <c r="H86" s="49">
        <f t="shared" si="123"/>
        <v>4920.2768859999996</v>
      </c>
      <c r="I86" s="49">
        <f t="shared" si="123"/>
        <v>4764.4940800000004</v>
      </c>
      <c r="J86" s="47">
        <f t="shared" si="123"/>
        <v>0</v>
      </c>
      <c r="K86" s="47">
        <f t="shared" si="147"/>
        <v>0</v>
      </c>
      <c r="L86" s="48">
        <f t="shared" si="148"/>
        <v>4920.2768859999996</v>
      </c>
      <c r="M86" s="48">
        <f t="shared" si="149"/>
        <v>4764.4940800000004</v>
      </c>
      <c r="N86" s="93">
        <f t="shared" si="150"/>
        <v>4920.2768859999996</v>
      </c>
      <c r="O86" s="93">
        <f t="shared" si="151"/>
        <v>4764.4940800000004</v>
      </c>
      <c r="Q86" s="128">
        <v>6.8144999999999998</v>
      </c>
      <c r="R86" s="130">
        <v>3.3902999999999999</v>
      </c>
      <c r="S86" s="128">
        <v>0</v>
      </c>
      <c r="T86" s="128">
        <v>1563.5033000000001</v>
      </c>
      <c r="U86" s="128">
        <v>691.88829999999996</v>
      </c>
      <c r="V86" s="49">
        <f t="shared" si="124"/>
        <v>4336.8159449999994</v>
      </c>
      <c r="W86" s="49">
        <f t="shared" si="124"/>
        <v>4039.5085469999999</v>
      </c>
      <c r="X86" s="47">
        <f t="shared" si="124"/>
        <v>0</v>
      </c>
      <c r="Y86" s="47">
        <f t="shared" si="152"/>
        <v>0</v>
      </c>
      <c r="Z86" s="48">
        <f t="shared" si="153"/>
        <v>4336.8159449999994</v>
      </c>
      <c r="AA86" s="48">
        <f t="shared" si="154"/>
        <v>4039.5085469999999</v>
      </c>
      <c r="AB86" s="93">
        <f t="shared" si="155"/>
        <v>4336.8159449999994</v>
      </c>
      <c r="AC86" s="93">
        <f t="shared" si="156"/>
        <v>4039.5085469999999</v>
      </c>
      <c r="AE86" s="128">
        <v>7.7760999999999996</v>
      </c>
      <c r="AF86" s="130">
        <v>3.4125000000000001</v>
      </c>
      <c r="AG86" s="128">
        <v>0</v>
      </c>
      <c r="AH86" s="128">
        <v>177.48169999999999</v>
      </c>
      <c r="AI86" s="128">
        <v>80.344200000000001</v>
      </c>
      <c r="AJ86" s="49">
        <f t="shared" si="125"/>
        <v>3577.6280879999995</v>
      </c>
      <c r="AK86" s="49">
        <f t="shared" si="125"/>
        <v>3585.616125</v>
      </c>
      <c r="AL86" s="47">
        <f t="shared" si="125"/>
        <v>0</v>
      </c>
      <c r="AM86" s="47">
        <f t="shared" si="157"/>
        <v>0</v>
      </c>
      <c r="AN86" s="48">
        <f t="shared" si="158"/>
        <v>3577.6280879999995</v>
      </c>
      <c r="AO86" s="48">
        <f t="shared" si="159"/>
        <v>3585.616125</v>
      </c>
      <c r="AP86" s="93">
        <f t="shared" si="160"/>
        <v>3577.6280879999995</v>
      </c>
      <c r="AQ86" s="93">
        <f t="shared" si="161"/>
        <v>3585.616125</v>
      </c>
      <c r="AS86" s="128">
        <v>11.4758</v>
      </c>
      <c r="AT86" s="130">
        <v>4.4519000000000002</v>
      </c>
      <c r="AU86" s="128">
        <v>0</v>
      </c>
      <c r="AV86" s="128">
        <v>5322.835</v>
      </c>
      <c r="AW86" s="128">
        <v>2657.9133000000002</v>
      </c>
      <c r="AX86" s="49">
        <f t="shared" si="126"/>
        <v>4023.8745119999999</v>
      </c>
      <c r="AY86" s="49">
        <f t="shared" si="126"/>
        <v>3138.5004620000004</v>
      </c>
      <c r="AZ86" s="47">
        <f t="shared" si="126"/>
        <v>0</v>
      </c>
      <c r="BA86" s="47">
        <f t="shared" si="162"/>
        <v>0</v>
      </c>
      <c r="BB86" s="48">
        <f t="shared" si="163"/>
        <v>4023.8745119999999</v>
      </c>
      <c r="BC86" s="48">
        <f t="shared" si="164"/>
        <v>3138.5004620000004</v>
      </c>
      <c r="BD86" s="93">
        <f t="shared" si="165"/>
        <v>4023.8745119999999</v>
      </c>
      <c r="BE86" s="93">
        <f t="shared" si="166"/>
        <v>3138.5004620000004</v>
      </c>
      <c r="BG86" s="128">
        <v>9.9825999999999997</v>
      </c>
      <c r="BH86" s="130">
        <v>3.7193000000000001</v>
      </c>
      <c r="BI86" s="128">
        <v>0</v>
      </c>
      <c r="BJ86" s="128">
        <v>3798.5808000000002</v>
      </c>
      <c r="BK86" s="128">
        <v>2283.0167000000001</v>
      </c>
      <c r="BL86" s="49">
        <f t="shared" si="127"/>
        <v>3278.4854920000002</v>
      </c>
      <c r="BM86" s="49">
        <f t="shared" si="127"/>
        <v>2248.986324</v>
      </c>
      <c r="BN86" s="47">
        <f t="shared" si="127"/>
        <v>0</v>
      </c>
      <c r="BO86" s="47">
        <f t="shared" si="167"/>
        <v>0</v>
      </c>
      <c r="BP86" s="48">
        <f t="shared" si="168"/>
        <v>3278.4854920000002</v>
      </c>
      <c r="BQ86" s="48">
        <f t="shared" si="169"/>
        <v>2248.986324</v>
      </c>
      <c r="BR86" s="93">
        <f t="shared" si="170"/>
        <v>3278.4854920000002</v>
      </c>
      <c r="BS86" s="93">
        <f t="shared" si="171"/>
        <v>2248.986324</v>
      </c>
      <c r="BU86" s="128">
        <v>8.1249000000000002</v>
      </c>
      <c r="BV86" s="130">
        <v>3.1526999999999998</v>
      </c>
      <c r="BW86" s="128">
        <v>0</v>
      </c>
      <c r="BX86" s="128">
        <v>3863.2766999999999</v>
      </c>
      <c r="BY86" s="128">
        <v>1559.6783</v>
      </c>
      <c r="BZ86" s="49">
        <f t="shared" si="128"/>
        <v>1971.1007400000001</v>
      </c>
      <c r="CA86" s="49">
        <f t="shared" si="128"/>
        <v>1274.0691239999999</v>
      </c>
      <c r="CB86" s="47">
        <f t="shared" si="128"/>
        <v>0</v>
      </c>
      <c r="CC86" s="47">
        <f t="shared" si="172"/>
        <v>0</v>
      </c>
      <c r="CD86" s="48">
        <f t="shared" si="173"/>
        <v>1971.1007400000001</v>
      </c>
      <c r="CE86" s="48">
        <f t="shared" si="174"/>
        <v>1274.0691239999999</v>
      </c>
      <c r="CF86" s="93">
        <f t="shared" si="175"/>
        <v>1971.1007400000001</v>
      </c>
      <c r="CG86" s="93">
        <f t="shared" si="176"/>
        <v>1274.0691239999999</v>
      </c>
      <c r="CI86" s="128">
        <v>1.3262</v>
      </c>
      <c r="CJ86" s="130">
        <v>0.95469999999999999</v>
      </c>
      <c r="CK86" s="128">
        <v>0</v>
      </c>
      <c r="CL86" s="128">
        <v>13170.12</v>
      </c>
      <c r="CM86" s="128">
        <v>6577.1082999999999</v>
      </c>
      <c r="CN86" s="49">
        <f t="shared" si="129"/>
        <v>281.52573599999999</v>
      </c>
      <c r="CO86" s="49">
        <f t="shared" si="129"/>
        <v>263.00075600000002</v>
      </c>
      <c r="CP86" s="47">
        <f t="shared" si="129"/>
        <v>0</v>
      </c>
      <c r="CQ86" s="47">
        <f t="shared" si="177"/>
        <v>0</v>
      </c>
      <c r="CR86" s="48">
        <f t="shared" si="178"/>
        <v>281.52573599999999</v>
      </c>
      <c r="CS86" s="48">
        <f t="shared" si="179"/>
        <v>263.00075600000002</v>
      </c>
      <c r="CT86" s="93">
        <f t="shared" si="180"/>
        <v>281.52573599999999</v>
      </c>
      <c r="CU86" s="93">
        <f t="shared" si="181"/>
        <v>263.00075600000002</v>
      </c>
      <c r="CW86" s="128">
        <v>2.9540999999999999</v>
      </c>
      <c r="CX86" s="130">
        <v>2.2578999999999998</v>
      </c>
      <c r="CY86" s="128">
        <v>2.9999999999999997E-4</v>
      </c>
      <c r="CZ86" s="128">
        <v>5362.27</v>
      </c>
      <c r="DA86" s="128">
        <v>2562.9974999999999</v>
      </c>
      <c r="DB86" s="49">
        <f t="shared" si="130"/>
        <v>634.274811</v>
      </c>
      <c r="DC86" s="49">
        <f t="shared" si="130"/>
        <v>677.46031600000003</v>
      </c>
      <c r="DD86" s="47">
        <f t="shared" si="130"/>
        <v>8.1000000000000004E-5</v>
      </c>
      <c r="DE86" s="47">
        <f t="shared" si="182"/>
        <v>4.1833358325548606E-5</v>
      </c>
      <c r="DF86" s="48">
        <f t="shared" si="183"/>
        <v>634.2748528333583</v>
      </c>
      <c r="DG86" s="48">
        <f t="shared" si="184"/>
        <v>677.46027683335831</v>
      </c>
      <c r="DH86" s="93">
        <f t="shared" si="185"/>
        <v>634.274811</v>
      </c>
      <c r="DI86" s="93">
        <f t="shared" si="186"/>
        <v>677.46023500000001</v>
      </c>
      <c r="DK86" s="128">
        <v>3.1760000000000002</v>
      </c>
      <c r="DL86" s="130">
        <v>2.42</v>
      </c>
      <c r="DM86" s="128">
        <v>1E-4</v>
      </c>
      <c r="DN86" s="128">
        <v>2539.7592</v>
      </c>
      <c r="DO86" s="128">
        <v>1263.0257999999999</v>
      </c>
      <c r="DP86" s="49">
        <f t="shared" si="131"/>
        <v>420.37536000000006</v>
      </c>
      <c r="DQ86" s="49">
        <f t="shared" si="131"/>
        <v>468.58459999999997</v>
      </c>
      <c r="DR86" s="47">
        <f t="shared" si="131"/>
        <v>1.9000000000000001E-5</v>
      </c>
      <c r="DS86" s="47">
        <f t="shared" si="187"/>
        <v>1.0015195060078971E-5</v>
      </c>
      <c r="DT86" s="48">
        <f t="shared" si="188"/>
        <v>420.37537001519513</v>
      </c>
      <c r="DU86" s="48">
        <f t="shared" si="189"/>
        <v>468.58459101519503</v>
      </c>
      <c r="DV86" s="93">
        <f t="shared" si="190"/>
        <v>420.37536000000006</v>
      </c>
      <c r="DW86" s="93">
        <f t="shared" si="191"/>
        <v>468.58458099999996</v>
      </c>
      <c r="EB86" s="52"/>
      <c r="EC86" s="52"/>
      <c r="ED86" s="52"/>
      <c r="EE86" s="55">
        <f t="shared" si="192"/>
        <v>26688.653300000002</v>
      </c>
      <c r="EF86" s="55">
        <f t="shared" si="192"/>
        <v>12954.8549</v>
      </c>
      <c r="EG86" s="55">
        <f t="shared" si="192"/>
        <v>9733.0969827999998</v>
      </c>
      <c r="EH86" s="55">
        <f t="shared" si="132"/>
        <v>8707.963550800001</v>
      </c>
      <c r="EI86" s="298">
        <f t="shared" si="133"/>
        <v>0.67321623417778143</v>
      </c>
      <c r="EJ86" s="52"/>
      <c r="EK86" s="55">
        <f t="shared" si="193"/>
        <v>9733.0970162666854</v>
      </c>
      <c r="EL86" s="55">
        <f t="shared" si="193"/>
        <v>8707.963519466688</v>
      </c>
      <c r="EM86" s="55">
        <f t="shared" si="193"/>
        <v>9733.0969827999998</v>
      </c>
      <c r="EN86" s="55">
        <f t="shared" si="193"/>
        <v>8707.9634860000006</v>
      </c>
      <c r="EP86" s="52"/>
      <c r="EQ86" s="52"/>
      <c r="ER86" s="52"/>
      <c r="ES86" s="55">
        <f t="shared" si="134"/>
        <v>23894.474100000003</v>
      </c>
      <c r="ET86" s="55">
        <f t="shared" si="134"/>
        <v>12115.0108</v>
      </c>
      <c r="EU86" s="55">
        <f t="shared" si="134"/>
        <v>8340.8195407000003</v>
      </c>
      <c r="EV86" s="55">
        <f t="shared" si="134"/>
        <v>7025.7178481999999</v>
      </c>
      <c r="EW86" s="298">
        <f t="shared" si="135"/>
        <v>0.66356056373358452</v>
      </c>
      <c r="EX86" s="52"/>
      <c r="EY86" s="55">
        <f t="shared" si="136"/>
        <v>8340.8195699833504</v>
      </c>
      <c r="EZ86" s="55">
        <f t="shared" si="136"/>
        <v>7025.7178207833513</v>
      </c>
      <c r="FA86" s="55">
        <f t="shared" si="136"/>
        <v>8340.8195407000003</v>
      </c>
      <c r="FB86" s="55">
        <f t="shared" si="136"/>
        <v>7025.7177915000002</v>
      </c>
      <c r="FD86" s="52"/>
      <c r="FE86" s="52"/>
      <c r="FF86" s="52"/>
      <c r="FG86" s="55">
        <f t="shared" si="137"/>
        <v>19750.637600000002</v>
      </c>
      <c r="FH86" s="55">
        <f t="shared" si="137"/>
        <v>9480.1565999999984</v>
      </c>
      <c r="FI86" s="55">
        <f t="shared" si="137"/>
        <v>6082.4797799999988</v>
      </c>
      <c r="FJ86" s="55">
        <f t="shared" si="137"/>
        <v>5403.836765</v>
      </c>
      <c r="FK86" s="298">
        <f t="shared" si="138"/>
        <v>0.67567913019619563</v>
      </c>
      <c r="FL86" s="52"/>
      <c r="FM86" s="55">
        <f t="shared" si="139"/>
        <v>6082.4797860091157</v>
      </c>
      <c r="FN86" s="55">
        <f t="shared" si="139"/>
        <v>5403.8367596091175</v>
      </c>
      <c r="FO86" s="55">
        <f t="shared" si="139"/>
        <v>6082.4797799999988</v>
      </c>
      <c r="FP86" s="55">
        <f t="shared" si="139"/>
        <v>5403.8367536000005</v>
      </c>
      <c r="FR86" s="52"/>
      <c r="FS86" s="52"/>
      <c r="FT86" s="52"/>
      <c r="FU86" s="55">
        <f t="shared" si="140"/>
        <v>18532.39</v>
      </c>
      <c r="FV86" s="55">
        <f t="shared" si="140"/>
        <v>9140.1057999999994</v>
      </c>
      <c r="FW86" s="55">
        <f t="shared" si="140"/>
        <v>788.94558480000001</v>
      </c>
      <c r="FX86" s="55">
        <f t="shared" si="140"/>
        <v>804.9690088000001</v>
      </c>
      <c r="FY86" s="298">
        <f t="shared" si="141"/>
        <v>0.66970432063449803</v>
      </c>
      <c r="FZ86" s="52"/>
      <c r="GA86" s="55">
        <f t="shared" si="142"/>
        <v>788.94561826668667</v>
      </c>
      <c r="GB86" s="55">
        <f t="shared" si="142"/>
        <v>804.96897746668674</v>
      </c>
      <c r="GC86" s="55">
        <f t="shared" si="142"/>
        <v>788.94558480000001</v>
      </c>
      <c r="GD86" s="55">
        <f t="shared" si="142"/>
        <v>804.96894400000008</v>
      </c>
      <c r="GF86" s="52"/>
      <c r="GG86" s="52"/>
      <c r="GH86" s="52"/>
      <c r="GI86" s="55">
        <f t="shared" si="143"/>
        <v>9186.1116999999995</v>
      </c>
      <c r="GJ86" s="55">
        <f t="shared" si="143"/>
        <v>4217.5915999999997</v>
      </c>
      <c r="GK86" s="56">
        <f t="shared" si="144"/>
        <v>1539.5803289999997</v>
      </c>
      <c r="GL86" s="56">
        <f t="shared" si="144"/>
        <v>1398.3235035000005</v>
      </c>
      <c r="GM86" s="298">
        <f t="shared" si="145"/>
        <v>0.6853413190666493</v>
      </c>
      <c r="GN86" s="52"/>
      <c r="GO86" s="56">
        <f t="shared" si="146"/>
        <v>1539.5803289999997</v>
      </c>
      <c r="GP86" s="56">
        <f t="shared" si="146"/>
        <v>1398.3235035000005</v>
      </c>
      <c r="GQ86" s="56">
        <f t="shared" si="146"/>
        <v>1539.5803289999997</v>
      </c>
      <c r="GR86" s="56">
        <f t="shared" si="146"/>
        <v>1398.3235035000005</v>
      </c>
    </row>
    <row r="87" spans="1:200" x14ac:dyDescent="0.2">
      <c r="A87" s="118">
        <v>77</v>
      </c>
      <c r="C87" s="128">
        <v>5.0759999999999996</v>
      </c>
      <c r="D87" s="128">
        <v>2.5796999999999999</v>
      </c>
      <c r="E87" s="128">
        <v>0</v>
      </c>
      <c r="F87" s="128">
        <v>2379.5783000000001</v>
      </c>
      <c r="G87" s="128">
        <v>1105.8742</v>
      </c>
      <c r="H87" s="49">
        <f t="shared" si="123"/>
        <v>5083.2079199999998</v>
      </c>
      <c r="I87" s="49">
        <f t="shared" si="123"/>
        <v>4895.2387199999994</v>
      </c>
      <c r="J87" s="47">
        <f t="shared" si="123"/>
        <v>0</v>
      </c>
      <c r="K87" s="47">
        <f t="shared" si="147"/>
        <v>0</v>
      </c>
      <c r="L87" s="48">
        <f t="shared" si="148"/>
        <v>5083.2079199999998</v>
      </c>
      <c r="M87" s="48">
        <f t="shared" si="149"/>
        <v>4895.2387199999994</v>
      </c>
      <c r="N87" s="93">
        <f t="shared" si="150"/>
        <v>5083.2079199999998</v>
      </c>
      <c r="O87" s="93">
        <f t="shared" si="151"/>
        <v>4895.2387199999994</v>
      </c>
      <c r="Q87" s="128">
        <v>7.1115000000000004</v>
      </c>
      <c r="R87" s="130">
        <v>3.4878999999999998</v>
      </c>
      <c r="S87" s="128">
        <v>0</v>
      </c>
      <c r="T87" s="128">
        <v>1336.7633000000001</v>
      </c>
      <c r="U87" s="128">
        <v>564.58669999999995</v>
      </c>
      <c r="V87" s="49">
        <f t="shared" si="124"/>
        <v>4525.8297149999999</v>
      </c>
      <c r="W87" s="49">
        <f t="shared" si="124"/>
        <v>4155.797971</v>
      </c>
      <c r="X87" s="47">
        <f t="shared" si="124"/>
        <v>0</v>
      </c>
      <c r="Y87" s="47">
        <f t="shared" si="152"/>
        <v>0</v>
      </c>
      <c r="Z87" s="48">
        <f t="shared" si="153"/>
        <v>4525.8297149999999</v>
      </c>
      <c r="AA87" s="48">
        <f t="shared" si="154"/>
        <v>4155.797971</v>
      </c>
      <c r="AB87" s="93">
        <f t="shared" si="155"/>
        <v>4525.8297149999999</v>
      </c>
      <c r="AC87" s="93">
        <f t="shared" si="156"/>
        <v>4155.797971</v>
      </c>
      <c r="AE87" s="128">
        <v>8.1219000000000001</v>
      </c>
      <c r="AF87" s="130">
        <v>3.5230000000000001</v>
      </c>
      <c r="AG87" s="128">
        <v>0</v>
      </c>
      <c r="AH87" s="128">
        <v>175.4058</v>
      </c>
      <c r="AI87" s="128">
        <v>75.671700000000001</v>
      </c>
      <c r="AJ87" s="49">
        <f t="shared" si="125"/>
        <v>3736.7237519999999</v>
      </c>
      <c r="AK87" s="49">
        <f t="shared" si="125"/>
        <v>3701.7217900000001</v>
      </c>
      <c r="AL87" s="47">
        <f t="shared" si="125"/>
        <v>0</v>
      </c>
      <c r="AM87" s="47">
        <f t="shared" si="157"/>
        <v>0</v>
      </c>
      <c r="AN87" s="48">
        <f t="shared" si="158"/>
        <v>3736.7237519999999</v>
      </c>
      <c r="AO87" s="48">
        <f t="shared" si="159"/>
        <v>3701.7217900000001</v>
      </c>
      <c r="AP87" s="93">
        <f t="shared" si="160"/>
        <v>3736.7237519999999</v>
      </c>
      <c r="AQ87" s="93">
        <f t="shared" si="161"/>
        <v>3701.7217900000001</v>
      </c>
      <c r="AS87" s="128">
        <v>12.092599999999999</v>
      </c>
      <c r="AT87" s="130">
        <v>4.7130000000000001</v>
      </c>
      <c r="AU87" s="128">
        <v>0</v>
      </c>
      <c r="AV87" s="128">
        <v>4496.5625</v>
      </c>
      <c r="AW87" s="128">
        <v>2340.0666999999999</v>
      </c>
      <c r="AX87" s="49">
        <f t="shared" si="126"/>
        <v>4240.1492639999997</v>
      </c>
      <c r="AY87" s="49">
        <f t="shared" si="126"/>
        <v>3322.5707400000001</v>
      </c>
      <c r="AZ87" s="47">
        <f t="shared" si="126"/>
        <v>0</v>
      </c>
      <c r="BA87" s="47">
        <f t="shared" si="162"/>
        <v>0</v>
      </c>
      <c r="BB87" s="48">
        <f t="shared" si="163"/>
        <v>4240.1492639999997</v>
      </c>
      <c r="BC87" s="48">
        <f t="shared" si="164"/>
        <v>3322.5707400000001</v>
      </c>
      <c r="BD87" s="93">
        <f t="shared" si="165"/>
        <v>4240.1492639999997</v>
      </c>
      <c r="BE87" s="93">
        <f t="shared" si="166"/>
        <v>3322.5707400000001</v>
      </c>
      <c r="BG87" s="128">
        <v>10.414099999999999</v>
      </c>
      <c r="BH87" s="130">
        <v>3.8875000000000002</v>
      </c>
      <c r="BI87" s="128">
        <v>0</v>
      </c>
      <c r="BJ87" s="128">
        <v>3269.2049999999999</v>
      </c>
      <c r="BK87" s="128">
        <v>2160.8975</v>
      </c>
      <c r="BL87" s="49">
        <f t="shared" si="127"/>
        <v>3420.1987220000001</v>
      </c>
      <c r="BM87" s="49">
        <f t="shared" si="127"/>
        <v>2350.6934999999999</v>
      </c>
      <c r="BN87" s="47">
        <f t="shared" si="127"/>
        <v>0</v>
      </c>
      <c r="BO87" s="47">
        <f t="shared" si="167"/>
        <v>0</v>
      </c>
      <c r="BP87" s="48">
        <f t="shared" si="168"/>
        <v>3420.1987220000001</v>
      </c>
      <c r="BQ87" s="48">
        <f t="shared" si="169"/>
        <v>2350.6934999999999</v>
      </c>
      <c r="BR87" s="93">
        <f t="shared" si="170"/>
        <v>3420.1987220000001</v>
      </c>
      <c r="BS87" s="93">
        <f t="shared" si="171"/>
        <v>2350.6934999999999</v>
      </c>
      <c r="BU87" s="128">
        <v>8.4428000000000001</v>
      </c>
      <c r="BV87" s="130">
        <v>3.3632</v>
      </c>
      <c r="BW87" s="128">
        <v>0</v>
      </c>
      <c r="BX87" s="128">
        <v>3168.8074999999999</v>
      </c>
      <c r="BY87" s="128">
        <v>1347.5525</v>
      </c>
      <c r="BZ87" s="49">
        <f t="shared" si="128"/>
        <v>2048.2232800000002</v>
      </c>
      <c r="CA87" s="49">
        <f t="shared" si="128"/>
        <v>1359.1363839999999</v>
      </c>
      <c r="CB87" s="47">
        <f t="shared" si="128"/>
        <v>0</v>
      </c>
      <c r="CC87" s="47">
        <f t="shared" si="172"/>
        <v>0</v>
      </c>
      <c r="CD87" s="48">
        <f t="shared" si="173"/>
        <v>2048.2232800000002</v>
      </c>
      <c r="CE87" s="48">
        <f t="shared" si="174"/>
        <v>1359.1363839999999</v>
      </c>
      <c r="CF87" s="93">
        <f t="shared" si="175"/>
        <v>2048.2232800000002</v>
      </c>
      <c r="CG87" s="93">
        <f t="shared" si="176"/>
        <v>1359.1363839999999</v>
      </c>
      <c r="CI87" s="128">
        <v>1.2999000000000001</v>
      </c>
      <c r="CJ87" s="130">
        <v>0.9194</v>
      </c>
      <c r="CK87" s="128">
        <v>0</v>
      </c>
      <c r="CL87" s="128">
        <v>11112.925800000001</v>
      </c>
      <c r="CM87" s="128">
        <v>5927.35</v>
      </c>
      <c r="CN87" s="49">
        <f t="shared" si="129"/>
        <v>275.94277199999999</v>
      </c>
      <c r="CO87" s="49">
        <f t="shared" si="129"/>
        <v>253.27631200000002</v>
      </c>
      <c r="CP87" s="47">
        <f t="shared" si="129"/>
        <v>0</v>
      </c>
      <c r="CQ87" s="47">
        <f t="shared" si="177"/>
        <v>0</v>
      </c>
      <c r="CR87" s="48">
        <f t="shared" si="178"/>
        <v>275.94277199999999</v>
      </c>
      <c r="CS87" s="48">
        <f t="shared" si="179"/>
        <v>253.27631200000002</v>
      </c>
      <c r="CT87" s="93">
        <f t="shared" si="180"/>
        <v>275.94277199999999</v>
      </c>
      <c r="CU87" s="93">
        <f t="shared" si="181"/>
        <v>253.27631200000002</v>
      </c>
      <c r="CW87" s="128">
        <v>2.9375</v>
      </c>
      <c r="CX87" s="130">
        <v>2.2067999999999999</v>
      </c>
      <c r="CY87" s="128">
        <v>0</v>
      </c>
      <c r="CZ87" s="128">
        <v>4501.4575000000004</v>
      </c>
      <c r="DA87" s="128">
        <v>2215.9133000000002</v>
      </c>
      <c r="DB87" s="49">
        <f t="shared" si="130"/>
        <v>630.71062500000005</v>
      </c>
      <c r="DC87" s="49">
        <f t="shared" si="130"/>
        <v>662.12827200000004</v>
      </c>
      <c r="DD87" s="47">
        <f t="shared" si="130"/>
        <v>0</v>
      </c>
      <c r="DE87" s="47">
        <f t="shared" si="182"/>
        <v>0</v>
      </c>
      <c r="DF87" s="48">
        <f t="shared" si="183"/>
        <v>630.71062500000005</v>
      </c>
      <c r="DG87" s="48">
        <f t="shared" si="184"/>
        <v>662.12827200000004</v>
      </c>
      <c r="DH87" s="93">
        <f t="shared" si="185"/>
        <v>630.71062500000005</v>
      </c>
      <c r="DI87" s="93">
        <f t="shared" si="186"/>
        <v>662.12827200000004</v>
      </c>
      <c r="DK87" s="128">
        <v>3.2035</v>
      </c>
      <c r="DL87" s="130">
        <v>2.3915999999999999</v>
      </c>
      <c r="DM87" s="128">
        <v>2.0000000000000001E-4</v>
      </c>
      <c r="DN87" s="128">
        <v>2130.41</v>
      </c>
      <c r="DO87" s="128">
        <v>1136.3142</v>
      </c>
      <c r="DP87" s="49">
        <f t="shared" si="131"/>
        <v>424.01526000000007</v>
      </c>
      <c r="DQ87" s="49">
        <f t="shared" si="131"/>
        <v>463.085508</v>
      </c>
      <c r="DR87" s="47">
        <f t="shared" si="131"/>
        <v>3.8000000000000002E-5</v>
      </c>
      <c r="DS87" s="47">
        <f t="shared" si="187"/>
        <v>1.9836809907935962E-5</v>
      </c>
      <c r="DT87" s="48">
        <f t="shared" si="188"/>
        <v>424.01527983680995</v>
      </c>
      <c r="DU87" s="48">
        <f t="shared" si="189"/>
        <v>463.08548983680987</v>
      </c>
      <c r="DV87" s="93">
        <f t="shared" si="190"/>
        <v>424.01526000000007</v>
      </c>
      <c r="DW87" s="93">
        <f t="shared" si="191"/>
        <v>463.08546999999999</v>
      </c>
      <c r="EB87" s="52"/>
      <c r="EC87" s="52"/>
      <c r="ED87" s="52"/>
      <c r="EE87" s="55">
        <f t="shared" si="192"/>
        <v>22490.524100000002</v>
      </c>
      <c r="EF87" s="55">
        <f t="shared" si="192"/>
        <v>11589.2042</v>
      </c>
      <c r="EG87" s="55">
        <f t="shared" si="192"/>
        <v>10103.868456</v>
      </c>
      <c r="EH87" s="55">
        <f t="shared" si="132"/>
        <v>9000.7883896000003</v>
      </c>
      <c r="EI87" s="298">
        <f t="shared" si="133"/>
        <v>0.65993848020202672</v>
      </c>
      <c r="EJ87" s="52"/>
      <c r="EK87" s="55">
        <f t="shared" si="193"/>
        <v>10103.868456</v>
      </c>
      <c r="EL87" s="55">
        <f t="shared" si="193"/>
        <v>9000.7883896000003</v>
      </c>
      <c r="EM87" s="55">
        <f t="shared" si="193"/>
        <v>10103.868456</v>
      </c>
      <c r="EN87" s="55">
        <f t="shared" si="193"/>
        <v>9000.7883896000003</v>
      </c>
      <c r="EP87" s="52"/>
      <c r="EQ87" s="52"/>
      <c r="ER87" s="52"/>
      <c r="ES87" s="55">
        <f t="shared" si="134"/>
        <v>20220.351600000002</v>
      </c>
      <c r="ET87" s="55">
        <f t="shared" si="134"/>
        <v>10868.747500000001</v>
      </c>
      <c r="EU87" s="55">
        <f t="shared" si="134"/>
        <v>8663.4686464999995</v>
      </c>
      <c r="EV87" s="55">
        <f t="shared" si="134"/>
        <v>7223.2575733999993</v>
      </c>
      <c r="EW87" s="298">
        <f t="shared" si="135"/>
        <v>0.65040004970745513</v>
      </c>
      <c r="EX87" s="52"/>
      <c r="EY87" s="55">
        <f t="shared" si="136"/>
        <v>8663.4686464999995</v>
      </c>
      <c r="EZ87" s="55">
        <f t="shared" si="136"/>
        <v>7223.2575733999993</v>
      </c>
      <c r="FA87" s="55">
        <f t="shared" si="136"/>
        <v>8663.4686464999995</v>
      </c>
      <c r="FB87" s="55">
        <f t="shared" si="136"/>
        <v>7223.2575733999993</v>
      </c>
      <c r="FD87" s="52"/>
      <c r="FE87" s="52"/>
      <c r="FF87" s="52"/>
      <c r="FG87" s="55">
        <f t="shared" si="137"/>
        <v>16587.5491</v>
      </c>
      <c r="FH87" s="55">
        <f t="shared" si="137"/>
        <v>8486.8884000000016</v>
      </c>
      <c r="FI87" s="55">
        <f t="shared" si="137"/>
        <v>6315.2989600000001</v>
      </c>
      <c r="FJ87" s="55">
        <f t="shared" si="137"/>
        <v>5591.9857907999994</v>
      </c>
      <c r="FK87" s="298">
        <f t="shared" si="138"/>
        <v>0.66153225172050223</v>
      </c>
      <c r="FL87" s="52"/>
      <c r="FM87" s="55">
        <f t="shared" si="139"/>
        <v>6315.2989719020861</v>
      </c>
      <c r="FN87" s="55">
        <f t="shared" si="139"/>
        <v>5591.9857799020856</v>
      </c>
      <c r="FO87" s="55">
        <f t="shared" si="139"/>
        <v>6315.2989600000001</v>
      </c>
      <c r="FP87" s="55">
        <f t="shared" si="139"/>
        <v>5591.9857679999996</v>
      </c>
      <c r="FR87" s="52"/>
      <c r="FS87" s="52"/>
      <c r="FT87" s="52"/>
      <c r="FU87" s="55">
        <f t="shared" si="140"/>
        <v>15614.383300000001</v>
      </c>
      <c r="FV87" s="55">
        <f t="shared" si="140"/>
        <v>8143.2633000000005</v>
      </c>
      <c r="FW87" s="55">
        <f t="shared" si="140"/>
        <v>780.51127200000008</v>
      </c>
      <c r="FX87" s="55">
        <f t="shared" si="140"/>
        <v>782.97892960000013</v>
      </c>
      <c r="FY87" s="298">
        <f t="shared" si="141"/>
        <v>0.65723611277221383</v>
      </c>
      <c r="FZ87" s="52"/>
      <c r="GA87" s="55">
        <f t="shared" si="142"/>
        <v>780.51127200000008</v>
      </c>
      <c r="GB87" s="55">
        <f t="shared" si="142"/>
        <v>782.97892960000013</v>
      </c>
      <c r="GC87" s="55">
        <f t="shared" si="142"/>
        <v>780.51127200000008</v>
      </c>
      <c r="GD87" s="55">
        <f t="shared" si="142"/>
        <v>782.97892960000013</v>
      </c>
      <c r="GF87" s="52"/>
      <c r="GG87" s="52"/>
      <c r="GH87" s="52"/>
      <c r="GI87" s="55">
        <f t="shared" si="143"/>
        <v>7665.37</v>
      </c>
      <c r="GJ87" s="55">
        <f t="shared" si="143"/>
        <v>3687.6192000000001</v>
      </c>
      <c r="GK87" s="56">
        <f t="shared" si="144"/>
        <v>1643.9444879999996</v>
      </c>
      <c r="GL87" s="56">
        <f t="shared" si="144"/>
        <v>1472.5757670000003</v>
      </c>
      <c r="GM87" s="298">
        <f t="shared" si="145"/>
        <v>0.6751851750198089</v>
      </c>
      <c r="GN87" s="52"/>
      <c r="GO87" s="56">
        <f t="shared" si="146"/>
        <v>1643.9444879999996</v>
      </c>
      <c r="GP87" s="56">
        <f t="shared" si="146"/>
        <v>1472.5757670000003</v>
      </c>
      <c r="GQ87" s="56">
        <f t="shared" si="146"/>
        <v>1643.9444879999996</v>
      </c>
      <c r="GR87" s="56">
        <f t="shared" si="146"/>
        <v>1472.5757670000003</v>
      </c>
    </row>
    <row r="88" spans="1:200" x14ac:dyDescent="0.2">
      <c r="A88" s="118">
        <v>78</v>
      </c>
      <c r="C88" s="128">
        <v>5.2336999999999998</v>
      </c>
      <c r="D88" s="128">
        <v>2.6457999999999999</v>
      </c>
      <c r="E88" s="128">
        <v>0</v>
      </c>
      <c r="F88" s="128">
        <v>2075.8957999999998</v>
      </c>
      <c r="G88" s="128">
        <v>913.69169999999997</v>
      </c>
      <c r="H88" s="49">
        <f t="shared" si="123"/>
        <v>5241.1318539999993</v>
      </c>
      <c r="I88" s="49">
        <f t="shared" si="123"/>
        <v>5020.6700799999999</v>
      </c>
      <c r="J88" s="47">
        <f t="shared" si="123"/>
        <v>0</v>
      </c>
      <c r="K88" s="47">
        <f t="shared" si="147"/>
        <v>0</v>
      </c>
      <c r="L88" s="48">
        <f t="shared" si="148"/>
        <v>5241.1318539999993</v>
      </c>
      <c r="M88" s="48">
        <f t="shared" si="149"/>
        <v>5020.6700799999999</v>
      </c>
      <c r="N88" s="93">
        <f t="shared" si="150"/>
        <v>5241.1318539999993</v>
      </c>
      <c r="O88" s="93">
        <f t="shared" si="151"/>
        <v>5020.6700799999999</v>
      </c>
      <c r="Q88" s="128">
        <v>7.3906000000000001</v>
      </c>
      <c r="R88" s="130">
        <v>3.5718999999999999</v>
      </c>
      <c r="S88" s="128">
        <v>0</v>
      </c>
      <c r="T88" s="128">
        <v>1087.5999999999999</v>
      </c>
      <c r="U88" s="128">
        <v>506.21749999999997</v>
      </c>
      <c r="V88" s="49">
        <f t="shared" si="124"/>
        <v>4703.4517459999997</v>
      </c>
      <c r="W88" s="49">
        <f t="shared" si="124"/>
        <v>4255.8831309999996</v>
      </c>
      <c r="X88" s="47">
        <f t="shared" si="124"/>
        <v>0</v>
      </c>
      <c r="Y88" s="47">
        <f t="shared" si="152"/>
        <v>0</v>
      </c>
      <c r="Z88" s="48">
        <f t="shared" si="153"/>
        <v>4703.4517459999997</v>
      </c>
      <c r="AA88" s="48">
        <f t="shared" si="154"/>
        <v>4255.8831309999996</v>
      </c>
      <c r="AB88" s="93">
        <f t="shared" si="155"/>
        <v>4703.4517459999997</v>
      </c>
      <c r="AC88" s="93">
        <f t="shared" si="156"/>
        <v>4255.8831309999996</v>
      </c>
      <c r="AE88" s="128">
        <v>8.4850999999999992</v>
      </c>
      <c r="AF88" s="130">
        <v>3.6322000000000001</v>
      </c>
      <c r="AG88" s="128">
        <v>0</v>
      </c>
      <c r="AH88" s="128">
        <v>131.86080000000001</v>
      </c>
      <c r="AI88" s="128">
        <v>77.883300000000006</v>
      </c>
      <c r="AJ88" s="49">
        <f t="shared" si="125"/>
        <v>3903.8248079999994</v>
      </c>
      <c r="AK88" s="49">
        <f t="shared" si="125"/>
        <v>3816.4615060000001</v>
      </c>
      <c r="AL88" s="47">
        <f t="shared" si="125"/>
        <v>0</v>
      </c>
      <c r="AM88" s="47">
        <f t="shared" si="157"/>
        <v>0</v>
      </c>
      <c r="AN88" s="48">
        <f t="shared" si="158"/>
        <v>3903.8248079999994</v>
      </c>
      <c r="AO88" s="48">
        <f t="shared" si="159"/>
        <v>3816.4615060000001</v>
      </c>
      <c r="AP88" s="93">
        <f t="shared" si="160"/>
        <v>3903.8248079999994</v>
      </c>
      <c r="AQ88" s="93">
        <f t="shared" si="161"/>
        <v>3816.4615060000001</v>
      </c>
      <c r="AS88" s="128">
        <v>12.7118</v>
      </c>
      <c r="AT88" s="130">
        <v>4.9768999999999997</v>
      </c>
      <c r="AU88" s="128">
        <v>0</v>
      </c>
      <c r="AV88" s="128">
        <v>4004.2217000000001</v>
      </c>
      <c r="AW88" s="128">
        <v>2069.2157999999999</v>
      </c>
      <c r="AX88" s="49">
        <f t="shared" si="126"/>
        <v>4457.2655519999998</v>
      </c>
      <c r="AY88" s="49">
        <f t="shared" si="126"/>
        <v>3508.6149619999997</v>
      </c>
      <c r="AZ88" s="47">
        <f t="shared" si="126"/>
        <v>0</v>
      </c>
      <c r="BA88" s="47">
        <f t="shared" si="162"/>
        <v>0</v>
      </c>
      <c r="BB88" s="48">
        <f t="shared" si="163"/>
        <v>4457.2655519999998</v>
      </c>
      <c r="BC88" s="48">
        <f t="shared" si="164"/>
        <v>3508.6149619999997</v>
      </c>
      <c r="BD88" s="93">
        <f t="shared" si="165"/>
        <v>4457.2655519999998</v>
      </c>
      <c r="BE88" s="93">
        <f t="shared" si="166"/>
        <v>3508.6149619999997</v>
      </c>
      <c r="BG88" s="128">
        <v>10.8344</v>
      </c>
      <c r="BH88" s="130">
        <v>4.0578000000000003</v>
      </c>
      <c r="BI88" s="128">
        <v>0</v>
      </c>
      <c r="BJ88" s="128">
        <v>2777.9007999999999</v>
      </c>
      <c r="BK88" s="128">
        <v>1901.6817000000001</v>
      </c>
      <c r="BL88" s="49">
        <f t="shared" si="127"/>
        <v>3558.2336480000004</v>
      </c>
      <c r="BM88" s="49">
        <f t="shared" si="127"/>
        <v>2453.6705040000002</v>
      </c>
      <c r="BN88" s="47">
        <f t="shared" si="127"/>
        <v>0</v>
      </c>
      <c r="BO88" s="47">
        <f t="shared" si="167"/>
        <v>0</v>
      </c>
      <c r="BP88" s="48">
        <f t="shared" si="168"/>
        <v>3558.2336480000004</v>
      </c>
      <c r="BQ88" s="48">
        <f t="shared" si="169"/>
        <v>2453.6705040000002</v>
      </c>
      <c r="BR88" s="93">
        <f t="shared" si="170"/>
        <v>3558.2336480000004</v>
      </c>
      <c r="BS88" s="93">
        <f t="shared" si="171"/>
        <v>2453.6705040000002</v>
      </c>
      <c r="BU88" s="128">
        <v>8.7372999999999994</v>
      </c>
      <c r="BV88" s="130">
        <v>3.5748000000000002</v>
      </c>
      <c r="BW88" s="128">
        <v>0</v>
      </c>
      <c r="BX88" s="128">
        <v>2786.9450000000002</v>
      </c>
      <c r="BY88" s="128">
        <v>1163.8492000000001</v>
      </c>
      <c r="BZ88" s="49">
        <f t="shared" si="128"/>
        <v>2119.6689799999999</v>
      </c>
      <c r="CA88" s="49">
        <f t="shared" si="128"/>
        <v>1444.6481760000001</v>
      </c>
      <c r="CB88" s="47">
        <f t="shared" si="128"/>
        <v>0</v>
      </c>
      <c r="CC88" s="47">
        <f t="shared" si="172"/>
        <v>0</v>
      </c>
      <c r="CD88" s="48">
        <f t="shared" si="173"/>
        <v>2119.6689799999999</v>
      </c>
      <c r="CE88" s="48">
        <f t="shared" si="174"/>
        <v>1444.6481760000001</v>
      </c>
      <c r="CF88" s="93">
        <f t="shared" si="175"/>
        <v>2119.6689799999999</v>
      </c>
      <c r="CG88" s="93">
        <f t="shared" si="176"/>
        <v>1444.6481760000001</v>
      </c>
      <c r="CI88" s="128">
        <v>1.2650999999999999</v>
      </c>
      <c r="CJ88" s="130">
        <v>0.88100000000000001</v>
      </c>
      <c r="CK88" s="128">
        <v>0</v>
      </c>
      <c r="CL88" s="128">
        <v>9703.2800000000007</v>
      </c>
      <c r="CM88" s="128">
        <v>5207.08</v>
      </c>
      <c r="CN88" s="49">
        <f t="shared" si="129"/>
        <v>268.55542800000001</v>
      </c>
      <c r="CO88" s="49">
        <f t="shared" si="129"/>
        <v>242.69788000000003</v>
      </c>
      <c r="CP88" s="47">
        <f t="shared" si="129"/>
        <v>0</v>
      </c>
      <c r="CQ88" s="47">
        <f t="shared" si="177"/>
        <v>0</v>
      </c>
      <c r="CR88" s="48">
        <f t="shared" si="178"/>
        <v>268.55542800000001</v>
      </c>
      <c r="CS88" s="48">
        <f t="shared" si="179"/>
        <v>242.69788000000003</v>
      </c>
      <c r="CT88" s="93">
        <f t="shared" si="180"/>
        <v>268.55542800000001</v>
      </c>
      <c r="CU88" s="93">
        <f t="shared" si="181"/>
        <v>242.69788000000003</v>
      </c>
      <c r="CW88" s="128">
        <v>2.9081000000000001</v>
      </c>
      <c r="CX88" s="130">
        <v>2.1442000000000001</v>
      </c>
      <c r="CY88" s="128">
        <v>0</v>
      </c>
      <c r="CZ88" s="128">
        <v>3854.5432999999998</v>
      </c>
      <c r="DA88" s="128">
        <v>1964.5550000000001</v>
      </c>
      <c r="DB88" s="49">
        <f t="shared" si="130"/>
        <v>624.3981510000001</v>
      </c>
      <c r="DC88" s="49">
        <f t="shared" si="130"/>
        <v>643.34576800000002</v>
      </c>
      <c r="DD88" s="47">
        <f t="shared" si="130"/>
        <v>0</v>
      </c>
      <c r="DE88" s="47">
        <f t="shared" si="182"/>
        <v>0</v>
      </c>
      <c r="DF88" s="48">
        <f t="shared" si="183"/>
        <v>624.3981510000001</v>
      </c>
      <c r="DG88" s="48">
        <f t="shared" si="184"/>
        <v>643.34576800000002</v>
      </c>
      <c r="DH88" s="93">
        <f t="shared" si="185"/>
        <v>624.3981510000001</v>
      </c>
      <c r="DI88" s="93">
        <f t="shared" si="186"/>
        <v>643.34576800000002</v>
      </c>
      <c r="DK88" s="128">
        <v>3.2214999999999998</v>
      </c>
      <c r="DL88" s="130">
        <v>2.3504</v>
      </c>
      <c r="DM88" s="128">
        <v>2.0000000000000001E-4</v>
      </c>
      <c r="DN88" s="128">
        <v>1847.37</v>
      </c>
      <c r="DO88" s="128">
        <v>942.10580000000004</v>
      </c>
      <c r="DP88" s="49">
        <f t="shared" si="131"/>
        <v>426.39774</v>
      </c>
      <c r="DQ88" s="49">
        <f t="shared" si="131"/>
        <v>455.10795200000001</v>
      </c>
      <c r="DR88" s="47">
        <f t="shared" si="131"/>
        <v>3.8000000000000002E-5</v>
      </c>
      <c r="DS88" s="47">
        <f t="shared" si="187"/>
        <v>1.9618820766502778E-5</v>
      </c>
      <c r="DT88" s="48">
        <f t="shared" si="188"/>
        <v>426.39775961882077</v>
      </c>
      <c r="DU88" s="48">
        <f t="shared" si="189"/>
        <v>455.10793361882077</v>
      </c>
      <c r="DV88" s="93">
        <f t="shared" si="190"/>
        <v>426.39774</v>
      </c>
      <c r="DW88" s="93">
        <f t="shared" si="191"/>
        <v>455.10791399999999</v>
      </c>
      <c r="EB88" s="52"/>
      <c r="EC88" s="52"/>
      <c r="ED88" s="52"/>
      <c r="EE88" s="55">
        <f t="shared" si="192"/>
        <v>19637.9408</v>
      </c>
      <c r="EF88" s="55">
        <f t="shared" si="192"/>
        <v>10154.5425</v>
      </c>
      <c r="EG88" s="55">
        <f t="shared" si="192"/>
        <v>10466.4713548</v>
      </c>
      <c r="EH88" s="55">
        <f t="shared" si="132"/>
        <v>9286.6595363999986</v>
      </c>
      <c r="EI88" s="298">
        <f t="shared" si="133"/>
        <v>0.65915756676785653</v>
      </c>
      <c r="EJ88" s="52"/>
      <c r="EK88" s="55">
        <f t="shared" si="193"/>
        <v>10466.4713548</v>
      </c>
      <c r="EL88" s="55">
        <f t="shared" si="193"/>
        <v>9286.6595363999986</v>
      </c>
      <c r="EM88" s="55">
        <f t="shared" si="193"/>
        <v>10466.4713548</v>
      </c>
      <c r="EN88" s="55">
        <f t="shared" si="193"/>
        <v>9286.6595363999986</v>
      </c>
      <c r="EP88" s="52"/>
      <c r="EQ88" s="52"/>
      <c r="ER88" s="52"/>
      <c r="ES88" s="55">
        <f t="shared" si="134"/>
        <v>17423.324100000002</v>
      </c>
      <c r="ET88" s="55">
        <f t="shared" si="134"/>
        <v>9579.5342000000001</v>
      </c>
      <c r="EU88" s="55">
        <f t="shared" si="134"/>
        <v>8967.3195276999995</v>
      </c>
      <c r="EV88" s="55">
        <f t="shared" si="134"/>
        <v>7402.5935526000003</v>
      </c>
      <c r="EW88" s="298">
        <f t="shared" si="135"/>
        <v>0.64523999298252077</v>
      </c>
      <c r="EX88" s="52"/>
      <c r="EY88" s="55">
        <f t="shared" si="136"/>
        <v>8967.3195276999995</v>
      </c>
      <c r="EZ88" s="55">
        <f t="shared" si="136"/>
        <v>7402.5935526000003</v>
      </c>
      <c r="FA88" s="55">
        <f t="shared" si="136"/>
        <v>8967.3195276999995</v>
      </c>
      <c r="FB88" s="55">
        <f t="shared" si="136"/>
        <v>7402.5935526000003</v>
      </c>
      <c r="FD88" s="52"/>
      <c r="FE88" s="52"/>
      <c r="FF88" s="52"/>
      <c r="FG88" s="55">
        <f t="shared" si="137"/>
        <v>14469.4558</v>
      </c>
      <c r="FH88" s="55">
        <f t="shared" si="137"/>
        <v>7390.9183000000003</v>
      </c>
      <c r="FI88" s="55">
        <f t="shared" si="137"/>
        <v>6547.8878599999998</v>
      </c>
      <c r="FJ88" s="55">
        <f t="shared" si="137"/>
        <v>5776.8723332</v>
      </c>
      <c r="FK88" s="298">
        <f t="shared" si="138"/>
        <v>0.66190339350139482</v>
      </c>
      <c r="FL88" s="52"/>
      <c r="FM88" s="55">
        <f t="shared" si="139"/>
        <v>6547.8878717712923</v>
      </c>
      <c r="FN88" s="55">
        <f t="shared" si="139"/>
        <v>5776.8723221712926</v>
      </c>
      <c r="FO88" s="55">
        <f t="shared" si="139"/>
        <v>6547.8878599999998</v>
      </c>
      <c r="FP88" s="55">
        <f t="shared" si="139"/>
        <v>5776.8723104000001</v>
      </c>
      <c r="FR88" s="52"/>
      <c r="FS88" s="52"/>
      <c r="FT88" s="52"/>
      <c r="FU88" s="55">
        <f t="shared" si="140"/>
        <v>13557.8233</v>
      </c>
      <c r="FV88" s="55">
        <f t="shared" si="140"/>
        <v>7171.6350000000002</v>
      </c>
      <c r="FW88" s="55">
        <f t="shared" si="140"/>
        <v>768.07394880000015</v>
      </c>
      <c r="FX88" s="55">
        <f t="shared" si="140"/>
        <v>757.37449440000012</v>
      </c>
      <c r="FY88" s="298">
        <f t="shared" si="141"/>
        <v>0.65403654566313496</v>
      </c>
      <c r="FZ88" s="52"/>
      <c r="GA88" s="55">
        <f t="shared" si="142"/>
        <v>768.07394880000015</v>
      </c>
      <c r="GB88" s="55">
        <f t="shared" si="142"/>
        <v>757.37449440000012</v>
      </c>
      <c r="GC88" s="55">
        <f t="shared" si="142"/>
        <v>768.07394880000015</v>
      </c>
      <c r="GD88" s="55">
        <f t="shared" si="142"/>
        <v>757.37449440000012</v>
      </c>
      <c r="GF88" s="52"/>
      <c r="GG88" s="52"/>
      <c r="GH88" s="52"/>
      <c r="GI88" s="55">
        <f t="shared" si="143"/>
        <v>6791.1666999999998</v>
      </c>
      <c r="GJ88" s="55">
        <f t="shared" si="143"/>
        <v>3233.0650000000001</v>
      </c>
      <c r="GK88" s="56">
        <f t="shared" si="144"/>
        <v>1753.1974289999998</v>
      </c>
      <c r="GL88" s="56">
        <f t="shared" si="144"/>
        <v>1547.9750894999997</v>
      </c>
      <c r="GM88" s="298">
        <f t="shared" si="145"/>
        <v>0.67747503282471011</v>
      </c>
      <c r="GN88" s="52"/>
      <c r="GO88" s="56">
        <f t="shared" si="146"/>
        <v>1753.1974289999998</v>
      </c>
      <c r="GP88" s="56">
        <f t="shared" si="146"/>
        <v>1547.9750894999997</v>
      </c>
      <c r="GQ88" s="56">
        <f t="shared" si="146"/>
        <v>1753.1974289999998</v>
      </c>
      <c r="GR88" s="56">
        <f t="shared" si="146"/>
        <v>1547.9750894999997</v>
      </c>
    </row>
    <row r="89" spans="1:200" x14ac:dyDescent="0.2">
      <c r="A89" s="118">
        <v>79</v>
      </c>
      <c r="C89" s="128">
        <v>5.3859000000000004</v>
      </c>
      <c r="D89" s="128">
        <v>2.7086999999999999</v>
      </c>
      <c r="E89" s="128">
        <v>0</v>
      </c>
      <c r="F89" s="128">
        <v>1636.2766999999999</v>
      </c>
      <c r="G89" s="128">
        <v>842.24670000000003</v>
      </c>
      <c r="H89" s="49">
        <f t="shared" si="123"/>
        <v>5393.5479780000005</v>
      </c>
      <c r="I89" s="49">
        <f t="shared" si="123"/>
        <v>5140.0291199999992</v>
      </c>
      <c r="J89" s="47">
        <f t="shared" si="123"/>
        <v>0</v>
      </c>
      <c r="K89" s="47">
        <f t="shared" si="147"/>
        <v>0</v>
      </c>
      <c r="L89" s="48">
        <f t="shared" si="148"/>
        <v>5393.5479780000005</v>
      </c>
      <c r="M89" s="48">
        <f t="shared" si="149"/>
        <v>5140.0291199999992</v>
      </c>
      <c r="N89" s="93">
        <f t="shared" si="150"/>
        <v>5393.5479780000005</v>
      </c>
      <c r="O89" s="93">
        <f t="shared" si="151"/>
        <v>5140.0291199999992</v>
      </c>
      <c r="Q89" s="128">
        <v>7.6519000000000004</v>
      </c>
      <c r="R89" s="130">
        <v>3.6438999999999999</v>
      </c>
      <c r="S89" s="128">
        <v>0</v>
      </c>
      <c r="T89" s="128">
        <v>895.09580000000005</v>
      </c>
      <c r="U89" s="128">
        <v>440.74250000000001</v>
      </c>
      <c r="V89" s="49">
        <f t="shared" si="124"/>
        <v>4869.7456789999997</v>
      </c>
      <c r="W89" s="49">
        <f t="shared" si="124"/>
        <v>4341.6704110000001</v>
      </c>
      <c r="X89" s="47">
        <f t="shared" si="124"/>
        <v>0</v>
      </c>
      <c r="Y89" s="47">
        <f t="shared" si="152"/>
        <v>0</v>
      </c>
      <c r="Z89" s="48">
        <f t="shared" si="153"/>
        <v>4869.7456789999997</v>
      </c>
      <c r="AA89" s="48">
        <f t="shared" si="154"/>
        <v>4341.6704110000001</v>
      </c>
      <c r="AB89" s="93">
        <f t="shared" si="155"/>
        <v>4869.7456789999997</v>
      </c>
      <c r="AC89" s="93">
        <f t="shared" si="156"/>
        <v>4341.6704110000001</v>
      </c>
      <c r="AE89" s="128">
        <v>8.8629999999999995</v>
      </c>
      <c r="AF89" s="130">
        <v>3.7412999999999998</v>
      </c>
      <c r="AG89" s="128">
        <v>0</v>
      </c>
      <c r="AH89" s="128">
        <v>104.0142</v>
      </c>
      <c r="AI89" s="128">
        <v>44.583300000000001</v>
      </c>
      <c r="AJ89" s="49">
        <f t="shared" si="125"/>
        <v>4077.6890399999997</v>
      </c>
      <c r="AK89" s="49">
        <f t="shared" si="125"/>
        <v>3931.096149</v>
      </c>
      <c r="AL89" s="47">
        <f t="shared" si="125"/>
        <v>0</v>
      </c>
      <c r="AM89" s="47">
        <f t="shared" si="157"/>
        <v>0</v>
      </c>
      <c r="AN89" s="48">
        <f t="shared" si="158"/>
        <v>4077.6890399999997</v>
      </c>
      <c r="AO89" s="48">
        <f t="shared" si="159"/>
        <v>3931.096149</v>
      </c>
      <c r="AP89" s="93">
        <f t="shared" si="160"/>
        <v>4077.6890399999997</v>
      </c>
      <c r="AQ89" s="93">
        <f t="shared" si="161"/>
        <v>3931.096149</v>
      </c>
      <c r="AS89" s="128">
        <v>13.3172</v>
      </c>
      <c r="AT89" s="130">
        <v>5.2347000000000001</v>
      </c>
      <c r="AU89" s="128">
        <v>0</v>
      </c>
      <c r="AV89" s="128">
        <v>3371.0542</v>
      </c>
      <c r="AW89" s="128">
        <v>1875.1033</v>
      </c>
      <c r="AX89" s="49">
        <f t="shared" si="126"/>
        <v>4669.5430079999996</v>
      </c>
      <c r="AY89" s="49">
        <f t="shared" si="126"/>
        <v>3690.3588060000002</v>
      </c>
      <c r="AZ89" s="47">
        <f t="shared" si="126"/>
        <v>0</v>
      </c>
      <c r="BA89" s="47">
        <f t="shared" si="162"/>
        <v>0</v>
      </c>
      <c r="BB89" s="48">
        <f t="shared" si="163"/>
        <v>4669.5430079999996</v>
      </c>
      <c r="BC89" s="48">
        <f t="shared" si="164"/>
        <v>3690.3588060000002</v>
      </c>
      <c r="BD89" s="93">
        <f t="shared" si="165"/>
        <v>4669.5430079999996</v>
      </c>
      <c r="BE89" s="93">
        <f t="shared" si="166"/>
        <v>3690.3588060000002</v>
      </c>
      <c r="BG89" s="128">
        <v>11.236499999999999</v>
      </c>
      <c r="BH89" s="130">
        <v>4.2263000000000002</v>
      </c>
      <c r="BI89" s="128">
        <v>0</v>
      </c>
      <c r="BJ89" s="128">
        <v>2324.0675000000001</v>
      </c>
      <c r="BK89" s="128">
        <v>1764.62</v>
      </c>
      <c r="BL89" s="49">
        <f t="shared" si="127"/>
        <v>3690.29133</v>
      </c>
      <c r="BM89" s="49">
        <f t="shared" si="127"/>
        <v>2555.559084</v>
      </c>
      <c r="BN89" s="47">
        <f t="shared" si="127"/>
        <v>0</v>
      </c>
      <c r="BO89" s="47">
        <f t="shared" si="167"/>
        <v>0</v>
      </c>
      <c r="BP89" s="48">
        <f t="shared" si="168"/>
        <v>3690.29133</v>
      </c>
      <c r="BQ89" s="48">
        <f t="shared" si="169"/>
        <v>2555.559084</v>
      </c>
      <c r="BR89" s="93">
        <f t="shared" si="170"/>
        <v>3690.29133</v>
      </c>
      <c r="BS89" s="93">
        <f t="shared" si="171"/>
        <v>2555.559084</v>
      </c>
      <c r="BU89" s="128">
        <v>9.0091000000000001</v>
      </c>
      <c r="BV89" s="130">
        <v>3.7757000000000001</v>
      </c>
      <c r="BW89" s="128">
        <v>0</v>
      </c>
      <c r="BX89" s="128">
        <v>2123.8883000000001</v>
      </c>
      <c r="BY89" s="128">
        <v>1039.625</v>
      </c>
      <c r="BZ89" s="49">
        <f t="shared" si="128"/>
        <v>2185.6076600000001</v>
      </c>
      <c r="CA89" s="49">
        <f t="shared" si="128"/>
        <v>1525.8358840000001</v>
      </c>
      <c r="CB89" s="47">
        <f t="shared" si="128"/>
        <v>0</v>
      </c>
      <c r="CC89" s="47">
        <f t="shared" si="172"/>
        <v>0</v>
      </c>
      <c r="CD89" s="48">
        <f t="shared" si="173"/>
        <v>2185.6076600000001</v>
      </c>
      <c r="CE89" s="48">
        <f t="shared" si="174"/>
        <v>1525.8358840000001</v>
      </c>
      <c r="CF89" s="93">
        <f t="shared" si="175"/>
        <v>2185.6076600000001</v>
      </c>
      <c r="CG89" s="93">
        <f t="shared" si="176"/>
        <v>1525.8358840000001</v>
      </c>
      <c r="CI89" s="128">
        <v>1.2222999999999999</v>
      </c>
      <c r="CJ89" s="130">
        <v>0.84009999999999996</v>
      </c>
      <c r="CK89" s="128">
        <v>0</v>
      </c>
      <c r="CL89" s="128">
        <v>7947.1882999999998</v>
      </c>
      <c r="CM89" s="128">
        <v>4742.0982999999997</v>
      </c>
      <c r="CN89" s="49">
        <f t="shared" si="129"/>
        <v>259.46984399999997</v>
      </c>
      <c r="CO89" s="49">
        <f t="shared" si="129"/>
        <v>231.43074799999999</v>
      </c>
      <c r="CP89" s="47">
        <f t="shared" si="129"/>
        <v>0</v>
      </c>
      <c r="CQ89" s="47">
        <f t="shared" si="177"/>
        <v>0</v>
      </c>
      <c r="CR89" s="48">
        <f t="shared" si="178"/>
        <v>259.46984399999997</v>
      </c>
      <c r="CS89" s="48">
        <f t="shared" si="179"/>
        <v>231.43074799999999</v>
      </c>
      <c r="CT89" s="93">
        <f t="shared" si="180"/>
        <v>259.46984399999997</v>
      </c>
      <c r="CU89" s="93">
        <f t="shared" si="181"/>
        <v>231.43074799999999</v>
      </c>
      <c r="CW89" s="128">
        <v>2.8618000000000001</v>
      </c>
      <c r="CX89" s="130">
        <v>2.0720000000000001</v>
      </c>
      <c r="CY89" s="128">
        <v>0</v>
      </c>
      <c r="CZ89" s="128">
        <v>3144.9841999999999</v>
      </c>
      <c r="DA89" s="128">
        <v>1756.8658</v>
      </c>
      <c r="DB89" s="49">
        <f t="shared" si="130"/>
        <v>614.45707800000002</v>
      </c>
      <c r="DC89" s="49">
        <f t="shared" si="130"/>
        <v>621.68288000000007</v>
      </c>
      <c r="DD89" s="47">
        <f t="shared" si="130"/>
        <v>0</v>
      </c>
      <c r="DE89" s="47">
        <f t="shared" si="182"/>
        <v>0</v>
      </c>
      <c r="DF89" s="48">
        <f t="shared" si="183"/>
        <v>614.45707800000002</v>
      </c>
      <c r="DG89" s="48">
        <f t="shared" si="184"/>
        <v>621.68288000000007</v>
      </c>
      <c r="DH89" s="93">
        <f t="shared" si="185"/>
        <v>614.45707800000002</v>
      </c>
      <c r="DI89" s="93">
        <f t="shared" si="186"/>
        <v>621.68288000000007</v>
      </c>
      <c r="DK89" s="128">
        <v>3.2296999999999998</v>
      </c>
      <c r="DL89" s="130">
        <v>2.2964000000000002</v>
      </c>
      <c r="DM89" s="128">
        <v>2.0000000000000001E-4</v>
      </c>
      <c r="DN89" s="128">
        <v>1528.9657999999999</v>
      </c>
      <c r="DO89" s="128">
        <v>945.85080000000005</v>
      </c>
      <c r="DP89" s="49">
        <f t="shared" si="131"/>
        <v>427.483092</v>
      </c>
      <c r="DQ89" s="49">
        <f t="shared" si="131"/>
        <v>444.65193200000004</v>
      </c>
      <c r="DR89" s="47">
        <f t="shared" si="131"/>
        <v>3.8000000000000002E-5</v>
      </c>
      <c r="DS89" s="47">
        <f t="shared" si="187"/>
        <v>1.9374033780347298E-5</v>
      </c>
      <c r="DT89" s="48">
        <f t="shared" si="188"/>
        <v>427.4831113740338</v>
      </c>
      <c r="DU89" s="48">
        <f t="shared" si="189"/>
        <v>444.65191337403382</v>
      </c>
      <c r="DV89" s="93">
        <f t="shared" si="190"/>
        <v>427.483092</v>
      </c>
      <c r="DW89" s="93">
        <f t="shared" si="191"/>
        <v>444.65189400000003</v>
      </c>
      <c r="EB89" s="52"/>
      <c r="EC89" s="52"/>
      <c r="ED89" s="52"/>
      <c r="EE89" s="55">
        <f t="shared" si="192"/>
        <v>16099.503399999998</v>
      </c>
      <c r="EF89" s="55">
        <f t="shared" si="192"/>
        <v>9216.3140999999996</v>
      </c>
      <c r="EG89" s="55">
        <f t="shared" si="192"/>
        <v>10814.126492399999</v>
      </c>
      <c r="EH89" s="55">
        <f t="shared" si="132"/>
        <v>9559.1649780000007</v>
      </c>
      <c r="EI89" s="298">
        <f t="shared" si="133"/>
        <v>0.63594641571420707</v>
      </c>
      <c r="EJ89" s="52"/>
      <c r="EK89" s="55">
        <f t="shared" si="193"/>
        <v>10814.126492399999</v>
      </c>
      <c r="EL89" s="55">
        <f t="shared" si="193"/>
        <v>9559.1649780000007</v>
      </c>
      <c r="EM89" s="55">
        <f t="shared" si="193"/>
        <v>10814.126492399999</v>
      </c>
      <c r="EN89" s="55">
        <f t="shared" si="193"/>
        <v>9559.1649780000007</v>
      </c>
      <c r="EP89" s="52"/>
      <c r="EQ89" s="52"/>
      <c r="ER89" s="52"/>
      <c r="ES89" s="55">
        <f t="shared" si="134"/>
        <v>14311.335800000001</v>
      </c>
      <c r="ET89" s="55">
        <f t="shared" si="134"/>
        <v>8704.3265999999985</v>
      </c>
      <c r="EU89" s="55">
        <f t="shared" si="134"/>
        <v>9249.6268075999997</v>
      </c>
      <c r="EV89" s="55">
        <f t="shared" si="134"/>
        <v>7563.8382589999992</v>
      </c>
      <c r="EW89" s="298">
        <f t="shared" si="135"/>
        <v>0.62180855589887341</v>
      </c>
      <c r="EX89" s="52"/>
      <c r="EY89" s="55">
        <f t="shared" si="136"/>
        <v>9249.6268075999997</v>
      </c>
      <c r="EZ89" s="55">
        <f t="shared" si="136"/>
        <v>7563.8382589999992</v>
      </c>
      <c r="FA89" s="55">
        <f t="shared" si="136"/>
        <v>9249.6268075999997</v>
      </c>
      <c r="FB89" s="55">
        <f t="shared" si="136"/>
        <v>7563.8382589999992</v>
      </c>
      <c r="FD89" s="52"/>
      <c r="FE89" s="52"/>
      <c r="FF89" s="52"/>
      <c r="FG89" s="55">
        <f t="shared" si="137"/>
        <v>11704.0566</v>
      </c>
      <c r="FH89" s="55">
        <f t="shared" si="137"/>
        <v>6772.1574000000001</v>
      </c>
      <c r="FI89" s="55">
        <f t="shared" si="137"/>
        <v>6779.2563991999996</v>
      </c>
      <c r="FJ89" s="55">
        <f t="shared" si="137"/>
        <v>5955.1539401999999</v>
      </c>
      <c r="FK89" s="298">
        <f t="shared" si="138"/>
        <v>0.63346617440131403</v>
      </c>
      <c r="FL89" s="52"/>
      <c r="FM89" s="55">
        <f t="shared" si="139"/>
        <v>6779.2564108244205</v>
      </c>
      <c r="FN89" s="55">
        <f t="shared" si="139"/>
        <v>5955.15392902442</v>
      </c>
      <c r="FO89" s="55">
        <f t="shared" si="139"/>
        <v>6779.2563991999996</v>
      </c>
      <c r="FP89" s="55">
        <f t="shared" si="139"/>
        <v>5955.1539174</v>
      </c>
      <c r="FR89" s="52"/>
      <c r="FS89" s="52"/>
      <c r="FT89" s="52"/>
      <c r="FU89" s="55">
        <f t="shared" si="140"/>
        <v>11092.172500000001</v>
      </c>
      <c r="FV89" s="55">
        <f t="shared" si="140"/>
        <v>6498.9640999999992</v>
      </c>
      <c r="FW89" s="55">
        <f t="shared" si="140"/>
        <v>751.03550640000003</v>
      </c>
      <c r="FX89" s="55">
        <f t="shared" si="140"/>
        <v>728.77705200000014</v>
      </c>
      <c r="FY89" s="298">
        <f t="shared" si="141"/>
        <v>0.63055462260465889</v>
      </c>
      <c r="FZ89" s="52"/>
      <c r="GA89" s="55">
        <f t="shared" si="142"/>
        <v>751.03550640000003</v>
      </c>
      <c r="GB89" s="55">
        <f t="shared" si="142"/>
        <v>728.77705200000014</v>
      </c>
      <c r="GC89" s="55">
        <f t="shared" si="142"/>
        <v>751.03550640000003</v>
      </c>
      <c r="GD89" s="55">
        <f t="shared" si="142"/>
        <v>728.77705200000014</v>
      </c>
      <c r="GF89" s="52"/>
      <c r="GG89" s="52"/>
      <c r="GH89" s="52"/>
      <c r="GI89" s="55">
        <f t="shared" si="143"/>
        <v>5494.9425000000001</v>
      </c>
      <c r="GJ89" s="55">
        <f t="shared" si="143"/>
        <v>2914.7282999999998</v>
      </c>
      <c r="GK89" s="56">
        <f t="shared" si="144"/>
        <v>1862.9515109999998</v>
      </c>
      <c r="GL89" s="56">
        <f t="shared" si="144"/>
        <v>1623.3921915000001</v>
      </c>
      <c r="GM89" s="298">
        <f t="shared" si="145"/>
        <v>0.65340756263610222</v>
      </c>
      <c r="GN89" s="52"/>
      <c r="GO89" s="56">
        <f t="shared" si="146"/>
        <v>1862.9515109999998</v>
      </c>
      <c r="GP89" s="56">
        <f t="shared" si="146"/>
        <v>1623.3921915000001</v>
      </c>
      <c r="GQ89" s="56">
        <f t="shared" si="146"/>
        <v>1862.9515109999998</v>
      </c>
      <c r="GR89" s="56">
        <f t="shared" si="146"/>
        <v>1623.3921915000001</v>
      </c>
    </row>
    <row r="90" spans="1:200" x14ac:dyDescent="0.2">
      <c r="A90" s="118">
        <v>80</v>
      </c>
      <c r="C90" s="128">
        <v>5.5328999999999997</v>
      </c>
      <c r="D90" s="128">
        <v>2.7679999999999998</v>
      </c>
      <c r="E90" s="128">
        <v>0</v>
      </c>
      <c r="F90" s="128">
        <v>1422.0174999999999</v>
      </c>
      <c r="G90" s="128">
        <v>673.96420000000001</v>
      </c>
      <c r="H90" s="49">
        <f t="shared" si="123"/>
        <v>5540.7567179999996</v>
      </c>
      <c r="I90" s="49">
        <f t="shared" si="123"/>
        <v>5252.5567999999994</v>
      </c>
      <c r="J90" s="47">
        <f t="shared" si="123"/>
        <v>0</v>
      </c>
      <c r="K90" s="47">
        <f t="shared" si="147"/>
        <v>0</v>
      </c>
      <c r="L90" s="48">
        <f t="shared" si="148"/>
        <v>5540.7567179999996</v>
      </c>
      <c r="M90" s="48">
        <f t="shared" si="149"/>
        <v>5252.5567999999994</v>
      </c>
      <c r="N90" s="93">
        <f t="shared" si="150"/>
        <v>5540.7567179999996</v>
      </c>
      <c r="O90" s="93">
        <f t="shared" si="151"/>
        <v>5252.5567999999994</v>
      </c>
      <c r="Q90" s="128">
        <v>7.8962000000000003</v>
      </c>
      <c r="R90" s="130">
        <v>3.7059000000000002</v>
      </c>
      <c r="S90" s="128">
        <v>0</v>
      </c>
      <c r="T90" s="128">
        <v>707.64329999999995</v>
      </c>
      <c r="U90" s="128">
        <v>358.92829999999998</v>
      </c>
      <c r="V90" s="49">
        <f t="shared" si="124"/>
        <v>5025.2206420000002</v>
      </c>
      <c r="W90" s="49">
        <f t="shared" si="124"/>
        <v>4415.5427909999999</v>
      </c>
      <c r="X90" s="47">
        <f t="shared" si="124"/>
        <v>0</v>
      </c>
      <c r="Y90" s="47">
        <f t="shared" si="152"/>
        <v>0</v>
      </c>
      <c r="Z90" s="48">
        <f t="shared" si="153"/>
        <v>5025.2206420000002</v>
      </c>
      <c r="AA90" s="48">
        <f t="shared" si="154"/>
        <v>4415.5427909999999</v>
      </c>
      <c r="AB90" s="93">
        <f t="shared" si="155"/>
        <v>5025.2206420000002</v>
      </c>
      <c r="AC90" s="93">
        <f t="shared" si="156"/>
        <v>4415.5427909999999</v>
      </c>
      <c r="AE90" s="128">
        <v>9.2510999999999992</v>
      </c>
      <c r="AF90" s="130">
        <v>3.8513000000000002</v>
      </c>
      <c r="AG90" s="128">
        <v>0</v>
      </c>
      <c r="AH90" s="128">
        <v>94.135000000000005</v>
      </c>
      <c r="AI90" s="128">
        <v>68.416700000000006</v>
      </c>
      <c r="AJ90" s="49">
        <f t="shared" si="125"/>
        <v>4256.2460879999999</v>
      </c>
      <c r="AK90" s="49">
        <f t="shared" si="125"/>
        <v>4046.676449</v>
      </c>
      <c r="AL90" s="47">
        <f t="shared" si="125"/>
        <v>0</v>
      </c>
      <c r="AM90" s="47">
        <f t="shared" si="157"/>
        <v>0</v>
      </c>
      <c r="AN90" s="48">
        <f t="shared" si="158"/>
        <v>4256.2460879999999</v>
      </c>
      <c r="AO90" s="48">
        <f t="shared" si="159"/>
        <v>4046.676449</v>
      </c>
      <c r="AP90" s="93">
        <f t="shared" si="160"/>
        <v>4256.2460879999999</v>
      </c>
      <c r="AQ90" s="93">
        <f t="shared" si="161"/>
        <v>4046.676449</v>
      </c>
      <c r="AS90" s="128">
        <v>13.896699999999999</v>
      </c>
      <c r="AT90" s="130">
        <v>5.4827000000000004</v>
      </c>
      <c r="AU90" s="128">
        <v>0</v>
      </c>
      <c r="AV90" s="128">
        <v>2687.8292000000001</v>
      </c>
      <c r="AW90" s="128">
        <v>1594.13</v>
      </c>
      <c r="AX90" s="49">
        <f t="shared" si="126"/>
        <v>4872.7388879999999</v>
      </c>
      <c r="AY90" s="49">
        <f t="shared" si="126"/>
        <v>3865.1938460000001</v>
      </c>
      <c r="AZ90" s="47">
        <f t="shared" si="126"/>
        <v>0</v>
      </c>
      <c r="BA90" s="47">
        <f t="shared" si="162"/>
        <v>0</v>
      </c>
      <c r="BB90" s="48">
        <f t="shared" si="163"/>
        <v>4872.7388879999999</v>
      </c>
      <c r="BC90" s="48">
        <f t="shared" si="164"/>
        <v>3865.1938460000001</v>
      </c>
      <c r="BD90" s="93">
        <f t="shared" si="165"/>
        <v>4872.7388879999999</v>
      </c>
      <c r="BE90" s="93">
        <f t="shared" si="166"/>
        <v>3865.1938460000001</v>
      </c>
      <c r="BG90" s="128">
        <v>11.6142</v>
      </c>
      <c r="BH90" s="130">
        <v>4.3895999999999997</v>
      </c>
      <c r="BI90" s="128">
        <v>0</v>
      </c>
      <c r="BJ90" s="128">
        <v>1975.89</v>
      </c>
      <c r="BK90" s="128">
        <v>1424.6983</v>
      </c>
      <c r="BL90" s="49">
        <f t="shared" si="127"/>
        <v>3814.3355640000004</v>
      </c>
      <c r="BM90" s="49">
        <f t="shared" si="127"/>
        <v>2654.3033279999995</v>
      </c>
      <c r="BN90" s="47">
        <f t="shared" si="127"/>
        <v>0</v>
      </c>
      <c r="BO90" s="47">
        <f t="shared" si="167"/>
        <v>0</v>
      </c>
      <c r="BP90" s="48">
        <f t="shared" si="168"/>
        <v>3814.3355640000004</v>
      </c>
      <c r="BQ90" s="48">
        <f t="shared" si="169"/>
        <v>2654.3033279999995</v>
      </c>
      <c r="BR90" s="93">
        <f t="shared" si="170"/>
        <v>3814.3355640000004</v>
      </c>
      <c r="BS90" s="93">
        <f t="shared" si="171"/>
        <v>2654.3033279999995</v>
      </c>
      <c r="BU90" s="128">
        <v>9.2579999999999991</v>
      </c>
      <c r="BV90" s="130">
        <v>3.9586999999999999</v>
      </c>
      <c r="BW90" s="128">
        <v>0</v>
      </c>
      <c r="BX90" s="128">
        <v>1843.9058</v>
      </c>
      <c r="BY90" s="128">
        <v>881.36419999999998</v>
      </c>
      <c r="BZ90" s="49">
        <f t="shared" si="128"/>
        <v>2245.9907999999996</v>
      </c>
      <c r="CA90" s="49">
        <f t="shared" si="128"/>
        <v>1599.7898439999999</v>
      </c>
      <c r="CB90" s="47">
        <f t="shared" si="128"/>
        <v>0</v>
      </c>
      <c r="CC90" s="47">
        <f t="shared" si="172"/>
        <v>0</v>
      </c>
      <c r="CD90" s="48">
        <f t="shared" si="173"/>
        <v>2245.9907999999996</v>
      </c>
      <c r="CE90" s="48">
        <f t="shared" si="174"/>
        <v>1599.7898439999999</v>
      </c>
      <c r="CF90" s="93">
        <f t="shared" si="175"/>
        <v>2245.9907999999996</v>
      </c>
      <c r="CG90" s="93">
        <f t="shared" si="176"/>
        <v>1599.7898439999999</v>
      </c>
      <c r="CI90" s="128">
        <v>1.1739999999999999</v>
      </c>
      <c r="CJ90" s="130">
        <v>0.79720000000000002</v>
      </c>
      <c r="CK90" s="128">
        <v>0</v>
      </c>
      <c r="CL90" s="128">
        <v>6604.7224999999999</v>
      </c>
      <c r="CM90" s="128">
        <v>3950.1925000000001</v>
      </c>
      <c r="CN90" s="49">
        <f t="shared" si="129"/>
        <v>249.21671999999998</v>
      </c>
      <c r="CO90" s="49">
        <f t="shared" si="129"/>
        <v>219.61265600000002</v>
      </c>
      <c r="CP90" s="47">
        <f t="shared" si="129"/>
        <v>0</v>
      </c>
      <c r="CQ90" s="47">
        <f t="shared" si="177"/>
        <v>0</v>
      </c>
      <c r="CR90" s="48">
        <f t="shared" si="178"/>
        <v>249.21671999999998</v>
      </c>
      <c r="CS90" s="48">
        <f t="shared" si="179"/>
        <v>219.61265600000002</v>
      </c>
      <c r="CT90" s="93">
        <f t="shared" si="180"/>
        <v>249.21671999999998</v>
      </c>
      <c r="CU90" s="93">
        <f t="shared" si="181"/>
        <v>219.61265600000002</v>
      </c>
      <c r="CW90" s="128">
        <v>2.7995000000000001</v>
      </c>
      <c r="CX90" s="130">
        <v>1.9923999999999999</v>
      </c>
      <c r="CY90" s="128">
        <v>0</v>
      </c>
      <c r="CZ90" s="128">
        <v>2591.4832999999999</v>
      </c>
      <c r="DA90" s="128">
        <v>1415.9558</v>
      </c>
      <c r="DB90" s="49">
        <f t="shared" si="130"/>
        <v>601.080645</v>
      </c>
      <c r="DC90" s="49">
        <f t="shared" si="130"/>
        <v>597.79969600000004</v>
      </c>
      <c r="DD90" s="47">
        <f t="shared" si="130"/>
        <v>0</v>
      </c>
      <c r="DE90" s="47">
        <f t="shared" si="182"/>
        <v>0</v>
      </c>
      <c r="DF90" s="48">
        <f t="shared" si="183"/>
        <v>601.080645</v>
      </c>
      <c r="DG90" s="48">
        <f t="shared" si="184"/>
        <v>597.79969600000004</v>
      </c>
      <c r="DH90" s="93">
        <f t="shared" si="185"/>
        <v>601.080645</v>
      </c>
      <c r="DI90" s="93">
        <f t="shared" si="186"/>
        <v>597.79969600000004</v>
      </c>
      <c r="DK90" s="128">
        <v>3.2277999999999998</v>
      </c>
      <c r="DL90" s="130">
        <v>2.2307999999999999</v>
      </c>
      <c r="DM90" s="128">
        <v>2.0000000000000001E-4</v>
      </c>
      <c r="DN90" s="128">
        <v>1315.7349999999999</v>
      </c>
      <c r="DO90" s="128">
        <v>780.21420000000001</v>
      </c>
      <c r="DP90" s="49">
        <f t="shared" si="131"/>
        <v>427.23160799999999</v>
      </c>
      <c r="DQ90" s="49">
        <f t="shared" si="131"/>
        <v>431.94980399999997</v>
      </c>
      <c r="DR90" s="47">
        <f t="shared" si="131"/>
        <v>3.8000000000000002E-5</v>
      </c>
      <c r="DS90" s="47">
        <f t="shared" si="187"/>
        <v>1.9104338528217603E-5</v>
      </c>
      <c r="DT90" s="48">
        <f t="shared" si="188"/>
        <v>427.23162710433854</v>
      </c>
      <c r="DU90" s="48">
        <f t="shared" si="189"/>
        <v>431.9497851043385</v>
      </c>
      <c r="DV90" s="93">
        <f t="shared" si="190"/>
        <v>427.23160799999999</v>
      </c>
      <c r="DW90" s="93">
        <f t="shared" si="191"/>
        <v>431.94976599999995</v>
      </c>
      <c r="EB90" s="52"/>
      <c r="EC90" s="52"/>
      <c r="ED90" s="52"/>
      <c r="EE90" s="55">
        <f t="shared" si="192"/>
        <v>13306.0525</v>
      </c>
      <c r="EF90" s="55">
        <f t="shared" si="192"/>
        <v>7634.2425000000003</v>
      </c>
      <c r="EG90" s="55">
        <f t="shared" si="192"/>
        <v>11143.576842</v>
      </c>
      <c r="EH90" s="55">
        <f t="shared" si="132"/>
        <v>9815.6030587999994</v>
      </c>
      <c r="EI90" s="298">
        <f t="shared" si="133"/>
        <v>0.63542813031048517</v>
      </c>
      <c r="EJ90" s="52"/>
      <c r="EK90" s="55">
        <f t="shared" si="193"/>
        <v>11143.576842</v>
      </c>
      <c r="EL90" s="55">
        <f t="shared" si="193"/>
        <v>9815.6030587999994</v>
      </c>
      <c r="EM90" s="55">
        <f t="shared" si="193"/>
        <v>11143.576842</v>
      </c>
      <c r="EN90" s="55">
        <f t="shared" si="193"/>
        <v>9815.6030587999994</v>
      </c>
      <c r="EP90" s="52"/>
      <c r="EQ90" s="52"/>
      <c r="ER90" s="52"/>
      <c r="ES90" s="55">
        <f t="shared" si="134"/>
        <v>11879.739099999999</v>
      </c>
      <c r="ET90" s="55">
        <f t="shared" si="134"/>
        <v>7149.7749000000003</v>
      </c>
      <c r="EU90" s="55">
        <f t="shared" si="134"/>
        <v>9509.5293775000009</v>
      </c>
      <c r="EV90" s="55">
        <f t="shared" si="134"/>
        <v>7707.9185622000005</v>
      </c>
      <c r="EW90" s="298">
        <f t="shared" si="135"/>
        <v>0.62427968995950178</v>
      </c>
      <c r="EX90" s="52"/>
      <c r="EY90" s="55">
        <f t="shared" si="136"/>
        <v>9509.5293775000009</v>
      </c>
      <c r="EZ90" s="55">
        <f t="shared" si="136"/>
        <v>7707.9185622000005</v>
      </c>
      <c r="FA90" s="55">
        <f t="shared" si="136"/>
        <v>9509.5293775000009</v>
      </c>
      <c r="FB90" s="55">
        <f t="shared" si="136"/>
        <v>7707.9185622000005</v>
      </c>
      <c r="FD90" s="52"/>
      <c r="FE90" s="52"/>
      <c r="FF90" s="52"/>
      <c r="FG90" s="55">
        <f t="shared" si="137"/>
        <v>9858.4983000000011</v>
      </c>
      <c r="FH90" s="55">
        <f t="shared" si="137"/>
        <v>5680.1876000000002</v>
      </c>
      <c r="FI90" s="55">
        <f t="shared" si="137"/>
        <v>7007.7925728</v>
      </c>
      <c r="FJ90" s="55">
        <f t="shared" si="137"/>
        <v>6125.2488313999993</v>
      </c>
      <c r="FK90" s="298">
        <f t="shared" si="138"/>
        <v>0.6344486505129755</v>
      </c>
      <c r="FL90" s="52"/>
      <c r="FM90" s="55">
        <f t="shared" si="139"/>
        <v>7007.7925842626028</v>
      </c>
      <c r="FN90" s="55">
        <f t="shared" si="139"/>
        <v>6125.248820062603</v>
      </c>
      <c r="FO90" s="55">
        <f t="shared" si="139"/>
        <v>7007.7925728</v>
      </c>
      <c r="FP90" s="55">
        <f t="shared" si="139"/>
        <v>6125.2488085999994</v>
      </c>
      <c r="FR90" s="52"/>
      <c r="FS90" s="52"/>
      <c r="FT90" s="52"/>
      <c r="FU90" s="55">
        <f t="shared" si="140"/>
        <v>9196.2057999999997</v>
      </c>
      <c r="FV90" s="55">
        <f t="shared" si="140"/>
        <v>5366.1482999999998</v>
      </c>
      <c r="FW90" s="55">
        <f t="shared" si="140"/>
        <v>730.08123599999999</v>
      </c>
      <c r="FX90" s="55">
        <f t="shared" si="140"/>
        <v>697.85241280000014</v>
      </c>
      <c r="FY90" s="298">
        <f t="shared" si="141"/>
        <v>0.63150543770941536</v>
      </c>
      <c r="FZ90" s="52"/>
      <c r="GA90" s="55">
        <f t="shared" si="142"/>
        <v>730.08123599999999</v>
      </c>
      <c r="GB90" s="55">
        <f t="shared" si="142"/>
        <v>697.85241280000014</v>
      </c>
      <c r="GC90" s="55">
        <f t="shared" si="142"/>
        <v>730.08123599999999</v>
      </c>
      <c r="GD90" s="55">
        <f t="shared" si="142"/>
        <v>697.85241280000014</v>
      </c>
      <c r="GF90" s="52"/>
      <c r="GG90" s="52"/>
      <c r="GH90" s="52"/>
      <c r="GI90" s="55">
        <f t="shared" si="143"/>
        <v>4531.7350000000006</v>
      </c>
      <c r="GJ90" s="55">
        <f t="shared" si="143"/>
        <v>2475.4942000000001</v>
      </c>
      <c r="GK90" s="56">
        <f t="shared" si="144"/>
        <v>1970.0610660000002</v>
      </c>
      <c r="GL90" s="56">
        <f t="shared" si="144"/>
        <v>1699.0530015000002</v>
      </c>
      <c r="GM90" s="298">
        <f t="shared" si="145"/>
        <v>0.64672281591702463</v>
      </c>
      <c r="GN90" s="52"/>
      <c r="GO90" s="56">
        <f t="shared" si="146"/>
        <v>1970.0610660000002</v>
      </c>
      <c r="GP90" s="56">
        <f t="shared" si="146"/>
        <v>1699.0530015000002</v>
      </c>
      <c r="GQ90" s="56">
        <f t="shared" si="146"/>
        <v>1970.0610660000002</v>
      </c>
      <c r="GR90" s="56">
        <f t="shared" si="146"/>
        <v>1699.0530015000002</v>
      </c>
    </row>
    <row r="91" spans="1:200" x14ac:dyDescent="0.2">
      <c r="A91" s="118">
        <v>81</v>
      </c>
      <c r="C91" s="128">
        <v>5.6749999999999998</v>
      </c>
      <c r="D91" s="128">
        <v>2.8235000000000001</v>
      </c>
      <c r="E91" s="128">
        <v>0</v>
      </c>
      <c r="F91" s="128">
        <v>955.26080000000002</v>
      </c>
      <c r="G91" s="128">
        <v>519.29330000000004</v>
      </c>
      <c r="H91" s="49">
        <f t="shared" si="123"/>
        <v>5683.0584999999992</v>
      </c>
      <c r="I91" s="49">
        <f t="shared" si="123"/>
        <v>5357.8735999999999</v>
      </c>
      <c r="J91" s="47">
        <f t="shared" si="123"/>
        <v>0</v>
      </c>
      <c r="K91" s="47">
        <f t="shared" si="147"/>
        <v>0</v>
      </c>
      <c r="L91" s="48">
        <f t="shared" si="148"/>
        <v>5683.0584999999992</v>
      </c>
      <c r="M91" s="48">
        <f t="shared" si="149"/>
        <v>5357.8735999999999</v>
      </c>
      <c r="N91" s="93">
        <f t="shared" si="150"/>
        <v>5683.0584999999992</v>
      </c>
      <c r="O91" s="93">
        <f t="shared" si="151"/>
        <v>5357.8735999999999</v>
      </c>
      <c r="Q91" s="128">
        <v>8.1206999999999994</v>
      </c>
      <c r="R91" s="130">
        <v>3.7606000000000002</v>
      </c>
      <c r="S91" s="128">
        <v>0</v>
      </c>
      <c r="T91" s="128">
        <v>423.69080000000002</v>
      </c>
      <c r="U91" s="128">
        <v>246.73169999999999</v>
      </c>
      <c r="V91" s="49">
        <f t="shared" si="124"/>
        <v>5168.0946869999989</v>
      </c>
      <c r="W91" s="49">
        <f t="shared" si="124"/>
        <v>4480.717294</v>
      </c>
      <c r="X91" s="47">
        <f t="shared" si="124"/>
        <v>0</v>
      </c>
      <c r="Y91" s="47">
        <f t="shared" si="152"/>
        <v>0</v>
      </c>
      <c r="Z91" s="48">
        <f t="shared" si="153"/>
        <v>5168.0946869999989</v>
      </c>
      <c r="AA91" s="48">
        <f t="shared" si="154"/>
        <v>4480.717294</v>
      </c>
      <c r="AB91" s="93">
        <f t="shared" si="155"/>
        <v>5168.0946869999989</v>
      </c>
      <c r="AC91" s="93">
        <f t="shared" si="156"/>
        <v>4480.717294</v>
      </c>
      <c r="AE91" s="128">
        <v>9.6419999999999995</v>
      </c>
      <c r="AF91" s="130">
        <v>3.9655999999999998</v>
      </c>
      <c r="AG91" s="128">
        <v>0</v>
      </c>
      <c r="AH91" s="128">
        <v>75.637500000000003</v>
      </c>
      <c r="AI91" s="128">
        <v>46</v>
      </c>
      <c r="AJ91" s="49">
        <f t="shared" si="125"/>
        <v>4436.0913599999994</v>
      </c>
      <c r="AK91" s="49">
        <f t="shared" si="125"/>
        <v>4166.7748879999999</v>
      </c>
      <c r="AL91" s="47">
        <f t="shared" si="125"/>
        <v>0</v>
      </c>
      <c r="AM91" s="47">
        <f t="shared" si="157"/>
        <v>0</v>
      </c>
      <c r="AN91" s="48">
        <f t="shared" si="158"/>
        <v>4436.0913599999994</v>
      </c>
      <c r="AO91" s="48">
        <f t="shared" si="159"/>
        <v>4166.7748879999999</v>
      </c>
      <c r="AP91" s="93">
        <f t="shared" si="160"/>
        <v>4436.0913599999994</v>
      </c>
      <c r="AQ91" s="93">
        <f t="shared" si="161"/>
        <v>4166.7748879999999</v>
      </c>
      <c r="AS91" s="128">
        <v>14.442299999999999</v>
      </c>
      <c r="AT91" s="130">
        <v>5.7183999999999999</v>
      </c>
      <c r="AU91" s="128">
        <v>0</v>
      </c>
      <c r="AV91" s="128">
        <v>1880.6216999999999</v>
      </c>
      <c r="AW91" s="128">
        <v>1130.6400000000001</v>
      </c>
      <c r="AX91" s="49">
        <f t="shared" si="126"/>
        <v>5064.0480719999996</v>
      </c>
      <c r="AY91" s="49">
        <f t="shared" si="126"/>
        <v>4031.3576320000002</v>
      </c>
      <c r="AZ91" s="47">
        <f t="shared" si="126"/>
        <v>0</v>
      </c>
      <c r="BA91" s="47">
        <f t="shared" si="162"/>
        <v>0</v>
      </c>
      <c r="BB91" s="48">
        <f t="shared" si="163"/>
        <v>5064.0480719999996</v>
      </c>
      <c r="BC91" s="48">
        <f t="shared" si="164"/>
        <v>4031.3576320000002</v>
      </c>
      <c r="BD91" s="93">
        <f t="shared" si="165"/>
        <v>5064.0480719999996</v>
      </c>
      <c r="BE91" s="93">
        <f t="shared" si="166"/>
        <v>4031.3576320000002</v>
      </c>
      <c r="BG91" s="128">
        <v>11.964600000000001</v>
      </c>
      <c r="BH91" s="130">
        <v>4.5465999999999998</v>
      </c>
      <c r="BI91" s="128">
        <v>0</v>
      </c>
      <c r="BJ91" s="128">
        <v>1362.7041999999999</v>
      </c>
      <c r="BK91" s="128">
        <v>1085.1442</v>
      </c>
      <c r="BL91" s="49">
        <f t="shared" si="127"/>
        <v>3929.4139320000004</v>
      </c>
      <c r="BM91" s="49">
        <f t="shared" si="127"/>
        <v>2749.2380879999996</v>
      </c>
      <c r="BN91" s="47">
        <f t="shared" si="127"/>
        <v>0</v>
      </c>
      <c r="BO91" s="47">
        <f t="shared" si="167"/>
        <v>0</v>
      </c>
      <c r="BP91" s="48">
        <f t="shared" si="168"/>
        <v>3929.4139320000004</v>
      </c>
      <c r="BQ91" s="48">
        <f t="shared" si="169"/>
        <v>2749.2380879999996</v>
      </c>
      <c r="BR91" s="93">
        <f t="shared" si="170"/>
        <v>3929.4139320000004</v>
      </c>
      <c r="BS91" s="93">
        <f t="shared" si="171"/>
        <v>2749.2380879999996</v>
      </c>
      <c r="BU91" s="128">
        <v>9.4839000000000002</v>
      </c>
      <c r="BV91" s="130">
        <v>4.1216999999999997</v>
      </c>
      <c r="BW91" s="128">
        <v>0</v>
      </c>
      <c r="BX91" s="128">
        <v>1300.5374999999999</v>
      </c>
      <c r="BY91" s="128">
        <v>615.04499999999996</v>
      </c>
      <c r="BZ91" s="49">
        <f t="shared" si="128"/>
        <v>2300.79414</v>
      </c>
      <c r="CA91" s="49">
        <f t="shared" si="128"/>
        <v>1665.6614039999999</v>
      </c>
      <c r="CB91" s="47">
        <f t="shared" si="128"/>
        <v>0</v>
      </c>
      <c r="CC91" s="47">
        <f t="shared" si="172"/>
        <v>0</v>
      </c>
      <c r="CD91" s="48">
        <f t="shared" si="173"/>
        <v>2300.79414</v>
      </c>
      <c r="CE91" s="48">
        <f t="shared" si="174"/>
        <v>1665.6614039999999</v>
      </c>
      <c r="CF91" s="93">
        <f t="shared" si="175"/>
        <v>2300.79414</v>
      </c>
      <c r="CG91" s="93">
        <f t="shared" si="176"/>
        <v>1665.6614039999999</v>
      </c>
      <c r="CI91" s="128">
        <v>1.1221000000000001</v>
      </c>
      <c r="CJ91" s="130">
        <v>0.75349999999999995</v>
      </c>
      <c r="CK91" s="128">
        <v>0</v>
      </c>
      <c r="CL91" s="128">
        <v>4610.9483</v>
      </c>
      <c r="CM91" s="128">
        <v>2863.5682999999999</v>
      </c>
      <c r="CN91" s="49">
        <f t="shared" si="129"/>
        <v>238.19938800000003</v>
      </c>
      <c r="CO91" s="49">
        <f t="shared" si="129"/>
        <v>207.57418000000001</v>
      </c>
      <c r="CP91" s="47">
        <f t="shared" si="129"/>
        <v>0</v>
      </c>
      <c r="CQ91" s="47">
        <f t="shared" si="177"/>
        <v>0</v>
      </c>
      <c r="CR91" s="48">
        <f t="shared" si="178"/>
        <v>238.19938800000003</v>
      </c>
      <c r="CS91" s="48">
        <f t="shared" si="179"/>
        <v>207.57418000000001</v>
      </c>
      <c r="CT91" s="93">
        <f t="shared" si="180"/>
        <v>238.19938800000003</v>
      </c>
      <c r="CU91" s="93">
        <f t="shared" si="181"/>
        <v>207.57418000000001</v>
      </c>
      <c r="CW91" s="128">
        <v>2.7216999999999998</v>
      </c>
      <c r="CX91" s="130">
        <v>1.9078999999999999</v>
      </c>
      <c r="CY91" s="128">
        <v>0</v>
      </c>
      <c r="CZ91" s="128">
        <v>1718.2750000000001</v>
      </c>
      <c r="DA91" s="128">
        <v>1003.09</v>
      </c>
      <c r="DB91" s="49">
        <f t="shared" si="130"/>
        <v>584.37620700000002</v>
      </c>
      <c r="DC91" s="49">
        <f t="shared" si="130"/>
        <v>572.44631600000002</v>
      </c>
      <c r="DD91" s="47">
        <f t="shared" si="130"/>
        <v>0</v>
      </c>
      <c r="DE91" s="47">
        <f t="shared" si="182"/>
        <v>0</v>
      </c>
      <c r="DF91" s="48">
        <f t="shared" si="183"/>
        <v>584.37620700000002</v>
      </c>
      <c r="DG91" s="48">
        <f t="shared" si="184"/>
        <v>572.44631600000002</v>
      </c>
      <c r="DH91" s="93">
        <f t="shared" si="185"/>
        <v>584.37620700000002</v>
      </c>
      <c r="DI91" s="93">
        <f t="shared" si="186"/>
        <v>572.44631600000002</v>
      </c>
      <c r="DK91" s="128">
        <v>3.2092000000000001</v>
      </c>
      <c r="DL91" s="130">
        <v>2.1553</v>
      </c>
      <c r="DM91" s="128">
        <v>2.0000000000000001E-4</v>
      </c>
      <c r="DN91" s="128">
        <v>997.26080000000002</v>
      </c>
      <c r="DO91" s="128">
        <v>561.375</v>
      </c>
      <c r="DP91" s="49">
        <f t="shared" si="131"/>
        <v>424.76971200000003</v>
      </c>
      <c r="DQ91" s="49">
        <f t="shared" si="131"/>
        <v>417.33073899999999</v>
      </c>
      <c r="DR91" s="47">
        <f t="shared" si="131"/>
        <v>3.8000000000000002E-5</v>
      </c>
      <c r="DS91" s="47">
        <f t="shared" si="187"/>
        <v>1.8832157212560382E-5</v>
      </c>
      <c r="DT91" s="48">
        <f t="shared" si="188"/>
        <v>424.76973083215722</v>
      </c>
      <c r="DU91" s="48">
        <f t="shared" si="189"/>
        <v>417.33071983215717</v>
      </c>
      <c r="DV91" s="93">
        <f t="shared" si="190"/>
        <v>424.76971200000003</v>
      </c>
      <c r="DW91" s="93">
        <f t="shared" si="191"/>
        <v>417.33070099999998</v>
      </c>
      <c r="EB91" s="52"/>
      <c r="EC91" s="52"/>
      <c r="ED91" s="52"/>
      <c r="EE91" s="55">
        <f t="shared" si="192"/>
        <v>9165.1057999999994</v>
      </c>
      <c r="EF91" s="55">
        <f t="shared" si="192"/>
        <v>5516.5915999999997</v>
      </c>
      <c r="EG91" s="55">
        <f t="shared" si="192"/>
        <v>11452.8069256</v>
      </c>
      <c r="EH91" s="55">
        <f t="shared" si="132"/>
        <v>10054.7624648</v>
      </c>
      <c r="EI91" s="298">
        <f t="shared" si="133"/>
        <v>0.62425382776244931</v>
      </c>
      <c r="EJ91" s="52"/>
      <c r="EK91" s="55">
        <f t="shared" si="193"/>
        <v>11452.8069256</v>
      </c>
      <c r="EL91" s="55">
        <f t="shared" si="193"/>
        <v>10054.7624648</v>
      </c>
      <c r="EM91" s="55">
        <f t="shared" si="193"/>
        <v>11452.8069256</v>
      </c>
      <c r="EN91" s="55">
        <f t="shared" si="193"/>
        <v>10054.7624648</v>
      </c>
      <c r="EP91" s="52"/>
      <c r="EQ91" s="52"/>
      <c r="ER91" s="52"/>
      <c r="ES91" s="55">
        <f t="shared" si="134"/>
        <v>8115.6183000000001</v>
      </c>
      <c r="ET91" s="55">
        <f t="shared" si="134"/>
        <v>5198.5342000000001</v>
      </c>
      <c r="EU91" s="55">
        <f t="shared" si="134"/>
        <v>9744.7713519000008</v>
      </c>
      <c r="EV91" s="55">
        <f t="shared" si="134"/>
        <v>7838.2419831999996</v>
      </c>
      <c r="EW91" s="298">
        <f t="shared" si="135"/>
        <v>0.60954824574827426</v>
      </c>
      <c r="EX91" s="52"/>
      <c r="EY91" s="55">
        <f t="shared" si="136"/>
        <v>9744.7713519000008</v>
      </c>
      <c r="EZ91" s="55">
        <f t="shared" si="136"/>
        <v>7838.2419831999996</v>
      </c>
      <c r="FA91" s="55">
        <f t="shared" si="136"/>
        <v>9744.7713519000008</v>
      </c>
      <c r="FB91" s="55">
        <f t="shared" si="136"/>
        <v>7838.2419831999996</v>
      </c>
      <c r="FD91" s="52"/>
      <c r="FE91" s="52"/>
      <c r="FF91" s="52"/>
      <c r="FG91" s="55">
        <f t="shared" si="137"/>
        <v>6984.3841000000002</v>
      </c>
      <c r="FH91" s="55">
        <f t="shared" si="137"/>
        <v>4085.9883</v>
      </c>
      <c r="FI91" s="55">
        <f t="shared" si="137"/>
        <v>7229.9467151999997</v>
      </c>
      <c r="FJ91" s="55">
        <f t="shared" si="137"/>
        <v>6290.4089154000003</v>
      </c>
      <c r="FK91" s="298">
        <f t="shared" si="138"/>
        <v>0.63090778228923894</v>
      </c>
      <c r="FL91" s="52"/>
      <c r="FM91" s="55">
        <f t="shared" si="139"/>
        <v>7229.9467264992936</v>
      </c>
      <c r="FN91" s="55">
        <f t="shared" si="139"/>
        <v>6290.4089038992943</v>
      </c>
      <c r="FO91" s="55">
        <f t="shared" si="139"/>
        <v>7229.9467151999997</v>
      </c>
      <c r="FP91" s="55">
        <f t="shared" si="139"/>
        <v>6290.4088925999995</v>
      </c>
      <c r="FR91" s="52"/>
      <c r="FS91" s="52"/>
      <c r="FT91" s="52"/>
      <c r="FU91" s="55">
        <f t="shared" si="140"/>
        <v>6329.2232999999997</v>
      </c>
      <c r="FV91" s="55">
        <f t="shared" si="140"/>
        <v>3866.6583000000001</v>
      </c>
      <c r="FW91" s="55">
        <f t="shared" si="140"/>
        <v>705.70035360000008</v>
      </c>
      <c r="FX91" s="55">
        <f t="shared" si="140"/>
        <v>665.5312328</v>
      </c>
      <c r="FY91" s="298">
        <f t="shared" si="141"/>
        <v>0.62076273031652307</v>
      </c>
      <c r="FZ91" s="52"/>
      <c r="GA91" s="55">
        <f t="shared" si="142"/>
        <v>705.70035360000008</v>
      </c>
      <c r="GB91" s="55">
        <f t="shared" si="142"/>
        <v>665.5312328</v>
      </c>
      <c r="GC91" s="55">
        <f t="shared" si="142"/>
        <v>705.70035360000008</v>
      </c>
      <c r="GD91" s="55">
        <f t="shared" si="142"/>
        <v>665.5312328</v>
      </c>
      <c r="GF91" s="52"/>
      <c r="GG91" s="52"/>
      <c r="GH91" s="52"/>
      <c r="GI91" s="55">
        <f t="shared" si="143"/>
        <v>3181.1592000000001</v>
      </c>
      <c r="GJ91" s="55">
        <f t="shared" si="143"/>
        <v>1745.6849999999999</v>
      </c>
      <c r="GK91" s="56">
        <f t="shared" si="144"/>
        <v>2072.4404489999997</v>
      </c>
      <c r="GL91" s="56">
        <f t="shared" si="144"/>
        <v>1774.2721710000001</v>
      </c>
      <c r="GM91" s="298">
        <f t="shared" si="145"/>
        <v>0.64567887086829345</v>
      </c>
      <c r="GN91" s="52"/>
      <c r="GO91" s="56">
        <f t="shared" si="146"/>
        <v>2072.4404489999997</v>
      </c>
      <c r="GP91" s="56">
        <f t="shared" si="146"/>
        <v>1774.2721710000001</v>
      </c>
      <c r="GQ91" s="56">
        <f t="shared" si="146"/>
        <v>2072.4404489999997</v>
      </c>
      <c r="GR91" s="56">
        <f t="shared" si="146"/>
        <v>1774.2721710000001</v>
      </c>
    </row>
    <row r="92" spans="1:200" x14ac:dyDescent="0.2">
      <c r="A92" s="118">
        <v>82</v>
      </c>
      <c r="C92" s="128">
        <v>5.8127000000000004</v>
      </c>
      <c r="D92" s="128">
        <v>2.8755999999999999</v>
      </c>
      <c r="E92" s="128">
        <v>0</v>
      </c>
      <c r="F92" s="128">
        <v>921.24419999999998</v>
      </c>
      <c r="G92" s="128">
        <v>495.43</v>
      </c>
      <c r="H92" s="49">
        <f t="shared" si="123"/>
        <v>5820.9540340000003</v>
      </c>
      <c r="I92" s="49">
        <f t="shared" si="123"/>
        <v>5456.7385599999998</v>
      </c>
      <c r="J92" s="47">
        <f t="shared" si="123"/>
        <v>0</v>
      </c>
      <c r="K92" s="47">
        <f t="shared" si="147"/>
        <v>0</v>
      </c>
      <c r="L92" s="48">
        <f t="shared" si="148"/>
        <v>5820.9540340000003</v>
      </c>
      <c r="M92" s="48">
        <f t="shared" si="149"/>
        <v>5456.7385599999998</v>
      </c>
      <c r="N92" s="93">
        <f t="shared" si="150"/>
        <v>5820.9540340000003</v>
      </c>
      <c r="O92" s="93">
        <f t="shared" si="151"/>
        <v>5456.7385599999998</v>
      </c>
      <c r="Q92" s="128">
        <v>8.3228000000000009</v>
      </c>
      <c r="R92" s="130">
        <v>3.8102999999999998</v>
      </c>
      <c r="S92" s="128">
        <v>0</v>
      </c>
      <c r="T92" s="128">
        <v>395.42079999999999</v>
      </c>
      <c r="U92" s="128">
        <v>235.10329999999999</v>
      </c>
      <c r="V92" s="49">
        <f t="shared" si="124"/>
        <v>5296.7131480000007</v>
      </c>
      <c r="W92" s="49">
        <f t="shared" si="124"/>
        <v>4539.9343469999994</v>
      </c>
      <c r="X92" s="47">
        <f t="shared" si="124"/>
        <v>0</v>
      </c>
      <c r="Y92" s="47">
        <f t="shared" si="152"/>
        <v>0</v>
      </c>
      <c r="Z92" s="48">
        <f t="shared" si="153"/>
        <v>5296.7131480000007</v>
      </c>
      <c r="AA92" s="48">
        <f t="shared" si="154"/>
        <v>4539.9343469999994</v>
      </c>
      <c r="AB92" s="93">
        <f t="shared" si="155"/>
        <v>5296.7131480000007</v>
      </c>
      <c r="AC92" s="93">
        <f t="shared" si="156"/>
        <v>4539.9343469999994</v>
      </c>
      <c r="AE92" s="128">
        <v>10.0261</v>
      </c>
      <c r="AF92" s="130">
        <v>4.0846</v>
      </c>
      <c r="AG92" s="128">
        <v>0</v>
      </c>
      <c r="AH92" s="128">
        <v>72</v>
      </c>
      <c r="AI92" s="128">
        <v>40.039200000000001</v>
      </c>
      <c r="AJ92" s="49">
        <f t="shared" si="125"/>
        <v>4612.8080879999998</v>
      </c>
      <c r="AK92" s="49">
        <f t="shared" si="125"/>
        <v>4291.8117579999998</v>
      </c>
      <c r="AL92" s="47">
        <f t="shared" si="125"/>
        <v>0</v>
      </c>
      <c r="AM92" s="47">
        <f t="shared" si="157"/>
        <v>0</v>
      </c>
      <c r="AN92" s="48">
        <f t="shared" si="158"/>
        <v>4612.8080879999998</v>
      </c>
      <c r="AO92" s="48">
        <f t="shared" si="159"/>
        <v>4291.8117579999998</v>
      </c>
      <c r="AP92" s="93">
        <f t="shared" si="160"/>
        <v>4612.8080879999998</v>
      </c>
      <c r="AQ92" s="93">
        <f t="shared" si="161"/>
        <v>4291.8117579999998</v>
      </c>
      <c r="AS92" s="128">
        <v>14.937900000000001</v>
      </c>
      <c r="AT92" s="130">
        <v>5.9363999999999999</v>
      </c>
      <c r="AU92" s="128">
        <v>0</v>
      </c>
      <c r="AV92" s="128">
        <v>1696.7508</v>
      </c>
      <c r="AW92" s="128">
        <v>1139.595</v>
      </c>
      <c r="AX92" s="49">
        <f t="shared" si="126"/>
        <v>5237.8252560000001</v>
      </c>
      <c r="AY92" s="49">
        <f t="shared" si="126"/>
        <v>4185.0432719999999</v>
      </c>
      <c r="AZ92" s="47">
        <f t="shared" si="126"/>
        <v>0</v>
      </c>
      <c r="BA92" s="47">
        <f t="shared" si="162"/>
        <v>0</v>
      </c>
      <c r="BB92" s="48">
        <f t="shared" si="163"/>
        <v>5237.8252560000001</v>
      </c>
      <c r="BC92" s="48">
        <f t="shared" si="164"/>
        <v>4185.0432719999999</v>
      </c>
      <c r="BD92" s="93">
        <f t="shared" si="165"/>
        <v>5237.8252560000001</v>
      </c>
      <c r="BE92" s="93">
        <f t="shared" si="166"/>
        <v>4185.0432719999999</v>
      </c>
      <c r="BG92" s="128">
        <v>12.283200000000001</v>
      </c>
      <c r="BH92" s="130">
        <v>4.6943000000000001</v>
      </c>
      <c r="BI92" s="128">
        <v>0</v>
      </c>
      <c r="BJ92" s="128">
        <v>1219.5867000000001</v>
      </c>
      <c r="BK92" s="128">
        <v>1027.1658</v>
      </c>
      <c r="BL92" s="49">
        <f t="shared" si="127"/>
        <v>4034.0485440000007</v>
      </c>
      <c r="BM92" s="49">
        <f t="shared" si="127"/>
        <v>2838.5493240000001</v>
      </c>
      <c r="BN92" s="47">
        <f t="shared" si="127"/>
        <v>0</v>
      </c>
      <c r="BO92" s="47">
        <f t="shared" si="167"/>
        <v>0</v>
      </c>
      <c r="BP92" s="48">
        <f t="shared" si="168"/>
        <v>4034.0485440000007</v>
      </c>
      <c r="BQ92" s="48">
        <f t="shared" si="169"/>
        <v>2838.5493240000001</v>
      </c>
      <c r="BR92" s="93">
        <f t="shared" si="170"/>
        <v>4034.0485440000007</v>
      </c>
      <c r="BS92" s="93">
        <f t="shared" si="171"/>
        <v>2838.5493240000001</v>
      </c>
      <c r="BU92" s="128">
        <v>9.6874000000000002</v>
      </c>
      <c r="BV92" s="130">
        <v>4.2637</v>
      </c>
      <c r="BW92" s="128">
        <v>0</v>
      </c>
      <c r="BX92" s="128">
        <v>1135.7925</v>
      </c>
      <c r="BY92" s="128">
        <v>597.47500000000002</v>
      </c>
      <c r="BZ92" s="49">
        <f t="shared" si="128"/>
        <v>2350.1632399999999</v>
      </c>
      <c r="CA92" s="49">
        <f t="shared" si="128"/>
        <v>1723.0464440000001</v>
      </c>
      <c r="CB92" s="47">
        <f t="shared" si="128"/>
        <v>0</v>
      </c>
      <c r="CC92" s="47">
        <f t="shared" si="172"/>
        <v>0</v>
      </c>
      <c r="CD92" s="48">
        <f t="shared" si="173"/>
        <v>2350.1632399999999</v>
      </c>
      <c r="CE92" s="48">
        <f t="shared" si="174"/>
        <v>1723.0464440000001</v>
      </c>
      <c r="CF92" s="93">
        <f t="shared" si="175"/>
        <v>2350.1632399999999</v>
      </c>
      <c r="CG92" s="93">
        <f t="shared" si="176"/>
        <v>1723.0464440000001</v>
      </c>
      <c r="CI92" s="128">
        <v>1.0687</v>
      </c>
      <c r="CJ92" s="130">
        <v>0.70960000000000001</v>
      </c>
      <c r="CK92" s="128">
        <v>0</v>
      </c>
      <c r="CL92" s="128">
        <v>4101.8024999999998</v>
      </c>
      <c r="CM92" s="128">
        <v>2797.1525000000001</v>
      </c>
      <c r="CN92" s="49">
        <f t="shared" si="129"/>
        <v>226.86363599999999</v>
      </c>
      <c r="CO92" s="49">
        <f t="shared" si="129"/>
        <v>195.48060800000002</v>
      </c>
      <c r="CP92" s="47">
        <f t="shared" si="129"/>
        <v>0</v>
      </c>
      <c r="CQ92" s="47">
        <f t="shared" si="177"/>
        <v>0</v>
      </c>
      <c r="CR92" s="48">
        <f t="shared" si="178"/>
        <v>226.86363599999999</v>
      </c>
      <c r="CS92" s="48">
        <f t="shared" si="179"/>
        <v>195.48060800000002</v>
      </c>
      <c r="CT92" s="93">
        <f t="shared" si="180"/>
        <v>226.86363599999999</v>
      </c>
      <c r="CU92" s="93">
        <f t="shared" si="181"/>
        <v>195.48060800000002</v>
      </c>
      <c r="CW92" s="128">
        <v>2.6465000000000001</v>
      </c>
      <c r="CX92" s="130">
        <v>1.8209</v>
      </c>
      <c r="CY92" s="128">
        <v>0</v>
      </c>
      <c r="CZ92" s="128">
        <v>1467.0992000000001</v>
      </c>
      <c r="DA92" s="128">
        <v>940.89919999999995</v>
      </c>
      <c r="DB92" s="49">
        <f t="shared" si="130"/>
        <v>568.23001499999998</v>
      </c>
      <c r="DC92" s="49">
        <f t="shared" si="130"/>
        <v>546.34283600000003</v>
      </c>
      <c r="DD92" s="47">
        <f t="shared" si="130"/>
        <v>0</v>
      </c>
      <c r="DE92" s="47">
        <f t="shared" si="182"/>
        <v>0</v>
      </c>
      <c r="DF92" s="48">
        <f t="shared" si="183"/>
        <v>568.23001499999998</v>
      </c>
      <c r="DG92" s="48">
        <f t="shared" si="184"/>
        <v>546.34283600000003</v>
      </c>
      <c r="DH92" s="93">
        <f t="shared" si="185"/>
        <v>568.23001499999998</v>
      </c>
      <c r="DI92" s="93">
        <f t="shared" si="186"/>
        <v>546.34283600000003</v>
      </c>
      <c r="DK92" s="128">
        <v>3.1732</v>
      </c>
      <c r="DL92" s="130">
        <v>2.0716999999999999</v>
      </c>
      <c r="DM92" s="128">
        <v>2.0000000000000001E-4</v>
      </c>
      <c r="DN92" s="128">
        <v>888.75</v>
      </c>
      <c r="DO92" s="128">
        <v>555.82249999999999</v>
      </c>
      <c r="DP92" s="49">
        <f t="shared" si="131"/>
        <v>420.00475200000005</v>
      </c>
      <c r="DQ92" s="49">
        <f t="shared" si="131"/>
        <v>401.14327099999997</v>
      </c>
      <c r="DR92" s="47">
        <f t="shared" si="131"/>
        <v>3.8000000000000002E-5</v>
      </c>
      <c r="DS92" s="47">
        <f t="shared" si="187"/>
        <v>1.8563576689022851E-5</v>
      </c>
      <c r="DT92" s="48">
        <f t="shared" si="188"/>
        <v>420.00477056357676</v>
      </c>
      <c r="DU92" s="48">
        <f t="shared" si="189"/>
        <v>401.14325156357665</v>
      </c>
      <c r="DV92" s="93">
        <f t="shared" si="190"/>
        <v>420.00475200000005</v>
      </c>
      <c r="DW92" s="93">
        <f t="shared" si="191"/>
        <v>401.14323299999995</v>
      </c>
      <c r="EB92" s="52"/>
      <c r="EC92" s="52"/>
      <c r="ED92" s="52"/>
      <c r="EE92" s="55">
        <f t="shared" si="192"/>
        <v>8186.8966999999993</v>
      </c>
      <c r="EF92" s="55">
        <f t="shared" si="192"/>
        <v>5373.0766999999996</v>
      </c>
      <c r="EG92" s="55">
        <f t="shared" si="192"/>
        <v>11740.226938</v>
      </c>
      <c r="EH92" s="55">
        <f t="shared" si="132"/>
        <v>10274.336708800001</v>
      </c>
      <c r="EI92" s="298">
        <f t="shared" si="133"/>
        <v>0.60375462830922666</v>
      </c>
      <c r="EJ92" s="52"/>
      <c r="EK92" s="55">
        <f t="shared" si="193"/>
        <v>11740.226938</v>
      </c>
      <c r="EL92" s="55">
        <f t="shared" si="193"/>
        <v>10274.336708800001</v>
      </c>
      <c r="EM92" s="55">
        <f t="shared" si="193"/>
        <v>11740.226938</v>
      </c>
      <c r="EN92" s="55">
        <f t="shared" si="193"/>
        <v>10274.336708800001</v>
      </c>
      <c r="EP92" s="52"/>
      <c r="EQ92" s="52"/>
      <c r="ER92" s="52"/>
      <c r="ES92" s="55">
        <f t="shared" si="134"/>
        <v>7183.9092000000001</v>
      </c>
      <c r="ET92" s="55">
        <f t="shared" si="134"/>
        <v>5000.3208000000004</v>
      </c>
      <c r="EU92" s="55">
        <f t="shared" si="134"/>
        <v>9955.3863385000022</v>
      </c>
      <c r="EV92" s="55">
        <f t="shared" si="134"/>
        <v>7956.4042641999995</v>
      </c>
      <c r="EW92" s="298">
        <f t="shared" si="135"/>
        <v>0.5896071561354308</v>
      </c>
      <c r="EX92" s="52"/>
      <c r="EY92" s="55">
        <f t="shared" si="136"/>
        <v>9955.3863385000022</v>
      </c>
      <c r="EZ92" s="55">
        <f t="shared" si="136"/>
        <v>7956.4042641999995</v>
      </c>
      <c r="FA92" s="55">
        <f t="shared" si="136"/>
        <v>9955.3863385000022</v>
      </c>
      <c r="FB92" s="55">
        <f t="shared" si="136"/>
        <v>7956.4042641999995</v>
      </c>
      <c r="FD92" s="52"/>
      <c r="FE92" s="52"/>
      <c r="FF92" s="52"/>
      <c r="FG92" s="55">
        <f t="shared" si="137"/>
        <v>6198.3449999999993</v>
      </c>
      <c r="FH92" s="55">
        <f t="shared" si="137"/>
        <v>3990.4892</v>
      </c>
      <c r="FI92" s="55">
        <f t="shared" si="137"/>
        <v>7441.8378151999996</v>
      </c>
      <c r="FJ92" s="55">
        <f t="shared" si="137"/>
        <v>6451.0247725999989</v>
      </c>
      <c r="FK92" s="298">
        <f t="shared" si="138"/>
        <v>0.60834683127928413</v>
      </c>
      <c r="FL92" s="52"/>
      <c r="FM92" s="55">
        <f t="shared" si="139"/>
        <v>7441.8378263381455</v>
      </c>
      <c r="FN92" s="55">
        <f t="shared" si="139"/>
        <v>6451.0247609381449</v>
      </c>
      <c r="FO92" s="55">
        <f t="shared" si="139"/>
        <v>7441.8378151999996</v>
      </c>
      <c r="FP92" s="55">
        <f t="shared" si="139"/>
        <v>6451.024749799999</v>
      </c>
      <c r="FR92" s="52"/>
      <c r="FS92" s="52"/>
      <c r="FT92" s="52"/>
      <c r="FU92" s="55">
        <f t="shared" si="140"/>
        <v>5568.9017000000003</v>
      </c>
      <c r="FV92" s="55">
        <f t="shared" si="140"/>
        <v>3738.0517</v>
      </c>
      <c r="FW92" s="55">
        <f t="shared" si="140"/>
        <v>681.44764800000007</v>
      </c>
      <c r="FX92" s="55">
        <f t="shared" si="140"/>
        <v>632.5548768000001</v>
      </c>
      <c r="FY92" s="298">
        <f t="shared" si="141"/>
        <v>0.59835925470519713</v>
      </c>
      <c r="FZ92" s="52"/>
      <c r="GA92" s="55">
        <f t="shared" si="142"/>
        <v>681.44764800000007</v>
      </c>
      <c r="GB92" s="55">
        <f t="shared" si="142"/>
        <v>632.5548768000001</v>
      </c>
      <c r="GC92" s="55">
        <f t="shared" si="142"/>
        <v>681.44764800000007</v>
      </c>
      <c r="GD92" s="55">
        <f t="shared" si="142"/>
        <v>632.5548768000001</v>
      </c>
      <c r="GF92" s="52"/>
      <c r="GG92" s="52"/>
      <c r="GH92" s="52"/>
      <c r="GI92" s="55">
        <f t="shared" si="143"/>
        <v>2832.5433000000003</v>
      </c>
      <c r="GJ92" s="55">
        <f t="shared" si="143"/>
        <v>1737.0700000000002</v>
      </c>
      <c r="GK92" s="56">
        <f t="shared" si="144"/>
        <v>2165.7465120000002</v>
      </c>
      <c r="GL92" s="56">
        <f t="shared" si="144"/>
        <v>1846.497621</v>
      </c>
      <c r="GM92" s="298">
        <f t="shared" si="145"/>
        <v>0.61986498945107671</v>
      </c>
      <c r="GN92" s="52"/>
      <c r="GO92" s="56">
        <f t="shared" si="146"/>
        <v>2165.7465120000002</v>
      </c>
      <c r="GP92" s="56">
        <f t="shared" si="146"/>
        <v>1846.497621</v>
      </c>
      <c r="GQ92" s="56">
        <f t="shared" si="146"/>
        <v>2165.7465120000002</v>
      </c>
      <c r="GR92" s="56">
        <f t="shared" si="146"/>
        <v>1846.497621</v>
      </c>
    </row>
    <row r="93" spans="1:200" x14ac:dyDescent="0.2">
      <c r="A93" s="118">
        <v>83</v>
      </c>
      <c r="C93" s="128">
        <v>5.9465000000000003</v>
      </c>
      <c r="D93" s="128">
        <v>2.9243999999999999</v>
      </c>
      <c r="E93" s="128">
        <v>0</v>
      </c>
      <c r="F93" s="128">
        <v>861.10170000000005</v>
      </c>
      <c r="G93" s="128">
        <v>495.50920000000002</v>
      </c>
      <c r="H93" s="49">
        <f t="shared" si="123"/>
        <v>5954.9440299999997</v>
      </c>
      <c r="I93" s="49">
        <f t="shared" si="123"/>
        <v>5549.3414399999992</v>
      </c>
      <c r="J93" s="47">
        <f t="shared" si="123"/>
        <v>0</v>
      </c>
      <c r="K93" s="47">
        <f t="shared" si="147"/>
        <v>0</v>
      </c>
      <c r="L93" s="48">
        <f t="shared" si="148"/>
        <v>5954.9440299999997</v>
      </c>
      <c r="M93" s="48">
        <f t="shared" si="149"/>
        <v>5549.3414399999992</v>
      </c>
      <c r="N93" s="93">
        <f t="shared" si="150"/>
        <v>5954.9440299999997</v>
      </c>
      <c r="O93" s="93">
        <f t="shared" si="151"/>
        <v>5549.3414399999992</v>
      </c>
      <c r="Q93" s="128">
        <v>8.5002999999999993</v>
      </c>
      <c r="R93" s="130">
        <v>3.8567999999999998</v>
      </c>
      <c r="S93" s="128">
        <v>0</v>
      </c>
      <c r="T93" s="128">
        <v>395.99419999999998</v>
      </c>
      <c r="U93" s="128">
        <v>228.97919999999999</v>
      </c>
      <c r="V93" s="49">
        <f t="shared" si="124"/>
        <v>5409.6759229999989</v>
      </c>
      <c r="W93" s="49">
        <f t="shared" si="124"/>
        <v>4595.338632</v>
      </c>
      <c r="X93" s="47">
        <f t="shared" si="124"/>
        <v>0</v>
      </c>
      <c r="Y93" s="47">
        <f t="shared" si="152"/>
        <v>0</v>
      </c>
      <c r="Z93" s="48">
        <f t="shared" si="153"/>
        <v>5409.6759229999989</v>
      </c>
      <c r="AA93" s="48">
        <f t="shared" si="154"/>
        <v>4595.338632</v>
      </c>
      <c r="AB93" s="93">
        <f t="shared" si="155"/>
        <v>5409.6759229999989</v>
      </c>
      <c r="AC93" s="93">
        <f t="shared" si="156"/>
        <v>4595.338632</v>
      </c>
      <c r="AE93" s="128">
        <v>10.3949</v>
      </c>
      <c r="AF93" s="130">
        <v>4.2053000000000003</v>
      </c>
      <c r="AG93" s="128">
        <v>0</v>
      </c>
      <c r="AH93" s="128">
        <v>67.4358</v>
      </c>
      <c r="AI93" s="128">
        <v>35</v>
      </c>
      <c r="AJ93" s="49">
        <f t="shared" si="125"/>
        <v>4782.485592</v>
      </c>
      <c r="AK93" s="49">
        <f t="shared" si="125"/>
        <v>4418.6348690000004</v>
      </c>
      <c r="AL93" s="47">
        <f t="shared" si="125"/>
        <v>0</v>
      </c>
      <c r="AM93" s="47">
        <f t="shared" si="157"/>
        <v>0</v>
      </c>
      <c r="AN93" s="48">
        <f t="shared" si="158"/>
        <v>4782.485592</v>
      </c>
      <c r="AO93" s="48">
        <f t="shared" si="159"/>
        <v>4418.6348690000004</v>
      </c>
      <c r="AP93" s="93">
        <f t="shared" si="160"/>
        <v>4782.485592</v>
      </c>
      <c r="AQ93" s="93">
        <f t="shared" si="161"/>
        <v>4418.6348690000004</v>
      </c>
      <c r="AS93" s="128">
        <v>15.373900000000001</v>
      </c>
      <c r="AT93" s="130">
        <v>6.1291000000000002</v>
      </c>
      <c r="AU93" s="128">
        <v>0</v>
      </c>
      <c r="AV93" s="128">
        <v>1622.5333000000001</v>
      </c>
      <c r="AW93" s="128">
        <v>1091.415</v>
      </c>
      <c r="AX93" s="49">
        <f t="shared" si="126"/>
        <v>5390.7042959999999</v>
      </c>
      <c r="AY93" s="49">
        <f t="shared" si="126"/>
        <v>4320.8929180000005</v>
      </c>
      <c r="AZ93" s="47">
        <f t="shared" si="126"/>
        <v>0</v>
      </c>
      <c r="BA93" s="47">
        <f t="shared" si="162"/>
        <v>0</v>
      </c>
      <c r="BB93" s="48">
        <f t="shared" si="163"/>
        <v>5390.7042959999999</v>
      </c>
      <c r="BC93" s="48">
        <f t="shared" si="164"/>
        <v>4320.8929180000005</v>
      </c>
      <c r="BD93" s="93">
        <f t="shared" si="165"/>
        <v>5390.7042959999999</v>
      </c>
      <c r="BE93" s="93">
        <f t="shared" si="166"/>
        <v>4320.8929180000005</v>
      </c>
      <c r="BG93" s="128">
        <v>12.57</v>
      </c>
      <c r="BH93" s="130">
        <v>4.8297999999999996</v>
      </c>
      <c r="BI93" s="128">
        <v>0</v>
      </c>
      <c r="BJ93" s="128">
        <v>1231.4657999999999</v>
      </c>
      <c r="BK93" s="128">
        <v>1032.57</v>
      </c>
      <c r="BL93" s="49">
        <f t="shared" si="127"/>
        <v>4128.2394000000004</v>
      </c>
      <c r="BM93" s="49">
        <f t="shared" si="127"/>
        <v>2920.4834639999995</v>
      </c>
      <c r="BN93" s="47">
        <f t="shared" si="127"/>
        <v>0</v>
      </c>
      <c r="BO93" s="47">
        <f t="shared" si="167"/>
        <v>0</v>
      </c>
      <c r="BP93" s="48">
        <f t="shared" si="168"/>
        <v>4128.2394000000004</v>
      </c>
      <c r="BQ93" s="48">
        <f t="shared" si="169"/>
        <v>2920.4834639999995</v>
      </c>
      <c r="BR93" s="93">
        <f t="shared" si="170"/>
        <v>4128.2394000000004</v>
      </c>
      <c r="BS93" s="93">
        <f t="shared" si="171"/>
        <v>2920.4834639999995</v>
      </c>
      <c r="BU93" s="128">
        <v>9.8689999999999998</v>
      </c>
      <c r="BV93" s="130">
        <v>4.3825000000000003</v>
      </c>
      <c r="BW93" s="128">
        <v>0</v>
      </c>
      <c r="BX93" s="128">
        <v>1029.6516999999999</v>
      </c>
      <c r="BY93" s="128">
        <v>545.495</v>
      </c>
      <c r="BZ93" s="49">
        <f t="shared" si="128"/>
        <v>2394.2194</v>
      </c>
      <c r="CA93" s="49">
        <f t="shared" si="128"/>
        <v>1771.0559000000001</v>
      </c>
      <c r="CB93" s="47">
        <f t="shared" si="128"/>
        <v>0</v>
      </c>
      <c r="CC93" s="47">
        <f t="shared" si="172"/>
        <v>0</v>
      </c>
      <c r="CD93" s="48">
        <f t="shared" si="173"/>
        <v>2394.2194</v>
      </c>
      <c r="CE93" s="48">
        <f t="shared" si="174"/>
        <v>1771.0559000000001</v>
      </c>
      <c r="CF93" s="93">
        <f t="shared" si="175"/>
        <v>2394.2194</v>
      </c>
      <c r="CG93" s="93">
        <f t="shared" si="176"/>
        <v>1771.0559000000001</v>
      </c>
      <c r="CI93" s="128">
        <v>1.0152000000000001</v>
      </c>
      <c r="CJ93" s="130">
        <v>0.66600000000000004</v>
      </c>
      <c r="CK93" s="128">
        <v>0</v>
      </c>
      <c r="CL93" s="128">
        <v>3936.7307999999998</v>
      </c>
      <c r="CM93" s="128">
        <v>2699.48</v>
      </c>
      <c r="CN93" s="49">
        <f t="shared" si="129"/>
        <v>215.50665600000002</v>
      </c>
      <c r="CO93" s="49">
        <f t="shared" si="129"/>
        <v>183.46968000000001</v>
      </c>
      <c r="CP93" s="47">
        <f t="shared" si="129"/>
        <v>0</v>
      </c>
      <c r="CQ93" s="47">
        <f t="shared" si="177"/>
        <v>0</v>
      </c>
      <c r="CR93" s="48">
        <f t="shared" si="178"/>
        <v>215.50665600000002</v>
      </c>
      <c r="CS93" s="48">
        <f t="shared" si="179"/>
        <v>183.46968000000001</v>
      </c>
      <c r="CT93" s="93">
        <f t="shared" si="180"/>
        <v>215.50665600000002</v>
      </c>
      <c r="CU93" s="93">
        <f t="shared" si="181"/>
        <v>183.46968000000001</v>
      </c>
      <c r="CW93" s="128">
        <v>2.5653000000000001</v>
      </c>
      <c r="CX93" s="130">
        <v>1.7323</v>
      </c>
      <c r="CY93" s="128">
        <v>0</v>
      </c>
      <c r="CZ93" s="128">
        <v>1389.3108</v>
      </c>
      <c r="DA93" s="128">
        <v>933.75250000000005</v>
      </c>
      <c r="DB93" s="49">
        <f t="shared" si="130"/>
        <v>550.79556300000002</v>
      </c>
      <c r="DC93" s="49">
        <f t="shared" si="130"/>
        <v>519.75929200000007</v>
      </c>
      <c r="DD93" s="47">
        <f t="shared" si="130"/>
        <v>0</v>
      </c>
      <c r="DE93" s="47">
        <f t="shared" si="182"/>
        <v>0</v>
      </c>
      <c r="DF93" s="48">
        <f t="shared" si="183"/>
        <v>550.79556300000002</v>
      </c>
      <c r="DG93" s="48">
        <f t="shared" si="184"/>
        <v>519.75929200000007</v>
      </c>
      <c r="DH93" s="93">
        <f t="shared" si="185"/>
        <v>550.79556300000002</v>
      </c>
      <c r="DI93" s="93">
        <f t="shared" si="186"/>
        <v>519.75929200000007</v>
      </c>
      <c r="DK93" s="128">
        <v>3.1175999999999999</v>
      </c>
      <c r="DL93" s="130">
        <v>1.9811000000000001</v>
      </c>
      <c r="DM93" s="128">
        <v>1E-4</v>
      </c>
      <c r="DN93" s="128">
        <v>844.48080000000004</v>
      </c>
      <c r="DO93" s="128">
        <v>528.00419999999997</v>
      </c>
      <c r="DP93" s="49">
        <f t="shared" si="131"/>
        <v>412.64553600000005</v>
      </c>
      <c r="DQ93" s="49">
        <f t="shared" si="131"/>
        <v>383.600393</v>
      </c>
      <c r="DR93" s="47">
        <f t="shared" si="131"/>
        <v>1.9000000000000001E-5</v>
      </c>
      <c r="DS93" s="47">
        <f t="shared" si="187"/>
        <v>9.1534627701688382E-6</v>
      </c>
      <c r="DT93" s="48">
        <f t="shared" si="188"/>
        <v>412.64554515346282</v>
      </c>
      <c r="DU93" s="48">
        <f t="shared" si="189"/>
        <v>383.60038315346276</v>
      </c>
      <c r="DV93" s="93">
        <f t="shared" si="190"/>
        <v>412.64553600000005</v>
      </c>
      <c r="DW93" s="93">
        <f t="shared" si="191"/>
        <v>383.60037399999999</v>
      </c>
      <c r="EB93" s="52"/>
      <c r="EC93" s="52"/>
      <c r="ED93" s="52"/>
      <c r="EE93" s="55">
        <f t="shared" si="192"/>
        <v>7809.6765999999998</v>
      </c>
      <c r="EF93" s="55">
        <f t="shared" si="192"/>
        <v>5220.1566999999995</v>
      </c>
      <c r="EG93" s="55">
        <f t="shared" si="192"/>
        <v>12001.791432399998</v>
      </c>
      <c r="EH93" s="55">
        <f t="shared" si="132"/>
        <v>10469.511471600001</v>
      </c>
      <c r="EI93" s="298">
        <f t="shared" si="133"/>
        <v>0.59936888064408322</v>
      </c>
      <c r="EJ93" s="52"/>
      <c r="EK93" s="55">
        <f t="shared" si="193"/>
        <v>12001.791432399998</v>
      </c>
      <c r="EL93" s="55">
        <f t="shared" si="193"/>
        <v>10469.511471600001</v>
      </c>
      <c r="EM93" s="55">
        <f t="shared" si="193"/>
        <v>12001.791432399998</v>
      </c>
      <c r="EN93" s="55">
        <f t="shared" si="193"/>
        <v>10469.511471600001</v>
      </c>
      <c r="EP93" s="52"/>
      <c r="EQ93" s="52"/>
      <c r="ER93" s="52"/>
      <c r="ES93" s="55">
        <f t="shared" si="134"/>
        <v>6953.5016000000005</v>
      </c>
      <c r="ET93" s="55">
        <f t="shared" si="134"/>
        <v>4894.7816999999995</v>
      </c>
      <c r="EU93" s="55">
        <f t="shared" si="134"/>
        <v>10138.978873099999</v>
      </c>
      <c r="EV93" s="55">
        <f t="shared" si="134"/>
        <v>8063.1232804000001</v>
      </c>
      <c r="EW93" s="298">
        <f t="shared" si="135"/>
        <v>0.58687840457022167</v>
      </c>
      <c r="EX93" s="52"/>
      <c r="EY93" s="55">
        <f t="shared" si="136"/>
        <v>10138.978873099999</v>
      </c>
      <c r="EZ93" s="55">
        <f t="shared" si="136"/>
        <v>8063.1232804000001</v>
      </c>
      <c r="FA93" s="55">
        <f t="shared" si="136"/>
        <v>10138.978873099999</v>
      </c>
      <c r="FB93" s="55">
        <f t="shared" si="136"/>
        <v>8063.1232804000001</v>
      </c>
      <c r="FD93" s="52"/>
      <c r="FE93" s="52"/>
      <c r="FF93" s="52"/>
      <c r="FG93" s="55">
        <f t="shared" si="137"/>
        <v>5878.2991000000002</v>
      </c>
      <c r="FH93" s="55">
        <f t="shared" si="137"/>
        <v>3807.9791999999998</v>
      </c>
      <c r="FI93" s="55">
        <f t="shared" si="137"/>
        <v>7639.7989696000004</v>
      </c>
      <c r="FJ93" s="55">
        <f t="shared" si="137"/>
        <v>6603.3206848000009</v>
      </c>
      <c r="FK93" s="298">
        <f t="shared" si="138"/>
        <v>0.60686869796008236</v>
      </c>
      <c r="FL93" s="52"/>
      <c r="FM93" s="55">
        <f t="shared" si="139"/>
        <v>7639.7989750920779</v>
      </c>
      <c r="FN93" s="55">
        <f t="shared" si="139"/>
        <v>6603.3206788920788</v>
      </c>
      <c r="FO93" s="55">
        <f t="shared" si="139"/>
        <v>7639.7989696000004</v>
      </c>
      <c r="FP93" s="55">
        <f t="shared" si="139"/>
        <v>6603.3206734000005</v>
      </c>
      <c r="FR93" s="52"/>
      <c r="FS93" s="52"/>
      <c r="FT93" s="52"/>
      <c r="FU93" s="55">
        <f t="shared" si="140"/>
        <v>5326.0415999999996</v>
      </c>
      <c r="FV93" s="55">
        <f t="shared" si="140"/>
        <v>3633.2325000000001</v>
      </c>
      <c r="FW93" s="55">
        <f t="shared" si="140"/>
        <v>656.14310640000008</v>
      </c>
      <c r="FX93" s="55">
        <f t="shared" si="140"/>
        <v>599.27711360000012</v>
      </c>
      <c r="FY93" s="298">
        <f t="shared" si="141"/>
        <v>0.59447244727114668</v>
      </c>
      <c r="FZ93" s="52"/>
      <c r="GA93" s="55">
        <f t="shared" si="142"/>
        <v>656.14310640000008</v>
      </c>
      <c r="GB93" s="55">
        <f t="shared" si="142"/>
        <v>599.27711360000012</v>
      </c>
      <c r="GC93" s="55">
        <f t="shared" si="142"/>
        <v>656.14310640000008</v>
      </c>
      <c r="GD93" s="55">
        <f t="shared" si="142"/>
        <v>599.27711360000012</v>
      </c>
      <c r="GF93" s="52"/>
      <c r="GG93" s="52"/>
      <c r="GH93" s="52"/>
      <c r="GI93" s="55">
        <f t="shared" si="143"/>
        <v>2652.1849999999999</v>
      </c>
      <c r="GJ93" s="55">
        <f t="shared" si="143"/>
        <v>1636.9099999999999</v>
      </c>
      <c r="GK93" s="56">
        <f t="shared" si="144"/>
        <v>2247.363672</v>
      </c>
      <c r="GL93" s="56">
        <f t="shared" si="144"/>
        <v>1912.3777635000001</v>
      </c>
      <c r="GM93" s="298">
        <f t="shared" si="145"/>
        <v>0.61835538732529827</v>
      </c>
      <c r="GN93" s="52"/>
      <c r="GO93" s="56">
        <f t="shared" si="146"/>
        <v>2247.363672</v>
      </c>
      <c r="GP93" s="56">
        <f t="shared" si="146"/>
        <v>1912.3777635000001</v>
      </c>
      <c r="GQ93" s="56">
        <f t="shared" si="146"/>
        <v>2247.363672</v>
      </c>
      <c r="GR93" s="56">
        <f t="shared" si="146"/>
        <v>1912.3777635000001</v>
      </c>
    </row>
    <row r="94" spans="1:200" x14ac:dyDescent="0.2">
      <c r="A94" s="118">
        <v>84</v>
      </c>
      <c r="C94" s="128">
        <v>6.077</v>
      </c>
      <c r="D94" s="128">
        <v>2.9704000000000002</v>
      </c>
      <c r="E94" s="128">
        <v>0</v>
      </c>
      <c r="F94" s="128">
        <v>750.47500000000002</v>
      </c>
      <c r="G94" s="128">
        <v>474.06420000000003</v>
      </c>
      <c r="H94" s="49">
        <f t="shared" si="123"/>
        <v>6085.6293399999995</v>
      </c>
      <c r="I94" s="49">
        <f t="shared" si="123"/>
        <v>5636.6310400000002</v>
      </c>
      <c r="J94" s="47">
        <f t="shared" si="123"/>
        <v>0</v>
      </c>
      <c r="K94" s="47">
        <f t="shared" si="147"/>
        <v>0</v>
      </c>
      <c r="L94" s="48">
        <f t="shared" si="148"/>
        <v>6085.6293399999995</v>
      </c>
      <c r="M94" s="48">
        <f t="shared" si="149"/>
        <v>5636.6310400000002</v>
      </c>
      <c r="N94" s="93">
        <f t="shared" si="150"/>
        <v>6085.6293399999995</v>
      </c>
      <c r="O94" s="93">
        <f t="shared" si="151"/>
        <v>5636.6310400000002</v>
      </c>
      <c r="Q94" s="128">
        <v>8.6532999999999998</v>
      </c>
      <c r="R94" s="130">
        <v>3.9016999999999999</v>
      </c>
      <c r="S94" s="128">
        <v>0</v>
      </c>
      <c r="T94" s="128">
        <v>328.30500000000001</v>
      </c>
      <c r="U94" s="128">
        <v>206.685</v>
      </c>
      <c r="V94" s="49">
        <f t="shared" si="124"/>
        <v>5507.0466529999994</v>
      </c>
      <c r="W94" s="49">
        <f t="shared" si="124"/>
        <v>4648.8365329999997</v>
      </c>
      <c r="X94" s="47">
        <f t="shared" si="124"/>
        <v>0</v>
      </c>
      <c r="Y94" s="47">
        <f t="shared" si="152"/>
        <v>0</v>
      </c>
      <c r="Z94" s="48">
        <f t="shared" si="153"/>
        <v>5507.0466529999994</v>
      </c>
      <c r="AA94" s="48">
        <f t="shared" si="154"/>
        <v>4648.8365329999997</v>
      </c>
      <c r="AB94" s="93">
        <f t="shared" si="155"/>
        <v>5507.0466529999994</v>
      </c>
      <c r="AC94" s="93">
        <f t="shared" si="156"/>
        <v>4648.8365329999997</v>
      </c>
      <c r="AE94" s="128">
        <v>10.744899999999999</v>
      </c>
      <c r="AF94" s="130">
        <v>4.3228</v>
      </c>
      <c r="AG94" s="128">
        <v>0</v>
      </c>
      <c r="AH94" s="128">
        <v>62.252499999999998</v>
      </c>
      <c r="AI94" s="128">
        <v>51.395000000000003</v>
      </c>
      <c r="AJ94" s="49">
        <f t="shared" si="125"/>
        <v>4943.5135919999993</v>
      </c>
      <c r="AK94" s="49">
        <f t="shared" si="125"/>
        <v>4542.095644</v>
      </c>
      <c r="AL94" s="47">
        <f t="shared" si="125"/>
        <v>0</v>
      </c>
      <c r="AM94" s="47">
        <f t="shared" si="157"/>
        <v>0</v>
      </c>
      <c r="AN94" s="48">
        <f t="shared" si="158"/>
        <v>4943.5135919999993</v>
      </c>
      <c r="AO94" s="48">
        <f t="shared" si="159"/>
        <v>4542.095644</v>
      </c>
      <c r="AP94" s="93">
        <f t="shared" si="160"/>
        <v>4943.5135919999993</v>
      </c>
      <c r="AQ94" s="93">
        <f t="shared" si="161"/>
        <v>4542.095644</v>
      </c>
      <c r="AS94" s="128">
        <v>15.750400000000001</v>
      </c>
      <c r="AT94" s="130">
        <v>6.2845000000000004</v>
      </c>
      <c r="AU94" s="128">
        <v>0</v>
      </c>
      <c r="AV94" s="128">
        <v>1508.5025000000001</v>
      </c>
      <c r="AW94" s="128">
        <v>1107.5192</v>
      </c>
      <c r="AX94" s="49">
        <f t="shared" si="126"/>
        <v>5522.7202560000005</v>
      </c>
      <c r="AY94" s="49">
        <f t="shared" si="126"/>
        <v>4430.4468100000004</v>
      </c>
      <c r="AZ94" s="47">
        <f t="shared" si="126"/>
        <v>0</v>
      </c>
      <c r="BA94" s="47">
        <f t="shared" si="162"/>
        <v>0</v>
      </c>
      <c r="BB94" s="48">
        <f t="shared" si="163"/>
        <v>5522.7202560000005</v>
      </c>
      <c r="BC94" s="48">
        <f t="shared" si="164"/>
        <v>4430.4468100000004</v>
      </c>
      <c r="BD94" s="93">
        <f t="shared" si="165"/>
        <v>5522.7202560000005</v>
      </c>
      <c r="BE94" s="93">
        <f t="shared" si="166"/>
        <v>4430.4468100000004</v>
      </c>
      <c r="BG94" s="128">
        <v>12.824</v>
      </c>
      <c r="BH94" s="130">
        <v>4.9527000000000001</v>
      </c>
      <c r="BI94" s="128">
        <v>0</v>
      </c>
      <c r="BJ94" s="128">
        <v>1159.0208</v>
      </c>
      <c r="BK94" s="128">
        <v>1144.74</v>
      </c>
      <c r="BL94" s="49">
        <f t="shared" si="127"/>
        <v>4211.6580800000002</v>
      </c>
      <c r="BM94" s="49">
        <f t="shared" si="127"/>
        <v>2994.798636</v>
      </c>
      <c r="BN94" s="47">
        <f t="shared" si="127"/>
        <v>0</v>
      </c>
      <c r="BO94" s="47">
        <f t="shared" si="167"/>
        <v>0</v>
      </c>
      <c r="BP94" s="48">
        <f t="shared" si="168"/>
        <v>4211.6580800000002</v>
      </c>
      <c r="BQ94" s="48">
        <f t="shared" si="169"/>
        <v>2994.798636</v>
      </c>
      <c r="BR94" s="93">
        <f t="shared" si="170"/>
        <v>4211.6580800000002</v>
      </c>
      <c r="BS94" s="93">
        <f t="shared" si="171"/>
        <v>2994.798636</v>
      </c>
      <c r="BU94" s="128">
        <v>10.029500000000001</v>
      </c>
      <c r="BV94" s="130">
        <v>4.4737</v>
      </c>
      <c r="BW94" s="128">
        <v>0</v>
      </c>
      <c r="BX94" s="128">
        <v>895.82249999999999</v>
      </c>
      <c r="BY94" s="128">
        <v>570.75</v>
      </c>
      <c r="BZ94" s="49">
        <f t="shared" si="128"/>
        <v>2433.1567</v>
      </c>
      <c r="CA94" s="49">
        <f t="shared" si="128"/>
        <v>1807.911644</v>
      </c>
      <c r="CB94" s="47">
        <f t="shared" si="128"/>
        <v>0</v>
      </c>
      <c r="CC94" s="47">
        <f t="shared" si="172"/>
        <v>0</v>
      </c>
      <c r="CD94" s="48">
        <f t="shared" si="173"/>
        <v>2433.1567</v>
      </c>
      <c r="CE94" s="48">
        <f t="shared" si="174"/>
        <v>1807.911644</v>
      </c>
      <c r="CF94" s="93">
        <f t="shared" si="175"/>
        <v>2433.1567</v>
      </c>
      <c r="CG94" s="93">
        <f t="shared" si="176"/>
        <v>1807.911644</v>
      </c>
      <c r="CI94" s="128">
        <v>0.9627</v>
      </c>
      <c r="CJ94" s="130">
        <v>0.62319999999999998</v>
      </c>
      <c r="CK94" s="128">
        <v>0</v>
      </c>
      <c r="CL94" s="128">
        <v>3608.6266999999998</v>
      </c>
      <c r="CM94" s="128">
        <v>2848.1158</v>
      </c>
      <c r="CN94" s="49">
        <f t="shared" si="129"/>
        <v>204.36195599999999</v>
      </c>
      <c r="CO94" s="49">
        <f t="shared" si="129"/>
        <v>171.679136</v>
      </c>
      <c r="CP94" s="47">
        <f t="shared" si="129"/>
        <v>0</v>
      </c>
      <c r="CQ94" s="47">
        <f t="shared" si="177"/>
        <v>0</v>
      </c>
      <c r="CR94" s="48">
        <f t="shared" si="178"/>
        <v>204.36195599999999</v>
      </c>
      <c r="CS94" s="48">
        <f t="shared" si="179"/>
        <v>171.679136</v>
      </c>
      <c r="CT94" s="93">
        <f t="shared" si="180"/>
        <v>204.36195599999999</v>
      </c>
      <c r="CU94" s="93">
        <f t="shared" si="181"/>
        <v>171.679136</v>
      </c>
      <c r="CW94" s="128">
        <v>2.4794999999999998</v>
      </c>
      <c r="CX94" s="130">
        <v>1.6425000000000001</v>
      </c>
      <c r="CY94" s="128">
        <v>0</v>
      </c>
      <c r="CZ94" s="128">
        <v>1271.9567</v>
      </c>
      <c r="DA94" s="128">
        <v>890.78420000000006</v>
      </c>
      <c r="DB94" s="49">
        <f t="shared" si="130"/>
        <v>532.37344499999995</v>
      </c>
      <c r="DC94" s="49">
        <f t="shared" si="130"/>
        <v>492.81570000000005</v>
      </c>
      <c r="DD94" s="47">
        <f t="shared" si="130"/>
        <v>0</v>
      </c>
      <c r="DE94" s="47">
        <f t="shared" si="182"/>
        <v>0</v>
      </c>
      <c r="DF94" s="48">
        <f t="shared" si="183"/>
        <v>532.37344499999995</v>
      </c>
      <c r="DG94" s="48">
        <f t="shared" si="184"/>
        <v>492.81570000000005</v>
      </c>
      <c r="DH94" s="93">
        <f t="shared" si="185"/>
        <v>532.37344499999995</v>
      </c>
      <c r="DI94" s="93">
        <f t="shared" si="186"/>
        <v>492.81570000000005</v>
      </c>
      <c r="DK94" s="128">
        <v>3.0423</v>
      </c>
      <c r="DL94" s="130">
        <v>1.8846000000000001</v>
      </c>
      <c r="DM94" s="128">
        <v>1E-4</v>
      </c>
      <c r="DN94" s="128">
        <v>789.07249999999999</v>
      </c>
      <c r="DO94" s="128">
        <v>642.02829999999994</v>
      </c>
      <c r="DP94" s="49">
        <f t="shared" si="131"/>
        <v>402.67882800000007</v>
      </c>
      <c r="DQ94" s="49">
        <f t="shared" si="131"/>
        <v>364.915098</v>
      </c>
      <c r="DR94" s="47">
        <f t="shared" si="131"/>
        <v>1.9000000000000001E-5</v>
      </c>
      <c r="DS94" s="47">
        <f t="shared" si="187"/>
        <v>9.0326234056208529E-6</v>
      </c>
      <c r="DT94" s="48">
        <f t="shared" si="188"/>
        <v>402.67883703262345</v>
      </c>
      <c r="DU94" s="48">
        <f t="shared" si="189"/>
        <v>364.91508803262337</v>
      </c>
      <c r="DV94" s="93">
        <f t="shared" si="190"/>
        <v>402.67882800000007</v>
      </c>
      <c r="DW94" s="93">
        <f t="shared" si="191"/>
        <v>364.91507899999999</v>
      </c>
      <c r="EB94" s="52"/>
      <c r="EC94" s="52"/>
      <c r="ED94" s="52"/>
      <c r="EE94" s="55">
        <f t="shared" si="192"/>
        <v>7139.5608999999995</v>
      </c>
      <c r="EF94" s="55">
        <f t="shared" si="192"/>
        <v>5320.4834000000001</v>
      </c>
      <c r="EG94" s="55">
        <f t="shared" si="192"/>
        <v>12238.610308000001</v>
      </c>
      <c r="EH94" s="55">
        <f t="shared" si="132"/>
        <v>10633.009546000003</v>
      </c>
      <c r="EI94" s="298">
        <f t="shared" si="133"/>
        <v>0.57299642987625654</v>
      </c>
      <c r="EJ94" s="52"/>
      <c r="EK94" s="55">
        <f t="shared" si="193"/>
        <v>12238.610308000001</v>
      </c>
      <c r="EL94" s="55">
        <f t="shared" si="193"/>
        <v>10633.009546000003</v>
      </c>
      <c r="EM94" s="55">
        <f t="shared" si="193"/>
        <v>12238.610308000001</v>
      </c>
      <c r="EN94" s="55">
        <f t="shared" si="193"/>
        <v>10633.009546000003</v>
      </c>
      <c r="EP94" s="52"/>
      <c r="EQ94" s="52"/>
      <c r="ER94" s="52"/>
      <c r="ES94" s="55">
        <f t="shared" si="134"/>
        <v>6367.9091999999991</v>
      </c>
      <c r="ET94" s="55">
        <f t="shared" si="134"/>
        <v>5090.3249999999998</v>
      </c>
      <c r="EU94" s="55">
        <f t="shared" si="134"/>
        <v>10295.728100499999</v>
      </c>
      <c r="EV94" s="55">
        <f t="shared" si="134"/>
        <v>8160.2852949999988</v>
      </c>
      <c r="EW94" s="298">
        <f t="shared" si="135"/>
        <v>0.55574961105263498</v>
      </c>
      <c r="EX94" s="52"/>
      <c r="EY94" s="55">
        <f t="shared" si="136"/>
        <v>10295.728100499999</v>
      </c>
      <c r="EZ94" s="55">
        <f t="shared" si="136"/>
        <v>8160.2852949999988</v>
      </c>
      <c r="FA94" s="55">
        <f t="shared" si="136"/>
        <v>10295.728100499999</v>
      </c>
      <c r="FB94" s="55">
        <f t="shared" si="136"/>
        <v>8160.2852949999988</v>
      </c>
      <c r="FD94" s="52"/>
      <c r="FE94" s="52"/>
      <c r="FF94" s="52"/>
      <c r="FG94" s="55">
        <f t="shared" si="137"/>
        <v>5355.7741999999998</v>
      </c>
      <c r="FH94" s="55">
        <f t="shared" si="137"/>
        <v>4112.2891</v>
      </c>
      <c r="FI94" s="55">
        <f t="shared" si="137"/>
        <v>7822.6395447999985</v>
      </c>
      <c r="FJ94" s="55">
        <f t="shared" si="137"/>
        <v>6740.6354827999994</v>
      </c>
      <c r="FK94" s="298">
        <f t="shared" si="138"/>
        <v>0.56566734191563761</v>
      </c>
      <c r="FL94" s="52"/>
      <c r="FM94" s="55">
        <f t="shared" si="139"/>
        <v>7822.6395502195728</v>
      </c>
      <c r="FN94" s="55">
        <f t="shared" si="139"/>
        <v>6740.6354768195733</v>
      </c>
      <c r="FO94" s="55">
        <f t="shared" si="139"/>
        <v>7822.6395447999985</v>
      </c>
      <c r="FP94" s="55">
        <f t="shared" si="139"/>
        <v>6740.6354713999999</v>
      </c>
      <c r="FR94" s="52"/>
      <c r="FS94" s="52"/>
      <c r="FT94" s="52"/>
      <c r="FU94" s="55">
        <f t="shared" si="140"/>
        <v>4880.5833999999995</v>
      </c>
      <c r="FV94" s="55">
        <f t="shared" si="140"/>
        <v>3738.9</v>
      </c>
      <c r="FW94" s="55">
        <f t="shared" si="140"/>
        <v>630.26071200000001</v>
      </c>
      <c r="FX94" s="55">
        <f t="shared" si="140"/>
        <v>565.9316960000001</v>
      </c>
      <c r="FY94" s="298">
        <f t="shared" si="141"/>
        <v>0.56622690403928388</v>
      </c>
      <c r="FZ94" s="52"/>
      <c r="GA94" s="55">
        <f t="shared" si="142"/>
        <v>630.26071200000001</v>
      </c>
      <c r="GB94" s="55">
        <f t="shared" si="142"/>
        <v>565.9316960000001</v>
      </c>
      <c r="GC94" s="55">
        <f t="shared" si="142"/>
        <v>630.26071200000001</v>
      </c>
      <c r="GD94" s="55">
        <f t="shared" si="142"/>
        <v>565.9316960000001</v>
      </c>
      <c r="GF94" s="52"/>
      <c r="GG94" s="52"/>
      <c r="GH94" s="52"/>
      <c r="GI94" s="55">
        <f t="shared" si="143"/>
        <v>2404.3249999999998</v>
      </c>
      <c r="GJ94" s="55">
        <f t="shared" si="143"/>
        <v>1678.2692</v>
      </c>
      <c r="GK94" s="56">
        <f t="shared" si="144"/>
        <v>2317.1726670000003</v>
      </c>
      <c r="GL94" s="56">
        <f t="shared" si="144"/>
        <v>1966.9013745000004</v>
      </c>
      <c r="GM94" s="298">
        <f t="shared" si="145"/>
        <v>0.58892088760621863</v>
      </c>
      <c r="GN94" s="52"/>
      <c r="GO94" s="56">
        <f t="shared" si="146"/>
        <v>2317.1726670000003</v>
      </c>
      <c r="GP94" s="56">
        <f t="shared" si="146"/>
        <v>1966.9013745000004</v>
      </c>
      <c r="GQ94" s="56">
        <f t="shared" si="146"/>
        <v>2317.1726670000003</v>
      </c>
      <c r="GR94" s="56">
        <f t="shared" si="146"/>
        <v>1966.9013745000004</v>
      </c>
    </row>
    <row r="95" spans="1:200" x14ac:dyDescent="0.2">
      <c r="A95" s="118">
        <v>85</v>
      </c>
      <c r="C95" s="128">
        <v>6.2042999999999999</v>
      </c>
      <c r="D95" s="128">
        <v>3.0137999999999998</v>
      </c>
      <c r="E95" s="128">
        <v>0</v>
      </c>
      <c r="F95" s="128">
        <v>670.17920000000004</v>
      </c>
      <c r="G95" s="128">
        <v>494.83499999999998</v>
      </c>
      <c r="H95" s="49">
        <f t="shared" si="123"/>
        <v>6213.1101060000001</v>
      </c>
      <c r="I95" s="49">
        <f t="shared" si="123"/>
        <v>5718.9868799999995</v>
      </c>
      <c r="J95" s="47">
        <f t="shared" si="123"/>
        <v>0</v>
      </c>
      <c r="K95" s="47">
        <f t="shared" si="147"/>
        <v>0</v>
      </c>
      <c r="L95" s="48">
        <f t="shared" si="148"/>
        <v>6213.1101060000001</v>
      </c>
      <c r="M95" s="48">
        <f t="shared" si="149"/>
        <v>5718.9868799999995</v>
      </c>
      <c r="N95" s="93">
        <f t="shared" si="150"/>
        <v>6213.1101060000001</v>
      </c>
      <c r="O95" s="93">
        <f t="shared" si="151"/>
        <v>5718.9868799999995</v>
      </c>
      <c r="Q95" s="128">
        <v>8.7819000000000003</v>
      </c>
      <c r="R95" s="130">
        <v>3.9453999999999998</v>
      </c>
      <c r="S95" s="128">
        <v>0</v>
      </c>
      <c r="T95" s="128">
        <v>272.31</v>
      </c>
      <c r="U95" s="128">
        <v>224.61750000000001</v>
      </c>
      <c r="V95" s="49">
        <f t="shared" si="124"/>
        <v>5588.8889790000003</v>
      </c>
      <c r="W95" s="49">
        <f t="shared" si="124"/>
        <v>4700.904646</v>
      </c>
      <c r="X95" s="47">
        <f t="shared" si="124"/>
        <v>0</v>
      </c>
      <c r="Y95" s="47">
        <f t="shared" si="152"/>
        <v>0</v>
      </c>
      <c r="Z95" s="48">
        <f t="shared" si="153"/>
        <v>5588.8889790000003</v>
      </c>
      <c r="AA95" s="48">
        <f t="shared" si="154"/>
        <v>4700.904646</v>
      </c>
      <c r="AB95" s="93">
        <f t="shared" si="155"/>
        <v>5588.8889790000003</v>
      </c>
      <c r="AC95" s="93">
        <f t="shared" si="156"/>
        <v>4700.904646</v>
      </c>
      <c r="AE95" s="128">
        <v>11.074</v>
      </c>
      <c r="AF95" s="130">
        <v>4.4333999999999998</v>
      </c>
      <c r="AG95" s="128">
        <v>0</v>
      </c>
      <c r="AH95" s="128">
        <v>52.583300000000001</v>
      </c>
      <c r="AI95" s="128">
        <v>40.677500000000002</v>
      </c>
      <c r="AJ95" s="49">
        <f t="shared" si="125"/>
        <v>5094.9259199999997</v>
      </c>
      <c r="AK95" s="49">
        <f t="shared" si="125"/>
        <v>4658.3063819999998</v>
      </c>
      <c r="AL95" s="47">
        <f t="shared" si="125"/>
        <v>0</v>
      </c>
      <c r="AM95" s="47">
        <f t="shared" si="157"/>
        <v>0</v>
      </c>
      <c r="AN95" s="48">
        <f t="shared" si="158"/>
        <v>5094.9259199999997</v>
      </c>
      <c r="AO95" s="48">
        <f t="shared" si="159"/>
        <v>4658.3063819999998</v>
      </c>
      <c r="AP95" s="93">
        <f t="shared" si="160"/>
        <v>5094.9259199999997</v>
      </c>
      <c r="AQ95" s="93">
        <f t="shared" si="161"/>
        <v>4658.3063819999998</v>
      </c>
      <c r="AS95" s="128">
        <v>16.072500000000002</v>
      </c>
      <c r="AT95" s="130">
        <v>6.3973000000000004</v>
      </c>
      <c r="AU95" s="128">
        <v>0</v>
      </c>
      <c r="AV95" s="128">
        <v>1279.3983000000001</v>
      </c>
      <c r="AW95" s="128">
        <v>1085.3458000000001</v>
      </c>
      <c r="AX95" s="49">
        <f t="shared" si="126"/>
        <v>5635.6614</v>
      </c>
      <c r="AY95" s="49">
        <f t="shared" si="126"/>
        <v>4509.968554</v>
      </c>
      <c r="AZ95" s="47">
        <f t="shared" si="126"/>
        <v>0</v>
      </c>
      <c r="BA95" s="47">
        <f t="shared" si="162"/>
        <v>0</v>
      </c>
      <c r="BB95" s="48">
        <f t="shared" si="163"/>
        <v>5635.6614</v>
      </c>
      <c r="BC95" s="48">
        <f t="shared" si="164"/>
        <v>4509.968554</v>
      </c>
      <c r="BD95" s="93">
        <f t="shared" si="165"/>
        <v>5635.6614</v>
      </c>
      <c r="BE95" s="93">
        <f t="shared" si="166"/>
        <v>4509.968554</v>
      </c>
      <c r="BG95" s="128">
        <v>13.044600000000001</v>
      </c>
      <c r="BH95" s="130">
        <v>5.0609000000000002</v>
      </c>
      <c r="BI95" s="128">
        <v>0</v>
      </c>
      <c r="BJ95" s="128">
        <v>1053.9792</v>
      </c>
      <c r="BK95" s="128">
        <v>1057.0233000000001</v>
      </c>
      <c r="BL95" s="49">
        <f t="shared" si="127"/>
        <v>4284.1075320000009</v>
      </c>
      <c r="BM95" s="49">
        <f t="shared" si="127"/>
        <v>3060.2250119999999</v>
      </c>
      <c r="BN95" s="47">
        <f t="shared" si="127"/>
        <v>0</v>
      </c>
      <c r="BO95" s="47">
        <f t="shared" si="167"/>
        <v>0</v>
      </c>
      <c r="BP95" s="48">
        <f t="shared" si="168"/>
        <v>4284.1075320000009</v>
      </c>
      <c r="BQ95" s="48">
        <f t="shared" si="169"/>
        <v>3060.2250119999999</v>
      </c>
      <c r="BR95" s="93">
        <f t="shared" si="170"/>
        <v>4284.1075320000009</v>
      </c>
      <c r="BS95" s="93">
        <f t="shared" si="171"/>
        <v>3060.2250119999999</v>
      </c>
      <c r="BU95" s="128">
        <v>10.1684</v>
      </c>
      <c r="BV95" s="130">
        <v>4.5369000000000002</v>
      </c>
      <c r="BW95" s="128">
        <v>0</v>
      </c>
      <c r="BX95" s="128">
        <v>812.81330000000003</v>
      </c>
      <c r="BY95" s="128">
        <v>548.89</v>
      </c>
      <c r="BZ95" s="49">
        <f t="shared" si="128"/>
        <v>2466.8538399999998</v>
      </c>
      <c r="CA95" s="49">
        <f t="shared" si="128"/>
        <v>1833.4520280000002</v>
      </c>
      <c r="CB95" s="47">
        <f t="shared" si="128"/>
        <v>0</v>
      </c>
      <c r="CC95" s="47">
        <f t="shared" si="172"/>
        <v>0</v>
      </c>
      <c r="CD95" s="48">
        <f t="shared" si="173"/>
        <v>2466.8538399999998</v>
      </c>
      <c r="CE95" s="48">
        <f t="shared" si="174"/>
        <v>1833.4520280000002</v>
      </c>
      <c r="CF95" s="93">
        <f t="shared" si="175"/>
        <v>2466.8538399999998</v>
      </c>
      <c r="CG95" s="93">
        <f t="shared" si="176"/>
        <v>1833.4520280000002</v>
      </c>
      <c r="CI95" s="128">
        <v>0.91180000000000005</v>
      </c>
      <c r="CJ95" s="130">
        <v>0.58150000000000002</v>
      </c>
      <c r="CK95" s="128">
        <v>0</v>
      </c>
      <c r="CL95" s="128">
        <v>3180.8575000000001</v>
      </c>
      <c r="CM95" s="128">
        <v>2710.5925000000002</v>
      </c>
      <c r="CN95" s="49">
        <f t="shared" si="129"/>
        <v>193.556904</v>
      </c>
      <c r="CO95" s="49">
        <f t="shared" si="129"/>
        <v>160.19162000000003</v>
      </c>
      <c r="CP95" s="47">
        <f t="shared" si="129"/>
        <v>0</v>
      </c>
      <c r="CQ95" s="47">
        <f t="shared" si="177"/>
        <v>0</v>
      </c>
      <c r="CR95" s="48">
        <f t="shared" si="178"/>
        <v>193.556904</v>
      </c>
      <c r="CS95" s="48">
        <f t="shared" si="179"/>
        <v>160.19162000000003</v>
      </c>
      <c r="CT95" s="93">
        <f t="shared" si="180"/>
        <v>193.556904</v>
      </c>
      <c r="CU95" s="93">
        <f t="shared" si="181"/>
        <v>160.19162000000003</v>
      </c>
      <c r="CW95" s="128">
        <v>2.3896000000000002</v>
      </c>
      <c r="CX95" s="130">
        <v>1.5523</v>
      </c>
      <c r="CY95" s="128">
        <v>0</v>
      </c>
      <c r="CZ95" s="128">
        <v>1018.3625</v>
      </c>
      <c r="DA95" s="128">
        <v>832.72670000000005</v>
      </c>
      <c r="DB95" s="49">
        <f t="shared" si="130"/>
        <v>513.0710160000001</v>
      </c>
      <c r="DC95" s="49">
        <f t="shared" si="130"/>
        <v>465.75209200000006</v>
      </c>
      <c r="DD95" s="47">
        <f t="shared" si="130"/>
        <v>0</v>
      </c>
      <c r="DE95" s="47">
        <f t="shared" si="182"/>
        <v>0</v>
      </c>
      <c r="DF95" s="48">
        <f t="shared" si="183"/>
        <v>513.0710160000001</v>
      </c>
      <c r="DG95" s="48">
        <f t="shared" si="184"/>
        <v>465.75209200000006</v>
      </c>
      <c r="DH95" s="93">
        <f t="shared" si="185"/>
        <v>513.0710160000001</v>
      </c>
      <c r="DI95" s="93">
        <f t="shared" si="186"/>
        <v>465.75209200000006</v>
      </c>
      <c r="DK95" s="128">
        <v>2.9498000000000002</v>
      </c>
      <c r="DL95" s="130">
        <v>1.7838000000000001</v>
      </c>
      <c r="DM95" s="128">
        <v>1E-4</v>
      </c>
      <c r="DN95" s="128">
        <v>737.44500000000005</v>
      </c>
      <c r="DO95" s="128">
        <v>596.59749999999997</v>
      </c>
      <c r="DP95" s="49">
        <f t="shared" si="131"/>
        <v>390.43552800000009</v>
      </c>
      <c r="DQ95" s="49">
        <f t="shared" si="131"/>
        <v>345.39719400000001</v>
      </c>
      <c r="DR95" s="47">
        <f t="shared" si="131"/>
        <v>1.9000000000000001E-5</v>
      </c>
      <c r="DS95" s="47">
        <f t="shared" si="187"/>
        <v>8.9185306521337322E-6</v>
      </c>
      <c r="DT95" s="48">
        <f t="shared" si="188"/>
        <v>390.43553691853072</v>
      </c>
      <c r="DU95" s="48">
        <f t="shared" si="189"/>
        <v>345.39718391853063</v>
      </c>
      <c r="DV95" s="93">
        <f t="shared" si="190"/>
        <v>390.43552800000009</v>
      </c>
      <c r="DW95" s="93">
        <f t="shared" si="191"/>
        <v>345.397175</v>
      </c>
      <c r="EB95" s="52"/>
      <c r="EC95" s="52"/>
      <c r="ED95" s="52"/>
      <c r="EE95" s="55">
        <f t="shared" si="192"/>
        <v>6148.7975000000006</v>
      </c>
      <c r="EF95" s="55">
        <f t="shared" si="192"/>
        <v>5123.5000000000009</v>
      </c>
      <c r="EG95" s="55">
        <f t="shared" si="192"/>
        <v>12452.785222800001</v>
      </c>
      <c r="EH95" s="55">
        <f t="shared" si="132"/>
        <v>10761.748727599999</v>
      </c>
      <c r="EI95" s="298">
        <f t="shared" si="133"/>
        <v>0.54547863911505179</v>
      </c>
      <c r="EJ95" s="52"/>
      <c r="EK95" s="55">
        <f t="shared" si="193"/>
        <v>12452.785222800001</v>
      </c>
      <c r="EL95" s="55">
        <f t="shared" si="193"/>
        <v>10761.748727599999</v>
      </c>
      <c r="EM95" s="55">
        <f t="shared" si="193"/>
        <v>12452.785222800001</v>
      </c>
      <c r="EN95" s="55">
        <f t="shared" si="193"/>
        <v>10761.748727599999</v>
      </c>
      <c r="EP95" s="52"/>
      <c r="EQ95" s="52"/>
      <c r="ER95" s="52"/>
      <c r="ES95" s="55">
        <f t="shared" si="134"/>
        <v>5525.5092000000004</v>
      </c>
      <c r="ET95" s="55">
        <f t="shared" si="134"/>
        <v>4824.96</v>
      </c>
      <c r="EU95" s="55">
        <f t="shared" si="134"/>
        <v>10425.7031262</v>
      </c>
      <c r="EV95" s="55">
        <f t="shared" si="134"/>
        <v>8247.3477423999993</v>
      </c>
      <c r="EW95" s="298">
        <f t="shared" si="135"/>
        <v>0.53384142237725807</v>
      </c>
      <c r="EX95" s="52"/>
      <c r="EY95" s="55">
        <f t="shared" si="136"/>
        <v>10425.7031262</v>
      </c>
      <c r="EZ95" s="55">
        <f t="shared" si="136"/>
        <v>8247.3477423999993</v>
      </c>
      <c r="FA95" s="55">
        <f t="shared" si="136"/>
        <v>10425.7031262</v>
      </c>
      <c r="FB95" s="55">
        <f t="shared" si="136"/>
        <v>8247.3477423999993</v>
      </c>
      <c r="FD95" s="52"/>
      <c r="FE95" s="52"/>
      <c r="FF95" s="52"/>
      <c r="FG95" s="55">
        <f t="shared" si="137"/>
        <v>4783.6990999999998</v>
      </c>
      <c r="FH95" s="55">
        <f t="shared" si="137"/>
        <v>3896.7575000000002</v>
      </c>
      <c r="FI95" s="55">
        <f t="shared" si="137"/>
        <v>7989.5979807999993</v>
      </c>
      <c r="FJ95" s="55">
        <f t="shared" si="137"/>
        <v>6859.1883464000002</v>
      </c>
      <c r="FK95" s="298">
        <f t="shared" si="138"/>
        <v>0.55108841855162316</v>
      </c>
      <c r="FL95" s="52"/>
      <c r="FM95" s="55">
        <f t="shared" si="139"/>
        <v>7989.5979861511178</v>
      </c>
      <c r="FN95" s="55">
        <f t="shared" si="139"/>
        <v>6859.1883403511183</v>
      </c>
      <c r="FO95" s="55">
        <f t="shared" si="139"/>
        <v>7989.5979807999993</v>
      </c>
      <c r="FP95" s="55">
        <f t="shared" si="139"/>
        <v>6859.1883349999998</v>
      </c>
      <c r="FR95" s="52"/>
      <c r="FS95" s="52"/>
      <c r="FT95" s="52"/>
      <c r="FU95" s="55">
        <f t="shared" si="140"/>
        <v>4199.22</v>
      </c>
      <c r="FV95" s="55">
        <f t="shared" si="140"/>
        <v>3543.3192000000004</v>
      </c>
      <c r="FW95" s="55">
        <f t="shared" si="140"/>
        <v>604.01371680000011</v>
      </c>
      <c r="FX95" s="55">
        <f t="shared" si="140"/>
        <v>532.79329360000008</v>
      </c>
      <c r="FY95" s="298">
        <f t="shared" si="141"/>
        <v>0.54235695700449271</v>
      </c>
      <c r="FZ95" s="52"/>
      <c r="GA95" s="55">
        <f t="shared" si="142"/>
        <v>604.01371680000011</v>
      </c>
      <c r="GB95" s="55">
        <f t="shared" si="142"/>
        <v>532.79329360000008</v>
      </c>
      <c r="GC95" s="55">
        <f t="shared" si="142"/>
        <v>604.01371680000011</v>
      </c>
      <c r="GD95" s="55">
        <f t="shared" si="142"/>
        <v>532.79329360000008</v>
      </c>
      <c r="GF95" s="52"/>
      <c r="GG95" s="52"/>
      <c r="GH95" s="52"/>
      <c r="GI95" s="55">
        <f t="shared" si="143"/>
        <v>2092.2116000000001</v>
      </c>
      <c r="GJ95" s="55">
        <f t="shared" si="143"/>
        <v>1634.2357999999999</v>
      </c>
      <c r="GK95" s="56">
        <f t="shared" si="144"/>
        <v>2376.6056699999999</v>
      </c>
      <c r="GL95" s="56">
        <f t="shared" si="144"/>
        <v>2007.3873945</v>
      </c>
      <c r="GM95" s="298">
        <f t="shared" si="145"/>
        <v>0.56144938474108075</v>
      </c>
      <c r="GN95" s="52"/>
      <c r="GO95" s="56">
        <f t="shared" si="146"/>
        <v>2376.6056699999999</v>
      </c>
      <c r="GP95" s="56">
        <f t="shared" si="146"/>
        <v>2007.3873945</v>
      </c>
      <c r="GQ95" s="56">
        <f t="shared" si="146"/>
        <v>2376.6056699999999</v>
      </c>
      <c r="GR95" s="56">
        <f t="shared" si="146"/>
        <v>2007.3873945</v>
      </c>
    </row>
    <row r="96" spans="1:200" x14ac:dyDescent="0.2">
      <c r="A96" s="118">
        <v>86</v>
      </c>
      <c r="C96" s="128">
        <v>6.3288000000000002</v>
      </c>
      <c r="D96" s="128">
        <v>3.0550000000000002</v>
      </c>
      <c r="E96" s="128">
        <v>0</v>
      </c>
      <c r="F96" s="128">
        <v>586.13</v>
      </c>
      <c r="G96" s="128">
        <v>462.94580000000002</v>
      </c>
      <c r="H96" s="49">
        <f t="shared" si="123"/>
        <v>6337.7868959999996</v>
      </c>
      <c r="I96" s="49">
        <f t="shared" si="123"/>
        <v>5797.1679999999997</v>
      </c>
      <c r="J96" s="47">
        <f t="shared" si="123"/>
        <v>0</v>
      </c>
      <c r="K96" s="47">
        <f t="shared" si="147"/>
        <v>0</v>
      </c>
      <c r="L96" s="48">
        <f t="shared" si="148"/>
        <v>6337.7868959999996</v>
      </c>
      <c r="M96" s="48">
        <f t="shared" si="149"/>
        <v>5797.1679999999997</v>
      </c>
      <c r="N96" s="93">
        <f t="shared" si="150"/>
        <v>6337.7868959999996</v>
      </c>
      <c r="O96" s="93">
        <f t="shared" si="151"/>
        <v>5797.1679999999997</v>
      </c>
      <c r="Q96" s="128">
        <v>8.8878000000000004</v>
      </c>
      <c r="R96" s="130">
        <v>3.9876999999999998</v>
      </c>
      <c r="S96" s="128">
        <v>0</v>
      </c>
      <c r="T96" s="128">
        <v>235.345</v>
      </c>
      <c r="U96" s="128">
        <v>214.44829999999999</v>
      </c>
      <c r="V96" s="49">
        <f t="shared" si="124"/>
        <v>5656.2847979999997</v>
      </c>
      <c r="W96" s="49">
        <f t="shared" si="124"/>
        <v>4751.3046729999996</v>
      </c>
      <c r="X96" s="47">
        <f t="shared" si="124"/>
        <v>0</v>
      </c>
      <c r="Y96" s="47">
        <f t="shared" si="152"/>
        <v>0</v>
      </c>
      <c r="Z96" s="48">
        <f t="shared" si="153"/>
        <v>5656.2847979999997</v>
      </c>
      <c r="AA96" s="48">
        <f t="shared" si="154"/>
        <v>4751.3046729999996</v>
      </c>
      <c r="AB96" s="93">
        <f t="shared" si="155"/>
        <v>5656.2847979999997</v>
      </c>
      <c r="AC96" s="93">
        <f t="shared" si="156"/>
        <v>4751.3046729999996</v>
      </c>
      <c r="AE96" s="128">
        <v>11.3809</v>
      </c>
      <c r="AF96" s="130">
        <v>4.4953000000000003</v>
      </c>
      <c r="AG96" s="128">
        <v>0</v>
      </c>
      <c r="AH96" s="128">
        <v>59.21</v>
      </c>
      <c r="AI96" s="128">
        <v>44.416699999999999</v>
      </c>
      <c r="AJ96" s="49">
        <f t="shared" si="125"/>
        <v>5236.1244720000004</v>
      </c>
      <c r="AK96" s="49">
        <f t="shared" si="125"/>
        <v>4723.3465690000003</v>
      </c>
      <c r="AL96" s="47">
        <f t="shared" si="125"/>
        <v>0</v>
      </c>
      <c r="AM96" s="47">
        <f t="shared" si="157"/>
        <v>0</v>
      </c>
      <c r="AN96" s="48">
        <f t="shared" si="158"/>
        <v>5236.1244720000004</v>
      </c>
      <c r="AO96" s="48">
        <f t="shared" si="159"/>
        <v>4723.3465690000003</v>
      </c>
      <c r="AP96" s="93">
        <f t="shared" si="160"/>
        <v>5236.1244720000004</v>
      </c>
      <c r="AQ96" s="93">
        <f t="shared" si="161"/>
        <v>4723.3465690000003</v>
      </c>
      <c r="AS96" s="128">
        <v>16.3459</v>
      </c>
      <c r="AT96" s="130">
        <v>6.4653999999999998</v>
      </c>
      <c r="AU96" s="128">
        <v>0</v>
      </c>
      <c r="AV96" s="128">
        <v>1192.8892000000001</v>
      </c>
      <c r="AW96" s="128">
        <v>955.81169999999997</v>
      </c>
      <c r="AX96" s="49">
        <f t="shared" si="126"/>
        <v>5731.5263759999998</v>
      </c>
      <c r="AY96" s="49">
        <f t="shared" si="126"/>
        <v>4557.9776920000004</v>
      </c>
      <c r="AZ96" s="47">
        <f t="shared" si="126"/>
        <v>0</v>
      </c>
      <c r="BA96" s="47">
        <f t="shared" si="162"/>
        <v>0</v>
      </c>
      <c r="BB96" s="48">
        <f t="shared" si="163"/>
        <v>5731.5263759999998</v>
      </c>
      <c r="BC96" s="48">
        <f t="shared" si="164"/>
        <v>4557.9776920000004</v>
      </c>
      <c r="BD96" s="93">
        <f t="shared" si="165"/>
        <v>5731.5263759999998</v>
      </c>
      <c r="BE96" s="93">
        <f t="shared" si="166"/>
        <v>4557.9776920000004</v>
      </c>
      <c r="BG96" s="128">
        <v>13.230499999999999</v>
      </c>
      <c r="BH96" s="130">
        <v>5.1496000000000004</v>
      </c>
      <c r="BI96" s="128">
        <v>0</v>
      </c>
      <c r="BJ96" s="128">
        <v>961.57420000000002</v>
      </c>
      <c r="BK96" s="128">
        <v>976.99170000000004</v>
      </c>
      <c r="BL96" s="49">
        <f t="shared" si="127"/>
        <v>4345.1608100000003</v>
      </c>
      <c r="BM96" s="49">
        <f t="shared" si="127"/>
        <v>3113.8601279999998</v>
      </c>
      <c r="BN96" s="47">
        <f t="shared" si="127"/>
        <v>0</v>
      </c>
      <c r="BO96" s="47">
        <f t="shared" si="167"/>
        <v>0</v>
      </c>
      <c r="BP96" s="48">
        <f t="shared" si="168"/>
        <v>4345.1608100000003</v>
      </c>
      <c r="BQ96" s="48">
        <f t="shared" si="169"/>
        <v>3113.8601279999998</v>
      </c>
      <c r="BR96" s="93">
        <f t="shared" si="170"/>
        <v>4345.1608100000003</v>
      </c>
      <c r="BS96" s="93">
        <f t="shared" si="171"/>
        <v>3113.8601279999998</v>
      </c>
      <c r="BU96" s="128">
        <v>10.2865</v>
      </c>
      <c r="BV96" s="130">
        <v>4.5712999999999999</v>
      </c>
      <c r="BW96" s="128">
        <v>0</v>
      </c>
      <c r="BX96" s="128">
        <v>699.82830000000001</v>
      </c>
      <c r="BY96" s="128">
        <v>562.41499999999996</v>
      </c>
      <c r="BZ96" s="49">
        <f t="shared" si="128"/>
        <v>2495.5048999999999</v>
      </c>
      <c r="CA96" s="49">
        <f t="shared" si="128"/>
        <v>1847.353756</v>
      </c>
      <c r="CB96" s="47">
        <f t="shared" si="128"/>
        <v>0</v>
      </c>
      <c r="CC96" s="47">
        <f t="shared" si="172"/>
        <v>0</v>
      </c>
      <c r="CD96" s="48">
        <f t="shared" si="173"/>
        <v>2495.5048999999999</v>
      </c>
      <c r="CE96" s="48">
        <f t="shared" si="174"/>
        <v>1847.353756</v>
      </c>
      <c r="CF96" s="93">
        <f t="shared" si="175"/>
        <v>2495.5048999999999</v>
      </c>
      <c r="CG96" s="93">
        <f t="shared" si="176"/>
        <v>1847.353756</v>
      </c>
      <c r="CI96" s="128">
        <v>0.8498</v>
      </c>
      <c r="CJ96" s="130">
        <v>0.52339999999999998</v>
      </c>
      <c r="CK96" s="128">
        <v>0</v>
      </c>
      <c r="CL96" s="128">
        <v>2897.6116999999999</v>
      </c>
      <c r="CM96" s="128">
        <v>2529.0266999999999</v>
      </c>
      <c r="CN96" s="49">
        <f t="shared" si="129"/>
        <v>180.395544</v>
      </c>
      <c r="CO96" s="49">
        <f t="shared" si="129"/>
        <v>144.18623199999999</v>
      </c>
      <c r="CP96" s="47">
        <f t="shared" si="129"/>
        <v>0</v>
      </c>
      <c r="CQ96" s="47">
        <f t="shared" si="177"/>
        <v>0</v>
      </c>
      <c r="CR96" s="48">
        <f t="shared" si="178"/>
        <v>180.395544</v>
      </c>
      <c r="CS96" s="48">
        <f t="shared" si="179"/>
        <v>144.18623199999999</v>
      </c>
      <c r="CT96" s="93">
        <f t="shared" si="180"/>
        <v>180.395544</v>
      </c>
      <c r="CU96" s="93">
        <f t="shared" si="181"/>
        <v>144.18623199999999</v>
      </c>
      <c r="CW96" s="128">
        <v>2.2961999999999998</v>
      </c>
      <c r="CX96" s="130">
        <v>1.4619</v>
      </c>
      <c r="CY96" s="128">
        <v>0</v>
      </c>
      <c r="CZ96" s="128">
        <v>946.77080000000001</v>
      </c>
      <c r="DA96" s="128">
        <v>770.93330000000003</v>
      </c>
      <c r="DB96" s="49">
        <f t="shared" si="130"/>
        <v>493.01710199999997</v>
      </c>
      <c r="DC96" s="49">
        <f t="shared" si="130"/>
        <v>438.62847600000003</v>
      </c>
      <c r="DD96" s="47">
        <f t="shared" si="130"/>
        <v>0</v>
      </c>
      <c r="DE96" s="47">
        <f t="shared" si="182"/>
        <v>0</v>
      </c>
      <c r="DF96" s="48">
        <f t="shared" si="183"/>
        <v>493.01710199999997</v>
      </c>
      <c r="DG96" s="48">
        <f t="shared" si="184"/>
        <v>438.62847600000003</v>
      </c>
      <c r="DH96" s="93">
        <f t="shared" si="185"/>
        <v>493.01710199999997</v>
      </c>
      <c r="DI96" s="93">
        <f t="shared" si="186"/>
        <v>438.62847600000003</v>
      </c>
      <c r="DK96" s="128">
        <v>2.8435999999999999</v>
      </c>
      <c r="DL96" s="130">
        <v>1.681</v>
      </c>
      <c r="DM96" s="128">
        <v>1E-4</v>
      </c>
      <c r="DN96" s="128">
        <v>622.97670000000005</v>
      </c>
      <c r="DO96" s="128">
        <v>560.44579999999996</v>
      </c>
      <c r="DP96" s="49">
        <f t="shared" si="131"/>
        <v>376.37889600000005</v>
      </c>
      <c r="DQ96" s="49">
        <f t="shared" si="131"/>
        <v>325.49203</v>
      </c>
      <c r="DR96" s="47">
        <f t="shared" si="131"/>
        <v>1.9000000000000001E-5</v>
      </c>
      <c r="DS96" s="47">
        <f t="shared" si="187"/>
        <v>8.8112334346785585E-6</v>
      </c>
      <c r="DT96" s="48">
        <f t="shared" si="188"/>
        <v>376.3789048112335</v>
      </c>
      <c r="DU96" s="48">
        <f t="shared" si="189"/>
        <v>325.49201981123343</v>
      </c>
      <c r="DV96" s="93">
        <f t="shared" si="190"/>
        <v>376.37889600000005</v>
      </c>
      <c r="DW96" s="93">
        <f t="shared" si="191"/>
        <v>325.49201099999999</v>
      </c>
      <c r="EB96" s="52"/>
      <c r="EC96" s="52"/>
      <c r="ED96" s="52"/>
      <c r="EE96" s="55">
        <f t="shared" si="192"/>
        <v>5623.4017000000003</v>
      </c>
      <c r="EF96" s="55">
        <f t="shared" si="192"/>
        <v>4718.7174999999997</v>
      </c>
      <c r="EG96" s="55">
        <f t="shared" si="192"/>
        <v>12644.122497600001</v>
      </c>
      <c r="EH96" s="55">
        <f t="shared" si="132"/>
        <v>10850.234704800001</v>
      </c>
      <c r="EI96" s="298">
        <f t="shared" si="133"/>
        <v>0.54373785403672392</v>
      </c>
      <c r="EJ96" s="52"/>
      <c r="EK96" s="55">
        <f t="shared" si="193"/>
        <v>12644.122497600001</v>
      </c>
      <c r="EL96" s="55">
        <f t="shared" si="193"/>
        <v>10850.234704800001</v>
      </c>
      <c r="EM96" s="55">
        <f t="shared" si="193"/>
        <v>12644.122497600001</v>
      </c>
      <c r="EN96" s="55">
        <f t="shared" si="193"/>
        <v>10850.234704800001</v>
      </c>
      <c r="EP96" s="52"/>
      <c r="EQ96" s="52"/>
      <c r="ER96" s="52"/>
      <c r="ES96" s="55">
        <f t="shared" si="134"/>
        <v>5041.3017</v>
      </c>
      <c r="ET96" s="55">
        <f t="shared" si="134"/>
        <v>4491.3999999999996</v>
      </c>
      <c r="EU96" s="55">
        <f t="shared" si="134"/>
        <v>10526.953123400001</v>
      </c>
      <c r="EV96" s="55">
        <f t="shared" si="134"/>
        <v>8316.3909661999987</v>
      </c>
      <c r="EW96" s="298">
        <f t="shared" si="135"/>
        <v>0.52884290924575983</v>
      </c>
      <c r="EX96" s="52"/>
      <c r="EY96" s="55">
        <f t="shared" si="136"/>
        <v>10526.953123400001</v>
      </c>
      <c r="EZ96" s="55">
        <f t="shared" si="136"/>
        <v>8316.3909661999987</v>
      </c>
      <c r="FA96" s="55">
        <f t="shared" si="136"/>
        <v>10526.953123400001</v>
      </c>
      <c r="FB96" s="55">
        <f t="shared" si="136"/>
        <v>8316.3909661999987</v>
      </c>
      <c r="FD96" s="52"/>
      <c r="FE96" s="52"/>
      <c r="FF96" s="52"/>
      <c r="FG96" s="55">
        <f t="shared" si="137"/>
        <v>4279.6266999999998</v>
      </c>
      <c r="FH96" s="55">
        <f t="shared" si="137"/>
        <v>3696.3042</v>
      </c>
      <c r="FI96" s="55">
        <f t="shared" si="137"/>
        <v>8137.8522536</v>
      </c>
      <c r="FJ96" s="55">
        <f t="shared" si="137"/>
        <v>6910.181775</v>
      </c>
      <c r="FK96" s="298">
        <f t="shared" si="138"/>
        <v>0.53656767512867998</v>
      </c>
      <c r="FL96" s="52"/>
      <c r="FM96" s="55">
        <f t="shared" si="139"/>
        <v>8137.8522588867399</v>
      </c>
      <c r="FN96" s="55">
        <f t="shared" si="139"/>
        <v>6910.1817688867395</v>
      </c>
      <c r="FO96" s="55">
        <f t="shared" si="139"/>
        <v>8137.8522536</v>
      </c>
      <c r="FP96" s="55">
        <f t="shared" si="139"/>
        <v>6910.1817635999996</v>
      </c>
      <c r="FR96" s="52"/>
      <c r="FS96" s="52"/>
      <c r="FT96" s="52"/>
      <c r="FU96" s="55">
        <f t="shared" si="140"/>
        <v>3844.3824999999997</v>
      </c>
      <c r="FV96" s="55">
        <f t="shared" si="140"/>
        <v>3299.96</v>
      </c>
      <c r="FW96" s="55">
        <f t="shared" si="140"/>
        <v>574.80922559999999</v>
      </c>
      <c r="FX96" s="55">
        <f t="shared" si="140"/>
        <v>495.08901280000009</v>
      </c>
      <c r="FY96" s="298">
        <f t="shared" si="141"/>
        <v>0.53810165176151614</v>
      </c>
      <c r="FZ96" s="52"/>
      <c r="GA96" s="55">
        <f t="shared" si="142"/>
        <v>574.80922559999999</v>
      </c>
      <c r="GB96" s="55">
        <f t="shared" si="142"/>
        <v>495.08901280000009</v>
      </c>
      <c r="GC96" s="55">
        <f t="shared" si="142"/>
        <v>574.80922559999999</v>
      </c>
      <c r="GD96" s="55">
        <f t="shared" si="142"/>
        <v>495.08901280000009</v>
      </c>
      <c r="GF96" s="52"/>
      <c r="GG96" s="52"/>
      <c r="GH96" s="52"/>
      <c r="GI96" s="55">
        <f t="shared" si="143"/>
        <v>1892.7175000000002</v>
      </c>
      <c r="GJ96" s="55">
        <f t="shared" si="143"/>
        <v>1518.2266999999999</v>
      </c>
      <c r="GK96" s="56">
        <f t="shared" si="144"/>
        <v>2427.0161069999999</v>
      </c>
      <c r="GL96" s="56">
        <f t="shared" si="144"/>
        <v>2032.9679520000004</v>
      </c>
      <c r="GM96" s="298">
        <f t="shared" si="145"/>
        <v>0.5548954743967961</v>
      </c>
      <c r="GN96" s="52"/>
      <c r="GO96" s="56">
        <f t="shared" si="146"/>
        <v>2427.0161069999999</v>
      </c>
      <c r="GP96" s="56">
        <f t="shared" si="146"/>
        <v>2032.9679520000004</v>
      </c>
      <c r="GQ96" s="56">
        <f t="shared" si="146"/>
        <v>2427.0161069999999</v>
      </c>
      <c r="GR96" s="56">
        <f t="shared" si="146"/>
        <v>2032.9679520000004</v>
      </c>
    </row>
    <row r="97" spans="1:200" x14ac:dyDescent="0.2">
      <c r="A97" s="118">
        <v>87</v>
      </c>
      <c r="C97" s="128">
        <v>6.4507000000000003</v>
      </c>
      <c r="D97" s="128">
        <v>3.0939999999999999</v>
      </c>
      <c r="E97" s="128">
        <v>0</v>
      </c>
      <c r="F97" s="128">
        <v>519.73419999999999</v>
      </c>
      <c r="G97" s="128">
        <v>451.63670000000002</v>
      </c>
      <c r="H97" s="49">
        <f t="shared" si="123"/>
        <v>6459.8599940000004</v>
      </c>
      <c r="I97" s="49">
        <f t="shared" si="123"/>
        <v>5871.1743999999999</v>
      </c>
      <c r="J97" s="47">
        <f t="shared" si="123"/>
        <v>0</v>
      </c>
      <c r="K97" s="47">
        <f t="shared" si="147"/>
        <v>0</v>
      </c>
      <c r="L97" s="48">
        <f t="shared" si="148"/>
        <v>6459.8599940000004</v>
      </c>
      <c r="M97" s="48">
        <f t="shared" si="149"/>
        <v>5871.1743999999999</v>
      </c>
      <c r="N97" s="93">
        <f t="shared" si="150"/>
        <v>6459.8599940000004</v>
      </c>
      <c r="O97" s="93">
        <f t="shared" si="151"/>
        <v>5871.1743999999999</v>
      </c>
      <c r="Q97" s="128">
        <v>8.9743999999999993</v>
      </c>
      <c r="R97" s="130">
        <v>4.0286</v>
      </c>
      <c r="S97" s="128">
        <v>0</v>
      </c>
      <c r="T97" s="128">
        <v>190.99170000000001</v>
      </c>
      <c r="U97" s="128">
        <v>203.79329999999999</v>
      </c>
      <c r="V97" s="49">
        <f t="shared" si="124"/>
        <v>5711.3979039999995</v>
      </c>
      <c r="W97" s="49">
        <f t="shared" si="124"/>
        <v>4800.0366139999996</v>
      </c>
      <c r="X97" s="47">
        <f t="shared" si="124"/>
        <v>0</v>
      </c>
      <c r="Y97" s="47">
        <f t="shared" si="152"/>
        <v>0</v>
      </c>
      <c r="Z97" s="48">
        <f t="shared" si="153"/>
        <v>5711.3979039999995</v>
      </c>
      <c r="AA97" s="48">
        <f t="shared" si="154"/>
        <v>4800.0366139999996</v>
      </c>
      <c r="AB97" s="93">
        <f t="shared" si="155"/>
        <v>5711.3979039999995</v>
      </c>
      <c r="AC97" s="93">
        <f t="shared" si="156"/>
        <v>4800.0366139999996</v>
      </c>
      <c r="AE97" s="128">
        <v>11.6653</v>
      </c>
      <c r="AF97" s="130">
        <v>4.5857000000000001</v>
      </c>
      <c r="AG97" s="128">
        <v>0</v>
      </c>
      <c r="AH97" s="128">
        <v>48.238300000000002</v>
      </c>
      <c r="AI97" s="128">
        <v>48.166699999999999</v>
      </c>
      <c r="AJ97" s="49">
        <f t="shared" si="125"/>
        <v>5366.9712239999999</v>
      </c>
      <c r="AK97" s="49">
        <f t="shared" si="125"/>
        <v>4818.3325610000002</v>
      </c>
      <c r="AL97" s="47">
        <f t="shared" si="125"/>
        <v>0</v>
      </c>
      <c r="AM97" s="47">
        <f t="shared" si="157"/>
        <v>0</v>
      </c>
      <c r="AN97" s="48">
        <f t="shared" si="158"/>
        <v>5366.9712239999999</v>
      </c>
      <c r="AO97" s="48">
        <f t="shared" si="159"/>
        <v>4818.3325610000002</v>
      </c>
      <c r="AP97" s="93">
        <f t="shared" si="160"/>
        <v>5366.9712239999999</v>
      </c>
      <c r="AQ97" s="93">
        <f t="shared" si="161"/>
        <v>4818.3325610000002</v>
      </c>
      <c r="AS97" s="128">
        <v>16.579699999999999</v>
      </c>
      <c r="AT97" s="130">
        <v>6.4930000000000003</v>
      </c>
      <c r="AU97" s="128">
        <v>0</v>
      </c>
      <c r="AV97" s="128">
        <v>923.60170000000005</v>
      </c>
      <c r="AW97" s="128">
        <v>945.03830000000005</v>
      </c>
      <c r="AX97" s="49">
        <f t="shared" si="126"/>
        <v>5813.5060079999994</v>
      </c>
      <c r="AY97" s="49">
        <f t="shared" si="126"/>
        <v>4577.4351400000005</v>
      </c>
      <c r="AZ97" s="47">
        <f t="shared" si="126"/>
        <v>0</v>
      </c>
      <c r="BA97" s="47">
        <f t="shared" si="162"/>
        <v>0</v>
      </c>
      <c r="BB97" s="48">
        <f t="shared" si="163"/>
        <v>5813.5060079999994</v>
      </c>
      <c r="BC97" s="48">
        <f t="shared" si="164"/>
        <v>4577.4351400000005</v>
      </c>
      <c r="BD97" s="93">
        <f t="shared" si="165"/>
        <v>5813.5060079999994</v>
      </c>
      <c r="BE97" s="93">
        <f t="shared" si="166"/>
        <v>4577.4351400000005</v>
      </c>
      <c r="BG97" s="128">
        <v>13.3811</v>
      </c>
      <c r="BH97" s="130">
        <v>5.2157</v>
      </c>
      <c r="BI97" s="128">
        <v>0</v>
      </c>
      <c r="BJ97" s="128">
        <v>744.70749999999998</v>
      </c>
      <c r="BK97" s="128">
        <v>983.79250000000002</v>
      </c>
      <c r="BL97" s="49">
        <f t="shared" si="127"/>
        <v>4394.6208619999998</v>
      </c>
      <c r="BM97" s="49">
        <f t="shared" si="127"/>
        <v>3153.8294759999999</v>
      </c>
      <c r="BN97" s="47">
        <f t="shared" si="127"/>
        <v>0</v>
      </c>
      <c r="BO97" s="47">
        <f t="shared" si="167"/>
        <v>0</v>
      </c>
      <c r="BP97" s="48">
        <f t="shared" si="168"/>
        <v>4394.6208619999998</v>
      </c>
      <c r="BQ97" s="48">
        <f t="shared" si="169"/>
        <v>3153.8294759999999</v>
      </c>
      <c r="BR97" s="93">
        <f t="shared" si="170"/>
        <v>4394.6208619999998</v>
      </c>
      <c r="BS97" s="93">
        <f t="shared" si="171"/>
        <v>3153.8294759999999</v>
      </c>
      <c r="BU97" s="128">
        <v>10.3848</v>
      </c>
      <c r="BV97" s="130">
        <v>4.5777000000000001</v>
      </c>
      <c r="BW97" s="128">
        <v>0</v>
      </c>
      <c r="BX97" s="128">
        <v>570.02419999999995</v>
      </c>
      <c r="BY97" s="128">
        <v>460.0883</v>
      </c>
      <c r="BZ97" s="49">
        <f t="shared" si="128"/>
        <v>2519.35248</v>
      </c>
      <c r="CA97" s="49">
        <f t="shared" si="128"/>
        <v>1849.940124</v>
      </c>
      <c r="CB97" s="47">
        <f t="shared" si="128"/>
        <v>0</v>
      </c>
      <c r="CC97" s="47">
        <f t="shared" si="172"/>
        <v>0</v>
      </c>
      <c r="CD97" s="48">
        <f t="shared" si="173"/>
        <v>2519.35248</v>
      </c>
      <c r="CE97" s="48">
        <f t="shared" si="174"/>
        <v>1849.940124</v>
      </c>
      <c r="CF97" s="93">
        <f t="shared" si="175"/>
        <v>2519.35248</v>
      </c>
      <c r="CG97" s="93">
        <f t="shared" si="176"/>
        <v>1849.940124</v>
      </c>
      <c r="CI97" s="128">
        <v>0.79979999999999996</v>
      </c>
      <c r="CJ97" s="130">
        <v>0.48599999999999999</v>
      </c>
      <c r="CK97" s="128">
        <v>0</v>
      </c>
      <c r="CL97" s="128">
        <v>2266.4050000000002</v>
      </c>
      <c r="CM97" s="128">
        <v>2416.8975</v>
      </c>
      <c r="CN97" s="49">
        <f t="shared" si="129"/>
        <v>169.781544</v>
      </c>
      <c r="CO97" s="49">
        <f t="shared" si="129"/>
        <v>133.88328000000001</v>
      </c>
      <c r="CP97" s="47">
        <f t="shared" si="129"/>
        <v>0</v>
      </c>
      <c r="CQ97" s="47">
        <f t="shared" si="177"/>
        <v>0</v>
      </c>
      <c r="CR97" s="48">
        <f t="shared" si="178"/>
        <v>169.781544</v>
      </c>
      <c r="CS97" s="48">
        <f t="shared" si="179"/>
        <v>133.88328000000001</v>
      </c>
      <c r="CT97" s="93">
        <f t="shared" si="180"/>
        <v>169.781544</v>
      </c>
      <c r="CU97" s="93">
        <f t="shared" si="181"/>
        <v>133.88328000000001</v>
      </c>
      <c r="CW97" s="128">
        <v>2.1991000000000001</v>
      </c>
      <c r="CX97" s="130">
        <v>1.371</v>
      </c>
      <c r="CY97" s="128">
        <v>0</v>
      </c>
      <c r="CZ97" s="128">
        <v>691.99080000000004</v>
      </c>
      <c r="DA97" s="128">
        <v>695.4633</v>
      </c>
      <c r="DB97" s="49">
        <f t="shared" si="130"/>
        <v>472.16876100000002</v>
      </c>
      <c r="DC97" s="49">
        <f t="shared" si="130"/>
        <v>411.35484000000002</v>
      </c>
      <c r="DD97" s="47">
        <f t="shared" si="130"/>
        <v>0</v>
      </c>
      <c r="DE97" s="47">
        <f t="shared" si="182"/>
        <v>0</v>
      </c>
      <c r="DF97" s="48">
        <f t="shared" si="183"/>
        <v>472.16876100000002</v>
      </c>
      <c r="DG97" s="48">
        <f t="shared" si="184"/>
        <v>411.35484000000002</v>
      </c>
      <c r="DH97" s="93">
        <f t="shared" si="185"/>
        <v>472.16876100000002</v>
      </c>
      <c r="DI97" s="93">
        <f t="shared" si="186"/>
        <v>411.35484000000002</v>
      </c>
      <c r="DK97" s="128">
        <v>2.7265000000000001</v>
      </c>
      <c r="DL97" s="130">
        <v>1.5783</v>
      </c>
      <c r="DM97" s="128">
        <v>1E-4</v>
      </c>
      <c r="DN97" s="128">
        <v>531.05999999999995</v>
      </c>
      <c r="DO97" s="128">
        <v>534.65830000000005</v>
      </c>
      <c r="DP97" s="49">
        <f t="shared" si="131"/>
        <v>360.87954000000008</v>
      </c>
      <c r="DQ97" s="49">
        <f t="shared" si="131"/>
        <v>305.60622899999998</v>
      </c>
      <c r="DR97" s="47">
        <f t="shared" si="131"/>
        <v>1.9000000000000001E-5</v>
      </c>
      <c r="DS97" s="47">
        <f t="shared" si="187"/>
        <v>8.7121415356131913E-6</v>
      </c>
      <c r="DT97" s="48">
        <f t="shared" si="188"/>
        <v>360.87954871214163</v>
      </c>
      <c r="DU97" s="48">
        <f t="shared" si="189"/>
        <v>305.60621871214153</v>
      </c>
      <c r="DV97" s="93">
        <f t="shared" si="190"/>
        <v>360.87954000000008</v>
      </c>
      <c r="DW97" s="93">
        <f t="shared" si="191"/>
        <v>305.60620999999998</v>
      </c>
      <c r="EB97" s="52"/>
      <c r="EC97" s="52"/>
      <c r="ED97" s="52"/>
      <c r="EE97" s="55">
        <f t="shared" si="192"/>
        <v>4401.7317000000003</v>
      </c>
      <c r="EF97" s="55">
        <f t="shared" si="192"/>
        <v>4509.0358000000006</v>
      </c>
      <c r="EG97" s="55">
        <f t="shared" si="192"/>
        <v>12820.882554799999</v>
      </c>
      <c r="EH97" s="55">
        <f t="shared" si="132"/>
        <v>10911.576692000001</v>
      </c>
      <c r="EI97" s="298">
        <f t="shared" si="133"/>
        <v>0.49397896421380083</v>
      </c>
      <c r="EJ97" s="52"/>
      <c r="EK97" s="55">
        <f t="shared" si="193"/>
        <v>12820.882554799999</v>
      </c>
      <c r="EL97" s="55">
        <f t="shared" si="193"/>
        <v>10911.576692000001</v>
      </c>
      <c r="EM97" s="55">
        <f t="shared" si="193"/>
        <v>12820.882554799999</v>
      </c>
      <c r="EN97" s="55">
        <f t="shared" si="193"/>
        <v>10911.576692000001</v>
      </c>
      <c r="EP97" s="52"/>
      <c r="EQ97" s="52"/>
      <c r="ER97" s="52"/>
      <c r="ES97" s="55">
        <f t="shared" si="134"/>
        <v>3894.0950000000003</v>
      </c>
      <c r="ET97" s="55">
        <f t="shared" si="134"/>
        <v>4299.9466000000002</v>
      </c>
      <c r="EU97" s="55">
        <f t="shared" si="134"/>
        <v>10606.318442699998</v>
      </c>
      <c r="EV97" s="55">
        <f t="shared" si="134"/>
        <v>8375.6977580000002</v>
      </c>
      <c r="EW97" s="298">
        <f t="shared" si="135"/>
        <v>0.47523495609297373</v>
      </c>
      <c r="EX97" s="52"/>
      <c r="EY97" s="55">
        <f t="shared" si="136"/>
        <v>10606.318442699998</v>
      </c>
      <c r="EZ97" s="55">
        <f t="shared" si="136"/>
        <v>8375.6977580000002</v>
      </c>
      <c r="FA97" s="55">
        <f t="shared" si="136"/>
        <v>10606.318442699998</v>
      </c>
      <c r="FB97" s="55">
        <f t="shared" si="136"/>
        <v>8375.6977580000002</v>
      </c>
      <c r="FD97" s="52"/>
      <c r="FE97" s="52"/>
      <c r="FF97" s="52"/>
      <c r="FG97" s="55">
        <f t="shared" si="137"/>
        <v>3415.7275</v>
      </c>
      <c r="FH97" s="55">
        <f t="shared" si="137"/>
        <v>3459.8108000000002</v>
      </c>
      <c r="FI97" s="55">
        <f t="shared" si="137"/>
        <v>8272.6329720000012</v>
      </c>
      <c r="FJ97" s="55">
        <f t="shared" si="137"/>
        <v>6985.5197023999999</v>
      </c>
      <c r="FK97" s="298">
        <f t="shared" si="138"/>
        <v>0.49679419282705473</v>
      </c>
      <c r="FL97" s="52"/>
      <c r="FM97" s="55">
        <f t="shared" si="139"/>
        <v>8272.6329772272857</v>
      </c>
      <c r="FN97" s="55">
        <f t="shared" si="139"/>
        <v>6985.5196962272848</v>
      </c>
      <c r="FO97" s="55">
        <f t="shared" si="139"/>
        <v>8272.6329720000012</v>
      </c>
      <c r="FP97" s="55">
        <f t="shared" si="139"/>
        <v>6985.5196909999995</v>
      </c>
      <c r="FR97" s="52"/>
      <c r="FS97" s="52"/>
      <c r="FT97" s="52"/>
      <c r="FU97" s="55">
        <f t="shared" si="140"/>
        <v>2958.3958000000002</v>
      </c>
      <c r="FV97" s="55">
        <f t="shared" si="140"/>
        <v>3112.3607999999999</v>
      </c>
      <c r="FW97" s="55">
        <f t="shared" si="140"/>
        <v>547.5165528</v>
      </c>
      <c r="FX97" s="55">
        <f t="shared" si="140"/>
        <v>462.96715200000006</v>
      </c>
      <c r="FY97" s="298">
        <f t="shared" si="141"/>
        <v>0.48731912592245913</v>
      </c>
      <c r="FZ97" s="52"/>
      <c r="GA97" s="55">
        <f t="shared" si="142"/>
        <v>547.5165528</v>
      </c>
      <c r="GB97" s="55">
        <f t="shared" si="142"/>
        <v>462.96715200000006</v>
      </c>
      <c r="GC97" s="55">
        <f t="shared" si="142"/>
        <v>547.5165528</v>
      </c>
      <c r="GD97" s="55">
        <f t="shared" si="142"/>
        <v>462.96715200000006</v>
      </c>
      <c r="GF97" s="52"/>
      <c r="GG97" s="52"/>
      <c r="GH97" s="52"/>
      <c r="GI97" s="55">
        <f t="shared" si="143"/>
        <v>1493.6259</v>
      </c>
      <c r="GJ97" s="55">
        <f t="shared" si="143"/>
        <v>1405.1266000000001</v>
      </c>
      <c r="GK97" s="56">
        <f t="shared" si="144"/>
        <v>2470.6151459999996</v>
      </c>
      <c r="GL97" s="56">
        <f t="shared" si="144"/>
        <v>2045.6212620000006</v>
      </c>
      <c r="GM97" s="298">
        <f t="shared" si="145"/>
        <v>0.5152650666105506</v>
      </c>
      <c r="GN97" s="52"/>
      <c r="GO97" s="56">
        <f t="shared" si="146"/>
        <v>2470.6151459999996</v>
      </c>
      <c r="GP97" s="56">
        <f t="shared" si="146"/>
        <v>2045.6212620000006</v>
      </c>
      <c r="GQ97" s="56">
        <f t="shared" si="146"/>
        <v>2470.6151459999996</v>
      </c>
      <c r="GR97" s="56">
        <f t="shared" si="146"/>
        <v>2045.6212620000006</v>
      </c>
    </row>
    <row r="98" spans="1:200" x14ac:dyDescent="0.2">
      <c r="A98" s="118">
        <v>88</v>
      </c>
      <c r="C98" s="128">
        <v>6.5705</v>
      </c>
      <c r="D98" s="128">
        <v>3.1312000000000002</v>
      </c>
      <c r="E98" s="128">
        <v>0</v>
      </c>
      <c r="F98" s="128">
        <v>377.03500000000003</v>
      </c>
      <c r="G98" s="128">
        <v>419.28</v>
      </c>
      <c r="H98" s="49">
        <f t="shared" si="123"/>
        <v>6579.8301099999999</v>
      </c>
      <c r="I98" s="49">
        <f t="shared" si="123"/>
        <v>5941.76512</v>
      </c>
      <c r="J98" s="47">
        <f t="shared" si="123"/>
        <v>0</v>
      </c>
      <c r="K98" s="47">
        <f t="shared" si="147"/>
        <v>0</v>
      </c>
      <c r="L98" s="48">
        <f t="shared" si="148"/>
        <v>6579.8301099999999</v>
      </c>
      <c r="M98" s="48">
        <f t="shared" si="149"/>
        <v>5941.76512</v>
      </c>
      <c r="N98" s="93">
        <f t="shared" si="150"/>
        <v>6579.8301099999999</v>
      </c>
      <c r="O98" s="93">
        <f t="shared" si="151"/>
        <v>5941.76512</v>
      </c>
      <c r="Q98" s="128">
        <v>9.0449000000000002</v>
      </c>
      <c r="R98" s="130">
        <v>4.0677000000000003</v>
      </c>
      <c r="S98" s="128">
        <v>0</v>
      </c>
      <c r="T98" s="128">
        <v>165.57169999999999</v>
      </c>
      <c r="U98" s="128">
        <v>182.23</v>
      </c>
      <c r="V98" s="49">
        <f t="shared" si="124"/>
        <v>5756.2648090000002</v>
      </c>
      <c r="W98" s="49">
        <f t="shared" si="124"/>
        <v>4846.6238730000005</v>
      </c>
      <c r="X98" s="47">
        <f t="shared" si="124"/>
        <v>0</v>
      </c>
      <c r="Y98" s="47">
        <f t="shared" si="152"/>
        <v>0</v>
      </c>
      <c r="Z98" s="48">
        <f t="shared" si="153"/>
        <v>5756.2648090000002</v>
      </c>
      <c r="AA98" s="48">
        <f t="shared" si="154"/>
        <v>4846.6238730000005</v>
      </c>
      <c r="AB98" s="93">
        <f t="shared" si="155"/>
        <v>5756.2648090000002</v>
      </c>
      <c r="AC98" s="93">
        <f t="shared" si="156"/>
        <v>4846.6238730000005</v>
      </c>
      <c r="AE98" s="128">
        <v>11.924899999999999</v>
      </c>
      <c r="AF98" s="130">
        <v>4.6689999999999996</v>
      </c>
      <c r="AG98" s="128">
        <v>0</v>
      </c>
      <c r="AH98" s="128">
        <v>50.005000000000003</v>
      </c>
      <c r="AI98" s="128">
        <v>43.75</v>
      </c>
      <c r="AJ98" s="49">
        <f t="shared" si="125"/>
        <v>5486.4079919999995</v>
      </c>
      <c r="AK98" s="49">
        <f t="shared" si="125"/>
        <v>4905.8583699999999</v>
      </c>
      <c r="AL98" s="47">
        <f t="shared" si="125"/>
        <v>0</v>
      </c>
      <c r="AM98" s="47">
        <f t="shared" si="157"/>
        <v>0</v>
      </c>
      <c r="AN98" s="48">
        <f t="shared" si="158"/>
        <v>5486.4079919999995</v>
      </c>
      <c r="AO98" s="48">
        <f t="shared" si="159"/>
        <v>4905.8583699999999</v>
      </c>
      <c r="AP98" s="93">
        <f t="shared" si="160"/>
        <v>5486.4079919999995</v>
      </c>
      <c r="AQ98" s="93">
        <f t="shared" si="161"/>
        <v>4905.8583699999999</v>
      </c>
      <c r="AS98" s="128">
        <v>16.7803</v>
      </c>
      <c r="AT98" s="130">
        <v>6.4930000000000003</v>
      </c>
      <c r="AU98" s="128">
        <v>0</v>
      </c>
      <c r="AV98" s="128">
        <v>822.87329999999997</v>
      </c>
      <c r="AW98" s="128">
        <v>912.10249999999996</v>
      </c>
      <c r="AX98" s="49">
        <f t="shared" si="126"/>
        <v>5883.844392</v>
      </c>
      <c r="AY98" s="49">
        <f t="shared" si="126"/>
        <v>4577.4351400000005</v>
      </c>
      <c r="AZ98" s="47">
        <f t="shared" si="126"/>
        <v>0</v>
      </c>
      <c r="BA98" s="47">
        <f t="shared" si="162"/>
        <v>0</v>
      </c>
      <c r="BB98" s="48">
        <f t="shared" si="163"/>
        <v>5883.844392</v>
      </c>
      <c r="BC98" s="48">
        <f t="shared" si="164"/>
        <v>4577.4351400000005</v>
      </c>
      <c r="BD98" s="93">
        <f t="shared" si="165"/>
        <v>5883.844392</v>
      </c>
      <c r="BE98" s="93">
        <f t="shared" si="166"/>
        <v>4577.4351400000005</v>
      </c>
      <c r="BG98" s="128">
        <v>13.498799999999999</v>
      </c>
      <c r="BH98" s="130">
        <v>5.2564000000000002</v>
      </c>
      <c r="BI98" s="128">
        <v>0</v>
      </c>
      <c r="BJ98" s="128">
        <v>667.58920000000001</v>
      </c>
      <c r="BK98" s="128">
        <v>858.78579999999999</v>
      </c>
      <c r="BL98" s="49">
        <f t="shared" si="127"/>
        <v>4433.2758960000001</v>
      </c>
      <c r="BM98" s="49">
        <f t="shared" si="127"/>
        <v>3178.4399519999997</v>
      </c>
      <c r="BN98" s="47">
        <f t="shared" si="127"/>
        <v>0</v>
      </c>
      <c r="BO98" s="47">
        <f t="shared" si="167"/>
        <v>0</v>
      </c>
      <c r="BP98" s="48">
        <f t="shared" si="168"/>
        <v>4433.2758960000001</v>
      </c>
      <c r="BQ98" s="48">
        <f t="shared" si="169"/>
        <v>3178.4399519999997</v>
      </c>
      <c r="BR98" s="93">
        <f t="shared" si="170"/>
        <v>4433.2758960000001</v>
      </c>
      <c r="BS98" s="93">
        <f t="shared" si="171"/>
        <v>3178.4399519999997</v>
      </c>
      <c r="BU98" s="128">
        <v>10.4655</v>
      </c>
      <c r="BV98" s="130">
        <v>4.5777000000000001</v>
      </c>
      <c r="BW98" s="128">
        <v>0</v>
      </c>
      <c r="BX98" s="128">
        <v>498.82920000000001</v>
      </c>
      <c r="BY98" s="128">
        <v>522.27499999999998</v>
      </c>
      <c r="BZ98" s="49">
        <f t="shared" si="128"/>
        <v>2538.9303</v>
      </c>
      <c r="CA98" s="49">
        <f t="shared" si="128"/>
        <v>1849.940124</v>
      </c>
      <c r="CB98" s="47">
        <f t="shared" si="128"/>
        <v>0</v>
      </c>
      <c r="CC98" s="47">
        <f t="shared" si="172"/>
        <v>0</v>
      </c>
      <c r="CD98" s="48">
        <f t="shared" si="173"/>
        <v>2538.9303</v>
      </c>
      <c r="CE98" s="48">
        <f t="shared" si="174"/>
        <v>1849.940124</v>
      </c>
      <c r="CF98" s="93">
        <f t="shared" si="175"/>
        <v>2538.9303</v>
      </c>
      <c r="CG98" s="93">
        <f t="shared" si="176"/>
        <v>1849.940124</v>
      </c>
      <c r="CI98" s="128">
        <v>0.75260000000000005</v>
      </c>
      <c r="CJ98" s="130">
        <v>0.45090000000000002</v>
      </c>
      <c r="CK98" s="128">
        <v>0</v>
      </c>
      <c r="CL98" s="128">
        <v>2010.9983</v>
      </c>
      <c r="CM98" s="128">
        <v>2325.9641999999999</v>
      </c>
      <c r="CN98" s="49">
        <f t="shared" si="129"/>
        <v>159.76192800000001</v>
      </c>
      <c r="CO98" s="49">
        <f t="shared" si="129"/>
        <v>124.21393200000001</v>
      </c>
      <c r="CP98" s="47">
        <f t="shared" si="129"/>
        <v>0</v>
      </c>
      <c r="CQ98" s="47">
        <f t="shared" si="177"/>
        <v>0</v>
      </c>
      <c r="CR98" s="48">
        <f t="shared" si="178"/>
        <v>159.76192800000001</v>
      </c>
      <c r="CS98" s="48">
        <f t="shared" si="179"/>
        <v>124.21393200000001</v>
      </c>
      <c r="CT98" s="93">
        <f t="shared" si="180"/>
        <v>159.76192800000001</v>
      </c>
      <c r="CU98" s="93">
        <f t="shared" si="181"/>
        <v>124.21393200000001</v>
      </c>
      <c r="CW98" s="128">
        <v>2.0977999999999999</v>
      </c>
      <c r="CX98" s="130">
        <v>1.2799</v>
      </c>
      <c r="CY98" s="128">
        <v>0</v>
      </c>
      <c r="CZ98" s="128">
        <v>655.06579999999997</v>
      </c>
      <c r="DA98" s="128">
        <v>689.66</v>
      </c>
      <c r="DB98" s="49">
        <f t="shared" si="130"/>
        <v>450.41863799999999</v>
      </c>
      <c r="DC98" s="49">
        <f t="shared" si="130"/>
        <v>384.02119600000003</v>
      </c>
      <c r="DD98" s="47">
        <f t="shared" si="130"/>
        <v>0</v>
      </c>
      <c r="DE98" s="47">
        <f t="shared" si="182"/>
        <v>0</v>
      </c>
      <c r="DF98" s="48">
        <f t="shared" si="183"/>
        <v>450.41863799999999</v>
      </c>
      <c r="DG98" s="48">
        <f t="shared" si="184"/>
        <v>384.02119600000003</v>
      </c>
      <c r="DH98" s="93">
        <f t="shared" si="185"/>
        <v>450.41863799999999</v>
      </c>
      <c r="DI98" s="93">
        <f t="shared" si="186"/>
        <v>384.02119600000003</v>
      </c>
      <c r="DK98" s="128">
        <v>2.6000999999999999</v>
      </c>
      <c r="DL98" s="130">
        <v>1.4764999999999999</v>
      </c>
      <c r="DM98" s="128">
        <v>0</v>
      </c>
      <c r="DN98" s="128">
        <v>496.31330000000003</v>
      </c>
      <c r="DO98" s="128">
        <v>515.5308</v>
      </c>
      <c r="DP98" s="49">
        <f t="shared" si="131"/>
        <v>344.14923600000003</v>
      </c>
      <c r="DQ98" s="49">
        <f t="shared" si="131"/>
        <v>285.89469499999996</v>
      </c>
      <c r="DR98" s="47">
        <f t="shared" si="131"/>
        <v>0</v>
      </c>
      <c r="DS98" s="47">
        <f t="shared" si="187"/>
        <v>0</v>
      </c>
      <c r="DT98" s="48">
        <f t="shared" si="188"/>
        <v>344.14923600000003</v>
      </c>
      <c r="DU98" s="48">
        <f t="shared" si="189"/>
        <v>285.89469499999996</v>
      </c>
      <c r="DV98" s="93">
        <f t="shared" si="190"/>
        <v>344.14923600000003</v>
      </c>
      <c r="DW98" s="93">
        <f t="shared" si="191"/>
        <v>285.89469499999996</v>
      </c>
      <c r="EB98" s="52"/>
      <c r="EC98" s="52"/>
      <c r="ED98" s="52"/>
      <c r="EE98" s="55">
        <f t="shared" si="192"/>
        <v>3865.9724000000001</v>
      </c>
      <c r="EF98" s="55">
        <f t="shared" si="192"/>
        <v>4347.0066999999999</v>
      </c>
      <c r="EG98" s="55">
        <f t="shared" si="192"/>
        <v>12983.771340400001</v>
      </c>
      <c r="EH98" s="55">
        <f t="shared" si="132"/>
        <v>10950.631148800003</v>
      </c>
      <c r="EI98" s="298">
        <f t="shared" si="133"/>
        <v>0.47071499305288622</v>
      </c>
      <c r="EJ98" s="52"/>
      <c r="EK98" s="55">
        <f t="shared" si="193"/>
        <v>12983.771340400001</v>
      </c>
      <c r="EL98" s="55">
        <f t="shared" si="193"/>
        <v>10950.631148800003</v>
      </c>
      <c r="EM98" s="55">
        <f t="shared" si="193"/>
        <v>12983.771340400001</v>
      </c>
      <c r="EN98" s="55">
        <f t="shared" si="193"/>
        <v>10950.631148800003</v>
      </c>
      <c r="EP98" s="52"/>
      <c r="EQ98" s="52"/>
      <c r="ER98" s="52"/>
      <c r="ES98" s="55">
        <f t="shared" si="134"/>
        <v>3499.2249999999999</v>
      </c>
      <c r="ET98" s="55">
        <f t="shared" si="134"/>
        <v>4056.6399999999994</v>
      </c>
      <c r="EU98" s="55">
        <f t="shared" si="134"/>
        <v>10664.595679599999</v>
      </c>
      <c r="EV98" s="55">
        <f t="shared" si="134"/>
        <v>8418.0925941999994</v>
      </c>
      <c r="EW98" s="298">
        <f t="shared" si="135"/>
        <v>0.46311375335583682</v>
      </c>
      <c r="EX98" s="52"/>
      <c r="EY98" s="55">
        <f t="shared" si="136"/>
        <v>10664.595679599999</v>
      </c>
      <c r="EZ98" s="55">
        <f t="shared" si="136"/>
        <v>8418.0925941999994</v>
      </c>
      <c r="FA98" s="55">
        <f t="shared" si="136"/>
        <v>10664.595679599999</v>
      </c>
      <c r="FB98" s="55">
        <f t="shared" si="136"/>
        <v>8418.0925941999994</v>
      </c>
      <c r="FD98" s="52"/>
      <c r="FE98" s="52"/>
      <c r="FF98" s="52"/>
      <c r="FG98" s="55">
        <f t="shared" si="137"/>
        <v>3056.1458000000002</v>
      </c>
      <c r="FH98" s="55">
        <f t="shared" si="137"/>
        <v>3407.52</v>
      </c>
      <c r="FI98" s="55">
        <f t="shared" si="137"/>
        <v>8391.5897616000002</v>
      </c>
      <c r="FJ98" s="55">
        <f t="shared" si="137"/>
        <v>7051.5492429999995</v>
      </c>
      <c r="FK98" s="298">
        <f t="shared" si="138"/>
        <v>0.47281927849673167</v>
      </c>
      <c r="FL98" s="52"/>
      <c r="FM98" s="55">
        <f t="shared" si="139"/>
        <v>8391.5897616000002</v>
      </c>
      <c r="FN98" s="55">
        <f t="shared" si="139"/>
        <v>7051.5492429999995</v>
      </c>
      <c r="FO98" s="55">
        <f t="shared" si="139"/>
        <v>8391.5897616000002</v>
      </c>
      <c r="FP98" s="55">
        <f t="shared" si="139"/>
        <v>7051.5492429999995</v>
      </c>
      <c r="FR98" s="52"/>
      <c r="FS98" s="52"/>
      <c r="FT98" s="52"/>
      <c r="FU98" s="55">
        <f t="shared" si="140"/>
        <v>2666.0641000000001</v>
      </c>
      <c r="FV98" s="55">
        <f t="shared" si="140"/>
        <v>3015.6241999999997</v>
      </c>
      <c r="FW98" s="55">
        <f t="shared" si="140"/>
        <v>520.09683840000002</v>
      </c>
      <c r="FX98" s="55">
        <f t="shared" si="140"/>
        <v>431.43088880000005</v>
      </c>
      <c r="FY98" s="298">
        <f t="shared" si="141"/>
        <v>0.46923800800547261</v>
      </c>
      <c r="FZ98" s="52"/>
      <c r="GA98" s="55">
        <f t="shared" si="142"/>
        <v>520.09683840000002</v>
      </c>
      <c r="GB98" s="55">
        <f t="shared" si="142"/>
        <v>431.43088880000005</v>
      </c>
      <c r="GC98" s="55">
        <f t="shared" si="142"/>
        <v>520.09683840000002</v>
      </c>
      <c r="GD98" s="55">
        <f t="shared" si="142"/>
        <v>431.43088880000005</v>
      </c>
      <c r="GF98" s="52"/>
      <c r="GG98" s="52"/>
      <c r="GH98" s="52"/>
      <c r="GI98" s="55">
        <f t="shared" si="143"/>
        <v>1321.7024999999999</v>
      </c>
      <c r="GJ98" s="55">
        <f t="shared" si="143"/>
        <v>1434.3775000000001</v>
      </c>
      <c r="GK98" s="56">
        <f t="shared" si="144"/>
        <v>2508.6855690000002</v>
      </c>
      <c r="GL98" s="56">
        <f t="shared" si="144"/>
        <v>2045.6212620000006</v>
      </c>
      <c r="GM98" s="298">
        <f t="shared" si="145"/>
        <v>0.4795588299323677</v>
      </c>
      <c r="GN98" s="52"/>
      <c r="GO98" s="56">
        <f t="shared" si="146"/>
        <v>2508.6855690000002</v>
      </c>
      <c r="GP98" s="56">
        <f t="shared" si="146"/>
        <v>2045.6212620000006</v>
      </c>
      <c r="GQ98" s="56">
        <f t="shared" si="146"/>
        <v>2508.6855690000002</v>
      </c>
      <c r="GR98" s="56">
        <f t="shared" si="146"/>
        <v>2045.6212620000006</v>
      </c>
    </row>
    <row r="99" spans="1:200" x14ac:dyDescent="0.2">
      <c r="A99" s="118">
        <v>89</v>
      </c>
      <c r="C99" s="128">
        <v>6.6883999999999997</v>
      </c>
      <c r="D99" s="128">
        <v>3.1667999999999998</v>
      </c>
      <c r="E99" s="128">
        <v>0</v>
      </c>
      <c r="F99" s="128">
        <v>328.30919999999998</v>
      </c>
      <c r="G99" s="128">
        <v>405.96</v>
      </c>
      <c r="H99" s="49">
        <f t="shared" si="123"/>
        <v>6697.8975279999995</v>
      </c>
      <c r="I99" s="49">
        <f t="shared" si="123"/>
        <v>6009.3196799999996</v>
      </c>
      <c r="J99" s="47">
        <f t="shared" si="123"/>
        <v>0</v>
      </c>
      <c r="K99" s="47">
        <f t="shared" si="147"/>
        <v>0</v>
      </c>
      <c r="L99" s="48">
        <f t="shared" si="148"/>
        <v>6697.8975279999995</v>
      </c>
      <c r="M99" s="48">
        <f t="shared" si="149"/>
        <v>6009.3196799999996</v>
      </c>
      <c r="N99" s="93">
        <f t="shared" si="150"/>
        <v>6697.8975279999995</v>
      </c>
      <c r="O99" s="93">
        <f t="shared" si="151"/>
        <v>6009.3196799999996</v>
      </c>
      <c r="Q99" s="128">
        <v>9.1038999999999994</v>
      </c>
      <c r="R99" s="130">
        <v>4.1048999999999998</v>
      </c>
      <c r="S99" s="128">
        <v>0</v>
      </c>
      <c r="T99" s="128">
        <v>148.39670000000001</v>
      </c>
      <c r="U99" s="128">
        <v>150.09829999999999</v>
      </c>
      <c r="V99" s="49">
        <f t="shared" si="124"/>
        <v>5793.8129989999998</v>
      </c>
      <c r="W99" s="49">
        <f t="shared" si="124"/>
        <v>4890.9473010000002</v>
      </c>
      <c r="X99" s="47">
        <f t="shared" si="124"/>
        <v>0</v>
      </c>
      <c r="Y99" s="47">
        <f t="shared" si="152"/>
        <v>0</v>
      </c>
      <c r="Z99" s="48">
        <f t="shared" si="153"/>
        <v>5793.8129989999998</v>
      </c>
      <c r="AA99" s="48">
        <f t="shared" si="154"/>
        <v>4890.9473010000002</v>
      </c>
      <c r="AB99" s="93">
        <f t="shared" si="155"/>
        <v>5793.8129989999998</v>
      </c>
      <c r="AC99" s="93">
        <f t="shared" si="156"/>
        <v>4890.9473010000002</v>
      </c>
      <c r="AE99" s="128">
        <v>12.160299999999999</v>
      </c>
      <c r="AF99" s="130">
        <v>4.7441000000000004</v>
      </c>
      <c r="AG99" s="128">
        <v>0</v>
      </c>
      <c r="AH99" s="128">
        <v>36.502499999999998</v>
      </c>
      <c r="AI99" s="128">
        <v>30.107500000000002</v>
      </c>
      <c r="AJ99" s="49">
        <f t="shared" si="125"/>
        <v>5594.7108239999998</v>
      </c>
      <c r="AK99" s="49">
        <f t="shared" si="125"/>
        <v>4984.7681930000008</v>
      </c>
      <c r="AL99" s="47">
        <f t="shared" si="125"/>
        <v>0</v>
      </c>
      <c r="AM99" s="47">
        <f t="shared" si="157"/>
        <v>0</v>
      </c>
      <c r="AN99" s="48">
        <f t="shared" si="158"/>
        <v>5594.7108239999998</v>
      </c>
      <c r="AO99" s="48">
        <f t="shared" si="159"/>
        <v>4984.7681930000008</v>
      </c>
      <c r="AP99" s="93">
        <f t="shared" si="160"/>
        <v>5594.7108239999998</v>
      </c>
      <c r="AQ99" s="93">
        <f t="shared" si="161"/>
        <v>4984.7681930000008</v>
      </c>
      <c r="AS99" s="128">
        <v>16.9575</v>
      </c>
      <c r="AT99" s="130">
        <v>6.4930000000000003</v>
      </c>
      <c r="AU99" s="128">
        <v>0</v>
      </c>
      <c r="AV99" s="128">
        <v>664.85749999999996</v>
      </c>
      <c r="AW99" s="128">
        <v>779.1875</v>
      </c>
      <c r="AX99" s="49">
        <f t="shared" si="126"/>
        <v>5945.9777999999997</v>
      </c>
      <c r="AY99" s="49">
        <f t="shared" si="126"/>
        <v>4577.4351400000005</v>
      </c>
      <c r="AZ99" s="47">
        <f t="shared" si="126"/>
        <v>0</v>
      </c>
      <c r="BA99" s="47">
        <f t="shared" si="162"/>
        <v>0</v>
      </c>
      <c r="BB99" s="48">
        <f t="shared" si="163"/>
        <v>5945.9777999999997</v>
      </c>
      <c r="BC99" s="48">
        <f t="shared" si="164"/>
        <v>4577.4351400000005</v>
      </c>
      <c r="BD99" s="93">
        <f t="shared" si="165"/>
        <v>5945.9777999999997</v>
      </c>
      <c r="BE99" s="93">
        <f t="shared" si="166"/>
        <v>4577.4351400000005</v>
      </c>
      <c r="BG99" s="128">
        <v>13.5899</v>
      </c>
      <c r="BH99" s="130">
        <v>5.2698</v>
      </c>
      <c r="BI99" s="128">
        <v>0</v>
      </c>
      <c r="BJ99" s="128">
        <v>545.23329999999999</v>
      </c>
      <c r="BK99" s="128">
        <v>852.95920000000001</v>
      </c>
      <c r="BL99" s="49">
        <f t="shared" si="127"/>
        <v>4463.194958</v>
      </c>
      <c r="BM99" s="49">
        <f t="shared" si="127"/>
        <v>3186.5426639999996</v>
      </c>
      <c r="BN99" s="47">
        <f t="shared" si="127"/>
        <v>0</v>
      </c>
      <c r="BO99" s="47">
        <f t="shared" si="167"/>
        <v>0</v>
      </c>
      <c r="BP99" s="48">
        <f t="shared" si="168"/>
        <v>4463.194958</v>
      </c>
      <c r="BQ99" s="48">
        <f t="shared" si="169"/>
        <v>3186.5426639999996</v>
      </c>
      <c r="BR99" s="93">
        <f t="shared" si="170"/>
        <v>4463.194958</v>
      </c>
      <c r="BS99" s="93">
        <f t="shared" si="171"/>
        <v>3186.5426639999996</v>
      </c>
      <c r="BU99" s="128">
        <v>10.5311</v>
      </c>
      <c r="BV99" s="130">
        <v>4.5777000000000001</v>
      </c>
      <c r="BW99" s="128">
        <v>0</v>
      </c>
      <c r="BX99" s="128">
        <v>437.69499999999999</v>
      </c>
      <c r="BY99" s="128">
        <v>513.41920000000005</v>
      </c>
      <c r="BZ99" s="49">
        <f t="shared" si="128"/>
        <v>2554.8448600000002</v>
      </c>
      <c r="CA99" s="49">
        <f t="shared" si="128"/>
        <v>1849.940124</v>
      </c>
      <c r="CB99" s="47">
        <f t="shared" si="128"/>
        <v>0</v>
      </c>
      <c r="CC99" s="47">
        <f t="shared" si="172"/>
        <v>0</v>
      </c>
      <c r="CD99" s="48">
        <f t="shared" si="173"/>
        <v>2554.8448600000002</v>
      </c>
      <c r="CE99" s="48">
        <f t="shared" si="174"/>
        <v>1849.940124</v>
      </c>
      <c r="CF99" s="93">
        <f t="shared" si="175"/>
        <v>2554.8448600000002</v>
      </c>
      <c r="CG99" s="93">
        <f t="shared" si="176"/>
        <v>1849.940124</v>
      </c>
      <c r="CI99" s="128">
        <v>0.70820000000000005</v>
      </c>
      <c r="CJ99" s="130">
        <v>0.4178</v>
      </c>
      <c r="CK99" s="128">
        <v>0</v>
      </c>
      <c r="CL99" s="128">
        <v>1667.6632999999999</v>
      </c>
      <c r="CM99" s="128">
        <v>2170.5057999999999</v>
      </c>
      <c r="CN99" s="49">
        <f t="shared" si="129"/>
        <v>150.33669600000002</v>
      </c>
      <c r="CO99" s="49">
        <f t="shared" si="129"/>
        <v>115.095544</v>
      </c>
      <c r="CP99" s="47">
        <f t="shared" si="129"/>
        <v>0</v>
      </c>
      <c r="CQ99" s="47">
        <f t="shared" si="177"/>
        <v>0</v>
      </c>
      <c r="CR99" s="48">
        <f t="shared" si="178"/>
        <v>150.33669600000002</v>
      </c>
      <c r="CS99" s="48">
        <f t="shared" si="179"/>
        <v>115.095544</v>
      </c>
      <c r="CT99" s="93">
        <f t="shared" si="180"/>
        <v>150.33669600000002</v>
      </c>
      <c r="CU99" s="93">
        <f t="shared" si="181"/>
        <v>115.095544</v>
      </c>
      <c r="CW99" s="128">
        <v>1.9925999999999999</v>
      </c>
      <c r="CX99" s="130">
        <v>1.1883999999999999</v>
      </c>
      <c r="CY99" s="128">
        <v>1E-4</v>
      </c>
      <c r="CZ99" s="128">
        <v>543.4742</v>
      </c>
      <c r="DA99" s="128">
        <v>613.05420000000004</v>
      </c>
      <c r="DB99" s="49">
        <f t="shared" si="130"/>
        <v>427.83114599999999</v>
      </c>
      <c r="DC99" s="49">
        <f t="shared" si="130"/>
        <v>356.56753600000002</v>
      </c>
      <c r="DD99" s="47">
        <f t="shared" si="130"/>
        <v>2.7000000000000002E-5</v>
      </c>
      <c r="DE99" s="47">
        <f t="shared" si="182"/>
        <v>1.2273507965940209E-5</v>
      </c>
      <c r="DF99" s="48">
        <f t="shared" si="183"/>
        <v>427.83115827350798</v>
      </c>
      <c r="DG99" s="48">
        <f t="shared" si="184"/>
        <v>356.56752127350802</v>
      </c>
      <c r="DH99" s="93">
        <f t="shared" si="185"/>
        <v>427.83114599999999</v>
      </c>
      <c r="DI99" s="93">
        <f t="shared" si="186"/>
        <v>356.56750900000003</v>
      </c>
      <c r="DK99" s="128">
        <v>2.4674999999999998</v>
      </c>
      <c r="DL99" s="130">
        <v>1.3763000000000001</v>
      </c>
      <c r="DM99" s="128">
        <v>0</v>
      </c>
      <c r="DN99" s="128">
        <v>370.03919999999999</v>
      </c>
      <c r="DO99" s="128">
        <v>522.81420000000003</v>
      </c>
      <c r="DP99" s="49">
        <f t="shared" si="131"/>
        <v>326.59829999999999</v>
      </c>
      <c r="DQ99" s="49">
        <f t="shared" si="131"/>
        <v>266.49296900000002</v>
      </c>
      <c r="DR99" s="47">
        <f t="shared" si="131"/>
        <v>0</v>
      </c>
      <c r="DS99" s="47">
        <f t="shared" si="187"/>
        <v>0</v>
      </c>
      <c r="DT99" s="48">
        <f t="shared" si="188"/>
        <v>326.59829999999999</v>
      </c>
      <c r="DU99" s="48">
        <f t="shared" si="189"/>
        <v>266.49296900000002</v>
      </c>
      <c r="DV99" s="93">
        <f t="shared" si="190"/>
        <v>326.59829999999999</v>
      </c>
      <c r="DW99" s="93">
        <f t="shared" si="191"/>
        <v>266.49296900000002</v>
      </c>
      <c r="EB99" s="52"/>
      <c r="EC99" s="52"/>
      <c r="ED99" s="52"/>
      <c r="EE99" s="55">
        <f t="shared" si="192"/>
        <v>3204.3042</v>
      </c>
      <c r="EF99" s="55">
        <f t="shared" si="192"/>
        <v>3968.7075</v>
      </c>
      <c r="EG99" s="55">
        <f t="shared" si="192"/>
        <v>13136.476940799999</v>
      </c>
      <c r="EH99" s="55">
        <f t="shared" si="132"/>
        <v>10987.1043928</v>
      </c>
      <c r="EI99" s="298">
        <f t="shared" si="133"/>
        <v>0.44671671175442251</v>
      </c>
      <c r="EJ99" s="52"/>
      <c r="EK99" s="55">
        <f t="shared" si="193"/>
        <v>13136.476950618806</v>
      </c>
      <c r="EL99" s="55">
        <f t="shared" si="193"/>
        <v>10987.104381018806</v>
      </c>
      <c r="EM99" s="55">
        <f t="shared" si="193"/>
        <v>13136.476940799999</v>
      </c>
      <c r="EN99" s="55">
        <f t="shared" si="193"/>
        <v>10987.104371199999</v>
      </c>
      <c r="EP99" s="52"/>
      <c r="EQ99" s="52"/>
      <c r="ER99" s="52"/>
      <c r="ES99" s="55">
        <f t="shared" si="134"/>
        <v>2904.7674999999999</v>
      </c>
      <c r="ET99" s="55">
        <f t="shared" si="134"/>
        <v>3786.6174999999998</v>
      </c>
      <c r="EU99" s="55">
        <f t="shared" si="134"/>
        <v>10706.8264552</v>
      </c>
      <c r="EV99" s="55">
        <f t="shared" si="134"/>
        <v>8442.1827842000002</v>
      </c>
      <c r="EW99" s="298">
        <f t="shared" si="135"/>
        <v>0.43410557007256345</v>
      </c>
      <c r="EX99" s="52"/>
      <c r="EY99" s="55">
        <f t="shared" si="136"/>
        <v>10706.826463791456</v>
      </c>
      <c r="EZ99" s="55">
        <f t="shared" si="136"/>
        <v>8442.1827738914562</v>
      </c>
      <c r="FA99" s="55">
        <f t="shared" si="136"/>
        <v>10706.8264552</v>
      </c>
      <c r="FB99" s="55">
        <f t="shared" si="136"/>
        <v>8442.1827653</v>
      </c>
      <c r="FD99" s="52"/>
      <c r="FE99" s="52"/>
      <c r="FF99" s="52"/>
      <c r="FG99" s="55">
        <f t="shared" si="137"/>
        <v>2511.9</v>
      </c>
      <c r="FH99" s="55">
        <f t="shared" si="137"/>
        <v>3236.8467000000001</v>
      </c>
      <c r="FI99" s="55">
        <f t="shared" si="137"/>
        <v>8495.8513599999987</v>
      </c>
      <c r="FJ99" s="55">
        <f t="shared" si="137"/>
        <v>7109.6996423999999</v>
      </c>
      <c r="FK99" s="298">
        <f t="shared" si="138"/>
        <v>0.43694741325096131</v>
      </c>
      <c r="FL99" s="52"/>
      <c r="FM99" s="55">
        <f t="shared" si="139"/>
        <v>8495.8513599999987</v>
      </c>
      <c r="FN99" s="55">
        <f t="shared" si="139"/>
        <v>7109.6996423999999</v>
      </c>
      <c r="FO99" s="55">
        <f t="shared" si="139"/>
        <v>8495.8513599999987</v>
      </c>
      <c r="FP99" s="55">
        <f t="shared" si="139"/>
        <v>7109.6996423999999</v>
      </c>
      <c r="FR99" s="52"/>
      <c r="FS99" s="52"/>
      <c r="FT99" s="52"/>
      <c r="FU99" s="55">
        <f t="shared" si="140"/>
        <v>2211.1374999999998</v>
      </c>
      <c r="FV99" s="55">
        <f t="shared" si="140"/>
        <v>2783.56</v>
      </c>
      <c r="FW99" s="55">
        <f t="shared" si="140"/>
        <v>492.60161280000005</v>
      </c>
      <c r="FX99" s="55">
        <f t="shared" si="140"/>
        <v>400.34957280000003</v>
      </c>
      <c r="FY99" s="298">
        <f t="shared" si="141"/>
        <v>0.4426969801474463</v>
      </c>
      <c r="FZ99" s="52"/>
      <c r="GA99" s="55">
        <f t="shared" si="142"/>
        <v>492.6016226188064</v>
      </c>
      <c r="GB99" s="55">
        <f t="shared" si="142"/>
        <v>400.34956101880647</v>
      </c>
      <c r="GC99" s="55">
        <f t="shared" si="142"/>
        <v>492.60161280000005</v>
      </c>
      <c r="GD99" s="55">
        <f t="shared" si="142"/>
        <v>400.34955120000006</v>
      </c>
      <c r="GF99" s="52"/>
      <c r="GG99" s="52"/>
      <c r="GH99" s="52"/>
      <c r="GI99" s="55">
        <f t="shared" si="143"/>
        <v>1102.5525</v>
      </c>
      <c r="GJ99" s="55">
        <f t="shared" si="143"/>
        <v>1292.6067</v>
      </c>
      <c r="GK99" s="56">
        <f t="shared" si="144"/>
        <v>2543.3497049999996</v>
      </c>
      <c r="GL99" s="56">
        <f t="shared" si="144"/>
        <v>2045.6212620000006</v>
      </c>
      <c r="GM99" s="298">
        <f t="shared" si="145"/>
        <v>0.46032535123343782</v>
      </c>
      <c r="GN99" s="52"/>
      <c r="GO99" s="56">
        <f t="shared" si="146"/>
        <v>2543.3497049999996</v>
      </c>
      <c r="GP99" s="56">
        <f t="shared" si="146"/>
        <v>2045.6212620000006</v>
      </c>
      <c r="GQ99" s="56">
        <f t="shared" si="146"/>
        <v>2543.3497049999996</v>
      </c>
      <c r="GR99" s="56">
        <f t="shared" si="146"/>
        <v>2045.6212620000006</v>
      </c>
    </row>
    <row r="100" spans="1:200" x14ac:dyDescent="0.2">
      <c r="A100" s="118">
        <v>90</v>
      </c>
      <c r="C100" s="128">
        <v>6.8052999999999999</v>
      </c>
      <c r="D100" s="128">
        <v>3.2010000000000001</v>
      </c>
      <c r="E100" s="128">
        <v>0</v>
      </c>
      <c r="F100" s="128">
        <v>202.21</v>
      </c>
      <c r="G100" s="128">
        <v>294.74079999999998</v>
      </c>
      <c r="H100" s="49">
        <f t="shared" si="123"/>
        <v>6814.9635259999995</v>
      </c>
      <c r="I100" s="49">
        <f t="shared" si="123"/>
        <v>6074.2175999999999</v>
      </c>
      <c r="J100" s="47">
        <f t="shared" si="123"/>
        <v>0</v>
      </c>
      <c r="K100" s="47">
        <f t="shared" si="147"/>
        <v>0</v>
      </c>
      <c r="L100" s="48">
        <f t="shared" si="148"/>
        <v>6814.9635259999995</v>
      </c>
      <c r="M100" s="48">
        <f t="shared" si="149"/>
        <v>6074.2175999999999</v>
      </c>
      <c r="N100" s="93">
        <f t="shared" si="150"/>
        <v>6814.9635259999995</v>
      </c>
      <c r="O100" s="93">
        <f t="shared" si="151"/>
        <v>6074.2175999999999</v>
      </c>
      <c r="Q100" s="128">
        <v>9.1546000000000003</v>
      </c>
      <c r="R100" s="130">
        <v>4.1401000000000003</v>
      </c>
      <c r="S100" s="128">
        <v>0</v>
      </c>
      <c r="T100" s="128">
        <v>84.759200000000007</v>
      </c>
      <c r="U100" s="128">
        <v>159.32919999999999</v>
      </c>
      <c r="V100" s="49">
        <f t="shared" si="124"/>
        <v>5826.0789859999995</v>
      </c>
      <c r="W100" s="49">
        <f t="shared" si="124"/>
        <v>4932.8877490000004</v>
      </c>
      <c r="X100" s="47">
        <f t="shared" si="124"/>
        <v>0</v>
      </c>
      <c r="Y100" s="47">
        <f t="shared" si="152"/>
        <v>0</v>
      </c>
      <c r="Z100" s="48">
        <f t="shared" si="153"/>
        <v>5826.0789859999995</v>
      </c>
      <c r="AA100" s="48">
        <f t="shared" si="154"/>
        <v>4932.8877490000004</v>
      </c>
      <c r="AB100" s="93">
        <f t="shared" si="155"/>
        <v>5826.0789859999995</v>
      </c>
      <c r="AC100" s="93">
        <f t="shared" si="156"/>
        <v>4932.8877490000004</v>
      </c>
      <c r="AE100" s="128">
        <v>12.377599999999999</v>
      </c>
      <c r="AF100" s="130">
        <v>4.8095999999999997</v>
      </c>
      <c r="AG100" s="128">
        <v>0</v>
      </c>
      <c r="AH100" s="128">
        <v>29.583300000000001</v>
      </c>
      <c r="AI100" s="128">
        <v>31.333300000000001</v>
      </c>
      <c r="AJ100" s="49">
        <f t="shared" si="125"/>
        <v>5694.6862079999992</v>
      </c>
      <c r="AK100" s="49">
        <f t="shared" si="125"/>
        <v>5053.5910079999994</v>
      </c>
      <c r="AL100" s="47">
        <f t="shared" si="125"/>
        <v>0</v>
      </c>
      <c r="AM100" s="47">
        <f t="shared" si="157"/>
        <v>0</v>
      </c>
      <c r="AN100" s="48">
        <f t="shared" si="158"/>
        <v>5694.6862079999992</v>
      </c>
      <c r="AO100" s="48">
        <f t="shared" si="159"/>
        <v>5053.5910079999994</v>
      </c>
      <c r="AP100" s="93">
        <f t="shared" si="160"/>
        <v>5694.6862079999992</v>
      </c>
      <c r="AQ100" s="93">
        <f t="shared" si="161"/>
        <v>5053.5910079999994</v>
      </c>
      <c r="AS100" s="128">
        <v>17.117699999999999</v>
      </c>
      <c r="AT100" s="130">
        <v>6.4930000000000003</v>
      </c>
      <c r="AU100" s="128">
        <v>0</v>
      </c>
      <c r="AV100" s="128">
        <v>460.02670000000001</v>
      </c>
      <c r="AW100" s="128">
        <v>672.64919999999995</v>
      </c>
      <c r="AX100" s="49">
        <f t="shared" si="126"/>
        <v>6002.1503279999997</v>
      </c>
      <c r="AY100" s="49">
        <f t="shared" si="126"/>
        <v>4577.4351400000005</v>
      </c>
      <c r="AZ100" s="47">
        <f t="shared" si="126"/>
        <v>0</v>
      </c>
      <c r="BA100" s="47">
        <f t="shared" si="162"/>
        <v>0</v>
      </c>
      <c r="BB100" s="48">
        <f t="shared" si="163"/>
        <v>6002.1503279999997</v>
      </c>
      <c r="BC100" s="48">
        <f t="shared" si="164"/>
        <v>4577.4351400000005</v>
      </c>
      <c r="BD100" s="93">
        <f t="shared" si="165"/>
        <v>6002.1503279999997</v>
      </c>
      <c r="BE100" s="93">
        <f t="shared" si="166"/>
        <v>4577.4351400000005</v>
      </c>
      <c r="BG100" s="128">
        <v>13.66</v>
      </c>
      <c r="BH100" s="130">
        <v>5.2698</v>
      </c>
      <c r="BI100" s="128">
        <v>0</v>
      </c>
      <c r="BJ100" s="128">
        <v>399.12169999999998</v>
      </c>
      <c r="BK100" s="128">
        <v>750.18079999999998</v>
      </c>
      <c r="BL100" s="49">
        <f t="shared" si="127"/>
        <v>4486.2172</v>
      </c>
      <c r="BM100" s="49">
        <f t="shared" si="127"/>
        <v>3186.5426639999996</v>
      </c>
      <c r="BN100" s="47">
        <f t="shared" si="127"/>
        <v>0</v>
      </c>
      <c r="BO100" s="47">
        <f t="shared" si="167"/>
        <v>0</v>
      </c>
      <c r="BP100" s="48">
        <f t="shared" si="168"/>
        <v>4486.2172</v>
      </c>
      <c r="BQ100" s="48">
        <f t="shared" si="169"/>
        <v>3186.5426639999996</v>
      </c>
      <c r="BR100" s="93">
        <f t="shared" si="170"/>
        <v>4486.2172</v>
      </c>
      <c r="BS100" s="93">
        <f t="shared" si="171"/>
        <v>3186.5426639999996</v>
      </c>
      <c r="BU100" s="128">
        <v>10.5853</v>
      </c>
      <c r="BV100" s="130">
        <v>4.5777000000000001</v>
      </c>
      <c r="BW100" s="128">
        <v>0</v>
      </c>
      <c r="BX100" s="128">
        <v>285.06330000000003</v>
      </c>
      <c r="BY100" s="128">
        <v>459.5292</v>
      </c>
      <c r="BZ100" s="49">
        <f t="shared" si="128"/>
        <v>2567.9937799999998</v>
      </c>
      <c r="CA100" s="49">
        <f t="shared" si="128"/>
        <v>1849.940124</v>
      </c>
      <c r="CB100" s="47">
        <f t="shared" si="128"/>
        <v>0</v>
      </c>
      <c r="CC100" s="47">
        <f t="shared" si="172"/>
        <v>0</v>
      </c>
      <c r="CD100" s="48">
        <f t="shared" si="173"/>
        <v>2567.9937799999998</v>
      </c>
      <c r="CE100" s="48">
        <f t="shared" si="174"/>
        <v>1849.940124</v>
      </c>
      <c r="CF100" s="93">
        <f t="shared" si="175"/>
        <v>2567.9937799999998</v>
      </c>
      <c r="CG100" s="93">
        <f t="shared" si="176"/>
        <v>1849.940124</v>
      </c>
      <c r="CI100" s="128">
        <v>0.66690000000000005</v>
      </c>
      <c r="CJ100" s="130">
        <v>0.3866</v>
      </c>
      <c r="CK100" s="128">
        <v>0</v>
      </c>
      <c r="CL100" s="128">
        <v>1156.375</v>
      </c>
      <c r="CM100" s="128">
        <v>1894.0525</v>
      </c>
      <c r="CN100" s="49">
        <f t="shared" si="129"/>
        <v>141.56953200000001</v>
      </c>
      <c r="CO100" s="49">
        <f t="shared" si="129"/>
        <v>106.500568</v>
      </c>
      <c r="CP100" s="47">
        <f t="shared" si="129"/>
        <v>0</v>
      </c>
      <c r="CQ100" s="47">
        <f t="shared" si="177"/>
        <v>0</v>
      </c>
      <c r="CR100" s="48">
        <f t="shared" si="178"/>
        <v>141.56953200000001</v>
      </c>
      <c r="CS100" s="48">
        <f t="shared" si="179"/>
        <v>106.500568</v>
      </c>
      <c r="CT100" s="93">
        <f t="shared" si="180"/>
        <v>141.56953200000001</v>
      </c>
      <c r="CU100" s="93">
        <f t="shared" si="181"/>
        <v>106.500568</v>
      </c>
      <c r="CW100" s="128">
        <v>1.8835999999999999</v>
      </c>
      <c r="CX100" s="130">
        <v>1.0964</v>
      </c>
      <c r="CY100" s="128">
        <v>1E-4</v>
      </c>
      <c r="CZ100" s="128">
        <v>353.60500000000002</v>
      </c>
      <c r="DA100" s="128">
        <v>546.0883</v>
      </c>
      <c r="DB100" s="49">
        <f t="shared" si="130"/>
        <v>404.42775599999999</v>
      </c>
      <c r="DC100" s="49">
        <f t="shared" si="130"/>
        <v>328.96385600000002</v>
      </c>
      <c r="DD100" s="47">
        <f t="shared" si="130"/>
        <v>2.7000000000000002E-5</v>
      </c>
      <c r="DE100" s="47">
        <f t="shared" si="182"/>
        <v>1.2110888598491363E-5</v>
      </c>
      <c r="DF100" s="48">
        <f t="shared" si="183"/>
        <v>404.42776811088856</v>
      </c>
      <c r="DG100" s="48">
        <f t="shared" si="184"/>
        <v>328.96384111088861</v>
      </c>
      <c r="DH100" s="93">
        <f t="shared" si="185"/>
        <v>404.42775599999999</v>
      </c>
      <c r="DI100" s="93">
        <f t="shared" si="186"/>
        <v>328.96382900000003</v>
      </c>
      <c r="DK100" s="128">
        <v>2.3328000000000002</v>
      </c>
      <c r="DL100" s="130">
        <v>1.2782</v>
      </c>
      <c r="DM100" s="128">
        <v>0</v>
      </c>
      <c r="DN100" s="128">
        <v>280.89670000000001</v>
      </c>
      <c r="DO100" s="128">
        <v>442.7208</v>
      </c>
      <c r="DP100" s="49">
        <f t="shared" si="131"/>
        <v>308.76940800000006</v>
      </c>
      <c r="DQ100" s="49">
        <f t="shared" si="131"/>
        <v>247.49786599999999</v>
      </c>
      <c r="DR100" s="47">
        <f t="shared" si="131"/>
        <v>0</v>
      </c>
      <c r="DS100" s="47">
        <f t="shared" si="187"/>
        <v>0</v>
      </c>
      <c r="DT100" s="48">
        <f t="shared" si="188"/>
        <v>308.76940800000006</v>
      </c>
      <c r="DU100" s="48">
        <f t="shared" si="189"/>
        <v>247.49786599999999</v>
      </c>
      <c r="DV100" s="93">
        <f t="shared" si="190"/>
        <v>308.76940800000006</v>
      </c>
      <c r="DW100" s="93">
        <f t="shared" si="191"/>
        <v>247.49786599999999</v>
      </c>
      <c r="EB100" s="52"/>
      <c r="EC100" s="52"/>
      <c r="ED100" s="52"/>
      <c r="EE100" s="55">
        <f t="shared" si="192"/>
        <v>2172.2166999999999</v>
      </c>
      <c r="EF100" s="55">
        <f t="shared" si="192"/>
        <v>3407.5308</v>
      </c>
      <c r="EG100" s="55">
        <f t="shared" si="192"/>
        <v>13282.225590799999</v>
      </c>
      <c r="EH100" s="55">
        <f t="shared" si="132"/>
        <v>11021.324392800001</v>
      </c>
      <c r="EI100" s="298">
        <f t="shared" si="133"/>
        <v>0.38930376329753275</v>
      </c>
      <c r="EJ100" s="52"/>
      <c r="EK100" s="55">
        <f t="shared" si="193"/>
        <v>13282.225600488709</v>
      </c>
      <c r="EL100" s="55">
        <f t="shared" si="193"/>
        <v>11021.324380888711</v>
      </c>
      <c r="EM100" s="55">
        <f t="shared" si="193"/>
        <v>13282.225590799999</v>
      </c>
      <c r="EN100" s="55">
        <f t="shared" si="193"/>
        <v>11021.3243712</v>
      </c>
      <c r="EP100" s="52"/>
      <c r="EQ100" s="52"/>
      <c r="ER100" s="52"/>
      <c r="ES100" s="55">
        <f t="shared" si="134"/>
        <v>1993.8609000000001</v>
      </c>
      <c r="ET100" s="55">
        <f t="shared" si="134"/>
        <v>3349.6507999999999</v>
      </c>
      <c r="EU100" s="55">
        <f t="shared" si="134"/>
        <v>10736.965147199999</v>
      </c>
      <c r="EV100" s="55">
        <f t="shared" si="134"/>
        <v>8456.2056801999988</v>
      </c>
      <c r="EW100" s="298">
        <f t="shared" si="135"/>
        <v>0.37313680814060912</v>
      </c>
      <c r="EX100" s="52"/>
      <c r="EY100" s="55">
        <f t="shared" si="136"/>
        <v>10736.965155677621</v>
      </c>
      <c r="EZ100" s="55">
        <f t="shared" si="136"/>
        <v>8456.2056697776206</v>
      </c>
      <c r="FA100" s="55">
        <f t="shared" si="136"/>
        <v>10736.965147199999</v>
      </c>
      <c r="FB100" s="55">
        <f t="shared" si="136"/>
        <v>8456.2056612999986</v>
      </c>
      <c r="FD100" s="52"/>
      <c r="FE100" s="52"/>
      <c r="FF100" s="52"/>
      <c r="FG100" s="55">
        <f t="shared" si="137"/>
        <v>1751.9183</v>
      </c>
      <c r="FH100" s="55">
        <f t="shared" si="137"/>
        <v>2827.6358</v>
      </c>
      <c r="FI100" s="55">
        <f t="shared" si="137"/>
        <v>8589.5111648000002</v>
      </c>
      <c r="FJ100" s="55">
        <f t="shared" si="137"/>
        <v>7158.5304195999997</v>
      </c>
      <c r="FK100" s="298">
        <f t="shared" si="138"/>
        <v>0.3825521572067464</v>
      </c>
      <c r="FL100" s="52"/>
      <c r="FM100" s="55">
        <f t="shared" si="139"/>
        <v>8589.5111648000002</v>
      </c>
      <c r="FN100" s="55">
        <f t="shared" si="139"/>
        <v>7158.5304195999997</v>
      </c>
      <c r="FO100" s="55">
        <f t="shared" si="139"/>
        <v>8589.5111648000002</v>
      </c>
      <c r="FP100" s="55">
        <f t="shared" si="139"/>
        <v>7158.5304195999997</v>
      </c>
      <c r="FR100" s="52"/>
      <c r="FS100" s="52"/>
      <c r="FT100" s="52"/>
      <c r="FU100" s="55">
        <f t="shared" si="140"/>
        <v>1509.98</v>
      </c>
      <c r="FV100" s="55">
        <f t="shared" si="140"/>
        <v>2440.1408000000001</v>
      </c>
      <c r="FW100" s="55">
        <f t="shared" si="140"/>
        <v>465.11173680000002</v>
      </c>
      <c r="FX100" s="55">
        <f t="shared" si="140"/>
        <v>369.6716528</v>
      </c>
      <c r="FY100" s="298">
        <f t="shared" si="141"/>
        <v>0.38226172728692248</v>
      </c>
      <c r="FZ100" s="52"/>
      <c r="GA100" s="55">
        <f t="shared" si="142"/>
        <v>465.11174648871088</v>
      </c>
      <c r="GB100" s="55">
        <f t="shared" si="142"/>
        <v>369.6716408887109</v>
      </c>
      <c r="GC100" s="55">
        <f t="shared" si="142"/>
        <v>465.11173680000002</v>
      </c>
      <c r="GD100" s="55">
        <f t="shared" si="142"/>
        <v>369.67163120000004</v>
      </c>
      <c r="GF100" s="52"/>
      <c r="GG100" s="52"/>
      <c r="GH100" s="52"/>
      <c r="GI100" s="55">
        <f t="shared" si="143"/>
        <v>745.09</v>
      </c>
      <c r="GJ100" s="55">
        <f t="shared" si="143"/>
        <v>1132.1784</v>
      </c>
      <c r="GK100" s="56">
        <f t="shared" si="144"/>
        <v>2575.6174110000002</v>
      </c>
      <c r="GL100" s="56">
        <f t="shared" si="144"/>
        <v>2045.6212620000006</v>
      </c>
      <c r="GM100" s="298">
        <f t="shared" si="145"/>
        <v>0.39690115702155326</v>
      </c>
      <c r="GN100" s="52"/>
      <c r="GO100" s="56">
        <f t="shared" si="146"/>
        <v>2575.6174110000002</v>
      </c>
      <c r="GP100" s="56">
        <f t="shared" si="146"/>
        <v>2045.6212620000006</v>
      </c>
      <c r="GQ100" s="56">
        <f t="shared" si="146"/>
        <v>2575.6174110000002</v>
      </c>
      <c r="GR100" s="56">
        <f t="shared" si="146"/>
        <v>2045.6212620000006</v>
      </c>
    </row>
    <row r="101" spans="1:200" x14ac:dyDescent="0.2">
      <c r="A101" s="118">
        <v>91</v>
      </c>
      <c r="C101" s="128">
        <v>6.9215</v>
      </c>
      <c r="D101" s="128">
        <v>3.2339000000000002</v>
      </c>
      <c r="E101" s="128">
        <v>0</v>
      </c>
      <c r="F101" s="128">
        <v>170.73920000000001</v>
      </c>
      <c r="G101" s="128">
        <v>277.8383</v>
      </c>
      <c r="H101" s="49">
        <f t="shared" si="123"/>
        <v>6931.3285299999998</v>
      </c>
      <c r="I101" s="49">
        <f t="shared" si="123"/>
        <v>6136.6486400000003</v>
      </c>
      <c r="J101" s="47">
        <f t="shared" si="123"/>
        <v>0</v>
      </c>
      <c r="K101" s="47">
        <f t="shared" si="147"/>
        <v>0</v>
      </c>
      <c r="L101" s="48">
        <f t="shared" si="148"/>
        <v>6931.3285299999998</v>
      </c>
      <c r="M101" s="48">
        <f t="shared" si="149"/>
        <v>6136.6486400000003</v>
      </c>
      <c r="N101" s="93">
        <f t="shared" si="150"/>
        <v>6931.3285299999998</v>
      </c>
      <c r="O101" s="93">
        <f t="shared" si="151"/>
        <v>6136.6486400000003</v>
      </c>
      <c r="Q101" s="128">
        <v>9.2001000000000008</v>
      </c>
      <c r="R101" s="130">
        <v>4.1738</v>
      </c>
      <c r="S101" s="128">
        <v>0</v>
      </c>
      <c r="T101" s="128">
        <v>55.806699999999999</v>
      </c>
      <c r="U101" s="128">
        <v>107.16419999999999</v>
      </c>
      <c r="V101" s="49">
        <f t="shared" si="124"/>
        <v>5855.0356410000004</v>
      </c>
      <c r="W101" s="49">
        <f t="shared" si="124"/>
        <v>4973.040962</v>
      </c>
      <c r="X101" s="47">
        <f t="shared" si="124"/>
        <v>0</v>
      </c>
      <c r="Y101" s="47">
        <f t="shared" si="152"/>
        <v>0</v>
      </c>
      <c r="Z101" s="48">
        <f t="shared" si="153"/>
        <v>5855.0356410000004</v>
      </c>
      <c r="AA101" s="48">
        <f t="shared" si="154"/>
        <v>4973.040962</v>
      </c>
      <c r="AB101" s="93">
        <f t="shared" si="155"/>
        <v>5855.0356410000004</v>
      </c>
      <c r="AC101" s="93">
        <f t="shared" si="156"/>
        <v>4973.040962</v>
      </c>
      <c r="AE101" s="128">
        <v>12.580500000000001</v>
      </c>
      <c r="AF101" s="130">
        <v>4.8658000000000001</v>
      </c>
      <c r="AG101" s="128">
        <v>0</v>
      </c>
      <c r="AH101" s="128">
        <v>14.9542</v>
      </c>
      <c r="AI101" s="128">
        <v>23.866700000000002</v>
      </c>
      <c r="AJ101" s="49">
        <f t="shared" si="125"/>
        <v>5788.0364399999999</v>
      </c>
      <c r="AK101" s="49">
        <f t="shared" si="125"/>
        <v>5112.6420340000004</v>
      </c>
      <c r="AL101" s="47">
        <f t="shared" si="125"/>
        <v>0</v>
      </c>
      <c r="AM101" s="47">
        <f t="shared" si="157"/>
        <v>0</v>
      </c>
      <c r="AN101" s="48">
        <f t="shared" si="158"/>
        <v>5788.0364399999999</v>
      </c>
      <c r="AO101" s="48">
        <f t="shared" si="159"/>
        <v>5112.6420340000004</v>
      </c>
      <c r="AP101" s="93">
        <f t="shared" si="160"/>
        <v>5788.0364399999999</v>
      </c>
      <c r="AQ101" s="93">
        <f t="shared" si="161"/>
        <v>5112.6420340000004</v>
      </c>
      <c r="AS101" s="128">
        <v>17.262</v>
      </c>
      <c r="AT101" s="130">
        <v>6.4930000000000003</v>
      </c>
      <c r="AU101" s="128">
        <v>0</v>
      </c>
      <c r="AV101" s="128">
        <v>356.14170000000001</v>
      </c>
      <c r="AW101" s="128">
        <v>581.56830000000002</v>
      </c>
      <c r="AX101" s="49">
        <f t="shared" si="126"/>
        <v>6052.7476799999995</v>
      </c>
      <c r="AY101" s="49">
        <f t="shared" si="126"/>
        <v>4577.4351400000005</v>
      </c>
      <c r="AZ101" s="47">
        <f t="shared" si="126"/>
        <v>0</v>
      </c>
      <c r="BA101" s="47">
        <f t="shared" si="162"/>
        <v>0</v>
      </c>
      <c r="BB101" s="48">
        <f t="shared" si="163"/>
        <v>6052.7476799999995</v>
      </c>
      <c r="BC101" s="48">
        <f t="shared" si="164"/>
        <v>4577.4351400000005</v>
      </c>
      <c r="BD101" s="93">
        <f t="shared" si="165"/>
        <v>6052.7476799999995</v>
      </c>
      <c r="BE101" s="93">
        <f t="shared" si="166"/>
        <v>4577.4351400000005</v>
      </c>
      <c r="BG101" s="128">
        <v>13.714</v>
      </c>
      <c r="BH101" s="130">
        <v>5.2698</v>
      </c>
      <c r="BI101" s="128">
        <v>0</v>
      </c>
      <c r="BJ101" s="128">
        <v>306.72579999999999</v>
      </c>
      <c r="BK101" s="128">
        <v>628.05920000000003</v>
      </c>
      <c r="BL101" s="49">
        <f t="shared" si="127"/>
        <v>4503.9518800000005</v>
      </c>
      <c r="BM101" s="49">
        <f t="shared" si="127"/>
        <v>3186.5426639999996</v>
      </c>
      <c r="BN101" s="47">
        <f t="shared" si="127"/>
        <v>0</v>
      </c>
      <c r="BO101" s="47">
        <f t="shared" si="167"/>
        <v>0</v>
      </c>
      <c r="BP101" s="48">
        <f t="shared" si="168"/>
        <v>4503.9518800000005</v>
      </c>
      <c r="BQ101" s="48">
        <f t="shared" si="169"/>
        <v>3186.5426639999996</v>
      </c>
      <c r="BR101" s="93">
        <f t="shared" si="170"/>
        <v>4503.9518800000005</v>
      </c>
      <c r="BS101" s="93">
        <f t="shared" si="171"/>
        <v>3186.5426639999996</v>
      </c>
      <c r="BU101" s="128">
        <v>10.6312</v>
      </c>
      <c r="BV101" s="130">
        <v>4.5777000000000001</v>
      </c>
      <c r="BW101" s="128">
        <v>0</v>
      </c>
      <c r="BX101" s="128">
        <v>267.5308</v>
      </c>
      <c r="BY101" s="128">
        <v>426.07670000000002</v>
      </c>
      <c r="BZ101" s="49">
        <f t="shared" si="128"/>
        <v>2579.1291200000001</v>
      </c>
      <c r="CA101" s="49">
        <f t="shared" si="128"/>
        <v>1849.940124</v>
      </c>
      <c r="CB101" s="47">
        <f t="shared" si="128"/>
        <v>0</v>
      </c>
      <c r="CC101" s="47">
        <f t="shared" si="172"/>
        <v>0</v>
      </c>
      <c r="CD101" s="48">
        <f t="shared" si="173"/>
        <v>2579.1291200000001</v>
      </c>
      <c r="CE101" s="48">
        <f t="shared" si="174"/>
        <v>1849.940124</v>
      </c>
      <c r="CF101" s="93">
        <f t="shared" si="175"/>
        <v>2579.1291200000001</v>
      </c>
      <c r="CG101" s="93">
        <f t="shared" si="176"/>
        <v>1849.940124</v>
      </c>
      <c r="CI101" s="128">
        <v>0.62890000000000001</v>
      </c>
      <c r="CJ101" s="130">
        <v>0.3569</v>
      </c>
      <c r="CK101" s="128">
        <v>0</v>
      </c>
      <c r="CL101" s="128">
        <v>937.23080000000004</v>
      </c>
      <c r="CM101" s="128">
        <v>1658.0450000000001</v>
      </c>
      <c r="CN101" s="49">
        <f t="shared" si="129"/>
        <v>133.502892</v>
      </c>
      <c r="CO101" s="49">
        <f t="shared" si="129"/>
        <v>98.318812000000008</v>
      </c>
      <c r="CP101" s="47">
        <f t="shared" si="129"/>
        <v>0</v>
      </c>
      <c r="CQ101" s="47">
        <f t="shared" si="177"/>
        <v>0</v>
      </c>
      <c r="CR101" s="48">
        <f t="shared" si="178"/>
        <v>133.502892</v>
      </c>
      <c r="CS101" s="48">
        <f t="shared" si="179"/>
        <v>98.318812000000008</v>
      </c>
      <c r="CT101" s="93">
        <f t="shared" si="180"/>
        <v>133.502892</v>
      </c>
      <c r="CU101" s="93">
        <f t="shared" si="181"/>
        <v>98.318812000000008</v>
      </c>
      <c r="CW101" s="128">
        <v>1.7718</v>
      </c>
      <c r="CX101" s="130">
        <v>1.0039</v>
      </c>
      <c r="CY101" s="128">
        <v>1E-4</v>
      </c>
      <c r="CZ101" s="128">
        <v>249.47669999999999</v>
      </c>
      <c r="DA101" s="128">
        <v>464.00080000000003</v>
      </c>
      <c r="DB101" s="49">
        <f t="shared" si="130"/>
        <v>380.42317800000001</v>
      </c>
      <c r="DC101" s="49">
        <f t="shared" si="130"/>
        <v>301.21015600000004</v>
      </c>
      <c r="DD101" s="47">
        <f t="shared" si="130"/>
        <v>2.7000000000000002E-5</v>
      </c>
      <c r="DE101" s="47">
        <f t="shared" si="182"/>
        <v>1.1931156835120391E-5</v>
      </c>
      <c r="DF101" s="48">
        <f t="shared" si="183"/>
        <v>380.42318993115686</v>
      </c>
      <c r="DG101" s="48">
        <f t="shared" si="184"/>
        <v>301.2101409311569</v>
      </c>
      <c r="DH101" s="93">
        <f t="shared" si="185"/>
        <v>380.42317800000001</v>
      </c>
      <c r="DI101" s="93">
        <f t="shared" si="186"/>
        <v>301.21012900000005</v>
      </c>
      <c r="DK101" s="128">
        <v>2.2222</v>
      </c>
      <c r="DL101" s="130">
        <v>1.1822999999999999</v>
      </c>
      <c r="DM101" s="128">
        <v>0</v>
      </c>
      <c r="DN101" s="128">
        <v>252.60579999999999</v>
      </c>
      <c r="DO101" s="128">
        <v>418.9067</v>
      </c>
      <c r="DP101" s="49">
        <f t="shared" si="131"/>
        <v>294.13039200000003</v>
      </c>
      <c r="DQ101" s="49">
        <f t="shared" si="131"/>
        <v>228.92874899999998</v>
      </c>
      <c r="DR101" s="47">
        <f t="shared" si="131"/>
        <v>0</v>
      </c>
      <c r="DS101" s="47">
        <f t="shared" si="187"/>
        <v>0</v>
      </c>
      <c r="DT101" s="48">
        <f t="shared" si="188"/>
        <v>294.13039200000003</v>
      </c>
      <c r="DU101" s="48">
        <f t="shared" si="189"/>
        <v>228.92874899999998</v>
      </c>
      <c r="DV101" s="93">
        <f t="shared" si="190"/>
        <v>294.13039200000003</v>
      </c>
      <c r="DW101" s="93">
        <f t="shared" si="191"/>
        <v>228.92874899999998</v>
      </c>
      <c r="EB101" s="52"/>
      <c r="EC101" s="52"/>
      <c r="ED101" s="52"/>
      <c r="EE101" s="55">
        <f t="shared" si="192"/>
        <v>1713.5883999999999</v>
      </c>
      <c r="EF101" s="55">
        <f t="shared" si="192"/>
        <v>2981.4524000000001</v>
      </c>
      <c r="EG101" s="55">
        <f t="shared" si="192"/>
        <v>13421.9176444</v>
      </c>
      <c r="EH101" s="55">
        <f t="shared" si="132"/>
        <v>11053.3707168</v>
      </c>
      <c r="EI101" s="298">
        <f t="shared" si="133"/>
        <v>0.36497838314844888</v>
      </c>
      <c r="EJ101" s="52"/>
      <c r="EK101" s="55">
        <f t="shared" si="193"/>
        <v>13421.917653944925</v>
      </c>
      <c r="EL101" s="55">
        <f t="shared" si="193"/>
        <v>11053.370704744926</v>
      </c>
      <c r="EM101" s="55">
        <f t="shared" si="193"/>
        <v>13421.9176444</v>
      </c>
      <c r="EN101" s="55">
        <f t="shared" si="193"/>
        <v>11053.370695200001</v>
      </c>
      <c r="EP101" s="52"/>
      <c r="EQ101" s="52"/>
      <c r="ER101" s="52"/>
      <c r="ES101" s="55">
        <f t="shared" si="134"/>
        <v>1549.24</v>
      </c>
      <c r="ET101" s="55">
        <f t="shared" si="134"/>
        <v>2857.2691999999997</v>
      </c>
      <c r="EU101" s="55">
        <f t="shared" si="134"/>
        <v>10758.786637600002</v>
      </c>
      <c r="EV101" s="55">
        <f t="shared" si="134"/>
        <v>8468.7495471999991</v>
      </c>
      <c r="EW101" s="298">
        <f t="shared" si="135"/>
        <v>0.35157988550211133</v>
      </c>
      <c r="EX101" s="52"/>
      <c r="EY101" s="55">
        <f t="shared" si="136"/>
        <v>10758.786645951812</v>
      </c>
      <c r="EZ101" s="55">
        <f t="shared" si="136"/>
        <v>8468.7495366518087</v>
      </c>
      <c r="FA101" s="55">
        <f t="shared" si="136"/>
        <v>10758.786637600002</v>
      </c>
      <c r="FB101" s="55">
        <f t="shared" si="136"/>
        <v>8468.7495282999989</v>
      </c>
      <c r="FD101" s="52"/>
      <c r="FE101" s="52"/>
      <c r="FF101" s="52"/>
      <c r="FG101" s="55">
        <f t="shared" si="137"/>
        <v>1472.3216</v>
      </c>
      <c r="FH101" s="55">
        <f t="shared" si="137"/>
        <v>2526.8951000000002</v>
      </c>
      <c r="FI101" s="55">
        <f t="shared" si="137"/>
        <v>8677.1466872000001</v>
      </c>
      <c r="FJ101" s="55">
        <f t="shared" si="137"/>
        <v>7198.2582194000006</v>
      </c>
      <c r="FK101" s="298">
        <f t="shared" si="138"/>
        <v>0.36815249346203222</v>
      </c>
      <c r="FL101" s="52"/>
      <c r="FM101" s="55">
        <f t="shared" si="139"/>
        <v>8677.1466872000001</v>
      </c>
      <c r="FN101" s="55">
        <f t="shared" si="139"/>
        <v>7198.2582194000006</v>
      </c>
      <c r="FO101" s="55">
        <f t="shared" si="139"/>
        <v>8677.1466872000001</v>
      </c>
      <c r="FP101" s="55">
        <f t="shared" si="139"/>
        <v>7198.2582194000006</v>
      </c>
      <c r="FR101" s="52"/>
      <c r="FS101" s="52"/>
      <c r="FT101" s="52"/>
      <c r="FU101" s="55">
        <f t="shared" si="140"/>
        <v>1186.7075</v>
      </c>
      <c r="FV101" s="55">
        <f t="shared" si="140"/>
        <v>2122.0457999999999</v>
      </c>
      <c r="FW101" s="55">
        <f t="shared" si="140"/>
        <v>437.84143440000003</v>
      </c>
      <c r="FX101" s="55">
        <f t="shared" si="140"/>
        <v>339.28693680000003</v>
      </c>
      <c r="FY101" s="298">
        <f t="shared" si="141"/>
        <v>0.35865699023254471</v>
      </c>
      <c r="FZ101" s="52"/>
      <c r="GA101" s="55">
        <f t="shared" si="142"/>
        <v>437.84144394492546</v>
      </c>
      <c r="GB101" s="55">
        <f t="shared" si="142"/>
        <v>339.2869247449255</v>
      </c>
      <c r="GC101" s="55">
        <f t="shared" si="142"/>
        <v>437.84143440000003</v>
      </c>
      <c r="GD101" s="55">
        <f t="shared" si="142"/>
        <v>339.28691520000007</v>
      </c>
      <c r="GF101" s="52"/>
      <c r="GG101" s="52"/>
      <c r="GH101" s="52"/>
      <c r="GI101" s="55">
        <f t="shared" si="143"/>
        <v>623.67250000000001</v>
      </c>
      <c r="GJ101" s="55">
        <f t="shared" si="143"/>
        <v>1007.645</v>
      </c>
      <c r="GK101" s="56">
        <f t="shared" si="144"/>
        <v>2605.2139199999997</v>
      </c>
      <c r="GL101" s="56">
        <f t="shared" si="144"/>
        <v>2045.6212620000006</v>
      </c>
      <c r="GM101" s="298">
        <f t="shared" si="145"/>
        <v>0.38231214953557474</v>
      </c>
      <c r="GN101" s="52"/>
      <c r="GO101" s="56">
        <f t="shared" si="146"/>
        <v>2605.2139199999997</v>
      </c>
      <c r="GP101" s="56">
        <f t="shared" si="146"/>
        <v>2045.6212620000006</v>
      </c>
      <c r="GQ101" s="56">
        <f t="shared" si="146"/>
        <v>2605.2139199999997</v>
      </c>
      <c r="GR101" s="56">
        <f t="shared" si="146"/>
        <v>2045.6212620000006</v>
      </c>
    </row>
    <row r="102" spans="1:200" x14ac:dyDescent="0.2">
      <c r="A102" s="118">
        <v>92</v>
      </c>
      <c r="C102" s="128">
        <v>7.0373000000000001</v>
      </c>
      <c r="D102" s="128">
        <v>3.2656999999999998</v>
      </c>
      <c r="E102" s="128">
        <v>0</v>
      </c>
      <c r="F102" s="128">
        <v>142.2842</v>
      </c>
      <c r="G102" s="128">
        <v>234.11080000000001</v>
      </c>
      <c r="H102" s="49">
        <f t="shared" si="123"/>
        <v>7047.292966</v>
      </c>
      <c r="I102" s="49">
        <f t="shared" si="123"/>
        <v>6196.9923199999994</v>
      </c>
      <c r="J102" s="47">
        <f t="shared" si="123"/>
        <v>0</v>
      </c>
      <c r="K102" s="47">
        <f t="shared" si="147"/>
        <v>0</v>
      </c>
      <c r="L102" s="48">
        <f t="shared" si="148"/>
        <v>7047.292966</v>
      </c>
      <c r="M102" s="48">
        <f t="shared" si="149"/>
        <v>6196.9923199999994</v>
      </c>
      <c r="N102" s="93">
        <f t="shared" si="150"/>
        <v>7047.292966</v>
      </c>
      <c r="O102" s="93">
        <f t="shared" si="151"/>
        <v>6196.9923199999994</v>
      </c>
      <c r="Q102" s="128">
        <v>9.2424999999999997</v>
      </c>
      <c r="R102" s="130">
        <v>4.2061999999999999</v>
      </c>
      <c r="S102" s="128">
        <v>0</v>
      </c>
      <c r="T102" s="128">
        <v>62.783299999999997</v>
      </c>
      <c r="U102" s="128">
        <v>88.643299999999996</v>
      </c>
      <c r="V102" s="49">
        <f t="shared" si="124"/>
        <v>5882.0194249999995</v>
      </c>
      <c r="W102" s="49">
        <f t="shared" si="124"/>
        <v>5011.6452380000001</v>
      </c>
      <c r="X102" s="47">
        <f t="shared" si="124"/>
        <v>0</v>
      </c>
      <c r="Y102" s="47">
        <f t="shared" si="152"/>
        <v>0</v>
      </c>
      <c r="Z102" s="48">
        <f t="shared" si="153"/>
        <v>5882.0194249999995</v>
      </c>
      <c r="AA102" s="48">
        <f t="shared" si="154"/>
        <v>5011.6452380000001</v>
      </c>
      <c r="AB102" s="93">
        <f t="shared" si="155"/>
        <v>5882.0194249999995</v>
      </c>
      <c r="AC102" s="93">
        <f t="shared" si="156"/>
        <v>5011.6452380000001</v>
      </c>
      <c r="AE102" s="128">
        <v>12.7715</v>
      </c>
      <c r="AF102" s="130">
        <v>4.9134000000000002</v>
      </c>
      <c r="AG102" s="128">
        <v>0</v>
      </c>
      <c r="AH102" s="128">
        <v>14.583299999999999</v>
      </c>
      <c r="AI102" s="128">
        <v>17.456700000000001</v>
      </c>
      <c r="AJ102" s="49">
        <f t="shared" si="125"/>
        <v>5875.9117200000001</v>
      </c>
      <c r="AK102" s="49">
        <f t="shared" si="125"/>
        <v>5162.656782</v>
      </c>
      <c r="AL102" s="47">
        <f t="shared" si="125"/>
        <v>0</v>
      </c>
      <c r="AM102" s="47">
        <f t="shared" si="157"/>
        <v>0</v>
      </c>
      <c r="AN102" s="48">
        <f t="shared" si="158"/>
        <v>5875.9117200000001</v>
      </c>
      <c r="AO102" s="48">
        <f t="shared" si="159"/>
        <v>5162.656782</v>
      </c>
      <c r="AP102" s="93">
        <f t="shared" si="160"/>
        <v>5875.9117200000001</v>
      </c>
      <c r="AQ102" s="93">
        <f t="shared" si="161"/>
        <v>5162.656782</v>
      </c>
      <c r="AS102" s="128">
        <v>17.392299999999999</v>
      </c>
      <c r="AT102" s="130">
        <v>6.4930000000000003</v>
      </c>
      <c r="AU102" s="128">
        <v>0</v>
      </c>
      <c r="AV102" s="128">
        <v>284.1825</v>
      </c>
      <c r="AW102" s="128">
        <v>511.95170000000002</v>
      </c>
      <c r="AX102" s="49">
        <f t="shared" si="126"/>
        <v>6098.4360719999995</v>
      </c>
      <c r="AY102" s="49">
        <f t="shared" si="126"/>
        <v>4577.4351400000005</v>
      </c>
      <c r="AZ102" s="47">
        <f t="shared" si="126"/>
        <v>0</v>
      </c>
      <c r="BA102" s="47">
        <f t="shared" si="162"/>
        <v>0</v>
      </c>
      <c r="BB102" s="48">
        <f t="shared" si="163"/>
        <v>6098.4360719999995</v>
      </c>
      <c r="BC102" s="48">
        <f t="shared" si="164"/>
        <v>4577.4351400000005</v>
      </c>
      <c r="BD102" s="93">
        <f t="shared" si="165"/>
        <v>6098.4360719999995</v>
      </c>
      <c r="BE102" s="93">
        <f t="shared" si="166"/>
        <v>4577.4351400000005</v>
      </c>
      <c r="BG102" s="128">
        <v>13.7563</v>
      </c>
      <c r="BH102" s="130">
        <v>5.2698</v>
      </c>
      <c r="BI102" s="128">
        <v>0</v>
      </c>
      <c r="BJ102" s="128">
        <v>262.86669999999998</v>
      </c>
      <c r="BK102" s="128">
        <v>485.46499999999997</v>
      </c>
      <c r="BL102" s="49">
        <f t="shared" si="127"/>
        <v>4517.8440460000002</v>
      </c>
      <c r="BM102" s="49">
        <f t="shared" si="127"/>
        <v>3186.5426639999996</v>
      </c>
      <c r="BN102" s="47">
        <f t="shared" si="127"/>
        <v>0</v>
      </c>
      <c r="BO102" s="47">
        <f t="shared" si="167"/>
        <v>0</v>
      </c>
      <c r="BP102" s="48">
        <f t="shared" si="168"/>
        <v>4517.8440460000002</v>
      </c>
      <c r="BQ102" s="48">
        <f t="shared" si="169"/>
        <v>3186.5426639999996</v>
      </c>
      <c r="BR102" s="93">
        <f t="shared" si="170"/>
        <v>4517.8440460000002</v>
      </c>
      <c r="BS102" s="93">
        <f t="shared" si="171"/>
        <v>3186.5426639999996</v>
      </c>
      <c r="BU102" s="128">
        <v>10.6717</v>
      </c>
      <c r="BV102" s="130">
        <v>4.5777000000000001</v>
      </c>
      <c r="BW102" s="128">
        <v>0</v>
      </c>
      <c r="BX102" s="128">
        <v>212.22919999999999</v>
      </c>
      <c r="BY102" s="128">
        <v>318.54329999999999</v>
      </c>
      <c r="BZ102" s="49">
        <f t="shared" si="128"/>
        <v>2588.95442</v>
      </c>
      <c r="CA102" s="49">
        <f t="shared" si="128"/>
        <v>1849.940124</v>
      </c>
      <c r="CB102" s="47">
        <f t="shared" si="128"/>
        <v>0</v>
      </c>
      <c r="CC102" s="47">
        <f t="shared" si="172"/>
        <v>0</v>
      </c>
      <c r="CD102" s="48">
        <f t="shared" si="173"/>
        <v>2588.95442</v>
      </c>
      <c r="CE102" s="48">
        <f t="shared" si="174"/>
        <v>1849.940124</v>
      </c>
      <c r="CF102" s="93">
        <f t="shared" si="175"/>
        <v>2588.95442</v>
      </c>
      <c r="CG102" s="93">
        <f t="shared" si="176"/>
        <v>1849.940124</v>
      </c>
      <c r="CI102" s="128">
        <v>0.59409999999999996</v>
      </c>
      <c r="CJ102" s="130">
        <v>0.32869999999999999</v>
      </c>
      <c r="CK102" s="128">
        <v>0</v>
      </c>
      <c r="CL102" s="128">
        <v>771.67420000000004</v>
      </c>
      <c r="CM102" s="128">
        <v>1331.2874999999999</v>
      </c>
      <c r="CN102" s="49">
        <f t="shared" si="129"/>
        <v>126.11554799999999</v>
      </c>
      <c r="CO102" s="49">
        <f t="shared" si="129"/>
        <v>90.550276000000011</v>
      </c>
      <c r="CP102" s="47">
        <f t="shared" si="129"/>
        <v>0</v>
      </c>
      <c r="CQ102" s="47">
        <f t="shared" si="177"/>
        <v>0</v>
      </c>
      <c r="CR102" s="48">
        <f t="shared" si="178"/>
        <v>126.11554799999999</v>
      </c>
      <c r="CS102" s="48">
        <f t="shared" si="179"/>
        <v>90.550276000000011</v>
      </c>
      <c r="CT102" s="93">
        <f t="shared" si="180"/>
        <v>126.11554799999999</v>
      </c>
      <c r="CU102" s="93">
        <f t="shared" si="181"/>
        <v>90.550276000000011</v>
      </c>
      <c r="CW102" s="128">
        <v>1.6577999999999999</v>
      </c>
      <c r="CX102" s="130">
        <v>0.9113</v>
      </c>
      <c r="CY102" s="128">
        <v>1E-4</v>
      </c>
      <c r="CZ102" s="128">
        <v>227.8417</v>
      </c>
      <c r="DA102" s="128">
        <v>338.14670000000001</v>
      </c>
      <c r="DB102" s="49">
        <f t="shared" si="130"/>
        <v>355.94623799999999</v>
      </c>
      <c r="DC102" s="49">
        <f t="shared" si="130"/>
        <v>273.42645200000004</v>
      </c>
      <c r="DD102" s="47">
        <f t="shared" si="130"/>
        <v>2.7000000000000002E-5</v>
      </c>
      <c r="DE102" s="47">
        <f t="shared" si="182"/>
        <v>1.1729956385619467E-5</v>
      </c>
      <c r="DF102" s="48">
        <f t="shared" si="183"/>
        <v>355.94624972995638</v>
      </c>
      <c r="DG102" s="48">
        <f t="shared" si="184"/>
        <v>273.42643672995644</v>
      </c>
      <c r="DH102" s="93">
        <f t="shared" si="185"/>
        <v>355.94623799999999</v>
      </c>
      <c r="DI102" s="93">
        <f t="shared" si="186"/>
        <v>273.42642500000005</v>
      </c>
      <c r="DK102" s="128">
        <v>2.0935999999999999</v>
      </c>
      <c r="DL102" s="130">
        <v>1.0883</v>
      </c>
      <c r="DM102" s="128">
        <v>0</v>
      </c>
      <c r="DN102" s="128">
        <v>196.52170000000001</v>
      </c>
      <c r="DO102" s="128">
        <v>368.32499999999999</v>
      </c>
      <c r="DP102" s="49">
        <f t="shared" si="131"/>
        <v>277.10889600000002</v>
      </c>
      <c r="DQ102" s="49">
        <f t="shared" si="131"/>
        <v>210.727529</v>
      </c>
      <c r="DR102" s="47">
        <f t="shared" si="131"/>
        <v>0</v>
      </c>
      <c r="DS102" s="47">
        <f t="shared" si="187"/>
        <v>0</v>
      </c>
      <c r="DT102" s="48">
        <f t="shared" si="188"/>
        <v>277.10889600000002</v>
      </c>
      <c r="DU102" s="48">
        <f t="shared" si="189"/>
        <v>210.727529</v>
      </c>
      <c r="DV102" s="93">
        <f t="shared" si="190"/>
        <v>277.10889600000002</v>
      </c>
      <c r="DW102" s="93">
        <f t="shared" si="191"/>
        <v>210.727529</v>
      </c>
      <c r="EB102" s="52"/>
      <c r="EC102" s="52"/>
      <c r="ED102" s="52"/>
      <c r="EE102" s="55">
        <f t="shared" si="192"/>
        <v>1425.9826</v>
      </c>
      <c r="EF102" s="55">
        <f t="shared" si="192"/>
        <v>2415.4966999999997</v>
      </c>
      <c r="EG102" s="55">
        <f t="shared" si="192"/>
        <v>13556.601576399999</v>
      </c>
      <c r="EH102" s="55">
        <f t="shared" si="132"/>
        <v>11083.7188976</v>
      </c>
      <c r="EI102" s="298">
        <f t="shared" si="133"/>
        <v>0.37120663386107533</v>
      </c>
      <c r="EJ102" s="52"/>
      <c r="EK102" s="55">
        <f t="shared" si="193"/>
        <v>13556.601585783965</v>
      </c>
      <c r="EL102" s="55">
        <f t="shared" si="193"/>
        <v>11083.718885383963</v>
      </c>
      <c r="EM102" s="55">
        <f t="shared" si="193"/>
        <v>13556.601576399999</v>
      </c>
      <c r="EN102" s="55">
        <f t="shared" si="193"/>
        <v>11083.718875999999</v>
      </c>
      <c r="EP102" s="52"/>
      <c r="EQ102" s="52"/>
      <c r="ER102" s="52"/>
      <c r="ES102" s="55">
        <f t="shared" si="134"/>
        <v>1325.1659</v>
      </c>
      <c r="ET102" s="55">
        <f t="shared" si="134"/>
        <v>2243.5424999999996</v>
      </c>
      <c r="EU102" s="55">
        <f t="shared" si="134"/>
        <v>10775.1413856</v>
      </c>
      <c r="EV102" s="55">
        <f t="shared" si="134"/>
        <v>8480.1366944000001</v>
      </c>
      <c r="EW102" s="298">
        <f t="shared" si="135"/>
        <v>0.37132927419903516</v>
      </c>
      <c r="EX102" s="52"/>
      <c r="EY102" s="55">
        <f t="shared" si="136"/>
        <v>10775.141393810969</v>
      </c>
      <c r="EZ102" s="55">
        <f t="shared" si="136"/>
        <v>8480.136683710969</v>
      </c>
      <c r="FA102" s="55">
        <f t="shared" si="136"/>
        <v>10775.1413856</v>
      </c>
      <c r="FB102" s="55">
        <f t="shared" si="136"/>
        <v>8480.1366754999999</v>
      </c>
      <c r="FD102" s="52"/>
      <c r="FE102" s="52"/>
      <c r="FF102" s="52"/>
      <c r="FG102" s="55">
        <f t="shared" si="137"/>
        <v>1195.0084000000002</v>
      </c>
      <c r="FH102" s="55">
        <f t="shared" si="137"/>
        <v>2035.6125</v>
      </c>
      <c r="FI102" s="55">
        <f t="shared" si="137"/>
        <v>8757.2470255999997</v>
      </c>
      <c r="FJ102" s="55">
        <f t="shared" si="137"/>
        <v>7229.5836994000001</v>
      </c>
      <c r="FK102" s="298">
        <f t="shared" si="138"/>
        <v>0.36990053521909683</v>
      </c>
      <c r="FL102" s="52"/>
      <c r="FM102" s="55">
        <f t="shared" si="139"/>
        <v>8757.2470255999997</v>
      </c>
      <c r="FN102" s="55">
        <f t="shared" si="139"/>
        <v>7229.5836994000001</v>
      </c>
      <c r="FO102" s="55">
        <f t="shared" si="139"/>
        <v>8757.2470255999997</v>
      </c>
      <c r="FP102" s="55">
        <f t="shared" si="139"/>
        <v>7229.5836994000001</v>
      </c>
      <c r="FR102" s="52"/>
      <c r="FS102" s="52"/>
      <c r="FT102" s="52"/>
      <c r="FU102" s="55">
        <f t="shared" si="140"/>
        <v>999.5159000000001</v>
      </c>
      <c r="FV102" s="55">
        <f t="shared" si="140"/>
        <v>1669.4341999999999</v>
      </c>
      <c r="FW102" s="55">
        <f t="shared" si="140"/>
        <v>410.8725384</v>
      </c>
      <c r="FX102" s="55">
        <f t="shared" si="140"/>
        <v>309.29143760000005</v>
      </c>
      <c r="FY102" s="298">
        <f t="shared" si="141"/>
        <v>0.37449778472815964</v>
      </c>
      <c r="FZ102" s="52"/>
      <c r="GA102" s="55">
        <f t="shared" si="142"/>
        <v>410.8725477839651</v>
      </c>
      <c r="GB102" s="55">
        <f t="shared" si="142"/>
        <v>309.29142538396519</v>
      </c>
      <c r="GC102" s="55">
        <f t="shared" si="142"/>
        <v>410.8725384</v>
      </c>
      <c r="GD102" s="55">
        <f t="shared" si="142"/>
        <v>309.29141600000008</v>
      </c>
      <c r="GF102" s="52"/>
      <c r="GG102" s="52"/>
      <c r="GH102" s="52"/>
      <c r="GI102" s="55">
        <f t="shared" si="143"/>
        <v>496.4117</v>
      </c>
      <c r="GJ102" s="55">
        <f t="shared" si="143"/>
        <v>830.495</v>
      </c>
      <c r="GK102" s="56">
        <f t="shared" si="144"/>
        <v>2632.1112389999998</v>
      </c>
      <c r="GL102" s="56">
        <f t="shared" si="144"/>
        <v>2045.6212620000006</v>
      </c>
      <c r="GM102" s="298">
        <f t="shared" si="145"/>
        <v>0.37411198541690988</v>
      </c>
      <c r="GN102" s="52"/>
      <c r="GO102" s="56">
        <f t="shared" si="146"/>
        <v>2632.1112389999998</v>
      </c>
      <c r="GP102" s="56">
        <f t="shared" si="146"/>
        <v>2045.6212620000006</v>
      </c>
      <c r="GQ102" s="56">
        <f t="shared" si="146"/>
        <v>2632.1112389999998</v>
      </c>
      <c r="GR102" s="56">
        <f t="shared" si="146"/>
        <v>2045.6212620000006</v>
      </c>
    </row>
    <row r="103" spans="1:200" x14ac:dyDescent="0.2">
      <c r="A103" s="118">
        <v>93</v>
      </c>
      <c r="C103" s="128">
        <v>7.1528</v>
      </c>
      <c r="D103" s="128">
        <v>3.2967</v>
      </c>
      <c r="E103" s="128">
        <v>0</v>
      </c>
      <c r="F103" s="128">
        <v>94.758300000000006</v>
      </c>
      <c r="G103" s="128">
        <v>213.1925</v>
      </c>
      <c r="H103" s="49">
        <f t="shared" si="123"/>
        <v>7162.9569759999995</v>
      </c>
      <c r="I103" s="49">
        <f t="shared" si="123"/>
        <v>6255.8179199999995</v>
      </c>
      <c r="J103" s="47">
        <f t="shared" si="123"/>
        <v>0</v>
      </c>
      <c r="K103" s="47">
        <f t="shared" si="147"/>
        <v>0</v>
      </c>
      <c r="L103" s="48">
        <f t="shared" si="148"/>
        <v>7162.9569759999995</v>
      </c>
      <c r="M103" s="48">
        <f t="shared" si="149"/>
        <v>6255.8179199999995</v>
      </c>
      <c r="N103" s="93">
        <f t="shared" si="150"/>
        <v>7162.9569759999995</v>
      </c>
      <c r="O103" s="93">
        <f t="shared" si="151"/>
        <v>6255.8179199999995</v>
      </c>
      <c r="Q103" s="128">
        <v>9.2832000000000008</v>
      </c>
      <c r="R103" s="130">
        <v>4.2374999999999998</v>
      </c>
      <c r="S103" s="128">
        <v>0</v>
      </c>
      <c r="T103" s="128">
        <v>45.8733</v>
      </c>
      <c r="U103" s="128">
        <v>82.825000000000003</v>
      </c>
      <c r="V103" s="49">
        <f t="shared" si="124"/>
        <v>5907.9213120000004</v>
      </c>
      <c r="W103" s="49">
        <f t="shared" si="124"/>
        <v>5048.9388749999998</v>
      </c>
      <c r="X103" s="47">
        <f t="shared" si="124"/>
        <v>0</v>
      </c>
      <c r="Y103" s="47">
        <f t="shared" si="152"/>
        <v>0</v>
      </c>
      <c r="Z103" s="48">
        <f t="shared" si="153"/>
        <v>5907.9213120000004</v>
      </c>
      <c r="AA103" s="48">
        <f t="shared" si="154"/>
        <v>5048.9388749999998</v>
      </c>
      <c r="AB103" s="93">
        <f t="shared" si="155"/>
        <v>5907.9213120000004</v>
      </c>
      <c r="AC103" s="93">
        <f t="shared" si="156"/>
        <v>5048.9388749999998</v>
      </c>
      <c r="AE103" s="128">
        <v>12.952199999999999</v>
      </c>
      <c r="AF103" s="130">
        <v>4.9538000000000002</v>
      </c>
      <c r="AG103" s="128">
        <v>0</v>
      </c>
      <c r="AH103" s="128">
        <v>15.8042</v>
      </c>
      <c r="AI103" s="128">
        <v>18.083300000000001</v>
      </c>
      <c r="AJ103" s="49">
        <f t="shared" si="125"/>
        <v>5959.0481759999993</v>
      </c>
      <c r="AK103" s="49">
        <f t="shared" si="125"/>
        <v>5205.1062740000007</v>
      </c>
      <c r="AL103" s="47">
        <f t="shared" si="125"/>
        <v>0</v>
      </c>
      <c r="AM103" s="47">
        <f t="shared" si="157"/>
        <v>0</v>
      </c>
      <c r="AN103" s="48">
        <f t="shared" si="158"/>
        <v>5959.0481759999993</v>
      </c>
      <c r="AO103" s="48">
        <f t="shared" si="159"/>
        <v>5205.1062740000007</v>
      </c>
      <c r="AP103" s="93">
        <f t="shared" si="160"/>
        <v>5959.0481759999993</v>
      </c>
      <c r="AQ103" s="93">
        <f t="shared" si="161"/>
        <v>5205.1062740000007</v>
      </c>
      <c r="AS103" s="128">
        <v>17.513100000000001</v>
      </c>
      <c r="AT103" s="130">
        <v>6.4930000000000003</v>
      </c>
      <c r="AU103" s="128">
        <v>0</v>
      </c>
      <c r="AV103" s="128">
        <v>210.39670000000001</v>
      </c>
      <c r="AW103" s="128">
        <v>411.14670000000001</v>
      </c>
      <c r="AX103" s="49">
        <f t="shared" si="126"/>
        <v>6140.7933840000005</v>
      </c>
      <c r="AY103" s="49">
        <f t="shared" si="126"/>
        <v>4577.4351400000005</v>
      </c>
      <c r="AZ103" s="47">
        <f t="shared" si="126"/>
        <v>0</v>
      </c>
      <c r="BA103" s="47">
        <f t="shared" si="162"/>
        <v>0</v>
      </c>
      <c r="BB103" s="48">
        <f t="shared" si="163"/>
        <v>6140.7933840000005</v>
      </c>
      <c r="BC103" s="48">
        <f t="shared" si="164"/>
        <v>4577.4351400000005</v>
      </c>
      <c r="BD103" s="93">
        <f t="shared" si="165"/>
        <v>6140.7933840000005</v>
      </c>
      <c r="BE103" s="93">
        <f t="shared" si="166"/>
        <v>4577.4351400000005</v>
      </c>
      <c r="BG103" s="128">
        <v>13.7904</v>
      </c>
      <c r="BH103" s="130">
        <v>5.2698</v>
      </c>
      <c r="BI103" s="128">
        <v>0</v>
      </c>
      <c r="BJ103" s="128">
        <v>205.36920000000001</v>
      </c>
      <c r="BK103" s="128">
        <v>453.7817</v>
      </c>
      <c r="BL103" s="49">
        <f t="shared" si="127"/>
        <v>4529.0431680000002</v>
      </c>
      <c r="BM103" s="49">
        <f t="shared" si="127"/>
        <v>3186.5426639999996</v>
      </c>
      <c r="BN103" s="47">
        <f t="shared" si="127"/>
        <v>0</v>
      </c>
      <c r="BO103" s="47">
        <f t="shared" si="167"/>
        <v>0</v>
      </c>
      <c r="BP103" s="48">
        <f t="shared" si="168"/>
        <v>4529.0431680000002</v>
      </c>
      <c r="BQ103" s="48">
        <f t="shared" si="169"/>
        <v>3186.5426639999996</v>
      </c>
      <c r="BR103" s="93">
        <f t="shared" si="170"/>
        <v>4529.0431680000002</v>
      </c>
      <c r="BS103" s="93">
        <f t="shared" si="171"/>
        <v>3186.5426639999996</v>
      </c>
      <c r="BU103" s="128">
        <v>10.7089</v>
      </c>
      <c r="BV103" s="130">
        <v>4.5777000000000001</v>
      </c>
      <c r="BW103" s="128">
        <v>0</v>
      </c>
      <c r="BX103" s="128">
        <v>164.05250000000001</v>
      </c>
      <c r="BY103" s="128">
        <v>270.48</v>
      </c>
      <c r="BZ103" s="49">
        <f t="shared" si="128"/>
        <v>2597.9791399999999</v>
      </c>
      <c r="CA103" s="49">
        <f t="shared" si="128"/>
        <v>1849.940124</v>
      </c>
      <c r="CB103" s="47">
        <f t="shared" si="128"/>
        <v>0</v>
      </c>
      <c r="CC103" s="47">
        <f t="shared" si="172"/>
        <v>0</v>
      </c>
      <c r="CD103" s="48">
        <f t="shared" si="173"/>
        <v>2597.9791399999999</v>
      </c>
      <c r="CE103" s="48">
        <f t="shared" si="174"/>
        <v>1849.940124</v>
      </c>
      <c r="CF103" s="93">
        <f t="shared" si="175"/>
        <v>2597.9791399999999</v>
      </c>
      <c r="CG103" s="93">
        <f t="shared" si="176"/>
        <v>1849.940124</v>
      </c>
      <c r="CI103" s="128">
        <v>0.5625</v>
      </c>
      <c r="CJ103" s="130">
        <v>0.3019</v>
      </c>
      <c r="CK103" s="128">
        <v>0</v>
      </c>
      <c r="CL103" s="128">
        <v>586.23500000000001</v>
      </c>
      <c r="CM103" s="128">
        <v>1149.825</v>
      </c>
      <c r="CN103" s="49">
        <f t="shared" si="129"/>
        <v>119.4075</v>
      </c>
      <c r="CO103" s="49">
        <f t="shared" si="129"/>
        <v>83.167412000000013</v>
      </c>
      <c r="CP103" s="47">
        <f t="shared" si="129"/>
        <v>0</v>
      </c>
      <c r="CQ103" s="47">
        <f t="shared" si="177"/>
        <v>0</v>
      </c>
      <c r="CR103" s="48">
        <f t="shared" si="178"/>
        <v>119.4075</v>
      </c>
      <c r="CS103" s="48">
        <f t="shared" si="179"/>
        <v>83.167412000000013</v>
      </c>
      <c r="CT103" s="93">
        <f t="shared" si="180"/>
        <v>119.4075</v>
      </c>
      <c r="CU103" s="93">
        <f t="shared" si="181"/>
        <v>83.167412000000013</v>
      </c>
      <c r="CW103" s="128">
        <v>1.5422</v>
      </c>
      <c r="CX103" s="130">
        <v>0.81910000000000005</v>
      </c>
      <c r="CY103" s="128">
        <v>1E-4</v>
      </c>
      <c r="CZ103" s="128">
        <v>154.39580000000001</v>
      </c>
      <c r="DA103" s="128">
        <v>302.68669999999997</v>
      </c>
      <c r="DB103" s="49">
        <f t="shared" si="130"/>
        <v>331.12576200000001</v>
      </c>
      <c r="DC103" s="49">
        <f t="shared" si="130"/>
        <v>245.76276400000003</v>
      </c>
      <c r="DD103" s="47">
        <f t="shared" si="130"/>
        <v>2.7000000000000002E-5</v>
      </c>
      <c r="DE103" s="47">
        <f t="shared" si="182"/>
        <v>1.150238621317284E-5</v>
      </c>
      <c r="DF103" s="48">
        <f t="shared" si="183"/>
        <v>331.12577350238621</v>
      </c>
      <c r="DG103" s="48">
        <f t="shared" si="184"/>
        <v>245.76274850238624</v>
      </c>
      <c r="DH103" s="93">
        <f t="shared" si="185"/>
        <v>331.12576200000001</v>
      </c>
      <c r="DI103" s="93">
        <f t="shared" si="186"/>
        <v>245.76273700000004</v>
      </c>
      <c r="DK103" s="128">
        <v>1.9636</v>
      </c>
      <c r="DL103" s="130">
        <v>0.99580000000000002</v>
      </c>
      <c r="DM103" s="128">
        <v>0</v>
      </c>
      <c r="DN103" s="128">
        <v>172.6925</v>
      </c>
      <c r="DO103" s="128">
        <v>279.69080000000002</v>
      </c>
      <c r="DP103" s="49">
        <f t="shared" si="131"/>
        <v>259.90209600000003</v>
      </c>
      <c r="DQ103" s="49">
        <f t="shared" si="131"/>
        <v>192.816754</v>
      </c>
      <c r="DR103" s="47">
        <f t="shared" si="131"/>
        <v>0</v>
      </c>
      <c r="DS103" s="47">
        <f t="shared" si="187"/>
        <v>0</v>
      </c>
      <c r="DT103" s="48">
        <f t="shared" si="188"/>
        <v>259.90209600000003</v>
      </c>
      <c r="DU103" s="48">
        <f t="shared" si="189"/>
        <v>192.816754</v>
      </c>
      <c r="DV103" s="93">
        <f t="shared" si="190"/>
        <v>259.90209600000003</v>
      </c>
      <c r="DW103" s="93">
        <f t="shared" si="191"/>
        <v>192.816754</v>
      </c>
      <c r="EB103" s="52"/>
      <c r="EC103" s="52"/>
      <c r="ED103" s="52"/>
      <c r="EE103" s="55">
        <f t="shared" si="192"/>
        <v>1045.7858000000001</v>
      </c>
      <c r="EF103" s="55">
        <f t="shared" si="192"/>
        <v>2076.8509000000004</v>
      </c>
      <c r="EG103" s="55">
        <f t="shared" si="192"/>
        <v>13688.058469599999</v>
      </c>
      <c r="EH103" s="55">
        <f t="shared" si="132"/>
        <v>11113.030683200001</v>
      </c>
      <c r="EI103" s="298">
        <f t="shared" si="133"/>
        <v>0.3349047297112725</v>
      </c>
      <c r="EJ103" s="52"/>
      <c r="EK103" s="55">
        <f t="shared" si="193"/>
        <v>13688.058478801908</v>
      </c>
      <c r="EL103" s="55">
        <f t="shared" si="193"/>
        <v>11113.030670801909</v>
      </c>
      <c r="EM103" s="55">
        <f t="shared" si="193"/>
        <v>13688.058469599999</v>
      </c>
      <c r="EN103" s="55">
        <f t="shared" si="193"/>
        <v>11113.0306616</v>
      </c>
      <c r="EP103" s="52"/>
      <c r="EQ103" s="52"/>
      <c r="ER103" s="52"/>
      <c r="ES103" s="55">
        <f t="shared" si="134"/>
        <v>991.87329999999997</v>
      </c>
      <c r="ET103" s="55">
        <f t="shared" si="134"/>
        <v>1989.1184000000001</v>
      </c>
      <c r="EU103" s="55">
        <f t="shared" si="134"/>
        <v>10788.1600134</v>
      </c>
      <c r="EV103" s="55">
        <f t="shared" si="134"/>
        <v>8490.6828858000008</v>
      </c>
      <c r="EW103" s="298">
        <f t="shared" si="135"/>
        <v>0.33273266074508023</v>
      </c>
      <c r="EX103" s="52"/>
      <c r="EY103" s="55">
        <f t="shared" si="136"/>
        <v>10788.160021451669</v>
      </c>
      <c r="EZ103" s="55">
        <f t="shared" si="136"/>
        <v>8490.6828749516717</v>
      </c>
      <c r="FA103" s="55">
        <f t="shared" si="136"/>
        <v>10788.1600134</v>
      </c>
      <c r="FB103" s="55">
        <f t="shared" si="136"/>
        <v>8490.6828669000006</v>
      </c>
      <c r="FD103" s="52"/>
      <c r="FE103" s="52"/>
      <c r="FF103" s="52"/>
      <c r="FG103" s="55">
        <f t="shared" si="137"/>
        <v>938.78420000000006</v>
      </c>
      <c r="FH103" s="55">
        <f t="shared" si="137"/>
        <v>1718.0791000000002</v>
      </c>
      <c r="FI103" s="55">
        <f t="shared" si="137"/>
        <v>8832.3760735999986</v>
      </c>
      <c r="FJ103" s="55">
        <f t="shared" si="137"/>
        <v>7253.9038624000004</v>
      </c>
      <c r="FK103" s="298">
        <f t="shared" si="138"/>
        <v>0.35334305682945755</v>
      </c>
      <c r="FL103" s="52"/>
      <c r="FM103" s="55">
        <f t="shared" si="139"/>
        <v>8832.3760735999986</v>
      </c>
      <c r="FN103" s="55">
        <f t="shared" si="139"/>
        <v>7253.9038624000004</v>
      </c>
      <c r="FO103" s="55">
        <f t="shared" si="139"/>
        <v>8832.3760735999986</v>
      </c>
      <c r="FP103" s="55">
        <f t="shared" si="139"/>
        <v>7253.9038624000004</v>
      </c>
      <c r="FR103" s="52"/>
      <c r="FS103" s="52"/>
      <c r="FT103" s="52"/>
      <c r="FU103" s="55">
        <f t="shared" si="140"/>
        <v>740.63080000000002</v>
      </c>
      <c r="FV103" s="55">
        <f t="shared" si="140"/>
        <v>1452.5117</v>
      </c>
      <c r="FW103" s="55">
        <f t="shared" si="140"/>
        <v>384.30810959999997</v>
      </c>
      <c r="FX103" s="55">
        <f t="shared" si="140"/>
        <v>279.77762320000005</v>
      </c>
      <c r="FY103" s="298">
        <f t="shared" si="141"/>
        <v>0.33770299923511582</v>
      </c>
      <c r="FZ103" s="52"/>
      <c r="GA103" s="55">
        <f t="shared" si="142"/>
        <v>384.30811880190902</v>
      </c>
      <c r="GB103" s="55">
        <f t="shared" si="142"/>
        <v>279.77761080190902</v>
      </c>
      <c r="GC103" s="55">
        <f t="shared" si="142"/>
        <v>384.30810959999997</v>
      </c>
      <c r="GD103" s="55">
        <f t="shared" si="142"/>
        <v>279.77760160000003</v>
      </c>
      <c r="GF103" s="52"/>
      <c r="GG103" s="52"/>
      <c r="GH103" s="52"/>
      <c r="GI103" s="55">
        <f t="shared" si="143"/>
        <v>374.44920000000002</v>
      </c>
      <c r="GJ103" s="55">
        <f t="shared" si="143"/>
        <v>681.62670000000003</v>
      </c>
      <c r="GK103" s="56">
        <f t="shared" si="144"/>
        <v>2657.1106830000003</v>
      </c>
      <c r="GL103" s="56">
        <f t="shared" si="144"/>
        <v>2045.6212620000006</v>
      </c>
      <c r="GM103" s="298">
        <f t="shared" si="145"/>
        <v>0.35456656098297479</v>
      </c>
      <c r="GN103" s="52"/>
      <c r="GO103" s="56">
        <f t="shared" si="146"/>
        <v>2657.1106830000003</v>
      </c>
      <c r="GP103" s="56">
        <f t="shared" si="146"/>
        <v>2045.6212620000006</v>
      </c>
      <c r="GQ103" s="56">
        <f t="shared" si="146"/>
        <v>2657.1106830000003</v>
      </c>
      <c r="GR103" s="56">
        <f t="shared" si="146"/>
        <v>2045.6212620000006</v>
      </c>
    </row>
    <row r="104" spans="1:200" x14ac:dyDescent="0.2">
      <c r="A104" s="118">
        <v>94</v>
      </c>
      <c r="C104" s="128">
        <v>7.2682000000000002</v>
      </c>
      <c r="D104" s="128">
        <v>3.3271000000000002</v>
      </c>
      <c r="E104" s="128">
        <v>0</v>
      </c>
      <c r="F104" s="128">
        <v>65.449200000000005</v>
      </c>
      <c r="G104" s="128">
        <v>164.0575</v>
      </c>
      <c r="H104" s="49">
        <f t="shared" si="123"/>
        <v>7278.5208439999997</v>
      </c>
      <c r="I104" s="49">
        <f t="shared" si="123"/>
        <v>6313.5049600000002</v>
      </c>
      <c r="J104" s="47">
        <f t="shared" si="123"/>
        <v>0</v>
      </c>
      <c r="K104" s="47">
        <f t="shared" si="147"/>
        <v>0</v>
      </c>
      <c r="L104" s="48">
        <f t="shared" si="148"/>
        <v>7278.5208439999997</v>
      </c>
      <c r="M104" s="48">
        <f t="shared" si="149"/>
        <v>6313.5049600000002</v>
      </c>
      <c r="N104" s="93">
        <f t="shared" si="150"/>
        <v>7278.5208439999997</v>
      </c>
      <c r="O104" s="93">
        <f t="shared" si="151"/>
        <v>6313.5049600000002</v>
      </c>
      <c r="Q104" s="128">
        <v>9.3231999999999999</v>
      </c>
      <c r="R104" s="130">
        <v>4.2678000000000003</v>
      </c>
      <c r="S104" s="128">
        <v>0</v>
      </c>
      <c r="T104" s="128">
        <v>31.403300000000002</v>
      </c>
      <c r="U104" s="128">
        <v>65.972499999999997</v>
      </c>
      <c r="V104" s="49">
        <f t="shared" si="124"/>
        <v>5933.3777119999995</v>
      </c>
      <c r="W104" s="49">
        <f t="shared" si="124"/>
        <v>5085.0410220000003</v>
      </c>
      <c r="X104" s="47">
        <f t="shared" si="124"/>
        <v>0</v>
      </c>
      <c r="Y104" s="47">
        <f t="shared" si="152"/>
        <v>0</v>
      </c>
      <c r="Z104" s="48">
        <f t="shared" si="153"/>
        <v>5933.3777119999995</v>
      </c>
      <c r="AA104" s="48">
        <f t="shared" si="154"/>
        <v>5085.0410220000003</v>
      </c>
      <c r="AB104" s="93">
        <f t="shared" si="155"/>
        <v>5933.3777119999995</v>
      </c>
      <c r="AC104" s="93">
        <f t="shared" si="156"/>
        <v>5085.0410220000003</v>
      </c>
      <c r="AE104" s="128">
        <v>13.1251</v>
      </c>
      <c r="AF104" s="130">
        <v>4.9889999999999999</v>
      </c>
      <c r="AG104" s="128">
        <v>0</v>
      </c>
      <c r="AH104" s="128">
        <v>10.0367</v>
      </c>
      <c r="AI104" s="128">
        <v>12.666700000000001</v>
      </c>
      <c r="AJ104" s="49">
        <f t="shared" si="125"/>
        <v>6038.5960079999995</v>
      </c>
      <c r="AK104" s="49">
        <f t="shared" si="125"/>
        <v>5242.0919700000004</v>
      </c>
      <c r="AL104" s="47">
        <f t="shared" si="125"/>
        <v>0</v>
      </c>
      <c r="AM104" s="47">
        <f t="shared" si="157"/>
        <v>0</v>
      </c>
      <c r="AN104" s="48">
        <f t="shared" si="158"/>
        <v>6038.5960079999995</v>
      </c>
      <c r="AO104" s="48">
        <f t="shared" si="159"/>
        <v>5242.0919700000004</v>
      </c>
      <c r="AP104" s="93">
        <f t="shared" si="160"/>
        <v>6038.5960079999995</v>
      </c>
      <c r="AQ104" s="93">
        <f t="shared" si="161"/>
        <v>5242.0919700000004</v>
      </c>
      <c r="AS104" s="128">
        <v>17.626300000000001</v>
      </c>
      <c r="AT104" s="130">
        <v>6.4930000000000003</v>
      </c>
      <c r="AU104" s="128">
        <v>0</v>
      </c>
      <c r="AV104" s="128">
        <v>162.91749999999999</v>
      </c>
      <c r="AW104" s="128">
        <v>322.86329999999998</v>
      </c>
      <c r="AX104" s="49">
        <f t="shared" si="126"/>
        <v>6180.4858320000003</v>
      </c>
      <c r="AY104" s="49">
        <f t="shared" si="126"/>
        <v>4577.4351400000005</v>
      </c>
      <c r="AZ104" s="47">
        <f t="shared" si="126"/>
        <v>0</v>
      </c>
      <c r="BA104" s="47">
        <f t="shared" si="162"/>
        <v>0</v>
      </c>
      <c r="BB104" s="48">
        <f t="shared" si="163"/>
        <v>6180.4858320000003</v>
      </c>
      <c r="BC104" s="48">
        <f t="shared" si="164"/>
        <v>4577.4351400000005</v>
      </c>
      <c r="BD104" s="93">
        <f t="shared" si="165"/>
        <v>6180.4858320000003</v>
      </c>
      <c r="BE104" s="93">
        <f t="shared" si="166"/>
        <v>4577.4351400000005</v>
      </c>
      <c r="BG104" s="128">
        <v>13.819100000000001</v>
      </c>
      <c r="BH104" s="130">
        <v>5.2698</v>
      </c>
      <c r="BI104" s="128">
        <v>0</v>
      </c>
      <c r="BJ104" s="128">
        <v>135.3125</v>
      </c>
      <c r="BK104" s="128">
        <v>361.64420000000001</v>
      </c>
      <c r="BL104" s="49">
        <f t="shared" si="127"/>
        <v>4538.4688220000007</v>
      </c>
      <c r="BM104" s="49">
        <f t="shared" si="127"/>
        <v>3186.5426639999996</v>
      </c>
      <c r="BN104" s="47">
        <f t="shared" si="127"/>
        <v>0</v>
      </c>
      <c r="BO104" s="47">
        <f t="shared" si="167"/>
        <v>0</v>
      </c>
      <c r="BP104" s="48">
        <f t="shared" si="168"/>
        <v>4538.4688220000007</v>
      </c>
      <c r="BQ104" s="48">
        <f t="shared" si="169"/>
        <v>3186.5426639999996</v>
      </c>
      <c r="BR104" s="93">
        <f t="shared" si="170"/>
        <v>4538.4688220000007</v>
      </c>
      <c r="BS104" s="93">
        <f t="shared" si="171"/>
        <v>3186.5426639999996</v>
      </c>
      <c r="BU104" s="128">
        <v>10.744199999999999</v>
      </c>
      <c r="BV104" s="130">
        <v>4.5777000000000001</v>
      </c>
      <c r="BW104" s="128">
        <v>0</v>
      </c>
      <c r="BX104" s="128">
        <v>132.69669999999999</v>
      </c>
      <c r="BY104" s="128">
        <v>213.85169999999999</v>
      </c>
      <c r="BZ104" s="49">
        <f t="shared" si="128"/>
        <v>2606.5429199999999</v>
      </c>
      <c r="CA104" s="49">
        <f t="shared" si="128"/>
        <v>1849.940124</v>
      </c>
      <c r="CB104" s="47">
        <f t="shared" si="128"/>
        <v>0</v>
      </c>
      <c r="CC104" s="47">
        <f t="shared" si="172"/>
        <v>0</v>
      </c>
      <c r="CD104" s="48">
        <f t="shared" si="173"/>
        <v>2606.5429199999999</v>
      </c>
      <c r="CE104" s="48">
        <f t="shared" si="174"/>
        <v>1849.940124</v>
      </c>
      <c r="CF104" s="93">
        <f t="shared" si="175"/>
        <v>2606.5429199999999</v>
      </c>
      <c r="CG104" s="93">
        <f t="shared" si="176"/>
        <v>1849.940124</v>
      </c>
      <c r="CI104" s="128">
        <v>0.53420000000000001</v>
      </c>
      <c r="CJ104" s="130">
        <v>0.27639999999999998</v>
      </c>
      <c r="CK104" s="128">
        <v>0</v>
      </c>
      <c r="CL104" s="128">
        <v>435.26</v>
      </c>
      <c r="CM104" s="128">
        <v>905.4425</v>
      </c>
      <c r="CN104" s="49">
        <f t="shared" si="129"/>
        <v>113.39997600000001</v>
      </c>
      <c r="CO104" s="49">
        <f t="shared" si="129"/>
        <v>76.142672000000005</v>
      </c>
      <c r="CP104" s="47">
        <f t="shared" si="129"/>
        <v>0</v>
      </c>
      <c r="CQ104" s="47">
        <f t="shared" si="177"/>
        <v>0</v>
      </c>
      <c r="CR104" s="48">
        <f t="shared" si="178"/>
        <v>113.39997600000001</v>
      </c>
      <c r="CS104" s="48">
        <f t="shared" si="179"/>
        <v>76.142672000000005</v>
      </c>
      <c r="CT104" s="93">
        <f t="shared" si="180"/>
        <v>113.39997600000001</v>
      </c>
      <c r="CU104" s="93">
        <f t="shared" si="181"/>
        <v>76.142672000000005</v>
      </c>
      <c r="CW104" s="128">
        <v>1.4256</v>
      </c>
      <c r="CX104" s="130">
        <v>0.72770000000000001</v>
      </c>
      <c r="CY104" s="128">
        <v>1E-4</v>
      </c>
      <c r="CZ104" s="128">
        <v>137.91999999999999</v>
      </c>
      <c r="DA104" s="128">
        <v>199.08750000000001</v>
      </c>
      <c r="DB104" s="49">
        <f t="shared" si="130"/>
        <v>306.090576</v>
      </c>
      <c r="DC104" s="49">
        <f t="shared" si="130"/>
        <v>218.33910800000001</v>
      </c>
      <c r="DD104" s="47">
        <f t="shared" si="130"/>
        <v>2.7000000000000002E-5</v>
      </c>
      <c r="DE104" s="47">
        <f t="shared" si="182"/>
        <v>1.1241079778390274E-5</v>
      </c>
      <c r="DF104" s="48">
        <f t="shared" si="183"/>
        <v>306.09058724107979</v>
      </c>
      <c r="DG104" s="48">
        <f t="shared" si="184"/>
        <v>218.33909224107981</v>
      </c>
      <c r="DH104" s="93">
        <f t="shared" si="185"/>
        <v>306.090576</v>
      </c>
      <c r="DI104" s="93">
        <f t="shared" si="186"/>
        <v>218.33908100000002</v>
      </c>
      <c r="DK104" s="128">
        <v>1.8327</v>
      </c>
      <c r="DL104" s="130">
        <v>0.90429999999999999</v>
      </c>
      <c r="DM104" s="128">
        <v>0</v>
      </c>
      <c r="DN104" s="128">
        <v>110.645</v>
      </c>
      <c r="DO104" s="128">
        <v>244.0992</v>
      </c>
      <c r="DP104" s="49">
        <f t="shared" si="131"/>
        <v>242.57617200000001</v>
      </c>
      <c r="DQ104" s="49">
        <f t="shared" si="131"/>
        <v>175.09960899999999</v>
      </c>
      <c r="DR104" s="47">
        <f t="shared" si="131"/>
        <v>0</v>
      </c>
      <c r="DS104" s="47">
        <f t="shared" si="187"/>
        <v>0</v>
      </c>
      <c r="DT104" s="48">
        <f t="shared" si="188"/>
        <v>242.57617200000001</v>
      </c>
      <c r="DU104" s="48">
        <f t="shared" si="189"/>
        <v>175.09960899999999</v>
      </c>
      <c r="DV104" s="93">
        <f t="shared" si="190"/>
        <v>242.57617200000001</v>
      </c>
      <c r="DW104" s="93">
        <f t="shared" si="191"/>
        <v>175.09960899999999</v>
      </c>
      <c r="EB104" s="52"/>
      <c r="EC104" s="52"/>
      <c r="ED104" s="52"/>
      <c r="EE104" s="55">
        <f t="shared" si="192"/>
        <v>801.54669999999999</v>
      </c>
      <c r="EF104" s="55">
        <f t="shared" si="192"/>
        <v>1591.4508000000001</v>
      </c>
      <c r="EG104" s="55">
        <f t="shared" si="192"/>
        <v>13817.279112800001</v>
      </c>
      <c r="EH104" s="55">
        <f t="shared" si="132"/>
        <v>11141.7540584</v>
      </c>
      <c r="EI104" s="298">
        <f t="shared" si="133"/>
        <v>0.33495509293260856</v>
      </c>
      <c r="EJ104" s="52"/>
      <c r="EK104" s="55">
        <f t="shared" si="193"/>
        <v>13817.279121792866</v>
      </c>
      <c r="EL104" s="55">
        <f t="shared" si="193"/>
        <v>11141.754045792864</v>
      </c>
      <c r="EM104" s="55">
        <f t="shared" si="193"/>
        <v>13817.279112800001</v>
      </c>
      <c r="EN104" s="55">
        <f t="shared" si="193"/>
        <v>11141.754036799999</v>
      </c>
      <c r="EP104" s="52"/>
      <c r="EQ104" s="52"/>
      <c r="ER104" s="52"/>
      <c r="ES104" s="55">
        <f t="shared" si="134"/>
        <v>739.89579999999989</v>
      </c>
      <c r="ET104" s="55">
        <f t="shared" si="134"/>
        <v>1532.1467000000002</v>
      </c>
      <c r="EU104" s="55">
        <f t="shared" si="134"/>
        <v>10799.509913200001</v>
      </c>
      <c r="EV104" s="55">
        <f t="shared" si="134"/>
        <v>8500.5637336</v>
      </c>
      <c r="EW104" s="298">
        <f t="shared" si="135"/>
        <v>0.32565227102926109</v>
      </c>
      <c r="EX104" s="52"/>
      <c r="EY104" s="55">
        <f t="shared" si="136"/>
        <v>10799.509921068757</v>
      </c>
      <c r="EZ104" s="55">
        <f t="shared" si="136"/>
        <v>8500.5637225687551</v>
      </c>
      <c r="FA104" s="55">
        <f t="shared" si="136"/>
        <v>10799.509913200001</v>
      </c>
      <c r="FB104" s="55">
        <f t="shared" si="136"/>
        <v>8500.5637146999998</v>
      </c>
      <c r="FD104" s="52"/>
      <c r="FE104" s="52"/>
      <c r="FF104" s="52"/>
      <c r="FG104" s="55">
        <f t="shared" si="137"/>
        <v>688.63839999999993</v>
      </c>
      <c r="FH104" s="55">
        <f t="shared" si="137"/>
        <v>1376.0601000000001</v>
      </c>
      <c r="FI104" s="55">
        <f t="shared" si="137"/>
        <v>8904.0846072000004</v>
      </c>
      <c r="FJ104" s="55">
        <f t="shared" si="137"/>
        <v>7273.2345314000004</v>
      </c>
      <c r="FK104" s="298">
        <f t="shared" si="138"/>
        <v>0.33352976233575987</v>
      </c>
      <c r="FL104" s="52"/>
      <c r="FM104" s="55">
        <f t="shared" si="139"/>
        <v>8904.0846072000004</v>
      </c>
      <c r="FN104" s="55">
        <f t="shared" si="139"/>
        <v>7273.2345314000004</v>
      </c>
      <c r="FO104" s="55">
        <f t="shared" si="139"/>
        <v>8904.0846072000004</v>
      </c>
      <c r="FP104" s="55">
        <f t="shared" si="139"/>
        <v>7273.2345314000004</v>
      </c>
      <c r="FR104" s="52"/>
      <c r="FS104" s="52"/>
      <c r="FT104" s="52"/>
      <c r="FU104" s="55">
        <f t="shared" si="140"/>
        <v>573.17999999999995</v>
      </c>
      <c r="FV104" s="55">
        <f t="shared" si="140"/>
        <v>1104.53</v>
      </c>
      <c r="FW104" s="55">
        <f t="shared" si="140"/>
        <v>358.27243680000004</v>
      </c>
      <c r="FX104" s="55">
        <f t="shared" si="140"/>
        <v>250.81395840000002</v>
      </c>
      <c r="FY104" s="298">
        <f t="shared" si="141"/>
        <v>0.34164426509945101</v>
      </c>
      <c r="FZ104" s="52"/>
      <c r="GA104" s="55">
        <f t="shared" si="142"/>
        <v>358.27244579286389</v>
      </c>
      <c r="GB104" s="55">
        <f t="shared" si="142"/>
        <v>250.81394579286388</v>
      </c>
      <c r="GC104" s="55">
        <f t="shared" si="142"/>
        <v>358.27243680000004</v>
      </c>
      <c r="GD104" s="55">
        <f t="shared" si="142"/>
        <v>250.81393680000002</v>
      </c>
      <c r="GF104" s="52"/>
      <c r="GG104" s="52"/>
      <c r="GH104" s="52"/>
      <c r="GI104" s="55">
        <f t="shared" si="143"/>
        <v>295.61419999999998</v>
      </c>
      <c r="GJ104" s="55">
        <f t="shared" si="143"/>
        <v>536.71499999999992</v>
      </c>
      <c r="GK104" s="56">
        <f t="shared" si="144"/>
        <v>2680.4571840000003</v>
      </c>
      <c r="GL104" s="56">
        <f t="shared" si="144"/>
        <v>2045.6212620000006</v>
      </c>
      <c r="GM104" s="298">
        <f t="shared" si="145"/>
        <v>0.35516499961793968</v>
      </c>
      <c r="GN104" s="52"/>
      <c r="GO104" s="56">
        <f t="shared" si="146"/>
        <v>2680.4571840000003</v>
      </c>
      <c r="GP104" s="56">
        <f t="shared" si="146"/>
        <v>2045.6212620000006</v>
      </c>
      <c r="GQ104" s="56">
        <f t="shared" si="146"/>
        <v>2680.4571840000003</v>
      </c>
      <c r="GR104" s="56">
        <f t="shared" si="146"/>
        <v>2045.6212620000006</v>
      </c>
    </row>
    <row r="105" spans="1:200" x14ac:dyDescent="0.2">
      <c r="A105" s="118">
        <v>95</v>
      </c>
      <c r="C105" s="128">
        <v>7.3834</v>
      </c>
      <c r="D105" s="128">
        <v>3.3571</v>
      </c>
      <c r="E105" s="128">
        <v>0</v>
      </c>
      <c r="F105" s="128">
        <v>47.602499999999999</v>
      </c>
      <c r="G105" s="128">
        <v>100.8567</v>
      </c>
      <c r="H105" s="49">
        <f t="shared" si="123"/>
        <v>7393.8844279999994</v>
      </c>
      <c r="I105" s="49">
        <f t="shared" si="123"/>
        <v>6370.4329600000001</v>
      </c>
      <c r="J105" s="47">
        <f t="shared" si="123"/>
        <v>0</v>
      </c>
      <c r="K105" s="47">
        <f t="shared" si="147"/>
        <v>0</v>
      </c>
      <c r="L105" s="48">
        <f t="shared" si="148"/>
        <v>7393.8844279999994</v>
      </c>
      <c r="M105" s="48">
        <f t="shared" si="149"/>
        <v>6370.4329600000001</v>
      </c>
      <c r="N105" s="93">
        <f t="shared" si="150"/>
        <v>7393.8844279999994</v>
      </c>
      <c r="O105" s="93">
        <f t="shared" si="151"/>
        <v>6370.4329600000001</v>
      </c>
      <c r="Q105" s="128">
        <v>9.3629999999999995</v>
      </c>
      <c r="R105" s="130">
        <v>4.2976999999999999</v>
      </c>
      <c r="S105" s="128">
        <v>0</v>
      </c>
      <c r="T105" s="128">
        <v>19.401700000000002</v>
      </c>
      <c r="U105" s="128">
        <v>26.175000000000001</v>
      </c>
      <c r="V105" s="49">
        <f t="shared" si="124"/>
        <v>5958.7068299999992</v>
      </c>
      <c r="W105" s="49">
        <f t="shared" si="124"/>
        <v>5120.6665729999995</v>
      </c>
      <c r="X105" s="47">
        <f t="shared" si="124"/>
        <v>0</v>
      </c>
      <c r="Y105" s="47">
        <f t="shared" si="152"/>
        <v>0</v>
      </c>
      <c r="Z105" s="48">
        <f t="shared" si="153"/>
        <v>5958.7068299999992</v>
      </c>
      <c r="AA105" s="48">
        <f t="shared" si="154"/>
        <v>5120.6665729999995</v>
      </c>
      <c r="AB105" s="93">
        <f t="shared" si="155"/>
        <v>5958.7068299999992</v>
      </c>
      <c r="AC105" s="93">
        <f t="shared" si="156"/>
        <v>5120.6665729999995</v>
      </c>
      <c r="AE105" s="128">
        <v>13.2925</v>
      </c>
      <c r="AF105" s="130">
        <v>5.0209000000000001</v>
      </c>
      <c r="AG105" s="128">
        <v>0</v>
      </c>
      <c r="AH105" s="128">
        <v>3.5832999999999999</v>
      </c>
      <c r="AI105" s="128">
        <v>9.4766999999999992</v>
      </c>
      <c r="AJ105" s="49">
        <f t="shared" si="125"/>
        <v>6115.6134000000002</v>
      </c>
      <c r="AK105" s="49">
        <f t="shared" si="125"/>
        <v>5275.6102570000003</v>
      </c>
      <c r="AL105" s="47">
        <f t="shared" si="125"/>
        <v>0</v>
      </c>
      <c r="AM105" s="47">
        <f t="shared" si="157"/>
        <v>0</v>
      </c>
      <c r="AN105" s="48">
        <f t="shared" si="158"/>
        <v>6115.6134000000002</v>
      </c>
      <c r="AO105" s="48">
        <f t="shared" si="159"/>
        <v>5275.6102570000003</v>
      </c>
      <c r="AP105" s="93">
        <f t="shared" si="160"/>
        <v>6115.6134000000002</v>
      </c>
      <c r="AQ105" s="93">
        <f t="shared" si="161"/>
        <v>5275.6102570000003</v>
      </c>
      <c r="AS105" s="128">
        <v>17.734400000000001</v>
      </c>
      <c r="AT105" s="130">
        <v>6.4930000000000003</v>
      </c>
      <c r="AU105" s="128">
        <v>0</v>
      </c>
      <c r="AV105" s="128">
        <v>86.684200000000004</v>
      </c>
      <c r="AW105" s="128">
        <v>175.15170000000001</v>
      </c>
      <c r="AX105" s="49">
        <f t="shared" si="126"/>
        <v>6218.3900160000003</v>
      </c>
      <c r="AY105" s="49">
        <f t="shared" si="126"/>
        <v>4577.4351400000005</v>
      </c>
      <c r="AZ105" s="47">
        <f t="shared" si="126"/>
        <v>0</v>
      </c>
      <c r="BA105" s="47">
        <f t="shared" si="162"/>
        <v>0</v>
      </c>
      <c r="BB105" s="48">
        <f t="shared" si="163"/>
        <v>6218.3900160000003</v>
      </c>
      <c r="BC105" s="48">
        <f t="shared" si="164"/>
        <v>4577.4351400000005</v>
      </c>
      <c r="BD105" s="93">
        <f t="shared" si="165"/>
        <v>6218.3900160000003</v>
      </c>
      <c r="BE105" s="93">
        <f t="shared" si="166"/>
        <v>4577.4351400000005</v>
      </c>
      <c r="BG105" s="128">
        <v>13.8436</v>
      </c>
      <c r="BH105" s="130">
        <v>5.2698</v>
      </c>
      <c r="BI105" s="128">
        <v>0</v>
      </c>
      <c r="BJ105" s="128">
        <v>92.513300000000001</v>
      </c>
      <c r="BK105" s="128">
        <v>193.30500000000001</v>
      </c>
      <c r="BL105" s="49">
        <f t="shared" si="127"/>
        <v>4546.515112</v>
      </c>
      <c r="BM105" s="49">
        <f t="shared" si="127"/>
        <v>3186.5426639999996</v>
      </c>
      <c r="BN105" s="47">
        <f t="shared" si="127"/>
        <v>0</v>
      </c>
      <c r="BO105" s="47">
        <f t="shared" si="167"/>
        <v>0</v>
      </c>
      <c r="BP105" s="48">
        <f t="shared" si="168"/>
        <v>4546.515112</v>
      </c>
      <c r="BQ105" s="48">
        <f t="shared" si="169"/>
        <v>3186.5426639999996</v>
      </c>
      <c r="BR105" s="93">
        <f t="shared" si="170"/>
        <v>4546.515112</v>
      </c>
      <c r="BS105" s="93">
        <f t="shared" si="171"/>
        <v>3186.5426639999996</v>
      </c>
      <c r="BU105" s="128">
        <v>10.778499999999999</v>
      </c>
      <c r="BV105" s="130">
        <v>4.5777000000000001</v>
      </c>
      <c r="BW105" s="128">
        <v>0</v>
      </c>
      <c r="BX105" s="128">
        <v>72.703299999999999</v>
      </c>
      <c r="BY105" s="128">
        <v>119.56</v>
      </c>
      <c r="BZ105" s="49">
        <f t="shared" si="128"/>
        <v>2614.8640999999998</v>
      </c>
      <c r="CA105" s="49">
        <f t="shared" si="128"/>
        <v>1849.940124</v>
      </c>
      <c r="CB105" s="47">
        <f t="shared" si="128"/>
        <v>0</v>
      </c>
      <c r="CC105" s="47">
        <f t="shared" si="172"/>
        <v>0</v>
      </c>
      <c r="CD105" s="48">
        <f t="shared" si="173"/>
        <v>2614.8640999999998</v>
      </c>
      <c r="CE105" s="48">
        <f t="shared" si="174"/>
        <v>1849.940124</v>
      </c>
      <c r="CF105" s="93">
        <f t="shared" si="175"/>
        <v>2614.8640999999998</v>
      </c>
      <c r="CG105" s="93">
        <f t="shared" si="176"/>
        <v>1849.940124</v>
      </c>
      <c r="CI105" s="128">
        <v>0.50890000000000002</v>
      </c>
      <c r="CJ105" s="130">
        <v>0.25219999999999998</v>
      </c>
      <c r="CK105" s="128">
        <v>0</v>
      </c>
      <c r="CL105" s="128">
        <v>256.9008</v>
      </c>
      <c r="CM105" s="128">
        <v>498.85</v>
      </c>
      <c r="CN105" s="49">
        <f t="shared" si="129"/>
        <v>108.029292</v>
      </c>
      <c r="CO105" s="49">
        <f t="shared" si="129"/>
        <v>69.476056</v>
      </c>
      <c r="CP105" s="47">
        <f t="shared" si="129"/>
        <v>0</v>
      </c>
      <c r="CQ105" s="47">
        <f t="shared" si="177"/>
        <v>0</v>
      </c>
      <c r="CR105" s="48">
        <f t="shared" si="178"/>
        <v>108.029292</v>
      </c>
      <c r="CS105" s="48">
        <f t="shared" si="179"/>
        <v>69.476056</v>
      </c>
      <c r="CT105" s="93">
        <f t="shared" si="180"/>
        <v>108.029292</v>
      </c>
      <c r="CU105" s="93">
        <f t="shared" si="181"/>
        <v>69.476056</v>
      </c>
      <c r="CW105" s="128">
        <v>1.3085</v>
      </c>
      <c r="CX105" s="130">
        <v>0.63690000000000002</v>
      </c>
      <c r="CY105" s="128">
        <v>0</v>
      </c>
      <c r="CZ105" s="128">
        <v>69.488299999999995</v>
      </c>
      <c r="DA105" s="128">
        <v>111.8575</v>
      </c>
      <c r="DB105" s="49">
        <f t="shared" si="130"/>
        <v>280.948035</v>
      </c>
      <c r="DC105" s="49">
        <f t="shared" si="130"/>
        <v>191.09547600000002</v>
      </c>
      <c r="DD105" s="47">
        <f t="shared" si="130"/>
        <v>0</v>
      </c>
      <c r="DE105" s="47">
        <f t="shared" si="182"/>
        <v>0</v>
      </c>
      <c r="DF105" s="48">
        <f t="shared" si="183"/>
        <v>280.948035</v>
      </c>
      <c r="DG105" s="48">
        <f t="shared" si="184"/>
        <v>191.09547600000002</v>
      </c>
      <c r="DH105" s="93">
        <f t="shared" si="185"/>
        <v>280.948035</v>
      </c>
      <c r="DI105" s="93">
        <f t="shared" si="186"/>
        <v>191.09547600000002</v>
      </c>
      <c r="DK105" s="128">
        <v>1.7011000000000001</v>
      </c>
      <c r="DL105" s="130">
        <v>0.81399999999999995</v>
      </c>
      <c r="DM105" s="128">
        <v>0</v>
      </c>
      <c r="DN105" s="128">
        <v>64.613299999999995</v>
      </c>
      <c r="DO105" s="128">
        <v>133.35249999999999</v>
      </c>
      <c r="DP105" s="49">
        <f t="shared" si="131"/>
        <v>225.15759600000004</v>
      </c>
      <c r="DQ105" s="49">
        <f t="shared" si="131"/>
        <v>157.61481999999998</v>
      </c>
      <c r="DR105" s="47">
        <f t="shared" si="131"/>
        <v>0</v>
      </c>
      <c r="DS105" s="47">
        <f t="shared" si="187"/>
        <v>0</v>
      </c>
      <c r="DT105" s="48">
        <f t="shared" si="188"/>
        <v>225.15759600000004</v>
      </c>
      <c r="DU105" s="48">
        <f t="shared" si="189"/>
        <v>157.61481999999998</v>
      </c>
      <c r="DV105" s="93">
        <f t="shared" si="190"/>
        <v>225.15759600000004</v>
      </c>
      <c r="DW105" s="93">
        <f t="shared" si="191"/>
        <v>157.61481999999998</v>
      </c>
      <c r="EB105" s="52"/>
      <c r="EC105" s="52"/>
      <c r="ED105" s="52"/>
      <c r="EE105" s="55">
        <f t="shared" si="192"/>
        <v>460.67579999999998</v>
      </c>
      <c r="EF105" s="55">
        <f t="shared" si="192"/>
        <v>886.71590000000003</v>
      </c>
      <c r="EG105" s="55">
        <f t="shared" si="192"/>
        <v>13945.062163999997</v>
      </c>
      <c r="EH105" s="55">
        <f t="shared" si="132"/>
        <v>11170.2205368</v>
      </c>
      <c r="EI105" s="298">
        <f t="shared" si="133"/>
        <v>0.34190191315561758</v>
      </c>
      <c r="EJ105" s="52"/>
      <c r="EK105" s="55">
        <f t="shared" si="193"/>
        <v>13945.062163999997</v>
      </c>
      <c r="EL105" s="55">
        <f t="shared" si="193"/>
        <v>11170.2205368</v>
      </c>
      <c r="EM105" s="55">
        <f t="shared" si="193"/>
        <v>13945.062163999997</v>
      </c>
      <c r="EN105" s="55">
        <f t="shared" si="193"/>
        <v>11170.2205368</v>
      </c>
      <c r="EP105" s="52"/>
      <c r="EQ105" s="52"/>
      <c r="ER105" s="52"/>
      <c r="ES105" s="55">
        <f t="shared" si="134"/>
        <v>438.30410000000001</v>
      </c>
      <c r="ET105" s="55">
        <f t="shared" si="134"/>
        <v>830.1875</v>
      </c>
      <c r="EU105" s="55">
        <f t="shared" si="134"/>
        <v>10809.9148585</v>
      </c>
      <c r="EV105" s="55">
        <f t="shared" si="134"/>
        <v>8510.452126199998</v>
      </c>
      <c r="EW105" s="298">
        <f t="shared" si="135"/>
        <v>0.34553173233468787</v>
      </c>
      <c r="EX105" s="52"/>
      <c r="EY105" s="55">
        <f t="shared" si="136"/>
        <v>10809.9148585</v>
      </c>
      <c r="EZ105" s="55">
        <f t="shared" si="136"/>
        <v>8510.452126199998</v>
      </c>
      <c r="FA105" s="55">
        <f t="shared" si="136"/>
        <v>10809.9148585</v>
      </c>
      <c r="FB105" s="55">
        <f t="shared" si="136"/>
        <v>8510.452126199998</v>
      </c>
      <c r="FD105" s="52"/>
      <c r="FE105" s="52"/>
      <c r="FF105" s="52"/>
      <c r="FG105" s="55">
        <f t="shared" si="137"/>
        <v>397.80070000000001</v>
      </c>
      <c r="FH105" s="55">
        <f t="shared" si="137"/>
        <v>761.23919999999998</v>
      </c>
      <c r="FI105" s="55">
        <f t="shared" si="137"/>
        <v>8973.6013495999996</v>
      </c>
      <c r="FJ105" s="55">
        <f t="shared" si="137"/>
        <v>7289.5953290000007</v>
      </c>
      <c r="FK105" s="298">
        <f t="shared" si="138"/>
        <v>0.34321570810461316</v>
      </c>
      <c r="FL105" s="52"/>
      <c r="FM105" s="55">
        <f t="shared" si="139"/>
        <v>8973.6013495999996</v>
      </c>
      <c r="FN105" s="55">
        <f t="shared" si="139"/>
        <v>7289.5953290000007</v>
      </c>
      <c r="FO105" s="55">
        <f t="shared" si="139"/>
        <v>8973.6013495999996</v>
      </c>
      <c r="FP105" s="55">
        <f t="shared" si="139"/>
        <v>7289.5953290000007</v>
      </c>
      <c r="FR105" s="52"/>
      <c r="FS105" s="52"/>
      <c r="FT105" s="52"/>
      <c r="FU105" s="55">
        <f t="shared" si="140"/>
        <v>326.38909999999998</v>
      </c>
      <c r="FV105" s="55">
        <f t="shared" si="140"/>
        <v>610.70749999999998</v>
      </c>
      <c r="FW105" s="55">
        <f t="shared" si="140"/>
        <v>332.78772000000004</v>
      </c>
      <c r="FX105" s="55">
        <f t="shared" si="140"/>
        <v>222.35243680000002</v>
      </c>
      <c r="FY105" s="298">
        <f t="shared" si="141"/>
        <v>0.34829824374562879</v>
      </c>
      <c r="FZ105" s="52"/>
      <c r="GA105" s="55">
        <f t="shared" si="142"/>
        <v>332.78772000000004</v>
      </c>
      <c r="GB105" s="55">
        <f t="shared" si="142"/>
        <v>222.35243680000002</v>
      </c>
      <c r="GC105" s="55">
        <f t="shared" si="142"/>
        <v>332.78772000000004</v>
      </c>
      <c r="GD105" s="55">
        <f t="shared" si="142"/>
        <v>222.35243680000002</v>
      </c>
      <c r="GF105" s="52"/>
      <c r="GG105" s="52"/>
      <c r="GH105" s="52"/>
      <c r="GI105" s="55">
        <f t="shared" si="143"/>
        <v>159.38749999999999</v>
      </c>
      <c r="GJ105" s="55">
        <f t="shared" si="143"/>
        <v>294.71170000000001</v>
      </c>
      <c r="GK105" s="56">
        <f t="shared" si="144"/>
        <v>2702.6444370000004</v>
      </c>
      <c r="GL105" s="56">
        <f t="shared" si="144"/>
        <v>2045.6212620000006</v>
      </c>
      <c r="GM105" s="298">
        <f t="shared" si="145"/>
        <v>0.35099709490789677</v>
      </c>
      <c r="GN105" s="52"/>
      <c r="GO105" s="56">
        <f t="shared" si="146"/>
        <v>2702.6444370000004</v>
      </c>
      <c r="GP105" s="56">
        <f t="shared" si="146"/>
        <v>2045.6212620000006</v>
      </c>
      <c r="GQ105" s="56">
        <f t="shared" si="146"/>
        <v>2702.6444370000004</v>
      </c>
      <c r="GR105" s="56">
        <f t="shared" si="146"/>
        <v>2045.6212620000006</v>
      </c>
    </row>
    <row r="106" spans="1:200" x14ac:dyDescent="0.2">
      <c r="A106" s="118">
        <v>96</v>
      </c>
      <c r="C106" s="128">
        <v>7.4984000000000002</v>
      </c>
      <c r="D106" s="128">
        <v>3.3868</v>
      </c>
      <c r="E106" s="128">
        <v>0</v>
      </c>
      <c r="F106" s="128">
        <v>16.9208</v>
      </c>
      <c r="G106" s="128">
        <v>30.718299999999999</v>
      </c>
      <c r="H106" s="49">
        <f t="shared" si="123"/>
        <v>7509.0477279999996</v>
      </c>
      <c r="I106" s="49">
        <f t="shared" si="123"/>
        <v>6426.7916799999994</v>
      </c>
      <c r="J106" s="47">
        <f t="shared" si="123"/>
        <v>0</v>
      </c>
      <c r="K106" s="47">
        <f t="shared" si="147"/>
        <v>0</v>
      </c>
      <c r="L106" s="48">
        <f t="shared" si="148"/>
        <v>7509.0477279999996</v>
      </c>
      <c r="M106" s="48">
        <f t="shared" si="149"/>
        <v>6426.7916799999994</v>
      </c>
      <c r="N106" s="93">
        <f t="shared" si="150"/>
        <v>7509.0477279999996</v>
      </c>
      <c r="O106" s="93">
        <f t="shared" si="151"/>
        <v>6426.7916799999994</v>
      </c>
      <c r="Q106" s="128">
        <v>9.4027999999999992</v>
      </c>
      <c r="R106" s="130">
        <v>4.3272000000000004</v>
      </c>
      <c r="S106" s="128">
        <v>0</v>
      </c>
      <c r="T106" s="128">
        <v>4</v>
      </c>
      <c r="U106" s="128">
        <v>17.619199999999999</v>
      </c>
      <c r="V106" s="49">
        <f t="shared" si="124"/>
        <v>5984.0359479999988</v>
      </c>
      <c r="W106" s="49">
        <f t="shared" si="124"/>
        <v>5155.8155280000001</v>
      </c>
      <c r="X106" s="47">
        <f t="shared" si="124"/>
        <v>0</v>
      </c>
      <c r="Y106" s="47">
        <f t="shared" si="152"/>
        <v>0</v>
      </c>
      <c r="Z106" s="48">
        <f t="shared" si="153"/>
        <v>5984.0359479999988</v>
      </c>
      <c r="AA106" s="48">
        <f t="shared" si="154"/>
        <v>5155.8155280000001</v>
      </c>
      <c r="AB106" s="93">
        <f t="shared" si="155"/>
        <v>5984.0359479999988</v>
      </c>
      <c r="AC106" s="93">
        <f t="shared" si="156"/>
        <v>5155.8155280000001</v>
      </c>
      <c r="AE106" s="128">
        <v>13.456</v>
      </c>
      <c r="AF106" s="130">
        <v>5.0507999999999997</v>
      </c>
      <c r="AG106" s="128">
        <v>0</v>
      </c>
      <c r="AH106" s="128">
        <v>3</v>
      </c>
      <c r="AI106" s="128">
        <v>7.5057999999999998</v>
      </c>
      <c r="AJ106" s="49">
        <f t="shared" si="125"/>
        <v>6190.8364799999999</v>
      </c>
      <c r="AK106" s="49">
        <f t="shared" si="125"/>
        <v>5307.0270839999994</v>
      </c>
      <c r="AL106" s="47">
        <f t="shared" si="125"/>
        <v>0</v>
      </c>
      <c r="AM106" s="47">
        <f t="shared" si="157"/>
        <v>0</v>
      </c>
      <c r="AN106" s="48">
        <f t="shared" si="158"/>
        <v>6190.8364799999999</v>
      </c>
      <c r="AO106" s="48">
        <f t="shared" si="159"/>
        <v>5307.0270839999994</v>
      </c>
      <c r="AP106" s="93">
        <f t="shared" si="160"/>
        <v>6190.8364799999999</v>
      </c>
      <c r="AQ106" s="93">
        <f t="shared" si="161"/>
        <v>5307.0270839999994</v>
      </c>
      <c r="AS106" s="128">
        <v>17.840199999999999</v>
      </c>
      <c r="AT106" s="130">
        <v>6.4930000000000003</v>
      </c>
      <c r="AU106" s="128">
        <v>0</v>
      </c>
      <c r="AV106" s="128">
        <v>46.519199999999998</v>
      </c>
      <c r="AW106" s="128">
        <v>74.423299999999998</v>
      </c>
      <c r="AX106" s="49">
        <f t="shared" si="126"/>
        <v>6255.4877279999992</v>
      </c>
      <c r="AY106" s="49">
        <f t="shared" si="126"/>
        <v>4577.4351400000005</v>
      </c>
      <c r="AZ106" s="47">
        <f t="shared" si="126"/>
        <v>0</v>
      </c>
      <c r="BA106" s="47">
        <f t="shared" si="162"/>
        <v>0</v>
      </c>
      <c r="BB106" s="48">
        <f t="shared" si="163"/>
        <v>6255.4877279999992</v>
      </c>
      <c r="BC106" s="48">
        <f t="shared" si="164"/>
        <v>4577.4351400000005</v>
      </c>
      <c r="BD106" s="93">
        <f t="shared" si="165"/>
        <v>6255.4877279999992</v>
      </c>
      <c r="BE106" s="93">
        <f t="shared" si="166"/>
        <v>4577.4351400000005</v>
      </c>
      <c r="BG106" s="128">
        <v>13.865399999999999</v>
      </c>
      <c r="BH106" s="130">
        <v>5.2698</v>
      </c>
      <c r="BI106" s="128">
        <v>0</v>
      </c>
      <c r="BJ106" s="128">
        <v>30.083300000000001</v>
      </c>
      <c r="BK106" s="128">
        <v>87.185000000000002</v>
      </c>
      <c r="BL106" s="49">
        <f t="shared" si="127"/>
        <v>4553.6746679999997</v>
      </c>
      <c r="BM106" s="49">
        <f t="shared" si="127"/>
        <v>3186.5426639999996</v>
      </c>
      <c r="BN106" s="47">
        <f t="shared" si="127"/>
        <v>0</v>
      </c>
      <c r="BO106" s="47">
        <f t="shared" si="167"/>
        <v>0</v>
      </c>
      <c r="BP106" s="48">
        <f t="shared" si="168"/>
        <v>4553.6746679999997</v>
      </c>
      <c r="BQ106" s="48">
        <f t="shared" si="169"/>
        <v>3186.5426639999996</v>
      </c>
      <c r="BR106" s="93">
        <f t="shared" si="170"/>
        <v>4553.6746679999997</v>
      </c>
      <c r="BS106" s="93">
        <f t="shared" si="171"/>
        <v>3186.5426639999996</v>
      </c>
      <c r="BU106" s="128">
        <v>10.8123</v>
      </c>
      <c r="BV106" s="130">
        <v>4.5777000000000001</v>
      </c>
      <c r="BW106" s="128">
        <v>0</v>
      </c>
      <c r="BX106" s="128">
        <v>40.322499999999998</v>
      </c>
      <c r="BY106" s="128">
        <v>49.216700000000003</v>
      </c>
      <c r="BZ106" s="49">
        <f t="shared" si="128"/>
        <v>2623.0639799999999</v>
      </c>
      <c r="CA106" s="49">
        <f t="shared" si="128"/>
        <v>1849.940124</v>
      </c>
      <c r="CB106" s="47">
        <f t="shared" si="128"/>
        <v>0</v>
      </c>
      <c r="CC106" s="47">
        <f t="shared" si="172"/>
        <v>0</v>
      </c>
      <c r="CD106" s="48">
        <f t="shared" si="173"/>
        <v>2623.0639799999999</v>
      </c>
      <c r="CE106" s="48">
        <f t="shared" si="174"/>
        <v>1849.940124</v>
      </c>
      <c r="CF106" s="93">
        <f t="shared" si="175"/>
        <v>2623.0639799999999</v>
      </c>
      <c r="CG106" s="93">
        <f t="shared" si="176"/>
        <v>1849.940124</v>
      </c>
      <c r="CI106" s="128">
        <v>0.48680000000000001</v>
      </c>
      <c r="CJ106" s="130">
        <v>0.2293</v>
      </c>
      <c r="CK106" s="128">
        <v>0</v>
      </c>
      <c r="CL106" s="128">
        <v>116.925</v>
      </c>
      <c r="CM106" s="128">
        <v>211.32499999999999</v>
      </c>
      <c r="CN106" s="49">
        <f t="shared" si="129"/>
        <v>103.33790400000001</v>
      </c>
      <c r="CO106" s="49">
        <f t="shared" si="129"/>
        <v>63.167564000000006</v>
      </c>
      <c r="CP106" s="47">
        <f t="shared" si="129"/>
        <v>0</v>
      </c>
      <c r="CQ106" s="47">
        <f t="shared" si="177"/>
        <v>0</v>
      </c>
      <c r="CR106" s="48">
        <f t="shared" si="178"/>
        <v>103.33790400000001</v>
      </c>
      <c r="CS106" s="48">
        <f t="shared" si="179"/>
        <v>63.167564000000006</v>
      </c>
      <c r="CT106" s="93">
        <f t="shared" si="180"/>
        <v>103.33790400000001</v>
      </c>
      <c r="CU106" s="93">
        <f t="shared" si="181"/>
        <v>63.167564000000006</v>
      </c>
      <c r="CW106" s="128">
        <v>1.1910000000000001</v>
      </c>
      <c r="CX106" s="130">
        <v>0.54659999999999997</v>
      </c>
      <c r="CY106" s="128">
        <v>0</v>
      </c>
      <c r="CZ106" s="128">
        <v>29.095800000000001</v>
      </c>
      <c r="DA106" s="128">
        <v>49.986699999999999</v>
      </c>
      <c r="DB106" s="49">
        <f t="shared" si="130"/>
        <v>255.71961000000002</v>
      </c>
      <c r="DC106" s="49">
        <f t="shared" si="130"/>
        <v>164.00186400000001</v>
      </c>
      <c r="DD106" s="47">
        <f t="shared" si="130"/>
        <v>0</v>
      </c>
      <c r="DE106" s="47">
        <f t="shared" si="182"/>
        <v>0</v>
      </c>
      <c r="DF106" s="48">
        <f t="shared" si="183"/>
        <v>255.71961000000002</v>
      </c>
      <c r="DG106" s="48">
        <f t="shared" si="184"/>
        <v>164.00186400000001</v>
      </c>
      <c r="DH106" s="93">
        <f t="shared" si="185"/>
        <v>255.71961000000002</v>
      </c>
      <c r="DI106" s="93">
        <f t="shared" si="186"/>
        <v>164.00186400000001</v>
      </c>
      <c r="DK106" s="128">
        <v>1.5691999999999999</v>
      </c>
      <c r="DL106" s="130">
        <v>0.72460000000000002</v>
      </c>
      <c r="DM106" s="128">
        <v>0</v>
      </c>
      <c r="DN106" s="128">
        <v>35.892499999999998</v>
      </c>
      <c r="DO106" s="128">
        <v>50.412500000000001</v>
      </c>
      <c r="DP106" s="49">
        <f t="shared" si="131"/>
        <v>207.69931200000002</v>
      </c>
      <c r="DQ106" s="49">
        <f t="shared" si="131"/>
        <v>140.30429799999999</v>
      </c>
      <c r="DR106" s="47">
        <f t="shared" si="131"/>
        <v>0</v>
      </c>
      <c r="DS106" s="47">
        <f t="shared" si="187"/>
        <v>0</v>
      </c>
      <c r="DT106" s="48">
        <f t="shared" si="188"/>
        <v>207.69931200000002</v>
      </c>
      <c r="DU106" s="48">
        <f t="shared" si="189"/>
        <v>140.30429799999999</v>
      </c>
      <c r="DV106" s="93">
        <f t="shared" si="190"/>
        <v>207.69931200000002</v>
      </c>
      <c r="DW106" s="93">
        <f t="shared" si="191"/>
        <v>140.30429799999999</v>
      </c>
      <c r="EB106" s="52"/>
      <c r="EC106" s="52"/>
      <c r="ED106" s="52"/>
      <c r="EE106" s="55">
        <f t="shared" si="192"/>
        <v>209.46080000000001</v>
      </c>
      <c r="EF106" s="55">
        <f t="shared" si="192"/>
        <v>366.45329999999996</v>
      </c>
      <c r="EG106" s="55">
        <f t="shared" si="192"/>
        <v>14072.449047999999</v>
      </c>
      <c r="EH106" s="55">
        <f t="shared" si="132"/>
        <v>11198.595875199999</v>
      </c>
      <c r="EI106" s="298">
        <f t="shared" ref="EI106:EI110" si="194" xml:space="preserve"> IF(   SUM(EE106:EF106) = 0,    IF( EG106&lt;EH106, lambdax_min, lambdax_max ),
                                                                   MAX( lambdax_min, MIN( lambdax_max, EE106 / SUM(EE106:EF106) ) )     )</f>
        <v>0.36370146172840712</v>
      </c>
      <c r="EJ106" s="52"/>
      <c r="EK106" s="55">
        <f t="shared" si="193"/>
        <v>14072.449047999999</v>
      </c>
      <c r="EL106" s="55">
        <f t="shared" si="193"/>
        <v>11198.595875199999</v>
      </c>
      <c r="EM106" s="55">
        <f t="shared" si="193"/>
        <v>14072.449047999999</v>
      </c>
      <c r="EN106" s="55">
        <f t="shared" si="193"/>
        <v>11198.595875199999</v>
      </c>
      <c r="EP106" s="52"/>
      <c r="EQ106" s="52"/>
      <c r="ER106" s="52"/>
      <c r="ES106" s="55">
        <f t="shared" si="134"/>
        <v>180.10409999999999</v>
      </c>
      <c r="ET106" s="55">
        <f t="shared" si="134"/>
        <v>366.11589999999995</v>
      </c>
      <c r="EU106" s="55">
        <f t="shared" si="134"/>
        <v>10820.052246999998</v>
      </c>
      <c r="EV106" s="55">
        <f t="shared" si="134"/>
        <v>8520.3270607999984</v>
      </c>
      <c r="EW106" s="298">
        <f t="shared" ref="EW106:EW110" si="195" xml:space="preserve"> IF(   SUM(ES106:ET106) = 0,    IF( EU106&lt;EV106, lambdax_min, lambdax_max ),
                                                                   MAX( lambdax_min, MIN( lambdax_max, ES106 / SUM(ES106:ET106) ) )     )</f>
        <v>0.32972813152209735</v>
      </c>
      <c r="EX106" s="52"/>
      <c r="EY106" s="55">
        <f t="shared" si="136"/>
        <v>10820.052246999998</v>
      </c>
      <c r="EZ106" s="55">
        <f t="shared" si="136"/>
        <v>8520.3270607999984</v>
      </c>
      <c r="FA106" s="55">
        <f t="shared" si="136"/>
        <v>10820.052246999998</v>
      </c>
      <c r="FB106" s="55">
        <f t="shared" si="136"/>
        <v>8520.3270607999984</v>
      </c>
      <c r="FD106" s="52"/>
      <c r="FE106" s="52"/>
      <c r="FF106" s="52"/>
      <c r="FG106" s="55">
        <f t="shared" si="137"/>
        <v>196.14</v>
      </c>
      <c r="FH106" s="55">
        <f t="shared" si="137"/>
        <v>318.46000000000004</v>
      </c>
      <c r="FI106" s="55">
        <f t="shared" si="137"/>
        <v>9041.8579512000015</v>
      </c>
      <c r="FJ106" s="55">
        <f t="shared" si="137"/>
        <v>7304.3173507999991</v>
      </c>
      <c r="FK106" s="298">
        <f t="shared" ref="FK106:FK110" si="196" xml:space="preserve"> IF(   SUM(FG106:FH106) = 0,    IF( FI106&lt;FJ106, lambdax_min, lambdax_max ),
                                                                   MAX( lambdax_min, MIN( lambdax_max, FG106 / SUM(FG106:FH106) ) )     )</f>
        <v>0.38115040808394868</v>
      </c>
      <c r="FL106" s="52"/>
      <c r="FM106" s="55">
        <f t="shared" si="139"/>
        <v>9041.8579512000015</v>
      </c>
      <c r="FN106" s="55">
        <f t="shared" si="139"/>
        <v>7304.3173507999991</v>
      </c>
      <c r="FO106" s="55">
        <f t="shared" si="139"/>
        <v>9041.8579512000015</v>
      </c>
      <c r="FP106" s="55">
        <f t="shared" si="139"/>
        <v>7304.3173507999991</v>
      </c>
      <c r="FR106" s="52"/>
      <c r="FS106" s="52"/>
      <c r="FT106" s="52"/>
      <c r="FU106" s="55">
        <f t="shared" si="140"/>
        <v>146.02080000000001</v>
      </c>
      <c r="FV106" s="55">
        <f t="shared" si="140"/>
        <v>261.31169999999997</v>
      </c>
      <c r="FW106" s="55">
        <f t="shared" si="140"/>
        <v>307.91359199999999</v>
      </c>
      <c r="FX106" s="55">
        <f t="shared" si="140"/>
        <v>194.36905520000002</v>
      </c>
      <c r="FY106" s="298">
        <f t="shared" ref="FY106:FY110" si="197" xml:space="preserve"> IF(   SUM(FU106:FV106) = 0,    IF( FW106&lt;FX106, lambdax_min, lambdax_max ),
                                                                   MAX( lambdax_min, MIN( lambdax_max, FU106 / SUM(FU106:FV106) ) )     )</f>
        <v>0.35848060245622437</v>
      </c>
      <c r="FZ106" s="52"/>
      <c r="GA106" s="55">
        <f t="shared" si="142"/>
        <v>307.91359199999999</v>
      </c>
      <c r="GB106" s="55">
        <f t="shared" si="142"/>
        <v>194.36905520000002</v>
      </c>
      <c r="GC106" s="55">
        <f t="shared" si="142"/>
        <v>307.91359199999999</v>
      </c>
      <c r="GD106" s="55">
        <f t="shared" si="142"/>
        <v>194.36905520000002</v>
      </c>
      <c r="GF106" s="52"/>
      <c r="GG106" s="52"/>
      <c r="GH106" s="52"/>
      <c r="GI106" s="55">
        <f t="shared" si="143"/>
        <v>86.841700000000003</v>
      </c>
      <c r="GJ106" s="55">
        <f t="shared" si="143"/>
        <v>123.64</v>
      </c>
      <c r="GK106" s="56">
        <f t="shared" si="144"/>
        <v>2724.3178109999994</v>
      </c>
      <c r="GL106" s="56">
        <f t="shared" si="144"/>
        <v>2045.6212620000006</v>
      </c>
      <c r="GM106" s="298">
        <f t="shared" ref="GM106:GM110" si="198" xml:space="preserve"> IF(   SUM(GI106:GJ106) = 0,    IF( GK106&lt;GL106, lambdax_min, lambdax_max ),
                                                                   MAX( lambdax_min, MIN( lambdax_max, GI106 / SUM(GI106:GJ106) ) )     )</f>
        <v>0.41258551218466977</v>
      </c>
      <c r="GN106" s="52"/>
      <c r="GO106" s="56">
        <f t="shared" si="146"/>
        <v>2724.3178109999994</v>
      </c>
      <c r="GP106" s="56">
        <f t="shared" si="146"/>
        <v>2045.6212620000006</v>
      </c>
      <c r="GQ106" s="56">
        <f t="shared" si="146"/>
        <v>2724.3178109999994</v>
      </c>
      <c r="GR106" s="56">
        <f t="shared" si="146"/>
        <v>2045.6212620000006</v>
      </c>
    </row>
    <row r="107" spans="1:200" x14ac:dyDescent="0.2">
      <c r="A107" s="118">
        <v>97</v>
      </c>
      <c r="C107" s="128">
        <v>7.6132999999999997</v>
      </c>
      <c r="D107" s="128">
        <v>3.4163000000000001</v>
      </c>
      <c r="E107" s="128">
        <v>0</v>
      </c>
      <c r="F107" s="128">
        <v>11.7867</v>
      </c>
      <c r="G107" s="128">
        <v>26.276700000000002</v>
      </c>
      <c r="H107" s="49">
        <f t="shared" si="123"/>
        <v>7624.1108859999995</v>
      </c>
      <c r="I107" s="49">
        <f t="shared" si="123"/>
        <v>6482.77088</v>
      </c>
      <c r="J107" s="47">
        <f t="shared" si="123"/>
        <v>0</v>
      </c>
      <c r="K107" s="47">
        <f t="shared" si="147"/>
        <v>0</v>
      </c>
      <c r="L107" s="48">
        <f t="shared" si="148"/>
        <v>7624.1108859999995</v>
      </c>
      <c r="M107" s="48">
        <f t="shared" si="149"/>
        <v>6482.77088</v>
      </c>
      <c r="N107" s="93">
        <f t="shared" si="150"/>
        <v>7624.1108859999995</v>
      </c>
      <c r="O107" s="93">
        <f t="shared" si="151"/>
        <v>6482.77088</v>
      </c>
      <c r="Q107" s="128">
        <v>9.4422999999999995</v>
      </c>
      <c r="R107" s="130">
        <v>4.3563999999999998</v>
      </c>
      <c r="S107" s="128">
        <v>0</v>
      </c>
      <c r="T107" s="128">
        <v>2.9558</v>
      </c>
      <c r="U107" s="128">
        <v>12.416700000000001</v>
      </c>
      <c r="V107" s="49">
        <f t="shared" si="124"/>
        <v>6009.1741429999993</v>
      </c>
      <c r="W107" s="49">
        <f t="shared" si="124"/>
        <v>5190.6070359999994</v>
      </c>
      <c r="X107" s="47">
        <f t="shared" si="124"/>
        <v>0</v>
      </c>
      <c r="Y107" s="47">
        <f t="shared" si="152"/>
        <v>0</v>
      </c>
      <c r="Z107" s="48">
        <f t="shared" si="153"/>
        <v>6009.1741429999993</v>
      </c>
      <c r="AA107" s="48">
        <f t="shared" si="154"/>
        <v>5190.6070359999994</v>
      </c>
      <c r="AB107" s="93">
        <f t="shared" si="155"/>
        <v>6009.1741429999993</v>
      </c>
      <c r="AC107" s="93">
        <f t="shared" si="156"/>
        <v>5190.6070359999994</v>
      </c>
      <c r="AE107" s="128">
        <v>13.616400000000001</v>
      </c>
      <c r="AF107" s="130">
        <v>5.0796000000000001</v>
      </c>
      <c r="AG107" s="128">
        <v>0</v>
      </c>
      <c r="AH107" s="128">
        <v>1.1157999999999999</v>
      </c>
      <c r="AI107" s="128">
        <v>3</v>
      </c>
      <c r="AJ107" s="49">
        <f t="shared" si="125"/>
        <v>6264.6333119999999</v>
      </c>
      <c r="AK107" s="49">
        <f t="shared" si="125"/>
        <v>5337.2881080000006</v>
      </c>
      <c r="AL107" s="47">
        <f t="shared" si="125"/>
        <v>0</v>
      </c>
      <c r="AM107" s="47">
        <f t="shared" si="157"/>
        <v>0</v>
      </c>
      <c r="AN107" s="48">
        <f t="shared" si="158"/>
        <v>6264.6333119999999</v>
      </c>
      <c r="AO107" s="48">
        <f t="shared" si="159"/>
        <v>5337.2881080000006</v>
      </c>
      <c r="AP107" s="93">
        <f t="shared" si="160"/>
        <v>6264.6333119999999</v>
      </c>
      <c r="AQ107" s="93">
        <f t="shared" si="161"/>
        <v>5337.2881080000006</v>
      </c>
      <c r="AS107" s="128">
        <v>17.944800000000001</v>
      </c>
      <c r="AT107" s="130">
        <v>6.4930000000000003</v>
      </c>
      <c r="AU107" s="128">
        <v>0</v>
      </c>
      <c r="AV107" s="128">
        <v>28.335000000000001</v>
      </c>
      <c r="AW107" s="128">
        <v>68.453299999999999</v>
      </c>
      <c r="AX107" s="49">
        <f t="shared" si="126"/>
        <v>6292.1646719999999</v>
      </c>
      <c r="AY107" s="49">
        <f t="shared" si="126"/>
        <v>4577.4351400000005</v>
      </c>
      <c r="AZ107" s="47">
        <f t="shared" si="126"/>
        <v>0</v>
      </c>
      <c r="BA107" s="47">
        <f t="shared" si="162"/>
        <v>0</v>
      </c>
      <c r="BB107" s="48">
        <f t="shared" si="163"/>
        <v>6292.1646719999999</v>
      </c>
      <c r="BC107" s="48">
        <f t="shared" si="164"/>
        <v>4577.4351400000005</v>
      </c>
      <c r="BD107" s="93">
        <f t="shared" si="165"/>
        <v>6292.1646719999999</v>
      </c>
      <c r="BE107" s="93">
        <f t="shared" si="166"/>
        <v>4577.4351400000005</v>
      </c>
      <c r="BG107" s="128">
        <v>13.885300000000001</v>
      </c>
      <c r="BH107" s="130">
        <v>5.2698</v>
      </c>
      <c r="BI107" s="128">
        <v>0</v>
      </c>
      <c r="BJ107" s="128">
        <v>13.5358</v>
      </c>
      <c r="BK107" s="128">
        <v>68.648300000000006</v>
      </c>
      <c r="BL107" s="49">
        <f t="shared" si="127"/>
        <v>4560.2102260000001</v>
      </c>
      <c r="BM107" s="49">
        <f t="shared" si="127"/>
        <v>3186.5426639999996</v>
      </c>
      <c r="BN107" s="47">
        <f t="shared" si="127"/>
        <v>0</v>
      </c>
      <c r="BO107" s="47">
        <f t="shared" si="167"/>
        <v>0</v>
      </c>
      <c r="BP107" s="48">
        <f t="shared" si="168"/>
        <v>4560.2102260000001</v>
      </c>
      <c r="BQ107" s="48">
        <f t="shared" si="169"/>
        <v>3186.5426639999996</v>
      </c>
      <c r="BR107" s="93">
        <f t="shared" si="170"/>
        <v>4560.2102260000001</v>
      </c>
      <c r="BS107" s="93">
        <f t="shared" si="171"/>
        <v>3186.5426639999996</v>
      </c>
      <c r="BU107" s="128">
        <v>10.845800000000001</v>
      </c>
      <c r="BV107" s="130">
        <v>4.5777000000000001</v>
      </c>
      <c r="BW107" s="128">
        <v>0</v>
      </c>
      <c r="BX107" s="128">
        <v>31.327500000000001</v>
      </c>
      <c r="BY107" s="128">
        <v>38.666699999999999</v>
      </c>
      <c r="BZ107" s="49">
        <f t="shared" si="128"/>
        <v>2631.1910800000001</v>
      </c>
      <c r="CA107" s="49">
        <f t="shared" si="128"/>
        <v>1849.940124</v>
      </c>
      <c r="CB107" s="47">
        <f t="shared" si="128"/>
        <v>0</v>
      </c>
      <c r="CC107" s="47">
        <f t="shared" si="172"/>
        <v>0</v>
      </c>
      <c r="CD107" s="48">
        <f t="shared" si="173"/>
        <v>2631.1910800000001</v>
      </c>
      <c r="CE107" s="48">
        <f t="shared" si="174"/>
        <v>1849.940124</v>
      </c>
      <c r="CF107" s="93">
        <f t="shared" si="175"/>
        <v>2631.1910800000001</v>
      </c>
      <c r="CG107" s="93">
        <f t="shared" si="176"/>
        <v>1849.940124</v>
      </c>
      <c r="CI107" s="128">
        <v>0.46779999999999999</v>
      </c>
      <c r="CJ107" s="130">
        <v>0.20749999999999999</v>
      </c>
      <c r="CK107" s="128">
        <v>0</v>
      </c>
      <c r="CL107" s="128">
        <v>73.198300000000003</v>
      </c>
      <c r="CM107" s="128">
        <v>180.685</v>
      </c>
      <c r="CN107" s="49">
        <f t="shared" si="129"/>
        <v>99.304584000000006</v>
      </c>
      <c r="CO107" s="49">
        <f t="shared" si="129"/>
        <v>57.162100000000002</v>
      </c>
      <c r="CP107" s="47">
        <f t="shared" si="129"/>
        <v>0</v>
      </c>
      <c r="CQ107" s="47">
        <f t="shared" si="177"/>
        <v>0</v>
      </c>
      <c r="CR107" s="48">
        <f t="shared" si="178"/>
        <v>99.304584000000006</v>
      </c>
      <c r="CS107" s="48">
        <f t="shared" si="179"/>
        <v>57.162100000000002</v>
      </c>
      <c r="CT107" s="93">
        <f t="shared" si="180"/>
        <v>99.304584000000006</v>
      </c>
      <c r="CU107" s="93">
        <f t="shared" si="181"/>
        <v>57.162100000000002</v>
      </c>
      <c r="CW107" s="128">
        <v>1.0733999999999999</v>
      </c>
      <c r="CX107" s="130">
        <v>0.45660000000000001</v>
      </c>
      <c r="CY107" s="128">
        <v>0</v>
      </c>
      <c r="CZ107" s="128">
        <v>18.486699999999999</v>
      </c>
      <c r="DA107" s="128">
        <v>45.13</v>
      </c>
      <c r="DB107" s="49">
        <f t="shared" si="130"/>
        <v>230.46971399999998</v>
      </c>
      <c r="DC107" s="49">
        <f t="shared" si="130"/>
        <v>136.99826400000001</v>
      </c>
      <c r="DD107" s="47">
        <f t="shared" si="130"/>
        <v>0</v>
      </c>
      <c r="DE107" s="47">
        <f t="shared" si="182"/>
        <v>0</v>
      </c>
      <c r="DF107" s="48">
        <f t="shared" si="183"/>
        <v>230.46971399999998</v>
      </c>
      <c r="DG107" s="48">
        <f t="shared" si="184"/>
        <v>136.99826400000001</v>
      </c>
      <c r="DH107" s="93">
        <f t="shared" si="185"/>
        <v>230.46971399999998</v>
      </c>
      <c r="DI107" s="93">
        <f t="shared" si="186"/>
        <v>136.99826400000001</v>
      </c>
      <c r="DK107" s="128">
        <v>1.4371</v>
      </c>
      <c r="DL107" s="130">
        <v>0.63629999999999998</v>
      </c>
      <c r="DM107" s="128">
        <v>0</v>
      </c>
      <c r="DN107" s="128">
        <v>26.636700000000001</v>
      </c>
      <c r="DO107" s="128">
        <v>35.979999999999997</v>
      </c>
      <c r="DP107" s="49">
        <f t="shared" si="131"/>
        <v>190.21455600000002</v>
      </c>
      <c r="DQ107" s="49">
        <f t="shared" si="131"/>
        <v>123.20676899999999</v>
      </c>
      <c r="DR107" s="47">
        <f t="shared" si="131"/>
        <v>0</v>
      </c>
      <c r="DS107" s="47">
        <f t="shared" si="187"/>
        <v>0</v>
      </c>
      <c r="DT107" s="48">
        <f t="shared" si="188"/>
        <v>190.21455600000002</v>
      </c>
      <c r="DU107" s="48">
        <f t="shared" si="189"/>
        <v>123.20676899999999</v>
      </c>
      <c r="DV107" s="93">
        <f t="shared" si="190"/>
        <v>190.21455600000002</v>
      </c>
      <c r="DW107" s="93">
        <f t="shared" si="191"/>
        <v>123.20676899999999</v>
      </c>
      <c r="EB107" s="52"/>
      <c r="EC107" s="52"/>
      <c r="ED107" s="52"/>
      <c r="EE107" s="55">
        <f t="shared" si="192"/>
        <v>131.80670000000001</v>
      </c>
      <c r="EF107" s="55">
        <f t="shared" si="192"/>
        <v>320.54500000000002</v>
      </c>
      <c r="EG107" s="55">
        <f t="shared" si="192"/>
        <v>14199.955913199999</v>
      </c>
      <c r="EH107" s="55">
        <f t="shared" si="132"/>
        <v>11226.9667312</v>
      </c>
      <c r="EI107" s="298">
        <f t="shared" si="194"/>
        <v>0.2913810205643087</v>
      </c>
      <c r="EJ107" s="52"/>
      <c r="EK107" s="55">
        <f t="shared" si="193"/>
        <v>14199.955913199999</v>
      </c>
      <c r="EL107" s="55">
        <f t="shared" si="193"/>
        <v>11226.9667312</v>
      </c>
      <c r="EM107" s="55">
        <f t="shared" si="193"/>
        <v>14199.955913199999</v>
      </c>
      <c r="EN107" s="55">
        <f t="shared" si="193"/>
        <v>11226.9667312</v>
      </c>
      <c r="EP107" s="52"/>
      <c r="EQ107" s="52"/>
      <c r="ER107" s="52"/>
      <c r="ES107" s="55">
        <f t="shared" si="134"/>
        <v>108.17659999999999</v>
      </c>
      <c r="ET107" s="55">
        <f t="shared" si="134"/>
        <v>306.88</v>
      </c>
      <c r="EU107" s="55">
        <f t="shared" si="134"/>
        <v>10830.017752799999</v>
      </c>
      <c r="EV107" s="55">
        <f t="shared" si="134"/>
        <v>8530.2105847999974</v>
      </c>
      <c r="EW107" s="298">
        <f t="shared" si="195"/>
        <v>0.26063095972934774</v>
      </c>
      <c r="EX107" s="52"/>
      <c r="EY107" s="55">
        <f t="shared" si="136"/>
        <v>10830.017752799999</v>
      </c>
      <c r="EZ107" s="55">
        <f t="shared" si="136"/>
        <v>8530.2105847999974</v>
      </c>
      <c r="FA107" s="55">
        <f t="shared" si="136"/>
        <v>10830.017752799999</v>
      </c>
      <c r="FB107" s="55">
        <f t="shared" si="136"/>
        <v>8530.2105847999974</v>
      </c>
      <c r="FD107" s="52"/>
      <c r="FE107" s="52"/>
      <c r="FF107" s="52"/>
      <c r="FG107" s="55">
        <f t="shared" si="137"/>
        <v>132.2783</v>
      </c>
      <c r="FH107" s="55">
        <f t="shared" si="137"/>
        <v>258.33170000000001</v>
      </c>
      <c r="FI107" s="55">
        <f t="shared" si="137"/>
        <v>9109.2577096000005</v>
      </c>
      <c r="FJ107" s="55">
        <f t="shared" si="137"/>
        <v>7318.3143934</v>
      </c>
      <c r="FK107" s="298">
        <f t="shared" si="196"/>
        <v>0.33864545198535623</v>
      </c>
      <c r="FL107" s="52"/>
      <c r="FM107" s="55">
        <f t="shared" si="139"/>
        <v>9109.2577096000005</v>
      </c>
      <c r="FN107" s="55">
        <f t="shared" si="139"/>
        <v>7318.3143934</v>
      </c>
      <c r="FO107" s="55">
        <f t="shared" si="139"/>
        <v>9109.2577096000005</v>
      </c>
      <c r="FP107" s="55">
        <f t="shared" si="139"/>
        <v>7318.3143934</v>
      </c>
      <c r="FR107" s="52"/>
      <c r="FS107" s="52"/>
      <c r="FT107" s="52"/>
      <c r="FU107" s="55">
        <f t="shared" si="140"/>
        <v>91.685000000000002</v>
      </c>
      <c r="FV107" s="55">
        <f t="shared" si="140"/>
        <v>225.815</v>
      </c>
      <c r="FW107" s="55">
        <f t="shared" si="140"/>
        <v>283.68035520000001</v>
      </c>
      <c r="FX107" s="55">
        <f t="shared" si="140"/>
        <v>166.7607112</v>
      </c>
      <c r="FY107" s="298">
        <f t="shared" si="197"/>
        <v>0.28877165354330708</v>
      </c>
      <c r="FZ107" s="52"/>
      <c r="GA107" s="55">
        <f t="shared" si="142"/>
        <v>283.68035520000001</v>
      </c>
      <c r="GB107" s="55">
        <f t="shared" si="142"/>
        <v>166.7607112</v>
      </c>
      <c r="GC107" s="55">
        <f t="shared" si="142"/>
        <v>283.68035520000001</v>
      </c>
      <c r="GD107" s="55">
        <f t="shared" si="142"/>
        <v>166.7607112</v>
      </c>
      <c r="GF107" s="52"/>
      <c r="GG107" s="52"/>
      <c r="GH107" s="52"/>
      <c r="GI107" s="55">
        <f t="shared" si="143"/>
        <v>59.662500000000001</v>
      </c>
      <c r="GJ107" s="55">
        <f t="shared" si="143"/>
        <v>107.12</v>
      </c>
      <c r="GK107" s="56">
        <f t="shared" si="144"/>
        <v>2745.7301939999998</v>
      </c>
      <c r="GL107" s="56">
        <f t="shared" si="144"/>
        <v>2045.6212620000006</v>
      </c>
      <c r="GM107" s="298">
        <f t="shared" si="198"/>
        <v>0.35772638016578479</v>
      </c>
      <c r="GN107" s="52"/>
      <c r="GO107" s="56">
        <f t="shared" si="146"/>
        <v>2745.7301939999998</v>
      </c>
      <c r="GP107" s="56">
        <f t="shared" si="146"/>
        <v>2045.6212620000006</v>
      </c>
      <c r="GQ107" s="56">
        <f t="shared" si="146"/>
        <v>2745.7301939999998</v>
      </c>
      <c r="GR107" s="56">
        <f t="shared" si="146"/>
        <v>2045.6212620000006</v>
      </c>
    </row>
    <row r="108" spans="1:200" x14ac:dyDescent="0.2">
      <c r="A108" s="118">
        <v>98</v>
      </c>
      <c r="C108" s="128">
        <v>7.7282000000000002</v>
      </c>
      <c r="D108" s="128">
        <v>3.4457</v>
      </c>
      <c r="E108" s="128">
        <v>0</v>
      </c>
      <c r="F108" s="128">
        <v>5.8658000000000001</v>
      </c>
      <c r="G108" s="128">
        <v>16.27</v>
      </c>
      <c r="H108" s="49">
        <f t="shared" si="123"/>
        <v>7739.1740439999994</v>
      </c>
      <c r="I108" s="49">
        <f t="shared" si="123"/>
        <v>6538.5603199999996</v>
      </c>
      <c r="J108" s="47">
        <f t="shared" si="123"/>
        <v>0</v>
      </c>
      <c r="K108" s="47">
        <f t="shared" si="147"/>
        <v>0</v>
      </c>
      <c r="L108" s="48">
        <f t="shared" si="148"/>
        <v>7739.1740439999994</v>
      </c>
      <c r="M108" s="48">
        <f t="shared" si="149"/>
        <v>6538.5603199999996</v>
      </c>
      <c r="N108" s="93">
        <f t="shared" si="150"/>
        <v>7739.1740439999994</v>
      </c>
      <c r="O108" s="93">
        <f t="shared" si="151"/>
        <v>6538.5603199999996</v>
      </c>
      <c r="Q108" s="128">
        <v>9.4817999999999998</v>
      </c>
      <c r="R108" s="130">
        <v>4.3853</v>
      </c>
      <c r="S108" s="128">
        <v>0</v>
      </c>
      <c r="T108" s="128">
        <v>1.8008</v>
      </c>
      <c r="U108" s="128">
        <v>11.184200000000001</v>
      </c>
      <c r="V108" s="49">
        <f t="shared" si="124"/>
        <v>6034.3123379999997</v>
      </c>
      <c r="W108" s="49">
        <f t="shared" si="124"/>
        <v>5225.0410970000003</v>
      </c>
      <c r="X108" s="47">
        <f t="shared" si="124"/>
        <v>0</v>
      </c>
      <c r="Y108" s="47">
        <f t="shared" si="152"/>
        <v>0</v>
      </c>
      <c r="Z108" s="48">
        <f t="shared" si="153"/>
        <v>6034.3123379999997</v>
      </c>
      <c r="AA108" s="48">
        <f t="shared" si="154"/>
        <v>5225.0410970000003</v>
      </c>
      <c r="AB108" s="93">
        <f t="shared" si="155"/>
        <v>6034.3123379999997</v>
      </c>
      <c r="AC108" s="93">
        <f t="shared" si="156"/>
        <v>5225.0410970000003</v>
      </c>
      <c r="AE108" s="128">
        <v>13.7753</v>
      </c>
      <c r="AF108" s="130">
        <v>5.1079999999999997</v>
      </c>
      <c r="AG108" s="128">
        <v>0</v>
      </c>
      <c r="AH108" s="128">
        <v>1</v>
      </c>
      <c r="AI108" s="128">
        <v>4.6666999999999996</v>
      </c>
      <c r="AJ108" s="49">
        <f t="shared" si="125"/>
        <v>6337.7400239999997</v>
      </c>
      <c r="AK108" s="49">
        <f t="shared" si="125"/>
        <v>5367.1288399999994</v>
      </c>
      <c r="AL108" s="47">
        <f t="shared" si="125"/>
        <v>0</v>
      </c>
      <c r="AM108" s="47">
        <f t="shared" si="157"/>
        <v>0</v>
      </c>
      <c r="AN108" s="48">
        <f t="shared" si="158"/>
        <v>6337.7400239999997</v>
      </c>
      <c r="AO108" s="48">
        <f t="shared" si="159"/>
        <v>5367.1288399999994</v>
      </c>
      <c r="AP108" s="93">
        <f t="shared" si="160"/>
        <v>6337.7400239999997</v>
      </c>
      <c r="AQ108" s="93">
        <f t="shared" si="161"/>
        <v>5367.1288399999994</v>
      </c>
      <c r="AS108" s="128">
        <v>18.0487</v>
      </c>
      <c r="AT108" s="130">
        <v>6.4930000000000003</v>
      </c>
      <c r="AU108" s="128">
        <v>0</v>
      </c>
      <c r="AV108" s="128">
        <v>19.8125</v>
      </c>
      <c r="AW108" s="128">
        <v>36.8108</v>
      </c>
      <c r="AX108" s="49">
        <f t="shared" si="126"/>
        <v>6328.596168</v>
      </c>
      <c r="AY108" s="49">
        <f t="shared" si="126"/>
        <v>4577.4351400000005</v>
      </c>
      <c r="AZ108" s="47">
        <f t="shared" si="126"/>
        <v>0</v>
      </c>
      <c r="BA108" s="47">
        <f t="shared" si="162"/>
        <v>0</v>
      </c>
      <c r="BB108" s="48">
        <f t="shared" si="163"/>
        <v>6328.596168</v>
      </c>
      <c r="BC108" s="48">
        <f t="shared" si="164"/>
        <v>4577.4351400000005</v>
      </c>
      <c r="BD108" s="93">
        <f t="shared" si="165"/>
        <v>6328.596168</v>
      </c>
      <c r="BE108" s="93">
        <f t="shared" si="166"/>
        <v>4577.4351400000005</v>
      </c>
      <c r="BG108" s="128">
        <v>13.904199999999999</v>
      </c>
      <c r="BH108" s="130">
        <v>5.2698</v>
      </c>
      <c r="BI108" s="128">
        <v>0</v>
      </c>
      <c r="BJ108" s="128">
        <v>15.193300000000001</v>
      </c>
      <c r="BK108" s="128">
        <v>60.101700000000001</v>
      </c>
      <c r="BL108" s="49">
        <f t="shared" si="127"/>
        <v>4566.4173639999999</v>
      </c>
      <c r="BM108" s="49">
        <f t="shared" si="127"/>
        <v>3186.5426639999996</v>
      </c>
      <c r="BN108" s="47">
        <f t="shared" si="127"/>
        <v>0</v>
      </c>
      <c r="BO108" s="47">
        <f t="shared" si="167"/>
        <v>0</v>
      </c>
      <c r="BP108" s="48">
        <f t="shared" si="168"/>
        <v>4566.4173639999999</v>
      </c>
      <c r="BQ108" s="48">
        <f t="shared" si="169"/>
        <v>3186.5426639999996</v>
      </c>
      <c r="BR108" s="93">
        <f t="shared" si="170"/>
        <v>4566.4173639999999</v>
      </c>
      <c r="BS108" s="93">
        <f t="shared" si="171"/>
        <v>3186.5426639999996</v>
      </c>
      <c r="BU108" s="128">
        <v>10.879200000000001</v>
      </c>
      <c r="BV108" s="130">
        <v>4.5777000000000001</v>
      </c>
      <c r="BW108" s="128">
        <v>0</v>
      </c>
      <c r="BX108" s="128">
        <v>13.0558</v>
      </c>
      <c r="BY108" s="128">
        <v>31.504999999999999</v>
      </c>
      <c r="BZ108" s="49">
        <f t="shared" si="128"/>
        <v>2639.2939200000001</v>
      </c>
      <c r="CA108" s="49">
        <f t="shared" si="128"/>
        <v>1849.940124</v>
      </c>
      <c r="CB108" s="47">
        <f t="shared" si="128"/>
        <v>0</v>
      </c>
      <c r="CC108" s="47">
        <f t="shared" si="172"/>
        <v>0</v>
      </c>
      <c r="CD108" s="48">
        <f t="shared" si="173"/>
        <v>2639.2939200000001</v>
      </c>
      <c r="CE108" s="48">
        <f t="shared" si="174"/>
        <v>1849.940124</v>
      </c>
      <c r="CF108" s="93">
        <f t="shared" si="175"/>
        <v>2639.2939200000001</v>
      </c>
      <c r="CG108" s="93">
        <f t="shared" si="176"/>
        <v>1849.940124</v>
      </c>
      <c r="CI108" s="128">
        <v>0.45190000000000002</v>
      </c>
      <c r="CJ108" s="130">
        <v>0.187</v>
      </c>
      <c r="CK108" s="128">
        <v>0</v>
      </c>
      <c r="CL108" s="128">
        <v>49.061700000000002</v>
      </c>
      <c r="CM108" s="128">
        <v>128.69</v>
      </c>
      <c r="CN108" s="49">
        <f t="shared" si="129"/>
        <v>95.929332000000002</v>
      </c>
      <c r="CO108" s="49">
        <f t="shared" si="129"/>
        <v>51.514760000000003</v>
      </c>
      <c r="CP108" s="47">
        <f t="shared" si="129"/>
        <v>0</v>
      </c>
      <c r="CQ108" s="47">
        <f t="shared" si="177"/>
        <v>0</v>
      </c>
      <c r="CR108" s="48">
        <f t="shared" si="178"/>
        <v>95.929332000000002</v>
      </c>
      <c r="CS108" s="48">
        <f t="shared" si="179"/>
        <v>51.514760000000003</v>
      </c>
      <c r="CT108" s="93">
        <f t="shared" si="180"/>
        <v>95.929332000000002</v>
      </c>
      <c r="CU108" s="93">
        <f t="shared" si="181"/>
        <v>51.514760000000003</v>
      </c>
      <c r="CW108" s="128">
        <v>0.9556</v>
      </c>
      <c r="CX108" s="130">
        <v>0.36670000000000003</v>
      </c>
      <c r="CY108" s="128">
        <v>0</v>
      </c>
      <c r="CZ108" s="128">
        <v>7.5682999999999998</v>
      </c>
      <c r="DA108" s="128">
        <v>26.324200000000001</v>
      </c>
      <c r="DB108" s="49">
        <f t="shared" si="130"/>
        <v>205.17687600000002</v>
      </c>
      <c r="DC108" s="49">
        <f t="shared" si="130"/>
        <v>110.02466800000002</v>
      </c>
      <c r="DD108" s="47">
        <f t="shared" si="130"/>
        <v>0</v>
      </c>
      <c r="DE108" s="47">
        <f t="shared" si="182"/>
        <v>0</v>
      </c>
      <c r="DF108" s="48">
        <f t="shared" si="183"/>
        <v>205.17687600000002</v>
      </c>
      <c r="DG108" s="48">
        <f t="shared" si="184"/>
        <v>110.02466800000002</v>
      </c>
      <c r="DH108" s="93">
        <f t="shared" si="185"/>
        <v>205.17687600000002</v>
      </c>
      <c r="DI108" s="93">
        <f t="shared" si="186"/>
        <v>110.02466800000002</v>
      </c>
      <c r="DK108" s="128">
        <v>1.3048</v>
      </c>
      <c r="DL108" s="130">
        <v>0.54859999999999998</v>
      </c>
      <c r="DM108" s="128">
        <v>0</v>
      </c>
      <c r="DN108" s="128">
        <v>17.7608</v>
      </c>
      <c r="DO108" s="128">
        <v>31.4358</v>
      </c>
      <c r="DP108" s="49">
        <f t="shared" si="131"/>
        <v>172.703328</v>
      </c>
      <c r="DQ108" s="49">
        <f t="shared" si="131"/>
        <v>106.22541799999999</v>
      </c>
      <c r="DR108" s="47">
        <f t="shared" si="131"/>
        <v>0</v>
      </c>
      <c r="DS108" s="47">
        <f t="shared" si="187"/>
        <v>0</v>
      </c>
      <c r="DT108" s="48">
        <f t="shared" si="188"/>
        <v>172.703328</v>
      </c>
      <c r="DU108" s="48">
        <f t="shared" si="189"/>
        <v>106.22541799999999</v>
      </c>
      <c r="DV108" s="93">
        <f t="shared" si="190"/>
        <v>172.703328</v>
      </c>
      <c r="DW108" s="93">
        <f t="shared" si="191"/>
        <v>106.22541799999999</v>
      </c>
      <c r="EB108" s="52"/>
      <c r="EC108" s="52"/>
      <c r="ED108" s="52"/>
      <c r="EE108" s="55">
        <f t="shared" si="192"/>
        <v>82.308300000000003</v>
      </c>
      <c r="EF108" s="55">
        <f t="shared" si="192"/>
        <v>208.095</v>
      </c>
      <c r="EG108" s="55">
        <f t="shared" si="192"/>
        <v>14327.8410448</v>
      </c>
      <c r="EH108" s="55">
        <f t="shared" si="132"/>
        <v>11255.529954400001</v>
      </c>
      <c r="EI108" s="298">
        <f t="shared" si="194"/>
        <v>0.28342756435619015</v>
      </c>
      <c r="EJ108" s="52"/>
      <c r="EK108" s="55">
        <f t="shared" si="193"/>
        <v>14327.8410448</v>
      </c>
      <c r="EL108" s="55">
        <f t="shared" si="193"/>
        <v>11255.529954400001</v>
      </c>
      <c r="EM108" s="55">
        <f t="shared" si="193"/>
        <v>14327.8410448</v>
      </c>
      <c r="EN108" s="55">
        <f t="shared" si="193"/>
        <v>11255.529954400001</v>
      </c>
      <c r="EP108" s="52"/>
      <c r="EQ108" s="52"/>
      <c r="ER108" s="52"/>
      <c r="ES108" s="55">
        <f t="shared" si="134"/>
        <v>73.624099999999999</v>
      </c>
      <c r="ET108" s="55">
        <f t="shared" si="134"/>
        <v>226.30009999999999</v>
      </c>
      <c r="EU108" s="55">
        <f t="shared" si="134"/>
        <v>10840.2828472</v>
      </c>
      <c r="EV108" s="55">
        <f t="shared" si="134"/>
        <v>8540.1157886000001</v>
      </c>
      <c r="EW108" s="298">
        <f t="shared" si="195"/>
        <v>0.24547569019105495</v>
      </c>
      <c r="EX108" s="52"/>
      <c r="EY108" s="55">
        <f t="shared" si="136"/>
        <v>10840.2828472</v>
      </c>
      <c r="EZ108" s="55">
        <f t="shared" si="136"/>
        <v>8540.1157886000001</v>
      </c>
      <c r="FA108" s="55">
        <f t="shared" si="136"/>
        <v>10840.2828472</v>
      </c>
      <c r="FB108" s="55">
        <f t="shared" si="136"/>
        <v>8540.1157886000001</v>
      </c>
      <c r="FD108" s="52"/>
      <c r="FE108" s="52"/>
      <c r="FF108" s="52"/>
      <c r="FG108" s="55">
        <f t="shared" si="137"/>
        <v>80.878299999999996</v>
      </c>
      <c r="FH108" s="55">
        <f t="shared" si="137"/>
        <v>196.29749999999999</v>
      </c>
      <c r="FI108" s="55">
        <f t="shared" si="137"/>
        <v>9176.5852727999991</v>
      </c>
      <c r="FJ108" s="55">
        <f t="shared" si="137"/>
        <v>7332.3189747999995</v>
      </c>
      <c r="FK108" s="298">
        <f t="shared" si="196"/>
        <v>0.29179423311847574</v>
      </c>
      <c r="FL108" s="52"/>
      <c r="FM108" s="55">
        <f t="shared" si="139"/>
        <v>9176.5852727999991</v>
      </c>
      <c r="FN108" s="55">
        <f t="shared" si="139"/>
        <v>7332.3189747999995</v>
      </c>
      <c r="FO108" s="55">
        <f t="shared" si="139"/>
        <v>9176.5852727999991</v>
      </c>
      <c r="FP108" s="55">
        <f t="shared" si="139"/>
        <v>7332.3189747999995</v>
      </c>
      <c r="FR108" s="52"/>
      <c r="FS108" s="52"/>
      <c r="FT108" s="52"/>
      <c r="FU108" s="55">
        <f t="shared" si="140"/>
        <v>56.63</v>
      </c>
      <c r="FV108" s="55">
        <f t="shared" si="140"/>
        <v>155.01419999999999</v>
      </c>
      <c r="FW108" s="55">
        <f t="shared" si="140"/>
        <v>260.07083280000001</v>
      </c>
      <c r="FX108" s="55">
        <f t="shared" si="140"/>
        <v>139.53449440000003</v>
      </c>
      <c r="FY108" s="298">
        <f t="shared" si="197"/>
        <v>0.26757170761117011</v>
      </c>
      <c r="FZ108" s="52"/>
      <c r="GA108" s="55">
        <f t="shared" si="142"/>
        <v>260.07083280000001</v>
      </c>
      <c r="GB108" s="55">
        <f t="shared" si="142"/>
        <v>139.53449440000003</v>
      </c>
      <c r="GC108" s="55">
        <f t="shared" si="142"/>
        <v>260.07083280000001</v>
      </c>
      <c r="GD108" s="55">
        <f t="shared" si="142"/>
        <v>139.53449440000003</v>
      </c>
      <c r="GF108" s="52"/>
      <c r="GG108" s="52"/>
      <c r="GH108" s="52"/>
      <c r="GI108" s="55">
        <f t="shared" si="143"/>
        <v>32.868299999999998</v>
      </c>
      <c r="GJ108" s="55">
        <f t="shared" si="143"/>
        <v>68.315799999999996</v>
      </c>
      <c r="GK108" s="56">
        <f t="shared" si="144"/>
        <v>2766.976686</v>
      </c>
      <c r="GL108" s="56">
        <f t="shared" si="144"/>
        <v>2045.6212620000006</v>
      </c>
      <c r="GM108" s="298">
        <f t="shared" si="198"/>
        <v>0.32483660970448913</v>
      </c>
      <c r="GN108" s="52"/>
      <c r="GO108" s="56">
        <f t="shared" si="146"/>
        <v>2766.976686</v>
      </c>
      <c r="GP108" s="56">
        <f t="shared" si="146"/>
        <v>2045.6212620000006</v>
      </c>
      <c r="GQ108" s="56">
        <f t="shared" si="146"/>
        <v>2766.976686</v>
      </c>
      <c r="GR108" s="56">
        <f t="shared" si="146"/>
        <v>2045.6212620000006</v>
      </c>
    </row>
    <row r="109" spans="1:200" x14ac:dyDescent="0.2">
      <c r="A109" s="118">
        <v>99</v>
      </c>
      <c r="C109" s="128">
        <v>7.8430999999999997</v>
      </c>
      <c r="D109" s="128">
        <v>3.4750999999999999</v>
      </c>
      <c r="E109" s="128">
        <v>0</v>
      </c>
      <c r="F109" s="128">
        <v>8.6933000000000007</v>
      </c>
      <c r="G109" s="128">
        <v>23.936699999999998</v>
      </c>
      <c r="H109" s="49">
        <f t="shared" si="123"/>
        <v>7854.2372019999993</v>
      </c>
      <c r="I109" s="49">
        <f t="shared" si="123"/>
        <v>6594.3497599999992</v>
      </c>
      <c r="J109" s="47">
        <f t="shared" si="123"/>
        <v>0</v>
      </c>
      <c r="K109" s="47">
        <f t="shared" si="147"/>
        <v>0</v>
      </c>
      <c r="L109" s="48">
        <f t="shared" si="148"/>
        <v>7854.2372019999993</v>
      </c>
      <c r="M109" s="48">
        <f t="shared" si="149"/>
        <v>6594.3497599999992</v>
      </c>
      <c r="N109" s="93">
        <f t="shared" si="150"/>
        <v>7854.2372019999993</v>
      </c>
      <c r="O109" s="93">
        <f t="shared" si="151"/>
        <v>6594.3497599999992</v>
      </c>
      <c r="Q109" s="128">
        <v>9.5212000000000003</v>
      </c>
      <c r="R109" s="130">
        <v>4.4141000000000004</v>
      </c>
      <c r="S109" s="128">
        <v>0</v>
      </c>
      <c r="T109" s="128">
        <v>2.6124999999999998</v>
      </c>
      <c r="U109" s="128">
        <v>4.4808000000000003</v>
      </c>
      <c r="V109" s="49">
        <f t="shared" si="124"/>
        <v>6059.3868919999995</v>
      </c>
      <c r="W109" s="49">
        <f t="shared" si="124"/>
        <v>5259.3560090000001</v>
      </c>
      <c r="X109" s="47">
        <f t="shared" si="124"/>
        <v>0</v>
      </c>
      <c r="Y109" s="47">
        <f t="shared" si="152"/>
        <v>0</v>
      </c>
      <c r="Z109" s="48">
        <f t="shared" si="153"/>
        <v>6059.3868919999995</v>
      </c>
      <c r="AA109" s="48">
        <f t="shared" si="154"/>
        <v>5259.3560090000001</v>
      </c>
      <c r="AB109" s="93">
        <f t="shared" si="155"/>
        <v>6059.3868919999995</v>
      </c>
      <c r="AC109" s="93">
        <f t="shared" si="156"/>
        <v>5259.3560090000001</v>
      </c>
      <c r="AE109" s="128">
        <v>13.9337</v>
      </c>
      <c r="AF109" s="130">
        <v>5.1360999999999999</v>
      </c>
      <c r="AG109" s="128">
        <v>0</v>
      </c>
      <c r="AH109" s="128">
        <v>4.3192000000000004</v>
      </c>
      <c r="AI109" s="128">
        <v>4.0449999999999999</v>
      </c>
      <c r="AJ109" s="49">
        <f t="shared" si="125"/>
        <v>6410.616696</v>
      </c>
      <c r="AK109" s="49">
        <f t="shared" si="125"/>
        <v>5396.6543529999999</v>
      </c>
      <c r="AL109" s="47">
        <f t="shared" si="125"/>
        <v>0</v>
      </c>
      <c r="AM109" s="47">
        <f t="shared" si="157"/>
        <v>0</v>
      </c>
      <c r="AN109" s="48">
        <f t="shared" si="158"/>
        <v>6410.616696</v>
      </c>
      <c r="AO109" s="48">
        <f t="shared" si="159"/>
        <v>5396.6543529999999</v>
      </c>
      <c r="AP109" s="93">
        <f t="shared" si="160"/>
        <v>6410.616696</v>
      </c>
      <c r="AQ109" s="93">
        <f t="shared" si="161"/>
        <v>5396.6543529999999</v>
      </c>
      <c r="AS109" s="128">
        <v>18.1524</v>
      </c>
      <c r="AT109" s="130">
        <v>6.4930000000000003</v>
      </c>
      <c r="AU109" s="128">
        <v>0</v>
      </c>
      <c r="AV109" s="128">
        <v>12.5692</v>
      </c>
      <c r="AW109" s="128">
        <v>33.1967</v>
      </c>
      <c r="AX109" s="49">
        <f t="shared" si="126"/>
        <v>6364.9575359999999</v>
      </c>
      <c r="AY109" s="49">
        <f t="shared" si="126"/>
        <v>4577.4351400000005</v>
      </c>
      <c r="AZ109" s="47">
        <f t="shared" si="126"/>
        <v>0</v>
      </c>
      <c r="BA109" s="47">
        <f t="shared" si="162"/>
        <v>0</v>
      </c>
      <c r="BB109" s="48">
        <f t="shared" si="163"/>
        <v>6364.9575359999999</v>
      </c>
      <c r="BC109" s="48">
        <f t="shared" si="164"/>
        <v>4577.4351400000005</v>
      </c>
      <c r="BD109" s="93">
        <f t="shared" si="165"/>
        <v>6364.9575359999999</v>
      </c>
      <c r="BE109" s="93">
        <f t="shared" si="166"/>
        <v>4577.4351400000005</v>
      </c>
      <c r="BG109" s="128">
        <v>13.9229</v>
      </c>
      <c r="BH109" s="130">
        <v>5.2698</v>
      </c>
      <c r="BI109" s="128">
        <v>0</v>
      </c>
      <c r="BJ109" s="128">
        <v>12.862500000000001</v>
      </c>
      <c r="BK109" s="128">
        <v>41.404200000000003</v>
      </c>
      <c r="BL109" s="49">
        <f t="shared" si="127"/>
        <v>4572.5588180000004</v>
      </c>
      <c r="BM109" s="49">
        <f t="shared" si="127"/>
        <v>3186.5426639999996</v>
      </c>
      <c r="BN109" s="47">
        <f t="shared" si="127"/>
        <v>0</v>
      </c>
      <c r="BO109" s="47">
        <f t="shared" si="167"/>
        <v>0</v>
      </c>
      <c r="BP109" s="48">
        <f t="shared" si="168"/>
        <v>4572.5588180000004</v>
      </c>
      <c r="BQ109" s="48">
        <f t="shared" si="169"/>
        <v>3186.5426639999996</v>
      </c>
      <c r="BR109" s="93">
        <f t="shared" si="170"/>
        <v>4572.5588180000004</v>
      </c>
      <c r="BS109" s="93">
        <f t="shared" si="171"/>
        <v>3186.5426639999996</v>
      </c>
      <c r="BU109" s="128">
        <v>10.9124</v>
      </c>
      <c r="BV109" s="130">
        <v>4.5777000000000001</v>
      </c>
      <c r="BW109" s="128">
        <v>0</v>
      </c>
      <c r="BX109" s="128">
        <v>13.362500000000001</v>
      </c>
      <c r="BY109" s="128">
        <v>23.75</v>
      </c>
      <c r="BZ109" s="49">
        <f t="shared" si="128"/>
        <v>2647.3482399999998</v>
      </c>
      <c r="CA109" s="49">
        <f t="shared" si="128"/>
        <v>1849.940124</v>
      </c>
      <c r="CB109" s="47">
        <f t="shared" si="128"/>
        <v>0</v>
      </c>
      <c r="CC109" s="47">
        <f t="shared" si="172"/>
        <v>0</v>
      </c>
      <c r="CD109" s="48">
        <f t="shared" si="173"/>
        <v>2647.3482399999998</v>
      </c>
      <c r="CE109" s="48">
        <f t="shared" si="174"/>
        <v>1849.940124</v>
      </c>
      <c r="CF109" s="93">
        <f t="shared" si="175"/>
        <v>2647.3482399999998</v>
      </c>
      <c r="CG109" s="93">
        <f t="shared" si="176"/>
        <v>1849.940124</v>
      </c>
      <c r="CI109" s="128">
        <v>0.439</v>
      </c>
      <c r="CJ109" s="130">
        <v>0.1676</v>
      </c>
      <c r="CK109" s="128">
        <v>0</v>
      </c>
      <c r="CL109" s="128">
        <v>40.794199999999996</v>
      </c>
      <c r="CM109" s="128">
        <v>99.429199999999994</v>
      </c>
      <c r="CN109" s="49">
        <f t="shared" si="129"/>
        <v>93.190920000000006</v>
      </c>
      <c r="CO109" s="49">
        <f t="shared" si="129"/>
        <v>46.170448</v>
      </c>
      <c r="CP109" s="47">
        <f t="shared" si="129"/>
        <v>0</v>
      </c>
      <c r="CQ109" s="47">
        <f t="shared" si="177"/>
        <v>0</v>
      </c>
      <c r="CR109" s="48">
        <f t="shared" si="178"/>
        <v>93.190920000000006</v>
      </c>
      <c r="CS109" s="48">
        <f t="shared" si="179"/>
        <v>46.170448</v>
      </c>
      <c r="CT109" s="93">
        <f t="shared" si="180"/>
        <v>93.190920000000006</v>
      </c>
      <c r="CU109" s="93">
        <f t="shared" si="181"/>
        <v>46.170448</v>
      </c>
      <c r="CW109" s="128">
        <v>0.83789999999999998</v>
      </c>
      <c r="CX109" s="130">
        <v>0.27679999999999999</v>
      </c>
      <c r="CY109" s="128">
        <v>0</v>
      </c>
      <c r="CZ109" s="128">
        <v>9.3332999999999995</v>
      </c>
      <c r="DA109" s="128">
        <v>15.2342</v>
      </c>
      <c r="DB109" s="49">
        <f t="shared" si="130"/>
        <v>179.905509</v>
      </c>
      <c r="DC109" s="49">
        <f t="shared" si="130"/>
        <v>83.051072000000005</v>
      </c>
      <c r="DD109" s="47">
        <f t="shared" si="130"/>
        <v>0</v>
      </c>
      <c r="DE109" s="47">
        <f t="shared" si="182"/>
        <v>0</v>
      </c>
      <c r="DF109" s="48">
        <f t="shared" si="183"/>
        <v>179.905509</v>
      </c>
      <c r="DG109" s="48">
        <f t="shared" si="184"/>
        <v>83.051072000000005</v>
      </c>
      <c r="DH109" s="93">
        <f t="shared" si="185"/>
        <v>179.905509</v>
      </c>
      <c r="DI109" s="93">
        <f t="shared" si="186"/>
        <v>83.051072000000005</v>
      </c>
      <c r="DK109" s="128">
        <v>1.1725000000000001</v>
      </c>
      <c r="DL109" s="130">
        <v>0.46129999999999999</v>
      </c>
      <c r="DM109" s="128">
        <v>0</v>
      </c>
      <c r="DN109" s="128">
        <v>13.2767</v>
      </c>
      <c r="DO109" s="128">
        <v>27.148299999999999</v>
      </c>
      <c r="DP109" s="49">
        <f t="shared" si="131"/>
        <v>155.19210000000004</v>
      </c>
      <c r="DQ109" s="49">
        <f t="shared" si="131"/>
        <v>89.321518999999995</v>
      </c>
      <c r="DR109" s="47">
        <f t="shared" si="131"/>
        <v>0</v>
      </c>
      <c r="DS109" s="47">
        <f t="shared" si="187"/>
        <v>0</v>
      </c>
      <c r="DT109" s="48">
        <f t="shared" si="188"/>
        <v>155.19210000000004</v>
      </c>
      <c r="DU109" s="48">
        <f t="shared" si="189"/>
        <v>89.321518999999995</v>
      </c>
      <c r="DV109" s="93">
        <f t="shared" si="190"/>
        <v>155.19210000000004</v>
      </c>
      <c r="DW109" s="93">
        <f t="shared" si="191"/>
        <v>89.321518999999995</v>
      </c>
      <c r="EB109" s="52"/>
      <c r="EC109" s="52"/>
      <c r="ED109" s="52"/>
      <c r="EE109" s="55">
        <f t="shared" si="192"/>
        <v>71.39</v>
      </c>
      <c r="EF109" s="55">
        <f t="shared" si="192"/>
        <v>171.79679999999996</v>
      </c>
      <c r="EG109" s="55">
        <f t="shared" si="192"/>
        <v>14456.310065199999</v>
      </c>
      <c r="EH109" s="55">
        <f t="shared" si="132"/>
        <v>11284.3962056</v>
      </c>
      <c r="EI109" s="298">
        <f t="shared" si="194"/>
        <v>0.29356034126852287</v>
      </c>
      <c r="EJ109" s="52"/>
      <c r="EK109" s="55">
        <f t="shared" si="193"/>
        <v>14456.310065199999</v>
      </c>
      <c r="EL109" s="55">
        <f t="shared" si="193"/>
        <v>11284.3962056</v>
      </c>
      <c r="EM109" s="55">
        <f t="shared" si="193"/>
        <v>14456.310065199999</v>
      </c>
      <c r="EN109" s="55">
        <f t="shared" si="193"/>
        <v>11284.3962056</v>
      </c>
      <c r="EP109" s="52"/>
      <c r="EQ109" s="52"/>
      <c r="ER109" s="52"/>
      <c r="ES109" s="55">
        <f t="shared" si="134"/>
        <v>65.602499999999992</v>
      </c>
      <c r="ET109" s="55">
        <f t="shared" si="134"/>
        <v>160.54839999999999</v>
      </c>
      <c r="EU109" s="55">
        <f t="shared" si="134"/>
        <v>10851.070486300001</v>
      </c>
      <c r="EV109" s="55">
        <f t="shared" si="134"/>
        <v>8550.2048714000011</v>
      </c>
      <c r="EW109" s="298">
        <f t="shared" si="195"/>
        <v>0.29008286060325206</v>
      </c>
      <c r="EX109" s="52"/>
      <c r="EY109" s="55">
        <f t="shared" si="136"/>
        <v>10851.070486300001</v>
      </c>
      <c r="EZ109" s="55">
        <f t="shared" si="136"/>
        <v>8550.2048714000011</v>
      </c>
      <c r="FA109" s="55">
        <f t="shared" si="136"/>
        <v>10851.070486300001</v>
      </c>
      <c r="FB109" s="55">
        <f t="shared" si="136"/>
        <v>8550.2048714000011</v>
      </c>
      <c r="FD109" s="52"/>
      <c r="FE109" s="52"/>
      <c r="FF109" s="52"/>
      <c r="FG109" s="55">
        <f t="shared" si="137"/>
        <v>71.752600000000001</v>
      </c>
      <c r="FH109" s="55">
        <f t="shared" si="137"/>
        <v>154.3725</v>
      </c>
      <c r="FI109" s="55">
        <f t="shared" si="137"/>
        <v>9244.2711160000017</v>
      </c>
      <c r="FJ109" s="55">
        <f t="shared" si="137"/>
        <v>7346.3578363999995</v>
      </c>
      <c r="FK109" s="298">
        <f t="shared" si="196"/>
        <v>0.31731373474240587</v>
      </c>
      <c r="FL109" s="52"/>
      <c r="FM109" s="55">
        <f t="shared" si="139"/>
        <v>9244.2711160000017</v>
      </c>
      <c r="FN109" s="55">
        <f t="shared" si="139"/>
        <v>7346.3578363999995</v>
      </c>
      <c r="FO109" s="55">
        <f t="shared" si="139"/>
        <v>9244.2711160000017</v>
      </c>
      <c r="FP109" s="55">
        <f t="shared" si="139"/>
        <v>7346.3578363999995</v>
      </c>
      <c r="FR109" s="52"/>
      <c r="FS109" s="52"/>
      <c r="FT109" s="52"/>
      <c r="FU109" s="55">
        <f t="shared" si="140"/>
        <v>50.127499999999998</v>
      </c>
      <c r="FV109" s="55">
        <f t="shared" si="140"/>
        <v>114.6634</v>
      </c>
      <c r="FW109" s="55">
        <f t="shared" si="140"/>
        <v>237.1153272</v>
      </c>
      <c r="FX109" s="55">
        <f t="shared" si="140"/>
        <v>112.61130560000001</v>
      </c>
      <c r="FY109" s="298">
        <f t="shared" si="197"/>
        <v>0.30418852011852598</v>
      </c>
      <c r="FZ109" s="52"/>
      <c r="GA109" s="55">
        <f t="shared" si="142"/>
        <v>237.1153272</v>
      </c>
      <c r="GB109" s="55">
        <f t="shared" si="142"/>
        <v>112.61130560000001</v>
      </c>
      <c r="GC109" s="55">
        <f t="shared" si="142"/>
        <v>237.1153272</v>
      </c>
      <c r="GD109" s="55">
        <f t="shared" si="142"/>
        <v>112.61130560000001</v>
      </c>
      <c r="GF109" s="52"/>
      <c r="GG109" s="52"/>
      <c r="GH109" s="52"/>
      <c r="GI109" s="55">
        <f t="shared" si="143"/>
        <v>25.931699999999999</v>
      </c>
      <c r="GJ109" s="55">
        <f t="shared" si="143"/>
        <v>56.9467</v>
      </c>
      <c r="GK109" s="56">
        <f t="shared" si="144"/>
        <v>2788.206972</v>
      </c>
      <c r="GL109" s="56">
        <f t="shared" si="144"/>
        <v>2045.6212620000006</v>
      </c>
      <c r="GM109" s="298">
        <f t="shared" si="198"/>
        <v>0.31288852101391917</v>
      </c>
      <c r="GN109" s="52"/>
      <c r="GO109" s="56">
        <f t="shared" si="146"/>
        <v>2788.206972</v>
      </c>
      <c r="GP109" s="56">
        <f t="shared" si="146"/>
        <v>2045.6212620000006</v>
      </c>
      <c r="GQ109" s="56">
        <f t="shared" si="146"/>
        <v>2788.206972</v>
      </c>
      <c r="GR109" s="56">
        <f t="shared" si="146"/>
        <v>2045.6212620000006</v>
      </c>
    </row>
    <row r="110" spans="1:200" x14ac:dyDescent="0.2">
      <c r="A110" s="118">
        <v>100</v>
      </c>
      <c r="C110" s="128">
        <v>7.9579000000000004</v>
      </c>
      <c r="D110" s="128">
        <v>3.5044</v>
      </c>
      <c r="E110" s="128">
        <v>0</v>
      </c>
      <c r="F110" s="128">
        <v>3.9117000000000002</v>
      </c>
      <c r="G110" s="128">
        <v>13.4633</v>
      </c>
      <c r="H110" s="49">
        <f t="shared" si="123"/>
        <v>7969.2002179999999</v>
      </c>
      <c r="I110" s="49">
        <f t="shared" si="123"/>
        <v>6649.9494399999994</v>
      </c>
      <c r="J110" s="47">
        <f t="shared" si="123"/>
        <v>0</v>
      </c>
      <c r="K110" s="47">
        <f t="shared" si="147"/>
        <v>0</v>
      </c>
      <c r="L110" s="48">
        <f t="shared" si="148"/>
        <v>7969.2002179999999</v>
      </c>
      <c r="M110" s="48">
        <f t="shared" si="149"/>
        <v>6649.9494399999994</v>
      </c>
      <c r="N110" s="93">
        <f t="shared" si="150"/>
        <v>7969.2002179999999</v>
      </c>
      <c r="O110" s="93">
        <f t="shared" si="151"/>
        <v>6649.9494399999994</v>
      </c>
      <c r="Q110" s="128">
        <v>9.5604999999999993</v>
      </c>
      <c r="R110" s="130">
        <v>4.4428999999999998</v>
      </c>
      <c r="S110" s="128">
        <v>0</v>
      </c>
      <c r="T110" s="128">
        <v>2.5</v>
      </c>
      <c r="U110" s="128">
        <v>5.0782999999999996</v>
      </c>
      <c r="V110" s="49">
        <f t="shared" si="124"/>
        <v>6084.3978049999996</v>
      </c>
      <c r="W110" s="49">
        <f t="shared" si="124"/>
        <v>5293.6709209999999</v>
      </c>
      <c r="X110" s="47">
        <f t="shared" si="124"/>
        <v>0</v>
      </c>
      <c r="Y110" s="47">
        <f t="shared" si="152"/>
        <v>0</v>
      </c>
      <c r="Z110" s="48">
        <f t="shared" si="153"/>
        <v>6084.3978049999996</v>
      </c>
      <c r="AA110" s="48">
        <f t="shared" si="154"/>
        <v>5293.6709209999999</v>
      </c>
      <c r="AB110" s="93">
        <f t="shared" si="155"/>
        <v>6084.3978049999996</v>
      </c>
      <c r="AC110" s="93">
        <f t="shared" si="156"/>
        <v>5293.6709209999999</v>
      </c>
      <c r="AE110" s="128">
        <v>14.0921</v>
      </c>
      <c r="AF110" s="130">
        <v>5.1643999999999997</v>
      </c>
      <c r="AG110" s="128">
        <v>0</v>
      </c>
      <c r="AH110" s="128">
        <v>0</v>
      </c>
      <c r="AI110" s="128">
        <v>2</v>
      </c>
      <c r="AJ110" s="49">
        <f t="shared" si="125"/>
        <v>6483.4933679999995</v>
      </c>
      <c r="AK110" s="49">
        <f t="shared" si="125"/>
        <v>5426.3900119999998</v>
      </c>
      <c r="AL110" s="47">
        <f t="shared" si="125"/>
        <v>0</v>
      </c>
      <c r="AM110" s="47">
        <f t="shared" si="157"/>
        <v>0</v>
      </c>
      <c r="AN110" s="48">
        <f t="shared" si="158"/>
        <v>6483.4933679999995</v>
      </c>
      <c r="AO110" s="48">
        <f t="shared" si="159"/>
        <v>5426.3900119999998</v>
      </c>
      <c r="AP110" s="93">
        <f t="shared" si="160"/>
        <v>6483.4933679999995</v>
      </c>
      <c r="AQ110" s="93">
        <f t="shared" si="161"/>
        <v>5426.3900119999998</v>
      </c>
      <c r="AS110" s="128">
        <v>18.2561</v>
      </c>
      <c r="AT110" s="130">
        <v>6.4930000000000003</v>
      </c>
      <c r="AU110" s="128">
        <v>0</v>
      </c>
      <c r="AV110" s="128">
        <v>6.0833000000000004</v>
      </c>
      <c r="AW110" s="128">
        <v>38.565800000000003</v>
      </c>
      <c r="AX110" s="49">
        <f t="shared" si="126"/>
        <v>6401.3189039999997</v>
      </c>
      <c r="AY110" s="49">
        <f t="shared" si="126"/>
        <v>4577.4351400000005</v>
      </c>
      <c r="AZ110" s="47">
        <f t="shared" si="126"/>
        <v>0</v>
      </c>
      <c r="BA110" s="47">
        <f t="shared" si="162"/>
        <v>0</v>
      </c>
      <c r="BB110" s="48">
        <f t="shared" si="163"/>
        <v>6401.3189039999997</v>
      </c>
      <c r="BC110" s="48">
        <f t="shared" si="164"/>
        <v>4577.4351400000005</v>
      </c>
      <c r="BD110" s="93">
        <f t="shared" si="165"/>
        <v>6401.3189039999997</v>
      </c>
      <c r="BE110" s="93">
        <f t="shared" si="166"/>
        <v>4577.4351400000005</v>
      </c>
      <c r="BG110" s="128">
        <v>13.9415</v>
      </c>
      <c r="BH110" s="130">
        <v>5.2698</v>
      </c>
      <c r="BI110" s="128">
        <v>0</v>
      </c>
      <c r="BJ110" s="128">
        <v>8.2725000000000009</v>
      </c>
      <c r="BK110" s="128">
        <v>46.094200000000001</v>
      </c>
      <c r="BL110" s="49">
        <f t="shared" si="127"/>
        <v>4578.6674300000004</v>
      </c>
      <c r="BM110" s="49">
        <f t="shared" si="127"/>
        <v>3186.5426639999996</v>
      </c>
      <c r="BN110" s="47">
        <f t="shared" si="127"/>
        <v>0</v>
      </c>
      <c r="BO110" s="47">
        <f t="shared" si="167"/>
        <v>0</v>
      </c>
      <c r="BP110" s="48">
        <f t="shared" si="168"/>
        <v>4578.6674300000004</v>
      </c>
      <c r="BQ110" s="48">
        <f t="shared" si="169"/>
        <v>3186.5426639999996</v>
      </c>
      <c r="BR110" s="93">
        <f t="shared" si="170"/>
        <v>4578.6674300000004</v>
      </c>
      <c r="BS110" s="93">
        <f t="shared" si="171"/>
        <v>3186.5426639999996</v>
      </c>
      <c r="BU110" s="128">
        <v>10.945600000000001</v>
      </c>
      <c r="BV110" s="130">
        <v>4.5777000000000001</v>
      </c>
      <c r="BW110" s="128">
        <v>0</v>
      </c>
      <c r="BX110" s="128">
        <v>12.2042</v>
      </c>
      <c r="BY110" s="128">
        <v>18.949200000000001</v>
      </c>
      <c r="BZ110" s="49">
        <f t="shared" si="128"/>
        <v>2655.40256</v>
      </c>
      <c r="CA110" s="49">
        <f t="shared" si="128"/>
        <v>1849.940124</v>
      </c>
      <c r="CB110" s="47">
        <f t="shared" si="128"/>
        <v>0</v>
      </c>
      <c r="CC110" s="47">
        <f t="shared" si="172"/>
        <v>0</v>
      </c>
      <c r="CD110" s="48">
        <f t="shared" si="173"/>
        <v>2655.40256</v>
      </c>
      <c r="CE110" s="48">
        <f t="shared" si="174"/>
        <v>1849.940124</v>
      </c>
      <c r="CF110" s="93">
        <f t="shared" si="175"/>
        <v>2655.40256</v>
      </c>
      <c r="CG110" s="93">
        <f t="shared" si="176"/>
        <v>1849.940124</v>
      </c>
      <c r="CI110" s="128">
        <v>0.42930000000000001</v>
      </c>
      <c r="CJ110" s="130">
        <v>0.14949999999999999</v>
      </c>
      <c r="CK110" s="128">
        <v>0</v>
      </c>
      <c r="CL110" s="128">
        <v>26.56</v>
      </c>
      <c r="CM110" s="128">
        <v>107.8275</v>
      </c>
      <c r="CN110" s="49">
        <f t="shared" si="129"/>
        <v>91.131804000000002</v>
      </c>
      <c r="CO110" s="49">
        <f t="shared" si="129"/>
        <v>41.184260000000002</v>
      </c>
      <c r="CP110" s="47">
        <f t="shared" si="129"/>
        <v>0</v>
      </c>
      <c r="CQ110" s="47">
        <f t="shared" si="177"/>
        <v>0</v>
      </c>
      <c r="CR110" s="48">
        <f t="shared" si="178"/>
        <v>91.131804000000002</v>
      </c>
      <c r="CS110" s="48">
        <f t="shared" si="179"/>
        <v>41.184260000000002</v>
      </c>
      <c r="CT110" s="93">
        <f t="shared" si="180"/>
        <v>91.131804000000002</v>
      </c>
      <c r="CU110" s="93">
        <f t="shared" si="181"/>
        <v>41.184260000000002</v>
      </c>
      <c r="CW110" s="128">
        <v>0.72009999999999996</v>
      </c>
      <c r="CX110" s="130">
        <v>0.18690000000000001</v>
      </c>
      <c r="CY110" s="128">
        <v>0</v>
      </c>
      <c r="CZ110" s="128">
        <v>4.5833000000000004</v>
      </c>
      <c r="DA110" s="128">
        <v>15.0558</v>
      </c>
      <c r="DB110" s="49">
        <f t="shared" si="130"/>
        <v>154.61267100000001</v>
      </c>
      <c r="DC110" s="49">
        <f t="shared" si="130"/>
        <v>56.077476000000004</v>
      </c>
      <c r="DD110" s="47">
        <f t="shared" si="130"/>
        <v>0</v>
      </c>
      <c r="DE110" s="47">
        <f t="shared" si="182"/>
        <v>0</v>
      </c>
      <c r="DF110" s="48">
        <f t="shared" si="183"/>
        <v>154.61267100000001</v>
      </c>
      <c r="DG110" s="48">
        <f t="shared" si="184"/>
        <v>56.077476000000004</v>
      </c>
      <c r="DH110" s="93">
        <f t="shared" si="185"/>
        <v>154.61267100000001</v>
      </c>
      <c r="DI110" s="93">
        <f t="shared" si="186"/>
        <v>56.077476000000004</v>
      </c>
      <c r="DK110" s="128">
        <v>1.0401</v>
      </c>
      <c r="DL110" s="130">
        <v>0.37409999999999999</v>
      </c>
      <c r="DM110" s="128">
        <v>0</v>
      </c>
      <c r="DN110" s="128">
        <v>9.9749999999999996</v>
      </c>
      <c r="DO110" s="128">
        <v>33.458300000000001</v>
      </c>
      <c r="DP110" s="49">
        <f t="shared" si="131"/>
        <v>137.66763600000002</v>
      </c>
      <c r="DQ110" s="49">
        <f t="shared" si="131"/>
        <v>72.436982999999998</v>
      </c>
      <c r="DR110" s="47">
        <f t="shared" si="131"/>
        <v>0</v>
      </c>
      <c r="DS110" s="47">
        <f t="shared" si="187"/>
        <v>0</v>
      </c>
      <c r="DT110" s="48">
        <f t="shared" si="188"/>
        <v>137.66763600000002</v>
      </c>
      <c r="DU110" s="48">
        <f t="shared" si="189"/>
        <v>72.436982999999998</v>
      </c>
      <c r="DV110" s="93">
        <f t="shared" si="190"/>
        <v>137.66763600000002</v>
      </c>
      <c r="DW110" s="93">
        <f t="shared" si="191"/>
        <v>72.436982999999998</v>
      </c>
      <c r="EB110" s="52"/>
      <c r="EC110" s="52"/>
      <c r="ED110" s="52"/>
      <c r="EE110" s="55">
        <f t="shared" si="192"/>
        <v>41.138300000000001</v>
      </c>
      <c r="EF110" s="55">
        <f t="shared" si="192"/>
        <v>174.91240000000002</v>
      </c>
      <c r="EG110" s="55">
        <f t="shared" si="192"/>
        <v>14585.3410628</v>
      </c>
      <c r="EH110" s="55">
        <f t="shared" si="132"/>
        <v>11313.4308208</v>
      </c>
      <c r="EI110" s="298">
        <f t="shared" si="194"/>
        <v>0.19041039904059556</v>
      </c>
      <c r="EJ110" s="52"/>
      <c r="EK110" s="55">
        <f t="shared" si="193"/>
        <v>14585.3410628</v>
      </c>
      <c r="EL110" s="55">
        <f t="shared" si="193"/>
        <v>11313.4308208</v>
      </c>
      <c r="EM110" s="55">
        <f t="shared" si="193"/>
        <v>14585.3410628</v>
      </c>
      <c r="EN110" s="55">
        <f t="shared" si="193"/>
        <v>11313.4308208</v>
      </c>
      <c r="EP110" s="52"/>
      <c r="EQ110" s="52"/>
      <c r="ER110" s="52"/>
      <c r="ES110" s="55">
        <f t="shared" si="134"/>
        <v>41.915799999999997</v>
      </c>
      <c r="ET110" s="55">
        <f t="shared" si="134"/>
        <v>174.0558</v>
      </c>
      <c r="EU110" s="55">
        <f t="shared" si="134"/>
        <v>10862.425908700001</v>
      </c>
      <c r="EV110" s="55">
        <f t="shared" si="134"/>
        <v>8560.6520781999989</v>
      </c>
      <c r="EW110" s="298">
        <f t="shared" si="195"/>
        <v>0.19408014757495892</v>
      </c>
      <c r="EX110" s="52"/>
      <c r="EY110" s="55">
        <f t="shared" si="136"/>
        <v>10862.425908700001</v>
      </c>
      <c r="EZ110" s="55">
        <f t="shared" si="136"/>
        <v>8560.6520781999989</v>
      </c>
      <c r="FA110" s="55">
        <f t="shared" si="136"/>
        <v>10862.425908700001</v>
      </c>
      <c r="FB110" s="55">
        <f t="shared" si="136"/>
        <v>8560.6520781999989</v>
      </c>
      <c r="FD110" s="52"/>
      <c r="FE110" s="52"/>
      <c r="FF110" s="52"/>
      <c r="FG110" s="55">
        <f t="shared" si="137"/>
        <v>48.739200000000004</v>
      </c>
      <c r="FH110" s="55">
        <f t="shared" si="137"/>
        <v>162.23500000000001</v>
      </c>
      <c r="FI110" s="55">
        <f t="shared" si="137"/>
        <v>9312.6283136000002</v>
      </c>
      <c r="FJ110" s="55">
        <f t="shared" si="137"/>
        <v>7360.9765857999992</v>
      </c>
      <c r="FK110" s="298">
        <f t="shared" si="196"/>
        <v>0.23101971710284955</v>
      </c>
      <c r="FL110" s="52"/>
      <c r="FM110" s="55">
        <f t="shared" si="139"/>
        <v>9312.6283136000002</v>
      </c>
      <c r="FN110" s="55">
        <f t="shared" si="139"/>
        <v>7360.9765857999992</v>
      </c>
      <c r="FO110" s="55">
        <f t="shared" si="139"/>
        <v>9312.6283136000002</v>
      </c>
      <c r="FP110" s="55">
        <f t="shared" si="139"/>
        <v>7360.9765857999992</v>
      </c>
      <c r="FR110" s="52"/>
      <c r="FS110" s="52"/>
      <c r="FT110" s="52"/>
      <c r="FU110" s="55">
        <f t="shared" si="140"/>
        <v>31.1433</v>
      </c>
      <c r="FV110" s="55">
        <f t="shared" si="140"/>
        <v>122.88330000000001</v>
      </c>
      <c r="FW110" s="55">
        <f t="shared" si="140"/>
        <v>214.82194079999999</v>
      </c>
      <c r="FX110" s="55">
        <f t="shared" si="140"/>
        <v>86.046240800000007</v>
      </c>
      <c r="FY110" s="298">
        <f t="shared" si="197"/>
        <v>0.20219429630985816</v>
      </c>
      <c r="FZ110" s="52"/>
      <c r="GA110" s="55">
        <f t="shared" si="142"/>
        <v>214.82194079999999</v>
      </c>
      <c r="GB110" s="55">
        <f t="shared" si="142"/>
        <v>86.046240800000007</v>
      </c>
      <c r="GC110" s="55">
        <f t="shared" si="142"/>
        <v>214.82194079999999</v>
      </c>
      <c r="GD110" s="55">
        <f t="shared" si="142"/>
        <v>86.046240800000007</v>
      </c>
      <c r="GF110" s="52"/>
      <c r="GG110" s="52"/>
      <c r="GH110" s="52"/>
      <c r="GI110" s="55">
        <f t="shared" si="143"/>
        <v>18.287500000000001</v>
      </c>
      <c r="GJ110" s="55">
        <f t="shared" si="143"/>
        <v>57.515000000000001</v>
      </c>
      <c r="GK110" s="56">
        <f t="shared" si="144"/>
        <v>2809.4372579999999</v>
      </c>
      <c r="GL110" s="56">
        <f t="shared" si="144"/>
        <v>2045.6212620000006</v>
      </c>
      <c r="GM110" s="298">
        <f t="shared" si="198"/>
        <v>0.24125193760100261</v>
      </c>
      <c r="GN110" s="52"/>
      <c r="GO110" s="56">
        <f t="shared" si="146"/>
        <v>2809.4372579999999</v>
      </c>
      <c r="GP110" s="56">
        <f t="shared" si="146"/>
        <v>2045.6212620000006</v>
      </c>
      <c r="GQ110" s="56">
        <f t="shared" si="146"/>
        <v>2809.4372579999999</v>
      </c>
      <c r="GR110" s="56">
        <f t="shared" si="146"/>
        <v>2045.6212620000006</v>
      </c>
    </row>
    <row r="113" spans="8:139" x14ac:dyDescent="0.2">
      <c r="H113" s="131"/>
      <c r="I113" s="131"/>
      <c r="J113" s="131"/>
      <c r="K113" s="131"/>
      <c r="L113" s="131"/>
      <c r="EI113" s="131"/>
    </row>
  </sheetData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9">
    <tabColor indexed="13"/>
  </sheetPr>
  <dimension ref="A1:HY113"/>
  <sheetViews>
    <sheetView showGridLines="0" topLeftCell="GO1" workbookViewId="0">
      <selection activeCell="HJ10" sqref="HJ10"/>
    </sheetView>
  </sheetViews>
  <sheetFormatPr baseColWidth="10" defaultColWidth="8.77734375" defaultRowHeight="10.199999999999999" x14ac:dyDescent="0.2"/>
  <cols>
    <col min="1" max="5" width="8.77734375" style="118"/>
    <col min="6" max="7" width="8.77734375" style="1"/>
    <col min="8" max="15" width="8.77734375" style="118"/>
    <col min="16" max="16" width="8.77734375" style="131"/>
    <col min="17" max="19" width="8.77734375" style="118"/>
    <col min="20" max="21" width="8.77734375" style="1"/>
    <col min="22" max="33" width="8.77734375" style="118"/>
    <col min="34" max="35" width="8.77734375" style="1"/>
    <col min="36" max="47" width="8.77734375" style="118"/>
    <col min="48" max="49" width="8.77734375" style="1"/>
    <col min="50" max="61" width="8.77734375" style="118"/>
    <col min="62" max="63" width="8.77734375" style="1"/>
    <col min="64" max="75" width="8.77734375" style="118"/>
    <col min="76" max="77" width="8.77734375" style="1"/>
    <col min="78" max="89" width="8.77734375" style="118"/>
    <col min="90" max="91" width="8.77734375" style="1"/>
    <col min="92" max="103" width="8.77734375" style="118"/>
    <col min="104" max="105" width="8.77734375" style="1"/>
    <col min="106" max="117" width="8.77734375" style="118"/>
    <col min="118" max="119" width="8.77734375" style="1"/>
    <col min="120" max="130" width="8.77734375" style="118"/>
    <col min="131" max="138" width="8.77734375" style="131"/>
    <col min="139" max="139" width="8.77734375" style="1"/>
    <col min="140" max="152" width="8.77734375" style="131"/>
    <col min="153" max="153" width="8.77734375" style="1"/>
    <col min="154" max="166" width="8.77734375" style="131"/>
    <col min="167" max="167" width="8.77734375" style="1"/>
    <col min="168" max="204" width="8.77734375" style="131"/>
    <col min="205" max="207" width="8.77734375" style="118"/>
    <col min="208" max="209" width="8.77734375" style="1"/>
    <col min="210" max="217" width="8.77734375" style="118"/>
    <col min="218" max="219" width="8.77734375" style="131"/>
    <col min="220" max="222" width="8.77734375" style="118"/>
    <col min="223" max="224" width="8.77734375" style="1"/>
    <col min="225" max="16384" width="8.77734375" style="118"/>
  </cols>
  <sheetData>
    <row r="1" spans="1:233" ht="40.799999999999997" x14ac:dyDescent="0.2">
      <c r="C1" s="136" t="s">
        <v>278</v>
      </c>
      <c r="D1" s="97" t="str">
        <f xml:space="preserve"> C1</f>
        <v>Ambulant SB 30 2015</v>
      </c>
      <c r="E1" s="97" t="str">
        <f t="shared" ref="E1" si="0" xml:space="preserve"> D1</f>
        <v>Ambulant SB 30 2015</v>
      </c>
      <c r="F1" s="97" t="str">
        <f t="shared" ref="F1" si="1" xml:space="preserve"> E1</f>
        <v>Ambulant SB 30 2015</v>
      </c>
      <c r="G1" s="97" t="str">
        <f t="shared" ref="G1" si="2" xml:space="preserve"> F1</f>
        <v>Ambulant SB 30 2015</v>
      </c>
      <c r="H1" s="97" t="str">
        <f t="shared" ref="H1" si="3" xml:space="preserve"> G1</f>
        <v>Ambulant SB 30 2015</v>
      </c>
      <c r="I1" s="97" t="str">
        <f t="shared" ref="I1" si="4" xml:space="preserve"> H1</f>
        <v>Ambulant SB 30 2015</v>
      </c>
      <c r="J1" s="97" t="str">
        <f t="shared" ref="J1" si="5" xml:space="preserve"> I1</f>
        <v>Ambulant SB 30 2015</v>
      </c>
      <c r="K1" s="97" t="str">
        <f t="shared" ref="K1" si="6" xml:space="preserve"> J1</f>
        <v>Ambulant SB 30 2015</v>
      </c>
      <c r="L1" s="97" t="str">
        <f t="shared" ref="L1" si="7" xml:space="preserve"> K1</f>
        <v>Ambulant SB 30 2015</v>
      </c>
      <c r="M1" s="97" t="str">
        <f t="shared" ref="M1" si="8" xml:space="preserve"> L1</f>
        <v>Ambulant SB 30 2015</v>
      </c>
      <c r="N1" s="97" t="str">
        <f xml:space="preserve"> M1</f>
        <v>Ambulant SB 30 2015</v>
      </c>
      <c r="O1" s="97" t="str">
        <f xml:space="preserve"> N1</f>
        <v>Ambulant SB 30 2015</v>
      </c>
      <c r="P1" s="97" t="str">
        <f xml:space="preserve"> O1</f>
        <v>Ambulant SB 30 2015</v>
      </c>
      <c r="EB1" s="136" t="s">
        <v>271</v>
      </c>
      <c r="EC1" s="97" t="str">
        <f xml:space="preserve"> EB1</f>
        <v>Primo kompakt 2015</v>
      </c>
      <c r="ED1" s="97" t="str">
        <f t="shared" ref="ED1:EL1" si="9" xml:space="preserve"> EC1</f>
        <v>Primo kompakt 2015</v>
      </c>
      <c r="EE1" s="97" t="str">
        <f t="shared" si="9"/>
        <v>Primo kompakt 2015</v>
      </c>
      <c r="EF1" s="97" t="str">
        <f t="shared" si="9"/>
        <v>Primo kompakt 2015</v>
      </c>
      <c r="EG1" s="97" t="str">
        <f t="shared" si="9"/>
        <v>Primo kompakt 2015</v>
      </c>
      <c r="EH1" s="97" t="str">
        <f t="shared" si="9"/>
        <v>Primo kompakt 2015</v>
      </c>
      <c r="EI1" s="97" t="str">
        <f t="shared" si="9"/>
        <v>Primo kompakt 2015</v>
      </c>
      <c r="EJ1" s="97" t="str">
        <f t="shared" si="9"/>
        <v>Primo kompakt 2015</v>
      </c>
      <c r="EK1" s="97" t="str">
        <f t="shared" si="9"/>
        <v>Primo kompakt 2015</v>
      </c>
      <c r="EL1" s="97" t="str">
        <f t="shared" si="9"/>
        <v>Primo kompakt 2015</v>
      </c>
      <c r="EM1" s="97" t="str">
        <f xml:space="preserve"> EL1</f>
        <v>Primo kompakt 2015</v>
      </c>
      <c r="EN1" s="97" t="str">
        <f xml:space="preserve"> EM1</f>
        <v>Primo kompakt 2015</v>
      </c>
      <c r="EP1" s="136" t="s">
        <v>272</v>
      </c>
      <c r="EQ1" s="97" t="str">
        <f xml:space="preserve"> EP1</f>
        <v>Secundo kompakt 2015</v>
      </c>
      <c r="ER1" s="97" t="str">
        <f t="shared" ref="ER1:EZ1" si="10" xml:space="preserve"> EQ1</f>
        <v>Secundo kompakt 2015</v>
      </c>
      <c r="ES1" s="97" t="str">
        <f t="shared" si="10"/>
        <v>Secundo kompakt 2015</v>
      </c>
      <c r="ET1" s="97" t="str">
        <f t="shared" si="10"/>
        <v>Secundo kompakt 2015</v>
      </c>
      <c r="EU1" s="97" t="str">
        <f t="shared" si="10"/>
        <v>Secundo kompakt 2015</v>
      </c>
      <c r="EV1" s="97" t="str">
        <f t="shared" si="10"/>
        <v>Secundo kompakt 2015</v>
      </c>
      <c r="EW1" s="97" t="str">
        <f t="shared" si="10"/>
        <v>Secundo kompakt 2015</v>
      </c>
      <c r="EX1" s="97" t="str">
        <f t="shared" si="10"/>
        <v>Secundo kompakt 2015</v>
      </c>
      <c r="EY1" s="97" t="str">
        <f t="shared" si="10"/>
        <v>Secundo kompakt 2015</v>
      </c>
      <c r="EZ1" s="97" t="str">
        <f t="shared" si="10"/>
        <v>Secundo kompakt 2015</v>
      </c>
      <c r="FA1" s="97" t="str">
        <f xml:space="preserve"> EZ1</f>
        <v>Secundo kompakt 2015</v>
      </c>
      <c r="FB1" s="97" t="str">
        <f xml:space="preserve"> FA1</f>
        <v>Secundo kompakt 2015</v>
      </c>
      <c r="FD1" s="136" t="s">
        <v>273</v>
      </c>
      <c r="FE1" s="97" t="str">
        <f xml:space="preserve"> FD1</f>
        <v>Tertio kompakt 2015</v>
      </c>
      <c r="FF1" s="97" t="str">
        <f t="shared" ref="FF1:FN1" si="11" xml:space="preserve"> FE1</f>
        <v>Tertio kompakt 2015</v>
      </c>
      <c r="FG1" s="97" t="str">
        <f t="shared" si="11"/>
        <v>Tertio kompakt 2015</v>
      </c>
      <c r="FH1" s="97" t="str">
        <f t="shared" si="11"/>
        <v>Tertio kompakt 2015</v>
      </c>
      <c r="FI1" s="97" t="str">
        <f t="shared" si="11"/>
        <v>Tertio kompakt 2015</v>
      </c>
      <c r="FJ1" s="97" t="str">
        <f t="shared" si="11"/>
        <v>Tertio kompakt 2015</v>
      </c>
      <c r="FK1" s="97" t="str">
        <f t="shared" si="11"/>
        <v>Tertio kompakt 2015</v>
      </c>
      <c r="FL1" s="97" t="str">
        <f t="shared" si="11"/>
        <v>Tertio kompakt 2015</v>
      </c>
      <c r="FM1" s="97" t="str">
        <f t="shared" si="11"/>
        <v>Tertio kompakt 2015</v>
      </c>
      <c r="FN1" s="97" t="str">
        <f t="shared" si="11"/>
        <v>Tertio kompakt 2015</v>
      </c>
      <c r="FO1" s="97" t="str">
        <f xml:space="preserve"> FN1</f>
        <v>Tertio kompakt 2015</v>
      </c>
      <c r="FP1" s="97" t="str">
        <f xml:space="preserve"> FO1</f>
        <v>Tertio kompakt 2015</v>
      </c>
      <c r="FR1" s="136" t="s">
        <v>274</v>
      </c>
      <c r="FS1" s="97" t="str">
        <f xml:space="preserve"> FR1</f>
        <v>Primo zahn 2015</v>
      </c>
      <c r="FT1" s="97" t="str">
        <f t="shared" ref="FT1:GB1" si="12" xml:space="preserve"> FS1</f>
        <v>Primo zahn 2015</v>
      </c>
      <c r="FU1" s="97" t="str">
        <f t="shared" si="12"/>
        <v>Primo zahn 2015</v>
      </c>
      <c r="FV1" s="97" t="str">
        <f t="shared" si="12"/>
        <v>Primo zahn 2015</v>
      </c>
      <c r="FW1" s="97" t="str">
        <f t="shared" si="12"/>
        <v>Primo zahn 2015</v>
      </c>
      <c r="FX1" s="97" t="str">
        <f t="shared" si="12"/>
        <v>Primo zahn 2015</v>
      </c>
      <c r="FY1" s="97" t="str">
        <f t="shared" si="12"/>
        <v>Primo zahn 2015</v>
      </c>
      <c r="FZ1" s="97" t="str">
        <f t="shared" si="12"/>
        <v>Primo zahn 2015</v>
      </c>
      <c r="GA1" s="97" t="str">
        <f t="shared" si="12"/>
        <v>Primo zahn 2015</v>
      </c>
      <c r="GB1" s="97" t="str">
        <f t="shared" si="12"/>
        <v>Primo zahn 2015</v>
      </c>
      <c r="GC1" s="97" t="str">
        <f xml:space="preserve"> GB1</f>
        <v>Primo zahn 2015</v>
      </c>
      <c r="GD1" s="97" t="str">
        <f xml:space="preserve"> GC1</f>
        <v>Primo zahn 2015</v>
      </c>
      <c r="GF1" s="136" t="s">
        <v>275</v>
      </c>
      <c r="GG1" s="97" t="str">
        <f xml:space="preserve"> GF1</f>
        <v>GKV-Erg Primo stationär 2015</v>
      </c>
      <c r="GH1" s="97" t="str">
        <f t="shared" ref="GH1:GP1" si="13" xml:space="preserve"> GG1</f>
        <v>GKV-Erg Primo stationär 2015</v>
      </c>
      <c r="GI1" s="97" t="str">
        <f t="shared" si="13"/>
        <v>GKV-Erg Primo stationär 2015</v>
      </c>
      <c r="GJ1" s="97" t="str">
        <f t="shared" si="13"/>
        <v>GKV-Erg Primo stationär 2015</v>
      </c>
      <c r="GK1" s="97" t="str">
        <f t="shared" si="13"/>
        <v>GKV-Erg Primo stationär 2015</v>
      </c>
      <c r="GL1" s="97" t="str">
        <f t="shared" si="13"/>
        <v>GKV-Erg Primo stationär 2015</v>
      </c>
      <c r="GM1" s="97" t="str">
        <f t="shared" si="13"/>
        <v>GKV-Erg Primo stationär 2015</v>
      </c>
      <c r="GN1" s="97" t="str">
        <f t="shared" si="13"/>
        <v>GKV-Erg Primo stationär 2015</v>
      </c>
      <c r="GO1" s="97" t="str">
        <f t="shared" si="13"/>
        <v>GKV-Erg Primo stationär 2015</v>
      </c>
      <c r="GP1" s="97" t="str">
        <f t="shared" si="13"/>
        <v>GKV-Erg Primo stationär 2015</v>
      </c>
      <c r="GQ1" s="97" t="str">
        <f xml:space="preserve"> GP1</f>
        <v>GKV-Erg Primo stationär 2015</v>
      </c>
      <c r="GR1" s="97" t="str">
        <f xml:space="preserve"> GQ1</f>
        <v>GKV-Erg Primo stationär 2015</v>
      </c>
      <c r="GW1" s="136" t="s">
        <v>276</v>
      </c>
      <c r="GX1" s="97" t="str">
        <f xml:space="preserve"> GW1</f>
        <v>Ambulant SB 600 2015</v>
      </c>
      <c r="GY1" s="97" t="str">
        <f t="shared" ref="GY1" si="14" xml:space="preserve"> GX1</f>
        <v>Ambulant SB 600 2015</v>
      </c>
      <c r="GZ1" s="97" t="str">
        <f t="shared" ref="GZ1" si="15" xml:space="preserve"> GY1</f>
        <v>Ambulant SB 600 2015</v>
      </c>
      <c r="HA1" s="97" t="str">
        <f t="shared" ref="HA1" si="16" xml:space="preserve"> GZ1</f>
        <v>Ambulant SB 600 2015</v>
      </c>
      <c r="HB1" s="97" t="str">
        <f t="shared" ref="HB1" si="17" xml:space="preserve"> HA1</f>
        <v>Ambulant SB 600 2015</v>
      </c>
      <c r="HC1" s="97" t="str">
        <f t="shared" ref="HC1" si="18" xml:space="preserve"> HB1</f>
        <v>Ambulant SB 600 2015</v>
      </c>
      <c r="HD1" s="97" t="str">
        <f t="shared" ref="HD1" si="19" xml:space="preserve"> HC1</f>
        <v>Ambulant SB 600 2015</v>
      </c>
      <c r="HE1" s="97" t="str">
        <f t="shared" ref="HE1" si="20" xml:space="preserve"> HD1</f>
        <v>Ambulant SB 600 2015</v>
      </c>
      <c r="HF1" s="97" t="str">
        <f t="shared" ref="HF1" si="21" xml:space="preserve"> HE1</f>
        <v>Ambulant SB 600 2015</v>
      </c>
      <c r="HG1" s="97" t="str">
        <f t="shared" ref="HG1" si="22" xml:space="preserve"> HF1</f>
        <v>Ambulant SB 600 2015</v>
      </c>
      <c r="HH1" s="97" t="str">
        <f xml:space="preserve"> HG1</f>
        <v>Ambulant SB 600 2015</v>
      </c>
      <c r="HI1" s="97" t="str">
        <f xml:space="preserve"> HH1</f>
        <v>Ambulant SB 600 2015</v>
      </c>
      <c r="HJ1" s="97" t="str">
        <f xml:space="preserve"> HI1</f>
        <v>Ambulant SB 600 2015</v>
      </c>
      <c r="HL1" s="136" t="s">
        <v>277</v>
      </c>
      <c r="HM1" s="97" t="str">
        <f xml:space="preserve"> HL1</f>
        <v>Ambulant SB 1600 2015</v>
      </c>
      <c r="HN1" s="97" t="str">
        <f t="shared" ref="HN1" si="23" xml:space="preserve"> HM1</f>
        <v>Ambulant SB 1600 2015</v>
      </c>
      <c r="HO1" s="97" t="str">
        <f t="shared" ref="HO1" si="24" xml:space="preserve"> HN1</f>
        <v>Ambulant SB 1600 2015</v>
      </c>
      <c r="HP1" s="97" t="str">
        <f t="shared" ref="HP1" si="25" xml:space="preserve"> HO1</f>
        <v>Ambulant SB 1600 2015</v>
      </c>
      <c r="HQ1" s="97" t="str">
        <f t="shared" ref="HQ1" si="26" xml:space="preserve"> HP1</f>
        <v>Ambulant SB 1600 2015</v>
      </c>
      <c r="HR1" s="97" t="str">
        <f t="shared" ref="HR1" si="27" xml:space="preserve"> HQ1</f>
        <v>Ambulant SB 1600 2015</v>
      </c>
      <c r="HS1" s="97" t="str">
        <f t="shared" ref="HS1" si="28" xml:space="preserve"> HR1</f>
        <v>Ambulant SB 1600 2015</v>
      </c>
      <c r="HT1" s="97" t="str">
        <f t="shared" ref="HT1" si="29" xml:space="preserve"> HS1</f>
        <v>Ambulant SB 1600 2015</v>
      </c>
      <c r="HU1" s="97" t="str">
        <f t="shared" ref="HU1" si="30" xml:space="preserve"> HT1</f>
        <v>Ambulant SB 1600 2015</v>
      </c>
      <c r="HV1" s="97" t="str">
        <f t="shared" ref="HV1" si="31" xml:space="preserve"> HU1</f>
        <v>Ambulant SB 1600 2015</v>
      </c>
      <c r="HW1" s="97" t="str">
        <f xml:space="preserve"> HV1</f>
        <v>Ambulant SB 1600 2015</v>
      </c>
      <c r="HX1" s="97" t="str">
        <f xml:space="preserve"> HW1</f>
        <v>Ambulant SB 1600 2015</v>
      </c>
      <c r="HY1" s="97" t="str">
        <f xml:space="preserve"> HX1</f>
        <v>Ambulant SB 1600 2015</v>
      </c>
    </row>
    <row r="2" spans="1:233" ht="30.6" x14ac:dyDescent="0.2">
      <c r="C2" s="129" t="s">
        <v>188</v>
      </c>
      <c r="D2" s="134"/>
      <c r="E2" s="134"/>
      <c r="F2" s="134"/>
      <c r="G2" s="134"/>
      <c r="H2" s="135" t="str">
        <f t="shared" ref="H2:J2" si="32" xml:space="preserve"> H4</f>
        <v>M mSML</v>
      </c>
      <c r="I2" s="135" t="str">
        <f t="shared" si="32"/>
        <v>F mSML</v>
      </c>
      <c r="J2" s="135" t="str">
        <f t="shared" si="32"/>
        <v>F S-Kosten</v>
      </c>
      <c r="K2" s="134"/>
      <c r="L2" s="135" t="str">
        <f t="shared" ref="L2:M2" si="33" xml:space="preserve"> L4</f>
        <v>M vSML</v>
      </c>
      <c r="M2" s="135" t="str">
        <f t="shared" si="33"/>
        <v>F vSML</v>
      </c>
      <c r="N2" s="135" t="str">
        <f xml:space="preserve"> N4</f>
        <v>M vSML/glvert</v>
      </c>
      <c r="O2" s="135" t="str">
        <f xml:space="preserve"> O4</f>
        <v>F vSML/glvert</v>
      </c>
      <c r="P2" s="135" t="str">
        <f xml:space="preserve"> P4</f>
        <v>λ_x</v>
      </c>
      <c r="Q2" s="129" t="s">
        <v>188</v>
      </c>
      <c r="R2" s="119"/>
      <c r="S2" s="119"/>
      <c r="T2" s="40"/>
      <c r="U2" s="40"/>
      <c r="V2" s="119"/>
      <c r="W2" s="119"/>
      <c r="X2" s="119"/>
      <c r="Y2" s="119"/>
      <c r="Z2" s="119"/>
      <c r="AA2" s="119"/>
      <c r="AB2" s="119"/>
      <c r="AC2" s="119"/>
      <c r="AE2" s="129" t="s">
        <v>188</v>
      </c>
      <c r="AF2" s="119"/>
      <c r="AG2" s="119"/>
      <c r="AH2" s="40"/>
      <c r="AI2" s="40"/>
      <c r="AJ2" s="119"/>
      <c r="AK2" s="119"/>
      <c r="AL2" s="119"/>
      <c r="AM2" s="119"/>
      <c r="AN2" s="119"/>
      <c r="AO2" s="119"/>
      <c r="AP2" s="119"/>
      <c r="AQ2" s="119"/>
      <c r="AS2" s="129" t="s">
        <v>188</v>
      </c>
      <c r="AT2" s="119"/>
      <c r="AU2" s="119"/>
      <c r="AV2" s="40"/>
      <c r="AW2" s="40"/>
      <c r="AX2" s="119"/>
      <c r="AY2" s="119"/>
      <c r="AZ2" s="119"/>
      <c r="BA2" s="119"/>
      <c r="BB2" s="119"/>
      <c r="BC2" s="119"/>
      <c r="BD2" s="119"/>
      <c r="BE2" s="119"/>
      <c r="BG2" s="129" t="s">
        <v>188</v>
      </c>
      <c r="BH2" s="119"/>
      <c r="BI2" s="119"/>
      <c r="BJ2" s="40"/>
      <c r="BK2" s="40"/>
      <c r="BL2" s="119"/>
      <c r="BM2" s="119"/>
      <c r="BN2" s="119"/>
      <c r="BO2" s="119"/>
      <c r="BP2" s="119"/>
      <c r="BQ2" s="119"/>
      <c r="BR2" s="119"/>
      <c r="BS2" s="119"/>
      <c r="BU2" s="129" t="s">
        <v>188</v>
      </c>
      <c r="BV2" s="119"/>
      <c r="BW2" s="119"/>
      <c r="BX2" s="40"/>
      <c r="BY2" s="40"/>
      <c r="BZ2" s="119"/>
      <c r="CA2" s="119"/>
      <c r="CB2" s="119"/>
      <c r="CC2" s="119"/>
      <c r="CD2" s="119"/>
      <c r="CE2" s="119"/>
      <c r="CF2" s="119"/>
      <c r="CG2" s="119"/>
      <c r="CI2" s="129" t="s">
        <v>188</v>
      </c>
      <c r="CJ2" s="119"/>
      <c r="CK2" s="119"/>
      <c r="CL2" s="40"/>
      <c r="CM2" s="40"/>
      <c r="CN2" s="119"/>
      <c r="CO2" s="119"/>
      <c r="CP2" s="119"/>
      <c r="CQ2" s="119"/>
      <c r="CR2" s="119"/>
      <c r="CS2" s="119"/>
      <c r="CT2" s="119"/>
      <c r="CU2" s="119"/>
      <c r="CW2" s="129" t="s">
        <v>188</v>
      </c>
      <c r="CX2" s="119"/>
      <c r="CY2" s="119"/>
      <c r="CZ2" s="40"/>
      <c r="DA2" s="40"/>
      <c r="DB2" s="119"/>
      <c r="DC2" s="119"/>
      <c r="DD2" s="119"/>
      <c r="DE2" s="119"/>
      <c r="DF2" s="119"/>
      <c r="DG2" s="119"/>
      <c r="DH2" s="119"/>
      <c r="DI2" s="119"/>
      <c r="DK2" s="129" t="s">
        <v>188</v>
      </c>
      <c r="DL2" s="119"/>
      <c r="DM2" s="119"/>
      <c r="DN2" s="40"/>
      <c r="DO2" s="40"/>
      <c r="DP2" s="119"/>
      <c r="DQ2" s="119"/>
      <c r="DR2" s="119"/>
      <c r="DS2" s="119"/>
      <c r="DT2" s="119"/>
      <c r="DU2" s="119"/>
      <c r="DV2" s="119"/>
      <c r="DW2" s="119"/>
      <c r="EB2" s="79" t="str">
        <f t="shared" ref="EB2" si="34" xml:space="preserve"> C2 &amp; " + " &amp; AS2 &amp; " + " &amp; CI2 &amp; " + " &amp; EB$8 &amp; " * " &amp; CW2</f>
        <v>2015 + 2015 + 2015 +  * 2015</v>
      </c>
      <c r="EC2" s="134"/>
      <c r="ED2" s="134"/>
      <c r="EE2" s="134"/>
      <c r="EF2" s="134"/>
      <c r="EG2" s="135" t="str">
        <f t="shared" ref="EG2:EL2" si="35" xml:space="preserve"> EG4</f>
        <v>M mSML</v>
      </c>
      <c r="EH2" s="135" t="str">
        <f t="shared" si="35"/>
        <v>F mSML</v>
      </c>
      <c r="EI2" s="135" t="str">
        <f t="shared" si="35"/>
        <v>λ_x</v>
      </c>
      <c r="EJ2" s="134"/>
      <c r="EK2" s="135" t="str">
        <f t="shared" si="35"/>
        <v>M vSML</v>
      </c>
      <c r="EL2" s="135" t="str">
        <f t="shared" si="35"/>
        <v>F vSML</v>
      </c>
      <c r="EM2" s="135" t="str">
        <f xml:space="preserve"> EM4</f>
        <v>M vSML/glvert</v>
      </c>
      <c r="EN2" s="135" t="str">
        <f xml:space="preserve"> EN4</f>
        <v>F vSML/glvert</v>
      </c>
      <c r="EP2" s="79" t="str">
        <f xml:space="preserve"> Q2 &amp; " + " &amp; BG2 &amp; " + " &amp; CI2 &amp; " + " &amp; EP$8 &amp; " * " &amp; CW2</f>
        <v>2015 + 2015 + 2015 +  * 2015</v>
      </c>
      <c r="EQ2" s="134"/>
      <c r="ER2" s="134"/>
      <c r="ES2" s="134"/>
      <c r="ET2" s="134"/>
      <c r="EU2" s="135" t="str">
        <f t="shared" ref="EU2:EZ2" si="36" xml:space="preserve"> EU4</f>
        <v>M mSML</v>
      </c>
      <c r="EV2" s="135" t="str">
        <f t="shared" si="36"/>
        <v>F mSML</v>
      </c>
      <c r="EW2" s="135" t="str">
        <f t="shared" si="36"/>
        <v>λ_x</v>
      </c>
      <c r="EX2" s="134"/>
      <c r="EY2" s="135" t="str">
        <f t="shared" si="36"/>
        <v>M vSML</v>
      </c>
      <c r="EZ2" s="135" t="str">
        <f t="shared" si="36"/>
        <v>F vSML</v>
      </c>
      <c r="FA2" s="135" t="str">
        <f xml:space="preserve"> FA4</f>
        <v>M vSML/glvert</v>
      </c>
      <c r="FB2" s="135" t="str">
        <f xml:space="preserve"> FB4</f>
        <v>F vSML/glvert</v>
      </c>
      <c r="FD2" s="79" t="str">
        <f xml:space="preserve"> AE2 &amp; " + " &amp; BU2 &amp; " + " &amp; CI2 &amp; " + " &amp; FD$8 &amp; " * " &amp; DK2</f>
        <v>2015 + 2015 + 2015 +  * 2015</v>
      </c>
      <c r="FE2" s="134"/>
      <c r="FF2" s="134"/>
      <c r="FG2" s="134"/>
      <c r="FH2" s="134"/>
      <c r="FI2" s="135" t="str">
        <f t="shared" ref="FI2:FN2" si="37" xml:space="preserve"> FI4</f>
        <v>M mSML</v>
      </c>
      <c r="FJ2" s="135" t="str">
        <f t="shared" si="37"/>
        <v>F mSML</v>
      </c>
      <c r="FK2" s="135" t="str">
        <f t="shared" si="37"/>
        <v>λ_x</v>
      </c>
      <c r="FL2" s="134"/>
      <c r="FM2" s="135" t="str">
        <f t="shared" si="37"/>
        <v>M vSML</v>
      </c>
      <c r="FN2" s="135" t="str">
        <f t="shared" si="37"/>
        <v>F vSML</v>
      </c>
      <c r="FO2" s="135" t="str">
        <f xml:space="preserve"> FO4</f>
        <v>M vSML/glvert</v>
      </c>
      <c r="FP2" s="135" t="str">
        <f xml:space="preserve"> FP4</f>
        <v>F vSML/glvert</v>
      </c>
      <c r="FR2" s="79" t="str">
        <f xml:space="preserve"> CI2 &amp; " + " &amp; FR$8 &amp; " * " &amp; CW2</f>
        <v>2015 +  * 2015</v>
      </c>
      <c r="FS2" s="134"/>
      <c r="FT2" s="134"/>
      <c r="FU2" s="134"/>
      <c r="FV2" s="134"/>
      <c r="FW2" s="135" t="str">
        <f t="shared" ref="FW2:GB2" si="38" xml:space="preserve"> FW4</f>
        <v>M mSML</v>
      </c>
      <c r="FX2" s="135" t="str">
        <f t="shared" si="38"/>
        <v>F mSML</v>
      </c>
      <c r="FY2" s="135" t="str">
        <f t="shared" si="38"/>
        <v>λ_x</v>
      </c>
      <c r="FZ2" s="134"/>
      <c r="GA2" s="135" t="str">
        <f t="shared" si="38"/>
        <v>M vSML</v>
      </c>
      <c r="GB2" s="135" t="str">
        <f t="shared" si="38"/>
        <v>F vSML</v>
      </c>
      <c r="GC2" s="135" t="str">
        <f xml:space="preserve"> GC4</f>
        <v>M vSML/glvert</v>
      </c>
      <c r="GD2" s="135" t="str">
        <f xml:space="preserve"> GD4</f>
        <v>F vSML/glvert</v>
      </c>
      <c r="GF2" s="80" t="str">
        <f xml:space="preserve">  AS2 &amp; " - " &amp; BU2 &amp; " / * " &amp; GF$8</f>
        <v xml:space="preserve">2015 - 2015 / * </v>
      </c>
      <c r="GG2" s="134"/>
      <c r="GH2" s="134"/>
      <c r="GI2" s="134"/>
      <c r="GJ2" s="134"/>
      <c r="GK2" s="135" t="str">
        <f t="shared" ref="GK2:GP2" si="39" xml:space="preserve"> GK4</f>
        <v>M mSML</v>
      </c>
      <c r="GL2" s="135" t="str">
        <f t="shared" si="39"/>
        <v>F mSML</v>
      </c>
      <c r="GM2" s="135" t="str">
        <f t="shared" si="39"/>
        <v>λ_x</v>
      </c>
      <c r="GN2" s="134"/>
      <c r="GO2" s="135" t="str">
        <f t="shared" si="39"/>
        <v>M vSML</v>
      </c>
      <c r="GP2" s="135" t="str">
        <f t="shared" si="39"/>
        <v>F vSML</v>
      </c>
      <c r="GQ2" s="135" t="str">
        <f xml:space="preserve"> GQ4</f>
        <v>M vSML/glvert</v>
      </c>
      <c r="GR2" s="135" t="str">
        <f xml:space="preserve"> GR4</f>
        <v>F vSML/glvert</v>
      </c>
      <c r="GW2" s="129" t="s">
        <v>188</v>
      </c>
      <c r="GX2" s="134"/>
      <c r="GY2" s="134"/>
      <c r="GZ2" s="134"/>
      <c r="HA2" s="134"/>
      <c r="HB2" s="135" t="str">
        <f t="shared" ref="HB2:HD2" si="40" xml:space="preserve"> HB4</f>
        <v>M mSML</v>
      </c>
      <c r="HC2" s="135" t="str">
        <f t="shared" si="40"/>
        <v>F mSML</v>
      </c>
      <c r="HD2" s="135" t="str">
        <f t="shared" si="40"/>
        <v>F S-Kosten</v>
      </c>
      <c r="HE2" s="134"/>
      <c r="HF2" s="135" t="str">
        <f t="shared" ref="HF2:HG2" si="41" xml:space="preserve"> HF4</f>
        <v>M vSML</v>
      </c>
      <c r="HG2" s="135" t="str">
        <f t="shared" si="41"/>
        <v>F vSML</v>
      </c>
      <c r="HH2" s="135" t="str">
        <f xml:space="preserve"> HH4</f>
        <v>M vSML/glvert</v>
      </c>
      <c r="HI2" s="135" t="str">
        <f xml:space="preserve"> HI4</f>
        <v>F vSML/glvert</v>
      </c>
      <c r="HJ2" s="135" t="str">
        <f xml:space="preserve"> HJ4</f>
        <v>λ_x</v>
      </c>
      <c r="HL2" s="129" t="s">
        <v>188</v>
      </c>
      <c r="HM2" s="134"/>
      <c r="HN2" s="134"/>
      <c r="HO2" s="134"/>
      <c r="HP2" s="134"/>
      <c r="HQ2" s="135" t="str">
        <f t="shared" ref="HQ2:HS2" si="42" xml:space="preserve"> HQ4</f>
        <v>M mSML</v>
      </c>
      <c r="HR2" s="135" t="str">
        <f t="shared" si="42"/>
        <v>F mSML</v>
      </c>
      <c r="HS2" s="135" t="str">
        <f t="shared" si="42"/>
        <v>F S-Kosten</v>
      </c>
      <c r="HT2" s="134"/>
      <c r="HU2" s="135" t="str">
        <f t="shared" ref="HU2:HV2" si="43" xml:space="preserve"> HU4</f>
        <v>M vSML</v>
      </c>
      <c r="HV2" s="135" t="str">
        <f t="shared" si="43"/>
        <v>F vSML</v>
      </c>
      <c r="HW2" s="135" t="str">
        <f xml:space="preserve"> HW4</f>
        <v>M vSML/glvert</v>
      </c>
      <c r="HX2" s="135" t="str">
        <f xml:space="preserve"> HX4</f>
        <v>F vSML/glvert</v>
      </c>
      <c r="HY2" s="135" t="str">
        <f xml:space="preserve"> HY4</f>
        <v>λ_x</v>
      </c>
    </row>
    <row r="3" spans="1:233" s="120" customFormat="1" ht="81.599999999999994" x14ac:dyDescent="0.2">
      <c r="C3" s="121" t="s">
        <v>0</v>
      </c>
      <c r="D3" s="121" t="s">
        <v>1</v>
      </c>
      <c r="E3" s="121" t="s">
        <v>77</v>
      </c>
      <c r="F3" s="121" t="s">
        <v>79</v>
      </c>
      <c r="G3" s="121" t="s">
        <v>80</v>
      </c>
      <c r="H3" s="122" t="str">
        <f xml:space="preserve"> C3 &amp; " " &amp; SML_mSML</f>
        <v>M mSML</v>
      </c>
      <c r="I3" s="122" t="str">
        <f xml:space="preserve"> D3 &amp; " " &amp; SML_mSML</f>
        <v>F mSML</v>
      </c>
      <c r="J3" s="123" t="str">
        <f xml:space="preserve"> E3</f>
        <v>F S-Kosten</v>
      </c>
      <c r="K3" s="121" t="s">
        <v>81</v>
      </c>
      <c r="L3" s="122" t="str">
        <f xml:space="preserve"> C3 &amp; " " &amp; SML_vSML</f>
        <v>M vSML</v>
      </c>
      <c r="M3" s="122" t="str">
        <f xml:space="preserve"> D3 &amp; " " &amp; SML_vSML</f>
        <v>F vSML</v>
      </c>
      <c r="N3" s="122" t="str">
        <f xml:space="preserve"> C3 &amp; " " &amp; SML_vMLglvert</f>
        <v>M vSML/glvert</v>
      </c>
      <c r="O3" s="122" t="str">
        <f xml:space="preserve"> D3 &amp; " " &amp; SML_vMLglvert</f>
        <v>F vSML/glvert</v>
      </c>
      <c r="P3" s="299"/>
      <c r="Q3" s="121" t="s">
        <v>0</v>
      </c>
      <c r="R3" s="121" t="s">
        <v>1</v>
      </c>
      <c r="S3" s="121" t="s">
        <v>77</v>
      </c>
      <c r="T3" s="121" t="s">
        <v>79</v>
      </c>
      <c r="U3" s="121" t="s">
        <v>80</v>
      </c>
      <c r="V3" s="122" t="str">
        <f xml:space="preserve"> Q3 &amp; " " &amp; SML_mSML</f>
        <v>M mSML</v>
      </c>
      <c r="W3" s="122" t="str">
        <f xml:space="preserve"> R3 &amp; " " &amp; SML_mSML</f>
        <v>F mSML</v>
      </c>
      <c r="X3" s="123" t="str">
        <f xml:space="preserve"> S3</f>
        <v>F S-Kosten</v>
      </c>
      <c r="Y3" s="121" t="s">
        <v>81</v>
      </c>
      <c r="Z3" s="122" t="str">
        <f xml:space="preserve"> Q3 &amp; " " &amp; SML_vSML</f>
        <v>M vSML</v>
      </c>
      <c r="AA3" s="122" t="str">
        <f xml:space="preserve"> R3 &amp; " " &amp; SML_vSML</f>
        <v>F vSML</v>
      </c>
      <c r="AB3" s="122" t="str">
        <f xml:space="preserve"> Q3 &amp; " " &amp; SML_vMLglvert</f>
        <v>M vSML/glvert</v>
      </c>
      <c r="AC3" s="122" t="str">
        <f xml:space="preserve"> R3 &amp; " " &amp; SML_vMLglvert</f>
        <v>F vSML/glvert</v>
      </c>
      <c r="AE3" s="121" t="s">
        <v>0</v>
      </c>
      <c r="AF3" s="121" t="s">
        <v>1</v>
      </c>
      <c r="AG3" s="121" t="s">
        <v>77</v>
      </c>
      <c r="AH3" s="121" t="s">
        <v>79</v>
      </c>
      <c r="AI3" s="121" t="s">
        <v>80</v>
      </c>
      <c r="AJ3" s="122" t="str">
        <f xml:space="preserve"> AE3 &amp; " " &amp; SML_mSML</f>
        <v>M mSML</v>
      </c>
      <c r="AK3" s="122" t="str">
        <f xml:space="preserve"> AF3 &amp; " " &amp; SML_mSML</f>
        <v>F mSML</v>
      </c>
      <c r="AL3" s="123" t="str">
        <f xml:space="preserve"> AG3</f>
        <v>F S-Kosten</v>
      </c>
      <c r="AM3" s="121" t="s">
        <v>81</v>
      </c>
      <c r="AN3" s="122" t="str">
        <f xml:space="preserve"> AE3 &amp; " " &amp; SML_vSML</f>
        <v>M vSML</v>
      </c>
      <c r="AO3" s="122" t="str">
        <f xml:space="preserve"> AF3 &amp; " " &amp; SML_vSML</f>
        <v>F vSML</v>
      </c>
      <c r="AP3" s="122" t="str">
        <f xml:space="preserve"> AE3 &amp; " " &amp; SML_vMLglvert</f>
        <v>M vSML/glvert</v>
      </c>
      <c r="AQ3" s="122" t="str">
        <f xml:space="preserve"> AF3 &amp; " " &amp; SML_vMLglvert</f>
        <v>F vSML/glvert</v>
      </c>
      <c r="AS3" s="121" t="s">
        <v>0</v>
      </c>
      <c r="AT3" s="121" t="s">
        <v>1</v>
      </c>
      <c r="AU3" s="121" t="s">
        <v>77</v>
      </c>
      <c r="AV3" s="121" t="s">
        <v>79</v>
      </c>
      <c r="AW3" s="121" t="s">
        <v>80</v>
      </c>
      <c r="AX3" s="122" t="str">
        <f xml:space="preserve"> AS3 &amp; " " &amp; SML_mSML</f>
        <v>M mSML</v>
      </c>
      <c r="AY3" s="122" t="str">
        <f xml:space="preserve"> AT3 &amp; " " &amp; SML_mSML</f>
        <v>F mSML</v>
      </c>
      <c r="AZ3" s="123" t="str">
        <f xml:space="preserve"> AU3</f>
        <v>F S-Kosten</v>
      </c>
      <c r="BA3" s="121" t="s">
        <v>81</v>
      </c>
      <c r="BB3" s="122" t="str">
        <f xml:space="preserve"> AS3 &amp; " " &amp; SML_vSML</f>
        <v>M vSML</v>
      </c>
      <c r="BC3" s="122" t="str">
        <f xml:space="preserve"> AT3 &amp; " " &amp; SML_vSML</f>
        <v>F vSML</v>
      </c>
      <c r="BD3" s="122" t="str">
        <f xml:space="preserve"> AS3 &amp; " " &amp; SML_vMLglvert</f>
        <v>M vSML/glvert</v>
      </c>
      <c r="BE3" s="122" t="str">
        <f xml:space="preserve"> AT3 &amp; " " &amp; SML_vMLglvert</f>
        <v>F vSML/glvert</v>
      </c>
      <c r="BG3" s="121" t="s">
        <v>0</v>
      </c>
      <c r="BH3" s="121" t="s">
        <v>1</v>
      </c>
      <c r="BI3" s="121" t="s">
        <v>77</v>
      </c>
      <c r="BJ3" s="121" t="s">
        <v>79</v>
      </c>
      <c r="BK3" s="121" t="s">
        <v>80</v>
      </c>
      <c r="BL3" s="122" t="str">
        <f xml:space="preserve"> BG3 &amp; " " &amp; SML_mSML</f>
        <v>M mSML</v>
      </c>
      <c r="BM3" s="122" t="str">
        <f xml:space="preserve"> BH3 &amp; " " &amp; SML_mSML</f>
        <v>F mSML</v>
      </c>
      <c r="BN3" s="123" t="str">
        <f xml:space="preserve"> BI3</f>
        <v>F S-Kosten</v>
      </c>
      <c r="BO3" s="121" t="s">
        <v>81</v>
      </c>
      <c r="BP3" s="122" t="str">
        <f xml:space="preserve"> BG3 &amp; " " &amp; SML_vSML</f>
        <v>M vSML</v>
      </c>
      <c r="BQ3" s="122" t="str">
        <f xml:space="preserve"> BH3 &amp; " " &amp; SML_vSML</f>
        <v>F vSML</v>
      </c>
      <c r="BR3" s="122" t="str">
        <f xml:space="preserve"> BG3 &amp; " " &amp; SML_vMLglvert</f>
        <v>M vSML/glvert</v>
      </c>
      <c r="BS3" s="122" t="str">
        <f xml:space="preserve"> BH3 &amp; " " &amp; SML_vMLglvert</f>
        <v>F vSML/glvert</v>
      </c>
      <c r="BU3" s="121" t="s">
        <v>0</v>
      </c>
      <c r="BV3" s="121" t="s">
        <v>1</v>
      </c>
      <c r="BW3" s="121" t="s">
        <v>77</v>
      </c>
      <c r="BX3" s="121" t="s">
        <v>79</v>
      </c>
      <c r="BY3" s="121" t="s">
        <v>80</v>
      </c>
      <c r="BZ3" s="122" t="str">
        <f xml:space="preserve"> BU3 &amp; " " &amp; SML_mSML</f>
        <v>M mSML</v>
      </c>
      <c r="CA3" s="122" t="str">
        <f xml:space="preserve"> BV3 &amp; " " &amp; SML_mSML</f>
        <v>F mSML</v>
      </c>
      <c r="CB3" s="123" t="str">
        <f xml:space="preserve"> BW3</f>
        <v>F S-Kosten</v>
      </c>
      <c r="CC3" s="121" t="s">
        <v>81</v>
      </c>
      <c r="CD3" s="122" t="str">
        <f xml:space="preserve"> BU3 &amp; " " &amp; SML_vSML</f>
        <v>M vSML</v>
      </c>
      <c r="CE3" s="122" t="str">
        <f xml:space="preserve"> BV3 &amp; " " &amp; SML_vSML</f>
        <v>F vSML</v>
      </c>
      <c r="CF3" s="122" t="str">
        <f xml:space="preserve"> BU3 &amp; " " &amp; SML_vMLglvert</f>
        <v>M vSML/glvert</v>
      </c>
      <c r="CG3" s="122" t="str">
        <f xml:space="preserve"> BV3 &amp; " " &amp; SML_vMLglvert</f>
        <v>F vSML/glvert</v>
      </c>
      <c r="CI3" s="121" t="s">
        <v>0</v>
      </c>
      <c r="CJ3" s="121" t="s">
        <v>1</v>
      </c>
      <c r="CK3" s="121" t="s">
        <v>77</v>
      </c>
      <c r="CL3" s="121" t="s">
        <v>79</v>
      </c>
      <c r="CM3" s="121" t="s">
        <v>80</v>
      </c>
      <c r="CN3" s="122" t="str">
        <f xml:space="preserve"> CI3 &amp; " " &amp; SML_mSML</f>
        <v>M mSML</v>
      </c>
      <c r="CO3" s="122" t="str">
        <f xml:space="preserve"> CJ3 &amp; " " &amp; SML_mSML</f>
        <v>F mSML</v>
      </c>
      <c r="CP3" s="123" t="str">
        <f xml:space="preserve"> CK3</f>
        <v>F S-Kosten</v>
      </c>
      <c r="CQ3" s="121" t="s">
        <v>81</v>
      </c>
      <c r="CR3" s="122" t="str">
        <f xml:space="preserve"> CI3 &amp; " " &amp; SML_vSML</f>
        <v>M vSML</v>
      </c>
      <c r="CS3" s="122" t="str">
        <f xml:space="preserve"> CJ3 &amp; " " &amp; SML_vSML</f>
        <v>F vSML</v>
      </c>
      <c r="CT3" s="122" t="str">
        <f xml:space="preserve"> CI3 &amp; " " &amp; SML_vMLglvert</f>
        <v>M vSML/glvert</v>
      </c>
      <c r="CU3" s="122" t="str">
        <f xml:space="preserve"> CJ3 &amp; " " &amp; SML_vMLglvert</f>
        <v>F vSML/glvert</v>
      </c>
      <c r="CW3" s="121" t="s">
        <v>0</v>
      </c>
      <c r="CX3" s="121" t="s">
        <v>1</v>
      </c>
      <c r="CY3" s="121" t="s">
        <v>77</v>
      </c>
      <c r="CZ3" s="121" t="s">
        <v>79</v>
      </c>
      <c r="DA3" s="121" t="s">
        <v>80</v>
      </c>
      <c r="DB3" s="122" t="str">
        <f xml:space="preserve"> CW3 &amp; " " &amp; SML_mSML</f>
        <v>M mSML</v>
      </c>
      <c r="DC3" s="122" t="str">
        <f xml:space="preserve"> CX3 &amp; " " &amp; SML_mSML</f>
        <v>F mSML</v>
      </c>
      <c r="DD3" s="123" t="str">
        <f xml:space="preserve"> CY3</f>
        <v>F S-Kosten</v>
      </c>
      <c r="DE3" s="121" t="s">
        <v>81</v>
      </c>
      <c r="DF3" s="122" t="str">
        <f xml:space="preserve"> CW3 &amp; " " &amp; SML_vSML</f>
        <v>M vSML</v>
      </c>
      <c r="DG3" s="122" t="str">
        <f xml:space="preserve"> CX3 &amp; " " &amp; SML_vSML</f>
        <v>F vSML</v>
      </c>
      <c r="DH3" s="122" t="str">
        <f xml:space="preserve"> CW3 &amp; " " &amp; SML_vMLglvert</f>
        <v>M vSML/glvert</v>
      </c>
      <c r="DI3" s="122" t="str">
        <f xml:space="preserve"> CX3 &amp; " " &amp; SML_vMLglvert</f>
        <v>F vSML/glvert</v>
      </c>
      <c r="DK3" s="121" t="s">
        <v>0</v>
      </c>
      <c r="DL3" s="121" t="s">
        <v>1</v>
      </c>
      <c r="DM3" s="121" t="s">
        <v>77</v>
      </c>
      <c r="DN3" s="121" t="s">
        <v>79</v>
      </c>
      <c r="DO3" s="121" t="s">
        <v>80</v>
      </c>
      <c r="DP3" s="122" t="str">
        <f xml:space="preserve"> DK3 &amp; " " &amp; SML_mSML</f>
        <v>M mSML</v>
      </c>
      <c r="DQ3" s="122" t="str">
        <f xml:space="preserve"> DL3 &amp; " " &amp; SML_mSML</f>
        <v>F mSML</v>
      </c>
      <c r="DR3" s="123" t="str">
        <f xml:space="preserve"> DM3</f>
        <v>F S-Kosten</v>
      </c>
      <c r="DS3" s="121" t="s">
        <v>81</v>
      </c>
      <c r="DT3" s="122" t="str">
        <f xml:space="preserve"> DK3 &amp; " " &amp; SML_vSML</f>
        <v>M vSML</v>
      </c>
      <c r="DU3" s="122" t="str">
        <f xml:space="preserve"> DL3 &amp; " " &amp; SML_vSML</f>
        <v>F vSML</v>
      </c>
      <c r="DV3" s="122" t="str">
        <f xml:space="preserve"> DK3 &amp; " " &amp; SML_vMLglvert</f>
        <v>M vSML/glvert</v>
      </c>
      <c r="DW3" s="122" t="str">
        <f xml:space="preserve"> DL3 &amp; " " &amp; SML_vMLglvert</f>
        <v>F vSML/glvert</v>
      </c>
      <c r="EA3" s="132"/>
      <c r="EB3" s="81"/>
      <c r="EC3" s="81"/>
      <c r="ED3" s="81"/>
      <c r="EE3" s="79" t="str">
        <f xml:space="preserve"> F3 &amp; " + " &amp; AV3 &amp; " + " &amp; CL3 &amp; " + " &amp; EE$8 &amp; " * " &amp; CZ3</f>
        <v>M Bestand + M Bestand + M Bestand + 1 * M Bestand</v>
      </c>
      <c r="EF3" s="79" t="str">
        <f xml:space="preserve"> G3 &amp; " + " &amp; AW3 &amp; " + " &amp; CM3 &amp; " + " &amp; EF$8 &amp; " * " &amp; DA3</f>
        <v>F Bestand + F Bestand + F Bestand + 1 * F Bestand</v>
      </c>
      <c r="EG3" s="79" t="str">
        <f xml:space="preserve"> H3 &amp; " + " &amp; AX3 &amp; " + " &amp; CN3 &amp; " + " &amp; EG$8 &amp; " * " &amp; DB3</f>
        <v>M mSML + M mSML + M mSML + 0,8 * M mSML</v>
      </c>
      <c r="EH3" s="79" t="str">
        <f xml:space="preserve"> I3 &amp; " + " &amp; AY3 &amp; " + " &amp; CO3 &amp; " + " &amp; EH$8 &amp; " * " &amp; DC3</f>
        <v>F mSML + F mSML + F mSML + 0,8 * F mSML</v>
      </c>
      <c r="EI3" s="80" t="str">
        <f xml:space="preserve"> EI4</f>
        <v>λ_x</v>
      </c>
      <c r="EJ3" s="81"/>
      <c r="EK3" s="79" t="str">
        <f xml:space="preserve"> L3 &amp; " + " &amp; BB3 &amp; " + " &amp; CR3 &amp; " + " &amp; EK$8 &amp; " * " &amp; DF3</f>
        <v>M vSML + M vSML + M vSML + 0,8 * M vSML</v>
      </c>
      <c r="EL3" s="79" t="str">
        <f xml:space="preserve"> M3 &amp; " + " &amp; BC3 &amp; " + " &amp; CS3 &amp; " + " &amp; EL$8 &amp; " * " &amp; DG3</f>
        <v>F vSML + F vSML + F vSML + 0,8 * F vSML</v>
      </c>
      <c r="EM3" s="79" t="str">
        <f xml:space="preserve"> N3 &amp; " + " &amp; BD3 &amp; " + " &amp; CT3 &amp; " + " &amp; EM$8 &amp; " * " &amp; DH3</f>
        <v>M vSML/glvert + M vSML/glvert + M vSML/glvert + 0,8 * M vSML/glvert</v>
      </c>
      <c r="EN3" s="79" t="str">
        <f xml:space="preserve"> O3 &amp; " + " &amp; BE3 &amp; " + " &amp; CU3 &amp; " + " &amp; EN$8 &amp; " * " &amp; DI3</f>
        <v>F vSML/glvert + F vSML/glvert + F vSML/glvert + 0,8 * F vSML/glvert</v>
      </c>
      <c r="EO3" s="132"/>
      <c r="EP3" s="81"/>
      <c r="EQ3" s="81"/>
      <c r="ER3" s="81"/>
      <c r="ES3" s="79" t="str">
        <f xml:space="preserve"> T3 &amp; " + " &amp; BJ3 &amp; " + " &amp; CL3 &amp; " + " &amp; ES$8 &amp; " * " &amp; CZ3</f>
        <v>M Bestand + M Bestand + M Bestand + 1 * M Bestand</v>
      </c>
      <c r="ET3" s="79" t="str">
        <f xml:space="preserve"> U3 &amp; " + " &amp; BK3 &amp; " + " &amp; CM3 &amp; " + " &amp; ET$8 &amp; " * " &amp; DA3</f>
        <v>F Bestand + F Bestand + F Bestand + 1 * F Bestand</v>
      </c>
      <c r="EU3" s="79" t="str">
        <f xml:space="preserve"> V3 &amp; " + " &amp; BL3 &amp; " + " &amp; CN3 &amp; " + " &amp; EU$8 &amp; " * " &amp; DB3</f>
        <v>M mSML + M mSML + M mSML + 0,7 * M mSML</v>
      </c>
      <c r="EV3" s="79" t="str">
        <f xml:space="preserve"> W3 &amp; " + " &amp; BM3 &amp; " + " &amp; CO3 &amp; " + " &amp; EV$8 &amp; " * " &amp; DC3</f>
        <v>F mSML + F mSML + F mSML + 0,7 * F mSML</v>
      </c>
      <c r="EW3" s="80" t="str">
        <f xml:space="preserve"> EW4</f>
        <v>λ_x</v>
      </c>
      <c r="EX3" s="81"/>
      <c r="EY3" s="79" t="str">
        <f xml:space="preserve"> Z3 &amp; " + " &amp; BP3 &amp; " + " &amp; CR3 &amp; " + " &amp; EY$8 &amp; " * " &amp; DF3</f>
        <v>M vSML + M vSML + M vSML + 0,7 * M vSML</v>
      </c>
      <c r="EZ3" s="79" t="str">
        <f xml:space="preserve"> AA3 &amp; " + " &amp; BQ3 &amp; " + " &amp; CS3 &amp; " + " &amp; EZ$8 &amp; " * " &amp; DG3</f>
        <v>F vSML + F vSML + F vSML + 0,7 * F vSML</v>
      </c>
      <c r="FA3" s="79" t="str">
        <f xml:space="preserve"> AB3 &amp; " + " &amp; BR3 &amp; " + " &amp; CT3 &amp; " + " &amp; FA$8 &amp; " * " &amp; DH3</f>
        <v>M vSML/glvert + M vSML/glvert + M vSML/glvert + 0,7 * M vSML/glvert</v>
      </c>
      <c r="FB3" s="79" t="str">
        <f xml:space="preserve"> AC3 &amp; " + " &amp; BS3 &amp; " + " &amp; CU3 &amp; " + " &amp; FB$8 &amp; " * " &amp; DI3</f>
        <v>F vSML/glvert + F vSML/glvert + F vSML/glvert + 0,7 * F vSML/glvert</v>
      </c>
      <c r="FC3" s="132"/>
      <c r="FD3" s="81"/>
      <c r="FE3" s="81"/>
      <c r="FF3" s="81"/>
      <c r="FG3" s="79" t="str">
        <f xml:space="preserve"> AH3 &amp; " + " &amp; BX3 &amp; " + " &amp; CL3 &amp; " + " &amp; FG$8 &amp; " * " &amp; DN3</f>
        <v>M Bestand + M Bestand + M Bestand + 1 * M Bestand</v>
      </c>
      <c r="FH3" s="79" t="str">
        <f xml:space="preserve"> AI3 &amp; " + " &amp; BY3 &amp; " + " &amp; CM3 &amp; " + " &amp; FH$8 &amp; " * " &amp; DO3</f>
        <v>F Bestand + F Bestand + F Bestand + 1 * F Bestand</v>
      </c>
      <c r="FI3" s="79" t="str">
        <f xml:space="preserve"> AJ3 &amp; " + " &amp; BZ3 &amp; " + " &amp; CN3 &amp; " + " &amp; FI$8 &amp; " * " &amp; DP3</f>
        <v>M mSML + M mSML + M mSML + 0,6 * M mSML</v>
      </c>
      <c r="FJ3" s="79" t="str">
        <f xml:space="preserve"> AK3 &amp; " + " &amp; CA3 &amp; " + " &amp; CO3 &amp; " + " &amp; FJ$8 &amp; " * " &amp; DQ3</f>
        <v>F mSML + F mSML + F mSML + 0,6 * F mSML</v>
      </c>
      <c r="FK3" s="80" t="str">
        <f xml:space="preserve"> FK4</f>
        <v>λ_x</v>
      </c>
      <c r="FL3" s="81"/>
      <c r="FM3" s="79" t="str">
        <f xml:space="preserve"> AN3 &amp; " + " &amp; CD3 &amp; " + " &amp; CR3 &amp; " + " &amp; FM$8 &amp; " * " &amp; DT3</f>
        <v>M vSML + M vSML + M vSML + 0,6 * M vSML</v>
      </c>
      <c r="FN3" s="79" t="str">
        <f xml:space="preserve"> AO3 &amp; " + " &amp; CE3 &amp; " + " &amp; CS3 &amp; " + " &amp; FN$8 &amp; " * " &amp; DU3</f>
        <v>F vSML + F vSML + F vSML + 0,6 * F vSML</v>
      </c>
      <c r="FO3" s="79" t="str">
        <f xml:space="preserve"> AP3 &amp; " + " &amp; CF3 &amp; " + " &amp; CT3 &amp; " + " &amp; FO$8 &amp; " * " &amp; DV3</f>
        <v>M vSML/glvert + M vSML/glvert + M vSML/glvert + 0,6 * M vSML/glvert</v>
      </c>
      <c r="FP3" s="79" t="str">
        <f xml:space="preserve"> AQ3 &amp; " + " &amp; CG3 &amp; " + " &amp; CU3 &amp; " + " &amp; FP$8 &amp; " * " &amp; DW3</f>
        <v>F vSML/glvert + F vSML/glvert + F vSML/glvert + 0,6 * F vSML/glvert</v>
      </c>
      <c r="FQ3" s="132"/>
      <c r="FR3" s="81"/>
      <c r="FS3" s="81"/>
      <c r="FT3" s="81"/>
      <c r="FU3" s="79" t="str">
        <f xml:space="preserve"> CL3 &amp; " + " &amp; FU$8 &amp; " * " &amp; CZ3</f>
        <v>M Bestand + 1 * M Bestand</v>
      </c>
      <c r="FV3" s="79" t="str">
        <f xml:space="preserve"> CM3 &amp; " + " &amp; FV$8 &amp; " * " &amp; DA3</f>
        <v>F Bestand + 1 * F Bestand</v>
      </c>
      <c r="FW3" s="79" t="str">
        <f xml:space="preserve"> CN3 &amp; " + " &amp; FW$8 &amp; " * " &amp; DB3</f>
        <v>M mSML + 0,8 * M mSML</v>
      </c>
      <c r="FX3" s="79" t="str">
        <f xml:space="preserve"> CO3 &amp; " + " &amp; FX$8 &amp; " * " &amp; DC3</f>
        <v>F mSML + 0,8 * F mSML</v>
      </c>
      <c r="FY3" s="80" t="str">
        <f xml:space="preserve"> FY4</f>
        <v>λ_x</v>
      </c>
      <c r="FZ3" s="81"/>
      <c r="GA3" s="79" t="str">
        <f xml:space="preserve"> CR3 &amp; " + " &amp; GA$8 &amp; " * " &amp; DF3</f>
        <v>M vSML + 0,8 * M vSML</v>
      </c>
      <c r="GB3" s="79" t="str">
        <f xml:space="preserve"> CS3 &amp; " + " &amp; GB$8 &amp; " * " &amp; DG3</f>
        <v>F vSML + 0,8 * F vSML</v>
      </c>
      <c r="GC3" s="79" t="str">
        <f xml:space="preserve"> CT3 &amp; " + " &amp; GC$8 &amp; " * " &amp; DH3</f>
        <v>M vSML/glvert + 0,8 * M vSML/glvert</v>
      </c>
      <c r="GD3" s="79" t="str">
        <f xml:space="preserve"> CU3 &amp; " + " &amp; GD$8 &amp; " * " &amp; DI3</f>
        <v>F vSML/glvert + 0,8 * F vSML/glvert</v>
      </c>
      <c r="GE3" s="132"/>
      <c r="GF3" s="81"/>
      <c r="GG3" s="81"/>
      <c r="GH3" s="81"/>
      <c r="GI3" s="79" t="str">
        <f xml:space="preserve">  AV3 &amp; " + " &amp; BX3 &amp; " / * " &amp; GI$8</f>
        <v>M Bestand + M Bestand / * 1</v>
      </c>
      <c r="GJ3" s="79" t="str">
        <f xml:space="preserve">  AW3 &amp; " + " &amp; BY3 &amp; " / * " &amp; GJ$8</f>
        <v>F Bestand + F Bestand / * 1</v>
      </c>
      <c r="GK3" s="80" t="str">
        <f xml:space="preserve">  AX3 &amp; " - " &amp; BZ3 &amp; " / * " &amp; GK$8</f>
        <v>M mSML - M mSML / * 0,75</v>
      </c>
      <c r="GL3" s="80" t="str">
        <f xml:space="preserve">  AY3 &amp; " - " &amp; CA3 &amp; " / * " &amp; GL$8</f>
        <v>F mSML - F mSML / * 0,75</v>
      </c>
      <c r="GM3" s="80" t="str">
        <f xml:space="preserve"> GM4</f>
        <v>λ_x</v>
      </c>
      <c r="GN3" s="81"/>
      <c r="GO3" s="80" t="str">
        <f xml:space="preserve">  BB3 &amp; " - " &amp; CD3 &amp; " / * " &amp; GO$8</f>
        <v>M vSML - M vSML / * 0,75</v>
      </c>
      <c r="GP3" s="80" t="str">
        <f xml:space="preserve">  BC3 &amp; " - " &amp; CE3 &amp; " / * " &amp; GP$8</f>
        <v>F vSML - F vSML / * 0,75</v>
      </c>
      <c r="GQ3" s="80" t="str">
        <f xml:space="preserve">  BD3 &amp; " - " &amp; CF3 &amp; " / * " &amp; GQ$8</f>
        <v>M vSML/glvert - M vSML/glvert / * 0,75</v>
      </c>
      <c r="GR3" s="80" t="str">
        <f xml:space="preserve">  BE3 &amp; " - " &amp; CG3 &amp; " / * " &amp; GR$8</f>
        <v>F vSML/glvert - F vSML/glvert / * 0,75</v>
      </c>
      <c r="GS3" s="132"/>
      <c r="GT3" s="132"/>
      <c r="GU3" s="132"/>
      <c r="GV3" s="132"/>
      <c r="GW3" s="121" t="s">
        <v>0</v>
      </c>
      <c r="GX3" s="121" t="s">
        <v>1</v>
      </c>
      <c r="GY3" s="121" t="s">
        <v>77</v>
      </c>
      <c r="GZ3" s="121" t="s">
        <v>79</v>
      </c>
      <c r="HA3" s="121" t="s">
        <v>80</v>
      </c>
      <c r="HB3" s="122" t="str">
        <f xml:space="preserve"> GW3 &amp; " " &amp; SML_mSML</f>
        <v>M mSML</v>
      </c>
      <c r="HC3" s="122" t="str">
        <f xml:space="preserve"> GX3 &amp; " " &amp; SML_mSML</f>
        <v>F mSML</v>
      </c>
      <c r="HD3" s="123" t="str">
        <f xml:space="preserve"> GY3</f>
        <v>F S-Kosten</v>
      </c>
      <c r="HE3" s="121" t="s">
        <v>81</v>
      </c>
      <c r="HF3" s="122" t="str">
        <f xml:space="preserve"> GW3 &amp; " " &amp; SML_vSML</f>
        <v>M vSML</v>
      </c>
      <c r="HG3" s="122" t="str">
        <f xml:space="preserve"> GX3 &amp; " " &amp; SML_vSML</f>
        <v>F vSML</v>
      </c>
      <c r="HH3" s="122" t="str">
        <f xml:space="preserve"> GW3 &amp; " " &amp; SML_vMLglvert</f>
        <v>M vSML/glvert</v>
      </c>
      <c r="HI3" s="122" t="str">
        <f xml:space="preserve"> GX3 &amp; " " &amp; SML_vMLglvert</f>
        <v>F vSML/glvert</v>
      </c>
      <c r="HJ3" s="299"/>
      <c r="HK3" s="132"/>
      <c r="HL3" s="121" t="s">
        <v>0</v>
      </c>
      <c r="HM3" s="121" t="s">
        <v>1</v>
      </c>
      <c r="HN3" s="121" t="s">
        <v>77</v>
      </c>
      <c r="HO3" s="121" t="s">
        <v>79</v>
      </c>
      <c r="HP3" s="121" t="s">
        <v>80</v>
      </c>
      <c r="HQ3" s="122" t="str">
        <f xml:space="preserve"> HL3 &amp; " " &amp; SML_mSML</f>
        <v>M mSML</v>
      </c>
      <c r="HR3" s="122" t="str">
        <f xml:space="preserve"> HM3 &amp; " " &amp; SML_mSML</f>
        <v>F mSML</v>
      </c>
      <c r="HS3" s="123" t="str">
        <f xml:space="preserve"> HN3</f>
        <v>F S-Kosten</v>
      </c>
      <c r="HT3" s="121" t="s">
        <v>81</v>
      </c>
      <c r="HU3" s="122" t="str">
        <f xml:space="preserve"> HL3 &amp; " " &amp; SML_vSML</f>
        <v>M vSML</v>
      </c>
      <c r="HV3" s="122" t="str">
        <f xml:space="preserve"> HM3 &amp; " " &amp; SML_vSML</f>
        <v>F vSML</v>
      </c>
      <c r="HW3" s="122" t="str">
        <f xml:space="preserve"> HL3 &amp; " " &amp; SML_vMLglvert</f>
        <v>M vSML/glvert</v>
      </c>
      <c r="HX3" s="122" t="str">
        <f xml:space="preserve"> HM3 &amp; " " &amp; SML_vMLglvert</f>
        <v>F vSML/glvert</v>
      </c>
      <c r="HY3" s="299"/>
    </row>
    <row r="4" spans="1:233" s="278" customFormat="1" x14ac:dyDescent="0.2">
      <c r="C4" s="279" t="s">
        <v>258</v>
      </c>
      <c r="F4" s="280"/>
      <c r="G4" s="280"/>
      <c r="H4" s="289" t="str">
        <f xml:space="preserve"> H3</f>
        <v>M mSML</v>
      </c>
      <c r="I4" s="289" t="str">
        <f t="shared" ref="I4:O4" si="44" xml:space="preserve"> I3</f>
        <v>F mSML</v>
      </c>
      <c r="J4" s="289" t="str">
        <f t="shared" si="44"/>
        <v>F S-Kosten</v>
      </c>
      <c r="K4" s="289" t="str">
        <f t="shared" si="44"/>
        <v>MF S-Kosten</v>
      </c>
      <c r="L4" s="289" t="str">
        <f t="shared" si="44"/>
        <v>M vSML</v>
      </c>
      <c r="M4" s="289" t="str">
        <f t="shared" si="44"/>
        <v>F vSML</v>
      </c>
      <c r="N4" s="289" t="str">
        <f t="shared" si="44"/>
        <v>M vSML/glvert</v>
      </c>
      <c r="O4" s="289" t="str">
        <f t="shared" si="44"/>
        <v>F vSML/glvert</v>
      </c>
      <c r="P4" s="300" t="str">
        <f xml:space="preserve"> lambdax</f>
        <v>λ_x</v>
      </c>
      <c r="Q4" s="279" t="s">
        <v>259</v>
      </c>
      <c r="T4" s="280"/>
      <c r="U4" s="280"/>
      <c r="AE4" s="279" t="s">
        <v>260</v>
      </c>
      <c r="AH4" s="280"/>
      <c r="AI4" s="280"/>
      <c r="AS4" s="279" t="s">
        <v>261</v>
      </c>
      <c r="AV4" s="280"/>
      <c r="AW4" s="280"/>
      <c r="BG4" s="279" t="s">
        <v>262</v>
      </c>
      <c r="BJ4" s="280"/>
      <c r="BK4" s="280"/>
      <c r="BU4" s="279" t="s">
        <v>263</v>
      </c>
      <c r="BX4" s="280"/>
      <c r="BY4" s="280"/>
      <c r="CI4" s="279" t="s">
        <v>264</v>
      </c>
      <c r="CL4" s="280"/>
      <c r="CM4" s="280"/>
      <c r="CW4" s="279" t="s">
        <v>265</v>
      </c>
      <c r="CZ4" s="280"/>
      <c r="DA4" s="280"/>
      <c r="DK4" s="279" t="s">
        <v>266</v>
      </c>
      <c r="DN4" s="280"/>
      <c r="DO4" s="280"/>
      <c r="EA4" s="281"/>
      <c r="EB4" s="282"/>
      <c r="EC4" s="282"/>
      <c r="ED4" s="282"/>
      <c r="EE4" s="282"/>
      <c r="EF4" s="282"/>
      <c r="EG4" s="289" t="str">
        <f xml:space="preserve"> TRIM(  LEFT( EG3, SEARCH( "+", EG3 ) - 1 )  )</f>
        <v>M mSML</v>
      </c>
      <c r="EH4" s="289" t="str">
        <f xml:space="preserve"> TRIM(  LEFT( EH3, SEARCH( "+", EH3 ) - 1 )  )</f>
        <v>F mSML</v>
      </c>
      <c r="EI4" s="290" t="str">
        <f xml:space="preserve"> lambdax</f>
        <v>λ_x</v>
      </c>
      <c r="EJ4" s="291"/>
      <c r="EK4" s="289" t="str">
        <f xml:space="preserve"> TRIM(  LEFT( EK3, SEARCH( "+", EK3 ) - 1 )  )</f>
        <v>M vSML</v>
      </c>
      <c r="EL4" s="289" t="str">
        <f xml:space="preserve"> TRIM(  LEFT( EL3, SEARCH( "+", EL3 ) - 1 )  )</f>
        <v>F vSML</v>
      </c>
      <c r="EM4" s="289" t="str">
        <f xml:space="preserve"> TRIM(  LEFT( EM3, SEARCH( "+", EM3 ) - 1 )  )</f>
        <v>M vSML/glvert</v>
      </c>
      <c r="EN4" s="289" t="str">
        <f xml:space="preserve"> TRIM(  LEFT( EN3, SEARCH( "+", EN3 ) - 1 )  )</f>
        <v>F vSML/glvert</v>
      </c>
      <c r="EO4" s="281"/>
      <c r="EP4" s="282"/>
      <c r="EQ4" s="282"/>
      <c r="ER4" s="282"/>
      <c r="ES4" s="282"/>
      <c r="ET4" s="282"/>
      <c r="EU4" s="289" t="str">
        <f xml:space="preserve"> TRIM(  LEFT( EU3, SEARCH( "+", EU3 ) - 1 )  )</f>
        <v>M mSML</v>
      </c>
      <c r="EV4" s="289" t="str">
        <f xml:space="preserve"> TRIM(  LEFT( EV3, SEARCH( "+", EV3 ) - 1 )  )</f>
        <v>F mSML</v>
      </c>
      <c r="EW4" s="290" t="str">
        <f xml:space="preserve"> lambdax</f>
        <v>λ_x</v>
      </c>
      <c r="EX4" s="291"/>
      <c r="EY4" s="289" t="str">
        <f xml:space="preserve"> TRIM(  LEFT( EY3, SEARCH( "+", EY3 ) - 1 )  )</f>
        <v>M vSML</v>
      </c>
      <c r="EZ4" s="289" t="str">
        <f xml:space="preserve"> TRIM(  LEFT( EZ3, SEARCH( "+", EZ3 ) - 1 )  )</f>
        <v>F vSML</v>
      </c>
      <c r="FA4" s="289" t="str">
        <f xml:space="preserve"> TRIM(  LEFT( FA3, SEARCH( "+", FA3 ) - 1 )  )</f>
        <v>M vSML/glvert</v>
      </c>
      <c r="FB4" s="289" t="str">
        <f xml:space="preserve"> TRIM(  LEFT( FB3, SEARCH( "+", FB3 ) - 1 )  )</f>
        <v>F vSML/glvert</v>
      </c>
      <c r="FC4" s="292"/>
      <c r="FD4" s="291"/>
      <c r="FE4" s="291"/>
      <c r="FF4" s="291"/>
      <c r="FG4" s="291"/>
      <c r="FH4" s="291"/>
      <c r="FI4" s="289" t="str">
        <f xml:space="preserve"> TRIM(  LEFT( FI3, SEARCH( "+", FI3 ) - 1 )  )</f>
        <v>M mSML</v>
      </c>
      <c r="FJ4" s="289" t="str">
        <f xml:space="preserve"> TRIM(  LEFT( FJ3, SEARCH( "+", FJ3 ) - 1 )  )</f>
        <v>F mSML</v>
      </c>
      <c r="FK4" s="290" t="str">
        <f xml:space="preserve"> lambdax</f>
        <v>λ_x</v>
      </c>
      <c r="FL4" s="291"/>
      <c r="FM4" s="289" t="str">
        <f xml:space="preserve"> TRIM(  LEFT( FM3, SEARCH( "+", FM3 ) - 1 )  )</f>
        <v>M vSML</v>
      </c>
      <c r="FN4" s="289" t="str">
        <f xml:space="preserve"> TRIM(  LEFT( FN3, SEARCH( "+", FN3 ) - 1 )  )</f>
        <v>F vSML</v>
      </c>
      <c r="FO4" s="289" t="str">
        <f xml:space="preserve"> TRIM(  LEFT( FO3, SEARCH( "+", FO3 ) - 1 )  )</f>
        <v>M vSML/glvert</v>
      </c>
      <c r="FP4" s="289" t="str">
        <f xml:space="preserve"> TRIM(  LEFT( FP3, SEARCH( "+", FP3 ) - 1 )  )</f>
        <v>F vSML/glvert</v>
      </c>
      <c r="FQ4" s="292"/>
      <c r="FR4" s="291"/>
      <c r="FS4" s="291"/>
      <c r="FT4" s="291"/>
      <c r="FU4" s="291"/>
      <c r="FV4" s="291"/>
      <c r="FW4" s="289" t="str">
        <f xml:space="preserve"> TRIM(  LEFT( FW3, SEARCH( "+", FW3 ) - 1 )  )</f>
        <v>M mSML</v>
      </c>
      <c r="FX4" s="289" t="str">
        <f xml:space="preserve"> TRIM(  LEFT( FX3, SEARCH( "+", FX3 ) - 1 )  )</f>
        <v>F mSML</v>
      </c>
      <c r="FY4" s="290" t="str">
        <f xml:space="preserve"> lambdax</f>
        <v>λ_x</v>
      </c>
      <c r="FZ4" s="291"/>
      <c r="GA4" s="289" t="str">
        <f xml:space="preserve"> TRIM(  LEFT( GA3, SEARCH( "+", GA3 ) - 1 )  )</f>
        <v>M vSML</v>
      </c>
      <c r="GB4" s="289" t="str">
        <f xml:space="preserve"> TRIM(  LEFT( GB3, SEARCH( "+", GB3 ) - 1 )  )</f>
        <v>F vSML</v>
      </c>
      <c r="GC4" s="289" t="str">
        <f xml:space="preserve"> TRIM(  LEFT( GC3, SEARCH( "+", GC3 ) - 1 )  )</f>
        <v>M vSML/glvert</v>
      </c>
      <c r="GD4" s="289" t="str">
        <f xml:space="preserve"> TRIM(  LEFT( GD3, SEARCH( "+", GD3 ) - 1 )  )</f>
        <v>F vSML/glvert</v>
      </c>
      <c r="GE4" s="281"/>
      <c r="GF4" s="282"/>
      <c r="GG4" s="282"/>
      <c r="GH4" s="282"/>
      <c r="GI4" s="282"/>
      <c r="GJ4" s="282"/>
      <c r="GK4" s="293" t="str">
        <f xml:space="preserve"> TRIM(  LEFT( GK3, SEARCH( "-", GK3 ) - 1 )  )</f>
        <v>M mSML</v>
      </c>
      <c r="GL4" s="293" t="str">
        <f xml:space="preserve"> TRIM(  LEFT( GL3, SEARCH( "-", GL3 ) - 1 )  )</f>
        <v>F mSML</v>
      </c>
      <c r="GM4" s="290" t="str">
        <f xml:space="preserve"> lambdax</f>
        <v>λ_x</v>
      </c>
      <c r="GN4" s="291"/>
      <c r="GO4" s="293" t="str">
        <f xml:space="preserve"> TRIM(  LEFT( GO3, SEARCH( "-", GO3 ) - 1 )  )</f>
        <v>M vSML</v>
      </c>
      <c r="GP4" s="293" t="str">
        <f xml:space="preserve"> TRIM(  LEFT( GP3, SEARCH( "-", GP3 ) - 1 )  )</f>
        <v>F vSML</v>
      </c>
      <c r="GQ4" s="293" t="str">
        <f xml:space="preserve"> TRIM(  LEFT( GQ3, SEARCH( "-", GQ3 ) - 1 )  )</f>
        <v>M vSML/glvert</v>
      </c>
      <c r="GR4" s="293" t="str">
        <f xml:space="preserve"> TRIM(  LEFT( GR3, SEARCH( "-", GR3 ) - 1 )  )</f>
        <v>F vSML/glvert</v>
      </c>
      <c r="GS4" s="281"/>
      <c r="GT4" s="281"/>
      <c r="GU4" s="281"/>
      <c r="GV4" s="281"/>
      <c r="GW4" s="279" t="s">
        <v>268</v>
      </c>
      <c r="GZ4" s="280"/>
      <c r="HA4" s="280"/>
      <c r="HB4" s="289" t="str">
        <f xml:space="preserve"> HB3</f>
        <v>M mSML</v>
      </c>
      <c r="HC4" s="289" t="str">
        <f t="shared" ref="HC4" si="45" xml:space="preserve"> HC3</f>
        <v>F mSML</v>
      </c>
      <c r="HD4" s="289" t="str">
        <f t="shared" ref="HD4" si="46" xml:space="preserve"> HD3</f>
        <v>F S-Kosten</v>
      </c>
      <c r="HE4" s="289" t="str">
        <f t="shared" ref="HE4" si="47" xml:space="preserve"> HE3</f>
        <v>MF S-Kosten</v>
      </c>
      <c r="HF4" s="289" t="str">
        <f t="shared" ref="HF4" si="48" xml:space="preserve"> HF3</f>
        <v>M vSML</v>
      </c>
      <c r="HG4" s="289" t="str">
        <f t="shared" ref="HG4" si="49" xml:space="preserve"> HG3</f>
        <v>F vSML</v>
      </c>
      <c r="HH4" s="289" t="str">
        <f t="shared" ref="HH4" si="50" xml:space="preserve"> HH3</f>
        <v>M vSML/glvert</v>
      </c>
      <c r="HI4" s="289" t="str">
        <f t="shared" ref="HI4" si="51" xml:space="preserve"> HI3</f>
        <v>F vSML/glvert</v>
      </c>
      <c r="HJ4" s="300" t="str">
        <f xml:space="preserve"> lambdax</f>
        <v>λ_x</v>
      </c>
      <c r="HK4" s="281"/>
      <c r="HL4" s="279" t="s">
        <v>267</v>
      </c>
      <c r="HO4" s="280"/>
      <c r="HP4" s="280"/>
      <c r="HQ4" s="289" t="str">
        <f xml:space="preserve"> HQ3</f>
        <v>M mSML</v>
      </c>
      <c r="HR4" s="289" t="str">
        <f t="shared" ref="HR4" si="52" xml:space="preserve"> HR3</f>
        <v>F mSML</v>
      </c>
      <c r="HS4" s="289" t="str">
        <f t="shared" ref="HS4" si="53" xml:space="preserve"> HS3</f>
        <v>F S-Kosten</v>
      </c>
      <c r="HT4" s="289" t="str">
        <f t="shared" ref="HT4" si="54" xml:space="preserve"> HT3</f>
        <v>MF S-Kosten</v>
      </c>
      <c r="HU4" s="289" t="str">
        <f t="shared" ref="HU4" si="55" xml:space="preserve"> HU3</f>
        <v>M vSML</v>
      </c>
      <c r="HV4" s="289" t="str">
        <f t="shared" ref="HV4" si="56" xml:space="preserve"> HV3</f>
        <v>F vSML</v>
      </c>
      <c r="HW4" s="289" t="str">
        <f t="shared" ref="HW4" si="57" xml:space="preserve"> HW3</f>
        <v>M vSML/glvert</v>
      </c>
      <c r="HX4" s="289" t="str">
        <f t="shared" ref="HX4" si="58" xml:space="preserve"> HX3</f>
        <v>F vSML/glvert</v>
      </c>
      <c r="HY4" s="300" t="str">
        <f xml:space="preserve"> lambdax</f>
        <v>λ_x</v>
      </c>
    </row>
    <row r="5" spans="1:233" x14ac:dyDescent="0.2">
      <c r="ES5" s="57"/>
      <c r="FG5" s="57"/>
      <c r="GI5" s="57"/>
      <c r="GM5" s="1"/>
      <c r="HY5" s="131"/>
    </row>
    <row r="6" spans="1:233" s="120" customFormat="1" ht="77.25" customHeight="1" x14ac:dyDescent="0.2">
      <c r="C6" s="124" t="s">
        <v>76</v>
      </c>
      <c r="D6" s="78" t="str">
        <f xml:space="preserve"> C6</f>
        <v>1_Amb_N_0-100</v>
      </c>
      <c r="E6" s="78" t="str">
        <f t="shared" ref="E6:P6" si="59" xml:space="preserve"> D6</f>
        <v>1_Amb_N_0-100</v>
      </c>
      <c r="F6" s="78" t="str">
        <f t="shared" si="59"/>
        <v>1_Amb_N_0-100</v>
      </c>
      <c r="G6" s="78" t="str">
        <f t="shared" si="59"/>
        <v>1_Amb_N_0-100</v>
      </c>
      <c r="H6" s="78" t="str">
        <f t="shared" si="59"/>
        <v>1_Amb_N_0-100</v>
      </c>
      <c r="I6" s="78" t="str">
        <f t="shared" si="59"/>
        <v>1_Amb_N_0-100</v>
      </c>
      <c r="J6" s="78" t="str">
        <f t="shared" si="59"/>
        <v>1_Amb_N_0-100</v>
      </c>
      <c r="K6" s="78" t="str">
        <f t="shared" si="59"/>
        <v>1_Amb_N_0-100</v>
      </c>
      <c r="L6" s="78" t="str">
        <f t="shared" si="59"/>
        <v>1_Amb_N_0-100</v>
      </c>
      <c r="M6" s="78" t="str">
        <f t="shared" si="59"/>
        <v>1_Amb_N_0-100</v>
      </c>
      <c r="N6" s="78" t="str">
        <f t="shared" si="59"/>
        <v>1_Amb_N_0-100</v>
      </c>
      <c r="O6" s="78" t="str">
        <f t="shared" si="59"/>
        <v>1_Amb_N_0-100</v>
      </c>
      <c r="P6" s="78" t="str">
        <f t="shared" si="59"/>
        <v>1_Amb_N_0-100</v>
      </c>
      <c r="Q6" s="124" t="s">
        <v>84</v>
      </c>
      <c r="R6" s="78" t="str">
        <f xml:space="preserve"> Q6</f>
        <v>1_Amb_N_251-400</v>
      </c>
      <c r="S6" s="78" t="str">
        <f t="shared" ref="S6:AC6" si="60" xml:space="preserve"> R6</f>
        <v>1_Amb_N_251-400</v>
      </c>
      <c r="T6" s="78" t="str">
        <f t="shared" si="60"/>
        <v>1_Amb_N_251-400</v>
      </c>
      <c r="U6" s="78" t="str">
        <f t="shared" si="60"/>
        <v>1_Amb_N_251-400</v>
      </c>
      <c r="V6" s="78" t="str">
        <f t="shared" si="60"/>
        <v>1_Amb_N_251-400</v>
      </c>
      <c r="W6" s="78" t="str">
        <f t="shared" si="60"/>
        <v>1_Amb_N_251-400</v>
      </c>
      <c r="X6" s="78" t="str">
        <f t="shared" si="60"/>
        <v>1_Amb_N_251-400</v>
      </c>
      <c r="Y6" s="78" t="str">
        <f t="shared" si="60"/>
        <v>1_Amb_N_251-400</v>
      </c>
      <c r="Z6" s="78" t="str">
        <f t="shared" si="60"/>
        <v>1_Amb_N_251-400</v>
      </c>
      <c r="AA6" s="78" t="str">
        <f t="shared" si="60"/>
        <v>1_Amb_N_251-400</v>
      </c>
      <c r="AB6" s="78" t="str">
        <f t="shared" si="60"/>
        <v>1_Amb_N_251-400</v>
      </c>
      <c r="AC6" s="78" t="str">
        <f t="shared" si="60"/>
        <v>1_Amb_N_251-400</v>
      </c>
      <c r="AE6" s="124" t="s">
        <v>85</v>
      </c>
      <c r="AF6" s="78" t="str">
        <f xml:space="preserve"> AE6</f>
        <v>1_Amb_N_901-1100</v>
      </c>
      <c r="AG6" s="78" t="str">
        <f t="shared" ref="AG6:AQ6" si="61" xml:space="preserve"> AF6</f>
        <v>1_Amb_N_901-1100</v>
      </c>
      <c r="AH6" s="78" t="str">
        <f t="shared" si="61"/>
        <v>1_Amb_N_901-1100</v>
      </c>
      <c r="AI6" s="78" t="str">
        <f t="shared" si="61"/>
        <v>1_Amb_N_901-1100</v>
      </c>
      <c r="AJ6" s="78" t="str">
        <f t="shared" si="61"/>
        <v>1_Amb_N_901-1100</v>
      </c>
      <c r="AK6" s="78" t="str">
        <f t="shared" si="61"/>
        <v>1_Amb_N_901-1100</v>
      </c>
      <c r="AL6" s="78" t="str">
        <f t="shared" si="61"/>
        <v>1_Amb_N_901-1100</v>
      </c>
      <c r="AM6" s="78" t="str">
        <f t="shared" si="61"/>
        <v>1_Amb_N_901-1100</v>
      </c>
      <c r="AN6" s="78" t="str">
        <f t="shared" si="61"/>
        <v>1_Amb_N_901-1100</v>
      </c>
      <c r="AO6" s="78" t="str">
        <f t="shared" si="61"/>
        <v>1_Amb_N_901-1100</v>
      </c>
      <c r="AP6" s="78" t="str">
        <f t="shared" si="61"/>
        <v>1_Amb_N_901-1100</v>
      </c>
      <c r="AQ6" s="78" t="str">
        <f t="shared" si="61"/>
        <v>1_Amb_N_901-1100</v>
      </c>
      <c r="AS6" s="124" t="s">
        <v>86</v>
      </c>
      <c r="AT6" s="78" t="str">
        <f xml:space="preserve"> AS6</f>
        <v>2_Stat_N_EB</v>
      </c>
      <c r="AU6" s="78" t="str">
        <f t="shared" ref="AU6:BE6" si="62" xml:space="preserve"> AT6</f>
        <v>2_Stat_N_EB</v>
      </c>
      <c r="AV6" s="78" t="str">
        <f t="shared" si="62"/>
        <v>2_Stat_N_EB</v>
      </c>
      <c r="AW6" s="78" t="str">
        <f t="shared" si="62"/>
        <v>2_Stat_N_EB</v>
      </c>
      <c r="AX6" s="78" t="str">
        <f t="shared" si="62"/>
        <v>2_Stat_N_EB</v>
      </c>
      <c r="AY6" s="78" t="str">
        <f t="shared" si="62"/>
        <v>2_Stat_N_EB</v>
      </c>
      <c r="AZ6" s="78" t="str">
        <f t="shared" si="62"/>
        <v>2_Stat_N_EB</v>
      </c>
      <c r="BA6" s="78" t="str">
        <f t="shared" si="62"/>
        <v>2_Stat_N_EB</v>
      </c>
      <c r="BB6" s="78" t="str">
        <f t="shared" si="62"/>
        <v>2_Stat_N_EB</v>
      </c>
      <c r="BC6" s="78" t="str">
        <f t="shared" si="62"/>
        <v>2_Stat_N_EB</v>
      </c>
      <c r="BD6" s="78" t="str">
        <f t="shared" si="62"/>
        <v>2_Stat_N_EB</v>
      </c>
      <c r="BE6" s="78" t="str">
        <f t="shared" si="62"/>
        <v>2_Stat_N_EB</v>
      </c>
      <c r="BG6" s="124" t="s">
        <v>87</v>
      </c>
      <c r="BH6" s="78" t="str">
        <f xml:space="preserve"> BG6</f>
        <v>2_Stat_N_ZB</v>
      </c>
      <c r="BI6" s="78" t="str">
        <f t="shared" ref="BI6:BS6" si="63" xml:space="preserve"> BH6</f>
        <v>2_Stat_N_ZB</v>
      </c>
      <c r="BJ6" s="78" t="str">
        <f t="shared" si="63"/>
        <v>2_Stat_N_ZB</v>
      </c>
      <c r="BK6" s="78" t="str">
        <f t="shared" si="63"/>
        <v>2_Stat_N_ZB</v>
      </c>
      <c r="BL6" s="78" t="str">
        <f t="shared" si="63"/>
        <v>2_Stat_N_ZB</v>
      </c>
      <c r="BM6" s="78" t="str">
        <f t="shared" si="63"/>
        <v>2_Stat_N_ZB</v>
      </c>
      <c r="BN6" s="78" t="str">
        <f t="shared" si="63"/>
        <v>2_Stat_N_ZB</v>
      </c>
      <c r="BO6" s="78" t="str">
        <f t="shared" si="63"/>
        <v>2_Stat_N_ZB</v>
      </c>
      <c r="BP6" s="78" t="str">
        <f t="shared" si="63"/>
        <v>2_Stat_N_ZB</v>
      </c>
      <c r="BQ6" s="78" t="str">
        <f t="shared" si="63"/>
        <v>2_Stat_N_ZB</v>
      </c>
      <c r="BR6" s="78" t="str">
        <f t="shared" si="63"/>
        <v>2_Stat_N_ZB</v>
      </c>
      <c r="BS6" s="78" t="str">
        <f t="shared" si="63"/>
        <v>2_Stat_N_ZB</v>
      </c>
      <c r="BU6" s="124" t="s">
        <v>88</v>
      </c>
      <c r="BV6" s="78" t="str">
        <f xml:space="preserve"> BU6</f>
        <v>2_Stat_N_MB</v>
      </c>
      <c r="BW6" s="78" t="str">
        <f t="shared" ref="BW6:CG6" si="64" xml:space="preserve"> BV6</f>
        <v>2_Stat_N_MB</v>
      </c>
      <c r="BX6" s="78" t="str">
        <f t="shared" si="64"/>
        <v>2_Stat_N_MB</v>
      </c>
      <c r="BY6" s="78" t="str">
        <f t="shared" si="64"/>
        <v>2_Stat_N_MB</v>
      </c>
      <c r="BZ6" s="78" t="str">
        <f t="shared" si="64"/>
        <v>2_Stat_N_MB</v>
      </c>
      <c r="CA6" s="78" t="str">
        <f t="shared" si="64"/>
        <v>2_Stat_N_MB</v>
      </c>
      <c r="CB6" s="78" t="str">
        <f t="shared" si="64"/>
        <v>2_Stat_N_MB</v>
      </c>
      <c r="CC6" s="78" t="str">
        <f t="shared" si="64"/>
        <v>2_Stat_N_MB</v>
      </c>
      <c r="CD6" s="78" t="str">
        <f t="shared" si="64"/>
        <v>2_Stat_N_MB</v>
      </c>
      <c r="CE6" s="78" t="str">
        <f t="shared" si="64"/>
        <v>2_Stat_N_MB</v>
      </c>
      <c r="CF6" s="78" t="str">
        <f t="shared" si="64"/>
        <v>2_Stat_N_MB</v>
      </c>
      <c r="CG6" s="78" t="str">
        <f t="shared" si="64"/>
        <v>2_Stat_N_MB</v>
      </c>
      <c r="CI6" s="124" t="s">
        <v>91</v>
      </c>
      <c r="CJ6" s="78" t="str">
        <f xml:space="preserve"> CI6</f>
        <v>3_Zahn_N_Beh</v>
      </c>
      <c r="CK6" s="78" t="str">
        <f t="shared" ref="CK6:CU6" si="65" xml:space="preserve"> CJ6</f>
        <v>3_Zahn_N_Beh</v>
      </c>
      <c r="CL6" s="78" t="str">
        <f t="shared" si="65"/>
        <v>3_Zahn_N_Beh</v>
      </c>
      <c r="CM6" s="78" t="str">
        <f t="shared" si="65"/>
        <v>3_Zahn_N_Beh</v>
      </c>
      <c r="CN6" s="78" t="str">
        <f t="shared" si="65"/>
        <v>3_Zahn_N_Beh</v>
      </c>
      <c r="CO6" s="78" t="str">
        <f t="shared" si="65"/>
        <v>3_Zahn_N_Beh</v>
      </c>
      <c r="CP6" s="78" t="str">
        <f t="shared" si="65"/>
        <v>3_Zahn_N_Beh</v>
      </c>
      <c r="CQ6" s="78" t="str">
        <f t="shared" si="65"/>
        <v>3_Zahn_N_Beh</v>
      </c>
      <c r="CR6" s="78" t="str">
        <f t="shared" si="65"/>
        <v>3_Zahn_N_Beh</v>
      </c>
      <c r="CS6" s="78" t="str">
        <f t="shared" si="65"/>
        <v>3_Zahn_N_Beh</v>
      </c>
      <c r="CT6" s="78" t="str">
        <f t="shared" si="65"/>
        <v>3_Zahn_N_Beh</v>
      </c>
      <c r="CU6" s="78" t="str">
        <f t="shared" si="65"/>
        <v>3_Zahn_N_Beh</v>
      </c>
      <c r="CW6" s="124" t="s">
        <v>89</v>
      </c>
      <c r="CX6" s="78" t="str">
        <f xml:space="preserve"> CW6</f>
        <v>3_Zahn_N_Ers_70-80</v>
      </c>
      <c r="CY6" s="78" t="str">
        <f t="shared" ref="CY6:DI6" si="66" xml:space="preserve"> CX6</f>
        <v>3_Zahn_N_Ers_70-80</v>
      </c>
      <c r="CZ6" s="78" t="str">
        <f t="shared" si="66"/>
        <v>3_Zahn_N_Ers_70-80</v>
      </c>
      <c r="DA6" s="78" t="str">
        <f t="shared" si="66"/>
        <v>3_Zahn_N_Ers_70-80</v>
      </c>
      <c r="DB6" s="78" t="str">
        <f t="shared" si="66"/>
        <v>3_Zahn_N_Ers_70-80</v>
      </c>
      <c r="DC6" s="78" t="str">
        <f t="shared" si="66"/>
        <v>3_Zahn_N_Ers_70-80</v>
      </c>
      <c r="DD6" s="78" t="str">
        <f t="shared" si="66"/>
        <v>3_Zahn_N_Ers_70-80</v>
      </c>
      <c r="DE6" s="78" t="str">
        <f t="shared" si="66"/>
        <v>3_Zahn_N_Ers_70-80</v>
      </c>
      <c r="DF6" s="78" t="str">
        <f t="shared" si="66"/>
        <v>3_Zahn_N_Ers_70-80</v>
      </c>
      <c r="DG6" s="78" t="str">
        <f t="shared" si="66"/>
        <v>3_Zahn_N_Ers_70-80</v>
      </c>
      <c r="DH6" s="78" t="str">
        <f t="shared" si="66"/>
        <v>3_Zahn_N_Ers_70-80</v>
      </c>
      <c r="DI6" s="78" t="str">
        <f t="shared" si="66"/>
        <v>3_Zahn_N_Ers_70-80</v>
      </c>
      <c r="DK6" s="124" t="s">
        <v>90</v>
      </c>
      <c r="DL6" s="78" t="str">
        <f xml:space="preserve"> DK6</f>
        <v>3_Zahn_N_Ers_50-65</v>
      </c>
      <c r="DM6" s="78" t="str">
        <f t="shared" ref="DM6:DW6" si="67" xml:space="preserve"> DL6</f>
        <v>3_Zahn_N_Ers_50-65</v>
      </c>
      <c r="DN6" s="78" t="str">
        <f t="shared" si="67"/>
        <v>3_Zahn_N_Ers_50-65</v>
      </c>
      <c r="DO6" s="78" t="str">
        <f t="shared" si="67"/>
        <v>3_Zahn_N_Ers_50-65</v>
      </c>
      <c r="DP6" s="78" t="str">
        <f t="shared" si="67"/>
        <v>3_Zahn_N_Ers_50-65</v>
      </c>
      <c r="DQ6" s="78" t="str">
        <f t="shared" si="67"/>
        <v>3_Zahn_N_Ers_50-65</v>
      </c>
      <c r="DR6" s="78" t="str">
        <f t="shared" si="67"/>
        <v>3_Zahn_N_Ers_50-65</v>
      </c>
      <c r="DS6" s="78" t="str">
        <f t="shared" si="67"/>
        <v>3_Zahn_N_Ers_50-65</v>
      </c>
      <c r="DT6" s="78" t="str">
        <f t="shared" si="67"/>
        <v>3_Zahn_N_Ers_50-65</v>
      </c>
      <c r="DU6" s="78" t="str">
        <f t="shared" si="67"/>
        <v>3_Zahn_N_Ers_50-65</v>
      </c>
      <c r="DV6" s="78" t="str">
        <f t="shared" si="67"/>
        <v>3_Zahn_N_Ers_50-65</v>
      </c>
      <c r="DW6" s="78" t="str">
        <f t="shared" si="67"/>
        <v>3_Zahn_N_Ers_50-65</v>
      </c>
      <c r="EA6" s="132"/>
      <c r="EB6" s="79" t="str">
        <f t="shared" ref="EB6:EN6" si="68" xml:space="preserve"> C6 &amp; " + " &amp; AS6 &amp; " + " &amp; CI6 &amp; " + " &amp; EB$8 &amp; " * " &amp; CW6</f>
        <v>1_Amb_N_0-100 + 2_Stat_N_EB + 3_Zahn_N_Beh +  * 3_Zahn_N_Ers_70-80</v>
      </c>
      <c r="EC6" s="79" t="str">
        <f t="shared" si="68"/>
        <v>1_Amb_N_0-100 + 2_Stat_N_EB + 3_Zahn_N_Beh +  * 3_Zahn_N_Ers_70-80</v>
      </c>
      <c r="ED6" s="79" t="str">
        <f t="shared" si="68"/>
        <v>1_Amb_N_0-100 + 2_Stat_N_EB + 3_Zahn_N_Beh +  * 3_Zahn_N_Ers_70-80</v>
      </c>
      <c r="EE6" s="79" t="str">
        <f t="shared" si="68"/>
        <v>1_Amb_N_0-100 + 2_Stat_N_EB + 3_Zahn_N_Beh + 1 * 3_Zahn_N_Ers_70-80</v>
      </c>
      <c r="EF6" s="79" t="str">
        <f t="shared" si="68"/>
        <v>1_Amb_N_0-100 + 2_Stat_N_EB + 3_Zahn_N_Beh + 1 * 3_Zahn_N_Ers_70-80</v>
      </c>
      <c r="EG6" s="79" t="str">
        <f t="shared" si="68"/>
        <v>1_Amb_N_0-100 + 2_Stat_N_EB + 3_Zahn_N_Beh + 0,8 * 3_Zahn_N_Ers_70-80</v>
      </c>
      <c r="EH6" s="79" t="str">
        <f t="shared" si="68"/>
        <v>1_Amb_N_0-100 + 2_Stat_N_EB + 3_Zahn_N_Beh + 0,8 * 3_Zahn_N_Ers_70-80</v>
      </c>
      <c r="EI6" s="79" t="str">
        <f t="shared" si="68"/>
        <v>1_Amb_N_0-100 + 2_Stat_N_EB + 3_Zahn_N_Beh + 0,8 * 3_Zahn_N_Ers_70-80</v>
      </c>
      <c r="EJ6" s="79" t="str">
        <f t="shared" si="68"/>
        <v>1_Amb_N_0-100 + 2_Stat_N_EB + 3_Zahn_N_Beh + 0,8 * 3_Zahn_N_Ers_70-80</v>
      </c>
      <c r="EK6" s="79" t="str">
        <f t="shared" si="68"/>
        <v>1_Amb_N_0-100 + 2_Stat_N_EB + 3_Zahn_N_Beh + 0,8 * 3_Zahn_N_Ers_70-80</v>
      </c>
      <c r="EL6" s="79" t="str">
        <f t="shared" si="68"/>
        <v>1_Amb_N_0-100 + 2_Stat_N_EB + 3_Zahn_N_Beh + 0,8 * 3_Zahn_N_Ers_70-80</v>
      </c>
      <c r="EM6" s="79" t="str">
        <f t="shared" si="68"/>
        <v>1_Amb_N_0-100 + 2_Stat_N_EB + 3_Zahn_N_Beh + 0,8 * 3_Zahn_N_Ers_70-80</v>
      </c>
      <c r="EN6" s="79" t="str">
        <f t="shared" si="68"/>
        <v>1_Amb_N_0-100 + 2_Stat_N_EB + 3_Zahn_N_Beh + 0,8 * 3_Zahn_N_Ers_70-80</v>
      </c>
      <c r="EO6" s="132"/>
      <c r="EP6" s="79" t="str">
        <f t="shared" ref="EP6:EV6" si="69" xml:space="preserve"> Q6 &amp; " + " &amp; BG6 &amp; " + " &amp; CI6 &amp; " + " &amp; EP$8 &amp; " * " &amp; CW6</f>
        <v>1_Amb_N_251-400 + 2_Stat_N_ZB + 3_Zahn_N_Beh +  * 3_Zahn_N_Ers_70-80</v>
      </c>
      <c r="EQ6" s="79" t="str">
        <f t="shared" si="69"/>
        <v>1_Amb_N_251-400 + 2_Stat_N_ZB + 3_Zahn_N_Beh +  * 3_Zahn_N_Ers_70-80</v>
      </c>
      <c r="ER6" s="79" t="str">
        <f t="shared" si="69"/>
        <v>1_Amb_N_251-400 + 2_Stat_N_ZB + 3_Zahn_N_Beh +  * 3_Zahn_N_Ers_70-80</v>
      </c>
      <c r="ES6" s="79" t="str">
        <f t="shared" si="69"/>
        <v>1_Amb_N_251-400 + 2_Stat_N_ZB + 3_Zahn_N_Beh + 1 * 3_Zahn_N_Ers_70-80</v>
      </c>
      <c r="ET6" s="79" t="str">
        <f t="shared" si="69"/>
        <v>1_Amb_N_251-400 + 2_Stat_N_ZB + 3_Zahn_N_Beh + 1 * 3_Zahn_N_Ers_70-80</v>
      </c>
      <c r="EU6" s="79" t="str">
        <f t="shared" si="69"/>
        <v>1_Amb_N_251-400 + 2_Stat_N_ZB + 3_Zahn_N_Beh + 0,7 * 3_Zahn_N_Ers_70-80</v>
      </c>
      <c r="EV6" s="79" t="str">
        <f t="shared" si="69"/>
        <v>1_Amb_N_251-400 + 2_Stat_N_ZB + 3_Zahn_N_Beh + 0,7 * 3_Zahn_N_Ers_70-80</v>
      </c>
      <c r="EW6" s="79" t="str">
        <f xml:space="preserve"> X6 &amp; " + " &amp; BN6 &amp; " + " &amp; DD6 &amp; " + " &amp; EW$8 &amp; " * " &amp; DR6</f>
        <v>1_Amb_N_251-400 + 2_Stat_N_ZB + 3_Zahn_N_Ers_70-80 + 0,7 * 3_Zahn_N_Ers_50-65</v>
      </c>
      <c r="EX6" s="79" t="str">
        <f xml:space="preserve"> Y6 &amp; " + " &amp; BO6 &amp; " + " &amp; DE6 &amp; " + " &amp; EX$8 &amp; " * " &amp; DS6</f>
        <v>1_Amb_N_251-400 + 2_Stat_N_ZB + 3_Zahn_N_Ers_70-80 + 0,7 * 3_Zahn_N_Ers_50-65</v>
      </c>
      <c r="EY6" s="79" t="str">
        <f xml:space="preserve"> Z6 &amp; " + " &amp; BP6 &amp; " + " &amp; CR6 &amp; " + " &amp; EY$8 &amp; " * " &amp; DF6</f>
        <v>1_Amb_N_251-400 + 2_Stat_N_ZB + 3_Zahn_N_Beh + 0,7 * 3_Zahn_N_Ers_70-80</v>
      </c>
      <c r="EZ6" s="79" t="str">
        <f xml:space="preserve"> AA6 &amp; " + " &amp; BQ6 &amp; " + " &amp; CS6 &amp; " + " &amp; EZ$8 &amp; " * " &amp; DG6</f>
        <v>1_Amb_N_251-400 + 2_Stat_N_ZB + 3_Zahn_N_Beh + 0,7 * 3_Zahn_N_Ers_70-80</v>
      </c>
      <c r="FA6" s="79" t="str">
        <f xml:space="preserve"> AB6 &amp; " + " &amp; BR6 &amp; " + " &amp; CT6 &amp; " + " &amp; FA$8 &amp; " * " &amp; DH6</f>
        <v>1_Amb_N_251-400 + 2_Stat_N_ZB + 3_Zahn_N_Beh + 0,7 * 3_Zahn_N_Ers_70-80</v>
      </c>
      <c r="FB6" s="79" t="str">
        <f xml:space="preserve"> AC6 &amp; " + " &amp; BS6 &amp; " + " &amp; CU6 &amp; " + " &amp; FB$8 &amp; " * " &amp; DI6</f>
        <v>1_Amb_N_251-400 + 2_Stat_N_ZB + 3_Zahn_N_Beh + 0,7 * 3_Zahn_N_Ers_70-80</v>
      </c>
      <c r="FC6" s="132"/>
      <c r="FD6" s="79" t="str">
        <f t="shared" ref="FD6:FJ6" si="70" xml:space="preserve"> AE6 &amp; " + " &amp; BU6 &amp; " + " &amp; CI6 &amp; " + " &amp; FD$8 &amp; " * " &amp; DK6</f>
        <v>1_Amb_N_901-1100 + 2_Stat_N_MB + 3_Zahn_N_Beh +  * 3_Zahn_N_Ers_50-65</v>
      </c>
      <c r="FE6" s="79" t="str">
        <f t="shared" si="70"/>
        <v>1_Amb_N_901-1100 + 2_Stat_N_MB + 3_Zahn_N_Beh +  * 3_Zahn_N_Ers_50-65</v>
      </c>
      <c r="FF6" s="79" t="str">
        <f t="shared" si="70"/>
        <v>1_Amb_N_901-1100 + 2_Stat_N_MB + 3_Zahn_N_Beh +  * 3_Zahn_N_Ers_50-65</v>
      </c>
      <c r="FG6" s="79" t="str">
        <f t="shared" si="70"/>
        <v>1_Amb_N_901-1100 + 2_Stat_N_MB + 3_Zahn_N_Beh + 1 * 3_Zahn_N_Ers_50-65</v>
      </c>
      <c r="FH6" s="79" t="str">
        <f t="shared" si="70"/>
        <v>1_Amb_N_901-1100 + 2_Stat_N_MB + 3_Zahn_N_Beh + 1 * 3_Zahn_N_Ers_50-65</v>
      </c>
      <c r="FI6" s="79" t="str">
        <f t="shared" si="70"/>
        <v>1_Amb_N_901-1100 + 2_Stat_N_MB + 3_Zahn_N_Beh + 0,6 * 3_Zahn_N_Ers_50-65</v>
      </c>
      <c r="FJ6" s="79" t="str">
        <f t="shared" si="70"/>
        <v>1_Amb_N_901-1100 + 2_Stat_N_MB + 3_Zahn_N_Beh + 0,6 * 3_Zahn_N_Ers_50-65</v>
      </c>
      <c r="FK6" s="79" t="str">
        <f xml:space="preserve"> AL6 &amp; " + " &amp; CB6 &amp; " + " &amp; DR6 &amp; " + " &amp; FK$8 &amp; " * " &amp; EH6</f>
        <v>1_Amb_N_901-1100 + 2_Stat_N_MB + 3_Zahn_N_Ers_50-65 + 0,6 * 1_Amb_N_0-100 + 2_Stat_N_EB + 3_Zahn_N_Beh + 0,8 * 3_Zahn_N_Ers_70-80</v>
      </c>
      <c r="FL6" s="79" t="str">
        <f xml:space="preserve"> AM6 &amp; " + " &amp; CC6 &amp; " + " &amp; DS6 &amp; " + " &amp; FL$8 &amp; " * " &amp; EI6</f>
        <v>1_Amb_N_901-1100 + 2_Stat_N_MB + 3_Zahn_N_Ers_50-65 + 0,6 * 1_Amb_N_0-100 + 2_Stat_N_EB + 3_Zahn_N_Beh + 0,8 * 3_Zahn_N_Ers_70-80</v>
      </c>
      <c r="FM6" s="79" t="str">
        <f xml:space="preserve"> AN6 &amp; " + " &amp; CD6 &amp; " + " &amp; CR6 &amp; " + " &amp; FM$8 &amp; " * " &amp; DT6</f>
        <v>1_Amb_N_901-1100 + 2_Stat_N_MB + 3_Zahn_N_Beh + 0,6 * 3_Zahn_N_Ers_50-65</v>
      </c>
      <c r="FN6" s="79" t="str">
        <f xml:space="preserve"> AO6 &amp; " + " &amp; CE6 &amp; " + " &amp; CS6 &amp; " + " &amp; FN$8 &amp; " * " &amp; DU6</f>
        <v>1_Amb_N_901-1100 + 2_Stat_N_MB + 3_Zahn_N_Beh + 0,6 * 3_Zahn_N_Ers_50-65</v>
      </c>
      <c r="FO6" s="79" t="str">
        <f xml:space="preserve"> AP6 &amp; " + " &amp; CF6 &amp; " + " &amp; CT6 &amp; " + " &amp; FO$8 &amp; " * " &amp; DV6</f>
        <v>1_Amb_N_901-1100 + 2_Stat_N_MB + 3_Zahn_N_Beh + 0,6 * 3_Zahn_N_Ers_50-65</v>
      </c>
      <c r="FP6" s="79" t="str">
        <f xml:space="preserve"> AQ6 &amp; " + " &amp; CG6 &amp; " + " &amp; CU6 &amp; " + " &amp; FP$8 &amp; " * " &amp; DW6</f>
        <v>1_Amb_N_901-1100 + 2_Stat_N_MB + 3_Zahn_N_Beh + 0,6 * 3_Zahn_N_Ers_50-65</v>
      </c>
      <c r="FQ6" s="132"/>
      <c r="FR6" s="79" t="str">
        <f t="shared" ref="FR6:GD6" si="71" xml:space="preserve"> CI6 &amp; " + " &amp; FR$8 &amp; " * " &amp; CW6</f>
        <v>3_Zahn_N_Beh +  * 3_Zahn_N_Ers_70-80</v>
      </c>
      <c r="FS6" s="79" t="str">
        <f t="shared" si="71"/>
        <v>3_Zahn_N_Beh +  * 3_Zahn_N_Ers_70-80</v>
      </c>
      <c r="FT6" s="79" t="str">
        <f t="shared" si="71"/>
        <v>3_Zahn_N_Beh +  * 3_Zahn_N_Ers_70-80</v>
      </c>
      <c r="FU6" s="79" t="str">
        <f t="shared" si="71"/>
        <v>3_Zahn_N_Beh + 1 * 3_Zahn_N_Ers_70-80</v>
      </c>
      <c r="FV6" s="79" t="str">
        <f t="shared" si="71"/>
        <v>3_Zahn_N_Beh + 1 * 3_Zahn_N_Ers_70-80</v>
      </c>
      <c r="FW6" s="79" t="str">
        <f t="shared" si="71"/>
        <v>3_Zahn_N_Beh + 0,8 * 3_Zahn_N_Ers_70-80</v>
      </c>
      <c r="FX6" s="79" t="str">
        <f t="shared" si="71"/>
        <v>3_Zahn_N_Beh + 0,8 * 3_Zahn_N_Ers_70-80</v>
      </c>
      <c r="FY6" s="79" t="str">
        <f t="shared" si="71"/>
        <v>3_Zahn_N_Beh + 0,8 * 3_Zahn_N_Ers_70-80</v>
      </c>
      <c r="FZ6" s="79" t="str">
        <f t="shared" si="71"/>
        <v>3_Zahn_N_Beh + 0,8 * 3_Zahn_N_Ers_70-80</v>
      </c>
      <c r="GA6" s="79" t="str">
        <f t="shared" si="71"/>
        <v>3_Zahn_N_Beh + 0,8 * 3_Zahn_N_Ers_70-80</v>
      </c>
      <c r="GB6" s="79" t="str">
        <f t="shared" si="71"/>
        <v>3_Zahn_N_Beh + 0,8 * 3_Zahn_N_Ers_70-80</v>
      </c>
      <c r="GC6" s="79" t="str">
        <f t="shared" si="71"/>
        <v>3_Zahn_N_Beh + 0,8 * 3_Zahn_N_Ers_70-80</v>
      </c>
      <c r="GD6" s="79" t="str">
        <f t="shared" si="71"/>
        <v>3_Zahn_N_Beh + 0,8 * 3_Zahn_N_Ers_70-80</v>
      </c>
      <c r="GE6" s="132"/>
      <c r="GF6" s="80" t="str">
        <f xml:space="preserve">  AS6 &amp; " - " &amp; BU6 &amp; " / * " &amp; GF$8</f>
        <v xml:space="preserve">2_Stat_N_EB - 2_Stat_N_MB / * </v>
      </c>
      <c r="GG6" s="80" t="str">
        <f xml:space="preserve">  AT6 &amp; " - " &amp; BV6 &amp; " / * " &amp; GG$8</f>
        <v xml:space="preserve">2_Stat_N_EB - 2_Stat_N_MB / * </v>
      </c>
      <c r="GH6" s="80" t="str">
        <f xml:space="preserve">  AU6 &amp; " - " &amp; BW6 &amp; " / * " &amp; GH$8</f>
        <v xml:space="preserve">2_Stat_N_EB - 2_Stat_N_MB / * </v>
      </c>
      <c r="GI6" s="79" t="str">
        <f xml:space="preserve">  AV6 &amp; " + " &amp; BX6 &amp; " / * " &amp; GI$8</f>
        <v>2_Stat_N_EB + 2_Stat_N_MB / * 1</v>
      </c>
      <c r="GJ6" s="79" t="str">
        <f xml:space="preserve">  AW6 &amp; " + " &amp; BY6 &amp; " / * " &amp; GJ$8</f>
        <v>2_Stat_N_EB + 2_Stat_N_MB / * 1</v>
      </c>
      <c r="GK6" s="80" t="str">
        <f t="shared" ref="GK6:GR6" si="72" xml:space="preserve">  AX6 &amp; " - " &amp; BZ6 &amp; " / * " &amp; GK$8</f>
        <v>2_Stat_N_EB - 2_Stat_N_MB / * 0,75</v>
      </c>
      <c r="GL6" s="80" t="str">
        <f t="shared" si="72"/>
        <v>2_Stat_N_EB - 2_Stat_N_MB / * 0,75</v>
      </c>
      <c r="GM6" s="80" t="str">
        <f t="shared" si="72"/>
        <v>2_Stat_N_EB - 2_Stat_N_MB / * 0,75</v>
      </c>
      <c r="GN6" s="80" t="str">
        <f t="shared" si="72"/>
        <v>2_Stat_N_EB - 2_Stat_N_MB / * 0,75</v>
      </c>
      <c r="GO6" s="80" t="str">
        <f t="shared" si="72"/>
        <v>2_Stat_N_EB - 2_Stat_N_MB / * 0,75</v>
      </c>
      <c r="GP6" s="80" t="str">
        <f t="shared" si="72"/>
        <v>2_Stat_N_EB - 2_Stat_N_MB / * 0,75</v>
      </c>
      <c r="GQ6" s="80" t="str">
        <f t="shared" si="72"/>
        <v>2_Stat_N_EB - 2_Stat_N_MB / * 0,75</v>
      </c>
      <c r="GR6" s="80" t="str">
        <f t="shared" si="72"/>
        <v>2_Stat_N_EB - 2_Stat_N_MB / * 0,75</v>
      </c>
      <c r="GS6" s="132"/>
      <c r="GT6" s="132"/>
      <c r="GU6" s="132"/>
      <c r="GV6" s="132"/>
      <c r="GW6" s="124" t="s">
        <v>269</v>
      </c>
      <c r="GX6" s="78" t="str">
        <f xml:space="preserve"> GW6</f>
        <v>1_Amb_N_551-700</v>
      </c>
      <c r="GY6" s="78" t="str">
        <f t="shared" ref="GY6" si="73" xml:space="preserve"> GX6</f>
        <v>1_Amb_N_551-700</v>
      </c>
      <c r="GZ6" s="78" t="str">
        <f t="shared" ref="GZ6" si="74" xml:space="preserve"> GY6</f>
        <v>1_Amb_N_551-700</v>
      </c>
      <c r="HA6" s="78" t="str">
        <f t="shared" ref="HA6" si="75" xml:space="preserve"> GZ6</f>
        <v>1_Amb_N_551-700</v>
      </c>
      <c r="HB6" s="78" t="str">
        <f t="shared" ref="HB6" si="76" xml:space="preserve"> HA6</f>
        <v>1_Amb_N_551-700</v>
      </c>
      <c r="HC6" s="78" t="str">
        <f t="shared" ref="HC6" si="77" xml:space="preserve"> HB6</f>
        <v>1_Amb_N_551-700</v>
      </c>
      <c r="HD6" s="78" t="str">
        <f t="shared" ref="HD6" si="78" xml:space="preserve"> HC6</f>
        <v>1_Amb_N_551-700</v>
      </c>
      <c r="HE6" s="78" t="str">
        <f t="shared" ref="HE6" si="79" xml:space="preserve"> HD6</f>
        <v>1_Amb_N_551-700</v>
      </c>
      <c r="HF6" s="78" t="str">
        <f t="shared" ref="HF6" si="80" xml:space="preserve"> HE6</f>
        <v>1_Amb_N_551-700</v>
      </c>
      <c r="HG6" s="78" t="str">
        <f t="shared" ref="HG6" si="81" xml:space="preserve"> HF6</f>
        <v>1_Amb_N_551-700</v>
      </c>
      <c r="HH6" s="78" t="str">
        <f t="shared" ref="HH6" si="82" xml:space="preserve"> HG6</f>
        <v>1_Amb_N_551-700</v>
      </c>
      <c r="HI6" s="78" t="str">
        <f t="shared" ref="HI6:HJ6" si="83" xml:space="preserve"> HH6</f>
        <v>1_Amb_N_551-700</v>
      </c>
      <c r="HJ6" s="78" t="str">
        <f t="shared" si="83"/>
        <v>1_Amb_N_551-700</v>
      </c>
      <c r="HK6" s="132"/>
      <c r="HL6" s="124" t="s">
        <v>270</v>
      </c>
      <c r="HM6" s="78" t="str">
        <f xml:space="preserve"> HL6</f>
        <v>1_Amb_N_1401-1700</v>
      </c>
      <c r="HN6" s="78" t="str">
        <f t="shared" ref="HN6" si="84" xml:space="preserve"> HM6</f>
        <v>1_Amb_N_1401-1700</v>
      </c>
      <c r="HO6" s="78" t="str">
        <f t="shared" ref="HO6" si="85" xml:space="preserve"> HN6</f>
        <v>1_Amb_N_1401-1700</v>
      </c>
      <c r="HP6" s="78" t="str">
        <f t="shared" ref="HP6" si="86" xml:space="preserve"> HO6</f>
        <v>1_Amb_N_1401-1700</v>
      </c>
      <c r="HQ6" s="78" t="str">
        <f t="shared" ref="HQ6" si="87" xml:space="preserve"> HP6</f>
        <v>1_Amb_N_1401-1700</v>
      </c>
      <c r="HR6" s="78" t="str">
        <f t="shared" ref="HR6" si="88" xml:space="preserve"> HQ6</f>
        <v>1_Amb_N_1401-1700</v>
      </c>
      <c r="HS6" s="78" t="str">
        <f t="shared" ref="HS6" si="89" xml:space="preserve"> HR6</f>
        <v>1_Amb_N_1401-1700</v>
      </c>
      <c r="HT6" s="78" t="str">
        <f t="shared" ref="HT6" si="90" xml:space="preserve"> HS6</f>
        <v>1_Amb_N_1401-1700</v>
      </c>
      <c r="HU6" s="78" t="str">
        <f t="shared" ref="HU6" si="91" xml:space="preserve"> HT6</f>
        <v>1_Amb_N_1401-1700</v>
      </c>
      <c r="HV6" s="78" t="str">
        <f t="shared" ref="HV6" si="92" xml:space="preserve"> HU6</f>
        <v>1_Amb_N_1401-1700</v>
      </c>
      <c r="HW6" s="78" t="str">
        <f t="shared" ref="HW6" si="93" xml:space="preserve"> HV6</f>
        <v>1_Amb_N_1401-1700</v>
      </c>
      <c r="HX6" s="78" t="str">
        <f t="shared" ref="HX6:HY6" si="94" xml:space="preserve"> HW6</f>
        <v>1_Amb_N_1401-1700</v>
      </c>
      <c r="HY6" s="78" t="str">
        <f t="shared" si="94"/>
        <v>1_Amb_N_1401-1700</v>
      </c>
    </row>
    <row r="7" spans="1:233" x14ac:dyDescent="0.2">
      <c r="B7" s="118" t="s">
        <v>257</v>
      </c>
      <c r="C7" s="189">
        <v>28.78</v>
      </c>
      <c r="D7" s="189">
        <v>28.77</v>
      </c>
      <c r="E7" s="189">
        <v>17</v>
      </c>
      <c r="Q7" s="189">
        <v>332.4</v>
      </c>
      <c r="R7" s="189">
        <v>332.22</v>
      </c>
      <c r="S7" s="189">
        <v>329</v>
      </c>
      <c r="AE7" s="189">
        <v>1076.47</v>
      </c>
      <c r="AF7" s="189">
        <v>1077.3399999999999</v>
      </c>
      <c r="AG7" s="189">
        <v>1037.69</v>
      </c>
      <c r="FR7" s="79"/>
      <c r="FS7" s="79"/>
      <c r="FT7" s="79"/>
      <c r="FU7" s="79"/>
      <c r="FV7" s="79"/>
      <c r="FW7" s="79"/>
      <c r="FX7" s="79"/>
      <c r="FY7" s="79"/>
      <c r="FZ7" s="79"/>
      <c r="GA7" s="79"/>
      <c r="GB7" s="79"/>
      <c r="GC7" s="79"/>
      <c r="GD7" s="79"/>
      <c r="GK7" s="2" t="s">
        <v>66</v>
      </c>
      <c r="GM7" s="1"/>
      <c r="GW7" s="189">
        <v>594.45000000000005</v>
      </c>
      <c r="GX7" s="189">
        <v>594.04999999999995</v>
      </c>
      <c r="GY7" s="189">
        <v>631.67999999999995</v>
      </c>
      <c r="HL7" s="189">
        <v>1579.41</v>
      </c>
      <c r="HM7" s="189">
        <v>1602.62</v>
      </c>
      <c r="HN7" s="189">
        <v>1553.65</v>
      </c>
    </row>
    <row r="8" spans="1:233" x14ac:dyDescent="0.2">
      <c r="C8" s="189">
        <v>989.05</v>
      </c>
      <c r="D8" s="189">
        <v>1801.82</v>
      </c>
      <c r="E8" s="189">
        <v>270.83999999999997</v>
      </c>
      <c r="F8" s="188">
        <f xml:space="preserve"> SUM( F$25:F$29 )</f>
        <v>47398.965800000005</v>
      </c>
      <c r="G8" s="188">
        <f xml:space="preserve"> SUM( G$25:G$29 )</f>
        <v>46366.829899999997</v>
      </c>
      <c r="H8" s="126"/>
      <c r="I8" s="126"/>
      <c r="J8" s="188">
        <f xml:space="preserve"> SUMPRODUCT( G$25:G$29, J$25:J$29 )</f>
        <v>26892.843110548794</v>
      </c>
      <c r="K8" s="93">
        <f xml:space="preserve"> IF(    SUM(F8:G8)=0,    0,   J8 / SUM(F8:G8)    )</f>
        <v>0.28680866951304285</v>
      </c>
      <c r="L8" s="126"/>
      <c r="M8" s="126"/>
      <c r="N8" s="94">
        <f xml:space="preserve"> K8</f>
        <v>0.28680866951304285</v>
      </c>
      <c r="O8" s="94">
        <f xml:space="preserve"> K8</f>
        <v>0.28680866951304285</v>
      </c>
      <c r="Q8" s="189">
        <v>612.99</v>
      </c>
      <c r="R8" s="189">
        <v>1160.6600000000001</v>
      </c>
      <c r="S8" s="189">
        <v>216.29</v>
      </c>
      <c r="T8" s="188">
        <f xml:space="preserve"> SUM( T$25:T$29 )</f>
        <v>5267.0608000000002</v>
      </c>
      <c r="U8" s="188">
        <f xml:space="preserve"> SUM( U$25:U$29 )</f>
        <v>4990.6491999999998</v>
      </c>
      <c r="V8" s="126"/>
      <c r="W8" s="126"/>
      <c r="X8" s="188">
        <f xml:space="preserve"> SUMPRODUCT( U$25:U$29, X$25:X$29 )</f>
        <v>24901.600268466795</v>
      </c>
      <c r="Y8" s="93">
        <f xml:space="preserve"> IF(    SUM(T8:U8)=0,    0,   X8 / SUM(T8:U8)    )</f>
        <v>2.4275983887696957</v>
      </c>
      <c r="Z8" s="126"/>
      <c r="AA8" s="126"/>
      <c r="AB8" s="94">
        <f xml:space="preserve"> Y8</f>
        <v>2.4275983887696957</v>
      </c>
      <c r="AC8" s="94">
        <f xml:space="preserve"> Y8</f>
        <v>2.4275983887696957</v>
      </c>
      <c r="AE8" s="189">
        <v>468.87</v>
      </c>
      <c r="AF8" s="189">
        <v>1136.78</v>
      </c>
      <c r="AG8" s="189">
        <v>199.93</v>
      </c>
      <c r="AH8" s="188">
        <f xml:space="preserve"> SUM( AH$25:AH$29 )</f>
        <v>231.32169999999996</v>
      </c>
      <c r="AI8" s="188">
        <f xml:space="preserve"> SUM( AI$25:AI$29 )</f>
        <v>232.63670000000002</v>
      </c>
      <c r="AJ8" s="126"/>
      <c r="AK8" s="126"/>
      <c r="AL8" s="188">
        <f xml:space="preserve"> SUMPRODUCT( AI$25:AI$29, AL$25:AL$29 )</f>
        <v>2790.8729944503002</v>
      </c>
      <c r="AM8" s="93">
        <f xml:space="preserve"> IF(    SUM(AH8:AI8)=0,    0,   AL8 / SUM(AH8:AI8)    )</f>
        <v>6.0153517954417906</v>
      </c>
      <c r="AN8" s="126"/>
      <c r="AO8" s="126"/>
      <c r="AP8" s="94">
        <f xml:space="preserve"> AM8</f>
        <v>6.0153517954417906</v>
      </c>
      <c r="AQ8" s="94">
        <f xml:space="preserve"> AM8</f>
        <v>6.0153517954417906</v>
      </c>
      <c r="AS8" s="189">
        <v>348.45</v>
      </c>
      <c r="AT8" s="189">
        <v>699.87</v>
      </c>
      <c r="AU8" s="189">
        <v>263.47000000000003</v>
      </c>
      <c r="AV8" s="188">
        <f xml:space="preserve"> SUM( AV$25:AV$29 )</f>
        <v>36670.601600000002</v>
      </c>
      <c r="AW8" s="188">
        <f xml:space="preserve"> SUM( AW$25:AW$29 )</f>
        <v>35669.991600000001</v>
      </c>
      <c r="AX8" s="126"/>
      <c r="AY8" s="126"/>
      <c r="AZ8" s="188">
        <f xml:space="preserve"> SUMPRODUCT( AW$25:AW$29, AZ$25:AZ$29 )</f>
        <v>83712.908835965209</v>
      </c>
      <c r="BA8" s="93">
        <f xml:space="preserve"> IF(    SUM(AV8:AW8)=0,    0,   AZ8 / SUM(AV8:AW8)    )</f>
        <v>1.1572051753090298</v>
      </c>
      <c r="BB8" s="126"/>
      <c r="BC8" s="126"/>
      <c r="BD8" s="94">
        <f xml:space="preserve"> BA8</f>
        <v>1.1572051753090298</v>
      </c>
      <c r="BE8" s="94">
        <f xml:space="preserve"> BA8</f>
        <v>1.1572051753090298</v>
      </c>
      <c r="BG8" s="189">
        <v>338.22</v>
      </c>
      <c r="BH8" s="189">
        <v>598.46</v>
      </c>
      <c r="BI8" s="189">
        <v>230.45</v>
      </c>
      <c r="BJ8" s="188">
        <f xml:space="preserve"> SUM( BJ$25:BJ$29 )</f>
        <v>16780.3017</v>
      </c>
      <c r="BK8" s="188">
        <f xml:space="preserve"> SUM( BK$25:BK$29 )</f>
        <v>16430.4476</v>
      </c>
      <c r="BL8" s="126"/>
      <c r="BM8" s="126"/>
      <c r="BN8" s="188">
        <f xml:space="preserve"> SUMPRODUCT( BK$25:BK$29, BN$25:BN$29 )</f>
        <v>47226.575816502489</v>
      </c>
      <c r="BO8" s="93">
        <f xml:space="preserve"> IF(    SUM(BJ8:BK8)=0,    0,   BN8 / SUM(BJ8:BK8)    )</f>
        <v>1.4220268079438514</v>
      </c>
      <c r="BP8" s="126"/>
      <c r="BQ8" s="126"/>
      <c r="BR8" s="94">
        <f xml:space="preserve"> BO8</f>
        <v>1.4220268079438514</v>
      </c>
      <c r="BS8" s="94">
        <f xml:space="preserve"> BO8</f>
        <v>1.4220268079438514</v>
      </c>
      <c r="BU8" s="189">
        <v>235.14</v>
      </c>
      <c r="BV8" s="189">
        <v>359.53</v>
      </c>
      <c r="BW8" s="189">
        <v>94.19</v>
      </c>
      <c r="BX8" s="188">
        <f xml:space="preserve"> SUM( BX$25:BX$29 )</f>
        <v>17176.664100000002</v>
      </c>
      <c r="BY8" s="188">
        <f xml:space="preserve"> SUM( BY$25:BY$29 )</f>
        <v>16655.353299999999</v>
      </c>
      <c r="BZ8" s="126"/>
      <c r="CA8" s="126"/>
      <c r="CB8" s="188">
        <f xml:space="preserve"> SUMPRODUCT( BY$25:BY$29, CB$25:CB$29 )</f>
        <v>7077.4980504978994</v>
      </c>
      <c r="CC8" s="93">
        <f xml:space="preserve"> IF(    SUM(BX8:BY8)=0,    0,   CB8 / SUM(BX8:BY8)    )</f>
        <v>0.20919527105994867</v>
      </c>
      <c r="CD8" s="126"/>
      <c r="CE8" s="126"/>
      <c r="CF8" s="94">
        <f xml:space="preserve"> CC8</f>
        <v>0.20919527105994867</v>
      </c>
      <c r="CG8" s="94">
        <f xml:space="preserve"> CC8</f>
        <v>0.20919527105994867</v>
      </c>
      <c r="CI8" s="189">
        <v>206.4</v>
      </c>
      <c r="CJ8" s="189">
        <v>267.82</v>
      </c>
      <c r="CK8" s="189">
        <v>0.42</v>
      </c>
      <c r="CL8" s="188">
        <f xml:space="preserve"> SUM( CL$25:CL$29 )</f>
        <v>70840.725900000005</v>
      </c>
      <c r="CM8" s="188">
        <f xml:space="preserve"> SUM( CM$25:CM$29 )</f>
        <v>69016.161699999997</v>
      </c>
      <c r="CN8" s="126"/>
      <c r="CO8" s="126"/>
      <c r="CP8" s="188">
        <f xml:space="preserve"> SUMPRODUCT( CM$25:CM$29, CP$25:CP$29 )</f>
        <v>503.80132550999997</v>
      </c>
      <c r="CQ8" s="93">
        <f xml:space="preserve"> IF(    SUM(CL8:CM8)=0,    0,   CP8 / SUM(CL8:CM8)    )</f>
        <v>3.6022632432011871E-3</v>
      </c>
      <c r="CR8" s="126"/>
      <c r="CS8" s="126"/>
      <c r="CT8" s="94">
        <f xml:space="preserve"> CQ8</f>
        <v>3.6022632432011871E-3</v>
      </c>
      <c r="CU8" s="94">
        <f xml:space="preserve"> CQ8</f>
        <v>3.6022632432011871E-3</v>
      </c>
      <c r="CW8" s="189">
        <v>207.59</v>
      </c>
      <c r="CX8" s="189">
        <v>281.51</v>
      </c>
      <c r="CY8" s="189">
        <v>0.28999999999999998</v>
      </c>
      <c r="CZ8" s="188">
        <f xml:space="preserve"> SUM( CZ$25:CZ$29 )</f>
        <v>27978.152599999998</v>
      </c>
      <c r="DA8" s="188">
        <f xml:space="preserve"> SUM( DA$25:DA$29 )</f>
        <v>26821.955800000003</v>
      </c>
      <c r="DB8" s="126"/>
      <c r="DC8" s="126"/>
      <c r="DD8" s="188">
        <f xml:space="preserve"> SUMPRODUCT( DA$25:DA$29, DD$25:DD$29 )</f>
        <v>502.79753188009994</v>
      </c>
      <c r="DE8" s="93">
        <f xml:space="preserve"> IF(    SUM(CZ8:DA8)=0,    0,   DD8 / SUM(CZ8:DA8)    )</f>
        <v>9.1751192937439517E-3</v>
      </c>
      <c r="DF8" s="126"/>
      <c r="DG8" s="126"/>
      <c r="DH8" s="94">
        <f xml:space="preserve"> DE8</f>
        <v>9.1751192937439517E-3</v>
      </c>
      <c r="DI8" s="94">
        <f xml:space="preserve"> DE8</f>
        <v>9.1751192937439517E-3</v>
      </c>
      <c r="DK8" s="189">
        <v>136.24</v>
      </c>
      <c r="DL8" s="189">
        <v>197.31</v>
      </c>
      <c r="DM8" s="189">
        <v>0.22</v>
      </c>
      <c r="DN8" s="188">
        <f xml:space="preserve"> SUM( DN$25:DN$29 )</f>
        <v>6966.5774999999994</v>
      </c>
      <c r="DO8" s="188">
        <f xml:space="preserve"> SUM( DO$25:DO$29 )</f>
        <v>6609.0208000000011</v>
      </c>
      <c r="DP8" s="126"/>
      <c r="DQ8" s="126"/>
      <c r="DR8" s="188">
        <f xml:space="preserve"> SUMPRODUCT( DO$25:DO$29, DR$25:DR$29 )</f>
        <v>64.701807700199993</v>
      </c>
      <c r="DS8" s="93">
        <f xml:space="preserve"> IF(    SUM(DN8:DO8)=0,    0,   DR8 / SUM(DN8:DO8)    )</f>
        <v>4.7660372876678287E-3</v>
      </c>
      <c r="DT8" s="126"/>
      <c r="DU8" s="126"/>
      <c r="DV8" s="94">
        <f xml:space="preserve"> DS8</f>
        <v>4.7660372876678287E-3</v>
      </c>
      <c r="DW8" s="94">
        <f xml:space="preserve"> DS8</f>
        <v>4.7660372876678287E-3</v>
      </c>
      <c r="EB8" s="52"/>
      <c r="EC8" s="52"/>
      <c r="ED8" s="52"/>
      <c r="EE8" s="53">
        <v>1</v>
      </c>
      <c r="EF8" s="54">
        <f xml:space="preserve"> EE8</f>
        <v>1</v>
      </c>
      <c r="EG8" s="53">
        <v>0.8</v>
      </c>
      <c r="EH8" s="54">
        <f t="shared" ref="EH8:EN8" si="95" xml:space="preserve"> EG8</f>
        <v>0.8</v>
      </c>
      <c r="EI8" s="54">
        <f t="shared" si="95"/>
        <v>0.8</v>
      </c>
      <c r="EJ8" s="54">
        <f t="shared" si="95"/>
        <v>0.8</v>
      </c>
      <c r="EK8" s="54">
        <f t="shared" si="95"/>
        <v>0.8</v>
      </c>
      <c r="EL8" s="54">
        <f t="shared" si="95"/>
        <v>0.8</v>
      </c>
      <c r="EM8" s="54">
        <f t="shared" si="95"/>
        <v>0.8</v>
      </c>
      <c r="EN8" s="54">
        <f t="shared" si="95"/>
        <v>0.8</v>
      </c>
      <c r="EP8" s="52"/>
      <c r="EQ8" s="52"/>
      <c r="ER8" s="52"/>
      <c r="ES8" s="53">
        <v>1</v>
      </c>
      <c r="ET8" s="54">
        <f xml:space="preserve"> ES8</f>
        <v>1</v>
      </c>
      <c r="EU8" s="53">
        <v>0.7</v>
      </c>
      <c r="EV8" s="54">
        <f t="shared" ref="EV8:FB8" si="96" xml:space="preserve"> EU8</f>
        <v>0.7</v>
      </c>
      <c r="EW8" s="54">
        <f t="shared" si="96"/>
        <v>0.7</v>
      </c>
      <c r="EX8" s="54">
        <f t="shared" si="96"/>
        <v>0.7</v>
      </c>
      <c r="EY8" s="54">
        <f t="shared" si="96"/>
        <v>0.7</v>
      </c>
      <c r="EZ8" s="54">
        <f t="shared" si="96"/>
        <v>0.7</v>
      </c>
      <c r="FA8" s="54">
        <f t="shared" si="96"/>
        <v>0.7</v>
      </c>
      <c r="FB8" s="54">
        <f t="shared" si="96"/>
        <v>0.7</v>
      </c>
      <c r="FD8" s="52"/>
      <c r="FE8" s="52"/>
      <c r="FF8" s="52"/>
      <c r="FG8" s="53">
        <v>1</v>
      </c>
      <c r="FH8" s="54">
        <f xml:space="preserve"> FG8</f>
        <v>1</v>
      </c>
      <c r="FI8" s="53">
        <v>0.6</v>
      </c>
      <c r="FJ8" s="54">
        <f t="shared" ref="FJ8:FP8" si="97" xml:space="preserve"> FI8</f>
        <v>0.6</v>
      </c>
      <c r="FK8" s="54">
        <f t="shared" si="97"/>
        <v>0.6</v>
      </c>
      <c r="FL8" s="54">
        <f t="shared" si="97"/>
        <v>0.6</v>
      </c>
      <c r="FM8" s="54">
        <f t="shared" si="97"/>
        <v>0.6</v>
      </c>
      <c r="FN8" s="54">
        <f t="shared" si="97"/>
        <v>0.6</v>
      </c>
      <c r="FO8" s="54">
        <f t="shared" si="97"/>
        <v>0.6</v>
      </c>
      <c r="FP8" s="54">
        <f t="shared" si="97"/>
        <v>0.6</v>
      </c>
      <c r="FR8" s="52"/>
      <c r="FS8" s="52"/>
      <c r="FT8" s="52"/>
      <c r="FU8" s="53">
        <v>1</v>
      </c>
      <c r="FV8" s="54">
        <f xml:space="preserve"> FU8</f>
        <v>1</v>
      </c>
      <c r="FW8" s="53">
        <v>0.8</v>
      </c>
      <c r="FX8" s="54">
        <f t="shared" ref="FX8:GD8" si="98" xml:space="preserve"> FW8</f>
        <v>0.8</v>
      </c>
      <c r="FY8" s="54">
        <f t="shared" si="98"/>
        <v>0.8</v>
      </c>
      <c r="FZ8" s="54">
        <f t="shared" si="98"/>
        <v>0.8</v>
      </c>
      <c r="GA8" s="54">
        <f t="shared" si="98"/>
        <v>0.8</v>
      </c>
      <c r="GB8" s="54">
        <f t="shared" si="98"/>
        <v>0.8</v>
      </c>
      <c r="GC8" s="54">
        <f t="shared" si="98"/>
        <v>0.8</v>
      </c>
      <c r="GD8" s="54">
        <f t="shared" si="98"/>
        <v>0.8</v>
      </c>
      <c r="GF8" s="52"/>
      <c r="GG8" s="52"/>
      <c r="GH8" s="52"/>
      <c r="GI8" s="53">
        <v>1</v>
      </c>
      <c r="GJ8" s="54">
        <f xml:space="preserve"> GI8</f>
        <v>1</v>
      </c>
      <c r="GK8" s="53">
        <v>0.75</v>
      </c>
      <c r="GL8" s="54">
        <f t="shared" ref="GL8:GR8" si="99" xml:space="preserve"> GK8</f>
        <v>0.75</v>
      </c>
      <c r="GM8" s="54">
        <f t="shared" si="99"/>
        <v>0.75</v>
      </c>
      <c r="GN8" s="54">
        <f t="shared" si="99"/>
        <v>0.75</v>
      </c>
      <c r="GO8" s="54">
        <f t="shared" si="99"/>
        <v>0.75</v>
      </c>
      <c r="GP8" s="54">
        <f t="shared" si="99"/>
        <v>0.75</v>
      </c>
      <c r="GQ8" s="54">
        <f t="shared" si="99"/>
        <v>0.75</v>
      </c>
      <c r="GR8" s="54">
        <f t="shared" si="99"/>
        <v>0.75</v>
      </c>
      <c r="GW8" s="189">
        <v>656.79</v>
      </c>
      <c r="GX8" s="189">
        <v>1357.81</v>
      </c>
      <c r="GY8" s="189">
        <v>243.32</v>
      </c>
      <c r="GZ8" s="188">
        <f xml:space="preserve"> SUM( GZ$25:GZ$29 )</f>
        <v>1213.1267</v>
      </c>
      <c r="HA8" s="188">
        <f xml:space="preserve"> SUM( HA$25:HA$29 )</f>
        <v>1192.3884000000003</v>
      </c>
      <c r="HB8" s="126"/>
      <c r="HC8" s="126"/>
      <c r="HD8" s="188">
        <f xml:space="preserve"> SUMPRODUCT( HA$25:HA$29, HD$25:HD$29 )</f>
        <v>0</v>
      </c>
      <c r="HE8" s="93">
        <f xml:space="preserve"> IF(    SUM(GZ8:HA8)=0,    0,   HD8 / SUM(GZ8:HA8)    )</f>
        <v>0</v>
      </c>
      <c r="HF8" s="126"/>
      <c r="HG8" s="126"/>
      <c r="HH8" s="94">
        <f xml:space="preserve"> HE8</f>
        <v>0</v>
      </c>
      <c r="HI8" s="94">
        <f xml:space="preserve"> HE8</f>
        <v>0</v>
      </c>
      <c r="HL8" s="189">
        <v>531.65</v>
      </c>
      <c r="HM8" s="189">
        <v>775.53</v>
      </c>
      <c r="HN8" s="189">
        <v>129.79</v>
      </c>
      <c r="HO8" s="188">
        <f xml:space="preserve"> SUM( HO$25:HO$29 )</f>
        <v>47.692399999999999</v>
      </c>
      <c r="HP8" s="188">
        <f xml:space="preserve"> SUM( HP$25:HP$29 )</f>
        <v>40.833300000000001</v>
      </c>
      <c r="HQ8" s="126"/>
      <c r="HR8" s="126"/>
      <c r="HS8" s="188">
        <f xml:space="preserve"> SUMPRODUCT( HP$25:HP$29, HS$25:HS$29 )</f>
        <v>210.688107</v>
      </c>
      <c r="HT8" s="93">
        <f xml:space="preserve"> IF(    SUM(HO8:HP8)=0,    0,   HS8 / SUM(HO8:HP8)    )</f>
        <v>2.379965445062846</v>
      </c>
      <c r="HU8" s="126"/>
      <c r="HV8" s="126"/>
      <c r="HW8" s="94">
        <f xml:space="preserve"> HT8</f>
        <v>2.379965445062846</v>
      </c>
      <c r="HX8" s="94">
        <f xml:space="preserve"> HT8</f>
        <v>2.379965445062846</v>
      </c>
    </row>
    <row r="9" spans="1:233" x14ac:dyDescent="0.2">
      <c r="C9" s="277"/>
      <c r="D9" s="127"/>
      <c r="E9" s="127"/>
      <c r="F9" s="188">
        <f xml:space="preserve"> SUM( F$30:F$74 )</f>
        <v>843476.74889999989</v>
      </c>
      <c r="G9" s="188">
        <f xml:space="preserve"> SUM( G$30:G$74 )</f>
        <v>259911.27079999997</v>
      </c>
      <c r="H9" s="126"/>
      <c r="I9" s="126"/>
      <c r="J9" s="188">
        <f xml:space="preserve"> SUMPRODUCT( G$30:G$74, J$30:J$74 )</f>
        <v>24601573.101464342</v>
      </c>
      <c r="K9" s="93">
        <f xml:space="preserve"> IF(    SUM(F9:G9)=0,    0,   J9 / SUM(F9:G9)    )</f>
        <v>22.29639316561844</v>
      </c>
      <c r="L9" s="126"/>
      <c r="M9" s="126"/>
      <c r="N9" s="94">
        <f xml:space="preserve"> K9</f>
        <v>22.29639316561844</v>
      </c>
      <c r="O9" s="94">
        <f xml:space="preserve"> K9</f>
        <v>22.29639316561844</v>
      </c>
      <c r="Q9" s="276"/>
      <c r="R9" s="127"/>
      <c r="S9" s="127"/>
      <c r="T9" s="188">
        <f xml:space="preserve"> SUM( T$30:T$74 )</f>
        <v>162155.24119999999</v>
      </c>
      <c r="U9" s="188">
        <f xml:space="preserve"> SUM( U$30:U$74 )</f>
        <v>64570.088499999991</v>
      </c>
      <c r="V9" s="126"/>
      <c r="W9" s="126"/>
      <c r="X9" s="188">
        <f xml:space="preserve"> SUMPRODUCT( U$30:U$74, X$30:X$74 )</f>
        <v>3881074.599479184</v>
      </c>
      <c r="Y9" s="93">
        <f xml:space="preserve"> IF(    SUM(T9:U9)=0,    0,   X9 / SUM(T9:U9)    )</f>
        <v>17.117957683045699</v>
      </c>
      <c r="Z9" s="126"/>
      <c r="AA9" s="126"/>
      <c r="AB9" s="94">
        <f xml:space="preserve"> Y9</f>
        <v>17.117957683045699</v>
      </c>
      <c r="AC9" s="94">
        <f xml:space="preserve"> Y9</f>
        <v>17.117957683045699</v>
      </c>
      <c r="AE9" s="276"/>
      <c r="AF9" s="127"/>
      <c r="AG9" s="127"/>
      <c r="AH9" s="188">
        <f xml:space="preserve"> SUM( AH$30:AH$74 )</f>
        <v>17760.941600000002</v>
      </c>
      <c r="AI9" s="188">
        <f xml:space="preserve"> SUM( AI$30:AI$74 )</f>
        <v>6611.7918999999993</v>
      </c>
      <c r="AJ9" s="126"/>
      <c r="AK9" s="126"/>
      <c r="AL9" s="188">
        <f xml:space="preserve"> SUMPRODUCT( AI$30:AI$74, AL$30:AL$74 )</f>
        <v>319445.69491897972</v>
      </c>
      <c r="AM9" s="93">
        <f xml:space="preserve"> IF(    SUM(AH9:AI9)=0,    0,   AL9 / SUM(AH9:AI9)    )</f>
        <v>13.106683126822016</v>
      </c>
      <c r="AN9" s="126"/>
      <c r="AO9" s="126"/>
      <c r="AP9" s="94">
        <f xml:space="preserve"> AM9</f>
        <v>13.106683126822016</v>
      </c>
      <c r="AQ9" s="94">
        <f xml:space="preserve"> AM9</f>
        <v>13.106683126822016</v>
      </c>
      <c r="AS9" s="276"/>
      <c r="AT9" s="127"/>
      <c r="AU9" s="127"/>
      <c r="AV9" s="188">
        <f xml:space="preserve"> SUM( AV$30:AV$74 )</f>
        <v>711463.27119999984</v>
      </c>
      <c r="AW9" s="188">
        <f xml:space="preserve"> SUM( AW$30:AW$74 )</f>
        <v>215032.26670000007</v>
      </c>
      <c r="AX9" s="126"/>
      <c r="AY9" s="126"/>
      <c r="AZ9" s="188">
        <f xml:space="preserve"> SUMPRODUCT( AW$30:AW$74, AZ$30:AZ$74 )</f>
        <v>17074613.792767383</v>
      </c>
      <c r="BA9" s="93">
        <f xml:space="preserve"> IF(    SUM(AV9:AW9)=0,    0,   AZ9 / SUM(AV9:AW9)    )</f>
        <v>18.429245575719449</v>
      </c>
      <c r="BB9" s="126"/>
      <c r="BC9" s="126"/>
      <c r="BD9" s="94">
        <f xml:space="preserve"> BA9</f>
        <v>18.429245575719449</v>
      </c>
      <c r="BE9" s="94">
        <f xml:space="preserve"> BA9</f>
        <v>18.429245575719449</v>
      </c>
      <c r="BG9" s="276"/>
      <c r="BH9" s="127"/>
      <c r="BI9" s="127"/>
      <c r="BJ9" s="188">
        <f xml:space="preserve"> SUM( BJ$30:BJ$74 )</f>
        <v>406591.14349999995</v>
      </c>
      <c r="BK9" s="188">
        <f xml:space="preserve"> SUM( BK$30:BK$74 )</f>
        <v>125615.7816</v>
      </c>
      <c r="BL9" s="126"/>
      <c r="BM9" s="126"/>
      <c r="BN9" s="188">
        <f xml:space="preserve"> SUMPRODUCT( BK$30:BK$74, BN$30:BN$74 )</f>
        <v>10487424.341019217</v>
      </c>
      <c r="BO9" s="93">
        <f xml:space="preserve"> IF(    SUM(BJ9:BK9)=0,    0,   BN9 / SUM(BJ9:BK9)    )</f>
        <v>19.705539042072147</v>
      </c>
      <c r="BP9" s="126"/>
      <c r="BQ9" s="126"/>
      <c r="BR9" s="94">
        <f xml:space="preserve"> BO9</f>
        <v>19.705539042072147</v>
      </c>
      <c r="BS9" s="94">
        <f xml:space="preserve"> BO9</f>
        <v>19.705539042072147</v>
      </c>
      <c r="BU9" s="276"/>
      <c r="BV9" s="127"/>
      <c r="BW9" s="127"/>
      <c r="BX9" s="188">
        <f xml:space="preserve"> SUM( BX$30:BX$74 )</f>
        <v>519897.07020000002</v>
      </c>
      <c r="BY9" s="188">
        <f xml:space="preserve"> SUM( BY$30:BY$74 )</f>
        <v>181819.98140000002</v>
      </c>
      <c r="BZ9" s="126"/>
      <c r="CA9" s="126"/>
      <c r="CB9" s="188">
        <f xml:space="preserve"> SUMPRODUCT( BY$30:BY$74, CB$30:CB$74 )</f>
        <v>7973646.6067176946</v>
      </c>
      <c r="CC9" s="93">
        <f xml:space="preserve"> IF(    SUM(BX9:BY9)=0,    0,   CB9 / SUM(BX9:BY9)    )</f>
        <v>11.363050945586705</v>
      </c>
      <c r="CD9" s="126"/>
      <c r="CE9" s="126"/>
      <c r="CF9" s="94">
        <f xml:space="preserve"> CC9</f>
        <v>11.363050945586705</v>
      </c>
      <c r="CG9" s="94">
        <f xml:space="preserve"> CC9</f>
        <v>11.363050945586705</v>
      </c>
      <c r="CI9" s="276"/>
      <c r="CJ9" s="127"/>
      <c r="CK9" s="127"/>
      <c r="CL9" s="188">
        <f xml:space="preserve"> SUM( CL$30:CL$74 )</f>
        <v>1650491.7307</v>
      </c>
      <c r="CM9" s="188">
        <f xml:space="preserve"> SUM( CM$30:CM$74 )</f>
        <v>519404.17810000008</v>
      </c>
      <c r="CN9" s="126"/>
      <c r="CO9" s="126"/>
      <c r="CP9" s="188">
        <f xml:space="preserve"> SUMPRODUCT( CM$30:CM$74, CP$30:CP$74 )</f>
        <v>75127.396253422805</v>
      </c>
      <c r="CQ9" s="93">
        <f xml:space="preserve"> IF(    SUM(CL9:CM9)=0,    0,   CP9 / SUM(CL9:CM9)    )</f>
        <v>3.4622580718616083E-2</v>
      </c>
      <c r="CR9" s="126"/>
      <c r="CS9" s="126"/>
      <c r="CT9" s="94">
        <f xml:space="preserve"> CQ9</f>
        <v>3.4622580718616083E-2</v>
      </c>
      <c r="CU9" s="94">
        <f xml:space="preserve"> CQ9</f>
        <v>3.4622580718616083E-2</v>
      </c>
      <c r="CW9" s="276"/>
      <c r="CX9" s="127"/>
      <c r="CY9" s="127"/>
      <c r="CZ9" s="188">
        <f xml:space="preserve"> SUM( CZ$30:CZ$74 )</f>
        <v>748543.09079999989</v>
      </c>
      <c r="DA9" s="188">
        <f xml:space="preserve"> SUM( DA$30:DA$74 )</f>
        <v>210048.07449999999</v>
      </c>
      <c r="DB9" s="126"/>
      <c r="DC9" s="126"/>
      <c r="DD9" s="188">
        <f xml:space="preserve"> SUMPRODUCT( DA$30:DA$74, DD$30:DD$74 )</f>
        <v>21764.919480922599</v>
      </c>
      <c r="DE9" s="93">
        <f xml:space="preserve"> IF(    SUM(CZ9:DA9)=0,    0,   DD9 / SUM(CZ9:DA9)    )</f>
        <v>2.2705111698073148E-2</v>
      </c>
      <c r="DF9" s="126"/>
      <c r="DG9" s="126"/>
      <c r="DH9" s="94">
        <f xml:space="preserve"> DE9</f>
        <v>2.2705111698073148E-2</v>
      </c>
      <c r="DI9" s="94">
        <f xml:space="preserve"> DE9</f>
        <v>2.2705111698073148E-2</v>
      </c>
      <c r="DK9" s="276"/>
      <c r="DL9" s="127"/>
      <c r="DM9" s="127"/>
      <c r="DN9" s="188">
        <f xml:space="preserve"> SUM( DN$30:DN$74 )</f>
        <v>215858.82739999998</v>
      </c>
      <c r="DO9" s="188">
        <f xml:space="preserve"> SUM( DO$30:DO$74 )</f>
        <v>76485.748099999997</v>
      </c>
      <c r="DP9" s="126"/>
      <c r="DQ9" s="126"/>
      <c r="DR9" s="188">
        <f xml:space="preserve"> SUMPRODUCT( DO$30:DO$74, DR$30:DR$74 )</f>
        <v>6455.1877904777984</v>
      </c>
      <c r="DS9" s="93">
        <f xml:space="preserve"> IF(    SUM(DN9:DO9)=0,    0,   DR9 / SUM(DN9:DO9)    )</f>
        <v>2.2080751043310531E-2</v>
      </c>
      <c r="DT9" s="126"/>
      <c r="DU9" s="126"/>
      <c r="DV9" s="94">
        <f xml:space="preserve"> DS9</f>
        <v>2.2080751043310531E-2</v>
      </c>
      <c r="DW9" s="94">
        <f xml:space="preserve"> DS9</f>
        <v>2.2080751043310531E-2</v>
      </c>
      <c r="EM9" s="55">
        <f xml:space="preserve"> N9 + BD9 + CT9 + EM$8 * DH9</f>
        <v>40.778425411414965</v>
      </c>
      <c r="EN9" s="55">
        <f xml:space="preserve"> O9 + BE9 + CU9 + EN$8 * DI9</f>
        <v>40.778425411414965</v>
      </c>
      <c r="FA9" s="55">
        <f xml:space="preserve"> AB9 + BR9 + CT9 + FA$8 * DH9</f>
        <v>36.87401288402512</v>
      </c>
      <c r="FB9" s="55">
        <f xml:space="preserve"> AC9 + BS9 + CU9 + FB$8 * DI9</f>
        <v>36.87401288402512</v>
      </c>
      <c r="FO9" s="55">
        <f xml:space="preserve"> AP9 + CF9 + CT9 + FO$8 * DV9</f>
        <v>24.517605103753322</v>
      </c>
      <c r="FP9" s="55">
        <f xml:space="preserve"> AQ9 + CG9 + CU9 + FP$8 * DW9</f>
        <v>24.517605103753322</v>
      </c>
      <c r="GC9" s="55">
        <f xml:space="preserve"> CT9 + GC$8 * DH9</f>
        <v>5.2786670077074604E-2</v>
      </c>
      <c r="GD9" s="55">
        <f xml:space="preserve"> CU9 + GD$8 * DI9</f>
        <v>5.2786670077074604E-2</v>
      </c>
      <c r="GM9" s="1"/>
      <c r="GQ9" s="56">
        <f xml:space="preserve"> MAX( 0, BD9 - CF9 ) * GQ$8</f>
        <v>5.2996459725995582</v>
      </c>
      <c r="GR9" s="56">
        <f xml:space="preserve"> MAX( 0, BE9 - CG9 ) * GR$8</f>
        <v>5.2996459725995582</v>
      </c>
      <c r="GW9" s="277"/>
      <c r="GX9" s="127"/>
      <c r="GY9" s="127"/>
      <c r="GZ9" s="188">
        <f xml:space="preserve"> SUM( GZ$30:GZ$74 )</f>
        <v>64368.438299999987</v>
      </c>
      <c r="HA9" s="188">
        <f xml:space="preserve"> SUM( HA$30:HA$74 )</f>
        <v>23790.907500000001</v>
      </c>
      <c r="HB9" s="126"/>
      <c r="HC9" s="126"/>
      <c r="HD9" s="188">
        <f xml:space="preserve"> SUMPRODUCT( HA$30:HA$74, HD$30:HD$74 )</f>
        <v>1306996.9965576215</v>
      </c>
      <c r="HE9" s="93">
        <f xml:space="preserve"> IF(    SUM(GZ9:HA9)=0,    0,   HD9 / SUM(GZ9:HA9)    )</f>
        <v>14.825393549569895</v>
      </c>
      <c r="HF9" s="126"/>
      <c r="HG9" s="126"/>
      <c r="HH9" s="94">
        <f xml:space="preserve"> HE9</f>
        <v>14.825393549569895</v>
      </c>
      <c r="HI9" s="94">
        <f xml:space="preserve"> HE9</f>
        <v>14.825393549569895</v>
      </c>
      <c r="HL9" s="277"/>
      <c r="HM9" s="127"/>
      <c r="HN9" s="127"/>
      <c r="HO9" s="188">
        <f xml:space="preserve"> SUM( HO$30:HO$74 )</f>
        <v>8985.143399999999</v>
      </c>
      <c r="HP9" s="188">
        <f xml:space="preserve"> SUM( HP$30:HP$74 )</f>
        <v>2577.6675999999998</v>
      </c>
      <c r="HQ9" s="126"/>
      <c r="HR9" s="126"/>
      <c r="HS9" s="188">
        <f xml:space="preserve"> SUMPRODUCT( HP$30:HP$74, HS$30:HS$74 )</f>
        <v>34746.808160094399</v>
      </c>
      <c r="HT9" s="93">
        <f xml:space="preserve"> IF(    SUM(HO9:HP9)=0,    0,   HS9 / SUM(HO9:HP9)    )</f>
        <v>3.0050485267029274</v>
      </c>
      <c r="HU9" s="126"/>
      <c r="HV9" s="126"/>
      <c r="HW9" s="94">
        <f xml:space="preserve"> HT9</f>
        <v>3.0050485267029274</v>
      </c>
      <c r="HX9" s="94">
        <f xml:space="preserve"> HT9</f>
        <v>3.0050485267029274</v>
      </c>
    </row>
    <row r="10" spans="1:233" x14ac:dyDescent="0.2">
      <c r="A10" s="118">
        <v>0</v>
      </c>
      <c r="C10" s="275">
        <v>1.2806999999999999</v>
      </c>
      <c r="D10" s="275">
        <v>0.62870000000000004</v>
      </c>
      <c r="E10" s="275">
        <v>0</v>
      </c>
      <c r="F10" s="275">
        <v>4139.3233</v>
      </c>
      <c r="G10" s="275">
        <v>3916.8616999999999</v>
      </c>
      <c r="H10" s="49">
        <f t="shared" ref="H10:J41" si="100" xml:space="preserve"> C10 * C$8</f>
        <v>1266.6763349999999</v>
      </c>
      <c r="I10" s="49">
        <f t="shared" si="100"/>
        <v>1132.804234</v>
      </c>
      <c r="J10" s="47">
        <f t="shared" si="100"/>
        <v>0</v>
      </c>
      <c r="K10" s="47">
        <f xml:space="preserve"> IF(    SUM(F10:G10)=0,    0,   J10 * G10 / SUM(F10:G10)    )</f>
        <v>0</v>
      </c>
      <c r="L10" s="48">
        <f xml:space="preserve"> H10 + K10</f>
        <v>1266.6763349999999</v>
      </c>
      <c r="M10" s="48">
        <f xml:space="preserve"> I10 - J10 + K10</f>
        <v>1132.804234</v>
      </c>
      <c r="N10" s="93">
        <f xml:space="preserve"> H10 + IF( OR( $A10&lt;=14, $A10&gt;=65 ),0, IF( $A10&lt;=19, N$8, N$9 ) )</f>
        <v>1266.6763349999999</v>
      </c>
      <c r="O10" s="93">
        <f xml:space="preserve"> I10 - J10 + IF( OR( $A10&lt;=14, $A10&gt;=65 ),0, IF( $A10&lt;=19, O$8, O$9 ) )</f>
        <v>1132.804234</v>
      </c>
      <c r="P10" s="298">
        <f t="shared" ref="P10:P41" si="101" xml:space="preserve"> IF(   SUM(F10:G10) = 0,    IF( H10&lt;I10, lambdax_min, lambdax_max ),
                                                                   MAX( lambdax_min, MIN( lambdax_max, F10 / SUM(F10:G10) ) )     )</f>
        <v>0.51380688253807483</v>
      </c>
      <c r="Q10" s="275">
        <v>1.4265000000000001</v>
      </c>
      <c r="R10" s="275">
        <v>0.755</v>
      </c>
      <c r="S10" s="275">
        <v>0</v>
      </c>
      <c r="T10" s="275">
        <v>329.36750000000001</v>
      </c>
      <c r="U10" s="275">
        <v>324.52080000000001</v>
      </c>
      <c r="V10" s="49">
        <f t="shared" ref="V10:X41" si="102" xml:space="preserve"> Q10 * Q$8</f>
        <v>874.43023500000004</v>
      </c>
      <c r="W10" s="49">
        <f t="shared" si="102"/>
        <v>876.29830000000004</v>
      </c>
      <c r="X10" s="47">
        <f t="shared" si="102"/>
        <v>0</v>
      </c>
      <c r="Y10" s="47">
        <f xml:space="preserve"> IF(    SUM(V10:W10)=0,    0,   X10 * W10 / SUM(V10:W10)    )</f>
        <v>0</v>
      </c>
      <c r="Z10" s="48">
        <f xml:space="preserve"> V10 + Y10</f>
        <v>874.43023500000004</v>
      </c>
      <c r="AA10" s="48">
        <f xml:space="preserve"> W10 - X10 + Y10</f>
        <v>876.29830000000004</v>
      </c>
      <c r="AB10" s="93">
        <f xml:space="preserve"> V10 + IF( OR( $A10&lt;=14, $A10&gt;=65 ),0, IF( $A10&lt;=19, AB$8, AB$9 ) )</f>
        <v>874.43023500000004</v>
      </c>
      <c r="AC10" s="93">
        <f xml:space="preserve"> W10 - X10 + IF( OR( $A10&lt;=14, $A10&gt;=65 ),0, IF( $A10&lt;=19, AC$8, AC$9 ) )</f>
        <v>876.29830000000004</v>
      </c>
      <c r="AE10" s="275">
        <v>0.872</v>
      </c>
      <c r="AF10" s="275">
        <v>0.2767</v>
      </c>
      <c r="AG10" s="275">
        <v>0</v>
      </c>
      <c r="AH10" s="275">
        <v>17.64</v>
      </c>
      <c r="AI10" s="275">
        <v>20.7608</v>
      </c>
      <c r="AJ10" s="49">
        <f t="shared" ref="AJ10:AL41" si="103" xml:space="preserve"> AE10 * AE$8</f>
        <v>408.85464000000002</v>
      </c>
      <c r="AK10" s="49">
        <f t="shared" si="103"/>
        <v>314.54702600000002</v>
      </c>
      <c r="AL10" s="47">
        <f t="shared" si="103"/>
        <v>0</v>
      </c>
      <c r="AM10" s="47">
        <f xml:space="preserve"> IF(    SUM(AJ10:AK10)=0,    0,   AL10 * AK10 / SUM(AJ10:AK10)    )</f>
        <v>0</v>
      </c>
      <c r="AN10" s="48">
        <f xml:space="preserve"> AJ10 + AM10</f>
        <v>408.85464000000002</v>
      </c>
      <c r="AO10" s="48">
        <f xml:space="preserve"> AK10 - AL10 + AM10</f>
        <v>314.54702600000002</v>
      </c>
      <c r="AP10" s="93">
        <f xml:space="preserve"> AJ10 + IF( OR( $A10&lt;=14, $A10&gt;=65 ),0, IF( $A10&lt;=19, AP$8, AP$9 ) )</f>
        <v>408.85464000000002</v>
      </c>
      <c r="AQ10" s="93">
        <f xml:space="preserve"> AK10 - AL10 + IF( OR( $A10&lt;=14, $A10&gt;=65 ),0, IF( $A10&lt;=19, AQ$8, AQ$9 ) )</f>
        <v>314.54702600000002</v>
      </c>
      <c r="AS10" s="275">
        <v>8.0373999999999999</v>
      </c>
      <c r="AT10" s="275">
        <v>3.0202</v>
      </c>
      <c r="AU10" s="275">
        <v>0</v>
      </c>
      <c r="AV10" s="275">
        <v>3785.7408</v>
      </c>
      <c r="AW10" s="275">
        <v>3627.73</v>
      </c>
      <c r="AX10" s="49">
        <f t="shared" ref="AX10:AZ41" si="104" xml:space="preserve"> AS10 * AS$8</f>
        <v>2800.6320299999998</v>
      </c>
      <c r="AY10" s="49">
        <f t="shared" si="104"/>
        <v>2113.747374</v>
      </c>
      <c r="AZ10" s="47">
        <f t="shared" si="104"/>
        <v>0</v>
      </c>
      <c r="BA10" s="47">
        <f xml:space="preserve"> IF(    SUM(AX10:AY10)=0,    0,   AZ10 * AY10 / SUM(AX10:AY10)    )</f>
        <v>0</v>
      </c>
      <c r="BB10" s="48">
        <f xml:space="preserve"> AX10 + BA10</f>
        <v>2800.6320299999998</v>
      </c>
      <c r="BC10" s="48">
        <f xml:space="preserve"> AY10 - AZ10 + BA10</f>
        <v>2113.747374</v>
      </c>
      <c r="BD10" s="93">
        <f xml:space="preserve"> AX10 + IF( OR( $A10&lt;=14, $A10&gt;=65 ),0, IF( $A10&lt;=19, BD$8, BD$9 ) )</f>
        <v>2800.6320299999998</v>
      </c>
      <c r="BE10" s="93">
        <f xml:space="preserve"> AY10 - AZ10 + IF( OR( $A10&lt;=14, $A10&gt;=65 ),0, IF( $A10&lt;=19, BE$8, BE$9 ) )</f>
        <v>2113.747374</v>
      </c>
      <c r="BG10" s="275">
        <v>6.2925000000000004</v>
      </c>
      <c r="BH10" s="275">
        <v>4.2141999999999999</v>
      </c>
      <c r="BI10" s="275">
        <v>0</v>
      </c>
      <c r="BJ10" s="275">
        <v>1613.7967000000001</v>
      </c>
      <c r="BK10" s="275">
        <v>1556.2</v>
      </c>
      <c r="BL10" s="49">
        <f t="shared" ref="BL10:BN41" si="105" xml:space="preserve"> BG10 * BG$8</f>
        <v>2128.2493500000005</v>
      </c>
      <c r="BM10" s="49">
        <f t="shared" si="105"/>
        <v>2522.0301320000003</v>
      </c>
      <c r="BN10" s="47">
        <f t="shared" si="105"/>
        <v>0</v>
      </c>
      <c r="BO10" s="47">
        <f xml:space="preserve"> IF(    SUM(BL10:BM10)=0,    0,   BN10 * BM10 / SUM(BL10:BM10)    )</f>
        <v>0</v>
      </c>
      <c r="BP10" s="48">
        <f xml:space="preserve"> BL10 + BO10</f>
        <v>2128.2493500000005</v>
      </c>
      <c r="BQ10" s="48">
        <f xml:space="preserve"> BM10 - BN10 + BO10</f>
        <v>2522.0301320000003</v>
      </c>
      <c r="BR10" s="93">
        <f xml:space="preserve"> BL10 + IF( OR( $A10&lt;=14, $A10&gt;=65 ),0, IF( $A10&lt;=19, BR$8, BR$9 ) )</f>
        <v>2128.2493500000005</v>
      </c>
      <c r="BS10" s="93">
        <f xml:space="preserve"> BM10 - BN10 + IF( OR( $A10&lt;=14, $A10&gt;=65 ),0, IF( $A10&lt;=19, BS$8, BS$9 ) )</f>
        <v>2522.0301320000003</v>
      </c>
      <c r="BU10" s="275">
        <v>11.5496</v>
      </c>
      <c r="BV10" s="275">
        <v>2.9346999999999999</v>
      </c>
      <c r="BW10" s="275">
        <v>0</v>
      </c>
      <c r="BX10" s="275">
        <v>1082.665</v>
      </c>
      <c r="BY10" s="275">
        <v>1018.2708</v>
      </c>
      <c r="BZ10" s="49">
        <f t="shared" ref="BZ10:CB41" si="106" xml:space="preserve"> BU10 * BU$8</f>
        <v>2715.7729439999998</v>
      </c>
      <c r="CA10" s="49">
        <f t="shared" si="106"/>
        <v>1055.1126909999998</v>
      </c>
      <c r="CB10" s="47">
        <f t="shared" si="106"/>
        <v>0</v>
      </c>
      <c r="CC10" s="47">
        <f xml:space="preserve"> IF(    SUM(BZ10:CA10)=0,    0,   CB10 * CA10 / SUM(BZ10:CA10)    )</f>
        <v>0</v>
      </c>
      <c r="CD10" s="48">
        <f xml:space="preserve"> BZ10 + CC10</f>
        <v>2715.7729439999998</v>
      </c>
      <c r="CE10" s="48">
        <f xml:space="preserve"> CA10 - CB10 + CC10</f>
        <v>1055.1126909999998</v>
      </c>
      <c r="CF10" s="93">
        <f xml:space="preserve"> BZ10 + IF( OR( $A10&lt;=14, $A10&gt;=65 ),0, IF( $A10&lt;=19, CF$8, CF$9 ) )</f>
        <v>2715.7729439999998</v>
      </c>
      <c r="CG10" s="93">
        <f xml:space="preserve"> CA10 - CB10 + IF( OR( $A10&lt;=14, $A10&gt;=65 ),0, IF( $A10&lt;=19, CG$8, CG$9 ) )</f>
        <v>1055.1126909999998</v>
      </c>
      <c r="CI10" s="275">
        <v>0</v>
      </c>
      <c r="CJ10" s="275">
        <v>0</v>
      </c>
      <c r="CK10" s="275">
        <v>0</v>
      </c>
      <c r="CL10" s="275">
        <v>6314.5357999999997</v>
      </c>
      <c r="CM10" s="275">
        <v>6010.2658000000001</v>
      </c>
      <c r="CN10" s="49">
        <f t="shared" ref="CN10:CP41" si="107" xml:space="preserve"> CI10 * CI$8</f>
        <v>0</v>
      </c>
      <c r="CO10" s="49">
        <f t="shared" si="107"/>
        <v>0</v>
      </c>
      <c r="CP10" s="47">
        <f t="shared" si="107"/>
        <v>0</v>
      </c>
      <c r="CQ10" s="47">
        <f xml:space="preserve"> IF(    SUM(CN10:CO10)=0,    0,   CP10 * CO10 / SUM(CN10:CO10)    )</f>
        <v>0</v>
      </c>
      <c r="CR10" s="48">
        <f xml:space="preserve"> CN10 + CQ10</f>
        <v>0</v>
      </c>
      <c r="CS10" s="48">
        <f xml:space="preserve"> CO10 - CP10 + CQ10</f>
        <v>0</v>
      </c>
      <c r="CT10" s="93">
        <f xml:space="preserve"> CN10 + IF( OR( $A10&lt;=14, $A10&gt;=65 ),0, IF( $A10&lt;=19, CT$8, CT$9 ) )</f>
        <v>0</v>
      </c>
      <c r="CU10" s="93">
        <f xml:space="preserve"> CO10 - CP10 + IF( OR( $A10&lt;=14, $A10&gt;=65 ),0, IF( $A10&lt;=19, CU$8, CU$9 ) )</f>
        <v>0</v>
      </c>
      <c r="CW10" s="275">
        <v>0</v>
      </c>
      <c r="CX10" s="275">
        <v>0</v>
      </c>
      <c r="CY10" s="275">
        <v>0</v>
      </c>
      <c r="CZ10" s="275">
        <v>2935.9657999999999</v>
      </c>
      <c r="DA10" s="275">
        <v>2785.43</v>
      </c>
      <c r="DB10" s="49">
        <f t="shared" ref="DB10:DD41" si="108" xml:space="preserve"> CW10 * CW$8</f>
        <v>0</v>
      </c>
      <c r="DC10" s="49">
        <f t="shared" si="108"/>
        <v>0</v>
      </c>
      <c r="DD10" s="47">
        <f t="shared" si="108"/>
        <v>0</v>
      </c>
      <c r="DE10" s="47">
        <f xml:space="preserve"> IF(    SUM(DB10:DC10)=0,    0,   DD10 * DC10 / SUM(DB10:DC10)    )</f>
        <v>0</v>
      </c>
      <c r="DF10" s="48">
        <f xml:space="preserve"> DB10 + DE10</f>
        <v>0</v>
      </c>
      <c r="DG10" s="48">
        <f xml:space="preserve"> DC10 - DD10 + DE10</f>
        <v>0</v>
      </c>
      <c r="DH10" s="93">
        <f xml:space="preserve"> DB10 + IF( OR( $A10&lt;=14, $A10&gt;=65 ),0, IF( $A10&lt;=19, DH$8, DH$9 ) )</f>
        <v>0</v>
      </c>
      <c r="DI10" s="93">
        <f xml:space="preserve"> DC10 - DD10 + IF( OR( $A10&lt;=14, $A10&gt;=65 ),0, IF( $A10&lt;=19, DI$8, DI$9 ) )</f>
        <v>0</v>
      </c>
      <c r="DK10" s="275">
        <v>1E-3</v>
      </c>
      <c r="DL10" s="275">
        <v>0</v>
      </c>
      <c r="DM10" s="275">
        <v>0</v>
      </c>
      <c r="DN10" s="275">
        <v>414.9117</v>
      </c>
      <c r="DO10" s="275">
        <v>417.08330000000001</v>
      </c>
      <c r="DP10" s="49">
        <f t="shared" ref="DP10:DR41" si="109" xml:space="preserve"> DK10 * DK$8</f>
        <v>0.13624</v>
      </c>
      <c r="DQ10" s="49">
        <f t="shared" si="109"/>
        <v>0</v>
      </c>
      <c r="DR10" s="47">
        <f t="shared" si="109"/>
        <v>0</v>
      </c>
      <c r="DS10" s="47">
        <f xml:space="preserve"> IF(    SUM(DP10:DQ10)=0,    0,   DR10 * DQ10 / SUM(DP10:DQ10)    )</f>
        <v>0</v>
      </c>
      <c r="DT10" s="48">
        <f xml:space="preserve"> DP10 + DS10</f>
        <v>0.13624</v>
      </c>
      <c r="DU10" s="48">
        <f xml:space="preserve"> DQ10 - DR10 + DS10</f>
        <v>0</v>
      </c>
      <c r="DV10" s="93">
        <f xml:space="preserve"> DP10 + IF( OR( $A10&lt;=14, $A10&gt;=65 ),0, IF( $A10&lt;=19, DV$8, DV$9 ) )</f>
        <v>0.13624</v>
      </c>
      <c r="DW10" s="93">
        <f xml:space="preserve"> DQ10 - DR10 + IF( OR( $A10&lt;=14, $A10&gt;=65 ),0, IF( $A10&lt;=19, DW$8, DW$9 ) )</f>
        <v>0</v>
      </c>
      <c r="EB10" s="52"/>
      <c r="EC10" s="52"/>
      <c r="ED10" s="52"/>
      <c r="EE10" s="55">
        <f xml:space="preserve"> F10 + AV10 + CL10 + EE$8 * CZ10</f>
        <v>17175.565699999999</v>
      </c>
      <c r="EF10" s="55">
        <f xml:space="preserve"> G10 + AW10 + CM10 + EF$8 * DA10</f>
        <v>16340.2875</v>
      </c>
      <c r="EG10" s="55">
        <f xml:space="preserve"> H10 + AX10 + CN10 + EG$8 * DB10</f>
        <v>4067.3083649999999</v>
      </c>
      <c r="EH10" s="55">
        <f xml:space="preserve"> I10 + AY10 + CO10 + EH$8 * DC10</f>
        <v>3246.5516079999998</v>
      </c>
      <c r="EI10" s="298">
        <f t="shared" ref="EI10:EI41" si="110" xml:space="preserve"> IF(   SUM(EE10:EF10) = 0,    IF( EG10&lt;EH10, lambdax_min, lambdax_max ),
                                                                   MAX( lambdax_min, MIN( lambdax_max, EE10 / SUM(EE10:EF10) ) )     )</f>
        <v>0.51246094191628699</v>
      </c>
      <c r="EJ10" s="52"/>
      <c r="EK10" s="55">
        <f xml:space="preserve"> L10 + BB10 + CR10 + EK$8 * DF10</f>
        <v>4067.3083649999999</v>
      </c>
      <c r="EL10" s="55">
        <f xml:space="preserve"> M10 + BC10 + CS10 + EL$8 * DG10</f>
        <v>3246.5516079999998</v>
      </c>
      <c r="EM10" s="55">
        <f t="shared" ref="EM10:EN74" si="111" xml:space="preserve"> N10 + BD10 + CT10 + EM$8 * DH10</f>
        <v>4067.3083649999999</v>
      </c>
      <c r="EN10" s="55">
        <f xml:space="preserve"> O10 + BE10 + CU10 + EN$8 * DI10</f>
        <v>3246.5516079999998</v>
      </c>
      <c r="EP10" s="52"/>
      <c r="EQ10" s="52"/>
      <c r="ER10" s="52"/>
      <c r="ES10" s="55">
        <f t="shared" ref="ES10:EV41" si="112" xml:space="preserve"> T10 + BJ10 + CL10 + ES$8 * CZ10</f>
        <v>11193.665800000001</v>
      </c>
      <c r="ET10" s="55">
        <f t="shared" si="112"/>
        <v>10676.4166</v>
      </c>
      <c r="EU10" s="55">
        <f t="shared" si="112"/>
        <v>3002.6795850000008</v>
      </c>
      <c r="EV10" s="55">
        <f t="shared" si="112"/>
        <v>3398.3284320000002</v>
      </c>
      <c r="EW10" s="298">
        <f t="shared" ref="EW10:EW41" si="113" xml:space="preserve"> IF(   SUM(ES10:ET10) = 0,    IF( EU10&lt;EV10, lambdax_min, lambdax_max ),
                                                                   MAX( lambdax_min, MIN( lambdax_max, ES10 / SUM(ES10:ET10) ) )     )</f>
        <v>0.51182549728299154</v>
      </c>
      <c r="EX10" s="52"/>
      <c r="EY10" s="55">
        <f t="shared" ref="EY10:FB41" si="114" xml:space="preserve"> Z10 + BP10 + CR10 + EY$8 * DF10</f>
        <v>3002.6795850000008</v>
      </c>
      <c r="EZ10" s="55">
        <f t="shared" si="114"/>
        <v>3398.3284320000002</v>
      </c>
      <c r="FA10" s="55">
        <f t="shared" si="114"/>
        <v>3002.6795850000008</v>
      </c>
      <c r="FB10" s="55">
        <f t="shared" si="114"/>
        <v>3398.3284320000002</v>
      </c>
      <c r="FD10" s="52"/>
      <c r="FE10" s="52"/>
      <c r="FF10" s="52"/>
      <c r="FG10" s="55">
        <f t="shared" ref="FG10:FJ41" si="115" xml:space="preserve"> AH10 + BX10 + CL10 + FG$8 * DN10</f>
        <v>7829.7524999999996</v>
      </c>
      <c r="FH10" s="55">
        <f t="shared" si="115"/>
        <v>7466.3807000000006</v>
      </c>
      <c r="FI10" s="55">
        <f t="shared" si="115"/>
        <v>3124.7093279999999</v>
      </c>
      <c r="FJ10" s="55">
        <f t="shared" si="115"/>
        <v>1369.6597169999998</v>
      </c>
      <c r="FK10" s="298">
        <f t="shared" ref="FK10:FK41" si="116" xml:space="preserve"> IF(   SUM(FG10:FH10) = 0,    IF( FI10&lt;FJ10, lambdax_min, lambdax_max ),
                                                                   MAX( lambdax_min, MIN( lambdax_max, FG10 / SUM(FG10:FH10) ) )     )</f>
        <v>0.51187789734990019</v>
      </c>
      <c r="FL10" s="52"/>
      <c r="FM10" s="55">
        <f t="shared" ref="FM10:FP41" si="117" xml:space="preserve"> AN10 + CD10 + CR10 + FM$8 * DT10</f>
        <v>3124.7093279999999</v>
      </c>
      <c r="FN10" s="55">
        <f t="shared" si="117"/>
        <v>1369.6597169999998</v>
      </c>
      <c r="FO10" s="55">
        <f t="shared" si="117"/>
        <v>3124.7093279999999</v>
      </c>
      <c r="FP10" s="55">
        <f t="shared" si="117"/>
        <v>1369.6597169999998</v>
      </c>
      <c r="FR10" s="52"/>
      <c r="FS10" s="52"/>
      <c r="FT10" s="52"/>
      <c r="FU10" s="55">
        <f t="shared" ref="FU10:FX41" si="118" xml:space="preserve"> CL10 + FU$8 * CZ10</f>
        <v>9250.5015999999996</v>
      </c>
      <c r="FV10" s="55">
        <f t="shared" si="118"/>
        <v>8795.6957999999995</v>
      </c>
      <c r="FW10" s="55">
        <f t="shared" si="118"/>
        <v>0</v>
      </c>
      <c r="FX10" s="55">
        <f t="shared" si="118"/>
        <v>0</v>
      </c>
      <c r="FY10" s="298">
        <f t="shared" ref="FY10:FY41" si="119" xml:space="preserve"> IF(   SUM(FU10:FV10) = 0,    IF( FW10&lt;FX10, lambdax_min, lambdax_max ),
                                                                   MAX( lambdax_min, MIN( lambdax_max, FU10 / SUM(FU10:FV10) ) )     )</f>
        <v>0.51260115330446299</v>
      </c>
      <c r="FZ10" s="52"/>
      <c r="GA10" s="55">
        <f t="shared" ref="GA10:GD41" si="120" xml:space="preserve"> CR10 + GA$8 * DF10</f>
        <v>0</v>
      </c>
      <c r="GB10" s="55">
        <f t="shared" si="120"/>
        <v>0</v>
      </c>
      <c r="GC10" s="55">
        <f t="shared" si="120"/>
        <v>0</v>
      </c>
      <c r="GD10" s="55">
        <f t="shared" si="120"/>
        <v>0</v>
      </c>
      <c r="GF10" s="52"/>
      <c r="GG10" s="52"/>
      <c r="GH10" s="52"/>
      <c r="GI10" s="55">
        <f t="shared" ref="GI10:GI12" si="121" xml:space="preserve"> MAX( 0, AV10 + BX10 ) * GI$8</f>
        <v>4868.4058000000005</v>
      </c>
      <c r="GJ10" s="55">
        <f t="shared" ref="GJ10:GJ12" si="122" xml:space="preserve"> MAX( 0, AW10 + BY10 ) * GJ$8</f>
        <v>4646.0007999999998</v>
      </c>
      <c r="GK10" s="56">
        <f t="shared" ref="GK10:GL41" si="123" xml:space="preserve"> MAX( 0, AX10 - BZ10 ) * GK$8</f>
        <v>63.64431449999995</v>
      </c>
      <c r="GL10" s="56">
        <f t="shared" si="123"/>
        <v>793.97601225000017</v>
      </c>
      <c r="GM10" s="298">
        <f t="shared" ref="GM10:GM41" si="124" xml:space="preserve"> IF(   SUM(GI10:GJ10) = 0,    IF( GK10&lt;GL10, lambdax_min, lambdax_max ),
                                                                   MAX( lambdax_min, MIN( lambdax_max, GI10 / SUM(GI10:GJ10) ) )     )</f>
        <v>0.51168780194867858</v>
      </c>
      <c r="GN10" s="52"/>
      <c r="GO10" s="56">
        <f t="shared" ref="GO10:GR41" si="125" xml:space="preserve"> MAX( 0, BB10 - CD10 ) * GO$8</f>
        <v>63.64431449999995</v>
      </c>
      <c r="GP10" s="56">
        <f t="shared" si="125"/>
        <v>793.97601225000017</v>
      </c>
      <c r="GQ10" s="56">
        <f t="shared" si="125"/>
        <v>63.64431449999995</v>
      </c>
      <c r="GR10" s="56">
        <f t="shared" si="125"/>
        <v>793.97601225000017</v>
      </c>
      <c r="GW10" s="275">
        <v>1.103</v>
      </c>
      <c r="GX10" s="275">
        <v>0.36149999999999999</v>
      </c>
      <c r="GY10" s="275">
        <v>0</v>
      </c>
      <c r="GZ10" s="275">
        <v>77.754999999999995</v>
      </c>
      <c r="HA10" s="275">
        <v>70.0017</v>
      </c>
      <c r="HB10" s="49">
        <f t="shared" ref="HB10:HB73" si="126" xml:space="preserve"> GW10 * GW$8</f>
        <v>724.43936999999994</v>
      </c>
      <c r="HC10" s="49">
        <f t="shared" ref="HC10:HC73" si="127" xml:space="preserve"> GX10 * GX$8</f>
        <v>490.84831499999996</v>
      </c>
      <c r="HD10" s="47">
        <f t="shared" ref="HD10:HD73" si="128" xml:space="preserve"> GY10 * GY$8</f>
        <v>0</v>
      </c>
      <c r="HE10" s="47">
        <f xml:space="preserve"> IF(    SUM(GZ10:HA10)=0,    0,   HD10 * HA10 / SUM(GZ10:HA10)    )</f>
        <v>0</v>
      </c>
      <c r="HF10" s="48">
        <f xml:space="preserve"> HB10 + HE10</f>
        <v>724.43936999999994</v>
      </c>
      <c r="HG10" s="48">
        <f xml:space="preserve"> HC10 - HD10 + HE10</f>
        <v>490.84831499999996</v>
      </c>
      <c r="HH10" s="93">
        <f xml:space="preserve"> HB10 + IF( OR( $A10&lt;=14, $A10&gt;=65 ),0, IF( $A10&lt;=19, HH$8, HH$9 ) )</f>
        <v>724.43936999999994</v>
      </c>
      <c r="HI10" s="93">
        <f xml:space="preserve"> HC10 - HD10 + IF( OR( $A10&lt;=14, $A10&gt;=65 ),0, IF( $A10&lt;=19, HI$8, HI$9 ) )</f>
        <v>490.84831499999996</v>
      </c>
      <c r="HJ10" s="298">
        <f t="shared" ref="HJ10:HJ41" si="129" xml:space="preserve"> IF(   SUM(GZ10:HA10) = 0,    IF( HB10&lt;HC10, lambdax_min, lambdax_max ),
                                                                   MAX( lambdax_min, MIN( lambdax_max, GZ10 / SUM(GZ10:HA10) ) )     )</f>
        <v>0.52623671210848644</v>
      </c>
      <c r="HL10" s="275">
        <v>0</v>
      </c>
      <c r="HM10" s="275">
        <v>3.1600000000000003E-2</v>
      </c>
      <c r="HN10" s="275">
        <v>0</v>
      </c>
      <c r="HO10" s="275">
        <v>0.66669999999999996</v>
      </c>
      <c r="HP10" s="275">
        <v>0.91669999999999996</v>
      </c>
      <c r="HQ10" s="49">
        <f t="shared" ref="HQ10:HQ73" si="130" xml:space="preserve"> HL10 * HL$8</f>
        <v>0</v>
      </c>
      <c r="HR10" s="49">
        <f t="shared" ref="HR10:HR73" si="131" xml:space="preserve"> HM10 * HM$8</f>
        <v>24.506748000000002</v>
      </c>
      <c r="HS10" s="47">
        <f t="shared" ref="HS10:HS73" si="132" xml:space="preserve"> HN10 * HN$8</f>
        <v>0</v>
      </c>
      <c r="HT10" s="47">
        <f xml:space="preserve"> IF(    SUM(HO10:HP10)=0,    0,   HS10 * HP10 / SUM(HO10:HP10)    )</f>
        <v>0</v>
      </c>
      <c r="HU10" s="48">
        <f xml:space="preserve"> HQ10 + HT10</f>
        <v>0</v>
      </c>
      <c r="HV10" s="48">
        <f xml:space="preserve"> HR10 - HS10 + HT10</f>
        <v>24.506748000000002</v>
      </c>
      <c r="HW10" s="93">
        <f xml:space="preserve"> HQ10 + IF( OR( $A10&lt;=14, $A10&gt;=65 ),0, IF( $A10&lt;=19, HW$8, HW$9 ) )</f>
        <v>0</v>
      </c>
      <c r="HX10" s="93">
        <f xml:space="preserve"> HR10 - HS10 + IF( OR( $A10&lt;=14, $A10&gt;=65 ),0, IF( $A10&lt;=19, HX$8, HX$9 ) )</f>
        <v>24.506748000000002</v>
      </c>
      <c r="HY10" s="298">
        <f t="shared" ref="HY10:HY41" si="133" xml:space="preserve"> IF(   SUM(HO10:HP10) = 0,    IF( HQ10&lt;HR10, lambdax_min, lambdax_max ),
                                                                   MAX( lambdax_min, MIN( lambdax_max, HO10 / SUM(HO10:HP10) ) )     )</f>
        <v>0.42105595553871417</v>
      </c>
    </row>
    <row r="11" spans="1:233" x14ac:dyDescent="0.2">
      <c r="A11" s="118">
        <v>1</v>
      </c>
      <c r="C11" s="275">
        <v>1.1904999999999999</v>
      </c>
      <c r="D11" s="275">
        <v>0.56120000000000003</v>
      </c>
      <c r="E11" s="275">
        <v>0</v>
      </c>
      <c r="F11" s="275">
        <v>8493.9591999999993</v>
      </c>
      <c r="G11" s="275">
        <v>8164.1666999999998</v>
      </c>
      <c r="H11" s="49">
        <f t="shared" si="100"/>
        <v>1177.4640249999998</v>
      </c>
      <c r="I11" s="49">
        <f t="shared" si="100"/>
        <v>1011.181384</v>
      </c>
      <c r="J11" s="47">
        <f t="shared" si="100"/>
        <v>0</v>
      </c>
      <c r="K11" s="47">
        <f t="shared" ref="K11:K74" si="134" xml:space="preserve"> IF(    SUM(F11:G11)=0,    0,   J11 * G11 / SUM(F11:G11)    )</f>
        <v>0</v>
      </c>
      <c r="L11" s="48">
        <f t="shared" ref="L11:L74" si="135" xml:space="preserve"> H11 + K11</f>
        <v>1177.4640249999998</v>
      </c>
      <c r="M11" s="48">
        <f t="shared" ref="M11:M74" si="136" xml:space="preserve"> I11 - J11 + K11</f>
        <v>1011.181384</v>
      </c>
      <c r="N11" s="93">
        <f t="shared" ref="N11:N74" si="137" xml:space="preserve"> H11 + IF( OR( $A11&lt;=14, $A11&gt;=65 ),0, IF( $A11&lt;=19, N$8, N$9 ) )</f>
        <v>1177.4640249999998</v>
      </c>
      <c r="O11" s="93">
        <f t="shared" ref="O11:O74" si="138" xml:space="preserve"> I11 - J11 + IF( OR( $A11&lt;=14, $A11&gt;=65 ),0, IF( $A11&lt;=19, O$8, O$9 ) )</f>
        <v>1011.181384</v>
      </c>
      <c r="P11" s="298">
        <f t="shared" si="101"/>
        <v>0.50989884762486992</v>
      </c>
      <c r="Q11" s="275">
        <v>1.3343</v>
      </c>
      <c r="R11" s="275">
        <v>0.66849999999999998</v>
      </c>
      <c r="S11" s="275">
        <v>0</v>
      </c>
      <c r="T11" s="275">
        <v>782.2192</v>
      </c>
      <c r="U11" s="275">
        <v>663.59169999999995</v>
      </c>
      <c r="V11" s="49">
        <f t="shared" si="102"/>
        <v>817.91255699999999</v>
      </c>
      <c r="W11" s="49">
        <f t="shared" si="102"/>
        <v>775.90120999999999</v>
      </c>
      <c r="X11" s="47">
        <f t="shared" si="102"/>
        <v>0</v>
      </c>
      <c r="Y11" s="47">
        <f t="shared" ref="Y11:Y74" si="139" xml:space="preserve"> IF(    SUM(V11:W11)=0,    0,   X11 * W11 / SUM(V11:W11)    )</f>
        <v>0</v>
      </c>
      <c r="Z11" s="48">
        <f t="shared" ref="Z11:Z74" si="140" xml:space="preserve"> V11 + Y11</f>
        <v>817.91255699999999</v>
      </c>
      <c r="AA11" s="48">
        <f t="shared" ref="AA11:AA74" si="141" xml:space="preserve"> W11 - X11 + Y11</f>
        <v>775.90120999999999</v>
      </c>
      <c r="AB11" s="93">
        <f t="shared" ref="AB11:AB74" si="142" xml:space="preserve"> V11 + IF( OR( $A11&lt;=14, $A11&gt;=65 ),0, IF( $A11&lt;=19, AB$8, AB$9 ) )</f>
        <v>817.91255699999999</v>
      </c>
      <c r="AC11" s="93">
        <f t="shared" ref="AC11:AC74" si="143" xml:space="preserve"> W11 - X11 + IF( OR( $A11&lt;=14, $A11&gt;=65 ),0, IF( $A11&lt;=19, AC$8, AC$9 ) )</f>
        <v>775.90120999999999</v>
      </c>
      <c r="AE11" s="275">
        <v>0.86180000000000001</v>
      </c>
      <c r="AF11" s="275">
        <v>0.2475</v>
      </c>
      <c r="AG11" s="275">
        <v>0</v>
      </c>
      <c r="AH11" s="275">
        <v>40.704999999999998</v>
      </c>
      <c r="AI11" s="275">
        <v>35.374200000000002</v>
      </c>
      <c r="AJ11" s="49">
        <f t="shared" si="103"/>
        <v>404.07216599999998</v>
      </c>
      <c r="AK11" s="49">
        <f t="shared" si="103"/>
        <v>281.35305</v>
      </c>
      <c r="AL11" s="47">
        <f t="shared" si="103"/>
        <v>0</v>
      </c>
      <c r="AM11" s="47">
        <f t="shared" ref="AM11:AM74" si="144" xml:space="preserve"> IF(    SUM(AJ11:AK11)=0,    0,   AL11 * AK11 / SUM(AJ11:AK11)    )</f>
        <v>0</v>
      </c>
      <c r="AN11" s="48">
        <f t="shared" ref="AN11:AN74" si="145" xml:space="preserve"> AJ11 + AM11</f>
        <v>404.07216599999998</v>
      </c>
      <c r="AO11" s="48">
        <f t="shared" ref="AO11:AO74" si="146" xml:space="preserve"> AK11 - AL11 + AM11</f>
        <v>281.35305</v>
      </c>
      <c r="AP11" s="93">
        <f t="shared" ref="AP11:AP74" si="147" xml:space="preserve"> AJ11 + IF( OR( $A11&lt;=14, $A11&gt;=65 ),0, IF( $A11&lt;=19, AP$8, AP$9 ) )</f>
        <v>404.07216599999998</v>
      </c>
      <c r="AQ11" s="93">
        <f t="shared" ref="AQ11:AQ74" si="148" xml:space="preserve"> AK11 - AL11 + IF( OR( $A11&lt;=14, $A11&gt;=65 ),0, IF( $A11&lt;=19, AQ$8, AQ$9 ) )</f>
        <v>281.35305</v>
      </c>
      <c r="AS11" s="275">
        <v>2.6215999999999999</v>
      </c>
      <c r="AT11" s="275">
        <v>1.3314999999999999</v>
      </c>
      <c r="AU11" s="275">
        <v>0</v>
      </c>
      <c r="AV11" s="275">
        <v>7993.5558000000001</v>
      </c>
      <c r="AW11" s="275">
        <v>7472.7566999999999</v>
      </c>
      <c r="AX11" s="49">
        <f t="shared" si="104"/>
        <v>913.49651999999992</v>
      </c>
      <c r="AY11" s="49">
        <f t="shared" si="104"/>
        <v>931.87690499999997</v>
      </c>
      <c r="AZ11" s="47">
        <f t="shared" si="104"/>
        <v>0</v>
      </c>
      <c r="BA11" s="47">
        <f t="shared" ref="BA11:BA74" si="149" xml:space="preserve"> IF(    SUM(AX11:AY11)=0,    0,   AZ11 * AY11 / SUM(AX11:AY11)    )</f>
        <v>0</v>
      </c>
      <c r="BB11" s="48">
        <f t="shared" ref="BB11:BB74" si="150" xml:space="preserve"> AX11 + BA11</f>
        <v>913.49651999999992</v>
      </c>
      <c r="BC11" s="48">
        <f t="shared" ref="BC11:BC74" si="151" xml:space="preserve"> AY11 - AZ11 + BA11</f>
        <v>931.87690499999997</v>
      </c>
      <c r="BD11" s="93">
        <f t="shared" ref="BD11:BD74" si="152" xml:space="preserve"> AX11 + IF( OR( $A11&lt;=14, $A11&gt;=65 ),0, IF( $A11&lt;=19, BD$8, BD$9 ) )</f>
        <v>913.49651999999992</v>
      </c>
      <c r="BE11" s="93">
        <f t="shared" ref="BE11:BE74" si="153" xml:space="preserve"> AY11 - AZ11 + IF( OR( $A11&lt;=14, $A11&gt;=65 ),0, IF( $A11&lt;=19, BE$8, BE$9 ) )</f>
        <v>931.87690499999997</v>
      </c>
      <c r="BG11" s="275">
        <v>1.4661999999999999</v>
      </c>
      <c r="BH11" s="275">
        <v>1.0185999999999999</v>
      </c>
      <c r="BI11" s="275">
        <v>0</v>
      </c>
      <c r="BJ11" s="275">
        <v>3324.2908000000002</v>
      </c>
      <c r="BK11" s="275">
        <v>3180.6442000000002</v>
      </c>
      <c r="BL11" s="49">
        <f t="shared" si="105"/>
        <v>495.89816400000001</v>
      </c>
      <c r="BM11" s="49">
        <f t="shared" si="105"/>
        <v>609.59135600000002</v>
      </c>
      <c r="BN11" s="47">
        <f t="shared" si="105"/>
        <v>0</v>
      </c>
      <c r="BO11" s="47">
        <f t="shared" ref="BO11:BO74" si="154" xml:space="preserve"> IF(    SUM(BL11:BM11)=0,    0,   BN11 * BM11 / SUM(BL11:BM11)    )</f>
        <v>0</v>
      </c>
      <c r="BP11" s="48">
        <f t="shared" ref="BP11:BP74" si="155" xml:space="preserve"> BL11 + BO11</f>
        <v>495.89816400000001</v>
      </c>
      <c r="BQ11" s="48">
        <f t="shared" ref="BQ11:BQ74" si="156" xml:space="preserve"> BM11 - BN11 + BO11</f>
        <v>609.59135600000002</v>
      </c>
      <c r="BR11" s="93">
        <f t="shared" ref="BR11:BR74" si="157" xml:space="preserve"> BL11 + IF( OR( $A11&lt;=14, $A11&gt;=65 ),0, IF( $A11&lt;=19, BR$8, BR$9 ) )</f>
        <v>495.89816400000001</v>
      </c>
      <c r="BS11" s="93">
        <f t="shared" ref="BS11:BS74" si="158" xml:space="preserve"> BM11 - BN11 + IF( OR( $A11&lt;=14, $A11&gt;=65 ),0, IF( $A11&lt;=19, BS$8, BS$9 ) )</f>
        <v>609.59135600000002</v>
      </c>
      <c r="BU11" s="275">
        <v>2.7656000000000001</v>
      </c>
      <c r="BV11" s="275">
        <v>1.3101</v>
      </c>
      <c r="BW11" s="275">
        <v>0</v>
      </c>
      <c r="BX11" s="275">
        <v>2106.5891999999999</v>
      </c>
      <c r="BY11" s="275">
        <v>2088.2507999999998</v>
      </c>
      <c r="BZ11" s="49">
        <f t="shared" si="106"/>
        <v>650.30318399999999</v>
      </c>
      <c r="CA11" s="49">
        <f t="shared" si="106"/>
        <v>471.02025299999997</v>
      </c>
      <c r="CB11" s="47">
        <f t="shared" si="106"/>
        <v>0</v>
      </c>
      <c r="CC11" s="47">
        <f t="shared" ref="CC11:CC74" si="159" xml:space="preserve"> IF(    SUM(BZ11:CA11)=0,    0,   CB11 * CA11 / SUM(BZ11:CA11)    )</f>
        <v>0</v>
      </c>
      <c r="CD11" s="48">
        <f t="shared" ref="CD11:CD74" si="160" xml:space="preserve"> BZ11 + CC11</f>
        <v>650.30318399999999</v>
      </c>
      <c r="CE11" s="48">
        <f t="shared" ref="CE11:CE74" si="161" xml:space="preserve"> CA11 - CB11 + CC11</f>
        <v>471.02025299999997</v>
      </c>
      <c r="CF11" s="93">
        <f t="shared" ref="CF11:CF74" si="162" xml:space="preserve"> BZ11 + IF( OR( $A11&lt;=14, $A11&gt;=65 ),0, IF( $A11&lt;=19, CF$8, CF$9 ) )</f>
        <v>650.30318399999999</v>
      </c>
      <c r="CG11" s="93">
        <f t="shared" ref="CG11:CG74" si="163" xml:space="preserve"> CA11 - CB11 + IF( OR( $A11&lt;=14, $A11&gt;=65 ),0, IF( $A11&lt;=19, CG$8, CG$9 ) )</f>
        <v>471.02025299999997</v>
      </c>
      <c r="CI11" s="275">
        <v>1.6500000000000001E-2</v>
      </c>
      <c r="CJ11" s="275">
        <v>1.3299999999999999E-2</v>
      </c>
      <c r="CK11" s="275">
        <v>0</v>
      </c>
      <c r="CL11" s="275">
        <v>12950.3892</v>
      </c>
      <c r="CM11" s="275">
        <v>12357.664199999999</v>
      </c>
      <c r="CN11" s="49">
        <f t="shared" si="107"/>
        <v>3.4056000000000002</v>
      </c>
      <c r="CO11" s="49">
        <f t="shared" si="107"/>
        <v>3.5620059999999998</v>
      </c>
      <c r="CP11" s="47">
        <f t="shared" si="107"/>
        <v>0</v>
      </c>
      <c r="CQ11" s="47">
        <f t="shared" ref="CQ11:CQ74" si="164" xml:space="preserve"> IF(    SUM(CN11:CO11)=0,    0,   CP11 * CO11 / SUM(CN11:CO11)    )</f>
        <v>0</v>
      </c>
      <c r="CR11" s="48">
        <f t="shared" ref="CR11:CR74" si="165" xml:space="preserve"> CN11 + CQ11</f>
        <v>3.4056000000000002</v>
      </c>
      <c r="CS11" s="48">
        <f t="shared" ref="CS11:CS74" si="166" xml:space="preserve"> CO11 - CP11 + CQ11</f>
        <v>3.5620059999999998</v>
      </c>
      <c r="CT11" s="93">
        <f t="shared" ref="CT11:CT74" si="167" xml:space="preserve"> CN11 + IF( OR( $A11&lt;=14, $A11&gt;=65 ),0, IF( $A11&lt;=19, CT$8, CT$9 ) )</f>
        <v>3.4056000000000002</v>
      </c>
      <c r="CU11" s="93">
        <f t="shared" ref="CU11:CU74" si="168" xml:space="preserve"> CO11 - CP11 + IF( OR( $A11&lt;=14, $A11&gt;=65 ),0, IF( $A11&lt;=19, CU$8, CU$9 ) )</f>
        <v>3.5620059999999998</v>
      </c>
      <c r="CW11" s="275">
        <v>0</v>
      </c>
      <c r="CX11" s="275">
        <v>0</v>
      </c>
      <c r="CY11" s="275">
        <v>0</v>
      </c>
      <c r="CZ11" s="275">
        <v>5938.0108</v>
      </c>
      <c r="DA11" s="275">
        <v>5735.8549999999996</v>
      </c>
      <c r="DB11" s="49">
        <f t="shared" si="108"/>
        <v>0</v>
      </c>
      <c r="DC11" s="49">
        <f t="shared" si="108"/>
        <v>0</v>
      </c>
      <c r="DD11" s="47">
        <f t="shared" si="108"/>
        <v>0</v>
      </c>
      <c r="DE11" s="47">
        <f t="shared" ref="DE11:DE74" si="169" xml:space="preserve"> IF(    SUM(DB11:DC11)=0,    0,   DD11 * DC11 / SUM(DB11:DC11)    )</f>
        <v>0</v>
      </c>
      <c r="DF11" s="48">
        <f t="shared" ref="DF11:DF74" si="170" xml:space="preserve"> DB11 + DE11</f>
        <v>0</v>
      </c>
      <c r="DG11" s="48">
        <f t="shared" ref="DG11:DG74" si="171" xml:space="preserve"> DC11 - DD11 + DE11</f>
        <v>0</v>
      </c>
      <c r="DH11" s="93">
        <f t="shared" ref="DH11:DH74" si="172" xml:space="preserve"> DB11 + IF( OR( $A11&lt;=14, $A11&gt;=65 ),0, IF( $A11&lt;=19, DH$8, DH$9 ) )</f>
        <v>0</v>
      </c>
      <c r="DI11" s="93">
        <f t="shared" ref="DI11:DI74" si="173" xml:space="preserve"> DC11 - DD11 + IF( OR( $A11&lt;=14, $A11&gt;=65 ),0, IF( $A11&lt;=19, DI$8, DI$9 ) )</f>
        <v>0</v>
      </c>
      <c r="DK11" s="275">
        <v>1.6999999999999999E-3</v>
      </c>
      <c r="DL11" s="275">
        <v>0</v>
      </c>
      <c r="DM11" s="275">
        <v>0</v>
      </c>
      <c r="DN11" s="275">
        <v>906.21669999999995</v>
      </c>
      <c r="DO11" s="275">
        <v>834.98500000000001</v>
      </c>
      <c r="DP11" s="49">
        <f t="shared" si="109"/>
        <v>0.23160800000000001</v>
      </c>
      <c r="DQ11" s="49">
        <f t="shared" si="109"/>
        <v>0</v>
      </c>
      <c r="DR11" s="47">
        <f t="shared" si="109"/>
        <v>0</v>
      </c>
      <c r="DS11" s="47">
        <f t="shared" ref="DS11:DS74" si="174" xml:space="preserve"> IF(    SUM(DP11:DQ11)=0,    0,   DR11 * DQ11 / SUM(DP11:DQ11)    )</f>
        <v>0</v>
      </c>
      <c r="DT11" s="48">
        <f t="shared" ref="DT11:DT74" si="175" xml:space="preserve"> DP11 + DS11</f>
        <v>0.23160800000000001</v>
      </c>
      <c r="DU11" s="48">
        <f t="shared" ref="DU11:DU74" si="176" xml:space="preserve"> DQ11 - DR11 + DS11</f>
        <v>0</v>
      </c>
      <c r="DV11" s="93">
        <f t="shared" ref="DV11:DV74" si="177" xml:space="preserve"> DP11 + IF( OR( $A11&lt;=14, $A11&gt;=65 ),0, IF( $A11&lt;=19, DV$8, DV$9 ) )</f>
        <v>0.23160800000000001</v>
      </c>
      <c r="DW11" s="93">
        <f t="shared" ref="DW11:DW74" si="178" xml:space="preserve"> DQ11 - DR11 + IF( OR( $A11&lt;=14, $A11&gt;=65 ),0, IF( $A11&lt;=19, DW$8, DW$9 ) )</f>
        <v>0</v>
      </c>
      <c r="EB11" s="52"/>
      <c r="EC11" s="52"/>
      <c r="ED11" s="52"/>
      <c r="EE11" s="55">
        <f t="shared" ref="EE11:EH74" si="179" xml:space="preserve"> F11 + AV11 + CL11 + EE$8 * CZ11</f>
        <v>35375.914999999994</v>
      </c>
      <c r="EF11" s="55">
        <f t="shared" si="179"/>
        <v>33730.442599999995</v>
      </c>
      <c r="EG11" s="55">
        <f t="shared" si="179"/>
        <v>2094.366145</v>
      </c>
      <c r="EH11" s="55">
        <f t="shared" si="179"/>
        <v>1946.6202950000002</v>
      </c>
      <c r="EI11" s="298">
        <f t="shared" si="110"/>
        <v>0.5119053619460332</v>
      </c>
      <c r="EJ11" s="52"/>
      <c r="EK11" s="55">
        <f t="shared" ref="EK11:EL74" si="180" xml:space="preserve"> L11 + BB11 + CR11 + EK$8 * DF11</f>
        <v>2094.366145</v>
      </c>
      <c r="EL11" s="55">
        <f t="shared" si="180"/>
        <v>1946.6202950000002</v>
      </c>
      <c r="EM11" s="55">
        <f t="shared" si="111"/>
        <v>2094.366145</v>
      </c>
      <c r="EN11" s="55">
        <f t="shared" si="111"/>
        <v>1946.6202950000002</v>
      </c>
      <c r="EP11" s="52"/>
      <c r="EQ11" s="52"/>
      <c r="ER11" s="52"/>
      <c r="ES11" s="55">
        <f t="shared" si="112"/>
        <v>22994.91</v>
      </c>
      <c r="ET11" s="55">
        <f t="shared" si="112"/>
        <v>21937.755099999998</v>
      </c>
      <c r="EU11" s="55">
        <f t="shared" si="112"/>
        <v>1317.2163210000001</v>
      </c>
      <c r="EV11" s="55">
        <f t="shared" si="112"/>
        <v>1389.054572</v>
      </c>
      <c r="EW11" s="298">
        <f t="shared" si="113"/>
        <v>0.51176376804766921</v>
      </c>
      <c r="EX11" s="52"/>
      <c r="EY11" s="55">
        <f t="shared" si="114"/>
        <v>1317.2163210000001</v>
      </c>
      <c r="EZ11" s="55">
        <f t="shared" si="114"/>
        <v>1389.054572</v>
      </c>
      <c r="FA11" s="55">
        <f t="shared" si="114"/>
        <v>1317.2163210000001</v>
      </c>
      <c r="FB11" s="55">
        <f t="shared" si="114"/>
        <v>1389.054572</v>
      </c>
      <c r="FD11" s="52"/>
      <c r="FE11" s="52"/>
      <c r="FF11" s="52"/>
      <c r="FG11" s="55">
        <f t="shared" si="115"/>
        <v>16003.900099999999</v>
      </c>
      <c r="FH11" s="55">
        <f t="shared" si="115"/>
        <v>15316.2742</v>
      </c>
      <c r="FI11" s="55">
        <f t="shared" si="115"/>
        <v>1057.9199148</v>
      </c>
      <c r="FJ11" s="55">
        <f t="shared" si="115"/>
        <v>755.93530899999996</v>
      </c>
      <c r="FK11" s="298">
        <f t="shared" si="116"/>
        <v>0.51097736387756942</v>
      </c>
      <c r="FL11" s="52"/>
      <c r="FM11" s="55">
        <f t="shared" si="117"/>
        <v>1057.9199148</v>
      </c>
      <c r="FN11" s="55">
        <f t="shared" si="117"/>
        <v>755.93530899999996</v>
      </c>
      <c r="FO11" s="55">
        <f t="shared" si="117"/>
        <v>1057.9199148</v>
      </c>
      <c r="FP11" s="55">
        <f t="shared" si="117"/>
        <v>755.93530899999996</v>
      </c>
      <c r="FR11" s="52"/>
      <c r="FS11" s="52"/>
      <c r="FT11" s="52"/>
      <c r="FU11" s="55">
        <f t="shared" si="118"/>
        <v>18888.400000000001</v>
      </c>
      <c r="FV11" s="55">
        <f t="shared" si="118"/>
        <v>18093.519199999999</v>
      </c>
      <c r="FW11" s="55">
        <f t="shared" si="118"/>
        <v>3.4056000000000002</v>
      </c>
      <c r="FX11" s="55">
        <f t="shared" si="118"/>
        <v>3.5620059999999998</v>
      </c>
      <c r="FY11" s="298">
        <f t="shared" si="119"/>
        <v>0.51074688411519753</v>
      </c>
      <c r="FZ11" s="52"/>
      <c r="GA11" s="55">
        <f t="shared" si="120"/>
        <v>3.4056000000000002</v>
      </c>
      <c r="GB11" s="55">
        <f t="shared" si="120"/>
        <v>3.5620059999999998</v>
      </c>
      <c r="GC11" s="55">
        <f t="shared" si="120"/>
        <v>3.4056000000000002</v>
      </c>
      <c r="GD11" s="55">
        <f t="shared" si="120"/>
        <v>3.5620059999999998</v>
      </c>
      <c r="GF11" s="52"/>
      <c r="GG11" s="52"/>
      <c r="GH11" s="52"/>
      <c r="GI11" s="55">
        <f t="shared" si="121"/>
        <v>10100.145</v>
      </c>
      <c r="GJ11" s="55">
        <f t="shared" si="122"/>
        <v>9561.0074999999997</v>
      </c>
      <c r="GK11" s="56">
        <f t="shared" si="123"/>
        <v>197.39500199999995</v>
      </c>
      <c r="GL11" s="56">
        <f t="shared" si="123"/>
        <v>345.64248900000001</v>
      </c>
      <c r="GM11" s="298">
        <f t="shared" si="124"/>
        <v>0.51371072982623989</v>
      </c>
      <c r="GN11" s="52"/>
      <c r="GO11" s="56">
        <f t="shared" si="125"/>
        <v>197.39500199999995</v>
      </c>
      <c r="GP11" s="56">
        <f t="shared" si="125"/>
        <v>345.64248900000001</v>
      </c>
      <c r="GQ11" s="56">
        <f t="shared" si="125"/>
        <v>197.39500199999995</v>
      </c>
      <c r="GR11" s="56">
        <f t="shared" si="125"/>
        <v>345.64248900000001</v>
      </c>
      <c r="GW11" s="275">
        <v>1.0571999999999999</v>
      </c>
      <c r="GX11" s="275">
        <v>0.32979999999999998</v>
      </c>
      <c r="GY11" s="275">
        <v>0</v>
      </c>
      <c r="GZ11" s="275">
        <v>155.50579999999999</v>
      </c>
      <c r="HA11" s="275">
        <v>139.61000000000001</v>
      </c>
      <c r="HB11" s="49">
        <f t="shared" si="126"/>
        <v>694.35838799999988</v>
      </c>
      <c r="HC11" s="49">
        <f t="shared" si="127"/>
        <v>447.80573799999996</v>
      </c>
      <c r="HD11" s="47">
        <f t="shared" si="128"/>
        <v>0</v>
      </c>
      <c r="HE11" s="47">
        <f t="shared" ref="HE11:HE74" si="181" xml:space="preserve"> IF(    SUM(GZ11:HA11)=0,    0,   HD11 * HA11 / SUM(GZ11:HA11)    )</f>
        <v>0</v>
      </c>
      <c r="HF11" s="48">
        <f t="shared" ref="HF11:HF74" si="182" xml:space="preserve"> HB11 + HE11</f>
        <v>694.35838799999988</v>
      </c>
      <c r="HG11" s="48">
        <f t="shared" ref="HG11:HG74" si="183" xml:space="preserve"> HC11 - HD11 + HE11</f>
        <v>447.80573799999996</v>
      </c>
      <c r="HH11" s="93">
        <f t="shared" ref="HH11:HH74" si="184" xml:space="preserve"> HB11 + IF( OR( $A11&lt;=14, $A11&gt;=65 ),0, IF( $A11&lt;=19, HH$8, HH$9 ) )</f>
        <v>694.35838799999988</v>
      </c>
      <c r="HI11" s="93">
        <f t="shared" ref="HI11:HI74" si="185" xml:space="preserve"> HC11 - HD11 + IF( OR( $A11&lt;=14, $A11&gt;=65 ),0, IF( $A11&lt;=19, HI$8, HI$9 ) )</f>
        <v>447.80573799999996</v>
      </c>
      <c r="HJ11" s="298">
        <f t="shared" si="129"/>
        <v>0.52693146215824427</v>
      </c>
      <c r="HL11" s="275">
        <v>0</v>
      </c>
      <c r="HM11" s="275">
        <v>4.5100000000000001E-2</v>
      </c>
      <c r="HN11" s="275">
        <v>0</v>
      </c>
      <c r="HO11" s="275">
        <v>2</v>
      </c>
      <c r="HP11" s="275">
        <v>0</v>
      </c>
      <c r="HQ11" s="49">
        <f t="shared" si="130"/>
        <v>0</v>
      </c>
      <c r="HR11" s="49">
        <f t="shared" si="131"/>
        <v>34.976402999999998</v>
      </c>
      <c r="HS11" s="47">
        <f t="shared" si="132"/>
        <v>0</v>
      </c>
      <c r="HT11" s="47">
        <f t="shared" ref="HT11:HT74" si="186" xml:space="preserve"> IF(    SUM(HO11:HP11)=0,    0,   HS11 * HP11 / SUM(HO11:HP11)    )</f>
        <v>0</v>
      </c>
      <c r="HU11" s="48">
        <f t="shared" ref="HU11:HU74" si="187" xml:space="preserve"> HQ11 + HT11</f>
        <v>0</v>
      </c>
      <c r="HV11" s="48">
        <f t="shared" ref="HV11:HV74" si="188" xml:space="preserve"> HR11 - HS11 + HT11</f>
        <v>34.976402999999998</v>
      </c>
      <c r="HW11" s="93">
        <f t="shared" ref="HW11:HW74" si="189" xml:space="preserve"> HQ11 + IF( OR( $A11&lt;=14, $A11&gt;=65 ),0, IF( $A11&lt;=19, HW$8, HW$9 ) )</f>
        <v>0</v>
      </c>
      <c r="HX11" s="93">
        <f t="shared" ref="HX11:HX74" si="190" xml:space="preserve"> HR11 - HS11 + IF( OR( $A11&lt;=14, $A11&gt;=65 ),0, IF( $A11&lt;=19, HX$8, HX$9 ) )</f>
        <v>34.976402999999998</v>
      </c>
      <c r="HY11" s="298">
        <f t="shared" si="133"/>
        <v>0.85</v>
      </c>
    </row>
    <row r="12" spans="1:233" x14ac:dyDescent="0.2">
      <c r="A12" s="118">
        <v>2</v>
      </c>
      <c r="C12" s="275">
        <v>1.1026</v>
      </c>
      <c r="D12" s="275">
        <v>0.496</v>
      </c>
      <c r="E12" s="275">
        <v>0</v>
      </c>
      <c r="F12" s="275">
        <v>8305.4683000000005</v>
      </c>
      <c r="G12" s="275">
        <v>8003.3807999999999</v>
      </c>
      <c r="H12" s="49">
        <f t="shared" si="100"/>
        <v>1090.5265299999999</v>
      </c>
      <c r="I12" s="49">
        <f t="shared" si="100"/>
        <v>893.70272</v>
      </c>
      <c r="J12" s="47">
        <f t="shared" si="100"/>
        <v>0</v>
      </c>
      <c r="K12" s="47">
        <f t="shared" si="134"/>
        <v>0</v>
      </c>
      <c r="L12" s="48">
        <f t="shared" si="135"/>
        <v>1090.5265299999999</v>
      </c>
      <c r="M12" s="48">
        <f t="shared" si="136"/>
        <v>893.70272</v>
      </c>
      <c r="N12" s="93">
        <f t="shared" si="137"/>
        <v>1090.5265299999999</v>
      </c>
      <c r="O12" s="93">
        <f t="shared" si="138"/>
        <v>893.70272</v>
      </c>
      <c r="P12" s="298">
        <f t="shared" si="101"/>
        <v>0.5092614597801387</v>
      </c>
      <c r="Q12" s="275">
        <v>1.2455000000000001</v>
      </c>
      <c r="R12" s="275">
        <v>0.58530000000000004</v>
      </c>
      <c r="S12" s="275">
        <v>0</v>
      </c>
      <c r="T12" s="275">
        <v>756.67</v>
      </c>
      <c r="U12" s="275">
        <v>734.71500000000003</v>
      </c>
      <c r="V12" s="49">
        <f t="shared" si="102"/>
        <v>763.47904500000004</v>
      </c>
      <c r="W12" s="49">
        <f t="shared" si="102"/>
        <v>679.3342980000001</v>
      </c>
      <c r="X12" s="47">
        <f t="shared" si="102"/>
        <v>0</v>
      </c>
      <c r="Y12" s="47">
        <f t="shared" si="139"/>
        <v>0</v>
      </c>
      <c r="Z12" s="48">
        <f t="shared" si="140"/>
        <v>763.47904500000004</v>
      </c>
      <c r="AA12" s="48">
        <f t="shared" si="141"/>
        <v>679.3342980000001</v>
      </c>
      <c r="AB12" s="93">
        <f t="shared" si="142"/>
        <v>763.47904500000004</v>
      </c>
      <c r="AC12" s="93">
        <f t="shared" si="143"/>
        <v>679.3342980000001</v>
      </c>
      <c r="AE12" s="275">
        <v>0.85189999999999999</v>
      </c>
      <c r="AF12" s="275">
        <v>0.21920000000000001</v>
      </c>
      <c r="AG12" s="275">
        <v>0</v>
      </c>
      <c r="AH12" s="275">
        <v>45.083300000000001</v>
      </c>
      <c r="AI12" s="275">
        <v>40.825000000000003</v>
      </c>
      <c r="AJ12" s="49">
        <f t="shared" si="103"/>
        <v>399.43035300000003</v>
      </c>
      <c r="AK12" s="49">
        <f t="shared" si="103"/>
        <v>249.182176</v>
      </c>
      <c r="AL12" s="47">
        <f t="shared" si="103"/>
        <v>0</v>
      </c>
      <c r="AM12" s="47">
        <f t="shared" si="144"/>
        <v>0</v>
      </c>
      <c r="AN12" s="48">
        <f t="shared" si="145"/>
        <v>399.43035300000003</v>
      </c>
      <c r="AO12" s="48">
        <f t="shared" si="146"/>
        <v>249.182176</v>
      </c>
      <c r="AP12" s="93">
        <f t="shared" si="147"/>
        <v>399.43035300000003</v>
      </c>
      <c r="AQ12" s="93">
        <f t="shared" si="148"/>
        <v>249.182176</v>
      </c>
      <c r="AS12" s="275">
        <v>0.98419999999999996</v>
      </c>
      <c r="AT12" s="275">
        <v>0.4128</v>
      </c>
      <c r="AU12" s="275">
        <v>0</v>
      </c>
      <c r="AV12" s="275">
        <v>7741.91</v>
      </c>
      <c r="AW12" s="275">
        <v>7449.3257999999996</v>
      </c>
      <c r="AX12" s="49">
        <f t="shared" si="104"/>
        <v>342.94448999999997</v>
      </c>
      <c r="AY12" s="49">
        <f t="shared" si="104"/>
        <v>288.90633600000001</v>
      </c>
      <c r="AZ12" s="47">
        <f t="shared" si="104"/>
        <v>0</v>
      </c>
      <c r="BA12" s="47">
        <f t="shared" si="149"/>
        <v>0</v>
      </c>
      <c r="BB12" s="48">
        <f t="shared" si="150"/>
        <v>342.94448999999997</v>
      </c>
      <c r="BC12" s="48">
        <f t="shared" si="151"/>
        <v>288.90633600000001</v>
      </c>
      <c r="BD12" s="93">
        <f t="shared" si="152"/>
        <v>342.94448999999997</v>
      </c>
      <c r="BE12" s="93">
        <f t="shared" si="153"/>
        <v>288.90633600000001</v>
      </c>
      <c r="BG12" s="275">
        <v>1.1597999999999999</v>
      </c>
      <c r="BH12" s="275">
        <v>0.40610000000000002</v>
      </c>
      <c r="BI12" s="275">
        <v>0</v>
      </c>
      <c r="BJ12" s="275">
        <v>3145.4692</v>
      </c>
      <c r="BK12" s="275">
        <v>3034.6592000000001</v>
      </c>
      <c r="BL12" s="49">
        <f t="shared" si="105"/>
        <v>392.26755600000001</v>
      </c>
      <c r="BM12" s="49">
        <f t="shared" si="105"/>
        <v>243.03460600000003</v>
      </c>
      <c r="BN12" s="47">
        <f t="shared" si="105"/>
        <v>0</v>
      </c>
      <c r="BO12" s="47">
        <f t="shared" si="154"/>
        <v>0</v>
      </c>
      <c r="BP12" s="48">
        <f t="shared" si="155"/>
        <v>392.26755600000001</v>
      </c>
      <c r="BQ12" s="48">
        <f t="shared" si="156"/>
        <v>243.03460600000003</v>
      </c>
      <c r="BR12" s="93">
        <f t="shared" si="157"/>
        <v>392.26755600000001</v>
      </c>
      <c r="BS12" s="93">
        <f t="shared" si="158"/>
        <v>243.03460600000003</v>
      </c>
      <c r="BU12" s="275">
        <v>1.0630999999999999</v>
      </c>
      <c r="BV12" s="275">
        <v>0.52410000000000001</v>
      </c>
      <c r="BW12" s="275">
        <v>0</v>
      </c>
      <c r="BX12" s="275">
        <v>2078.3966999999998</v>
      </c>
      <c r="BY12" s="275">
        <v>2003.5042000000001</v>
      </c>
      <c r="BZ12" s="49">
        <f t="shared" si="106"/>
        <v>249.97733399999996</v>
      </c>
      <c r="CA12" s="49">
        <f t="shared" si="106"/>
        <v>188.42967299999998</v>
      </c>
      <c r="CB12" s="47">
        <f t="shared" si="106"/>
        <v>0</v>
      </c>
      <c r="CC12" s="47">
        <f t="shared" si="159"/>
        <v>0</v>
      </c>
      <c r="CD12" s="48">
        <f t="shared" si="160"/>
        <v>249.97733399999996</v>
      </c>
      <c r="CE12" s="48">
        <f t="shared" si="161"/>
        <v>188.42967299999998</v>
      </c>
      <c r="CF12" s="93">
        <f t="shared" si="162"/>
        <v>249.97733399999996</v>
      </c>
      <c r="CG12" s="93">
        <f t="shared" si="163"/>
        <v>188.42967299999998</v>
      </c>
      <c r="CI12" s="275">
        <v>8.3099999999999993E-2</v>
      </c>
      <c r="CJ12" s="275">
        <v>5.2400000000000002E-2</v>
      </c>
      <c r="CK12" s="275">
        <v>0</v>
      </c>
      <c r="CL12" s="275">
        <v>12631.755800000001</v>
      </c>
      <c r="CM12" s="275">
        <v>12187.5617</v>
      </c>
      <c r="CN12" s="49">
        <f t="shared" si="107"/>
        <v>17.15184</v>
      </c>
      <c r="CO12" s="49">
        <f t="shared" si="107"/>
        <v>14.033768</v>
      </c>
      <c r="CP12" s="47">
        <f t="shared" si="107"/>
        <v>0</v>
      </c>
      <c r="CQ12" s="47">
        <f t="shared" si="164"/>
        <v>0</v>
      </c>
      <c r="CR12" s="48">
        <f t="shared" si="165"/>
        <v>17.15184</v>
      </c>
      <c r="CS12" s="48">
        <f t="shared" si="166"/>
        <v>14.033768</v>
      </c>
      <c r="CT12" s="93">
        <f t="shared" si="167"/>
        <v>17.15184</v>
      </c>
      <c r="CU12" s="93">
        <f t="shared" si="168"/>
        <v>14.033768</v>
      </c>
      <c r="CW12" s="275">
        <v>0</v>
      </c>
      <c r="CX12" s="275">
        <v>0</v>
      </c>
      <c r="CY12" s="275">
        <v>0</v>
      </c>
      <c r="CZ12" s="275">
        <v>5837.6967000000004</v>
      </c>
      <c r="DA12" s="275">
        <v>5684.4157999999998</v>
      </c>
      <c r="DB12" s="49">
        <f t="shared" si="108"/>
        <v>0</v>
      </c>
      <c r="DC12" s="49">
        <f t="shared" si="108"/>
        <v>0</v>
      </c>
      <c r="DD12" s="47">
        <f t="shared" si="108"/>
        <v>0</v>
      </c>
      <c r="DE12" s="47">
        <f t="shared" si="169"/>
        <v>0</v>
      </c>
      <c r="DF12" s="48">
        <f t="shared" si="170"/>
        <v>0</v>
      </c>
      <c r="DG12" s="48">
        <f t="shared" si="171"/>
        <v>0</v>
      </c>
      <c r="DH12" s="93">
        <f t="shared" si="172"/>
        <v>0</v>
      </c>
      <c r="DI12" s="93">
        <f t="shared" si="173"/>
        <v>0</v>
      </c>
      <c r="DK12" s="275">
        <v>4.4000000000000003E-3</v>
      </c>
      <c r="DL12" s="275">
        <v>0</v>
      </c>
      <c r="DM12" s="275">
        <v>0</v>
      </c>
      <c r="DN12" s="275">
        <v>1012.175</v>
      </c>
      <c r="DO12" s="275">
        <v>884.78830000000005</v>
      </c>
      <c r="DP12" s="49">
        <f t="shared" si="109"/>
        <v>0.5994560000000001</v>
      </c>
      <c r="DQ12" s="49">
        <f t="shared" si="109"/>
        <v>0</v>
      </c>
      <c r="DR12" s="47">
        <f t="shared" si="109"/>
        <v>0</v>
      </c>
      <c r="DS12" s="47">
        <f t="shared" si="174"/>
        <v>0</v>
      </c>
      <c r="DT12" s="48">
        <f t="shared" si="175"/>
        <v>0.5994560000000001</v>
      </c>
      <c r="DU12" s="48">
        <f t="shared" si="176"/>
        <v>0</v>
      </c>
      <c r="DV12" s="93">
        <f t="shared" si="177"/>
        <v>0.5994560000000001</v>
      </c>
      <c r="DW12" s="93">
        <f t="shared" si="178"/>
        <v>0</v>
      </c>
      <c r="EB12" s="52"/>
      <c r="EC12" s="52"/>
      <c r="ED12" s="52"/>
      <c r="EE12" s="55">
        <f t="shared" si="179"/>
        <v>34516.830800000003</v>
      </c>
      <c r="EF12" s="55">
        <f t="shared" si="179"/>
        <v>33324.684099999999</v>
      </c>
      <c r="EG12" s="55">
        <f t="shared" si="179"/>
        <v>1450.6228599999999</v>
      </c>
      <c r="EH12" s="55">
        <f t="shared" si="179"/>
        <v>1196.642824</v>
      </c>
      <c r="EI12" s="298">
        <f t="shared" si="110"/>
        <v>0.50878626237752245</v>
      </c>
      <c r="EJ12" s="52"/>
      <c r="EK12" s="55">
        <f t="shared" si="180"/>
        <v>1450.6228599999999</v>
      </c>
      <c r="EL12" s="55">
        <f t="shared" si="180"/>
        <v>1196.642824</v>
      </c>
      <c r="EM12" s="55">
        <f t="shared" si="111"/>
        <v>1450.6228599999999</v>
      </c>
      <c r="EN12" s="55">
        <f t="shared" si="111"/>
        <v>1196.642824</v>
      </c>
      <c r="EP12" s="52"/>
      <c r="EQ12" s="52"/>
      <c r="ER12" s="52"/>
      <c r="ES12" s="55">
        <f t="shared" si="112"/>
        <v>22371.591700000001</v>
      </c>
      <c r="ET12" s="55">
        <f t="shared" si="112"/>
        <v>21641.351699999999</v>
      </c>
      <c r="EU12" s="55">
        <f t="shared" si="112"/>
        <v>1172.898441</v>
      </c>
      <c r="EV12" s="55">
        <f t="shared" si="112"/>
        <v>936.40267200000017</v>
      </c>
      <c r="EW12" s="298">
        <f t="shared" si="113"/>
        <v>0.50829574147499523</v>
      </c>
      <c r="EX12" s="52"/>
      <c r="EY12" s="55">
        <f t="shared" si="114"/>
        <v>1172.898441</v>
      </c>
      <c r="EZ12" s="55">
        <f t="shared" si="114"/>
        <v>936.40267200000017</v>
      </c>
      <c r="FA12" s="55">
        <f t="shared" si="114"/>
        <v>1172.898441</v>
      </c>
      <c r="FB12" s="55">
        <f t="shared" si="114"/>
        <v>936.40267200000017</v>
      </c>
      <c r="FD12" s="52"/>
      <c r="FE12" s="52"/>
      <c r="FF12" s="52"/>
      <c r="FG12" s="55">
        <f t="shared" si="115"/>
        <v>15767.4108</v>
      </c>
      <c r="FH12" s="55">
        <f t="shared" si="115"/>
        <v>15116.6792</v>
      </c>
      <c r="FI12" s="55">
        <f t="shared" si="115"/>
        <v>666.91920059999995</v>
      </c>
      <c r="FJ12" s="55">
        <f t="shared" si="115"/>
        <v>451.64561700000002</v>
      </c>
      <c r="FK12" s="298">
        <f t="shared" si="116"/>
        <v>0.51053506190404185</v>
      </c>
      <c r="FL12" s="52"/>
      <c r="FM12" s="55">
        <f t="shared" si="117"/>
        <v>666.91920059999995</v>
      </c>
      <c r="FN12" s="55">
        <f t="shared" si="117"/>
        <v>451.64561700000002</v>
      </c>
      <c r="FO12" s="55">
        <f t="shared" si="117"/>
        <v>666.91920059999995</v>
      </c>
      <c r="FP12" s="55">
        <f t="shared" si="117"/>
        <v>451.64561700000002</v>
      </c>
      <c r="FR12" s="52"/>
      <c r="FS12" s="52"/>
      <c r="FT12" s="52"/>
      <c r="FU12" s="55">
        <f t="shared" si="118"/>
        <v>18469.452499999999</v>
      </c>
      <c r="FV12" s="55">
        <f t="shared" si="118"/>
        <v>17871.977500000001</v>
      </c>
      <c r="FW12" s="55">
        <f t="shared" si="118"/>
        <v>17.15184</v>
      </c>
      <c r="FX12" s="55">
        <f t="shared" si="118"/>
        <v>14.033768</v>
      </c>
      <c r="FY12" s="298">
        <f t="shared" si="119"/>
        <v>0.50822030118242456</v>
      </c>
      <c r="FZ12" s="52"/>
      <c r="GA12" s="55">
        <f t="shared" si="120"/>
        <v>17.15184</v>
      </c>
      <c r="GB12" s="55">
        <f t="shared" si="120"/>
        <v>14.033768</v>
      </c>
      <c r="GC12" s="55">
        <f t="shared" si="120"/>
        <v>17.15184</v>
      </c>
      <c r="GD12" s="55">
        <f t="shared" si="120"/>
        <v>14.033768</v>
      </c>
      <c r="GF12" s="52"/>
      <c r="GG12" s="52"/>
      <c r="GH12" s="52"/>
      <c r="GI12" s="55">
        <f t="shared" si="121"/>
        <v>9820.3066999999992</v>
      </c>
      <c r="GJ12" s="55">
        <f t="shared" si="122"/>
        <v>9452.83</v>
      </c>
      <c r="GK12" s="56">
        <f t="shared" si="123"/>
        <v>69.725367000000006</v>
      </c>
      <c r="GL12" s="56">
        <f t="shared" si="123"/>
        <v>75.357497250000023</v>
      </c>
      <c r="GM12" s="298">
        <f t="shared" si="124"/>
        <v>0.50953339110597395</v>
      </c>
      <c r="GN12" s="52"/>
      <c r="GO12" s="56">
        <f t="shared" si="125"/>
        <v>69.725367000000006</v>
      </c>
      <c r="GP12" s="56">
        <f t="shared" si="125"/>
        <v>75.357497250000023</v>
      </c>
      <c r="GQ12" s="56">
        <f t="shared" si="125"/>
        <v>69.725367000000006</v>
      </c>
      <c r="GR12" s="56">
        <f t="shared" si="125"/>
        <v>75.357497250000023</v>
      </c>
      <c r="GW12" s="275">
        <v>1.0127999999999999</v>
      </c>
      <c r="GX12" s="275">
        <v>0.29920000000000002</v>
      </c>
      <c r="GY12" s="275">
        <v>0</v>
      </c>
      <c r="GZ12" s="275">
        <v>163.33330000000001</v>
      </c>
      <c r="HA12" s="275">
        <v>147.52670000000001</v>
      </c>
      <c r="HB12" s="49">
        <f t="shared" si="126"/>
        <v>665.19691199999988</v>
      </c>
      <c r="HC12" s="49">
        <f t="shared" si="127"/>
        <v>406.25675200000001</v>
      </c>
      <c r="HD12" s="47">
        <f t="shared" si="128"/>
        <v>0</v>
      </c>
      <c r="HE12" s="47">
        <f t="shared" si="181"/>
        <v>0</v>
      </c>
      <c r="HF12" s="48">
        <f t="shared" si="182"/>
        <v>665.19691199999988</v>
      </c>
      <c r="HG12" s="48">
        <f t="shared" si="183"/>
        <v>406.25675200000001</v>
      </c>
      <c r="HH12" s="93">
        <f t="shared" si="184"/>
        <v>665.19691199999988</v>
      </c>
      <c r="HI12" s="93">
        <f t="shared" si="185"/>
        <v>406.25675200000001</v>
      </c>
      <c r="HJ12" s="298">
        <f t="shared" si="129"/>
        <v>0.52542398507366661</v>
      </c>
      <c r="HL12" s="275">
        <v>0</v>
      </c>
      <c r="HM12" s="275">
        <v>5.8500000000000003E-2</v>
      </c>
      <c r="HN12" s="275">
        <v>0</v>
      </c>
      <c r="HO12" s="275">
        <v>0</v>
      </c>
      <c r="HP12" s="275">
        <v>0</v>
      </c>
      <c r="HQ12" s="49">
        <f t="shared" si="130"/>
        <v>0</v>
      </c>
      <c r="HR12" s="49">
        <f t="shared" si="131"/>
        <v>45.368504999999999</v>
      </c>
      <c r="HS12" s="47">
        <f t="shared" si="132"/>
        <v>0</v>
      </c>
      <c r="HT12" s="47">
        <f t="shared" si="186"/>
        <v>0</v>
      </c>
      <c r="HU12" s="48">
        <f t="shared" si="187"/>
        <v>0</v>
      </c>
      <c r="HV12" s="48">
        <f t="shared" si="188"/>
        <v>45.368504999999999</v>
      </c>
      <c r="HW12" s="93">
        <f t="shared" si="189"/>
        <v>0</v>
      </c>
      <c r="HX12" s="93">
        <f t="shared" si="190"/>
        <v>45.368504999999999</v>
      </c>
      <c r="HY12" s="298">
        <f t="shared" si="133"/>
        <v>0.15</v>
      </c>
    </row>
    <row r="13" spans="1:233" x14ac:dyDescent="0.2">
      <c r="A13" s="118">
        <v>3</v>
      </c>
      <c r="C13" s="275">
        <v>1.0214000000000001</v>
      </c>
      <c r="D13" s="275">
        <v>0.43780000000000002</v>
      </c>
      <c r="E13" s="275">
        <v>0</v>
      </c>
      <c r="F13" s="275">
        <v>9231.9699999999993</v>
      </c>
      <c r="G13" s="275">
        <v>8858.1916999999994</v>
      </c>
      <c r="H13" s="49">
        <f t="shared" si="100"/>
        <v>1010.21567</v>
      </c>
      <c r="I13" s="49">
        <f t="shared" si="100"/>
        <v>788.83679600000005</v>
      </c>
      <c r="J13" s="47">
        <f t="shared" si="100"/>
        <v>0</v>
      </c>
      <c r="K13" s="47">
        <f t="shared" si="134"/>
        <v>0</v>
      </c>
      <c r="L13" s="48">
        <f t="shared" si="135"/>
        <v>1010.21567</v>
      </c>
      <c r="M13" s="48">
        <f t="shared" si="136"/>
        <v>788.83679600000005</v>
      </c>
      <c r="N13" s="93">
        <f t="shared" si="137"/>
        <v>1010.21567</v>
      </c>
      <c r="O13" s="93">
        <f t="shared" si="138"/>
        <v>788.83679600000005</v>
      </c>
      <c r="P13" s="298">
        <f t="shared" si="101"/>
        <v>0.51033098283471956</v>
      </c>
      <c r="Q13" s="275">
        <v>1.1669</v>
      </c>
      <c r="R13" s="275">
        <v>0.51219999999999999</v>
      </c>
      <c r="S13" s="275">
        <v>0</v>
      </c>
      <c r="T13" s="275">
        <v>992.0575</v>
      </c>
      <c r="U13" s="275">
        <v>921.1508</v>
      </c>
      <c r="V13" s="49">
        <f t="shared" si="102"/>
        <v>715.29803100000004</v>
      </c>
      <c r="W13" s="49">
        <f t="shared" si="102"/>
        <v>594.49005199999999</v>
      </c>
      <c r="X13" s="47">
        <f t="shared" si="102"/>
        <v>0</v>
      </c>
      <c r="Y13" s="47">
        <f t="shared" si="139"/>
        <v>0</v>
      </c>
      <c r="Z13" s="48">
        <f t="shared" si="140"/>
        <v>715.29803100000004</v>
      </c>
      <c r="AA13" s="48">
        <f t="shared" si="141"/>
        <v>594.49005199999999</v>
      </c>
      <c r="AB13" s="93">
        <f t="shared" si="142"/>
        <v>715.29803100000004</v>
      </c>
      <c r="AC13" s="93">
        <f t="shared" si="143"/>
        <v>594.49005199999999</v>
      </c>
      <c r="AE13" s="275">
        <v>0.84289999999999998</v>
      </c>
      <c r="AF13" s="275">
        <v>0.19320000000000001</v>
      </c>
      <c r="AG13" s="275">
        <v>0</v>
      </c>
      <c r="AH13" s="275">
        <v>56.822499999999998</v>
      </c>
      <c r="AI13" s="275">
        <v>52.666699999999999</v>
      </c>
      <c r="AJ13" s="49">
        <f t="shared" si="103"/>
        <v>395.21052300000002</v>
      </c>
      <c r="AK13" s="49">
        <f t="shared" si="103"/>
        <v>219.62589600000001</v>
      </c>
      <c r="AL13" s="47">
        <f t="shared" si="103"/>
        <v>0</v>
      </c>
      <c r="AM13" s="47">
        <f t="shared" si="144"/>
        <v>0</v>
      </c>
      <c r="AN13" s="48">
        <f t="shared" si="145"/>
        <v>395.21052300000002</v>
      </c>
      <c r="AO13" s="48">
        <f t="shared" si="146"/>
        <v>219.62589600000001</v>
      </c>
      <c r="AP13" s="93">
        <f t="shared" si="147"/>
        <v>395.21052300000002</v>
      </c>
      <c r="AQ13" s="93">
        <f t="shared" si="148"/>
        <v>219.62589600000001</v>
      </c>
      <c r="AS13" s="275">
        <v>0.75109999999999999</v>
      </c>
      <c r="AT13" s="275">
        <v>0.32979999999999998</v>
      </c>
      <c r="AU13" s="275">
        <v>0</v>
      </c>
      <c r="AV13" s="275">
        <v>7731.6750000000002</v>
      </c>
      <c r="AW13" s="275">
        <v>7402.3642</v>
      </c>
      <c r="AX13" s="49">
        <f t="shared" si="104"/>
        <v>261.72079500000001</v>
      </c>
      <c r="AY13" s="49">
        <f t="shared" si="104"/>
        <v>230.817126</v>
      </c>
      <c r="AZ13" s="47">
        <f t="shared" si="104"/>
        <v>0</v>
      </c>
      <c r="BA13" s="47">
        <f t="shared" si="149"/>
        <v>0</v>
      </c>
      <c r="BB13" s="48">
        <f t="shared" si="150"/>
        <v>261.72079500000001</v>
      </c>
      <c r="BC13" s="48">
        <f t="shared" si="151"/>
        <v>230.817126</v>
      </c>
      <c r="BD13" s="93">
        <f t="shared" si="152"/>
        <v>261.72079500000001</v>
      </c>
      <c r="BE13" s="93">
        <f t="shared" si="153"/>
        <v>230.817126</v>
      </c>
      <c r="BG13" s="275">
        <v>0.89890000000000003</v>
      </c>
      <c r="BH13" s="275">
        <v>0.35949999999999999</v>
      </c>
      <c r="BI13" s="275">
        <v>0</v>
      </c>
      <c r="BJ13" s="275">
        <v>4068.3833</v>
      </c>
      <c r="BK13" s="275">
        <v>3932.8924999999999</v>
      </c>
      <c r="BL13" s="49">
        <f t="shared" si="105"/>
        <v>304.02595800000006</v>
      </c>
      <c r="BM13" s="49">
        <f t="shared" si="105"/>
        <v>215.14637000000002</v>
      </c>
      <c r="BN13" s="47">
        <f t="shared" si="105"/>
        <v>0</v>
      </c>
      <c r="BO13" s="47">
        <f t="shared" si="154"/>
        <v>0</v>
      </c>
      <c r="BP13" s="48">
        <f t="shared" si="155"/>
        <v>304.02595800000006</v>
      </c>
      <c r="BQ13" s="48">
        <f t="shared" si="156"/>
        <v>215.14637000000002</v>
      </c>
      <c r="BR13" s="93">
        <f t="shared" si="157"/>
        <v>304.02595800000006</v>
      </c>
      <c r="BS13" s="93">
        <f t="shared" si="158"/>
        <v>215.14637000000002</v>
      </c>
      <c r="BU13" s="275">
        <v>0.80469999999999997</v>
      </c>
      <c r="BV13" s="275">
        <v>0.31190000000000001</v>
      </c>
      <c r="BW13" s="275">
        <v>0</v>
      </c>
      <c r="BX13" s="275">
        <v>2068.1392000000001</v>
      </c>
      <c r="BY13" s="275">
        <v>1969.2466999999999</v>
      </c>
      <c r="BZ13" s="49">
        <f t="shared" si="106"/>
        <v>189.21715799999998</v>
      </c>
      <c r="CA13" s="49">
        <f t="shared" si="106"/>
        <v>112.137407</v>
      </c>
      <c r="CB13" s="47">
        <f t="shared" si="106"/>
        <v>0</v>
      </c>
      <c r="CC13" s="47">
        <f t="shared" si="159"/>
        <v>0</v>
      </c>
      <c r="CD13" s="48">
        <f t="shared" si="160"/>
        <v>189.21715799999998</v>
      </c>
      <c r="CE13" s="48">
        <f t="shared" si="161"/>
        <v>112.137407</v>
      </c>
      <c r="CF13" s="93">
        <f t="shared" si="162"/>
        <v>189.21715799999998</v>
      </c>
      <c r="CG13" s="93">
        <f t="shared" si="163"/>
        <v>112.137407</v>
      </c>
      <c r="CI13" s="275">
        <v>0.17100000000000001</v>
      </c>
      <c r="CJ13" s="275">
        <v>0.1124</v>
      </c>
      <c r="CK13" s="275">
        <v>0</v>
      </c>
      <c r="CL13" s="275">
        <v>13332.075800000001</v>
      </c>
      <c r="CM13" s="275">
        <v>12705.3917</v>
      </c>
      <c r="CN13" s="49">
        <f t="shared" si="107"/>
        <v>35.294400000000003</v>
      </c>
      <c r="CO13" s="49">
        <f t="shared" si="107"/>
        <v>30.102968000000001</v>
      </c>
      <c r="CP13" s="47">
        <f t="shared" si="107"/>
        <v>0</v>
      </c>
      <c r="CQ13" s="47">
        <f t="shared" si="164"/>
        <v>0</v>
      </c>
      <c r="CR13" s="48">
        <f t="shared" si="165"/>
        <v>35.294400000000003</v>
      </c>
      <c r="CS13" s="48">
        <f t="shared" si="166"/>
        <v>30.102968000000001</v>
      </c>
      <c r="CT13" s="93">
        <f t="shared" si="167"/>
        <v>35.294400000000003</v>
      </c>
      <c r="CU13" s="93">
        <f t="shared" si="168"/>
        <v>30.102968000000001</v>
      </c>
      <c r="CW13" s="275">
        <v>0</v>
      </c>
      <c r="CX13" s="275">
        <v>0</v>
      </c>
      <c r="CY13" s="275">
        <v>0</v>
      </c>
      <c r="CZ13" s="275">
        <v>6320.3683000000001</v>
      </c>
      <c r="DA13" s="275">
        <v>5907.5541999999996</v>
      </c>
      <c r="DB13" s="49">
        <f t="shared" si="108"/>
        <v>0</v>
      </c>
      <c r="DC13" s="49">
        <f t="shared" si="108"/>
        <v>0</v>
      </c>
      <c r="DD13" s="47">
        <f t="shared" si="108"/>
        <v>0</v>
      </c>
      <c r="DE13" s="47">
        <f t="shared" si="169"/>
        <v>0</v>
      </c>
      <c r="DF13" s="48">
        <f t="shared" si="170"/>
        <v>0</v>
      </c>
      <c r="DG13" s="48">
        <f t="shared" si="171"/>
        <v>0</v>
      </c>
      <c r="DH13" s="93">
        <f t="shared" si="172"/>
        <v>0</v>
      </c>
      <c r="DI13" s="93">
        <f t="shared" si="173"/>
        <v>0</v>
      </c>
      <c r="DK13" s="275">
        <v>1.04E-2</v>
      </c>
      <c r="DL13" s="275">
        <v>8.9999999999999998E-4</v>
      </c>
      <c r="DM13" s="275">
        <v>0</v>
      </c>
      <c r="DN13" s="275">
        <v>1304.0633</v>
      </c>
      <c r="DO13" s="275">
        <v>1263.6908000000001</v>
      </c>
      <c r="DP13" s="49">
        <f t="shared" si="109"/>
        <v>1.4168959999999999</v>
      </c>
      <c r="DQ13" s="49">
        <f t="shared" si="109"/>
        <v>0.17757899999999999</v>
      </c>
      <c r="DR13" s="47">
        <f t="shared" si="109"/>
        <v>0</v>
      </c>
      <c r="DS13" s="47">
        <f t="shared" si="174"/>
        <v>0</v>
      </c>
      <c r="DT13" s="48">
        <f t="shared" si="175"/>
        <v>1.4168959999999999</v>
      </c>
      <c r="DU13" s="48">
        <f t="shared" si="176"/>
        <v>0.17757899999999999</v>
      </c>
      <c r="DV13" s="93">
        <f t="shared" si="177"/>
        <v>1.4168959999999999</v>
      </c>
      <c r="DW13" s="93">
        <f t="shared" si="178"/>
        <v>0.17757899999999999</v>
      </c>
      <c r="EB13" s="52"/>
      <c r="EC13" s="52"/>
      <c r="ED13" s="52"/>
      <c r="EE13" s="55">
        <f t="shared" si="179"/>
        <v>36616.089100000005</v>
      </c>
      <c r="EF13" s="55">
        <f t="shared" si="179"/>
        <v>34873.501799999998</v>
      </c>
      <c r="EG13" s="55">
        <f t="shared" si="179"/>
        <v>1307.230865</v>
      </c>
      <c r="EH13" s="55">
        <f t="shared" si="179"/>
        <v>1049.7568900000001</v>
      </c>
      <c r="EI13" s="298">
        <f t="shared" si="110"/>
        <v>0.51218769948227527</v>
      </c>
      <c r="EJ13" s="52"/>
      <c r="EK13" s="55">
        <f t="shared" si="180"/>
        <v>1307.230865</v>
      </c>
      <c r="EL13" s="55">
        <f t="shared" si="180"/>
        <v>1049.7568900000001</v>
      </c>
      <c r="EM13" s="55">
        <f t="shared" si="111"/>
        <v>1307.230865</v>
      </c>
      <c r="EN13" s="55">
        <f t="shared" si="111"/>
        <v>1049.7568900000001</v>
      </c>
      <c r="EP13" s="52"/>
      <c r="EQ13" s="52"/>
      <c r="ER13" s="52"/>
      <c r="ES13" s="55">
        <f t="shared" si="112"/>
        <v>24712.884900000005</v>
      </c>
      <c r="ET13" s="55">
        <f t="shared" si="112"/>
        <v>23466.9892</v>
      </c>
      <c r="EU13" s="55">
        <f t="shared" si="112"/>
        <v>1054.6183890000002</v>
      </c>
      <c r="EV13" s="55">
        <f t="shared" si="112"/>
        <v>839.73939000000007</v>
      </c>
      <c r="EW13" s="298">
        <f t="shared" si="113"/>
        <v>0.51292962801660791</v>
      </c>
      <c r="EX13" s="52"/>
      <c r="EY13" s="55">
        <f t="shared" si="114"/>
        <v>1054.6183890000002</v>
      </c>
      <c r="EZ13" s="55">
        <f t="shared" si="114"/>
        <v>839.73939000000007</v>
      </c>
      <c r="FA13" s="55">
        <f t="shared" si="114"/>
        <v>1054.6183890000002</v>
      </c>
      <c r="FB13" s="55">
        <f t="shared" si="114"/>
        <v>839.73939000000007</v>
      </c>
      <c r="FD13" s="52"/>
      <c r="FE13" s="52"/>
      <c r="FF13" s="52"/>
      <c r="FG13" s="55">
        <f t="shared" si="115"/>
        <v>16761.1008</v>
      </c>
      <c r="FH13" s="55">
        <f t="shared" si="115"/>
        <v>15990.9959</v>
      </c>
      <c r="FI13" s="55">
        <f t="shared" si="115"/>
        <v>620.57221860000004</v>
      </c>
      <c r="FJ13" s="55">
        <f t="shared" si="115"/>
        <v>361.97281839999999</v>
      </c>
      <c r="FK13" s="298">
        <f t="shared" si="116"/>
        <v>0.51175657404553276</v>
      </c>
      <c r="FL13" s="52"/>
      <c r="FM13" s="55">
        <f t="shared" si="117"/>
        <v>620.57221860000004</v>
      </c>
      <c r="FN13" s="55">
        <f t="shared" si="117"/>
        <v>361.97281839999999</v>
      </c>
      <c r="FO13" s="55">
        <f t="shared" si="117"/>
        <v>620.57221860000004</v>
      </c>
      <c r="FP13" s="55">
        <f t="shared" si="117"/>
        <v>361.97281839999999</v>
      </c>
      <c r="FR13" s="52"/>
      <c r="FS13" s="52"/>
      <c r="FT13" s="52"/>
      <c r="FU13" s="55">
        <f t="shared" si="118"/>
        <v>19652.444100000001</v>
      </c>
      <c r="FV13" s="55">
        <f t="shared" si="118"/>
        <v>18612.945899999999</v>
      </c>
      <c r="FW13" s="55">
        <f t="shared" si="118"/>
        <v>35.294400000000003</v>
      </c>
      <c r="FX13" s="55">
        <f t="shared" si="118"/>
        <v>30.102968000000001</v>
      </c>
      <c r="FY13" s="298">
        <f t="shared" si="119"/>
        <v>0.5135827467066193</v>
      </c>
      <c r="FZ13" s="52"/>
      <c r="GA13" s="55">
        <f t="shared" si="120"/>
        <v>35.294400000000003</v>
      </c>
      <c r="GB13" s="55">
        <f t="shared" si="120"/>
        <v>30.102968000000001</v>
      </c>
      <c r="GC13" s="55">
        <f t="shared" si="120"/>
        <v>35.294400000000003</v>
      </c>
      <c r="GD13" s="55">
        <f t="shared" si="120"/>
        <v>30.102968000000001</v>
      </c>
      <c r="GF13" s="52"/>
      <c r="GG13" s="52"/>
      <c r="GH13" s="52"/>
      <c r="GI13" s="55">
        <f t="shared" ref="GI13:GJ41" si="191" xml:space="preserve"> MAX( 0, AV13 + BX13 ) * GI$8</f>
        <v>9799.8142000000007</v>
      </c>
      <c r="GJ13" s="55">
        <f t="shared" si="191"/>
        <v>9371.6108999999997</v>
      </c>
      <c r="GK13" s="56">
        <f t="shared" si="123"/>
        <v>54.37772775000002</v>
      </c>
      <c r="GL13" s="56">
        <f t="shared" si="123"/>
        <v>89.009789250000011</v>
      </c>
      <c r="GM13" s="298">
        <f t="shared" si="124"/>
        <v>0.51116774829639555</v>
      </c>
      <c r="GN13" s="52"/>
      <c r="GO13" s="56">
        <f t="shared" si="125"/>
        <v>54.37772775000002</v>
      </c>
      <c r="GP13" s="56">
        <f t="shared" si="125"/>
        <v>89.009789250000011</v>
      </c>
      <c r="GQ13" s="56">
        <f t="shared" si="125"/>
        <v>54.37772775000002</v>
      </c>
      <c r="GR13" s="56">
        <f t="shared" si="125"/>
        <v>89.009789250000011</v>
      </c>
      <c r="GW13" s="275">
        <v>0.97240000000000004</v>
      </c>
      <c r="GX13" s="275">
        <v>0.27210000000000001</v>
      </c>
      <c r="GY13" s="275">
        <v>0</v>
      </c>
      <c r="GZ13" s="275">
        <v>181.61250000000001</v>
      </c>
      <c r="HA13" s="275">
        <v>151.23920000000001</v>
      </c>
      <c r="HB13" s="49">
        <f t="shared" si="126"/>
        <v>638.66259600000001</v>
      </c>
      <c r="HC13" s="49">
        <f t="shared" si="127"/>
        <v>369.46010100000001</v>
      </c>
      <c r="HD13" s="47">
        <f t="shared" si="128"/>
        <v>0</v>
      </c>
      <c r="HE13" s="47">
        <f t="shared" si="181"/>
        <v>0</v>
      </c>
      <c r="HF13" s="48">
        <f t="shared" si="182"/>
        <v>638.66259600000001</v>
      </c>
      <c r="HG13" s="48">
        <f t="shared" si="183"/>
        <v>369.46010100000001</v>
      </c>
      <c r="HH13" s="93">
        <f t="shared" si="184"/>
        <v>638.66259600000001</v>
      </c>
      <c r="HI13" s="93">
        <f t="shared" si="185"/>
        <v>369.46010100000001</v>
      </c>
      <c r="HJ13" s="298">
        <f t="shared" si="129"/>
        <v>0.54562587482653679</v>
      </c>
      <c r="HL13" s="275">
        <v>0</v>
      </c>
      <c r="HM13" s="275">
        <v>7.1999999999999995E-2</v>
      </c>
      <c r="HN13" s="275">
        <v>0</v>
      </c>
      <c r="HO13" s="275">
        <v>1</v>
      </c>
      <c r="HP13" s="275">
        <v>0</v>
      </c>
      <c r="HQ13" s="49">
        <f t="shared" si="130"/>
        <v>0</v>
      </c>
      <c r="HR13" s="49">
        <f t="shared" si="131"/>
        <v>55.838159999999995</v>
      </c>
      <c r="HS13" s="47">
        <f t="shared" si="132"/>
        <v>0</v>
      </c>
      <c r="HT13" s="47">
        <f t="shared" si="186"/>
        <v>0</v>
      </c>
      <c r="HU13" s="48">
        <f t="shared" si="187"/>
        <v>0</v>
      </c>
      <c r="HV13" s="48">
        <f t="shared" si="188"/>
        <v>55.838159999999995</v>
      </c>
      <c r="HW13" s="93">
        <f t="shared" si="189"/>
        <v>0</v>
      </c>
      <c r="HX13" s="93">
        <f t="shared" si="190"/>
        <v>55.838159999999995</v>
      </c>
      <c r="HY13" s="298">
        <f t="shared" si="133"/>
        <v>0.85</v>
      </c>
    </row>
    <row r="14" spans="1:233" x14ac:dyDescent="0.2">
      <c r="A14" s="118">
        <v>4</v>
      </c>
      <c r="C14" s="275">
        <v>0.95</v>
      </c>
      <c r="D14" s="275">
        <v>0.38900000000000001</v>
      </c>
      <c r="E14" s="275">
        <v>0</v>
      </c>
      <c r="F14" s="275">
        <v>10254.772499999999</v>
      </c>
      <c r="G14" s="275">
        <v>9799.3592000000008</v>
      </c>
      <c r="H14" s="49">
        <f t="shared" si="100"/>
        <v>939.59749999999997</v>
      </c>
      <c r="I14" s="49">
        <f t="shared" si="100"/>
        <v>700.90797999999995</v>
      </c>
      <c r="J14" s="47">
        <f t="shared" si="100"/>
        <v>0</v>
      </c>
      <c r="K14" s="47">
        <f t="shared" si="134"/>
        <v>0</v>
      </c>
      <c r="L14" s="48">
        <f t="shared" si="135"/>
        <v>939.59749999999997</v>
      </c>
      <c r="M14" s="48">
        <f t="shared" si="136"/>
        <v>700.90797999999995</v>
      </c>
      <c r="N14" s="93">
        <f t="shared" si="137"/>
        <v>939.59749999999997</v>
      </c>
      <c r="O14" s="93">
        <f t="shared" si="138"/>
        <v>700.90797999999995</v>
      </c>
      <c r="P14" s="298">
        <f t="shared" si="101"/>
        <v>0.51135460030912239</v>
      </c>
      <c r="Q14" s="275">
        <v>1.1022000000000001</v>
      </c>
      <c r="R14" s="275">
        <v>0.45269999999999999</v>
      </c>
      <c r="S14" s="275">
        <v>0</v>
      </c>
      <c r="T14" s="275">
        <v>1070.635</v>
      </c>
      <c r="U14" s="275">
        <v>1043.8792000000001</v>
      </c>
      <c r="V14" s="49">
        <f t="shared" si="102"/>
        <v>675.63757800000008</v>
      </c>
      <c r="W14" s="49">
        <f t="shared" si="102"/>
        <v>525.43078200000002</v>
      </c>
      <c r="X14" s="47">
        <f t="shared" si="102"/>
        <v>0</v>
      </c>
      <c r="Y14" s="47">
        <f t="shared" si="139"/>
        <v>0</v>
      </c>
      <c r="Z14" s="48">
        <f t="shared" si="140"/>
        <v>675.63757800000008</v>
      </c>
      <c r="AA14" s="48">
        <f t="shared" si="141"/>
        <v>525.43078200000002</v>
      </c>
      <c r="AB14" s="93">
        <f t="shared" si="142"/>
        <v>675.63757800000008</v>
      </c>
      <c r="AC14" s="93">
        <f t="shared" si="143"/>
        <v>525.43078200000002</v>
      </c>
      <c r="AE14" s="275">
        <v>0.83530000000000004</v>
      </c>
      <c r="AF14" s="275">
        <v>0.17050000000000001</v>
      </c>
      <c r="AG14" s="275">
        <v>0</v>
      </c>
      <c r="AH14" s="275">
        <v>57.749200000000002</v>
      </c>
      <c r="AI14" s="275">
        <v>62.575800000000001</v>
      </c>
      <c r="AJ14" s="49">
        <f t="shared" si="103"/>
        <v>391.647111</v>
      </c>
      <c r="AK14" s="49">
        <f t="shared" si="103"/>
        <v>193.82099000000002</v>
      </c>
      <c r="AL14" s="47">
        <f t="shared" si="103"/>
        <v>0</v>
      </c>
      <c r="AM14" s="47">
        <f t="shared" si="144"/>
        <v>0</v>
      </c>
      <c r="AN14" s="48">
        <f t="shared" si="145"/>
        <v>391.647111</v>
      </c>
      <c r="AO14" s="48">
        <f t="shared" si="146"/>
        <v>193.82099000000002</v>
      </c>
      <c r="AP14" s="93">
        <f t="shared" si="147"/>
        <v>391.647111</v>
      </c>
      <c r="AQ14" s="93">
        <f t="shared" si="148"/>
        <v>193.82099000000002</v>
      </c>
      <c r="AS14" s="275">
        <v>0.58420000000000005</v>
      </c>
      <c r="AT14" s="275">
        <v>0.28039999999999998</v>
      </c>
      <c r="AU14" s="275">
        <v>0</v>
      </c>
      <c r="AV14" s="275">
        <v>8548.6067000000003</v>
      </c>
      <c r="AW14" s="275">
        <v>8064.5392000000002</v>
      </c>
      <c r="AX14" s="49">
        <f t="shared" si="104"/>
        <v>203.56449000000001</v>
      </c>
      <c r="AY14" s="49">
        <f t="shared" si="104"/>
        <v>196.24354799999998</v>
      </c>
      <c r="AZ14" s="47">
        <f t="shared" si="104"/>
        <v>0</v>
      </c>
      <c r="BA14" s="47">
        <f t="shared" si="149"/>
        <v>0</v>
      </c>
      <c r="BB14" s="48">
        <f t="shared" si="150"/>
        <v>203.56449000000001</v>
      </c>
      <c r="BC14" s="48">
        <f t="shared" si="151"/>
        <v>196.24354799999998</v>
      </c>
      <c r="BD14" s="93">
        <f t="shared" si="152"/>
        <v>203.56449000000001</v>
      </c>
      <c r="BE14" s="93">
        <f t="shared" si="153"/>
        <v>196.24354799999998</v>
      </c>
      <c r="BG14" s="275">
        <v>0.69620000000000004</v>
      </c>
      <c r="BH14" s="275">
        <v>0.2979</v>
      </c>
      <c r="BI14" s="275">
        <v>0</v>
      </c>
      <c r="BJ14" s="275">
        <v>4319.6858000000002</v>
      </c>
      <c r="BK14" s="275">
        <v>4130.1808000000001</v>
      </c>
      <c r="BL14" s="49">
        <f t="shared" si="105"/>
        <v>235.46876400000002</v>
      </c>
      <c r="BM14" s="49">
        <f t="shared" si="105"/>
        <v>178.28123400000001</v>
      </c>
      <c r="BN14" s="47">
        <f t="shared" si="105"/>
        <v>0</v>
      </c>
      <c r="BO14" s="47">
        <f t="shared" si="154"/>
        <v>0</v>
      </c>
      <c r="BP14" s="48">
        <f t="shared" si="155"/>
        <v>235.46876400000002</v>
      </c>
      <c r="BQ14" s="48">
        <f t="shared" si="156"/>
        <v>178.28123400000001</v>
      </c>
      <c r="BR14" s="93">
        <f t="shared" si="157"/>
        <v>235.46876400000002</v>
      </c>
      <c r="BS14" s="93">
        <f t="shared" si="158"/>
        <v>178.28123400000001</v>
      </c>
      <c r="BU14" s="275">
        <v>0.70730000000000004</v>
      </c>
      <c r="BV14" s="275">
        <v>0.2964</v>
      </c>
      <c r="BW14" s="275">
        <v>0</v>
      </c>
      <c r="BX14" s="275">
        <v>2280.2608</v>
      </c>
      <c r="BY14" s="275">
        <v>2207.0425</v>
      </c>
      <c r="BZ14" s="49">
        <f t="shared" si="106"/>
        <v>166.31452200000001</v>
      </c>
      <c r="CA14" s="49">
        <f t="shared" si="106"/>
        <v>106.56469199999999</v>
      </c>
      <c r="CB14" s="47">
        <f t="shared" si="106"/>
        <v>0</v>
      </c>
      <c r="CC14" s="47">
        <f t="shared" si="159"/>
        <v>0</v>
      </c>
      <c r="CD14" s="48">
        <f t="shared" si="160"/>
        <v>166.31452200000001</v>
      </c>
      <c r="CE14" s="48">
        <f t="shared" si="161"/>
        <v>106.56469199999999</v>
      </c>
      <c r="CF14" s="93">
        <f t="shared" si="162"/>
        <v>166.31452200000001</v>
      </c>
      <c r="CG14" s="93">
        <f t="shared" si="163"/>
        <v>106.56469199999999</v>
      </c>
      <c r="CI14" s="275">
        <v>0.2762</v>
      </c>
      <c r="CJ14" s="275">
        <v>0.19070000000000001</v>
      </c>
      <c r="CK14" s="275">
        <v>0</v>
      </c>
      <c r="CL14" s="275">
        <v>14587.4825</v>
      </c>
      <c r="CM14" s="275">
        <v>13879.630800000001</v>
      </c>
      <c r="CN14" s="49">
        <f t="shared" si="107"/>
        <v>57.007680000000001</v>
      </c>
      <c r="CO14" s="49">
        <f t="shared" si="107"/>
        <v>51.073273999999998</v>
      </c>
      <c r="CP14" s="47">
        <f t="shared" si="107"/>
        <v>0</v>
      </c>
      <c r="CQ14" s="47">
        <f t="shared" si="164"/>
        <v>0</v>
      </c>
      <c r="CR14" s="48">
        <f t="shared" si="165"/>
        <v>57.007680000000001</v>
      </c>
      <c r="CS14" s="48">
        <f t="shared" si="166"/>
        <v>51.073273999999998</v>
      </c>
      <c r="CT14" s="93">
        <f t="shared" si="167"/>
        <v>57.007680000000001</v>
      </c>
      <c r="CU14" s="93">
        <f t="shared" si="168"/>
        <v>51.073273999999998</v>
      </c>
      <c r="CW14" s="275">
        <v>1.4E-3</v>
      </c>
      <c r="CX14" s="275">
        <v>0</v>
      </c>
      <c r="CY14" s="275">
        <v>0</v>
      </c>
      <c r="CZ14" s="275">
        <v>6729.2691999999997</v>
      </c>
      <c r="DA14" s="275">
        <v>6396.1391999999996</v>
      </c>
      <c r="DB14" s="49">
        <f t="shared" si="108"/>
        <v>0.290626</v>
      </c>
      <c r="DC14" s="49">
        <f t="shared" si="108"/>
        <v>0</v>
      </c>
      <c r="DD14" s="47">
        <f t="shared" si="108"/>
        <v>0</v>
      </c>
      <c r="DE14" s="47">
        <f t="shared" si="169"/>
        <v>0</v>
      </c>
      <c r="DF14" s="48">
        <f t="shared" si="170"/>
        <v>0.290626</v>
      </c>
      <c r="DG14" s="48">
        <f t="shared" si="171"/>
        <v>0</v>
      </c>
      <c r="DH14" s="93">
        <f t="shared" si="172"/>
        <v>0.290626</v>
      </c>
      <c r="DI14" s="93">
        <f t="shared" si="173"/>
        <v>0</v>
      </c>
      <c r="DK14" s="275">
        <v>2.2200000000000001E-2</v>
      </c>
      <c r="DL14" s="275">
        <v>1.03E-2</v>
      </c>
      <c r="DM14" s="275">
        <v>0</v>
      </c>
      <c r="DN14" s="275">
        <v>1601.64</v>
      </c>
      <c r="DO14" s="275">
        <v>1535.6358</v>
      </c>
      <c r="DP14" s="49">
        <f t="shared" si="109"/>
        <v>3.0245280000000005</v>
      </c>
      <c r="DQ14" s="49">
        <f t="shared" si="109"/>
        <v>2.0322930000000001</v>
      </c>
      <c r="DR14" s="47">
        <f t="shared" si="109"/>
        <v>0</v>
      </c>
      <c r="DS14" s="47">
        <f t="shared" si="174"/>
        <v>0</v>
      </c>
      <c r="DT14" s="48">
        <f t="shared" si="175"/>
        <v>3.0245280000000005</v>
      </c>
      <c r="DU14" s="48">
        <f t="shared" si="176"/>
        <v>2.0322930000000001</v>
      </c>
      <c r="DV14" s="93">
        <f t="shared" si="177"/>
        <v>3.0245280000000005</v>
      </c>
      <c r="DW14" s="93">
        <f t="shared" si="178"/>
        <v>2.0322930000000001</v>
      </c>
      <c r="EB14" s="52"/>
      <c r="EC14" s="52"/>
      <c r="ED14" s="52"/>
      <c r="EE14" s="55">
        <f t="shared" si="179"/>
        <v>40120.130900000004</v>
      </c>
      <c r="EF14" s="55">
        <f t="shared" si="179"/>
        <v>38139.668400000002</v>
      </c>
      <c r="EG14" s="55">
        <f t="shared" si="179"/>
        <v>1200.4021708</v>
      </c>
      <c r="EH14" s="55">
        <f t="shared" si="179"/>
        <v>948.22480199999984</v>
      </c>
      <c r="EI14" s="298">
        <f t="shared" si="110"/>
        <v>0.51265312790036754</v>
      </c>
      <c r="EJ14" s="52"/>
      <c r="EK14" s="55">
        <f t="shared" si="180"/>
        <v>1200.4021708</v>
      </c>
      <c r="EL14" s="55">
        <f t="shared" si="180"/>
        <v>948.22480199999984</v>
      </c>
      <c r="EM14" s="55">
        <f t="shared" si="111"/>
        <v>1200.4021708</v>
      </c>
      <c r="EN14" s="55">
        <f t="shared" si="111"/>
        <v>948.22480199999984</v>
      </c>
      <c r="EP14" s="52"/>
      <c r="EQ14" s="52"/>
      <c r="ER14" s="52"/>
      <c r="ES14" s="55">
        <f t="shared" si="112"/>
        <v>26707.072499999998</v>
      </c>
      <c r="ET14" s="55">
        <f t="shared" si="112"/>
        <v>25449.83</v>
      </c>
      <c r="EU14" s="55">
        <f t="shared" si="112"/>
        <v>968.31746020000014</v>
      </c>
      <c r="EV14" s="55">
        <f t="shared" si="112"/>
        <v>754.78529000000003</v>
      </c>
      <c r="EW14" s="298">
        <f t="shared" si="113"/>
        <v>0.51205250350133424</v>
      </c>
      <c r="EX14" s="52"/>
      <c r="EY14" s="55">
        <f t="shared" si="114"/>
        <v>968.31746020000014</v>
      </c>
      <c r="EZ14" s="55">
        <f t="shared" si="114"/>
        <v>754.78529000000003</v>
      </c>
      <c r="FA14" s="55">
        <f t="shared" si="114"/>
        <v>968.31746020000014</v>
      </c>
      <c r="FB14" s="55">
        <f t="shared" si="114"/>
        <v>754.78529000000003</v>
      </c>
      <c r="FD14" s="52"/>
      <c r="FE14" s="52"/>
      <c r="FF14" s="52"/>
      <c r="FG14" s="55">
        <f t="shared" si="115"/>
        <v>18527.1325</v>
      </c>
      <c r="FH14" s="55">
        <f t="shared" si="115"/>
        <v>17684.884900000001</v>
      </c>
      <c r="FI14" s="55">
        <f t="shared" si="115"/>
        <v>616.7840298000001</v>
      </c>
      <c r="FJ14" s="55">
        <f t="shared" si="115"/>
        <v>352.67833180000008</v>
      </c>
      <c r="FK14" s="298">
        <f t="shared" si="116"/>
        <v>0.51162939350625636</v>
      </c>
      <c r="FL14" s="52"/>
      <c r="FM14" s="55">
        <f t="shared" si="117"/>
        <v>616.7840298000001</v>
      </c>
      <c r="FN14" s="55">
        <f t="shared" si="117"/>
        <v>352.67833180000008</v>
      </c>
      <c r="FO14" s="55">
        <f t="shared" si="117"/>
        <v>616.7840298000001</v>
      </c>
      <c r="FP14" s="55">
        <f t="shared" si="117"/>
        <v>352.67833180000008</v>
      </c>
      <c r="FR14" s="52"/>
      <c r="FS14" s="52"/>
      <c r="FT14" s="52"/>
      <c r="FU14" s="55">
        <f t="shared" si="118"/>
        <v>21316.751700000001</v>
      </c>
      <c r="FV14" s="55">
        <f t="shared" si="118"/>
        <v>20275.77</v>
      </c>
      <c r="FW14" s="55">
        <f t="shared" si="118"/>
        <v>57.240180799999997</v>
      </c>
      <c r="FX14" s="55">
        <f t="shared" si="118"/>
        <v>51.073273999999998</v>
      </c>
      <c r="FY14" s="298">
        <f t="shared" si="119"/>
        <v>0.51251404888970709</v>
      </c>
      <c r="FZ14" s="52"/>
      <c r="GA14" s="55">
        <f t="shared" si="120"/>
        <v>57.240180799999997</v>
      </c>
      <c r="GB14" s="55">
        <f t="shared" si="120"/>
        <v>51.073273999999998</v>
      </c>
      <c r="GC14" s="55">
        <f t="shared" si="120"/>
        <v>57.240180799999997</v>
      </c>
      <c r="GD14" s="55">
        <f t="shared" si="120"/>
        <v>51.073273999999998</v>
      </c>
      <c r="GF14" s="52"/>
      <c r="GG14" s="52"/>
      <c r="GH14" s="52"/>
      <c r="GI14" s="55">
        <f t="shared" si="191"/>
        <v>10828.8675</v>
      </c>
      <c r="GJ14" s="55">
        <f t="shared" si="191"/>
        <v>10271.581700000001</v>
      </c>
      <c r="GK14" s="56">
        <f t="shared" si="123"/>
        <v>27.937475999999997</v>
      </c>
      <c r="GL14" s="56">
        <f t="shared" si="123"/>
        <v>67.259141999999983</v>
      </c>
      <c r="GM14" s="298">
        <f t="shared" si="124"/>
        <v>0.51320554351041958</v>
      </c>
      <c r="GN14" s="52"/>
      <c r="GO14" s="56">
        <f t="shared" si="125"/>
        <v>27.937475999999997</v>
      </c>
      <c r="GP14" s="56">
        <f t="shared" si="125"/>
        <v>67.259141999999983</v>
      </c>
      <c r="GQ14" s="56">
        <f t="shared" si="125"/>
        <v>27.937475999999997</v>
      </c>
      <c r="GR14" s="56">
        <f t="shared" si="125"/>
        <v>67.259141999999983</v>
      </c>
      <c r="GW14" s="275">
        <v>0.93830000000000002</v>
      </c>
      <c r="GX14" s="275">
        <v>0.24990000000000001</v>
      </c>
      <c r="GY14" s="275">
        <v>0</v>
      </c>
      <c r="GZ14" s="275">
        <v>185.25829999999999</v>
      </c>
      <c r="HA14" s="275">
        <v>152.32830000000001</v>
      </c>
      <c r="HB14" s="49">
        <f t="shared" si="126"/>
        <v>616.26605699999993</v>
      </c>
      <c r="HC14" s="49">
        <f t="shared" si="127"/>
        <v>339.31671899999998</v>
      </c>
      <c r="HD14" s="47">
        <f t="shared" si="128"/>
        <v>0</v>
      </c>
      <c r="HE14" s="47">
        <f t="shared" si="181"/>
        <v>0</v>
      </c>
      <c r="HF14" s="48">
        <f t="shared" si="182"/>
        <v>616.26605699999993</v>
      </c>
      <c r="HG14" s="48">
        <f t="shared" si="183"/>
        <v>339.31671899999998</v>
      </c>
      <c r="HH14" s="93">
        <f t="shared" si="184"/>
        <v>616.26605699999993</v>
      </c>
      <c r="HI14" s="93">
        <f t="shared" si="185"/>
        <v>339.31671899999998</v>
      </c>
      <c r="HJ14" s="298">
        <f t="shared" si="129"/>
        <v>0.54877267047921929</v>
      </c>
      <c r="HL14" s="275">
        <v>0</v>
      </c>
      <c r="HM14" s="275">
        <v>8.5400000000000004E-2</v>
      </c>
      <c r="HN14" s="275">
        <v>0</v>
      </c>
      <c r="HO14" s="275">
        <v>2</v>
      </c>
      <c r="HP14" s="275">
        <v>1</v>
      </c>
      <c r="HQ14" s="49">
        <f t="shared" si="130"/>
        <v>0</v>
      </c>
      <c r="HR14" s="49">
        <f t="shared" si="131"/>
        <v>66.230261999999996</v>
      </c>
      <c r="HS14" s="47">
        <f t="shared" si="132"/>
        <v>0</v>
      </c>
      <c r="HT14" s="47">
        <f t="shared" si="186"/>
        <v>0</v>
      </c>
      <c r="HU14" s="48">
        <f t="shared" si="187"/>
        <v>0</v>
      </c>
      <c r="HV14" s="48">
        <f t="shared" si="188"/>
        <v>66.230261999999996</v>
      </c>
      <c r="HW14" s="93">
        <f t="shared" si="189"/>
        <v>0</v>
      </c>
      <c r="HX14" s="93">
        <f t="shared" si="190"/>
        <v>66.230261999999996</v>
      </c>
      <c r="HY14" s="298">
        <f t="shared" si="133"/>
        <v>0.66666666666666663</v>
      </c>
    </row>
    <row r="15" spans="1:233" x14ac:dyDescent="0.2">
      <c r="A15" s="118">
        <v>5</v>
      </c>
      <c r="C15" s="275">
        <v>0.88919999999999999</v>
      </c>
      <c r="D15" s="275">
        <v>0.35039999999999999</v>
      </c>
      <c r="E15" s="275">
        <v>0</v>
      </c>
      <c r="F15" s="275">
        <v>11416.9442</v>
      </c>
      <c r="G15" s="275">
        <v>10990.3392</v>
      </c>
      <c r="H15" s="49">
        <f t="shared" si="100"/>
        <v>879.46325999999999</v>
      </c>
      <c r="I15" s="49">
        <f t="shared" si="100"/>
        <v>631.35772799999995</v>
      </c>
      <c r="J15" s="47">
        <f t="shared" si="100"/>
        <v>0</v>
      </c>
      <c r="K15" s="47">
        <f t="shared" si="134"/>
        <v>0</v>
      </c>
      <c r="L15" s="48">
        <f t="shared" si="135"/>
        <v>879.46325999999999</v>
      </c>
      <c r="M15" s="48">
        <f t="shared" si="136"/>
        <v>631.35772799999995</v>
      </c>
      <c r="N15" s="93">
        <f t="shared" si="137"/>
        <v>879.46325999999999</v>
      </c>
      <c r="O15" s="93">
        <f t="shared" si="138"/>
        <v>631.35772799999995</v>
      </c>
      <c r="P15" s="298">
        <f t="shared" si="101"/>
        <v>0.50951933780602787</v>
      </c>
      <c r="Q15" s="275">
        <v>1.0512999999999999</v>
      </c>
      <c r="R15" s="275">
        <v>0.40720000000000001</v>
      </c>
      <c r="S15" s="275">
        <v>0</v>
      </c>
      <c r="T15" s="275">
        <v>1258.895</v>
      </c>
      <c r="U15" s="275">
        <v>1262.7357999999999</v>
      </c>
      <c r="V15" s="49">
        <f t="shared" si="102"/>
        <v>644.43638699999997</v>
      </c>
      <c r="W15" s="49">
        <f t="shared" si="102"/>
        <v>472.62075200000004</v>
      </c>
      <c r="X15" s="47">
        <f t="shared" si="102"/>
        <v>0</v>
      </c>
      <c r="Y15" s="47">
        <f t="shared" si="139"/>
        <v>0</v>
      </c>
      <c r="Z15" s="48">
        <f t="shared" si="140"/>
        <v>644.43638699999997</v>
      </c>
      <c r="AA15" s="48">
        <f t="shared" si="141"/>
        <v>472.62075200000004</v>
      </c>
      <c r="AB15" s="93">
        <f t="shared" si="142"/>
        <v>644.43638699999997</v>
      </c>
      <c r="AC15" s="93">
        <f t="shared" si="143"/>
        <v>472.62075200000004</v>
      </c>
      <c r="AE15" s="275">
        <v>0.82979999999999998</v>
      </c>
      <c r="AF15" s="275">
        <v>0.15210000000000001</v>
      </c>
      <c r="AG15" s="275">
        <v>0</v>
      </c>
      <c r="AH15" s="275">
        <v>84.072500000000005</v>
      </c>
      <c r="AI15" s="275">
        <v>68.583299999999994</v>
      </c>
      <c r="AJ15" s="49">
        <f t="shared" si="103"/>
        <v>389.06832600000001</v>
      </c>
      <c r="AK15" s="49">
        <f t="shared" si="103"/>
        <v>172.90423800000002</v>
      </c>
      <c r="AL15" s="47">
        <f t="shared" si="103"/>
        <v>0</v>
      </c>
      <c r="AM15" s="47">
        <f t="shared" si="144"/>
        <v>0</v>
      </c>
      <c r="AN15" s="48">
        <f t="shared" si="145"/>
        <v>389.06832600000001</v>
      </c>
      <c r="AO15" s="48">
        <f t="shared" si="146"/>
        <v>172.90423800000002</v>
      </c>
      <c r="AP15" s="93">
        <f t="shared" si="147"/>
        <v>389.06832600000001</v>
      </c>
      <c r="AQ15" s="93">
        <f t="shared" si="148"/>
        <v>172.90423800000002</v>
      </c>
      <c r="AS15" s="275">
        <v>0.60429999999999995</v>
      </c>
      <c r="AT15" s="275">
        <v>0.22570000000000001</v>
      </c>
      <c r="AU15" s="275">
        <v>0</v>
      </c>
      <c r="AV15" s="275">
        <v>9368.8142000000007</v>
      </c>
      <c r="AW15" s="275">
        <v>8946.6275000000005</v>
      </c>
      <c r="AX15" s="49">
        <f t="shared" si="104"/>
        <v>210.56833499999996</v>
      </c>
      <c r="AY15" s="49">
        <f t="shared" si="104"/>
        <v>157.96065900000002</v>
      </c>
      <c r="AZ15" s="47">
        <f t="shared" si="104"/>
        <v>0</v>
      </c>
      <c r="BA15" s="47">
        <f t="shared" si="149"/>
        <v>0</v>
      </c>
      <c r="BB15" s="48">
        <f t="shared" si="150"/>
        <v>210.56833499999996</v>
      </c>
      <c r="BC15" s="48">
        <f t="shared" si="151"/>
        <v>157.96065900000002</v>
      </c>
      <c r="BD15" s="93">
        <f t="shared" si="152"/>
        <v>210.56833499999996</v>
      </c>
      <c r="BE15" s="93">
        <f t="shared" si="153"/>
        <v>157.96065900000002</v>
      </c>
      <c r="BG15" s="275">
        <v>0.56659999999999999</v>
      </c>
      <c r="BH15" s="275">
        <v>0.248</v>
      </c>
      <c r="BI15" s="275">
        <v>0</v>
      </c>
      <c r="BJ15" s="275">
        <v>4672.0991999999997</v>
      </c>
      <c r="BK15" s="275">
        <v>4530.1432999999997</v>
      </c>
      <c r="BL15" s="49">
        <f t="shared" si="105"/>
        <v>191.63545200000002</v>
      </c>
      <c r="BM15" s="49">
        <f t="shared" si="105"/>
        <v>148.41808</v>
      </c>
      <c r="BN15" s="47">
        <f t="shared" si="105"/>
        <v>0</v>
      </c>
      <c r="BO15" s="47">
        <f t="shared" si="154"/>
        <v>0</v>
      </c>
      <c r="BP15" s="48">
        <f t="shared" si="155"/>
        <v>191.63545200000002</v>
      </c>
      <c r="BQ15" s="48">
        <f t="shared" si="156"/>
        <v>148.41808</v>
      </c>
      <c r="BR15" s="93">
        <f t="shared" si="157"/>
        <v>191.63545200000002</v>
      </c>
      <c r="BS15" s="93">
        <f t="shared" si="158"/>
        <v>148.41808</v>
      </c>
      <c r="BU15" s="275">
        <v>0.63449999999999995</v>
      </c>
      <c r="BV15" s="275">
        <v>0.28089999999999998</v>
      </c>
      <c r="BW15" s="275">
        <v>0</v>
      </c>
      <c r="BX15" s="275">
        <v>2620.8200000000002</v>
      </c>
      <c r="BY15" s="275">
        <v>2583.9250000000002</v>
      </c>
      <c r="BZ15" s="49">
        <f t="shared" si="106"/>
        <v>149.19632999999999</v>
      </c>
      <c r="CA15" s="49">
        <f t="shared" si="106"/>
        <v>100.99197699999999</v>
      </c>
      <c r="CB15" s="47">
        <f t="shared" si="106"/>
        <v>0</v>
      </c>
      <c r="CC15" s="47">
        <f t="shared" si="159"/>
        <v>0</v>
      </c>
      <c r="CD15" s="48">
        <f t="shared" si="160"/>
        <v>149.19632999999999</v>
      </c>
      <c r="CE15" s="48">
        <f t="shared" si="161"/>
        <v>100.99197699999999</v>
      </c>
      <c r="CF15" s="93">
        <f t="shared" si="162"/>
        <v>149.19632999999999</v>
      </c>
      <c r="CG15" s="93">
        <f t="shared" si="163"/>
        <v>100.99197699999999</v>
      </c>
      <c r="CI15" s="275">
        <v>0.39129999999999998</v>
      </c>
      <c r="CJ15" s="275">
        <v>0.28160000000000002</v>
      </c>
      <c r="CK15" s="275">
        <v>0</v>
      </c>
      <c r="CL15" s="275">
        <v>16158.6075</v>
      </c>
      <c r="CM15" s="275">
        <v>15541.9125</v>
      </c>
      <c r="CN15" s="49">
        <f t="shared" si="107"/>
        <v>80.764319999999998</v>
      </c>
      <c r="CO15" s="49">
        <f t="shared" si="107"/>
        <v>75.418112000000008</v>
      </c>
      <c r="CP15" s="47">
        <f t="shared" si="107"/>
        <v>0</v>
      </c>
      <c r="CQ15" s="47">
        <f t="shared" si="164"/>
        <v>0</v>
      </c>
      <c r="CR15" s="48">
        <f t="shared" si="165"/>
        <v>80.764319999999998</v>
      </c>
      <c r="CS15" s="48">
        <f t="shared" si="166"/>
        <v>75.418112000000008</v>
      </c>
      <c r="CT15" s="93">
        <f t="shared" si="167"/>
        <v>80.764319999999998</v>
      </c>
      <c r="CU15" s="93">
        <f t="shared" si="168"/>
        <v>75.418112000000008</v>
      </c>
      <c r="CW15" s="275">
        <v>3.3599999999999998E-2</v>
      </c>
      <c r="CX15" s="275">
        <v>2.3800000000000002E-2</v>
      </c>
      <c r="CY15" s="275">
        <v>0</v>
      </c>
      <c r="CZ15" s="275">
        <v>7424.7758000000003</v>
      </c>
      <c r="DA15" s="275">
        <v>7139.4382999999998</v>
      </c>
      <c r="DB15" s="49">
        <f t="shared" si="108"/>
        <v>6.9750239999999994</v>
      </c>
      <c r="DC15" s="49">
        <f t="shared" si="108"/>
        <v>6.6999380000000004</v>
      </c>
      <c r="DD15" s="47">
        <f t="shared" si="108"/>
        <v>0</v>
      </c>
      <c r="DE15" s="47">
        <f t="shared" si="169"/>
        <v>0</v>
      </c>
      <c r="DF15" s="48">
        <f t="shared" si="170"/>
        <v>6.9750239999999994</v>
      </c>
      <c r="DG15" s="48">
        <f t="shared" si="171"/>
        <v>6.6999380000000004</v>
      </c>
      <c r="DH15" s="93">
        <f t="shared" si="172"/>
        <v>6.9750239999999994</v>
      </c>
      <c r="DI15" s="93">
        <f t="shared" si="173"/>
        <v>6.6999380000000004</v>
      </c>
      <c r="DK15" s="275">
        <v>4.3499999999999997E-2</v>
      </c>
      <c r="DL15" s="275">
        <v>4.19E-2</v>
      </c>
      <c r="DM15" s="275">
        <v>0</v>
      </c>
      <c r="DN15" s="275">
        <v>1772.91</v>
      </c>
      <c r="DO15" s="275">
        <v>1750.88</v>
      </c>
      <c r="DP15" s="49">
        <f t="shared" si="109"/>
        <v>5.9264400000000004</v>
      </c>
      <c r="DQ15" s="49">
        <f t="shared" si="109"/>
        <v>8.2672889999999999</v>
      </c>
      <c r="DR15" s="47">
        <f t="shared" si="109"/>
        <v>0</v>
      </c>
      <c r="DS15" s="47">
        <f t="shared" si="174"/>
        <v>0</v>
      </c>
      <c r="DT15" s="48">
        <f t="shared" si="175"/>
        <v>5.9264400000000004</v>
      </c>
      <c r="DU15" s="48">
        <f t="shared" si="176"/>
        <v>8.2672889999999999</v>
      </c>
      <c r="DV15" s="93">
        <f t="shared" si="177"/>
        <v>5.9264400000000004</v>
      </c>
      <c r="DW15" s="93">
        <f t="shared" si="178"/>
        <v>8.2672889999999999</v>
      </c>
      <c r="EB15" s="52"/>
      <c r="EC15" s="52"/>
      <c r="ED15" s="52"/>
      <c r="EE15" s="55">
        <f t="shared" si="179"/>
        <v>44369.1417</v>
      </c>
      <c r="EF15" s="55">
        <f t="shared" si="179"/>
        <v>42618.317500000005</v>
      </c>
      <c r="EG15" s="55">
        <f t="shared" si="179"/>
        <v>1176.3759341999998</v>
      </c>
      <c r="EH15" s="55">
        <f t="shared" si="179"/>
        <v>870.0964494000001</v>
      </c>
      <c r="EI15" s="298">
        <f t="shared" si="110"/>
        <v>0.51006365869345904</v>
      </c>
      <c r="EJ15" s="52"/>
      <c r="EK15" s="55">
        <f t="shared" si="180"/>
        <v>1176.3759341999998</v>
      </c>
      <c r="EL15" s="55">
        <f t="shared" si="180"/>
        <v>870.0964494000001</v>
      </c>
      <c r="EM15" s="55">
        <f t="shared" si="111"/>
        <v>1176.3759341999998</v>
      </c>
      <c r="EN15" s="55">
        <f t="shared" si="111"/>
        <v>870.0964494000001</v>
      </c>
      <c r="EP15" s="52"/>
      <c r="EQ15" s="52"/>
      <c r="ER15" s="52"/>
      <c r="ES15" s="55">
        <f t="shared" si="112"/>
        <v>29514.377499999999</v>
      </c>
      <c r="ET15" s="55">
        <f t="shared" si="112"/>
        <v>28474.229899999998</v>
      </c>
      <c r="EU15" s="55">
        <f t="shared" si="112"/>
        <v>921.71867579999991</v>
      </c>
      <c r="EV15" s="55">
        <f t="shared" si="112"/>
        <v>701.14690059999998</v>
      </c>
      <c r="EW15" s="298">
        <f t="shared" si="113"/>
        <v>0.50896855129512908</v>
      </c>
      <c r="EX15" s="52"/>
      <c r="EY15" s="55">
        <f t="shared" si="114"/>
        <v>921.71867579999991</v>
      </c>
      <c r="EZ15" s="55">
        <f t="shared" si="114"/>
        <v>701.14690059999998</v>
      </c>
      <c r="FA15" s="55">
        <f t="shared" si="114"/>
        <v>921.71867579999991</v>
      </c>
      <c r="FB15" s="55">
        <f t="shared" si="114"/>
        <v>701.14690059999998</v>
      </c>
      <c r="FD15" s="52"/>
      <c r="FE15" s="52"/>
      <c r="FF15" s="52"/>
      <c r="FG15" s="55">
        <f t="shared" si="115"/>
        <v>20636.41</v>
      </c>
      <c r="FH15" s="55">
        <f t="shared" si="115"/>
        <v>19945.300800000001</v>
      </c>
      <c r="FI15" s="55">
        <f t="shared" si="115"/>
        <v>622.5848400000001</v>
      </c>
      <c r="FJ15" s="55">
        <f t="shared" si="115"/>
        <v>354.27470039999997</v>
      </c>
      <c r="FK15" s="298">
        <f t="shared" si="116"/>
        <v>0.5085150328359247</v>
      </c>
      <c r="FL15" s="52"/>
      <c r="FM15" s="55">
        <f t="shared" si="117"/>
        <v>622.5848400000001</v>
      </c>
      <c r="FN15" s="55">
        <f t="shared" si="117"/>
        <v>354.27470039999997</v>
      </c>
      <c r="FO15" s="55">
        <f t="shared" si="117"/>
        <v>622.5848400000001</v>
      </c>
      <c r="FP15" s="55">
        <f t="shared" si="117"/>
        <v>354.27470039999997</v>
      </c>
      <c r="FR15" s="52"/>
      <c r="FS15" s="52"/>
      <c r="FT15" s="52"/>
      <c r="FU15" s="55">
        <f t="shared" si="118"/>
        <v>23583.383300000001</v>
      </c>
      <c r="FV15" s="55">
        <f t="shared" si="118"/>
        <v>22681.3508</v>
      </c>
      <c r="FW15" s="55">
        <f t="shared" si="118"/>
        <v>86.344339199999993</v>
      </c>
      <c r="FX15" s="55">
        <f t="shared" si="118"/>
        <v>80.77806240000001</v>
      </c>
      <c r="FY15" s="298">
        <f t="shared" si="119"/>
        <v>0.50974859704208264</v>
      </c>
      <c r="FZ15" s="52"/>
      <c r="GA15" s="55">
        <f t="shared" si="120"/>
        <v>86.344339199999993</v>
      </c>
      <c r="GB15" s="55">
        <f t="shared" si="120"/>
        <v>80.77806240000001</v>
      </c>
      <c r="GC15" s="55">
        <f t="shared" si="120"/>
        <v>86.344339199999993</v>
      </c>
      <c r="GD15" s="55">
        <f t="shared" si="120"/>
        <v>80.77806240000001</v>
      </c>
      <c r="GF15" s="52"/>
      <c r="GG15" s="52"/>
      <c r="GH15" s="52"/>
      <c r="GI15" s="55">
        <f t="shared" si="191"/>
        <v>11989.6342</v>
      </c>
      <c r="GJ15" s="55">
        <f t="shared" si="191"/>
        <v>11530.552500000002</v>
      </c>
      <c r="GK15" s="56">
        <f t="shared" si="123"/>
        <v>46.02900374999998</v>
      </c>
      <c r="GL15" s="56">
        <f t="shared" si="123"/>
        <v>42.726511500000022</v>
      </c>
      <c r="GM15" s="298">
        <f t="shared" si="124"/>
        <v>0.50975931241226069</v>
      </c>
      <c r="GN15" s="52"/>
      <c r="GO15" s="56">
        <f t="shared" si="125"/>
        <v>46.02900374999998</v>
      </c>
      <c r="GP15" s="56">
        <f t="shared" si="125"/>
        <v>42.726511500000022</v>
      </c>
      <c r="GQ15" s="56">
        <f t="shared" si="125"/>
        <v>46.02900374999998</v>
      </c>
      <c r="GR15" s="56">
        <f t="shared" si="125"/>
        <v>42.726511500000022</v>
      </c>
      <c r="GW15" s="275">
        <v>0.91110000000000002</v>
      </c>
      <c r="GX15" s="275">
        <v>0.2334</v>
      </c>
      <c r="GY15" s="275">
        <v>0</v>
      </c>
      <c r="GZ15" s="275">
        <v>211.41669999999999</v>
      </c>
      <c r="HA15" s="275">
        <v>181.83330000000001</v>
      </c>
      <c r="HB15" s="49">
        <f t="shared" si="126"/>
        <v>598.40136899999993</v>
      </c>
      <c r="HC15" s="49">
        <f t="shared" si="127"/>
        <v>316.91285399999998</v>
      </c>
      <c r="HD15" s="47">
        <f t="shared" si="128"/>
        <v>0</v>
      </c>
      <c r="HE15" s="47">
        <f t="shared" si="181"/>
        <v>0</v>
      </c>
      <c r="HF15" s="48">
        <f t="shared" si="182"/>
        <v>598.40136899999993</v>
      </c>
      <c r="HG15" s="48">
        <f t="shared" si="183"/>
        <v>316.91285399999998</v>
      </c>
      <c r="HH15" s="93">
        <f t="shared" si="184"/>
        <v>598.40136899999993</v>
      </c>
      <c r="HI15" s="93">
        <f t="shared" si="185"/>
        <v>316.91285399999998</v>
      </c>
      <c r="HJ15" s="298">
        <f t="shared" si="129"/>
        <v>0.53761398601398602</v>
      </c>
      <c r="HL15" s="275">
        <v>0</v>
      </c>
      <c r="HM15" s="275">
        <v>9.8799999999999999E-2</v>
      </c>
      <c r="HN15" s="275">
        <v>0</v>
      </c>
      <c r="HO15" s="275">
        <v>0</v>
      </c>
      <c r="HP15" s="275">
        <v>1</v>
      </c>
      <c r="HQ15" s="49">
        <f t="shared" si="130"/>
        <v>0</v>
      </c>
      <c r="HR15" s="49">
        <f t="shared" si="131"/>
        <v>76.62236399999999</v>
      </c>
      <c r="HS15" s="47">
        <f t="shared" si="132"/>
        <v>0</v>
      </c>
      <c r="HT15" s="47">
        <f t="shared" si="186"/>
        <v>0</v>
      </c>
      <c r="HU15" s="48">
        <f t="shared" si="187"/>
        <v>0</v>
      </c>
      <c r="HV15" s="48">
        <f t="shared" si="188"/>
        <v>76.62236399999999</v>
      </c>
      <c r="HW15" s="93">
        <f t="shared" si="189"/>
        <v>0</v>
      </c>
      <c r="HX15" s="93">
        <f t="shared" si="190"/>
        <v>76.62236399999999</v>
      </c>
      <c r="HY15" s="298">
        <f t="shared" si="133"/>
        <v>0.15</v>
      </c>
    </row>
    <row r="16" spans="1:233" x14ac:dyDescent="0.2">
      <c r="A16" s="118">
        <v>6</v>
      </c>
      <c r="C16" s="275">
        <v>0.83919999999999995</v>
      </c>
      <c r="D16" s="275">
        <v>0.3216</v>
      </c>
      <c r="E16" s="275">
        <v>0</v>
      </c>
      <c r="F16" s="275">
        <v>11945.261699999999</v>
      </c>
      <c r="G16" s="275">
        <v>11451.4575</v>
      </c>
      <c r="H16" s="49">
        <f t="shared" si="100"/>
        <v>830.01075999999989</v>
      </c>
      <c r="I16" s="49">
        <f t="shared" si="100"/>
        <v>579.46531199999993</v>
      </c>
      <c r="J16" s="47">
        <f t="shared" si="100"/>
        <v>0</v>
      </c>
      <c r="K16" s="47">
        <f t="shared" si="134"/>
        <v>0</v>
      </c>
      <c r="L16" s="48">
        <f t="shared" si="135"/>
        <v>830.01075999999989</v>
      </c>
      <c r="M16" s="48">
        <f t="shared" si="136"/>
        <v>579.46531199999993</v>
      </c>
      <c r="N16" s="93">
        <f t="shared" si="137"/>
        <v>830.01075999999989</v>
      </c>
      <c r="O16" s="93">
        <f t="shared" si="138"/>
        <v>579.46531199999993</v>
      </c>
      <c r="P16" s="298">
        <f t="shared" si="101"/>
        <v>0.5105528513587495</v>
      </c>
      <c r="Q16" s="275">
        <v>1.0123</v>
      </c>
      <c r="R16" s="275">
        <v>0.37459999999999999</v>
      </c>
      <c r="S16" s="275">
        <v>0</v>
      </c>
      <c r="T16" s="275">
        <v>1460.3858</v>
      </c>
      <c r="U16" s="275">
        <v>1408.5208</v>
      </c>
      <c r="V16" s="49">
        <f t="shared" si="102"/>
        <v>620.52977699999997</v>
      </c>
      <c r="W16" s="49">
        <f t="shared" si="102"/>
        <v>434.78323600000004</v>
      </c>
      <c r="X16" s="47">
        <f t="shared" si="102"/>
        <v>0</v>
      </c>
      <c r="Y16" s="47">
        <f t="shared" si="139"/>
        <v>0</v>
      </c>
      <c r="Z16" s="48">
        <f t="shared" si="140"/>
        <v>620.52977699999997</v>
      </c>
      <c r="AA16" s="48">
        <f t="shared" si="141"/>
        <v>434.78323600000004</v>
      </c>
      <c r="AB16" s="93">
        <f t="shared" si="142"/>
        <v>620.52977699999997</v>
      </c>
      <c r="AC16" s="93">
        <f t="shared" si="143"/>
        <v>434.78323600000004</v>
      </c>
      <c r="AE16" s="275">
        <v>0.82669999999999999</v>
      </c>
      <c r="AF16" s="275">
        <v>0.13869999999999999</v>
      </c>
      <c r="AG16" s="275">
        <v>0</v>
      </c>
      <c r="AH16" s="275">
        <v>84.110799999999998</v>
      </c>
      <c r="AI16" s="275">
        <v>81.44</v>
      </c>
      <c r="AJ16" s="49">
        <f t="shared" si="103"/>
        <v>387.61482899999999</v>
      </c>
      <c r="AK16" s="49">
        <f t="shared" si="103"/>
        <v>157.67138599999998</v>
      </c>
      <c r="AL16" s="47">
        <f t="shared" si="103"/>
        <v>0</v>
      </c>
      <c r="AM16" s="47">
        <f t="shared" si="144"/>
        <v>0</v>
      </c>
      <c r="AN16" s="48">
        <f t="shared" si="145"/>
        <v>387.61482899999999</v>
      </c>
      <c r="AO16" s="48">
        <f t="shared" si="146"/>
        <v>157.67138599999998</v>
      </c>
      <c r="AP16" s="93">
        <f t="shared" si="147"/>
        <v>387.61482899999999</v>
      </c>
      <c r="AQ16" s="93">
        <f t="shared" si="148"/>
        <v>157.67138599999998</v>
      </c>
      <c r="AS16" s="275">
        <v>0.56579999999999997</v>
      </c>
      <c r="AT16" s="275">
        <v>0.18540000000000001</v>
      </c>
      <c r="AU16" s="275">
        <v>0</v>
      </c>
      <c r="AV16" s="275">
        <v>9979.0707999999995</v>
      </c>
      <c r="AW16" s="275">
        <v>9503.8158000000003</v>
      </c>
      <c r="AX16" s="49">
        <f t="shared" si="104"/>
        <v>197.15300999999999</v>
      </c>
      <c r="AY16" s="49">
        <f t="shared" si="104"/>
        <v>129.755898</v>
      </c>
      <c r="AZ16" s="47">
        <f t="shared" si="104"/>
        <v>0</v>
      </c>
      <c r="BA16" s="47">
        <f t="shared" si="149"/>
        <v>0</v>
      </c>
      <c r="BB16" s="48">
        <f t="shared" si="150"/>
        <v>197.15300999999999</v>
      </c>
      <c r="BC16" s="48">
        <f t="shared" si="151"/>
        <v>129.755898</v>
      </c>
      <c r="BD16" s="93">
        <f t="shared" si="152"/>
        <v>197.15300999999999</v>
      </c>
      <c r="BE16" s="93">
        <f t="shared" si="153"/>
        <v>129.755898</v>
      </c>
      <c r="BG16" s="275">
        <v>0.48909999999999998</v>
      </c>
      <c r="BH16" s="275">
        <v>0.22439999999999999</v>
      </c>
      <c r="BI16" s="275">
        <v>0</v>
      </c>
      <c r="BJ16" s="275">
        <v>4672.0941999999995</v>
      </c>
      <c r="BK16" s="275">
        <v>4601.4525000000003</v>
      </c>
      <c r="BL16" s="49">
        <f t="shared" si="105"/>
        <v>165.42340200000001</v>
      </c>
      <c r="BM16" s="49">
        <f t="shared" si="105"/>
        <v>134.29442399999999</v>
      </c>
      <c r="BN16" s="47">
        <f t="shared" si="105"/>
        <v>0</v>
      </c>
      <c r="BO16" s="47">
        <f t="shared" si="154"/>
        <v>0</v>
      </c>
      <c r="BP16" s="48">
        <f t="shared" si="155"/>
        <v>165.42340200000001</v>
      </c>
      <c r="BQ16" s="48">
        <f t="shared" si="156"/>
        <v>134.29442399999999</v>
      </c>
      <c r="BR16" s="93">
        <f t="shared" si="157"/>
        <v>165.42340200000001</v>
      </c>
      <c r="BS16" s="93">
        <f t="shared" si="158"/>
        <v>134.29442399999999</v>
      </c>
      <c r="BU16" s="275">
        <v>0.59060000000000001</v>
      </c>
      <c r="BV16" s="275">
        <v>0.26119999999999999</v>
      </c>
      <c r="BW16" s="275">
        <v>0</v>
      </c>
      <c r="BX16" s="275">
        <v>2888.0558000000001</v>
      </c>
      <c r="BY16" s="275">
        <v>2715.4983000000002</v>
      </c>
      <c r="BZ16" s="49">
        <f t="shared" si="106"/>
        <v>138.873684</v>
      </c>
      <c r="CA16" s="49">
        <f t="shared" si="106"/>
        <v>93.909235999999993</v>
      </c>
      <c r="CB16" s="47">
        <f t="shared" si="106"/>
        <v>0</v>
      </c>
      <c r="CC16" s="47">
        <f t="shared" si="159"/>
        <v>0</v>
      </c>
      <c r="CD16" s="48">
        <f t="shared" si="160"/>
        <v>138.873684</v>
      </c>
      <c r="CE16" s="48">
        <f t="shared" si="161"/>
        <v>93.909235999999993</v>
      </c>
      <c r="CF16" s="93">
        <f t="shared" si="162"/>
        <v>138.873684</v>
      </c>
      <c r="CG16" s="93">
        <f t="shared" si="163"/>
        <v>93.909235999999993</v>
      </c>
      <c r="CI16" s="275">
        <v>0.50490000000000002</v>
      </c>
      <c r="CJ16" s="275">
        <v>0.37459999999999999</v>
      </c>
      <c r="CK16" s="275">
        <v>0</v>
      </c>
      <c r="CL16" s="275">
        <v>17161.422500000001</v>
      </c>
      <c r="CM16" s="275">
        <v>16469.305</v>
      </c>
      <c r="CN16" s="49">
        <f t="shared" si="107"/>
        <v>104.21136</v>
      </c>
      <c r="CO16" s="49">
        <f t="shared" si="107"/>
        <v>100.32537199999999</v>
      </c>
      <c r="CP16" s="47">
        <f t="shared" si="107"/>
        <v>0</v>
      </c>
      <c r="CQ16" s="47">
        <f t="shared" si="164"/>
        <v>0</v>
      </c>
      <c r="CR16" s="48">
        <f t="shared" si="165"/>
        <v>104.21136</v>
      </c>
      <c r="CS16" s="48">
        <f t="shared" si="166"/>
        <v>100.32537199999999</v>
      </c>
      <c r="CT16" s="93">
        <f t="shared" si="167"/>
        <v>104.21136</v>
      </c>
      <c r="CU16" s="93">
        <f t="shared" si="168"/>
        <v>100.32537199999999</v>
      </c>
      <c r="CW16" s="275">
        <v>0.11990000000000001</v>
      </c>
      <c r="CX16" s="275">
        <v>0.11210000000000001</v>
      </c>
      <c r="CY16" s="275">
        <v>0</v>
      </c>
      <c r="CZ16" s="275">
        <v>7710.2992000000004</v>
      </c>
      <c r="DA16" s="275">
        <v>7359.1566999999995</v>
      </c>
      <c r="DB16" s="49">
        <f t="shared" si="108"/>
        <v>24.890041</v>
      </c>
      <c r="DC16" s="49">
        <f t="shared" si="108"/>
        <v>31.557271</v>
      </c>
      <c r="DD16" s="47">
        <f t="shared" si="108"/>
        <v>0</v>
      </c>
      <c r="DE16" s="47">
        <f t="shared" si="169"/>
        <v>0</v>
      </c>
      <c r="DF16" s="48">
        <f t="shared" si="170"/>
        <v>24.890041</v>
      </c>
      <c r="DG16" s="48">
        <f t="shared" si="171"/>
        <v>31.557271</v>
      </c>
      <c r="DH16" s="93">
        <f t="shared" si="172"/>
        <v>24.890041</v>
      </c>
      <c r="DI16" s="93">
        <f t="shared" si="173"/>
        <v>31.557271</v>
      </c>
      <c r="DK16" s="275">
        <v>0.11360000000000001</v>
      </c>
      <c r="DL16" s="275">
        <v>0.1239</v>
      </c>
      <c r="DM16" s="275">
        <v>0</v>
      </c>
      <c r="DN16" s="275">
        <v>1985.46</v>
      </c>
      <c r="DO16" s="275">
        <v>1922.7083</v>
      </c>
      <c r="DP16" s="49">
        <f t="shared" si="109"/>
        <v>15.476864000000003</v>
      </c>
      <c r="DQ16" s="49">
        <f t="shared" si="109"/>
        <v>24.446708999999998</v>
      </c>
      <c r="DR16" s="47">
        <f t="shared" si="109"/>
        <v>0</v>
      </c>
      <c r="DS16" s="47">
        <f t="shared" si="174"/>
        <v>0</v>
      </c>
      <c r="DT16" s="48">
        <f t="shared" si="175"/>
        <v>15.476864000000003</v>
      </c>
      <c r="DU16" s="48">
        <f t="shared" si="176"/>
        <v>24.446708999999998</v>
      </c>
      <c r="DV16" s="93">
        <f t="shared" si="177"/>
        <v>15.476864000000003</v>
      </c>
      <c r="DW16" s="93">
        <f t="shared" si="178"/>
        <v>24.446708999999998</v>
      </c>
      <c r="EB16" s="52"/>
      <c r="EC16" s="52"/>
      <c r="ED16" s="52"/>
      <c r="EE16" s="55">
        <f t="shared" si="179"/>
        <v>46796.054199999999</v>
      </c>
      <c r="EF16" s="55">
        <f t="shared" si="179"/>
        <v>44783.735000000001</v>
      </c>
      <c r="EG16" s="55">
        <f t="shared" si="179"/>
        <v>1151.2871627999998</v>
      </c>
      <c r="EH16" s="55">
        <f t="shared" si="179"/>
        <v>834.7923988</v>
      </c>
      <c r="EI16" s="298">
        <f t="shared" si="110"/>
        <v>0.51098669923559947</v>
      </c>
      <c r="EJ16" s="52"/>
      <c r="EK16" s="55">
        <f t="shared" si="180"/>
        <v>1151.2871627999998</v>
      </c>
      <c r="EL16" s="55">
        <f t="shared" si="180"/>
        <v>834.7923988</v>
      </c>
      <c r="EM16" s="55">
        <f t="shared" si="111"/>
        <v>1151.2871627999998</v>
      </c>
      <c r="EN16" s="55">
        <f t="shared" si="111"/>
        <v>834.7923988</v>
      </c>
      <c r="EP16" s="52"/>
      <c r="EQ16" s="52"/>
      <c r="ER16" s="52"/>
      <c r="ES16" s="55">
        <f t="shared" si="112"/>
        <v>31004.201700000001</v>
      </c>
      <c r="ET16" s="55">
        <f t="shared" si="112"/>
        <v>29838.435000000001</v>
      </c>
      <c r="EU16" s="55">
        <f t="shared" si="112"/>
        <v>907.58756770000002</v>
      </c>
      <c r="EV16" s="55">
        <f t="shared" si="112"/>
        <v>691.49312170000007</v>
      </c>
      <c r="EW16" s="298">
        <f t="shared" si="113"/>
        <v>0.50958017899313035</v>
      </c>
      <c r="EX16" s="52"/>
      <c r="EY16" s="55">
        <f t="shared" si="114"/>
        <v>907.58756770000002</v>
      </c>
      <c r="EZ16" s="55">
        <f t="shared" si="114"/>
        <v>691.49312170000007</v>
      </c>
      <c r="FA16" s="55">
        <f t="shared" si="114"/>
        <v>907.58756770000002</v>
      </c>
      <c r="FB16" s="55">
        <f t="shared" si="114"/>
        <v>691.49312170000007</v>
      </c>
      <c r="FD16" s="52"/>
      <c r="FE16" s="52"/>
      <c r="FF16" s="52"/>
      <c r="FG16" s="55">
        <f t="shared" si="115"/>
        <v>22119.0491</v>
      </c>
      <c r="FH16" s="55">
        <f t="shared" si="115"/>
        <v>21188.9516</v>
      </c>
      <c r="FI16" s="55">
        <f t="shared" si="115"/>
        <v>639.98599139999999</v>
      </c>
      <c r="FJ16" s="55">
        <f t="shared" si="115"/>
        <v>366.57401939999994</v>
      </c>
      <c r="FK16" s="298">
        <f t="shared" si="116"/>
        <v>0.51073817175771863</v>
      </c>
      <c r="FL16" s="52"/>
      <c r="FM16" s="55">
        <f t="shared" si="117"/>
        <v>639.98599139999999</v>
      </c>
      <c r="FN16" s="55">
        <f t="shared" si="117"/>
        <v>366.57401939999994</v>
      </c>
      <c r="FO16" s="55">
        <f t="shared" si="117"/>
        <v>639.98599139999999</v>
      </c>
      <c r="FP16" s="55">
        <f t="shared" si="117"/>
        <v>366.57401939999994</v>
      </c>
      <c r="FR16" s="52"/>
      <c r="FS16" s="52"/>
      <c r="FT16" s="52"/>
      <c r="FU16" s="55">
        <f t="shared" si="118"/>
        <v>24871.721700000002</v>
      </c>
      <c r="FV16" s="55">
        <f t="shared" si="118"/>
        <v>23828.4617</v>
      </c>
      <c r="FW16" s="55">
        <f t="shared" si="118"/>
        <v>124.1233928</v>
      </c>
      <c r="FX16" s="55">
        <f t="shared" si="118"/>
        <v>125.57118879999999</v>
      </c>
      <c r="FY16" s="298">
        <f t="shared" si="119"/>
        <v>0.51071104795880506</v>
      </c>
      <c r="FZ16" s="52"/>
      <c r="GA16" s="55">
        <f t="shared" si="120"/>
        <v>124.1233928</v>
      </c>
      <c r="GB16" s="55">
        <f t="shared" si="120"/>
        <v>125.57118879999999</v>
      </c>
      <c r="GC16" s="55">
        <f t="shared" si="120"/>
        <v>124.1233928</v>
      </c>
      <c r="GD16" s="55">
        <f t="shared" si="120"/>
        <v>125.57118879999999</v>
      </c>
      <c r="GF16" s="52"/>
      <c r="GG16" s="52"/>
      <c r="GH16" s="52"/>
      <c r="GI16" s="55">
        <f t="shared" si="191"/>
        <v>12867.1266</v>
      </c>
      <c r="GJ16" s="55">
        <f t="shared" si="191"/>
        <v>12219.3141</v>
      </c>
      <c r="GK16" s="56">
        <f t="shared" si="123"/>
        <v>43.709494499999998</v>
      </c>
      <c r="GL16" s="56">
        <f t="shared" si="123"/>
        <v>26.884996500000007</v>
      </c>
      <c r="GM16" s="298">
        <f t="shared" si="124"/>
        <v>0.51291160646795142</v>
      </c>
      <c r="GN16" s="52"/>
      <c r="GO16" s="56">
        <f t="shared" si="125"/>
        <v>43.709494499999998</v>
      </c>
      <c r="GP16" s="56">
        <f t="shared" si="125"/>
        <v>26.884996500000007</v>
      </c>
      <c r="GQ16" s="56">
        <f t="shared" si="125"/>
        <v>43.709494499999998</v>
      </c>
      <c r="GR16" s="56">
        <f t="shared" si="125"/>
        <v>26.884996500000007</v>
      </c>
      <c r="GW16" s="275">
        <v>0.89100000000000001</v>
      </c>
      <c r="GX16" s="275">
        <v>0.22289999999999999</v>
      </c>
      <c r="GY16" s="275">
        <v>0</v>
      </c>
      <c r="GZ16" s="275">
        <v>198.4967</v>
      </c>
      <c r="HA16" s="275">
        <v>234.7475</v>
      </c>
      <c r="HB16" s="49">
        <f t="shared" si="126"/>
        <v>585.19988999999998</v>
      </c>
      <c r="HC16" s="49">
        <f t="shared" si="127"/>
        <v>302.65584899999999</v>
      </c>
      <c r="HD16" s="47">
        <f t="shared" si="128"/>
        <v>0</v>
      </c>
      <c r="HE16" s="47">
        <f t="shared" si="181"/>
        <v>0</v>
      </c>
      <c r="HF16" s="48">
        <f t="shared" si="182"/>
        <v>585.19988999999998</v>
      </c>
      <c r="HG16" s="48">
        <f t="shared" si="183"/>
        <v>302.65584899999999</v>
      </c>
      <c r="HH16" s="93">
        <f t="shared" si="184"/>
        <v>585.19988999999998</v>
      </c>
      <c r="HI16" s="93">
        <f t="shared" si="185"/>
        <v>302.65584899999999</v>
      </c>
      <c r="HJ16" s="298">
        <f t="shared" si="129"/>
        <v>0.45816354840988066</v>
      </c>
      <c r="HL16" s="275">
        <v>0</v>
      </c>
      <c r="HM16" s="275">
        <v>0.11219999999999999</v>
      </c>
      <c r="HN16" s="275">
        <v>0</v>
      </c>
      <c r="HO16" s="275">
        <v>3</v>
      </c>
      <c r="HP16" s="275">
        <v>1</v>
      </c>
      <c r="HQ16" s="49">
        <f t="shared" si="130"/>
        <v>0</v>
      </c>
      <c r="HR16" s="49">
        <f t="shared" si="131"/>
        <v>87.014465999999999</v>
      </c>
      <c r="HS16" s="47">
        <f t="shared" si="132"/>
        <v>0</v>
      </c>
      <c r="HT16" s="47">
        <f t="shared" si="186"/>
        <v>0</v>
      </c>
      <c r="HU16" s="48">
        <f t="shared" si="187"/>
        <v>0</v>
      </c>
      <c r="HV16" s="48">
        <f t="shared" si="188"/>
        <v>87.014465999999999</v>
      </c>
      <c r="HW16" s="93">
        <f t="shared" si="189"/>
        <v>0</v>
      </c>
      <c r="HX16" s="93">
        <f t="shared" si="190"/>
        <v>87.014465999999999</v>
      </c>
      <c r="HY16" s="298">
        <f t="shared" si="133"/>
        <v>0.75</v>
      </c>
    </row>
    <row r="17" spans="1:233" x14ac:dyDescent="0.2">
      <c r="A17" s="118">
        <v>7</v>
      </c>
      <c r="C17" s="275">
        <v>0.7994</v>
      </c>
      <c r="D17" s="275">
        <v>0.30249999999999999</v>
      </c>
      <c r="E17" s="275">
        <v>0</v>
      </c>
      <c r="F17" s="275">
        <v>12370.684999999999</v>
      </c>
      <c r="G17" s="275">
        <v>11858.342500000001</v>
      </c>
      <c r="H17" s="49">
        <f t="shared" si="100"/>
        <v>790.64657</v>
      </c>
      <c r="I17" s="49">
        <f t="shared" si="100"/>
        <v>545.05054999999993</v>
      </c>
      <c r="J17" s="47">
        <f t="shared" si="100"/>
        <v>0</v>
      </c>
      <c r="K17" s="47">
        <f t="shared" si="134"/>
        <v>0</v>
      </c>
      <c r="L17" s="48">
        <f t="shared" si="135"/>
        <v>790.64657</v>
      </c>
      <c r="M17" s="48">
        <f t="shared" si="136"/>
        <v>545.05054999999993</v>
      </c>
      <c r="N17" s="93">
        <f t="shared" si="137"/>
        <v>790.64657</v>
      </c>
      <c r="O17" s="93">
        <f t="shared" si="138"/>
        <v>545.05054999999993</v>
      </c>
      <c r="P17" s="298">
        <f t="shared" si="101"/>
        <v>0.5105729068160082</v>
      </c>
      <c r="Q17" s="275">
        <v>0.98319999999999996</v>
      </c>
      <c r="R17" s="275">
        <v>0.35499999999999998</v>
      </c>
      <c r="S17" s="275">
        <v>0</v>
      </c>
      <c r="T17" s="275">
        <v>1464.2674999999999</v>
      </c>
      <c r="U17" s="275">
        <v>1363.2166999999999</v>
      </c>
      <c r="V17" s="49">
        <f t="shared" si="102"/>
        <v>602.69176800000002</v>
      </c>
      <c r="W17" s="49">
        <f t="shared" si="102"/>
        <v>412.03430000000003</v>
      </c>
      <c r="X17" s="47">
        <f t="shared" si="102"/>
        <v>0</v>
      </c>
      <c r="Y17" s="47">
        <f t="shared" si="139"/>
        <v>0</v>
      </c>
      <c r="Z17" s="48">
        <f t="shared" si="140"/>
        <v>602.69176800000002</v>
      </c>
      <c r="AA17" s="48">
        <f t="shared" si="141"/>
        <v>412.03430000000003</v>
      </c>
      <c r="AB17" s="93">
        <f t="shared" si="142"/>
        <v>602.69176800000002</v>
      </c>
      <c r="AC17" s="93">
        <f t="shared" si="143"/>
        <v>412.03430000000003</v>
      </c>
      <c r="AE17" s="275">
        <v>0.82630000000000003</v>
      </c>
      <c r="AF17" s="275">
        <v>0.13089999999999999</v>
      </c>
      <c r="AG17" s="275">
        <v>0</v>
      </c>
      <c r="AH17" s="275">
        <v>104.265</v>
      </c>
      <c r="AI17" s="275">
        <v>97.073300000000003</v>
      </c>
      <c r="AJ17" s="49">
        <f t="shared" si="103"/>
        <v>387.42728099999999</v>
      </c>
      <c r="AK17" s="49">
        <f t="shared" si="103"/>
        <v>148.80450199999999</v>
      </c>
      <c r="AL17" s="47">
        <f t="shared" si="103"/>
        <v>0</v>
      </c>
      <c r="AM17" s="47">
        <f t="shared" si="144"/>
        <v>0</v>
      </c>
      <c r="AN17" s="48">
        <f t="shared" si="145"/>
        <v>387.42728099999999</v>
      </c>
      <c r="AO17" s="48">
        <f t="shared" si="146"/>
        <v>148.80450199999999</v>
      </c>
      <c r="AP17" s="93">
        <f t="shared" si="147"/>
        <v>387.42728099999999</v>
      </c>
      <c r="AQ17" s="93">
        <f t="shared" si="148"/>
        <v>148.80450199999999</v>
      </c>
      <c r="AS17" s="275">
        <v>0.55740000000000001</v>
      </c>
      <c r="AT17" s="275">
        <v>0.15559999999999999</v>
      </c>
      <c r="AU17" s="275">
        <v>0</v>
      </c>
      <c r="AV17" s="275">
        <v>10178.094999999999</v>
      </c>
      <c r="AW17" s="275">
        <v>9708.8917000000001</v>
      </c>
      <c r="AX17" s="49">
        <f t="shared" si="104"/>
        <v>194.22603000000001</v>
      </c>
      <c r="AY17" s="49">
        <f t="shared" si="104"/>
        <v>108.899772</v>
      </c>
      <c r="AZ17" s="47">
        <f t="shared" si="104"/>
        <v>0</v>
      </c>
      <c r="BA17" s="47">
        <f t="shared" si="149"/>
        <v>0</v>
      </c>
      <c r="BB17" s="48">
        <f t="shared" si="150"/>
        <v>194.22603000000001</v>
      </c>
      <c r="BC17" s="48">
        <f t="shared" si="151"/>
        <v>108.899772</v>
      </c>
      <c r="BD17" s="93">
        <f t="shared" si="152"/>
        <v>194.22603000000001</v>
      </c>
      <c r="BE17" s="93">
        <f t="shared" si="153"/>
        <v>108.899772</v>
      </c>
      <c r="BG17" s="275">
        <v>0.43530000000000002</v>
      </c>
      <c r="BH17" s="275">
        <v>0.20300000000000001</v>
      </c>
      <c r="BI17" s="275">
        <v>0</v>
      </c>
      <c r="BJ17" s="275">
        <v>5117.0217000000002</v>
      </c>
      <c r="BK17" s="275">
        <v>4848.9732999999997</v>
      </c>
      <c r="BL17" s="49">
        <f t="shared" si="105"/>
        <v>147.22716600000001</v>
      </c>
      <c r="BM17" s="49">
        <f t="shared" si="105"/>
        <v>121.48738000000002</v>
      </c>
      <c r="BN17" s="47">
        <f t="shared" si="105"/>
        <v>0</v>
      </c>
      <c r="BO17" s="47">
        <f t="shared" si="154"/>
        <v>0</v>
      </c>
      <c r="BP17" s="48">
        <f t="shared" si="155"/>
        <v>147.22716600000001</v>
      </c>
      <c r="BQ17" s="48">
        <f t="shared" si="156"/>
        <v>121.48738000000002</v>
      </c>
      <c r="BR17" s="93">
        <f t="shared" si="157"/>
        <v>147.22716600000001</v>
      </c>
      <c r="BS17" s="93">
        <f t="shared" si="158"/>
        <v>121.48738000000002</v>
      </c>
      <c r="BU17" s="275">
        <v>0.55579999999999996</v>
      </c>
      <c r="BV17" s="275">
        <v>0.2422</v>
      </c>
      <c r="BW17" s="275">
        <v>0</v>
      </c>
      <c r="BX17" s="275">
        <v>3119.6741999999999</v>
      </c>
      <c r="BY17" s="275">
        <v>2955.66</v>
      </c>
      <c r="BZ17" s="49">
        <f t="shared" si="106"/>
        <v>130.69081199999999</v>
      </c>
      <c r="CA17" s="49">
        <f t="shared" si="106"/>
        <v>87.078165999999996</v>
      </c>
      <c r="CB17" s="47">
        <f t="shared" si="106"/>
        <v>0</v>
      </c>
      <c r="CC17" s="47">
        <f t="shared" si="159"/>
        <v>0</v>
      </c>
      <c r="CD17" s="48">
        <f t="shared" si="160"/>
        <v>130.69081199999999</v>
      </c>
      <c r="CE17" s="48">
        <f t="shared" si="161"/>
        <v>87.078165999999996</v>
      </c>
      <c r="CF17" s="93">
        <f t="shared" si="162"/>
        <v>130.69081199999999</v>
      </c>
      <c r="CG17" s="93">
        <f t="shared" si="163"/>
        <v>87.078165999999996</v>
      </c>
      <c r="CI17" s="275">
        <v>0.60419999999999996</v>
      </c>
      <c r="CJ17" s="275">
        <v>0.45579999999999998</v>
      </c>
      <c r="CK17" s="275">
        <v>0</v>
      </c>
      <c r="CL17" s="275">
        <v>18267.8858</v>
      </c>
      <c r="CM17" s="275">
        <v>17346.947499999998</v>
      </c>
      <c r="CN17" s="49">
        <f t="shared" si="107"/>
        <v>124.70688</v>
      </c>
      <c r="CO17" s="49">
        <f t="shared" si="107"/>
        <v>122.072356</v>
      </c>
      <c r="CP17" s="47">
        <f t="shared" si="107"/>
        <v>0</v>
      </c>
      <c r="CQ17" s="47">
        <f t="shared" si="164"/>
        <v>0</v>
      </c>
      <c r="CR17" s="48">
        <f t="shared" si="165"/>
        <v>124.70688</v>
      </c>
      <c r="CS17" s="48">
        <f t="shared" si="166"/>
        <v>122.072356</v>
      </c>
      <c r="CT17" s="93">
        <f t="shared" si="167"/>
        <v>124.70688</v>
      </c>
      <c r="CU17" s="93">
        <f t="shared" si="168"/>
        <v>122.072356</v>
      </c>
      <c r="CW17" s="275">
        <v>0.2949</v>
      </c>
      <c r="CX17" s="275">
        <v>0.28520000000000001</v>
      </c>
      <c r="CY17" s="275">
        <v>0</v>
      </c>
      <c r="CZ17" s="275">
        <v>8074.9032999999999</v>
      </c>
      <c r="DA17" s="275">
        <v>7576.56</v>
      </c>
      <c r="DB17" s="49">
        <f t="shared" si="108"/>
        <v>61.218291000000001</v>
      </c>
      <c r="DC17" s="49">
        <f t="shared" si="108"/>
        <v>80.286652000000004</v>
      </c>
      <c r="DD17" s="47">
        <f t="shared" si="108"/>
        <v>0</v>
      </c>
      <c r="DE17" s="47">
        <f t="shared" si="169"/>
        <v>0</v>
      </c>
      <c r="DF17" s="48">
        <f t="shared" si="170"/>
        <v>61.218291000000001</v>
      </c>
      <c r="DG17" s="48">
        <f t="shared" si="171"/>
        <v>80.286652000000004</v>
      </c>
      <c r="DH17" s="93">
        <f t="shared" si="172"/>
        <v>61.218291000000001</v>
      </c>
      <c r="DI17" s="93">
        <f t="shared" si="173"/>
        <v>80.286652000000004</v>
      </c>
      <c r="DK17" s="275">
        <v>0.32850000000000001</v>
      </c>
      <c r="DL17" s="275">
        <v>0.30149999999999999</v>
      </c>
      <c r="DM17" s="275">
        <v>0</v>
      </c>
      <c r="DN17" s="275">
        <v>2256.4650000000001</v>
      </c>
      <c r="DO17" s="275">
        <v>2135.6950000000002</v>
      </c>
      <c r="DP17" s="49">
        <f t="shared" si="109"/>
        <v>44.754840000000002</v>
      </c>
      <c r="DQ17" s="49">
        <f t="shared" si="109"/>
        <v>59.488965</v>
      </c>
      <c r="DR17" s="47">
        <f t="shared" si="109"/>
        <v>0</v>
      </c>
      <c r="DS17" s="47">
        <f t="shared" si="174"/>
        <v>0</v>
      </c>
      <c r="DT17" s="48">
        <f t="shared" si="175"/>
        <v>44.754840000000002</v>
      </c>
      <c r="DU17" s="48">
        <f t="shared" si="176"/>
        <v>59.488965</v>
      </c>
      <c r="DV17" s="93">
        <f t="shared" si="177"/>
        <v>44.754840000000002</v>
      </c>
      <c r="DW17" s="93">
        <f t="shared" si="178"/>
        <v>59.488965</v>
      </c>
      <c r="EA17" s="51"/>
      <c r="EB17" s="52"/>
      <c r="EC17" s="52"/>
      <c r="ED17" s="52"/>
      <c r="EE17" s="55">
        <f t="shared" si="179"/>
        <v>48891.569100000001</v>
      </c>
      <c r="EF17" s="55">
        <f t="shared" si="179"/>
        <v>46490.741699999999</v>
      </c>
      <c r="EG17" s="55">
        <f t="shared" si="179"/>
        <v>1158.5541128000002</v>
      </c>
      <c r="EH17" s="55">
        <f t="shared" si="179"/>
        <v>840.25199959999998</v>
      </c>
      <c r="EI17" s="298">
        <f t="shared" si="110"/>
        <v>0.51258528641140866</v>
      </c>
      <c r="EJ17" s="52"/>
      <c r="EK17" s="55">
        <f t="shared" si="180"/>
        <v>1158.5541128000002</v>
      </c>
      <c r="EL17" s="55">
        <f t="shared" si="180"/>
        <v>840.25199959999998</v>
      </c>
      <c r="EM17" s="55">
        <f t="shared" si="111"/>
        <v>1158.5541128000002</v>
      </c>
      <c r="EN17" s="55">
        <f t="shared" si="111"/>
        <v>840.25199959999998</v>
      </c>
      <c r="EO17" s="51"/>
      <c r="EP17" s="52"/>
      <c r="EQ17" s="52"/>
      <c r="ER17" s="52"/>
      <c r="ES17" s="55">
        <f t="shared" si="112"/>
        <v>32924.078300000001</v>
      </c>
      <c r="ET17" s="55">
        <f t="shared" si="112"/>
        <v>31135.697499999998</v>
      </c>
      <c r="EU17" s="55">
        <f t="shared" si="112"/>
        <v>917.47861769999997</v>
      </c>
      <c r="EV17" s="55">
        <f t="shared" si="112"/>
        <v>711.79469240000003</v>
      </c>
      <c r="EW17" s="298">
        <f t="shared" si="113"/>
        <v>0.51395868762937502</v>
      </c>
      <c r="EX17" s="52"/>
      <c r="EY17" s="55">
        <f t="shared" si="114"/>
        <v>917.47861769999997</v>
      </c>
      <c r="EZ17" s="55">
        <f t="shared" si="114"/>
        <v>711.79469240000003</v>
      </c>
      <c r="FA17" s="55">
        <f t="shared" si="114"/>
        <v>917.47861769999997</v>
      </c>
      <c r="FB17" s="55">
        <f t="shared" si="114"/>
        <v>711.79469240000003</v>
      </c>
      <c r="FC17" s="51"/>
      <c r="FD17" s="52"/>
      <c r="FE17" s="52"/>
      <c r="FF17" s="52"/>
      <c r="FG17" s="55">
        <f t="shared" si="115"/>
        <v>23748.29</v>
      </c>
      <c r="FH17" s="55">
        <f t="shared" si="115"/>
        <v>22535.375799999998</v>
      </c>
      <c r="FI17" s="55">
        <f t="shared" si="115"/>
        <v>669.67787699999997</v>
      </c>
      <c r="FJ17" s="55">
        <f t="shared" si="115"/>
        <v>393.64840299999997</v>
      </c>
      <c r="FK17" s="298">
        <f t="shared" si="116"/>
        <v>0.51310304811681529</v>
      </c>
      <c r="FL17" s="52"/>
      <c r="FM17" s="55">
        <f t="shared" si="117"/>
        <v>669.67787699999997</v>
      </c>
      <c r="FN17" s="55">
        <f t="shared" si="117"/>
        <v>393.64840299999997</v>
      </c>
      <c r="FO17" s="55">
        <f t="shared" si="117"/>
        <v>669.67787699999997</v>
      </c>
      <c r="FP17" s="55">
        <f t="shared" si="117"/>
        <v>393.64840299999997</v>
      </c>
      <c r="FQ17" s="51"/>
      <c r="FR17" s="52"/>
      <c r="FS17" s="52"/>
      <c r="FT17" s="52"/>
      <c r="FU17" s="55">
        <f t="shared" si="118"/>
        <v>26342.789100000002</v>
      </c>
      <c r="FV17" s="55">
        <f t="shared" si="118"/>
        <v>24923.5075</v>
      </c>
      <c r="FW17" s="55">
        <f t="shared" si="118"/>
        <v>173.68151280000001</v>
      </c>
      <c r="FX17" s="55">
        <f t="shared" si="118"/>
        <v>186.3016776</v>
      </c>
      <c r="FY17" s="298">
        <f t="shared" si="119"/>
        <v>0.51384224816426471</v>
      </c>
      <c r="FZ17" s="52"/>
      <c r="GA17" s="55">
        <f t="shared" si="120"/>
        <v>173.68151280000001</v>
      </c>
      <c r="GB17" s="55">
        <f t="shared" si="120"/>
        <v>186.3016776</v>
      </c>
      <c r="GC17" s="55">
        <f t="shared" si="120"/>
        <v>173.68151280000001</v>
      </c>
      <c r="GD17" s="55">
        <f t="shared" si="120"/>
        <v>186.3016776</v>
      </c>
      <c r="GE17" s="51"/>
      <c r="GF17" s="52"/>
      <c r="GG17" s="52"/>
      <c r="GH17" s="52"/>
      <c r="GI17" s="55">
        <f t="shared" si="191"/>
        <v>13297.769199999999</v>
      </c>
      <c r="GJ17" s="55">
        <f t="shared" si="191"/>
        <v>12664.5517</v>
      </c>
      <c r="GK17" s="56">
        <f t="shared" si="123"/>
        <v>47.651413500000011</v>
      </c>
      <c r="GL17" s="56">
        <f t="shared" si="123"/>
        <v>16.366204500000002</v>
      </c>
      <c r="GM17" s="298">
        <f t="shared" si="124"/>
        <v>0.51219493246460868</v>
      </c>
      <c r="GN17" s="52"/>
      <c r="GO17" s="56">
        <f t="shared" si="125"/>
        <v>47.651413500000011</v>
      </c>
      <c r="GP17" s="56">
        <f t="shared" si="125"/>
        <v>16.366204500000002</v>
      </c>
      <c r="GQ17" s="56">
        <f t="shared" si="125"/>
        <v>47.651413500000011</v>
      </c>
      <c r="GR17" s="56">
        <f t="shared" si="125"/>
        <v>16.366204500000002</v>
      </c>
      <c r="GS17" s="51"/>
      <c r="GT17" s="51"/>
      <c r="GU17" s="51"/>
      <c r="GV17" s="51"/>
      <c r="GW17" s="275">
        <v>0.87749999999999995</v>
      </c>
      <c r="GX17" s="275">
        <v>0.21890000000000001</v>
      </c>
      <c r="GY17" s="275">
        <v>0</v>
      </c>
      <c r="GZ17" s="275">
        <v>281.11419999999998</v>
      </c>
      <c r="HA17" s="275">
        <v>273.66500000000002</v>
      </c>
      <c r="HB17" s="49">
        <f t="shared" si="126"/>
        <v>576.33322499999997</v>
      </c>
      <c r="HC17" s="49">
        <f t="shared" si="127"/>
        <v>297.22460899999999</v>
      </c>
      <c r="HD17" s="47">
        <f t="shared" si="128"/>
        <v>0</v>
      </c>
      <c r="HE17" s="47">
        <f t="shared" si="181"/>
        <v>0</v>
      </c>
      <c r="HF17" s="48">
        <f t="shared" si="182"/>
        <v>576.33322499999997</v>
      </c>
      <c r="HG17" s="48">
        <f t="shared" si="183"/>
        <v>297.22460899999999</v>
      </c>
      <c r="HH17" s="93">
        <f t="shared" si="184"/>
        <v>576.33322499999997</v>
      </c>
      <c r="HI17" s="93">
        <f t="shared" si="185"/>
        <v>297.22460899999999</v>
      </c>
      <c r="HJ17" s="298">
        <f t="shared" si="129"/>
        <v>0.5067136619397411</v>
      </c>
      <c r="HK17" s="51"/>
      <c r="HL17" s="275">
        <v>0</v>
      </c>
      <c r="HM17" s="275">
        <v>0.1255</v>
      </c>
      <c r="HN17" s="275">
        <v>0</v>
      </c>
      <c r="HO17" s="275">
        <v>2</v>
      </c>
      <c r="HP17" s="275">
        <v>3</v>
      </c>
      <c r="HQ17" s="49">
        <f t="shared" si="130"/>
        <v>0</v>
      </c>
      <c r="HR17" s="49">
        <f t="shared" si="131"/>
        <v>97.329014999999998</v>
      </c>
      <c r="HS17" s="47">
        <f t="shared" si="132"/>
        <v>0</v>
      </c>
      <c r="HT17" s="47">
        <f t="shared" si="186"/>
        <v>0</v>
      </c>
      <c r="HU17" s="48">
        <f t="shared" si="187"/>
        <v>0</v>
      </c>
      <c r="HV17" s="48">
        <f t="shared" si="188"/>
        <v>97.329014999999998</v>
      </c>
      <c r="HW17" s="93">
        <f t="shared" si="189"/>
        <v>0</v>
      </c>
      <c r="HX17" s="93">
        <f t="shared" si="190"/>
        <v>97.329014999999998</v>
      </c>
      <c r="HY17" s="298">
        <f t="shared" si="133"/>
        <v>0.4</v>
      </c>
    </row>
    <row r="18" spans="1:233" x14ac:dyDescent="0.2">
      <c r="A18" s="118">
        <v>8</v>
      </c>
      <c r="C18" s="275">
        <v>0.76939999999999997</v>
      </c>
      <c r="D18" s="275">
        <v>0.29310000000000003</v>
      </c>
      <c r="E18" s="275">
        <v>0</v>
      </c>
      <c r="F18" s="275">
        <v>12693.351699999999</v>
      </c>
      <c r="G18" s="275">
        <v>12088.636699999999</v>
      </c>
      <c r="H18" s="49">
        <f t="shared" si="100"/>
        <v>760.97506999999996</v>
      </c>
      <c r="I18" s="49">
        <f t="shared" si="100"/>
        <v>528.11344200000008</v>
      </c>
      <c r="J18" s="47">
        <f t="shared" si="100"/>
        <v>0</v>
      </c>
      <c r="K18" s="47">
        <f t="shared" si="134"/>
        <v>0</v>
      </c>
      <c r="L18" s="48">
        <f t="shared" si="135"/>
        <v>760.97506999999996</v>
      </c>
      <c r="M18" s="48">
        <f t="shared" si="136"/>
        <v>528.11344200000008</v>
      </c>
      <c r="N18" s="93">
        <f t="shared" si="137"/>
        <v>760.97506999999996</v>
      </c>
      <c r="O18" s="93">
        <f t="shared" si="138"/>
        <v>528.11344200000008</v>
      </c>
      <c r="P18" s="298">
        <f t="shared" si="101"/>
        <v>0.51220069572786986</v>
      </c>
      <c r="Q18" s="275">
        <v>0.96319999999999995</v>
      </c>
      <c r="R18" s="275">
        <v>0.34810000000000002</v>
      </c>
      <c r="S18" s="275">
        <v>0</v>
      </c>
      <c r="T18" s="275">
        <v>1602.9167</v>
      </c>
      <c r="U18" s="275">
        <v>1497.8642</v>
      </c>
      <c r="V18" s="49">
        <f t="shared" si="102"/>
        <v>590.43196799999998</v>
      </c>
      <c r="W18" s="49">
        <f t="shared" si="102"/>
        <v>404.02574600000003</v>
      </c>
      <c r="X18" s="47">
        <f t="shared" si="102"/>
        <v>0</v>
      </c>
      <c r="Y18" s="47">
        <f t="shared" si="139"/>
        <v>0</v>
      </c>
      <c r="Z18" s="48">
        <f t="shared" si="140"/>
        <v>590.43196799999998</v>
      </c>
      <c r="AA18" s="48">
        <f t="shared" si="141"/>
        <v>404.02574600000003</v>
      </c>
      <c r="AB18" s="93">
        <f t="shared" si="142"/>
        <v>590.43196799999998</v>
      </c>
      <c r="AC18" s="93">
        <f t="shared" si="143"/>
        <v>404.02574600000003</v>
      </c>
      <c r="AE18" s="275">
        <v>0.82830000000000004</v>
      </c>
      <c r="AF18" s="275">
        <v>0.12889999999999999</v>
      </c>
      <c r="AG18" s="275">
        <v>0</v>
      </c>
      <c r="AH18" s="275">
        <v>91.82</v>
      </c>
      <c r="AI18" s="275">
        <v>92.291700000000006</v>
      </c>
      <c r="AJ18" s="49">
        <f t="shared" si="103"/>
        <v>388.36502100000001</v>
      </c>
      <c r="AK18" s="49">
        <f t="shared" si="103"/>
        <v>146.53094199999998</v>
      </c>
      <c r="AL18" s="47">
        <f t="shared" si="103"/>
        <v>0</v>
      </c>
      <c r="AM18" s="47">
        <f t="shared" si="144"/>
        <v>0</v>
      </c>
      <c r="AN18" s="48">
        <f t="shared" si="145"/>
        <v>388.36502100000001</v>
      </c>
      <c r="AO18" s="48">
        <f t="shared" si="146"/>
        <v>146.53094199999998</v>
      </c>
      <c r="AP18" s="93">
        <f t="shared" si="147"/>
        <v>388.36502100000001</v>
      </c>
      <c r="AQ18" s="93">
        <f t="shared" si="148"/>
        <v>146.53094199999998</v>
      </c>
      <c r="AS18" s="275">
        <v>0.56179999999999997</v>
      </c>
      <c r="AT18" s="275">
        <v>0.1638</v>
      </c>
      <c r="AU18" s="275">
        <v>0</v>
      </c>
      <c r="AV18" s="275">
        <v>10528.3308</v>
      </c>
      <c r="AW18" s="275">
        <v>10076.9617</v>
      </c>
      <c r="AX18" s="49">
        <f t="shared" si="104"/>
        <v>195.75921</v>
      </c>
      <c r="AY18" s="49">
        <f t="shared" si="104"/>
        <v>114.638706</v>
      </c>
      <c r="AZ18" s="47">
        <f t="shared" si="104"/>
        <v>0</v>
      </c>
      <c r="BA18" s="47">
        <f t="shared" si="149"/>
        <v>0</v>
      </c>
      <c r="BB18" s="48">
        <f t="shared" si="150"/>
        <v>195.75921</v>
      </c>
      <c r="BC18" s="48">
        <f t="shared" si="151"/>
        <v>114.638706</v>
      </c>
      <c r="BD18" s="93">
        <f t="shared" si="152"/>
        <v>195.75921</v>
      </c>
      <c r="BE18" s="93">
        <f t="shared" si="153"/>
        <v>114.638706</v>
      </c>
      <c r="BG18" s="275">
        <v>0.38990000000000002</v>
      </c>
      <c r="BH18" s="275">
        <v>0.19350000000000001</v>
      </c>
      <c r="BI18" s="275">
        <v>0</v>
      </c>
      <c r="BJ18" s="275">
        <v>5089.3091999999997</v>
      </c>
      <c r="BK18" s="275">
        <v>4954.4892</v>
      </c>
      <c r="BL18" s="49">
        <f t="shared" si="105"/>
        <v>131.87197800000001</v>
      </c>
      <c r="BM18" s="49">
        <f t="shared" si="105"/>
        <v>115.80201000000001</v>
      </c>
      <c r="BN18" s="47">
        <f t="shared" si="105"/>
        <v>0</v>
      </c>
      <c r="BO18" s="47">
        <f t="shared" si="154"/>
        <v>0</v>
      </c>
      <c r="BP18" s="48">
        <f t="shared" si="155"/>
        <v>131.87197800000001</v>
      </c>
      <c r="BQ18" s="48">
        <f t="shared" si="156"/>
        <v>115.80201000000001</v>
      </c>
      <c r="BR18" s="93">
        <f t="shared" si="157"/>
        <v>131.87197800000001</v>
      </c>
      <c r="BS18" s="93">
        <f t="shared" si="158"/>
        <v>115.80201000000001</v>
      </c>
      <c r="BU18" s="275">
        <v>0.53700000000000003</v>
      </c>
      <c r="BV18" s="275">
        <v>0.2293</v>
      </c>
      <c r="BW18" s="275">
        <v>0</v>
      </c>
      <c r="BX18" s="275">
        <v>3286.9942000000001</v>
      </c>
      <c r="BY18" s="275">
        <v>3127.6174999999998</v>
      </c>
      <c r="BZ18" s="49">
        <f t="shared" si="106"/>
        <v>126.27018</v>
      </c>
      <c r="CA18" s="49">
        <f t="shared" si="106"/>
        <v>82.440229000000002</v>
      </c>
      <c r="CB18" s="47">
        <f t="shared" si="106"/>
        <v>0</v>
      </c>
      <c r="CC18" s="47">
        <f t="shared" si="159"/>
        <v>0</v>
      </c>
      <c r="CD18" s="48">
        <f t="shared" si="160"/>
        <v>126.27018</v>
      </c>
      <c r="CE18" s="48">
        <f t="shared" si="161"/>
        <v>82.440229000000002</v>
      </c>
      <c r="CF18" s="93">
        <f t="shared" si="162"/>
        <v>126.27018</v>
      </c>
      <c r="CG18" s="93">
        <f t="shared" si="163"/>
        <v>82.440229000000002</v>
      </c>
      <c r="CI18" s="275">
        <v>0.67949999999999999</v>
      </c>
      <c r="CJ18" s="275">
        <v>0.51449999999999996</v>
      </c>
      <c r="CK18" s="275">
        <v>0</v>
      </c>
      <c r="CL18" s="275">
        <v>18796.564999999999</v>
      </c>
      <c r="CM18" s="275">
        <v>17989.349200000001</v>
      </c>
      <c r="CN18" s="49">
        <f t="shared" si="107"/>
        <v>140.24879999999999</v>
      </c>
      <c r="CO18" s="49">
        <f t="shared" si="107"/>
        <v>137.79338999999999</v>
      </c>
      <c r="CP18" s="47">
        <f t="shared" si="107"/>
        <v>0</v>
      </c>
      <c r="CQ18" s="47">
        <f t="shared" si="164"/>
        <v>0</v>
      </c>
      <c r="CR18" s="48">
        <f t="shared" si="165"/>
        <v>140.24879999999999</v>
      </c>
      <c r="CS18" s="48">
        <f t="shared" si="166"/>
        <v>137.79338999999999</v>
      </c>
      <c r="CT18" s="93">
        <f t="shared" si="167"/>
        <v>140.24879999999999</v>
      </c>
      <c r="CU18" s="93">
        <f t="shared" si="168"/>
        <v>137.79338999999999</v>
      </c>
      <c r="CW18" s="275">
        <v>0.56899999999999995</v>
      </c>
      <c r="CX18" s="275">
        <v>0.56379999999999997</v>
      </c>
      <c r="CY18" s="275">
        <v>0</v>
      </c>
      <c r="CZ18" s="275">
        <v>8222.4249999999993</v>
      </c>
      <c r="DA18" s="275">
        <v>7687.2174999999997</v>
      </c>
      <c r="DB18" s="49">
        <f t="shared" si="108"/>
        <v>118.11870999999999</v>
      </c>
      <c r="DC18" s="49">
        <f t="shared" si="108"/>
        <v>158.71533799999997</v>
      </c>
      <c r="DD18" s="47">
        <f t="shared" si="108"/>
        <v>0</v>
      </c>
      <c r="DE18" s="47">
        <f t="shared" si="169"/>
        <v>0</v>
      </c>
      <c r="DF18" s="48">
        <f t="shared" si="170"/>
        <v>118.11870999999999</v>
      </c>
      <c r="DG18" s="48">
        <f t="shared" si="171"/>
        <v>158.71533799999997</v>
      </c>
      <c r="DH18" s="93">
        <f t="shared" si="172"/>
        <v>118.11870999999999</v>
      </c>
      <c r="DI18" s="93">
        <f t="shared" si="173"/>
        <v>158.71533799999997</v>
      </c>
      <c r="DK18" s="275">
        <v>0.74399999999999999</v>
      </c>
      <c r="DL18" s="275">
        <v>0.60370000000000001</v>
      </c>
      <c r="DM18" s="275">
        <v>0</v>
      </c>
      <c r="DN18" s="275">
        <v>2310.7042000000001</v>
      </c>
      <c r="DO18" s="275">
        <v>2178.7258000000002</v>
      </c>
      <c r="DP18" s="49">
        <f t="shared" si="109"/>
        <v>101.36256</v>
      </c>
      <c r="DQ18" s="49">
        <f t="shared" si="109"/>
        <v>119.11604700000001</v>
      </c>
      <c r="DR18" s="47">
        <f t="shared" si="109"/>
        <v>0</v>
      </c>
      <c r="DS18" s="47">
        <f t="shared" si="174"/>
        <v>0</v>
      </c>
      <c r="DT18" s="48">
        <f t="shared" si="175"/>
        <v>101.36256</v>
      </c>
      <c r="DU18" s="48">
        <f t="shared" si="176"/>
        <v>119.11604700000001</v>
      </c>
      <c r="DV18" s="93">
        <f t="shared" si="177"/>
        <v>101.36256</v>
      </c>
      <c r="DW18" s="93">
        <f t="shared" si="178"/>
        <v>119.11604700000001</v>
      </c>
      <c r="EB18" s="52"/>
      <c r="EC18" s="52"/>
      <c r="ED18" s="52"/>
      <c r="EE18" s="55">
        <f t="shared" si="179"/>
        <v>50240.672500000001</v>
      </c>
      <c r="EF18" s="55">
        <f t="shared" si="179"/>
        <v>47842.165099999998</v>
      </c>
      <c r="EG18" s="55">
        <f t="shared" si="179"/>
        <v>1191.4780479999999</v>
      </c>
      <c r="EH18" s="55">
        <f t="shared" si="179"/>
        <v>907.51780840000004</v>
      </c>
      <c r="EI18" s="298">
        <f t="shared" si="110"/>
        <v>0.51222694743896768</v>
      </c>
      <c r="EJ18" s="52"/>
      <c r="EK18" s="55">
        <f t="shared" si="180"/>
        <v>1191.4780479999999</v>
      </c>
      <c r="EL18" s="55">
        <f t="shared" si="180"/>
        <v>907.51780840000004</v>
      </c>
      <c r="EM18" s="55">
        <f t="shared" si="111"/>
        <v>1191.4780479999999</v>
      </c>
      <c r="EN18" s="55">
        <f t="shared" si="111"/>
        <v>907.51780840000004</v>
      </c>
      <c r="EP18" s="52"/>
      <c r="EQ18" s="52"/>
      <c r="ER18" s="52"/>
      <c r="ES18" s="55">
        <f t="shared" si="112"/>
        <v>33711.215899999996</v>
      </c>
      <c r="ET18" s="55">
        <f t="shared" si="112"/>
        <v>32128.920099999999</v>
      </c>
      <c r="EU18" s="55">
        <f t="shared" si="112"/>
        <v>945.23584299999993</v>
      </c>
      <c r="EV18" s="55">
        <f t="shared" si="112"/>
        <v>768.72188259999996</v>
      </c>
      <c r="EW18" s="298">
        <f t="shared" si="113"/>
        <v>0.5120161948025137</v>
      </c>
      <c r="EX18" s="52"/>
      <c r="EY18" s="55">
        <f t="shared" si="114"/>
        <v>945.23584299999993</v>
      </c>
      <c r="EZ18" s="55">
        <f t="shared" si="114"/>
        <v>768.72188259999996</v>
      </c>
      <c r="FA18" s="55">
        <f t="shared" si="114"/>
        <v>945.23584299999993</v>
      </c>
      <c r="FB18" s="55">
        <f t="shared" si="114"/>
        <v>768.72188259999996</v>
      </c>
      <c r="FD18" s="52"/>
      <c r="FE18" s="52"/>
      <c r="FF18" s="52"/>
      <c r="FG18" s="55">
        <f t="shared" si="115"/>
        <v>24486.0834</v>
      </c>
      <c r="FH18" s="55">
        <f t="shared" si="115"/>
        <v>23387.984199999999</v>
      </c>
      <c r="FI18" s="55">
        <f t="shared" si="115"/>
        <v>715.70153700000003</v>
      </c>
      <c r="FJ18" s="55">
        <f t="shared" si="115"/>
        <v>438.23418919999995</v>
      </c>
      <c r="FK18" s="298">
        <f t="shared" si="116"/>
        <v>0.51146862231526791</v>
      </c>
      <c r="FL18" s="52"/>
      <c r="FM18" s="55">
        <f t="shared" si="117"/>
        <v>715.70153700000003</v>
      </c>
      <c r="FN18" s="55">
        <f t="shared" si="117"/>
        <v>438.23418919999995</v>
      </c>
      <c r="FO18" s="55">
        <f t="shared" si="117"/>
        <v>715.70153700000003</v>
      </c>
      <c r="FP18" s="55">
        <f t="shared" si="117"/>
        <v>438.23418919999995</v>
      </c>
      <c r="FR18" s="52"/>
      <c r="FS18" s="52"/>
      <c r="FT18" s="52"/>
      <c r="FU18" s="55">
        <f t="shared" si="118"/>
        <v>27018.989999999998</v>
      </c>
      <c r="FV18" s="55">
        <f t="shared" si="118"/>
        <v>25676.566699999999</v>
      </c>
      <c r="FW18" s="55">
        <f t="shared" si="118"/>
        <v>234.74376799999999</v>
      </c>
      <c r="FX18" s="55">
        <f t="shared" si="118"/>
        <v>264.7656604</v>
      </c>
      <c r="FY18" s="298">
        <f t="shared" si="119"/>
        <v>0.51273753788808529</v>
      </c>
      <c r="FZ18" s="52"/>
      <c r="GA18" s="55">
        <f t="shared" si="120"/>
        <v>234.74376799999999</v>
      </c>
      <c r="GB18" s="55">
        <f t="shared" si="120"/>
        <v>264.7656604</v>
      </c>
      <c r="GC18" s="55">
        <f t="shared" si="120"/>
        <v>234.74376799999999</v>
      </c>
      <c r="GD18" s="55">
        <f t="shared" si="120"/>
        <v>264.7656604</v>
      </c>
      <c r="GF18" s="52"/>
      <c r="GG18" s="52"/>
      <c r="GH18" s="52"/>
      <c r="GI18" s="55">
        <f t="shared" si="191"/>
        <v>13815.325000000001</v>
      </c>
      <c r="GJ18" s="55">
        <f t="shared" si="191"/>
        <v>13204.5792</v>
      </c>
      <c r="GK18" s="56">
        <f t="shared" si="123"/>
        <v>52.116772499999996</v>
      </c>
      <c r="GL18" s="56">
        <f t="shared" si="123"/>
        <v>24.148857749999998</v>
      </c>
      <c r="GM18" s="298">
        <f t="shared" si="124"/>
        <v>0.51130177582198832</v>
      </c>
      <c r="GN18" s="52"/>
      <c r="GO18" s="56">
        <f t="shared" si="125"/>
        <v>52.116772499999996</v>
      </c>
      <c r="GP18" s="56">
        <f t="shared" si="125"/>
        <v>24.148857749999998</v>
      </c>
      <c r="GQ18" s="56">
        <f t="shared" si="125"/>
        <v>52.116772499999996</v>
      </c>
      <c r="GR18" s="56">
        <f t="shared" si="125"/>
        <v>24.148857749999998</v>
      </c>
      <c r="GW18" s="275">
        <v>0.86909999999999998</v>
      </c>
      <c r="GX18" s="275">
        <v>0.22120000000000001</v>
      </c>
      <c r="GY18" s="275">
        <v>0</v>
      </c>
      <c r="GZ18" s="275">
        <v>293.24829999999997</v>
      </c>
      <c r="HA18" s="275">
        <v>269.58249999999998</v>
      </c>
      <c r="HB18" s="49">
        <f t="shared" si="126"/>
        <v>570.81618900000001</v>
      </c>
      <c r="HC18" s="49">
        <f t="shared" si="127"/>
        <v>300.34757200000001</v>
      </c>
      <c r="HD18" s="47">
        <f t="shared" si="128"/>
        <v>0</v>
      </c>
      <c r="HE18" s="47">
        <f t="shared" si="181"/>
        <v>0</v>
      </c>
      <c r="HF18" s="48">
        <f t="shared" si="182"/>
        <v>570.81618900000001</v>
      </c>
      <c r="HG18" s="48">
        <f t="shared" si="183"/>
        <v>300.34757200000001</v>
      </c>
      <c r="HH18" s="93">
        <f t="shared" si="184"/>
        <v>570.81618900000001</v>
      </c>
      <c r="HI18" s="93">
        <f t="shared" si="185"/>
        <v>300.34757200000001</v>
      </c>
      <c r="HJ18" s="298">
        <f t="shared" si="129"/>
        <v>0.52102390274306243</v>
      </c>
      <c r="HL18" s="275">
        <v>0</v>
      </c>
      <c r="HM18" s="275">
        <v>0.13869999999999999</v>
      </c>
      <c r="HN18" s="275">
        <v>0</v>
      </c>
      <c r="HO18" s="275">
        <v>1</v>
      </c>
      <c r="HP18" s="275">
        <v>2</v>
      </c>
      <c r="HQ18" s="49">
        <f t="shared" si="130"/>
        <v>0</v>
      </c>
      <c r="HR18" s="49">
        <f t="shared" si="131"/>
        <v>107.56601099999999</v>
      </c>
      <c r="HS18" s="47">
        <f t="shared" si="132"/>
        <v>0</v>
      </c>
      <c r="HT18" s="47">
        <f t="shared" si="186"/>
        <v>0</v>
      </c>
      <c r="HU18" s="48">
        <f t="shared" si="187"/>
        <v>0</v>
      </c>
      <c r="HV18" s="48">
        <f t="shared" si="188"/>
        <v>107.56601099999999</v>
      </c>
      <c r="HW18" s="93">
        <f t="shared" si="189"/>
        <v>0</v>
      </c>
      <c r="HX18" s="93">
        <f t="shared" si="190"/>
        <v>107.56601099999999</v>
      </c>
      <c r="HY18" s="298">
        <f t="shared" si="133"/>
        <v>0.33333333333333331</v>
      </c>
    </row>
    <row r="19" spans="1:233" x14ac:dyDescent="0.2">
      <c r="A19" s="118">
        <v>9</v>
      </c>
      <c r="C19" s="275">
        <v>0.74790000000000001</v>
      </c>
      <c r="D19" s="275">
        <v>0.2928</v>
      </c>
      <c r="E19" s="275">
        <v>0</v>
      </c>
      <c r="F19" s="275">
        <v>12082.4558</v>
      </c>
      <c r="G19" s="275">
        <v>11769.9758</v>
      </c>
      <c r="H19" s="49">
        <f t="shared" si="100"/>
        <v>739.71049499999992</v>
      </c>
      <c r="I19" s="49">
        <f t="shared" si="100"/>
        <v>527.57289600000001</v>
      </c>
      <c r="J19" s="47">
        <f t="shared" si="100"/>
        <v>0</v>
      </c>
      <c r="K19" s="47">
        <f t="shared" si="134"/>
        <v>0</v>
      </c>
      <c r="L19" s="48">
        <f t="shared" si="135"/>
        <v>739.71049499999992</v>
      </c>
      <c r="M19" s="48">
        <f t="shared" si="136"/>
        <v>527.57289600000001</v>
      </c>
      <c r="N19" s="93">
        <f t="shared" si="137"/>
        <v>739.71049499999992</v>
      </c>
      <c r="O19" s="93">
        <f t="shared" si="138"/>
        <v>527.57289600000001</v>
      </c>
      <c r="P19" s="298">
        <f t="shared" si="101"/>
        <v>0.50655027557022736</v>
      </c>
      <c r="Q19" s="275">
        <v>0.95120000000000005</v>
      </c>
      <c r="R19" s="275">
        <v>0.35239999999999999</v>
      </c>
      <c r="S19" s="275">
        <v>0</v>
      </c>
      <c r="T19" s="275">
        <v>1583.5450000000001</v>
      </c>
      <c r="U19" s="275">
        <v>1466.1567</v>
      </c>
      <c r="V19" s="49">
        <f t="shared" si="102"/>
        <v>583.07608800000003</v>
      </c>
      <c r="W19" s="49">
        <f t="shared" si="102"/>
        <v>409.01658400000002</v>
      </c>
      <c r="X19" s="47">
        <f t="shared" si="102"/>
        <v>0</v>
      </c>
      <c r="Y19" s="47">
        <f t="shared" si="139"/>
        <v>0</v>
      </c>
      <c r="Z19" s="48">
        <f t="shared" si="140"/>
        <v>583.07608800000003</v>
      </c>
      <c r="AA19" s="48">
        <f t="shared" si="141"/>
        <v>409.01658400000002</v>
      </c>
      <c r="AB19" s="93">
        <f t="shared" si="142"/>
        <v>583.07608800000003</v>
      </c>
      <c r="AC19" s="93">
        <f t="shared" si="143"/>
        <v>409.01658400000002</v>
      </c>
      <c r="AE19" s="275">
        <v>0.83199999999999996</v>
      </c>
      <c r="AF19" s="275">
        <v>0.13289999999999999</v>
      </c>
      <c r="AG19" s="275">
        <v>0</v>
      </c>
      <c r="AH19" s="275">
        <v>98.666700000000006</v>
      </c>
      <c r="AI19" s="275">
        <v>100.9533</v>
      </c>
      <c r="AJ19" s="49">
        <f t="shared" si="103"/>
        <v>390.09983999999997</v>
      </c>
      <c r="AK19" s="49">
        <f t="shared" si="103"/>
        <v>151.07806199999999</v>
      </c>
      <c r="AL19" s="47">
        <f t="shared" si="103"/>
        <v>0</v>
      </c>
      <c r="AM19" s="47">
        <f t="shared" si="144"/>
        <v>0</v>
      </c>
      <c r="AN19" s="48">
        <f t="shared" si="145"/>
        <v>390.09983999999997</v>
      </c>
      <c r="AO19" s="48">
        <f t="shared" si="146"/>
        <v>151.07806199999999</v>
      </c>
      <c r="AP19" s="93">
        <f t="shared" si="147"/>
        <v>390.09983999999997</v>
      </c>
      <c r="AQ19" s="93">
        <f t="shared" si="148"/>
        <v>151.07806199999999</v>
      </c>
      <c r="AS19" s="275">
        <v>0.51739999999999997</v>
      </c>
      <c r="AT19" s="275">
        <v>0.17380000000000001</v>
      </c>
      <c r="AU19" s="275">
        <v>0</v>
      </c>
      <c r="AV19" s="275">
        <v>10040.3158</v>
      </c>
      <c r="AW19" s="275">
        <v>9725.5691999999999</v>
      </c>
      <c r="AX19" s="49">
        <f t="shared" si="104"/>
        <v>180.28802999999999</v>
      </c>
      <c r="AY19" s="49">
        <f t="shared" si="104"/>
        <v>121.63740600000001</v>
      </c>
      <c r="AZ19" s="47">
        <f t="shared" si="104"/>
        <v>0</v>
      </c>
      <c r="BA19" s="47">
        <f t="shared" si="149"/>
        <v>0</v>
      </c>
      <c r="BB19" s="48">
        <f t="shared" si="150"/>
        <v>180.28802999999999</v>
      </c>
      <c r="BC19" s="48">
        <f t="shared" si="151"/>
        <v>121.63740600000001</v>
      </c>
      <c r="BD19" s="93">
        <f t="shared" si="152"/>
        <v>180.28802999999999</v>
      </c>
      <c r="BE19" s="93">
        <f t="shared" si="153"/>
        <v>121.63740600000001</v>
      </c>
      <c r="BG19" s="275">
        <v>0.4758</v>
      </c>
      <c r="BH19" s="275">
        <v>0.1585</v>
      </c>
      <c r="BI19" s="275">
        <v>0</v>
      </c>
      <c r="BJ19" s="275">
        <v>4992.5050000000001</v>
      </c>
      <c r="BK19" s="275">
        <v>4605.5691999999999</v>
      </c>
      <c r="BL19" s="49">
        <f t="shared" si="105"/>
        <v>160.92507600000002</v>
      </c>
      <c r="BM19" s="49">
        <f t="shared" si="105"/>
        <v>94.855910000000009</v>
      </c>
      <c r="BN19" s="47">
        <f t="shared" si="105"/>
        <v>0</v>
      </c>
      <c r="BO19" s="47">
        <f t="shared" si="154"/>
        <v>0</v>
      </c>
      <c r="BP19" s="48">
        <f t="shared" si="155"/>
        <v>160.92507600000002</v>
      </c>
      <c r="BQ19" s="48">
        <f t="shared" si="156"/>
        <v>94.855910000000009</v>
      </c>
      <c r="BR19" s="93">
        <f t="shared" si="157"/>
        <v>160.92507600000002</v>
      </c>
      <c r="BS19" s="93">
        <f t="shared" si="158"/>
        <v>94.855910000000009</v>
      </c>
      <c r="BU19" s="275">
        <v>0.53610000000000002</v>
      </c>
      <c r="BV19" s="275">
        <v>0.22720000000000001</v>
      </c>
      <c r="BW19" s="275">
        <v>0</v>
      </c>
      <c r="BX19" s="275">
        <v>3280.9232999999999</v>
      </c>
      <c r="BY19" s="275">
        <v>3129.1550000000002</v>
      </c>
      <c r="BZ19" s="49">
        <f t="shared" si="106"/>
        <v>126.058554</v>
      </c>
      <c r="CA19" s="49">
        <f t="shared" si="106"/>
        <v>81.685215999999997</v>
      </c>
      <c r="CB19" s="47">
        <f t="shared" si="106"/>
        <v>0</v>
      </c>
      <c r="CC19" s="47">
        <f t="shared" si="159"/>
        <v>0</v>
      </c>
      <c r="CD19" s="48">
        <f t="shared" si="160"/>
        <v>126.058554</v>
      </c>
      <c r="CE19" s="48">
        <f t="shared" si="161"/>
        <v>81.685215999999997</v>
      </c>
      <c r="CF19" s="93">
        <f t="shared" si="162"/>
        <v>126.058554</v>
      </c>
      <c r="CG19" s="93">
        <f t="shared" si="163"/>
        <v>81.685215999999997</v>
      </c>
      <c r="CI19" s="275">
        <v>0.73040000000000005</v>
      </c>
      <c r="CJ19" s="275">
        <v>0.55210000000000004</v>
      </c>
      <c r="CK19" s="275">
        <v>0</v>
      </c>
      <c r="CL19" s="275">
        <v>18313.221699999998</v>
      </c>
      <c r="CM19" s="275">
        <v>17489.9467</v>
      </c>
      <c r="CN19" s="49">
        <f t="shared" si="107"/>
        <v>150.75456000000003</v>
      </c>
      <c r="CO19" s="49">
        <f t="shared" si="107"/>
        <v>147.86342200000001</v>
      </c>
      <c r="CP19" s="47">
        <f t="shared" si="107"/>
        <v>0</v>
      </c>
      <c r="CQ19" s="47">
        <f t="shared" si="164"/>
        <v>0</v>
      </c>
      <c r="CR19" s="48">
        <f t="shared" si="165"/>
        <v>150.75456000000003</v>
      </c>
      <c r="CS19" s="48">
        <f t="shared" si="166"/>
        <v>147.86342200000001</v>
      </c>
      <c r="CT19" s="93">
        <f t="shared" si="167"/>
        <v>150.75456000000003</v>
      </c>
      <c r="CU19" s="93">
        <f t="shared" si="168"/>
        <v>147.86342200000001</v>
      </c>
      <c r="CW19" s="275">
        <v>0.91839999999999999</v>
      </c>
      <c r="CX19" s="275">
        <v>0.95009999999999994</v>
      </c>
      <c r="CY19" s="275">
        <v>2.3E-3</v>
      </c>
      <c r="CZ19" s="275">
        <v>7818.4767000000002</v>
      </c>
      <c r="DA19" s="275">
        <v>7428.5483000000004</v>
      </c>
      <c r="DB19" s="49">
        <f t="shared" si="108"/>
        <v>190.650656</v>
      </c>
      <c r="DC19" s="49">
        <f t="shared" si="108"/>
        <v>267.46265099999999</v>
      </c>
      <c r="DD19" s="47">
        <f t="shared" si="108"/>
        <v>6.6699999999999995E-4</v>
      </c>
      <c r="DE19" s="47">
        <f t="shared" si="169"/>
        <v>3.8941804459960818E-4</v>
      </c>
      <c r="DF19" s="48">
        <f t="shared" si="170"/>
        <v>190.65104541804459</v>
      </c>
      <c r="DG19" s="48">
        <f t="shared" si="171"/>
        <v>267.46237341804459</v>
      </c>
      <c r="DH19" s="93">
        <f t="shared" si="172"/>
        <v>190.650656</v>
      </c>
      <c r="DI19" s="93">
        <f t="shared" si="173"/>
        <v>267.46198399999997</v>
      </c>
      <c r="DK19" s="275">
        <v>1.1349</v>
      </c>
      <c r="DL19" s="275">
        <v>1.0008999999999999</v>
      </c>
      <c r="DM19" s="275">
        <v>0</v>
      </c>
      <c r="DN19" s="275">
        <v>2191.8083000000001</v>
      </c>
      <c r="DO19" s="275">
        <v>1954.0367000000001</v>
      </c>
      <c r="DP19" s="49">
        <f t="shared" si="109"/>
        <v>154.61877600000003</v>
      </c>
      <c r="DQ19" s="49">
        <f t="shared" si="109"/>
        <v>197.48757899999998</v>
      </c>
      <c r="DR19" s="47">
        <f t="shared" si="109"/>
        <v>0</v>
      </c>
      <c r="DS19" s="47">
        <f t="shared" si="174"/>
        <v>0</v>
      </c>
      <c r="DT19" s="48">
        <f t="shared" si="175"/>
        <v>154.61877600000003</v>
      </c>
      <c r="DU19" s="48">
        <f t="shared" si="176"/>
        <v>197.48757899999998</v>
      </c>
      <c r="DV19" s="93">
        <f t="shared" si="177"/>
        <v>154.61877600000003</v>
      </c>
      <c r="DW19" s="93">
        <f t="shared" si="178"/>
        <v>197.48757899999998</v>
      </c>
      <c r="EB19" s="52"/>
      <c r="EC19" s="52"/>
      <c r="ED19" s="52"/>
      <c r="EE19" s="55">
        <f t="shared" si="179"/>
        <v>48254.47</v>
      </c>
      <c r="EF19" s="55">
        <f t="shared" si="179"/>
        <v>46414.04</v>
      </c>
      <c r="EG19" s="55">
        <f t="shared" si="179"/>
        <v>1223.2736098</v>
      </c>
      <c r="EH19" s="55">
        <f t="shared" si="179"/>
        <v>1011.0438448000001</v>
      </c>
      <c r="EI19" s="298">
        <f t="shared" si="110"/>
        <v>0.50972039171209094</v>
      </c>
      <c r="EJ19" s="52"/>
      <c r="EK19" s="55">
        <f t="shared" si="180"/>
        <v>1223.2739213344357</v>
      </c>
      <c r="EL19" s="55">
        <f t="shared" si="180"/>
        <v>1011.0436227344358</v>
      </c>
      <c r="EM19" s="55">
        <f t="shared" si="111"/>
        <v>1223.2736098</v>
      </c>
      <c r="EN19" s="55">
        <f t="shared" si="111"/>
        <v>1011.0433112000001</v>
      </c>
      <c r="EP19" s="52"/>
      <c r="EQ19" s="52"/>
      <c r="ER19" s="52"/>
      <c r="ES19" s="55">
        <f t="shared" si="112"/>
        <v>32707.748399999997</v>
      </c>
      <c r="ET19" s="55">
        <f t="shared" si="112"/>
        <v>30990.2209</v>
      </c>
      <c r="EU19" s="55">
        <f t="shared" si="112"/>
        <v>1028.2111832000001</v>
      </c>
      <c r="EV19" s="55">
        <f t="shared" si="112"/>
        <v>838.95977170000003</v>
      </c>
      <c r="EW19" s="298">
        <f t="shared" si="113"/>
        <v>0.51348180733918625</v>
      </c>
      <c r="EX19" s="52"/>
      <c r="EY19" s="55">
        <f t="shared" si="114"/>
        <v>1028.2114557926313</v>
      </c>
      <c r="EZ19" s="55">
        <f t="shared" si="114"/>
        <v>838.95957739263133</v>
      </c>
      <c r="FA19" s="55">
        <f t="shared" si="114"/>
        <v>1028.2111832000001</v>
      </c>
      <c r="FB19" s="55">
        <f t="shared" si="114"/>
        <v>838.95930480000004</v>
      </c>
      <c r="FD19" s="52"/>
      <c r="FE19" s="52"/>
      <c r="FF19" s="52"/>
      <c r="FG19" s="55">
        <f t="shared" si="115"/>
        <v>23884.62</v>
      </c>
      <c r="FH19" s="55">
        <f t="shared" si="115"/>
        <v>22674.091700000001</v>
      </c>
      <c r="FI19" s="55">
        <f t="shared" si="115"/>
        <v>759.68421959999989</v>
      </c>
      <c r="FJ19" s="55">
        <f t="shared" si="115"/>
        <v>499.11924740000001</v>
      </c>
      <c r="FK19" s="298">
        <f t="shared" si="116"/>
        <v>0.51300001928532746</v>
      </c>
      <c r="FL19" s="52"/>
      <c r="FM19" s="55">
        <f t="shared" si="117"/>
        <v>759.68421959999989</v>
      </c>
      <c r="FN19" s="55">
        <f t="shared" si="117"/>
        <v>499.11924740000001</v>
      </c>
      <c r="FO19" s="55">
        <f t="shared" si="117"/>
        <v>759.68421959999989</v>
      </c>
      <c r="FP19" s="55">
        <f t="shared" si="117"/>
        <v>499.11924740000001</v>
      </c>
      <c r="FR19" s="52"/>
      <c r="FS19" s="52"/>
      <c r="FT19" s="52"/>
      <c r="FU19" s="55">
        <f t="shared" si="118"/>
        <v>26131.698399999997</v>
      </c>
      <c r="FV19" s="55">
        <f t="shared" si="118"/>
        <v>24918.495000000003</v>
      </c>
      <c r="FW19" s="55">
        <f t="shared" si="118"/>
        <v>303.27508480000006</v>
      </c>
      <c r="FX19" s="55">
        <f t="shared" si="118"/>
        <v>361.83354280000003</v>
      </c>
      <c r="FY19" s="298">
        <f t="shared" si="119"/>
        <v>0.51188245645314234</v>
      </c>
      <c r="FZ19" s="52"/>
      <c r="GA19" s="55">
        <f t="shared" si="120"/>
        <v>303.2753963344357</v>
      </c>
      <c r="GB19" s="55">
        <f t="shared" si="120"/>
        <v>361.83332073443569</v>
      </c>
      <c r="GC19" s="55">
        <f t="shared" si="120"/>
        <v>303.27508480000006</v>
      </c>
      <c r="GD19" s="55">
        <f t="shared" si="120"/>
        <v>361.83300919999999</v>
      </c>
      <c r="GF19" s="52"/>
      <c r="GG19" s="52"/>
      <c r="GH19" s="52"/>
      <c r="GI19" s="55">
        <f t="shared" si="191"/>
        <v>13321.239100000001</v>
      </c>
      <c r="GJ19" s="55">
        <f t="shared" si="191"/>
        <v>12854.724200000001</v>
      </c>
      <c r="GK19" s="56">
        <f t="shared" si="123"/>
        <v>40.672106999999997</v>
      </c>
      <c r="GL19" s="56">
        <f t="shared" si="123"/>
        <v>29.964142500000012</v>
      </c>
      <c r="GM19" s="298">
        <f t="shared" si="124"/>
        <v>0.50891113145776756</v>
      </c>
      <c r="GN19" s="52"/>
      <c r="GO19" s="56">
        <f t="shared" si="125"/>
        <v>40.672106999999997</v>
      </c>
      <c r="GP19" s="56">
        <f t="shared" si="125"/>
        <v>29.964142500000012</v>
      </c>
      <c r="GQ19" s="56">
        <f t="shared" si="125"/>
        <v>40.672106999999997</v>
      </c>
      <c r="GR19" s="56">
        <f t="shared" si="125"/>
        <v>29.964142500000012</v>
      </c>
      <c r="GW19" s="275">
        <v>0.86319999999999997</v>
      </c>
      <c r="GX19" s="275">
        <v>0.22950000000000001</v>
      </c>
      <c r="GY19" s="275">
        <v>0</v>
      </c>
      <c r="GZ19" s="275">
        <v>325.82249999999999</v>
      </c>
      <c r="HA19" s="275">
        <v>264.73919999999998</v>
      </c>
      <c r="HB19" s="49">
        <f t="shared" si="126"/>
        <v>566.94112799999994</v>
      </c>
      <c r="HC19" s="49">
        <f t="shared" si="127"/>
        <v>311.61739499999999</v>
      </c>
      <c r="HD19" s="47">
        <f t="shared" si="128"/>
        <v>0</v>
      </c>
      <c r="HE19" s="47">
        <f t="shared" si="181"/>
        <v>0</v>
      </c>
      <c r="HF19" s="48">
        <f t="shared" si="182"/>
        <v>566.94112799999994</v>
      </c>
      <c r="HG19" s="48">
        <f t="shared" si="183"/>
        <v>311.61739499999999</v>
      </c>
      <c r="HH19" s="93">
        <f t="shared" si="184"/>
        <v>566.94112799999994</v>
      </c>
      <c r="HI19" s="93">
        <f t="shared" si="185"/>
        <v>311.61739499999999</v>
      </c>
      <c r="HJ19" s="298">
        <f t="shared" si="129"/>
        <v>0.55171627282974833</v>
      </c>
      <c r="HL19" s="275">
        <v>0</v>
      </c>
      <c r="HM19" s="275">
        <v>0.15179999999999999</v>
      </c>
      <c r="HN19" s="275">
        <v>0</v>
      </c>
      <c r="HO19" s="275">
        <v>4</v>
      </c>
      <c r="HP19" s="275">
        <v>2</v>
      </c>
      <c r="HQ19" s="49">
        <f t="shared" si="130"/>
        <v>0</v>
      </c>
      <c r="HR19" s="49">
        <f t="shared" si="131"/>
        <v>117.72545399999998</v>
      </c>
      <c r="HS19" s="47">
        <f t="shared" si="132"/>
        <v>0</v>
      </c>
      <c r="HT19" s="47">
        <f t="shared" si="186"/>
        <v>0</v>
      </c>
      <c r="HU19" s="48">
        <f t="shared" si="187"/>
        <v>0</v>
      </c>
      <c r="HV19" s="48">
        <f t="shared" si="188"/>
        <v>117.72545399999998</v>
      </c>
      <c r="HW19" s="93">
        <f t="shared" si="189"/>
        <v>0</v>
      </c>
      <c r="HX19" s="93">
        <f t="shared" si="190"/>
        <v>117.72545399999998</v>
      </c>
      <c r="HY19" s="298">
        <f t="shared" si="133"/>
        <v>0.66666666666666663</v>
      </c>
    </row>
    <row r="20" spans="1:233" x14ac:dyDescent="0.2">
      <c r="A20" s="118">
        <v>10</v>
      </c>
      <c r="C20" s="275">
        <v>0.73299999999999998</v>
      </c>
      <c r="D20" s="275">
        <v>0.30099999999999999</v>
      </c>
      <c r="E20" s="275">
        <v>0</v>
      </c>
      <c r="F20" s="275">
        <v>12872.2808</v>
      </c>
      <c r="G20" s="275">
        <v>12141.942499999999</v>
      </c>
      <c r="H20" s="49">
        <f t="shared" si="100"/>
        <v>724.97364999999991</v>
      </c>
      <c r="I20" s="49">
        <f t="shared" si="100"/>
        <v>542.34781999999996</v>
      </c>
      <c r="J20" s="47">
        <f t="shared" si="100"/>
        <v>0</v>
      </c>
      <c r="K20" s="47">
        <f t="shared" si="134"/>
        <v>0</v>
      </c>
      <c r="L20" s="48">
        <f t="shared" si="135"/>
        <v>724.97364999999991</v>
      </c>
      <c r="M20" s="48">
        <f t="shared" si="136"/>
        <v>542.34781999999996</v>
      </c>
      <c r="N20" s="93">
        <f t="shared" si="137"/>
        <v>724.97364999999991</v>
      </c>
      <c r="O20" s="93">
        <f t="shared" si="138"/>
        <v>542.34781999999996</v>
      </c>
      <c r="P20" s="298">
        <f t="shared" si="101"/>
        <v>0.51459846046868873</v>
      </c>
      <c r="Q20" s="275">
        <v>0.94630000000000003</v>
      </c>
      <c r="R20" s="275">
        <v>0.36749999999999999</v>
      </c>
      <c r="S20" s="275">
        <v>0</v>
      </c>
      <c r="T20" s="275">
        <v>1618.6483000000001</v>
      </c>
      <c r="U20" s="275">
        <v>1520.2791999999999</v>
      </c>
      <c r="V20" s="49">
        <f t="shared" si="102"/>
        <v>580.07243700000004</v>
      </c>
      <c r="W20" s="49">
        <f t="shared" si="102"/>
        <v>426.54255000000001</v>
      </c>
      <c r="X20" s="47">
        <f t="shared" si="102"/>
        <v>0</v>
      </c>
      <c r="Y20" s="47">
        <f t="shared" si="139"/>
        <v>0</v>
      </c>
      <c r="Z20" s="48">
        <f t="shared" si="140"/>
        <v>580.07243700000004</v>
      </c>
      <c r="AA20" s="48">
        <f t="shared" si="141"/>
        <v>426.54255000000001</v>
      </c>
      <c r="AB20" s="93">
        <f t="shared" si="142"/>
        <v>580.07243700000004</v>
      </c>
      <c r="AC20" s="93">
        <f t="shared" si="143"/>
        <v>426.54255000000001</v>
      </c>
      <c r="AE20" s="275">
        <v>0.83650000000000002</v>
      </c>
      <c r="AF20" s="275">
        <v>0.14299999999999999</v>
      </c>
      <c r="AG20" s="275">
        <v>0</v>
      </c>
      <c r="AH20" s="275">
        <v>99.264200000000002</v>
      </c>
      <c r="AI20" s="275">
        <v>92.749200000000002</v>
      </c>
      <c r="AJ20" s="49">
        <f t="shared" si="103"/>
        <v>392.20975500000003</v>
      </c>
      <c r="AK20" s="49">
        <f t="shared" si="103"/>
        <v>162.55953999999997</v>
      </c>
      <c r="AL20" s="47">
        <f t="shared" si="103"/>
        <v>0</v>
      </c>
      <c r="AM20" s="47">
        <f t="shared" si="144"/>
        <v>0</v>
      </c>
      <c r="AN20" s="48">
        <f t="shared" si="145"/>
        <v>392.20975500000003</v>
      </c>
      <c r="AO20" s="48">
        <f t="shared" si="146"/>
        <v>162.55953999999997</v>
      </c>
      <c r="AP20" s="93">
        <f t="shared" si="147"/>
        <v>392.20975500000003</v>
      </c>
      <c r="AQ20" s="93">
        <f t="shared" si="148"/>
        <v>162.55953999999997</v>
      </c>
      <c r="AS20" s="275">
        <v>0.51229999999999998</v>
      </c>
      <c r="AT20" s="275">
        <v>0.19189999999999999</v>
      </c>
      <c r="AU20" s="275">
        <v>0</v>
      </c>
      <c r="AV20" s="275">
        <v>10360.299999999999</v>
      </c>
      <c r="AW20" s="275">
        <v>9679.7057999999997</v>
      </c>
      <c r="AX20" s="49">
        <f t="shared" si="104"/>
        <v>178.51093499999999</v>
      </c>
      <c r="AY20" s="49">
        <f t="shared" si="104"/>
        <v>134.30505299999999</v>
      </c>
      <c r="AZ20" s="47">
        <f t="shared" si="104"/>
        <v>0</v>
      </c>
      <c r="BA20" s="47">
        <f t="shared" si="149"/>
        <v>0</v>
      </c>
      <c r="BB20" s="48">
        <f t="shared" si="150"/>
        <v>178.51093499999999</v>
      </c>
      <c r="BC20" s="48">
        <f t="shared" si="151"/>
        <v>134.30505299999999</v>
      </c>
      <c r="BD20" s="93">
        <f t="shared" si="152"/>
        <v>178.51093499999999</v>
      </c>
      <c r="BE20" s="93">
        <f t="shared" si="153"/>
        <v>134.30505299999999</v>
      </c>
      <c r="BG20" s="275">
        <v>0.52090000000000003</v>
      </c>
      <c r="BH20" s="275">
        <v>0.1956</v>
      </c>
      <c r="BI20" s="275">
        <v>0</v>
      </c>
      <c r="BJ20" s="275">
        <v>4875.3108000000002</v>
      </c>
      <c r="BK20" s="275">
        <v>4722.5667000000003</v>
      </c>
      <c r="BL20" s="49">
        <f t="shared" si="105"/>
        <v>176.17879800000003</v>
      </c>
      <c r="BM20" s="49">
        <f t="shared" si="105"/>
        <v>117.05877600000001</v>
      </c>
      <c r="BN20" s="47">
        <f t="shared" si="105"/>
        <v>0</v>
      </c>
      <c r="BO20" s="47">
        <f t="shared" si="154"/>
        <v>0</v>
      </c>
      <c r="BP20" s="48">
        <f t="shared" si="155"/>
        <v>176.17879800000003</v>
      </c>
      <c r="BQ20" s="48">
        <f t="shared" si="156"/>
        <v>117.05877600000001</v>
      </c>
      <c r="BR20" s="93">
        <f t="shared" si="157"/>
        <v>176.17879800000003</v>
      </c>
      <c r="BS20" s="93">
        <f t="shared" si="158"/>
        <v>117.05877600000001</v>
      </c>
      <c r="BU20" s="275">
        <v>0.5504</v>
      </c>
      <c r="BV20" s="275">
        <v>0.23960000000000001</v>
      </c>
      <c r="BW20" s="275">
        <v>0</v>
      </c>
      <c r="BX20" s="275">
        <v>3675.3850000000002</v>
      </c>
      <c r="BY20" s="275">
        <v>3480.2858000000001</v>
      </c>
      <c r="BZ20" s="49">
        <f t="shared" si="106"/>
        <v>129.42105599999999</v>
      </c>
      <c r="CA20" s="49">
        <f t="shared" si="106"/>
        <v>86.143388000000002</v>
      </c>
      <c r="CB20" s="47">
        <f t="shared" si="106"/>
        <v>0</v>
      </c>
      <c r="CC20" s="47">
        <f t="shared" si="159"/>
        <v>0</v>
      </c>
      <c r="CD20" s="48">
        <f t="shared" si="160"/>
        <v>129.42105599999999</v>
      </c>
      <c r="CE20" s="48">
        <f t="shared" si="161"/>
        <v>86.143388000000002</v>
      </c>
      <c r="CF20" s="93">
        <f t="shared" si="162"/>
        <v>129.42105599999999</v>
      </c>
      <c r="CG20" s="93">
        <f t="shared" si="163"/>
        <v>86.143388000000002</v>
      </c>
      <c r="CI20" s="275">
        <v>0.76529999999999998</v>
      </c>
      <c r="CJ20" s="275">
        <v>0.58089999999999997</v>
      </c>
      <c r="CK20" s="275">
        <v>0</v>
      </c>
      <c r="CL20" s="275">
        <v>19013.46</v>
      </c>
      <c r="CM20" s="275">
        <v>17960.816699999999</v>
      </c>
      <c r="CN20" s="49">
        <f t="shared" si="107"/>
        <v>157.95792</v>
      </c>
      <c r="CO20" s="49">
        <f t="shared" si="107"/>
        <v>155.576638</v>
      </c>
      <c r="CP20" s="47">
        <f t="shared" si="107"/>
        <v>0</v>
      </c>
      <c r="CQ20" s="47">
        <f t="shared" si="164"/>
        <v>0</v>
      </c>
      <c r="CR20" s="48">
        <f t="shared" si="165"/>
        <v>157.95792</v>
      </c>
      <c r="CS20" s="48">
        <f t="shared" si="166"/>
        <v>155.576638</v>
      </c>
      <c r="CT20" s="93">
        <f t="shared" si="167"/>
        <v>157.95792</v>
      </c>
      <c r="CU20" s="93">
        <f t="shared" si="168"/>
        <v>155.576638</v>
      </c>
      <c r="CW20" s="275">
        <v>1.3638999999999999</v>
      </c>
      <c r="CX20" s="275">
        <v>1.4544999999999999</v>
      </c>
      <c r="CY20" s="275">
        <v>6.0000000000000001E-3</v>
      </c>
      <c r="CZ20" s="275">
        <v>7773.9367000000002</v>
      </c>
      <c r="DA20" s="275">
        <v>7595.61</v>
      </c>
      <c r="DB20" s="49">
        <f t="shared" si="108"/>
        <v>283.132001</v>
      </c>
      <c r="DC20" s="49">
        <f t="shared" si="108"/>
        <v>409.45629499999995</v>
      </c>
      <c r="DD20" s="47">
        <f t="shared" si="108"/>
        <v>1.74E-3</v>
      </c>
      <c r="DE20" s="47">
        <f t="shared" si="169"/>
        <v>1.0286832125444986E-3</v>
      </c>
      <c r="DF20" s="48">
        <f t="shared" si="170"/>
        <v>283.13302968321256</v>
      </c>
      <c r="DG20" s="48">
        <f t="shared" si="171"/>
        <v>409.45558368321252</v>
      </c>
      <c r="DH20" s="93">
        <f t="shared" si="172"/>
        <v>283.132001</v>
      </c>
      <c r="DI20" s="93">
        <f t="shared" si="173"/>
        <v>409.45455499999997</v>
      </c>
      <c r="DK20" s="275">
        <v>1.4717</v>
      </c>
      <c r="DL20" s="275">
        <v>1.5505</v>
      </c>
      <c r="DM20" s="275">
        <v>0</v>
      </c>
      <c r="DN20" s="275">
        <v>2225.3724999999999</v>
      </c>
      <c r="DO20" s="275">
        <v>2018.61</v>
      </c>
      <c r="DP20" s="49">
        <f t="shared" si="109"/>
        <v>200.50440800000001</v>
      </c>
      <c r="DQ20" s="49">
        <f t="shared" si="109"/>
        <v>305.92915499999998</v>
      </c>
      <c r="DR20" s="47">
        <f t="shared" si="109"/>
        <v>0</v>
      </c>
      <c r="DS20" s="47">
        <f t="shared" si="174"/>
        <v>0</v>
      </c>
      <c r="DT20" s="48">
        <f t="shared" si="175"/>
        <v>200.50440800000001</v>
      </c>
      <c r="DU20" s="48">
        <f t="shared" si="176"/>
        <v>305.92915499999998</v>
      </c>
      <c r="DV20" s="93">
        <f t="shared" si="177"/>
        <v>200.50440800000001</v>
      </c>
      <c r="DW20" s="93">
        <f t="shared" si="178"/>
        <v>305.92915499999998</v>
      </c>
      <c r="EB20" s="52"/>
      <c r="EC20" s="52"/>
      <c r="ED20" s="52"/>
      <c r="EE20" s="55">
        <f t="shared" si="179"/>
        <v>50019.977500000001</v>
      </c>
      <c r="EF20" s="55">
        <f t="shared" si="179"/>
        <v>47378.074999999997</v>
      </c>
      <c r="EG20" s="55">
        <f t="shared" si="179"/>
        <v>1287.9481058000001</v>
      </c>
      <c r="EH20" s="55">
        <f t="shared" si="179"/>
        <v>1159.794547</v>
      </c>
      <c r="EI20" s="298">
        <f t="shared" si="110"/>
        <v>0.51356239900176659</v>
      </c>
      <c r="EJ20" s="52"/>
      <c r="EK20" s="55">
        <f t="shared" si="180"/>
        <v>1287.9489287465701</v>
      </c>
      <c r="EL20" s="55">
        <f t="shared" si="180"/>
        <v>1159.7939779465701</v>
      </c>
      <c r="EM20" s="55">
        <f t="shared" si="111"/>
        <v>1287.9481058000001</v>
      </c>
      <c r="EN20" s="55">
        <f t="shared" si="111"/>
        <v>1159.7931550000001</v>
      </c>
      <c r="EP20" s="52"/>
      <c r="EQ20" s="52"/>
      <c r="ER20" s="52"/>
      <c r="ES20" s="55">
        <f t="shared" si="112"/>
        <v>33281.355799999998</v>
      </c>
      <c r="ET20" s="55">
        <f t="shared" si="112"/>
        <v>31799.2726</v>
      </c>
      <c r="EU20" s="55">
        <f t="shared" si="112"/>
        <v>1112.4015557</v>
      </c>
      <c r="EV20" s="55">
        <f t="shared" si="112"/>
        <v>985.79737049999994</v>
      </c>
      <c r="EW20" s="298">
        <f t="shared" si="113"/>
        <v>0.51138651574544414</v>
      </c>
      <c r="EX20" s="52"/>
      <c r="EY20" s="55">
        <f t="shared" si="114"/>
        <v>1112.4022757782488</v>
      </c>
      <c r="EZ20" s="55">
        <f t="shared" si="114"/>
        <v>985.79687257824867</v>
      </c>
      <c r="FA20" s="55">
        <f t="shared" si="114"/>
        <v>1112.4015557</v>
      </c>
      <c r="FB20" s="55">
        <f t="shared" si="114"/>
        <v>985.79615249999995</v>
      </c>
      <c r="FD20" s="52"/>
      <c r="FE20" s="52"/>
      <c r="FF20" s="52"/>
      <c r="FG20" s="55">
        <f t="shared" si="115"/>
        <v>25013.4817</v>
      </c>
      <c r="FH20" s="55">
        <f t="shared" si="115"/>
        <v>23552.4617</v>
      </c>
      <c r="FI20" s="55">
        <f t="shared" si="115"/>
        <v>799.89137580000011</v>
      </c>
      <c r="FJ20" s="55">
        <f t="shared" si="115"/>
        <v>587.83705899999995</v>
      </c>
      <c r="FK20" s="298">
        <f t="shared" si="116"/>
        <v>0.51504161041376983</v>
      </c>
      <c r="FL20" s="52"/>
      <c r="FM20" s="55">
        <f t="shared" si="117"/>
        <v>799.89137580000011</v>
      </c>
      <c r="FN20" s="55">
        <f t="shared" si="117"/>
        <v>587.83705899999995</v>
      </c>
      <c r="FO20" s="55">
        <f t="shared" si="117"/>
        <v>799.89137580000011</v>
      </c>
      <c r="FP20" s="55">
        <f t="shared" si="117"/>
        <v>587.83705899999995</v>
      </c>
      <c r="FR20" s="52"/>
      <c r="FS20" s="52"/>
      <c r="FT20" s="52"/>
      <c r="FU20" s="55">
        <f t="shared" si="118"/>
        <v>26787.396699999998</v>
      </c>
      <c r="FV20" s="55">
        <f t="shared" si="118"/>
        <v>25556.4267</v>
      </c>
      <c r="FW20" s="55">
        <f t="shared" si="118"/>
        <v>384.46352080000003</v>
      </c>
      <c r="FX20" s="55">
        <f t="shared" si="118"/>
        <v>483.14167399999997</v>
      </c>
      <c r="FY20" s="298">
        <f t="shared" si="119"/>
        <v>0.51175850291440506</v>
      </c>
      <c r="FZ20" s="52"/>
      <c r="GA20" s="55">
        <f t="shared" si="120"/>
        <v>384.46434374657008</v>
      </c>
      <c r="GB20" s="55">
        <f t="shared" si="120"/>
        <v>483.14110494657007</v>
      </c>
      <c r="GC20" s="55">
        <f t="shared" si="120"/>
        <v>384.46352080000003</v>
      </c>
      <c r="GD20" s="55">
        <f t="shared" si="120"/>
        <v>483.14028200000001</v>
      </c>
      <c r="GF20" s="52"/>
      <c r="GG20" s="52"/>
      <c r="GH20" s="52"/>
      <c r="GI20" s="55">
        <f t="shared" si="191"/>
        <v>14035.684999999999</v>
      </c>
      <c r="GJ20" s="55">
        <f t="shared" si="191"/>
        <v>13159.991599999999</v>
      </c>
      <c r="GK20" s="56">
        <f t="shared" si="123"/>
        <v>36.817409249999997</v>
      </c>
      <c r="GL20" s="56">
        <f t="shared" si="123"/>
        <v>36.121248749999992</v>
      </c>
      <c r="GM20" s="298">
        <f t="shared" si="124"/>
        <v>0.51609986419679665</v>
      </c>
      <c r="GN20" s="52"/>
      <c r="GO20" s="56">
        <f t="shared" si="125"/>
        <v>36.817409249999997</v>
      </c>
      <c r="GP20" s="56">
        <f t="shared" si="125"/>
        <v>36.121248749999992</v>
      </c>
      <c r="GQ20" s="56">
        <f t="shared" si="125"/>
        <v>36.817409249999997</v>
      </c>
      <c r="GR20" s="56">
        <f t="shared" si="125"/>
        <v>36.121248749999992</v>
      </c>
      <c r="GW20" s="275">
        <v>0.84670000000000001</v>
      </c>
      <c r="GX20" s="275">
        <v>0.2437</v>
      </c>
      <c r="GY20" s="275">
        <v>0</v>
      </c>
      <c r="GZ20" s="275">
        <v>301.82749999999999</v>
      </c>
      <c r="HA20" s="275">
        <v>311.95499999999998</v>
      </c>
      <c r="HB20" s="49">
        <f t="shared" si="126"/>
        <v>556.10409299999992</v>
      </c>
      <c r="HC20" s="49">
        <f t="shared" si="127"/>
        <v>330.89829700000001</v>
      </c>
      <c r="HD20" s="47">
        <f t="shared" si="128"/>
        <v>0</v>
      </c>
      <c r="HE20" s="47">
        <f t="shared" si="181"/>
        <v>0</v>
      </c>
      <c r="HF20" s="48">
        <f t="shared" si="182"/>
        <v>556.10409299999992</v>
      </c>
      <c r="HG20" s="48">
        <f t="shared" si="183"/>
        <v>330.89829700000001</v>
      </c>
      <c r="HH20" s="93">
        <f t="shared" si="184"/>
        <v>556.10409299999992</v>
      </c>
      <c r="HI20" s="93">
        <f t="shared" si="185"/>
        <v>330.89829700000001</v>
      </c>
      <c r="HJ20" s="298">
        <f t="shared" si="129"/>
        <v>0.49174992770240267</v>
      </c>
      <c r="HL20" s="275">
        <v>0</v>
      </c>
      <c r="HM20" s="275">
        <v>0.1648</v>
      </c>
      <c r="HN20" s="275">
        <v>0</v>
      </c>
      <c r="HO20" s="275">
        <v>6.25</v>
      </c>
      <c r="HP20" s="275">
        <v>7</v>
      </c>
      <c r="HQ20" s="49">
        <f t="shared" si="130"/>
        <v>0</v>
      </c>
      <c r="HR20" s="49">
        <f t="shared" si="131"/>
        <v>127.807344</v>
      </c>
      <c r="HS20" s="47">
        <f t="shared" si="132"/>
        <v>0</v>
      </c>
      <c r="HT20" s="47">
        <f t="shared" si="186"/>
        <v>0</v>
      </c>
      <c r="HU20" s="48">
        <f t="shared" si="187"/>
        <v>0</v>
      </c>
      <c r="HV20" s="48">
        <f t="shared" si="188"/>
        <v>127.807344</v>
      </c>
      <c r="HW20" s="93">
        <f t="shared" si="189"/>
        <v>0</v>
      </c>
      <c r="HX20" s="93">
        <f t="shared" si="190"/>
        <v>127.807344</v>
      </c>
      <c r="HY20" s="298">
        <f t="shared" si="133"/>
        <v>0.47169811320754718</v>
      </c>
    </row>
    <row r="21" spans="1:233" x14ac:dyDescent="0.2">
      <c r="A21" s="118">
        <v>11</v>
      </c>
      <c r="C21" s="275">
        <v>0.7228</v>
      </c>
      <c r="D21" s="275">
        <v>0.31659999999999999</v>
      </c>
      <c r="E21" s="275">
        <v>0</v>
      </c>
      <c r="F21" s="275">
        <v>12826.23</v>
      </c>
      <c r="G21" s="275">
        <v>12352.8933</v>
      </c>
      <c r="H21" s="49">
        <f t="shared" si="100"/>
        <v>714.88533999999993</v>
      </c>
      <c r="I21" s="49">
        <f t="shared" si="100"/>
        <v>570.45621199999994</v>
      </c>
      <c r="J21" s="47">
        <f t="shared" si="100"/>
        <v>0</v>
      </c>
      <c r="K21" s="47">
        <f t="shared" si="134"/>
        <v>0</v>
      </c>
      <c r="L21" s="48">
        <f t="shared" si="135"/>
        <v>714.88533999999993</v>
      </c>
      <c r="M21" s="48">
        <f t="shared" si="136"/>
        <v>570.45621199999994</v>
      </c>
      <c r="N21" s="93">
        <f t="shared" si="137"/>
        <v>714.88533999999993</v>
      </c>
      <c r="O21" s="93">
        <f t="shared" si="138"/>
        <v>570.45621199999994</v>
      </c>
      <c r="P21" s="298">
        <f t="shared" si="101"/>
        <v>0.50939938802396667</v>
      </c>
      <c r="Q21" s="275">
        <v>0.94750000000000001</v>
      </c>
      <c r="R21" s="275">
        <v>0.39269999999999999</v>
      </c>
      <c r="S21" s="275">
        <v>0</v>
      </c>
      <c r="T21" s="275">
        <v>1591.7982999999999</v>
      </c>
      <c r="U21" s="275">
        <v>1547.81</v>
      </c>
      <c r="V21" s="49">
        <f t="shared" si="102"/>
        <v>580.80802500000004</v>
      </c>
      <c r="W21" s="49">
        <f t="shared" si="102"/>
        <v>455.79118200000005</v>
      </c>
      <c r="X21" s="47">
        <f t="shared" si="102"/>
        <v>0</v>
      </c>
      <c r="Y21" s="47">
        <f t="shared" si="139"/>
        <v>0</v>
      </c>
      <c r="Z21" s="48">
        <f t="shared" si="140"/>
        <v>580.80802500000004</v>
      </c>
      <c r="AA21" s="48">
        <f t="shared" si="141"/>
        <v>455.79118200000005</v>
      </c>
      <c r="AB21" s="93">
        <f t="shared" si="142"/>
        <v>580.80802500000004</v>
      </c>
      <c r="AC21" s="93">
        <f t="shared" si="143"/>
        <v>455.79118200000005</v>
      </c>
      <c r="AE21" s="275">
        <v>0.84009999999999996</v>
      </c>
      <c r="AF21" s="275">
        <v>0.15920000000000001</v>
      </c>
      <c r="AG21" s="275">
        <v>0</v>
      </c>
      <c r="AH21" s="275">
        <v>133.3383</v>
      </c>
      <c r="AI21" s="275">
        <v>92.172499999999999</v>
      </c>
      <c r="AJ21" s="49">
        <f t="shared" si="103"/>
        <v>393.89768699999996</v>
      </c>
      <c r="AK21" s="49">
        <f t="shared" si="103"/>
        <v>180.97537600000001</v>
      </c>
      <c r="AL21" s="47">
        <f t="shared" si="103"/>
        <v>0</v>
      </c>
      <c r="AM21" s="47">
        <f t="shared" si="144"/>
        <v>0</v>
      </c>
      <c r="AN21" s="48">
        <f t="shared" si="145"/>
        <v>393.89768699999996</v>
      </c>
      <c r="AO21" s="48">
        <f t="shared" si="146"/>
        <v>180.97537600000001</v>
      </c>
      <c r="AP21" s="93">
        <f t="shared" si="147"/>
        <v>393.89768699999996</v>
      </c>
      <c r="AQ21" s="93">
        <f t="shared" si="148"/>
        <v>180.97537600000001</v>
      </c>
      <c r="AS21" s="275">
        <v>0.53690000000000004</v>
      </c>
      <c r="AT21" s="275">
        <v>0.2291</v>
      </c>
      <c r="AU21" s="275">
        <v>0</v>
      </c>
      <c r="AV21" s="275">
        <v>10368.120000000001</v>
      </c>
      <c r="AW21" s="275">
        <v>9842.3449999999993</v>
      </c>
      <c r="AX21" s="49">
        <f t="shared" si="104"/>
        <v>187.08280500000001</v>
      </c>
      <c r="AY21" s="49">
        <f t="shared" si="104"/>
        <v>160.340217</v>
      </c>
      <c r="AZ21" s="47">
        <f t="shared" si="104"/>
        <v>0</v>
      </c>
      <c r="BA21" s="47">
        <f t="shared" si="149"/>
        <v>0</v>
      </c>
      <c r="BB21" s="48">
        <f t="shared" si="150"/>
        <v>187.08280500000001</v>
      </c>
      <c r="BC21" s="48">
        <f t="shared" si="151"/>
        <v>160.340217</v>
      </c>
      <c r="BD21" s="93">
        <f t="shared" si="152"/>
        <v>187.08280500000001</v>
      </c>
      <c r="BE21" s="93">
        <f t="shared" si="153"/>
        <v>160.340217</v>
      </c>
      <c r="BG21" s="275">
        <v>0.56840000000000002</v>
      </c>
      <c r="BH21" s="275">
        <v>0.24970000000000001</v>
      </c>
      <c r="BI21" s="275">
        <v>0</v>
      </c>
      <c r="BJ21" s="275">
        <v>4625.4017000000003</v>
      </c>
      <c r="BK21" s="275">
        <v>4546.8742000000002</v>
      </c>
      <c r="BL21" s="49">
        <f t="shared" si="105"/>
        <v>192.24424800000003</v>
      </c>
      <c r="BM21" s="49">
        <f t="shared" si="105"/>
        <v>149.435462</v>
      </c>
      <c r="BN21" s="47">
        <f t="shared" si="105"/>
        <v>0</v>
      </c>
      <c r="BO21" s="47">
        <f t="shared" si="154"/>
        <v>0</v>
      </c>
      <c r="BP21" s="48">
        <f t="shared" si="155"/>
        <v>192.24424800000003</v>
      </c>
      <c r="BQ21" s="48">
        <f t="shared" si="156"/>
        <v>149.435462</v>
      </c>
      <c r="BR21" s="93">
        <f t="shared" si="157"/>
        <v>192.24424800000003</v>
      </c>
      <c r="BS21" s="93">
        <f t="shared" si="158"/>
        <v>149.435462</v>
      </c>
      <c r="BU21" s="275">
        <v>0.60489999999999999</v>
      </c>
      <c r="BV21" s="275">
        <v>0.2722</v>
      </c>
      <c r="BW21" s="275">
        <v>0</v>
      </c>
      <c r="BX21" s="275">
        <v>3717.145</v>
      </c>
      <c r="BY21" s="275">
        <v>3572.7175000000002</v>
      </c>
      <c r="BZ21" s="49">
        <f t="shared" si="106"/>
        <v>142.236186</v>
      </c>
      <c r="CA21" s="49">
        <f t="shared" si="106"/>
        <v>97.864065999999994</v>
      </c>
      <c r="CB21" s="47">
        <f t="shared" si="106"/>
        <v>0</v>
      </c>
      <c r="CC21" s="47">
        <f t="shared" si="159"/>
        <v>0</v>
      </c>
      <c r="CD21" s="48">
        <f t="shared" si="160"/>
        <v>142.236186</v>
      </c>
      <c r="CE21" s="48">
        <f t="shared" si="161"/>
        <v>97.864065999999994</v>
      </c>
      <c r="CF21" s="93">
        <f t="shared" si="162"/>
        <v>142.236186</v>
      </c>
      <c r="CG21" s="93">
        <f t="shared" si="163"/>
        <v>97.864065999999994</v>
      </c>
      <c r="CI21" s="275">
        <v>0.79679999999999995</v>
      </c>
      <c r="CJ21" s="275">
        <v>0.61460000000000004</v>
      </c>
      <c r="CK21" s="275">
        <v>0</v>
      </c>
      <c r="CL21" s="275">
        <v>18849.23</v>
      </c>
      <c r="CM21" s="275">
        <v>18100.653300000002</v>
      </c>
      <c r="CN21" s="49">
        <f t="shared" si="107"/>
        <v>164.45952</v>
      </c>
      <c r="CO21" s="49">
        <f t="shared" si="107"/>
        <v>164.602172</v>
      </c>
      <c r="CP21" s="47">
        <f t="shared" si="107"/>
        <v>0</v>
      </c>
      <c r="CQ21" s="47">
        <f t="shared" si="164"/>
        <v>0</v>
      </c>
      <c r="CR21" s="48">
        <f t="shared" si="165"/>
        <v>164.45952</v>
      </c>
      <c r="CS21" s="48">
        <f t="shared" si="166"/>
        <v>164.602172</v>
      </c>
      <c r="CT21" s="93">
        <f t="shared" si="167"/>
        <v>164.45952</v>
      </c>
      <c r="CU21" s="93">
        <f t="shared" si="168"/>
        <v>164.602172</v>
      </c>
      <c r="CW21" s="275">
        <v>1.9930000000000001</v>
      </c>
      <c r="CX21" s="275">
        <v>2.0630999999999999</v>
      </c>
      <c r="CY21" s="275">
        <v>1.1299999999999999E-2</v>
      </c>
      <c r="CZ21" s="275">
        <v>7625.7617</v>
      </c>
      <c r="DA21" s="275">
        <v>7440.2658000000001</v>
      </c>
      <c r="DB21" s="49">
        <f t="shared" si="108"/>
        <v>413.72687000000002</v>
      </c>
      <c r="DC21" s="49">
        <f t="shared" si="108"/>
        <v>580.78328099999999</v>
      </c>
      <c r="DD21" s="47">
        <f t="shared" si="108"/>
        <v>3.2769999999999995E-3</v>
      </c>
      <c r="DE21" s="47">
        <f t="shared" si="169"/>
        <v>1.913732916575328E-3</v>
      </c>
      <c r="DF21" s="48">
        <f t="shared" si="170"/>
        <v>413.72878373291661</v>
      </c>
      <c r="DG21" s="48">
        <f t="shared" si="171"/>
        <v>580.78191773291655</v>
      </c>
      <c r="DH21" s="93">
        <f t="shared" si="172"/>
        <v>413.72687000000002</v>
      </c>
      <c r="DI21" s="93">
        <f t="shared" si="173"/>
        <v>580.78000399999996</v>
      </c>
      <c r="DK21" s="275">
        <v>2.1131000000000002</v>
      </c>
      <c r="DL21" s="275">
        <v>2.3706</v>
      </c>
      <c r="DM21" s="275">
        <v>0</v>
      </c>
      <c r="DN21" s="275">
        <v>2137.6158</v>
      </c>
      <c r="DO21" s="275">
        <v>2050.8742000000002</v>
      </c>
      <c r="DP21" s="49">
        <f t="shared" si="109"/>
        <v>287.88874400000003</v>
      </c>
      <c r="DQ21" s="49">
        <f t="shared" si="109"/>
        <v>467.74308600000001</v>
      </c>
      <c r="DR21" s="47">
        <f t="shared" si="109"/>
        <v>0</v>
      </c>
      <c r="DS21" s="47">
        <f t="shared" si="174"/>
        <v>0</v>
      </c>
      <c r="DT21" s="48">
        <f t="shared" si="175"/>
        <v>287.88874400000003</v>
      </c>
      <c r="DU21" s="48">
        <f t="shared" si="176"/>
        <v>467.74308600000001</v>
      </c>
      <c r="DV21" s="93">
        <f t="shared" si="177"/>
        <v>287.88874400000003</v>
      </c>
      <c r="DW21" s="93">
        <f t="shared" si="178"/>
        <v>467.74308600000001</v>
      </c>
      <c r="EB21" s="52"/>
      <c r="EC21" s="52"/>
      <c r="ED21" s="52"/>
      <c r="EE21" s="55">
        <f t="shared" si="179"/>
        <v>49669.341700000004</v>
      </c>
      <c r="EF21" s="55">
        <f t="shared" si="179"/>
        <v>47736.157400000004</v>
      </c>
      <c r="EG21" s="55">
        <f t="shared" si="179"/>
        <v>1397.409161</v>
      </c>
      <c r="EH21" s="55">
        <f t="shared" si="179"/>
        <v>1360.0252258</v>
      </c>
      <c r="EI21" s="298">
        <f t="shared" si="110"/>
        <v>0.50992338378152202</v>
      </c>
      <c r="EJ21" s="52"/>
      <c r="EK21" s="55">
        <f t="shared" si="180"/>
        <v>1397.4106919863332</v>
      </c>
      <c r="EL21" s="55">
        <f t="shared" si="180"/>
        <v>1360.0241351863333</v>
      </c>
      <c r="EM21" s="55">
        <f t="shared" si="111"/>
        <v>1397.409161</v>
      </c>
      <c r="EN21" s="55">
        <f t="shared" si="111"/>
        <v>1360.0226041999999</v>
      </c>
      <c r="EP21" s="52"/>
      <c r="EQ21" s="52"/>
      <c r="ER21" s="52"/>
      <c r="ES21" s="55">
        <f t="shared" si="112"/>
        <v>32692.191699999999</v>
      </c>
      <c r="ET21" s="55">
        <f t="shared" si="112"/>
        <v>31635.603300000002</v>
      </c>
      <c r="EU21" s="55">
        <f t="shared" si="112"/>
        <v>1227.120602</v>
      </c>
      <c r="EV21" s="55">
        <f t="shared" si="112"/>
        <v>1176.3771127</v>
      </c>
      <c r="EW21" s="298">
        <f t="shared" si="113"/>
        <v>0.50821253394430821</v>
      </c>
      <c r="EX21" s="52"/>
      <c r="EY21" s="55">
        <f t="shared" si="114"/>
        <v>1227.1219416130416</v>
      </c>
      <c r="EZ21" s="55">
        <f t="shared" si="114"/>
        <v>1176.3761584130416</v>
      </c>
      <c r="FA21" s="55">
        <f t="shared" si="114"/>
        <v>1227.120602</v>
      </c>
      <c r="FB21" s="55">
        <f t="shared" si="114"/>
        <v>1176.3748188</v>
      </c>
      <c r="FD21" s="52"/>
      <c r="FE21" s="52"/>
      <c r="FF21" s="52"/>
      <c r="FG21" s="55">
        <f t="shared" si="115"/>
        <v>24837.329099999999</v>
      </c>
      <c r="FH21" s="55">
        <f t="shared" si="115"/>
        <v>23816.417500000003</v>
      </c>
      <c r="FI21" s="55">
        <f t="shared" si="115"/>
        <v>873.32663939999998</v>
      </c>
      <c r="FJ21" s="55">
        <f t="shared" si="115"/>
        <v>724.08746560000009</v>
      </c>
      <c r="FK21" s="298">
        <f t="shared" si="116"/>
        <v>0.51049160312764075</v>
      </c>
      <c r="FL21" s="52"/>
      <c r="FM21" s="55">
        <f t="shared" si="117"/>
        <v>873.32663939999998</v>
      </c>
      <c r="FN21" s="55">
        <f t="shared" si="117"/>
        <v>724.08746560000009</v>
      </c>
      <c r="FO21" s="55">
        <f t="shared" si="117"/>
        <v>873.32663939999998</v>
      </c>
      <c r="FP21" s="55">
        <f t="shared" si="117"/>
        <v>724.08746560000009</v>
      </c>
      <c r="FR21" s="52"/>
      <c r="FS21" s="52"/>
      <c r="FT21" s="52"/>
      <c r="FU21" s="55">
        <f t="shared" si="118"/>
        <v>26474.991699999999</v>
      </c>
      <c r="FV21" s="55">
        <f t="shared" si="118"/>
        <v>25540.919100000003</v>
      </c>
      <c r="FW21" s="55">
        <f t="shared" si="118"/>
        <v>495.44101600000005</v>
      </c>
      <c r="FX21" s="55">
        <f t="shared" si="118"/>
        <v>629.22879680000005</v>
      </c>
      <c r="FY21" s="298">
        <f t="shared" si="119"/>
        <v>0.50897872002656541</v>
      </c>
      <c r="FZ21" s="52"/>
      <c r="GA21" s="55">
        <f t="shared" si="120"/>
        <v>495.4425469863333</v>
      </c>
      <c r="GB21" s="55">
        <f t="shared" si="120"/>
        <v>629.22770618633331</v>
      </c>
      <c r="GC21" s="55">
        <f t="shared" si="120"/>
        <v>495.44101600000005</v>
      </c>
      <c r="GD21" s="55">
        <f t="shared" si="120"/>
        <v>629.22617519999994</v>
      </c>
      <c r="GF21" s="52"/>
      <c r="GG21" s="52"/>
      <c r="GH21" s="52"/>
      <c r="GI21" s="55">
        <f t="shared" si="191"/>
        <v>14085.265000000001</v>
      </c>
      <c r="GJ21" s="55">
        <f t="shared" si="191"/>
        <v>13415.0625</v>
      </c>
      <c r="GK21" s="56">
        <f t="shared" si="123"/>
        <v>33.634964250000003</v>
      </c>
      <c r="GL21" s="56">
        <f t="shared" si="123"/>
        <v>46.857113249999998</v>
      </c>
      <c r="GM21" s="298">
        <f t="shared" si="124"/>
        <v>0.51218535488350103</v>
      </c>
      <c r="GN21" s="52"/>
      <c r="GO21" s="56">
        <f t="shared" si="125"/>
        <v>33.634964250000003</v>
      </c>
      <c r="GP21" s="56">
        <f t="shared" si="125"/>
        <v>46.857113249999998</v>
      </c>
      <c r="GQ21" s="56">
        <f t="shared" si="125"/>
        <v>33.634964250000003</v>
      </c>
      <c r="GR21" s="56">
        <f t="shared" si="125"/>
        <v>46.857113249999998</v>
      </c>
      <c r="GW21" s="275">
        <v>0.83109999999999995</v>
      </c>
      <c r="GX21" s="275">
        <v>0.26340000000000002</v>
      </c>
      <c r="GY21" s="275">
        <v>0</v>
      </c>
      <c r="GZ21" s="275">
        <v>330.39080000000001</v>
      </c>
      <c r="HA21" s="275">
        <v>270.87</v>
      </c>
      <c r="HB21" s="49">
        <f t="shared" si="126"/>
        <v>545.85816899999998</v>
      </c>
      <c r="HC21" s="49">
        <f t="shared" si="127"/>
        <v>357.647154</v>
      </c>
      <c r="HD21" s="47">
        <f t="shared" si="128"/>
        <v>0</v>
      </c>
      <c r="HE21" s="47">
        <f t="shared" si="181"/>
        <v>0</v>
      </c>
      <c r="HF21" s="48">
        <f t="shared" si="182"/>
        <v>545.85816899999998</v>
      </c>
      <c r="HG21" s="48">
        <f t="shared" si="183"/>
        <v>357.647154</v>
      </c>
      <c r="HH21" s="93">
        <f t="shared" si="184"/>
        <v>545.85816899999998</v>
      </c>
      <c r="HI21" s="93">
        <f t="shared" si="185"/>
        <v>357.647154</v>
      </c>
      <c r="HJ21" s="298">
        <f t="shared" si="129"/>
        <v>0.54949665768997413</v>
      </c>
      <c r="HL21" s="275">
        <v>0</v>
      </c>
      <c r="HM21" s="275">
        <v>0.22270000000000001</v>
      </c>
      <c r="HN21" s="275">
        <v>0</v>
      </c>
      <c r="HO21" s="275">
        <v>3</v>
      </c>
      <c r="HP21" s="275">
        <v>6.75</v>
      </c>
      <c r="HQ21" s="49">
        <f t="shared" si="130"/>
        <v>0</v>
      </c>
      <c r="HR21" s="49">
        <f t="shared" si="131"/>
        <v>172.710531</v>
      </c>
      <c r="HS21" s="47">
        <f t="shared" si="132"/>
        <v>0</v>
      </c>
      <c r="HT21" s="47">
        <f t="shared" si="186"/>
        <v>0</v>
      </c>
      <c r="HU21" s="48">
        <f t="shared" si="187"/>
        <v>0</v>
      </c>
      <c r="HV21" s="48">
        <f t="shared" si="188"/>
        <v>172.710531</v>
      </c>
      <c r="HW21" s="93">
        <f t="shared" si="189"/>
        <v>0</v>
      </c>
      <c r="HX21" s="93">
        <f t="shared" si="190"/>
        <v>172.710531</v>
      </c>
      <c r="HY21" s="298">
        <f t="shared" si="133"/>
        <v>0.30769230769230771</v>
      </c>
    </row>
    <row r="22" spans="1:233" x14ac:dyDescent="0.2">
      <c r="A22" s="118">
        <v>12</v>
      </c>
      <c r="C22" s="275">
        <v>0.71630000000000005</v>
      </c>
      <c r="D22" s="275">
        <v>0.33879999999999999</v>
      </c>
      <c r="E22" s="275">
        <v>0</v>
      </c>
      <c r="F22" s="275">
        <v>12421.0825</v>
      </c>
      <c r="G22" s="275">
        <v>11638.986699999999</v>
      </c>
      <c r="H22" s="49">
        <f t="shared" si="100"/>
        <v>708.45651499999997</v>
      </c>
      <c r="I22" s="49">
        <f t="shared" si="100"/>
        <v>610.45661599999994</v>
      </c>
      <c r="J22" s="47">
        <f t="shared" si="100"/>
        <v>0</v>
      </c>
      <c r="K22" s="47">
        <f t="shared" si="134"/>
        <v>0</v>
      </c>
      <c r="L22" s="48">
        <f t="shared" si="135"/>
        <v>708.45651499999997</v>
      </c>
      <c r="M22" s="48">
        <f t="shared" si="136"/>
        <v>610.45661599999994</v>
      </c>
      <c r="N22" s="93">
        <f t="shared" si="137"/>
        <v>708.45651499999997</v>
      </c>
      <c r="O22" s="93">
        <f t="shared" si="138"/>
        <v>610.45661599999994</v>
      </c>
      <c r="P22" s="298">
        <f t="shared" si="101"/>
        <v>0.5162529831792837</v>
      </c>
      <c r="Q22" s="275">
        <v>0.95330000000000004</v>
      </c>
      <c r="R22" s="275">
        <v>0.42649999999999999</v>
      </c>
      <c r="S22" s="275">
        <v>0</v>
      </c>
      <c r="T22" s="275">
        <v>1667.3525</v>
      </c>
      <c r="U22" s="275">
        <v>1476.9367</v>
      </c>
      <c r="V22" s="49">
        <f t="shared" si="102"/>
        <v>584.36336700000004</v>
      </c>
      <c r="W22" s="49">
        <f t="shared" si="102"/>
        <v>495.02149000000003</v>
      </c>
      <c r="X22" s="47">
        <f t="shared" si="102"/>
        <v>0</v>
      </c>
      <c r="Y22" s="47">
        <f t="shared" si="139"/>
        <v>0</v>
      </c>
      <c r="Z22" s="48">
        <f t="shared" si="140"/>
        <v>584.36336700000004</v>
      </c>
      <c r="AA22" s="48">
        <f t="shared" si="141"/>
        <v>495.02149000000003</v>
      </c>
      <c r="AB22" s="93">
        <f t="shared" si="142"/>
        <v>584.36336700000004</v>
      </c>
      <c r="AC22" s="93">
        <f t="shared" si="143"/>
        <v>495.02149000000003</v>
      </c>
      <c r="AE22" s="275">
        <v>0.84189999999999998</v>
      </c>
      <c r="AF22" s="275">
        <v>0.18129999999999999</v>
      </c>
      <c r="AG22" s="275">
        <v>0</v>
      </c>
      <c r="AH22" s="275">
        <v>115.0483</v>
      </c>
      <c r="AI22" s="275">
        <v>109.16670000000001</v>
      </c>
      <c r="AJ22" s="49">
        <f t="shared" si="103"/>
        <v>394.74165299999999</v>
      </c>
      <c r="AK22" s="49">
        <f t="shared" si="103"/>
        <v>206.09821399999998</v>
      </c>
      <c r="AL22" s="47">
        <f t="shared" si="103"/>
        <v>0</v>
      </c>
      <c r="AM22" s="47">
        <f t="shared" si="144"/>
        <v>0</v>
      </c>
      <c r="AN22" s="48">
        <f t="shared" si="145"/>
        <v>394.74165299999999</v>
      </c>
      <c r="AO22" s="48">
        <f t="shared" si="146"/>
        <v>206.09821399999998</v>
      </c>
      <c r="AP22" s="93">
        <f t="shared" si="147"/>
        <v>394.74165299999999</v>
      </c>
      <c r="AQ22" s="93">
        <f t="shared" si="148"/>
        <v>206.09821399999998</v>
      </c>
      <c r="AS22" s="275">
        <v>0.61260000000000003</v>
      </c>
      <c r="AT22" s="275">
        <v>0.29849999999999999</v>
      </c>
      <c r="AU22" s="275">
        <v>0</v>
      </c>
      <c r="AV22" s="275">
        <v>9996.2657999999992</v>
      </c>
      <c r="AW22" s="275">
        <v>9362.0892000000003</v>
      </c>
      <c r="AX22" s="49">
        <f t="shared" si="104"/>
        <v>213.46047000000002</v>
      </c>
      <c r="AY22" s="49">
        <f t="shared" si="104"/>
        <v>208.91119499999999</v>
      </c>
      <c r="AZ22" s="47">
        <f t="shared" si="104"/>
        <v>0</v>
      </c>
      <c r="BA22" s="47">
        <f t="shared" si="149"/>
        <v>0</v>
      </c>
      <c r="BB22" s="48">
        <f t="shared" si="150"/>
        <v>213.46047000000002</v>
      </c>
      <c r="BC22" s="48">
        <f t="shared" si="151"/>
        <v>208.91119499999999</v>
      </c>
      <c r="BD22" s="93">
        <f t="shared" si="152"/>
        <v>213.46047000000002</v>
      </c>
      <c r="BE22" s="93">
        <f t="shared" si="153"/>
        <v>208.91119499999999</v>
      </c>
      <c r="BG22" s="275">
        <v>0.58379999999999999</v>
      </c>
      <c r="BH22" s="275">
        <v>0.31609999999999999</v>
      </c>
      <c r="BI22" s="275">
        <v>0</v>
      </c>
      <c r="BJ22" s="275">
        <v>4614.6517000000003</v>
      </c>
      <c r="BK22" s="275">
        <v>4296.1432999999997</v>
      </c>
      <c r="BL22" s="49">
        <f t="shared" si="105"/>
        <v>197.45283600000002</v>
      </c>
      <c r="BM22" s="49">
        <f t="shared" si="105"/>
        <v>189.17320599999999</v>
      </c>
      <c r="BN22" s="47">
        <f t="shared" si="105"/>
        <v>0</v>
      </c>
      <c r="BO22" s="47">
        <f t="shared" si="154"/>
        <v>0</v>
      </c>
      <c r="BP22" s="48">
        <f t="shared" si="155"/>
        <v>197.45283600000002</v>
      </c>
      <c r="BQ22" s="48">
        <f t="shared" si="156"/>
        <v>189.17320599999999</v>
      </c>
      <c r="BR22" s="93">
        <f t="shared" si="157"/>
        <v>197.45283600000002</v>
      </c>
      <c r="BS22" s="93">
        <f t="shared" si="158"/>
        <v>189.17320599999999</v>
      </c>
      <c r="BU22" s="275">
        <v>0.65569999999999995</v>
      </c>
      <c r="BV22" s="275">
        <v>0.3301</v>
      </c>
      <c r="BW22" s="275">
        <v>0</v>
      </c>
      <c r="BX22" s="275">
        <v>3643.9133000000002</v>
      </c>
      <c r="BY22" s="275">
        <v>3424.0142000000001</v>
      </c>
      <c r="BZ22" s="49">
        <f t="shared" si="106"/>
        <v>154.18129799999997</v>
      </c>
      <c r="CA22" s="49">
        <f t="shared" si="106"/>
        <v>118.680853</v>
      </c>
      <c r="CB22" s="47">
        <f t="shared" si="106"/>
        <v>0</v>
      </c>
      <c r="CC22" s="47">
        <f t="shared" si="159"/>
        <v>0</v>
      </c>
      <c r="CD22" s="48">
        <f t="shared" si="160"/>
        <v>154.18129799999997</v>
      </c>
      <c r="CE22" s="48">
        <f t="shared" si="161"/>
        <v>118.680853</v>
      </c>
      <c r="CF22" s="93">
        <f t="shared" si="162"/>
        <v>154.18129799999997</v>
      </c>
      <c r="CG22" s="93">
        <f t="shared" si="163"/>
        <v>118.680853</v>
      </c>
      <c r="CI22" s="275">
        <v>0.83309999999999995</v>
      </c>
      <c r="CJ22" s="275">
        <v>0.65869999999999995</v>
      </c>
      <c r="CK22" s="275">
        <v>0</v>
      </c>
      <c r="CL22" s="275">
        <v>18371.118299999998</v>
      </c>
      <c r="CM22" s="275">
        <v>17224.790799999999</v>
      </c>
      <c r="CN22" s="49">
        <f t="shared" si="107"/>
        <v>171.95184</v>
      </c>
      <c r="CO22" s="49">
        <f t="shared" si="107"/>
        <v>176.41303399999998</v>
      </c>
      <c r="CP22" s="47">
        <f t="shared" si="107"/>
        <v>0</v>
      </c>
      <c r="CQ22" s="47">
        <f t="shared" si="164"/>
        <v>0</v>
      </c>
      <c r="CR22" s="48">
        <f t="shared" si="165"/>
        <v>171.95184</v>
      </c>
      <c r="CS22" s="48">
        <f t="shared" si="166"/>
        <v>176.41303399999998</v>
      </c>
      <c r="CT22" s="93">
        <f t="shared" si="167"/>
        <v>171.95184</v>
      </c>
      <c r="CU22" s="93">
        <f t="shared" si="168"/>
        <v>176.41303399999998</v>
      </c>
      <c r="CW22" s="275">
        <v>2.7770000000000001</v>
      </c>
      <c r="CX22" s="275">
        <v>2.6568999999999998</v>
      </c>
      <c r="CY22" s="275">
        <v>1.8200000000000001E-2</v>
      </c>
      <c r="CZ22" s="275">
        <v>7482.6625000000004</v>
      </c>
      <c r="DA22" s="275">
        <v>7013.6882999999998</v>
      </c>
      <c r="DB22" s="49">
        <f t="shared" si="108"/>
        <v>576.47743000000003</v>
      </c>
      <c r="DC22" s="49">
        <f t="shared" si="108"/>
        <v>747.94391899999994</v>
      </c>
      <c r="DD22" s="47">
        <f t="shared" si="108"/>
        <v>5.2779999999999997E-3</v>
      </c>
      <c r="DE22" s="47">
        <f t="shared" si="169"/>
        <v>2.9806586910296018E-3</v>
      </c>
      <c r="DF22" s="48">
        <f t="shared" si="170"/>
        <v>576.48041065869108</v>
      </c>
      <c r="DG22" s="48">
        <f t="shared" si="171"/>
        <v>747.94162165869102</v>
      </c>
      <c r="DH22" s="93">
        <f t="shared" si="172"/>
        <v>576.47743000000003</v>
      </c>
      <c r="DI22" s="93">
        <f t="shared" si="173"/>
        <v>747.93864099999996</v>
      </c>
      <c r="DK22" s="275">
        <v>3.1846999999999999</v>
      </c>
      <c r="DL22" s="275">
        <v>3.3544999999999998</v>
      </c>
      <c r="DM22" s="275">
        <v>0</v>
      </c>
      <c r="DN22" s="275">
        <v>2043.8058000000001</v>
      </c>
      <c r="DO22" s="275">
        <v>1794.9258</v>
      </c>
      <c r="DP22" s="49">
        <f t="shared" si="109"/>
        <v>433.88352800000001</v>
      </c>
      <c r="DQ22" s="49">
        <f t="shared" si="109"/>
        <v>661.876395</v>
      </c>
      <c r="DR22" s="47">
        <f t="shared" si="109"/>
        <v>0</v>
      </c>
      <c r="DS22" s="47">
        <f t="shared" si="174"/>
        <v>0</v>
      </c>
      <c r="DT22" s="48">
        <f t="shared" si="175"/>
        <v>433.88352800000001</v>
      </c>
      <c r="DU22" s="48">
        <f t="shared" si="176"/>
        <v>661.876395</v>
      </c>
      <c r="DV22" s="93">
        <f t="shared" si="177"/>
        <v>433.88352800000001</v>
      </c>
      <c r="DW22" s="93">
        <f t="shared" si="178"/>
        <v>661.876395</v>
      </c>
      <c r="EB22" s="52"/>
      <c r="EC22" s="52"/>
      <c r="ED22" s="52"/>
      <c r="EE22" s="55">
        <f t="shared" si="179"/>
        <v>48271.129099999998</v>
      </c>
      <c r="EF22" s="55">
        <f t="shared" si="179"/>
        <v>45239.555</v>
      </c>
      <c r="EG22" s="55">
        <f t="shared" si="179"/>
        <v>1555.0507689999999</v>
      </c>
      <c r="EH22" s="55">
        <f t="shared" si="179"/>
        <v>1594.1359801999999</v>
      </c>
      <c r="EI22" s="298">
        <f t="shared" si="110"/>
        <v>0.51620977393747891</v>
      </c>
      <c r="EJ22" s="52"/>
      <c r="EK22" s="55">
        <f t="shared" si="180"/>
        <v>1555.0531535269529</v>
      </c>
      <c r="EL22" s="55">
        <f t="shared" si="180"/>
        <v>1594.1341423269528</v>
      </c>
      <c r="EM22" s="55">
        <f t="shared" si="111"/>
        <v>1555.0507689999999</v>
      </c>
      <c r="EN22" s="55">
        <f t="shared" si="111"/>
        <v>1594.1317577999998</v>
      </c>
      <c r="EP22" s="52"/>
      <c r="EQ22" s="52"/>
      <c r="ER22" s="52"/>
      <c r="ES22" s="55">
        <f t="shared" si="112"/>
        <v>32135.784999999996</v>
      </c>
      <c r="ET22" s="55">
        <f t="shared" si="112"/>
        <v>30011.559099999999</v>
      </c>
      <c r="EU22" s="55">
        <f t="shared" si="112"/>
        <v>1357.302244</v>
      </c>
      <c r="EV22" s="55">
        <f t="shared" si="112"/>
        <v>1384.1684732999997</v>
      </c>
      <c r="EW22" s="298">
        <f t="shared" si="113"/>
        <v>0.51709023877659155</v>
      </c>
      <c r="EX22" s="52"/>
      <c r="EY22" s="55">
        <f t="shared" si="114"/>
        <v>1357.3043304610837</v>
      </c>
      <c r="EZ22" s="55">
        <f t="shared" si="114"/>
        <v>1384.1668651610835</v>
      </c>
      <c r="FA22" s="55">
        <f t="shared" si="114"/>
        <v>1357.302244</v>
      </c>
      <c r="FB22" s="55">
        <f t="shared" si="114"/>
        <v>1384.1647786999999</v>
      </c>
      <c r="FD22" s="52"/>
      <c r="FE22" s="52"/>
      <c r="FF22" s="52"/>
      <c r="FG22" s="55">
        <f t="shared" si="115"/>
        <v>24173.885699999999</v>
      </c>
      <c r="FH22" s="55">
        <f t="shared" si="115"/>
        <v>22552.897499999999</v>
      </c>
      <c r="FI22" s="55">
        <f t="shared" si="115"/>
        <v>981.2049078</v>
      </c>
      <c r="FJ22" s="55">
        <f t="shared" si="115"/>
        <v>898.31793799999991</v>
      </c>
      <c r="FK22" s="298">
        <f t="shared" si="116"/>
        <v>0.51734538618956338</v>
      </c>
      <c r="FL22" s="52"/>
      <c r="FM22" s="55">
        <f t="shared" si="117"/>
        <v>981.2049078</v>
      </c>
      <c r="FN22" s="55">
        <f t="shared" si="117"/>
        <v>898.31793799999991</v>
      </c>
      <c r="FO22" s="55">
        <f t="shared" si="117"/>
        <v>981.2049078</v>
      </c>
      <c r="FP22" s="55">
        <f t="shared" si="117"/>
        <v>898.31793799999991</v>
      </c>
      <c r="FR22" s="52"/>
      <c r="FS22" s="52"/>
      <c r="FT22" s="52"/>
      <c r="FU22" s="55">
        <f t="shared" si="118"/>
        <v>25853.7808</v>
      </c>
      <c r="FV22" s="55">
        <f t="shared" si="118"/>
        <v>24238.479099999997</v>
      </c>
      <c r="FW22" s="55">
        <f t="shared" si="118"/>
        <v>633.13378400000011</v>
      </c>
      <c r="FX22" s="55">
        <f t="shared" si="118"/>
        <v>774.76816919999987</v>
      </c>
      <c r="FY22" s="298">
        <f t="shared" si="119"/>
        <v>0.51612326638112016</v>
      </c>
      <c r="FZ22" s="52"/>
      <c r="GA22" s="55">
        <f t="shared" si="120"/>
        <v>633.13616852695282</v>
      </c>
      <c r="GB22" s="55">
        <f t="shared" si="120"/>
        <v>774.76633132695292</v>
      </c>
      <c r="GC22" s="55">
        <f t="shared" si="120"/>
        <v>633.13378400000011</v>
      </c>
      <c r="GD22" s="55">
        <f t="shared" si="120"/>
        <v>774.76394679999999</v>
      </c>
      <c r="GF22" s="52"/>
      <c r="GG22" s="52"/>
      <c r="GH22" s="52"/>
      <c r="GI22" s="55">
        <f t="shared" si="191"/>
        <v>13640.179099999999</v>
      </c>
      <c r="GJ22" s="55">
        <f t="shared" si="191"/>
        <v>12786.1034</v>
      </c>
      <c r="GK22" s="56">
        <f t="shared" si="123"/>
        <v>44.459379000000034</v>
      </c>
      <c r="GL22" s="56">
        <f t="shared" si="123"/>
        <v>67.672756499999991</v>
      </c>
      <c r="GM22" s="298">
        <f t="shared" si="124"/>
        <v>0.51615958847030408</v>
      </c>
      <c r="GN22" s="52"/>
      <c r="GO22" s="56">
        <f t="shared" si="125"/>
        <v>44.459379000000034</v>
      </c>
      <c r="GP22" s="56">
        <f t="shared" si="125"/>
        <v>67.672756499999991</v>
      </c>
      <c r="GQ22" s="56">
        <f t="shared" si="125"/>
        <v>44.459379000000034</v>
      </c>
      <c r="GR22" s="56">
        <f t="shared" si="125"/>
        <v>67.672756499999991</v>
      </c>
      <c r="GW22" s="275">
        <v>0.81289999999999996</v>
      </c>
      <c r="GX22" s="275">
        <v>0.28839999999999999</v>
      </c>
      <c r="GY22" s="275">
        <v>0</v>
      </c>
      <c r="GZ22" s="275">
        <v>277.95580000000001</v>
      </c>
      <c r="HA22" s="275">
        <v>297.16579999999999</v>
      </c>
      <c r="HB22" s="49">
        <f t="shared" si="126"/>
        <v>533.90459099999998</v>
      </c>
      <c r="HC22" s="49">
        <f t="shared" si="127"/>
        <v>391.59240399999999</v>
      </c>
      <c r="HD22" s="47">
        <f t="shared" si="128"/>
        <v>0</v>
      </c>
      <c r="HE22" s="47">
        <f t="shared" si="181"/>
        <v>0</v>
      </c>
      <c r="HF22" s="48">
        <f t="shared" si="182"/>
        <v>533.90459099999998</v>
      </c>
      <c r="HG22" s="48">
        <f t="shared" si="183"/>
        <v>391.59240399999999</v>
      </c>
      <c r="HH22" s="93">
        <f t="shared" si="184"/>
        <v>533.90459099999998</v>
      </c>
      <c r="HI22" s="93">
        <f t="shared" si="185"/>
        <v>391.59240399999999</v>
      </c>
      <c r="HJ22" s="298">
        <f t="shared" si="129"/>
        <v>0.48329918403342881</v>
      </c>
      <c r="HL22" s="275">
        <v>0</v>
      </c>
      <c r="HM22" s="275">
        <v>0.251</v>
      </c>
      <c r="HN22" s="275">
        <v>0</v>
      </c>
      <c r="HO22" s="275">
        <v>9</v>
      </c>
      <c r="HP22" s="275">
        <v>6.6666999999999996</v>
      </c>
      <c r="HQ22" s="49">
        <f t="shared" si="130"/>
        <v>0</v>
      </c>
      <c r="HR22" s="49">
        <f t="shared" si="131"/>
        <v>194.65803</v>
      </c>
      <c r="HS22" s="47">
        <f t="shared" si="132"/>
        <v>0</v>
      </c>
      <c r="HT22" s="47">
        <f t="shared" si="186"/>
        <v>0</v>
      </c>
      <c r="HU22" s="48">
        <f t="shared" si="187"/>
        <v>0</v>
      </c>
      <c r="HV22" s="48">
        <f t="shared" si="188"/>
        <v>194.65803</v>
      </c>
      <c r="HW22" s="93">
        <f t="shared" si="189"/>
        <v>0</v>
      </c>
      <c r="HX22" s="93">
        <f t="shared" si="190"/>
        <v>194.65803</v>
      </c>
      <c r="HY22" s="298">
        <f t="shared" si="133"/>
        <v>0.57446686283646209</v>
      </c>
    </row>
    <row r="23" spans="1:233" x14ac:dyDescent="0.2">
      <c r="A23" s="118">
        <v>13</v>
      </c>
      <c r="C23" s="275">
        <v>0.71220000000000006</v>
      </c>
      <c r="D23" s="275">
        <v>0.36609999999999998</v>
      </c>
      <c r="E23" s="275">
        <v>0</v>
      </c>
      <c r="F23" s="275">
        <v>12107.109200000001</v>
      </c>
      <c r="G23" s="275">
        <v>11635.2675</v>
      </c>
      <c r="H23" s="49">
        <f t="shared" si="100"/>
        <v>704.40141000000006</v>
      </c>
      <c r="I23" s="49">
        <f t="shared" si="100"/>
        <v>659.64630199999999</v>
      </c>
      <c r="J23" s="47">
        <f t="shared" si="100"/>
        <v>0</v>
      </c>
      <c r="K23" s="47">
        <f t="shared" si="134"/>
        <v>0</v>
      </c>
      <c r="L23" s="48">
        <f t="shared" si="135"/>
        <v>704.40141000000006</v>
      </c>
      <c r="M23" s="48">
        <f t="shared" si="136"/>
        <v>659.64630199999999</v>
      </c>
      <c r="N23" s="93">
        <f t="shared" si="137"/>
        <v>704.40141000000006</v>
      </c>
      <c r="O23" s="93">
        <f t="shared" si="138"/>
        <v>659.64630199999999</v>
      </c>
      <c r="P23" s="298">
        <f t="shared" si="101"/>
        <v>0.50993669896577798</v>
      </c>
      <c r="Q23" s="275">
        <v>0.96009999999999995</v>
      </c>
      <c r="R23" s="275">
        <v>0.46539999999999998</v>
      </c>
      <c r="S23" s="275">
        <v>1.9E-3</v>
      </c>
      <c r="T23" s="275">
        <v>1589.7175</v>
      </c>
      <c r="U23" s="275">
        <v>1464.5925</v>
      </c>
      <c r="V23" s="49">
        <f t="shared" si="102"/>
        <v>588.531699</v>
      </c>
      <c r="W23" s="49">
        <f t="shared" si="102"/>
        <v>540.17116399999998</v>
      </c>
      <c r="X23" s="47">
        <f t="shared" si="102"/>
        <v>0.41095100000000001</v>
      </c>
      <c r="Y23" s="47">
        <f t="shared" si="139"/>
        <v>0.19667167267295574</v>
      </c>
      <c r="Z23" s="48">
        <f t="shared" si="140"/>
        <v>588.72837067267301</v>
      </c>
      <c r="AA23" s="48">
        <f t="shared" si="141"/>
        <v>539.95688467267303</v>
      </c>
      <c r="AB23" s="93">
        <f t="shared" si="142"/>
        <v>588.531699</v>
      </c>
      <c r="AC23" s="93">
        <f t="shared" si="143"/>
        <v>539.76021300000002</v>
      </c>
      <c r="AE23" s="275">
        <v>0.84089999999999998</v>
      </c>
      <c r="AF23" s="275">
        <v>0.20880000000000001</v>
      </c>
      <c r="AG23" s="275">
        <v>0</v>
      </c>
      <c r="AH23" s="275">
        <v>110.16500000000001</v>
      </c>
      <c r="AI23" s="275">
        <v>96.328299999999999</v>
      </c>
      <c r="AJ23" s="49">
        <f t="shared" si="103"/>
        <v>394.272783</v>
      </c>
      <c r="AK23" s="49">
        <f t="shared" si="103"/>
        <v>237.35966400000001</v>
      </c>
      <c r="AL23" s="47">
        <f t="shared" si="103"/>
        <v>0</v>
      </c>
      <c r="AM23" s="47">
        <f t="shared" si="144"/>
        <v>0</v>
      </c>
      <c r="AN23" s="48">
        <f t="shared" si="145"/>
        <v>394.272783</v>
      </c>
      <c r="AO23" s="48">
        <f t="shared" si="146"/>
        <v>237.35966400000001</v>
      </c>
      <c r="AP23" s="93">
        <f t="shared" si="147"/>
        <v>394.272783</v>
      </c>
      <c r="AQ23" s="93">
        <f t="shared" si="148"/>
        <v>237.35966400000001</v>
      </c>
      <c r="AS23" s="275">
        <v>0.68940000000000001</v>
      </c>
      <c r="AT23" s="275">
        <v>0.378</v>
      </c>
      <c r="AU23" s="275">
        <v>0</v>
      </c>
      <c r="AV23" s="275">
        <v>9766.4192000000003</v>
      </c>
      <c r="AW23" s="275">
        <v>9240.5208000000002</v>
      </c>
      <c r="AX23" s="49">
        <f t="shared" si="104"/>
        <v>240.22143</v>
      </c>
      <c r="AY23" s="49">
        <f t="shared" si="104"/>
        <v>264.55086</v>
      </c>
      <c r="AZ23" s="47">
        <f t="shared" si="104"/>
        <v>0</v>
      </c>
      <c r="BA23" s="47">
        <f t="shared" si="149"/>
        <v>0</v>
      </c>
      <c r="BB23" s="48">
        <f t="shared" si="150"/>
        <v>240.22143</v>
      </c>
      <c r="BC23" s="48">
        <f t="shared" si="151"/>
        <v>264.55086</v>
      </c>
      <c r="BD23" s="93">
        <f t="shared" si="152"/>
        <v>240.22143</v>
      </c>
      <c r="BE23" s="93">
        <f t="shared" si="153"/>
        <v>264.55086</v>
      </c>
      <c r="BG23" s="275">
        <v>0.64839999999999998</v>
      </c>
      <c r="BH23" s="275">
        <v>0.39040000000000002</v>
      </c>
      <c r="BI23" s="275">
        <v>0</v>
      </c>
      <c r="BJ23" s="275">
        <v>4283.24</v>
      </c>
      <c r="BK23" s="275">
        <v>4256.0416999999998</v>
      </c>
      <c r="BL23" s="49">
        <f t="shared" si="105"/>
        <v>219.30184800000001</v>
      </c>
      <c r="BM23" s="49">
        <f t="shared" si="105"/>
        <v>233.63878400000002</v>
      </c>
      <c r="BN23" s="47">
        <f t="shared" si="105"/>
        <v>0</v>
      </c>
      <c r="BO23" s="47">
        <f t="shared" si="154"/>
        <v>0</v>
      </c>
      <c r="BP23" s="48">
        <f t="shared" si="155"/>
        <v>219.30184800000001</v>
      </c>
      <c r="BQ23" s="48">
        <f t="shared" si="156"/>
        <v>233.63878400000002</v>
      </c>
      <c r="BR23" s="93">
        <f t="shared" si="157"/>
        <v>219.30184800000001</v>
      </c>
      <c r="BS23" s="93">
        <f t="shared" si="158"/>
        <v>233.63878400000002</v>
      </c>
      <c r="BU23" s="275">
        <v>0.70889999999999997</v>
      </c>
      <c r="BV23" s="275">
        <v>0.46250000000000002</v>
      </c>
      <c r="BW23" s="275">
        <v>0</v>
      </c>
      <c r="BX23" s="275">
        <v>3769.3566999999998</v>
      </c>
      <c r="BY23" s="275">
        <v>3545.3757999999998</v>
      </c>
      <c r="BZ23" s="49">
        <f t="shared" si="106"/>
        <v>166.69074599999999</v>
      </c>
      <c r="CA23" s="49">
        <f t="shared" si="106"/>
        <v>166.282625</v>
      </c>
      <c r="CB23" s="47">
        <f t="shared" si="106"/>
        <v>0</v>
      </c>
      <c r="CC23" s="47">
        <f t="shared" si="159"/>
        <v>0</v>
      </c>
      <c r="CD23" s="48">
        <f t="shared" si="160"/>
        <v>166.69074599999999</v>
      </c>
      <c r="CE23" s="48">
        <f t="shared" si="161"/>
        <v>166.282625</v>
      </c>
      <c r="CF23" s="93">
        <f t="shared" si="162"/>
        <v>166.69074599999999</v>
      </c>
      <c r="CG23" s="93">
        <f t="shared" si="163"/>
        <v>166.282625</v>
      </c>
      <c r="CI23" s="275">
        <v>0.87470000000000003</v>
      </c>
      <c r="CJ23" s="275">
        <v>0.70889999999999997</v>
      </c>
      <c r="CK23" s="275">
        <v>0</v>
      </c>
      <c r="CL23" s="275">
        <v>17962.7667</v>
      </c>
      <c r="CM23" s="275">
        <v>17232.708299999998</v>
      </c>
      <c r="CN23" s="49">
        <f t="shared" si="107"/>
        <v>180.53808000000001</v>
      </c>
      <c r="CO23" s="49">
        <f t="shared" si="107"/>
        <v>189.857598</v>
      </c>
      <c r="CP23" s="47">
        <f t="shared" si="107"/>
        <v>0</v>
      </c>
      <c r="CQ23" s="47">
        <f t="shared" si="164"/>
        <v>0</v>
      </c>
      <c r="CR23" s="48">
        <f t="shared" si="165"/>
        <v>180.53808000000001</v>
      </c>
      <c r="CS23" s="48">
        <f t="shared" si="166"/>
        <v>189.857598</v>
      </c>
      <c r="CT23" s="93">
        <f t="shared" si="167"/>
        <v>180.53808000000001</v>
      </c>
      <c r="CU23" s="93">
        <f t="shared" si="168"/>
        <v>189.857598</v>
      </c>
      <c r="CW23" s="275">
        <v>3.4605000000000001</v>
      </c>
      <c r="CX23" s="275">
        <v>3.0139999999999998</v>
      </c>
      <c r="CY23" s="275">
        <v>2.63E-2</v>
      </c>
      <c r="CZ23" s="275">
        <v>7246.3625000000002</v>
      </c>
      <c r="DA23" s="275">
        <v>6872.4549999999999</v>
      </c>
      <c r="DB23" s="49">
        <f t="shared" si="108"/>
        <v>718.36519500000009</v>
      </c>
      <c r="DC23" s="49">
        <f t="shared" si="108"/>
        <v>848.47113999999988</v>
      </c>
      <c r="DD23" s="47">
        <f t="shared" si="108"/>
        <v>7.6269999999999992E-3</v>
      </c>
      <c r="DE23" s="47">
        <f t="shared" si="169"/>
        <v>4.1301629533501971E-3</v>
      </c>
      <c r="DF23" s="48">
        <f t="shared" si="170"/>
        <v>718.36932516295349</v>
      </c>
      <c r="DG23" s="48">
        <f t="shared" si="171"/>
        <v>848.46764316295332</v>
      </c>
      <c r="DH23" s="93">
        <f t="shared" si="172"/>
        <v>718.36519500000009</v>
      </c>
      <c r="DI23" s="93">
        <f t="shared" si="173"/>
        <v>848.46351299999992</v>
      </c>
      <c r="DK23" s="275">
        <v>4.3132000000000001</v>
      </c>
      <c r="DL23" s="275">
        <v>4.0168999999999997</v>
      </c>
      <c r="DM23" s="275">
        <v>1.6999999999999999E-3</v>
      </c>
      <c r="DN23" s="275">
        <v>1902.3267000000001</v>
      </c>
      <c r="DO23" s="275">
        <v>1843.2908</v>
      </c>
      <c r="DP23" s="49">
        <f t="shared" si="109"/>
        <v>587.63036800000009</v>
      </c>
      <c r="DQ23" s="49">
        <f t="shared" si="109"/>
        <v>792.57453899999996</v>
      </c>
      <c r="DR23" s="47">
        <f t="shared" si="109"/>
        <v>3.7399999999999998E-4</v>
      </c>
      <c r="DS23" s="47">
        <f t="shared" si="174"/>
        <v>2.1476729729232873E-4</v>
      </c>
      <c r="DT23" s="48">
        <f t="shared" si="175"/>
        <v>587.63058276729737</v>
      </c>
      <c r="DU23" s="48">
        <f t="shared" si="176"/>
        <v>792.57437976729727</v>
      </c>
      <c r="DV23" s="93">
        <f t="shared" si="177"/>
        <v>587.63036800000009</v>
      </c>
      <c r="DW23" s="93">
        <f t="shared" si="178"/>
        <v>792.57416499999999</v>
      </c>
      <c r="EB23" s="52"/>
      <c r="EC23" s="52"/>
      <c r="ED23" s="52"/>
      <c r="EE23" s="55">
        <f t="shared" si="179"/>
        <v>47082.657600000006</v>
      </c>
      <c r="EF23" s="55">
        <f t="shared" si="179"/>
        <v>44980.9516</v>
      </c>
      <c r="EG23" s="55">
        <f t="shared" si="179"/>
        <v>1699.8530760000001</v>
      </c>
      <c r="EH23" s="55">
        <f t="shared" si="179"/>
        <v>1792.8316719999998</v>
      </c>
      <c r="EI23" s="298">
        <f t="shared" si="110"/>
        <v>0.51141442323553832</v>
      </c>
      <c r="EJ23" s="52"/>
      <c r="EK23" s="55">
        <f t="shared" si="180"/>
        <v>1699.8563801303628</v>
      </c>
      <c r="EL23" s="55">
        <f t="shared" si="180"/>
        <v>1792.8288745303626</v>
      </c>
      <c r="EM23" s="55">
        <f t="shared" si="111"/>
        <v>1699.8530760000001</v>
      </c>
      <c r="EN23" s="55">
        <f t="shared" si="111"/>
        <v>1792.8255703999998</v>
      </c>
      <c r="EP23" s="52"/>
      <c r="EQ23" s="52"/>
      <c r="ER23" s="52"/>
      <c r="ES23" s="55">
        <f t="shared" si="112"/>
        <v>31082.0867</v>
      </c>
      <c r="ET23" s="55">
        <f t="shared" si="112"/>
        <v>29825.797500000001</v>
      </c>
      <c r="EU23" s="55">
        <f t="shared" si="112"/>
        <v>1491.2272634999999</v>
      </c>
      <c r="EV23" s="55">
        <f t="shared" si="112"/>
        <v>1557.5973439999998</v>
      </c>
      <c r="EW23" s="298">
        <f t="shared" si="113"/>
        <v>0.51031302610902385</v>
      </c>
      <c r="EX23" s="52"/>
      <c r="EY23" s="55">
        <f t="shared" si="114"/>
        <v>1491.4268262867404</v>
      </c>
      <c r="EZ23" s="55">
        <f t="shared" si="114"/>
        <v>1557.3806168867402</v>
      </c>
      <c r="FA23" s="55">
        <f t="shared" si="114"/>
        <v>1491.2272634999999</v>
      </c>
      <c r="FB23" s="55">
        <f t="shared" si="114"/>
        <v>1557.1810541</v>
      </c>
      <c r="FD23" s="52"/>
      <c r="FE23" s="52"/>
      <c r="FF23" s="52"/>
      <c r="FG23" s="55">
        <f t="shared" si="115"/>
        <v>23744.615100000003</v>
      </c>
      <c r="FH23" s="55">
        <f t="shared" si="115"/>
        <v>22717.703199999996</v>
      </c>
      <c r="FI23" s="55">
        <f t="shared" si="115"/>
        <v>1094.0798298</v>
      </c>
      <c r="FJ23" s="55">
        <f t="shared" si="115"/>
        <v>1069.0446103999998</v>
      </c>
      <c r="FK23" s="298">
        <f t="shared" si="116"/>
        <v>0.511051018734896</v>
      </c>
      <c r="FL23" s="52"/>
      <c r="FM23" s="55">
        <f t="shared" si="117"/>
        <v>1094.0799586603785</v>
      </c>
      <c r="FN23" s="55">
        <f t="shared" si="117"/>
        <v>1069.0445148603783</v>
      </c>
      <c r="FO23" s="55">
        <f t="shared" si="117"/>
        <v>1094.0798298</v>
      </c>
      <c r="FP23" s="55">
        <f t="shared" si="117"/>
        <v>1069.044386</v>
      </c>
      <c r="FR23" s="52"/>
      <c r="FS23" s="52"/>
      <c r="FT23" s="52"/>
      <c r="FU23" s="55">
        <f t="shared" si="118"/>
        <v>25209.129199999999</v>
      </c>
      <c r="FV23" s="55">
        <f t="shared" si="118"/>
        <v>24105.1633</v>
      </c>
      <c r="FW23" s="55">
        <f t="shared" si="118"/>
        <v>755.2302360000001</v>
      </c>
      <c r="FX23" s="55">
        <f t="shared" si="118"/>
        <v>868.63450999999986</v>
      </c>
      <c r="FY23" s="298">
        <f t="shared" si="119"/>
        <v>0.51119316372631729</v>
      </c>
      <c r="FZ23" s="52"/>
      <c r="GA23" s="55">
        <f t="shared" si="120"/>
        <v>755.23354013036283</v>
      </c>
      <c r="GB23" s="55">
        <f t="shared" si="120"/>
        <v>868.63171253036262</v>
      </c>
      <c r="GC23" s="55">
        <f t="shared" si="120"/>
        <v>755.2302360000001</v>
      </c>
      <c r="GD23" s="55">
        <f t="shared" si="120"/>
        <v>868.6284083999999</v>
      </c>
      <c r="GF23" s="52"/>
      <c r="GG23" s="52"/>
      <c r="GH23" s="52"/>
      <c r="GI23" s="55">
        <f t="shared" si="191"/>
        <v>13535.775900000001</v>
      </c>
      <c r="GJ23" s="55">
        <f t="shared" si="191"/>
        <v>12785.8966</v>
      </c>
      <c r="GK23" s="56">
        <f t="shared" si="123"/>
        <v>55.148013000000006</v>
      </c>
      <c r="GL23" s="56">
        <f t="shared" si="123"/>
        <v>73.701176250000003</v>
      </c>
      <c r="GM23" s="298">
        <f t="shared" si="124"/>
        <v>0.51424452226582484</v>
      </c>
      <c r="GN23" s="52"/>
      <c r="GO23" s="56">
        <f t="shared" si="125"/>
        <v>55.148013000000006</v>
      </c>
      <c r="GP23" s="56">
        <f t="shared" si="125"/>
        <v>73.701176250000003</v>
      </c>
      <c r="GQ23" s="56">
        <f t="shared" si="125"/>
        <v>55.148013000000006</v>
      </c>
      <c r="GR23" s="56">
        <f t="shared" si="125"/>
        <v>73.701176250000003</v>
      </c>
      <c r="GW23" s="275">
        <v>0.79369999999999996</v>
      </c>
      <c r="GX23" s="275">
        <v>0.31830000000000003</v>
      </c>
      <c r="GY23" s="275">
        <v>0</v>
      </c>
      <c r="GZ23" s="275">
        <v>271.26330000000002</v>
      </c>
      <c r="HA23" s="275">
        <v>246.13249999999999</v>
      </c>
      <c r="HB23" s="49">
        <f t="shared" si="126"/>
        <v>521.29422299999999</v>
      </c>
      <c r="HC23" s="49">
        <f t="shared" si="127"/>
        <v>432.190923</v>
      </c>
      <c r="HD23" s="47">
        <f t="shared" si="128"/>
        <v>0</v>
      </c>
      <c r="HE23" s="47">
        <f t="shared" si="181"/>
        <v>0</v>
      </c>
      <c r="HF23" s="48">
        <f t="shared" si="182"/>
        <v>521.29422299999999</v>
      </c>
      <c r="HG23" s="48">
        <f t="shared" si="183"/>
        <v>432.190923</v>
      </c>
      <c r="HH23" s="93">
        <f t="shared" si="184"/>
        <v>521.29422299999999</v>
      </c>
      <c r="HI23" s="93">
        <f t="shared" si="185"/>
        <v>432.190923</v>
      </c>
      <c r="HJ23" s="298">
        <f t="shared" si="129"/>
        <v>0.52428585620524948</v>
      </c>
      <c r="HL23" s="275">
        <v>1.5100000000000001E-2</v>
      </c>
      <c r="HM23" s="275">
        <v>0.27939999999999998</v>
      </c>
      <c r="HN23" s="275">
        <v>0</v>
      </c>
      <c r="HO23" s="275">
        <v>11.083299999999999</v>
      </c>
      <c r="HP23" s="275">
        <v>11.583299999999999</v>
      </c>
      <c r="HQ23" s="49">
        <f t="shared" si="130"/>
        <v>8.0279150000000001</v>
      </c>
      <c r="HR23" s="49">
        <f t="shared" si="131"/>
        <v>216.68308199999998</v>
      </c>
      <c r="HS23" s="47">
        <f t="shared" si="132"/>
        <v>0</v>
      </c>
      <c r="HT23" s="47">
        <f t="shared" si="186"/>
        <v>0</v>
      </c>
      <c r="HU23" s="48">
        <f t="shared" si="187"/>
        <v>8.0279150000000001</v>
      </c>
      <c r="HV23" s="48">
        <f t="shared" si="188"/>
        <v>216.68308199999998</v>
      </c>
      <c r="HW23" s="93">
        <f t="shared" si="189"/>
        <v>8.0279150000000001</v>
      </c>
      <c r="HX23" s="93">
        <f t="shared" si="190"/>
        <v>216.68308199999998</v>
      </c>
      <c r="HY23" s="298">
        <f t="shared" si="133"/>
        <v>0.48897055579575233</v>
      </c>
    </row>
    <row r="24" spans="1:233" x14ac:dyDescent="0.2">
      <c r="A24" s="118">
        <v>14</v>
      </c>
      <c r="C24" s="275">
        <v>0.71009999999999995</v>
      </c>
      <c r="D24" s="275">
        <v>0.39679999999999999</v>
      </c>
      <c r="E24" s="275">
        <v>0</v>
      </c>
      <c r="F24" s="275">
        <v>11533.8433</v>
      </c>
      <c r="G24" s="275">
        <v>11297.4267</v>
      </c>
      <c r="H24" s="49">
        <f t="shared" si="100"/>
        <v>702.32440499999996</v>
      </c>
      <c r="I24" s="49">
        <f t="shared" si="100"/>
        <v>714.962176</v>
      </c>
      <c r="J24" s="47">
        <f t="shared" si="100"/>
        <v>0</v>
      </c>
      <c r="K24" s="47">
        <f t="shared" si="134"/>
        <v>0</v>
      </c>
      <c r="L24" s="48">
        <f t="shared" si="135"/>
        <v>702.32440499999996</v>
      </c>
      <c r="M24" s="48">
        <f t="shared" si="136"/>
        <v>714.962176</v>
      </c>
      <c r="N24" s="93">
        <f t="shared" si="137"/>
        <v>702.32440499999996</v>
      </c>
      <c r="O24" s="93">
        <f t="shared" si="138"/>
        <v>714.962176</v>
      </c>
      <c r="P24" s="298">
        <f t="shared" si="101"/>
        <v>0.50517747370163812</v>
      </c>
      <c r="Q24" s="275">
        <v>0.96519999999999995</v>
      </c>
      <c r="R24" s="275">
        <v>0.50700000000000001</v>
      </c>
      <c r="S24" s="275">
        <v>7.7000000000000002E-3</v>
      </c>
      <c r="T24" s="275">
        <v>1582.9783</v>
      </c>
      <c r="U24" s="275">
        <v>1561.0782999999999</v>
      </c>
      <c r="V24" s="49">
        <f t="shared" si="102"/>
        <v>591.65794800000003</v>
      </c>
      <c r="W24" s="49">
        <f t="shared" si="102"/>
        <v>588.45462000000009</v>
      </c>
      <c r="X24" s="47">
        <f t="shared" si="102"/>
        <v>1.6654329999999999</v>
      </c>
      <c r="Y24" s="47">
        <f t="shared" si="139"/>
        <v>0.83045615284936114</v>
      </c>
      <c r="Z24" s="48">
        <f t="shared" si="140"/>
        <v>592.4884041528494</v>
      </c>
      <c r="AA24" s="48">
        <f t="shared" si="141"/>
        <v>587.61964315284945</v>
      </c>
      <c r="AB24" s="93">
        <f t="shared" si="142"/>
        <v>591.65794800000003</v>
      </c>
      <c r="AC24" s="93">
        <f t="shared" si="143"/>
        <v>586.78918700000008</v>
      </c>
      <c r="AE24" s="275">
        <v>0.83709999999999996</v>
      </c>
      <c r="AF24" s="275">
        <v>0.24110000000000001</v>
      </c>
      <c r="AG24" s="275">
        <v>1.6799999999999999E-2</v>
      </c>
      <c r="AH24" s="275">
        <v>127.4067</v>
      </c>
      <c r="AI24" s="275">
        <v>120.8458</v>
      </c>
      <c r="AJ24" s="49">
        <f t="shared" si="103"/>
        <v>392.49107699999996</v>
      </c>
      <c r="AK24" s="49">
        <f t="shared" si="103"/>
        <v>274.07765799999999</v>
      </c>
      <c r="AL24" s="47">
        <f t="shared" si="103"/>
        <v>3.3588239999999998</v>
      </c>
      <c r="AM24" s="47">
        <f t="shared" si="144"/>
        <v>1.3810707991790103</v>
      </c>
      <c r="AN24" s="48">
        <f t="shared" si="145"/>
        <v>393.87214779917895</v>
      </c>
      <c r="AO24" s="48">
        <f t="shared" si="146"/>
        <v>272.09990479917894</v>
      </c>
      <c r="AP24" s="93">
        <f t="shared" si="147"/>
        <v>392.49107699999996</v>
      </c>
      <c r="AQ24" s="93">
        <f t="shared" si="148"/>
        <v>270.71883399999996</v>
      </c>
      <c r="AS24" s="275">
        <v>0.76490000000000002</v>
      </c>
      <c r="AT24" s="275">
        <v>0.46189999999999998</v>
      </c>
      <c r="AU24" s="275">
        <v>0</v>
      </c>
      <c r="AV24" s="275">
        <v>9310.2999999999993</v>
      </c>
      <c r="AW24" s="275">
        <v>8982.5607999999993</v>
      </c>
      <c r="AX24" s="49">
        <f t="shared" si="104"/>
        <v>266.529405</v>
      </c>
      <c r="AY24" s="49">
        <f t="shared" si="104"/>
        <v>323.26995299999999</v>
      </c>
      <c r="AZ24" s="47">
        <f t="shared" si="104"/>
        <v>0</v>
      </c>
      <c r="BA24" s="47">
        <f t="shared" si="149"/>
        <v>0</v>
      </c>
      <c r="BB24" s="48">
        <f t="shared" si="150"/>
        <v>266.529405</v>
      </c>
      <c r="BC24" s="48">
        <f t="shared" si="151"/>
        <v>323.26995299999999</v>
      </c>
      <c r="BD24" s="93">
        <f t="shared" si="152"/>
        <v>266.529405</v>
      </c>
      <c r="BE24" s="93">
        <f t="shared" si="153"/>
        <v>323.26995299999999</v>
      </c>
      <c r="BG24" s="275">
        <v>0.71309999999999996</v>
      </c>
      <c r="BH24" s="275">
        <v>0.46860000000000002</v>
      </c>
      <c r="BI24" s="275">
        <v>5.9999999999999995E-4</v>
      </c>
      <c r="BJ24" s="275">
        <v>4168.5424999999996</v>
      </c>
      <c r="BK24" s="275">
        <v>4188.7392</v>
      </c>
      <c r="BL24" s="49">
        <f t="shared" si="105"/>
        <v>241.18468200000001</v>
      </c>
      <c r="BM24" s="49">
        <f t="shared" si="105"/>
        <v>280.438356</v>
      </c>
      <c r="BN24" s="47">
        <f t="shared" si="105"/>
        <v>0.13826999999999998</v>
      </c>
      <c r="BO24" s="47">
        <f t="shared" si="154"/>
        <v>7.4337612910647541E-2</v>
      </c>
      <c r="BP24" s="48">
        <f t="shared" si="155"/>
        <v>241.25901961291066</v>
      </c>
      <c r="BQ24" s="48">
        <f t="shared" si="156"/>
        <v>280.37442361291068</v>
      </c>
      <c r="BR24" s="93">
        <f t="shared" si="157"/>
        <v>241.18468200000001</v>
      </c>
      <c r="BS24" s="93">
        <f t="shared" si="158"/>
        <v>280.30008600000002</v>
      </c>
      <c r="BU24" s="275">
        <v>0.76359999999999995</v>
      </c>
      <c r="BV24" s="275">
        <v>0.57820000000000005</v>
      </c>
      <c r="BW24" s="275">
        <v>0</v>
      </c>
      <c r="BX24" s="275">
        <v>3664.9308000000001</v>
      </c>
      <c r="BY24" s="275">
        <v>3608.86</v>
      </c>
      <c r="BZ24" s="49">
        <f t="shared" si="106"/>
        <v>179.55290399999998</v>
      </c>
      <c r="CA24" s="49">
        <f t="shared" si="106"/>
        <v>207.880246</v>
      </c>
      <c r="CB24" s="47">
        <f t="shared" si="106"/>
        <v>0</v>
      </c>
      <c r="CC24" s="47">
        <f t="shared" si="159"/>
        <v>0</v>
      </c>
      <c r="CD24" s="48">
        <f t="shared" si="160"/>
        <v>179.55290399999998</v>
      </c>
      <c r="CE24" s="48">
        <f t="shared" si="161"/>
        <v>207.880246</v>
      </c>
      <c r="CF24" s="93">
        <f t="shared" si="162"/>
        <v>179.55290399999998</v>
      </c>
      <c r="CG24" s="93">
        <f t="shared" si="163"/>
        <v>207.880246</v>
      </c>
      <c r="CI24" s="275">
        <v>0.91510000000000002</v>
      </c>
      <c r="CJ24" s="275">
        <v>0.75590000000000002</v>
      </c>
      <c r="CK24" s="275">
        <v>0</v>
      </c>
      <c r="CL24" s="275">
        <v>17297.144199999999</v>
      </c>
      <c r="CM24" s="275">
        <v>16912.501700000001</v>
      </c>
      <c r="CN24" s="49">
        <f t="shared" si="107"/>
        <v>188.87664000000001</v>
      </c>
      <c r="CO24" s="49">
        <f t="shared" si="107"/>
        <v>202.44513799999999</v>
      </c>
      <c r="CP24" s="47">
        <f t="shared" si="107"/>
        <v>0</v>
      </c>
      <c r="CQ24" s="47">
        <f t="shared" si="164"/>
        <v>0</v>
      </c>
      <c r="CR24" s="48">
        <f t="shared" si="165"/>
        <v>188.87664000000001</v>
      </c>
      <c r="CS24" s="48">
        <f t="shared" si="166"/>
        <v>202.44513799999999</v>
      </c>
      <c r="CT24" s="93">
        <f t="shared" si="167"/>
        <v>188.87664000000001</v>
      </c>
      <c r="CU24" s="93">
        <f t="shared" si="168"/>
        <v>202.44513799999999</v>
      </c>
      <c r="CW24" s="275">
        <v>3.6983999999999999</v>
      </c>
      <c r="CX24" s="275">
        <v>2.9762</v>
      </c>
      <c r="CY24" s="275">
        <v>3.5400000000000001E-2</v>
      </c>
      <c r="CZ24" s="275">
        <v>6879.8266999999996</v>
      </c>
      <c r="DA24" s="275">
        <v>6801</v>
      </c>
      <c r="DB24" s="49">
        <f t="shared" si="108"/>
        <v>767.750856</v>
      </c>
      <c r="DC24" s="49">
        <f t="shared" si="108"/>
        <v>837.830062</v>
      </c>
      <c r="DD24" s="47">
        <f t="shared" si="108"/>
        <v>1.0265999999999999E-2</v>
      </c>
      <c r="DE24" s="47">
        <f t="shared" si="169"/>
        <v>5.357041379892632E-3</v>
      </c>
      <c r="DF24" s="48">
        <f t="shared" si="170"/>
        <v>767.75621304137985</v>
      </c>
      <c r="DG24" s="48">
        <f t="shared" si="171"/>
        <v>837.82515304137985</v>
      </c>
      <c r="DH24" s="93">
        <f t="shared" si="172"/>
        <v>767.750856</v>
      </c>
      <c r="DI24" s="93">
        <f t="shared" si="173"/>
        <v>837.819796</v>
      </c>
      <c r="DK24" s="275">
        <v>4.8224</v>
      </c>
      <c r="DL24" s="275">
        <v>3.9727000000000001</v>
      </c>
      <c r="DM24" s="275">
        <v>7.9000000000000008E-3</v>
      </c>
      <c r="DN24" s="275">
        <v>1818.9757999999999</v>
      </c>
      <c r="DO24" s="275">
        <v>1755.1658</v>
      </c>
      <c r="DP24" s="49">
        <f t="shared" si="109"/>
        <v>657.00377600000002</v>
      </c>
      <c r="DQ24" s="49">
        <f t="shared" si="109"/>
        <v>783.85343699999999</v>
      </c>
      <c r="DR24" s="47">
        <f t="shared" si="109"/>
        <v>1.7380000000000002E-3</v>
      </c>
      <c r="DS24" s="47">
        <f t="shared" si="174"/>
        <v>9.4550470457061193E-4</v>
      </c>
      <c r="DT24" s="48">
        <f t="shared" si="175"/>
        <v>657.00472150470455</v>
      </c>
      <c r="DU24" s="48">
        <f t="shared" si="176"/>
        <v>783.85264450470447</v>
      </c>
      <c r="DV24" s="93">
        <f t="shared" si="177"/>
        <v>657.00377600000002</v>
      </c>
      <c r="DW24" s="93">
        <f t="shared" si="178"/>
        <v>783.85169899999994</v>
      </c>
      <c r="EB24" s="52"/>
      <c r="EC24" s="52"/>
      <c r="ED24" s="52"/>
      <c r="EE24" s="55">
        <f t="shared" si="179"/>
        <v>45021.114199999996</v>
      </c>
      <c r="EF24" s="55">
        <f t="shared" si="179"/>
        <v>43993.489199999996</v>
      </c>
      <c r="EG24" s="55">
        <f t="shared" si="179"/>
        <v>1771.9311348000001</v>
      </c>
      <c r="EH24" s="55">
        <f t="shared" si="179"/>
        <v>1910.9413165999999</v>
      </c>
      <c r="EI24" s="298">
        <f t="shared" si="110"/>
        <v>0.50577222703213209</v>
      </c>
      <c r="EJ24" s="52"/>
      <c r="EK24" s="55">
        <f t="shared" si="180"/>
        <v>1771.9354204331039</v>
      </c>
      <c r="EL24" s="55">
        <f t="shared" si="180"/>
        <v>1910.9373894331038</v>
      </c>
      <c r="EM24" s="55">
        <f t="shared" si="111"/>
        <v>1771.9311348000001</v>
      </c>
      <c r="EN24" s="55">
        <f t="shared" si="111"/>
        <v>1910.9331038</v>
      </c>
      <c r="EP24" s="52"/>
      <c r="EQ24" s="52"/>
      <c r="ER24" s="52"/>
      <c r="ES24" s="55">
        <f t="shared" si="112"/>
        <v>29928.491699999999</v>
      </c>
      <c r="ET24" s="55">
        <f t="shared" si="112"/>
        <v>29463.319200000002</v>
      </c>
      <c r="EU24" s="55">
        <f t="shared" si="112"/>
        <v>1559.1448691999999</v>
      </c>
      <c r="EV24" s="55">
        <f t="shared" si="112"/>
        <v>1657.8191574000002</v>
      </c>
      <c r="EW24" s="298">
        <f t="shared" si="113"/>
        <v>0.50391613332672436</v>
      </c>
      <c r="EX24" s="52"/>
      <c r="EY24" s="55">
        <f t="shared" si="114"/>
        <v>1560.0534128947259</v>
      </c>
      <c r="EZ24" s="55">
        <f t="shared" si="114"/>
        <v>1656.9168118947259</v>
      </c>
      <c r="FA24" s="55">
        <f t="shared" si="114"/>
        <v>1559.1448691999999</v>
      </c>
      <c r="FB24" s="55">
        <f t="shared" si="114"/>
        <v>1656.0082682000002</v>
      </c>
      <c r="FD24" s="52"/>
      <c r="FE24" s="52"/>
      <c r="FF24" s="52"/>
      <c r="FG24" s="55">
        <f t="shared" si="115"/>
        <v>22908.4575</v>
      </c>
      <c r="FH24" s="55">
        <f t="shared" si="115"/>
        <v>22397.373299999999</v>
      </c>
      <c r="FI24" s="55">
        <f t="shared" si="115"/>
        <v>1155.1228865999999</v>
      </c>
      <c r="FJ24" s="55">
        <f t="shared" si="115"/>
        <v>1154.7151041999998</v>
      </c>
      <c r="FK24" s="298">
        <f t="shared" si="116"/>
        <v>0.50564037995745137</v>
      </c>
      <c r="FL24" s="52"/>
      <c r="FM24" s="55">
        <f t="shared" si="117"/>
        <v>1156.5045247020016</v>
      </c>
      <c r="FN24" s="55">
        <f t="shared" si="117"/>
        <v>1152.7368755020016</v>
      </c>
      <c r="FO24" s="55">
        <f t="shared" si="117"/>
        <v>1155.1228865999999</v>
      </c>
      <c r="FP24" s="55">
        <f t="shared" si="117"/>
        <v>1151.3552374000001</v>
      </c>
      <c r="FR24" s="52"/>
      <c r="FS24" s="52"/>
      <c r="FT24" s="52"/>
      <c r="FU24" s="55">
        <f t="shared" si="118"/>
        <v>24176.9709</v>
      </c>
      <c r="FV24" s="55">
        <f t="shared" si="118"/>
        <v>23713.501700000001</v>
      </c>
      <c r="FW24" s="55">
        <f t="shared" si="118"/>
        <v>803.07732480000004</v>
      </c>
      <c r="FX24" s="55">
        <f t="shared" si="118"/>
        <v>872.70918759999995</v>
      </c>
      <c r="FY24" s="298">
        <f t="shared" si="119"/>
        <v>0.50483884554524106</v>
      </c>
      <c r="FZ24" s="52"/>
      <c r="GA24" s="55">
        <f t="shared" si="120"/>
        <v>803.08161043310383</v>
      </c>
      <c r="GB24" s="55">
        <f t="shared" si="120"/>
        <v>872.70526043310383</v>
      </c>
      <c r="GC24" s="55">
        <f t="shared" si="120"/>
        <v>803.07732480000004</v>
      </c>
      <c r="GD24" s="55">
        <f t="shared" si="120"/>
        <v>872.70097480000004</v>
      </c>
      <c r="GF24" s="52"/>
      <c r="GG24" s="52"/>
      <c r="GH24" s="52"/>
      <c r="GI24" s="55">
        <f t="shared" si="191"/>
        <v>12975.230799999999</v>
      </c>
      <c r="GJ24" s="55">
        <f t="shared" si="191"/>
        <v>12591.4208</v>
      </c>
      <c r="GK24" s="56">
        <f t="shared" si="123"/>
        <v>65.232375750000017</v>
      </c>
      <c r="GL24" s="56">
        <f t="shared" si="123"/>
        <v>86.54228024999999</v>
      </c>
      <c r="GM24" s="298">
        <f t="shared" si="124"/>
        <v>0.5075060670048791</v>
      </c>
      <c r="GN24" s="52"/>
      <c r="GO24" s="56">
        <f t="shared" si="125"/>
        <v>65.232375750000017</v>
      </c>
      <c r="GP24" s="56">
        <f t="shared" si="125"/>
        <v>86.54228024999999</v>
      </c>
      <c r="GQ24" s="56">
        <f t="shared" si="125"/>
        <v>65.232375750000017</v>
      </c>
      <c r="GR24" s="56">
        <f t="shared" si="125"/>
        <v>86.54228024999999</v>
      </c>
      <c r="GW24" s="275">
        <v>0.77470000000000006</v>
      </c>
      <c r="GX24" s="275">
        <v>0.35249999999999998</v>
      </c>
      <c r="GY24" s="275">
        <v>0</v>
      </c>
      <c r="GZ24" s="275">
        <v>311.99919999999997</v>
      </c>
      <c r="HA24" s="275">
        <v>309.23919999999998</v>
      </c>
      <c r="HB24" s="49">
        <f t="shared" si="126"/>
        <v>508.81521300000003</v>
      </c>
      <c r="HC24" s="49">
        <f t="shared" si="127"/>
        <v>478.62802499999998</v>
      </c>
      <c r="HD24" s="47">
        <f t="shared" si="128"/>
        <v>0</v>
      </c>
      <c r="HE24" s="47">
        <f t="shared" si="181"/>
        <v>0</v>
      </c>
      <c r="HF24" s="48">
        <f t="shared" si="182"/>
        <v>508.81521300000003</v>
      </c>
      <c r="HG24" s="48">
        <f t="shared" si="183"/>
        <v>478.62802499999998</v>
      </c>
      <c r="HH24" s="93">
        <f t="shared" si="184"/>
        <v>508.81521300000003</v>
      </c>
      <c r="HI24" s="93">
        <f t="shared" si="185"/>
        <v>478.62802499999998</v>
      </c>
      <c r="HJ24" s="298">
        <f t="shared" si="129"/>
        <v>0.50222136944528861</v>
      </c>
      <c r="HL24" s="275">
        <v>4.6800000000000001E-2</v>
      </c>
      <c r="HM24" s="275">
        <v>0.30819999999999997</v>
      </c>
      <c r="HN24" s="275">
        <v>0</v>
      </c>
      <c r="HO24" s="275">
        <v>8.6667000000000005</v>
      </c>
      <c r="HP24" s="275">
        <v>6.1666999999999996</v>
      </c>
      <c r="HQ24" s="49">
        <f t="shared" si="130"/>
        <v>24.881219999999999</v>
      </c>
      <c r="HR24" s="49">
        <f t="shared" si="131"/>
        <v>239.01834599999998</v>
      </c>
      <c r="HS24" s="47">
        <f t="shared" si="132"/>
        <v>0</v>
      </c>
      <c r="HT24" s="47">
        <f t="shared" si="186"/>
        <v>0</v>
      </c>
      <c r="HU24" s="48">
        <f t="shared" si="187"/>
        <v>24.881219999999999</v>
      </c>
      <c r="HV24" s="48">
        <f t="shared" si="188"/>
        <v>239.01834599999998</v>
      </c>
      <c r="HW24" s="93">
        <f t="shared" si="189"/>
        <v>24.881219999999999</v>
      </c>
      <c r="HX24" s="93">
        <f t="shared" si="190"/>
        <v>239.01834599999998</v>
      </c>
      <c r="HY24" s="298">
        <f t="shared" si="133"/>
        <v>0.5842692841829924</v>
      </c>
    </row>
    <row r="25" spans="1:233" x14ac:dyDescent="0.2">
      <c r="A25" s="118">
        <v>15</v>
      </c>
      <c r="C25" s="275">
        <v>0.70950000000000002</v>
      </c>
      <c r="D25" s="275">
        <v>0.42899999999999999</v>
      </c>
      <c r="E25" s="275">
        <v>0</v>
      </c>
      <c r="F25" s="275">
        <v>11342.8958</v>
      </c>
      <c r="G25" s="275">
        <v>11013.9283</v>
      </c>
      <c r="H25" s="49">
        <f t="shared" si="100"/>
        <v>701.73097499999994</v>
      </c>
      <c r="I25" s="49">
        <f t="shared" si="100"/>
        <v>772.98077999999998</v>
      </c>
      <c r="J25" s="47">
        <f t="shared" si="100"/>
        <v>0</v>
      </c>
      <c r="K25" s="47">
        <f t="shared" si="134"/>
        <v>0</v>
      </c>
      <c r="L25" s="48">
        <f t="shared" si="135"/>
        <v>701.73097499999994</v>
      </c>
      <c r="M25" s="48">
        <f t="shared" si="136"/>
        <v>772.98077999999998</v>
      </c>
      <c r="N25" s="93">
        <f t="shared" si="137"/>
        <v>702.01778366951294</v>
      </c>
      <c r="O25" s="93">
        <f t="shared" si="138"/>
        <v>773.26758866951297</v>
      </c>
      <c r="P25" s="298">
        <f t="shared" si="101"/>
        <v>0.50735720553439434</v>
      </c>
      <c r="Q25" s="275">
        <v>0.96740000000000004</v>
      </c>
      <c r="R25" s="275">
        <v>0.54910000000000003</v>
      </c>
      <c r="S25" s="275">
        <v>1.5100000000000001E-2</v>
      </c>
      <c r="T25" s="275">
        <v>1162.2132999999999</v>
      </c>
      <c r="U25" s="275">
        <v>1124.8516999999999</v>
      </c>
      <c r="V25" s="49">
        <f t="shared" si="102"/>
        <v>593.00652600000001</v>
      </c>
      <c r="W25" s="49">
        <f t="shared" si="102"/>
        <v>637.3184060000001</v>
      </c>
      <c r="X25" s="47">
        <f t="shared" si="102"/>
        <v>3.2659790000000002</v>
      </c>
      <c r="Y25" s="47">
        <f t="shared" si="139"/>
        <v>1.6918039098223154</v>
      </c>
      <c r="Z25" s="48">
        <f t="shared" si="140"/>
        <v>594.69832990982229</v>
      </c>
      <c r="AA25" s="48">
        <f t="shared" si="141"/>
        <v>635.74423090982236</v>
      </c>
      <c r="AB25" s="93">
        <f t="shared" si="142"/>
        <v>595.43412438876976</v>
      </c>
      <c r="AC25" s="93">
        <f t="shared" si="143"/>
        <v>636.48002538876983</v>
      </c>
      <c r="AE25" s="275">
        <v>0.83130000000000004</v>
      </c>
      <c r="AF25" s="275">
        <v>0.27660000000000001</v>
      </c>
      <c r="AG25" s="275">
        <v>3.1E-2</v>
      </c>
      <c r="AH25" s="275">
        <v>67.414199999999994</v>
      </c>
      <c r="AI25" s="275">
        <v>57.881700000000002</v>
      </c>
      <c r="AJ25" s="49">
        <f t="shared" si="103"/>
        <v>389.77163100000001</v>
      </c>
      <c r="AK25" s="49">
        <f t="shared" si="103"/>
        <v>314.43334800000002</v>
      </c>
      <c r="AL25" s="47">
        <f t="shared" si="103"/>
        <v>6.1978299999999997</v>
      </c>
      <c r="AM25" s="47">
        <f t="shared" si="144"/>
        <v>2.7673823607470398</v>
      </c>
      <c r="AN25" s="48">
        <f t="shared" si="145"/>
        <v>392.53901336074705</v>
      </c>
      <c r="AO25" s="48">
        <f t="shared" si="146"/>
        <v>311.00290036074705</v>
      </c>
      <c r="AP25" s="93">
        <f t="shared" si="147"/>
        <v>395.78698279544182</v>
      </c>
      <c r="AQ25" s="93">
        <f t="shared" si="148"/>
        <v>314.25086979544182</v>
      </c>
      <c r="AS25" s="275">
        <v>0.83819999999999995</v>
      </c>
      <c r="AT25" s="275">
        <v>0.54310000000000003</v>
      </c>
      <c r="AU25" s="275">
        <v>0</v>
      </c>
      <c r="AV25" s="275">
        <v>9112.7150000000001</v>
      </c>
      <c r="AW25" s="275">
        <v>8887.5967000000001</v>
      </c>
      <c r="AX25" s="49">
        <f t="shared" si="104"/>
        <v>292.07078999999999</v>
      </c>
      <c r="AY25" s="49">
        <f t="shared" si="104"/>
        <v>380.09939700000001</v>
      </c>
      <c r="AZ25" s="47">
        <f t="shared" si="104"/>
        <v>0</v>
      </c>
      <c r="BA25" s="47">
        <f t="shared" si="149"/>
        <v>0</v>
      </c>
      <c r="BB25" s="48">
        <f t="shared" si="150"/>
        <v>292.07078999999999</v>
      </c>
      <c r="BC25" s="48">
        <f t="shared" si="151"/>
        <v>380.09939700000001</v>
      </c>
      <c r="BD25" s="93">
        <f t="shared" si="152"/>
        <v>293.22799517530899</v>
      </c>
      <c r="BE25" s="93">
        <f t="shared" si="153"/>
        <v>381.25660217530901</v>
      </c>
      <c r="BG25" s="275">
        <v>0.7752</v>
      </c>
      <c r="BH25" s="275">
        <v>0.5454</v>
      </c>
      <c r="BI25" s="275">
        <v>2.0999999999999999E-3</v>
      </c>
      <c r="BJ25" s="275">
        <v>4112.7317000000003</v>
      </c>
      <c r="BK25" s="275">
        <v>3993.1025</v>
      </c>
      <c r="BL25" s="49">
        <f t="shared" si="105"/>
        <v>262.18814400000002</v>
      </c>
      <c r="BM25" s="49">
        <f t="shared" si="105"/>
        <v>326.40008399999999</v>
      </c>
      <c r="BN25" s="47">
        <f t="shared" si="105"/>
        <v>0.48394499999999996</v>
      </c>
      <c r="BO25" s="47">
        <f t="shared" si="154"/>
        <v>0.26837045176408109</v>
      </c>
      <c r="BP25" s="48">
        <f t="shared" si="155"/>
        <v>262.45651445176412</v>
      </c>
      <c r="BQ25" s="48">
        <f t="shared" si="156"/>
        <v>326.18450945176409</v>
      </c>
      <c r="BR25" s="93">
        <f t="shared" si="157"/>
        <v>263.61017080794386</v>
      </c>
      <c r="BS25" s="93">
        <f t="shared" si="158"/>
        <v>327.33816580794382</v>
      </c>
      <c r="BU25" s="275">
        <v>0.80400000000000005</v>
      </c>
      <c r="BV25" s="275">
        <v>0.67930000000000001</v>
      </c>
      <c r="BW25" s="275">
        <v>0</v>
      </c>
      <c r="BX25" s="275">
        <v>3821.4225000000001</v>
      </c>
      <c r="BY25" s="275">
        <v>3735.3274999999999</v>
      </c>
      <c r="BZ25" s="49">
        <f t="shared" si="106"/>
        <v>189.05256</v>
      </c>
      <c r="CA25" s="49">
        <f t="shared" si="106"/>
        <v>244.22872899999999</v>
      </c>
      <c r="CB25" s="47">
        <f t="shared" si="106"/>
        <v>0</v>
      </c>
      <c r="CC25" s="47">
        <f t="shared" si="159"/>
        <v>0</v>
      </c>
      <c r="CD25" s="48">
        <f t="shared" si="160"/>
        <v>189.05256</v>
      </c>
      <c r="CE25" s="48">
        <f t="shared" si="161"/>
        <v>244.22872899999999</v>
      </c>
      <c r="CF25" s="93">
        <f t="shared" si="162"/>
        <v>189.26175527105994</v>
      </c>
      <c r="CG25" s="93">
        <f t="shared" si="163"/>
        <v>244.43792427105993</v>
      </c>
      <c r="CI25" s="275">
        <v>0.9456</v>
      </c>
      <c r="CJ25" s="275">
        <v>0.79159999999999997</v>
      </c>
      <c r="CK25" s="275">
        <v>0</v>
      </c>
      <c r="CL25" s="275">
        <v>17149.9283</v>
      </c>
      <c r="CM25" s="275">
        <v>16684.9408</v>
      </c>
      <c r="CN25" s="49">
        <f t="shared" si="107"/>
        <v>195.17184</v>
      </c>
      <c r="CO25" s="49">
        <f t="shared" si="107"/>
        <v>212.00631199999998</v>
      </c>
      <c r="CP25" s="47">
        <f t="shared" si="107"/>
        <v>0</v>
      </c>
      <c r="CQ25" s="47">
        <f t="shared" si="164"/>
        <v>0</v>
      </c>
      <c r="CR25" s="48">
        <f t="shared" si="165"/>
        <v>195.17184</v>
      </c>
      <c r="CS25" s="48">
        <f t="shared" si="166"/>
        <v>212.00631199999998</v>
      </c>
      <c r="CT25" s="93">
        <f t="shared" si="167"/>
        <v>195.17544226324321</v>
      </c>
      <c r="CU25" s="93">
        <f t="shared" si="168"/>
        <v>212.00991426324319</v>
      </c>
      <c r="CW25" s="275">
        <v>3.3574999999999999</v>
      </c>
      <c r="CX25" s="275">
        <v>2.5632000000000001</v>
      </c>
      <c r="CY25" s="275">
        <v>4.5499999999999999E-2</v>
      </c>
      <c r="CZ25" s="275">
        <v>6863.3441999999995</v>
      </c>
      <c r="DA25" s="275">
        <v>6477.1049999999996</v>
      </c>
      <c r="DB25" s="49">
        <f t="shared" si="108"/>
        <v>696.98342500000001</v>
      </c>
      <c r="DC25" s="49">
        <f t="shared" si="108"/>
        <v>721.56643199999996</v>
      </c>
      <c r="DD25" s="47">
        <f t="shared" si="108"/>
        <v>1.3194999999999998E-2</v>
      </c>
      <c r="DE25" s="47">
        <f t="shared" si="169"/>
        <v>6.7118325261936833E-3</v>
      </c>
      <c r="DF25" s="48">
        <f t="shared" si="170"/>
        <v>696.99013683252622</v>
      </c>
      <c r="DG25" s="48">
        <f t="shared" si="171"/>
        <v>721.55994883252617</v>
      </c>
      <c r="DH25" s="93">
        <f t="shared" si="172"/>
        <v>696.9926001192938</v>
      </c>
      <c r="DI25" s="93">
        <f t="shared" si="173"/>
        <v>721.56241211929375</v>
      </c>
      <c r="DK25" s="275">
        <v>4.3552999999999997</v>
      </c>
      <c r="DL25" s="275">
        <v>3.2698999999999998</v>
      </c>
      <c r="DM25" s="275">
        <v>1.6899999999999998E-2</v>
      </c>
      <c r="DN25" s="275">
        <v>1751.9549999999999</v>
      </c>
      <c r="DO25" s="275">
        <v>1685.3475000000001</v>
      </c>
      <c r="DP25" s="49">
        <f t="shared" si="109"/>
        <v>593.36607200000003</v>
      </c>
      <c r="DQ25" s="49">
        <f t="shared" si="109"/>
        <v>645.18396899999993</v>
      </c>
      <c r="DR25" s="47">
        <f t="shared" si="109"/>
        <v>3.7179999999999995E-3</v>
      </c>
      <c r="DS25" s="47">
        <f t="shared" si="174"/>
        <v>1.9367760020460891E-3</v>
      </c>
      <c r="DT25" s="48">
        <f t="shared" si="175"/>
        <v>593.36800877600206</v>
      </c>
      <c r="DU25" s="48">
        <f t="shared" si="176"/>
        <v>645.18218777600191</v>
      </c>
      <c r="DV25" s="93">
        <f t="shared" si="177"/>
        <v>593.37083803728774</v>
      </c>
      <c r="DW25" s="93">
        <f t="shared" si="178"/>
        <v>645.18501703728759</v>
      </c>
      <c r="EB25" s="52"/>
      <c r="EC25" s="52"/>
      <c r="ED25" s="52"/>
      <c r="EE25" s="55">
        <f t="shared" si="179"/>
        <v>44468.883300000001</v>
      </c>
      <c r="EF25" s="55">
        <f t="shared" si="179"/>
        <v>43063.570800000001</v>
      </c>
      <c r="EG25" s="55">
        <f t="shared" si="179"/>
        <v>1746.5603449999999</v>
      </c>
      <c r="EH25" s="55">
        <f t="shared" si="179"/>
        <v>1942.3396346</v>
      </c>
      <c r="EI25" s="298">
        <f t="shared" si="110"/>
        <v>0.50802737975559631</v>
      </c>
      <c r="EJ25" s="52"/>
      <c r="EK25" s="55">
        <f t="shared" si="180"/>
        <v>1746.5657144660208</v>
      </c>
      <c r="EL25" s="55">
        <f t="shared" si="180"/>
        <v>1942.334448066021</v>
      </c>
      <c r="EM25" s="55">
        <f t="shared" si="111"/>
        <v>1748.0153012035003</v>
      </c>
      <c r="EN25" s="55">
        <f t="shared" si="111"/>
        <v>1943.7840348035002</v>
      </c>
      <c r="EP25" s="52"/>
      <c r="EQ25" s="52"/>
      <c r="ER25" s="52"/>
      <c r="ES25" s="55">
        <f t="shared" si="112"/>
        <v>29288.217499999999</v>
      </c>
      <c r="ET25" s="55">
        <f t="shared" si="112"/>
        <v>28280</v>
      </c>
      <c r="EU25" s="55">
        <f t="shared" si="112"/>
        <v>1538.2549075000002</v>
      </c>
      <c r="EV25" s="55">
        <f t="shared" si="112"/>
        <v>1680.8213044000001</v>
      </c>
      <c r="EW25" s="298">
        <f t="shared" si="113"/>
        <v>0.50875671979942749</v>
      </c>
      <c r="EX25" s="52"/>
      <c r="EY25" s="55">
        <f t="shared" si="114"/>
        <v>1540.2197801443547</v>
      </c>
      <c r="EZ25" s="55">
        <f t="shared" si="114"/>
        <v>1679.0270165443549</v>
      </c>
      <c r="FA25" s="55">
        <f t="shared" si="114"/>
        <v>1542.1145575434625</v>
      </c>
      <c r="FB25" s="55">
        <f t="shared" si="114"/>
        <v>1680.9217939434625</v>
      </c>
      <c r="FD25" s="52"/>
      <c r="FE25" s="52"/>
      <c r="FF25" s="52"/>
      <c r="FG25" s="55">
        <f t="shared" si="115"/>
        <v>22790.720000000001</v>
      </c>
      <c r="FH25" s="55">
        <f t="shared" si="115"/>
        <v>22163.497500000001</v>
      </c>
      <c r="FI25" s="55">
        <f t="shared" si="115"/>
        <v>1130.0156741999999</v>
      </c>
      <c r="FJ25" s="55">
        <f t="shared" si="115"/>
        <v>1157.7787703999998</v>
      </c>
      <c r="FK25" s="298">
        <f t="shared" si="116"/>
        <v>0.50697623643432344</v>
      </c>
      <c r="FL25" s="52"/>
      <c r="FM25" s="55">
        <f t="shared" si="117"/>
        <v>1132.7842186263483</v>
      </c>
      <c r="FN25" s="55">
        <f t="shared" si="117"/>
        <v>1154.3472540263483</v>
      </c>
      <c r="FO25" s="55">
        <f t="shared" si="117"/>
        <v>1136.2466831521176</v>
      </c>
      <c r="FP25" s="55">
        <f t="shared" si="117"/>
        <v>1157.8097185521174</v>
      </c>
      <c r="FR25" s="52"/>
      <c r="FS25" s="52"/>
      <c r="FT25" s="52"/>
      <c r="FU25" s="55">
        <f t="shared" si="118"/>
        <v>24013.272499999999</v>
      </c>
      <c r="FV25" s="55">
        <f t="shared" si="118"/>
        <v>23162.0458</v>
      </c>
      <c r="FW25" s="55">
        <f t="shared" si="118"/>
        <v>752.75858000000005</v>
      </c>
      <c r="FX25" s="55">
        <f t="shared" si="118"/>
        <v>789.25945760000002</v>
      </c>
      <c r="FY25" s="298">
        <f t="shared" si="119"/>
        <v>0.5090219497257743</v>
      </c>
      <c r="FZ25" s="52"/>
      <c r="GA25" s="55">
        <f t="shared" si="120"/>
        <v>752.76394946602102</v>
      </c>
      <c r="GB25" s="55">
        <f t="shared" si="120"/>
        <v>789.25427106602092</v>
      </c>
      <c r="GC25" s="55">
        <f t="shared" si="120"/>
        <v>752.76952235867827</v>
      </c>
      <c r="GD25" s="55">
        <f t="shared" si="120"/>
        <v>789.25984395867829</v>
      </c>
      <c r="GF25" s="52"/>
      <c r="GG25" s="52"/>
      <c r="GH25" s="52"/>
      <c r="GI25" s="55">
        <f t="shared" si="191"/>
        <v>12934.137500000001</v>
      </c>
      <c r="GJ25" s="55">
        <f t="shared" si="191"/>
        <v>12622.924199999999</v>
      </c>
      <c r="GK25" s="56">
        <f t="shared" si="123"/>
        <v>77.263672499999984</v>
      </c>
      <c r="GL25" s="56">
        <f t="shared" si="123"/>
        <v>101.90300100000002</v>
      </c>
      <c r="GM25" s="298">
        <f t="shared" si="124"/>
        <v>0.50608859703148124</v>
      </c>
      <c r="GN25" s="52"/>
      <c r="GO25" s="56">
        <f t="shared" si="125"/>
        <v>77.263672499999984</v>
      </c>
      <c r="GP25" s="56">
        <f t="shared" si="125"/>
        <v>101.90300100000002</v>
      </c>
      <c r="GQ25" s="56">
        <f t="shared" si="125"/>
        <v>77.974679928186788</v>
      </c>
      <c r="GR25" s="56">
        <f t="shared" si="125"/>
        <v>102.61400842818682</v>
      </c>
      <c r="GW25" s="275">
        <v>0.75719999999999998</v>
      </c>
      <c r="GX25" s="275">
        <v>0.38950000000000001</v>
      </c>
      <c r="GY25" s="275">
        <v>0</v>
      </c>
      <c r="GZ25" s="275">
        <v>337.63920000000002</v>
      </c>
      <c r="HA25" s="275">
        <v>314.31420000000003</v>
      </c>
      <c r="HB25" s="49">
        <f t="shared" si="126"/>
        <v>497.32138799999996</v>
      </c>
      <c r="HC25" s="49">
        <f t="shared" si="127"/>
        <v>528.86699499999997</v>
      </c>
      <c r="HD25" s="47">
        <f t="shared" si="128"/>
        <v>0</v>
      </c>
      <c r="HE25" s="47">
        <f t="shared" si="181"/>
        <v>0</v>
      </c>
      <c r="HF25" s="48">
        <f t="shared" si="182"/>
        <v>497.32138799999996</v>
      </c>
      <c r="HG25" s="48">
        <f t="shared" si="183"/>
        <v>528.86699499999997</v>
      </c>
      <c r="HH25" s="93">
        <f t="shared" si="184"/>
        <v>497.32138799999996</v>
      </c>
      <c r="HI25" s="93">
        <f t="shared" si="185"/>
        <v>528.86699499999997</v>
      </c>
      <c r="HJ25" s="298">
        <f t="shared" si="129"/>
        <v>0.51788854847601062</v>
      </c>
      <c r="HL25" s="275">
        <v>7.8600000000000003E-2</v>
      </c>
      <c r="HM25" s="275">
        <v>0.33729999999999999</v>
      </c>
      <c r="HN25" s="275">
        <v>0</v>
      </c>
      <c r="HO25" s="275">
        <v>10.862500000000001</v>
      </c>
      <c r="HP25" s="275">
        <v>5</v>
      </c>
      <c r="HQ25" s="49">
        <f t="shared" si="130"/>
        <v>41.787689999999998</v>
      </c>
      <c r="HR25" s="49">
        <f t="shared" si="131"/>
        <v>261.58626899999996</v>
      </c>
      <c r="HS25" s="47">
        <f t="shared" si="132"/>
        <v>0</v>
      </c>
      <c r="HT25" s="47">
        <f t="shared" si="186"/>
        <v>0</v>
      </c>
      <c r="HU25" s="48">
        <f t="shared" si="187"/>
        <v>41.787689999999998</v>
      </c>
      <c r="HV25" s="48">
        <f t="shared" si="188"/>
        <v>261.58626899999996</v>
      </c>
      <c r="HW25" s="93">
        <f t="shared" si="189"/>
        <v>44.167655445062842</v>
      </c>
      <c r="HX25" s="93">
        <f t="shared" si="190"/>
        <v>263.96623444506281</v>
      </c>
      <c r="HY25" s="298">
        <f t="shared" si="133"/>
        <v>0.68479117415287627</v>
      </c>
    </row>
    <row r="26" spans="1:233" x14ac:dyDescent="0.2">
      <c r="A26" s="118">
        <v>16</v>
      </c>
      <c r="C26" s="275">
        <v>0.7097</v>
      </c>
      <c r="D26" s="275">
        <v>0.46110000000000001</v>
      </c>
      <c r="E26" s="275">
        <v>0</v>
      </c>
      <c r="F26" s="275">
        <v>10825.0983</v>
      </c>
      <c r="G26" s="275">
        <v>10384.105</v>
      </c>
      <c r="H26" s="49">
        <f t="shared" si="100"/>
        <v>701.92878499999995</v>
      </c>
      <c r="I26" s="49">
        <f t="shared" si="100"/>
        <v>830.81920200000002</v>
      </c>
      <c r="J26" s="47">
        <f t="shared" si="100"/>
        <v>0</v>
      </c>
      <c r="K26" s="47">
        <f t="shared" si="134"/>
        <v>0</v>
      </c>
      <c r="L26" s="48">
        <f t="shared" si="135"/>
        <v>701.92878499999995</v>
      </c>
      <c r="M26" s="48">
        <f t="shared" si="136"/>
        <v>830.81920200000002</v>
      </c>
      <c r="N26" s="93">
        <f t="shared" si="137"/>
        <v>702.21559366951294</v>
      </c>
      <c r="O26" s="93">
        <f t="shared" si="138"/>
        <v>831.10601066951301</v>
      </c>
      <c r="P26" s="298">
        <f t="shared" si="101"/>
        <v>0.51039627216926153</v>
      </c>
      <c r="Q26" s="275">
        <v>0.96599999999999997</v>
      </c>
      <c r="R26" s="275">
        <v>0.59040000000000004</v>
      </c>
      <c r="S26" s="275">
        <v>2.29E-2</v>
      </c>
      <c r="T26" s="275">
        <v>1275.4957999999999</v>
      </c>
      <c r="U26" s="275">
        <v>1216.9224999999999</v>
      </c>
      <c r="V26" s="49">
        <f t="shared" si="102"/>
        <v>592.14833999999996</v>
      </c>
      <c r="W26" s="49">
        <f t="shared" si="102"/>
        <v>685.25366400000007</v>
      </c>
      <c r="X26" s="47">
        <f t="shared" si="102"/>
        <v>4.9530409999999998</v>
      </c>
      <c r="Y26" s="47">
        <f t="shared" si="139"/>
        <v>2.6570253393717271</v>
      </c>
      <c r="Z26" s="48">
        <f t="shared" si="140"/>
        <v>594.80536533937163</v>
      </c>
      <c r="AA26" s="48">
        <f t="shared" si="141"/>
        <v>682.95764833937176</v>
      </c>
      <c r="AB26" s="93">
        <f t="shared" si="142"/>
        <v>594.57593838876971</v>
      </c>
      <c r="AC26" s="93">
        <f t="shared" si="143"/>
        <v>682.72822138876984</v>
      </c>
      <c r="AE26" s="275">
        <v>0.82379999999999998</v>
      </c>
      <c r="AF26" s="275">
        <v>0.31319999999999998</v>
      </c>
      <c r="AG26" s="275">
        <v>4.7600000000000003E-2</v>
      </c>
      <c r="AH26" s="275">
        <v>56.072499999999998</v>
      </c>
      <c r="AI26" s="275">
        <v>48.666699999999999</v>
      </c>
      <c r="AJ26" s="49">
        <f t="shared" si="103"/>
        <v>386.25510600000001</v>
      </c>
      <c r="AK26" s="49">
        <f t="shared" si="103"/>
        <v>356.03949599999999</v>
      </c>
      <c r="AL26" s="47">
        <f t="shared" si="103"/>
        <v>9.516668000000001</v>
      </c>
      <c r="AM26" s="47">
        <f t="shared" si="144"/>
        <v>4.5646427566495067</v>
      </c>
      <c r="AN26" s="48">
        <f t="shared" si="145"/>
        <v>390.81974875664952</v>
      </c>
      <c r="AO26" s="48">
        <f t="shared" si="146"/>
        <v>351.08747075664951</v>
      </c>
      <c r="AP26" s="93">
        <f t="shared" si="147"/>
        <v>392.27045779544181</v>
      </c>
      <c r="AQ26" s="93">
        <f t="shared" si="148"/>
        <v>352.53817979544181</v>
      </c>
      <c r="AS26" s="275">
        <v>0.91679999999999995</v>
      </c>
      <c r="AT26" s="275">
        <v>0.61639999999999995</v>
      </c>
      <c r="AU26" s="275">
        <v>5.7000000000000002E-3</v>
      </c>
      <c r="AV26" s="275">
        <v>8476.5282999999999</v>
      </c>
      <c r="AW26" s="275">
        <v>8051.4957999999997</v>
      </c>
      <c r="AX26" s="49">
        <f t="shared" si="104"/>
        <v>319.45895999999999</v>
      </c>
      <c r="AY26" s="49">
        <f t="shared" si="104"/>
        <v>431.39986799999997</v>
      </c>
      <c r="AZ26" s="47">
        <f t="shared" si="104"/>
        <v>1.5017790000000002</v>
      </c>
      <c r="BA26" s="47">
        <f t="shared" si="149"/>
        <v>0.86283498069915754</v>
      </c>
      <c r="BB26" s="48">
        <f t="shared" si="150"/>
        <v>320.32179498069917</v>
      </c>
      <c r="BC26" s="48">
        <f t="shared" si="151"/>
        <v>430.76092398069915</v>
      </c>
      <c r="BD26" s="93">
        <f t="shared" si="152"/>
        <v>320.61616517530899</v>
      </c>
      <c r="BE26" s="93">
        <f t="shared" si="153"/>
        <v>431.05529417530897</v>
      </c>
      <c r="BG26" s="275">
        <v>0.83560000000000001</v>
      </c>
      <c r="BH26" s="275">
        <v>0.61639999999999995</v>
      </c>
      <c r="BI26" s="275">
        <v>4.8999999999999998E-3</v>
      </c>
      <c r="BJ26" s="275">
        <v>3794.2917000000002</v>
      </c>
      <c r="BK26" s="275">
        <v>3784.7267000000002</v>
      </c>
      <c r="BL26" s="49">
        <f t="shared" si="105"/>
        <v>282.61663200000004</v>
      </c>
      <c r="BM26" s="49">
        <f t="shared" si="105"/>
        <v>368.89074399999998</v>
      </c>
      <c r="BN26" s="47">
        <f t="shared" si="105"/>
        <v>1.129205</v>
      </c>
      <c r="BO26" s="47">
        <f t="shared" si="154"/>
        <v>0.63936846753139442</v>
      </c>
      <c r="BP26" s="48">
        <f t="shared" si="155"/>
        <v>283.25600046753141</v>
      </c>
      <c r="BQ26" s="48">
        <f t="shared" si="156"/>
        <v>368.40090746753134</v>
      </c>
      <c r="BR26" s="93">
        <f t="shared" si="157"/>
        <v>284.03865880794388</v>
      </c>
      <c r="BS26" s="93">
        <f t="shared" si="158"/>
        <v>369.18356580794381</v>
      </c>
      <c r="BU26" s="275">
        <v>0.83940000000000003</v>
      </c>
      <c r="BV26" s="275">
        <v>0.75329999999999997</v>
      </c>
      <c r="BW26" s="275">
        <v>0</v>
      </c>
      <c r="BX26" s="275">
        <v>3917.5108</v>
      </c>
      <c r="BY26" s="275">
        <v>3585.2950000000001</v>
      </c>
      <c r="BZ26" s="49">
        <f t="shared" si="106"/>
        <v>197.37651600000001</v>
      </c>
      <c r="CA26" s="49">
        <f t="shared" si="106"/>
        <v>270.83394899999996</v>
      </c>
      <c r="CB26" s="47">
        <f t="shared" si="106"/>
        <v>0</v>
      </c>
      <c r="CC26" s="47">
        <f t="shared" si="159"/>
        <v>0</v>
      </c>
      <c r="CD26" s="48">
        <f t="shared" si="160"/>
        <v>197.37651600000001</v>
      </c>
      <c r="CE26" s="48">
        <f t="shared" si="161"/>
        <v>270.83394899999996</v>
      </c>
      <c r="CF26" s="93">
        <f t="shared" si="162"/>
        <v>197.58571127105995</v>
      </c>
      <c r="CG26" s="93">
        <f t="shared" si="163"/>
        <v>271.04314427105993</v>
      </c>
      <c r="CI26" s="275">
        <v>0.95950000000000002</v>
      </c>
      <c r="CJ26" s="275">
        <v>0.81269999999999998</v>
      </c>
      <c r="CK26" s="275">
        <v>0</v>
      </c>
      <c r="CL26" s="275">
        <v>16293.0892</v>
      </c>
      <c r="CM26" s="275">
        <v>15541.6767</v>
      </c>
      <c r="CN26" s="49">
        <f t="shared" si="107"/>
        <v>198.04080000000002</v>
      </c>
      <c r="CO26" s="49">
        <f t="shared" si="107"/>
        <v>217.65731399999999</v>
      </c>
      <c r="CP26" s="47">
        <f t="shared" si="107"/>
        <v>0</v>
      </c>
      <c r="CQ26" s="47">
        <f t="shared" si="164"/>
        <v>0</v>
      </c>
      <c r="CR26" s="48">
        <f t="shared" si="165"/>
        <v>198.04080000000002</v>
      </c>
      <c r="CS26" s="48">
        <f t="shared" si="166"/>
        <v>217.65731399999999</v>
      </c>
      <c r="CT26" s="93">
        <f t="shared" si="167"/>
        <v>198.04440226324323</v>
      </c>
      <c r="CU26" s="93">
        <f t="shared" si="168"/>
        <v>217.66091626324319</v>
      </c>
      <c r="CW26" s="275">
        <v>2.6190000000000002</v>
      </c>
      <c r="CX26" s="275">
        <v>1.9514</v>
      </c>
      <c r="CY26" s="275">
        <v>5.5500000000000001E-2</v>
      </c>
      <c r="CZ26" s="275">
        <v>6379.3666999999996</v>
      </c>
      <c r="DA26" s="275">
        <v>6036.5158000000001</v>
      </c>
      <c r="DB26" s="49">
        <f t="shared" si="108"/>
        <v>543.67821000000004</v>
      </c>
      <c r="DC26" s="49">
        <f t="shared" si="108"/>
        <v>549.33861400000001</v>
      </c>
      <c r="DD26" s="47">
        <f t="shared" si="108"/>
        <v>1.6094999999999998E-2</v>
      </c>
      <c r="DE26" s="47">
        <f t="shared" si="169"/>
        <v>8.0891755718574369E-3</v>
      </c>
      <c r="DF26" s="48">
        <f t="shared" si="170"/>
        <v>543.68629917557189</v>
      </c>
      <c r="DG26" s="48">
        <f t="shared" si="171"/>
        <v>549.33060817557191</v>
      </c>
      <c r="DH26" s="93">
        <f t="shared" si="172"/>
        <v>543.68738511929382</v>
      </c>
      <c r="DI26" s="93">
        <f t="shared" si="173"/>
        <v>549.33169411929384</v>
      </c>
      <c r="DK26" s="275">
        <v>3.1547000000000001</v>
      </c>
      <c r="DL26" s="275">
        <v>2.3016999999999999</v>
      </c>
      <c r="DM26" s="275">
        <v>2.9000000000000001E-2</v>
      </c>
      <c r="DN26" s="275">
        <v>1626.8133</v>
      </c>
      <c r="DO26" s="275">
        <v>1558.605</v>
      </c>
      <c r="DP26" s="49">
        <f t="shared" si="109"/>
        <v>429.79632800000002</v>
      </c>
      <c r="DQ26" s="49">
        <f t="shared" si="109"/>
        <v>454.14842699999997</v>
      </c>
      <c r="DR26" s="47">
        <f t="shared" si="109"/>
        <v>6.3800000000000003E-3</v>
      </c>
      <c r="DS26" s="47">
        <f t="shared" si="174"/>
        <v>3.2778824104906872E-3</v>
      </c>
      <c r="DT26" s="48">
        <f t="shared" si="175"/>
        <v>429.7996058824105</v>
      </c>
      <c r="DU26" s="48">
        <f t="shared" si="176"/>
        <v>454.14532488241048</v>
      </c>
      <c r="DV26" s="93">
        <f t="shared" si="177"/>
        <v>429.80109403728767</v>
      </c>
      <c r="DW26" s="93">
        <f t="shared" si="178"/>
        <v>454.14681303728764</v>
      </c>
      <c r="EB26" s="52"/>
      <c r="EC26" s="52"/>
      <c r="ED26" s="52"/>
      <c r="EE26" s="55">
        <f t="shared" si="179"/>
        <v>41974.082499999997</v>
      </c>
      <c r="EF26" s="55">
        <f t="shared" si="179"/>
        <v>40013.793299999998</v>
      </c>
      <c r="EG26" s="55">
        <f t="shared" si="179"/>
        <v>1654.3711130000002</v>
      </c>
      <c r="EH26" s="55">
        <f t="shared" si="179"/>
        <v>1919.3472752000002</v>
      </c>
      <c r="EI26" s="298">
        <f t="shared" si="110"/>
        <v>0.51195475050958694</v>
      </c>
      <c r="EJ26" s="52"/>
      <c r="EK26" s="55">
        <f t="shared" si="180"/>
        <v>1655.2404193211567</v>
      </c>
      <c r="EL26" s="55">
        <f t="shared" si="180"/>
        <v>1918.7019265211568</v>
      </c>
      <c r="EM26" s="55">
        <f t="shared" si="111"/>
        <v>1655.8260692035003</v>
      </c>
      <c r="EN26" s="55">
        <f t="shared" si="111"/>
        <v>1919.2875764035005</v>
      </c>
      <c r="EP26" s="52"/>
      <c r="EQ26" s="52"/>
      <c r="ER26" s="52"/>
      <c r="ES26" s="55">
        <f t="shared" si="112"/>
        <v>27742.243399999999</v>
      </c>
      <c r="ET26" s="55">
        <f t="shared" si="112"/>
        <v>26579.841700000001</v>
      </c>
      <c r="EU26" s="55">
        <f t="shared" si="112"/>
        <v>1453.3805189999998</v>
      </c>
      <c r="EV26" s="55">
        <f t="shared" si="112"/>
        <v>1656.3387518000002</v>
      </c>
      <c r="EW26" s="298">
        <f t="shared" si="113"/>
        <v>0.51069916312914143</v>
      </c>
      <c r="EX26" s="52"/>
      <c r="EY26" s="55">
        <f t="shared" si="114"/>
        <v>1456.6825752298032</v>
      </c>
      <c r="EZ26" s="55">
        <f t="shared" si="114"/>
        <v>1653.5472955298035</v>
      </c>
      <c r="FA26" s="55">
        <f t="shared" si="114"/>
        <v>1457.2401690434624</v>
      </c>
      <c r="FB26" s="55">
        <f t="shared" si="114"/>
        <v>1654.1048893434627</v>
      </c>
      <c r="FD26" s="52"/>
      <c r="FE26" s="52"/>
      <c r="FF26" s="52"/>
      <c r="FG26" s="55">
        <f t="shared" si="115"/>
        <v>21893.485800000002</v>
      </c>
      <c r="FH26" s="55">
        <f t="shared" si="115"/>
        <v>20734.243399999999</v>
      </c>
      <c r="FI26" s="55">
        <f t="shared" si="115"/>
        <v>1039.5502188</v>
      </c>
      <c r="FJ26" s="55">
        <f t="shared" si="115"/>
        <v>1117.0198152</v>
      </c>
      <c r="FK26" s="298">
        <f t="shared" si="116"/>
        <v>0.51359728071088528</v>
      </c>
      <c r="FL26" s="52"/>
      <c r="FM26" s="55">
        <f t="shared" si="117"/>
        <v>1044.1168282860958</v>
      </c>
      <c r="FN26" s="55">
        <f t="shared" si="117"/>
        <v>1112.0659286860957</v>
      </c>
      <c r="FO26" s="55">
        <f t="shared" si="117"/>
        <v>1045.7812277521175</v>
      </c>
      <c r="FP26" s="55">
        <f t="shared" si="117"/>
        <v>1113.7303281521176</v>
      </c>
      <c r="FR26" s="52"/>
      <c r="FS26" s="52"/>
      <c r="FT26" s="52"/>
      <c r="FU26" s="55">
        <f t="shared" si="118"/>
        <v>22672.455900000001</v>
      </c>
      <c r="FV26" s="55">
        <f t="shared" si="118"/>
        <v>21578.192500000001</v>
      </c>
      <c r="FW26" s="55">
        <f t="shared" si="118"/>
        <v>632.98336800000004</v>
      </c>
      <c r="FX26" s="55">
        <f t="shared" si="118"/>
        <v>657.12820520000002</v>
      </c>
      <c r="FY26" s="298">
        <f t="shared" si="119"/>
        <v>0.51236437701554671</v>
      </c>
      <c r="FZ26" s="52"/>
      <c r="GA26" s="55">
        <f t="shared" si="120"/>
        <v>632.98983934045759</v>
      </c>
      <c r="GB26" s="55">
        <f t="shared" si="120"/>
        <v>657.12180054045757</v>
      </c>
      <c r="GC26" s="55">
        <f t="shared" si="120"/>
        <v>632.99431035867838</v>
      </c>
      <c r="GD26" s="55">
        <f t="shared" si="120"/>
        <v>657.12627155867824</v>
      </c>
      <c r="GF26" s="52"/>
      <c r="GG26" s="52"/>
      <c r="GH26" s="52"/>
      <c r="GI26" s="55">
        <f t="shared" si="191"/>
        <v>12394.0391</v>
      </c>
      <c r="GJ26" s="55">
        <f t="shared" si="191"/>
        <v>11636.790799999999</v>
      </c>
      <c r="GK26" s="56">
        <f t="shared" si="123"/>
        <v>91.561832999999979</v>
      </c>
      <c r="GL26" s="56">
        <f t="shared" si="123"/>
        <v>120.42443925000001</v>
      </c>
      <c r="GM26" s="298">
        <f t="shared" si="124"/>
        <v>0.51575576672031631</v>
      </c>
      <c r="GN26" s="52"/>
      <c r="GO26" s="56">
        <f t="shared" si="125"/>
        <v>92.208959235524361</v>
      </c>
      <c r="GP26" s="56">
        <f t="shared" si="125"/>
        <v>119.94523123552439</v>
      </c>
      <c r="GQ26" s="56">
        <f t="shared" si="125"/>
        <v>92.272840428186782</v>
      </c>
      <c r="GR26" s="56">
        <f t="shared" si="125"/>
        <v>120.00911242818678</v>
      </c>
      <c r="GW26" s="275">
        <v>0.7419</v>
      </c>
      <c r="GX26" s="275">
        <v>0.42870000000000003</v>
      </c>
      <c r="GY26" s="275">
        <v>0</v>
      </c>
      <c r="GZ26" s="275">
        <v>271.44749999999999</v>
      </c>
      <c r="HA26" s="275">
        <v>281.9092</v>
      </c>
      <c r="HB26" s="49">
        <f t="shared" si="126"/>
        <v>487.27250099999998</v>
      </c>
      <c r="HC26" s="49">
        <f t="shared" si="127"/>
        <v>582.09314700000004</v>
      </c>
      <c r="HD26" s="47">
        <f t="shared" si="128"/>
        <v>0</v>
      </c>
      <c r="HE26" s="47">
        <f t="shared" si="181"/>
        <v>0</v>
      </c>
      <c r="HF26" s="48">
        <f t="shared" si="182"/>
        <v>487.27250099999998</v>
      </c>
      <c r="HG26" s="48">
        <f t="shared" si="183"/>
        <v>582.09314700000004</v>
      </c>
      <c r="HH26" s="93">
        <f t="shared" si="184"/>
        <v>487.27250099999998</v>
      </c>
      <c r="HI26" s="93">
        <f t="shared" si="185"/>
        <v>582.09314700000004</v>
      </c>
      <c r="HJ26" s="298">
        <f t="shared" si="129"/>
        <v>0.49054705581408875</v>
      </c>
      <c r="HL26" s="275">
        <v>0.1106</v>
      </c>
      <c r="HM26" s="275">
        <v>0.3669</v>
      </c>
      <c r="HN26" s="275">
        <v>0</v>
      </c>
      <c r="HO26" s="275">
        <v>10.583299999999999</v>
      </c>
      <c r="HP26" s="275">
        <v>9.8332999999999995</v>
      </c>
      <c r="HQ26" s="49">
        <f t="shared" si="130"/>
        <v>58.800489999999996</v>
      </c>
      <c r="HR26" s="49">
        <f t="shared" si="131"/>
        <v>284.54195699999997</v>
      </c>
      <c r="HS26" s="47">
        <f t="shared" si="132"/>
        <v>0</v>
      </c>
      <c r="HT26" s="47">
        <f t="shared" si="186"/>
        <v>0</v>
      </c>
      <c r="HU26" s="48">
        <f t="shared" si="187"/>
        <v>58.800489999999996</v>
      </c>
      <c r="HV26" s="48">
        <f t="shared" si="188"/>
        <v>284.54195699999997</v>
      </c>
      <c r="HW26" s="93">
        <f t="shared" si="189"/>
        <v>61.18045544506284</v>
      </c>
      <c r="HX26" s="93">
        <f t="shared" si="190"/>
        <v>286.92192244506282</v>
      </c>
      <c r="HY26" s="298">
        <f t="shared" si="133"/>
        <v>0.51836740691398175</v>
      </c>
    </row>
    <row r="27" spans="1:233" x14ac:dyDescent="0.2">
      <c r="A27" s="118">
        <v>17</v>
      </c>
      <c r="C27" s="275">
        <v>0.71040000000000003</v>
      </c>
      <c r="D27" s="275">
        <v>0.49199999999999999</v>
      </c>
      <c r="E27" s="275">
        <v>0</v>
      </c>
      <c r="F27" s="275">
        <v>10008.620800000001</v>
      </c>
      <c r="G27" s="275">
        <v>9568.4382999999998</v>
      </c>
      <c r="H27" s="49">
        <f t="shared" si="100"/>
        <v>702.62112000000002</v>
      </c>
      <c r="I27" s="49">
        <f t="shared" si="100"/>
        <v>886.49543999999992</v>
      </c>
      <c r="J27" s="47">
        <f t="shared" si="100"/>
        <v>0</v>
      </c>
      <c r="K27" s="47">
        <f t="shared" si="134"/>
        <v>0</v>
      </c>
      <c r="L27" s="48">
        <f t="shared" si="135"/>
        <v>702.62112000000002</v>
      </c>
      <c r="M27" s="48">
        <f t="shared" si="136"/>
        <v>886.49543999999992</v>
      </c>
      <c r="N27" s="93">
        <f t="shared" si="137"/>
        <v>702.90792866951301</v>
      </c>
      <c r="O27" s="93">
        <f t="shared" si="138"/>
        <v>886.78224866951291</v>
      </c>
      <c r="P27" s="298">
        <f t="shared" si="101"/>
        <v>0.51124230400877735</v>
      </c>
      <c r="Q27" s="275">
        <v>0.96009999999999995</v>
      </c>
      <c r="R27" s="275">
        <v>0.62980000000000003</v>
      </c>
      <c r="S27" s="275">
        <v>2.41E-2</v>
      </c>
      <c r="T27" s="275">
        <v>1134.2317</v>
      </c>
      <c r="U27" s="275">
        <v>1070.3599999999999</v>
      </c>
      <c r="V27" s="49">
        <f t="shared" si="102"/>
        <v>588.531699</v>
      </c>
      <c r="W27" s="49">
        <f t="shared" si="102"/>
        <v>730.98366800000008</v>
      </c>
      <c r="X27" s="47">
        <f t="shared" si="102"/>
        <v>5.2125889999999995</v>
      </c>
      <c r="Y27" s="47">
        <f t="shared" si="139"/>
        <v>2.887664306372911</v>
      </c>
      <c r="Z27" s="48">
        <f t="shared" si="140"/>
        <v>591.41936330637293</v>
      </c>
      <c r="AA27" s="48">
        <f t="shared" si="141"/>
        <v>728.65874330637303</v>
      </c>
      <c r="AB27" s="93">
        <f t="shared" si="142"/>
        <v>590.95929738876976</v>
      </c>
      <c r="AC27" s="93">
        <f t="shared" si="143"/>
        <v>728.19867738876985</v>
      </c>
      <c r="AE27" s="275">
        <v>0.81479999999999997</v>
      </c>
      <c r="AF27" s="275">
        <v>0.35049999999999998</v>
      </c>
      <c r="AG27" s="275">
        <v>6.3100000000000003E-2</v>
      </c>
      <c r="AH27" s="275">
        <v>46.726700000000001</v>
      </c>
      <c r="AI27" s="275">
        <v>55.034199999999998</v>
      </c>
      <c r="AJ27" s="49">
        <f t="shared" si="103"/>
        <v>382.03527600000001</v>
      </c>
      <c r="AK27" s="49">
        <f t="shared" si="103"/>
        <v>398.44138999999996</v>
      </c>
      <c r="AL27" s="47">
        <f t="shared" si="103"/>
        <v>12.615583000000001</v>
      </c>
      <c r="AM27" s="47">
        <f t="shared" si="144"/>
        <v>6.4403852737096043</v>
      </c>
      <c r="AN27" s="48">
        <f t="shared" si="145"/>
        <v>388.47566127370959</v>
      </c>
      <c r="AO27" s="48">
        <f t="shared" si="146"/>
        <v>392.26619227370952</v>
      </c>
      <c r="AP27" s="93">
        <f t="shared" si="147"/>
        <v>388.05062779544181</v>
      </c>
      <c r="AQ27" s="93">
        <f t="shared" si="148"/>
        <v>391.84115879544174</v>
      </c>
      <c r="AS27" s="275">
        <v>1.0071000000000001</v>
      </c>
      <c r="AT27" s="275">
        <v>0.68030000000000002</v>
      </c>
      <c r="AU27" s="275">
        <v>9.4999999999999998E-3</v>
      </c>
      <c r="AV27" s="275">
        <v>7604.4417000000003</v>
      </c>
      <c r="AW27" s="275">
        <v>7311.6683000000003</v>
      </c>
      <c r="AX27" s="49">
        <f t="shared" si="104"/>
        <v>350.92399500000005</v>
      </c>
      <c r="AY27" s="49">
        <f t="shared" si="104"/>
        <v>476.12156100000004</v>
      </c>
      <c r="AZ27" s="47">
        <f t="shared" si="104"/>
        <v>2.5029650000000001</v>
      </c>
      <c r="BA27" s="47">
        <f t="shared" si="149"/>
        <v>1.4409310276595755</v>
      </c>
      <c r="BB27" s="48">
        <f t="shared" si="150"/>
        <v>352.36492602765964</v>
      </c>
      <c r="BC27" s="48">
        <f t="shared" si="151"/>
        <v>475.05952702765961</v>
      </c>
      <c r="BD27" s="93">
        <f t="shared" si="152"/>
        <v>352.08120017530905</v>
      </c>
      <c r="BE27" s="93">
        <f t="shared" si="153"/>
        <v>474.77580117530903</v>
      </c>
      <c r="BG27" s="275">
        <v>0.89190000000000003</v>
      </c>
      <c r="BH27" s="275">
        <v>0.68069999999999997</v>
      </c>
      <c r="BI27" s="275">
        <v>8.9999999999999993E-3</v>
      </c>
      <c r="BJ27" s="275">
        <v>3581.6082999999999</v>
      </c>
      <c r="BK27" s="275">
        <v>3480.9367000000002</v>
      </c>
      <c r="BL27" s="49">
        <f t="shared" si="105"/>
        <v>301.65841800000004</v>
      </c>
      <c r="BM27" s="49">
        <f t="shared" si="105"/>
        <v>407.37172200000003</v>
      </c>
      <c r="BN27" s="47">
        <f t="shared" si="105"/>
        <v>2.0740499999999997</v>
      </c>
      <c r="BO27" s="47">
        <f t="shared" si="154"/>
        <v>1.191640908261107</v>
      </c>
      <c r="BP27" s="48">
        <f t="shared" si="155"/>
        <v>302.85005890826113</v>
      </c>
      <c r="BQ27" s="48">
        <f t="shared" si="156"/>
        <v>406.48931290826113</v>
      </c>
      <c r="BR27" s="93">
        <f t="shared" si="157"/>
        <v>303.08044480794388</v>
      </c>
      <c r="BS27" s="93">
        <f t="shared" si="158"/>
        <v>406.71969880794387</v>
      </c>
      <c r="BU27" s="275">
        <v>0.87270000000000003</v>
      </c>
      <c r="BV27" s="275">
        <v>0.79620000000000002</v>
      </c>
      <c r="BW27" s="275">
        <v>2.0000000000000001E-4</v>
      </c>
      <c r="BX27" s="275">
        <v>3714.2557999999999</v>
      </c>
      <c r="BY27" s="275">
        <v>3476.2883000000002</v>
      </c>
      <c r="BZ27" s="49">
        <f t="shared" si="106"/>
        <v>205.20667799999998</v>
      </c>
      <c r="CA27" s="49">
        <f t="shared" si="106"/>
        <v>286.25778600000001</v>
      </c>
      <c r="CB27" s="47">
        <f t="shared" si="106"/>
        <v>1.8838000000000001E-2</v>
      </c>
      <c r="CC27" s="47">
        <f t="shared" si="159"/>
        <v>1.097235826325787E-2</v>
      </c>
      <c r="CD27" s="48">
        <f t="shared" si="160"/>
        <v>205.21765035826323</v>
      </c>
      <c r="CE27" s="48">
        <f t="shared" si="161"/>
        <v>286.24992035826324</v>
      </c>
      <c r="CF27" s="93">
        <f t="shared" si="162"/>
        <v>205.41587327105992</v>
      </c>
      <c r="CG27" s="93">
        <f t="shared" si="163"/>
        <v>286.44814327105996</v>
      </c>
      <c r="CI27" s="275">
        <v>0.95420000000000005</v>
      </c>
      <c r="CJ27" s="275">
        <v>0.82020000000000004</v>
      </c>
      <c r="CK27" s="275">
        <v>2.3099999999999999E-2</v>
      </c>
      <c r="CL27" s="275">
        <v>14956.3225</v>
      </c>
      <c r="CM27" s="275">
        <v>14357.004199999999</v>
      </c>
      <c r="CN27" s="49">
        <f t="shared" si="107"/>
        <v>196.94688000000002</v>
      </c>
      <c r="CO27" s="49">
        <f t="shared" si="107"/>
        <v>219.665964</v>
      </c>
      <c r="CP27" s="47">
        <f t="shared" si="107"/>
        <v>9.7019999999999988E-3</v>
      </c>
      <c r="CQ27" s="47">
        <f t="shared" si="164"/>
        <v>5.1155388352069142E-3</v>
      </c>
      <c r="CR27" s="48">
        <f t="shared" si="165"/>
        <v>196.95199553883523</v>
      </c>
      <c r="CS27" s="48">
        <f t="shared" si="166"/>
        <v>219.66137753883521</v>
      </c>
      <c r="CT27" s="93">
        <f t="shared" si="167"/>
        <v>196.95048226324323</v>
      </c>
      <c r="CU27" s="93">
        <f t="shared" si="168"/>
        <v>219.65986426324321</v>
      </c>
      <c r="CW27" s="275">
        <v>1.8124</v>
      </c>
      <c r="CX27" s="275">
        <v>1.3455999999999999</v>
      </c>
      <c r="CY27" s="275">
        <v>6.5299999999999997E-2</v>
      </c>
      <c r="CZ27" s="275">
        <v>5926.3816999999999</v>
      </c>
      <c r="DA27" s="275">
        <v>5708.1875</v>
      </c>
      <c r="DB27" s="49">
        <f t="shared" si="108"/>
        <v>376.23611599999998</v>
      </c>
      <c r="DC27" s="49">
        <f t="shared" si="108"/>
        <v>378.79985599999998</v>
      </c>
      <c r="DD27" s="47">
        <f t="shared" si="108"/>
        <v>1.8936999999999999E-2</v>
      </c>
      <c r="DE27" s="47">
        <f t="shared" si="169"/>
        <v>9.5006504843348043E-3</v>
      </c>
      <c r="DF27" s="48">
        <f t="shared" si="170"/>
        <v>376.24561665048429</v>
      </c>
      <c r="DG27" s="48">
        <f t="shared" si="171"/>
        <v>378.7904196504843</v>
      </c>
      <c r="DH27" s="93">
        <f t="shared" si="172"/>
        <v>376.24529111929371</v>
      </c>
      <c r="DI27" s="93">
        <f t="shared" si="173"/>
        <v>378.79009411929371</v>
      </c>
      <c r="DK27" s="275">
        <v>2.1892</v>
      </c>
      <c r="DL27" s="275">
        <v>1.7781</v>
      </c>
      <c r="DM27" s="275">
        <v>4.5499999999999999E-2</v>
      </c>
      <c r="DN27" s="275">
        <v>1430.5767000000001</v>
      </c>
      <c r="DO27" s="275">
        <v>1405.6475</v>
      </c>
      <c r="DP27" s="49">
        <f t="shared" si="109"/>
        <v>298.25660800000003</v>
      </c>
      <c r="DQ27" s="49">
        <f t="shared" si="109"/>
        <v>350.83691099999999</v>
      </c>
      <c r="DR27" s="47">
        <f t="shared" si="109"/>
        <v>1.001E-2</v>
      </c>
      <c r="DS27" s="47">
        <f t="shared" si="174"/>
        <v>5.4104337453876189E-3</v>
      </c>
      <c r="DT27" s="48">
        <f t="shared" si="175"/>
        <v>298.26201843374542</v>
      </c>
      <c r="DU27" s="48">
        <f t="shared" si="176"/>
        <v>350.83231143374536</v>
      </c>
      <c r="DV27" s="93">
        <f t="shared" si="177"/>
        <v>298.26137403728768</v>
      </c>
      <c r="DW27" s="93">
        <f t="shared" si="178"/>
        <v>350.83166703728762</v>
      </c>
      <c r="EB27" s="52"/>
      <c r="EC27" s="52"/>
      <c r="ED27" s="52"/>
      <c r="EE27" s="55">
        <f t="shared" si="179"/>
        <v>38495.7667</v>
      </c>
      <c r="EF27" s="55">
        <f t="shared" si="179"/>
        <v>36945.298299999995</v>
      </c>
      <c r="EG27" s="55">
        <f t="shared" si="179"/>
        <v>1551.4808878000001</v>
      </c>
      <c r="EH27" s="55">
        <f t="shared" si="179"/>
        <v>1885.3228498000001</v>
      </c>
      <c r="EI27" s="298">
        <f t="shared" si="110"/>
        <v>0.51027602407256578</v>
      </c>
      <c r="EJ27" s="52"/>
      <c r="EK27" s="55">
        <f t="shared" si="180"/>
        <v>1552.9345348868824</v>
      </c>
      <c r="EL27" s="55">
        <f t="shared" si="180"/>
        <v>1884.2486802868823</v>
      </c>
      <c r="EM27" s="55">
        <f t="shared" si="111"/>
        <v>1552.9358440035003</v>
      </c>
      <c r="EN27" s="55">
        <f t="shared" si="111"/>
        <v>1884.2499894035</v>
      </c>
      <c r="EP27" s="52"/>
      <c r="EQ27" s="52"/>
      <c r="ER27" s="52"/>
      <c r="ES27" s="55">
        <f t="shared" si="112"/>
        <v>25598.544199999997</v>
      </c>
      <c r="ET27" s="55">
        <f t="shared" si="112"/>
        <v>24616.488399999998</v>
      </c>
      <c r="EU27" s="55">
        <f t="shared" si="112"/>
        <v>1350.5022782000001</v>
      </c>
      <c r="EV27" s="55">
        <f t="shared" si="112"/>
        <v>1623.1812532000001</v>
      </c>
      <c r="EW27" s="298">
        <f t="shared" si="113"/>
        <v>0.50977850405697045</v>
      </c>
      <c r="EX27" s="52"/>
      <c r="EY27" s="55">
        <f t="shared" si="114"/>
        <v>1354.5933494088083</v>
      </c>
      <c r="EZ27" s="55">
        <f t="shared" si="114"/>
        <v>1619.9627275088085</v>
      </c>
      <c r="FA27" s="55">
        <f t="shared" si="114"/>
        <v>1354.3619282434624</v>
      </c>
      <c r="FB27" s="55">
        <f t="shared" si="114"/>
        <v>1619.7313063434626</v>
      </c>
      <c r="FD27" s="52"/>
      <c r="FE27" s="52"/>
      <c r="FF27" s="52"/>
      <c r="FG27" s="55">
        <f t="shared" si="115"/>
        <v>20147.881700000002</v>
      </c>
      <c r="FH27" s="55">
        <f t="shared" si="115"/>
        <v>19293.974199999997</v>
      </c>
      <c r="FI27" s="55">
        <f t="shared" si="115"/>
        <v>963.14279880000004</v>
      </c>
      <c r="FJ27" s="55">
        <f t="shared" si="115"/>
        <v>1114.8672865999999</v>
      </c>
      <c r="FK27" s="298">
        <f t="shared" si="116"/>
        <v>0.51082488996163089</v>
      </c>
      <c r="FL27" s="52"/>
      <c r="FM27" s="55">
        <f t="shared" si="117"/>
        <v>969.60251823105534</v>
      </c>
      <c r="FN27" s="55">
        <f t="shared" si="117"/>
        <v>1108.676877031055</v>
      </c>
      <c r="FO27" s="55">
        <f t="shared" si="117"/>
        <v>969.3738077521175</v>
      </c>
      <c r="FP27" s="55">
        <f t="shared" si="117"/>
        <v>1108.4481665521175</v>
      </c>
      <c r="FR27" s="52"/>
      <c r="FS27" s="52"/>
      <c r="FT27" s="52"/>
      <c r="FU27" s="55">
        <f t="shared" si="118"/>
        <v>20882.7042</v>
      </c>
      <c r="FV27" s="55">
        <f t="shared" si="118"/>
        <v>20065.191699999999</v>
      </c>
      <c r="FW27" s="55">
        <f t="shared" si="118"/>
        <v>497.9357728</v>
      </c>
      <c r="FX27" s="55">
        <f t="shared" si="118"/>
        <v>522.70584880000001</v>
      </c>
      <c r="FY27" s="298">
        <f t="shared" si="119"/>
        <v>0.50998235052170282</v>
      </c>
      <c r="FZ27" s="52"/>
      <c r="GA27" s="55">
        <f t="shared" si="120"/>
        <v>497.94848885922272</v>
      </c>
      <c r="GB27" s="55">
        <f t="shared" si="120"/>
        <v>522.6937132592227</v>
      </c>
      <c r="GC27" s="55">
        <f t="shared" si="120"/>
        <v>497.94671515867822</v>
      </c>
      <c r="GD27" s="55">
        <f t="shared" si="120"/>
        <v>522.6919395586782</v>
      </c>
      <c r="GF27" s="52"/>
      <c r="GG27" s="52"/>
      <c r="GH27" s="52"/>
      <c r="GI27" s="55">
        <f t="shared" si="191"/>
        <v>11318.6975</v>
      </c>
      <c r="GJ27" s="55">
        <f t="shared" si="191"/>
        <v>10787.956600000001</v>
      </c>
      <c r="GK27" s="56">
        <f t="shared" si="123"/>
        <v>109.28798775000004</v>
      </c>
      <c r="GL27" s="56">
        <f t="shared" si="123"/>
        <v>142.39783125000002</v>
      </c>
      <c r="GM27" s="298">
        <f t="shared" si="124"/>
        <v>0.51200409834973626</v>
      </c>
      <c r="GN27" s="52"/>
      <c r="GO27" s="56">
        <f t="shared" si="125"/>
        <v>110.3604567520473</v>
      </c>
      <c r="GP27" s="56">
        <f t="shared" si="125"/>
        <v>141.60720500204729</v>
      </c>
      <c r="GQ27" s="56">
        <f t="shared" si="125"/>
        <v>109.99899517818685</v>
      </c>
      <c r="GR27" s="56">
        <f t="shared" si="125"/>
        <v>141.24574342818681</v>
      </c>
      <c r="GW27" s="275">
        <v>0.72929999999999995</v>
      </c>
      <c r="GX27" s="275">
        <v>0.46889999999999998</v>
      </c>
      <c r="GY27" s="275">
        <v>0</v>
      </c>
      <c r="GZ27" s="275">
        <v>229.08420000000001</v>
      </c>
      <c r="HA27" s="275">
        <v>225.14750000000001</v>
      </c>
      <c r="HB27" s="49">
        <f t="shared" si="126"/>
        <v>478.99694699999992</v>
      </c>
      <c r="HC27" s="49">
        <f t="shared" si="127"/>
        <v>636.67710899999997</v>
      </c>
      <c r="HD27" s="47">
        <f t="shared" si="128"/>
        <v>0</v>
      </c>
      <c r="HE27" s="47">
        <f t="shared" si="181"/>
        <v>0</v>
      </c>
      <c r="HF27" s="48">
        <f t="shared" si="182"/>
        <v>478.99694699999992</v>
      </c>
      <c r="HG27" s="48">
        <f t="shared" si="183"/>
        <v>636.67710899999997</v>
      </c>
      <c r="HH27" s="93">
        <f t="shared" si="184"/>
        <v>478.99694699999992</v>
      </c>
      <c r="HI27" s="93">
        <f t="shared" si="185"/>
        <v>636.67710899999997</v>
      </c>
      <c r="HJ27" s="298">
        <f t="shared" si="129"/>
        <v>0.50433336114586447</v>
      </c>
      <c r="HL27" s="275">
        <v>0.14280000000000001</v>
      </c>
      <c r="HM27" s="275">
        <v>0.39689999999999998</v>
      </c>
      <c r="HN27" s="275">
        <v>0</v>
      </c>
      <c r="HO27" s="275">
        <v>5</v>
      </c>
      <c r="HP27" s="275">
        <v>9</v>
      </c>
      <c r="HQ27" s="49">
        <f t="shared" si="130"/>
        <v>75.919620000000009</v>
      </c>
      <c r="HR27" s="49">
        <f t="shared" si="131"/>
        <v>307.80785699999996</v>
      </c>
      <c r="HS27" s="47">
        <f t="shared" si="132"/>
        <v>0</v>
      </c>
      <c r="HT27" s="47">
        <f t="shared" si="186"/>
        <v>0</v>
      </c>
      <c r="HU27" s="48">
        <f t="shared" si="187"/>
        <v>75.919620000000009</v>
      </c>
      <c r="HV27" s="48">
        <f t="shared" si="188"/>
        <v>307.80785699999996</v>
      </c>
      <c r="HW27" s="93">
        <f t="shared" si="189"/>
        <v>78.29958544506286</v>
      </c>
      <c r="HX27" s="93">
        <f t="shared" si="190"/>
        <v>310.18782244506281</v>
      </c>
      <c r="HY27" s="298">
        <f t="shared" si="133"/>
        <v>0.35714285714285715</v>
      </c>
    </row>
    <row r="28" spans="1:233" x14ac:dyDescent="0.2">
      <c r="A28" s="118">
        <v>18</v>
      </c>
      <c r="C28" s="275">
        <v>0.71089999999999998</v>
      </c>
      <c r="D28" s="275">
        <v>0.52100000000000002</v>
      </c>
      <c r="E28" s="275">
        <v>0</v>
      </c>
      <c r="F28" s="275">
        <v>8829.0442000000003</v>
      </c>
      <c r="G28" s="275">
        <v>8952.6825000000008</v>
      </c>
      <c r="H28" s="49">
        <f t="shared" si="100"/>
        <v>703.11564499999997</v>
      </c>
      <c r="I28" s="49">
        <f t="shared" si="100"/>
        <v>938.74821999999995</v>
      </c>
      <c r="J28" s="47">
        <f t="shared" si="100"/>
        <v>0</v>
      </c>
      <c r="K28" s="47">
        <f t="shared" si="134"/>
        <v>0</v>
      </c>
      <c r="L28" s="48">
        <f t="shared" si="135"/>
        <v>703.11564499999997</v>
      </c>
      <c r="M28" s="48">
        <f t="shared" si="136"/>
        <v>938.74821999999995</v>
      </c>
      <c r="N28" s="93">
        <f t="shared" si="137"/>
        <v>703.40245366951297</v>
      </c>
      <c r="O28" s="93">
        <f t="shared" si="138"/>
        <v>939.03502866951294</v>
      </c>
      <c r="P28" s="298">
        <f t="shared" si="101"/>
        <v>0.49652344504878709</v>
      </c>
      <c r="Q28" s="275">
        <v>0.94979999999999998</v>
      </c>
      <c r="R28" s="275">
        <v>0.66579999999999995</v>
      </c>
      <c r="S28" s="275">
        <v>2.7400000000000001E-2</v>
      </c>
      <c r="T28" s="275">
        <v>987.30579999999998</v>
      </c>
      <c r="U28" s="275">
        <v>963.09500000000003</v>
      </c>
      <c r="V28" s="49">
        <f t="shared" si="102"/>
        <v>582.21790199999998</v>
      </c>
      <c r="W28" s="49">
        <f t="shared" si="102"/>
        <v>772.767428</v>
      </c>
      <c r="X28" s="47">
        <f t="shared" si="102"/>
        <v>5.9263459999999997</v>
      </c>
      <c r="Y28" s="47">
        <f t="shared" si="139"/>
        <v>3.3798795119487295</v>
      </c>
      <c r="Z28" s="48">
        <f t="shared" si="140"/>
        <v>585.59778151194871</v>
      </c>
      <c r="AA28" s="48">
        <f t="shared" si="141"/>
        <v>770.22096151194876</v>
      </c>
      <c r="AB28" s="93">
        <f t="shared" si="142"/>
        <v>584.64550038876973</v>
      </c>
      <c r="AC28" s="93">
        <f t="shared" si="143"/>
        <v>769.26868038876978</v>
      </c>
      <c r="AE28" s="275">
        <v>0.8044</v>
      </c>
      <c r="AF28" s="275">
        <v>0.3881</v>
      </c>
      <c r="AG28" s="275">
        <v>7.9100000000000004E-2</v>
      </c>
      <c r="AH28" s="275">
        <v>34.923299999999998</v>
      </c>
      <c r="AI28" s="275">
        <v>40.473300000000002</v>
      </c>
      <c r="AJ28" s="49">
        <f t="shared" si="103"/>
        <v>377.15902799999998</v>
      </c>
      <c r="AK28" s="49">
        <f t="shared" si="103"/>
        <v>441.18431799999996</v>
      </c>
      <c r="AL28" s="47">
        <f t="shared" si="103"/>
        <v>15.814463000000002</v>
      </c>
      <c r="AM28" s="47">
        <f t="shared" si="144"/>
        <v>8.5258749976947144</v>
      </c>
      <c r="AN28" s="48">
        <f t="shared" si="145"/>
        <v>385.68490299769468</v>
      </c>
      <c r="AO28" s="48">
        <f t="shared" si="146"/>
        <v>433.89572999769467</v>
      </c>
      <c r="AP28" s="93">
        <f t="shared" si="147"/>
        <v>383.17437979544178</v>
      </c>
      <c r="AQ28" s="93">
        <f t="shared" si="148"/>
        <v>431.38520679544177</v>
      </c>
      <c r="AS28" s="275">
        <v>1.1073999999999999</v>
      </c>
      <c r="AT28" s="275">
        <v>0.73650000000000004</v>
      </c>
      <c r="AU28" s="275">
        <v>1.4999999999999999E-2</v>
      </c>
      <c r="AV28" s="275">
        <v>6744.0333000000001</v>
      </c>
      <c r="AW28" s="275">
        <v>6636.2483000000002</v>
      </c>
      <c r="AX28" s="49">
        <f t="shared" si="104"/>
        <v>385.87352999999996</v>
      </c>
      <c r="AY28" s="49">
        <f t="shared" si="104"/>
        <v>515.45425499999999</v>
      </c>
      <c r="AZ28" s="47">
        <f t="shared" si="104"/>
        <v>3.9520500000000003</v>
      </c>
      <c r="BA28" s="47">
        <f t="shared" si="149"/>
        <v>2.2601111630800887</v>
      </c>
      <c r="BB28" s="48">
        <f t="shared" si="150"/>
        <v>388.13364116308003</v>
      </c>
      <c r="BC28" s="48">
        <f t="shared" si="151"/>
        <v>513.76231616308007</v>
      </c>
      <c r="BD28" s="93">
        <f t="shared" si="152"/>
        <v>387.03073517530896</v>
      </c>
      <c r="BE28" s="93">
        <f t="shared" si="153"/>
        <v>512.65941017530906</v>
      </c>
      <c r="BG28" s="275">
        <v>0.9425</v>
      </c>
      <c r="BH28" s="275">
        <v>0.73880000000000001</v>
      </c>
      <c r="BI28" s="275">
        <v>1.9199999999999998E-2</v>
      </c>
      <c r="BJ28" s="275">
        <v>3047.3008</v>
      </c>
      <c r="BK28" s="275">
        <v>3102.835</v>
      </c>
      <c r="BL28" s="49">
        <f t="shared" si="105"/>
        <v>318.77235000000002</v>
      </c>
      <c r="BM28" s="49">
        <f t="shared" si="105"/>
        <v>442.14224800000005</v>
      </c>
      <c r="BN28" s="47">
        <f t="shared" si="105"/>
        <v>4.4246399999999992</v>
      </c>
      <c r="BO28" s="47">
        <f t="shared" si="154"/>
        <v>2.5710116238178933</v>
      </c>
      <c r="BP28" s="48">
        <f t="shared" si="155"/>
        <v>321.34336162381788</v>
      </c>
      <c r="BQ28" s="48">
        <f t="shared" si="156"/>
        <v>440.28861962381791</v>
      </c>
      <c r="BR28" s="93">
        <f t="shared" si="157"/>
        <v>320.19437680794385</v>
      </c>
      <c r="BS28" s="93">
        <f t="shared" si="158"/>
        <v>439.13963480794388</v>
      </c>
      <c r="BU28" s="275">
        <v>0.89610000000000001</v>
      </c>
      <c r="BV28" s="275">
        <v>0.81930000000000003</v>
      </c>
      <c r="BW28" s="275">
        <v>6.7000000000000002E-3</v>
      </c>
      <c r="BX28" s="275">
        <v>3265.8667</v>
      </c>
      <c r="BY28" s="275">
        <v>3344.5974999999999</v>
      </c>
      <c r="BZ28" s="49">
        <f t="shared" si="106"/>
        <v>210.70895399999998</v>
      </c>
      <c r="CA28" s="49">
        <f t="shared" si="106"/>
        <v>294.562929</v>
      </c>
      <c r="CB28" s="47">
        <f t="shared" si="106"/>
        <v>0.631073</v>
      </c>
      <c r="CC28" s="47">
        <f t="shared" si="159"/>
        <v>0.3679023463350265</v>
      </c>
      <c r="CD28" s="48">
        <f t="shared" si="160"/>
        <v>211.07685634633501</v>
      </c>
      <c r="CE28" s="48">
        <f t="shared" si="161"/>
        <v>294.29975834633501</v>
      </c>
      <c r="CF28" s="93">
        <f t="shared" si="162"/>
        <v>210.91814927105992</v>
      </c>
      <c r="CG28" s="93">
        <f t="shared" si="163"/>
        <v>294.14105127105995</v>
      </c>
      <c r="CI28" s="275">
        <v>0.93259999999999998</v>
      </c>
      <c r="CJ28" s="275">
        <v>0.81720000000000004</v>
      </c>
      <c r="CK28" s="275">
        <v>3.2199999999999999E-2</v>
      </c>
      <c r="CL28" s="275">
        <v>13055.611699999999</v>
      </c>
      <c r="CM28" s="275">
        <v>13102.2592</v>
      </c>
      <c r="CN28" s="49">
        <f t="shared" si="107"/>
        <v>192.48864</v>
      </c>
      <c r="CO28" s="49">
        <f t="shared" si="107"/>
        <v>218.862504</v>
      </c>
      <c r="CP28" s="47">
        <f t="shared" si="107"/>
        <v>1.3524E-2</v>
      </c>
      <c r="CQ28" s="47">
        <f t="shared" si="164"/>
        <v>7.1955470338888865E-3</v>
      </c>
      <c r="CR28" s="48">
        <f t="shared" si="165"/>
        <v>192.49583554703389</v>
      </c>
      <c r="CS28" s="48">
        <f t="shared" si="166"/>
        <v>218.8561755470339</v>
      </c>
      <c r="CT28" s="93">
        <f t="shared" si="167"/>
        <v>192.49224226324321</v>
      </c>
      <c r="CU28" s="93">
        <f t="shared" si="168"/>
        <v>218.85258226324322</v>
      </c>
      <c r="CW28" s="275">
        <v>1.1603000000000001</v>
      </c>
      <c r="CX28" s="275">
        <v>0.87329999999999997</v>
      </c>
      <c r="CY28" s="275">
        <v>7.7399999999999997E-2</v>
      </c>
      <c r="CZ28" s="275">
        <v>5174.9942000000001</v>
      </c>
      <c r="DA28" s="275">
        <v>5089.2583000000004</v>
      </c>
      <c r="DB28" s="49">
        <f t="shared" si="108"/>
        <v>240.86667700000004</v>
      </c>
      <c r="DC28" s="49">
        <f t="shared" si="108"/>
        <v>245.84268299999999</v>
      </c>
      <c r="DD28" s="47">
        <f t="shared" si="108"/>
        <v>2.2445999999999997E-2</v>
      </c>
      <c r="DE28" s="47">
        <f t="shared" si="169"/>
        <v>1.1337741404065042E-2</v>
      </c>
      <c r="DF28" s="48">
        <f t="shared" si="170"/>
        <v>240.87801474140412</v>
      </c>
      <c r="DG28" s="48">
        <f t="shared" si="171"/>
        <v>245.83157474140407</v>
      </c>
      <c r="DH28" s="93">
        <f t="shared" si="172"/>
        <v>240.8758521192938</v>
      </c>
      <c r="DI28" s="93">
        <f t="shared" si="173"/>
        <v>245.82941211929375</v>
      </c>
      <c r="DK28" s="275">
        <v>1.4014</v>
      </c>
      <c r="DL28" s="275">
        <v>1.2002999999999999</v>
      </c>
      <c r="DM28" s="275">
        <v>6.7699999999999996E-2</v>
      </c>
      <c r="DN28" s="275">
        <v>1263.5374999999999</v>
      </c>
      <c r="DO28" s="275">
        <v>1152.3883000000001</v>
      </c>
      <c r="DP28" s="49">
        <f t="shared" si="109"/>
        <v>190.92673600000001</v>
      </c>
      <c r="DQ28" s="49">
        <f t="shared" si="109"/>
        <v>236.83119299999998</v>
      </c>
      <c r="DR28" s="47">
        <f t="shared" si="109"/>
        <v>1.4893999999999999E-2</v>
      </c>
      <c r="DS28" s="47">
        <f t="shared" si="174"/>
        <v>8.2461680997665369E-3</v>
      </c>
      <c r="DT28" s="48">
        <f t="shared" si="175"/>
        <v>190.93498216809976</v>
      </c>
      <c r="DU28" s="48">
        <f t="shared" si="176"/>
        <v>236.82454516809975</v>
      </c>
      <c r="DV28" s="93">
        <f t="shared" si="177"/>
        <v>190.93150203728769</v>
      </c>
      <c r="DW28" s="93">
        <f t="shared" si="178"/>
        <v>236.82106503728767</v>
      </c>
      <c r="EB28" s="52"/>
      <c r="EC28" s="52"/>
      <c r="ED28" s="52"/>
      <c r="EE28" s="55">
        <f t="shared" si="179"/>
        <v>33803.683400000002</v>
      </c>
      <c r="EF28" s="55">
        <f t="shared" si="179"/>
        <v>33780.448300000004</v>
      </c>
      <c r="EG28" s="55">
        <f t="shared" si="179"/>
        <v>1474.1711565999999</v>
      </c>
      <c r="EH28" s="55">
        <f t="shared" si="179"/>
        <v>1869.7391253999999</v>
      </c>
      <c r="EI28" s="298">
        <f t="shared" si="110"/>
        <v>0.50017189759944791</v>
      </c>
      <c r="EJ28" s="52"/>
      <c r="EK28" s="55">
        <f t="shared" si="180"/>
        <v>1476.4475335032371</v>
      </c>
      <c r="EL28" s="55">
        <f t="shared" si="180"/>
        <v>1868.0319715032369</v>
      </c>
      <c r="EM28" s="55">
        <f t="shared" si="111"/>
        <v>1475.6261128035003</v>
      </c>
      <c r="EN28" s="55">
        <f t="shared" si="111"/>
        <v>1867.2105508035002</v>
      </c>
      <c r="EP28" s="52"/>
      <c r="EQ28" s="52"/>
      <c r="ER28" s="52"/>
      <c r="ES28" s="55">
        <f t="shared" si="112"/>
        <v>22265.212500000001</v>
      </c>
      <c r="ET28" s="55">
        <f t="shared" si="112"/>
        <v>22257.447500000002</v>
      </c>
      <c r="EU28" s="55">
        <f t="shared" si="112"/>
        <v>1262.0855659000001</v>
      </c>
      <c r="EV28" s="55">
        <f t="shared" si="112"/>
        <v>1605.8620581</v>
      </c>
      <c r="EW28" s="298">
        <f t="shared" si="113"/>
        <v>0.50008720278617669</v>
      </c>
      <c r="EX28" s="52"/>
      <c r="EY28" s="55">
        <f t="shared" si="114"/>
        <v>1268.0515890017834</v>
      </c>
      <c r="EZ28" s="55">
        <f t="shared" si="114"/>
        <v>1601.4478590017834</v>
      </c>
      <c r="FA28" s="55">
        <f t="shared" si="114"/>
        <v>1265.9452159434625</v>
      </c>
      <c r="FB28" s="55">
        <f t="shared" si="114"/>
        <v>1599.3414859434624</v>
      </c>
      <c r="FD28" s="52"/>
      <c r="FE28" s="52"/>
      <c r="FF28" s="52"/>
      <c r="FG28" s="55">
        <f t="shared" si="115"/>
        <v>17619.939199999997</v>
      </c>
      <c r="FH28" s="55">
        <f t="shared" si="115"/>
        <v>17639.7183</v>
      </c>
      <c r="FI28" s="55">
        <f t="shared" si="115"/>
        <v>894.91266359999997</v>
      </c>
      <c r="FJ28" s="55">
        <f t="shared" si="115"/>
        <v>1096.7084668</v>
      </c>
      <c r="FK28" s="298">
        <f t="shared" si="116"/>
        <v>0.49971952223302218</v>
      </c>
      <c r="FL28" s="52"/>
      <c r="FM28" s="55">
        <f t="shared" si="117"/>
        <v>903.81858419192338</v>
      </c>
      <c r="FN28" s="55">
        <f t="shared" si="117"/>
        <v>1089.1463909919235</v>
      </c>
      <c r="FO28" s="55">
        <f t="shared" si="117"/>
        <v>901.14367255211744</v>
      </c>
      <c r="FP28" s="55">
        <f t="shared" si="117"/>
        <v>1086.4714793521175</v>
      </c>
      <c r="FR28" s="52"/>
      <c r="FS28" s="52"/>
      <c r="FT28" s="52"/>
      <c r="FU28" s="55">
        <f t="shared" si="118"/>
        <v>18230.605899999999</v>
      </c>
      <c r="FV28" s="55">
        <f t="shared" si="118"/>
        <v>18191.517500000002</v>
      </c>
      <c r="FW28" s="55">
        <f t="shared" si="118"/>
        <v>385.18198160000009</v>
      </c>
      <c r="FX28" s="55">
        <f t="shared" si="118"/>
        <v>415.53665039999998</v>
      </c>
      <c r="FY28" s="298">
        <f t="shared" si="119"/>
        <v>0.50053660243213605</v>
      </c>
      <c r="FZ28" s="52"/>
      <c r="GA28" s="55">
        <f t="shared" si="120"/>
        <v>385.1982473401572</v>
      </c>
      <c r="GB28" s="55">
        <f t="shared" si="120"/>
        <v>415.52143534015715</v>
      </c>
      <c r="GC28" s="55">
        <f t="shared" si="120"/>
        <v>385.19292395867825</v>
      </c>
      <c r="GD28" s="55">
        <f t="shared" si="120"/>
        <v>415.51611195867827</v>
      </c>
      <c r="GF28" s="52"/>
      <c r="GG28" s="52"/>
      <c r="GH28" s="52"/>
      <c r="GI28" s="55">
        <f t="shared" si="191"/>
        <v>10009.9</v>
      </c>
      <c r="GJ28" s="55">
        <f t="shared" si="191"/>
        <v>9980.8457999999991</v>
      </c>
      <c r="GK28" s="56">
        <f t="shared" si="123"/>
        <v>131.37343199999998</v>
      </c>
      <c r="GL28" s="56">
        <f t="shared" si="123"/>
        <v>165.66849450000001</v>
      </c>
      <c r="GM28" s="298">
        <f t="shared" si="124"/>
        <v>0.50072669124730707</v>
      </c>
      <c r="GN28" s="52"/>
      <c r="GO28" s="56">
        <f t="shared" si="125"/>
        <v>132.79258861255877</v>
      </c>
      <c r="GP28" s="56">
        <f t="shared" si="125"/>
        <v>164.5969183625588</v>
      </c>
      <c r="GQ28" s="56">
        <f t="shared" si="125"/>
        <v>132.08443942818678</v>
      </c>
      <c r="GR28" s="56">
        <f t="shared" si="125"/>
        <v>163.88876917818683</v>
      </c>
      <c r="GW28" s="275">
        <v>0.71919999999999995</v>
      </c>
      <c r="GX28" s="275">
        <v>0.50990000000000002</v>
      </c>
      <c r="GY28" s="275">
        <v>0</v>
      </c>
      <c r="GZ28" s="275">
        <v>211.20750000000001</v>
      </c>
      <c r="HA28" s="275">
        <v>226.52500000000001</v>
      </c>
      <c r="HB28" s="49">
        <f t="shared" si="126"/>
        <v>472.36336799999992</v>
      </c>
      <c r="HC28" s="49">
        <f t="shared" si="127"/>
        <v>692.34731899999997</v>
      </c>
      <c r="HD28" s="47">
        <f t="shared" si="128"/>
        <v>0</v>
      </c>
      <c r="HE28" s="47">
        <f t="shared" si="181"/>
        <v>0</v>
      </c>
      <c r="HF28" s="48">
        <f t="shared" si="182"/>
        <v>472.36336799999992</v>
      </c>
      <c r="HG28" s="48">
        <f t="shared" si="183"/>
        <v>692.34731899999997</v>
      </c>
      <c r="HH28" s="93">
        <f t="shared" si="184"/>
        <v>472.36336799999992</v>
      </c>
      <c r="HI28" s="93">
        <f t="shared" si="185"/>
        <v>692.34731899999997</v>
      </c>
      <c r="HJ28" s="298">
        <f t="shared" si="129"/>
        <v>0.48250358380974684</v>
      </c>
      <c r="HL28" s="275">
        <v>0.17510000000000001</v>
      </c>
      <c r="HM28" s="275">
        <v>0.4274</v>
      </c>
      <c r="HN28" s="275">
        <v>4.5699999999999998E-2</v>
      </c>
      <c r="HO28" s="275">
        <v>9.5832999999999995</v>
      </c>
      <c r="HP28" s="275">
        <v>9</v>
      </c>
      <c r="HQ28" s="49">
        <f t="shared" si="130"/>
        <v>93.091915</v>
      </c>
      <c r="HR28" s="49">
        <f t="shared" si="131"/>
        <v>331.461522</v>
      </c>
      <c r="HS28" s="47">
        <f t="shared" si="132"/>
        <v>5.9314029999999995</v>
      </c>
      <c r="HT28" s="47">
        <f t="shared" si="186"/>
        <v>2.8726128836105533</v>
      </c>
      <c r="HU28" s="48">
        <f t="shared" si="187"/>
        <v>95.964527883610558</v>
      </c>
      <c r="HV28" s="48">
        <f t="shared" si="188"/>
        <v>328.40273188361056</v>
      </c>
      <c r="HW28" s="93">
        <f t="shared" si="189"/>
        <v>95.471880445062851</v>
      </c>
      <c r="HX28" s="93">
        <f t="shared" si="190"/>
        <v>327.91008444506286</v>
      </c>
      <c r="HY28" s="298">
        <f t="shared" si="133"/>
        <v>0.51569419855461618</v>
      </c>
    </row>
    <row r="29" spans="1:233" x14ac:dyDescent="0.2">
      <c r="A29" s="118">
        <v>19</v>
      </c>
      <c r="C29" s="275">
        <v>0.71079999999999999</v>
      </c>
      <c r="D29" s="275">
        <v>0.54859999999999998</v>
      </c>
      <c r="E29" s="275">
        <v>1.54E-2</v>
      </c>
      <c r="F29" s="275">
        <v>6393.3067000000001</v>
      </c>
      <c r="G29" s="275">
        <v>6447.6758</v>
      </c>
      <c r="H29" s="49">
        <f t="shared" si="100"/>
        <v>703.01673999999991</v>
      </c>
      <c r="I29" s="49">
        <f t="shared" si="100"/>
        <v>988.47845199999995</v>
      </c>
      <c r="J29" s="47">
        <f t="shared" si="100"/>
        <v>4.1709359999999993</v>
      </c>
      <c r="K29" s="47">
        <f t="shared" si="134"/>
        <v>2.0942979332421641</v>
      </c>
      <c r="L29" s="48">
        <f t="shared" si="135"/>
        <v>705.11103793324207</v>
      </c>
      <c r="M29" s="48">
        <f t="shared" si="136"/>
        <v>986.40181393324212</v>
      </c>
      <c r="N29" s="93">
        <f t="shared" si="137"/>
        <v>703.30354866951291</v>
      </c>
      <c r="O29" s="93">
        <f t="shared" si="138"/>
        <v>984.59432466951296</v>
      </c>
      <c r="P29" s="298">
        <f t="shared" si="101"/>
        <v>0.4978829851999253</v>
      </c>
      <c r="Q29" s="275">
        <v>0.93540000000000001</v>
      </c>
      <c r="R29" s="275">
        <v>0.69769999999999999</v>
      </c>
      <c r="S29" s="275">
        <v>2.9399999999999999E-2</v>
      </c>
      <c r="T29" s="275">
        <v>707.81420000000003</v>
      </c>
      <c r="U29" s="275">
        <v>615.41999999999996</v>
      </c>
      <c r="V29" s="49">
        <f t="shared" si="102"/>
        <v>573.39084600000001</v>
      </c>
      <c r="W29" s="49">
        <f t="shared" si="102"/>
        <v>809.79248200000006</v>
      </c>
      <c r="X29" s="47">
        <f t="shared" si="102"/>
        <v>6.3589259999999994</v>
      </c>
      <c r="Y29" s="47">
        <f t="shared" si="139"/>
        <v>3.7228690977934713</v>
      </c>
      <c r="Z29" s="48">
        <f t="shared" si="140"/>
        <v>577.11371509779349</v>
      </c>
      <c r="AA29" s="48">
        <f t="shared" si="141"/>
        <v>807.15642509779354</v>
      </c>
      <c r="AB29" s="93">
        <f t="shared" si="142"/>
        <v>575.81844438876976</v>
      </c>
      <c r="AC29" s="93">
        <f t="shared" si="143"/>
        <v>805.86115438876982</v>
      </c>
      <c r="AE29" s="275">
        <v>0.79259999999999997</v>
      </c>
      <c r="AF29" s="275">
        <v>0.42580000000000001</v>
      </c>
      <c r="AG29" s="275">
        <v>0.1038</v>
      </c>
      <c r="AH29" s="275">
        <v>26.184999999999999</v>
      </c>
      <c r="AI29" s="275">
        <v>30.5808</v>
      </c>
      <c r="AJ29" s="49">
        <f t="shared" si="103"/>
        <v>371.62636199999997</v>
      </c>
      <c r="AK29" s="49">
        <f t="shared" si="103"/>
        <v>484.04092400000002</v>
      </c>
      <c r="AL29" s="47">
        <f t="shared" si="103"/>
        <v>20.752734</v>
      </c>
      <c r="AM29" s="47">
        <f t="shared" si="144"/>
        <v>11.739577643367117</v>
      </c>
      <c r="AN29" s="48">
        <f t="shared" si="145"/>
        <v>383.36593964336708</v>
      </c>
      <c r="AO29" s="48">
        <f t="shared" si="146"/>
        <v>475.02776764336716</v>
      </c>
      <c r="AP29" s="93">
        <f t="shared" si="147"/>
        <v>377.64171379544177</v>
      </c>
      <c r="AQ29" s="93">
        <f t="shared" si="148"/>
        <v>469.30354179544184</v>
      </c>
      <c r="AS29" s="275">
        <v>1.2045999999999999</v>
      </c>
      <c r="AT29" s="275">
        <v>0.78849999999999998</v>
      </c>
      <c r="AU29" s="275">
        <v>2.1499999999999998E-2</v>
      </c>
      <c r="AV29" s="275">
        <v>4732.8833000000004</v>
      </c>
      <c r="AW29" s="275">
        <v>4782.9825000000001</v>
      </c>
      <c r="AX29" s="49">
        <f t="shared" si="104"/>
        <v>419.74286999999993</v>
      </c>
      <c r="AY29" s="49">
        <f t="shared" si="104"/>
        <v>551.84749499999998</v>
      </c>
      <c r="AZ29" s="47">
        <f t="shared" si="104"/>
        <v>5.6646049999999999</v>
      </c>
      <c r="BA29" s="47">
        <f t="shared" si="149"/>
        <v>3.2174033337748003</v>
      </c>
      <c r="BB29" s="48">
        <f t="shared" si="150"/>
        <v>422.96027333377475</v>
      </c>
      <c r="BC29" s="48">
        <f t="shared" si="151"/>
        <v>549.4002933337747</v>
      </c>
      <c r="BD29" s="93">
        <f t="shared" si="152"/>
        <v>420.90007517530893</v>
      </c>
      <c r="BE29" s="93">
        <f t="shared" si="153"/>
        <v>547.34009517530899</v>
      </c>
      <c r="BG29" s="275">
        <v>0.98750000000000004</v>
      </c>
      <c r="BH29" s="275">
        <v>0.79459999999999997</v>
      </c>
      <c r="BI29" s="275">
        <v>4.2099999999999999E-2</v>
      </c>
      <c r="BJ29" s="275">
        <v>2244.3692000000001</v>
      </c>
      <c r="BK29" s="275">
        <v>2068.8467000000001</v>
      </c>
      <c r="BL29" s="49">
        <f t="shared" si="105"/>
        <v>333.99225000000007</v>
      </c>
      <c r="BM29" s="49">
        <f t="shared" si="105"/>
        <v>475.536316</v>
      </c>
      <c r="BN29" s="47">
        <f t="shared" si="105"/>
        <v>9.7019449999999985</v>
      </c>
      <c r="BO29" s="47">
        <f t="shared" si="154"/>
        <v>5.6991530343780585</v>
      </c>
      <c r="BP29" s="48">
        <f t="shared" si="155"/>
        <v>339.69140303437814</v>
      </c>
      <c r="BQ29" s="48">
        <f t="shared" si="156"/>
        <v>471.53352403437805</v>
      </c>
      <c r="BR29" s="93">
        <f t="shared" si="157"/>
        <v>335.41427680794391</v>
      </c>
      <c r="BS29" s="93">
        <f t="shared" si="158"/>
        <v>467.25639780794381</v>
      </c>
      <c r="BU29" s="275">
        <v>0.90139999999999998</v>
      </c>
      <c r="BV29" s="275">
        <v>0.83740000000000003</v>
      </c>
      <c r="BW29" s="275">
        <v>2.07E-2</v>
      </c>
      <c r="BX29" s="275">
        <v>2457.6082999999999</v>
      </c>
      <c r="BY29" s="275">
        <v>2513.8449999999998</v>
      </c>
      <c r="BZ29" s="49">
        <f t="shared" si="106"/>
        <v>211.95519599999997</v>
      </c>
      <c r="CA29" s="49">
        <f t="shared" si="106"/>
        <v>301.07042200000001</v>
      </c>
      <c r="CB29" s="47">
        <f t="shared" si="106"/>
        <v>1.9497329999999999</v>
      </c>
      <c r="CC29" s="47">
        <f t="shared" si="159"/>
        <v>1.1442058963560882</v>
      </c>
      <c r="CD29" s="48">
        <f t="shared" si="160"/>
        <v>213.09940189635606</v>
      </c>
      <c r="CE29" s="48">
        <f t="shared" si="161"/>
        <v>300.26489489635611</v>
      </c>
      <c r="CF29" s="93">
        <f t="shared" si="162"/>
        <v>212.16439127105991</v>
      </c>
      <c r="CG29" s="93">
        <f t="shared" si="163"/>
        <v>299.32988427106</v>
      </c>
      <c r="CI29" s="275">
        <v>0.90059999999999996</v>
      </c>
      <c r="CJ29" s="275">
        <v>0.8075</v>
      </c>
      <c r="CK29" s="275">
        <v>4.7800000000000002E-2</v>
      </c>
      <c r="CL29" s="275">
        <v>9385.7741999999998</v>
      </c>
      <c r="CM29" s="275">
        <v>9330.2808000000005</v>
      </c>
      <c r="CN29" s="49">
        <f t="shared" si="107"/>
        <v>185.88383999999999</v>
      </c>
      <c r="CO29" s="49">
        <f t="shared" si="107"/>
        <v>216.26464999999999</v>
      </c>
      <c r="CP29" s="47">
        <f t="shared" si="107"/>
        <v>2.0076E-2</v>
      </c>
      <c r="CQ29" s="47">
        <f t="shared" si="164"/>
        <v>1.0796333248447606E-2</v>
      </c>
      <c r="CR29" s="48">
        <f t="shared" si="165"/>
        <v>185.89463633324843</v>
      </c>
      <c r="CS29" s="48">
        <f t="shared" si="166"/>
        <v>216.25537033324844</v>
      </c>
      <c r="CT29" s="93">
        <f t="shared" si="167"/>
        <v>185.8874422632432</v>
      </c>
      <c r="CU29" s="93">
        <f t="shared" si="168"/>
        <v>216.24817626324321</v>
      </c>
      <c r="CW29" s="275">
        <v>0.72660000000000002</v>
      </c>
      <c r="CX29" s="275">
        <v>0.56089999999999995</v>
      </c>
      <c r="CY29" s="275">
        <v>9.6100000000000005E-2</v>
      </c>
      <c r="CZ29" s="275">
        <v>3634.0657999999999</v>
      </c>
      <c r="DA29" s="275">
        <v>3510.8892000000001</v>
      </c>
      <c r="DB29" s="49">
        <f t="shared" si="108"/>
        <v>150.83489400000002</v>
      </c>
      <c r="DC29" s="49">
        <f t="shared" si="108"/>
        <v>157.89895899999999</v>
      </c>
      <c r="DD29" s="47">
        <f t="shared" si="108"/>
        <v>2.7868999999999998E-2</v>
      </c>
      <c r="DE29" s="47">
        <f t="shared" si="169"/>
        <v>1.4253331941447312E-2</v>
      </c>
      <c r="DF29" s="48">
        <f t="shared" si="170"/>
        <v>150.84914733194148</v>
      </c>
      <c r="DG29" s="48">
        <f t="shared" si="171"/>
        <v>157.88534333194144</v>
      </c>
      <c r="DH29" s="93">
        <f t="shared" si="172"/>
        <v>150.84406911929378</v>
      </c>
      <c r="DI29" s="93">
        <f t="shared" si="173"/>
        <v>157.88026511929374</v>
      </c>
      <c r="DK29" s="275">
        <v>0.87519999999999998</v>
      </c>
      <c r="DL29" s="275">
        <v>0.77490000000000003</v>
      </c>
      <c r="DM29" s="275">
        <v>9.7199999999999995E-2</v>
      </c>
      <c r="DN29" s="275">
        <v>893.69500000000005</v>
      </c>
      <c r="DO29" s="275">
        <v>807.03250000000003</v>
      </c>
      <c r="DP29" s="49">
        <f t="shared" si="109"/>
        <v>119.23724800000001</v>
      </c>
      <c r="DQ29" s="49">
        <f t="shared" si="109"/>
        <v>152.89551900000001</v>
      </c>
      <c r="DR29" s="47">
        <f t="shared" si="109"/>
        <v>2.1384E-2</v>
      </c>
      <c r="DS29" s="47">
        <f t="shared" si="174"/>
        <v>1.2014421542614161E-2</v>
      </c>
      <c r="DT29" s="48">
        <f t="shared" si="175"/>
        <v>119.24926242154262</v>
      </c>
      <c r="DU29" s="48">
        <f t="shared" si="176"/>
        <v>152.8861494215426</v>
      </c>
      <c r="DV29" s="93">
        <f t="shared" si="177"/>
        <v>119.24201403728767</v>
      </c>
      <c r="DW29" s="93">
        <f t="shared" si="178"/>
        <v>152.87890103728768</v>
      </c>
      <c r="EB29" s="52"/>
      <c r="EC29" s="52"/>
      <c r="ED29" s="52"/>
      <c r="EE29" s="55">
        <f t="shared" si="179"/>
        <v>24146.030000000002</v>
      </c>
      <c r="EF29" s="55">
        <f t="shared" si="179"/>
        <v>24071.828300000001</v>
      </c>
      <c r="EG29" s="55">
        <f t="shared" si="179"/>
        <v>1429.3113651999997</v>
      </c>
      <c r="EH29" s="55">
        <f t="shared" si="179"/>
        <v>1882.9097641999999</v>
      </c>
      <c r="EI29" s="298">
        <f t="shared" si="110"/>
        <v>0.50076944209693364</v>
      </c>
      <c r="EJ29" s="52"/>
      <c r="EK29" s="55">
        <f t="shared" si="180"/>
        <v>1434.6452654658185</v>
      </c>
      <c r="EL29" s="55">
        <f t="shared" si="180"/>
        <v>1878.3657522658184</v>
      </c>
      <c r="EM29" s="55">
        <f t="shared" si="111"/>
        <v>1430.7663214035001</v>
      </c>
      <c r="EN29" s="55">
        <f t="shared" si="111"/>
        <v>1874.4868082035005</v>
      </c>
      <c r="EP29" s="52"/>
      <c r="EQ29" s="52"/>
      <c r="ER29" s="52"/>
      <c r="ES29" s="55">
        <f t="shared" si="112"/>
        <v>15972.0234</v>
      </c>
      <c r="ET29" s="55">
        <f t="shared" si="112"/>
        <v>15525.4367</v>
      </c>
      <c r="EU29" s="55">
        <f t="shared" si="112"/>
        <v>1198.8513617999999</v>
      </c>
      <c r="EV29" s="55">
        <f t="shared" si="112"/>
        <v>1612.1227193</v>
      </c>
      <c r="EW29" s="298">
        <f t="shared" si="113"/>
        <v>0.50708924939633471</v>
      </c>
      <c r="EX29" s="52"/>
      <c r="EY29" s="55">
        <f t="shared" si="114"/>
        <v>1208.2941575977791</v>
      </c>
      <c r="EZ29" s="55">
        <f t="shared" si="114"/>
        <v>1605.4650597977791</v>
      </c>
      <c r="FA29" s="55">
        <f t="shared" si="114"/>
        <v>1202.7110118434625</v>
      </c>
      <c r="FB29" s="55">
        <f t="shared" si="114"/>
        <v>1599.8819140434625</v>
      </c>
      <c r="FD29" s="52"/>
      <c r="FE29" s="52"/>
      <c r="FF29" s="52"/>
      <c r="FG29" s="55">
        <f t="shared" si="115"/>
        <v>12763.262499999999</v>
      </c>
      <c r="FH29" s="55">
        <f t="shared" si="115"/>
        <v>12681.739100000001</v>
      </c>
      <c r="FI29" s="55">
        <f t="shared" si="115"/>
        <v>841.00774679999995</v>
      </c>
      <c r="FJ29" s="55">
        <f t="shared" si="115"/>
        <v>1093.1133073999999</v>
      </c>
      <c r="FK29" s="298">
        <f t="shared" si="116"/>
        <v>0.50160195313173017</v>
      </c>
      <c r="FL29" s="52"/>
      <c r="FM29" s="55">
        <f t="shared" si="117"/>
        <v>853.90953532589708</v>
      </c>
      <c r="FN29" s="55">
        <f t="shared" si="117"/>
        <v>1083.2797225258973</v>
      </c>
      <c r="FO29" s="55">
        <f t="shared" si="117"/>
        <v>847.23875575211753</v>
      </c>
      <c r="FP29" s="55">
        <f t="shared" si="117"/>
        <v>1076.6089429521178</v>
      </c>
      <c r="FR29" s="52"/>
      <c r="FS29" s="52"/>
      <c r="FT29" s="52"/>
      <c r="FU29" s="55">
        <f t="shared" si="118"/>
        <v>13019.84</v>
      </c>
      <c r="FV29" s="55">
        <f t="shared" si="118"/>
        <v>12841.17</v>
      </c>
      <c r="FW29" s="55">
        <f t="shared" si="118"/>
        <v>306.5517552</v>
      </c>
      <c r="FX29" s="55">
        <f t="shared" si="118"/>
        <v>342.5838172</v>
      </c>
      <c r="FY29" s="298">
        <f t="shared" si="119"/>
        <v>0.50345442811398311</v>
      </c>
      <c r="FZ29" s="52"/>
      <c r="GA29" s="55">
        <f t="shared" si="120"/>
        <v>306.57395419880163</v>
      </c>
      <c r="GB29" s="55">
        <f t="shared" si="120"/>
        <v>342.56364499880158</v>
      </c>
      <c r="GC29" s="55">
        <f t="shared" si="120"/>
        <v>306.56269755867822</v>
      </c>
      <c r="GD29" s="55">
        <f t="shared" si="120"/>
        <v>342.55238835867817</v>
      </c>
      <c r="GF29" s="52"/>
      <c r="GG29" s="52"/>
      <c r="GH29" s="52"/>
      <c r="GI29" s="55">
        <f t="shared" si="191"/>
        <v>7190.4916000000003</v>
      </c>
      <c r="GJ29" s="55">
        <f t="shared" si="191"/>
        <v>7296.8274999999994</v>
      </c>
      <c r="GK29" s="56">
        <f t="shared" si="123"/>
        <v>155.84075549999997</v>
      </c>
      <c r="GL29" s="56">
        <f t="shared" si="123"/>
        <v>188.08280474999998</v>
      </c>
      <c r="GM29" s="298">
        <f t="shared" si="124"/>
        <v>0.49633003527892194</v>
      </c>
      <c r="GN29" s="52"/>
      <c r="GO29" s="56">
        <f t="shared" si="125"/>
        <v>157.39565357806401</v>
      </c>
      <c r="GP29" s="56">
        <f t="shared" si="125"/>
        <v>186.85154882806393</v>
      </c>
      <c r="GQ29" s="56">
        <f t="shared" si="125"/>
        <v>156.55176292818675</v>
      </c>
      <c r="GR29" s="56">
        <f t="shared" si="125"/>
        <v>186.00765817818674</v>
      </c>
      <c r="GW29" s="275">
        <v>0.71130000000000004</v>
      </c>
      <c r="GX29" s="275">
        <v>0.55189999999999995</v>
      </c>
      <c r="GY29" s="275">
        <v>0</v>
      </c>
      <c r="GZ29" s="275">
        <v>163.7483</v>
      </c>
      <c r="HA29" s="275">
        <v>144.49250000000001</v>
      </c>
      <c r="HB29" s="49">
        <f t="shared" si="126"/>
        <v>467.17472700000002</v>
      </c>
      <c r="HC29" s="49">
        <f t="shared" si="127"/>
        <v>749.37533899999994</v>
      </c>
      <c r="HD29" s="47">
        <f t="shared" si="128"/>
        <v>0</v>
      </c>
      <c r="HE29" s="47">
        <f t="shared" si="181"/>
        <v>0</v>
      </c>
      <c r="HF29" s="48">
        <f t="shared" si="182"/>
        <v>467.17472700000002</v>
      </c>
      <c r="HG29" s="48">
        <f t="shared" si="183"/>
        <v>749.37533899999994</v>
      </c>
      <c r="HH29" s="93">
        <f t="shared" si="184"/>
        <v>467.17472700000002</v>
      </c>
      <c r="HI29" s="93">
        <f t="shared" si="185"/>
        <v>749.37533899999994</v>
      </c>
      <c r="HJ29" s="298">
        <f t="shared" si="129"/>
        <v>0.53123499549702691</v>
      </c>
      <c r="HL29" s="275">
        <v>0.2077</v>
      </c>
      <c r="HM29" s="275">
        <v>0.45839999999999997</v>
      </c>
      <c r="HN29" s="275">
        <v>0.1515</v>
      </c>
      <c r="HO29" s="275">
        <v>11.6633</v>
      </c>
      <c r="HP29" s="275">
        <v>8</v>
      </c>
      <c r="HQ29" s="49">
        <f t="shared" si="130"/>
        <v>110.423705</v>
      </c>
      <c r="HR29" s="49">
        <f t="shared" si="131"/>
        <v>355.50295199999999</v>
      </c>
      <c r="HS29" s="47">
        <f t="shared" si="132"/>
        <v>19.663184999999999</v>
      </c>
      <c r="HT29" s="47">
        <f t="shared" si="186"/>
        <v>7.9999532123295678</v>
      </c>
      <c r="HU29" s="48">
        <f t="shared" si="187"/>
        <v>118.42365821232957</v>
      </c>
      <c r="HV29" s="48">
        <f t="shared" si="188"/>
        <v>343.83972021232955</v>
      </c>
      <c r="HW29" s="93">
        <f t="shared" si="189"/>
        <v>112.80367044506285</v>
      </c>
      <c r="HX29" s="93">
        <f t="shared" si="190"/>
        <v>338.21973244506285</v>
      </c>
      <c r="HY29" s="298">
        <f t="shared" si="133"/>
        <v>0.59315069189810454</v>
      </c>
    </row>
    <row r="30" spans="1:233" x14ac:dyDescent="0.2">
      <c r="A30" s="118">
        <v>20</v>
      </c>
      <c r="C30" s="275">
        <v>0.71020000000000005</v>
      </c>
      <c r="D30" s="275">
        <v>0.57550000000000001</v>
      </c>
      <c r="E30" s="275">
        <v>3.2399999999999998E-2</v>
      </c>
      <c r="F30" s="275">
        <v>3548.2258000000002</v>
      </c>
      <c r="G30" s="275">
        <v>3303.6558</v>
      </c>
      <c r="H30" s="49">
        <f t="shared" si="100"/>
        <v>702.42331000000001</v>
      </c>
      <c r="I30" s="49">
        <f t="shared" si="100"/>
        <v>1036.94741</v>
      </c>
      <c r="J30" s="47">
        <f t="shared" si="100"/>
        <v>8.7752159999999986</v>
      </c>
      <c r="K30" s="47">
        <f t="shared" si="134"/>
        <v>4.2309973999919661</v>
      </c>
      <c r="L30" s="48">
        <f t="shared" si="135"/>
        <v>706.65430739999204</v>
      </c>
      <c r="M30" s="48">
        <f t="shared" si="136"/>
        <v>1032.403191399992</v>
      </c>
      <c r="N30" s="93">
        <f t="shared" si="137"/>
        <v>724.71970316561851</v>
      </c>
      <c r="O30" s="93">
        <f t="shared" si="138"/>
        <v>1050.4685871656184</v>
      </c>
      <c r="P30" s="298">
        <f t="shared" si="101"/>
        <v>0.51784692251541531</v>
      </c>
      <c r="Q30" s="275">
        <v>0.91679999999999995</v>
      </c>
      <c r="R30" s="275">
        <v>0.72570000000000001</v>
      </c>
      <c r="S30" s="275">
        <v>2.9399999999999999E-2</v>
      </c>
      <c r="T30" s="275">
        <v>448.61500000000001</v>
      </c>
      <c r="U30" s="275">
        <v>419.17419999999998</v>
      </c>
      <c r="V30" s="49">
        <f t="shared" si="102"/>
        <v>561.98923200000002</v>
      </c>
      <c r="W30" s="49">
        <f t="shared" si="102"/>
        <v>842.29096200000004</v>
      </c>
      <c r="X30" s="47">
        <f t="shared" si="102"/>
        <v>6.3589259999999994</v>
      </c>
      <c r="Y30" s="47">
        <f t="shared" si="139"/>
        <v>3.8141005767306382</v>
      </c>
      <c r="Z30" s="48">
        <f t="shared" si="140"/>
        <v>565.80333257673067</v>
      </c>
      <c r="AA30" s="48">
        <f t="shared" si="141"/>
        <v>839.74613657673069</v>
      </c>
      <c r="AB30" s="93">
        <f t="shared" si="142"/>
        <v>579.1071896830457</v>
      </c>
      <c r="AC30" s="93">
        <f t="shared" si="143"/>
        <v>853.04999368304573</v>
      </c>
      <c r="AE30" s="275">
        <v>0.77949999999999997</v>
      </c>
      <c r="AF30" s="275">
        <v>0.4637</v>
      </c>
      <c r="AG30" s="275">
        <v>0.1426</v>
      </c>
      <c r="AH30" s="275">
        <v>18.078299999999999</v>
      </c>
      <c r="AI30" s="275">
        <v>20.0533</v>
      </c>
      <c r="AJ30" s="49">
        <f t="shared" si="103"/>
        <v>365.48416499999996</v>
      </c>
      <c r="AK30" s="49">
        <f t="shared" si="103"/>
        <v>527.12488599999995</v>
      </c>
      <c r="AL30" s="47">
        <f t="shared" si="103"/>
        <v>28.510018000000002</v>
      </c>
      <c r="AM30" s="47">
        <f t="shared" si="144"/>
        <v>16.836419002553839</v>
      </c>
      <c r="AN30" s="48">
        <f t="shared" si="145"/>
        <v>382.3205840025538</v>
      </c>
      <c r="AO30" s="48">
        <f t="shared" si="146"/>
        <v>515.45128700255373</v>
      </c>
      <c r="AP30" s="93">
        <f t="shared" si="147"/>
        <v>378.59084812682198</v>
      </c>
      <c r="AQ30" s="93">
        <f t="shared" si="148"/>
        <v>511.72155112682196</v>
      </c>
      <c r="AS30" s="275">
        <v>1.2827999999999999</v>
      </c>
      <c r="AT30" s="275">
        <v>0.83919999999999995</v>
      </c>
      <c r="AU30" s="275">
        <v>2.87E-2</v>
      </c>
      <c r="AV30" s="275">
        <v>2750.74</v>
      </c>
      <c r="AW30" s="275">
        <v>2552.5275000000001</v>
      </c>
      <c r="AX30" s="49">
        <f t="shared" si="104"/>
        <v>446.99165999999997</v>
      </c>
      <c r="AY30" s="49">
        <f t="shared" si="104"/>
        <v>587.33090399999992</v>
      </c>
      <c r="AZ30" s="47">
        <f t="shared" si="104"/>
        <v>7.5615890000000006</v>
      </c>
      <c r="BA30" s="47">
        <f t="shared" si="149"/>
        <v>4.2937813189256273</v>
      </c>
      <c r="BB30" s="48">
        <f t="shared" si="150"/>
        <v>451.28544131892562</v>
      </c>
      <c r="BC30" s="48">
        <f t="shared" si="151"/>
        <v>584.06309631892555</v>
      </c>
      <c r="BD30" s="93">
        <f t="shared" si="152"/>
        <v>465.42090557571942</v>
      </c>
      <c r="BE30" s="93">
        <f t="shared" si="153"/>
        <v>598.19856057571928</v>
      </c>
      <c r="BG30" s="275">
        <v>1.0263</v>
      </c>
      <c r="BH30" s="275">
        <v>0.85129999999999995</v>
      </c>
      <c r="BI30" s="275">
        <v>8.3400000000000002E-2</v>
      </c>
      <c r="BJ30" s="275">
        <v>1240.8025</v>
      </c>
      <c r="BK30" s="275">
        <v>1192.5916999999999</v>
      </c>
      <c r="BL30" s="49">
        <f t="shared" si="105"/>
        <v>347.11518600000005</v>
      </c>
      <c r="BM30" s="49">
        <f t="shared" si="105"/>
        <v>509.468998</v>
      </c>
      <c r="BN30" s="47">
        <f t="shared" si="105"/>
        <v>19.219529999999999</v>
      </c>
      <c r="BO30" s="47">
        <f t="shared" si="154"/>
        <v>11.431164471664982</v>
      </c>
      <c r="BP30" s="48">
        <f t="shared" si="155"/>
        <v>358.54635047166505</v>
      </c>
      <c r="BQ30" s="48">
        <f t="shared" si="156"/>
        <v>501.68063247166498</v>
      </c>
      <c r="BR30" s="93">
        <f t="shared" si="157"/>
        <v>366.82072504207218</v>
      </c>
      <c r="BS30" s="93">
        <f t="shared" si="158"/>
        <v>509.95500704207211</v>
      </c>
      <c r="BU30" s="275">
        <v>0.89900000000000002</v>
      </c>
      <c r="BV30" s="275">
        <v>0.85799999999999998</v>
      </c>
      <c r="BW30" s="275">
        <v>5.0500000000000003E-2</v>
      </c>
      <c r="BX30" s="275">
        <v>1733.4842000000001</v>
      </c>
      <c r="BY30" s="275">
        <v>1615.9175</v>
      </c>
      <c r="BZ30" s="49">
        <f t="shared" si="106"/>
        <v>211.39086</v>
      </c>
      <c r="CA30" s="49">
        <f t="shared" si="106"/>
        <v>308.47673999999995</v>
      </c>
      <c r="CB30" s="47">
        <f t="shared" si="106"/>
        <v>4.7565949999999999</v>
      </c>
      <c r="CC30" s="47">
        <f t="shared" si="159"/>
        <v>2.8224473290897527</v>
      </c>
      <c r="CD30" s="48">
        <f t="shared" si="160"/>
        <v>214.21330732908976</v>
      </c>
      <c r="CE30" s="48">
        <f t="shared" si="161"/>
        <v>306.5425923290897</v>
      </c>
      <c r="CF30" s="93">
        <f t="shared" si="162"/>
        <v>222.75391094558671</v>
      </c>
      <c r="CG30" s="93">
        <f t="shared" si="163"/>
        <v>315.08319594558662</v>
      </c>
      <c r="CI30" s="275">
        <v>0.86450000000000005</v>
      </c>
      <c r="CJ30" s="275">
        <v>0.79400000000000004</v>
      </c>
      <c r="CK30" s="275">
        <v>7.2499999999999995E-2</v>
      </c>
      <c r="CL30" s="275">
        <v>5665.4441999999999</v>
      </c>
      <c r="CM30" s="275">
        <v>5283.1257999999998</v>
      </c>
      <c r="CN30" s="49">
        <f t="shared" si="107"/>
        <v>178.43280000000001</v>
      </c>
      <c r="CO30" s="49">
        <f t="shared" si="107"/>
        <v>212.64908</v>
      </c>
      <c r="CP30" s="47">
        <f t="shared" si="107"/>
        <v>3.0449999999999998E-2</v>
      </c>
      <c r="CQ30" s="47">
        <f t="shared" si="164"/>
        <v>1.6557055739836374E-2</v>
      </c>
      <c r="CR30" s="48">
        <f t="shared" si="165"/>
        <v>178.44935705573985</v>
      </c>
      <c r="CS30" s="48">
        <f t="shared" si="166"/>
        <v>212.63518705573983</v>
      </c>
      <c r="CT30" s="93">
        <f t="shared" si="167"/>
        <v>178.46742258071862</v>
      </c>
      <c r="CU30" s="93">
        <f t="shared" si="168"/>
        <v>212.6532525807186</v>
      </c>
      <c r="CW30" s="275">
        <v>0.46939999999999998</v>
      </c>
      <c r="CX30" s="275">
        <v>0.38250000000000001</v>
      </c>
      <c r="CY30" s="275">
        <v>0.124</v>
      </c>
      <c r="CZ30" s="275">
        <v>2088.3382999999999</v>
      </c>
      <c r="DA30" s="275">
        <v>1953.5867000000001</v>
      </c>
      <c r="DB30" s="49">
        <f t="shared" si="108"/>
        <v>97.442746</v>
      </c>
      <c r="DC30" s="49">
        <f t="shared" si="108"/>
        <v>107.677575</v>
      </c>
      <c r="DD30" s="47">
        <f t="shared" si="108"/>
        <v>3.5959999999999999E-2</v>
      </c>
      <c r="DE30" s="47">
        <f t="shared" si="169"/>
        <v>1.8877142830719344E-2</v>
      </c>
      <c r="DF30" s="48">
        <f t="shared" si="170"/>
        <v>97.461623142830717</v>
      </c>
      <c r="DG30" s="48">
        <f t="shared" si="171"/>
        <v>107.66049214283072</v>
      </c>
      <c r="DH30" s="93">
        <f t="shared" si="172"/>
        <v>97.465451111698073</v>
      </c>
      <c r="DI30" s="93">
        <f t="shared" si="173"/>
        <v>107.66432011169807</v>
      </c>
      <c r="DK30" s="275">
        <v>0.56720000000000004</v>
      </c>
      <c r="DL30" s="275">
        <v>0.49020000000000002</v>
      </c>
      <c r="DM30" s="275">
        <v>0.1351</v>
      </c>
      <c r="DN30" s="275">
        <v>527.46249999999998</v>
      </c>
      <c r="DO30" s="275">
        <v>508.6508</v>
      </c>
      <c r="DP30" s="49">
        <f t="shared" si="109"/>
        <v>77.275328000000016</v>
      </c>
      <c r="DQ30" s="49">
        <f t="shared" si="109"/>
        <v>96.721361999999999</v>
      </c>
      <c r="DR30" s="47">
        <f t="shared" si="109"/>
        <v>2.9721999999999998E-2</v>
      </c>
      <c r="DS30" s="47">
        <f t="shared" si="174"/>
        <v>1.6521879360831517E-2</v>
      </c>
      <c r="DT30" s="48">
        <f t="shared" si="175"/>
        <v>77.291849879360853</v>
      </c>
      <c r="DU30" s="48">
        <f t="shared" si="176"/>
        <v>96.70816187936083</v>
      </c>
      <c r="DV30" s="93">
        <f t="shared" si="177"/>
        <v>77.297408751043321</v>
      </c>
      <c r="DW30" s="93">
        <f t="shared" si="178"/>
        <v>96.713720751043297</v>
      </c>
      <c r="EB30" s="52"/>
      <c r="EC30" s="52"/>
      <c r="ED30" s="52"/>
      <c r="EE30" s="55">
        <f t="shared" si="179"/>
        <v>14052.748299999999</v>
      </c>
      <c r="EF30" s="55">
        <f t="shared" si="179"/>
        <v>13092.8958</v>
      </c>
      <c r="EG30" s="55">
        <f t="shared" si="179"/>
        <v>1405.8019668000002</v>
      </c>
      <c r="EH30" s="55">
        <f t="shared" si="179"/>
        <v>1923.069454</v>
      </c>
      <c r="EI30" s="298">
        <f t="shared" si="110"/>
        <v>0.5176796781182289</v>
      </c>
      <c r="EJ30" s="52"/>
      <c r="EK30" s="55">
        <f t="shared" si="180"/>
        <v>1414.3584042889222</v>
      </c>
      <c r="EL30" s="55">
        <f t="shared" si="180"/>
        <v>1915.229868488922</v>
      </c>
      <c r="EM30" s="55">
        <f t="shared" si="111"/>
        <v>1446.5803922114151</v>
      </c>
      <c r="EN30" s="55">
        <f t="shared" si="111"/>
        <v>1947.4518564114146</v>
      </c>
      <c r="EP30" s="52"/>
      <c r="EQ30" s="52"/>
      <c r="ER30" s="52"/>
      <c r="ES30" s="55">
        <f t="shared" si="112"/>
        <v>9443.1999999999989</v>
      </c>
      <c r="ET30" s="55">
        <f t="shared" si="112"/>
        <v>8848.4784</v>
      </c>
      <c r="EU30" s="55">
        <f t="shared" si="112"/>
        <v>1155.7471402000001</v>
      </c>
      <c r="EV30" s="55">
        <f t="shared" si="112"/>
        <v>1639.7833424999999</v>
      </c>
      <c r="EW30" s="298">
        <f t="shared" si="113"/>
        <v>0.51625661645133669</v>
      </c>
      <c r="EX30" s="52"/>
      <c r="EY30" s="55">
        <f t="shared" si="114"/>
        <v>1171.0221763041172</v>
      </c>
      <c r="EZ30" s="55">
        <f t="shared" si="114"/>
        <v>1629.424300604117</v>
      </c>
      <c r="FA30" s="55">
        <f t="shared" si="114"/>
        <v>1192.6211530840253</v>
      </c>
      <c r="FB30" s="55">
        <f t="shared" si="114"/>
        <v>1651.0232773840253</v>
      </c>
      <c r="FD30" s="52"/>
      <c r="FE30" s="52"/>
      <c r="FF30" s="52"/>
      <c r="FG30" s="55">
        <f t="shared" si="115"/>
        <v>7944.4691999999995</v>
      </c>
      <c r="FH30" s="55">
        <f t="shared" si="115"/>
        <v>7427.7474000000002</v>
      </c>
      <c r="FI30" s="55">
        <f t="shared" si="115"/>
        <v>801.67302180000001</v>
      </c>
      <c r="FJ30" s="55">
        <f t="shared" si="115"/>
        <v>1106.2835231999998</v>
      </c>
      <c r="FK30" s="298">
        <f t="shared" si="116"/>
        <v>0.51680700361716214</v>
      </c>
      <c r="FL30" s="52"/>
      <c r="FM30" s="55">
        <f t="shared" si="117"/>
        <v>821.35835831499992</v>
      </c>
      <c r="FN30" s="55">
        <f t="shared" si="117"/>
        <v>1092.6539635149998</v>
      </c>
      <c r="FO30" s="55">
        <f t="shared" si="117"/>
        <v>826.19062690375324</v>
      </c>
      <c r="FP30" s="55">
        <f t="shared" si="117"/>
        <v>1097.4862321037531</v>
      </c>
      <c r="FR30" s="52"/>
      <c r="FS30" s="52"/>
      <c r="FT30" s="52"/>
      <c r="FU30" s="55">
        <f t="shared" si="118"/>
        <v>7753.7824999999993</v>
      </c>
      <c r="FV30" s="55">
        <f t="shared" si="118"/>
        <v>7236.7124999999996</v>
      </c>
      <c r="FW30" s="55">
        <f t="shared" si="118"/>
        <v>256.38699680000002</v>
      </c>
      <c r="FX30" s="55">
        <f t="shared" si="118"/>
        <v>298.79114000000004</v>
      </c>
      <c r="FY30" s="298">
        <f t="shared" si="119"/>
        <v>0.51724659525919592</v>
      </c>
      <c r="FZ30" s="52"/>
      <c r="GA30" s="55">
        <f t="shared" si="120"/>
        <v>256.41865557000443</v>
      </c>
      <c r="GB30" s="55">
        <f t="shared" si="120"/>
        <v>298.76358077000441</v>
      </c>
      <c r="GC30" s="55">
        <f t="shared" si="120"/>
        <v>256.43978347007709</v>
      </c>
      <c r="GD30" s="55">
        <f t="shared" si="120"/>
        <v>298.78470867007707</v>
      </c>
      <c r="GF30" s="52"/>
      <c r="GG30" s="52"/>
      <c r="GH30" s="52"/>
      <c r="GI30" s="55">
        <f t="shared" si="191"/>
        <v>4484.2241999999997</v>
      </c>
      <c r="GJ30" s="55">
        <f t="shared" si="191"/>
        <v>4168.4449999999997</v>
      </c>
      <c r="GK30" s="56">
        <f t="shared" si="123"/>
        <v>176.70059999999998</v>
      </c>
      <c r="GL30" s="56">
        <f t="shared" si="123"/>
        <v>209.14062299999998</v>
      </c>
      <c r="GM30" s="298">
        <f t="shared" si="124"/>
        <v>0.51824750216961946</v>
      </c>
      <c r="GN30" s="52"/>
      <c r="GO30" s="56">
        <f t="shared" si="125"/>
        <v>177.8041004923769</v>
      </c>
      <c r="GP30" s="56">
        <f t="shared" si="125"/>
        <v>208.1403779923769</v>
      </c>
      <c r="GQ30" s="56">
        <f t="shared" si="125"/>
        <v>182.00024597259954</v>
      </c>
      <c r="GR30" s="56">
        <f t="shared" si="125"/>
        <v>212.33652347259948</v>
      </c>
      <c r="GW30" s="275">
        <v>0.70489999999999997</v>
      </c>
      <c r="GX30" s="275">
        <v>0.59489999999999998</v>
      </c>
      <c r="GY30" s="275">
        <v>1E-4</v>
      </c>
      <c r="GZ30" s="275">
        <v>98.730800000000002</v>
      </c>
      <c r="HA30" s="275">
        <v>83.434200000000004</v>
      </c>
      <c r="HB30" s="49">
        <f t="shared" si="126"/>
        <v>462.97127099999994</v>
      </c>
      <c r="HC30" s="49">
        <f t="shared" si="127"/>
        <v>807.761169</v>
      </c>
      <c r="HD30" s="47">
        <f t="shared" si="128"/>
        <v>2.4331999999999999E-2</v>
      </c>
      <c r="HE30" s="47">
        <f t="shared" si="181"/>
        <v>1.1144407292289956E-2</v>
      </c>
      <c r="HF30" s="48">
        <f t="shared" si="182"/>
        <v>462.98241540729225</v>
      </c>
      <c r="HG30" s="48">
        <f t="shared" si="183"/>
        <v>807.74798140729229</v>
      </c>
      <c r="HH30" s="93">
        <f t="shared" si="184"/>
        <v>477.79666454956987</v>
      </c>
      <c r="HI30" s="93">
        <f t="shared" si="185"/>
        <v>822.5622305495699</v>
      </c>
      <c r="HJ30" s="298">
        <f t="shared" si="129"/>
        <v>0.54198556253945596</v>
      </c>
      <c r="HL30" s="275">
        <v>0.24060000000000001</v>
      </c>
      <c r="HM30" s="275">
        <v>0.48980000000000001</v>
      </c>
      <c r="HN30" s="275">
        <v>0.25740000000000002</v>
      </c>
      <c r="HO30" s="275">
        <v>5.7107999999999999</v>
      </c>
      <c r="HP30" s="275">
        <v>5.6666999999999996</v>
      </c>
      <c r="HQ30" s="49">
        <f t="shared" si="130"/>
        <v>127.91499</v>
      </c>
      <c r="HR30" s="49">
        <f t="shared" si="131"/>
        <v>379.85459400000002</v>
      </c>
      <c r="HS30" s="47">
        <f t="shared" si="132"/>
        <v>33.407946000000003</v>
      </c>
      <c r="HT30" s="47">
        <f t="shared" si="186"/>
        <v>16.639227211443639</v>
      </c>
      <c r="HU30" s="48">
        <f t="shared" si="187"/>
        <v>144.55421721144364</v>
      </c>
      <c r="HV30" s="48">
        <f t="shared" si="188"/>
        <v>363.08587521144369</v>
      </c>
      <c r="HW30" s="93">
        <f t="shared" si="189"/>
        <v>130.92003852670294</v>
      </c>
      <c r="HX30" s="93">
        <f t="shared" si="190"/>
        <v>349.45169652670296</v>
      </c>
      <c r="HY30" s="298">
        <f t="shared" si="133"/>
        <v>0.50193803559657224</v>
      </c>
    </row>
    <row r="31" spans="1:233" x14ac:dyDescent="0.2">
      <c r="A31" s="118">
        <v>21</v>
      </c>
      <c r="C31" s="275">
        <v>0.70920000000000005</v>
      </c>
      <c r="D31" s="275">
        <v>0.60229999999999995</v>
      </c>
      <c r="E31" s="275">
        <v>6.2E-2</v>
      </c>
      <c r="F31" s="275">
        <v>1943.0942</v>
      </c>
      <c r="G31" s="275">
        <v>1674.8742</v>
      </c>
      <c r="H31" s="49">
        <f t="shared" si="100"/>
        <v>701.43425999999999</v>
      </c>
      <c r="I31" s="49">
        <f t="shared" si="100"/>
        <v>1085.2361859999999</v>
      </c>
      <c r="J31" s="47">
        <f t="shared" si="100"/>
        <v>16.792079999999999</v>
      </c>
      <c r="K31" s="47">
        <f t="shared" si="134"/>
        <v>7.7735951359707842</v>
      </c>
      <c r="L31" s="48">
        <f t="shared" si="135"/>
        <v>709.20785513597082</v>
      </c>
      <c r="M31" s="48">
        <f t="shared" si="136"/>
        <v>1076.2177011359706</v>
      </c>
      <c r="N31" s="93">
        <f t="shared" si="137"/>
        <v>723.73065316561838</v>
      </c>
      <c r="O31" s="93">
        <f t="shared" si="138"/>
        <v>1090.7404991656183</v>
      </c>
      <c r="P31" s="298">
        <f t="shared" si="101"/>
        <v>0.53706776432873216</v>
      </c>
      <c r="Q31" s="275">
        <v>0.89370000000000005</v>
      </c>
      <c r="R31" s="275">
        <v>0.75060000000000004</v>
      </c>
      <c r="S31" s="275">
        <v>3.2399999999999998E-2</v>
      </c>
      <c r="T31" s="275">
        <v>201.55330000000001</v>
      </c>
      <c r="U31" s="275">
        <v>174.18</v>
      </c>
      <c r="V31" s="49">
        <f t="shared" si="102"/>
        <v>547.82916299999999</v>
      </c>
      <c r="W31" s="49">
        <f t="shared" si="102"/>
        <v>871.19139600000017</v>
      </c>
      <c r="X31" s="47">
        <f t="shared" si="102"/>
        <v>7.007795999999999</v>
      </c>
      <c r="Y31" s="47">
        <f t="shared" si="139"/>
        <v>4.3023559746206725</v>
      </c>
      <c r="Z31" s="48">
        <f t="shared" si="140"/>
        <v>552.13151897462069</v>
      </c>
      <c r="AA31" s="48">
        <f t="shared" si="141"/>
        <v>868.48595597462088</v>
      </c>
      <c r="AB31" s="93">
        <f t="shared" si="142"/>
        <v>564.94712068304568</v>
      </c>
      <c r="AC31" s="93">
        <f t="shared" si="143"/>
        <v>881.30155768304587</v>
      </c>
      <c r="AE31" s="275">
        <v>0.76559999999999995</v>
      </c>
      <c r="AF31" s="275">
        <v>0.49430000000000002</v>
      </c>
      <c r="AG31" s="275">
        <v>0.19800000000000001</v>
      </c>
      <c r="AH31" s="275">
        <v>14.416700000000001</v>
      </c>
      <c r="AI31" s="275">
        <v>15.3042</v>
      </c>
      <c r="AJ31" s="49">
        <f t="shared" si="103"/>
        <v>358.96687199999997</v>
      </c>
      <c r="AK31" s="49">
        <f t="shared" si="103"/>
        <v>561.91035399999998</v>
      </c>
      <c r="AL31" s="47">
        <f t="shared" si="103"/>
        <v>39.58614</v>
      </c>
      <c r="AM31" s="47">
        <f t="shared" si="144"/>
        <v>24.155078780169074</v>
      </c>
      <c r="AN31" s="48">
        <f t="shared" si="145"/>
        <v>383.12195078016902</v>
      </c>
      <c r="AO31" s="48">
        <f t="shared" si="146"/>
        <v>546.47929278016909</v>
      </c>
      <c r="AP31" s="93">
        <f t="shared" si="147"/>
        <v>372.07355512682199</v>
      </c>
      <c r="AQ31" s="93">
        <f t="shared" si="148"/>
        <v>535.43089712682195</v>
      </c>
      <c r="AS31" s="275">
        <v>1.3422000000000001</v>
      </c>
      <c r="AT31" s="275">
        <v>0.88929999999999998</v>
      </c>
      <c r="AU31" s="275">
        <v>4.2000000000000003E-2</v>
      </c>
      <c r="AV31" s="275">
        <v>1399.7991999999999</v>
      </c>
      <c r="AW31" s="275">
        <v>1221.9083000000001</v>
      </c>
      <c r="AX31" s="49">
        <f t="shared" si="104"/>
        <v>467.68959000000001</v>
      </c>
      <c r="AY31" s="49">
        <f t="shared" si="104"/>
        <v>622.39439100000004</v>
      </c>
      <c r="AZ31" s="47">
        <f t="shared" si="104"/>
        <v>11.065740000000002</v>
      </c>
      <c r="BA31" s="47">
        <f t="shared" si="149"/>
        <v>6.318095328716093</v>
      </c>
      <c r="BB31" s="48">
        <f t="shared" si="150"/>
        <v>474.00768532871609</v>
      </c>
      <c r="BC31" s="48">
        <f t="shared" si="151"/>
        <v>617.64674632871618</v>
      </c>
      <c r="BD31" s="93">
        <f t="shared" si="152"/>
        <v>486.11883557571946</v>
      </c>
      <c r="BE31" s="93">
        <f t="shared" si="153"/>
        <v>629.75789657571954</v>
      </c>
      <c r="BG31" s="275">
        <v>1.0557000000000001</v>
      </c>
      <c r="BH31" s="275">
        <v>0.91020000000000001</v>
      </c>
      <c r="BI31" s="275">
        <v>0.1489</v>
      </c>
      <c r="BJ31" s="275">
        <v>664.90920000000006</v>
      </c>
      <c r="BK31" s="275">
        <v>554.41250000000002</v>
      </c>
      <c r="BL31" s="49">
        <f t="shared" si="105"/>
        <v>357.05885400000005</v>
      </c>
      <c r="BM31" s="49">
        <f t="shared" si="105"/>
        <v>544.71829200000002</v>
      </c>
      <c r="BN31" s="47">
        <f t="shared" si="105"/>
        <v>34.314005000000002</v>
      </c>
      <c r="BO31" s="47">
        <f t="shared" si="154"/>
        <v>20.72736737473214</v>
      </c>
      <c r="BP31" s="48">
        <f t="shared" si="155"/>
        <v>377.78622137473218</v>
      </c>
      <c r="BQ31" s="48">
        <f t="shared" si="156"/>
        <v>531.13165437473219</v>
      </c>
      <c r="BR31" s="93">
        <f t="shared" si="157"/>
        <v>376.76439304207219</v>
      </c>
      <c r="BS31" s="93">
        <f t="shared" si="158"/>
        <v>530.1098260420722</v>
      </c>
      <c r="BU31" s="275">
        <v>0.89439999999999997</v>
      </c>
      <c r="BV31" s="275">
        <v>0.87549999999999994</v>
      </c>
      <c r="BW31" s="275">
        <v>0.107</v>
      </c>
      <c r="BX31" s="275">
        <v>1031.6507999999999</v>
      </c>
      <c r="BY31" s="275">
        <v>900.14919999999995</v>
      </c>
      <c r="BZ31" s="49">
        <f t="shared" si="106"/>
        <v>210.30921599999999</v>
      </c>
      <c r="CA31" s="49">
        <f t="shared" si="106"/>
        <v>314.76851499999998</v>
      </c>
      <c r="CB31" s="47">
        <f t="shared" si="106"/>
        <v>10.078329999999999</v>
      </c>
      <c r="CC31" s="47">
        <f t="shared" si="159"/>
        <v>6.041659701961251</v>
      </c>
      <c r="CD31" s="48">
        <f t="shared" si="160"/>
        <v>216.35087570196123</v>
      </c>
      <c r="CE31" s="48">
        <f t="shared" si="161"/>
        <v>310.73184470196122</v>
      </c>
      <c r="CF31" s="93">
        <f t="shared" si="162"/>
        <v>221.6722669455867</v>
      </c>
      <c r="CG31" s="93">
        <f t="shared" si="163"/>
        <v>316.05323594558666</v>
      </c>
      <c r="CI31" s="275">
        <v>0.82979999999999998</v>
      </c>
      <c r="CJ31" s="275">
        <v>0.77949999999999997</v>
      </c>
      <c r="CK31" s="275">
        <v>0.11020000000000001</v>
      </c>
      <c r="CL31" s="275">
        <v>3028.8042</v>
      </c>
      <c r="CM31" s="275">
        <v>2607.3175000000001</v>
      </c>
      <c r="CN31" s="49">
        <f t="shared" si="107"/>
        <v>171.27072000000001</v>
      </c>
      <c r="CO31" s="49">
        <f t="shared" si="107"/>
        <v>208.76568999999998</v>
      </c>
      <c r="CP31" s="47">
        <f t="shared" si="107"/>
        <v>4.6283999999999999E-2</v>
      </c>
      <c r="CQ31" s="47">
        <f t="shared" si="164"/>
        <v>2.5425224904003275E-2</v>
      </c>
      <c r="CR31" s="48">
        <f t="shared" si="165"/>
        <v>171.29614522490402</v>
      </c>
      <c r="CS31" s="48">
        <f t="shared" si="166"/>
        <v>208.744831224904</v>
      </c>
      <c r="CT31" s="93">
        <f t="shared" si="167"/>
        <v>171.30534258071862</v>
      </c>
      <c r="CU31" s="93">
        <f t="shared" si="168"/>
        <v>208.7540285807186</v>
      </c>
      <c r="CW31" s="275">
        <v>0.33250000000000002</v>
      </c>
      <c r="CX31" s="275">
        <v>0.2984</v>
      </c>
      <c r="CY31" s="275">
        <v>0.16259999999999999</v>
      </c>
      <c r="CZ31" s="275">
        <v>1238.5907999999999</v>
      </c>
      <c r="DA31" s="275">
        <v>1036.5591999999999</v>
      </c>
      <c r="DB31" s="49">
        <f t="shared" si="108"/>
        <v>69.023675000000011</v>
      </c>
      <c r="DC31" s="49">
        <f t="shared" si="108"/>
        <v>84.002583999999999</v>
      </c>
      <c r="DD31" s="47">
        <f t="shared" si="108"/>
        <v>4.7153999999999995E-2</v>
      </c>
      <c r="DE31" s="47">
        <f t="shared" si="169"/>
        <v>2.5884824420467595E-2</v>
      </c>
      <c r="DF31" s="48">
        <f t="shared" si="170"/>
        <v>69.049559824420484</v>
      </c>
      <c r="DG31" s="48">
        <f t="shared" si="171"/>
        <v>83.981314824420465</v>
      </c>
      <c r="DH31" s="93">
        <f t="shared" si="172"/>
        <v>69.046380111698085</v>
      </c>
      <c r="DI31" s="93">
        <f t="shared" si="173"/>
        <v>83.978135111698066</v>
      </c>
      <c r="DK31" s="275">
        <v>0.41089999999999999</v>
      </c>
      <c r="DL31" s="275">
        <v>0.31719999999999998</v>
      </c>
      <c r="DM31" s="275">
        <v>0.18210000000000001</v>
      </c>
      <c r="DN31" s="275">
        <v>333.44080000000002</v>
      </c>
      <c r="DO31" s="275">
        <v>314.20920000000001</v>
      </c>
      <c r="DP31" s="49">
        <f t="shared" si="109"/>
        <v>55.981016000000004</v>
      </c>
      <c r="DQ31" s="49">
        <f t="shared" si="109"/>
        <v>62.586731999999998</v>
      </c>
      <c r="DR31" s="47">
        <f t="shared" si="109"/>
        <v>4.0062E-2</v>
      </c>
      <c r="DS31" s="47">
        <f t="shared" si="174"/>
        <v>2.1146978834277935E-2</v>
      </c>
      <c r="DT31" s="48">
        <f t="shared" si="175"/>
        <v>56.002162978834285</v>
      </c>
      <c r="DU31" s="48">
        <f t="shared" si="176"/>
        <v>62.56781697883428</v>
      </c>
      <c r="DV31" s="93">
        <f t="shared" si="177"/>
        <v>56.003096751043316</v>
      </c>
      <c r="DW31" s="93">
        <f t="shared" si="178"/>
        <v>62.568750751043311</v>
      </c>
      <c r="EB31" s="52"/>
      <c r="EC31" s="52"/>
      <c r="ED31" s="52"/>
      <c r="EE31" s="55">
        <f t="shared" si="179"/>
        <v>7610.2883999999995</v>
      </c>
      <c r="EF31" s="55">
        <f t="shared" si="179"/>
        <v>6540.6592000000001</v>
      </c>
      <c r="EG31" s="55">
        <f t="shared" si="179"/>
        <v>1395.6135099999999</v>
      </c>
      <c r="EH31" s="55">
        <f t="shared" si="179"/>
        <v>1983.5983342</v>
      </c>
      <c r="EI31" s="298">
        <f t="shared" si="110"/>
        <v>0.53779355383946159</v>
      </c>
      <c r="EJ31" s="52"/>
      <c r="EK31" s="55">
        <f t="shared" si="180"/>
        <v>1409.7513335491274</v>
      </c>
      <c r="EL31" s="55">
        <f t="shared" si="180"/>
        <v>1969.7943305491269</v>
      </c>
      <c r="EM31" s="55">
        <f t="shared" si="111"/>
        <v>1436.391935411415</v>
      </c>
      <c r="EN31" s="55">
        <f t="shared" si="111"/>
        <v>1996.4349324114148</v>
      </c>
      <c r="EP31" s="52"/>
      <c r="EQ31" s="52"/>
      <c r="ER31" s="52"/>
      <c r="ES31" s="55">
        <f t="shared" si="112"/>
        <v>5133.8575000000001</v>
      </c>
      <c r="ET31" s="55">
        <f t="shared" si="112"/>
        <v>4372.4691999999995</v>
      </c>
      <c r="EU31" s="55">
        <f t="shared" si="112"/>
        <v>1124.4753095000001</v>
      </c>
      <c r="EV31" s="55">
        <f t="shared" si="112"/>
        <v>1683.4771868</v>
      </c>
      <c r="EW31" s="298">
        <f t="shared" si="113"/>
        <v>0.54004639878408556</v>
      </c>
      <c r="EX31" s="52"/>
      <c r="EY31" s="55">
        <f t="shared" si="114"/>
        <v>1149.5485774513513</v>
      </c>
      <c r="EZ31" s="55">
        <f t="shared" si="114"/>
        <v>1667.1493619513512</v>
      </c>
      <c r="FA31" s="55">
        <f t="shared" si="114"/>
        <v>1161.3493223840251</v>
      </c>
      <c r="FB31" s="55">
        <f t="shared" si="114"/>
        <v>1678.9501068840252</v>
      </c>
      <c r="FD31" s="52"/>
      <c r="FE31" s="52"/>
      <c r="FF31" s="52"/>
      <c r="FG31" s="55">
        <f t="shared" si="115"/>
        <v>4408.3125</v>
      </c>
      <c r="FH31" s="55">
        <f t="shared" si="115"/>
        <v>3836.9800999999998</v>
      </c>
      <c r="FI31" s="55">
        <f t="shared" si="115"/>
        <v>774.13541759999998</v>
      </c>
      <c r="FJ31" s="55">
        <f t="shared" si="115"/>
        <v>1122.9965982000001</v>
      </c>
      <c r="FK31" s="298">
        <f t="shared" si="116"/>
        <v>0.53464597484387633</v>
      </c>
      <c r="FL31" s="52"/>
      <c r="FM31" s="55">
        <f t="shared" si="117"/>
        <v>804.37026949433493</v>
      </c>
      <c r="FN31" s="55">
        <f t="shared" si="117"/>
        <v>1103.4966588943348</v>
      </c>
      <c r="FO31" s="55">
        <f t="shared" si="117"/>
        <v>798.65302270375332</v>
      </c>
      <c r="FP31" s="55">
        <f t="shared" si="117"/>
        <v>1097.7794121037532</v>
      </c>
      <c r="FR31" s="52"/>
      <c r="FS31" s="52"/>
      <c r="FT31" s="52"/>
      <c r="FU31" s="55">
        <f t="shared" si="118"/>
        <v>4267.3950000000004</v>
      </c>
      <c r="FV31" s="55">
        <f t="shared" si="118"/>
        <v>3643.8766999999998</v>
      </c>
      <c r="FW31" s="55">
        <f t="shared" si="118"/>
        <v>226.48966000000001</v>
      </c>
      <c r="FX31" s="55">
        <f t="shared" si="118"/>
        <v>275.96775719999999</v>
      </c>
      <c r="FY31" s="298">
        <f t="shared" si="119"/>
        <v>0.53940695779668402</v>
      </c>
      <c r="FZ31" s="52"/>
      <c r="GA31" s="55">
        <f t="shared" si="120"/>
        <v>226.5357930844404</v>
      </c>
      <c r="GB31" s="55">
        <f t="shared" si="120"/>
        <v>275.92988308444035</v>
      </c>
      <c r="GC31" s="55">
        <f t="shared" si="120"/>
        <v>226.54244667007708</v>
      </c>
      <c r="GD31" s="55">
        <f t="shared" si="120"/>
        <v>275.93653667007703</v>
      </c>
      <c r="GF31" s="52"/>
      <c r="GG31" s="52"/>
      <c r="GH31" s="52"/>
      <c r="GI31" s="55">
        <f t="shared" si="191"/>
        <v>2431.4499999999998</v>
      </c>
      <c r="GJ31" s="55">
        <f t="shared" si="191"/>
        <v>2122.0574999999999</v>
      </c>
      <c r="GK31" s="56">
        <f t="shared" si="123"/>
        <v>193.0352805</v>
      </c>
      <c r="GL31" s="56">
        <f t="shared" si="123"/>
        <v>230.71940700000005</v>
      </c>
      <c r="GM31" s="298">
        <f t="shared" si="124"/>
        <v>0.53397298675801019</v>
      </c>
      <c r="GN31" s="52"/>
      <c r="GO31" s="56">
        <f t="shared" si="125"/>
        <v>193.24260722006613</v>
      </c>
      <c r="GP31" s="56">
        <f t="shared" si="125"/>
        <v>230.18617622006622</v>
      </c>
      <c r="GQ31" s="56">
        <f t="shared" si="125"/>
        <v>198.33492647259959</v>
      </c>
      <c r="GR31" s="56">
        <f t="shared" si="125"/>
        <v>235.27849547259967</v>
      </c>
      <c r="GW31" s="275">
        <v>0.69950000000000001</v>
      </c>
      <c r="GX31" s="275">
        <v>0.63890000000000002</v>
      </c>
      <c r="GY31" s="275">
        <v>3.3000000000000002E-2</v>
      </c>
      <c r="GZ31" s="275">
        <v>93.506699999999995</v>
      </c>
      <c r="HA31" s="275">
        <v>81.288300000000007</v>
      </c>
      <c r="HB31" s="49">
        <f t="shared" si="126"/>
        <v>459.42460499999999</v>
      </c>
      <c r="HC31" s="49">
        <f t="shared" si="127"/>
        <v>867.50480900000002</v>
      </c>
      <c r="HD31" s="47">
        <f t="shared" si="128"/>
        <v>8.02956</v>
      </c>
      <c r="HE31" s="47">
        <f t="shared" si="181"/>
        <v>3.7341416067278814</v>
      </c>
      <c r="HF31" s="48">
        <f t="shared" si="182"/>
        <v>463.15874660672785</v>
      </c>
      <c r="HG31" s="48">
        <f t="shared" si="183"/>
        <v>863.20939060672799</v>
      </c>
      <c r="HH31" s="93">
        <f t="shared" si="184"/>
        <v>474.24999854956991</v>
      </c>
      <c r="HI31" s="93">
        <f t="shared" si="185"/>
        <v>874.30064254956994</v>
      </c>
      <c r="HJ31" s="298">
        <f t="shared" si="129"/>
        <v>0.53495065648330897</v>
      </c>
      <c r="HL31" s="275">
        <v>0.2737</v>
      </c>
      <c r="HM31" s="275">
        <v>0.52149999999999996</v>
      </c>
      <c r="HN31" s="275">
        <v>0.36320000000000002</v>
      </c>
      <c r="HO31" s="275">
        <v>5.8333000000000004</v>
      </c>
      <c r="HP31" s="275">
        <v>5.75</v>
      </c>
      <c r="HQ31" s="49">
        <f t="shared" si="130"/>
        <v>145.51260499999998</v>
      </c>
      <c r="HR31" s="49">
        <f t="shared" si="131"/>
        <v>404.43889499999995</v>
      </c>
      <c r="HS31" s="47">
        <f t="shared" si="132"/>
        <v>47.139727999999998</v>
      </c>
      <c r="HT31" s="47">
        <f t="shared" si="186"/>
        <v>23.400363972270419</v>
      </c>
      <c r="HU31" s="48">
        <f t="shared" si="187"/>
        <v>168.91296897227039</v>
      </c>
      <c r="HV31" s="48">
        <f t="shared" si="188"/>
        <v>380.6995309722704</v>
      </c>
      <c r="HW31" s="93">
        <f t="shared" si="189"/>
        <v>148.5176535267029</v>
      </c>
      <c r="HX31" s="93">
        <f t="shared" si="190"/>
        <v>360.30421552670288</v>
      </c>
      <c r="HY31" s="298">
        <f t="shared" si="133"/>
        <v>0.50359569380055769</v>
      </c>
    </row>
    <row r="32" spans="1:233" x14ac:dyDescent="0.2">
      <c r="A32" s="118">
        <v>22</v>
      </c>
      <c r="C32" s="275">
        <v>0.70809999999999995</v>
      </c>
      <c r="D32" s="275">
        <v>0.62960000000000005</v>
      </c>
      <c r="E32" s="275">
        <v>0.1087</v>
      </c>
      <c r="F32" s="275">
        <v>1477.5882999999999</v>
      </c>
      <c r="G32" s="275">
        <v>1224.8008</v>
      </c>
      <c r="H32" s="49">
        <f t="shared" si="100"/>
        <v>700.34630499999992</v>
      </c>
      <c r="I32" s="49">
        <f t="shared" si="100"/>
        <v>1134.425872</v>
      </c>
      <c r="J32" s="47">
        <f t="shared" si="100"/>
        <v>29.440307999999998</v>
      </c>
      <c r="K32" s="47">
        <f t="shared" si="134"/>
        <v>13.343197983830825</v>
      </c>
      <c r="L32" s="48">
        <f t="shared" si="135"/>
        <v>713.68950298383072</v>
      </c>
      <c r="M32" s="48">
        <f t="shared" si="136"/>
        <v>1118.3287619838309</v>
      </c>
      <c r="N32" s="93">
        <f t="shared" si="137"/>
        <v>722.64269816561841</v>
      </c>
      <c r="O32" s="93">
        <f t="shared" si="138"/>
        <v>1127.2819571656185</v>
      </c>
      <c r="P32" s="298">
        <f t="shared" si="101"/>
        <v>0.54677111449272797</v>
      </c>
      <c r="Q32" s="275">
        <v>0.86709999999999998</v>
      </c>
      <c r="R32" s="275">
        <v>0.77310000000000001</v>
      </c>
      <c r="S32" s="275">
        <v>5.7500000000000002E-2</v>
      </c>
      <c r="T32" s="275">
        <v>155.14580000000001</v>
      </c>
      <c r="U32" s="275">
        <v>135.58500000000001</v>
      </c>
      <c r="V32" s="49">
        <f t="shared" si="102"/>
        <v>531.52362900000003</v>
      </c>
      <c r="W32" s="49">
        <f t="shared" si="102"/>
        <v>897.3062460000001</v>
      </c>
      <c r="X32" s="47">
        <f t="shared" si="102"/>
        <v>12.436674999999999</v>
      </c>
      <c r="Y32" s="47">
        <f t="shared" si="139"/>
        <v>7.8102413395940857</v>
      </c>
      <c r="Z32" s="48">
        <f t="shared" si="140"/>
        <v>539.33387033959411</v>
      </c>
      <c r="AA32" s="48">
        <f t="shared" si="141"/>
        <v>892.67981233959415</v>
      </c>
      <c r="AB32" s="93">
        <f t="shared" si="142"/>
        <v>548.64158668304572</v>
      </c>
      <c r="AC32" s="93">
        <f t="shared" si="143"/>
        <v>901.98752868304575</v>
      </c>
      <c r="AE32" s="275">
        <v>0.75119999999999998</v>
      </c>
      <c r="AF32" s="275">
        <v>0.53100000000000003</v>
      </c>
      <c r="AG32" s="275">
        <v>0.26869999999999999</v>
      </c>
      <c r="AH32" s="275">
        <v>11.190799999999999</v>
      </c>
      <c r="AI32" s="275">
        <v>8.5342000000000002</v>
      </c>
      <c r="AJ32" s="49">
        <f t="shared" si="103"/>
        <v>352.21514400000001</v>
      </c>
      <c r="AK32" s="49">
        <f t="shared" si="103"/>
        <v>603.63018</v>
      </c>
      <c r="AL32" s="47">
        <f t="shared" si="103"/>
        <v>53.721190999999997</v>
      </c>
      <c r="AM32" s="47">
        <f t="shared" si="144"/>
        <v>33.925710969052538</v>
      </c>
      <c r="AN32" s="48">
        <f t="shared" si="145"/>
        <v>386.14085496905255</v>
      </c>
      <c r="AO32" s="48">
        <f t="shared" si="146"/>
        <v>583.83469996905251</v>
      </c>
      <c r="AP32" s="93">
        <f t="shared" si="147"/>
        <v>365.32182712682203</v>
      </c>
      <c r="AQ32" s="93">
        <f t="shared" si="148"/>
        <v>563.01567212682198</v>
      </c>
      <c r="AS32" s="275">
        <v>1.3829</v>
      </c>
      <c r="AT32" s="275">
        <v>0.93810000000000004</v>
      </c>
      <c r="AU32" s="275">
        <v>7.0800000000000002E-2</v>
      </c>
      <c r="AV32" s="275">
        <v>1024.2017000000001</v>
      </c>
      <c r="AW32" s="275">
        <v>881.36419999999998</v>
      </c>
      <c r="AX32" s="49">
        <f t="shared" si="104"/>
        <v>481.87150500000001</v>
      </c>
      <c r="AY32" s="49">
        <f t="shared" si="104"/>
        <v>656.548047</v>
      </c>
      <c r="AZ32" s="47">
        <f t="shared" si="104"/>
        <v>18.653676000000001</v>
      </c>
      <c r="BA32" s="47">
        <f t="shared" si="149"/>
        <v>10.757927097839209</v>
      </c>
      <c r="BB32" s="48">
        <f t="shared" si="150"/>
        <v>492.62943209783924</v>
      </c>
      <c r="BC32" s="48">
        <f t="shared" si="151"/>
        <v>648.65229809783921</v>
      </c>
      <c r="BD32" s="93">
        <f t="shared" si="152"/>
        <v>500.30075057571946</v>
      </c>
      <c r="BE32" s="93">
        <f t="shared" si="153"/>
        <v>656.32361657571937</v>
      </c>
      <c r="BG32" s="275">
        <v>1.0738000000000001</v>
      </c>
      <c r="BH32" s="275">
        <v>0.9708</v>
      </c>
      <c r="BI32" s="275">
        <v>0.24260000000000001</v>
      </c>
      <c r="BJ32" s="275">
        <v>453.24419999999998</v>
      </c>
      <c r="BK32" s="275">
        <v>388.98</v>
      </c>
      <c r="BL32" s="49">
        <f t="shared" si="105"/>
        <v>363.18063600000005</v>
      </c>
      <c r="BM32" s="49">
        <f t="shared" si="105"/>
        <v>580.98496799999998</v>
      </c>
      <c r="BN32" s="47">
        <f t="shared" si="105"/>
        <v>55.907170000000001</v>
      </c>
      <c r="BO32" s="47">
        <f t="shared" si="154"/>
        <v>34.402042645710019</v>
      </c>
      <c r="BP32" s="48">
        <f t="shared" si="155"/>
        <v>397.58267864571008</v>
      </c>
      <c r="BQ32" s="48">
        <f t="shared" si="156"/>
        <v>559.47984064571006</v>
      </c>
      <c r="BR32" s="93">
        <f t="shared" si="157"/>
        <v>382.88617504207218</v>
      </c>
      <c r="BS32" s="93">
        <f t="shared" si="158"/>
        <v>544.78333704207216</v>
      </c>
      <c r="BU32" s="275">
        <v>0.89129999999999998</v>
      </c>
      <c r="BV32" s="275">
        <v>0.88519999999999999</v>
      </c>
      <c r="BW32" s="275">
        <v>0.19989999999999999</v>
      </c>
      <c r="BX32" s="275">
        <v>863.82169999999996</v>
      </c>
      <c r="BY32" s="275">
        <v>717.0625</v>
      </c>
      <c r="BZ32" s="49">
        <f t="shared" si="106"/>
        <v>209.58028199999998</v>
      </c>
      <c r="CA32" s="49">
        <f t="shared" si="106"/>
        <v>318.25595599999997</v>
      </c>
      <c r="CB32" s="47">
        <f t="shared" si="106"/>
        <v>18.828581</v>
      </c>
      <c r="CC32" s="47">
        <f t="shared" si="159"/>
        <v>11.352589335252189</v>
      </c>
      <c r="CD32" s="48">
        <f t="shared" si="160"/>
        <v>220.93287133525217</v>
      </c>
      <c r="CE32" s="48">
        <f t="shared" si="161"/>
        <v>310.77996433525215</v>
      </c>
      <c r="CF32" s="93">
        <f t="shared" si="162"/>
        <v>220.94333294558669</v>
      </c>
      <c r="CG32" s="93">
        <f t="shared" si="163"/>
        <v>310.79042594558666</v>
      </c>
      <c r="CI32" s="275">
        <v>0.80089999999999995</v>
      </c>
      <c r="CJ32" s="275">
        <v>0.76690000000000003</v>
      </c>
      <c r="CK32" s="275">
        <v>0.16550000000000001</v>
      </c>
      <c r="CL32" s="275">
        <v>2267.1799999999998</v>
      </c>
      <c r="CM32" s="275">
        <v>1906.4908</v>
      </c>
      <c r="CN32" s="49">
        <f t="shared" si="107"/>
        <v>165.30575999999999</v>
      </c>
      <c r="CO32" s="49">
        <f t="shared" si="107"/>
        <v>205.39115799999999</v>
      </c>
      <c r="CP32" s="47">
        <f t="shared" si="107"/>
        <v>6.9510000000000002E-2</v>
      </c>
      <c r="CQ32" s="47">
        <f t="shared" si="164"/>
        <v>3.8513240060388094E-2</v>
      </c>
      <c r="CR32" s="48">
        <f t="shared" si="165"/>
        <v>165.34427324006037</v>
      </c>
      <c r="CS32" s="48">
        <f t="shared" si="166"/>
        <v>205.36016124006036</v>
      </c>
      <c r="CT32" s="93">
        <f t="shared" si="167"/>
        <v>165.3403825807186</v>
      </c>
      <c r="CU32" s="93">
        <f t="shared" si="168"/>
        <v>205.35627058071859</v>
      </c>
      <c r="CW32" s="275">
        <v>0.27150000000000002</v>
      </c>
      <c r="CX32" s="275">
        <v>0.27450000000000002</v>
      </c>
      <c r="CY32" s="275">
        <v>0.21329999999999999</v>
      </c>
      <c r="CZ32" s="275">
        <v>811.80920000000003</v>
      </c>
      <c r="DA32" s="275">
        <v>641.08249999999998</v>
      </c>
      <c r="DB32" s="49">
        <f t="shared" si="108"/>
        <v>56.360685000000004</v>
      </c>
      <c r="DC32" s="49">
        <f t="shared" si="108"/>
        <v>77.274495000000002</v>
      </c>
      <c r="DD32" s="47">
        <f t="shared" si="108"/>
        <v>6.1856999999999995E-2</v>
      </c>
      <c r="DE32" s="47">
        <f t="shared" si="169"/>
        <v>3.5768788108153857E-2</v>
      </c>
      <c r="DF32" s="48">
        <f t="shared" si="170"/>
        <v>56.396453788108154</v>
      </c>
      <c r="DG32" s="48">
        <f t="shared" si="171"/>
        <v>77.248406788108156</v>
      </c>
      <c r="DH32" s="93">
        <f t="shared" si="172"/>
        <v>56.383390111698077</v>
      </c>
      <c r="DI32" s="93">
        <f t="shared" si="173"/>
        <v>77.235343111698072</v>
      </c>
      <c r="DK32" s="275">
        <v>0.33650000000000002</v>
      </c>
      <c r="DL32" s="275">
        <v>0.22989999999999999</v>
      </c>
      <c r="DM32" s="275">
        <v>0.23810000000000001</v>
      </c>
      <c r="DN32" s="275">
        <v>221.42250000000001</v>
      </c>
      <c r="DO32" s="275">
        <v>174.5658</v>
      </c>
      <c r="DP32" s="49">
        <f t="shared" si="109"/>
        <v>45.844760000000008</v>
      </c>
      <c r="DQ32" s="49">
        <f t="shared" si="109"/>
        <v>45.361568999999996</v>
      </c>
      <c r="DR32" s="47">
        <f t="shared" si="109"/>
        <v>5.2382000000000005E-2</v>
      </c>
      <c r="DS32" s="47">
        <f t="shared" si="174"/>
        <v>2.6052245862872078E-2</v>
      </c>
      <c r="DT32" s="48">
        <f t="shared" si="175"/>
        <v>45.870812245862879</v>
      </c>
      <c r="DU32" s="48">
        <f t="shared" si="176"/>
        <v>45.335239245862866</v>
      </c>
      <c r="DV32" s="93">
        <f t="shared" si="177"/>
        <v>45.86684075104332</v>
      </c>
      <c r="DW32" s="93">
        <f t="shared" si="178"/>
        <v>45.331267751043306</v>
      </c>
      <c r="EB32" s="52"/>
      <c r="EC32" s="52"/>
      <c r="ED32" s="52"/>
      <c r="EE32" s="55">
        <f t="shared" si="179"/>
        <v>5580.779199999999</v>
      </c>
      <c r="EF32" s="55">
        <f t="shared" si="179"/>
        <v>4653.7383</v>
      </c>
      <c r="EG32" s="55">
        <f t="shared" si="179"/>
        <v>1392.6121179999998</v>
      </c>
      <c r="EH32" s="55">
        <f t="shared" si="179"/>
        <v>2058.1846729999997</v>
      </c>
      <c r="EI32" s="298">
        <f t="shared" si="110"/>
        <v>0.54528991718466457</v>
      </c>
      <c r="EJ32" s="52"/>
      <c r="EK32" s="55">
        <f t="shared" si="180"/>
        <v>1416.7803713522169</v>
      </c>
      <c r="EL32" s="55">
        <f t="shared" si="180"/>
        <v>2034.1399467522167</v>
      </c>
      <c r="EM32" s="55">
        <f t="shared" si="111"/>
        <v>1433.3905434114149</v>
      </c>
      <c r="EN32" s="55">
        <f t="shared" si="111"/>
        <v>2050.7501188114147</v>
      </c>
      <c r="EP32" s="52"/>
      <c r="EQ32" s="52"/>
      <c r="ER32" s="52"/>
      <c r="ES32" s="55">
        <f t="shared" si="112"/>
        <v>3687.3791999999999</v>
      </c>
      <c r="ET32" s="55">
        <f t="shared" si="112"/>
        <v>3072.1383000000001</v>
      </c>
      <c r="EU32" s="55">
        <f t="shared" si="112"/>
        <v>1099.4625045</v>
      </c>
      <c r="EV32" s="55">
        <f t="shared" si="112"/>
        <v>1737.7745184999999</v>
      </c>
      <c r="EW32" s="298">
        <f t="shared" si="113"/>
        <v>0.54550923198290413</v>
      </c>
      <c r="EX32" s="52"/>
      <c r="EY32" s="55">
        <f t="shared" si="114"/>
        <v>1141.7383398770403</v>
      </c>
      <c r="EZ32" s="55">
        <f t="shared" si="114"/>
        <v>1711.59369897704</v>
      </c>
      <c r="FA32" s="55">
        <f t="shared" si="114"/>
        <v>1136.3365173840252</v>
      </c>
      <c r="FB32" s="55">
        <f t="shared" si="114"/>
        <v>1706.191876484025</v>
      </c>
      <c r="FD32" s="52"/>
      <c r="FE32" s="52"/>
      <c r="FF32" s="52"/>
      <c r="FG32" s="55">
        <f t="shared" si="115"/>
        <v>3363.6149999999998</v>
      </c>
      <c r="FH32" s="55">
        <f t="shared" si="115"/>
        <v>2806.6532999999999</v>
      </c>
      <c r="FI32" s="55">
        <f t="shared" si="115"/>
        <v>754.60804199999995</v>
      </c>
      <c r="FJ32" s="55">
        <f t="shared" si="115"/>
        <v>1154.4942354</v>
      </c>
      <c r="FK32" s="298">
        <f t="shared" si="116"/>
        <v>0.54513269706602552</v>
      </c>
      <c r="FL32" s="52"/>
      <c r="FM32" s="55">
        <f t="shared" si="117"/>
        <v>799.94048689188287</v>
      </c>
      <c r="FN32" s="55">
        <f t="shared" si="117"/>
        <v>1127.1759690918825</v>
      </c>
      <c r="FO32" s="55">
        <f t="shared" si="117"/>
        <v>779.12564710375329</v>
      </c>
      <c r="FP32" s="55">
        <f t="shared" si="117"/>
        <v>1106.3611293037532</v>
      </c>
      <c r="FR32" s="52"/>
      <c r="FS32" s="52"/>
      <c r="FT32" s="52"/>
      <c r="FU32" s="55">
        <f t="shared" si="118"/>
        <v>3078.9892</v>
      </c>
      <c r="FV32" s="55">
        <f t="shared" si="118"/>
        <v>2547.5733</v>
      </c>
      <c r="FW32" s="55">
        <f t="shared" si="118"/>
        <v>210.394308</v>
      </c>
      <c r="FX32" s="55">
        <f t="shared" si="118"/>
        <v>267.21075400000001</v>
      </c>
      <c r="FY32" s="298">
        <f t="shared" si="119"/>
        <v>0.54722385115245764</v>
      </c>
      <c r="FZ32" s="52"/>
      <c r="GA32" s="55">
        <f t="shared" si="120"/>
        <v>210.4614362705469</v>
      </c>
      <c r="GB32" s="55">
        <f t="shared" si="120"/>
        <v>267.15888667054691</v>
      </c>
      <c r="GC32" s="55">
        <f t="shared" si="120"/>
        <v>210.44709467007706</v>
      </c>
      <c r="GD32" s="55">
        <f t="shared" si="120"/>
        <v>267.14454507007702</v>
      </c>
      <c r="GF32" s="52"/>
      <c r="GG32" s="52"/>
      <c r="GH32" s="52"/>
      <c r="GI32" s="55">
        <f t="shared" si="191"/>
        <v>1888.0234</v>
      </c>
      <c r="GJ32" s="55">
        <f t="shared" si="191"/>
        <v>1598.4267</v>
      </c>
      <c r="GK32" s="56">
        <f t="shared" si="123"/>
        <v>204.21841725000004</v>
      </c>
      <c r="GL32" s="56">
        <f t="shared" si="123"/>
        <v>253.71906825000002</v>
      </c>
      <c r="GM32" s="298">
        <f t="shared" si="124"/>
        <v>0.54153174313322316</v>
      </c>
      <c r="GN32" s="52"/>
      <c r="GO32" s="56">
        <f t="shared" si="125"/>
        <v>203.7724205719403</v>
      </c>
      <c r="GP32" s="56">
        <f t="shared" si="125"/>
        <v>253.40425032194031</v>
      </c>
      <c r="GQ32" s="56">
        <f t="shared" si="125"/>
        <v>209.51806322259958</v>
      </c>
      <c r="GR32" s="56">
        <f t="shared" si="125"/>
        <v>259.14989297259956</v>
      </c>
      <c r="GW32" s="275">
        <v>0.69469999999999998</v>
      </c>
      <c r="GX32" s="275">
        <v>0.68369999999999997</v>
      </c>
      <c r="GY32" s="275">
        <v>9.2899999999999996E-2</v>
      </c>
      <c r="GZ32" s="275">
        <v>66.589200000000005</v>
      </c>
      <c r="HA32" s="275">
        <v>81.166700000000006</v>
      </c>
      <c r="HB32" s="49">
        <f t="shared" si="126"/>
        <v>456.27201299999996</v>
      </c>
      <c r="HC32" s="49">
        <f t="shared" si="127"/>
        <v>928.33469699999989</v>
      </c>
      <c r="HD32" s="47">
        <f t="shared" si="128"/>
        <v>22.604427999999999</v>
      </c>
      <c r="HE32" s="47">
        <f t="shared" si="181"/>
        <v>12.417283006279952</v>
      </c>
      <c r="HF32" s="48">
        <f t="shared" si="182"/>
        <v>468.6892960062799</v>
      </c>
      <c r="HG32" s="48">
        <f t="shared" si="183"/>
        <v>918.14755200627985</v>
      </c>
      <c r="HH32" s="93">
        <f t="shared" si="184"/>
        <v>471.09740654956988</v>
      </c>
      <c r="HI32" s="93">
        <f t="shared" si="185"/>
        <v>920.55566254956977</v>
      </c>
      <c r="HJ32" s="298">
        <f t="shared" si="129"/>
        <v>0.45067032856217593</v>
      </c>
      <c r="HL32" s="275">
        <v>0.30709999999999998</v>
      </c>
      <c r="HM32" s="275">
        <v>0.55349999999999999</v>
      </c>
      <c r="HN32" s="275">
        <v>0.46829999999999999</v>
      </c>
      <c r="HO32" s="275">
        <v>11</v>
      </c>
      <c r="HP32" s="275">
        <v>5.0833000000000004</v>
      </c>
      <c r="HQ32" s="49">
        <f t="shared" si="130"/>
        <v>163.26971499999999</v>
      </c>
      <c r="HR32" s="49">
        <f t="shared" si="131"/>
        <v>429.255855</v>
      </c>
      <c r="HS32" s="47">
        <f t="shared" si="132"/>
        <v>60.780656999999998</v>
      </c>
      <c r="HT32" s="47">
        <f t="shared" si="186"/>
        <v>19.210380564193915</v>
      </c>
      <c r="HU32" s="48">
        <f t="shared" si="187"/>
        <v>182.4800955641939</v>
      </c>
      <c r="HV32" s="48">
        <f t="shared" si="188"/>
        <v>387.68557856419392</v>
      </c>
      <c r="HW32" s="93">
        <f t="shared" si="189"/>
        <v>166.27476352670291</v>
      </c>
      <c r="HX32" s="93">
        <f t="shared" si="190"/>
        <v>371.4802465267029</v>
      </c>
      <c r="HY32" s="298">
        <f t="shared" si="133"/>
        <v>0.6839392413248524</v>
      </c>
    </row>
    <row r="33" spans="1:233" s="131" customFormat="1" x14ac:dyDescent="0.2">
      <c r="A33" s="118">
        <v>23</v>
      </c>
      <c r="B33" s="118"/>
      <c r="C33" s="275">
        <v>0.70709999999999995</v>
      </c>
      <c r="D33" s="275">
        <v>0.65780000000000005</v>
      </c>
      <c r="E33" s="275">
        <v>0.1767</v>
      </c>
      <c r="F33" s="275">
        <v>1515.3467000000001</v>
      </c>
      <c r="G33" s="275">
        <v>1083.5825</v>
      </c>
      <c r="H33" s="49">
        <f t="shared" si="100"/>
        <v>699.3572549999999</v>
      </c>
      <c r="I33" s="49">
        <f t="shared" si="100"/>
        <v>1185.237196</v>
      </c>
      <c r="J33" s="47">
        <f t="shared" si="100"/>
        <v>47.857427999999992</v>
      </c>
      <c r="K33" s="47">
        <f t="shared" si="134"/>
        <v>19.953399067512105</v>
      </c>
      <c r="L33" s="48">
        <f t="shared" si="135"/>
        <v>719.31065406751202</v>
      </c>
      <c r="M33" s="48">
        <f t="shared" si="136"/>
        <v>1157.333167067512</v>
      </c>
      <c r="N33" s="93">
        <f t="shared" si="137"/>
        <v>721.65364816561828</v>
      </c>
      <c r="O33" s="93">
        <f t="shared" si="138"/>
        <v>1159.6761611656184</v>
      </c>
      <c r="P33" s="298">
        <f t="shared" si="101"/>
        <v>0.58306578724807123</v>
      </c>
      <c r="Q33" s="275">
        <v>0.83779999999999999</v>
      </c>
      <c r="R33" s="275">
        <v>0.79400000000000004</v>
      </c>
      <c r="S33" s="275">
        <v>0.10829999999999999</v>
      </c>
      <c r="T33" s="275">
        <v>152.02500000000001</v>
      </c>
      <c r="U33" s="275">
        <v>104.7075</v>
      </c>
      <c r="V33" s="49">
        <f t="shared" si="102"/>
        <v>513.56302200000005</v>
      </c>
      <c r="W33" s="49">
        <f t="shared" si="102"/>
        <v>921.56404000000009</v>
      </c>
      <c r="X33" s="47">
        <f t="shared" si="102"/>
        <v>23.424206999999999</v>
      </c>
      <c r="Y33" s="47">
        <f t="shared" si="139"/>
        <v>15.041808776591992</v>
      </c>
      <c r="Z33" s="48">
        <f t="shared" si="140"/>
        <v>528.60483077659205</v>
      </c>
      <c r="AA33" s="48">
        <f t="shared" si="141"/>
        <v>913.18164177659207</v>
      </c>
      <c r="AB33" s="93">
        <f t="shared" si="142"/>
        <v>530.68097968304573</v>
      </c>
      <c r="AC33" s="93">
        <f t="shared" si="143"/>
        <v>915.25779068304576</v>
      </c>
      <c r="AD33" s="118"/>
      <c r="AE33" s="275">
        <v>0.73660000000000003</v>
      </c>
      <c r="AF33" s="275">
        <v>0.56779999999999997</v>
      </c>
      <c r="AG33" s="275">
        <v>0.35870000000000002</v>
      </c>
      <c r="AH33" s="275">
        <v>7.64</v>
      </c>
      <c r="AI33" s="275">
        <v>12.31</v>
      </c>
      <c r="AJ33" s="49">
        <f t="shared" si="103"/>
        <v>345.369642</v>
      </c>
      <c r="AK33" s="49">
        <f t="shared" si="103"/>
        <v>645.46368399999994</v>
      </c>
      <c r="AL33" s="47">
        <f t="shared" si="103"/>
        <v>71.714891000000009</v>
      </c>
      <c r="AM33" s="47">
        <f t="shared" si="144"/>
        <v>46.717602777238895</v>
      </c>
      <c r="AN33" s="48">
        <f t="shared" si="145"/>
        <v>392.08724477723888</v>
      </c>
      <c r="AO33" s="48">
        <f t="shared" si="146"/>
        <v>620.46639577723886</v>
      </c>
      <c r="AP33" s="93">
        <f t="shared" si="147"/>
        <v>358.47632512682202</v>
      </c>
      <c r="AQ33" s="93">
        <f t="shared" si="148"/>
        <v>586.85547612682194</v>
      </c>
      <c r="AR33" s="118"/>
      <c r="AS33" s="275">
        <v>1.4043000000000001</v>
      </c>
      <c r="AT33" s="275">
        <v>0.98560000000000003</v>
      </c>
      <c r="AU33" s="275">
        <v>0.1234</v>
      </c>
      <c r="AV33" s="275">
        <v>1006.4367</v>
      </c>
      <c r="AW33" s="275">
        <v>761.21</v>
      </c>
      <c r="AX33" s="49">
        <f t="shared" si="104"/>
        <v>489.32833500000004</v>
      </c>
      <c r="AY33" s="49">
        <f t="shared" si="104"/>
        <v>689.79187200000001</v>
      </c>
      <c r="AZ33" s="47">
        <f t="shared" si="104"/>
        <v>32.512198000000005</v>
      </c>
      <c r="BA33" s="47">
        <f t="shared" si="149"/>
        <v>19.019816459862145</v>
      </c>
      <c r="BB33" s="48">
        <f t="shared" si="150"/>
        <v>508.34815145986221</v>
      </c>
      <c r="BC33" s="48">
        <f t="shared" si="151"/>
        <v>676.29949045986211</v>
      </c>
      <c r="BD33" s="93">
        <f t="shared" si="152"/>
        <v>507.75758057571949</v>
      </c>
      <c r="BE33" s="93">
        <f t="shared" si="153"/>
        <v>675.70891957571939</v>
      </c>
      <c r="BF33" s="118"/>
      <c r="BG33" s="275">
        <v>1.0803</v>
      </c>
      <c r="BH33" s="275">
        <v>1.0321</v>
      </c>
      <c r="BI33" s="275">
        <v>0.3664</v>
      </c>
      <c r="BJ33" s="275">
        <v>399.4683</v>
      </c>
      <c r="BK33" s="275">
        <v>267.99329999999998</v>
      </c>
      <c r="BL33" s="49">
        <f t="shared" si="105"/>
        <v>365.37906600000002</v>
      </c>
      <c r="BM33" s="49">
        <f t="shared" si="105"/>
        <v>617.67056600000001</v>
      </c>
      <c r="BN33" s="47">
        <f t="shared" si="105"/>
        <v>84.436880000000002</v>
      </c>
      <c r="BO33" s="47">
        <f t="shared" si="154"/>
        <v>53.053450978631851</v>
      </c>
      <c r="BP33" s="48">
        <f t="shared" si="155"/>
        <v>418.4325169786319</v>
      </c>
      <c r="BQ33" s="48">
        <f t="shared" si="156"/>
        <v>586.28713697863191</v>
      </c>
      <c r="BR33" s="93">
        <f t="shared" si="157"/>
        <v>385.08460504207216</v>
      </c>
      <c r="BS33" s="93">
        <f t="shared" si="158"/>
        <v>552.93922504207217</v>
      </c>
      <c r="BT33" s="118"/>
      <c r="BU33" s="275">
        <v>0.89029999999999998</v>
      </c>
      <c r="BV33" s="275">
        <v>0.89149999999999996</v>
      </c>
      <c r="BW33" s="275">
        <v>0.3352</v>
      </c>
      <c r="BX33" s="275">
        <v>967.38250000000005</v>
      </c>
      <c r="BY33" s="275">
        <v>721.78330000000005</v>
      </c>
      <c r="BZ33" s="49">
        <f t="shared" si="106"/>
        <v>209.34514199999998</v>
      </c>
      <c r="CA33" s="49">
        <f t="shared" si="106"/>
        <v>320.52099499999997</v>
      </c>
      <c r="CB33" s="47">
        <f t="shared" si="106"/>
        <v>31.572488</v>
      </c>
      <c r="CC33" s="47">
        <f t="shared" si="159"/>
        <v>19.098494056783927</v>
      </c>
      <c r="CD33" s="48">
        <f t="shared" si="160"/>
        <v>228.4436360567839</v>
      </c>
      <c r="CE33" s="48">
        <f t="shared" si="161"/>
        <v>308.04700105678387</v>
      </c>
      <c r="CF33" s="93">
        <f t="shared" si="162"/>
        <v>220.70819294558669</v>
      </c>
      <c r="CG33" s="93">
        <f t="shared" si="163"/>
        <v>300.31155794558663</v>
      </c>
      <c r="CH33" s="118"/>
      <c r="CI33" s="275">
        <v>0.78080000000000005</v>
      </c>
      <c r="CJ33" s="275">
        <v>0.75870000000000004</v>
      </c>
      <c r="CK33" s="275">
        <v>0.2414</v>
      </c>
      <c r="CL33" s="275">
        <v>2273.7800000000002</v>
      </c>
      <c r="CM33" s="275">
        <v>1642.7842000000001</v>
      </c>
      <c r="CN33" s="49">
        <f t="shared" si="107"/>
        <v>161.15712000000002</v>
      </c>
      <c r="CO33" s="49">
        <f t="shared" si="107"/>
        <v>203.19503399999999</v>
      </c>
      <c r="CP33" s="47">
        <f t="shared" si="107"/>
        <v>0.10138799999999999</v>
      </c>
      <c r="CQ33" s="47">
        <f t="shared" si="164"/>
        <v>5.654292936385933E-2</v>
      </c>
      <c r="CR33" s="48">
        <f t="shared" si="165"/>
        <v>161.21366292936389</v>
      </c>
      <c r="CS33" s="48">
        <f t="shared" si="166"/>
        <v>203.15018892936388</v>
      </c>
      <c r="CT33" s="93">
        <f t="shared" si="167"/>
        <v>161.19174258071862</v>
      </c>
      <c r="CU33" s="93">
        <f t="shared" si="168"/>
        <v>203.12826858071861</v>
      </c>
      <c r="CV33" s="118"/>
      <c r="CW33" s="275">
        <v>0.25829999999999997</v>
      </c>
      <c r="CX33" s="275">
        <v>0.2873</v>
      </c>
      <c r="CY33" s="275">
        <v>0.2772</v>
      </c>
      <c r="CZ33" s="275">
        <v>761.45830000000001</v>
      </c>
      <c r="DA33" s="275">
        <v>537.14</v>
      </c>
      <c r="DB33" s="49">
        <f t="shared" si="108"/>
        <v>53.620496999999993</v>
      </c>
      <c r="DC33" s="49">
        <f t="shared" si="108"/>
        <v>80.877822999999992</v>
      </c>
      <c r="DD33" s="47">
        <f t="shared" si="108"/>
        <v>8.0388000000000001E-2</v>
      </c>
      <c r="DE33" s="47">
        <f t="shared" si="169"/>
        <v>4.8339685100334345E-2</v>
      </c>
      <c r="DF33" s="48">
        <f t="shared" si="170"/>
        <v>53.668836685100331</v>
      </c>
      <c r="DG33" s="48">
        <f t="shared" si="171"/>
        <v>80.845774685100324</v>
      </c>
      <c r="DH33" s="93">
        <f t="shared" si="172"/>
        <v>53.643202111698066</v>
      </c>
      <c r="DI33" s="93">
        <f t="shared" si="173"/>
        <v>80.820140111698066</v>
      </c>
      <c r="DJ33" s="118"/>
      <c r="DK33" s="275">
        <v>0.31119999999999998</v>
      </c>
      <c r="DL33" s="275">
        <v>0.20230000000000001</v>
      </c>
      <c r="DM33" s="275">
        <v>0.30309999999999998</v>
      </c>
      <c r="DN33" s="275">
        <v>242.9067</v>
      </c>
      <c r="DO33" s="275">
        <v>163.79920000000001</v>
      </c>
      <c r="DP33" s="49">
        <f t="shared" si="109"/>
        <v>42.397888000000002</v>
      </c>
      <c r="DQ33" s="49">
        <f t="shared" si="109"/>
        <v>39.915813</v>
      </c>
      <c r="DR33" s="47">
        <f t="shared" si="109"/>
        <v>6.6681999999999991E-2</v>
      </c>
      <c r="DS33" s="47">
        <f t="shared" si="174"/>
        <v>3.2335640484273682E-2</v>
      </c>
      <c r="DT33" s="48">
        <f t="shared" si="175"/>
        <v>42.430223640484279</v>
      </c>
      <c r="DU33" s="48">
        <f t="shared" si="176"/>
        <v>39.881466640484277</v>
      </c>
      <c r="DV33" s="93">
        <f t="shared" si="177"/>
        <v>42.419968751043314</v>
      </c>
      <c r="DW33" s="93">
        <f t="shared" si="178"/>
        <v>39.871211751043312</v>
      </c>
      <c r="DX33" s="118"/>
      <c r="DY33" s="118"/>
      <c r="DZ33" s="118"/>
      <c r="EB33" s="52"/>
      <c r="EC33" s="52"/>
      <c r="ED33" s="52"/>
      <c r="EE33" s="55">
        <f t="shared" si="179"/>
        <v>5557.0217000000011</v>
      </c>
      <c r="EF33" s="55">
        <f t="shared" si="179"/>
        <v>4024.7166999999999</v>
      </c>
      <c r="EG33" s="55">
        <f t="shared" si="179"/>
        <v>1392.7391076000001</v>
      </c>
      <c r="EH33" s="55">
        <f t="shared" si="179"/>
        <v>2142.9263604000002</v>
      </c>
      <c r="EI33" s="298">
        <f t="shared" si="110"/>
        <v>0.57995965533769944</v>
      </c>
      <c r="EJ33" s="52"/>
      <c r="EK33" s="55">
        <f t="shared" si="180"/>
        <v>1431.8075378048184</v>
      </c>
      <c r="EL33" s="55">
        <f t="shared" si="180"/>
        <v>2101.4594662048185</v>
      </c>
      <c r="EM33" s="55">
        <f t="shared" si="111"/>
        <v>1433.5175330114148</v>
      </c>
      <c r="EN33" s="55">
        <f t="shared" si="111"/>
        <v>2103.1694614114149</v>
      </c>
      <c r="EP33" s="52"/>
      <c r="EQ33" s="52"/>
      <c r="ER33" s="52"/>
      <c r="ES33" s="55">
        <f t="shared" si="112"/>
        <v>3586.7316000000001</v>
      </c>
      <c r="ET33" s="55">
        <f t="shared" si="112"/>
        <v>2552.625</v>
      </c>
      <c r="EU33" s="55">
        <f t="shared" si="112"/>
        <v>1077.6335559000001</v>
      </c>
      <c r="EV33" s="55">
        <f t="shared" si="112"/>
        <v>1799.0441161000001</v>
      </c>
      <c r="EW33" s="298">
        <f t="shared" si="113"/>
        <v>0.58421946039101236</v>
      </c>
      <c r="EX33" s="52"/>
      <c r="EY33" s="55">
        <f t="shared" si="114"/>
        <v>1145.819196364158</v>
      </c>
      <c r="EZ33" s="55">
        <f t="shared" si="114"/>
        <v>1759.2110099641579</v>
      </c>
      <c r="FA33" s="55">
        <f t="shared" si="114"/>
        <v>1114.5075687840251</v>
      </c>
      <c r="FB33" s="55">
        <f t="shared" si="114"/>
        <v>1727.8993823840253</v>
      </c>
      <c r="FD33" s="52"/>
      <c r="FE33" s="52"/>
      <c r="FF33" s="52"/>
      <c r="FG33" s="55">
        <f t="shared" si="115"/>
        <v>3491.7092000000002</v>
      </c>
      <c r="FH33" s="55">
        <f t="shared" si="115"/>
        <v>2540.6767</v>
      </c>
      <c r="FI33" s="55">
        <f t="shared" si="115"/>
        <v>741.31063680000011</v>
      </c>
      <c r="FJ33" s="55">
        <f t="shared" si="115"/>
        <v>1193.1292008</v>
      </c>
      <c r="FK33" s="298">
        <f t="shared" si="116"/>
        <v>0.5788272265539246</v>
      </c>
      <c r="FL33" s="52"/>
      <c r="FM33" s="55">
        <f t="shared" si="117"/>
        <v>807.20267794767722</v>
      </c>
      <c r="FN33" s="55">
        <f t="shared" si="117"/>
        <v>1155.5924657476771</v>
      </c>
      <c r="FO33" s="55">
        <f t="shared" si="117"/>
        <v>765.82824190375334</v>
      </c>
      <c r="FP33" s="55">
        <f t="shared" si="117"/>
        <v>1114.2180297037532</v>
      </c>
      <c r="FR33" s="52"/>
      <c r="FS33" s="52"/>
      <c r="FT33" s="52"/>
      <c r="FU33" s="55">
        <f t="shared" si="118"/>
        <v>3035.2383</v>
      </c>
      <c r="FV33" s="55">
        <f t="shared" si="118"/>
        <v>2179.9241999999999</v>
      </c>
      <c r="FW33" s="55">
        <f t="shared" si="118"/>
        <v>204.05351760000002</v>
      </c>
      <c r="FX33" s="55">
        <f t="shared" si="118"/>
        <v>267.89729239999997</v>
      </c>
      <c r="FY33" s="298">
        <f t="shared" si="119"/>
        <v>0.58200263174925038</v>
      </c>
      <c r="FZ33" s="52"/>
      <c r="GA33" s="55">
        <f t="shared" si="120"/>
        <v>204.14873227744417</v>
      </c>
      <c r="GB33" s="55">
        <f t="shared" si="120"/>
        <v>267.82680867744415</v>
      </c>
      <c r="GC33" s="55">
        <f t="shared" si="120"/>
        <v>204.10630427007709</v>
      </c>
      <c r="GD33" s="55">
        <f t="shared" si="120"/>
        <v>267.7843806700771</v>
      </c>
      <c r="GF33" s="52"/>
      <c r="GG33" s="52"/>
      <c r="GH33" s="52"/>
      <c r="GI33" s="55">
        <f t="shared" si="191"/>
        <v>1973.8191999999999</v>
      </c>
      <c r="GJ33" s="55">
        <f t="shared" si="191"/>
        <v>1482.9933000000001</v>
      </c>
      <c r="GK33" s="56">
        <f t="shared" si="123"/>
        <v>209.98739475000002</v>
      </c>
      <c r="GL33" s="56">
        <f t="shared" si="123"/>
        <v>276.95315775000006</v>
      </c>
      <c r="GM33" s="298">
        <f t="shared" si="124"/>
        <v>0.5709940009763329</v>
      </c>
      <c r="GN33" s="52"/>
      <c r="GO33" s="56">
        <f t="shared" si="125"/>
        <v>209.92838655230875</v>
      </c>
      <c r="GP33" s="56">
        <f t="shared" si="125"/>
        <v>276.18936705230868</v>
      </c>
      <c r="GQ33" s="56">
        <f t="shared" si="125"/>
        <v>215.28704072259961</v>
      </c>
      <c r="GR33" s="56">
        <f t="shared" si="125"/>
        <v>281.54802122259957</v>
      </c>
      <c r="GW33" s="275">
        <v>0.69059999999999999</v>
      </c>
      <c r="GX33" s="275">
        <v>0.72919999999999996</v>
      </c>
      <c r="GY33" s="275">
        <v>0.1862</v>
      </c>
      <c r="GZ33" s="275">
        <v>62.75</v>
      </c>
      <c r="HA33" s="275">
        <v>63.317500000000003</v>
      </c>
      <c r="HB33" s="49">
        <f t="shared" si="126"/>
        <v>453.57917399999997</v>
      </c>
      <c r="HC33" s="49">
        <f t="shared" si="127"/>
        <v>990.11505199999988</v>
      </c>
      <c r="HD33" s="47">
        <f t="shared" si="128"/>
        <v>45.306184000000002</v>
      </c>
      <c r="HE33" s="47">
        <f t="shared" si="181"/>
        <v>22.755066178198188</v>
      </c>
      <c r="HF33" s="48">
        <f t="shared" si="182"/>
        <v>476.33424017819817</v>
      </c>
      <c r="HG33" s="48">
        <f t="shared" si="183"/>
        <v>967.563934178198</v>
      </c>
      <c r="HH33" s="93">
        <f t="shared" si="184"/>
        <v>468.40456754956983</v>
      </c>
      <c r="HI33" s="93">
        <f t="shared" si="185"/>
        <v>959.63426154956971</v>
      </c>
      <c r="HJ33" s="298">
        <f t="shared" si="129"/>
        <v>0.49774922164713348</v>
      </c>
      <c r="HL33" s="275">
        <v>0.34079999999999999</v>
      </c>
      <c r="HM33" s="275">
        <v>0.58550000000000002</v>
      </c>
      <c r="HN33" s="275">
        <v>0.57179999999999997</v>
      </c>
      <c r="HO33" s="275">
        <v>5.4166999999999996</v>
      </c>
      <c r="HP33" s="275">
        <v>1.5832999999999999</v>
      </c>
      <c r="HQ33" s="49">
        <f t="shared" si="130"/>
        <v>181.18631999999999</v>
      </c>
      <c r="HR33" s="49">
        <f t="shared" si="131"/>
        <v>454.07281499999999</v>
      </c>
      <c r="HS33" s="47">
        <f t="shared" si="132"/>
        <v>74.213921999999997</v>
      </c>
      <c r="HT33" s="47">
        <f t="shared" si="186"/>
        <v>16.786128957514283</v>
      </c>
      <c r="HU33" s="48">
        <f t="shared" si="187"/>
        <v>197.97244895751427</v>
      </c>
      <c r="HV33" s="48">
        <f t="shared" si="188"/>
        <v>396.64502195751425</v>
      </c>
      <c r="HW33" s="93">
        <f t="shared" si="189"/>
        <v>184.19136852670292</v>
      </c>
      <c r="HX33" s="93">
        <f t="shared" si="190"/>
        <v>382.86394152670289</v>
      </c>
      <c r="HY33" s="298">
        <f t="shared" si="133"/>
        <v>0.77381428571428568</v>
      </c>
    </row>
    <row r="34" spans="1:233" s="131" customFormat="1" x14ac:dyDescent="0.2">
      <c r="A34" s="118">
        <v>24</v>
      </c>
      <c r="B34" s="118"/>
      <c r="C34" s="275">
        <v>0.70679999999999998</v>
      </c>
      <c r="D34" s="275">
        <v>0.68710000000000004</v>
      </c>
      <c r="E34" s="275">
        <v>0.26939999999999997</v>
      </c>
      <c r="F34" s="275">
        <v>1617.2175</v>
      </c>
      <c r="G34" s="275">
        <v>1108.4158</v>
      </c>
      <c r="H34" s="49">
        <f t="shared" si="100"/>
        <v>699.06053999999995</v>
      </c>
      <c r="I34" s="49">
        <f t="shared" si="100"/>
        <v>1238.030522</v>
      </c>
      <c r="J34" s="47">
        <f t="shared" si="100"/>
        <v>72.96429599999999</v>
      </c>
      <c r="K34" s="47">
        <f t="shared" si="134"/>
        <v>29.671921942792814</v>
      </c>
      <c r="L34" s="48">
        <f t="shared" si="135"/>
        <v>728.73246194279272</v>
      </c>
      <c r="M34" s="48">
        <f t="shared" si="136"/>
        <v>1194.7381479427927</v>
      </c>
      <c r="N34" s="93">
        <f t="shared" si="137"/>
        <v>721.35693316561833</v>
      </c>
      <c r="O34" s="93">
        <f t="shared" si="138"/>
        <v>1187.3626191656183</v>
      </c>
      <c r="P34" s="298">
        <f t="shared" si="101"/>
        <v>0.59333641836559603</v>
      </c>
      <c r="Q34" s="275">
        <v>0.80679999999999996</v>
      </c>
      <c r="R34" s="275">
        <v>0.81359999999999999</v>
      </c>
      <c r="S34" s="275">
        <v>0.1883</v>
      </c>
      <c r="T34" s="275">
        <v>154.95169999999999</v>
      </c>
      <c r="U34" s="275">
        <v>92.197500000000005</v>
      </c>
      <c r="V34" s="49">
        <f t="shared" si="102"/>
        <v>494.56033199999996</v>
      </c>
      <c r="W34" s="49">
        <f t="shared" si="102"/>
        <v>944.31297600000005</v>
      </c>
      <c r="X34" s="47">
        <f t="shared" si="102"/>
        <v>40.727406999999999</v>
      </c>
      <c r="Y34" s="47">
        <f t="shared" si="139"/>
        <v>26.728843112942947</v>
      </c>
      <c r="Z34" s="48">
        <f t="shared" si="140"/>
        <v>521.28917511294287</v>
      </c>
      <c r="AA34" s="48">
        <f t="shared" si="141"/>
        <v>930.31441211294305</v>
      </c>
      <c r="AB34" s="93">
        <f t="shared" si="142"/>
        <v>511.67828968304565</v>
      </c>
      <c r="AC34" s="93">
        <f t="shared" si="143"/>
        <v>920.70352668304577</v>
      </c>
      <c r="AD34" s="118"/>
      <c r="AE34" s="275">
        <v>0.72209999999999996</v>
      </c>
      <c r="AF34" s="275">
        <v>0.60470000000000002</v>
      </c>
      <c r="AG34" s="275">
        <v>0.46939999999999998</v>
      </c>
      <c r="AH34" s="275">
        <v>17.712499999999999</v>
      </c>
      <c r="AI34" s="275">
        <v>13.333299999999999</v>
      </c>
      <c r="AJ34" s="49">
        <f t="shared" si="103"/>
        <v>338.57102699999996</v>
      </c>
      <c r="AK34" s="49">
        <f t="shared" si="103"/>
        <v>687.41086600000006</v>
      </c>
      <c r="AL34" s="47">
        <f t="shared" si="103"/>
        <v>93.847142000000005</v>
      </c>
      <c r="AM34" s="47">
        <f t="shared" si="144"/>
        <v>62.877859340393805</v>
      </c>
      <c r="AN34" s="48">
        <f t="shared" si="145"/>
        <v>401.44888634039376</v>
      </c>
      <c r="AO34" s="48">
        <f t="shared" si="146"/>
        <v>656.44158334039389</v>
      </c>
      <c r="AP34" s="93">
        <f t="shared" si="147"/>
        <v>351.67771012682198</v>
      </c>
      <c r="AQ34" s="93">
        <f t="shared" si="148"/>
        <v>606.67040712682206</v>
      </c>
      <c r="AR34" s="118"/>
      <c r="AS34" s="275">
        <v>1.4056</v>
      </c>
      <c r="AT34" s="275">
        <v>1.032</v>
      </c>
      <c r="AU34" s="275">
        <v>0.2092</v>
      </c>
      <c r="AV34" s="275">
        <v>1005.0857999999999</v>
      </c>
      <c r="AW34" s="275">
        <v>746.245</v>
      </c>
      <c r="AX34" s="49">
        <f t="shared" si="104"/>
        <v>489.78131999999999</v>
      </c>
      <c r="AY34" s="49">
        <f t="shared" si="104"/>
        <v>722.26584000000003</v>
      </c>
      <c r="AZ34" s="47">
        <f t="shared" si="104"/>
        <v>55.117924000000002</v>
      </c>
      <c r="BA34" s="47">
        <f t="shared" si="149"/>
        <v>32.845086388318549</v>
      </c>
      <c r="BB34" s="48">
        <f t="shared" si="150"/>
        <v>522.62640638831851</v>
      </c>
      <c r="BC34" s="48">
        <f t="shared" si="151"/>
        <v>699.99300238831859</v>
      </c>
      <c r="BD34" s="93">
        <f t="shared" si="152"/>
        <v>508.21056557571944</v>
      </c>
      <c r="BE34" s="93">
        <f t="shared" si="153"/>
        <v>685.5771615757194</v>
      </c>
      <c r="BF34" s="118"/>
      <c r="BG34" s="275">
        <v>1.077</v>
      </c>
      <c r="BH34" s="275">
        <v>1.0933999999999999</v>
      </c>
      <c r="BI34" s="275">
        <v>0.5202</v>
      </c>
      <c r="BJ34" s="275">
        <v>519.01829999999995</v>
      </c>
      <c r="BK34" s="275">
        <v>265.05250000000001</v>
      </c>
      <c r="BL34" s="49">
        <f t="shared" si="105"/>
        <v>364.26294000000001</v>
      </c>
      <c r="BM34" s="49">
        <f t="shared" si="105"/>
        <v>654.35616400000004</v>
      </c>
      <c r="BN34" s="47">
        <f t="shared" si="105"/>
        <v>119.88009</v>
      </c>
      <c r="BO34" s="47">
        <f t="shared" si="154"/>
        <v>77.01041098123244</v>
      </c>
      <c r="BP34" s="48">
        <f t="shared" si="155"/>
        <v>441.27335098123245</v>
      </c>
      <c r="BQ34" s="48">
        <f t="shared" si="156"/>
        <v>611.48648498123248</v>
      </c>
      <c r="BR34" s="93">
        <f t="shared" si="157"/>
        <v>383.96847904207215</v>
      </c>
      <c r="BS34" s="93">
        <f t="shared" si="158"/>
        <v>554.18161304207217</v>
      </c>
      <c r="BT34" s="118"/>
      <c r="BU34" s="275">
        <v>0.89200000000000002</v>
      </c>
      <c r="BV34" s="275">
        <v>0.89829999999999999</v>
      </c>
      <c r="BW34" s="275">
        <v>0.51680000000000004</v>
      </c>
      <c r="BX34" s="275">
        <v>1106.8858</v>
      </c>
      <c r="BY34" s="275">
        <v>732.86580000000004</v>
      </c>
      <c r="BZ34" s="49">
        <f t="shared" si="106"/>
        <v>209.74487999999999</v>
      </c>
      <c r="CA34" s="49">
        <f t="shared" si="106"/>
        <v>322.96579899999995</v>
      </c>
      <c r="CB34" s="47">
        <f t="shared" si="106"/>
        <v>48.677392000000005</v>
      </c>
      <c r="CC34" s="47">
        <f t="shared" si="159"/>
        <v>29.511578085927969</v>
      </c>
      <c r="CD34" s="48">
        <f t="shared" si="160"/>
        <v>239.25645808592796</v>
      </c>
      <c r="CE34" s="48">
        <f t="shared" si="161"/>
        <v>303.79998508592791</v>
      </c>
      <c r="CF34" s="93">
        <f t="shared" si="162"/>
        <v>221.1079309455867</v>
      </c>
      <c r="CG34" s="93">
        <f t="shared" si="163"/>
        <v>285.65145794558663</v>
      </c>
      <c r="CH34" s="118"/>
      <c r="CI34" s="275">
        <v>0.77059999999999995</v>
      </c>
      <c r="CJ34" s="275">
        <v>0.75570000000000004</v>
      </c>
      <c r="CK34" s="275">
        <v>0.3422</v>
      </c>
      <c r="CL34" s="275">
        <v>2549.0574999999999</v>
      </c>
      <c r="CM34" s="275">
        <v>1606.6967</v>
      </c>
      <c r="CN34" s="49">
        <f t="shared" si="107"/>
        <v>159.05184</v>
      </c>
      <c r="CO34" s="49">
        <f t="shared" si="107"/>
        <v>202.39157399999999</v>
      </c>
      <c r="CP34" s="47">
        <f t="shared" si="107"/>
        <v>0.14372399999999999</v>
      </c>
      <c r="CQ34" s="47">
        <f t="shared" si="164"/>
        <v>8.0478784381933718E-2</v>
      </c>
      <c r="CR34" s="48">
        <f t="shared" si="165"/>
        <v>159.13231878438194</v>
      </c>
      <c r="CS34" s="48">
        <f t="shared" si="166"/>
        <v>202.32832878438194</v>
      </c>
      <c r="CT34" s="93">
        <f t="shared" si="167"/>
        <v>159.0864625807186</v>
      </c>
      <c r="CU34" s="93">
        <f t="shared" si="168"/>
        <v>202.2824725807186</v>
      </c>
      <c r="CV34" s="118"/>
      <c r="CW34" s="275">
        <v>0.2762</v>
      </c>
      <c r="CX34" s="275">
        <v>0.32140000000000002</v>
      </c>
      <c r="CY34" s="275">
        <v>0.35460000000000003</v>
      </c>
      <c r="CZ34" s="275">
        <v>935.81920000000002</v>
      </c>
      <c r="DA34" s="275">
        <v>541.33500000000004</v>
      </c>
      <c r="DB34" s="49">
        <f t="shared" si="108"/>
        <v>57.336358000000004</v>
      </c>
      <c r="DC34" s="49">
        <f t="shared" si="108"/>
        <v>90.477314000000007</v>
      </c>
      <c r="DD34" s="47">
        <f t="shared" si="108"/>
        <v>0.10283399999999999</v>
      </c>
      <c r="DE34" s="47">
        <f t="shared" si="169"/>
        <v>6.2945084727182757E-2</v>
      </c>
      <c r="DF34" s="48">
        <f t="shared" si="170"/>
        <v>57.399303084727187</v>
      </c>
      <c r="DG34" s="48">
        <f t="shared" si="171"/>
        <v>90.437425084727195</v>
      </c>
      <c r="DH34" s="93">
        <f t="shared" si="172"/>
        <v>57.359063111698077</v>
      </c>
      <c r="DI34" s="93">
        <f t="shared" si="173"/>
        <v>90.397185111698079</v>
      </c>
      <c r="DJ34" s="118"/>
      <c r="DK34" s="275">
        <v>0.31280000000000002</v>
      </c>
      <c r="DL34" s="275">
        <v>0.21260000000000001</v>
      </c>
      <c r="DM34" s="275">
        <v>0.37630000000000002</v>
      </c>
      <c r="DN34" s="275">
        <v>291.13330000000002</v>
      </c>
      <c r="DO34" s="275">
        <v>142.2158</v>
      </c>
      <c r="DP34" s="49">
        <f t="shared" si="109"/>
        <v>42.615872000000003</v>
      </c>
      <c r="DQ34" s="49">
        <f t="shared" si="109"/>
        <v>41.948106000000003</v>
      </c>
      <c r="DR34" s="47">
        <f t="shared" si="109"/>
        <v>8.2786000000000012E-2</v>
      </c>
      <c r="DS34" s="47">
        <f t="shared" si="174"/>
        <v>4.1066136970472233E-2</v>
      </c>
      <c r="DT34" s="48">
        <f t="shared" si="175"/>
        <v>42.656938136970474</v>
      </c>
      <c r="DU34" s="48">
        <f t="shared" si="176"/>
        <v>41.906386136970475</v>
      </c>
      <c r="DV34" s="93">
        <f t="shared" si="177"/>
        <v>42.637952751043315</v>
      </c>
      <c r="DW34" s="93">
        <f t="shared" si="178"/>
        <v>41.887400751043316</v>
      </c>
      <c r="DX34" s="118"/>
      <c r="DY34" s="118"/>
      <c r="DZ34" s="118"/>
      <c r="EB34" s="52"/>
      <c r="EC34" s="52"/>
      <c r="ED34" s="52"/>
      <c r="EE34" s="55">
        <f t="shared" si="179"/>
        <v>6107.18</v>
      </c>
      <c r="EF34" s="55">
        <f t="shared" si="179"/>
        <v>4002.6925000000001</v>
      </c>
      <c r="EG34" s="55">
        <f t="shared" si="179"/>
        <v>1393.7627864000001</v>
      </c>
      <c r="EH34" s="55">
        <f t="shared" si="179"/>
        <v>2235.0697872000001</v>
      </c>
      <c r="EI34" s="298">
        <f t="shared" si="110"/>
        <v>0.60408081308641626</v>
      </c>
      <c r="EJ34" s="52"/>
      <c r="EK34" s="55">
        <f t="shared" si="180"/>
        <v>1456.4106295832748</v>
      </c>
      <c r="EL34" s="55">
        <f t="shared" si="180"/>
        <v>2169.4094191832751</v>
      </c>
      <c r="EM34" s="55">
        <f t="shared" si="111"/>
        <v>1434.5412118114145</v>
      </c>
      <c r="EN34" s="55">
        <f t="shared" si="111"/>
        <v>2147.5400014114148</v>
      </c>
      <c r="EP34" s="52"/>
      <c r="EQ34" s="52"/>
      <c r="ER34" s="52"/>
      <c r="ES34" s="55">
        <f t="shared" si="112"/>
        <v>4158.8467000000001</v>
      </c>
      <c r="ET34" s="55">
        <f t="shared" si="112"/>
        <v>2505.2817</v>
      </c>
      <c r="EU34" s="55">
        <f t="shared" si="112"/>
        <v>1058.0105626</v>
      </c>
      <c r="EV34" s="55">
        <f t="shared" si="112"/>
        <v>1864.3948338</v>
      </c>
      <c r="EW34" s="298">
        <f t="shared" si="113"/>
        <v>0.62406461136012925</v>
      </c>
      <c r="EX34" s="52"/>
      <c r="EY34" s="55">
        <f t="shared" si="114"/>
        <v>1161.8743570378665</v>
      </c>
      <c r="EZ34" s="55">
        <f t="shared" si="114"/>
        <v>1807.4354234378666</v>
      </c>
      <c r="FA34" s="55">
        <f t="shared" si="114"/>
        <v>1094.8845754840249</v>
      </c>
      <c r="FB34" s="55">
        <f t="shared" si="114"/>
        <v>1740.445641884025</v>
      </c>
      <c r="FD34" s="52"/>
      <c r="FE34" s="52"/>
      <c r="FF34" s="52"/>
      <c r="FG34" s="55">
        <f t="shared" si="115"/>
        <v>3964.7891</v>
      </c>
      <c r="FH34" s="55">
        <f t="shared" si="115"/>
        <v>2495.1116000000002</v>
      </c>
      <c r="FI34" s="55">
        <f t="shared" si="115"/>
        <v>732.93727019999994</v>
      </c>
      <c r="FJ34" s="55">
        <f t="shared" si="115"/>
        <v>1237.9371025999999</v>
      </c>
      <c r="FK34" s="298">
        <f t="shared" si="116"/>
        <v>0.61375387705263018</v>
      </c>
      <c r="FL34" s="52"/>
      <c r="FM34" s="55">
        <f t="shared" si="117"/>
        <v>825.43182609288601</v>
      </c>
      <c r="FN34" s="55">
        <f t="shared" si="117"/>
        <v>1187.7137288928861</v>
      </c>
      <c r="FO34" s="55">
        <f t="shared" si="117"/>
        <v>757.45487530375328</v>
      </c>
      <c r="FP34" s="55">
        <f t="shared" si="117"/>
        <v>1119.7367781037533</v>
      </c>
      <c r="FR34" s="52"/>
      <c r="FS34" s="52"/>
      <c r="FT34" s="52"/>
      <c r="FU34" s="55">
        <f t="shared" si="118"/>
        <v>3484.8766999999998</v>
      </c>
      <c r="FV34" s="55">
        <f t="shared" si="118"/>
        <v>2148.0317</v>
      </c>
      <c r="FW34" s="55">
        <f t="shared" si="118"/>
        <v>204.92092640000001</v>
      </c>
      <c r="FX34" s="55">
        <f t="shared" si="118"/>
        <v>274.77342520000002</v>
      </c>
      <c r="FY34" s="298">
        <f t="shared" si="119"/>
        <v>0.61866383270141578</v>
      </c>
      <c r="FZ34" s="52"/>
      <c r="GA34" s="55">
        <f t="shared" si="120"/>
        <v>205.05176125216369</v>
      </c>
      <c r="GB34" s="55">
        <f t="shared" si="120"/>
        <v>274.67826885216368</v>
      </c>
      <c r="GC34" s="55">
        <f t="shared" si="120"/>
        <v>204.97371307007705</v>
      </c>
      <c r="GD34" s="55">
        <f t="shared" si="120"/>
        <v>274.60022067007708</v>
      </c>
      <c r="GF34" s="52"/>
      <c r="GG34" s="52"/>
      <c r="GH34" s="52"/>
      <c r="GI34" s="55">
        <f t="shared" si="191"/>
        <v>2111.9715999999999</v>
      </c>
      <c r="GJ34" s="55">
        <f t="shared" si="191"/>
        <v>1479.1107999999999</v>
      </c>
      <c r="GK34" s="56">
        <f t="shared" si="123"/>
        <v>210.02732999999998</v>
      </c>
      <c r="GL34" s="56">
        <f t="shared" si="123"/>
        <v>299.47503075000009</v>
      </c>
      <c r="GM34" s="298">
        <f t="shared" si="124"/>
        <v>0.58811560547872699</v>
      </c>
      <c r="GN34" s="52"/>
      <c r="GO34" s="56">
        <f t="shared" si="125"/>
        <v>212.52746122679289</v>
      </c>
      <c r="GP34" s="56">
        <f t="shared" si="125"/>
        <v>297.144762976793</v>
      </c>
      <c r="GQ34" s="56">
        <f t="shared" si="125"/>
        <v>215.32697597259954</v>
      </c>
      <c r="GR34" s="56">
        <f t="shared" si="125"/>
        <v>299.94427772259957</v>
      </c>
      <c r="GW34" s="275">
        <v>0.68689999999999996</v>
      </c>
      <c r="GX34" s="275">
        <v>0.77510000000000001</v>
      </c>
      <c r="GY34" s="275">
        <v>0.317</v>
      </c>
      <c r="GZ34" s="275">
        <v>91.24</v>
      </c>
      <c r="HA34" s="275">
        <v>55.807499999999997</v>
      </c>
      <c r="HB34" s="49">
        <f t="shared" si="126"/>
        <v>451.14905099999993</v>
      </c>
      <c r="HC34" s="49">
        <f t="shared" si="127"/>
        <v>1052.438531</v>
      </c>
      <c r="HD34" s="47">
        <f t="shared" si="128"/>
        <v>77.132440000000003</v>
      </c>
      <c r="HE34" s="47">
        <f t="shared" si="181"/>
        <v>29.273320833744201</v>
      </c>
      <c r="HF34" s="48">
        <f t="shared" si="182"/>
        <v>480.42237183374414</v>
      </c>
      <c r="HG34" s="48">
        <f t="shared" si="183"/>
        <v>1004.5794118337442</v>
      </c>
      <c r="HH34" s="93">
        <f t="shared" si="184"/>
        <v>465.97444454956985</v>
      </c>
      <c r="HI34" s="93">
        <f t="shared" si="185"/>
        <v>990.1314845495699</v>
      </c>
      <c r="HJ34" s="298">
        <f t="shared" si="129"/>
        <v>0.62047977694282463</v>
      </c>
      <c r="HL34" s="275">
        <v>0.37490000000000001</v>
      </c>
      <c r="HM34" s="275">
        <v>0.61750000000000005</v>
      </c>
      <c r="HN34" s="275">
        <v>0.6724</v>
      </c>
      <c r="HO34" s="275">
        <v>4</v>
      </c>
      <c r="HP34" s="275">
        <v>1.5</v>
      </c>
      <c r="HQ34" s="49">
        <f t="shared" si="130"/>
        <v>199.315585</v>
      </c>
      <c r="HR34" s="49">
        <f t="shared" si="131"/>
        <v>478.88977500000004</v>
      </c>
      <c r="HS34" s="47">
        <f t="shared" si="132"/>
        <v>87.27079599999999</v>
      </c>
      <c r="HT34" s="47">
        <f t="shared" si="186"/>
        <v>23.801126181818177</v>
      </c>
      <c r="HU34" s="48">
        <f t="shared" si="187"/>
        <v>223.11671118181818</v>
      </c>
      <c r="HV34" s="48">
        <f t="shared" si="188"/>
        <v>415.42010518181826</v>
      </c>
      <c r="HW34" s="93">
        <f t="shared" si="189"/>
        <v>202.32063352670292</v>
      </c>
      <c r="HX34" s="93">
        <f t="shared" si="190"/>
        <v>394.624027526703</v>
      </c>
      <c r="HY34" s="298">
        <f t="shared" si="133"/>
        <v>0.72727272727272729</v>
      </c>
    </row>
    <row r="35" spans="1:233" s="131" customFormat="1" x14ac:dyDescent="0.2">
      <c r="A35" s="118">
        <v>25</v>
      </c>
      <c r="B35" s="118"/>
      <c r="C35" s="275">
        <v>0.70730000000000004</v>
      </c>
      <c r="D35" s="275">
        <v>0.71750000000000003</v>
      </c>
      <c r="E35" s="275">
        <v>0.38990000000000002</v>
      </c>
      <c r="F35" s="275">
        <v>1942.3716999999999</v>
      </c>
      <c r="G35" s="275">
        <v>1466.335</v>
      </c>
      <c r="H35" s="49">
        <f t="shared" si="100"/>
        <v>699.55506500000001</v>
      </c>
      <c r="I35" s="49">
        <f t="shared" si="100"/>
        <v>1292.80585</v>
      </c>
      <c r="J35" s="47">
        <f t="shared" si="100"/>
        <v>105.600516</v>
      </c>
      <c r="K35" s="47">
        <f t="shared" si="134"/>
        <v>45.42653453547647</v>
      </c>
      <c r="L35" s="48">
        <f t="shared" si="135"/>
        <v>744.98159953547645</v>
      </c>
      <c r="M35" s="48">
        <f t="shared" si="136"/>
        <v>1232.6318685354765</v>
      </c>
      <c r="N35" s="93">
        <f t="shared" si="137"/>
        <v>721.8514581656184</v>
      </c>
      <c r="O35" s="93">
        <f t="shared" si="138"/>
        <v>1209.5017271656184</v>
      </c>
      <c r="P35" s="298">
        <f t="shared" si="101"/>
        <v>0.56982658554929355</v>
      </c>
      <c r="Q35" s="275">
        <v>0.77549999999999997</v>
      </c>
      <c r="R35" s="275">
        <v>0.83250000000000002</v>
      </c>
      <c r="S35" s="275">
        <v>0.31919999999999998</v>
      </c>
      <c r="T35" s="275">
        <v>178.0067</v>
      </c>
      <c r="U35" s="275">
        <v>125.08580000000001</v>
      </c>
      <c r="V35" s="49">
        <f t="shared" si="102"/>
        <v>475.37374499999999</v>
      </c>
      <c r="W35" s="49">
        <f t="shared" si="102"/>
        <v>966.24945000000014</v>
      </c>
      <c r="X35" s="47">
        <f t="shared" si="102"/>
        <v>69.039767999999995</v>
      </c>
      <c r="Y35" s="47">
        <f t="shared" si="139"/>
        <v>46.273976507521162</v>
      </c>
      <c r="Z35" s="48">
        <f t="shared" si="140"/>
        <v>521.64772150752117</v>
      </c>
      <c r="AA35" s="48">
        <f t="shared" si="141"/>
        <v>943.48365850752134</v>
      </c>
      <c r="AB35" s="93">
        <f t="shared" si="142"/>
        <v>492.49170268304567</v>
      </c>
      <c r="AC35" s="93">
        <f t="shared" si="143"/>
        <v>914.32763968304585</v>
      </c>
      <c r="AD35" s="118"/>
      <c r="AE35" s="275">
        <v>0.70789999999999997</v>
      </c>
      <c r="AF35" s="275">
        <v>0.64139999999999997</v>
      </c>
      <c r="AG35" s="275">
        <v>0.60319999999999996</v>
      </c>
      <c r="AH35" s="275">
        <v>17.746700000000001</v>
      </c>
      <c r="AI35" s="275">
        <v>12.8842</v>
      </c>
      <c r="AJ35" s="49">
        <f t="shared" si="103"/>
        <v>331.913073</v>
      </c>
      <c r="AK35" s="49">
        <f t="shared" si="103"/>
        <v>729.13069199999995</v>
      </c>
      <c r="AL35" s="47">
        <f t="shared" si="103"/>
        <v>120.597776</v>
      </c>
      <c r="AM35" s="47">
        <f t="shared" si="144"/>
        <v>82.87267949644</v>
      </c>
      <c r="AN35" s="48">
        <f t="shared" si="145"/>
        <v>414.78575249644001</v>
      </c>
      <c r="AO35" s="48">
        <f t="shared" si="146"/>
        <v>691.40559549644001</v>
      </c>
      <c r="AP35" s="93">
        <f t="shared" si="147"/>
        <v>345.01975612682202</v>
      </c>
      <c r="AQ35" s="93">
        <f t="shared" si="148"/>
        <v>621.63959912682196</v>
      </c>
      <c r="AR35" s="118"/>
      <c r="AS35" s="275">
        <v>1.3862000000000001</v>
      </c>
      <c r="AT35" s="275">
        <v>1.077</v>
      </c>
      <c r="AU35" s="275">
        <v>0.33739999999999998</v>
      </c>
      <c r="AV35" s="275">
        <v>1160.5125</v>
      </c>
      <c r="AW35" s="275">
        <v>925.99419999999998</v>
      </c>
      <c r="AX35" s="49">
        <f t="shared" si="104"/>
        <v>483.02139</v>
      </c>
      <c r="AY35" s="49">
        <f t="shared" si="104"/>
        <v>753.75999000000002</v>
      </c>
      <c r="AZ35" s="47">
        <f t="shared" si="104"/>
        <v>88.894778000000002</v>
      </c>
      <c r="BA35" s="47">
        <f t="shared" si="149"/>
        <v>54.177179621132574</v>
      </c>
      <c r="BB35" s="48">
        <f t="shared" si="150"/>
        <v>537.19856962113261</v>
      </c>
      <c r="BC35" s="48">
        <f t="shared" si="151"/>
        <v>719.04239162113265</v>
      </c>
      <c r="BD35" s="93">
        <f t="shared" si="152"/>
        <v>501.45063557571945</v>
      </c>
      <c r="BE35" s="93">
        <f t="shared" si="153"/>
        <v>683.29445757571943</v>
      </c>
      <c r="BF35" s="118"/>
      <c r="BG35" s="275">
        <v>1.0657000000000001</v>
      </c>
      <c r="BH35" s="275">
        <v>1.1533</v>
      </c>
      <c r="BI35" s="275">
        <v>0.70499999999999996</v>
      </c>
      <c r="BJ35" s="275">
        <v>613.78830000000005</v>
      </c>
      <c r="BK35" s="275">
        <v>310.93579999999997</v>
      </c>
      <c r="BL35" s="49">
        <f t="shared" si="105"/>
        <v>360.44105400000007</v>
      </c>
      <c r="BM35" s="49">
        <f t="shared" si="105"/>
        <v>690.20391800000004</v>
      </c>
      <c r="BN35" s="47">
        <f t="shared" si="105"/>
        <v>162.46724999999998</v>
      </c>
      <c r="BO35" s="47">
        <f t="shared" si="154"/>
        <v>106.73018525299285</v>
      </c>
      <c r="BP35" s="48">
        <f t="shared" si="155"/>
        <v>467.1712392529929</v>
      </c>
      <c r="BQ35" s="48">
        <f t="shared" si="156"/>
        <v>634.46685325299291</v>
      </c>
      <c r="BR35" s="93">
        <f t="shared" si="157"/>
        <v>380.1465930420722</v>
      </c>
      <c r="BS35" s="93">
        <f t="shared" si="158"/>
        <v>547.44220704207214</v>
      </c>
      <c r="BT35" s="118"/>
      <c r="BU35" s="275">
        <v>0.89700000000000002</v>
      </c>
      <c r="BV35" s="275">
        <v>0.90959999999999996</v>
      </c>
      <c r="BW35" s="275">
        <v>0.7429</v>
      </c>
      <c r="BX35" s="275">
        <v>1511.4641999999999</v>
      </c>
      <c r="BY35" s="275">
        <v>928.59749999999997</v>
      </c>
      <c r="BZ35" s="49">
        <f t="shared" si="106"/>
        <v>210.92058</v>
      </c>
      <c r="CA35" s="49">
        <f t="shared" si="106"/>
        <v>327.02848799999998</v>
      </c>
      <c r="CB35" s="47">
        <f t="shared" si="106"/>
        <v>69.973750999999993</v>
      </c>
      <c r="CC35" s="47">
        <f t="shared" si="159"/>
        <v>42.53824637022791</v>
      </c>
      <c r="CD35" s="48">
        <f t="shared" si="160"/>
        <v>253.45882637022791</v>
      </c>
      <c r="CE35" s="48">
        <f t="shared" si="161"/>
        <v>299.5929833702279</v>
      </c>
      <c r="CF35" s="93">
        <f t="shared" si="162"/>
        <v>222.28363094558671</v>
      </c>
      <c r="CG35" s="93">
        <f t="shared" si="163"/>
        <v>268.41778794558667</v>
      </c>
      <c r="CH35" s="118"/>
      <c r="CI35" s="275">
        <v>0.76959999999999995</v>
      </c>
      <c r="CJ35" s="275">
        <v>0.75770000000000004</v>
      </c>
      <c r="CK35" s="275">
        <v>0.47</v>
      </c>
      <c r="CL35" s="275">
        <v>3159.0124999999998</v>
      </c>
      <c r="CM35" s="275">
        <v>2049.2157999999999</v>
      </c>
      <c r="CN35" s="49">
        <f t="shared" si="107"/>
        <v>158.84544</v>
      </c>
      <c r="CO35" s="49">
        <f t="shared" si="107"/>
        <v>202.92721399999999</v>
      </c>
      <c r="CP35" s="47">
        <f t="shared" si="107"/>
        <v>0.19739999999999999</v>
      </c>
      <c r="CQ35" s="47">
        <f t="shared" si="164"/>
        <v>0.1107265339176244</v>
      </c>
      <c r="CR35" s="48">
        <f t="shared" si="165"/>
        <v>158.95616653391761</v>
      </c>
      <c r="CS35" s="48">
        <f t="shared" si="166"/>
        <v>202.84054053391762</v>
      </c>
      <c r="CT35" s="93">
        <f t="shared" si="167"/>
        <v>158.8800625807186</v>
      </c>
      <c r="CU35" s="93">
        <f t="shared" si="168"/>
        <v>202.76443658071861</v>
      </c>
      <c r="CV35" s="118"/>
      <c r="CW35" s="275">
        <v>0.31140000000000001</v>
      </c>
      <c r="CX35" s="275">
        <v>0.36430000000000001</v>
      </c>
      <c r="CY35" s="275">
        <v>0.44550000000000001</v>
      </c>
      <c r="CZ35" s="275">
        <v>1081.1541999999999</v>
      </c>
      <c r="DA35" s="275">
        <v>559.93579999999997</v>
      </c>
      <c r="DB35" s="49">
        <f t="shared" si="108"/>
        <v>64.643526000000008</v>
      </c>
      <c r="DC35" s="49">
        <f t="shared" si="108"/>
        <v>102.55409299999999</v>
      </c>
      <c r="DD35" s="47">
        <f t="shared" si="108"/>
        <v>0.129195</v>
      </c>
      <c r="DE35" s="47">
        <f t="shared" si="169"/>
        <v>7.9244406256377367E-2</v>
      </c>
      <c r="DF35" s="48">
        <f t="shared" si="170"/>
        <v>64.722770406256387</v>
      </c>
      <c r="DG35" s="48">
        <f t="shared" si="171"/>
        <v>102.50414240625638</v>
      </c>
      <c r="DH35" s="93">
        <f t="shared" si="172"/>
        <v>64.666231111698082</v>
      </c>
      <c r="DI35" s="93">
        <f t="shared" si="173"/>
        <v>102.44760311169807</v>
      </c>
      <c r="DJ35" s="118"/>
      <c r="DK35" s="275">
        <v>0.33250000000000002</v>
      </c>
      <c r="DL35" s="275">
        <v>0.2414</v>
      </c>
      <c r="DM35" s="275">
        <v>0.45669999999999999</v>
      </c>
      <c r="DN35" s="275">
        <v>424.54750000000001</v>
      </c>
      <c r="DO35" s="275">
        <v>171.64</v>
      </c>
      <c r="DP35" s="49">
        <f t="shared" si="109"/>
        <v>45.299800000000005</v>
      </c>
      <c r="DQ35" s="49">
        <f t="shared" si="109"/>
        <v>47.630634000000001</v>
      </c>
      <c r="DR35" s="47">
        <f t="shared" si="109"/>
        <v>0.10047399999999999</v>
      </c>
      <c r="DS35" s="47">
        <f t="shared" si="174"/>
        <v>5.149701894770016E-2</v>
      </c>
      <c r="DT35" s="48">
        <f t="shared" si="175"/>
        <v>45.351297018947704</v>
      </c>
      <c r="DU35" s="48">
        <f t="shared" si="176"/>
        <v>47.581657018947702</v>
      </c>
      <c r="DV35" s="93">
        <f t="shared" si="177"/>
        <v>45.321880751043317</v>
      </c>
      <c r="DW35" s="93">
        <f t="shared" si="178"/>
        <v>47.552240751043314</v>
      </c>
      <c r="DX35" s="118"/>
      <c r="DY35" s="118"/>
      <c r="DZ35" s="118"/>
      <c r="EB35" s="52"/>
      <c r="EC35" s="52"/>
      <c r="ED35" s="52"/>
      <c r="EE35" s="55">
        <f t="shared" si="179"/>
        <v>7343.0508999999993</v>
      </c>
      <c r="EF35" s="55">
        <f t="shared" si="179"/>
        <v>5001.4808000000003</v>
      </c>
      <c r="EG35" s="55">
        <f t="shared" si="179"/>
        <v>1393.1367158</v>
      </c>
      <c r="EH35" s="55">
        <f t="shared" si="179"/>
        <v>2331.5363284</v>
      </c>
      <c r="EI35" s="298">
        <f t="shared" si="110"/>
        <v>0.59484240297264579</v>
      </c>
      <c r="EJ35" s="52"/>
      <c r="EK35" s="55">
        <f t="shared" si="180"/>
        <v>1492.9145520155319</v>
      </c>
      <c r="EL35" s="55">
        <f t="shared" si="180"/>
        <v>2236.5181146155319</v>
      </c>
      <c r="EM35" s="55">
        <f t="shared" si="111"/>
        <v>1433.9151412114149</v>
      </c>
      <c r="EN35" s="55">
        <f t="shared" si="111"/>
        <v>2177.5187038114145</v>
      </c>
      <c r="EP35" s="52"/>
      <c r="EQ35" s="52"/>
      <c r="ER35" s="52"/>
      <c r="ES35" s="55">
        <f t="shared" si="112"/>
        <v>5031.9616999999998</v>
      </c>
      <c r="ET35" s="55">
        <f t="shared" si="112"/>
        <v>3045.1732000000002</v>
      </c>
      <c r="EU35" s="55">
        <f t="shared" si="112"/>
        <v>1039.9107072000002</v>
      </c>
      <c r="EV35" s="55">
        <f t="shared" si="112"/>
        <v>1931.1684471000003</v>
      </c>
      <c r="EW35" s="298">
        <f t="shared" si="113"/>
        <v>0.622988443587837</v>
      </c>
      <c r="EX35" s="52"/>
      <c r="EY35" s="55">
        <f t="shared" si="114"/>
        <v>1193.0810665788113</v>
      </c>
      <c r="EZ35" s="55">
        <f t="shared" si="114"/>
        <v>1852.5439519788113</v>
      </c>
      <c r="FA35" s="55">
        <f t="shared" si="114"/>
        <v>1076.7847200840251</v>
      </c>
      <c r="FB35" s="55">
        <f t="shared" si="114"/>
        <v>1736.2476054840254</v>
      </c>
      <c r="FD35" s="52"/>
      <c r="FE35" s="52"/>
      <c r="FF35" s="52"/>
      <c r="FG35" s="55">
        <f t="shared" si="115"/>
        <v>5112.7708999999995</v>
      </c>
      <c r="FH35" s="55">
        <f t="shared" si="115"/>
        <v>3162.3374999999996</v>
      </c>
      <c r="FI35" s="55">
        <f t="shared" si="115"/>
        <v>728.85897299999999</v>
      </c>
      <c r="FJ35" s="55">
        <f t="shared" si="115"/>
        <v>1287.6647743999999</v>
      </c>
      <c r="FK35" s="298">
        <f t="shared" si="116"/>
        <v>0.61784941693331774</v>
      </c>
      <c r="FL35" s="52"/>
      <c r="FM35" s="55">
        <f t="shared" si="117"/>
        <v>854.41152361195407</v>
      </c>
      <c r="FN35" s="55">
        <f t="shared" si="117"/>
        <v>1222.3881136119542</v>
      </c>
      <c r="FO35" s="55">
        <f t="shared" si="117"/>
        <v>753.37657810375322</v>
      </c>
      <c r="FP35" s="55">
        <f t="shared" si="117"/>
        <v>1121.3531681037532</v>
      </c>
      <c r="FR35" s="52"/>
      <c r="FS35" s="52"/>
      <c r="FT35" s="52"/>
      <c r="FU35" s="55">
        <f t="shared" si="118"/>
        <v>4240.1666999999998</v>
      </c>
      <c r="FV35" s="55">
        <f t="shared" si="118"/>
        <v>2609.1516000000001</v>
      </c>
      <c r="FW35" s="55">
        <f t="shared" si="118"/>
        <v>210.56026080000001</v>
      </c>
      <c r="FX35" s="55">
        <f t="shared" si="118"/>
        <v>284.97048840000002</v>
      </c>
      <c r="FY35" s="298">
        <f t="shared" si="119"/>
        <v>0.61906404612558297</v>
      </c>
      <c r="FZ35" s="52"/>
      <c r="GA35" s="55">
        <f t="shared" si="120"/>
        <v>210.73438285892271</v>
      </c>
      <c r="GB35" s="55">
        <f t="shared" si="120"/>
        <v>284.84385445892269</v>
      </c>
      <c r="GC35" s="55">
        <f t="shared" si="120"/>
        <v>210.61304747007708</v>
      </c>
      <c r="GD35" s="55">
        <f t="shared" si="120"/>
        <v>284.72251907007706</v>
      </c>
      <c r="GF35" s="52"/>
      <c r="GG35" s="52"/>
      <c r="GH35" s="52"/>
      <c r="GI35" s="55">
        <f t="shared" si="191"/>
        <v>2671.9767000000002</v>
      </c>
      <c r="GJ35" s="55">
        <f t="shared" si="191"/>
        <v>1854.5916999999999</v>
      </c>
      <c r="GK35" s="56">
        <f t="shared" si="123"/>
        <v>204.07560750000002</v>
      </c>
      <c r="GL35" s="56">
        <f t="shared" si="123"/>
        <v>320.04862650000001</v>
      </c>
      <c r="GM35" s="298">
        <f t="shared" si="124"/>
        <v>0.59028749018793136</v>
      </c>
      <c r="GN35" s="52"/>
      <c r="GO35" s="56">
        <f t="shared" si="125"/>
        <v>212.8048074381785</v>
      </c>
      <c r="GP35" s="56">
        <f t="shared" si="125"/>
        <v>314.58705618817856</v>
      </c>
      <c r="GQ35" s="56">
        <f t="shared" si="125"/>
        <v>209.37525347259955</v>
      </c>
      <c r="GR35" s="56">
        <f t="shared" si="125"/>
        <v>311.15750222259959</v>
      </c>
      <c r="GW35" s="275">
        <v>0.68389999999999995</v>
      </c>
      <c r="GX35" s="275">
        <v>0.82079999999999997</v>
      </c>
      <c r="GY35" s="275">
        <v>0.48580000000000001</v>
      </c>
      <c r="GZ35" s="275">
        <v>106.3575</v>
      </c>
      <c r="HA35" s="275">
        <v>62.055799999999998</v>
      </c>
      <c r="HB35" s="49">
        <f t="shared" si="126"/>
        <v>449.17868099999993</v>
      </c>
      <c r="HC35" s="49">
        <f t="shared" si="127"/>
        <v>1114.490448</v>
      </c>
      <c r="HD35" s="47">
        <f t="shared" si="128"/>
        <v>118.20485599999999</v>
      </c>
      <c r="HE35" s="47">
        <f t="shared" si="181"/>
        <v>43.555330267649879</v>
      </c>
      <c r="HF35" s="48">
        <f t="shared" si="182"/>
        <v>492.73401126764981</v>
      </c>
      <c r="HG35" s="48">
        <f t="shared" si="183"/>
        <v>1039.8409222676501</v>
      </c>
      <c r="HH35" s="93">
        <f t="shared" si="184"/>
        <v>464.00407454956985</v>
      </c>
      <c r="HI35" s="93">
        <f t="shared" si="185"/>
        <v>1011.1109855495699</v>
      </c>
      <c r="HJ35" s="298">
        <f t="shared" si="129"/>
        <v>0.63152672621461614</v>
      </c>
      <c r="HL35" s="275">
        <v>0.40939999999999999</v>
      </c>
      <c r="HM35" s="275">
        <v>0.6492</v>
      </c>
      <c r="HN35" s="275">
        <v>0.76849999999999996</v>
      </c>
      <c r="HO35" s="275">
        <v>7</v>
      </c>
      <c r="HP35" s="275">
        <v>5.25</v>
      </c>
      <c r="HQ35" s="49">
        <f t="shared" si="130"/>
        <v>217.65750999999997</v>
      </c>
      <c r="HR35" s="49">
        <f t="shared" si="131"/>
        <v>503.47407599999997</v>
      </c>
      <c r="HS35" s="47">
        <f t="shared" si="132"/>
        <v>99.743614999999991</v>
      </c>
      <c r="HT35" s="47">
        <f t="shared" si="186"/>
        <v>42.747263571428569</v>
      </c>
      <c r="HU35" s="48">
        <f t="shared" si="187"/>
        <v>260.40477357142856</v>
      </c>
      <c r="HV35" s="48">
        <f t="shared" si="188"/>
        <v>446.47772457142855</v>
      </c>
      <c r="HW35" s="93">
        <f t="shared" si="189"/>
        <v>220.6625585267029</v>
      </c>
      <c r="HX35" s="93">
        <f t="shared" si="190"/>
        <v>406.73550952670291</v>
      </c>
      <c r="HY35" s="298">
        <f t="shared" si="133"/>
        <v>0.5714285714285714</v>
      </c>
    </row>
    <row r="36" spans="1:233" s="131" customFormat="1" x14ac:dyDescent="0.2">
      <c r="A36" s="118">
        <v>26</v>
      </c>
      <c r="B36" s="118"/>
      <c r="C36" s="275">
        <v>0.70909999999999995</v>
      </c>
      <c r="D36" s="275">
        <v>0.74890000000000001</v>
      </c>
      <c r="E36" s="275">
        <v>0.53959999999999997</v>
      </c>
      <c r="F36" s="275">
        <v>2460.1532999999999</v>
      </c>
      <c r="G36" s="275">
        <v>1780.68</v>
      </c>
      <c r="H36" s="49">
        <f t="shared" si="100"/>
        <v>701.33535499999994</v>
      </c>
      <c r="I36" s="49">
        <f t="shared" si="100"/>
        <v>1349.382998</v>
      </c>
      <c r="J36" s="47">
        <f t="shared" si="100"/>
        <v>146.14526399999997</v>
      </c>
      <c r="K36" s="47">
        <f t="shared" si="134"/>
        <v>61.364814481040774</v>
      </c>
      <c r="L36" s="48">
        <f t="shared" si="135"/>
        <v>762.70016948104069</v>
      </c>
      <c r="M36" s="48">
        <f t="shared" si="136"/>
        <v>1264.6025484810409</v>
      </c>
      <c r="N36" s="93">
        <f t="shared" si="137"/>
        <v>723.63174816561832</v>
      </c>
      <c r="O36" s="93">
        <f t="shared" si="138"/>
        <v>1225.5341271656184</v>
      </c>
      <c r="P36" s="298">
        <f t="shared" si="101"/>
        <v>0.58011082397414671</v>
      </c>
      <c r="Q36" s="275">
        <v>0.745</v>
      </c>
      <c r="R36" s="275">
        <v>0.85129999999999995</v>
      </c>
      <c r="S36" s="275">
        <v>0.51800000000000002</v>
      </c>
      <c r="T36" s="275">
        <v>218.54079999999999</v>
      </c>
      <c r="U36" s="275">
        <v>97.356700000000004</v>
      </c>
      <c r="V36" s="49">
        <f t="shared" si="102"/>
        <v>456.67755</v>
      </c>
      <c r="W36" s="49">
        <f t="shared" si="102"/>
        <v>988.06985799999995</v>
      </c>
      <c r="X36" s="47">
        <f t="shared" si="102"/>
        <v>112.03822</v>
      </c>
      <c r="Y36" s="47">
        <f t="shared" si="139"/>
        <v>76.623489693066645</v>
      </c>
      <c r="Z36" s="48">
        <f t="shared" si="140"/>
        <v>533.30103969306663</v>
      </c>
      <c r="AA36" s="48">
        <f t="shared" si="141"/>
        <v>952.65512769306656</v>
      </c>
      <c r="AB36" s="93">
        <f t="shared" si="142"/>
        <v>473.79550768304568</v>
      </c>
      <c r="AC36" s="93">
        <f t="shared" si="143"/>
        <v>893.14959568304562</v>
      </c>
      <c r="AD36" s="118"/>
      <c r="AE36" s="275">
        <v>0.6946</v>
      </c>
      <c r="AF36" s="275">
        <v>0.67769999999999997</v>
      </c>
      <c r="AG36" s="275">
        <v>0.75919999999999999</v>
      </c>
      <c r="AH36" s="275">
        <v>17.995799999999999</v>
      </c>
      <c r="AI36" s="275">
        <v>11.0108</v>
      </c>
      <c r="AJ36" s="49">
        <f t="shared" si="103"/>
        <v>325.67710199999999</v>
      </c>
      <c r="AK36" s="49">
        <f t="shared" si="103"/>
        <v>770.39580599999999</v>
      </c>
      <c r="AL36" s="47">
        <f t="shared" si="103"/>
        <v>151.786856</v>
      </c>
      <c r="AM36" s="47">
        <f t="shared" si="144"/>
        <v>106.68629469338724</v>
      </c>
      <c r="AN36" s="48">
        <f t="shared" si="145"/>
        <v>432.36339669338724</v>
      </c>
      <c r="AO36" s="48">
        <f t="shared" si="146"/>
        <v>725.2952446933873</v>
      </c>
      <c r="AP36" s="93">
        <f t="shared" si="147"/>
        <v>338.78378512682201</v>
      </c>
      <c r="AQ36" s="93">
        <f t="shared" si="148"/>
        <v>631.71563312682201</v>
      </c>
      <c r="AR36" s="118"/>
      <c r="AS36" s="275">
        <v>1.3468</v>
      </c>
      <c r="AT36" s="275">
        <v>1.1196999999999999</v>
      </c>
      <c r="AU36" s="275">
        <v>0.51549999999999996</v>
      </c>
      <c r="AV36" s="275">
        <v>1373.7891999999999</v>
      </c>
      <c r="AW36" s="275">
        <v>1062.3892000000001</v>
      </c>
      <c r="AX36" s="49">
        <f t="shared" si="104"/>
        <v>469.29246000000001</v>
      </c>
      <c r="AY36" s="49">
        <f t="shared" si="104"/>
        <v>783.64443899999992</v>
      </c>
      <c r="AZ36" s="47">
        <f t="shared" si="104"/>
        <v>135.81878499999999</v>
      </c>
      <c r="BA36" s="47">
        <f t="shared" si="149"/>
        <v>84.947323094989002</v>
      </c>
      <c r="BB36" s="48">
        <f t="shared" si="150"/>
        <v>554.23978309498898</v>
      </c>
      <c r="BC36" s="48">
        <f t="shared" si="151"/>
        <v>732.77297709498896</v>
      </c>
      <c r="BD36" s="93">
        <f t="shared" si="152"/>
        <v>487.72170557571945</v>
      </c>
      <c r="BE36" s="93">
        <f t="shared" si="153"/>
        <v>666.25489957571949</v>
      </c>
      <c r="BF36" s="118"/>
      <c r="BG36" s="275">
        <v>1.0462</v>
      </c>
      <c r="BH36" s="275">
        <v>1.2101999999999999</v>
      </c>
      <c r="BI36" s="275">
        <v>0.91830000000000001</v>
      </c>
      <c r="BJ36" s="275">
        <v>871.09079999999994</v>
      </c>
      <c r="BK36" s="275">
        <v>410.73829999999998</v>
      </c>
      <c r="BL36" s="49">
        <f t="shared" si="105"/>
        <v>353.84576400000003</v>
      </c>
      <c r="BM36" s="49">
        <f t="shared" si="105"/>
        <v>724.25629200000003</v>
      </c>
      <c r="BN36" s="47">
        <f t="shared" si="105"/>
        <v>211.62223499999999</v>
      </c>
      <c r="BO36" s="47">
        <f t="shared" si="154"/>
        <v>142.16533061305338</v>
      </c>
      <c r="BP36" s="48">
        <f t="shared" si="155"/>
        <v>496.01109461305339</v>
      </c>
      <c r="BQ36" s="48">
        <f t="shared" si="156"/>
        <v>654.79938761305334</v>
      </c>
      <c r="BR36" s="93">
        <f t="shared" si="157"/>
        <v>373.55130304207216</v>
      </c>
      <c r="BS36" s="93">
        <f t="shared" si="158"/>
        <v>532.33959604207212</v>
      </c>
      <c r="BT36" s="118"/>
      <c r="BU36" s="275">
        <v>0.86150000000000004</v>
      </c>
      <c r="BV36" s="275">
        <v>0.93159999999999998</v>
      </c>
      <c r="BW36" s="275">
        <v>1.0058</v>
      </c>
      <c r="BX36" s="275">
        <v>2022.9392</v>
      </c>
      <c r="BY36" s="275">
        <v>1062.2483</v>
      </c>
      <c r="BZ36" s="49">
        <f t="shared" si="106"/>
        <v>202.57310999999999</v>
      </c>
      <c r="CA36" s="49">
        <f t="shared" si="106"/>
        <v>334.93814799999996</v>
      </c>
      <c r="CB36" s="47">
        <f t="shared" si="106"/>
        <v>94.736301999999995</v>
      </c>
      <c r="CC36" s="47">
        <f t="shared" si="159"/>
        <v>59.032812928075806</v>
      </c>
      <c r="CD36" s="48">
        <f t="shared" si="160"/>
        <v>261.60592292807581</v>
      </c>
      <c r="CE36" s="48">
        <f t="shared" si="161"/>
        <v>299.23465892807576</v>
      </c>
      <c r="CF36" s="93">
        <f t="shared" si="162"/>
        <v>213.93616094558669</v>
      </c>
      <c r="CG36" s="93">
        <f t="shared" si="163"/>
        <v>251.56489694558667</v>
      </c>
      <c r="CH36" s="118"/>
      <c r="CI36" s="275">
        <v>0.77590000000000003</v>
      </c>
      <c r="CJ36" s="275">
        <v>0.76419999999999999</v>
      </c>
      <c r="CK36" s="275">
        <v>0.62419999999999998</v>
      </c>
      <c r="CL36" s="275">
        <v>4095.3217</v>
      </c>
      <c r="CM36" s="275">
        <v>2386.1374999999998</v>
      </c>
      <c r="CN36" s="49">
        <f t="shared" si="107"/>
        <v>160.14576000000002</v>
      </c>
      <c r="CO36" s="49">
        <f t="shared" si="107"/>
        <v>204.66804399999998</v>
      </c>
      <c r="CP36" s="47">
        <f t="shared" si="107"/>
        <v>0.26216400000000001</v>
      </c>
      <c r="CQ36" s="47">
        <f t="shared" si="164"/>
        <v>0.14707939364930389</v>
      </c>
      <c r="CR36" s="48">
        <f t="shared" si="165"/>
        <v>160.29283939364933</v>
      </c>
      <c r="CS36" s="48">
        <f t="shared" si="166"/>
        <v>204.55295939364927</v>
      </c>
      <c r="CT36" s="93">
        <f t="shared" si="167"/>
        <v>160.18038258071863</v>
      </c>
      <c r="CU36" s="93">
        <f t="shared" si="168"/>
        <v>204.44050258071857</v>
      </c>
      <c r="CV36" s="118"/>
      <c r="CW36" s="275">
        <v>0.35749999999999998</v>
      </c>
      <c r="CX36" s="275">
        <v>0.41060000000000002</v>
      </c>
      <c r="CY36" s="275">
        <v>0.54879999999999995</v>
      </c>
      <c r="CZ36" s="275">
        <v>1500.5891999999999</v>
      </c>
      <c r="DA36" s="275">
        <v>559.70579999999995</v>
      </c>
      <c r="DB36" s="49">
        <f t="shared" si="108"/>
        <v>74.213425000000001</v>
      </c>
      <c r="DC36" s="49">
        <f t="shared" si="108"/>
        <v>115.58800600000001</v>
      </c>
      <c r="DD36" s="47">
        <f t="shared" si="108"/>
        <v>0.15915199999999999</v>
      </c>
      <c r="DE36" s="47">
        <f t="shared" si="169"/>
        <v>9.6922674576210108E-2</v>
      </c>
      <c r="DF36" s="48">
        <f t="shared" si="170"/>
        <v>74.310347674576207</v>
      </c>
      <c r="DG36" s="48">
        <f t="shared" si="171"/>
        <v>115.52577667457621</v>
      </c>
      <c r="DH36" s="93">
        <f t="shared" si="172"/>
        <v>74.236130111698074</v>
      </c>
      <c r="DI36" s="93">
        <f t="shared" si="173"/>
        <v>115.45155911169807</v>
      </c>
      <c r="DJ36" s="118"/>
      <c r="DK36" s="275">
        <v>0.36399999999999999</v>
      </c>
      <c r="DL36" s="275">
        <v>0.28079999999999999</v>
      </c>
      <c r="DM36" s="275">
        <v>0.54290000000000005</v>
      </c>
      <c r="DN36" s="275">
        <v>557.82000000000005</v>
      </c>
      <c r="DO36" s="275">
        <v>225.08920000000001</v>
      </c>
      <c r="DP36" s="49">
        <f t="shared" si="109"/>
        <v>49.591360000000002</v>
      </c>
      <c r="DQ36" s="49">
        <f t="shared" si="109"/>
        <v>55.404648000000002</v>
      </c>
      <c r="DR36" s="47">
        <f t="shared" si="109"/>
        <v>0.11943800000000002</v>
      </c>
      <c r="DS36" s="47">
        <f t="shared" si="174"/>
        <v>6.3025447099131618E-2</v>
      </c>
      <c r="DT36" s="48">
        <f t="shared" si="175"/>
        <v>49.654385447099131</v>
      </c>
      <c r="DU36" s="48">
        <f t="shared" si="176"/>
        <v>55.348235447099128</v>
      </c>
      <c r="DV36" s="93">
        <f t="shared" si="177"/>
        <v>49.613440751043314</v>
      </c>
      <c r="DW36" s="93">
        <f t="shared" si="178"/>
        <v>55.307290751043311</v>
      </c>
      <c r="DX36" s="118"/>
      <c r="DY36" s="118"/>
      <c r="DZ36" s="118"/>
      <c r="EB36" s="52"/>
      <c r="EC36" s="52"/>
      <c r="ED36" s="52"/>
      <c r="EE36" s="55">
        <f t="shared" si="179"/>
        <v>9429.8534</v>
      </c>
      <c r="EF36" s="55">
        <f t="shared" si="179"/>
        <v>5788.9124999999995</v>
      </c>
      <c r="EG36" s="55">
        <f t="shared" si="179"/>
        <v>1390.144315</v>
      </c>
      <c r="EH36" s="55">
        <f t="shared" si="179"/>
        <v>2430.1658857999996</v>
      </c>
      <c r="EI36" s="298">
        <f t="shared" si="110"/>
        <v>0.61962010993282979</v>
      </c>
      <c r="EJ36" s="52"/>
      <c r="EK36" s="55">
        <f t="shared" si="180"/>
        <v>1536.6810701093398</v>
      </c>
      <c r="EL36" s="55">
        <f t="shared" si="180"/>
        <v>2294.3491063093402</v>
      </c>
      <c r="EM36" s="55">
        <f t="shared" si="111"/>
        <v>1430.9227404114147</v>
      </c>
      <c r="EN36" s="55">
        <f t="shared" si="111"/>
        <v>2188.5907766114146</v>
      </c>
      <c r="EP36" s="52"/>
      <c r="EQ36" s="52"/>
      <c r="ER36" s="52"/>
      <c r="ES36" s="55">
        <f t="shared" si="112"/>
        <v>6685.5424999999996</v>
      </c>
      <c r="ET36" s="55">
        <f t="shared" si="112"/>
        <v>3453.9382999999998</v>
      </c>
      <c r="EU36" s="55">
        <f t="shared" si="112"/>
        <v>1022.6184715000001</v>
      </c>
      <c r="EV36" s="55">
        <f t="shared" si="112"/>
        <v>1997.9057981999999</v>
      </c>
      <c r="EW36" s="298">
        <f t="shared" si="113"/>
        <v>0.65935747913246212</v>
      </c>
      <c r="EX36" s="52"/>
      <c r="EY36" s="55">
        <f t="shared" si="114"/>
        <v>1241.6222170719727</v>
      </c>
      <c r="EZ36" s="55">
        <f t="shared" si="114"/>
        <v>1892.8755183719725</v>
      </c>
      <c r="FA36" s="55">
        <f t="shared" si="114"/>
        <v>1059.4924843840251</v>
      </c>
      <c r="FB36" s="55">
        <f t="shared" si="114"/>
        <v>1710.7457856840251</v>
      </c>
      <c r="FD36" s="52"/>
      <c r="FE36" s="52"/>
      <c r="FF36" s="52"/>
      <c r="FG36" s="55">
        <f t="shared" si="115"/>
        <v>6694.0766999999996</v>
      </c>
      <c r="FH36" s="55">
        <f t="shared" si="115"/>
        <v>3684.4857999999999</v>
      </c>
      <c r="FI36" s="55">
        <f t="shared" si="115"/>
        <v>718.15078799999992</v>
      </c>
      <c r="FJ36" s="55">
        <f t="shared" si="115"/>
        <v>1343.2447867999999</v>
      </c>
      <c r="FK36" s="298">
        <f t="shared" si="116"/>
        <v>0.64499073932444884</v>
      </c>
      <c r="FL36" s="52"/>
      <c r="FM36" s="55">
        <f t="shared" si="117"/>
        <v>884.05479028337174</v>
      </c>
      <c r="FN36" s="55">
        <f t="shared" si="117"/>
        <v>1262.2918042833717</v>
      </c>
      <c r="FO36" s="55">
        <f t="shared" si="117"/>
        <v>742.66839310375326</v>
      </c>
      <c r="FP36" s="55">
        <f t="shared" si="117"/>
        <v>1120.9054071037533</v>
      </c>
      <c r="FR36" s="52"/>
      <c r="FS36" s="52"/>
      <c r="FT36" s="52"/>
      <c r="FU36" s="55">
        <f t="shared" si="118"/>
        <v>5595.9108999999999</v>
      </c>
      <c r="FV36" s="55">
        <f t="shared" si="118"/>
        <v>2945.8432999999995</v>
      </c>
      <c r="FW36" s="55">
        <f t="shared" si="118"/>
        <v>219.51650000000004</v>
      </c>
      <c r="FX36" s="55">
        <f t="shared" si="118"/>
        <v>297.13844879999999</v>
      </c>
      <c r="FY36" s="298">
        <f t="shared" si="119"/>
        <v>0.65512431860893405</v>
      </c>
      <c r="FZ36" s="52"/>
      <c r="GA36" s="55">
        <f t="shared" si="120"/>
        <v>219.7411175333103</v>
      </c>
      <c r="GB36" s="55">
        <f t="shared" si="120"/>
        <v>296.97358073331026</v>
      </c>
      <c r="GC36" s="55">
        <f t="shared" si="120"/>
        <v>219.56928667007708</v>
      </c>
      <c r="GD36" s="55">
        <f t="shared" si="120"/>
        <v>296.80174987007706</v>
      </c>
      <c r="GF36" s="52"/>
      <c r="GG36" s="52"/>
      <c r="GH36" s="52"/>
      <c r="GI36" s="55">
        <f t="shared" si="191"/>
        <v>3396.7284</v>
      </c>
      <c r="GJ36" s="55">
        <f t="shared" si="191"/>
        <v>2124.6374999999998</v>
      </c>
      <c r="GK36" s="56">
        <f t="shared" si="123"/>
        <v>200.0395125</v>
      </c>
      <c r="GL36" s="56">
        <f t="shared" si="123"/>
        <v>336.52971824999997</v>
      </c>
      <c r="GM36" s="298">
        <f t="shared" si="124"/>
        <v>0.61519711997351967</v>
      </c>
      <c r="GN36" s="52"/>
      <c r="GO36" s="56">
        <f t="shared" si="125"/>
        <v>219.47539512518489</v>
      </c>
      <c r="GP36" s="56">
        <f t="shared" si="125"/>
        <v>325.15373862518493</v>
      </c>
      <c r="GQ36" s="56">
        <f t="shared" si="125"/>
        <v>205.33915847259959</v>
      </c>
      <c r="GR36" s="56">
        <f t="shared" si="125"/>
        <v>311.01750197259963</v>
      </c>
      <c r="GW36" s="275">
        <v>0.68210000000000004</v>
      </c>
      <c r="GX36" s="275">
        <v>0.86609999999999998</v>
      </c>
      <c r="GY36" s="275">
        <v>0.68969999999999998</v>
      </c>
      <c r="GZ36" s="275">
        <v>110.69580000000001</v>
      </c>
      <c r="HA36" s="275">
        <v>57.278300000000002</v>
      </c>
      <c r="HB36" s="49">
        <f t="shared" si="126"/>
        <v>447.99645900000002</v>
      </c>
      <c r="HC36" s="49">
        <f t="shared" si="127"/>
        <v>1175.999241</v>
      </c>
      <c r="HD36" s="47">
        <f t="shared" si="128"/>
        <v>167.817804</v>
      </c>
      <c r="HE36" s="47">
        <f t="shared" si="181"/>
        <v>57.225003871746885</v>
      </c>
      <c r="HF36" s="48">
        <f t="shared" si="182"/>
        <v>505.22146287174689</v>
      </c>
      <c r="HG36" s="48">
        <f t="shared" si="183"/>
        <v>1065.4064408717468</v>
      </c>
      <c r="HH36" s="93">
        <f t="shared" si="184"/>
        <v>462.82185254956994</v>
      </c>
      <c r="HI36" s="93">
        <f t="shared" si="185"/>
        <v>1023.0068305495698</v>
      </c>
      <c r="HJ36" s="298">
        <f t="shared" si="129"/>
        <v>0.65900516805864706</v>
      </c>
      <c r="HL36" s="275">
        <v>0.44429999999999997</v>
      </c>
      <c r="HM36" s="275">
        <v>0.68049999999999999</v>
      </c>
      <c r="HN36" s="275">
        <v>0.85860000000000003</v>
      </c>
      <c r="HO36" s="275">
        <v>5.9166999999999996</v>
      </c>
      <c r="HP36" s="275">
        <v>1</v>
      </c>
      <c r="HQ36" s="49">
        <f t="shared" si="130"/>
        <v>236.21209499999998</v>
      </c>
      <c r="HR36" s="49">
        <f t="shared" si="131"/>
        <v>527.74816499999997</v>
      </c>
      <c r="HS36" s="47">
        <f t="shared" si="132"/>
        <v>111.43769399999999</v>
      </c>
      <c r="HT36" s="47">
        <f t="shared" si="186"/>
        <v>16.111396186042477</v>
      </c>
      <c r="HU36" s="48">
        <f t="shared" si="187"/>
        <v>252.32349118604245</v>
      </c>
      <c r="HV36" s="48">
        <f t="shared" si="188"/>
        <v>432.4218671860425</v>
      </c>
      <c r="HW36" s="93">
        <f t="shared" si="189"/>
        <v>239.2171435267029</v>
      </c>
      <c r="HX36" s="93">
        <f t="shared" si="190"/>
        <v>419.31551952670293</v>
      </c>
      <c r="HY36" s="298">
        <f t="shared" si="133"/>
        <v>0.85</v>
      </c>
    </row>
    <row r="37" spans="1:233" s="131" customFormat="1" x14ac:dyDescent="0.2">
      <c r="A37" s="118">
        <v>27</v>
      </c>
      <c r="B37" s="118"/>
      <c r="C37" s="275">
        <v>0.71220000000000006</v>
      </c>
      <c r="D37" s="275">
        <v>0.78110000000000002</v>
      </c>
      <c r="E37" s="275">
        <v>0.71730000000000005</v>
      </c>
      <c r="F37" s="275">
        <v>3096.8757999999998</v>
      </c>
      <c r="G37" s="275">
        <v>1696.085</v>
      </c>
      <c r="H37" s="49">
        <f t="shared" si="100"/>
        <v>704.40141000000006</v>
      </c>
      <c r="I37" s="49">
        <f t="shared" si="100"/>
        <v>1407.4016019999999</v>
      </c>
      <c r="J37" s="47">
        <f t="shared" si="100"/>
        <v>194.27353199999999</v>
      </c>
      <c r="K37" s="47">
        <f t="shared" si="134"/>
        <v>68.747573216584627</v>
      </c>
      <c r="L37" s="48">
        <f t="shared" si="135"/>
        <v>773.14898321658472</v>
      </c>
      <c r="M37" s="48">
        <f t="shared" si="136"/>
        <v>1281.8756432165846</v>
      </c>
      <c r="N37" s="93">
        <f t="shared" si="137"/>
        <v>726.69780316561855</v>
      </c>
      <c r="O37" s="93">
        <f t="shared" si="138"/>
        <v>1235.4244631656184</v>
      </c>
      <c r="P37" s="298">
        <f t="shared" si="101"/>
        <v>0.64613000799005071</v>
      </c>
      <c r="Q37" s="275">
        <v>0.71699999999999997</v>
      </c>
      <c r="R37" s="275">
        <v>0.87019999999999997</v>
      </c>
      <c r="S37" s="275">
        <v>0.77780000000000005</v>
      </c>
      <c r="T37" s="275">
        <v>323.96080000000001</v>
      </c>
      <c r="U37" s="275">
        <v>156.64420000000001</v>
      </c>
      <c r="V37" s="49">
        <f t="shared" si="102"/>
        <v>439.51382999999998</v>
      </c>
      <c r="W37" s="49">
        <f t="shared" si="102"/>
        <v>1010.006332</v>
      </c>
      <c r="X37" s="47">
        <f t="shared" si="102"/>
        <v>168.23036200000001</v>
      </c>
      <c r="Y37" s="47">
        <f t="shared" si="139"/>
        <v>117.22067433695497</v>
      </c>
      <c r="Z37" s="48">
        <f t="shared" si="140"/>
        <v>556.73450433695496</v>
      </c>
      <c r="AA37" s="48">
        <f t="shared" si="141"/>
        <v>958.996644336955</v>
      </c>
      <c r="AB37" s="93">
        <f t="shared" si="142"/>
        <v>456.63178768304567</v>
      </c>
      <c r="AC37" s="93">
        <f t="shared" si="143"/>
        <v>858.89392768304572</v>
      </c>
      <c r="AD37" s="118"/>
      <c r="AE37" s="275">
        <v>0.68289999999999995</v>
      </c>
      <c r="AF37" s="275">
        <v>0.71340000000000003</v>
      </c>
      <c r="AG37" s="275">
        <v>0.93420000000000003</v>
      </c>
      <c r="AH37" s="275">
        <v>31.76</v>
      </c>
      <c r="AI37" s="275">
        <v>12.1233</v>
      </c>
      <c r="AJ37" s="49">
        <f t="shared" si="103"/>
        <v>320.19132299999995</v>
      </c>
      <c r="AK37" s="49">
        <f t="shared" si="103"/>
        <v>810.97885200000007</v>
      </c>
      <c r="AL37" s="47">
        <f t="shared" si="103"/>
        <v>186.77460600000001</v>
      </c>
      <c r="AM37" s="47">
        <f t="shared" si="144"/>
        <v>133.90580737034756</v>
      </c>
      <c r="AN37" s="48">
        <f t="shared" si="145"/>
        <v>454.09713037034749</v>
      </c>
      <c r="AO37" s="48">
        <f t="shared" si="146"/>
        <v>758.1100533703476</v>
      </c>
      <c r="AP37" s="93">
        <f t="shared" si="147"/>
        <v>333.29800612682197</v>
      </c>
      <c r="AQ37" s="93">
        <f t="shared" si="148"/>
        <v>637.31092912682197</v>
      </c>
      <c r="AR37" s="118"/>
      <c r="AS37" s="275">
        <v>1.2905</v>
      </c>
      <c r="AT37" s="275">
        <v>1.1594</v>
      </c>
      <c r="AU37" s="275">
        <v>0.74409999999999998</v>
      </c>
      <c r="AV37" s="275">
        <v>1701.1475</v>
      </c>
      <c r="AW37" s="275">
        <v>980.19579999999996</v>
      </c>
      <c r="AX37" s="49">
        <f t="shared" si="104"/>
        <v>449.67472499999997</v>
      </c>
      <c r="AY37" s="49">
        <f t="shared" si="104"/>
        <v>811.42927799999995</v>
      </c>
      <c r="AZ37" s="47">
        <f t="shared" si="104"/>
        <v>196.04802700000002</v>
      </c>
      <c r="BA37" s="47">
        <f t="shared" si="149"/>
        <v>126.14273574860304</v>
      </c>
      <c r="BB37" s="48">
        <f t="shared" si="150"/>
        <v>575.81746074860303</v>
      </c>
      <c r="BC37" s="48">
        <f t="shared" si="151"/>
        <v>741.52398674860297</v>
      </c>
      <c r="BD37" s="93">
        <f t="shared" si="152"/>
        <v>468.10397057571942</v>
      </c>
      <c r="BE37" s="93">
        <f t="shared" si="153"/>
        <v>633.8104965757193</v>
      </c>
      <c r="BF37" s="118"/>
      <c r="BG37" s="275">
        <v>1.0187999999999999</v>
      </c>
      <c r="BH37" s="275">
        <v>1.2616000000000001</v>
      </c>
      <c r="BI37" s="275">
        <v>1.1527000000000001</v>
      </c>
      <c r="BJ37" s="275">
        <v>1214.1624999999999</v>
      </c>
      <c r="BK37" s="275">
        <v>461.85079999999999</v>
      </c>
      <c r="BL37" s="49">
        <f t="shared" si="105"/>
        <v>344.57853599999999</v>
      </c>
      <c r="BM37" s="49">
        <f t="shared" si="105"/>
        <v>755.01713600000005</v>
      </c>
      <c r="BN37" s="47">
        <f t="shared" si="105"/>
        <v>265.63971500000002</v>
      </c>
      <c r="BO37" s="47">
        <f t="shared" si="154"/>
        <v>182.39662262617225</v>
      </c>
      <c r="BP37" s="48">
        <f t="shared" si="155"/>
        <v>526.97515862617229</v>
      </c>
      <c r="BQ37" s="48">
        <f t="shared" si="156"/>
        <v>671.77404362617222</v>
      </c>
      <c r="BR37" s="93">
        <f t="shared" si="157"/>
        <v>364.28407504207212</v>
      </c>
      <c r="BS37" s="93">
        <f t="shared" si="158"/>
        <v>509.08296004207216</v>
      </c>
      <c r="BT37" s="118"/>
      <c r="BU37" s="275">
        <v>0.86870000000000003</v>
      </c>
      <c r="BV37" s="275">
        <v>0.96579999999999999</v>
      </c>
      <c r="BW37" s="275">
        <v>1.3008</v>
      </c>
      <c r="BX37" s="275">
        <v>2536.7366999999999</v>
      </c>
      <c r="BY37" s="275">
        <v>1181.9058</v>
      </c>
      <c r="BZ37" s="49">
        <f t="shared" si="106"/>
        <v>204.26611800000001</v>
      </c>
      <c r="CA37" s="49">
        <f t="shared" si="106"/>
        <v>347.23407399999996</v>
      </c>
      <c r="CB37" s="47">
        <f t="shared" si="106"/>
        <v>122.522352</v>
      </c>
      <c r="CC37" s="47">
        <f t="shared" si="159"/>
        <v>77.142195158151537</v>
      </c>
      <c r="CD37" s="48">
        <f t="shared" si="160"/>
        <v>281.40831315815154</v>
      </c>
      <c r="CE37" s="48">
        <f t="shared" si="161"/>
        <v>301.85391715815149</v>
      </c>
      <c r="CF37" s="93">
        <f t="shared" si="162"/>
        <v>215.62916894558671</v>
      </c>
      <c r="CG37" s="93">
        <f t="shared" si="163"/>
        <v>236.07477294558666</v>
      </c>
      <c r="CH37" s="118"/>
      <c r="CI37" s="275">
        <v>0.78710000000000002</v>
      </c>
      <c r="CJ37" s="275">
        <v>0.77459999999999996</v>
      </c>
      <c r="CK37" s="275">
        <v>0.80049999999999999</v>
      </c>
      <c r="CL37" s="275">
        <v>5260.5833000000002</v>
      </c>
      <c r="CM37" s="275">
        <v>2482.0108</v>
      </c>
      <c r="CN37" s="49">
        <f t="shared" si="107"/>
        <v>162.45744000000002</v>
      </c>
      <c r="CO37" s="49">
        <f t="shared" si="107"/>
        <v>207.45337199999997</v>
      </c>
      <c r="CP37" s="47">
        <f t="shared" si="107"/>
        <v>0.33621000000000001</v>
      </c>
      <c r="CQ37" s="47">
        <f t="shared" si="164"/>
        <v>0.18855328348748021</v>
      </c>
      <c r="CR37" s="48">
        <f t="shared" si="165"/>
        <v>162.64599328348751</v>
      </c>
      <c r="CS37" s="48">
        <f t="shared" si="166"/>
        <v>207.30571528348747</v>
      </c>
      <c r="CT37" s="93">
        <f t="shared" si="167"/>
        <v>162.49206258071862</v>
      </c>
      <c r="CU37" s="93">
        <f t="shared" si="168"/>
        <v>207.15178458071858</v>
      </c>
      <c r="CV37" s="118"/>
      <c r="CW37" s="275">
        <v>0.4037</v>
      </c>
      <c r="CX37" s="275">
        <v>0.45839999999999997</v>
      </c>
      <c r="CY37" s="275">
        <v>0.66220000000000001</v>
      </c>
      <c r="CZ37" s="275">
        <v>1879.6483000000001</v>
      </c>
      <c r="DA37" s="275">
        <v>629.53750000000002</v>
      </c>
      <c r="DB37" s="49">
        <f t="shared" si="108"/>
        <v>83.804083000000006</v>
      </c>
      <c r="DC37" s="49">
        <f t="shared" si="108"/>
        <v>129.044184</v>
      </c>
      <c r="DD37" s="47">
        <f t="shared" si="108"/>
        <v>0.19203799999999999</v>
      </c>
      <c r="DE37" s="47">
        <f t="shared" si="169"/>
        <v>0.11642747839235165</v>
      </c>
      <c r="DF37" s="48">
        <f t="shared" si="170"/>
        <v>83.920510478392359</v>
      </c>
      <c r="DG37" s="48">
        <f t="shared" si="171"/>
        <v>128.96857347839236</v>
      </c>
      <c r="DH37" s="93">
        <f t="shared" si="172"/>
        <v>83.826788111698079</v>
      </c>
      <c r="DI37" s="93">
        <f t="shared" si="173"/>
        <v>128.87485111169806</v>
      </c>
      <c r="DJ37" s="118"/>
      <c r="DK37" s="275">
        <v>0.39860000000000001</v>
      </c>
      <c r="DL37" s="275">
        <v>0.35859999999999997</v>
      </c>
      <c r="DM37" s="275">
        <v>0.63249999999999995</v>
      </c>
      <c r="DN37" s="275">
        <v>728.54250000000002</v>
      </c>
      <c r="DO37" s="275">
        <v>271.23329999999999</v>
      </c>
      <c r="DP37" s="49">
        <f t="shared" si="109"/>
        <v>54.305264000000008</v>
      </c>
      <c r="DQ37" s="49">
        <f t="shared" si="109"/>
        <v>70.755365999999995</v>
      </c>
      <c r="DR37" s="47">
        <f t="shared" si="109"/>
        <v>0.13915</v>
      </c>
      <c r="DS37" s="47">
        <f t="shared" si="174"/>
        <v>7.872668783853079E-2</v>
      </c>
      <c r="DT37" s="48">
        <f t="shared" si="175"/>
        <v>54.383990687838541</v>
      </c>
      <c r="DU37" s="48">
        <f t="shared" si="176"/>
        <v>70.69494268783852</v>
      </c>
      <c r="DV37" s="93">
        <f t="shared" si="177"/>
        <v>54.32734475104332</v>
      </c>
      <c r="DW37" s="93">
        <f t="shared" si="178"/>
        <v>70.638296751043299</v>
      </c>
      <c r="DX37" s="118"/>
      <c r="DY37" s="118"/>
      <c r="DZ37" s="118"/>
      <c r="EB37" s="52"/>
      <c r="EC37" s="52"/>
      <c r="ED37" s="52"/>
      <c r="EE37" s="55">
        <f t="shared" si="179"/>
        <v>11938.2549</v>
      </c>
      <c r="EF37" s="55">
        <f t="shared" si="179"/>
        <v>5787.8291000000008</v>
      </c>
      <c r="EG37" s="55">
        <f t="shared" si="179"/>
        <v>1383.5768413999999</v>
      </c>
      <c r="EH37" s="55">
        <f t="shared" si="179"/>
        <v>2529.5195991999999</v>
      </c>
      <c r="EI37" s="298">
        <f t="shared" si="110"/>
        <v>0.67348518149863212</v>
      </c>
      <c r="EJ37" s="52"/>
      <c r="EK37" s="55">
        <f t="shared" si="180"/>
        <v>1578.7488456313893</v>
      </c>
      <c r="EL37" s="55">
        <f t="shared" si="180"/>
        <v>2333.880204031389</v>
      </c>
      <c r="EM37" s="55">
        <f t="shared" si="111"/>
        <v>1424.3552668114148</v>
      </c>
      <c r="EN37" s="55">
        <f t="shared" si="111"/>
        <v>2179.4866252114143</v>
      </c>
      <c r="EP37" s="52"/>
      <c r="EQ37" s="52"/>
      <c r="ER37" s="52"/>
      <c r="ES37" s="55">
        <f t="shared" si="112"/>
        <v>8678.3549000000003</v>
      </c>
      <c r="ET37" s="55">
        <f t="shared" si="112"/>
        <v>3730.0432999999998</v>
      </c>
      <c r="EU37" s="55">
        <f t="shared" si="112"/>
        <v>1005.2126641</v>
      </c>
      <c r="EV37" s="55">
        <f t="shared" si="112"/>
        <v>2062.8077687999998</v>
      </c>
      <c r="EW37" s="298">
        <f t="shared" si="113"/>
        <v>0.69939364937530779</v>
      </c>
      <c r="EX37" s="52"/>
      <c r="EY37" s="55">
        <f t="shared" si="114"/>
        <v>1305.1000135814895</v>
      </c>
      <c r="EZ37" s="55">
        <f t="shared" si="114"/>
        <v>1928.3544046814893</v>
      </c>
      <c r="FA37" s="55">
        <f t="shared" si="114"/>
        <v>1042.0866769840252</v>
      </c>
      <c r="FB37" s="55">
        <f t="shared" si="114"/>
        <v>1665.3410680840252</v>
      </c>
      <c r="FD37" s="52"/>
      <c r="FE37" s="52"/>
      <c r="FF37" s="52"/>
      <c r="FG37" s="55">
        <f t="shared" si="115"/>
        <v>8557.6224999999995</v>
      </c>
      <c r="FH37" s="55">
        <f t="shared" si="115"/>
        <v>3947.2731999999996</v>
      </c>
      <c r="FI37" s="55">
        <f t="shared" si="115"/>
        <v>719.49803940000004</v>
      </c>
      <c r="FJ37" s="55">
        <f t="shared" si="115"/>
        <v>1408.1195176000001</v>
      </c>
      <c r="FK37" s="298">
        <f t="shared" si="116"/>
        <v>0.68434177343838221</v>
      </c>
      <c r="FL37" s="52"/>
      <c r="FM37" s="55">
        <f t="shared" si="117"/>
        <v>930.78183122468965</v>
      </c>
      <c r="FN37" s="55">
        <f t="shared" si="117"/>
        <v>1309.6866514246894</v>
      </c>
      <c r="FO37" s="55">
        <f t="shared" si="117"/>
        <v>744.01564450375326</v>
      </c>
      <c r="FP37" s="55">
        <f t="shared" si="117"/>
        <v>1122.9204647037532</v>
      </c>
      <c r="FR37" s="52"/>
      <c r="FS37" s="52"/>
      <c r="FT37" s="52"/>
      <c r="FU37" s="55">
        <f t="shared" si="118"/>
        <v>7140.2316000000001</v>
      </c>
      <c r="FV37" s="55">
        <f t="shared" si="118"/>
        <v>3111.5482999999999</v>
      </c>
      <c r="FW37" s="55">
        <f t="shared" si="118"/>
        <v>229.50070640000001</v>
      </c>
      <c r="FX37" s="55">
        <f t="shared" si="118"/>
        <v>310.68871919999998</v>
      </c>
      <c r="FY37" s="298">
        <f t="shared" si="119"/>
        <v>0.69648701685450742</v>
      </c>
      <c r="FZ37" s="52"/>
      <c r="GA37" s="55">
        <f t="shared" si="120"/>
        <v>229.78240166620139</v>
      </c>
      <c r="GB37" s="55">
        <f t="shared" si="120"/>
        <v>310.48057406620137</v>
      </c>
      <c r="GC37" s="55">
        <f t="shared" si="120"/>
        <v>229.55349307007708</v>
      </c>
      <c r="GD37" s="55">
        <f t="shared" si="120"/>
        <v>310.25166547007706</v>
      </c>
      <c r="GF37" s="52"/>
      <c r="GG37" s="52"/>
      <c r="GH37" s="52"/>
      <c r="GI37" s="55">
        <f t="shared" si="191"/>
        <v>4237.8842000000004</v>
      </c>
      <c r="GJ37" s="55">
        <f t="shared" si="191"/>
        <v>2162.1016</v>
      </c>
      <c r="GK37" s="56">
        <f t="shared" si="123"/>
        <v>184.05645524999997</v>
      </c>
      <c r="GL37" s="56">
        <f t="shared" si="123"/>
        <v>348.14640299999996</v>
      </c>
      <c r="GM37" s="298">
        <f t="shared" si="124"/>
        <v>0.66217087544162989</v>
      </c>
      <c r="GN37" s="52"/>
      <c r="GO37" s="56">
        <f t="shared" si="125"/>
        <v>220.8068606928386</v>
      </c>
      <c r="GP37" s="56">
        <f t="shared" si="125"/>
        <v>329.75255219283861</v>
      </c>
      <c r="GQ37" s="56">
        <f t="shared" si="125"/>
        <v>189.35610122259953</v>
      </c>
      <c r="GR37" s="56">
        <f t="shared" si="125"/>
        <v>298.30179272259943</v>
      </c>
      <c r="GW37" s="275">
        <v>0.68230000000000002</v>
      </c>
      <c r="GX37" s="275">
        <v>0.91039999999999999</v>
      </c>
      <c r="GY37" s="275">
        <v>0.9214</v>
      </c>
      <c r="GZ37" s="275">
        <v>152.98079999999999</v>
      </c>
      <c r="HA37" s="275">
        <v>57.364199999999997</v>
      </c>
      <c r="HB37" s="49">
        <f t="shared" si="126"/>
        <v>448.12781699999999</v>
      </c>
      <c r="HC37" s="49">
        <f t="shared" si="127"/>
        <v>1236.150224</v>
      </c>
      <c r="HD37" s="47">
        <f t="shared" si="128"/>
        <v>224.19504799999999</v>
      </c>
      <c r="HE37" s="47">
        <f t="shared" si="181"/>
        <v>61.141313425475289</v>
      </c>
      <c r="HF37" s="48">
        <f t="shared" si="182"/>
        <v>509.26913042547528</v>
      </c>
      <c r="HG37" s="48">
        <f t="shared" si="183"/>
        <v>1073.0964894254753</v>
      </c>
      <c r="HH37" s="93">
        <f t="shared" si="184"/>
        <v>462.95321054956992</v>
      </c>
      <c r="HI37" s="93">
        <f t="shared" si="185"/>
        <v>1026.7805695495699</v>
      </c>
      <c r="HJ37" s="298">
        <f t="shared" si="129"/>
        <v>0.72728517435641449</v>
      </c>
      <c r="HL37" s="275">
        <v>0.47970000000000002</v>
      </c>
      <c r="HM37" s="275">
        <v>0.71140000000000003</v>
      </c>
      <c r="HN37" s="275">
        <v>0.94059999999999999</v>
      </c>
      <c r="HO37" s="275">
        <v>5</v>
      </c>
      <c r="HP37" s="275">
        <v>2</v>
      </c>
      <c r="HQ37" s="49">
        <f t="shared" si="130"/>
        <v>255.03250499999999</v>
      </c>
      <c r="HR37" s="49">
        <f t="shared" si="131"/>
        <v>551.712042</v>
      </c>
      <c r="HS37" s="47">
        <f t="shared" si="132"/>
        <v>122.080474</v>
      </c>
      <c r="HT37" s="47">
        <f t="shared" si="186"/>
        <v>34.880135428571428</v>
      </c>
      <c r="HU37" s="48">
        <f t="shared" si="187"/>
        <v>289.91264042857142</v>
      </c>
      <c r="HV37" s="48">
        <f t="shared" si="188"/>
        <v>464.51170342857142</v>
      </c>
      <c r="HW37" s="93">
        <f t="shared" si="189"/>
        <v>258.03755352670294</v>
      </c>
      <c r="HX37" s="93">
        <f t="shared" si="190"/>
        <v>432.63661652670294</v>
      </c>
      <c r="HY37" s="298">
        <f t="shared" si="133"/>
        <v>0.7142857142857143</v>
      </c>
    </row>
    <row r="38" spans="1:233" s="131" customFormat="1" x14ac:dyDescent="0.2">
      <c r="A38" s="118">
        <v>28</v>
      </c>
      <c r="B38" s="118"/>
      <c r="C38" s="275">
        <v>0.71730000000000005</v>
      </c>
      <c r="D38" s="275">
        <v>0.81379999999999997</v>
      </c>
      <c r="E38" s="275">
        <v>0.91749999999999998</v>
      </c>
      <c r="F38" s="275">
        <v>3645.9567000000002</v>
      </c>
      <c r="G38" s="275">
        <v>1606.2533000000001</v>
      </c>
      <c r="H38" s="49">
        <f t="shared" si="100"/>
        <v>709.44556499999999</v>
      </c>
      <c r="I38" s="49">
        <f t="shared" si="100"/>
        <v>1466.3211159999998</v>
      </c>
      <c r="J38" s="47">
        <f t="shared" si="100"/>
        <v>248.49569999999997</v>
      </c>
      <c r="K38" s="47">
        <f t="shared" si="134"/>
        <v>75.996016564609931</v>
      </c>
      <c r="L38" s="48">
        <f t="shared" si="135"/>
        <v>785.44158156460992</v>
      </c>
      <c r="M38" s="48">
        <f t="shared" si="136"/>
        <v>1293.8214325646099</v>
      </c>
      <c r="N38" s="93">
        <f t="shared" si="137"/>
        <v>731.74195816561837</v>
      </c>
      <c r="O38" s="93">
        <f t="shared" si="138"/>
        <v>1240.1218091656183</v>
      </c>
      <c r="P38" s="298">
        <f t="shared" si="101"/>
        <v>0.69417572793167071</v>
      </c>
      <c r="Q38" s="275">
        <v>0.69340000000000002</v>
      </c>
      <c r="R38" s="275">
        <v>0.88949999999999996</v>
      </c>
      <c r="S38" s="275">
        <v>1.0539000000000001</v>
      </c>
      <c r="T38" s="275">
        <v>404.0992</v>
      </c>
      <c r="U38" s="275">
        <v>160.8442</v>
      </c>
      <c r="V38" s="49">
        <f t="shared" si="102"/>
        <v>425.04726600000004</v>
      </c>
      <c r="W38" s="49">
        <f t="shared" si="102"/>
        <v>1032.40707</v>
      </c>
      <c r="X38" s="47">
        <f t="shared" si="102"/>
        <v>227.94803100000001</v>
      </c>
      <c r="Y38" s="47">
        <f t="shared" si="139"/>
        <v>161.47000491477434</v>
      </c>
      <c r="Z38" s="48">
        <f t="shared" si="140"/>
        <v>586.51727091477437</v>
      </c>
      <c r="AA38" s="48">
        <f t="shared" si="141"/>
        <v>965.9290439147743</v>
      </c>
      <c r="AB38" s="93">
        <f t="shared" si="142"/>
        <v>442.16522368304572</v>
      </c>
      <c r="AC38" s="93">
        <f t="shared" si="143"/>
        <v>821.57699668304565</v>
      </c>
      <c r="AD38" s="118"/>
      <c r="AE38" s="275">
        <v>0.67369999999999997</v>
      </c>
      <c r="AF38" s="275">
        <v>0.74819999999999998</v>
      </c>
      <c r="AG38" s="275">
        <v>1.1174999999999999</v>
      </c>
      <c r="AH38" s="275">
        <v>30.9192</v>
      </c>
      <c r="AI38" s="275">
        <v>11</v>
      </c>
      <c r="AJ38" s="49">
        <f t="shared" si="103"/>
        <v>315.87771900000001</v>
      </c>
      <c r="AK38" s="49">
        <f t="shared" si="103"/>
        <v>850.53879599999993</v>
      </c>
      <c r="AL38" s="47">
        <f t="shared" si="103"/>
        <v>223.421775</v>
      </c>
      <c r="AM38" s="47">
        <f t="shared" si="144"/>
        <v>162.91683550852579</v>
      </c>
      <c r="AN38" s="48">
        <f t="shared" si="145"/>
        <v>478.79455450852583</v>
      </c>
      <c r="AO38" s="48">
        <f t="shared" si="146"/>
        <v>790.03385650852567</v>
      </c>
      <c r="AP38" s="93">
        <f t="shared" si="147"/>
        <v>328.98440212682203</v>
      </c>
      <c r="AQ38" s="93">
        <f t="shared" si="148"/>
        <v>640.22370412682187</v>
      </c>
      <c r="AR38" s="118"/>
      <c r="AS38" s="275">
        <v>1.2221</v>
      </c>
      <c r="AT38" s="275">
        <v>1.1958</v>
      </c>
      <c r="AU38" s="275">
        <v>1.0137</v>
      </c>
      <c r="AV38" s="275">
        <v>1959.2117000000001</v>
      </c>
      <c r="AW38" s="275">
        <v>779.44500000000005</v>
      </c>
      <c r="AX38" s="49">
        <f t="shared" si="104"/>
        <v>425.84074499999997</v>
      </c>
      <c r="AY38" s="49">
        <f t="shared" si="104"/>
        <v>836.90454599999998</v>
      </c>
      <c r="AZ38" s="47">
        <f t="shared" si="104"/>
        <v>267.07953900000007</v>
      </c>
      <c r="BA38" s="47">
        <f t="shared" si="149"/>
        <v>177.01121669253911</v>
      </c>
      <c r="BB38" s="48">
        <f t="shared" si="150"/>
        <v>602.85196169253913</v>
      </c>
      <c r="BC38" s="48">
        <f t="shared" si="151"/>
        <v>746.83622369253908</v>
      </c>
      <c r="BD38" s="93">
        <f t="shared" si="152"/>
        <v>444.26999057571942</v>
      </c>
      <c r="BE38" s="93">
        <f t="shared" si="153"/>
        <v>588.25425257571942</v>
      </c>
      <c r="BF38" s="118"/>
      <c r="BG38" s="275">
        <v>0.98499999999999999</v>
      </c>
      <c r="BH38" s="275">
        <v>1.3059000000000001</v>
      </c>
      <c r="BI38" s="275">
        <v>1.3968</v>
      </c>
      <c r="BJ38" s="275">
        <v>1545.6958</v>
      </c>
      <c r="BK38" s="275">
        <v>487.98829999999998</v>
      </c>
      <c r="BL38" s="49">
        <f t="shared" si="105"/>
        <v>333.14670000000001</v>
      </c>
      <c r="BM38" s="49">
        <f t="shared" si="105"/>
        <v>781.5289140000001</v>
      </c>
      <c r="BN38" s="47">
        <f t="shared" si="105"/>
        <v>321.89256</v>
      </c>
      <c r="BO38" s="47">
        <f t="shared" si="154"/>
        <v>225.68749121435414</v>
      </c>
      <c r="BP38" s="48">
        <f t="shared" si="155"/>
        <v>558.83419121435418</v>
      </c>
      <c r="BQ38" s="48">
        <f t="shared" si="156"/>
        <v>685.32384521435426</v>
      </c>
      <c r="BR38" s="93">
        <f t="shared" si="157"/>
        <v>352.85223904207214</v>
      </c>
      <c r="BS38" s="93">
        <f t="shared" si="158"/>
        <v>479.34189304207223</v>
      </c>
      <c r="BT38" s="118"/>
      <c r="BU38" s="275">
        <v>0.87270000000000003</v>
      </c>
      <c r="BV38" s="275">
        <v>1.0104</v>
      </c>
      <c r="BW38" s="275">
        <v>1.6128</v>
      </c>
      <c r="BX38" s="275">
        <v>3161.5725000000002</v>
      </c>
      <c r="BY38" s="275">
        <v>1312.8525</v>
      </c>
      <c r="BZ38" s="49">
        <f t="shared" si="106"/>
        <v>205.20667799999998</v>
      </c>
      <c r="CA38" s="49">
        <f t="shared" si="106"/>
        <v>363.26911199999995</v>
      </c>
      <c r="CB38" s="47">
        <f t="shared" si="106"/>
        <v>151.90963199999999</v>
      </c>
      <c r="CC38" s="47">
        <f t="shared" si="159"/>
        <v>97.073750706053417</v>
      </c>
      <c r="CD38" s="48">
        <f t="shared" si="160"/>
        <v>302.28042870605339</v>
      </c>
      <c r="CE38" s="48">
        <f t="shared" si="161"/>
        <v>308.43323070605339</v>
      </c>
      <c r="CF38" s="93">
        <f t="shared" si="162"/>
        <v>216.56972894558669</v>
      </c>
      <c r="CG38" s="93">
        <f t="shared" si="163"/>
        <v>222.72253094558667</v>
      </c>
      <c r="CH38" s="118"/>
      <c r="CI38" s="275">
        <v>0.80069999999999997</v>
      </c>
      <c r="CJ38" s="275">
        <v>0.78939999999999999</v>
      </c>
      <c r="CK38" s="275">
        <v>0.98860000000000003</v>
      </c>
      <c r="CL38" s="275">
        <v>6511.4458000000004</v>
      </c>
      <c r="CM38" s="275">
        <v>2450.9607999999998</v>
      </c>
      <c r="CN38" s="49">
        <f t="shared" si="107"/>
        <v>165.26447999999999</v>
      </c>
      <c r="CO38" s="49">
        <f t="shared" si="107"/>
        <v>211.41710799999998</v>
      </c>
      <c r="CP38" s="47">
        <f t="shared" si="107"/>
        <v>0.41521200000000003</v>
      </c>
      <c r="CQ38" s="47">
        <f t="shared" si="164"/>
        <v>0.23304276886210856</v>
      </c>
      <c r="CR38" s="48">
        <f t="shared" si="165"/>
        <v>165.4975227688621</v>
      </c>
      <c r="CS38" s="48">
        <f t="shared" si="166"/>
        <v>211.23493876886209</v>
      </c>
      <c r="CT38" s="93">
        <f t="shared" si="167"/>
        <v>165.2991025807186</v>
      </c>
      <c r="CU38" s="93">
        <f t="shared" si="168"/>
        <v>211.03651858071859</v>
      </c>
      <c r="CV38" s="118"/>
      <c r="CW38" s="275">
        <v>0.45319999999999999</v>
      </c>
      <c r="CX38" s="275">
        <v>0.50729999999999997</v>
      </c>
      <c r="CY38" s="275">
        <v>0.78269999999999995</v>
      </c>
      <c r="CZ38" s="275">
        <v>2440.8757999999998</v>
      </c>
      <c r="DA38" s="275">
        <v>695.5317</v>
      </c>
      <c r="DB38" s="49">
        <f t="shared" si="108"/>
        <v>94.079787999999994</v>
      </c>
      <c r="DC38" s="49">
        <f t="shared" si="108"/>
        <v>142.810023</v>
      </c>
      <c r="DD38" s="47">
        <f t="shared" si="108"/>
        <v>0.22698299999999996</v>
      </c>
      <c r="DE38" s="47">
        <f t="shared" si="169"/>
        <v>0.13683766014997156</v>
      </c>
      <c r="DF38" s="48">
        <f t="shared" si="170"/>
        <v>94.216625660149958</v>
      </c>
      <c r="DG38" s="48">
        <f t="shared" si="171"/>
        <v>142.71987766014999</v>
      </c>
      <c r="DH38" s="93">
        <f t="shared" si="172"/>
        <v>94.102493111698067</v>
      </c>
      <c r="DI38" s="93">
        <f t="shared" si="173"/>
        <v>142.60574511169807</v>
      </c>
      <c r="DJ38" s="118"/>
      <c r="DK38" s="275">
        <v>0.44119999999999998</v>
      </c>
      <c r="DL38" s="275">
        <v>0.41549999999999998</v>
      </c>
      <c r="DM38" s="275">
        <v>0.72240000000000004</v>
      </c>
      <c r="DN38" s="275">
        <v>962.35419999999999</v>
      </c>
      <c r="DO38" s="275">
        <v>346.95749999999998</v>
      </c>
      <c r="DP38" s="49">
        <f t="shared" si="109"/>
        <v>60.109088</v>
      </c>
      <c r="DQ38" s="49">
        <f t="shared" si="109"/>
        <v>81.982304999999997</v>
      </c>
      <c r="DR38" s="47">
        <f t="shared" si="109"/>
        <v>0.15892800000000001</v>
      </c>
      <c r="DS38" s="47">
        <f t="shared" si="174"/>
        <v>9.1696502468942662E-2</v>
      </c>
      <c r="DT38" s="48">
        <f t="shared" si="175"/>
        <v>60.200784502468942</v>
      </c>
      <c r="DU38" s="48">
        <f t="shared" si="176"/>
        <v>81.915073502468942</v>
      </c>
      <c r="DV38" s="93">
        <f t="shared" si="177"/>
        <v>60.131168751043312</v>
      </c>
      <c r="DW38" s="93">
        <f t="shared" si="178"/>
        <v>81.845457751043298</v>
      </c>
      <c r="DX38" s="118"/>
      <c r="DY38" s="118"/>
      <c r="DZ38" s="118"/>
      <c r="EB38" s="52"/>
      <c r="EC38" s="52"/>
      <c r="ED38" s="52"/>
      <c r="EE38" s="55">
        <f t="shared" si="179"/>
        <v>14557.49</v>
      </c>
      <c r="EF38" s="55">
        <f t="shared" si="179"/>
        <v>5532.1908000000003</v>
      </c>
      <c r="EG38" s="55">
        <f t="shared" si="179"/>
        <v>1375.8146204</v>
      </c>
      <c r="EH38" s="55">
        <f t="shared" si="179"/>
        <v>2628.8907884</v>
      </c>
      <c r="EI38" s="298">
        <f t="shared" si="110"/>
        <v>0.72462525138776712</v>
      </c>
      <c r="EJ38" s="52"/>
      <c r="EK38" s="55">
        <f t="shared" si="180"/>
        <v>1629.164366554131</v>
      </c>
      <c r="EL38" s="55">
        <f t="shared" si="180"/>
        <v>2366.0684971541309</v>
      </c>
      <c r="EM38" s="55">
        <f t="shared" si="111"/>
        <v>1416.5930458114149</v>
      </c>
      <c r="EN38" s="55">
        <f t="shared" si="111"/>
        <v>2153.4971764114148</v>
      </c>
      <c r="EP38" s="52"/>
      <c r="EQ38" s="52"/>
      <c r="ER38" s="52"/>
      <c r="ES38" s="55">
        <f t="shared" si="112"/>
        <v>10902.116599999999</v>
      </c>
      <c r="ET38" s="55">
        <f t="shared" si="112"/>
        <v>3795.3249999999998</v>
      </c>
      <c r="EU38" s="55">
        <f t="shared" si="112"/>
        <v>989.31429760000015</v>
      </c>
      <c r="EV38" s="55">
        <f t="shared" si="112"/>
        <v>2125.3201081000002</v>
      </c>
      <c r="EW38" s="298">
        <f t="shared" si="113"/>
        <v>0.7417696832352102</v>
      </c>
      <c r="EX38" s="52"/>
      <c r="EY38" s="55">
        <f t="shared" si="114"/>
        <v>1376.8006228600957</v>
      </c>
      <c r="EZ38" s="55">
        <f t="shared" si="114"/>
        <v>1962.3917422600957</v>
      </c>
      <c r="FA38" s="55">
        <f t="shared" si="114"/>
        <v>1026.1883104840251</v>
      </c>
      <c r="FB38" s="55">
        <f t="shared" si="114"/>
        <v>1611.7794298840251</v>
      </c>
      <c r="FD38" s="52"/>
      <c r="FE38" s="52"/>
      <c r="FF38" s="52"/>
      <c r="FG38" s="55">
        <f t="shared" si="115"/>
        <v>10666.2917</v>
      </c>
      <c r="FH38" s="55">
        <f t="shared" si="115"/>
        <v>4121.7708000000002</v>
      </c>
      <c r="FI38" s="55">
        <f t="shared" si="115"/>
        <v>722.4143297999999</v>
      </c>
      <c r="FJ38" s="55">
        <f t="shared" si="115"/>
        <v>1474.4143989999998</v>
      </c>
      <c r="FK38" s="298">
        <f t="shared" si="116"/>
        <v>0.72127715851890672</v>
      </c>
      <c r="FL38" s="52"/>
      <c r="FM38" s="55">
        <f t="shared" si="117"/>
        <v>982.69297668492266</v>
      </c>
      <c r="FN38" s="55">
        <f t="shared" si="117"/>
        <v>1358.8510700849226</v>
      </c>
      <c r="FO38" s="55">
        <f t="shared" si="117"/>
        <v>746.93193490375324</v>
      </c>
      <c r="FP38" s="55">
        <f t="shared" si="117"/>
        <v>1123.0900283037529</v>
      </c>
      <c r="FR38" s="52"/>
      <c r="FS38" s="52"/>
      <c r="FT38" s="52"/>
      <c r="FU38" s="55">
        <f t="shared" si="118"/>
        <v>8952.3215999999993</v>
      </c>
      <c r="FV38" s="55">
        <f t="shared" si="118"/>
        <v>3146.4924999999998</v>
      </c>
      <c r="FW38" s="55">
        <f t="shared" si="118"/>
        <v>240.52831040000001</v>
      </c>
      <c r="FX38" s="55">
        <f t="shared" si="118"/>
        <v>325.66512639999996</v>
      </c>
      <c r="FY38" s="298">
        <f t="shared" si="119"/>
        <v>0.73993380888462446</v>
      </c>
      <c r="FZ38" s="52"/>
      <c r="GA38" s="55">
        <f t="shared" si="120"/>
        <v>240.87082329698205</v>
      </c>
      <c r="GB38" s="55">
        <f t="shared" si="120"/>
        <v>325.41084089698211</v>
      </c>
      <c r="GC38" s="55">
        <f t="shared" si="120"/>
        <v>240.58109707007705</v>
      </c>
      <c r="GD38" s="55">
        <f t="shared" si="120"/>
        <v>325.12111467007708</v>
      </c>
      <c r="GF38" s="52"/>
      <c r="GG38" s="52"/>
      <c r="GH38" s="52"/>
      <c r="GI38" s="55">
        <f t="shared" si="191"/>
        <v>5120.7842000000001</v>
      </c>
      <c r="GJ38" s="55">
        <f t="shared" si="191"/>
        <v>2092.2975000000001</v>
      </c>
      <c r="GK38" s="56">
        <f t="shared" si="123"/>
        <v>165.47555025</v>
      </c>
      <c r="GL38" s="56">
        <f t="shared" si="123"/>
        <v>355.22657550000002</v>
      </c>
      <c r="GM38" s="298">
        <f t="shared" si="124"/>
        <v>0.70993015370947476</v>
      </c>
      <c r="GN38" s="52"/>
      <c r="GO38" s="56">
        <f t="shared" si="125"/>
        <v>225.42864973986431</v>
      </c>
      <c r="GP38" s="56">
        <f t="shared" si="125"/>
        <v>328.80224473986425</v>
      </c>
      <c r="GQ38" s="56">
        <f t="shared" si="125"/>
        <v>170.77519622259956</v>
      </c>
      <c r="GR38" s="56">
        <f t="shared" si="125"/>
        <v>274.14879122259958</v>
      </c>
      <c r="GW38" s="275">
        <v>0.68489999999999995</v>
      </c>
      <c r="GX38" s="275">
        <v>0.95279999999999998</v>
      </c>
      <c r="GY38" s="275">
        <v>1.1697</v>
      </c>
      <c r="GZ38" s="275">
        <v>186.67920000000001</v>
      </c>
      <c r="HA38" s="275">
        <v>72.413300000000007</v>
      </c>
      <c r="HB38" s="49">
        <f t="shared" si="126"/>
        <v>449.83547099999993</v>
      </c>
      <c r="HC38" s="49">
        <f t="shared" si="127"/>
        <v>1293.721368</v>
      </c>
      <c r="HD38" s="47">
        <f t="shared" si="128"/>
        <v>284.61140399999999</v>
      </c>
      <c r="HE38" s="47">
        <f t="shared" si="181"/>
        <v>79.545532893747207</v>
      </c>
      <c r="HF38" s="48">
        <f t="shared" si="182"/>
        <v>529.38100389374711</v>
      </c>
      <c r="HG38" s="48">
        <f t="shared" si="183"/>
        <v>1088.6554968937471</v>
      </c>
      <c r="HH38" s="93">
        <f t="shared" si="184"/>
        <v>464.66086454956985</v>
      </c>
      <c r="HI38" s="93">
        <f t="shared" si="185"/>
        <v>1023.9353575495699</v>
      </c>
      <c r="HJ38" s="298">
        <f t="shared" si="129"/>
        <v>0.72051178633113655</v>
      </c>
      <c r="HL38" s="275">
        <v>0.51549999999999996</v>
      </c>
      <c r="HM38" s="275">
        <v>0.74150000000000005</v>
      </c>
      <c r="HN38" s="275">
        <v>1.012</v>
      </c>
      <c r="HO38" s="275">
        <v>4</v>
      </c>
      <c r="HP38" s="275">
        <v>3</v>
      </c>
      <c r="HQ38" s="49">
        <f t="shared" si="130"/>
        <v>274.06557499999997</v>
      </c>
      <c r="HR38" s="49">
        <f t="shared" si="131"/>
        <v>575.05549500000006</v>
      </c>
      <c r="HS38" s="47">
        <f t="shared" si="132"/>
        <v>131.34747999999999</v>
      </c>
      <c r="HT38" s="47">
        <f t="shared" si="186"/>
        <v>56.291777142857136</v>
      </c>
      <c r="HU38" s="48">
        <f t="shared" si="187"/>
        <v>330.35735214285711</v>
      </c>
      <c r="HV38" s="48">
        <f t="shared" si="188"/>
        <v>499.99979214285719</v>
      </c>
      <c r="HW38" s="93">
        <f t="shared" si="189"/>
        <v>277.07062352670289</v>
      </c>
      <c r="HX38" s="93">
        <f t="shared" si="190"/>
        <v>446.71306352670297</v>
      </c>
      <c r="HY38" s="298">
        <f t="shared" si="133"/>
        <v>0.5714285714285714</v>
      </c>
    </row>
    <row r="39" spans="1:233" s="131" customFormat="1" x14ac:dyDescent="0.2">
      <c r="A39" s="118">
        <v>29</v>
      </c>
      <c r="B39" s="118"/>
      <c r="C39" s="275">
        <v>0.7248</v>
      </c>
      <c r="D39" s="275">
        <v>0.84650000000000003</v>
      </c>
      <c r="E39" s="275">
        <v>1.1295999999999999</v>
      </c>
      <c r="F39" s="275">
        <v>4613.3707999999997</v>
      </c>
      <c r="G39" s="275">
        <v>1844.9883</v>
      </c>
      <c r="H39" s="49">
        <f t="shared" si="100"/>
        <v>716.86343999999997</v>
      </c>
      <c r="I39" s="49">
        <f t="shared" si="100"/>
        <v>1525.24063</v>
      </c>
      <c r="J39" s="47">
        <f t="shared" si="100"/>
        <v>305.94086399999998</v>
      </c>
      <c r="K39" s="47">
        <f t="shared" si="134"/>
        <v>87.399493560506897</v>
      </c>
      <c r="L39" s="48">
        <f t="shared" si="135"/>
        <v>804.26293356050689</v>
      </c>
      <c r="M39" s="48">
        <f t="shared" si="136"/>
        <v>1306.699259560507</v>
      </c>
      <c r="N39" s="93">
        <f t="shared" si="137"/>
        <v>739.15983316561847</v>
      </c>
      <c r="O39" s="93">
        <f t="shared" si="138"/>
        <v>1241.5961591656185</v>
      </c>
      <c r="P39" s="298">
        <f t="shared" si="101"/>
        <v>0.71432553200703874</v>
      </c>
      <c r="Q39" s="275">
        <v>0.67589999999999995</v>
      </c>
      <c r="R39" s="275">
        <v>0.9093</v>
      </c>
      <c r="S39" s="275">
        <v>1.3829</v>
      </c>
      <c r="T39" s="275">
        <v>464.2133</v>
      </c>
      <c r="U39" s="275">
        <v>223.01079999999999</v>
      </c>
      <c r="V39" s="49">
        <f t="shared" si="102"/>
        <v>414.31994099999997</v>
      </c>
      <c r="W39" s="49">
        <f t="shared" si="102"/>
        <v>1055.388138</v>
      </c>
      <c r="X39" s="47">
        <f t="shared" si="102"/>
        <v>299.10744099999999</v>
      </c>
      <c r="Y39" s="47">
        <f t="shared" si="139"/>
        <v>214.78717422151072</v>
      </c>
      <c r="Z39" s="48">
        <f t="shared" si="140"/>
        <v>629.10711522151064</v>
      </c>
      <c r="AA39" s="48">
        <f t="shared" si="141"/>
        <v>971.06787122151081</v>
      </c>
      <c r="AB39" s="93">
        <f t="shared" si="142"/>
        <v>431.43789868304566</v>
      </c>
      <c r="AC39" s="93">
        <f t="shared" si="143"/>
        <v>773.39865468304572</v>
      </c>
      <c r="AD39" s="118"/>
      <c r="AE39" s="275">
        <v>0.66790000000000005</v>
      </c>
      <c r="AF39" s="275">
        <v>0.78180000000000005</v>
      </c>
      <c r="AG39" s="275">
        <v>1.2978000000000001</v>
      </c>
      <c r="AH39" s="275">
        <v>46.909199999999998</v>
      </c>
      <c r="AI39" s="275">
        <v>18.039200000000001</v>
      </c>
      <c r="AJ39" s="49">
        <f t="shared" si="103"/>
        <v>313.15827300000001</v>
      </c>
      <c r="AK39" s="49">
        <f t="shared" si="103"/>
        <v>888.73460399999999</v>
      </c>
      <c r="AL39" s="47">
        <f t="shared" si="103"/>
        <v>259.469154</v>
      </c>
      <c r="AM39" s="47">
        <f t="shared" si="144"/>
        <v>191.86336839435734</v>
      </c>
      <c r="AN39" s="48">
        <f t="shared" si="145"/>
        <v>505.02164139435735</v>
      </c>
      <c r="AO39" s="48">
        <f t="shared" si="146"/>
        <v>821.12881839435727</v>
      </c>
      <c r="AP39" s="93">
        <f t="shared" si="147"/>
        <v>326.26495612682203</v>
      </c>
      <c r="AQ39" s="93">
        <f t="shared" si="148"/>
        <v>642.37213312682195</v>
      </c>
      <c r="AR39" s="118"/>
      <c r="AS39" s="275">
        <v>1.1464000000000001</v>
      </c>
      <c r="AT39" s="275">
        <v>1.2290000000000001</v>
      </c>
      <c r="AU39" s="275">
        <v>1.3088</v>
      </c>
      <c r="AV39" s="275">
        <v>2566.6550000000002</v>
      </c>
      <c r="AW39" s="275">
        <v>916.20830000000001</v>
      </c>
      <c r="AX39" s="49">
        <f t="shared" si="104"/>
        <v>399.46307999999999</v>
      </c>
      <c r="AY39" s="49">
        <f t="shared" si="104"/>
        <v>860.14023000000009</v>
      </c>
      <c r="AZ39" s="47">
        <f t="shared" si="104"/>
        <v>344.82953600000002</v>
      </c>
      <c r="BA39" s="47">
        <f t="shared" si="149"/>
        <v>235.47235391580017</v>
      </c>
      <c r="BB39" s="48">
        <f t="shared" si="150"/>
        <v>634.9354339158001</v>
      </c>
      <c r="BC39" s="48">
        <f t="shared" si="151"/>
        <v>750.78304791580013</v>
      </c>
      <c r="BD39" s="93">
        <f t="shared" si="152"/>
        <v>417.89232557571944</v>
      </c>
      <c r="BE39" s="93">
        <f t="shared" si="153"/>
        <v>533.73993957571952</v>
      </c>
      <c r="BF39" s="118"/>
      <c r="BG39" s="275">
        <v>0.94940000000000002</v>
      </c>
      <c r="BH39" s="275">
        <v>1.3418000000000001</v>
      </c>
      <c r="BI39" s="275">
        <v>1.6354</v>
      </c>
      <c r="BJ39" s="275">
        <v>1975.4075</v>
      </c>
      <c r="BK39" s="275">
        <v>570.18330000000003</v>
      </c>
      <c r="BL39" s="49">
        <f t="shared" si="105"/>
        <v>321.10606800000005</v>
      </c>
      <c r="BM39" s="49">
        <f t="shared" si="105"/>
        <v>803.01362800000015</v>
      </c>
      <c r="BN39" s="47">
        <f t="shared" si="105"/>
        <v>376.87792999999999</v>
      </c>
      <c r="BO39" s="47">
        <f t="shared" si="154"/>
        <v>269.22232121661006</v>
      </c>
      <c r="BP39" s="48">
        <f t="shared" si="155"/>
        <v>590.32838921661005</v>
      </c>
      <c r="BQ39" s="48">
        <f t="shared" si="156"/>
        <v>695.35801921661027</v>
      </c>
      <c r="BR39" s="93">
        <f t="shared" si="157"/>
        <v>340.81160704207218</v>
      </c>
      <c r="BS39" s="93">
        <f t="shared" si="158"/>
        <v>445.84123704207229</v>
      </c>
      <c r="BT39" s="118"/>
      <c r="BU39" s="275">
        <v>0.87380000000000002</v>
      </c>
      <c r="BV39" s="275">
        <v>1.0619000000000001</v>
      </c>
      <c r="BW39" s="275">
        <v>1.9162999999999999</v>
      </c>
      <c r="BX39" s="275">
        <v>3811.6316999999999</v>
      </c>
      <c r="BY39" s="275">
        <v>1630.8625</v>
      </c>
      <c r="BZ39" s="49">
        <f t="shared" si="106"/>
        <v>205.46533199999999</v>
      </c>
      <c r="CA39" s="49">
        <f t="shared" si="106"/>
        <v>381.78490699999998</v>
      </c>
      <c r="CB39" s="47">
        <f t="shared" si="106"/>
        <v>180.496297</v>
      </c>
      <c r="CC39" s="47">
        <f t="shared" si="159"/>
        <v>117.34480020192784</v>
      </c>
      <c r="CD39" s="48">
        <f t="shared" si="160"/>
        <v>322.81013220192784</v>
      </c>
      <c r="CE39" s="48">
        <f t="shared" si="161"/>
        <v>318.6334102019278</v>
      </c>
      <c r="CF39" s="93">
        <f t="shared" si="162"/>
        <v>216.8283829455867</v>
      </c>
      <c r="CG39" s="93">
        <f t="shared" si="163"/>
        <v>212.65166094558668</v>
      </c>
      <c r="CH39" s="118"/>
      <c r="CI39" s="275">
        <v>0.81520000000000004</v>
      </c>
      <c r="CJ39" s="275">
        <v>0.80869999999999997</v>
      </c>
      <c r="CK39" s="275">
        <v>1.1780999999999999</v>
      </c>
      <c r="CL39" s="275">
        <v>8204.0849999999991</v>
      </c>
      <c r="CM39" s="275">
        <v>2972.6658000000002</v>
      </c>
      <c r="CN39" s="49">
        <f t="shared" si="107"/>
        <v>168.25728000000001</v>
      </c>
      <c r="CO39" s="49">
        <f t="shared" si="107"/>
        <v>216.58603399999998</v>
      </c>
      <c r="CP39" s="47">
        <f t="shared" si="107"/>
        <v>0.49480199999999996</v>
      </c>
      <c r="CQ39" s="47">
        <f t="shared" si="164"/>
        <v>0.27846970155565182</v>
      </c>
      <c r="CR39" s="48">
        <f t="shared" si="165"/>
        <v>168.53574970155566</v>
      </c>
      <c r="CS39" s="48">
        <f t="shared" si="166"/>
        <v>216.36970170155564</v>
      </c>
      <c r="CT39" s="93">
        <f t="shared" si="167"/>
        <v>168.29190258071861</v>
      </c>
      <c r="CU39" s="93">
        <f t="shared" si="168"/>
        <v>216.1258545807186</v>
      </c>
      <c r="CV39" s="118"/>
      <c r="CW39" s="275">
        <v>0.50219999999999998</v>
      </c>
      <c r="CX39" s="275">
        <v>0.55389999999999995</v>
      </c>
      <c r="CY39" s="275">
        <v>0.90620000000000001</v>
      </c>
      <c r="CZ39" s="275">
        <v>3164.5441999999998</v>
      </c>
      <c r="DA39" s="275">
        <v>826.37919999999997</v>
      </c>
      <c r="DB39" s="49">
        <f t="shared" si="108"/>
        <v>104.25169799999999</v>
      </c>
      <c r="DC39" s="49">
        <f t="shared" si="108"/>
        <v>155.92838899999998</v>
      </c>
      <c r="DD39" s="47">
        <f t="shared" si="108"/>
        <v>0.26279799999999998</v>
      </c>
      <c r="DE39" s="47">
        <f t="shared" si="169"/>
        <v>0.15749732904202618</v>
      </c>
      <c r="DF39" s="48">
        <f t="shared" si="170"/>
        <v>104.40919532904202</v>
      </c>
      <c r="DG39" s="48">
        <f t="shared" si="171"/>
        <v>155.82308832904201</v>
      </c>
      <c r="DH39" s="93">
        <f t="shared" si="172"/>
        <v>104.27440311169806</v>
      </c>
      <c r="DI39" s="93">
        <f t="shared" si="173"/>
        <v>155.68829611169804</v>
      </c>
      <c r="DJ39" s="118"/>
      <c r="DK39" s="275">
        <v>0.47860000000000003</v>
      </c>
      <c r="DL39" s="275">
        <v>0.47239999999999999</v>
      </c>
      <c r="DM39" s="275">
        <v>0.80800000000000005</v>
      </c>
      <c r="DN39" s="275">
        <v>1226.56</v>
      </c>
      <c r="DO39" s="275">
        <v>447.63330000000002</v>
      </c>
      <c r="DP39" s="49">
        <f t="shared" si="109"/>
        <v>65.204464000000002</v>
      </c>
      <c r="DQ39" s="49">
        <f t="shared" si="109"/>
        <v>93.209243999999998</v>
      </c>
      <c r="DR39" s="47">
        <f t="shared" si="109"/>
        <v>0.17776</v>
      </c>
      <c r="DS39" s="47">
        <f t="shared" si="174"/>
        <v>0.10459243346188198</v>
      </c>
      <c r="DT39" s="48">
        <f t="shared" si="175"/>
        <v>65.30905643346189</v>
      </c>
      <c r="DU39" s="48">
        <f t="shared" si="176"/>
        <v>93.136076433461881</v>
      </c>
      <c r="DV39" s="93">
        <f t="shared" si="177"/>
        <v>65.226544751043306</v>
      </c>
      <c r="DW39" s="93">
        <f t="shared" si="178"/>
        <v>93.053564751043297</v>
      </c>
      <c r="DX39" s="118"/>
      <c r="DY39" s="118"/>
      <c r="DZ39" s="118"/>
      <c r="EB39" s="52"/>
      <c r="EC39" s="52"/>
      <c r="ED39" s="52"/>
      <c r="EE39" s="55">
        <f t="shared" si="179"/>
        <v>18548.654999999999</v>
      </c>
      <c r="EF39" s="55">
        <f t="shared" si="179"/>
        <v>6560.2416000000003</v>
      </c>
      <c r="EG39" s="55">
        <f t="shared" si="179"/>
        <v>1367.9851584</v>
      </c>
      <c r="EH39" s="55">
        <f t="shared" si="179"/>
        <v>2726.7096052000002</v>
      </c>
      <c r="EI39" s="298">
        <f t="shared" si="110"/>
        <v>0.73872839955858505</v>
      </c>
      <c r="EJ39" s="52"/>
      <c r="EK39" s="55">
        <f t="shared" si="180"/>
        <v>1691.2614734410963</v>
      </c>
      <c r="EL39" s="55">
        <f t="shared" si="180"/>
        <v>2398.5104798410962</v>
      </c>
      <c r="EM39" s="55">
        <f t="shared" si="111"/>
        <v>1408.7635838114152</v>
      </c>
      <c r="EN39" s="55">
        <f t="shared" si="111"/>
        <v>2116.012590211415</v>
      </c>
      <c r="EP39" s="52"/>
      <c r="EQ39" s="52"/>
      <c r="ER39" s="52"/>
      <c r="ES39" s="55">
        <f t="shared" si="112"/>
        <v>13808.25</v>
      </c>
      <c r="ET39" s="55">
        <f t="shared" si="112"/>
        <v>4592.2391000000007</v>
      </c>
      <c r="EU39" s="55">
        <f t="shared" si="112"/>
        <v>976.65947760000006</v>
      </c>
      <c r="EV39" s="55">
        <f t="shared" si="112"/>
        <v>2184.1376723000003</v>
      </c>
      <c r="EW39" s="298">
        <f t="shared" si="113"/>
        <v>0.7504284220358034</v>
      </c>
      <c r="EX39" s="52"/>
      <c r="EY39" s="55">
        <f t="shared" si="114"/>
        <v>1461.0576908700059</v>
      </c>
      <c r="EZ39" s="55">
        <f t="shared" si="114"/>
        <v>1991.871753970006</v>
      </c>
      <c r="FA39" s="55">
        <f t="shared" si="114"/>
        <v>1013.5334904840252</v>
      </c>
      <c r="FB39" s="55">
        <f t="shared" si="114"/>
        <v>1544.3475535840253</v>
      </c>
      <c r="FD39" s="52"/>
      <c r="FE39" s="52"/>
      <c r="FF39" s="52"/>
      <c r="FG39" s="55">
        <f t="shared" si="115"/>
        <v>13289.185899999999</v>
      </c>
      <c r="FH39" s="55">
        <f t="shared" si="115"/>
        <v>5069.2008000000005</v>
      </c>
      <c r="FI39" s="55">
        <f t="shared" si="115"/>
        <v>726.00356340000008</v>
      </c>
      <c r="FJ39" s="55">
        <f t="shared" si="115"/>
        <v>1543.0310913999999</v>
      </c>
      <c r="FK39" s="298">
        <f t="shared" si="116"/>
        <v>0.72387547539784636</v>
      </c>
      <c r="FL39" s="52"/>
      <c r="FM39" s="55">
        <f t="shared" si="117"/>
        <v>1035.5529571579179</v>
      </c>
      <c r="FN39" s="55">
        <f t="shared" si="117"/>
        <v>1412.0135761579177</v>
      </c>
      <c r="FO39" s="55">
        <f t="shared" si="117"/>
        <v>750.52116850375342</v>
      </c>
      <c r="FP39" s="55">
        <f t="shared" si="117"/>
        <v>1126.9817875037534</v>
      </c>
      <c r="FR39" s="52"/>
      <c r="FS39" s="52"/>
      <c r="FT39" s="52"/>
      <c r="FU39" s="55">
        <f t="shared" si="118"/>
        <v>11368.629199999999</v>
      </c>
      <c r="FV39" s="55">
        <f t="shared" si="118"/>
        <v>3799.0450000000001</v>
      </c>
      <c r="FW39" s="55">
        <f t="shared" si="118"/>
        <v>251.6586384</v>
      </c>
      <c r="FX39" s="55">
        <f t="shared" si="118"/>
        <v>341.32874519999996</v>
      </c>
      <c r="FY39" s="298">
        <f t="shared" si="119"/>
        <v>0.74953015538796319</v>
      </c>
      <c r="FZ39" s="52"/>
      <c r="GA39" s="55">
        <f t="shared" si="120"/>
        <v>252.06310596478929</v>
      </c>
      <c r="GB39" s="55">
        <f t="shared" si="120"/>
        <v>341.02817236478927</v>
      </c>
      <c r="GC39" s="55">
        <f t="shared" si="120"/>
        <v>251.71142507007707</v>
      </c>
      <c r="GD39" s="55">
        <f t="shared" si="120"/>
        <v>340.67649147007705</v>
      </c>
      <c r="GF39" s="52"/>
      <c r="GG39" s="52"/>
      <c r="GH39" s="52"/>
      <c r="GI39" s="55">
        <f t="shared" si="191"/>
        <v>6378.2867000000006</v>
      </c>
      <c r="GJ39" s="55">
        <f t="shared" si="191"/>
        <v>2547.0708</v>
      </c>
      <c r="GK39" s="56">
        <f t="shared" si="123"/>
        <v>145.498311</v>
      </c>
      <c r="GL39" s="56">
        <f t="shared" si="123"/>
        <v>358.76649225000006</v>
      </c>
      <c r="GM39" s="298">
        <f t="shared" si="124"/>
        <v>0.71462534693988455</v>
      </c>
      <c r="GN39" s="52"/>
      <c r="GO39" s="56">
        <f t="shared" si="125"/>
        <v>234.09397628540421</v>
      </c>
      <c r="GP39" s="56">
        <f t="shared" si="125"/>
        <v>324.11222828540423</v>
      </c>
      <c r="GQ39" s="56">
        <f t="shared" si="125"/>
        <v>150.79795697259956</v>
      </c>
      <c r="GR39" s="56">
        <f t="shared" si="125"/>
        <v>240.81620897259961</v>
      </c>
      <c r="GW39" s="275">
        <v>0.6905</v>
      </c>
      <c r="GX39" s="275">
        <v>0.9919</v>
      </c>
      <c r="GY39" s="275">
        <v>1.4208000000000001</v>
      </c>
      <c r="GZ39" s="275">
        <v>182.0625</v>
      </c>
      <c r="HA39" s="275">
        <v>85.6708</v>
      </c>
      <c r="HB39" s="49">
        <f t="shared" si="126"/>
        <v>453.51349499999998</v>
      </c>
      <c r="HC39" s="49">
        <f t="shared" si="127"/>
        <v>1346.811739</v>
      </c>
      <c r="HD39" s="47">
        <f t="shared" si="128"/>
        <v>345.70905600000003</v>
      </c>
      <c r="HE39" s="47">
        <f t="shared" si="181"/>
        <v>110.62191888257756</v>
      </c>
      <c r="HF39" s="48">
        <f t="shared" si="182"/>
        <v>564.1354138825775</v>
      </c>
      <c r="HG39" s="48">
        <f t="shared" si="183"/>
        <v>1111.7246018825774</v>
      </c>
      <c r="HH39" s="93">
        <f t="shared" si="184"/>
        <v>468.3388885495699</v>
      </c>
      <c r="HI39" s="93">
        <f t="shared" si="185"/>
        <v>1015.9280765495698</v>
      </c>
      <c r="HJ39" s="298">
        <f t="shared" si="129"/>
        <v>0.68001440239223143</v>
      </c>
      <c r="HL39" s="275">
        <v>0.55200000000000005</v>
      </c>
      <c r="HM39" s="275">
        <v>0.77080000000000004</v>
      </c>
      <c r="HN39" s="275">
        <v>1.0701000000000001</v>
      </c>
      <c r="HO39" s="275">
        <v>9</v>
      </c>
      <c r="HP39" s="275">
        <v>3</v>
      </c>
      <c r="HQ39" s="49">
        <f t="shared" si="130"/>
        <v>293.4708</v>
      </c>
      <c r="HR39" s="49">
        <f t="shared" si="131"/>
        <v>597.77852400000006</v>
      </c>
      <c r="HS39" s="47">
        <f t="shared" si="132"/>
        <v>138.88827900000001</v>
      </c>
      <c r="HT39" s="47">
        <f t="shared" si="186"/>
        <v>34.722069750000003</v>
      </c>
      <c r="HU39" s="48">
        <f t="shared" si="187"/>
        <v>328.19286975</v>
      </c>
      <c r="HV39" s="48">
        <f t="shared" si="188"/>
        <v>493.61231475000005</v>
      </c>
      <c r="HW39" s="93">
        <f t="shared" si="189"/>
        <v>296.47584852670292</v>
      </c>
      <c r="HX39" s="93">
        <f t="shared" si="190"/>
        <v>461.89529352670297</v>
      </c>
      <c r="HY39" s="298">
        <f t="shared" si="133"/>
        <v>0.75</v>
      </c>
    </row>
    <row r="40" spans="1:233" s="131" customFormat="1" x14ac:dyDescent="0.2">
      <c r="A40" s="118">
        <v>30</v>
      </c>
      <c r="B40" s="118"/>
      <c r="C40" s="275">
        <v>0.73519999999999996</v>
      </c>
      <c r="D40" s="275">
        <v>0.87860000000000005</v>
      </c>
      <c r="E40" s="275">
        <v>1.3393999999999999</v>
      </c>
      <c r="F40" s="275">
        <v>5414.0282999999999</v>
      </c>
      <c r="G40" s="275">
        <v>2059.7474999999999</v>
      </c>
      <c r="H40" s="49">
        <f t="shared" si="100"/>
        <v>727.14955999999995</v>
      </c>
      <c r="I40" s="49">
        <f t="shared" si="100"/>
        <v>1583.079052</v>
      </c>
      <c r="J40" s="47">
        <f t="shared" si="100"/>
        <v>362.76309599999996</v>
      </c>
      <c r="K40" s="47">
        <f t="shared" si="134"/>
        <v>99.976290441875435</v>
      </c>
      <c r="L40" s="48">
        <f t="shared" si="135"/>
        <v>827.1258504418754</v>
      </c>
      <c r="M40" s="48">
        <f t="shared" si="136"/>
        <v>1320.2922464418755</v>
      </c>
      <c r="N40" s="93">
        <f t="shared" si="137"/>
        <v>749.44595316561845</v>
      </c>
      <c r="O40" s="93">
        <f t="shared" si="138"/>
        <v>1242.6123491656185</v>
      </c>
      <c r="P40" s="298">
        <f t="shared" si="101"/>
        <v>0.7244033598117835</v>
      </c>
      <c r="Q40" s="275">
        <v>0.66569999999999996</v>
      </c>
      <c r="R40" s="275">
        <v>0.92900000000000005</v>
      </c>
      <c r="S40" s="275">
        <v>1.581</v>
      </c>
      <c r="T40" s="275">
        <v>613.79079999999999</v>
      </c>
      <c r="U40" s="275">
        <v>291.7525</v>
      </c>
      <c r="V40" s="49">
        <f t="shared" si="102"/>
        <v>408.06744299999997</v>
      </c>
      <c r="W40" s="49">
        <f t="shared" si="102"/>
        <v>1078.25314</v>
      </c>
      <c r="X40" s="47">
        <f t="shared" si="102"/>
        <v>341.95448999999996</v>
      </c>
      <c r="Y40" s="47">
        <f t="shared" si="139"/>
        <v>248.07131570188218</v>
      </c>
      <c r="Z40" s="48">
        <f t="shared" si="140"/>
        <v>656.13875870188213</v>
      </c>
      <c r="AA40" s="48">
        <f t="shared" si="141"/>
        <v>984.36996570188228</v>
      </c>
      <c r="AB40" s="93">
        <f t="shared" si="142"/>
        <v>425.18540068304566</v>
      </c>
      <c r="AC40" s="93">
        <f t="shared" si="143"/>
        <v>753.41660768304575</v>
      </c>
      <c r="AD40" s="118"/>
      <c r="AE40" s="275">
        <v>0.66610000000000003</v>
      </c>
      <c r="AF40" s="275">
        <v>0.81410000000000005</v>
      </c>
      <c r="AG40" s="275">
        <v>1.468</v>
      </c>
      <c r="AH40" s="275">
        <v>49.484999999999999</v>
      </c>
      <c r="AI40" s="275">
        <v>24.6342</v>
      </c>
      <c r="AJ40" s="49">
        <f t="shared" si="103"/>
        <v>312.31430700000004</v>
      </c>
      <c r="AK40" s="49">
        <f t="shared" si="103"/>
        <v>925.45259800000008</v>
      </c>
      <c r="AL40" s="47">
        <f t="shared" si="103"/>
        <v>293.49723999999998</v>
      </c>
      <c r="AM40" s="47">
        <f t="shared" si="144"/>
        <v>219.44178840670287</v>
      </c>
      <c r="AN40" s="48">
        <f t="shared" si="145"/>
        <v>531.75609540670291</v>
      </c>
      <c r="AO40" s="48">
        <f t="shared" si="146"/>
        <v>851.39714640670309</v>
      </c>
      <c r="AP40" s="93">
        <f t="shared" si="147"/>
        <v>325.42099012682206</v>
      </c>
      <c r="AQ40" s="93">
        <f t="shared" si="148"/>
        <v>645.06204112682212</v>
      </c>
      <c r="AR40" s="118"/>
      <c r="AS40" s="275">
        <v>1.0709</v>
      </c>
      <c r="AT40" s="275">
        <v>1.2578</v>
      </c>
      <c r="AU40" s="275">
        <v>1.6043000000000001</v>
      </c>
      <c r="AV40" s="275">
        <v>3162.1116999999999</v>
      </c>
      <c r="AW40" s="275">
        <v>1048.5975000000001</v>
      </c>
      <c r="AX40" s="49">
        <f t="shared" si="104"/>
        <v>373.15510499999999</v>
      </c>
      <c r="AY40" s="49">
        <f t="shared" si="104"/>
        <v>880.29648600000007</v>
      </c>
      <c r="AZ40" s="47">
        <f t="shared" si="104"/>
        <v>422.68492100000003</v>
      </c>
      <c r="BA40" s="47">
        <f t="shared" si="149"/>
        <v>296.85075459885684</v>
      </c>
      <c r="BB40" s="48">
        <f t="shared" si="150"/>
        <v>670.00585959885689</v>
      </c>
      <c r="BC40" s="48">
        <f t="shared" si="151"/>
        <v>754.46231959885688</v>
      </c>
      <c r="BD40" s="93">
        <f t="shared" si="152"/>
        <v>391.58435057571944</v>
      </c>
      <c r="BE40" s="93">
        <f t="shared" si="153"/>
        <v>476.04081057571949</v>
      </c>
      <c r="BF40" s="118"/>
      <c r="BG40" s="275">
        <v>0.91610000000000003</v>
      </c>
      <c r="BH40" s="275">
        <v>1.3686</v>
      </c>
      <c r="BI40" s="275">
        <v>1.8535999999999999</v>
      </c>
      <c r="BJ40" s="275">
        <v>2490.5282999999999</v>
      </c>
      <c r="BK40" s="275">
        <v>764.58420000000001</v>
      </c>
      <c r="BL40" s="49">
        <f t="shared" si="105"/>
        <v>309.84334200000001</v>
      </c>
      <c r="BM40" s="49">
        <f t="shared" si="105"/>
        <v>819.05235600000003</v>
      </c>
      <c r="BN40" s="47">
        <f t="shared" si="105"/>
        <v>427.16211999999996</v>
      </c>
      <c r="BO40" s="47">
        <f t="shared" si="154"/>
        <v>309.920696305067</v>
      </c>
      <c r="BP40" s="48">
        <f t="shared" si="155"/>
        <v>619.76403830506706</v>
      </c>
      <c r="BQ40" s="48">
        <f t="shared" si="156"/>
        <v>701.81093230506713</v>
      </c>
      <c r="BR40" s="93">
        <f t="shared" si="157"/>
        <v>329.54888104207214</v>
      </c>
      <c r="BS40" s="93">
        <f t="shared" si="158"/>
        <v>411.5957750420722</v>
      </c>
      <c r="BT40" s="118"/>
      <c r="BU40" s="275">
        <v>0.873</v>
      </c>
      <c r="BV40" s="275">
        <v>1.1145</v>
      </c>
      <c r="BW40" s="275">
        <v>2.1850999999999998</v>
      </c>
      <c r="BX40" s="275">
        <v>4429.2142000000003</v>
      </c>
      <c r="BY40" s="275">
        <v>1783.0474999999999</v>
      </c>
      <c r="BZ40" s="49">
        <f t="shared" si="106"/>
        <v>205.27722</v>
      </c>
      <c r="CA40" s="49">
        <f t="shared" si="106"/>
        <v>400.69618500000001</v>
      </c>
      <c r="CB40" s="47">
        <f t="shared" si="106"/>
        <v>205.81456899999998</v>
      </c>
      <c r="CC40" s="47">
        <f t="shared" si="159"/>
        <v>136.09361720374389</v>
      </c>
      <c r="CD40" s="48">
        <f t="shared" si="160"/>
        <v>341.37083720374392</v>
      </c>
      <c r="CE40" s="48">
        <f t="shared" si="161"/>
        <v>330.97523320374393</v>
      </c>
      <c r="CF40" s="93">
        <f t="shared" si="162"/>
        <v>216.64027094558671</v>
      </c>
      <c r="CG40" s="93">
        <f t="shared" si="163"/>
        <v>206.24466694558674</v>
      </c>
      <c r="CH40" s="118"/>
      <c r="CI40" s="275">
        <v>0.82979999999999998</v>
      </c>
      <c r="CJ40" s="275">
        <v>0.83189999999999997</v>
      </c>
      <c r="CK40" s="275">
        <v>1.3571</v>
      </c>
      <c r="CL40" s="275">
        <v>9964.2458000000006</v>
      </c>
      <c r="CM40" s="275">
        <v>3464.0808000000002</v>
      </c>
      <c r="CN40" s="49">
        <f t="shared" si="107"/>
        <v>171.27072000000001</v>
      </c>
      <c r="CO40" s="49">
        <f t="shared" si="107"/>
        <v>222.79945799999999</v>
      </c>
      <c r="CP40" s="47">
        <f t="shared" si="107"/>
        <v>0.56998199999999999</v>
      </c>
      <c r="CQ40" s="47">
        <f t="shared" si="164"/>
        <v>0.32225651104650704</v>
      </c>
      <c r="CR40" s="48">
        <f t="shared" si="165"/>
        <v>171.59297651104652</v>
      </c>
      <c r="CS40" s="48">
        <f t="shared" si="166"/>
        <v>222.55173251104648</v>
      </c>
      <c r="CT40" s="93">
        <f t="shared" si="167"/>
        <v>171.30534258071862</v>
      </c>
      <c r="CU40" s="93">
        <f t="shared" si="168"/>
        <v>222.26409858071858</v>
      </c>
      <c r="CV40" s="118"/>
      <c r="CW40" s="275">
        <v>0.54479999999999995</v>
      </c>
      <c r="CX40" s="275">
        <v>0.59389999999999998</v>
      </c>
      <c r="CY40" s="275">
        <v>1.0276000000000001</v>
      </c>
      <c r="CZ40" s="275">
        <v>3928.4382999999998</v>
      </c>
      <c r="DA40" s="275">
        <v>1131.3592000000001</v>
      </c>
      <c r="DB40" s="49">
        <f t="shared" si="108"/>
        <v>113.09503199999999</v>
      </c>
      <c r="DC40" s="49">
        <f t="shared" si="108"/>
        <v>167.18878899999999</v>
      </c>
      <c r="DD40" s="47">
        <f t="shared" si="108"/>
        <v>0.29800399999999999</v>
      </c>
      <c r="DE40" s="47">
        <f t="shared" si="169"/>
        <v>0.17775884351582319</v>
      </c>
      <c r="DF40" s="48">
        <f t="shared" si="170"/>
        <v>113.27279084351581</v>
      </c>
      <c r="DG40" s="48">
        <f t="shared" si="171"/>
        <v>167.06854384351581</v>
      </c>
      <c r="DH40" s="93">
        <f t="shared" si="172"/>
        <v>113.11773711169806</v>
      </c>
      <c r="DI40" s="93">
        <f t="shared" si="173"/>
        <v>166.91349011169805</v>
      </c>
      <c r="DJ40" s="118"/>
      <c r="DK40" s="275">
        <v>0.52139999999999997</v>
      </c>
      <c r="DL40" s="275">
        <v>0.52890000000000004</v>
      </c>
      <c r="DM40" s="275">
        <v>0.88880000000000003</v>
      </c>
      <c r="DN40" s="275">
        <v>1556.5374999999999</v>
      </c>
      <c r="DO40" s="275">
        <v>556.7183</v>
      </c>
      <c r="DP40" s="49">
        <f t="shared" si="109"/>
        <v>71.035536000000008</v>
      </c>
      <c r="DQ40" s="49">
        <f t="shared" si="109"/>
        <v>104.35725900000001</v>
      </c>
      <c r="DR40" s="47">
        <f t="shared" si="109"/>
        <v>0.19553600000000002</v>
      </c>
      <c r="DS40" s="47">
        <f t="shared" si="174"/>
        <v>0.11634229898567953</v>
      </c>
      <c r="DT40" s="48">
        <f t="shared" si="175"/>
        <v>71.151878298985693</v>
      </c>
      <c r="DU40" s="48">
        <f t="shared" si="176"/>
        <v>104.27806529898569</v>
      </c>
      <c r="DV40" s="93">
        <f t="shared" si="177"/>
        <v>71.057616751043312</v>
      </c>
      <c r="DW40" s="93">
        <f t="shared" si="178"/>
        <v>104.18380375104331</v>
      </c>
      <c r="DX40" s="118"/>
      <c r="DY40" s="118"/>
      <c r="DZ40" s="118"/>
      <c r="EB40" s="52"/>
      <c r="EC40" s="52"/>
      <c r="ED40" s="52"/>
      <c r="EE40" s="55">
        <f t="shared" si="179"/>
        <v>22468.824099999998</v>
      </c>
      <c r="EF40" s="55">
        <f t="shared" si="179"/>
        <v>7703.7850000000008</v>
      </c>
      <c r="EG40" s="55">
        <f t="shared" si="179"/>
        <v>1362.0514105999998</v>
      </c>
      <c r="EH40" s="55">
        <f t="shared" si="179"/>
        <v>2819.9260272000001</v>
      </c>
      <c r="EI40" s="298">
        <f t="shared" si="110"/>
        <v>0.74467620700392134</v>
      </c>
      <c r="EJ40" s="52"/>
      <c r="EK40" s="55">
        <f t="shared" si="180"/>
        <v>1759.3429192265914</v>
      </c>
      <c r="EL40" s="55">
        <f t="shared" si="180"/>
        <v>2430.9611336265912</v>
      </c>
      <c r="EM40" s="55">
        <f t="shared" si="111"/>
        <v>1402.829836011415</v>
      </c>
      <c r="EN40" s="55">
        <f t="shared" si="111"/>
        <v>2074.4480504114149</v>
      </c>
      <c r="EP40" s="52"/>
      <c r="EQ40" s="52"/>
      <c r="ER40" s="52"/>
      <c r="ES40" s="55">
        <f t="shared" si="112"/>
        <v>16997.003199999999</v>
      </c>
      <c r="ET40" s="55">
        <f t="shared" si="112"/>
        <v>5651.7767000000003</v>
      </c>
      <c r="EU40" s="55">
        <f t="shared" si="112"/>
        <v>968.34802739999998</v>
      </c>
      <c r="EV40" s="55">
        <f t="shared" si="112"/>
        <v>2237.1371062999997</v>
      </c>
      <c r="EW40" s="298">
        <f t="shared" si="113"/>
        <v>0.75045999276985331</v>
      </c>
      <c r="EX40" s="52"/>
      <c r="EY40" s="55">
        <f t="shared" si="114"/>
        <v>1526.7867271084567</v>
      </c>
      <c r="EZ40" s="55">
        <f t="shared" si="114"/>
        <v>2025.6806112084571</v>
      </c>
      <c r="FA40" s="55">
        <f t="shared" si="114"/>
        <v>1005.2220402840251</v>
      </c>
      <c r="FB40" s="55">
        <f t="shared" si="114"/>
        <v>1504.1159243840252</v>
      </c>
      <c r="FD40" s="52"/>
      <c r="FE40" s="52"/>
      <c r="FF40" s="52"/>
      <c r="FG40" s="55">
        <f t="shared" si="115"/>
        <v>15999.4825</v>
      </c>
      <c r="FH40" s="55">
        <f t="shared" si="115"/>
        <v>5828.4807999999994</v>
      </c>
      <c r="FI40" s="55">
        <f t="shared" si="115"/>
        <v>731.48356860000001</v>
      </c>
      <c r="FJ40" s="55">
        <f t="shared" si="115"/>
        <v>1611.5625964000001</v>
      </c>
      <c r="FK40" s="298">
        <f t="shared" si="116"/>
        <v>0.73298100606573768</v>
      </c>
      <c r="FL40" s="52"/>
      <c r="FM40" s="55">
        <f t="shared" si="117"/>
        <v>1087.4110361008848</v>
      </c>
      <c r="FN40" s="55">
        <f t="shared" si="117"/>
        <v>1467.4909513008849</v>
      </c>
      <c r="FO40" s="55">
        <f t="shared" si="117"/>
        <v>756.00117370375335</v>
      </c>
      <c r="FP40" s="55">
        <f t="shared" si="117"/>
        <v>1136.0810889037534</v>
      </c>
      <c r="FR40" s="52"/>
      <c r="FS40" s="52"/>
      <c r="FT40" s="52"/>
      <c r="FU40" s="55">
        <f t="shared" si="118"/>
        <v>13892.6841</v>
      </c>
      <c r="FV40" s="55">
        <f t="shared" si="118"/>
        <v>4595.4400000000005</v>
      </c>
      <c r="FW40" s="55">
        <f t="shared" si="118"/>
        <v>261.7467456</v>
      </c>
      <c r="FX40" s="55">
        <f t="shared" si="118"/>
        <v>356.55048920000002</v>
      </c>
      <c r="FY40" s="298">
        <f t="shared" si="119"/>
        <v>0.75143827599036939</v>
      </c>
      <c r="FZ40" s="52"/>
      <c r="GA40" s="55">
        <f t="shared" si="120"/>
        <v>262.21120918585916</v>
      </c>
      <c r="GB40" s="55">
        <f t="shared" si="120"/>
        <v>356.20656758585915</v>
      </c>
      <c r="GC40" s="55">
        <f t="shared" si="120"/>
        <v>261.79953227007707</v>
      </c>
      <c r="GD40" s="55">
        <f t="shared" si="120"/>
        <v>355.79489067007705</v>
      </c>
      <c r="GF40" s="52"/>
      <c r="GG40" s="52"/>
      <c r="GH40" s="52"/>
      <c r="GI40" s="55">
        <f t="shared" si="191"/>
        <v>7591.3258999999998</v>
      </c>
      <c r="GJ40" s="55">
        <f t="shared" si="191"/>
        <v>2831.645</v>
      </c>
      <c r="GK40" s="56">
        <f t="shared" si="123"/>
        <v>125.90841374999999</v>
      </c>
      <c r="GL40" s="56">
        <f t="shared" si="123"/>
        <v>359.70022575000007</v>
      </c>
      <c r="GM40" s="298">
        <f t="shared" si="124"/>
        <v>0.72832649854179288</v>
      </c>
      <c r="GN40" s="52"/>
      <c r="GO40" s="56">
        <f t="shared" si="125"/>
        <v>246.47626679633473</v>
      </c>
      <c r="GP40" s="56">
        <f t="shared" si="125"/>
        <v>317.6153147963347</v>
      </c>
      <c r="GQ40" s="56">
        <f t="shared" si="125"/>
        <v>131.20805972259956</v>
      </c>
      <c r="GR40" s="56">
        <f t="shared" si="125"/>
        <v>202.34710772259956</v>
      </c>
      <c r="GW40" s="275">
        <v>0.69920000000000004</v>
      </c>
      <c r="GX40" s="275">
        <v>1.0257000000000001</v>
      </c>
      <c r="GY40" s="275">
        <v>1.6595</v>
      </c>
      <c r="GZ40" s="275">
        <v>220.39250000000001</v>
      </c>
      <c r="HA40" s="275">
        <v>95.132499999999993</v>
      </c>
      <c r="HB40" s="49">
        <f t="shared" si="126"/>
        <v>459.22756800000002</v>
      </c>
      <c r="HC40" s="49">
        <f t="shared" si="127"/>
        <v>1392.705717</v>
      </c>
      <c r="HD40" s="47">
        <f t="shared" si="128"/>
        <v>403.78953999999999</v>
      </c>
      <c r="HE40" s="47">
        <f t="shared" si="181"/>
        <v>121.74473786245147</v>
      </c>
      <c r="HF40" s="48">
        <f t="shared" si="182"/>
        <v>580.97230586245155</v>
      </c>
      <c r="HG40" s="48">
        <f t="shared" si="183"/>
        <v>1110.6609148624516</v>
      </c>
      <c r="HH40" s="93">
        <f t="shared" si="184"/>
        <v>474.05296154956989</v>
      </c>
      <c r="HI40" s="93">
        <f t="shared" si="185"/>
        <v>1003.7415705495699</v>
      </c>
      <c r="HJ40" s="298">
        <f t="shared" si="129"/>
        <v>0.69849457253783387</v>
      </c>
      <c r="HL40" s="275">
        <v>0.58899999999999997</v>
      </c>
      <c r="HM40" s="275">
        <v>0.79910000000000003</v>
      </c>
      <c r="HN40" s="275">
        <v>1.1168</v>
      </c>
      <c r="HO40" s="275">
        <v>8</v>
      </c>
      <c r="HP40" s="275">
        <v>4</v>
      </c>
      <c r="HQ40" s="49">
        <f t="shared" si="130"/>
        <v>313.14184999999998</v>
      </c>
      <c r="HR40" s="49">
        <f t="shared" si="131"/>
        <v>619.72602300000005</v>
      </c>
      <c r="HS40" s="47">
        <f t="shared" si="132"/>
        <v>144.94947199999999</v>
      </c>
      <c r="HT40" s="47">
        <f t="shared" si="186"/>
        <v>48.31649066666666</v>
      </c>
      <c r="HU40" s="48">
        <f t="shared" si="187"/>
        <v>361.45834066666663</v>
      </c>
      <c r="HV40" s="48">
        <f t="shared" si="188"/>
        <v>523.09304166666675</v>
      </c>
      <c r="HW40" s="93">
        <f t="shared" si="189"/>
        <v>316.1468985267029</v>
      </c>
      <c r="HX40" s="93">
        <f t="shared" si="190"/>
        <v>477.78159952670296</v>
      </c>
      <c r="HY40" s="298">
        <f t="shared" si="133"/>
        <v>0.66666666666666663</v>
      </c>
    </row>
    <row r="41" spans="1:233" s="131" customFormat="1" x14ac:dyDescent="0.2">
      <c r="A41" s="118">
        <v>31</v>
      </c>
      <c r="B41" s="118"/>
      <c r="C41" s="275">
        <v>0.74890000000000001</v>
      </c>
      <c r="D41" s="275">
        <v>0.90900000000000003</v>
      </c>
      <c r="E41" s="275">
        <v>1.5419</v>
      </c>
      <c r="F41" s="275">
        <v>6668.7507999999998</v>
      </c>
      <c r="G41" s="275">
        <v>2231.4749999999999</v>
      </c>
      <c r="H41" s="49">
        <f t="shared" si="100"/>
        <v>740.69954499999994</v>
      </c>
      <c r="I41" s="49">
        <f t="shared" si="100"/>
        <v>1637.85438</v>
      </c>
      <c r="J41" s="47">
        <f t="shared" si="100"/>
        <v>417.60819599999996</v>
      </c>
      <c r="K41" s="47">
        <f t="shared" si="134"/>
        <v>104.70321429025989</v>
      </c>
      <c r="L41" s="48">
        <f t="shared" si="135"/>
        <v>845.40275929025984</v>
      </c>
      <c r="M41" s="48">
        <f t="shared" si="136"/>
        <v>1324.94939829026</v>
      </c>
      <c r="N41" s="93">
        <f t="shared" si="137"/>
        <v>762.99593816561833</v>
      </c>
      <c r="O41" s="93">
        <f t="shared" si="138"/>
        <v>1242.5425771656185</v>
      </c>
      <c r="P41" s="298">
        <f t="shared" si="101"/>
        <v>0.74927883290331798</v>
      </c>
      <c r="Q41" s="275">
        <v>0.66369999999999996</v>
      </c>
      <c r="R41" s="275">
        <v>0.94830000000000003</v>
      </c>
      <c r="S41" s="275">
        <v>1.7456</v>
      </c>
      <c r="T41" s="275">
        <v>814.28830000000005</v>
      </c>
      <c r="U41" s="275">
        <v>378.18079999999998</v>
      </c>
      <c r="V41" s="49">
        <f t="shared" si="102"/>
        <v>406.84146299999998</v>
      </c>
      <c r="W41" s="49">
        <f t="shared" si="102"/>
        <v>1100.6538780000001</v>
      </c>
      <c r="X41" s="47">
        <f t="shared" si="102"/>
        <v>377.55582399999997</v>
      </c>
      <c r="Y41" s="47">
        <f t="shared" si="139"/>
        <v>275.66140375029221</v>
      </c>
      <c r="Z41" s="48">
        <f t="shared" si="140"/>
        <v>682.50286675029224</v>
      </c>
      <c r="AA41" s="48">
        <f t="shared" si="141"/>
        <v>998.75945775029231</v>
      </c>
      <c r="AB41" s="93">
        <f t="shared" si="142"/>
        <v>423.95942068304566</v>
      </c>
      <c r="AC41" s="93">
        <f t="shared" si="143"/>
        <v>740.21601168304574</v>
      </c>
      <c r="AD41" s="118"/>
      <c r="AE41" s="275">
        <v>0.66910000000000003</v>
      </c>
      <c r="AF41" s="275">
        <v>0.8448</v>
      </c>
      <c r="AG41" s="275">
        <v>1.6059000000000001</v>
      </c>
      <c r="AH41" s="275">
        <v>71.252499999999998</v>
      </c>
      <c r="AI41" s="275">
        <v>14.9383</v>
      </c>
      <c r="AJ41" s="49">
        <f t="shared" si="103"/>
        <v>313.72091700000004</v>
      </c>
      <c r="AK41" s="49">
        <f t="shared" si="103"/>
        <v>960.35174399999994</v>
      </c>
      <c r="AL41" s="47">
        <f t="shared" si="103"/>
        <v>321.06758700000006</v>
      </c>
      <c r="AM41" s="47">
        <f t="shared" si="144"/>
        <v>242.00960161511682</v>
      </c>
      <c r="AN41" s="48">
        <f t="shared" si="145"/>
        <v>555.73051861511681</v>
      </c>
      <c r="AO41" s="48">
        <f t="shared" si="146"/>
        <v>881.29375861511664</v>
      </c>
      <c r="AP41" s="93">
        <f t="shared" si="147"/>
        <v>326.82760012682206</v>
      </c>
      <c r="AQ41" s="93">
        <f t="shared" si="148"/>
        <v>652.39084012682179</v>
      </c>
      <c r="AR41" s="118"/>
      <c r="AS41" s="275">
        <v>1.0022</v>
      </c>
      <c r="AT41" s="275">
        <v>1.2805</v>
      </c>
      <c r="AU41" s="275">
        <v>1.8662000000000001</v>
      </c>
      <c r="AV41" s="275">
        <v>3967.9708000000001</v>
      </c>
      <c r="AW41" s="275">
        <v>1219.6475</v>
      </c>
      <c r="AX41" s="49">
        <f t="shared" si="104"/>
        <v>349.21659</v>
      </c>
      <c r="AY41" s="49">
        <f t="shared" si="104"/>
        <v>896.18353500000001</v>
      </c>
      <c r="AZ41" s="47">
        <f t="shared" si="104"/>
        <v>491.68771400000008</v>
      </c>
      <c r="BA41" s="47">
        <f t="shared" si="149"/>
        <v>353.81595424891179</v>
      </c>
      <c r="BB41" s="48">
        <f t="shared" si="150"/>
        <v>703.03254424891179</v>
      </c>
      <c r="BC41" s="48">
        <f t="shared" si="151"/>
        <v>758.31177524891177</v>
      </c>
      <c r="BD41" s="93">
        <f t="shared" si="152"/>
        <v>367.64583557571945</v>
      </c>
      <c r="BE41" s="93">
        <f t="shared" si="153"/>
        <v>422.92506657571937</v>
      </c>
      <c r="BF41" s="118"/>
      <c r="BG41" s="275">
        <v>0.88700000000000001</v>
      </c>
      <c r="BH41" s="275">
        <v>1.3852</v>
      </c>
      <c r="BI41" s="275">
        <v>2.0350000000000001</v>
      </c>
      <c r="BJ41" s="275">
        <v>3061.9225000000001</v>
      </c>
      <c r="BK41" s="275">
        <v>946.15250000000003</v>
      </c>
      <c r="BL41" s="49">
        <f t="shared" si="105"/>
        <v>300.00114000000002</v>
      </c>
      <c r="BM41" s="49">
        <f t="shared" si="105"/>
        <v>828.98679200000004</v>
      </c>
      <c r="BN41" s="47">
        <f t="shared" si="105"/>
        <v>468.96575000000001</v>
      </c>
      <c r="BO41" s="47">
        <f t="shared" si="154"/>
        <v>344.34948472981023</v>
      </c>
      <c r="BP41" s="48">
        <f t="shared" si="155"/>
        <v>644.35062472981031</v>
      </c>
      <c r="BQ41" s="48">
        <f t="shared" si="156"/>
        <v>704.37052672981031</v>
      </c>
      <c r="BR41" s="93">
        <f t="shared" si="157"/>
        <v>319.70667904207215</v>
      </c>
      <c r="BS41" s="93">
        <f t="shared" si="158"/>
        <v>379.72658104207216</v>
      </c>
      <c r="BT41" s="118"/>
      <c r="BU41" s="275">
        <v>0.87119999999999997</v>
      </c>
      <c r="BV41" s="275">
        <v>1.1615</v>
      </c>
      <c r="BW41" s="275">
        <v>2.3938000000000001</v>
      </c>
      <c r="BX41" s="275">
        <v>5368.6283000000003</v>
      </c>
      <c r="BY41" s="275">
        <v>1924.1817000000001</v>
      </c>
      <c r="BZ41" s="49">
        <f t="shared" si="106"/>
        <v>204.85396799999998</v>
      </c>
      <c r="CA41" s="49">
        <f t="shared" si="106"/>
        <v>417.59409499999998</v>
      </c>
      <c r="CB41" s="47">
        <f t="shared" si="106"/>
        <v>225.47202200000001</v>
      </c>
      <c r="CC41" s="47">
        <f t="shared" si="159"/>
        <v>151.26689369247839</v>
      </c>
      <c r="CD41" s="48">
        <f t="shared" si="160"/>
        <v>356.12086169247834</v>
      </c>
      <c r="CE41" s="48">
        <f t="shared" si="161"/>
        <v>343.38896669247833</v>
      </c>
      <c r="CF41" s="93">
        <f t="shared" si="162"/>
        <v>216.21701894558669</v>
      </c>
      <c r="CG41" s="93">
        <f t="shared" si="163"/>
        <v>203.48512394558668</v>
      </c>
      <c r="CH41" s="118"/>
      <c r="CI41" s="275">
        <v>0.84460000000000002</v>
      </c>
      <c r="CJ41" s="275">
        <v>0.85729999999999995</v>
      </c>
      <c r="CK41" s="275">
        <v>1.5106999999999999</v>
      </c>
      <c r="CL41" s="275">
        <v>12264.620800000001</v>
      </c>
      <c r="CM41" s="275">
        <v>4021.8150000000001</v>
      </c>
      <c r="CN41" s="49">
        <f t="shared" si="107"/>
        <v>174.32544000000001</v>
      </c>
      <c r="CO41" s="49">
        <f t="shared" si="107"/>
        <v>229.60208599999999</v>
      </c>
      <c r="CP41" s="47">
        <f t="shared" si="107"/>
        <v>0.634494</v>
      </c>
      <c r="CQ41" s="47">
        <f t="shared" si="164"/>
        <v>0.3606615954033397</v>
      </c>
      <c r="CR41" s="48">
        <f t="shared" si="165"/>
        <v>174.68610159540336</v>
      </c>
      <c r="CS41" s="48">
        <f t="shared" si="166"/>
        <v>229.32825359540334</v>
      </c>
      <c r="CT41" s="93">
        <f t="shared" si="167"/>
        <v>174.36006258071862</v>
      </c>
      <c r="CU41" s="93">
        <f t="shared" si="168"/>
        <v>229.0022145807186</v>
      </c>
      <c r="CV41" s="118"/>
      <c r="CW41" s="275">
        <v>0.58709999999999996</v>
      </c>
      <c r="CX41" s="275">
        <v>0.63639999999999997</v>
      </c>
      <c r="CY41" s="275">
        <v>1.1334</v>
      </c>
      <c r="CZ41" s="275">
        <v>4909.5625</v>
      </c>
      <c r="DA41" s="275">
        <v>1282.395</v>
      </c>
      <c r="DB41" s="49">
        <f t="shared" si="108"/>
        <v>121.87608899999999</v>
      </c>
      <c r="DC41" s="49">
        <f t="shared" si="108"/>
        <v>179.152964</v>
      </c>
      <c r="DD41" s="47">
        <f t="shared" si="108"/>
        <v>0.32868599999999998</v>
      </c>
      <c r="DE41" s="47">
        <f t="shared" si="169"/>
        <v>0.19561258469395643</v>
      </c>
      <c r="DF41" s="48">
        <f t="shared" si="170"/>
        <v>122.07170158469395</v>
      </c>
      <c r="DG41" s="48">
        <f t="shared" si="171"/>
        <v>179.01989058469394</v>
      </c>
      <c r="DH41" s="93">
        <f t="shared" si="172"/>
        <v>121.89879411169807</v>
      </c>
      <c r="DI41" s="93">
        <f t="shared" si="173"/>
        <v>178.84698311169805</v>
      </c>
      <c r="DJ41" s="118"/>
      <c r="DK41" s="275">
        <v>0.56410000000000005</v>
      </c>
      <c r="DL41" s="275">
        <v>0.58409999999999995</v>
      </c>
      <c r="DM41" s="275">
        <v>0.96450000000000002</v>
      </c>
      <c r="DN41" s="275">
        <v>1852.7557999999999</v>
      </c>
      <c r="DO41" s="275">
        <v>664.66579999999999</v>
      </c>
      <c r="DP41" s="49">
        <f t="shared" si="109"/>
        <v>76.852984000000006</v>
      </c>
      <c r="DQ41" s="49">
        <f t="shared" si="109"/>
        <v>115.24877099999999</v>
      </c>
      <c r="DR41" s="47">
        <f t="shared" si="109"/>
        <v>0.21219000000000002</v>
      </c>
      <c r="DS41" s="47">
        <f t="shared" si="174"/>
        <v>0.12730043366074403</v>
      </c>
      <c r="DT41" s="48">
        <f t="shared" si="175"/>
        <v>76.980284433660756</v>
      </c>
      <c r="DU41" s="48">
        <f t="shared" si="176"/>
        <v>115.16388143366073</v>
      </c>
      <c r="DV41" s="93">
        <f t="shared" si="177"/>
        <v>76.875064751043311</v>
      </c>
      <c r="DW41" s="93">
        <f t="shared" si="178"/>
        <v>115.05866175104329</v>
      </c>
      <c r="DX41" s="118"/>
      <c r="DY41" s="118"/>
      <c r="DZ41" s="118"/>
      <c r="EB41" s="52"/>
      <c r="EC41" s="52"/>
      <c r="ED41" s="52"/>
      <c r="EE41" s="55">
        <f t="shared" si="179"/>
        <v>27810.904900000001</v>
      </c>
      <c r="EF41" s="55">
        <f t="shared" si="179"/>
        <v>8755.3325000000004</v>
      </c>
      <c r="EG41" s="55">
        <f t="shared" si="179"/>
        <v>1361.7424461999999</v>
      </c>
      <c r="EH41" s="55">
        <f t="shared" si="179"/>
        <v>2906.9623721999997</v>
      </c>
      <c r="EI41" s="298">
        <f t="shared" si="110"/>
        <v>0.76056238971964896</v>
      </c>
      <c r="EJ41" s="52"/>
      <c r="EK41" s="55">
        <f t="shared" si="180"/>
        <v>1820.7787664023303</v>
      </c>
      <c r="EL41" s="55">
        <f t="shared" si="180"/>
        <v>2455.8053396023302</v>
      </c>
      <c r="EM41" s="55">
        <f t="shared" si="111"/>
        <v>1402.520871611415</v>
      </c>
      <c r="EN41" s="55">
        <f t="shared" si="111"/>
        <v>2037.5474448114148</v>
      </c>
      <c r="EP41" s="52"/>
      <c r="EQ41" s="52"/>
      <c r="ER41" s="52"/>
      <c r="ES41" s="55">
        <f t="shared" si="112"/>
        <v>21050.394100000001</v>
      </c>
      <c r="ET41" s="55">
        <f t="shared" si="112"/>
        <v>6628.5432999999994</v>
      </c>
      <c r="EU41" s="55">
        <f t="shared" si="112"/>
        <v>966.48130530000014</v>
      </c>
      <c r="EV41" s="55">
        <f t="shared" si="112"/>
        <v>2284.6498308</v>
      </c>
      <c r="EW41" s="298">
        <f t="shared" si="113"/>
        <v>0.76052031173711165</v>
      </c>
      <c r="EX41" s="52"/>
      <c r="EY41" s="55">
        <f t="shared" si="114"/>
        <v>1586.9897841847917</v>
      </c>
      <c r="EZ41" s="55">
        <f t="shared" si="114"/>
        <v>2057.7721614847919</v>
      </c>
      <c r="FA41" s="55">
        <f t="shared" si="114"/>
        <v>1003.3553181840251</v>
      </c>
      <c r="FB41" s="55">
        <f t="shared" si="114"/>
        <v>1474.1376954840252</v>
      </c>
      <c r="FD41" s="52"/>
      <c r="FE41" s="52"/>
      <c r="FF41" s="52"/>
      <c r="FG41" s="55">
        <f t="shared" si="115"/>
        <v>19557.257399999999</v>
      </c>
      <c r="FH41" s="55">
        <f t="shared" si="115"/>
        <v>6625.6008000000002</v>
      </c>
      <c r="FI41" s="55">
        <f t="shared" si="115"/>
        <v>739.01211540000008</v>
      </c>
      <c r="FJ41" s="55">
        <f t="shared" si="115"/>
        <v>1676.6971875999998</v>
      </c>
      <c r="FK41" s="298">
        <f t="shared" si="116"/>
        <v>0.74694891026068344</v>
      </c>
      <c r="FL41" s="52"/>
      <c r="FM41" s="55">
        <f t="shared" si="117"/>
        <v>1132.7256525631949</v>
      </c>
      <c r="FN41" s="55">
        <f t="shared" si="117"/>
        <v>1523.1093077631947</v>
      </c>
      <c r="FO41" s="55">
        <f t="shared" si="117"/>
        <v>763.52972050375331</v>
      </c>
      <c r="FP41" s="55">
        <f t="shared" si="117"/>
        <v>1153.9133757037532</v>
      </c>
      <c r="FR41" s="52"/>
      <c r="FS41" s="52"/>
      <c r="FT41" s="52"/>
      <c r="FU41" s="55">
        <f t="shared" si="118"/>
        <v>17174.183300000001</v>
      </c>
      <c r="FV41" s="55">
        <f t="shared" si="118"/>
        <v>5304.21</v>
      </c>
      <c r="FW41" s="55">
        <f t="shared" si="118"/>
        <v>271.82631120000002</v>
      </c>
      <c r="FX41" s="55">
        <f t="shared" si="118"/>
        <v>372.92445720000001</v>
      </c>
      <c r="FY41" s="298">
        <f t="shared" si="119"/>
        <v>0.76403073257019671</v>
      </c>
      <c r="FZ41" s="52"/>
      <c r="GA41" s="55">
        <f t="shared" si="120"/>
        <v>272.34346286315849</v>
      </c>
      <c r="GB41" s="55">
        <f t="shared" si="120"/>
        <v>372.54416606315851</v>
      </c>
      <c r="GC41" s="55">
        <f t="shared" si="120"/>
        <v>271.87909787007709</v>
      </c>
      <c r="GD41" s="55">
        <f t="shared" si="120"/>
        <v>372.07980107007705</v>
      </c>
      <c r="GF41" s="52"/>
      <c r="GG41" s="52"/>
      <c r="GH41" s="52"/>
      <c r="GI41" s="55">
        <f t="shared" si="191"/>
        <v>9336.5990999999995</v>
      </c>
      <c r="GJ41" s="55">
        <f t="shared" si="191"/>
        <v>3143.8292000000001</v>
      </c>
      <c r="GK41" s="56">
        <f t="shared" si="123"/>
        <v>108.27196650000002</v>
      </c>
      <c r="GL41" s="56">
        <f t="shared" si="123"/>
        <v>358.94208000000003</v>
      </c>
      <c r="GM41" s="298">
        <f t="shared" si="124"/>
        <v>0.74809925393345678</v>
      </c>
      <c r="GN41" s="52"/>
      <c r="GO41" s="56">
        <f t="shared" si="125"/>
        <v>260.18376191732511</v>
      </c>
      <c r="GP41" s="56">
        <f t="shared" si="125"/>
        <v>311.19210641732508</v>
      </c>
      <c r="GQ41" s="56">
        <f t="shared" si="125"/>
        <v>113.57161247259957</v>
      </c>
      <c r="GR41" s="56">
        <f t="shared" si="125"/>
        <v>164.57995697259952</v>
      </c>
      <c r="GW41" s="275">
        <v>0.71140000000000003</v>
      </c>
      <c r="GX41" s="275">
        <v>1.0516000000000001</v>
      </c>
      <c r="GY41" s="275">
        <v>1.8695999999999999</v>
      </c>
      <c r="GZ41" s="275">
        <v>296.1583</v>
      </c>
      <c r="HA41" s="275">
        <v>88.854200000000006</v>
      </c>
      <c r="HB41" s="49">
        <f t="shared" si="126"/>
        <v>467.24040600000001</v>
      </c>
      <c r="HC41" s="49">
        <f t="shared" si="127"/>
        <v>1427.8729960000001</v>
      </c>
      <c r="HD41" s="47">
        <f t="shared" si="128"/>
        <v>454.91107199999999</v>
      </c>
      <c r="HE41" s="47">
        <f t="shared" si="181"/>
        <v>104.98557676361781</v>
      </c>
      <c r="HF41" s="48">
        <f t="shared" si="182"/>
        <v>572.22598276361782</v>
      </c>
      <c r="HG41" s="48">
        <f t="shared" si="183"/>
        <v>1077.9475007636179</v>
      </c>
      <c r="HH41" s="93">
        <f t="shared" si="184"/>
        <v>482.06579954956987</v>
      </c>
      <c r="HI41" s="93">
        <f t="shared" si="185"/>
        <v>987.78731754956993</v>
      </c>
      <c r="HJ41" s="298">
        <f t="shared" si="129"/>
        <v>0.76921736307262756</v>
      </c>
      <c r="HL41" s="275">
        <v>0.62660000000000005</v>
      </c>
      <c r="HM41" s="275">
        <v>0.82630000000000003</v>
      </c>
      <c r="HN41" s="275">
        <v>1.1533</v>
      </c>
      <c r="HO41" s="275">
        <v>7.5833000000000004</v>
      </c>
      <c r="HP41" s="275">
        <v>3</v>
      </c>
      <c r="HQ41" s="49">
        <f t="shared" si="130"/>
        <v>333.13189</v>
      </c>
      <c r="HR41" s="49">
        <f t="shared" si="131"/>
        <v>640.82043899999996</v>
      </c>
      <c r="HS41" s="47">
        <f t="shared" si="132"/>
        <v>149.68680699999999</v>
      </c>
      <c r="HT41" s="47">
        <f t="shared" si="186"/>
        <v>42.431039562329325</v>
      </c>
      <c r="HU41" s="48">
        <f t="shared" si="187"/>
        <v>375.56292956232932</v>
      </c>
      <c r="HV41" s="48">
        <f t="shared" si="188"/>
        <v>533.56467156232929</v>
      </c>
      <c r="HW41" s="93">
        <f t="shared" si="189"/>
        <v>336.13693852670292</v>
      </c>
      <c r="HX41" s="93">
        <f t="shared" si="190"/>
        <v>494.1386805267029</v>
      </c>
      <c r="HY41" s="298">
        <f t="shared" si="133"/>
        <v>0.7165345402662685</v>
      </c>
    </row>
    <row r="42" spans="1:233" s="131" customFormat="1" x14ac:dyDescent="0.2">
      <c r="A42" s="118">
        <v>32</v>
      </c>
      <c r="B42" s="118"/>
      <c r="C42" s="275">
        <v>0.76600000000000001</v>
      </c>
      <c r="D42" s="275">
        <v>0.93669999999999998</v>
      </c>
      <c r="E42" s="275">
        <v>1.7075</v>
      </c>
      <c r="F42" s="275">
        <v>8042.0757999999996</v>
      </c>
      <c r="G42" s="275">
        <v>2797.7249999999999</v>
      </c>
      <c r="H42" s="49">
        <f t="shared" ref="H42:J73" si="192" xml:space="preserve"> C42 * C$8</f>
        <v>757.6123</v>
      </c>
      <c r="I42" s="49">
        <f t="shared" si="192"/>
        <v>1687.7647939999999</v>
      </c>
      <c r="J42" s="47">
        <f t="shared" si="192"/>
        <v>462.45929999999998</v>
      </c>
      <c r="K42" s="47">
        <f t="shared" si="134"/>
        <v>119.35956840576813</v>
      </c>
      <c r="L42" s="48">
        <f t="shared" si="135"/>
        <v>876.97186840576819</v>
      </c>
      <c r="M42" s="48">
        <f t="shared" si="136"/>
        <v>1344.6650624057681</v>
      </c>
      <c r="N42" s="93">
        <f t="shared" si="137"/>
        <v>779.90869316561839</v>
      </c>
      <c r="O42" s="93">
        <f t="shared" si="138"/>
        <v>1247.6018871656183</v>
      </c>
      <c r="P42" s="298">
        <f t="shared" ref="P42:P73" si="193" xml:space="preserve"> IF(   SUM(F42:G42) = 0,    IF( H42&lt;I42, lambdax_min, lambdax_max ),
                                                                   MAX( lambdax_min, MIN( lambdax_max, F42 / SUM(F42:G42) ) )     )</f>
        <v>0.7419025449249953</v>
      </c>
      <c r="Q42" s="275">
        <v>0.67069999999999996</v>
      </c>
      <c r="R42" s="275">
        <v>0.96660000000000001</v>
      </c>
      <c r="S42" s="275">
        <v>1.8648</v>
      </c>
      <c r="T42" s="275">
        <v>995.98080000000004</v>
      </c>
      <c r="U42" s="275">
        <v>489</v>
      </c>
      <c r="V42" s="49">
        <f t="shared" ref="V42:X73" si="194" xml:space="preserve"> Q42 * Q$8</f>
        <v>411.13239299999998</v>
      </c>
      <c r="W42" s="49">
        <f t="shared" si="194"/>
        <v>1121.8939560000001</v>
      </c>
      <c r="X42" s="47">
        <f t="shared" si="194"/>
        <v>403.33759199999997</v>
      </c>
      <c r="Y42" s="47">
        <f t="shared" si="139"/>
        <v>295.16909933580922</v>
      </c>
      <c r="Z42" s="48">
        <f t="shared" si="140"/>
        <v>706.30149233580914</v>
      </c>
      <c r="AA42" s="48">
        <f t="shared" si="141"/>
        <v>1013.7254633358093</v>
      </c>
      <c r="AB42" s="93">
        <f t="shared" si="142"/>
        <v>428.25035068304567</v>
      </c>
      <c r="AC42" s="93">
        <f t="shared" si="143"/>
        <v>735.67432168304583</v>
      </c>
      <c r="AD42" s="118"/>
      <c r="AE42" s="275">
        <v>0.67759999999999998</v>
      </c>
      <c r="AF42" s="275">
        <v>0.87370000000000003</v>
      </c>
      <c r="AG42" s="275">
        <v>1.7129000000000001</v>
      </c>
      <c r="AH42" s="275">
        <v>81.083299999999994</v>
      </c>
      <c r="AI42" s="275">
        <v>33.037500000000001</v>
      </c>
      <c r="AJ42" s="49">
        <f t="shared" ref="AJ42:AL73" si="195" xml:space="preserve"> AE42 * AE$8</f>
        <v>317.70631199999997</v>
      </c>
      <c r="AK42" s="49">
        <f t="shared" si="195"/>
        <v>993.20468600000004</v>
      </c>
      <c r="AL42" s="47">
        <f t="shared" si="195"/>
        <v>342.46009700000002</v>
      </c>
      <c r="AM42" s="47">
        <f t="shared" si="144"/>
        <v>259.46305556009571</v>
      </c>
      <c r="AN42" s="48">
        <f t="shared" si="145"/>
        <v>577.16936756009568</v>
      </c>
      <c r="AO42" s="48">
        <f t="shared" si="146"/>
        <v>910.20764456009579</v>
      </c>
      <c r="AP42" s="93">
        <f t="shared" si="147"/>
        <v>330.81299512682199</v>
      </c>
      <c r="AQ42" s="93">
        <f t="shared" si="148"/>
        <v>663.85127212682198</v>
      </c>
      <c r="AR42" s="118"/>
      <c r="AS42" s="275">
        <v>0.94599999999999995</v>
      </c>
      <c r="AT42" s="275">
        <v>1.2950999999999999</v>
      </c>
      <c r="AU42" s="275">
        <v>2.0716999999999999</v>
      </c>
      <c r="AV42" s="275">
        <v>4930.8917000000001</v>
      </c>
      <c r="AW42" s="275">
        <v>1590.3058000000001</v>
      </c>
      <c r="AX42" s="49">
        <f t="shared" ref="AX42:AZ73" si="196" xml:space="preserve"> AS42 * AS$8</f>
        <v>329.63369999999998</v>
      </c>
      <c r="AY42" s="49">
        <f t="shared" si="196"/>
        <v>906.40163699999994</v>
      </c>
      <c r="AZ42" s="47">
        <f t="shared" si="196"/>
        <v>545.83079900000007</v>
      </c>
      <c r="BA42" s="47">
        <f t="shared" si="149"/>
        <v>400.26519867903909</v>
      </c>
      <c r="BB42" s="48">
        <f t="shared" si="150"/>
        <v>729.89889867903912</v>
      </c>
      <c r="BC42" s="48">
        <f t="shared" si="151"/>
        <v>760.8360366790389</v>
      </c>
      <c r="BD42" s="93">
        <f t="shared" si="152"/>
        <v>348.06294557571943</v>
      </c>
      <c r="BE42" s="93">
        <f t="shared" si="153"/>
        <v>379.00008357571932</v>
      </c>
      <c r="BF42" s="118"/>
      <c r="BG42" s="275">
        <v>0.86380000000000001</v>
      </c>
      <c r="BH42" s="275">
        <v>1.3902000000000001</v>
      </c>
      <c r="BI42" s="275">
        <v>2.1627999999999998</v>
      </c>
      <c r="BJ42" s="275">
        <v>3884.4641999999999</v>
      </c>
      <c r="BK42" s="275">
        <v>1182.1483000000001</v>
      </c>
      <c r="BL42" s="49">
        <f t="shared" ref="BL42:BN73" si="197" xml:space="preserve"> BG42 * BG$8</f>
        <v>292.15443600000003</v>
      </c>
      <c r="BM42" s="49">
        <f t="shared" si="197"/>
        <v>831.97909200000015</v>
      </c>
      <c r="BN42" s="47">
        <f t="shared" si="197"/>
        <v>498.41725999999994</v>
      </c>
      <c r="BO42" s="47">
        <f t="shared" si="154"/>
        <v>368.88210260011726</v>
      </c>
      <c r="BP42" s="48">
        <f t="shared" si="155"/>
        <v>661.0365386001173</v>
      </c>
      <c r="BQ42" s="48">
        <f t="shared" si="156"/>
        <v>702.44393460011747</v>
      </c>
      <c r="BR42" s="93">
        <f t="shared" si="157"/>
        <v>311.85997504207216</v>
      </c>
      <c r="BS42" s="93">
        <f t="shared" si="158"/>
        <v>353.26737104207234</v>
      </c>
      <c r="BT42" s="118"/>
      <c r="BU42" s="275">
        <v>0.86980000000000002</v>
      </c>
      <c r="BV42" s="275">
        <v>1.1953</v>
      </c>
      <c r="BW42" s="275">
        <v>2.5078</v>
      </c>
      <c r="BX42" s="275">
        <v>6280.6450000000004</v>
      </c>
      <c r="BY42" s="275">
        <v>2278.895</v>
      </c>
      <c r="BZ42" s="49">
        <f t="shared" ref="BZ42:CB73" si="198" xml:space="preserve"> BU42 * BU$8</f>
        <v>204.52477199999998</v>
      </c>
      <c r="CA42" s="49">
        <f t="shared" si="198"/>
        <v>429.74620899999996</v>
      </c>
      <c r="CB42" s="47">
        <f t="shared" si="198"/>
        <v>236.20968199999999</v>
      </c>
      <c r="CC42" s="47">
        <f t="shared" si="159"/>
        <v>160.04234532147947</v>
      </c>
      <c r="CD42" s="48">
        <f t="shared" si="160"/>
        <v>364.56711732147949</v>
      </c>
      <c r="CE42" s="48">
        <f t="shared" si="161"/>
        <v>353.57887232147948</v>
      </c>
      <c r="CF42" s="93">
        <f t="shared" si="162"/>
        <v>215.88782294558669</v>
      </c>
      <c r="CG42" s="93">
        <f t="shared" si="163"/>
        <v>204.89957794558669</v>
      </c>
      <c r="CH42" s="118"/>
      <c r="CI42" s="275">
        <v>0.85940000000000005</v>
      </c>
      <c r="CJ42" s="275">
        <v>0.88260000000000005</v>
      </c>
      <c r="CK42" s="275">
        <v>1.631</v>
      </c>
      <c r="CL42" s="275">
        <v>14993.8292</v>
      </c>
      <c r="CM42" s="275">
        <v>4967.5866999999998</v>
      </c>
      <c r="CN42" s="49">
        <f t="shared" ref="CN42:CP73" si="199" xml:space="preserve"> CI42 * CI$8</f>
        <v>177.38016000000002</v>
      </c>
      <c r="CO42" s="49">
        <f t="shared" si="199"/>
        <v>236.37793200000002</v>
      </c>
      <c r="CP42" s="47">
        <f t="shared" si="199"/>
        <v>0.68501999999999996</v>
      </c>
      <c r="CQ42" s="47">
        <f t="shared" si="164"/>
        <v>0.39134850558678619</v>
      </c>
      <c r="CR42" s="48">
        <f t="shared" si="165"/>
        <v>177.77150850558681</v>
      </c>
      <c r="CS42" s="48">
        <f t="shared" si="166"/>
        <v>236.0842605055868</v>
      </c>
      <c r="CT42" s="93">
        <f t="shared" si="167"/>
        <v>177.41478258071862</v>
      </c>
      <c r="CU42" s="93">
        <f t="shared" si="168"/>
        <v>235.72753458071861</v>
      </c>
      <c r="CV42" s="118"/>
      <c r="CW42" s="275">
        <v>0.6341</v>
      </c>
      <c r="CX42" s="275">
        <v>0.67910000000000004</v>
      </c>
      <c r="CY42" s="275">
        <v>1.2462</v>
      </c>
      <c r="CZ42" s="275">
        <v>6153.3517000000002</v>
      </c>
      <c r="DA42" s="275">
        <v>1727.5374999999999</v>
      </c>
      <c r="DB42" s="49">
        <f t="shared" ref="DB42:DD73" si="200" xml:space="preserve"> CW42 * CW$8</f>
        <v>131.63281900000001</v>
      </c>
      <c r="DC42" s="49">
        <f t="shared" si="200"/>
        <v>191.173441</v>
      </c>
      <c r="DD42" s="47">
        <f t="shared" si="200"/>
        <v>0.36139799999999994</v>
      </c>
      <c r="DE42" s="47">
        <f t="shared" si="169"/>
        <v>0.21402837488504092</v>
      </c>
      <c r="DF42" s="48">
        <f t="shared" si="170"/>
        <v>131.84684737488504</v>
      </c>
      <c r="DG42" s="48">
        <f t="shared" si="171"/>
        <v>191.02607137488502</v>
      </c>
      <c r="DH42" s="93">
        <f t="shared" si="172"/>
        <v>131.65552411169807</v>
      </c>
      <c r="DI42" s="93">
        <f t="shared" si="173"/>
        <v>190.83474811169805</v>
      </c>
      <c r="DJ42" s="118"/>
      <c r="DK42" s="275">
        <v>0.6069</v>
      </c>
      <c r="DL42" s="275">
        <v>0.63680000000000003</v>
      </c>
      <c r="DM42" s="275">
        <v>1.0335000000000001</v>
      </c>
      <c r="DN42" s="275">
        <v>2234.5441999999998</v>
      </c>
      <c r="DO42" s="275">
        <v>809.80669999999998</v>
      </c>
      <c r="DP42" s="49">
        <f t="shared" ref="DP42:DR73" si="201" xml:space="preserve"> DK42 * DK$8</f>
        <v>82.684055999999998</v>
      </c>
      <c r="DQ42" s="49">
        <f t="shared" si="201"/>
        <v>125.64700800000001</v>
      </c>
      <c r="DR42" s="47">
        <f t="shared" si="201"/>
        <v>0.22737000000000002</v>
      </c>
      <c r="DS42" s="47">
        <f t="shared" si="174"/>
        <v>0.13712962272856247</v>
      </c>
      <c r="DT42" s="48">
        <f t="shared" si="175"/>
        <v>82.821185622728564</v>
      </c>
      <c r="DU42" s="48">
        <f t="shared" si="176"/>
        <v>125.55676762272859</v>
      </c>
      <c r="DV42" s="93">
        <f t="shared" si="177"/>
        <v>82.706136751043303</v>
      </c>
      <c r="DW42" s="93">
        <f t="shared" si="178"/>
        <v>125.44171875104333</v>
      </c>
      <c r="DX42" s="118"/>
      <c r="DY42" s="118"/>
      <c r="DZ42" s="118"/>
      <c r="EB42" s="52"/>
      <c r="EC42" s="52"/>
      <c r="ED42" s="52"/>
      <c r="EE42" s="55">
        <f t="shared" si="179"/>
        <v>34120.148399999998</v>
      </c>
      <c r="EF42" s="55">
        <f t="shared" si="179"/>
        <v>11083.155000000001</v>
      </c>
      <c r="EG42" s="55">
        <f t="shared" si="179"/>
        <v>1369.9324151999999</v>
      </c>
      <c r="EH42" s="55">
        <f t="shared" si="179"/>
        <v>2983.4831157999997</v>
      </c>
      <c r="EI42" s="298">
        <f t="shared" ref="EI42:EI73" si="202" xml:space="preserve"> IF(   SUM(EE42:EF42) = 0,    IF( EG42&lt;EH42, lambdax_min, lambdax_max ),
                                                                   MAX( lambdax_min, MIN( lambdax_max, EE42 / SUM(EE42:EF42) ) )     )</f>
        <v>0.75481537484271555</v>
      </c>
      <c r="EJ42" s="52"/>
      <c r="EK42" s="55">
        <f t="shared" si="180"/>
        <v>1890.1197534903022</v>
      </c>
      <c r="EL42" s="55">
        <f t="shared" si="180"/>
        <v>2494.4062166903018</v>
      </c>
      <c r="EM42" s="55">
        <f t="shared" si="111"/>
        <v>1410.7108406114148</v>
      </c>
      <c r="EN42" s="55">
        <f t="shared" si="111"/>
        <v>2014.9973038114147</v>
      </c>
      <c r="EP42" s="52"/>
      <c r="EQ42" s="52"/>
      <c r="ER42" s="52"/>
      <c r="ES42" s="55">
        <f t="shared" ref="ES42:EV73" si="203" xml:space="preserve"> T42 + BJ42 + CL42 + ES$8 * CZ42</f>
        <v>26027.625899999999</v>
      </c>
      <c r="ET42" s="55">
        <f t="shared" si="203"/>
        <v>8366.2724999999991</v>
      </c>
      <c r="EU42" s="55">
        <f t="shared" si="203"/>
        <v>972.80996230000005</v>
      </c>
      <c r="EV42" s="55">
        <f t="shared" si="203"/>
        <v>2324.0723887000004</v>
      </c>
      <c r="EW42" s="298">
        <f t="shared" ref="EW42:EW73" si="204" xml:space="preserve"> IF(   SUM(ES42:ET42) = 0,    IF( EU42&lt;EV42, lambdax_min, lambdax_max ),
                                                                   MAX( lambdax_min, MIN( lambdax_max, ES42 / SUM(ES42:ET42) ) )     )</f>
        <v>0.75675125853136793</v>
      </c>
      <c r="EX42" s="52"/>
      <c r="EY42" s="55">
        <f t="shared" ref="EY42:FB73" si="205" xml:space="preserve"> Z42 + BP42 + CR42 + EY$8 * DF42</f>
        <v>1637.4023326039326</v>
      </c>
      <c r="EZ42" s="55">
        <f t="shared" si="205"/>
        <v>2085.971908403933</v>
      </c>
      <c r="FA42" s="55">
        <f t="shared" si="205"/>
        <v>1009.6839751840251</v>
      </c>
      <c r="FB42" s="55">
        <f t="shared" si="205"/>
        <v>1458.2535509840254</v>
      </c>
      <c r="FD42" s="52"/>
      <c r="FE42" s="52"/>
      <c r="FF42" s="52"/>
      <c r="FG42" s="55">
        <f t="shared" ref="FG42:FJ73" si="206" xml:space="preserve"> AH42 + BX42 + CL42 + FG$8 * DN42</f>
        <v>23590.101700000003</v>
      </c>
      <c r="FH42" s="55">
        <f t="shared" si="206"/>
        <v>8089.3258999999998</v>
      </c>
      <c r="FI42" s="55">
        <f t="shared" si="206"/>
        <v>749.22167760000002</v>
      </c>
      <c r="FJ42" s="55">
        <f t="shared" si="206"/>
        <v>1734.7170318000001</v>
      </c>
      <c r="FK42" s="298">
        <f t="shared" ref="FK42:FK73" si="207" xml:space="preserve"> IF(   SUM(FG42:FH42) = 0,    IF( FI42&lt;FJ42, lambdax_min, lambdax_max ),
                                                                   MAX( lambdax_min, MIN( lambdax_max, FG42 / SUM(FG42:FH42) ) )     )</f>
        <v>0.74465050309179204</v>
      </c>
      <c r="FL42" s="52"/>
      <c r="FM42" s="55">
        <f t="shared" ref="FM42:FP73" si="208" xml:space="preserve"> AN42 + CD42 + CR42 + FM$8 * DT42</f>
        <v>1169.2007047607992</v>
      </c>
      <c r="FN42" s="55">
        <f t="shared" si="208"/>
        <v>1575.2048379607991</v>
      </c>
      <c r="FO42" s="55">
        <f t="shared" si="208"/>
        <v>773.73928270375336</v>
      </c>
      <c r="FP42" s="55">
        <f t="shared" si="208"/>
        <v>1179.7434159037532</v>
      </c>
      <c r="FR42" s="52"/>
      <c r="FS42" s="52"/>
      <c r="FT42" s="52"/>
      <c r="FU42" s="55">
        <f t="shared" ref="FU42:FX73" si="209" xml:space="preserve"> CL42 + FU$8 * CZ42</f>
        <v>21147.180899999999</v>
      </c>
      <c r="FV42" s="55">
        <f t="shared" si="209"/>
        <v>6695.1242000000002</v>
      </c>
      <c r="FW42" s="55">
        <f t="shared" si="209"/>
        <v>282.68641520000006</v>
      </c>
      <c r="FX42" s="55">
        <f t="shared" si="209"/>
        <v>389.31668480000002</v>
      </c>
      <c r="FY42" s="298">
        <f t="shared" ref="FY42:FY73" si="210" xml:space="preserve"> IF(   SUM(FU42:FV42) = 0,    IF( FW42&lt;FX42, lambdax_min, lambdax_max ),
                                                                   MAX( lambdax_min, MIN( lambdax_max, FU42 / SUM(FU42:FV42) ) )     )</f>
        <v>0.7595341270791548</v>
      </c>
      <c r="FZ42" s="52"/>
      <c r="GA42" s="55">
        <f t="shared" ref="GA42:GD73" si="211" xml:space="preserve"> CR42 + GA$8 * DF42</f>
        <v>283.24898640549486</v>
      </c>
      <c r="GB42" s="55">
        <f t="shared" si="211"/>
        <v>388.90511760549481</v>
      </c>
      <c r="GC42" s="55">
        <f t="shared" si="211"/>
        <v>282.73920187007707</v>
      </c>
      <c r="GD42" s="55">
        <f t="shared" si="211"/>
        <v>388.39533307007707</v>
      </c>
      <c r="GF42" s="52"/>
      <c r="GG42" s="52"/>
      <c r="GH42" s="52"/>
      <c r="GI42" s="55">
        <f t="shared" ref="GI42:GJ73" si="212" xml:space="preserve"> MAX( 0, AV42 + BX42 ) * GI$8</f>
        <v>11211.536700000001</v>
      </c>
      <c r="GJ42" s="55">
        <f t="shared" si="212"/>
        <v>3869.2008000000001</v>
      </c>
      <c r="GK42" s="56">
        <f t="shared" ref="GK42:GL73" si="213" xml:space="preserve"> MAX( 0, AX42 - BZ42 ) * GK$8</f>
        <v>93.831695999999994</v>
      </c>
      <c r="GL42" s="56">
        <f t="shared" si="213"/>
        <v>357.49157099999996</v>
      </c>
      <c r="GM42" s="298">
        <f t="shared" ref="GM42:GM73" si="214" xml:space="preserve"> IF(   SUM(GI42:GJ42) = 0,    IF( GK42&lt;GL42, lambdax_min, lambdax_max ),
                                                                   MAX( lambdax_min, MIN( lambdax_max, GI42 / SUM(GI42:GJ42) ) )     )</f>
        <v>0.74343424517534373</v>
      </c>
      <c r="GN42" s="52"/>
      <c r="GO42" s="56">
        <f t="shared" ref="GO42:GR73" si="215" xml:space="preserve"> MAX( 0, BB42 - CD42 ) * GO$8</f>
        <v>273.99883601816975</v>
      </c>
      <c r="GP42" s="56">
        <f t="shared" si="215"/>
        <v>305.44287326816959</v>
      </c>
      <c r="GQ42" s="56">
        <f t="shared" si="215"/>
        <v>99.131341972599557</v>
      </c>
      <c r="GR42" s="56">
        <f t="shared" si="215"/>
        <v>130.57537922259948</v>
      </c>
      <c r="GW42" s="275">
        <v>0.72760000000000002</v>
      </c>
      <c r="GX42" s="275">
        <v>1.0684</v>
      </c>
      <c r="GY42" s="275">
        <v>2.0356999999999998</v>
      </c>
      <c r="GZ42" s="275">
        <v>350.0942</v>
      </c>
      <c r="HA42" s="275">
        <v>100.2192</v>
      </c>
      <c r="HB42" s="49">
        <f t="shared" si="126"/>
        <v>477.880404</v>
      </c>
      <c r="HC42" s="49">
        <f t="shared" si="127"/>
        <v>1450.6842039999999</v>
      </c>
      <c r="HD42" s="47">
        <f t="shared" si="128"/>
        <v>495.32652399999995</v>
      </c>
      <c r="HE42" s="47">
        <f t="shared" si="181"/>
        <v>110.23706595020444</v>
      </c>
      <c r="HF42" s="48">
        <f t="shared" si="182"/>
        <v>588.11746995020439</v>
      </c>
      <c r="HG42" s="48">
        <f t="shared" si="183"/>
        <v>1065.5947459502045</v>
      </c>
      <c r="HH42" s="93">
        <f t="shared" si="184"/>
        <v>492.70579754956987</v>
      </c>
      <c r="HI42" s="93">
        <f t="shared" si="185"/>
        <v>970.18307354956983</v>
      </c>
      <c r="HJ42" s="298">
        <f t="shared" ref="HJ42:HJ73" si="216" xml:space="preserve"> IF(   SUM(GZ42:HA42) = 0,    IF( HB42&lt;HC42, lambdax_min, lambdax_max ),
                                                                   MAX( lambdax_min, MIN( lambdax_max, GZ42 / SUM(GZ42:HA42) ) )     )</f>
        <v>0.77744566339798016</v>
      </c>
      <c r="HL42" s="275">
        <v>0.66500000000000004</v>
      </c>
      <c r="HM42" s="275">
        <v>0.85209999999999997</v>
      </c>
      <c r="HN42" s="275">
        <v>1.1812</v>
      </c>
      <c r="HO42" s="275">
        <v>13</v>
      </c>
      <c r="HP42" s="275">
        <v>7</v>
      </c>
      <c r="HQ42" s="49">
        <f t="shared" si="130"/>
        <v>353.54725000000002</v>
      </c>
      <c r="HR42" s="49">
        <f t="shared" si="131"/>
        <v>660.82911300000001</v>
      </c>
      <c r="HS42" s="47">
        <f t="shared" si="132"/>
        <v>153.30794799999998</v>
      </c>
      <c r="HT42" s="47">
        <f t="shared" si="186"/>
        <v>53.657781799999995</v>
      </c>
      <c r="HU42" s="48">
        <f t="shared" si="187"/>
        <v>407.20503180000003</v>
      </c>
      <c r="HV42" s="48">
        <f t="shared" si="188"/>
        <v>561.17894679999995</v>
      </c>
      <c r="HW42" s="93">
        <f t="shared" si="189"/>
        <v>356.55229852670294</v>
      </c>
      <c r="HX42" s="93">
        <f t="shared" si="190"/>
        <v>510.52621352670292</v>
      </c>
      <c r="HY42" s="298">
        <f t="shared" ref="HY42:HY73" si="217" xml:space="preserve"> IF(   SUM(HO42:HP42) = 0,    IF( HQ42&lt;HR42, lambdax_min, lambdax_max ),
                                                                   MAX( lambdax_min, MIN( lambdax_max, HO42 / SUM(HO42:HP42) ) )     )</f>
        <v>0.65</v>
      </c>
    </row>
    <row r="43" spans="1:233" s="131" customFormat="1" x14ac:dyDescent="0.2">
      <c r="A43" s="118">
        <v>33</v>
      </c>
      <c r="B43" s="118"/>
      <c r="C43" s="275">
        <v>0.78659999999999997</v>
      </c>
      <c r="D43" s="275">
        <v>0.9607</v>
      </c>
      <c r="E43" s="275">
        <v>1.8161</v>
      </c>
      <c r="F43" s="275">
        <v>10064.125</v>
      </c>
      <c r="G43" s="275">
        <v>3227.6783</v>
      </c>
      <c r="H43" s="49">
        <f t="shared" si="192"/>
        <v>777.98672999999997</v>
      </c>
      <c r="I43" s="49">
        <f t="shared" si="192"/>
        <v>1731.008474</v>
      </c>
      <c r="J43" s="47">
        <f t="shared" si="192"/>
        <v>491.87252399999994</v>
      </c>
      <c r="K43" s="47">
        <f t="shared" si="134"/>
        <v>119.44250424477988</v>
      </c>
      <c r="L43" s="48">
        <f t="shared" si="135"/>
        <v>897.42923424477988</v>
      </c>
      <c r="M43" s="48">
        <f t="shared" si="136"/>
        <v>1358.57845424478</v>
      </c>
      <c r="N43" s="93">
        <f t="shared" si="137"/>
        <v>800.28312316561846</v>
      </c>
      <c r="O43" s="93">
        <f t="shared" si="138"/>
        <v>1261.4323431656185</v>
      </c>
      <c r="P43" s="298">
        <f t="shared" si="193"/>
        <v>0.75716776518954354</v>
      </c>
      <c r="Q43" s="275">
        <v>0.68669999999999998</v>
      </c>
      <c r="R43" s="275">
        <v>0.98309999999999997</v>
      </c>
      <c r="S43" s="275">
        <v>1.9373</v>
      </c>
      <c r="T43" s="275">
        <v>1205.3683000000001</v>
      </c>
      <c r="U43" s="275">
        <v>551.61329999999998</v>
      </c>
      <c r="V43" s="49">
        <f t="shared" si="194"/>
        <v>420.94023299999998</v>
      </c>
      <c r="W43" s="49">
        <f t="shared" si="194"/>
        <v>1141.044846</v>
      </c>
      <c r="X43" s="47">
        <f t="shared" si="194"/>
        <v>419.01861700000001</v>
      </c>
      <c r="Y43" s="47">
        <f t="shared" si="139"/>
        <v>306.097055428977</v>
      </c>
      <c r="Z43" s="48">
        <f t="shared" si="140"/>
        <v>727.03728842897704</v>
      </c>
      <c r="AA43" s="48">
        <f t="shared" si="141"/>
        <v>1028.1232844289771</v>
      </c>
      <c r="AB43" s="93">
        <f t="shared" si="142"/>
        <v>438.05819068304567</v>
      </c>
      <c r="AC43" s="93">
        <f t="shared" si="143"/>
        <v>739.14418668304575</v>
      </c>
      <c r="AD43" s="118"/>
      <c r="AE43" s="275">
        <v>0.69240000000000002</v>
      </c>
      <c r="AF43" s="275">
        <v>0.90049999999999997</v>
      </c>
      <c r="AG43" s="275">
        <v>1.8164</v>
      </c>
      <c r="AH43" s="275">
        <v>95.26</v>
      </c>
      <c r="AI43" s="275">
        <v>42.462499999999999</v>
      </c>
      <c r="AJ43" s="49">
        <f t="shared" si="195"/>
        <v>324.64558800000003</v>
      </c>
      <c r="AK43" s="49">
        <f t="shared" si="195"/>
        <v>1023.6703899999999</v>
      </c>
      <c r="AL43" s="47">
        <f t="shared" si="195"/>
        <v>363.152852</v>
      </c>
      <c r="AM43" s="47">
        <f t="shared" si="144"/>
        <v>275.71342897521629</v>
      </c>
      <c r="AN43" s="48">
        <f t="shared" si="145"/>
        <v>600.35901697521626</v>
      </c>
      <c r="AO43" s="48">
        <f t="shared" si="146"/>
        <v>936.23096697521612</v>
      </c>
      <c r="AP43" s="93">
        <f t="shared" si="147"/>
        <v>337.75227112682205</v>
      </c>
      <c r="AQ43" s="93">
        <f t="shared" si="148"/>
        <v>673.62422112682179</v>
      </c>
      <c r="AR43" s="118"/>
      <c r="AS43" s="275">
        <v>0.90459999999999996</v>
      </c>
      <c r="AT43" s="275">
        <v>1.2989999999999999</v>
      </c>
      <c r="AU43" s="275">
        <v>2.1937000000000002</v>
      </c>
      <c r="AV43" s="275">
        <v>6320.9867000000004</v>
      </c>
      <c r="AW43" s="275">
        <v>1917.4792</v>
      </c>
      <c r="AX43" s="49">
        <f t="shared" si="196"/>
        <v>315.20786999999996</v>
      </c>
      <c r="AY43" s="49">
        <f t="shared" si="196"/>
        <v>909.13112999999998</v>
      </c>
      <c r="AZ43" s="47">
        <f t="shared" si="196"/>
        <v>577.97413900000015</v>
      </c>
      <c r="BA43" s="47">
        <f t="shared" si="149"/>
        <v>429.17384980781242</v>
      </c>
      <c r="BB43" s="48">
        <f t="shared" si="150"/>
        <v>744.38171980781237</v>
      </c>
      <c r="BC43" s="48">
        <f t="shared" si="151"/>
        <v>760.33084080781225</v>
      </c>
      <c r="BD43" s="93">
        <f t="shared" si="152"/>
        <v>333.63711557571941</v>
      </c>
      <c r="BE43" s="93">
        <f t="shared" si="153"/>
        <v>349.58623657571928</v>
      </c>
      <c r="BF43" s="118"/>
      <c r="BG43" s="275">
        <v>0.84760000000000002</v>
      </c>
      <c r="BH43" s="275">
        <v>1.3821000000000001</v>
      </c>
      <c r="BI43" s="275">
        <v>2.2292000000000001</v>
      </c>
      <c r="BJ43" s="275">
        <v>4803.1374999999998</v>
      </c>
      <c r="BK43" s="275">
        <v>1388.3667</v>
      </c>
      <c r="BL43" s="49">
        <f t="shared" si="197"/>
        <v>286.67527200000001</v>
      </c>
      <c r="BM43" s="49">
        <f t="shared" si="197"/>
        <v>827.13156600000013</v>
      </c>
      <c r="BN43" s="47">
        <f t="shared" si="197"/>
        <v>513.71914000000004</v>
      </c>
      <c r="BO43" s="47">
        <f t="shared" si="154"/>
        <v>381.49641594530533</v>
      </c>
      <c r="BP43" s="48">
        <f t="shared" si="155"/>
        <v>668.17168794530539</v>
      </c>
      <c r="BQ43" s="48">
        <f t="shared" si="156"/>
        <v>694.90884194530543</v>
      </c>
      <c r="BR43" s="93">
        <f t="shared" si="157"/>
        <v>306.38081104207214</v>
      </c>
      <c r="BS43" s="93">
        <f t="shared" si="158"/>
        <v>333.11796504207223</v>
      </c>
      <c r="BT43" s="118"/>
      <c r="BU43" s="275">
        <v>0.87009999999999998</v>
      </c>
      <c r="BV43" s="275">
        <v>1.2131000000000001</v>
      </c>
      <c r="BW43" s="275">
        <v>2.5169999999999999</v>
      </c>
      <c r="BX43" s="275">
        <v>7472.8941999999997</v>
      </c>
      <c r="BY43" s="275">
        <v>2614.9575</v>
      </c>
      <c r="BZ43" s="49">
        <f t="shared" si="198"/>
        <v>204.59531399999997</v>
      </c>
      <c r="CA43" s="49">
        <f t="shared" si="198"/>
        <v>436.14584300000001</v>
      </c>
      <c r="CB43" s="47">
        <f t="shared" si="198"/>
        <v>237.07622999999998</v>
      </c>
      <c r="CC43" s="47">
        <f t="shared" si="159"/>
        <v>161.37532458932071</v>
      </c>
      <c r="CD43" s="48">
        <f t="shared" si="160"/>
        <v>365.97063858932069</v>
      </c>
      <c r="CE43" s="48">
        <f t="shared" si="161"/>
        <v>360.44493758932072</v>
      </c>
      <c r="CF43" s="93">
        <f t="shared" si="162"/>
        <v>215.95836494558668</v>
      </c>
      <c r="CG43" s="93">
        <f t="shared" si="163"/>
        <v>210.43266394558674</v>
      </c>
      <c r="CH43" s="118"/>
      <c r="CI43" s="275">
        <v>0.87450000000000006</v>
      </c>
      <c r="CJ43" s="275">
        <v>0.90559999999999996</v>
      </c>
      <c r="CK43" s="275">
        <v>1.7075</v>
      </c>
      <c r="CL43" s="275">
        <v>18483.247500000001</v>
      </c>
      <c r="CM43" s="275">
        <v>5813.46</v>
      </c>
      <c r="CN43" s="49">
        <f t="shared" si="199"/>
        <v>180.49680000000001</v>
      </c>
      <c r="CO43" s="49">
        <f t="shared" si="199"/>
        <v>242.537792</v>
      </c>
      <c r="CP43" s="47">
        <f t="shared" si="199"/>
        <v>0.71714999999999995</v>
      </c>
      <c r="CQ43" s="47">
        <f t="shared" si="164"/>
        <v>0.41116254042128075</v>
      </c>
      <c r="CR43" s="48">
        <f t="shared" si="165"/>
        <v>180.90796254042129</v>
      </c>
      <c r="CS43" s="48">
        <f t="shared" si="166"/>
        <v>242.23180454042128</v>
      </c>
      <c r="CT43" s="93">
        <f t="shared" si="167"/>
        <v>180.53142258071861</v>
      </c>
      <c r="CU43" s="93">
        <f t="shared" si="168"/>
        <v>241.8552645807186</v>
      </c>
      <c r="CV43" s="118"/>
      <c r="CW43" s="275">
        <v>0.67910000000000004</v>
      </c>
      <c r="CX43" s="275">
        <v>0.72199999999999998</v>
      </c>
      <c r="CY43" s="275">
        <v>1.3382000000000001</v>
      </c>
      <c r="CZ43" s="275">
        <v>7718.2142000000003</v>
      </c>
      <c r="DA43" s="275">
        <v>2047.7242000000001</v>
      </c>
      <c r="DB43" s="49">
        <f t="shared" si="200"/>
        <v>140.974369</v>
      </c>
      <c r="DC43" s="49">
        <f t="shared" si="200"/>
        <v>203.25021999999998</v>
      </c>
      <c r="DD43" s="47">
        <f t="shared" si="200"/>
        <v>0.38807799999999998</v>
      </c>
      <c r="DE43" s="47">
        <f t="shared" si="169"/>
        <v>0.22914382469394129</v>
      </c>
      <c r="DF43" s="48">
        <f t="shared" si="170"/>
        <v>141.20351282469395</v>
      </c>
      <c r="DG43" s="48">
        <f t="shared" si="171"/>
        <v>203.09128582469393</v>
      </c>
      <c r="DH43" s="93">
        <f t="shared" si="172"/>
        <v>140.99707411169805</v>
      </c>
      <c r="DI43" s="93">
        <f t="shared" si="173"/>
        <v>202.88484711169804</v>
      </c>
      <c r="DJ43" s="118"/>
      <c r="DK43" s="275">
        <v>0.6502</v>
      </c>
      <c r="DL43" s="275">
        <v>0.68589999999999995</v>
      </c>
      <c r="DM43" s="275">
        <v>1.0922000000000001</v>
      </c>
      <c r="DN43" s="275">
        <v>2689.5708</v>
      </c>
      <c r="DO43" s="275">
        <v>935.75080000000003</v>
      </c>
      <c r="DP43" s="49">
        <f t="shared" si="201"/>
        <v>88.583248000000012</v>
      </c>
      <c r="DQ43" s="49">
        <f t="shared" si="201"/>
        <v>135.33492899999999</v>
      </c>
      <c r="DR43" s="47">
        <f t="shared" si="201"/>
        <v>0.24028400000000003</v>
      </c>
      <c r="DS43" s="47">
        <f t="shared" si="174"/>
        <v>0.14522634345953969</v>
      </c>
      <c r="DT43" s="48">
        <f t="shared" si="175"/>
        <v>88.728474343459553</v>
      </c>
      <c r="DU43" s="48">
        <f t="shared" si="176"/>
        <v>135.23987134345953</v>
      </c>
      <c r="DV43" s="93">
        <f t="shared" si="177"/>
        <v>88.605328751043317</v>
      </c>
      <c r="DW43" s="93">
        <f t="shared" si="178"/>
        <v>135.1167257510433</v>
      </c>
      <c r="DX43" s="118"/>
      <c r="DY43" s="118"/>
      <c r="DZ43" s="118"/>
      <c r="EB43" s="52"/>
      <c r="EC43" s="52"/>
      <c r="ED43" s="52"/>
      <c r="EE43" s="55">
        <f t="shared" si="179"/>
        <v>42586.573400000008</v>
      </c>
      <c r="EF43" s="55">
        <f t="shared" si="179"/>
        <v>13006.341700000001</v>
      </c>
      <c r="EG43" s="55">
        <f t="shared" si="179"/>
        <v>1386.4708951999996</v>
      </c>
      <c r="EH43" s="55">
        <f t="shared" si="179"/>
        <v>3045.277572</v>
      </c>
      <c r="EI43" s="298">
        <f t="shared" si="202"/>
        <v>0.76604317876469841</v>
      </c>
      <c r="EJ43" s="52"/>
      <c r="EK43" s="55">
        <f t="shared" si="180"/>
        <v>1935.6817268527686</v>
      </c>
      <c r="EL43" s="55">
        <f t="shared" si="180"/>
        <v>2523.6141282527688</v>
      </c>
      <c r="EM43" s="55">
        <f t="shared" si="111"/>
        <v>1427.249320611415</v>
      </c>
      <c r="EN43" s="55">
        <f t="shared" si="111"/>
        <v>2015.1817220114149</v>
      </c>
      <c r="EP43" s="52"/>
      <c r="EQ43" s="52"/>
      <c r="ER43" s="52"/>
      <c r="ES43" s="55">
        <f t="shared" si="203"/>
        <v>32209.967499999999</v>
      </c>
      <c r="ET43" s="55">
        <f t="shared" si="203"/>
        <v>9801.1642000000011</v>
      </c>
      <c r="EU43" s="55">
        <f t="shared" si="203"/>
        <v>986.79436329999999</v>
      </c>
      <c r="EV43" s="55">
        <f t="shared" si="203"/>
        <v>2352.9893580000003</v>
      </c>
      <c r="EW43" s="298">
        <f t="shared" si="204"/>
        <v>0.76670078135505215</v>
      </c>
      <c r="EX43" s="52"/>
      <c r="EY43" s="55">
        <f t="shared" si="205"/>
        <v>1674.9593978919895</v>
      </c>
      <c r="EZ43" s="55">
        <f t="shared" si="205"/>
        <v>2107.4278309919896</v>
      </c>
      <c r="FA43" s="55">
        <f t="shared" si="205"/>
        <v>1023.6683761840251</v>
      </c>
      <c r="FB43" s="55">
        <f t="shared" si="205"/>
        <v>1456.136809284025</v>
      </c>
      <c r="FD43" s="52"/>
      <c r="FE43" s="52"/>
      <c r="FF43" s="52"/>
      <c r="FG43" s="55">
        <f t="shared" si="206"/>
        <v>28740.972500000003</v>
      </c>
      <c r="FH43" s="55">
        <f t="shared" si="206"/>
        <v>9406.6308000000008</v>
      </c>
      <c r="FI43" s="55">
        <f t="shared" si="206"/>
        <v>762.88765080000007</v>
      </c>
      <c r="FJ43" s="55">
        <f t="shared" si="206"/>
        <v>1783.5549824</v>
      </c>
      <c r="FK43" s="298">
        <f t="shared" si="207"/>
        <v>0.75341489408851015</v>
      </c>
      <c r="FL43" s="52"/>
      <c r="FM43" s="55">
        <f t="shared" si="208"/>
        <v>1200.4747027110341</v>
      </c>
      <c r="FN43" s="55">
        <f t="shared" si="208"/>
        <v>1620.0516319110338</v>
      </c>
      <c r="FO43" s="55">
        <f t="shared" si="208"/>
        <v>787.40525590375341</v>
      </c>
      <c r="FP43" s="55">
        <f t="shared" si="208"/>
        <v>1206.982185103753</v>
      </c>
      <c r="FR43" s="52"/>
      <c r="FS43" s="52"/>
      <c r="FT43" s="52"/>
      <c r="FU43" s="55">
        <f t="shared" si="209"/>
        <v>26201.4617</v>
      </c>
      <c r="FV43" s="55">
        <f t="shared" si="209"/>
        <v>7861.1841999999997</v>
      </c>
      <c r="FW43" s="55">
        <f t="shared" si="209"/>
        <v>293.27629519999999</v>
      </c>
      <c r="FX43" s="55">
        <f t="shared" si="209"/>
        <v>405.137968</v>
      </c>
      <c r="FY43" s="298">
        <f t="shared" si="210"/>
        <v>0.76921392944404232</v>
      </c>
      <c r="FZ43" s="52"/>
      <c r="GA43" s="55">
        <f t="shared" si="211"/>
        <v>293.87077280017644</v>
      </c>
      <c r="GB43" s="55">
        <f t="shared" si="211"/>
        <v>404.70483320017644</v>
      </c>
      <c r="GC43" s="55">
        <f t="shared" si="211"/>
        <v>293.32908187007706</v>
      </c>
      <c r="GD43" s="55">
        <f t="shared" si="211"/>
        <v>404.16314227007706</v>
      </c>
      <c r="GF43" s="52"/>
      <c r="GG43" s="52"/>
      <c r="GH43" s="52"/>
      <c r="GI43" s="55">
        <f t="shared" si="212"/>
        <v>13793.8809</v>
      </c>
      <c r="GJ43" s="55">
        <f t="shared" si="212"/>
        <v>4532.4367000000002</v>
      </c>
      <c r="GK43" s="56">
        <f t="shared" si="213"/>
        <v>82.959416999999988</v>
      </c>
      <c r="GL43" s="56">
        <f t="shared" si="213"/>
        <v>354.73896524999998</v>
      </c>
      <c r="GM43" s="298">
        <f t="shared" si="214"/>
        <v>0.75268153706994567</v>
      </c>
      <c r="GN43" s="52"/>
      <c r="GO43" s="56">
        <f t="shared" si="215"/>
        <v>283.80831091386875</v>
      </c>
      <c r="GP43" s="56">
        <f t="shared" si="215"/>
        <v>299.91442741386868</v>
      </c>
      <c r="GQ43" s="56">
        <f t="shared" si="215"/>
        <v>88.259062972599537</v>
      </c>
      <c r="GR43" s="56">
        <f t="shared" si="215"/>
        <v>104.36517947259941</v>
      </c>
      <c r="GW43" s="275">
        <v>0.74819999999999998</v>
      </c>
      <c r="GX43" s="275">
        <v>1.0755999999999999</v>
      </c>
      <c r="GY43" s="275">
        <v>2.1417999999999999</v>
      </c>
      <c r="GZ43" s="275">
        <v>439.3175</v>
      </c>
      <c r="HA43" s="275">
        <v>139.61500000000001</v>
      </c>
      <c r="HB43" s="49">
        <f t="shared" si="126"/>
        <v>491.41027799999995</v>
      </c>
      <c r="HC43" s="49">
        <f t="shared" si="127"/>
        <v>1460.4604359999998</v>
      </c>
      <c r="HD43" s="47">
        <f t="shared" si="128"/>
        <v>521.14277599999991</v>
      </c>
      <c r="HE43" s="47">
        <f t="shared" si="181"/>
        <v>125.67846626547998</v>
      </c>
      <c r="HF43" s="48">
        <f t="shared" si="182"/>
        <v>617.08874426547993</v>
      </c>
      <c r="HG43" s="48">
        <f t="shared" si="183"/>
        <v>1064.9961262654799</v>
      </c>
      <c r="HH43" s="93">
        <f t="shared" si="184"/>
        <v>506.23567154956982</v>
      </c>
      <c r="HI43" s="93">
        <f t="shared" si="185"/>
        <v>954.1430535495698</v>
      </c>
      <c r="HJ43" s="298">
        <f t="shared" si="216"/>
        <v>0.75884062477059067</v>
      </c>
      <c r="HL43" s="275">
        <v>0.70409999999999995</v>
      </c>
      <c r="HM43" s="275">
        <v>0.87649999999999995</v>
      </c>
      <c r="HN43" s="275">
        <v>1.2009000000000001</v>
      </c>
      <c r="HO43" s="275">
        <v>14.583299999999999</v>
      </c>
      <c r="HP43" s="275">
        <v>3.9167000000000001</v>
      </c>
      <c r="HQ43" s="49">
        <f t="shared" si="130"/>
        <v>374.33476499999995</v>
      </c>
      <c r="HR43" s="49">
        <f t="shared" si="131"/>
        <v>679.75204499999995</v>
      </c>
      <c r="HS43" s="47">
        <f t="shared" si="132"/>
        <v>155.864811</v>
      </c>
      <c r="HT43" s="47">
        <f t="shared" si="186"/>
        <v>32.998686769929733</v>
      </c>
      <c r="HU43" s="48">
        <f t="shared" si="187"/>
        <v>407.3334517699297</v>
      </c>
      <c r="HV43" s="48">
        <f t="shared" si="188"/>
        <v>556.88592076992961</v>
      </c>
      <c r="HW43" s="93">
        <f t="shared" si="189"/>
        <v>377.33981352670287</v>
      </c>
      <c r="HX43" s="93">
        <f t="shared" si="190"/>
        <v>526.89228252670284</v>
      </c>
      <c r="HY43" s="298">
        <f t="shared" si="217"/>
        <v>0.78828648648648647</v>
      </c>
    </row>
    <row r="44" spans="1:233" s="131" customFormat="1" x14ac:dyDescent="0.2">
      <c r="A44" s="118">
        <v>34</v>
      </c>
      <c r="B44" s="118"/>
      <c r="C44" s="275">
        <v>0.81069999999999998</v>
      </c>
      <c r="D44" s="275">
        <v>0.98050000000000004</v>
      </c>
      <c r="E44" s="275">
        <v>1.8597999999999999</v>
      </c>
      <c r="F44" s="275">
        <v>11897.0308</v>
      </c>
      <c r="G44" s="275">
        <v>3847.4875000000002</v>
      </c>
      <c r="H44" s="49">
        <f t="shared" si="192"/>
        <v>801.82283499999994</v>
      </c>
      <c r="I44" s="49">
        <f t="shared" si="192"/>
        <v>1766.68451</v>
      </c>
      <c r="J44" s="47">
        <f t="shared" si="192"/>
        <v>503.70823199999995</v>
      </c>
      <c r="K44" s="47">
        <f t="shared" si="134"/>
        <v>123.09116667399726</v>
      </c>
      <c r="L44" s="48">
        <f t="shared" si="135"/>
        <v>924.91400167399718</v>
      </c>
      <c r="M44" s="48">
        <f t="shared" si="136"/>
        <v>1386.0674446739974</v>
      </c>
      <c r="N44" s="93">
        <f t="shared" si="137"/>
        <v>824.11922816561832</v>
      </c>
      <c r="O44" s="93">
        <f t="shared" si="138"/>
        <v>1285.2726711656185</v>
      </c>
      <c r="P44" s="298">
        <f t="shared" si="193"/>
        <v>0.75563002775385013</v>
      </c>
      <c r="Q44" s="275">
        <v>0.71140000000000003</v>
      </c>
      <c r="R44" s="275">
        <v>0.99680000000000002</v>
      </c>
      <c r="S44" s="275">
        <v>1.958</v>
      </c>
      <c r="T44" s="275">
        <v>1415.6724999999999</v>
      </c>
      <c r="U44" s="275">
        <v>593.60249999999996</v>
      </c>
      <c r="V44" s="49">
        <f t="shared" si="194"/>
        <v>436.08108600000003</v>
      </c>
      <c r="W44" s="49">
        <f t="shared" si="194"/>
        <v>1156.9458880000002</v>
      </c>
      <c r="X44" s="47">
        <f t="shared" si="194"/>
        <v>423.49581999999998</v>
      </c>
      <c r="Y44" s="47">
        <f t="shared" si="139"/>
        <v>307.56651050541979</v>
      </c>
      <c r="Z44" s="48">
        <f t="shared" si="140"/>
        <v>743.64759650541987</v>
      </c>
      <c r="AA44" s="48">
        <f t="shared" si="141"/>
        <v>1041.0165785054201</v>
      </c>
      <c r="AB44" s="93">
        <f t="shared" si="142"/>
        <v>453.19904368304572</v>
      </c>
      <c r="AC44" s="93">
        <f t="shared" si="143"/>
        <v>750.5680256830459</v>
      </c>
      <c r="AD44" s="118"/>
      <c r="AE44" s="275">
        <v>0.71379999999999999</v>
      </c>
      <c r="AF44" s="275">
        <v>0.92469999999999997</v>
      </c>
      <c r="AG44" s="275">
        <v>1.8694</v>
      </c>
      <c r="AH44" s="275">
        <v>149.41669999999999</v>
      </c>
      <c r="AI44" s="275">
        <v>44.360799999999998</v>
      </c>
      <c r="AJ44" s="49">
        <f t="shared" si="195"/>
        <v>334.67940599999997</v>
      </c>
      <c r="AK44" s="49">
        <f t="shared" si="195"/>
        <v>1051.180466</v>
      </c>
      <c r="AL44" s="47">
        <f t="shared" si="195"/>
        <v>373.74914200000001</v>
      </c>
      <c r="AM44" s="47">
        <f t="shared" si="144"/>
        <v>283.49027574315983</v>
      </c>
      <c r="AN44" s="48">
        <f t="shared" si="145"/>
        <v>618.1696817431598</v>
      </c>
      <c r="AO44" s="48">
        <f t="shared" si="146"/>
        <v>960.92159974315985</v>
      </c>
      <c r="AP44" s="93">
        <f t="shared" si="147"/>
        <v>347.78608912682199</v>
      </c>
      <c r="AQ44" s="93">
        <f t="shared" si="148"/>
        <v>690.53800712682198</v>
      </c>
      <c r="AR44" s="118"/>
      <c r="AS44" s="275">
        <v>0.87919999999999998</v>
      </c>
      <c r="AT44" s="275">
        <v>1.2907999999999999</v>
      </c>
      <c r="AU44" s="275">
        <v>2.2183999999999999</v>
      </c>
      <c r="AV44" s="275">
        <v>7673.9724999999999</v>
      </c>
      <c r="AW44" s="275">
        <v>2211.0641999999998</v>
      </c>
      <c r="AX44" s="49">
        <f t="shared" si="196"/>
        <v>306.35723999999999</v>
      </c>
      <c r="AY44" s="49">
        <f t="shared" si="196"/>
        <v>903.39219600000001</v>
      </c>
      <c r="AZ44" s="47">
        <f t="shared" si="196"/>
        <v>584.48184800000001</v>
      </c>
      <c r="BA44" s="47">
        <f t="shared" si="149"/>
        <v>436.46752333502076</v>
      </c>
      <c r="BB44" s="48">
        <f t="shared" si="150"/>
        <v>742.82476333502075</v>
      </c>
      <c r="BC44" s="48">
        <f t="shared" si="151"/>
        <v>755.3778713350207</v>
      </c>
      <c r="BD44" s="93">
        <f t="shared" si="152"/>
        <v>324.78648557571944</v>
      </c>
      <c r="BE44" s="93">
        <f t="shared" si="153"/>
        <v>337.33959357571945</v>
      </c>
      <c r="BF44" s="118"/>
      <c r="BG44" s="275">
        <v>0.84230000000000005</v>
      </c>
      <c r="BH44" s="275">
        <v>1.3597999999999999</v>
      </c>
      <c r="BI44" s="275">
        <v>2.2279</v>
      </c>
      <c r="BJ44" s="275">
        <v>5747.1333000000004</v>
      </c>
      <c r="BK44" s="275">
        <v>1710.5083</v>
      </c>
      <c r="BL44" s="49">
        <f t="shared" si="197"/>
        <v>284.88270600000004</v>
      </c>
      <c r="BM44" s="49">
        <f t="shared" si="197"/>
        <v>813.78590799999995</v>
      </c>
      <c r="BN44" s="47">
        <f t="shared" si="197"/>
        <v>513.41955499999995</v>
      </c>
      <c r="BO44" s="47">
        <f t="shared" si="154"/>
        <v>380.29082967016558</v>
      </c>
      <c r="BP44" s="48">
        <f t="shared" si="155"/>
        <v>665.17353567016562</v>
      </c>
      <c r="BQ44" s="48">
        <f t="shared" si="156"/>
        <v>680.65718267016564</v>
      </c>
      <c r="BR44" s="93">
        <f t="shared" si="157"/>
        <v>304.58824504207217</v>
      </c>
      <c r="BS44" s="93">
        <f t="shared" si="158"/>
        <v>320.07189204207214</v>
      </c>
      <c r="BT44" s="118"/>
      <c r="BU44" s="275">
        <v>0.87329999999999997</v>
      </c>
      <c r="BV44" s="275">
        <v>1.2171000000000001</v>
      </c>
      <c r="BW44" s="275">
        <v>2.4276</v>
      </c>
      <c r="BX44" s="275">
        <v>8661.0741999999991</v>
      </c>
      <c r="BY44" s="275">
        <v>3026.4258</v>
      </c>
      <c r="BZ44" s="49">
        <f t="shared" si="198"/>
        <v>205.34776199999999</v>
      </c>
      <c r="CA44" s="49">
        <f t="shared" si="198"/>
        <v>437.58396299999998</v>
      </c>
      <c r="CB44" s="47">
        <f t="shared" si="198"/>
        <v>228.655644</v>
      </c>
      <c r="CC44" s="47">
        <f t="shared" si="159"/>
        <v>155.62467828732076</v>
      </c>
      <c r="CD44" s="48">
        <f t="shared" si="160"/>
        <v>360.97244028732075</v>
      </c>
      <c r="CE44" s="48">
        <f t="shared" si="161"/>
        <v>364.55299728732075</v>
      </c>
      <c r="CF44" s="93">
        <f t="shared" si="162"/>
        <v>216.7108129455867</v>
      </c>
      <c r="CG44" s="93">
        <f t="shared" si="163"/>
        <v>220.29136994558669</v>
      </c>
      <c r="CH44" s="118"/>
      <c r="CI44" s="275">
        <v>0.89080000000000004</v>
      </c>
      <c r="CJ44" s="275">
        <v>0.92500000000000004</v>
      </c>
      <c r="CK44" s="275">
        <v>1.7321</v>
      </c>
      <c r="CL44" s="275">
        <v>21955.2042</v>
      </c>
      <c r="CM44" s="275">
        <v>6833.8041999999996</v>
      </c>
      <c r="CN44" s="49">
        <f t="shared" si="199"/>
        <v>183.86112</v>
      </c>
      <c r="CO44" s="49">
        <f t="shared" si="199"/>
        <v>247.73349999999999</v>
      </c>
      <c r="CP44" s="47">
        <f t="shared" si="199"/>
        <v>0.72748199999999996</v>
      </c>
      <c r="CQ44" s="47">
        <f t="shared" si="164"/>
        <v>0.41757161395338988</v>
      </c>
      <c r="CR44" s="48">
        <f t="shared" si="165"/>
        <v>184.27869161395338</v>
      </c>
      <c r="CS44" s="48">
        <f t="shared" si="166"/>
        <v>247.42358961395337</v>
      </c>
      <c r="CT44" s="93">
        <f t="shared" si="167"/>
        <v>183.8957425807186</v>
      </c>
      <c r="CU44" s="93">
        <f t="shared" si="168"/>
        <v>247.04064058071859</v>
      </c>
      <c r="CV44" s="118"/>
      <c r="CW44" s="275">
        <v>0.72660000000000002</v>
      </c>
      <c r="CX44" s="275">
        <v>0.76519999999999999</v>
      </c>
      <c r="CY44" s="275">
        <v>1.4027000000000001</v>
      </c>
      <c r="CZ44" s="275">
        <v>9240.0007999999998</v>
      </c>
      <c r="DA44" s="275">
        <v>2535.8458000000001</v>
      </c>
      <c r="DB44" s="49">
        <f t="shared" si="200"/>
        <v>150.83489400000002</v>
      </c>
      <c r="DC44" s="49">
        <f t="shared" si="200"/>
        <v>215.411452</v>
      </c>
      <c r="DD44" s="47">
        <f t="shared" si="200"/>
        <v>0.40678300000000001</v>
      </c>
      <c r="DE44" s="47">
        <f t="shared" si="169"/>
        <v>0.23925349054244491</v>
      </c>
      <c r="DF44" s="48">
        <f t="shared" si="170"/>
        <v>151.07414749054246</v>
      </c>
      <c r="DG44" s="48">
        <f t="shared" si="171"/>
        <v>215.24392249054245</v>
      </c>
      <c r="DH44" s="93">
        <f t="shared" si="172"/>
        <v>150.85759911169808</v>
      </c>
      <c r="DI44" s="93">
        <f t="shared" si="173"/>
        <v>215.02737411169807</v>
      </c>
      <c r="DJ44" s="118"/>
      <c r="DK44" s="275">
        <v>0.69469999999999998</v>
      </c>
      <c r="DL44" s="275">
        <v>0.73209999999999997</v>
      </c>
      <c r="DM44" s="275">
        <v>1.1378999999999999</v>
      </c>
      <c r="DN44" s="275">
        <v>3106.0083</v>
      </c>
      <c r="DO44" s="275">
        <v>1114.1199999999999</v>
      </c>
      <c r="DP44" s="49">
        <f t="shared" si="201"/>
        <v>94.645927999999998</v>
      </c>
      <c r="DQ44" s="49">
        <f t="shared" si="201"/>
        <v>144.45065099999999</v>
      </c>
      <c r="DR44" s="47">
        <f t="shared" si="201"/>
        <v>0.250338</v>
      </c>
      <c r="DS44" s="47">
        <f t="shared" si="174"/>
        <v>0.15124217678596732</v>
      </c>
      <c r="DT44" s="48">
        <f t="shared" si="175"/>
        <v>94.797170176785968</v>
      </c>
      <c r="DU44" s="48">
        <f t="shared" si="176"/>
        <v>144.35155517678595</v>
      </c>
      <c r="DV44" s="93">
        <f t="shared" si="177"/>
        <v>94.668008751043303</v>
      </c>
      <c r="DW44" s="93">
        <f t="shared" si="178"/>
        <v>144.22239375104331</v>
      </c>
      <c r="DX44" s="118"/>
      <c r="DY44" s="118"/>
      <c r="DZ44" s="118"/>
      <c r="EB44" s="52"/>
      <c r="EC44" s="52"/>
      <c r="ED44" s="52"/>
      <c r="EE44" s="55">
        <f t="shared" si="179"/>
        <v>50766.208300000006</v>
      </c>
      <c r="EF44" s="55">
        <f t="shared" si="179"/>
        <v>15428.201699999998</v>
      </c>
      <c r="EG44" s="55">
        <f t="shared" si="179"/>
        <v>1412.7091101999999</v>
      </c>
      <c r="EH44" s="55">
        <f t="shared" si="179"/>
        <v>3090.1393675999998</v>
      </c>
      <c r="EI44" s="298">
        <f t="shared" si="202"/>
        <v>0.76692591262615684</v>
      </c>
      <c r="EJ44" s="52"/>
      <c r="EK44" s="55">
        <f t="shared" si="180"/>
        <v>1972.8767746154053</v>
      </c>
      <c r="EL44" s="55">
        <f t="shared" si="180"/>
        <v>2561.0640436154054</v>
      </c>
      <c r="EM44" s="55">
        <f t="shared" si="111"/>
        <v>1453.4875356114151</v>
      </c>
      <c r="EN44" s="55">
        <f t="shared" si="111"/>
        <v>2041.6748046114151</v>
      </c>
      <c r="EP44" s="52"/>
      <c r="EQ44" s="52"/>
      <c r="ER44" s="52"/>
      <c r="ES44" s="55">
        <f t="shared" si="203"/>
        <v>38358.010800000004</v>
      </c>
      <c r="ET44" s="55">
        <f t="shared" si="203"/>
        <v>11673.7608</v>
      </c>
      <c r="EU44" s="55">
        <f t="shared" si="203"/>
        <v>1010.4093378</v>
      </c>
      <c r="EV44" s="55">
        <f t="shared" si="203"/>
        <v>2369.2533123999997</v>
      </c>
      <c r="EW44" s="298">
        <f t="shared" si="204"/>
        <v>0.76667304741213682</v>
      </c>
      <c r="EX44" s="52"/>
      <c r="EY44" s="55">
        <f t="shared" si="205"/>
        <v>1698.8517270329187</v>
      </c>
      <c r="EZ44" s="55">
        <f t="shared" si="205"/>
        <v>2119.7680965329191</v>
      </c>
      <c r="FA44" s="55">
        <f t="shared" si="205"/>
        <v>1047.2833506840252</v>
      </c>
      <c r="FB44" s="55">
        <f t="shared" si="205"/>
        <v>1468.1997201840254</v>
      </c>
      <c r="FD44" s="52"/>
      <c r="FE44" s="52"/>
      <c r="FF44" s="52"/>
      <c r="FG44" s="55">
        <f t="shared" si="206"/>
        <v>33871.703399999999</v>
      </c>
      <c r="FH44" s="55">
        <f t="shared" si="206"/>
        <v>11018.710800000001</v>
      </c>
      <c r="FI44" s="55">
        <f t="shared" si="206"/>
        <v>780.67584479999994</v>
      </c>
      <c r="FJ44" s="55">
        <f t="shared" si="206"/>
        <v>1823.1683196000001</v>
      </c>
      <c r="FK44" s="298">
        <f t="shared" si="207"/>
        <v>0.75454201088659145</v>
      </c>
      <c r="FL44" s="52"/>
      <c r="FM44" s="55">
        <f t="shared" si="208"/>
        <v>1220.2991157505055</v>
      </c>
      <c r="FN44" s="55">
        <f t="shared" si="208"/>
        <v>1659.5091197505058</v>
      </c>
      <c r="FO44" s="55">
        <f t="shared" si="208"/>
        <v>805.19344990375328</v>
      </c>
      <c r="FP44" s="55">
        <f t="shared" si="208"/>
        <v>1244.4034539037532</v>
      </c>
      <c r="FR44" s="52"/>
      <c r="FS44" s="52"/>
      <c r="FT44" s="52"/>
      <c r="FU44" s="55">
        <f t="shared" si="209"/>
        <v>31195.205000000002</v>
      </c>
      <c r="FV44" s="55">
        <f t="shared" si="209"/>
        <v>9369.65</v>
      </c>
      <c r="FW44" s="55">
        <f t="shared" si="209"/>
        <v>304.52903520000001</v>
      </c>
      <c r="FX44" s="55">
        <f t="shared" si="209"/>
        <v>420.06266160000001</v>
      </c>
      <c r="FY44" s="298">
        <f t="shared" si="210"/>
        <v>0.76902049816275686</v>
      </c>
      <c r="FZ44" s="52"/>
      <c r="GA44" s="55">
        <f t="shared" si="211"/>
        <v>305.13800960638736</v>
      </c>
      <c r="GB44" s="55">
        <f t="shared" si="211"/>
        <v>419.61872760638732</v>
      </c>
      <c r="GC44" s="55">
        <f t="shared" si="211"/>
        <v>304.58182187007708</v>
      </c>
      <c r="GD44" s="55">
        <f t="shared" si="211"/>
        <v>419.06253987007705</v>
      </c>
      <c r="GF44" s="52"/>
      <c r="GG44" s="52"/>
      <c r="GH44" s="52"/>
      <c r="GI44" s="55">
        <f t="shared" si="212"/>
        <v>16335.046699999999</v>
      </c>
      <c r="GJ44" s="55">
        <f t="shared" si="212"/>
        <v>5237.49</v>
      </c>
      <c r="GK44" s="56">
        <f t="shared" si="213"/>
        <v>75.757108500000001</v>
      </c>
      <c r="GL44" s="56">
        <f t="shared" si="213"/>
        <v>349.35617475000004</v>
      </c>
      <c r="GM44" s="298">
        <f t="shared" si="214"/>
        <v>0.75721492224880538</v>
      </c>
      <c r="GN44" s="52"/>
      <c r="GO44" s="56">
        <f t="shared" si="215"/>
        <v>286.38924228577503</v>
      </c>
      <c r="GP44" s="56">
        <f t="shared" si="215"/>
        <v>293.11865553577496</v>
      </c>
      <c r="GQ44" s="56">
        <f t="shared" si="215"/>
        <v>81.05675447259955</v>
      </c>
      <c r="GR44" s="56">
        <f t="shared" si="215"/>
        <v>87.786167722599572</v>
      </c>
      <c r="GW44" s="275">
        <v>0.77349999999999997</v>
      </c>
      <c r="GX44" s="275">
        <v>1.0751999999999999</v>
      </c>
      <c r="GY44" s="275">
        <v>2.1745000000000001</v>
      </c>
      <c r="GZ44" s="275">
        <v>476.57330000000002</v>
      </c>
      <c r="HA44" s="275">
        <v>174.3683</v>
      </c>
      <c r="HB44" s="49">
        <f t="shared" si="126"/>
        <v>508.02706499999994</v>
      </c>
      <c r="HC44" s="49">
        <f t="shared" si="127"/>
        <v>1459.9173119999998</v>
      </c>
      <c r="HD44" s="47">
        <f t="shared" si="128"/>
        <v>529.09933999999998</v>
      </c>
      <c r="HE44" s="47">
        <f t="shared" si="181"/>
        <v>141.73030644672579</v>
      </c>
      <c r="HF44" s="48">
        <f t="shared" si="182"/>
        <v>649.75737144672576</v>
      </c>
      <c r="HG44" s="48">
        <f t="shared" si="183"/>
        <v>1072.5482784467256</v>
      </c>
      <c r="HH44" s="93">
        <f t="shared" si="184"/>
        <v>522.85245854956986</v>
      </c>
      <c r="HI44" s="93">
        <f t="shared" si="185"/>
        <v>945.64336554956969</v>
      </c>
      <c r="HJ44" s="298">
        <f t="shared" si="216"/>
        <v>0.73212911880266984</v>
      </c>
      <c r="HL44" s="275">
        <v>0.74399999999999999</v>
      </c>
      <c r="HM44" s="275">
        <v>0.8992</v>
      </c>
      <c r="HN44" s="275">
        <v>1.2122999999999999</v>
      </c>
      <c r="HO44" s="275">
        <v>13.916700000000001</v>
      </c>
      <c r="HP44" s="275">
        <v>7.6666999999999996</v>
      </c>
      <c r="HQ44" s="49">
        <f t="shared" si="130"/>
        <v>395.54759999999999</v>
      </c>
      <c r="HR44" s="49">
        <f t="shared" si="131"/>
        <v>697.35657600000002</v>
      </c>
      <c r="HS44" s="47">
        <f t="shared" si="132"/>
        <v>157.34441699999999</v>
      </c>
      <c r="HT44" s="47">
        <f t="shared" si="186"/>
        <v>55.890751309520269</v>
      </c>
      <c r="HU44" s="48">
        <f t="shared" si="187"/>
        <v>451.43835130952027</v>
      </c>
      <c r="HV44" s="48">
        <f t="shared" si="188"/>
        <v>595.90291030952028</v>
      </c>
      <c r="HW44" s="93">
        <f t="shared" si="189"/>
        <v>398.55264852670291</v>
      </c>
      <c r="HX44" s="93">
        <f t="shared" si="190"/>
        <v>543.01720752670292</v>
      </c>
      <c r="HY44" s="298">
        <f t="shared" si="217"/>
        <v>0.64478719756850167</v>
      </c>
    </row>
    <row r="45" spans="1:233" s="131" customFormat="1" x14ac:dyDescent="0.2">
      <c r="A45" s="118">
        <v>35</v>
      </c>
      <c r="B45" s="118"/>
      <c r="C45" s="275">
        <v>0.83779999999999999</v>
      </c>
      <c r="D45" s="275">
        <v>0.99550000000000005</v>
      </c>
      <c r="E45" s="275">
        <v>1.8401000000000001</v>
      </c>
      <c r="F45" s="275">
        <v>14194.465</v>
      </c>
      <c r="G45" s="275">
        <v>4256.0617000000002</v>
      </c>
      <c r="H45" s="49">
        <f t="shared" si="192"/>
        <v>828.62608999999998</v>
      </c>
      <c r="I45" s="49">
        <f t="shared" si="192"/>
        <v>1793.71181</v>
      </c>
      <c r="J45" s="47">
        <f t="shared" si="192"/>
        <v>498.37268399999999</v>
      </c>
      <c r="K45" s="47">
        <f t="shared" si="134"/>
        <v>114.96175297253723</v>
      </c>
      <c r="L45" s="48">
        <f t="shared" si="135"/>
        <v>943.58784297253715</v>
      </c>
      <c r="M45" s="48">
        <f t="shared" si="136"/>
        <v>1410.3008789725372</v>
      </c>
      <c r="N45" s="93">
        <f t="shared" si="137"/>
        <v>850.92248316561836</v>
      </c>
      <c r="O45" s="93">
        <f t="shared" si="138"/>
        <v>1317.6355191656185</v>
      </c>
      <c r="P45" s="298">
        <f t="shared" si="193"/>
        <v>0.76932573420790196</v>
      </c>
      <c r="Q45" s="275">
        <v>0.74419999999999997</v>
      </c>
      <c r="R45" s="275">
        <v>1.0065999999999999</v>
      </c>
      <c r="S45" s="275">
        <v>1.9259999999999999</v>
      </c>
      <c r="T45" s="275">
        <v>1776.2357999999999</v>
      </c>
      <c r="U45" s="275">
        <v>771.23749999999995</v>
      </c>
      <c r="V45" s="49">
        <f t="shared" si="194"/>
        <v>456.18715800000001</v>
      </c>
      <c r="W45" s="49">
        <f t="shared" si="194"/>
        <v>1168.3203559999999</v>
      </c>
      <c r="X45" s="47">
        <f t="shared" si="194"/>
        <v>416.57453999999996</v>
      </c>
      <c r="Y45" s="47">
        <f t="shared" si="139"/>
        <v>299.59388348716266</v>
      </c>
      <c r="Z45" s="48">
        <f t="shared" si="140"/>
        <v>755.78104148716261</v>
      </c>
      <c r="AA45" s="48">
        <f t="shared" si="141"/>
        <v>1051.3396994871628</v>
      </c>
      <c r="AB45" s="93">
        <f t="shared" si="142"/>
        <v>473.3051156830457</v>
      </c>
      <c r="AC45" s="93">
        <f t="shared" si="143"/>
        <v>768.86377368304568</v>
      </c>
      <c r="AD45" s="118"/>
      <c r="AE45" s="275">
        <v>0.74229999999999996</v>
      </c>
      <c r="AF45" s="275">
        <v>0.94550000000000001</v>
      </c>
      <c r="AG45" s="275">
        <v>1.8626</v>
      </c>
      <c r="AH45" s="275">
        <v>172.8683</v>
      </c>
      <c r="AI45" s="275">
        <v>62.840800000000002</v>
      </c>
      <c r="AJ45" s="49">
        <f t="shared" si="195"/>
        <v>348.04220099999998</v>
      </c>
      <c r="AK45" s="49">
        <f t="shared" si="195"/>
        <v>1074.8254899999999</v>
      </c>
      <c r="AL45" s="47">
        <f t="shared" si="195"/>
        <v>372.38961800000004</v>
      </c>
      <c r="AM45" s="47">
        <f t="shared" si="144"/>
        <v>281.3008238007443</v>
      </c>
      <c r="AN45" s="48">
        <f t="shared" si="145"/>
        <v>629.34302480074427</v>
      </c>
      <c r="AO45" s="48">
        <f t="shared" si="146"/>
        <v>983.7366958007442</v>
      </c>
      <c r="AP45" s="93">
        <f t="shared" si="147"/>
        <v>361.148884126822</v>
      </c>
      <c r="AQ45" s="93">
        <f t="shared" si="148"/>
        <v>715.54255512682187</v>
      </c>
      <c r="AR45" s="118"/>
      <c r="AS45" s="275">
        <v>0.86929999999999996</v>
      </c>
      <c r="AT45" s="275">
        <v>1.2690999999999999</v>
      </c>
      <c r="AU45" s="275">
        <v>2.1490999999999998</v>
      </c>
      <c r="AV45" s="275">
        <v>9393.0475000000006</v>
      </c>
      <c r="AW45" s="275">
        <v>2640.7017000000001</v>
      </c>
      <c r="AX45" s="49">
        <f t="shared" si="196"/>
        <v>302.90758499999998</v>
      </c>
      <c r="AY45" s="49">
        <f t="shared" si="196"/>
        <v>888.20501699999988</v>
      </c>
      <c r="AZ45" s="47">
        <f t="shared" si="196"/>
        <v>566.22337700000003</v>
      </c>
      <c r="BA45" s="47">
        <f t="shared" si="149"/>
        <v>422.22913547352624</v>
      </c>
      <c r="BB45" s="48">
        <f t="shared" si="150"/>
        <v>725.13672047352622</v>
      </c>
      <c r="BC45" s="48">
        <f t="shared" si="151"/>
        <v>744.21077547352616</v>
      </c>
      <c r="BD45" s="93">
        <f t="shared" si="152"/>
        <v>321.33683057571943</v>
      </c>
      <c r="BE45" s="93">
        <f t="shared" si="153"/>
        <v>340.41088557571931</v>
      </c>
      <c r="BF45" s="118"/>
      <c r="BG45" s="275">
        <v>0.84889999999999999</v>
      </c>
      <c r="BH45" s="275">
        <v>1.323</v>
      </c>
      <c r="BI45" s="275">
        <v>2.1568999999999998</v>
      </c>
      <c r="BJ45" s="275">
        <v>6809.0725000000002</v>
      </c>
      <c r="BK45" s="275">
        <v>1957.7550000000001</v>
      </c>
      <c r="BL45" s="49">
        <f t="shared" si="197"/>
        <v>287.114958</v>
      </c>
      <c r="BM45" s="49">
        <f t="shared" si="197"/>
        <v>791.76258000000007</v>
      </c>
      <c r="BN45" s="47">
        <f t="shared" si="197"/>
        <v>497.05760499999991</v>
      </c>
      <c r="BO45" s="47">
        <f t="shared" si="154"/>
        <v>364.77876114927591</v>
      </c>
      <c r="BP45" s="48">
        <f t="shared" si="155"/>
        <v>651.89371914927597</v>
      </c>
      <c r="BQ45" s="48">
        <f t="shared" si="156"/>
        <v>659.48373614927607</v>
      </c>
      <c r="BR45" s="93">
        <f t="shared" si="157"/>
        <v>306.82049704207213</v>
      </c>
      <c r="BS45" s="93">
        <f t="shared" si="158"/>
        <v>314.41051404207229</v>
      </c>
      <c r="BT45" s="118"/>
      <c r="BU45" s="275">
        <v>0.87980000000000003</v>
      </c>
      <c r="BV45" s="275">
        <v>1.2087000000000001</v>
      </c>
      <c r="BW45" s="275">
        <v>2.2644000000000002</v>
      </c>
      <c r="BX45" s="275">
        <v>9855.5300000000007</v>
      </c>
      <c r="BY45" s="275">
        <v>3370.9758000000002</v>
      </c>
      <c r="BZ45" s="49">
        <f t="shared" si="198"/>
        <v>206.876172</v>
      </c>
      <c r="CA45" s="49">
        <f t="shared" si="198"/>
        <v>434.56391100000002</v>
      </c>
      <c r="CB45" s="47">
        <f t="shared" si="198"/>
        <v>213.28383600000001</v>
      </c>
      <c r="CC45" s="47">
        <f t="shared" si="159"/>
        <v>144.49589350848629</v>
      </c>
      <c r="CD45" s="48">
        <f t="shared" si="160"/>
        <v>351.37206550848629</v>
      </c>
      <c r="CE45" s="48">
        <f t="shared" si="161"/>
        <v>365.7759685084863</v>
      </c>
      <c r="CF45" s="93">
        <f t="shared" si="162"/>
        <v>218.2392229455867</v>
      </c>
      <c r="CG45" s="93">
        <f t="shared" si="163"/>
        <v>232.64312594558672</v>
      </c>
      <c r="CH45" s="118"/>
      <c r="CI45" s="275">
        <v>0.90910000000000002</v>
      </c>
      <c r="CJ45" s="275">
        <v>0.94089999999999996</v>
      </c>
      <c r="CK45" s="275">
        <v>1.7000999999999999</v>
      </c>
      <c r="CL45" s="275">
        <v>25960.450799999999</v>
      </c>
      <c r="CM45" s="275">
        <v>7832.5591999999997</v>
      </c>
      <c r="CN45" s="49">
        <f t="shared" si="199"/>
        <v>187.63824</v>
      </c>
      <c r="CO45" s="49">
        <f t="shared" si="199"/>
        <v>251.99183799999997</v>
      </c>
      <c r="CP45" s="47">
        <f t="shared" si="199"/>
        <v>0.71404199999999995</v>
      </c>
      <c r="CQ45" s="47">
        <f t="shared" si="164"/>
        <v>0.4092821783435755</v>
      </c>
      <c r="CR45" s="48">
        <f t="shared" si="165"/>
        <v>188.04752217834357</v>
      </c>
      <c r="CS45" s="48">
        <f t="shared" si="166"/>
        <v>251.68707817834354</v>
      </c>
      <c r="CT45" s="93">
        <f t="shared" si="167"/>
        <v>187.6728625807186</v>
      </c>
      <c r="CU45" s="93">
        <f t="shared" si="168"/>
        <v>251.31241858071857</v>
      </c>
      <c r="CV45" s="118"/>
      <c r="CW45" s="275">
        <v>0.77329999999999999</v>
      </c>
      <c r="CX45" s="275">
        <v>0.80810000000000004</v>
      </c>
      <c r="CY45" s="275">
        <v>1.4318</v>
      </c>
      <c r="CZ45" s="275">
        <v>11181.8392</v>
      </c>
      <c r="DA45" s="275">
        <v>3010.0666999999999</v>
      </c>
      <c r="DB45" s="49">
        <f t="shared" si="200"/>
        <v>160.529347</v>
      </c>
      <c r="DC45" s="49">
        <f t="shared" si="200"/>
        <v>227.48823100000001</v>
      </c>
      <c r="DD45" s="47">
        <f t="shared" si="200"/>
        <v>0.41522199999999998</v>
      </c>
      <c r="DE45" s="47">
        <f t="shared" si="169"/>
        <v>0.24343772964915009</v>
      </c>
      <c r="DF45" s="48">
        <f t="shared" si="170"/>
        <v>160.77278472964915</v>
      </c>
      <c r="DG45" s="48">
        <f t="shared" si="171"/>
        <v>227.31644672964916</v>
      </c>
      <c r="DH45" s="93">
        <f t="shared" si="172"/>
        <v>160.55205211169806</v>
      </c>
      <c r="DI45" s="93">
        <f t="shared" si="173"/>
        <v>227.09571411169807</v>
      </c>
      <c r="DJ45" s="118"/>
      <c r="DK45" s="275">
        <v>0.74099999999999999</v>
      </c>
      <c r="DL45" s="275">
        <v>0.77629999999999999</v>
      </c>
      <c r="DM45" s="275">
        <v>1.1657999999999999</v>
      </c>
      <c r="DN45" s="275">
        <v>3654.2592</v>
      </c>
      <c r="DO45" s="275">
        <v>1241.4925000000001</v>
      </c>
      <c r="DP45" s="49">
        <f t="shared" si="201"/>
        <v>100.95384</v>
      </c>
      <c r="DQ45" s="49">
        <f t="shared" si="201"/>
        <v>153.171753</v>
      </c>
      <c r="DR45" s="47">
        <f t="shared" si="201"/>
        <v>0.25647599999999998</v>
      </c>
      <c r="DS45" s="47">
        <f t="shared" si="174"/>
        <v>0.1545884381760321</v>
      </c>
      <c r="DT45" s="48">
        <f t="shared" si="175"/>
        <v>101.10842843817603</v>
      </c>
      <c r="DU45" s="48">
        <f t="shared" si="176"/>
        <v>153.06986543817604</v>
      </c>
      <c r="DV45" s="93">
        <f t="shared" si="177"/>
        <v>100.9759207510433</v>
      </c>
      <c r="DW45" s="93">
        <f t="shared" si="178"/>
        <v>152.93735775104332</v>
      </c>
      <c r="DX45" s="118"/>
      <c r="DY45" s="118"/>
      <c r="DZ45" s="118"/>
      <c r="EB45" s="52"/>
      <c r="EC45" s="52"/>
      <c r="ED45" s="52"/>
      <c r="EE45" s="55">
        <f t="shared" si="179"/>
        <v>60729.802500000005</v>
      </c>
      <c r="EF45" s="55">
        <f t="shared" si="179"/>
        <v>17739.389299999999</v>
      </c>
      <c r="EG45" s="55">
        <f t="shared" si="179"/>
        <v>1447.5953926</v>
      </c>
      <c r="EH45" s="55">
        <f t="shared" si="179"/>
        <v>3115.8992497999998</v>
      </c>
      <c r="EI45" s="298">
        <f t="shared" si="202"/>
        <v>0.773931795484607</v>
      </c>
      <c r="EJ45" s="52"/>
      <c r="EK45" s="55">
        <f t="shared" si="180"/>
        <v>1985.3903134081261</v>
      </c>
      <c r="EL45" s="55">
        <f t="shared" si="180"/>
        <v>2588.0518900081265</v>
      </c>
      <c r="EM45" s="55">
        <f t="shared" si="111"/>
        <v>1488.3738180114149</v>
      </c>
      <c r="EN45" s="55">
        <f t="shared" si="111"/>
        <v>2091.0353946114146</v>
      </c>
      <c r="EP45" s="52"/>
      <c r="EQ45" s="52"/>
      <c r="ER45" s="52"/>
      <c r="ES45" s="55">
        <f t="shared" si="203"/>
        <v>45727.598299999998</v>
      </c>
      <c r="ET45" s="55">
        <f t="shared" si="203"/>
        <v>13571.618399999999</v>
      </c>
      <c r="EU45" s="55">
        <f t="shared" si="203"/>
        <v>1043.3108989</v>
      </c>
      <c r="EV45" s="55">
        <f t="shared" si="203"/>
        <v>2371.3165357000003</v>
      </c>
      <c r="EW45" s="298">
        <f t="shared" si="204"/>
        <v>0.77113326018014672</v>
      </c>
      <c r="EX45" s="52"/>
      <c r="EY45" s="55">
        <f t="shared" si="205"/>
        <v>1708.2632321255364</v>
      </c>
      <c r="EZ45" s="55">
        <f t="shared" si="205"/>
        <v>2121.6320265255367</v>
      </c>
      <c r="FA45" s="55">
        <f t="shared" si="205"/>
        <v>1080.1849117840252</v>
      </c>
      <c r="FB45" s="55">
        <f t="shared" si="205"/>
        <v>1493.553706184025</v>
      </c>
      <c r="FD45" s="52"/>
      <c r="FE45" s="52"/>
      <c r="FF45" s="52"/>
      <c r="FG45" s="55">
        <f t="shared" si="206"/>
        <v>39643.1083</v>
      </c>
      <c r="FH45" s="55">
        <f t="shared" si="206"/>
        <v>12507.8683</v>
      </c>
      <c r="FI45" s="55">
        <f t="shared" si="206"/>
        <v>803.128917</v>
      </c>
      <c r="FJ45" s="55">
        <f t="shared" si="206"/>
        <v>1853.2842907999998</v>
      </c>
      <c r="FK45" s="298">
        <f t="shared" si="207"/>
        <v>0.76016042046660348</v>
      </c>
      <c r="FL45" s="52"/>
      <c r="FM45" s="55">
        <f t="shared" si="208"/>
        <v>1229.4276695504798</v>
      </c>
      <c r="FN45" s="55">
        <f t="shared" si="208"/>
        <v>1693.0416617504795</v>
      </c>
      <c r="FO45" s="55">
        <f t="shared" si="208"/>
        <v>827.64652210375334</v>
      </c>
      <c r="FP45" s="55">
        <f t="shared" si="208"/>
        <v>1291.2605143037531</v>
      </c>
      <c r="FR45" s="52"/>
      <c r="FS45" s="52"/>
      <c r="FT45" s="52"/>
      <c r="FU45" s="55">
        <f t="shared" si="209"/>
        <v>37142.29</v>
      </c>
      <c r="FV45" s="55">
        <f t="shared" si="209"/>
        <v>10842.625899999999</v>
      </c>
      <c r="FW45" s="55">
        <f t="shared" si="209"/>
        <v>316.06171760000001</v>
      </c>
      <c r="FX45" s="55">
        <f t="shared" si="209"/>
        <v>433.98242279999999</v>
      </c>
      <c r="FY45" s="298">
        <f t="shared" si="210"/>
        <v>0.77404095231518366</v>
      </c>
      <c r="FZ45" s="52"/>
      <c r="GA45" s="55">
        <f t="shared" si="211"/>
        <v>316.66574996206293</v>
      </c>
      <c r="GB45" s="55">
        <f t="shared" si="211"/>
        <v>433.54023556206289</v>
      </c>
      <c r="GC45" s="55">
        <f t="shared" si="211"/>
        <v>316.11450427007708</v>
      </c>
      <c r="GD45" s="55">
        <f t="shared" si="211"/>
        <v>432.98898987007703</v>
      </c>
      <c r="GF45" s="52"/>
      <c r="GG45" s="52"/>
      <c r="GH45" s="52"/>
      <c r="GI45" s="55">
        <f t="shared" si="212"/>
        <v>19248.577499999999</v>
      </c>
      <c r="GJ45" s="55">
        <f t="shared" si="212"/>
        <v>6011.6774999999998</v>
      </c>
      <c r="GK45" s="56">
        <f t="shared" si="213"/>
        <v>72.02355974999999</v>
      </c>
      <c r="GL45" s="56">
        <f t="shared" si="213"/>
        <v>340.23082949999991</v>
      </c>
      <c r="GM45" s="298">
        <f t="shared" si="214"/>
        <v>0.76201041913472378</v>
      </c>
      <c r="GN45" s="52"/>
      <c r="GO45" s="56">
        <f t="shared" si="215"/>
        <v>280.32349122377997</v>
      </c>
      <c r="GP45" s="56">
        <f t="shared" si="215"/>
        <v>283.8261052237799</v>
      </c>
      <c r="GQ45" s="56">
        <f t="shared" si="215"/>
        <v>77.323205722599539</v>
      </c>
      <c r="GR45" s="56">
        <f t="shared" si="215"/>
        <v>80.825819722599448</v>
      </c>
      <c r="GW45" s="275">
        <v>0.80320000000000003</v>
      </c>
      <c r="GX45" s="275">
        <v>1.0691999999999999</v>
      </c>
      <c r="GY45" s="275">
        <v>2.1273</v>
      </c>
      <c r="GZ45" s="275">
        <v>642.26250000000005</v>
      </c>
      <c r="HA45" s="275">
        <v>207.93</v>
      </c>
      <c r="HB45" s="49">
        <f t="shared" si="126"/>
        <v>527.533728</v>
      </c>
      <c r="HC45" s="49">
        <f t="shared" si="127"/>
        <v>1451.7704519999998</v>
      </c>
      <c r="HD45" s="47">
        <f t="shared" si="128"/>
        <v>517.61463600000002</v>
      </c>
      <c r="HE45" s="47">
        <f t="shared" si="181"/>
        <v>126.59204975753137</v>
      </c>
      <c r="HF45" s="48">
        <f t="shared" si="182"/>
        <v>654.12577775753141</v>
      </c>
      <c r="HG45" s="48">
        <f t="shared" si="183"/>
        <v>1060.7478657575311</v>
      </c>
      <c r="HH45" s="93">
        <f t="shared" si="184"/>
        <v>542.35912154956986</v>
      </c>
      <c r="HI45" s="93">
        <f t="shared" si="185"/>
        <v>948.9812095495696</v>
      </c>
      <c r="HJ45" s="298">
        <f t="shared" si="216"/>
        <v>0.75543185807919966</v>
      </c>
      <c r="HL45" s="275">
        <v>0.78469999999999995</v>
      </c>
      <c r="HM45" s="275">
        <v>0.92010000000000003</v>
      </c>
      <c r="HN45" s="275">
        <v>1.2146999999999999</v>
      </c>
      <c r="HO45" s="275">
        <v>20.25</v>
      </c>
      <c r="HP45" s="275">
        <v>11</v>
      </c>
      <c r="HQ45" s="49">
        <f t="shared" si="130"/>
        <v>417.18575499999997</v>
      </c>
      <c r="HR45" s="49">
        <f t="shared" si="131"/>
        <v>713.56515300000001</v>
      </c>
      <c r="HS45" s="47">
        <f t="shared" si="132"/>
        <v>157.65591299999997</v>
      </c>
      <c r="HT45" s="47">
        <f t="shared" si="186"/>
        <v>55.494881375999988</v>
      </c>
      <c r="HU45" s="48">
        <f t="shared" si="187"/>
        <v>472.68063637599994</v>
      </c>
      <c r="HV45" s="48">
        <f t="shared" si="188"/>
        <v>611.40412137600003</v>
      </c>
      <c r="HW45" s="93">
        <f t="shared" si="189"/>
        <v>420.19080352670289</v>
      </c>
      <c r="HX45" s="93">
        <f t="shared" si="190"/>
        <v>558.91428852670299</v>
      </c>
      <c r="HY45" s="298">
        <f t="shared" si="217"/>
        <v>0.64800000000000002</v>
      </c>
    </row>
    <row r="46" spans="1:233" s="131" customFormat="1" x14ac:dyDescent="0.2">
      <c r="A46" s="118">
        <v>36</v>
      </c>
      <c r="B46" s="118"/>
      <c r="C46" s="275">
        <v>0.86750000000000005</v>
      </c>
      <c r="D46" s="275">
        <v>1.0055000000000001</v>
      </c>
      <c r="E46" s="275">
        <v>1.7611000000000001</v>
      </c>
      <c r="F46" s="275">
        <v>15444.456700000001</v>
      </c>
      <c r="G46" s="275">
        <v>4583.3591999999999</v>
      </c>
      <c r="H46" s="49">
        <f t="shared" si="192"/>
        <v>858.00087500000006</v>
      </c>
      <c r="I46" s="49">
        <f t="shared" si="192"/>
        <v>1811.73001</v>
      </c>
      <c r="J46" s="47">
        <f t="shared" si="192"/>
        <v>476.97632399999998</v>
      </c>
      <c r="K46" s="47">
        <f t="shared" si="134"/>
        <v>109.15587769046651</v>
      </c>
      <c r="L46" s="48">
        <f t="shared" si="135"/>
        <v>967.15675269046653</v>
      </c>
      <c r="M46" s="48">
        <f t="shared" si="136"/>
        <v>1443.9095636904665</v>
      </c>
      <c r="N46" s="93">
        <f t="shared" si="137"/>
        <v>880.29726816561856</v>
      </c>
      <c r="O46" s="93">
        <f t="shared" si="138"/>
        <v>1357.0500791656184</v>
      </c>
      <c r="P46" s="298">
        <f t="shared" si="193"/>
        <v>0.77115032298654196</v>
      </c>
      <c r="Q46" s="275">
        <v>0.78480000000000005</v>
      </c>
      <c r="R46" s="275">
        <v>1.0121</v>
      </c>
      <c r="S46" s="275">
        <v>1.8379000000000001</v>
      </c>
      <c r="T46" s="275">
        <v>1896.9332999999999</v>
      </c>
      <c r="U46" s="275">
        <v>796.34749999999997</v>
      </c>
      <c r="V46" s="49">
        <f t="shared" si="194"/>
        <v>481.07455200000004</v>
      </c>
      <c r="W46" s="49">
        <f t="shared" si="194"/>
        <v>1174.703986</v>
      </c>
      <c r="X46" s="47">
        <f t="shared" si="194"/>
        <v>397.51939099999998</v>
      </c>
      <c r="Y46" s="47">
        <f t="shared" si="139"/>
        <v>282.02298942951541</v>
      </c>
      <c r="Z46" s="48">
        <f t="shared" si="140"/>
        <v>763.09754142951545</v>
      </c>
      <c r="AA46" s="48">
        <f t="shared" si="141"/>
        <v>1059.2075844295155</v>
      </c>
      <c r="AB46" s="93">
        <f t="shared" si="142"/>
        <v>498.19250968304573</v>
      </c>
      <c r="AC46" s="93">
        <f t="shared" si="143"/>
        <v>794.30255268304563</v>
      </c>
      <c r="AD46" s="118"/>
      <c r="AE46" s="275">
        <v>0.77810000000000001</v>
      </c>
      <c r="AF46" s="275">
        <v>0.96260000000000001</v>
      </c>
      <c r="AG46" s="275">
        <v>1.7926</v>
      </c>
      <c r="AH46" s="275">
        <v>223.20670000000001</v>
      </c>
      <c r="AI46" s="275">
        <v>80.949200000000005</v>
      </c>
      <c r="AJ46" s="49">
        <f t="shared" si="195"/>
        <v>364.82774699999999</v>
      </c>
      <c r="AK46" s="49">
        <f t="shared" si="195"/>
        <v>1094.264428</v>
      </c>
      <c r="AL46" s="47">
        <f t="shared" si="195"/>
        <v>358.39451800000001</v>
      </c>
      <c r="AM46" s="47">
        <f t="shared" si="144"/>
        <v>268.78245182666797</v>
      </c>
      <c r="AN46" s="48">
        <f t="shared" si="145"/>
        <v>633.61019882666801</v>
      </c>
      <c r="AO46" s="48">
        <f t="shared" si="146"/>
        <v>1004.6523618266679</v>
      </c>
      <c r="AP46" s="93">
        <f t="shared" si="147"/>
        <v>377.93443012682201</v>
      </c>
      <c r="AQ46" s="93">
        <f t="shared" si="148"/>
        <v>748.97659312682185</v>
      </c>
      <c r="AR46" s="118"/>
      <c r="AS46" s="275">
        <v>0.87539999999999996</v>
      </c>
      <c r="AT46" s="275">
        <v>1.2342</v>
      </c>
      <c r="AU46" s="275">
        <v>2.0013000000000001</v>
      </c>
      <c r="AV46" s="275">
        <v>10156.5692</v>
      </c>
      <c r="AW46" s="275">
        <v>2953.4117000000001</v>
      </c>
      <c r="AX46" s="49">
        <f t="shared" si="196"/>
        <v>305.03312999999997</v>
      </c>
      <c r="AY46" s="49">
        <f t="shared" si="196"/>
        <v>863.77955399999996</v>
      </c>
      <c r="AZ46" s="47">
        <f t="shared" si="196"/>
        <v>527.28251100000011</v>
      </c>
      <c r="BA46" s="47">
        <f t="shared" si="149"/>
        <v>389.67394726149308</v>
      </c>
      <c r="BB46" s="48">
        <f t="shared" si="150"/>
        <v>694.70707726149305</v>
      </c>
      <c r="BC46" s="48">
        <f t="shared" si="151"/>
        <v>726.17099026149299</v>
      </c>
      <c r="BD46" s="93">
        <f t="shared" si="152"/>
        <v>323.46237557571942</v>
      </c>
      <c r="BE46" s="93">
        <f t="shared" si="153"/>
        <v>354.9262885757193</v>
      </c>
      <c r="BF46" s="118"/>
      <c r="BG46" s="275">
        <v>0.86570000000000003</v>
      </c>
      <c r="BH46" s="275">
        <v>1.2735000000000001</v>
      </c>
      <c r="BI46" s="275">
        <v>2.0207999999999999</v>
      </c>
      <c r="BJ46" s="275">
        <v>7263.8392000000003</v>
      </c>
      <c r="BK46" s="275">
        <v>2130.3000000000002</v>
      </c>
      <c r="BL46" s="49">
        <f t="shared" si="197"/>
        <v>292.79705400000006</v>
      </c>
      <c r="BM46" s="49">
        <f t="shared" si="197"/>
        <v>762.13881000000015</v>
      </c>
      <c r="BN46" s="47">
        <f t="shared" si="197"/>
        <v>465.69335999999998</v>
      </c>
      <c r="BO46" s="47">
        <f t="shared" si="154"/>
        <v>336.44034232521034</v>
      </c>
      <c r="BP46" s="48">
        <f t="shared" si="155"/>
        <v>629.2373963252104</v>
      </c>
      <c r="BQ46" s="48">
        <f t="shared" si="156"/>
        <v>632.88579232521056</v>
      </c>
      <c r="BR46" s="93">
        <f t="shared" si="157"/>
        <v>312.50259304207219</v>
      </c>
      <c r="BS46" s="93">
        <f t="shared" si="158"/>
        <v>316.1509890420723</v>
      </c>
      <c r="BT46" s="118"/>
      <c r="BU46" s="275">
        <v>0.89119999999999999</v>
      </c>
      <c r="BV46" s="275">
        <v>1.1912</v>
      </c>
      <c r="BW46" s="275">
        <v>2.0522</v>
      </c>
      <c r="BX46" s="275">
        <v>10779.863300000001</v>
      </c>
      <c r="BY46" s="275">
        <v>3488.2058000000002</v>
      </c>
      <c r="BZ46" s="49">
        <f t="shared" si="198"/>
        <v>209.55676799999998</v>
      </c>
      <c r="CA46" s="49">
        <f t="shared" si="198"/>
        <v>428.27213599999999</v>
      </c>
      <c r="CB46" s="47">
        <f t="shared" si="198"/>
        <v>193.296718</v>
      </c>
      <c r="CC46" s="47">
        <f t="shared" si="159"/>
        <v>129.78966268303458</v>
      </c>
      <c r="CD46" s="48">
        <f t="shared" si="160"/>
        <v>339.34643068303455</v>
      </c>
      <c r="CE46" s="48">
        <f t="shared" si="161"/>
        <v>364.76508068303457</v>
      </c>
      <c r="CF46" s="93">
        <f t="shared" si="162"/>
        <v>220.91981894558668</v>
      </c>
      <c r="CG46" s="93">
        <f t="shared" si="163"/>
        <v>246.3384689455867</v>
      </c>
      <c r="CH46" s="118"/>
      <c r="CI46" s="275">
        <v>0.92930000000000001</v>
      </c>
      <c r="CJ46" s="275">
        <v>0.9546</v>
      </c>
      <c r="CK46" s="275">
        <v>1.6222000000000001</v>
      </c>
      <c r="CL46" s="275">
        <v>28149.602500000001</v>
      </c>
      <c r="CM46" s="275">
        <v>8448.9158000000007</v>
      </c>
      <c r="CN46" s="49">
        <f t="shared" si="199"/>
        <v>191.80752000000001</v>
      </c>
      <c r="CO46" s="49">
        <f t="shared" si="199"/>
        <v>255.66097199999999</v>
      </c>
      <c r="CP46" s="47">
        <f t="shared" si="199"/>
        <v>0.68132400000000004</v>
      </c>
      <c r="CQ46" s="47">
        <f t="shared" si="164"/>
        <v>0.38927423763040736</v>
      </c>
      <c r="CR46" s="48">
        <f t="shared" si="165"/>
        <v>192.19679423763043</v>
      </c>
      <c r="CS46" s="48">
        <f t="shared" si="166"/>
        <v>255.36892223763041</v>
      </c>
      <c r="CT46" s="93">
        <f t="shared" si="167"/>
        <v>191.84214258071862</v>
      </c>
      <c r="CU46" s="93">
        <f t="shared" si="168"/>
        <v>255.0142705807186</v>
      </c>
      <c r="CV46" s="118"/>
      <c r="CW46" s="275">
        <v>0.81799999999999995</v>
      </c>
      <c r="CX46" s="275">
        <v>0.85029999999999994</v>
      </c>
      <c r="CY46" s="275">
        <v>1.4267000000000001</v>
      </c>
      <c r="CZ46" s="275">
        <v>12380.081700000001</v>
      </c>
      <c r="DA46" s="275">
        <v>3306.0825</v>
      </c>
      <c r="DB46" s="49">
        <f t="shared" si="200"/>
        <v>169.80861999999999</v>
      </c>
      <c r="DC46" s="49">
        <f t="shared" si="200"/>
        <v>239.36795299999997</v>
      </c>
      <c r="DD46" s="47">
        <f t="shared" si="200"/>
        <v>0.41374299999999997</v>
      </c>
      <c r="DE46" s="47">
        <f t="shared" si="169"/>
        <v>0.24203930897597842</v>
      </c>
      <c r="DF46" s="48">
        <f t="shared" si="170"/>
        <v>170.05065930897598</v>
      </c>
      <c r="DG46" s="48">
        <f t="shared" si="171"/>
        <v>239.19624930897595</v>
      </c>
      <c r="DH46" s="93">
        <f t="shared" si="172"/>
        <v>169.83132511169805</v>
      </c>
      <c r="DI46" s="93">
        <f t="shared" si="173"/>
        <v>238.97691511169802</v>
      </c>
      <c r="DJ46" s="118"/>
      <c r="DK46" s="275">
        <v>0.78939999999999999</v>
      </c>
      <c r="DL46" s="275">
        <v>0.81989999999999996</v>
      </c>
      <c r="DM46" s="275">
        <v>1.1741999999999999</v>
      </c>
      <c r="DN46" s="275">
        <v>4018.0232999999998</v>
      </c>
      <c r="DO46" s="275">
        <v>1353.4625000000001</v>
      </c>
      <c r="DP46" s="49">
        <f t="shared" si="201"/>
        <v>107.54785600000001</v>
      </c>
      <c r="DQ46" s="49">
        <f t="shared" si="201"/>
        <v>161.77446899999998</v>
      </c>
      <c r="DR46" s="47">
        <f t="shared" si="201"/>
        <v>0.258324</v>
      </c>
      <c r="DS46" s="47">
        <f t="shared" si="174"/>
        <v>0.15516807947486716</v>
      </c>
      <c r="DT46" s="48">
        <f t="shared" si="175"/>
        <v>107.70302407947487</v>
      </c>
      <c r="DU46" s="48">
        <f t="shared" si="176"/>
        <v>161.67131307947486</v>
      </c>
      <c r="DV46" s="93">
        <f t="shared" si="177"/>
        <v>107.56993675104331</v>
      </c>
      <c r="DW46" s="93">
        <f t="shared" si="178"/>
        <v>161.53822575104331</v>
      </c>
      <c r="DX46" s="118"/>
      <c r="DY46" s="118"/>
      <c r="DZ46" s="118"/>
      <c r="EB46" s="52"/>
      <c r="EC46" s="52"/>
      <c r="ED46" s="52"/>
      <c r="EE46" s="55">
        <f t="shared" si="179"/>
        <v>66130.710099999997</v>
      </c>
      <c r="EF46" s="55">
        <f t="shared" si="179"/>
        <v>19291.769199999999</v>
      </c>
      <c r="EG46" s="55">
        <f t="shared" si="179"/>
        <v>1490.6884210000001</v>
      </c>
      <c r="EH46" s="55">
        <f t="shared" si="179"/>
        <v>3122.6648984000003</v>
      </c>
      <c r="EI46" s="298">
        <f t="shared" si="202"/>
        <v>0.77416050952761328</v>
      </c>
      <c r="EJ46" s="52"/>
      <c r="EK46" s="55">
        <f t="shared" si="180"/>
        <v>1990.1011516367707</v>
      </c>
      <c r="EL46" s="55">
        <f t="shared" si="180"/>
        <v>2616.8064756367712</v>
      </c>
      <c r="EM46" s="55">
        <f t="shared" si="111"/>
        <v>1531.4668464114152</v>
      </c>
      <c r="EN46" s="55">
        <f t="shared" si="111"/>
        <v>2158.1721704114148</v>
      </c>
      <c r="EP46" s="52"/>
      <c r="EQ46" s="52"/>
      <c r="ER46" s="52"/>
      <c r="ES46" s="55">
        <f t="shared" si="203"/>
        <v>49690.456700000002</v>
      </c>
      <c r="ET46" s="55">
        <f t="shared" si="203"/>
        <v>14681.645800000002</v>
      </c>
      <c r="EU46" s="55">
        <f t="shared" si="203"/>
        <v>1084.5451600000001</v>
      </c>
      <c r="EV46" s="55">
        <f t="shared" si="203"/>
        <v>2360.0613351000002</v>
      </c>
      <c r="EW46" s="298">
        <f t="shared" si="204"/>
        <v>0.77192533364899796</v>
      </c>
      <c r="EX46" s="52"/>
      <c r="EY46" s="55">
        <f t="shared" si="205"/>
        <v>1703.5671935086395</v>
      </c>
      <c r="EZ46" s="55">
        <f t="shared" si="205"/>
        <v>2114.8996735086394</v>
      </c>
      <c r="FA46" s="55">
        <f t="shared" si="205"/>
        <v>1121.4191728840251</v>
      </c>
      <c r="FB46" s="55">
        <f t="shared" si="205"/>
        <v>1532.7516528840251</v>
      </c>
      <c r="FD46" s="52"/>
      <c r="FE46" s="52"/>
      <c r="FF46" s="52"/>
      <c r="FG46" s="55">
        <f t="shared" si="206"/>
        <v>43170.695800000001</v>
      </c>
      <c r="FH46" s="55">
        <f t="shared" si="206"/>
        <v>13371.533300000001</v>
      </c>
      <c r="FI46" s="55">
        <f t="shared" si="206"/>
        <v>830.72074859999998</v>
      </c>
      <c r="FJ46" s="55">
        <f t="shared" si="206"/>
        <v>1875.2622173999998</v>
      </c>
      <c r="FK46" s="298">
        <f t="shared" si="207"/>
        <v>0.76351244878670688</v>
      </c>
      <c r="FL46" s="52"/>
      <c r="FM46" s="55">
        <f t="shared" si="208"/>
        <v>1229.7752381950179</v>
      </c>
      <c r="FN46" s="55">
        <f t="shared" si="208"/>
        <v>1721.7891525950176</v>
      </c>
      <c r="FO46" s="55">
        <f t="shared" si="208"/>
        <v>855.23835370375332</v>
      </c>
      <c r="FP46" s="55">
        <f t="shared" si="208"/>
        <v>1347.2522681037531</v>
      </c>
      <c r="FR46" s="52"/>
      <c r="FS46" s="52"/>
      <c r="FT46" s="52"/>
      <c r="FU46" s="55">
        <f t="shared" si="209"/>
        <v>40529.684200000003</v>
      </c>
      <c r="FV46" s="55">
        <f t="shared" si="209"/>
        <v>11754.998300000001</v>
      </c>
      <c r="FW46" s="55">
        <f t="shared" si="209"/>
        <v>327.65441599999997</v>
      </c>
      <c r="FX46" s="55">
        <f t="shared" si="209"/>
        <v>447.15533440000002</v>
      </c>
      <c r="FY46" s="298">
        <f t="shared" si="210"/>
        <v>0.775173191498294</v>
      </c>
      <c r="FZ46" s="52"/>
      <c r="GA46" s="55">
        <f t="shared" si="211"/>
        <v>328.23732168481121</v>
      </c>
      <c r="GB46" s="55">
        <f t="shared" si="211"/>
        <v>446.72592168481117</v>
      </c>
      <c r="GC46" s="55">
        <f t="shared" si="211"/>
        <v>327.70720267007709</v>
      </c>
      <c r="GD46" s="55">
        <f t="shared" si="211"/>
        <v>446.195802670077</v>
      </c>
      <c r="GF46" s="52"/>
      <c r="GG46" s="52"/>
      <c r="GH46" s="52"/>
      <c r="GI46" s="55">
        <f t="shared" si="212"/>
        <v>20936.432500000003</v>
      </c>
      <c r="GJ46" s="55">
        <f t="shared" si="212"/>
        <v>6441.6175000000003</v>
      </c>
      <c r="GK46" s="56">
        <f t="shared" si="213"/>
        <v>71.607271499999996</v>
      </c>
      <c r="GL46" s="56">
        <f t="shared" si="213"/>
        <v>326.63056349999999</v>
      </c>
      <c r="GM46" s="298">
        <f t="shared" si="214"/>
        <v>0.76471598598147061</v>
      </c>
      <c r="GN46" s="52"/>
      <c r="GO46" s="56">
        <f t="shared" si="215"/>
        <v>266.52048493384387</v>
      </c>
      <c r="GP46" s="56">
        <f t="shared" si="215"/>
        <v>271.0544321838438</v>
      </c>
      <c r="GQ46" s="56">
        <f t="shared" si="215"/>
        <v>76.906917472599559</v>
      </c>
      <c r="GR46" s="56">
        <f t="shared" si="215"/>
        <v>81.440864722599457</v>
      </c>
      <c r="GW46" s="275">
        <v>0.83640000000000003</v>
      </c>
      <c r="GX46" s="275">
        <v>1.0590999999999999</v>
      </c>
      <c r="GY46" s="275">
        <v>2.0017999999999998</v>
      </c>
      <c r="GZ46" s="275">
        <v>649.95249999999999</v>
      </c>
      <c r="HA46" s="275">
        <v>221.47329999999999</v>
      </c>
      <c r="HB46" s="49">
        <f t="shared" si="126"/>
        <v>549.339156</v>
      </c>
      <c r="HC46" s="49">
        <f t="shared" si="127"/>
        <v>1438.0565709999998</v>
      </c>
      <c r="HD46" s="47">
        <f t="shared" si="128"/>
        <v>487.07797599999992</v>
      </c>
      <c r="HE46" s="47">
        <f t="shared" si="181"/>
        <v>123.79110958390351</v>
      </c>
      <c r="HF46" s="48">
        <f t="shared" si="182"/>
        <v>673.13026558390357</v>
      </c>
      <c r="HG46" s="48">
        <f t="shared" si="183"/>
        <v>1074.7697045839034</v>
      </c>
      <c r="HH46" s="93">
        <f t="shared" si="184"/>
        <v>564.16454954956987</v>
      </c>
      <c r="HI46" s="93">
        <f t="shared" si="185"/>
        <v>965.80398854956979</v>
      </c>
      <c r="HJ46" s="298">
        <f t="shared" si="216"/>
        <v>0.74584950319350196</v>
      </c>
      <c r="HL46" s="275">
        <v>0.82620000000000005</v>
      </c>
      <c r="HM46" s="275">
        <v>0.93920000000000003</v>
      </c>
      <c r="HN46" s="275">
        <v>1.206</v>
      </c>
      <c r="HO46" s="275">
        <v>21.25</v>
      </c>
      <c r="HP46" s="275">
        <v>5.25</v>
      </c>
      <c r="HQ46" s="49">
        <f t="shared" si="130"/>
        <v>439.24923000000001</v>
      </c>
      <c r="HR46" s="49">
        <f t="shared" si="131"/>
        <v>728.37777600000004</v>
      </c>
      <c r="HS46" s="47">
        <f t="shared" si="132"/>
        <v>156.52673999999999</v>
      </c>
      <c r="HT46" s="47">
        <f t="shared" si="186"/>
        <v>31.010014528301884</v>
      </c>
      <c r="HU46" s="48">
        <f t="shared" si="187"/>
        <v>470.25924452830191</v>
      </c>
      <c r="HV46" s="48">
        <f t="shared" si="188"/>
        <v>602.86105052830192</v>
      </c>
      <c r="HW46" s="93">
        <f t="shared" si="189"/>
        <v>442.25427852670293</v>
      </c>
      <c r="HX46" s="93">
        <f t="shared" si="190"/>
        <v>574.85608452670294</v>
      </c>
      <c r="HY46" s="298">
        <f t="shared" si="217"/>
        <v>0.80188679245283023</v>
      </c>
    </row>
    <row r="47" spans="1:233" s="131" customFormat="1" x14ac:dyDescent="0.2">
      <c r="A47" s="118">
        <v>37</v>
      </c>
      <c r="B47" s="118"/>
      <c r="C47" s="275">
        <v>0.8992</v>
      </c>
      <c r="D47" s="275">
        <v>1.0105</v>
      </c>
      <c r="E47" s="275">
        <v>1.6279999999999999</v>
      </c>
      <c r="F47" s="275">
        <v>17128.463299999999</v>
      </c>
      <c r="G47" s="275">
        <v>4987.4592000000002</v>
      </c>
      <c r="H47" s="49">
        <f t="shared" si="192"/>
        <v>889.35375999999997</v>
      </c>
      <c r="I47" s="49">
        <f t="shared" si="192"/>
        <v>1820.7391099999998</v>
      </c>
      <c r="J47" s="47">
        <f t="shared" si="192"/>
        <v>440.9275199999999</v>
      </c>
      <c r="K47" s="47">
        <f t="shared" si="134"/>
        <v>99.435509242591337</v>
      </c>
      <c r="L47" s="48">
        <f t="shared" si="135"/>
        <v>988.78926924259133</v>
      </c>
      <c r="M47" s="48">
        <f t="shared" si="136"/>
        <v>1479.247099242591</v>
      </c>
      <c r="N47" s="93">
        <f t="shared" si="137"/>
        <v>911.65015316561835</v>
      </c>
      <c r="O47" s="93">
        <f t="shared" si="138"/>
        <v>1402.1079831656182</v>
      </c>
      <c r="P47" s="298">
        <f t="shared" si="193"/>
        <v>0.77448559064176492</v>
      </c>
      <c r="Q47" s="275">
        <v>0.8327</v>
      </c>
      <c r="R47" s="275">
        <v>1.0130999999999999</v>
      </c>
      <c r="S47" s="275">
        <v>1.6880999999999999</v>
      </c>
      <c r="T47" s="275">
        <v>2173.0342000000001</v>
      </c>
      <c r="U47" s="275">
        <v>939.76</v>
      </c>
      <c r="V47" s="49">
        <f t="shared" si="194"/>
        <v>510.43677300000002</v>
      </c>
      <c r="W47" s="49">
        <f t="shared" si="194"/>
        <v>1175.864646</v>
      </c>
      <c r="X47" s="47">
        <f t="shared" si="194"/>
        <v>365.11914899999999</v>
      </c>
      <c r="Y47" s="47">
        <f t="shared" si="139"/>
        <v>254.59902603966574</v>
      </c>
      <c r="Z47" s="48">
        <f t="shared" si="140"/>
        <v>765.03579903966579</v>
      </c>
      <c r="AA47" s="48">
        <f t="shared" si="141"/>
        <v>1065.3445230396658</v>
      </c>
      <c r="AB47" s="93">
        <f t="shared" si="142"/>
        <v>527.5547306830457</v>
      </c>
      <c r="AC47" s="93">
        <f t="shared" si="143"/>
        <v>827.86345468304569</v>
      </c>
      <c r="AD47" s="118"/>
      <c r="AE47" s="275">
        <v>0.82169999999999999</v>
      </c>
      <c r="AF47" s="275">
        <v>0.97599999999999998</v>
      </c>
      <c r="AG47" s="275">
        <v>1.6611</v>
      </c>
      <c r="AH47" s="275">
        <v>231.13499999999999</v>
      </c>
      <c r="AI47" s="275">
        <v>85.976699999999994</v>
      </c>
      <c r="AJ47" s="49">
        <f t="shared" si="195"/>
        <v>385.27047900000002</v>
      </c>
      <c r="AK47" s="49">
        <f t="shared" si="195"/>
        <v>1109.49728</v>
      </c>
      <c r="AL47" s="47">
        <f t="shared" si="195"/>
        <v>332.103723</v>
      </c>
      <c r="AM47" s="47">
        <f t="shared" si="144"/>
        <v>246.50530166162986</v>
      </c>
      <c r="AN47" s="48">
        <f t="shared" si="145"/>
        <v>631.77578066162982</v>
      </c>
      <c r="AO47" s="48">
        <f t="shared" si="146"/>
        <v>1023.8988586616299</v>
      </c>
      <c r="AP47" s="93">
        <f t="shared" si="147"/>
        <v>398.37716212682204</v>
      </c>
      <c r="AQ47" s="93">
        <f t="shared" si="148"/>
        <v>790.50024012682206</v>
      </c>
      <c r="AR47" s="118"/>
      <c r="AS47" s="275">
        <v>0.89359999999999995</v>
      </c>
      <c r="AT47" s="275">
        <v>1.1866000000000001</v>
      </c>
      <c r="AU47" s="275">
        <v>1.7875000000000001</v>
      </c>
      <c r="AV47" s="275">
        <v>11773.3675</v>
      </c>
      <c r="AW47" s="275">
        <v>3238.2833000000001</v>
      </c>
      <c r="AX47" s="49">
        <f t="shared" si="196"/>
        <v>311.37491999999997</v>
      </c>
      <c r="AY47" s="49">
        <f t="shared" si="196"/>
        <v>830.46574200000009</v>
      </c>
      <c r="AZ47" s="47">
        <f t="shared" si="196"/>
        <v>470.95262500000007</v>
      </c>
      <c r="BA47" s="47">
        <f t="shared" si="149"/>
        <v>342.52591818058136</v>
      </c>
      <c r="BB47" s="48">
        <f t="shared" si="150"/>
        <v>653.90083818058133</v>
      </c>
      <c r="BC47" s="48">
        <f t="shared" si="151"/>
        <v>702.03903518058132</v>
      </c>
      <c r="BD47" s="93">
        <f t="shared" si="152"/>
        <v>329.80416557571942</v>
      </c>
      <c r="BE47" s="93">
        <f t="shared" si="153"/>
        <v>377.94236257571947</v>
      </c>
      <c r="BF47" s="118"/>
      <c r="BG47" s="275">
        <v>0.89190000000000003</v>
      </c>
      <c r="BH47" s="275">
        <v>1.2131000000000001</v>
      </c>
      <c r="BI47" s="275">
        <v>1.8212999999999999</v>
      </c>
      <c r="BJ47" s="275">
        <v>7882.8967000000002</v>
      </c>
      <c r="BK47" s="275">
        <v>2294.4967000000001</v>
      </c>
      <c r="BL47" s="49">
        <f t="shared" si="197"/>
        <v>301.65841800000004</v>
      </c>
      <c r="BM47" s="49">
        <f t="shared" si="197"/>
        <v>725.99182600000006</v>
      </c>
      <c r="BN47" s="47">
        <f t="shared" si="197"/>
        <v>419.71858499999996</v>
      </c>
      <c r="BO47" s="47">
        <f t="shared" si="154"/>
        <v>296.51358884928766</v>
      </c>
      <c r="BP47" s="48">
        <f t="shared" si="155"/>
        <v>598.17200684928775</v>
      </c>
      <c r="BQ47" s="48">
        <f t="shared" si="156"/>
        <v>602.78682984928776</v>
      </c>
      <c r="BR47" s="93">
        <f t="shared" si="157"/>
        <v>321.36395704207217</v>
      </c>
      <c r="BS47" s="93">
        <f t="shared" si="158"/>
        <v>325.97878004207223</v>
      </c>
      <c r="BT47" s="118"/>
      <c r="BU47" s="275">
        <v>0.9083</v>
      </c>
      <c r="BV47" s="275">
        <v>1.1580999999999999</v>
      </c>
      <c r="BW47" s="275">
        <v>1.7992999999999999</v>
      </c>
      <c r="BX47" s="275">
        <v>11375.779200000001</v>
      </c>
      <c r="BY47" s="275">
        <v>3713.5367000000001</v>
      </c>
      <c r="BZ47" s="49">
        <f t="shared" si="198"/>
        <v>213.57766199999998</v>
      </c>
      <c r="CA47" s="49">
        <f t="shared" si="198"/>
        <v>416.37169299999994</v>
      </c>
      <c r="CB47" s="47">
        <f t="shared" si="198"/>
        <v>169.476067</v>
      </c>
      <c r="CC47" s="47">
        <f t="shared" si="159"/>
        <v>112.01700006466619</v>
      </c>
      <c r="CD47" s="48">
        <f t="shared" si="160"/>
        <v>325.59466206466618</v>
      </c>
      <c r="CE47" s="48">
        <f t="shared" si="161"/>
        <v>358.91262606466614</v>
      </c>
      <c r="CF47" s="93">
        <f t="shared" si="162"/>
        <v>224.94071294558668</v>
      </c>
      <c r="CG47" s="93">
        <f t="shared" si="163"/>
        <v>258.25867694558661</v>
      </c>
      <c r="CH47" s="118"/>
      <c r="CI47" s="275">
        <v>0.95050000000000001</v>
      </c>
      <c r="CJ47" s="275">
        <v>0.96750000000000003</v>
      </c>
      <c r="CK47" s="275">
        <v>1.5076000000000001</v>
      </c>
      <c r="CL47" s="275">
        <v>31028.6567</v>
      </c>
      <c r="CM47" s="275">
        <v>9141.7433000000001</v>
      </c>
      <c r="CN47" s="49">
        <f t="shared" si="199"/>
        <v>196.1832</v>
      </c>
      <c r="CO47" s="49">
        <f t="shared" si="199"/>
        <v>259.11585000000002</v>
      </c>
      <c r="CP47" s="47">
        <f t="shared" si="199"/>
        <v>0.63319199999999998</v>
      </c>
      <c r="CQ47" s="47">
        <f t="shared" si="164"/>
        <v>0.36035674419527125</v>
      </c>
      <c r="CR47" s="48">
        <f t="shared" si="165"/>
        <v>196.54355674419526</v>
      </c>
      <c r="CS47" s="48">
        <f t="shared" si="166"/>
        <v>258.84301474419527</v>
      </c>
      <c r="CT47" s="93">
        <f t="shared" si="167"/>
        <v>196.2178225807186</v>
      </c>
      <c r="CU47" s="93">
        <f t="shared" si="168"/>
        <v>258.51728058071865</v>
      </c>
      <c r="CV47" s="118"/>
      <c r="CW47" s="275">
        <v>0.86509999999999998</v>
      </c>
      <c r="CX47" s="275">
        <v>0.89080000000000004</v>
      </c>
      <c r="CY47" s="275">
        <v>1.3806</v>
      </c>
      <c r="CZ47" s="275">
        <v>13931.433300000001</v>
      </c>
      <c r="DA47" s="275">
        <v>3559.9567000000002</v>
      </c>
      <c r="DB47" s="49">
        <f t="shared" si="200"/>
        <v>179.58610899999999</v>
      </c>
      <c r="DC47" s="49">
        <f t="shared" si="200"/>
        <v>250.76910799999999</v>
      </c>
      <c r="DD47" s="47">
        <f t="shared" si="200"/>
        <v>0.40037400000000001</v>
      </c>
      <c r="DE47" s="47">
        <f t="shared" si="169"/>
        <v>0.23329897461517704</v>
      </c>
      <c r="DF47" s="48">
        <f t="shared" si="170"/>
        <v>179.81940797461516</v>
      </c>
      <c r="DG47" s="48">
        <f t="shared" si="171"/>
        <v>250.60203297461516</v>
      </c>
      <c r="DH47" s="93">
        <f t="shared" si="172"/>
        <v>179.60881411169805</v>
      </c>
      <c r="DI47" s="93">
        <f t="shared" si="173"/>
        <v>250.39143911169805</v>
      </c>
      <c r="DJ47" s="118"/>
      <c r="DK47" s="275">
        <v>0.83989999999999998</v>
      </c>
      <c r="DL47" s="275">
        <v>0.86329999999999996</v>
      </c>
      <c r="DM47" s="275">
        <v>1.1619999999999999</v>
      </c>
      <c r="DN47" s="275">
        <v>4453.6242000000002</v>
      </c>
      <c r="DO47" s="275">
        <v>1486.0391999999999</v>
      </c>
      <c r="DP47" s="49">
        <f t="shared" si="201"/>
        <v>114.427976</v>
      </c>
      <c r="DQ47" s="49">
        <f t="shared" si="201"/>
        <v>170.33772299999998</v>
      </c>
      <c r="DR47" s="47">
        <f t="shared" si="201"/>
        <v>0.25563999999999998</v>
      </c>
      <c r="DS47" s="47">
        <f t="shared" si="174"/>
        <v>0.15291566245736637</v>
      </c>
      <c r="DT47" s="48">
        <f t="shared" si="175"/>
        <v>114.58089166245736</v>
      </c>
      <c r="DU47" s="48">
        <f t="shared" si="176"/>
        <v>170.23499866245734</v>
      </c>
      <c r="DV47" s="93">
        <f t="shared" si="177"/>
        <v>114.45005675104331</v>
      </c>
      <c r="DW47" s="93">
        <f t="shared" si="178"/>
        <v>170.1041637510433</v>
      </c>
      <c r="DX47" s="118"/>
      <c r="DY47" s="118"/>
      <c r="DZ47" s="118"/>
      <c r="EB47" s="52"/>
      <c r="EC47" s="52"/>
      <c r="ED47" s="52"/>
      <c r="EE47" s="55">
        <f t="shared" si="179"/>
        <v>73861.920800000007</v>
      </c>
      <c r="EF47" s="55">
        <f t="shared" si="179"/>
        <v>20927.442500000001</v>
      </c>
      <c r="EG47" s="55">
        <f t="shared" si="179"/>
        <v>1540.5807671999999</v>
      </c>
      <c r="EH47" s="55">
        <f t="shared" si="179"/>
        <v>3110.9359884</v>
      </c>
      <c r="EI47" s="298">
        <f t="shared" si="202"/>
        <v>0.77922161547001334</v>
      </c>
      <c r="EJ47" s="52"/>
      <c r="EK47" s="55">
        <f t="shared" si="180"/>
        <v>1983.0891905470601</v>
      </c>
      <c r="EL47" s="55">
        <f t="shared" si="180"/>
        <v>2640.6107755470598</v>
      </c>
      <c r="EM47" s="55">
        <f t="shared" si="111"/>
        <v>1581.3591926114148</v>
      </c>
      <c r="EN47" s="55">
        <f t="shared" si="111"/>
        <v>2238.8807776114145</v>
      </c>
      <c r="EP47" s="52"/>
      <c r="EQ47" s="52"/>
      <c r="ER47" s="52"/>
      <c r="ES47" s="55">
        <f t="shared" si="203"/>
        <v>55016.020900000003</v>
      </c>
      <c r="ET47" s="55">
        <f t="shared" si="203"/>
        <v>15935.956700000001</v>
      </c>
      <c r="EU47" s="55">
        <f t="shared" si="203"/>
        <v>1133.9886673000001</v>
      </c>
      <c r="EV47" s="55">
        <f t="shared" si="203"/>
        <v>2336.5106976000002</v>
      </c>
      <c r="EW47" s="298">
        <f t="shared" si="204"/>
        <v>0.77539799116184194</v>
      </c>
      <c r="EX47" s="52"/>
      <c r="EY47" s="55">
        <f t="shared" si="205"/>
        <v>1685.6249482153794</v>
      </c>
      <c r="EZ47" s="55">
        <f t="shared" si="205"/>
        <v>2102.3957907153795</v>
      </c>
      <c r="FA47" s="55">
        <f t="shared" si="205"/>
        <v>1170.8626801840251</v>
      </c>
      <c r="FB47" s="55">
        <f t="shared" si="205"/>
        <v>1587.6335226840254</v>
      </c>
      <c r="FD47" s="52"/>
      <c r="FE47" s="52"/>
      <c r="FF47" s="52"/>
      <c r="FG47" s="55">
        <f t="shared" si="206"/>
        <v>47089.195099999997</v>
      </c>
      <c r="FH47" s="55">
        <f t="shared" si="206"/>
        <v>14427.295899999999</v>
      </c>
      <c r="FI47" s="55">
        <f t="shared" si="206"/>
        <v>863.68812659999992</v>
      </c>
      <c r="FJ47" s="55">
        <f t="shared" si="206"/>
        <v>1887.1874568000003</v>
      </c>
      <c r="FK47" s="298">
        <f t="shared" si="207"/>
        <v>0.76547271039890752</v>
      </c>
      <c r="FL47" s="52"/>
      <c r="FM47" s="55">
        <f t="shared" si="208"/>
        <v>1222.6625344679658</v>
      </c>
      <c r="FN47" s="55">
        <f t="shared" si="208"/>
        <v>1743.7954986679656</v>
      </c>
      <c r="FO47" s="55">
        <f t="shared" si="208"/>
        <v>888.20573170375326</v>
      </c>
      <c r="FP47" s="55">
        <f t="shared" si="208"/>
        <v>1409.3386959037534</v>
      </c>
      <c r="FR47" s="52"/>
      <c r="FS47" s="52"/>
      <c r="FT47" s="52"/>
      <c r="FU47" s="55">
        <f t="shared" si="209"/>
        <v>44960.09</v>
      </c>
      <c r="FV47" s="55">
        <f t="shared" si="209"/>
        <v>12701.7</v>
      </c>
      <c r="FW47" s="55">
        <f t="shared" si="209"/>
        <v>339.85208720000003</v>
      </c>
      <c r="FX47" s="55">
        <f t="shared" si="209"/>
        <v>459.73113640000003</v>
      </c>
      <c r="FY47" s="298">
        <f t="shared" si="210"/>
        <v>0.77972067811283696</v>
      </c>
      <c r="FZ47" s="52"/>
      <c r="GA47" s="55">
        <f t="shared" si="211"/>
        <v>340.39908312388741</v>
      </c>
      <c r="GB47" s="55">
        <f t="shared" si="211"/>
        <v>459.32464112388743</v>
      </c>
      <c r="GC47" s="55">
        <f t="shared" si="211"/>
        <v>339.90487387007704</v>
      </c>
      <c r="GD47" s="55">
        <f t="shared" si="211"/>
        <v>458.83043187007706</v>
      </c>
      <c r="GF47" s="52"/>
      <c r="GG47" s="52"/>
      <c r="GH47" s="52"/>
      <c r="GI47" s="55">
        <f t="shared" si="212"/>
        <v>23149.146700000001</v>
      </c>
      <c r="GJ47" s="55">
        <f t="shared" si="212"/>
        <v>6951.82</v>
      </c>
      <c r="GK47" s="56">
        <f t="shared" si="213"/>
        <v>73.3479435</v>
      </c>
      <c r="GL47" s="56">
        <f t="shared" si="213"/>
        <v>310.57053675000009</v>
      </c>
      <c r="GM47" s="298">
        <f t="shared" si="214"/>
        <v>0.76904994217345191</v>
      </c>
      <c r="GN47" s="52"/>
      <c r="GO47" s="56">
        <f t="shared" si="215"/>
        <v>246.22963208693636</v>
      </c>
      <c r="GP47" s="56">
        <f t="shared" si="215"/>
        <v>257.34480683693641</v>
      </c>
      <c r="GQ47" s="56">
        <f t="shared" si="215"/>
        <v>78.647589472599549</v>
      </c>
      <c r="GR47" s="56">
        <f t="shared" si="215"/>
        <v>89.762764222599642</v>
      </c>
      <c r="GW47" s="275">
        <v>0.87260000000000004</v>
      </c>
      <c r="GX47" s="275">
        <v>1.0461</v>
      </c>
      <c r="GY47" s="275">
        <v>1.8072999999999999</v>
      </c>
      <c r="GZ47" s="275">
        <v>749.12170000000003</v>
      </c>
      <c r="HA47" s="275">
        <v>224.905</v>
      </c>
      <c r="HB47" s="49">
        <f t="shared" si="126"/>
        <v>573.11495400000001</v>
      </c>
      <c r="HC47" s="49">
        <f t="shared" si="127"/>
        <v>1420.405041</v>
      </c>
      <c r="HD47" s="47">
        <f t="shared" si="128"/>
        <v>439.75223599999998</v>
      </c>
      <c r="HE47" s="47">
        <f t="shared" si="181"/>
        <v>101.53980033358428</v>
      </c>
      <c r="HF47" s="48">
        <f t="shared" si="182"/>
        <v>674.65475433358426</v>
      </c>
      <c r="HG47" s="48">
        <f t="shared" si="183"/>
        <v>1082.1926053335842</v>
      </c>
      <c r="HH47" s="93">
        <f t="shared" si="184"/>
        <v>587.94034754956988</v>
      </c>
      <c r="HI47" s="93">
        <f t="shared" si="185"/>
        <v>995.47819854956981</v>
      </c>
      <c r="HJ47" s="298">
        <f t="shared" si="216"/>
        <v>0.76909770543251021</v>
      </c>
      <c r="HL47" s="275">
        <v>0.86850000000000005</v>
      </c>
      <c r="HM47" s="275">
        <v>0.95630000000000004</v>
      </c>
      <c r="HN47" s="275">
        <v>1.1837</v>
      </c>
      <c r="HO47" s="275">
        <v>24</v>
      </c>
      <c r="HP47" s="275">
        <v>7</v>
      </c>
      <c r="HQ47" s="49">
        <f t="shared" si="130"/>
        <v>461.73802499999999</v>
      </c>
      <c r="HR47" s="49">
        <f t="shared" si="131"/>
        <v>741.63933899999995</v>
      </c>
      <c r="HS47" s="47">
        <f t="shared" si="132"/>
        <v>153.63242299999999</v>
      </c>
      <c r="HT47" s="47">
        <f t="shared" si="186"/>
        <v>34.691192290322576</v>
      </c>
      <c r="HU47" s="48">
        <f t="shared" si="187"/>
        <v>496.42921729032258</v>
      </c>
      <c r="HV47" s="48">
        <f t="shared" si="188"/>
        <v>622.69810829032247</v>
      </c>
      <c r="HW47" s="93">
        <f t="shared" si="189"/>
        <v>464.74307352670291</v>
      </c>
      <c r="HX47" s="93">
        <f t="shared" si="190"/>
        <v>591.01196452670285</v>
      </c>
      <c r="HY47" s="298">
        <f t="shared" si="217"/>
        <v>0.77419354838709675</v>
      </c>
    </row>
    <row r="48" spans="1:233" s="131" customFormat="1" x14ac:dyDescent="0.2">
      <c r="A48" s="118">
        <v>38</v>
      </c>
      <c r="B48" s="118"/>
      <c r="C48" s="275">
        <v>0.93230000000000002</v>
      </c>
      <c r="D48" s="275">
        <v>1.0107999999999999</v>
      </c>
      <c r="E48" s="275">
        <v>1.4533</v>
      </c>
      <c r="F48" s="275">
        <v>19207.046699999999</v>
      </c>
      <c r="G48" s="275">
        <v>5351.59</v>
      </c>
      <c r="H48" s="49">
        <f t="shared" si="192"/>
        <v>922.09131500000001</v>
      </c>
      <c r="I48" s="49">
        <f t="shared" si="192"/>
        <v>1821.2796559999997</v>
      </c>
      <c r="J48" s="47">
        <f t="shared" si="192"/>
        <v>393.61177199999997</v>
      </c>
      <c r="K48" s="47">
        <f t="shared" si="134"/>
        <v>85.772221343112264</v>
      </c>
      <c r="L48" s="48">
        <f t="shared" si="135"/>
        <v>1007.8635363431123</v>
      </c>
      <c r="M48" s="48">
        <f t="shared" si="136"/>
        <v>1513.440105343112</v>
      </c>
      <c r="N48" s="93">
        <f t="shared" si="137"/>
        <v>944.38770816561851</v>
      </c>
      <c r="O48" s="93">
        <f t="shared" si="138"/>
        <v>1449.9642771656181</v>
      </c>
      <c r="P48" s="298">
        <f t="shared" si="193"/>
        <v>0.78208928836835634</v>
      </c>
      <c r="Q48" s="275">
        <v>0.88619999999999999</v>
      </c>
      <c r="R48" s="275">
        <v>1.0108999999999999</v>
      </c>
      <c r="S48" s="275">
        <v>1.4903</v>
      </c>
      <c r="T48" s="275">
        <v>2435.9267</v>
      </c>
      <c r="U48" s="275">
        <v>1077.2141999999999</v>
      </c>
      <c r="V48" s="49">
        <f t="shared" si="194"/>
        <v>543.23173799999995</v>
      </c>
      <c r="W48" s="49">
        <f t="shared" si="194"/>
        <v>1173.3111939999999</v>
      </c>
      <c r="X48" s="47">
        <f t="shared" si="194"/>
        <v>322.33698699999997</v>
      </c>
      <c r="Y48" s="47">
        <f t="shared" si="139"/>
        <v>220.32748965193517</v>
      </c>
      <c r="Z48" s="48">
        <f t="shared" si="140"/>
        <v>763.55922765193509</v>
      </c>
      <c r="AA48" s="48">
        <f t="shared" si="141"/>
        <v>1071.3016966519351</v>
      </c>
      <c r="AB48" s="93">
        <f t="shared" si="142"/>
        <v>560.34969568304564</v>
      </c>
      <c r="AC48" s="93">
        <f t="shared" si="143"/>
        <v>868.09216468304567</v>
      </c>
      <c r="AD48" s="118"/>
      <c r="AE48" s="275">
        <v>0.87339999999999995</v>
      </c>
      <c r="AF48" s="275">
        <v>0.98599999999999999</v>
      </c>
      <c r="AG48" s="275">
        <v>1.4752000000000001</v>
      </c>
      <c r="AH48" s="275">
        <v>249.73750000000001</v>
      </c>
      <c r="AI48" s="275">
        <v>100.4567</v>
      </c>
      <c r="AJ48" s="49">
        <f t="shared" si="195"/>
        <v>409.51105799999999</v>
      </c>
      <c r="AK48" s="49">
        <f t="shared" si="195"/>
        <v>1120.86508</v>
      </c>
      <c r="AL48" s="47">
        <f t="shared" si="195"/>
        <v>294.936736</v>
      </c>
      <c r="AM48" s="47">
        <f t="shared" si="144"/>
        <v>216.01505667986237</v>
      </c>
      <c r="AN48" s="48">
        <f t="shared" si="145"/>
        <v>625.5261146798623</v>
      </c>
      <c r="AO48" s="48">
        <f t="shared" si="146"/>
        <v>1041.9434006798624</v>
      </c>
      <c r="AP48" s="93">
        <f t="shared" si="147"/>
        <v>422.61774112682201</v>
      </c>
      <c r="AQ48" s="93">
        <f t="shared" si="148"/>
        <v>839.035027126822</v>
      </c>
      <c r="AR48" s="118"/>
      <c r="AS48" s="275">
        <v>0.92020000000000002</v>
      </c>
      <c r="AT48" s="275">
        <v>1.129</v>
      </c>
      <c r="AU48" s="275">
        <v>1.5367</v>
      </c>
      <c r="AV48" s="275">
        <v>13566.307500000001</v>
      </c>
      <c r="AW48" s="275">
        <v>3750.7766999999999</v>
      </c>
      <c r="AX48" s="49">
        <f t="shared" si="196"/>
        <v>320.64368999999999</v>
      </c>
      <c r="AY48" s="49">
        <f t="shared" si="196"/>
        <v>790.15323000000001</v>
      </c>
      <c r="AZ48" s="47">
        <f t="shared" si="196"/>
        <v>404.87434900000005</v>
      </c>
      <c r="BA48" s="47">
        <f t="shared" si="149"/>
        <v>288.00293631215447</v>
      </c>
      <c r="BB48" s="48">
        <f t="shared" si="150"/>
        <v>608.64662631215447</v>
      </c>
      <c r="BC48" s="48">
        <f t="shared" si="151"/>
        <v>673.28181731215443</v>
      </c>
      <c r="BD48" s="93">
        <f t="shared" si="152"/>
        <v>339.07293557571944</v>
      </c>
      <c r="BE48" s="93">
        <f t="shared" si="153"/>
        <v>403.7081265757194</v>
      </c>
      <c r="BF48" s="118"/>
      <c r="BG48" s="275">
        <v>0.92320000000000002</v>
      </c>
      <c r="BH48" s="275">
        <v>1.1444000000000001</v>
      </c>
      <c r="BI48" s="275">
        <v>1.5687</v>
      </c>
      <c r="BJ48" s="275">
        <v>8701.5349999999999</v>
      </c>
      <c r="BK48" s="275">
        <v>2489.4007999999999</v>
      </c>
      <c r="BL48" s="49">
        <f t="shared" si="197"/>
        <v>312.24470400000001</v>
      </c>
      <c r="BM48" s="49">
        <f t="shared" si="197"/>
        <v>684.87762400000008</v>
      </c>
      <c r="BN48" s="47">
        <f t="shared" si="197"/>
        <v>361.50691499999999</v>
      </c>
      <c r="BO48" s="47">
        <f t="shared" si="154"/>
        <v>248.30253024358103</v>
      </c>
      <c r="BP48" s="48">
        <f t="shared" si="155"/>
        <v>560.54723424358099</v>
      </c>
      <c r="BQ48" s="48">
        <f t="shared" si="156"/>
        <v>571.67323924358107</v>
      </c>
      <c r="BR48" s="93">
        <f t="shared" si="157"/>
        <v>331.95024304207215</v>
      </c>
      <c r="BS48" s="93">
        <f t="shared" si="158"/>
        <v>343.07624804207222</v>
      </c>
      <c r="BT48" s="118"/>
      <c r="BU48" s="275">
        <v>0.93169999999999997</v>
      </c>
      <c r="BV48" s="275">
        <v>1.113</v>
      </c>
      <c r="BW48" s="275">
        <v>1.5247999999999999</v>
      </c>
      <c r="BX48" s="275">
        <v>12249.796700000001</v>
      </c>
      <c r="BY48" s="275">
        <v>3931.8292000000001</v>
      </c>
      <c r="BZ48" s="49">
        <f t="shared" si="198"/>
        <v>219.07993799999997</v>
      </c>
      <c r="CA48" s="49">
        <f t="shared" si="198"/>
        <v>400.15688999999998</v>
      </c>
      <c r="CB48" s="47">
        <f t="shared" si="198"/>
        <v>143.620912</v>
      </c>
      <c r="CC48" s="47">
        <f t="shared" si="159"/>
        <v>92.809236928788877</v>
      </c>
      <c r="CD48" s="48">
        <f t="shared" si="160"/>
        <v>311.88917492878886</v>
      </c>
      <c r="CE48" s="48">
        <f t="shared" si="161"/>
        <v>349.34521492878889</v>
      </c>
      <c r="CF48" s="93">
        <f t="shared" si="162"/>
        <v>230.44298894558668</v>
      </c>
      <c r="CG48" s="93">
        <f t="shared" si="163"/>
        <v>267.89902894558668</v>
      </c>
      <c r="CH48" s="118"/>
      <c r="CI48" s="275">
        <v>0.97060000000000002</v>
      </c>
      <c r="CJ48" s="275">
        <v>0.98</v>
      </c>
      <c r="CK48" s="275">
        <v>1.3654999999999999</v>
      </c>
      <c r="CL48" s="275">
        <v>34567.228300000002</v>
      </c>
      <c r="CM48" s="275">
        <v>10111.685799999999</v>
      </c>
      <c r="CN48" s="49">
        <f t="shared" si="199"/>
        <v>200.33184</v>
      </c>
      <c r="CO48" s="49">
        <f t="shared" si="199"/>
        <v>262.46359999999999</v>
      </c>
      <c r="CP48" s="47">
        <f t="shared" si="199"/>
        <v>0.57350999999999996</v>
      </c>
      <c r="CQ48" s="47">
        <f t="shared" si="164"/>
        <v>0.32525277093482163</v>
      </c>
      <c r="CR48" s="48">
        <f t="shared" si="165"/>
        <v>200.65709277093481</v>
      </c>
      <c r="CS48" s="48">
        <f t="shared" si="166"/>
        <v>262.2153427709348</v>
      </c>
      <c r="CT48" s="93">
        <f t="shared" si="167"/>
        <v>200.3664625807186</v>
      </c>
      <c r="CU48" s="93">
        <f t="shared" si="168"/>
        <v>261.92471258071862</v>
      </c>
      <c r="CV48" s="118"/>
      <c r="CW48" s="275">
        <v>0.9103</v>
      </c>
      <c r="CX48" s="275">
        <v>0.92920000000000003</v>
      </c>
      <c r="CY48" s="275">
        <v>1.2883</v>
      </c>
      <c r="CZ48" s="275">
        <v>15753.5442</v>
      </c>
      <c r="DA48" s="275">
        <v>4023.8083000000001</v>
      </c>
      <c r="DB48" s="49">
        <f t="shared" si="200"/>
        <v>188.969177</v>
      </c>
      <c r="DC48" s="49">
        <f t="shared" si="200"/>
        <v>261.579092</v>
      </c>
      <c r="DD48" s="47">
        <f t="shared" si="200"/>
        <v>0.37360699999999997</v>
      </c>
      <c r="DE48" s="47">
        <f t="shared" si="169"/>
        <v>0.216908567958218</v>
      </c>
      <c r="DF48" s="48">
        <f t="shared" si="170"/>
        <v>189.18608556795823</v>
      </c>
      <c r="DG48" s="48">
        <f t="shared" si="171"/>
        <v>261.42239356795824</v>
      </c>
      <c r="DH48" s="93">
        <f t="shared" si="172"/>
        <v>188.99188211169806</v>
      </c>
      <c r="DI48" s="93">
        <f t="shared" si="173"/>
        <v>261.2281901116981</v>
      </c>
      <c r="DJ48" s="118"/>
      <c r="DK48" s="275">
        <v>0.8921</v>
      </c>
      <c r="DL48" s="275">
        <v>0.9073</v>
      </c>
      <c r="DM48" s="275">
        <v>1.1279999999999999</v>
      </c>
      <c r="DN48" s="275">
        <v>4812.4125000000004</v>
      </c>
      <c r="DO48" s="275">
        <v>1607.355</v>
      </c>
      <c r="DP48" s="49">
        <f t="shared" si="201"/>
        <v>121.53970400000001</v>
      </c>
      <c r="DQ48" s="49">
        <f t="shared" si="201"/>
        <v>179.019363</v>
      </c>
      <c r="DR48" s="47">
        <f t="shared" si="201"/>
        <v>0.24815999999999996</v>
      </c>
      <c r="DS48" s="47">
        <f t="shared" si="174"/>
        <v>0.14780936594429869</v>
      </c>
      <c r="DT48" s="48">
        <f t="shared" si="175"/>
        <v>121.68751336594431</v>
      </c>
      <c r="DU48" s="48">
        <f t="shared" si="176"/>
        <v>178.9190123659443</v>
      </c>
      <c r="DV48" s="93">
        <f t="shared" si="177"/>
        <v>121.56178475104332</v>
      </c>
      <c r="DW48" s="93">
        <f t="shared" si="178"/>
        <v>178.7932837510433</v>
      </c>
      <c r="DX48" s="118"/>
      <c r="DY48" s="118"/>
      <c r="DZ48" s="118"/>
      <c r="EB48" s="52"/>
      <c r="EC48" s="52"/>
      <c r="ED48" s="52"/>
      <c r="EE48" s="55">
        <f t="shared" si="179"/>
        <v>83094.126700000008</v>
      </c>
      <c r="EF48" s="55">
        <f t="shared" si="179"/>
        <v>23237.860799999999</v>
      </c>
      <c r="EG48" s="55">
        <f t="shared" si="179"/>
        <v>1594.2421866</v>
      </c>
      <c r="EH48" s="55">
        <f t="shared" si="179"/>
        <v>3083.1597595999997</v>
      </c>
      <c r="EI48" s="298">
        <f t="shared" si="202"/>
        <v>0.78145935812588851</v>
      </c>
      <c r="EJ48" s="52"/>
      <c r="EK48" s="55">
        <f t="shared" si="180"/>
        <v>1968.5161238805683</v>
      </c>
      <c r="EL48" s="55">
        <f t="shared" si="180"/>
        <v>2658.075180280568</v>
      </c>
      <c r="EM48" s="55">
        <f t="shared" si="111"/>
        <v>1635.0206120114151</v>
      </c>
      <c r="EN48" s="55">
        <f t="shared" si="111"/>
        <v>2324.5796684114148</v>
      </c>
      <c r="EP48" s="52"/>
      <c r="EQ48" s="52"/>
      <c r="ER48" s="52"/>
      <c r="ES48" s="55">
        <f t="shared" si="203"/>
        <v>61458.234200000006</v>
      </c>
      <c r="ET48" s="55">
        <f t="shared" si="203"/>
        <v>17702.109099999998</v>
      </c>
      <c r="EU48" s="55">
        <f t="shared" si="203"/>
        <v>1188.0867059</v>
      </c>
      <c r="EV48" s="55">
        <f t="shared" si="203"/>
        <v>2303.7577824</v>
      </c>
      <c r="EW48" s="298">
        <f t="shared" si="204"/>
        <v>0.77637654964540814</v>
      </c>
      <c r="EX48" s="52"/>
      <c r="EY48" s="55">
        <f t="shared" si="205"/>
        <v>1657.1938145640217</v>
      </c>
      <c r="EZ48" s="55">
        <f t="shared" si="205"/>
        <v>2088.1859541640215</v>
      </c>
      <c r="FA48" s="55">
        <f t="shared" si="205"/>
        <v>1224.9607187840252</v>
      </c>
      <c r="FB48" s="55">
        <f t="shared" si="205"/>
        <v>1655.9528583840251</v>
      </c>
      <c r="FD48" s="52"/>
      <c r="FE48" s="52"/>
      <c r="FF48" s="52"/>
      <c r="FG48" s="55">
        <f t="shared" si="206"/>
        <v>51879.175000000003</v>
      </c>
      <c r="FH48" s="55">
        <f t="shared" si="206"/>
        <v>15751.3267</v>
      </c>
      <c r="FI48" s="55">
        <f t="shared" si="206"/>
        <v>901.84665840000002</v>
      </c>
      <c r="FJ48" s="55">
        <f t="shared" si="206"/>
        <v>1890.8971878</v>
      </c>
      <c r="FK48" s="298">
        <f t="shared" si="207"/>
        <v>0.76709729627807854</v>
      </c>
      <c r="FL48" s="52"/>
      <c r="FM48" s="55">
        <f t="shared" si="208"/>
        <v>1211.0848903991528</v>
      </c>
      <c r="FN48" s="55">
        <f t="shared" si="208"/>
        <v>1760.8553657991527</v>
      </c>
      <c r="FO48" s="55">
        <f t="shared" si="208"/>
        <v>926.36426350375325</v>
      </c>
      <c r="FP48" s="55">
        <f t="shared" si="208"/>
        <v>1476.1347389037533</v>
      </c>
      <c r="FR48" s="52"/>
      <c r="FS48" s="52"/>
      <c r="FT48" s="52"/>
      <c r="FU48" s="55">
        <f t="shared" si="209"/>
        <v>50320.772500000006</v>
      </c>
      <c r="FV48" s="55">
        <f t="shared" si="209"/>
        <v>14135.4941</v>
      </c>
      <c r="FW48" s="55">
        <f t="shared" si="209"/>
        <v>351.50718159999997</v>
      </c>
      <c r="FX48" s="55">
        <f t="shared" si="209"/>
        <v>471.72687359999998</v>
      </c>
      <c r="FY48" s="298">
        <f t="shared" si="210"/>
        <v>0.78069635668287374</v>
      </c>
      <c r="FZ48" s="52"/>
      <c r="GA48" s="55">
        <f t="shared" si="211"/>
        <v>352.00596122530141</v>
      </c>
      <c r="GB48" s="55">
        <f t="shared" si="211"/>
        <v>471.35325762530141</v>
      </c>
      <c r="GC48" s="55">
        <f t="shared" si="211"/>
        <v>351.55996827007709</v>
      </c>
      <c r="GD48" s="55">
        <f t="shared" si="211"/>
        <v>470.9072646700771</v>
      </c>
      <c r="GF48" s="52"/>
      <c r="GG48" s="52"/>
      <c r="GH48" s="52"/>
      <c r="GI48" s="55">
        <f t="shared" si="212"/>
        <v>25816.104200000002</v>
      </c>
      <c r="GJ48" s="55">
        <f t="shared" si="212"/>
        <v>7682.6059000000005</v>
      </c>
      <c r="GK48" s="56">
        <f t="shared" si="213"/>
        <v>76.172814000000017</v>
      </c>
      <c r="GL48" s="56">
        <f t="shared" si="213"/>
        <v>292.497255</v>
      </c>
      <c r="GM48" s="298">
        <f t="shared" si="214"/>
        <v>0.77065964996664149</v>
      </c>
      <c r="GN48" s="52"/>
      <c r="GO48" s="56">
        <f t="shared" si="215"/>
        <v>222.5680885375242</v>
      </c>
      <c r="GP48" s="56">
        <f t="shared" si="215"/>
        <v>242.95245178752415</v>
      </c>
      <c r="GQ48" s="56">
        <f t="shared" si="215"/>
        <v>81.47245997259958</v>
      </c>
      <c r="GR48" s="56">
        <f t="shared" si="215"/>
        <v>101.85682322259954</v>
      </c>
      <c r="GW48" s="275">
        <v>0.91190000000000004</v>
      </c>
      <c r="GX48" s="275">
        <v>1.0313000000000001</v>
      </c>
      <c r="GY48" s="275">
        <v>1.56</v>
      </c>
      <c r="GZ48" s="275">
        <v>859.64670000000001</v>
      </c>
      <c r="HA48" s="275">
        <v>285.33330000000001</v>
      </c>
      <c r="HB48" s="49">
        <f t="shared" si="126"/>
        <v>598.92680099999995</v>
      </c>
      <c r="HC48" s="49">
        <f t="shared" si="127"/>
        <v>1400.3094530000001</v>
      </c>
      <c r="HD48" s="47">
        <f t="shared" si="128"/>
        <v>379.57920000000001</v>
      </c>
      <c r="HE48" s="47">
        <f t="shared" si="181"/>
        <v>94.592556854582611</v>
      </c>
      <c r="HF48" s="48">
        <f t="shared" si="182"/>
        <v>693.51935785458261</v>
      </c>
      <c r="HG48" s="48">
        <f t="shared" si="183"/>
        <v>1115.3228098545826</v>
      </c>
      <c r="HH48" s="93">
        <f t="shared" si="184"/>
        <v>613.75219454956982</v>
      </c>
      <c r="HI48" s="93">
        <f t="shared" si="185"/>
        <v>1035.5556465495699</v>
      </c>
      <c r="HJ48" s="298">
        <f t="shared" si="216"/>
        <v>0.75079625844992925</v>
      </c>
      <c r="HL48" s="275">
        <v>0.91149999999999998</v>
      </c>
      <c r="HM48" s="275">
        <v>0.97189999999999999</v>
      </c>
      <c r="HN48" s="275">
        <v>1.1437999999999999</v>
      </c>
      <c r="HO48" s="275">
        <v>26.583300000000001</v>
      </c>
      <c r="HP48" s="275">
        <v>10</v>
      </c>
      <c r="HQ48" s="49">
        <f t="shared" si="130"/>
        <v>484.59897499999994</v>
      </c>
      <c r="HR48" s="49">
        <f t="shared" si="131"/>
        <v>753.73760699999991</v>
      </c>
      <c r="HS48" s="47">
        <f t="shared" si="132"/>
        <v>148.45380199999997</v>
      </c>
      <c r="HT48" s="47">
        <f t="shared" si="186"/>
        <v>40.579663945024087</v>
      </c>
      <c r="HU48" s="48">
        <f t="shared" si="187"/>
        <v>525.17863894502398</v>
      </c>
      <c r="HV48" s="48">
        <f t="shared" si="188"/>
        <v>645.86346894502401</v>
      </c>
      <c r="HW48" s="93">
        <f t="shared" si="189"/>
        <v>487.60402352670286</v>
      </c>
      <c r="HX48" s="93">
        <f t="shared" si="190"/>
        <v>608.28885352670284</v>
      </c>
      <c r="HY48" s="298">
        <f t="shared" si="217"/>
        <v>0.72665123157287614</v>
      </c>
    </row>
    <row r="49" spans="1:233" s="131" customFormat="1" x14ac:dyDescent="0.2">
      <c r="A49" s="118">
        <v>39</v>
      </c>
      <c r="B49" s="118"/>
      <c r="C49" s="275">
        <v>0.96609999999999996</v>
      </c>
      <c r="D49" s="275">
        <v>1.0069999999999999</v>
      </c>
      <c r="E49" s="275">
        <v>1.2403</v>
      </c>
      <c r="F49" s="275">
        <v>20705.700799999999</v>
      </c>
      <c r="G49" s="275">
        <v>5693.26</v>
      </c>
      <c r="H49" s="49">
        <f t="shared" si="192"/>
        <v>955.5212049999999</v>
      </c>
      <c r="I49" s="49">
        <f t="shared" si="192"/>
        <v>1814.4327399999997</v>
      </c>
      <c r="J49" s="47">
        <f t="shared" si="192"/>
        <v>335.92285199999998</v>
      </c>
      <c r="K49" s="47">
        <f t="shared" si="134"/>
        <v>72.445887202405331</v>
      </c>
      <c r="L49" s="48">
        <f t="shared" si="135"/>
        <v>1027.9670922024052</v>
      </c>
      <c r="M49" s="48">
        <f t="shared" si="136"/>
        <v>1550.9557752024052</v>
      </c>
      <c r="N49" s="93">
        <f t="shared" si="137"/>
        <v>977.81759816561839</v>
      </c>
      <c r="O49" s="93">
        <f t="shared" si="138"/>
        <v>1500.8062811656182</v>
      </c>
      <c r="P49" s="298">
        <f t="shared" si="193"/>
        <v>0.78433772286975778</v>
      </c>
      <c r="Q49" s="275">
        <v>0.94279999999999997</v>
      </c>
      <c r="R49" s="275">
        <v>1.0064</v>
      </c>
      <c r="S49" s="275">
        <v>1.2537</v>
      </c>
      <c r="T49" s="275">
        <v>2561.1307999999999</v>
      </c>
      <c r="U49" s="275">
        <v>1143.8191999999999</v>
      </c>
      <c r="V49" s="49">
        <f t="shared" si="194"/>
        <v>577.92697199999998</v>
      </c>
      <c r="W49" s="49">
        <f t="shared" si="194"/>
        <v>1168.0882240000001</v>
      </c>
      <c r="X49" s="47">
        <f t="shared" si="194"/>
        <v>271.16277300000002</v>
      </c>
      <c r="Y49" s="47">
        <f t="shared" si="139"/>
        <v>181.40852534051209</v>
      </c>
      <c r="Z49" s="48">
        <f t="shared" si="140"/>
        <v>759.33549734051212</v>
      </c>
      <c r="AA49" s="48">
        <f t="shared" si="141"/>
        <v>1078.3339763405122</v>
      </c>
      <c r="AB49" s="93">
        <f t="shared" si="142"/>
        <v>595.04492968304567</v>
      </c>
      <c r="AC49" s="93">
        <f t="shared" si="143"/>
        <v>914.04340868304575</v>
      </c>
      <c r="AD49" s="118"/>
      <c r="AE49" s="275">
        <v>0.93300000000000005</v>
      </c>
      <c r="AF49" s="275">
        <v>0.99360000000000004</v>
      </c>
      <c r="AG49" s="275">
        <v>1.2484999999999999</v>
      </c>
      <c r="AH49" s="275">
        <v>317.40750000000003</v>
      </c>
      <c r="AI49" s="275">
        <v>134.4417</v>
      </c>
      <c r="AJ49" s="49">
        <f t="shared" si="195"/>
        <v>437.45571000000001</v>
      </c>
      <c r="AK49" s="49">
        <f t="shared" si="195"/>
        <v>1129.504608</v>
      </c>
      <c r="AL49" s="47">
        <f t="shared" si="195"/>
        <v>249.612605</v>
      </c>
      <c r="AM49" s="47">
        <f t="shared" si="144"/>
        <v>179.9270755766413</v>
      </c>
      <c r="AN49" s="48">
        <f t="shared" si="145"/>
        <v>617.38278557664125</v>
      </c>
      <c r="AO49" s="48">
        <f t="shared" si="146"/>
        <v>1059.8190785766412</v>
      </c>
      <c r="AP49" s="93">
        <f t="shared" si="147"/>
        <v>450.56239312682203</v>
      </c>
      <c r="AQ49" s="93">
        <f t="shared" si="148"/>
        <v>892.99868612682189</v>
      </c>
      <c r="AR49" s="118"/>
      <c r="AS49" s="275">
        <v>0.9556</v>
      </c>
      <c r="AT49" s="275">
        <v>1.0652999999999999</v>
      </c>
      <c r="AU49" s="275">
        <v>1.2699</v>
      </c>
      <c r="AV49" s="275">
        <v>15198.7983</v>
      </c>
      <c r="AW49" s="275">
        <v>4124.6274999999996</v>
      </c>
      <c r="AX49" s="49">
        <f t="shared" si="196"/>
        <v>332.97881999999998</v>
      </c>
      <c r="AY49" s="49">
        <f t="shared" si="196"/>
        <v>745.57151099999999</v>
      </c>
      <c r="AZ49" s="47">
        <f t="shared" si="196"/>
        <v>334.58055300000007</v>
      </c>
      <c r="BA49" s="47">
        <f t="shared" si="149"/>
        <v>231.28612664755246</v>
      </c>
      <c r="BB49" s="48">
        <f t="shared" si="150"/>
        <v>564.26494664755251</v>
      </c>
      <c r="BC49" s="48">
        <f t="shared" si="151"/>
        <v>642.27708464755233</v>
      </c>
      <c r="BD49" s="93">
        <f t="shared" si="152"/>
        <v>351.40806557571943</v>
      </c>
      <c r="BE49" s="93">
        <f t="shared" si="153"/>
        <v>429.42020357571937</v>
      </c>
      <c r="BF49" s="118"/>
      <c r="BG49" s="275">
        <v>0.95850000000000002</v>
      </c>
      <c r="BH49" s="275">
        <v>1.0717000000000001</v>
      </c>
      <c r="BI49" s="275">
        <v>1.2845</v>
      </c>
      <c r="BJ49" s="275">
        <v>9244.7816999999995</v>
      </c>
      <c r="BK49" s="275">
        <v>2708.3332999999998</v>
      </c>
      <c r="BL49" s="49">
        <f t="shared" si="197"/>
        <v>324.18387000000001</v>
      </c>
      <c r="BM49" s="49">
        <f t="shared" si="197"/>
        <v>641.36958200000015</v>
      </c>
      <c r="BN49" s="47">
        <f t="shared" si="197"/>
        <v>296.01302499999997</v>
      </c>
      <c r="BO49" s="47">
        <f t="shared" si="154"/>
        <v>196.62686692026406</v>
      </c>
      <c r="BP49" s="48">
        <f t="shared" si="155"/>
        <v>520.81073692026405</v>
      </c>
      <c r="BQ49" s="48">
        <f t="shared" si="156"/>
        <v>541.98342392026427</v>
      </c>
      <c r="BR49" s="93">
        <f t="shared" si="157"/>
        <v>343.88940904207215</v>
      </c>
      <c r="BS49" s="93">
        <f t="shared" si="158"/>
        <v>365.06209604207231</v>
      </c>
      <c r="BT49" s="118"/>
      <c r="BU49" s="275">
        <v>0.96199999999999997</v>
      </c>
      <c r="BV49" s="275">
        <v>1.0585</v>
      </c>
      <c r="BW49" s="275">
        <v>1.2576000000000001</v>
      </c>
      <c r="BX49" s="275">
        <v>12518.8158</v>
      </c>
      <c r="BY49" s="275">
        <v>4002.6783</v>
      </c>
      <c r="BZ49" s="49">
        <f t="shared" si="198"/>
        <v>226.20467999999997</v>
      </c>
      <c r="CA49" s="49">
        <f t="shared" si="198"/>
        <v>380.56250499999999</v>
      </c>
      <c r="CB49" s="47">
        <f t="shared" si="198"/>
        <v>118.453344</v>
      </c>
      <c r="CC49" s="47">
        <f t="shared" si="159"/>
        <v>74.293571624620284</v>
      </c>
      <c r="CD49" s="48">
        <f t="shared" si="160"/>
        <v>300.49825162462025</v>
      </c>
      <c r="CE49" s="48">
        <f t="shared" si="161"/>
        <v>336.40273262462028</v>
      </c>
      <c r="CF49" s="93">
        <f t="shared" si="162"/>
        <v>237.56773094558667</v>
      </c>
      <c r="CG49" s="93">
        <f t="shared" si="163"/>
        <v>273.47221194558665</v>
      </c>
      <c r="CH49" s="118"/>
      <c r="CI49" s="275">
        <v>0.98719999999999997</v>
      </c>
      <c r="CJ49" s="275">
        <v>0.99129999999999996</v>
      </c>
      <c r="CK49" s="275">
        <v>1.1940999999999999</v>
      </c>
      <c r="CL49" s="275">
        <v>37184.839200000002</v>
      </c>
      <c r="CM49" s="275">
        <v>10726.943300000001</v>
      </c>
      <c r="CN49" s="49">
        <f t="shared" si="199"/>
        <v>203.75808000000001</v>
      </c>
      <c r="CO49" s="49">
        <f t="shared" si="199"/>
        <v>265.48996599999998</v>
      </c>
      <c r="CP49" s="47">
        <f t="shared" si="199"/>
        <v>0.50152199999999991</v>
      </c>
      <c r="CQ49" s="47">
        <f t="shared" si="164"/>
        <v>0.28374984160989336</v>
      </c>
      <c r="CR49" s="48">
        <f t="shared" si="165"/>
        <v>204.04182984160991</v>
      </c>
      <c r="CS49" s="48">
        <f t="shared" si="166"/>
        <v>265.27219384160986</v>
      </c>
      <c r="CT49" s="93">
        <f t="shared" si="167"/>
        <v>203.79270258071861</v>
      </c>
      <c r="CU49" s="93">
        <f t="shared" si="168"/>
        <v>265.02306658071859</v>
      </c>
      <c r="CV49" s="118"/>
      <c r="CW49" s="275">
        <v>0.95209999999999995</v>
      </c>
      <c r="CX49" s="275">
        <v>0.96550000000000002</v>
      </c>
      <c r="CY49" s="275">
        <v>1.1584000000000001</v>
      </c>
      <c r="CZ49" s="275">
        <v>17137.0275</v>
      </c>
      <c r="DA49" s="275">
        <v>4483.8242</v>
      </c>
      <c r="DB49" s="49">
        <f t="shared" si="200"/>
        <v>197.64643899999999</v>
      </c>
      <c r="DC49" s="49">
        <f t="shared" si="200"/>
        <v>271.79790500000001</v>
      </c>
      <c r="DD49" s="47">
        <f t="shared" si="200"/>
        <v>0.33593600000000001</v>
      </c>
      <c r="DE49" s="47">
        <f t="shared" si="169"/>
        <v>0.19449952306610388</v>
      </c>
      <c r="DF49" s="48">
        <f t="shared" si="170"/>
        <v>197.84093852306609</v>
      </c>
      <c r="DG49" s="48">
        <f t="shared" si="171"/>
        <v>271.65646852306611</v>
      </c>
      <c r="DH49" s="93">
        <f t="shared" si="172"/>
        <v>197.66914411169805</v>
      </c>
      <c r="DI49" s="93">
        <f t="shared" si="173"/>
        <v>271.4846741116981</v>
      </c>
      <c r="DJ49" s="118"/>
      <c r="DK49" s="275">
        <v>0.94550000000000001</v>
      </c>
      <c r="DL49" s="275">
        <v>0.9526</v>
      </c>
      <c r="DM49" s="275">
        <v>1.0734999999999999</v>
      </c>
      <c r="DN49" s="275">
        <v>5313.3392000000003</v>
      </c>
      <c r="DO49" s="275">
        <v>1655.8792000000001</v>
      </c>
      <c r="DP49" s="49">
        <f t="shared" si="201"/>
        <v>128.81492</v>
      </c>
      <c r="DQ49" s="49">
        <f t="shared" si="201"/>
        <v>187.957506</v>
      </c>
      <c r="DR49" s="47">
        <f t="shared" si="201"/>
        <v>0.23616999999999999</v>
      </c>
      <c r="DS49" s="47">
        <f t="shared" si="174"/>
        <v>0.14013190716296753</v>
      </c>
      <c r="DT49" s="48">
        <f t="shared" si="175"/>
        <v>128.95505190716298</v>
      </c>
      <c r="DU49" s="48">
        <f t="shared" si="176"/>
        <v>187.86146790716299</v>
      </c>
      <c r="DV49" s="93">
        <f t="shared" si="177"/>
        <v>128.83700075104332</v>
      </c>
      <c r="DW49" s="93">
        <f t="shared" si="178"/>
        <v>187.74341675104333</v>
      </c>
      <c r="DX49" s="118"/>
      <c r="DY49" s="118"/>
      <c r="DZ49" s="118"/>
      <c r="EB49" s="52"/>
      <c r="EC49" s="52"/>
      <c r="ED49" s="52"/>
      <c r="EE49" s="55">
        <f t="shared" si="179"/>
        <v>90226.3658</v>
      </c>
      <c r="EF49" s="55">
        <f t="shared" si="179"/>
        <v>25028.655000000002</v>
      </c>
      <c r="EG49" s="55">
        <f t="shared" si="179"/>
        <v>1650.3752562</v>
      </c>
      <c r="EH49" s="55">
        <f t="shared" si="179"/>
        <v>3042.9325410000001</v>
      </c>
      <c r="EI49" s="298">
        <f t="shared" si="202"/>
        <v>0.78284108730124835</v>
      </c>
      <c r="EJ49" s="52"/>
      <c r="EK49" s="55">
        <f t="shared" si="180"/>
        <v>1954.5466195100207</v>
      </c>
      <c r="EL49" s="55">
        <f t="shared" si="180"/>
        <v>2675.8302285100203</v>
      </c>
      <c r="EM49" s="55">
        <f t="shared" si="111"/>
        <v>1691.1536816114151</v>
      </c>
      <c r="EN49" s="55">
        <f t="shared" si="111"/>
        <v>2412.4372906114145</v>
      </c>
      <c r="EP49" s="52"/>
      <c r="EQ49" s="52"/>
      <c r="ER49" s="52"/>
      <c r="ES49" s="55">
        <f t="shared" si="203"/>
        <v>66127.779200000004</v>
      </c>
      <c r="ET49" s="55">
        <f t="shared" si="203"/>
        <v>19062.920000000002</v>
      </c>
      <c r="EU49" s="55">
        <f t="shared" si="203"/>
        <v>1244.2214293000002</v>
      </c>
      <c r="EV49" s="55">
        <f t="shared" si="203"/>
        <v>2265.2063055000003</v>
      </c>
      <c r="EW49" s="298">
        <f t="shared" si="204"/>
        <v>0.7762323800718377</v>
      </c>
      <c r="EX49" s="52"/>
      <c r="EY49" s="55">
        <f t="shared" si="205"/>
        <v>1622.6767210685321</v>
      </c>
      <c r="EZ49" s="55">
        <f t="shared" si="205"/>
        <v>2075.7491220685329</v>
      </c>
      <c r="FA49" s="55">
        <f t="shared" si="205"/>
        <v>1281.0954421840252</v>
      </c>
      <c r="FB49" s="55">
        <f t="shared" si="205"/>
        <v>1734.1678431840251</v>
      </c>
      <c r="FD49" s="52"/>
      <c r="FE49" s="52"/>
      <c r="FF49" s="52"/>
      <c r="FG49" s="55">
        <f t="shared" si="206"/>
        <v>55334.401700000002</v>
      </c>
      <c r="FH49" s="55">
        <f t="shared" si="206"/>
        <v>16519.942500000001</v>
      </c>
      <c r="FI49" s="55">
        <f t="shared" si="206"/>
        <v>944.70742200000007</v>
      </c>
      <c r="FJ49" s="55">
        <f t="shared" si="206"/>
        <v>1888.3315826</v>
      </c>
      <c r="FK49" s="298">
        <f t="shared" si="207"/>
        <v>0.77009124940284401</v>
      </c>
      <c r="FL49" s="52"/>
      <c r="FM49" s="55">
        <f t="shared" si="208"/>
        <v>1199.2958981871693</v>
      </c>
      <c r="FN49" s="55">
        <f t="shared" si="208"/>
        <v>1774.2108857871692</v>
      </c>
      <c r="FO49" s="55">
        <f t="shared" si="208"/>
        <v>969.22502710375329</v>
      </c>
      <c r="FP49" s="55">
        <f t="shared" si="208"/>
        <v>1544.140014703753</v>
      </c>
      <c r="FR49" s="52"/>
      <c r="FS49" s="52"/>
      <c r="FT49" s="52"/>
      <c r="FU49" s="55">
        <f t="shared" si="209"/>
        <v>54321.866699999999</v>
      </c>
      <c r="FV49" s="55">
        <f t="shared" si="209"/>
        <v>15210.767500000002</v>
      </c>
      <c r="FW49" s="55">
        <f t="shared" si="209"/>
        <v>361.87523120000003</v>
      </c>
      <c r="FX49" s="55">
        <f t="shared" si="209"/>
        <v>482.92829</v>
      </c>
      <c r="FY49" s="298">
        <f t="shared" si="210"/>
        <v>0.78124275493074868</v>
      </c>
      <c r="FZ49" s="52"/>
      <c r="GA49" s="55">
        <f t="shared" si="211"/>
        <v>362.3145806600628</v>
      </c>
      <c r="GB49" s="55">
        <f t="shared" si="211"/>
        <v>482.59736866006278</v>
      </c>
      <c r="GC49" s="55">
        <f t="shared" si="211"/>
        <v>361.92801787007704</v>
      </c>
      <c r="GD49" s="55">
        <f t="shared" si="211"/>
        <v>482.21080587007708</v>
      </c>
      <c r="GF49" s="52"/>
      <c r="GG49" s="52"/>
      <c r="GH49" s="52"/>
      <c r="GI49" s="55">
        <f t="shared" si="212"/>
        <v>27717.614099999999</v>
      </c>
      <c r="GJ49" s="55">
        <f t="shared" si="212"/>
        <v>8127.3058000000001</v>
      </c>
      <c r="GK49" s="56">
        <f t="shared" si="213"/>
        <v>80.08060500000002</v>
      </c>
      <c r="GL49" s="56">
        <f t="shared" si="213"/>
        <v>273.7567545</v>
      </c>
      <c r="GM49" s="298">
        <f t="shared" si="214"/>
        <v>0.77326477998350884</v>
      </c>
      <c r="GN49" s="52"/>
      <c r="GO49" s="56">
        <f t="shared" si="215"/>
        <v>197.82502126719919</v>
      </c>
      <c r="GP49" s="56">
        <f t="shared" si="215"/>
        <v>229.40576401719903</v>
      </c>
      <c r="GQ49" s="56">
        <f t="shared" si="215"/>
        <v>85.380250972599569</v>
      </c>
      <c r="GR49" s="56">
        <f t="shared" si="215"/>
        <v>116.96099372259954</v>
      </c>
      <c r="GW49" s="275">
        <v>0.9546</v>
      </c>
      <c r="GX49" s="275">
        <v>1.0158</v>
      </c>
      <c r="GY49" s="275">
        <v>1.2828999999999999</v>
      </c>
      <c r="GZ49" s="275">
        <v>1026.7557999999999</v>
      </c>
      <c r="HA49" s="275">
        <v>314.4033</v>
      </c>
      <c r="HB49" s="49">
        <f t="shared" si="126"/>
        <v>626.97173399999997</v>
      </c>
      <c r="HC49" s="49">
        <f t="shared" si="127"/>
        <v>1379.2633980000001</v>
      </c>
      <c r="HD49" s="47">
        <f t="shared" si="128"/>
        <v>312.15522799999997</v>
      </c>
      <c r="HE49" s="47">
        <f t="shared" si="181"/>
        <v>73.177472975020194</v>
      </c>
      <c r="HF49" s="48">
        <f t="shared" si="182"/>
        <v>700.14920697502021</v>
      </c>
      <c r="HG49" s="48">
        <f t="shared" si="183"/>
        <v>1140.2856429750202</v>
      </c>
      <c r="HH49" s="93">
        <f t="shared" si="184"/>
        <v>641.79712754956984</v>
      </c>
      <c r="HI49" s="93">
        <f t="shared" si="185"/>
        <v>1081.93356354957</v>
      </c>
      <c r="HJ49" s="298">
        <f t="shared" si="216"/>
        <v>0.76557345060701598</v>
      </c>
      <c r="HL49" s="275">
        <v>0.95540000000000003</v>
      </c>
      <c r="HM49" s="275">
        <v>0.98640000000000005</v>
      </c>
      <c r="HN49" s="275">
        <v>1.0825</v>
      </c>
      <c r="HO49" s="275">
        <v>37.666699999999999</v>
      </c>
      <c r="HP49" s="275">
        <v>19.333300000000001</v>
      </c>
      <c r="HQ49" s="49">
        <f t="shared" si="130"/>
        <v>507.93840999999998</v>
      </c>
      <c r="HR49" s="49">
        <f t="shared" si="131"/>
        <v>764.98279200000002</v>
      </c>
      <c r="HS49" s="47">
        <f t="shared" si="132"/>
        <v>140.49767499999999</v>
      </c>
      <c r="HT49" s="47">
        <f t="shared" si="186"/>
        <v>47.654100001359645</v>
      </c>
      <c r="HU49" s="48">
        <f t="shared" si="187"/>
        <v>555.59251000135964</v>
      </c>
      <c r="HV49" s="48">
        <f t="shared" si="188"/>
        <v>672.13921700135973</v>
      </c>
      <c r="HW49" s="93">
        <f t="shared" si="189"/>
        <v>510.9434585267029</v>
      </c>
      <c r="HX49" s="93">
        <f t="shared" si="190"/>
        <v>627.49016552670298</v>
      </c>
      <c r="HY49" s="298">
        <f t="shared" si="217"/>
        <v>0.66081929824561403</v>
      </c>
    </row>
    <row r="50" spans="1:233" s="131" customFormat="1" x14ac:dyDescent="0.2">
      <c r="A50" s="118">
        <v>40</v>
      </c>
      <c r="B50" s="118"/>
      <c r="C50" s="275">
        <v>1</v>
      </c>
      <c r="D50" s="275">
        <v>1</v>
      </c>
      <c r="E50" s="275">
        <v>1</v>
      </c>
      <c r="F50" s="275">
        <v>22541.099200000001</v>
      </c>
      <c r="G50" s="275">
        <v>5854.9350000000004</v>
      </c>
      <c r="H50" s="49">
        <f t="shared" si="192"/>
        <v>989.05</v>
      </c>
      <c r="I50" s="49">
        <f t="shared" si="192"/>
        <v>1801.82</v>
      </c>
      <c r="J50" s="47">
        <f t="shared" si="192"/>
        <v>270.83999999999997</v>
      </c>
      <c r="K50" s="47">
        <f t="shared" si="134"/>
        <v>55.844086685879532</v>
      </c>
      <c r="L50" s="48">
        <f t="shared" si="135"/>
        <v>1044.8940866858795</v>
      </c>
      <c r="M50" s="48">
        <f t="shared" si="136"/>
        <v>1586.8240866858796</v>
      </c>
      <c r="N50" s="93">
        <f t="shared" si="137"/>
        <v>1011.3463931656183</v>
      </c>
      <c r="O50" s="93">
        <f t="shared" si="138"/>
        <v>1553.2763931656184</v>
      </c>
      <c r="P50" s="298">
        <f t="shared" si="193"/>
        <v>0.79381152456845538</v>
      </c>
      <c r="Q50" s="275">
        <v>1</v>
      </c>
      <c r="R50" s="275">
        <v>1</v>
      </c>
      <c r="S50" s="275">
        <v>1</v>
      </c>
      <c r="T50" s="275">
        <v>2924.2692000000002</v>
      </c>
      <c r="U50" s="275">
        <v>1251.5899999999999</v>
      </c>
      <c r="V50" s="49">
        <f t="shared" si="194"/>
        <v>612.99</v>
      </c>
      <c r="W50" s="49">
        <f t="shared" si="194"/>
        <v>1160.6600000000001</v>
      </c>
      <c r="X50" s="47">
        <f t="shared" si="194"/>
        <v>216.29</v>
      </c>
      <c r="Y50" s="47">
        <f t="shared" si="139"/>
        <v>141.53815656978546</v>
      </c>
      <c r="Z50" s="48">
        <f t="shared" si="140"/>
        <v>754.52815656978544</v>
      </c>
      <c r="AA50" s="48">
        <f t="shared" si="141"/>
        <v>1085.9081565697857</v>
      </c>
      <c r="AB50" s="93">
        <f t="shared" si="142"/>
        <v>630.1079576830457</v>
      </c>
      <c r="AC50" s="93">
        <f t="shared" si="143"/>
        <v>961.48795768304581</v>
      </c>
      <c r="AD50" s="118"/>
      <c r="AE50" s="275">
        <v>1</v>
      </c>
      <c r="AF50" s="275">
        <v>1</v>
      </c>
      <c r="AG50" s="275">
        <v>1</v>
      </c>
      <c r="AH50" s="275">
        <v>324.65499999999997</v>
      </c>
      <c r="AI50" s="275">
        <v>121.47329999999999</v>
      </c>
      <c r="AJ50" s="49">
        <f t="shared" si="195"/>
        <v>468.87</v>
      </c>
      <c r="AK50" s="49">
        <f t="shared" si="195"/>
        <v>1136.78</v>
      </c>
      <c r="AL50" s="47">
        <f t="shared" si="195"/>
        <v>199.93</v>
      </c>
      <c r="AM50" s="47">
        <f t="shared" si="144"/>
        <v>141.54792476567121</v>
      </c>
      <c r="AN50" s="48">
        <f t="shared" si="145"/>
        <v>610.41792476567116</v>
      </c>
      <c r="AO50" s="48">
        <f t="shared" si="146"/>
        <v>1078.3979247656712</v>
      </c>
      <c r="AP50" s="93">
        <f t="shared" si="147"/>
        <v>481.97668312682202</v>
      </c>
      <c r="AQ50" s="93">
        <f t="shared" si="148"/>
        <v>949.95668312682187</v>
      </c>
      <c r="AR50" s="118"/>
      <c r="AS50" s="275">
        <v>1</v>
      </c>
      <c r="AT50" s="275">
        <v>1</v>
      </c>
      <c r="AU50" s="275">
        <v>1</v>
      </c>
      <c r="AV50" s="275">
        <v>16922.578300000001</v>
      </c>
      <c r="AW50" s="275">
        <v>4437.0150000000003</v>
      </c>
      <c r="AX50" s="49">
        <f t="shared" si="196"/>
        <v>348.45</v>
      </c>
      <c r="AY50" s="49">
        <f t="shared" si="196"/>
        <v>699.87</v>
      </c>
      <c r="AZ50" s="47">
        <f t="shared" si="196"/>
        <v>263.47000000000003</v>
      </c>
      <c r="BA50" s="47">
        <f t="shared" si="149"/>
        <v>175.89547933836997</v>
      </c>
      <c r="BB50" s="48">
        <f t="shared" si="150"/>
        <v>524.34547933836996</v>
      </c>
      <c r="BC50" s="48">
        <f t="shared" si="151"/>
        <v>612.29547933836989</v>
      </c>
      <c r="BD50" s="93">
        <f t="shared" si="152"/>
        <v>366.87924557571944</v>
      </c>
      <c r="BE50" s="93">
        <f t="shared" si="153"/>
        <v>454.82924557571943</v>
      </c>
      <c r="BF50" s="118"/>
      <c r="BG50" s="275">
        <v>1</v>
      </c>
      <c r="BH50" s="275">
        <v>1</v>
      </c>
      <c r="BI50" s="275">
        <v>1</v>
      </c>
      <c r="BJ50" s="275">
        <v>9676.8066999999992</v>
      </c>
      <c r="BK50" s="275">
        <v>2771.835</v>
      </c>
      <c r="BL50" s="49">
        <f t="shared" si="197"/>
        <v>338.22</v>
      </c>
      <c r="BM50" s="49">
        <f t="shared" si="197"/>
        <v>598.46</v>
      </c>
      <c r="BN50" s="47">
        <f t="shared" si="197"/>
        <v>230.45</v>
      </c>
      <c r="BO50" s="47">
        <f t="shared" si="154"/>
        <v>147.23823184011613</v>
      </c>
      <c r="BP50" s="48">
        <f t="shared" si="155"/>
        <v>485.45823184011613</v>
      </c>
      <c r="BQ50" s="48">
        <f t="shared" si="156"/>
        <v>515.2482318401162</v>
      </c>
      <c r="BR50" s="93">
        <f t="shared" si="157"/>
        <v>357.92553904207216</v>
      </c>
      <c r="BS50" s="93">
        <f t="shared" si="158"/>
        <v>387.71553904207218</v>
      </c>
      <c r="BT50" s="118"/>
      <c r="BU50" s="275">
        <v>1</v>
      </c>
      <c r="BV50" s="275">
        <v>1</v>
      </c>
      <c r="BW50" s="275">
        <v>1</v>
      </c>
      <c r="BX50" s="275">
        <v>12798.058300000001</v>
      </c>
      <c r="BY50" s="275">
        <v>4067.9191999999998</v>
      </c>
      <c r="BZ50" s="49">
        <f t="shared" si="198"/>
        <v>235.14</v>
      </c>
      <c r="CA50" s="49">
        <f t="shared" si="198"/>
        <v>359.53</v>
      </c>
      <c r="CB50" s="47">
        <f t="shared" si="198"/>
        <v>94.19</v>
      </c>
      <c r="CC50" s="47">
        <f t="shared" si="159"/>
        <v>56.946088923268363</v>
      </c>
      <c r="CD50" s="48">
        <f t="shared" si="160"/>
        <v>292.08608892326833</v>
      </c>
      <c r="CE50" s="48">
        <f t="shared" si="161"/>
        <v>322.28608892326832</v>
      </c>
      <c r="CF50" s="93">
        <f t="shared" si="162"/>
        <v>246.50305094558669</v>
      </c>
      <c r="CG50" s="93">
        <f t="shared" si="163"/>
        <v>276.70305094558665</v>
      </c>
      <c r="CH50" s="118"/>
      <c r="CI50" s="275">
        <v>1</v>
      </c>
      <c r="CJ50" s="275">
        <v>1</v>
      </c>
      <c r="CK50" s="275">
        <v>1</v>
      </c>
      <c r="CL50" s="275">
        <v>39648.585800000001</v>
      </c>
      <c r="CM50" s="275">
        <v>11244.8475</v>
      </c>
      <c r="CN50" s="49">
        <f t="shared" si="199"/>
        <v>206.4</v>
      </c>
      <c r="CO50" s="49">
        <f t="shared" si="199"/>
        <v>267.82</v>
      </c>
      <c r="CP50" s="47">
        <f t="shared" si="199"/>
        <v>0.42</v>
      </c>
      <c r="CQ50" s="47">
        <f t="shared" si="164"/>
        <v>0.23719876850406982</v>
      </c>
      <c r="CR50" s="48">
        <f t="shared" si="165"/>
        <v>206.63719876850408</v>
      </c>
      <c r="CS50" s="48">
        <f t="shared" si="166"/>
        <v>267.63719876850405</v>
      </c>
      <c r="CT50" s="93">
        <f t="shared" si="167"/>
        <v>206.43462258071861</v>
      </c>
      <c r="CU50" s="93">
        <f t="shared" si="168"/>
        <v>267.43462258071861</v>
      </c>
      <c r="CV50" s="118"/>
      <c r="CW50" s="275">
        <v>1</v>
      </c>
      <c r="CX50" s="275">
        <v>1</v>
      </c>
      <c r="CY50" s="275">
        <v>1</v>
      </c>
      <c r="CZ50" s="275">
        <v>18223.4133</v>
      </c>
      <c r="DA50" s="275">
        <v>4494.9674999999997</v>
      </c>
      <c r="DB50" s="49">
        <f t="shared" si="200"/>
        <v>207.59</v>
      </c>
      <c r="DC50" s="49">
        <f t="shared" si="200"/>
        <v>281.51</v>
      </c>
      <c r="DD50" s="47">
        <f t="shared" si="200"/>
        <v>0.28999999999999998</v>
      </c>
      <c r="DE50" s="47">
        <f t="shared" si="169"/>
        <v>0.16691453690451846</v>
      </c>
      <c r="DF50" s="48">
        <f t="shared" si="170"/>
        <v>207.75691453690453</v>
      </c>
      <c r="DG50" s="48">
        <f t="shared" si="171"/>
        <v>281.3869145369045</v>
      </c>
      <c r="DH50" s="93">
        <f t="shared" si="172"/>
        <v>207.61270511169806</v>
      </c>
      <c r="DI50" s="93">
        <f t="shared" si="173"/>
        <v>281.24270511169806</v>
      </c>
      <c r="DJ50" s="118"/>
      <c r="DK50" s="275">
        <v>1</v>
      </c>
      <c r="DL50" s="275">
        <v>1</v>
      </c>
      <c r="DM50" s="275">
        <v>1</v>
      </c>
      <c r="DN50" s="275">
        <v>5676.2741999999998</v>
      </c>
      <c r="DO50" s="275">
        <v>1766.4692</v>
      </c>
      <c r="DP50" s="49">
        <f t="shared" si="201"/>
        <v>136.24</v>
      </c>
      <c r="DQ50" s="49">
        <f t="shared" si="201"/>
        <v>197.31</v>
      </c>
      <c r="DR50" s="47">
        <f t="shared" si="201"/>
        <v>0.22</v>
      </c>
      <c r="DS50" s="47">
        <f t="shared" si="174"/>
        <v>0.13014000899415379</v>
      </c>
      <c r="DT50" s="48">
        <f t="shared" si="175"/>
        <v>136.37014000899416</v>
      </c>
      <c r="DU50" s="48">
        <f t="shared" si="176"/>
        <v>197.22014000899415</v>
      </c>
      <c r="DV50" s="93">
        <f t="shared" si="177"/>
        <v>136.26208075104333</v>
      </c>
      <c r="DW50" s="93">
        <f t="shared" si="178"/>
        <v>197.11208075104332</v>
      </c>
      <c r="DX50" s="118"/>
      <c r="DY50" s="118"/>
      <c r="DZ50" s="118"/>
      <c r="EB50" s="52"/>
      <c r="EC50" s="52"/>
      <c r="ED50" s="52"/>
      <c r="EE50" s="55">
        <f t="shared" si="179"/>
        <v>97335.676600000006</v>
      </c>
      <c r="EF50" s="55">
        <f t="shared" si="179"/>
        <v>26031.764999999999</v>
      </c>
      <c r="EG50" s="55">
        <f t="shared" si="179"/>
        <v>1709.9720000000002</v>
      </c>
      <c r="EH50" s="55">
        <f t="shared" si="179"/>
        <v>2994.7180000000003</v>
      </c>
      <c r="EI50" s="298">
        <f t="shared" si="202"/>
        <v>0.78898999069459508</v>
      </c>
      <c r="EJ50" s="52"/>
      <c r="EK50" s="55">
        <f t="shared" si="180"/>
        <v>1942.0822964222773</v>
      </c>
      <c r="EL50" s="55">
        <f t="shared" si="180"/>
        <v>2691.8662964222772</v>
      </c>
      <c r="EM50" s="55">
        <f t="shared" si="111"/>
        <v>1750.7504254114147</v>
      </c>
      <c r="EN50" s="55">
        <f t="shared" si="111"/>
        <v>2500.5344254114148</v>
      </c>
      <c r="EP50" s="52"/>
      <c r="EQ50" s="52"/>
      <c r="ER50" s="52"/>
      <c r="ES50" s="55">
        <f t="shared" si="203"/>
        <v>70473.074999999997</v>
      </c>
      <c r="ET50" s="55">
        <f t="shared" si="203"/>
        <v>19763.239999999998</v>
      </c>
      <c r="EU50" s="55">
        <f t="shared" si="203"/>
        <v>1302.9230000000002</v>
      </c>
      <c r="EV50" s="55">
        <f t="shared" si="203"/>
        <v>2223.9969999999998</v>
      </c>
      <c r="EW50" s="298">
        <f t="shared" si="204"/>
        <v>0.78098352088070078</v>
      </c>
      <c r="EX50" s="52"/>
      <c r="EY50" s="55">
        <f t="shared" si="205"/>
        <v>1592.0534273542387</v>
      </c>
      <c r="EZ50" s="55">
        <f t="shared" si="205"/>
        <v>2065.7644273542392</v>
      </c>
      <c r="FA50" s="55">
        <f t="shared" si="205"/>
        <v>1339.797012884025</v>
      </c>
      <c r="FB50" s="55">
        <f t="shared" si="205"/>
        <v>1813.508012884025</v>
      </c>
      <c r="FD50" s="52"/>
      <c r="FE50" s="52"/>
      <c r="FF50" s="52"/>
      <c r="FG50" s="55">
        <f t="shared" si="206"/>
        <v>58447.573300000004</v>
      </c>
      <c r="FH50" s="55">
        <f t="shared" si="206"/>
        <v>17200.709200000001</v>
      </c>
      <c r="FI50" s="55">
        <f t="shared" si="206"/>
        <v>992.154</v>
      </c>
      <c r="FJ50" s="55">
        <f t="shared" si="206"/>
        <v>1882.5159999999998</v>
      </c>
      <c r="FK50" s="298">
        <f t="shared" si="207"/>
        <v>0.77262260779020331</v>
      </c>
      <c r="FL50" s="52"/>
      <c r="FM50" s="55">
        <f t="shared" si="208"/>
        <v>1190.9632964628399</v>
      </c>
      <c r="FN50" s="55">
        <f t="shared" si="208"/>
        <v>1786.65329646284</v>
      </c>
      <c r="FO50" s="55">
        <f t="shared" si="208"/>
        <v>1016.6716051037533</v>
      </c>
      <c r="FP50" s="55">
        <f t="shared" si="208"/>
        <v>1612.3616051037534</v>
      </c>
      <c r="FR50" s="52"/>
      <c r="FS50" s="52"/>
      <c r="FT50" s="52"/>
      <c r="FU50" s="55">
        <f t="shared" si="209"/>
        <v>57871.999100000001</v>
      </c>
      <c r="FV50" s="55">
        <f t="shared" si="209"/>
        <v>15739.814999999999</v>
      </c>
      <c r="FW50" s="55">
        <f t="shared" si="209"/>
        <v>372.47199999999998</v>
      </c>
      <c r="FX50" s="55">
        <f t="shared" si="209"/>
        <v>493.02800000000002</v>
      </c>
      <c r="FY50" s="298">
        <f t="shared" si="210"/>
        <v>0.78617814012003817</v>
      </c>
      <c r="FZ50" s="52"/>
      <c r="GA50" s="55">
        <f t="shared" si="211"/>
        <v>372.8427303980277</v>
      </c>
      <c r="GB50" s="55">
        <f t="shared" si="211"/>
        <v>492.74673039802769</v>
      </c>
      <c r="GC50" s="55">
        <f t="shared" si="211"/>
        <v>372.52478667007711</v>
      </c>
      <c r="GD50" s="55">
        <f t="shared" si="211"/>
        <v>492.4287866700771</v>
      </c>
      <c r="GF50" s="52"/>
      <c r="GG50" s="52"/>
      <c r="GH50" s="52"/>
      <c r="GI50" s="55">
        <f t="shared" si="212"/>
        <v>29720.636600000002</v>
      </c>
      <c r="GJ50" s="55">
        <f t="shared" si="212"/>
        <v>8504.9341999999997</v>
      </c>
      <c r="GK50" s="56">
        <f t="shared" si="213"/>
        <v>84.982500000000002</v>
      </c>
      <c r="GL50" s="56">
        <f t="shared" si="213"/>
        <v>255.25500000000002</v>
      </c>
      <c r="GM50" s="298">
        <f t="shared" si="214"/>
        <v>0.77750667885383151</v>
      </c>
      <c r="GN50" s="52"/>
      <c r="GO50" s="56">
        <f t="shared" si="215"/>
        <v>174.19454281132622</v>
      </c>
      <c r="GP50" s="56">
        <f t="shared" si="215"/>
        <v>217.50704281132619</v>
      </c>
      <c r="GQ50" s="56">
        <f t="shared" si="215"/>
        <v>90.282145972599551</v>
      </c>
      <c r="GR50" s="56">
        <f t="shared" si="215"/>
        <v>133.59464597259958</v>
      </c>
      <c r="GW50" s="275">
        <v>1</v>
      </c>
      <c r="GX50" s="275">
        <v>1</v>
      </c>
      <c r="GY50" s="275">
        <v>1</v>
      </c>
      <c r="GZ50" s="275">
        <v>1085.4208000000001</v>
      </c>
      <c r="HA50" s="275">
        <v>388.6567</v>
      </c>
      <c r="HB50" s="49">
        <f t="shared" si="126"/>
        <v>656.79</v>
      </c>
      <c r="HC50" s="49">
        <f t="shared" si="127"/>
        <v>1357.81</v>
      </c>
      <c r="HD50" s="47">
        <f t="shared" si="128"/>
        <v>243.32</v>
      </c>
      <c r="HE50" s="47">
        <f t="shared" si="181"/>
        <v>64.153986641814967</v>
      </c>
      <c r="HF50" s="48">
        <f t="shared" si="182"/>
        <v>720.94398664181494</v>
      </c>
      <c r="HG50" s="48">
        <f t="shared" si="183"/>
        <v>1178.643986641815</v>
      </c>
      <c r="HH50" s="93">
        <f t="shared" si="184"/>
        <v>671.61539354956983</v>
      </c>
      <c r="HI50" s="93">
        <f t="shared" si="185"/>
        <v>1129.31539354957</v>
      </c>
      <c r="HJ50" s="298">
        <f t="shared" si="216"/>
        <v>0.73633903237787701</v>
      </c>
      <c r="HL50" s="275">
        <v>1</v>
      </c>
      <c r="HM50" s="275">
        <v>1</v>
      </c>
      <c r="HN50" s="275">
        <v>1</v>
      </c>
      <c r="HO50" s="275">
        <v>49.333300000000001</v>
      </c>
      <c r="HP50" s="275">
        <v>18.25</v>
      </c>
      <c r="HQ50" s="49">
        <f t="shared" si="130"/>
        <v>531.65</v>
      </c>
      <c r="HR50" s="49">
        <f t="shared" si="131"/>
        <v>775.53</v>
      </c>
      <c r="HS50" s="47">
        <f t="shared" si="132"/>
        <v>129.79</v>
      </c>
      <c r="HT50" s="47">
        <f t="shared" si="186"/>
        <v>35.048118396112642</v>
      </c>
      <c r="HU50" s="48">
        <f t="shared" si="187"/>
        <v>566.69811839611259</v>
      </c>
      <c r="HV50" s="48">
        <f t="shared" si="188"/>
        <v>680.78811839611262</v>
      </c>
      <c r="HW50" s="93">
        <f t="shared" si="189"/>
        <v>534.6550485267029</v>
      </c>
      <c r="HX50" s="93">
        <f t="shared" si="190"/>
        <v>648.74504852670293</v>
      </c>
      <c r="HY50" s="298">
        <f t="shared" si="217"/>
        <v>0.72996287544408156</v>
      </c>
    </row>
    <row r="51" spans="1:233" s="131" customFormat="1" x14ac:dyDescent="0.2">
      <c r="A51" s="118">
        <v>41</v>
      </c>
      <c r="B51" s="118"/>
      <c r="C51" s="275">
        <v>1.0331999999999999</v>
      </c>
      <c r="D51" s="275">
        <v>0.99129999999999996</v>
      </c>
      <c r="E51" s="275">
        <v>0.75419999999999998</v>
      </c>
      <c r="F51" s="275">
        <v>24026.0275</v>
      </c>
      <c r="G51" s="275">
        <v>6396.49</v>
      </c>
      <c r="H51" s="49">
        <f t="shared" si="192"/>
        <v>1021.8864599999998</v>
      </c>
      <c r="I51" s="49">
        <f t="shared" si="192"/>
        <v>1786.1441659999998</v>
      </c>
      <c r="J51" s="47">
        <f t="shared" si="192"/>
        <v>204.26752799999997</v>
      </c>
      <c r="K51" s="47">
        <f t="shared" si="134"/>
        <v>42.948293157419329</v>
      </c>
      <c r="L51" s="48">
        <f t="shared" si="135"/>
        <v>1064.8347531574191</v>
      </c>
      <c r="M51" s="48">
        <f t="shared" si="136"/>
        <v>1624.8249311574191</v>
      </c>
      <c r="N51" s="93">
        <f t="shared" si="137"/>
        <v>1044.1828531656183</v>
      </c>
      <c r="O51" s="93">
        <f t="shared" si="138"/>
        <v>1604.1730311656181</v>
      </c>
      <c r="P51" s="298">
        <f t="shared" si="193"/>
        <v>0.78974488222416173</v>
      </c>
      <c r="Q51" s="275">
        <v>1.0556000000000001</v>
      </c>
      <c r="R51" s="275">
        <v>0.99439999999999995</v>
      </c>
      <c r="S51" s="275">
        <v>0.72750000000000004</v>
      </c>
      <c r="T51" s="275">
        <v>3194.0367000000001</v>
      </c>
      <c r="U51" s="275">
        <v>1305.4458</v>
      </c>
      <c r="V51" s="49">
        <f t="shared" si="194"/>
        <v>647.07224400000007</v>
      </c>
      <c r="W51" s="49">
        <f t="shared" si="194"/>
        <v>1154.160304</v>
      </c>
      <c r="X51" s="47">
        <f t="shared" si="194"/>
        <v>157.35097500000001</v>
      </c>
      <c r="Y51" s="47">
        <f t="shared" si="139"/>
        <v>100.82443232682269</v>
      </c>
      <c r="Z51" s="48">
        <f t="shared" si="140"/>
        <v>747.89667632682279</v>
      </c>
      <c r="AA51" s="48">
        <f t="shared" si="141"/>
        <v>1097.6337613268227</v>
      </c>
      <c r="AB51" s="93">
        <f t="shared" si="142"/>
        <v>664.19020168304576</v>
      </c>
      <c r="AC51" s="93">
        <f t="shared" si="143"/>
        <v>1013.9272866830456</v>
      </c>
      <c r="AD51" s="118"/>
      <c r="AE51" s="275">
        <v>1.0733999999999999</v>
      </c>
      <c r="AF51" s="275">
        <v>1.0067999999999999</v>
      </c>
      <c r="AG51" s="275">
        <v>0.77729999999999999</v>
      </c>
      <c r="AH51" s="275">
        <v>331.88249999999999</v>
      </c>
      <c r="AI51" s="275">
        <v>155.69329999999999</v>
      </c>
      <c r="AJ51" s="49">
        <f t="shared" si="195"/>
        <v>503.28505799999994</v>
      </c>
      <c r="AK51" s="49">
        <f t="shared" si="195"/>
        <v>1144.510104</v>
      </c>
      <c r="AL51" s="47">
        <f t="shared" si="195"/>
        <v>155.40558899999999</v>
      </c>
      <c r="AM51" s="47">
        <f t="shared" si="144"/>
        <v>107.94015599165307</v>
      </c>
      <c r="AN51" s="48">
        <f t="shared" si="145"/>
        <v>611.22521399165305</v>
      </c>
      <c r="AO51" s="48">
        <f t="shared" si="146"/>
        <v>1097.044670991653</v>
      </c>
      <c r="AP51" s="93">
        <f t="shared" si="147"/>
        <v>516.3917411268219</v>
      </c>
      <c r="AQ51" s="93">
        <f t="shared" si="148"/>
        <v>1002.211198126822</v>
      </c>
      <c r="AR51" s="118"/>
      <c r="AS51" s="275">
        <v>1.0482</v>
      </c>
      <c r="AT51" s="275">
        <v>0.93789999999999996</v>
      </c>
      <c r="AU51" s="275">
        <v>0.7359</v>
      </c>
      <c r="AV51" s="275">
        <v>18753.584999999999</v>
      </c>
      <c r="AW51" s="275">
        <v>4901.0742</v>
      </c>
      <c r="AX51" s="49">
        <f t="shared" si="196"/>
        <v>365.24529000000001</v>
      </c>
      <c r="AY51" s="49">
        <f t="shared" si="196"/>
        <v>656.40807299999994</v>
      </c>
      <c r="AZ51" s="47">
        <f t="shared" si="196"/>
        <v>193.88757300000003</v>
      </c>
      <c r="BA51" s="47">
        <f t="shared" si="149"/>
        <v>124.57196616850645</v>
      </c>
      <c r="BB51" s="48">
        <f t="shared" si="150"/>
        <v>489.81725616850645</v>
      </c>
      <c r="BC51" s="48">
        <f t="shared" si="151"/>
        <v>587.09246616850635</v>
      </c>
      <c r="BD51" s="93">
        <f t="shared" si="152"/>
        <v>383.67453557571946</v>
      </c>
      <c r="BE51" s="93">
        <f t="shared" si="153"/>
        <v>480.94974557571936</v>
      </c>
      <c r="BF51" s="118"/>
      <c r="BG51" s="275">
        <v>1.0431999999999999</v>
      </c>
      <c r="BH51" s="275">
        <v>0.93389999999999995</v>
      </c>
      <c r="BI51" s="275">
        <v>0.73470000000000002</v>
      </c>
      <c r="BJ51" s="275">
        <v>10426.782499999999</v>
      </c>
      <c r="BK51" s="275">
        <v>3005.3633</v>
      </c>
      <c r="BL51" s="49">
        <f t="shared" si="197"/>
        <v>352.83110399999998</v>
      </c>
      <c r="BM51" s="49">
        <f t="shared" si="197"/>
        <v>558.901794</v>
      </c>
      <c r="BN51" s="47">
        <f t="shared" si="197"/>
        <v>169.31161499999999</v>
      </c>
      <c r="BO51" s="47">
        <f t="shared" si="154"/>
        <v>103.78978928600347</v>
      </c>
      <c r="BP51" s="48">
        <f t="shared" si="155"/>
        <v>456.62089328600348</v>
      </c>
      <c r="BQ51" s="48">
        <f t="shared" si="156"/>
        <v>493.37996828600353</v>
      </c>
      <c r="BR51" s="93">
        <f t="shared" si="157"/>
        <v>372.53664304207211</v>
      </c>
      <c r="BS51" s="93">
        <f t="shared" si="158"/>
        <v>409.29571804207217</v>
      </c>
      <c r="BT51" s="118"/>
      <c r="BU51" s="275">
        <v>1.0442</v>
      </c>
      <c r="BV51" s="275">
        <v>0.95609999999999995</v>
      </c>
      <c r="BW51" s="275">
        <v>0.75660000000000005</v>
      </c>
      <c r="BX51" s="275">
        <v>13276.717500000001</v>
      </c>
      <c r="BY51" s="275">
        <v>4350.2</v>
      </c>
      <c r="BZ51" s="49">
        <f t="shared" si="198"/>
        <v>245.533188</v>
      </c>
      <c r="CA51" s="49">
        <f t="shared" si="198"/>
        <v>343.74663299999997</v>
      </c>
      <c r="CB51" s="47">
        <f t="shared" si="198"/>
        <v>71.264154000000005</v>
      </c>
      <c r="CC51" s="47">
        <f t="shared" si="159"/>
        <v>41.570765056103085</v>
      </c>
      <c r="CD51" s="48">
        <f t="shared" si="160"/>
        <v>287.10395305610308</v>
      </c>
      <c r="CE51" s="48">
        <f t="shared" si="161"/>
        <v>314.05324405610304</v>
      </c>
      <c r="CF51" s="93">
        <f t="shared" si="162"/>
        <v>256.89623894558667</v>
      </c>
      <c r="CG51" s="93">
        <f t="shared" si="163"/>
        <v>283.84552994558663</v>
      </c>
      <c r="CH51" s="118"/>
      <c r="CI51" s="275">
        <v>1.0091000000000001</v>
      </c>
      <c r="CJ51" s="275">
        <v>1.0006999999999999</v>
      </c>
      <c r="CK51" s="275">
        <v>0.79759999999999998</v>
      </c>
      <c r="CL51" s="275">
        <v>42818.827499999999</v>
      </c>
      <c r="CM51" s="275">
        <v>12166.422500000001</v>
      </c>
      <c r="CN51" s="49">
        <f t="shared" si="199"/>
        <v>208.27824000000004</v>
      </c>
      <c r="CO51" s="49">
        <f t="shared" si="199"/>
        <v>268.00747399999995</v>
      </c>
      <c r="CP51" s="47">
        <f t="shared" si="199"/>
        <v>0.33499199999999996</v>
      </c>
      <c r="CQ51" s="47">
        <f t="shared" si="164"/>
        <v>0.18850105533547029</v>
      </c>
      <c r="CR51" s="48">
        <f t="shared" si="165"/>
        <v>208.46674105533552</v>
      </c>
      <c r="CS51" s="48">
        <f t="shared" si="166"/>
        <v>267.8609830553354</v>
      </c>
      <c r="CT51" s="93">
        <f t="shared" si="167"/>
        <v>208.31286258071864</v>
      </c>
      <c r="CU51" s="93">
        <f t="shared" si="168"/>
        <v>267.70710458071858</v>
      </c>
      <c r="CV51" s="118"/>
      <c r="CW51" s="275">
        <v>1.0414000000000001</v>
      </c>
      <c r="CX51" s="275">
        <v>1.0334000000000001</v>
      </c>
      <c r="CY51" s="275">
        <v>0.81399999999999995</v>
      </c>
      <c r="CZ51" s="275">
        <v>19872.693299999999</v>
      </c>
      <c r="DA51" s="275">
        <v>4963</v>
      </c>
      <c r="DB51" s="49">
        <f t="shared" si="200"/>
        <v>216.18422600000002</v>
      </c>
      <c r="DC51" s="49">
        <f t="shared" si="200"/>
        <v>290.91243400000002</v>
      </c>
      <c r="DD51" s="47">
        <f t="shared" si="200"/>
        <v>0.23605999999999996</v>
      </c>
      <c r="DE51" s="47">
        <f t="shared" si="169"/>
        <v>0.13542346969912991</v>
      </c>
      <c r="DF51" s="48">
        <f t="shared" si="170"/>
        <v>216.31964946969916</v>
      </c>
      <c r="DG51" s="48">
        <f t="shared" si="171"/>
        <v>290.81179746969912</v>
      </c>
      <c r="DH51" s="93">
        <f t="shared" si="172"/>
        <v>216.20693111169808</v>
      </c>
      <c r="DI51" s="93">
        <f t="shared" si="173"/>
        <v>290.6990791116981</v>
      </c>
      <c r="DJ51" s="118"/>
      <c r="DK51" s="275">
        <v>1.0556000000000001</v>
      </c>
      <c r="DL51" s="275">
        <v>1.0489999999999999</v>
      </c>
      <c r="DM51" s="275">
        <v>0.91239999999999999</v>
      </c>
      <c r="DN51" s="275">
        <v>5908.0658000000003</v>
      </c>
      <c r="DO51" s="275">
        <v>1887.7982999999999</v>
      </c>
      <c r="DP51" s="49">
        <f t="shared" si="201"/>
        <v>143.81494400000003</v>
      </c>
      <c r="DQ51" s="49">
        <f t="shared" si="201"/>
        <v>206.97818999999998</v>
      </c>
      <c r="DR51" s="47">
        <f t="shared" si="201"/>
        <v>0.20072799999999999</v>
      </c>
      <c r="DS51" s="47">
        <f t="shared" si="174"/>
        <v>0.11843537998756838</v>
      </c>
      <c r="DT51" s="48">
        <f t="shared" si="175"/>
        <v>143.9333793799876</v>
      </c>
      <c r="DU51" s="48">
        <f t="shared" si="176"/>
        <v>206.89589737998756</v>
      </c>
      <c r="DV51" s="93">
        <f t="shared" si="177"/>
        <v>143.83702475104334</v>
      </c>
      <c r="DW51" s="93">
        <f t="shared" si="178"/>
        <v>206.7995427510433</v>
      </c>
      <c r="DX51" s="118"/>
      <c r="DY51" s="118"/>
      <c r="DZ51" s="118"/>
      <c r="EB51" s="52"/>
      <c r="EC51" s="52"/>
      <c r="ED51" s="52"/>
      <c r="EE51" s="55">
        <f t="shared" si="179"/>
        <v>105471.1333</v>
      </c>
      <c r="EF51" s="55">
        <f t="shared" si="179"/>
        <v>28426.986700000001</v>
      </c>
      <c r="EG51" s="55">
        <f t="shared" si="179"/>
        <v>1768.3573707999999</v>
      </c>
      <c r="EH51" s="55">
        <f t="shared" si="179"/>
        <v>2943.2896601999996</v>
      </c>
      <c r="EI51" s="298">
        <f t="shared" si="202"/>
        <v>0.78769689447469471</v>
      </c>
      <c r="EJ51" s="52"/>
      <c r="EK51" s="55">
        <f t="shared" si="180"/>
        <v>1936.1744699570204</v>
      </c>
      <c r="EL51" s="55">
        <f t="shared" si="180"/>
        <v>2712.42781835702</v>
      </c>
      <c r="EM51" s="55">
        <f t="shared" si="111"/>
        <v>1809.1357962114148</v>
      </c>
      <c r="EN51" s="55">
        <f t="shared" si="111"/>
        <v>2585.3891446114148</v>
      </c>
      <c r="EP51" s="52"/>
      <c r="EQ51" s="52"/>
      <c r="ER51" s="52"/>
      <c r="ES51" s="55">
        <f t="shared" si="203"/>
        <v>76312.34</v>
      </c>
      <c r="ET51" s="55">
        <f t="shared" si="203"/>
        <v>21440.231599999999</v>
      </c>
      <c r="EU51" s="55">
        <f t="shared" si="203"/>
        <v>1359.5105462000001</v>
      </c>
      <c r="EV51" s="55">
        <f t="shared" si="203"/>
        <v>2184.7082757999997</v>
      </c>
      <c r="EW51" s="298">
        <f t="shared" si="204"/>
        <v>0.78066836248837879</v>
      </c>
      <c r="EX51" s="52"/>
      <c r="EY51" s="55">
        <f t="shared" si="205"/>
        <v>1564.408065296951</v>
      </c>
      <c r="EZ51" s="55">
        <f t="shared" si="205"/>
        <v>2062.442970896951</v>
      </c>
      <c r="FA51" s="55">
        <f t="shared" si="205"/>
        <v>1396.3845590840253</v>
      </c>
      <c r="FB51" s="55">
        <f t="shared" si="205"/>
        <v>1894.4194646840251</v>
      </c>
      <c r="FD51" s="52"/>
      <c r="FE51" s="52"/>
      <c r="FF51" s="52"/>
      <c r="FG51" s="55">
        <f t="shared" si="206"/>
        <v>62335.493300000002</v>
      </c>
      <c r="FH51" s="55">
        <f t="shared" si="206"/>
        <v>18560.114099999999</v>
      </c>
      <c r="FI51" s="55">
        <f t="shared" si="206"/>
        <v>1043.3854523999998</v>
      </c>
      <c r="FJ51" s="55">
        <f t="shared" si="206"/>
        <v>1880.4511249999998</v>
      </c>
      <c r="FK51" s="298">
        <f t="shared" si="207"/>
        <v>0.77056709632913878</v>
      </c>
      <c r="FL51" s="52"/>
      <c r="FM51" s="55">
        <f t="shared" si="208"/>
        <v>1193.1559357310841</v>
      </c>
      <c r="FN51" s="55">
        <f t="shared" si="208"/>
        <v>1803.096436531084</v>
      </c>
      <c r="FO51" s="55">
        <f t="shared" si="208"/>
        <v>1067.9030575037532</v>
      </c>
      <c r="FP51" s="55">
        <f t="shared" si="208"/>
        <v>1677.8435583037531</v>
      </c>
      <c r="FR51" s="52"/>
      <c r="FS51" s="52"/>
      <c r="FT51" s="52"/>
      <c r="FU51" s="55">
        <f t="shared" si="209"/>
        <v>62691.520799999998</v>
      </c>
      <c r="FV51" s="55">
        <f t="shared" si="209"/>
        <v>17129.422500000001</v>
      </c>
      <c r="FW51" s="55">
        <f t="shared" si="209"/>
        <v>381.22562080000006</v>
      </c>
      <c r="FX51" s="55">
        <f t="shared" si="209"/>
        <v>500.73742119999997</v>
      </c>
      <c r="FY51" s="298">
        <f t="shared" si="210"/>
        <v>0.7854019034124845</v>
      </c>
      <c r="FZ51" s="52"/>
      <c r="GA51" s="55">
        <f t="shared" si="211"/>
        <v>381.52246063109487</v>
      </c>
      <c r="GB51" s="55">
        <f t="shared" si="211"/>
        <v>500.51042103109467</v>
      </c>
      <c r="GC51" s="55">
        <f t="shared" si="211"/>
        <v>381.27840747007713</v>
      </c>
      <c r="GD51" s="55">
        <f t="shared" si="211"/>
        <v>500.26636787007703</v>
      </c>
      <c r="GF51" s="52"/>
      <c r="GG51" s="52"/>
      <c r="GH51" s="52"/>
      <c r="GI51" s="55">
        <f t="shared" si="212"/>
        <v>32030.302499999998</v>
      </c>
      <c r="GJ51" s="55">
        <f t="shared" si="212"/>
        <v>9251.2741999999998</v>
      </c>
      <c r="GK51" s="56">
        <f t="shared" si="213"/>
        <v>89.784076500000012</v>
      </c>
      <c r="GL51" s="56">
        <f t="shared" si="213"/>
        <v>234.49607999999998</v>
      </c>
      <c r="GM51" s="298">
        <f t="shared" si="214"/>
        <v>0.77589823501097044</v>
      </c>
      <c r="GN51" s="52"/>
      <c r="GO51" s="56">
        <f t="shared" si="215"/>
        <v>152.03497733430254</v>
      </c>
      <c r="GP51" s="56">
        <f t="shared" si="215"/>
        <v>204.77941658430248</v>
      </c>
      <c r="GQ51" s="56">
        <f t="shared" si="215"/>
        <v>95.08372247259959</v>
      </c>
      <c r="GR51" s="56">
        <f t="shared" si="215"/>
        <v>147.82816172259953</v>
      </c>
      <c r="GW51" s="275">
        <v>1.0467</v>
      </c>
      <c r="GX51" s="275">
        <v>0.98129999999999995</v>
      </c>
      <c r="GY51" s="275">
        <v>0.73370000000000002</v>
      </c>
      <c r="GZ51" s="275">
        <v>1237.6849999999999</v>
      </c>
      <c r="HA51" s="275">
        <v>376.995</v>
      </c>
      <c r="HB51" s="49">
        <f t="shared" si="126"/>
        <v>687.46209299999998</v>
      </c>
      <c r="HC51" s="49">
        <f t="shared" si="127"/>
        <v>1332.4189529999999</v>
      </c>
      <c r="HD51" s="47">
        <f t="shared" si="128"/>
        <v>178.52388400000001</v>
      </c>
      <c r="HE51" s="47">
        <f t="shared" si="181"/>
        <v>41.681702658471032</v>
      </c>
      <c r="HF51" s="48">
        <f t="shared" si="182"/>
        <v>729.14379565847105</v>
      </c>
      <c r="HG51" s="48">
        <f t="shared" si="183"/>
        <v>1195.576771658471</v>
      </c>
      <c r="HH51" s="93">
        <f t="shared" si="184"/>
        <v>702.28748654956985</v>
      </c>
      <c r="HI51" s="93">
        <f t="shared" si="185"/>
        <v>1168.7204625495699</v>
      </c>
      <c r="HJ51" s="298">
        <f t="shared" si="216"/>
        <v>0.76652030123615833</v>
      </c>
      <c r="HL51" s="275">
        <v>1.0455000000000001</v>
      </c>
      <c r="HM51" s="275">
        <v>1.0256000000000001</v>
      </c>
      <c r="HN51" s="275">
        <v>0.8962</v>
      </c>
      <c r="HO51" s="275">
        <v>73.583299999999994</v>
      </c>
      <c r="HP51" s="275">
        <v>24</v>
      </c>
      <c r="HQ51" s="49">
        <f t="shared" si="130"/>
        <v>555.84007500000007</v>
      </c>
      <c r="HR51" s="49">
        <f t="shared" si="131"/>
        <v>795.38356799999997</v>
      </c>
      <c r="HS51" s="47">
        <f t="shared" si="132"/>
        <v>116.317798</v>
      </c>
      <c r="HT51" s="47">
        <f t="shared" si="186"/>
        <v>28.607632166569488</v>
      </c>
      <c r="HU51" s="48">
        <f t="shared" si="187"/>
        <v>584.44770716656956</v>
      </c>
      <c r="HV51" s="48">
        <f t="shared" si="188"/>
        <v>707.67340216656942</v>
      </c>
      <c r="HW51" s="93">
        <f t="shared" si="189"/>
        <v>558.84512352670299</v>
      </c>
      <c r="HX51" s="93">
        <f t="shared" si="190"/>
        <v>682.07081852670285</v>
      </c>
      <c r="HY51" s="298">
        <f t="shared" si="217"/>
        <v>0.75405627807217013</v>
      </c>
    </row>
    <row r="52" spans="1:233" s="131" customFormat="1" x14ac:dyDescent="0.2">
      <c r="A52" s="118">
        <v>42</v>
      </c>
      <c r="B52" s="118"/>
      <c r="C52" s="275">
        <v>1.0654999999999999</v>
      </c>
      <c r="D52" s="275">
        <v>0.98260000000000003</v>
      </c>
      <c r="E52" s="275">
        <v>0.52710000000000001</v>
      </c>
      <c r="F52" s="275">
        <v>25333.455000000002</v>
      </c>
      <c r="G52" s="275">
        <v>6910.9592000000002</v>
      </c>
      <c r="H52" s="49">
        <f t="shared" si="192"/>
        <v>1053.8327749999999</v>
      </c>
      <c r="I52" s="49">
        <f t="shared" si="192"/>
        <v>1770.4683319999999</v>
      </c>
      <c r="J52" s="47">
        <f t="shared" si="192"/>
        <v>142.75976399999999</v>
      </c>
      <c r="K52" s="47">
        <f t="shared" si="134"/>
        <v>30.597761779329478</v>
      </c>
      <c r="L52" s="48">
        <f t="shared" si="135"/>
        <v>1084.4305367793293</v>
      </c>
      <c r="M52" s="48">
        <f t="shared" si="136"/>
        <v>1658.3063297793294</v>
      </c>
      <c r="N52" s="93">
        <f t="shared" si="137"/>
        <v>1076.1291681656182</v>
      </c>
      <c r="O52" s="93">
        <f t="shared" si="138"/>
        <v>1650.0049611656184</v>
      </c>
      <c r="P52" s="298">
        <f t="shared" si="193"/>
        <v>0.78566956877758998</v>
      </c>
      <c r="Q52" s="275">
        <v>1.1082000000000001</v>
      </c>
      <c r="R52" s="275">
        <v>0.99280000000000002</v>
      </c>
      <c r="S52" s="275">
        <v>0.498</v>
      </c>
      <c r="T52" s="275">
        <v>3545.4467</v>
      </c>
      <c r="U52" s="275">
        <v>1408.4675</v>
      </c>
      <c r="V52" s="49">
        <f t="shared" si="194"/>
        <v>679.31551800000011</v>
      </c>
      <c r="W52" s="49">
        <f t="shared" si="194"/>
        <v>1152.3032480000002</v>
      </c>
      <c r="X52" s="47">
        <f t="shared" si="194"/>
        <v>107.71241999999999</v>
      </c>
      <c r="Y52" s="47">
        <f t="shared" si="139"/>
        <v>67.763758332196602</v>
      </c>
      <c r="Z52" s="48">
        <f t="shared" si="140"/>
        <v>747.07927633219674</v>
      </c>
      <c r="AA52" s="48">
        <f t="shared" si="141"/>
        <v>1112.3545863321967</v>
      </c>
      <c r="AB52" s="93">
        <f t="shared" si="142"/>
        <v>696.4334756830458</v>
      </c>
      <c r="AC52" s="93">
        <f t="shared" si="143"/>
        <v>1061.7087856830458</v>
      </c>
      <c r="AD52" s="118"/>
      <c r="AE52" s="275">
        <v>1.1514</v>
      </c>
      <c r="AF52" s="275">
        <v>1.0157</v>
      </c>
      <c r="AG52" s="275">
        <v>0.53990000000000005</v>
      </c>
      <c r="AH52" s="275">
        <v>366.51499999999999</v>
      </c>
      <c r="AI52" s="275">
        <v>156.68170000000001</v>
      </c>
      <c r="AJ52" s="49">
        <f t="shared" si="195"/>
        <v>539.85691799999995</v>
      </c>
      <c r="AK52" s="49">
        <f t="shared" si="195"/>
        <v>1154.627446</v>
      </c>
      <c r="AL52" s="47">
        <f t="shared" si="195"/>
        <v>107.94220700000001</v>
      </c>
      <c r="AM52" s="47">
        <f t="shared" si="144"/>
        <v>73.552189345556769</v>
      </c>
      <c r="AN52" s="48">
        <f t="shared" si="145"/>
        <v>613.40910734555678</v>
      </c>
      <c r="AO52" s="48">
        <f t="shared" si="146"/>
        <v>1120.2374283455567</v>
      </c>
      <c r="AP52" s="93">
        <f t="shared" si="147"/>
        <v>552.96360112682191</v>
      </c>
      <c r="AQ52" s="93">
        <f t="shared" si="148"/>
        <v>1059.7919221268219</v>
      </c>
      <c r="AR52" s="118"/>
      <c r="AS52" s="275">
        <v>1.1020000000000001</v>
      </c>
      <c r="AT52" s="275">
        <v>0.88460000000000005</v>
      </c>
      <c r="AU52" s="275">
        <v>0.50060000000000004</v>
      </c>
      <c r="AV52" s="275">
        <v>20177.714199999999</v>
      </c>
      <c r="AW52" s="275">
        <v>5437.5982999999997</v>
      </c>
      <c r="AX52" s="49">
        <f t="shared" si="196"/>
        <v>383.99190000000004</v>
      </c>
      <c r="AY52" s="49">
        <f t="shared" si="196"/>
        <v>619.10500200000001</v>
      </c>
      <c r="AZ52" s="47">
        <f t="shared" si="196"/>
        <v>131.89308200000002</v>
      </c>
      <c r="BA52" s="47">
        <f t="shared" si="149"/>
        <v>81.403567923088019</v>
      </c>
      <c r="BB52" s="48">
        <f t="shared" si="150"/>
        <v>465.39546792308806</v>
      </c>
      <c r="BC52" s="48">
        <f t="shared" si="151"/>
        <v>568.61548792308804</v>
      </c>
      <c r="BD52" s="93">
        <f t="shared" si="152"/>
        <v>402.42114557571949</v>
      </c>
      <c r="BE52" s="93">
        <f t="shared" si="153"/>
        <v>505.64116557571941</v>
      </c>
      <c r="BF52" s="118"/>
      <c r="BG52" s="275">
        <v>1.0853999999999999</v>
      </c>
      <c r="BH52" s="275">
        <v>0.87860000000000005</v>
      </c>
      <c r="BI52" s="275">
        <v>0.50409999999999999</v>
      </c>
      <c r="BJ52" s="275">
        <v>10995.1217</v>
      </c>
      <c r="BK52" s="275">
        <v>3170.7150000000001</v>
      </c>
      <c r="BL52" s="49">
        <f t="shared" si="197"/>
        <v>367.10398800000002</v>
      </c>
      <c r="BM52" s="49">
        <f t="shared" si="197"/>
        <v>525.80695600000001</v>
      </c>
      <c r="BN52" s="47">
        <f t="shared" si="197"/>
        <v>116.169845</v>
      </c>
      <c r="BO52" s="47">
        <f t="shared" si="154"/>
        <v>68.408739963256423</v>
      </c>
      <c r="BP52" s="48">
        <f t="shared" si="155"/>
        <v>435.51272796325645</v>
      </c>
      <c r="BQ52" s="48">
        <f t="shared" si="156"/>
        <v>478.04585096325644</v>
      </c>
      <c r="BR52" s="93">
        <f t="shared" si="157"/>
        <v>386.80952704207215</v>
      </c>
      <c r="BS52" s="93">
        <f t="shared" si="158"/>
        <v>429.34265004207214</v>
      </c>
      <c r="BT52" s="118"/>
      <c r="BU52" s="275">
        <v>1.0992</v>
      </c>
      <c r="BV52" s="275">
        <v>0.92090000000000005</v>
      </c>
      <c r="BW52" s="275">
        <v>0.53800000000000003</v>
      </c>
      <c r="BX52" s="275">
        <v>13643.691699999999</v>
      </c>
      <c r="BY52" s="275">
        <v>4505.8833000000004</v>
      </c>
      <c r="BZ52" s="49">
        <f t="shared" si="198"/>
        <v>258.46588799999995</v>
      </c>
      <c r="CA52" s="49">
        <f t="shared" si="198"/>
        <v>331.09117700000002</v>
      </c>
      <c r="CB52" s="47">
        <f t="shared" si="198"/>
        <v>50.674220000000005</v>
      </c>
      <c r="CC52" s="47">
        <f t="shared" si="159"/>
        <v>28.458292062630004</v>
      </c>
      <c r="CD52" s="48">
        <f t="shared" si="160"/>
        <v>286.92418006262994</v>
      </c>
      <c r="CE52" s="48">
        <f t="shared" si="161"/>
        <v>308.87524906263002</v>
      </c>
      <c r="CF52" s="93">
        <f t="shared" si="162"/>
        <v>269.82893894558663</v>
      </c>
      <c r="CG52" s="93">
        <f t="shared" si="163"/>
        <v>291.7800079455867</v>
      </c>
      <c r="CH52" s="118"/>
      <c r="CI52" s="275">
        <v>1.0192000000000001</v>
      </c>
      <c r="CJ52" s="275">
        <v>1.0065999999999999</v>
      </c>
      <c r="CK52" s="275">
        <v>0.60209999999999997</v>
      </c>
      <c r="CL52" s="275">
        <v>45295.700799999999</v>
      </c>
      <c r="CM52" s="275">
        <v>13095.3125</v>
      </c>
      <c r="CN52" s="49">
        <f t="shared" si="199"/>
        <v>210.36288000000002</v>
      </c>
      <c r="CO52" s="49">
        <f t="shared" si="199"/>
        <v>269.58761199999998</v>
      </c>
      <c r="CP52" s="47">
        <f t="shared" si="199"/>
        <v>0.252882</v>
      </c>
      <c r="CQ52" s="47">
        <f t="shared" si="164"/>
        <v>0.14204351414183777</v>
      </c>
      <c r="CR52" s="48">
        <f t="shared" si="165"/>
        <v>210.50492351414186</v>
      </c>
      <c r="CS52" s="48">
        <f t="shared" si="166"/>
        <v>269.47677351414183</v>
      </c>
      <c r="CT52" s="93">
        <f t="shared" si="167"/>
        <v>210.39750258071862</v>
      </c>
      <c r="CU52" s="93">
        <f t="shared" si="168"/>
        <v>269.36935258071861</v>
      </c>
      <c r="CV52" s="118"/>
      <c r="CW52" s="275">
        <v>1.0849</v>
      </c>
      <c r="CX52" s="275">
        <v>1.0676000000000001</v>
      </c>
      <c r="CY52" s="275">
        <v>0.69020000000000004</v>
      </c>
      <c r="CZ52" s="275">
        <v>20945.9892</v>
      </c>
      <c r="DA52" s="275">
        <v>5308.9157999999998</v>
      </c>
      <c r="DB52" s="49">
        <f t="shared" si="200"/>
        <v>225.21439100000001</v>
      </c>
      <c r="DC52" s="49">
        <f t="shared" si="200"/>
        <v>300.540076</v>
      </c>
      <c r="DD52" s="47">
        <f t="shared" si="200"/>
        <v>0.200158</v>
      </c>
      <c r="DE52" s="47">
        <f t="shared" si="169"/>
        <v>0.11441747870495601</v>
      </c>
      <c r="DF52" s="48">
        <f t="shared" si="170"/>
        <v>225.32880847870496</v>
      </c>
      <c r="DG52" s="48">
        <f t="shared" si="171"/>
        <v>300.45433547870499</v>
      </c>
      <c r="DH52" s="93">
        <f t="shared" si="172"/>
        <v>225.23709611169807</v>
      </c>
      <c r="DI52" s="93">
        <f t="shared" si="173"/>
        <v>300.3626231116981</v>
      </c>
      <c r="DJ52" s="118"/>
      <c r="DK52" s="275">
        <v>1.1122000000000001</v>
      </c>
      <c r="DL52" s="275">
        <v>1.0989</v>
      </c>
      <c r="DM52" s="275">
        <v>0.81340000000000001</v>
      </c>
      <c r="DN52" s="275">
        <v>6186.6032999999998</v>
      </c>
      <c r="DO52" s="275">
        <v>2126.1424999999999</v>
      </c>
      <c r="DP52" s="49">
        <f t="shared" si="201"/>
        <v>151.52612800000003</v>
      </c>
      <c r="DQ52" s="49">
        <f t="shared" si="201"/>
        <v>216.823959</v>
      </c>
      <c r="DR52" s="47">
        <f t="shared" si="201"/>
        <v>0.178948</v>
      </c>
      <c r="DS52" s="47">
        <f t="shared" si="174"/>
        <v>0.10533515583269563</v>
      </c>
      <c r="DT52" s="48">
        <f t="shared" si="175"/>
        <v>151.63146315583273</v>
      </c>
      <c r="DU52" s="48">
        <f t="shared" si="176"/>
        <v>216.75034615583272</v>
      </c>
      <c r="DV52" s="93">
        <f t="shared" si="177"/>
        <v>151.54820875104335</v>
      </c>
      <c r="DW52" s="93">
        <f t="shared" si="178"/>
        <v>216.66709175104333</v>
      </c>
      <c r="DX52" s="118"/>
      <c r="DY52" s="118"/>
      <c r="DZ52" s="118"/>
      <c r="EB52" s="52"/>
      <c r="EC52" s="52"/>
      <c r="ED52" s="52"/>
      <c r="EE52" s="55">
        <f t="shared" si="179"/>
        <v>111752.85919999999</v>
      </c>
      <c r="EF52" s="55">
        <f t="shared" si="179"/>
        <v>30752.785799999998</v>
      </c>
      <c r="EG52" s="55">
        <f t="shared" si="179"/>
        <v>1828.3590678</v>
      </c>
      <c r="EH52" s="55">
        <f t="shared" si="179"/>
        <v>2899.5930067999993</v>
      </c>
      <c r="EI52" s="298">
        <f t="shared" si="202"/>
        <v>0.78419952556967132</v>
      </c>
      <c r="EJ52" s="52"/>
      <c r="EK52" s="55">
        <f t="shared" si="180"/>
        <v>1940.5939749995232</v>
      </c>
      <c r="EL52" s="55">
        <f t="shared" si="180"/>
        <v>2736.7620595995236</v>
      </c>
      <c r="EM52" s="55">
        <f t="shared" si="111"/>
        <v>1869.1374932114147</v>
      </c>
      <c r="EN52" s="55">
        <f t="shared" si="111"/>
        <v>2665.3055778114149</v>
      </c>
      <c r="EP52" s="52"/>
      <c r="EQ52" s="52"/>
      <c r="ER52" s="52"/>
      <c r="ES52" s="55">
        <f t="shared" si="203"/>
        <v>80782.258399999992</v>
      </c>
      <c r="ET52" s="55">
        <f t="shared" si="203"/>
        <v>22983.410799999998</v>
      </c>
      <c r="EU52" s="55">
        <f t="shared" si="203"/>
        <v>1414.4324597000004</v>
      </c>
      <c r="EV52" s="55">
        <f t="shared" si="203"/>
        <v>2158.0758691999999</v>
      </c>
      <c r="EW52" s="298">
        <f t="shared" si="204"/>
        <v>0.77850660071683897</v>
      </c>
      <c r="EX52" s="52"/>
      <c r="EY52" s="55">
        <f t="shared" si="205"/>
        <v>1550.8270937446885</v>
      </c>
      <c r="EZ52" s="55">
        <f t="shared" si="205"/>
        <v>2070.1952456446884</v>
      </c>
      <c r="FA52" s="55">
        <f t="shared" si="205"/>
        <v>1451.3064725840252</v>
      </c>
      <c r="FB52" s="55">
        <f t="shared" si="205"/>
        <v>1970.6746244840253</v>
      </c>
      <c r="FD52" s="52"/>
      <c r="FE52" s="52"/>
      <c r="FF52" s="52"/>
      <c r="FG52" s="55">
        <f t="shared" si="206"/>
        <v>65492.510800000004</v>
      </c>
      <c r="FH52" s="55">
        <f t="shared" si="206"/>
        <v>19884.020000000004</v>
      </c>
      <c r="FI52" s="55">
        <f t="shared" si="206"/>
        <v>1099.6013627999998</v>
      </c>
      <c r="FJ52" s="55">
        <f t="shared" si="206"/>
        <v>1885.4006104</v>
      </c>
      <c r="FK52" s="298">
        <f t="shared" si="207"/>
        <v>0.76710203830395041</v>
      </c>
      <c r="FL52" s="52"/>
      <c r="FM52" s="55">
        <f t="shared" si="208"/>
        <v>1201.8170888158281</v>
      </c>
      <c r="FN52" s="55">
        <f t="shared" si="208"/>
        <v>1828.6396586158282</v>
      </c>
      <c r="FO52" s="55">
        <f t="shared" si="208"/>
        <v>1124.1189679037532</v>
      </c>
      <c r="FP52" s="55">
        <f t="shared" si="208"/>
        <v>1750.9415377037533</v>
      </c>
      <c r="FR52" s="52"/>
      <c r="FS52" s="52"/>
      <c r="FT52" s="52"/>
      <c r="FU52" s="55">
        <f t="shared" si="209"/>
        <v>66241.69</v>
      </c>
      <c r="FV52" s="55">
        <f t="shared" si="209"/>
        <v>18404.228299999999</v>
      </c>
      <c r="FW52" s="55">
        <f t="shared" si="209"/>
        <v>390.53439280000003</v>
      </c>
      <c r="FX52" s="55">
        <f t="shared" si="209"/>
        <v>510.01967279999997</v>
      </c>
      <c r="FY52" s="298">
        <f t="shared" si="210"/>
        <v>0.78257394249333811</v>
      </c>
      <c r="FZ52" s="52"/>
      <c r="GA52" s="55">
        <f t="shared" si="211"/>
        <v>390.76797029710588</v>
      </c>
      <c r="GB52" s="55">
        <f t="shared" si="211"/>
        <v>509.84024189710584</v>
      </c>
      <c r="GC52" s="55">
        <f t="shared" si="211"/>
        <v>390.5871794700771</v>
      </c>
      <c r="GD52" s="55">
        <f t="shared" si="211"/>
        <v>509.65945107007713</v>
      </c>
      <c r="GF52" s="52"/>
      <c r="GG52" s="52"/>
      <c r="GH52" s="52"/>
      <c r="GI52" s="55">
        <f t="shared" si="212"/>
        <v>33821.405899999998</v>
      </c>
      <c r="GJ52" s="55">
        <f t="shared" si="212"/>
        <v>9943.4815999999992</v>
      </c>
      <c r="GK52" s="56">
        <f t="shared" si="213"/>
        <v>94.14450900000007</v>
      </c>
      <c r="GL52" s="56">
        <f t="shared" si="213"/>
        <v>216.01036875</v>
      </c>
      <c r="GM52" s="298">
        <f t="shared" si="214"/>
        <v>0.77279773425671439</v>
      </c>
      <c r="GN52" s="52"/>
      <c r="GO52" s="56">
        <f t="shared" si="215"/>
        <v>133.85346589534359</v>
      </c>
      <c r="GP52" s="56">
        <f t="shared" si="215"/>
        <v>194.80517914534352</v>
      </c>
      <c r="GQ52" s="56">
        <f t="shared" si="215"/>
        <v>99.444154972599648</v>
      </c>
      <c r="GR52" s="56">
        <f t="shared" si="215"/>
        <v>160.39586822259952</v>
      </c>
      <c r="GW52" s="275">
        <v>1.0923</v>
      </c>
      <c r="GX52" s="275">
        <v>0.96530000000000005</v>
      </c>
      <c r="GY52" s="275">
        <v>0.502</v>
      </c>
      <c r="GZ52" s="275">
        <v>1474.7257999999999</v>
      </c>
      <c r="HA52" s="275">
        <v>455.77749999999997</v>
      </c>
      <c r="HB52" s="49">
        <f t="shared" si="126"/>
        <v>717.41171699999995</v>
      </c>
      <c r="HC52" s="49">
        <f t="shared" si="127"/>
        <v>1310.6939930000001</v>
      </c>
      <c r="HD52" s="47">
        <f t="shared" si="128"/>
        <v>122.14663999999999</v>
      </c>
      <c r="HE52" s="47">
        <f t="shared" si="181"/>
        <v>28.837915072509844</v>
      </c>
      <c r="HF52" s="48">
        <f t="shared" si="182"/>
        <v>746.24963207250983</v>
      </c>
      <c r="HG52" s="48">
        <f t="shared" si="183"/>
        <v>1217.3852680725099</v>
      </c>
      <c r="HH52" s="93">
        <f t="shared" si="184"/>
        <v>732.23711054956982</v>
      </c>
      <c r="HI52" s="93">
        <f t="shared" si="185"/>
        <v>1203.3727465495701</v>
      </c>
      <c r="HJ52" s="298">
        <f t="shared" si="216"/>
        <v>0.76390742248407451</v>
      </c>
      <c r="HL52" s="275">
        <v>1.0918000000000001</v>
      </c>
      <c r="HM52" s="275">
        <v>1.0499000000000001</v>
      </c>
      <c r="HN52" s="275">
        <v>0.77449999999999997</v>
      </c>
      <c r="HO52" s="275">
        <v>73.166700000000006</v>
      </c>
      <c r="HP52" s="275">
        <v>25.416699999999999</v>
      </c>
      <c r="HQ52" s="49">
        <f t="shared" si="130"/>
        <v>580.45546999999999</v>
      </c>
      <c r="HR52" s="49">
        <f t="shared" si="131"/>
        <v>814.22894700000006</v>
      </c>
      <c r="HS52" s="47">
        <f t="shared" si="132"/>
        <v>100.52235499999999</v>
      </c>
      <c r="HT52" s="47">
        <f t="shared" si="186"/>
        <v>25.916599958294192</v>
      </c>
      <c r="HU52" s="48">
        <f t="shared" si="187"/>
        <v>606.37206995829422</v>
      </c>
      <c r="HV52" s="48">
        <f t="shared" si="188"/>
        <v>739.62319195829434</v>
      </c>
      <c r="HW52" s="93">
        <f t="shared" si="189"/>
        <v>583.46051852670291</v>
      </c>
      <c r="HX52" s="93">
        <f t="shared" si="190"/>
        <v>716.71164052670304</v>
      </c>
      <c r="HY52" s="298">
        <f t="shared" si="217"/>
        <v>0.74218073225309733</v>
      </c>
    </row>
    <row r="53" spans="1:233" s="131" customFormat="1" x14ac:dyDescent="0.2">
      <c r="A53" s="118">
        <v>43</v>
      </c>
      <c r="B53" s="118"/>
      <c r="C53" s="275">
        <v>1.0973999999999999</v>
      </c>
      <c r="D53" s="275">
        <v>0.97560000000000002</v>
      </c>
      <c r="E53" s="275">
        <v>0.33879999999999999</v>
      </c>
      <c r="F53" s="275">
        <v>29357.285800000001</v>
      </c>
      <c r="G53" s="275">
        <v>7604.8625000000002</v>
      </c>
      <c r="H53" s="49">
        <f t="shared" si="192"/>
        <v>1085.38347</v>
      </c>
      <c r="I53" s="49">
        <f t="shared" si="192"/>
        <v>1757.8555919999999</v>
      </c>
      <c r="J53" s="47">
        <f t="shared" si="192"/>
        <v>91.760591999999988</v>
      </c>
      <c r="K53" s="47">
        <f t="shared" si="134"/>
        <v>18.879494758117183</v>
      </c>
      <c r="L53" s="48">
        <f t="shared" si="135"/>
        <v>1104.2629647581173</v>
      </c>
      <c r="M53" s="48">
        <f t="shared" si="136"/>
        <v>1684.9744947581171</v>
      </c>
      <c r="N53" s="93">
        <f t="shared" si="137"/>
        <v>1107.6798631656184</v>
      </c>
      <c r="O53" s="93">
        <f t="shared" si="138"/>
        <v>1688.3913931656182</v>
      </c>
      <c r="P53" s="298">
        <f t="shared" si="193"/>
        <v>0.79425269228736906</v>
      </c>
      <c r="Q53" s="275">
        <v>1.1581999999999999</v>
      </c>
      <c r="R53" s="275">
        <v>0.99780000000000002</v>
      </c>
      <c r="S53" s="275">
        <v>0.31830000000000003</v>
      </c>
      <c r="T53" s="275">
        <v>4341.585</v>
      </c>
      <c r="U53" s="275">
        <v>1712.8217</v>
      </c>
      <c r="V53" s="49">
        <f t="shared" si="194"/>
        <v>709.96501799999999</v>
      </c>
      <c r="W53" s="49">
        <f t="shared" si="194"/>
        <v>1158.1065480000002</v>
      </c>
      <c r="X53" s="47">
        <f t="shared" si="194"/>
        <v>68.845106999999999</v>
      </c>
      <c r="Y53" s="47">
        <f t="shared" si="139"/>
        <v>42.680361216129477</v>
      </c>
      <c r="Z53" s="48">
        <f t="shared" si="140"/>
        <v>752.64537921612941</v>
      </c>
      <c r="AA53" s="48">
        <f t="shared" si="141"/>
        <v>1131.9418022161296</v>
      </c>
      <c r="AB53" s="93">
        <f t="shared" si="142"/>
        <v>727.08297568304567</v>
      </c>
      <c r="AC53" s="93">
        <f t="shared" si="143"/>
        <v>1106.3793986830458</v>
      </c>
      <c r="AD53" s="118"/>
      <c r="AE53" s="275">
        <v>1.2318</v>
      </c>
      <c r="AF53" s="275">
        <v>1.0285</v>
      </c>
      <c r="AG53" s="275">
        <v>0.34549999999999997</v>
      </c>
      <c r="AH53" s="275">
        <v>469.1275</v>
      </c>
      <c r="AI53" s="275">
        <v>225.2192</v>
      </c>
      <c r="AJ53" s="49">
        <f t="shared" si="195"/>
        <v>577.55406600000003</v>
      </c>
      <c r="AK53" s="49">
        <f t="shared" si="195"/>
        <v>1169.17823</v>
      </c>
      <c r="AL53" s="47">
        <f t="shared" si="195"/>
        <v>69.075814999999992</v>
      </c>
      <c r="AM53" s="47">
        <f t="shared" si="144"/>
        <v>46.236014129040548</v>
      </c>
      <c r="AN53" s="48">
        <f t="shared" si="145"/>
        <v>623.79008012904058</v>
      </c>
      <c r="AO53" s="48">
        <f t="shared" si="146"/>
        <v>1146.3384291290406</v>
      </c>
      <c r="AP53" s="93">
        <f t="shared" si="147"/>
        <v>590.660749126822</v>
      </c>
      <c r="AQ53" s="93">
        <f t="shared" si="148"/>
        <v>1113.209098126822</v>
      </c>
      <c r="AR53" s="118"/>
      <c r="AS53" s="275">
        <v>1.161</v>
      </c>
      <c r="AT53" s="275">
        <v>0.84379999999999999</v>
      </c>
      <c r="AU53" s="275">
        <v>0.31290000000000001</v>
      </c>
      <c r="AV53" s="275">
        <v>23345.379199999999</v>
      </c>
      <c r="AW53" s="275">
        <v>6207.1108000000004</v>
      </c>
      <c r="AX53" s="49">
        <f t="shared" si="196"/>
        <v>404.55045000000001</v>
      </c>
      <c r="AY53" s="49">
        <f t="shared" si="196"/>
        <v>590.55030599999998</v>
      </c>
      <c r="AZ53" s="47">
        <f t="shared" si="196"/>
        <v>82.439763000000013</v>
      </c>
      <c r="BA53" s="47">
        <f t="shared" si="149"/>
        <v>48.924520429384017</v>
      </c>
      <c r="BB53" s="48">
        <f t="shared" si="150"/>
        <v>453.47497042938403</v>
      </c>
      <c r="BC53" s="48">
        <f t="shared" si="151"/>
        <v>557.03506342938397</v>
      </c>
      <c r="BD53" s="93">
        <f t="shared" si="152"/>
        <v>422.97969557571946</v>
      </c>
      <c r="BE53" s="93">
        <f t="shared" si="153"/>
        <v>526.5397885757194</v>
      </c>
      <c r="BF53" s="118"/>
      <c r="BG53" s="275">
        <v>1.1289</v>
      </c>
      <c r="BH53" s="275">
        <v>0.83850000000000002</v>
      </c>
      <c r="BI53" s="275">
        <v>0.31979999999999997</v>
      </c>
      <c r="BJ53" s="275">
        <v>12745.8758</v>
      </c>
      <c r="BK53" s="275">
        <v>3729.9225000000001</v>
      </c>
      <c r="BL53" s="49">
        <f t="shared" si="197"/>
        <v>381.81655800000004</v>
      </c>
      <c r="BM53" s="49">
        <f t="shared" si="197"/>
        <v>501.80871000000002</v>
      </c>
      <c r="BN53" s="47">
        <f t="shared" si="197"/>
        <v>73.697909999999993</v>
      </c>
      <c r="BO53" s="47">
        <f t="shared" si="154"/>
        <v>41.85286963386848</v>
      </c>
      <c r="BP53" s="48">
        <f t="shared" si="155"/>
        <v>423.66942763386851</v>
      </c>
      <c r="BQ53" s="48">
        <f t="shared" si="156"/>
        <v>469.96366963386851</v>
      </c>
      <c r="BR53" s="93">
        <f t="shared" si="157"/>
        <v>401.52209704207218</v>
      </c>
      <c r="BS53" s="93">
        <f t="shared" si="158"/>
        <v>447.81633904207217</v>
      </c>
      <c r="BT53" s="118"/>
      <c r="BU53" s="275">
        <v>1.1585000000000001</v>
      </c>
      <c r="BV53" s="275">
        <v>0.8972</v>
      </c>
      <c r="BW53" s="275">
        <v>0.35899999999999999</v>
      </c>
      <c r="BX53" s="275">
        <v>15647.7042</v>
      </c>
      <c r="BY53" s="275">
        <v>4977.0842000000002</v>
      </c>
      <c r="BZ53" s="49">
        <f t="shared" si="198"/>
        <v>272.40969000000001</v>
      </c>
      <c r="CA53" s="49">
        <f t="shared" si="198"/>
        <v>322.57031599999999</v>
      </c>
      <c r="CB53" s="47">
        <f t="shared" si="198"/>
        <v>33.814209999999996</v>
      </c>
      <c r="CC53" s="47">
        <f t="shared" si="159"/>
        <v>18.332482259900274</v>
      </c>
      <c r="CD53" s="48">
        <f t="shared" si="160"/>
        <v>290.74217225990026</v>
      </c>
      <c r="CE53" s="48">
        <f t="shared" si="161"/>
        <v>307.08858825990023</v>
      </c>
      <c r="CF53" s="93">
        <f t="shared" si="162"/>
        <v>283.77274094558669</v>
      </c>
      <c r="CG53" s="93">
        <f t="shared" si="163"/>
        <v>300.11915694558667</v>
      </c>
      <c r="CH53" s="118"/>
      <c r="CI53" s="275">
        <v>1.0296000000000001</v>
      </c>
      <c r="CJ53" s="275">
        <v>1.0119</v>
      </c>
      <c r="CK53" s="275">
        <v>0.43120000000000003</v>
      </c>
      <c r="CL53" s="275">
        <v>52415.34</v>
      </c>
      <c r="CM53" s="275">
        <v>14882.3333</v>
      </c>
      <c r="CN53" s="49">
        <f t="shared" si="199"/>
        <v>212.50944000000001</v>
      </c>
      <c r="CO53" s="49">
        <f t="shared" si="199"/>
        <v>271.00705799999997</v>
      </c>
      <c r="CP53" s="47">
        <f t="shared" si="199"/>
        <v>0.18110400000000001</v>
      </c>
      <c r="CQ53" s="47">
        <f t="shared" si="164"/>
        <v>0.10150731657564248</v>
      </c>
      <c r="CR53" s="48">
        <f t="shared" si="165"/>
        <v>212.61094731657565</v>
      </c>
      <c r="CS53" s="48">
        <f t="shared" si="166"/>
        <v>270.9274613165756</v>
      </c>
      <c r="CT53" s="93">
        <f t="shared" si="167"/>
        <v>212.54406258071862</v>
      </c>
      <c r="CU53" s="93">
        <f t="shared" si="168"/>
        <v>270.8605765807186</v>
      </c>
      <c r="CV53" s="118"/>
      <c r="CW53" s="275">
        <v>1.1301000000000001</v>
      </c>
      <c r="CX53" s="275">
        <v>1.1035999999999999</v>
      </c>
      <c r="CY53" s="275">
        <v>0.57140000000000002</v>
      </c>
      <c r="CZ53" s="275">
        <v>24386.999199999998</v>
      </c>
      <c r="DA53" s="275">
        <v>6229.6432999999997</v>
      </c>
      <c r="DB53" s="49">
        <f t="shared" si="200"/>
        <v>234.59745900000001</v>
      </c>
      <c r="DC53" s="49">
        <f t="shared" si="200"/>
        <v>310.67443599999996</v>
      </c>
      <c r="DD53" s="47">
        <f t="shared" si="200"/>
        <v>0.16570599999999999</v>
      </c>
      <c r="DE53" s="47">
        <f t="shared" si="169"/>
        <v>9.4412748142495034E-2</v>
      </c>
      <c r="DF53" s="48">
        <f t="shared" si="170"/>
        <v>234.69187174814252</v>
      </c>
      <c r="DG53" s="48">
        <f t="shared" si="171"/>
        <v>310.60314274814243</v>
      </c>
      <c r="DH53" s="93">
        <f t="shared" si="172"/>
        <v>234.62016411169807</v>
      </c>
      <c r="DI53" s="93">
        <f t="shared" si="173"/>
        <v>310.53143511169804</v>
      </c>
      <c r="DJ53" s="118"/>
      <c r="DK53" s="275">
        <v>1.1696</v>
      </c>
      <c r="DL53" s="275">
        <v>1.1476999999999999</v>
      </c>
      <c r="DM53" s="275">
        <v>0.71020000000000005</v>
      </c>
      <c r="DN53" s="275">
        <v>7152.6733000000004</v>
      </c>
      <c r="DO53" s="275">
        <v>2289.6107999999999</v>
      </c>
      <c r="DP53" s="49">
        <f t="shared" si="201"/>
        <v>159.346304</v>
      </c>
      <c r="DQ53" s="49">
        <f t="shared" si="201"/>
        <v>226.452687</v>
      </c>
      <c r="DR53" s="47">
        <f t="shared" si="201"/>
        <v>0.15624400000000002</v>
      </c>
      <c r="DS53" s="47">
        <f t="shared" si="174"/>
        <v>9.1710643244341722E-2</v>
      </c>
      <c r="DT53" s="48">
        <f t="shared" si="175"/>
        <v>159.43801464324434</v>
      </c>
      <c r="DU53" s="48">
        <f t="shared" si="176"/>
        <v>226.38815364324435</v>
      </c>
      <c r="DV53" s="93">
        <f t="shared" si="177"/>
        <v>159.36838475104332</v>
      </c>
      <c r="DW53" s="93">
        <f t="shared" si="178"/>
        <v>226.31852375104333</v>
      </c>
      <c r="DX53" s="118"/>
      <c r="DY53" s="118"/>
      <c r="DZ53" s="118"/>
      <c r="EB53" s="52"/>
      <c r="EC53" s="52"/>
      <c r="ED53" s="52"/>
      <c r="EE53" s="55">
        <f t="shared" si="179"/>
        <v>129505.0042</v>
      </c>
      <c r="EF53" s="55">
        <f t="shared" si="179"/>
        <v>34923.949900000007</v>
      </c>
      <c r="EG53" s="55">
        <f t="shared" si="179"/>
        <v>1890.1213272</v>
      </c>
      <c r="EH53" s="55">
        <f t="shared" si="179"/>
        <v>2867.9525048</v>
      </c>
      <c r="EI53" s="298">
        <f t="shared" si="202"/>
        <v>0.78760462175803614</v>
      </c>
      <c r="EJ53" s="52"/>
      <c r="EK53" s="55">
        <f t="shared" si="180"/>
        <v>1958.1023799025911</v>
      </c>
      <c r="EL53" s="55">
        <f t="shared" si="180"/>
        <v>2761.4195337025908</v>
      </c>
      <c r="EM53" s="55">
        <f t="shared" si="111"/>
        <v>1930.8997526114149</v>
      </c>
      <c r="EN53" s="55">
        <f t="shared" si="111"/>
        <v>2734.216906411415</v>
      </c>
      <c r="EP53" s="52"/>
      <c r="EQ53" s="52"/>
      <c r="ER53" s="52"/>
      <c r="ES53" s="55">
        <f t="shared" si="203"/>
        <v>93889.799999999988</v>
      </c>
      <c r="ET53" s="55">
        <f t="shared" si="203"/>
        <v>26554.720799999999</v>
      </c>
      <c r="EU53" s="55">
        <f t="shared" si="203"/>
        <v>1468.5092373000002</v>
      </c>
      <c r="EV53" s="55">
        <f t="shared" si="203"/>
        <v>2148.3944212000001</v>
      </c>
      <c r="EW53" s="298">
        <f t="shared" si="204"/>
        <v>0.77952736559851876</v>
      </c>
      <c r="EX53" s="52"/>
      <c r="EY53" s="55">
        <f t="shared" si="205"/>
        <v>1553.2100643902734</v>
      </c>
      <c r="EZ53" s="55">
        <f t="shared" si="205"/>
        <v>2090.2551330902734</v>
      </c>
      <c r="FA53" s="55">
        <f t="shared" si="205"/>
        <v>1505.3832501840252</v>
      </c>
      <c r="FB53" s="55">
        <f t="shared" si="205"/>
        <v>2042.428318884025</v>
      </c>
      <c r="FD53" s="52"/>
      <c r="FE53" s="52"/>
      <c r="FF53" s="52"/>
      <c r="FG53" s="55">
        <f t="shared" si="206"/>
        <v>75684.844999999987</v>
      </c>
      <c r="FH53" s="55">
        <f t="shared" si="206"/>
        <v>22374.247500000001</v>
      </c>
      <c r="FI53" s="55">
        <f t="shared" si="206"/>
        <v>1158.0809784</v>
      </c>
      <c r="FJ53" s="55">
        <f t="shared" si="206"/>
        <v>1898.6272162</v>
      </c>
      <c r="FK53" s="298">
        <f t="shared" si="207"/>
        <v>0.77182893570017486</v>
      </c>
      <c r="FL53" s="52"/>
      <c r="FM53" s="55">
        <f t="shared" si="208"/>
        <v>1222.8060084914632</v>
      </c>
      <c r="FN53" s="55">
        <f t="shared" si="208"/>
        <v>1860.1873708914629</v>
      </c>
      <c r="FO53" s="55">
        <f t="shared" si="208"/>
        <v>1182.5985835037534</v>
      </c>
      <c r="FP53" s="55">
        <f t="shared" si="208"/>
        <v>1819.9799459037531</v>
      </c>
      <c r="FR53" s="52"/>
      <c r="FS53" s="52"/>
      <c r="FT53" s="52"/>
      <c r="FU53" s="55">
        <f t="shared" si="209"/>
        <v>76802.339199999988</v>
      </c>
      <c r="FV53" s="55">
        <f t="shared" si="209"/>
        <v>21111.976600000002</v>
      </c>
      <c r="FW53" s="55">
        <f t="shared" si="209"/>
        <v>400.18740720000005</v>
      </c>
      <c r="FX53" s="55">
        <f t="shared" si="209"/>
        <v>519.54660679999995</v>
      </c>
      <c r="FY53" s="298">
        <f t="shared" si="210"/>
        <v>0.78438314737220483</v>
      </c>
      <c r="FZ53" s="52"/>
      <c r="GA53" s="55">
        <f t="shared" si="211"/>
        <v>400.36444471508969</v>
      </c>
      <c r="GB53" s="55">
        <f t="shared" si="211"/>
        <v>519.40997551508963</v>
      </c>
      <c r="GC53" s="55">
        <f t="shared" si="211"/>
        <v>400.24019387007706</v>
      </c>
      <c r="GD53" s="55">
        <f t="shared" si="211"/>
        <v>519.28572467007712</v>
      </c>
      <c r="GF53" s="52"/>
      <c r="GG53" s="52"/>
      <c r="GH53" s="52"/>
      <c r="GI53" s="55">
        <f t="shared" si="212"/>
        <v>38993.083400000003</v>
      </c>
      <c r="GJ53" s="55">
        <f t="shared" si="212"/>
        <v>11184.195</v>
      </c>
      <c r="GK53" s="56">
        <f t="shared" si="213"/>
        <v>99.10557</v>
      </c>
      <c r="GL53" s="56">
        <f t="shared" si="213"/>
        <v>200.98499249999998</v>
      </c>
      <c r="GM53" s="298">
        <f t="shared" si="214"/>
        <v>0.7771063844706253</v>
      </c>
      <c r="GN53" s="52"/>
      <c r="GO53" s="56">
        <f t="shared" si="215"/>
        <v>122.04959862711283</v>
      </c>
      <c r="GP53" s="56">
        <f t="shared" si="215"/>
        <v>187.4598563771128</v>
      </c>
      <c r="GQ53" s="56">
        <f t="shared" si="215"/>
        <v>104.40521597259958</v>
      </c>
      <c r="GR53" s="56">
        <f t="shared" si="215"/>
        <v>169.81547372259956</v>
      </c>
      <c r="GW53" s="275">
        <v>1.1356999999999999</v>
      </c>
      <c r="GX53" s="275">
        <v>0.95660000000000001</v>
      </c>
      <c r="GY53" s="275">
        <v>0.31690000000000002</v>
      </c>
      <c r="GZ53" s="275">
        <v>1687.3658</v>
      </c>
      <c r="HA53" s="275">
        <v>545.40170000000001</v>
      </c>
      <c r="HB53" s="49">
        <f t="shared" si="126"/>
        <v>745.91640299999995</v>
      </c>
      <c r="HC53" s="49">
        <f t="shared" si="127"/>
        <v>1298.881046</v>
      </c>
      <c r="HD53" s="47">
        <f t="shared" si="128"/>
        <v>77.108108000000001</v>
      </c>
      <c r="HE53" s="47">
        <f t="shared" si="181"/>
        <v>18.835321271464046</v>
      </c>
      <c r="HF53" s="48">
        <f t="shared" si="182"/>
        <v>764.75172427146401</v>
      </c>
      <c r="HG53" s="48">
        <f t="shared" si="183"/>
        <v>1240.608259271464</v>
      </c>
      <c r="HH53" s="93">
        <f t="shared" si="184"/>
        <v>760.74179654956981</v>
      </c>
      <c r="HI53" s="93">
        <f t="shared" si="185"/>
        <v>1236.59833154957</v>
      </c>
      <c r="HJ53" s="298">
        <f t="shared" si="216"/>
        <v>0.75572839536584091</v>
      </c>
      <c r="HL53" s="275">
        <v>1.139</v>
      </c>
      <c r="HM53" s="275">
        <v>1.0762</v>
      </c>
      <c r="HN53" s="275">
        <v>0.64229999999999998</v>
      </c>
      <c r="HO53" s="275">
        <v>101</v>
      </c>
      <c r="HP53" s="275">
        <v>39.25</v>
      </c>
      <c r="HQ53" s="49">
        <f t="shared" si="130"/>
        <v>605.54935</v>
      </c>
      <c r="HR53" s="49">
        <f t="shared" si="131"/>
        <v>834.62538600000005</v>
      </c>
      <c r="HS53" s="47">
        <f t="shared" si="132"/>
        <v>83.364116999999993</v>
      </c>
      <c r="HT53" s="47">
        <f t="shared" si="186"/>
        <v>23.330064828877003</v>
      </c>
      <c r="HU53" s="48">
        <f t="shared" si="187"/>
        <v>628.87941482887697</v>
      </c>
      <c r="HV53" s="48">
        <f t="shared" si="188"/>
        <v>774.59133382887705</v>
      </c>
      <c r="HW53" s="93">
        <f t="shared" si="189"/>
        <v>608.55439852670293</v>
      </c>
      <c r="HX53" s="93">
        <f t="shared" si="190"/>
        <v>754.26631752670301</v>
      </c>
      <c r="HY53" s="298">
        <f t="shared" si="217"/>
        <v>0.72014260249554363</v>
      </c>
    </row>
    <row r="54" spans="1:233" s="131" customFormat="1" x14ac:dyDescent="0.2">
      <c r="A54" s="118">
        <v>44</v>
      </c>
      <c r="B54" s="118"/>
      <c r="C54" s="275">
        <v>1.1303000000000001</v>
      </c>
      <c r="D54" s="275">
        <v>0.97250000000000003</v>
      </c>
      <c r="E54" s="275">
        <v>0.19889999999999999</v>
      </c>
      <c r="F54" s="275">
        <v>33401.727500000001</v>
      </c>
      <c r="G54" s="275">
        <v>8839.6849999999995</v>
      </c>
      <c r="H54" s="49">
        <f t="shared" si="192"/>
        <v>1117.923215</v>
      </c>
      <c r="I54" s="49">
        <f t="shared" si="192"/>
        <v>1752.2699499999999</v>
      </c>
      <c r="J54" s="47">
        <f t="shared" si="192"/>
        <v>53.87007599999999</v>
      </c>
      <c r="K54" s="47">
        <f t="shared" si="134"/>
        <v>11.273167126361125</v>
      </c>
      <c r="L54" s="48">
        <f t="shared" si="135"/>
        <v>1129.1963821263612</v>
      </c>
      <c r="M54" s="48">
        <f t="shared" si="136"/>
        <v>1709.6730411263611</v>
      </c>
      <c r="N54" s="93">
        <f t="shared" si="137"/>
        <v>1140.2196081656184</v>
      </c>
      <c r="O54" s="93">
        <f t="shared" si="138"/>
        <v>1720.6962671656183</v>
      </c>
      <c r="P54" s="298">
        <f t="shared" si="193"/>
        <v>0.79073415217826826</v>
      </c>
      <c r="Q54" s="275">
        <v>1.2069000000000001</v>
      </c>
      <c r="R54" s="275">
        <v>1.0108999999999999</v>
      </c>
      <c r="S54" s="275">
        <v>0.19500000000000001</v>
      </c>
      <c r="T54" s="275">
        <v>5136.67</v>
      </c>
      <c r="U54" s="275">
        <v>2000.4692</v>
      </c>
      <c r="V54" s="49">
        <f t="shared" si="194"/>
        <v>739.81763100000001</v>
      </c>
      <c r="W54" s="49">
        <f t="shared" si="194"/>
        <v>1173.3111939999999</v>
      </c>
      <c r="X54" s="47">
        <f t="shared" si="194"/>
        <v>42.176549999999999</v>
      </c>
      <c r="Y54" s="47">
        <f t="shared" si="139"/>
        <v>25.86664190755722</v>
      </c>
      <c r="Z54" s="48">
        <f t="shared" si="140"/>
        <v>765.68427290755722</v>
      </c>
      <c r="AA54" s="48">
        <f t="shared" si="141"/>
        <v>1157.0012859075573</v>
      </c>
      <c r="AB54" s="93">
        <f t="shared" si="142"/>
        <v>756.93558868304569</v>
      </c>
      <c r="AC54" s="93">
        <f t="shared" si="143"/>
        <v>1148.2526016830457</v>
      </c>
      <c r="AD54" s="118"/>
      <c r="AE54" s="275">
        <v>1.3113999999999999</v>
      </c>
      <c r="AF54" s="275">
        <v>1.0463</v>
      </c>
      <c r="AG54" s="275">
        <v>0.2034</v>
      </c>
      <c r="AH54" s="275">
        <v>572.34670000000006</v>
      </c>
      <c r="AI54" s="275">
        <v>246.68</v>
      </c>
      <c r="AJ54" s="49">
        <f t="shared" si="195"/>
        <v>614.87611799999991</v>
      </c>
      <c r="AK54" s="49">
        <f t="shared" si="195"/>
        <v>1189.412914</v>
      </c>
      <c r="AL54" s="47">
        <f t="shared" si="195"/>
        <v>40.665762000000001</v>
      </c>
      <c r="AM54" s="47">
        <f t="shared" si="144"/>
        <v>26.80744693483814</v>
      </c>
      <c r="AN54" s="48">
        <f t="shared" si="145"/>
        <v>641.68356493483805</v>
      </c>
      <c r="AO54" s="48">
        <f t="shared" si="146"/>
        <v>1175.5545989348379</v>
      </c>
      <c r="AP54" s="93">
        <f t="shared" si="147"/>
        <v>627.98280112682187</v>
      </c>
      <c r="AQ54" s="93">
        <f t="shared" si="148"/>
        <v>1161.8538351268219</v>
      </c>
      <c r="AR54" s="118"/>
      <c r="AS54" s="275">
        <v>1.2305999999999999</v>
      </c>
      <c r="AT54" s="275">
        <v>0.81820000000000004</v>
      </c>
      <c r="AU54" s="275">
        <v>0.1792</v>
      </c>
      <c r="AV54" s="275">
        <v>27343.049200000001</v>
      </c>
      <c r="AW54" s="275">
        <v>7340.0342000000001</v>
      </c>
      <c r="AX54" s="49">
        <f t="shared" si="196"/>
        <v>428.80256999999995</v>
      </c>
      <c r="AY54" s="49">
        <f t="shared" si="196"/>
        <v>572.63363400000003</v>
      </c>
      <c r="AZ54" s="47">
        <f t="shared" si="196"/>
        <v>47.213824000000002</v>
      </c>
      <c r="BA54" s="47">
        <f t="shared" si="149"/>
        <v>26.997449766811528</v>
      </c>
      <c r="BB54" s="48">
        <f t="shared" si="150"/>
        <v>455.80001976681149</v>
      </c>
      <c r="BC54" s="48">
        <f t="shared" si="151"/>
        <v>552.41725976681153</v>
      </c>
      <c r="BD54" s="93">
        <f t="shared" si="152"/>
        <v>447.23181557571939</v>
      </c>
      <c r="BE54" s="93">
        <f t="shared" si="153"/>
        <v>543.84905557571938</v>
      </c>
      <c r="BF54" s="118"/>
      <c r="BG54" s="275">
        <v>1.1777</v>
      </c>
      <c r="BH54" s="275">
        <v>0.81620000000000004</v>
      </c>
      <c r="BI54" s="275">
        <v>0.1855</v>
      </c>
      <c r="BJ54" s="275">
        <v>14595.032499999999</v>
      </c>
      <c r="BK54" s="275">
        <v>4155.6517000000003</v>
      </c>
      <c r="BL54" s="49">
        <f t="shared" si="197"/>
        <v>398.32169400000004</v>
      </c>
      <c r="BM54" s="49">
        <f t="shared" si="197"/>
        <v>488.46305200000006</v>
      </c>
      <c r="BN54" s="47">
        <f t="shared" si="197"/>
        <v>42.748474999999999</v>
      </c>
      <c r="BO54" s="47">
        <f t="shared" si="154"/>
        <v>23.54692123543327</v>
      </c>
      <c r="BP54" s="48">
        <f t="shared" si="155"/>
        <v>421.86861523543331</v>
      </c>
      <c r="BQ54" s="48">
        <f t="shared" si="156"/>
        <v>469.26149823543335</v>
      </c>
      <c r="BR54" s="93">
        <f t="shared" si="157"/>
        <v>418.02723304207217</v>
      </c>
      <c r="BS54" s="93">
        <f t="shared" si="158"/>
        <v>465.42011604207221</v>
      </c>
      <c r="BT54" s="118"/>
      <c r="BU54" s="275">
        <v>1.2213000000000001</v>
      </c>
      <c r="BV54" s="275">
        <v>0.88660000000000005</v>
      </c>
      <c r="BW54" s="275">
        <v>0.222</v>
      </c>
      <c r="BX54" s="275">
        <v>17841.860799999999</v>
      </c>
      <c r="BY54" s="275">
        <v>5698.7150000000001</v>
      </c>
      <c r="BZ54" s="49">
        <f t="shared" si="198"/>
        <v>287.17648200000002</v>
      </c>
      <c r="CA54" s="49">
        <f t="shared" si="198"/>
        <v>318.759298</v>
      </c>
      <c r="CB54" s="47">
        <f t="shared" si="198"/>
        <v>20.91018</v>
      </c>
      <c r="CC54" s="47">
        <f t="shared" si="159"/>
        <v>11.000034191500689</v>
      </c>
      <c r="CD54" s="48">
        <f t="shared" si="160"/>
        <v>298.1765161915007</v>
      </c>
      <c r="CE54" s="48">
        <f t="shared" si="161"/>
        <v>308.84915219150065</v>
      </c>
      <c r="CF54" s="93">
        <f t="shared" si="162"/>
        <v>298.5395329455867</v>
      </c>
      <c r="CG54" s="93">
        <f t="shared" si="163"/>
        <v>309.21216894558665</v>
      </c>
      <c r="CH54" s="118"/>
      <c r="CI54" s="275">
        <v>1.0407</v>
      </c>
      <c r="CJ54" s="275">
        <v>1.0172000000000001</v>
      </c>
      <c r="CK54" s="275">
        <v>0.29530000000000001</v>
      </c>
      <c r="CL54" s="275">
        <v>60534.53</v>
      </c>
      <c r="CM54" s="275">
        <v>17190.404200000001</v>
      </c>
      <c r="CN54" s="49">
        <f t="shared" si="199"/>
        <v>214.80047999999999</v>
      </c>
      <c r="CO54" s="49">
        <f t="shared" si="199"/>
        <v>272.42650400000002</v>
      </c>
      <c r="CP54" s="47">
        <f t="shared" si="199"/>
        <v>0.124026</v>
      </c>
      <c r="CQ54" s="47">
        <f t="shared" si="164"/>
        <v>6.9347492430969299E-2</v>
      </c>
      <c r="CR54" s="48">
        <f t="shared" si="165"/>
        <v>214.86982749243097</v>
      </c>
      <c r="CS54" s="48">
        <f t="shared" si="166"/>
        <v>272.37182549243096</v>
      </c>
      <c r="CT54" s="93">
        <f t="shared" si="167"/>
        <v>214.8351025807186</v>
      </c>
      <c r="CU54" s="93">
        <f t="shared" si="168"/>
        <v>272.33710058071864</v>
      </c>
      <c r="CV54" s="118"/>
      <c r="CW54" s="275">
        <v>1.1766000000000001</v>
      </c>
      <c r="CX54" s="275">
        <v>1.1428</v>
      </c>
      <c r="CY54" s="275">
        <v>0.46289999999999998</v>
      </c>
      <c r="CZ54" s="275">
        <v>28540.980800000001</v>
      </c>
      <c r="DA54" s="275">
        <v>7107.8792000000003</v>
      </c>
      <c r="DB54" s="49">
        <f t="shared" si="200"/>
        <v>244.25039400000003</v>
      </c>
      <c r="DC54" s="49">
        <f t="shared" si="200"/>
        <v>321.70962800000001</v>
      </c>
      <c r="DD54" s="47">
        <f t="shared" si="200"/>
        <v>0.13424099999999997</v>
      </c>
      <c r="DE54" s="47">
        <f t="shared" si="169"/>
        <v>7.6306842345037568E-2</v>
      </c>
      <c r="DF54" s="48">
        <f t="shared" si="170"/>
        <v>244.32670084234508</v>
      </c>
      <c r="DG54" s="48">
        <f t="shared" si="171"/>
        <v>321.65169384234508</v>
      </c>
      <c r="DH54" s="93">
        <f t="shared" si="172"/>
        <v>244.27309911169809</v>
      </c>
      <c r="DI54" s="93">
        <f t="shared" si="173"/>
        <v>321.59809211169812</v>
      </c>
      <c r="DJ54" s="118"/>
      <c r="DK54" s="275">
        <v>1.2282</v>
      </c>
      <c r="DL54" s="275">
        <v>1.1939</v>
      </c>
      <c r="DM54" s="275">
        <v>0.6018</v>
      </c>
      <c r="DN54" s="275">
        <v>8033.0857999999998</v>
      </c>
      <c r="DO54" s="275">
        <v>2661.4758000000002</v>
      </c>
      <c r="DP54" s="49">
        <f t="shared" si="201"/>
        <v>167.32996800000001</v>
      </c>
      <c r="DQ54" s="49">
        <f t="shared" si="201"/>
        <v>235.568409</v>
      </c>
      <c r="DR54" s="47">
        <f t="shared" si="201"/>
        <v>0.13239600000000001</v>
      </c>
      <c r="DS54" s="47">
        <f t="shared" si="174"/>
        <v>7.7409880154379482E-2</v>
      </c>
      <c r="DT54" s="48">
        <f t="shared" si="175"/>
        <v>167.4073778801544</v>
      </c>
      <c r="DU54" s="48">
        <f t="shared" si="176"/>
        <v>235.51342288015439</v>
      </c>
      <c r="DV54" s="93">
        <f t="shared" si="177"/>
        <v>167.35204875104333</v>
      </c>
      <c r="DW54" s="93">
        <f t="shared" si="178"/>
        <v>235.45809375104332</v>
      </c>
      <c r="DX54" s="118"/>
      <c r="DY54" s="118"/>
      <c r="DZ54" s="118"/>
      <c r="EB54" s="52"/>
      <c r="EC54" s="52"/>
      <c r="ED54" s="52"/>
      <c r="EE54" s="55">
        <f t="shared" si="179"/>
        <v>149820.28750000001</v>
      </c>
      <c r="EF54" s="55">
        <f t="shared" si="179"/>
        <v>40478.0026</v>
      </c>
      <c r="EG54" s="55">
        <f t="shared" si="179"/>
        <v>1956.9265802</v>
      </c>
      <c r="EH54" s="55">
        <f t="shared" si="179"/>
        <v>2854.6977903999996</v>
      </c>
      <c r="EI54" s="298">
        <f t="shared" si="202"/>
        <v>0.78729182180917556</v>
      </c>
      <c r="EJ54" s="52"/>
      <c r="EK54" s="55">
        <f t="shared" si="180"/>
        <v>1995.3275900594797</v>
      </c>
      <c r="EL54" s="55">
        <f t="shared" si="180"/>
        <v>2791.7834814594798</v>
      </c>
      <c r="EM54" s="55">
        <f t="shared" si="111"/>
        <v>1997.7050056114147</v>
      </c>
      <c r="EN54" s="55">
        <f t="shared" si="111"/>
        <v>2794.1608970114148</v>
      </c>
      <c r="EP54" s="52"/>
      <c r="EQ54" s="52"/>
      <c r="ER54" s="52"/>
      <c r="ES54" s="55">
        <f t="shared" si="203"/>
        <v>108807.2133</v>
      </c>
      <c r="ET54" s="55">
        <f t="shared" si="203"/>
        <v>30454.404299999998</v>
      </c>
      <c r="EU54" s="55">
        <f t="shared" si="203"/>
        <v>1523.9150807999999</v>
      </c>
      <c r="EV54" s="55">
        <f t="shared" si="203"/>
        <v>2159.3974896</v>
      </c>
      <c r="EW54" s="298">
        <f t="shared" si="204"/>
        <v>0.78131516188851169</v>
      </c>
      <c r="EX54" s="52"/>
      <c r="EY54" s="55">
        <f t="shared" si="205"/>
        <v>1573.4514062250628</v>
      </c>
      <c r="EZ54" s="55">
        <f t="shared" si="205"/>
        <v>2123.7907953250633</v>
      </c>
      <c r="FA54" s="55">
        <f t="shared" si="205"/>
        <v>1560.7890936840251</v>
      </c>
      <c r="FB54" s="55">
        <f t="shared" si="205"/>
        <v>2111.128482784025</v>
      </c>
      <c r="FD54" s="52"/>
      <c r="FE54" s="52"/>
      <c r="FF54" s="52"/>
      <c r="FG54" s="55">
        <f t="shared" si="206"/>
        <v>86981.823299999989</v>
      </c>
      <c r="FH54" s="55">
        <f t="shared" si="206"/>
        <v>25797.275000000001</v>
      </c>
      <c r="FI54" s="55">
        <f t="shared" si="206"/>
        <v>1217.2510607999998</v>
      </c>
      <c r="FJ54" s="55">
        <f t="shared" si="206"/>
        <v>1921.9397614</v>
      </c>
      <c r="FK54" s="298">
        <f t="shared" si="207"/>
        <v>0.77125836800558989</v>
      </c>
      <c r="FL54" s="52"/>
      <c r="FM54" s="55">
        <f t="shared" si="208"/>
        <v>1255.1743353468623</v>
      </c>
      <c r="FN54" s="55">
        <f t="shared" si="208"/>
        <v>1898.0836303468623</v>
      </c>
      <c r="FO54" s="55">
        <f t="shared" si="208"/>
        <v>1241.7686659037531</v>
      </c>
      <c r="FP54" s="55">
        <f t="shared" si="208"/>
        <v>1884.6779609037533</v>
      </c>
      <c r="FR54" s="52"/>
      <c r="FS54" s="52"/>
      <c r="FT54" s="52"/>
      <c r="FU54" s="55">
        <f t="shared" si="209"/>
        <v>89075.510800000004</v>
      </c>
      <c r="FV54" s="55">
        <f t="shared" si="209"/>
        <v>24298.2834</v>
      </c>
      <c r="FW54" s="55">
        <f t="shared" si="209"/>
        <v>410.20079520000002</v>
      </c>
      <c r="FX54" s="55">
        <f t="shared" si="209"/>
        <v>529.79420640000012</v>
      </c>
      <c r="FY54" s="298">
        <f t="shared" si="210"/>
        <v>0.78567989568086627</v>
      </c>
      <c r="FZ54" s="52"/>
      <c r="GA54" s="55">
        <f t="shared" si="211"/>
        <v>410.33118816630702</v>
      </c>
      <c r="GB54" s="55">
        <f t="shared" si="211"/>
        <v>529.69318056630709</v>
      </c>
      <c r="GC54" s="55">
        <f t="shared" si="211"/>
        <v>410.25358187007708</v>
      </c>
      <c r="GD54" s="55">
        <f t="shared" si="211"/>
        <v>529.6155742700771</v>
      </c>
      <c r="GF54" s="52"/>
      <c r="GG54" s="52"/>
      <c r="GH54" s="52"/>
      <c r="GI54" s="55">
        <f t="shared" si="212"/>
        <v>45184.91</v>
      </c>
      <c r="GJ54" s="55">
        <f t="shared" si="212"/>
        <v>13038.7492</v>
      </c>
      <c r="GK54" s="56">
        <f t="shared" si="213"/>
        <v>106.21956599999994</v>
      </c>
      <c r="GL54" s="56">
        <f t="shared" si="213"/>
        <v>190.40575200000001</v>
      </c>
      <c r="GM54" s="298">
        <f t="shared" si="214"/>
        <v>0.77605754466218779</v>
      </c>
      <c r="GN54" s="52"/>
      <c r="GO54" s="56">
        <f t="shared" si="215"/>
        <v>118.21762768148309</v>
      </c>
      <c r="GP54" s="56">
        <f t="shared" si="215"/>
        <v>182.67608068148314</v>
      </c>
      <c r="GQ54" s="56">
        <f t="shared" si="215"/>
        <v>111.51921197259952</v>
      </c>
      <c r="GR54" s="56">
        <f t="shared" si="215"/>
        <v>175.97766497259954</v>
      </c>
      <c r="GW54" s="275">
        <v>1.1771</v>
      </c>
      <c r="GX54" s="275">
        <v>0.95779999999999998</v>
      </c>
      <c r="GY54" s="275">
        <v>0.18279999999999999</v>
      </c>
      <c r="GZ54" s="275">
        <v>2109.7383</v>
      </c>
      <c r="HA54" s="275">
        <v>699.57920000000001</v>
      </c>
      <c r="HB54" s="49">
        <f t="shared" si="126"/>
        <v>773.10750899999994</v>
      </c>
      <c r="HC54" s="49">
        <f t="shared" si="127"/>
        <v>1300.5104179999998</v>
      </c>
      <c r="HD54" s="47">
        <f t="shared" si="128"/>
        <v>44.478895999999999</v>
      </c>
      <c r="HE54" s="47">
        <f t="shared" si="181"/>
        <v>11.076181485561243</v>
      </c>
      <c r="HF54" s="48">
        <f t="shared" si="182"/>
        <v>784.18369048556121</v>
      </c>
      <c r="HG54" s="48">
        <f t="shared" si="183"/>
        <v>1267.1077034855609</v>
      </c>
      <c r="HH54" s="93">
        <f t="shared" si="184"/>
        <v>787.9329025495698</v>
      </c>
      <c r="HI54" s="93">
        <f t="shared" si="185"/>
        <v>1270.8569155495697</v>
      </c>
      <c r="HJ54" s="298">
        <f t="shared" si="216"/>
        <v>0.75097894773374674</v>
      </c>
      <c r="HL54" s="275">
        <v>1.1867000000000001</v>
      </c>
      <c r="HM54" s="275">
        <v>1.0959000000000001</v>
      </c>
      <c r="HN54" s="275">
        <v>0.50970000000000004</v>
      </c>
      <c r="HO54" s="275">
        <v>149.41669999999999</v>
      </c>
      <c r="HP54" s="275">
        <v>32.583300000000001</v>
      </c>
      <c r="HQ54" s="49">
        <f t="shared" si="130"/>
        <v>630.90905499999997</v>
      </c>
      <c r="HR54" s="49">
        <f t="shared" si="131"/>
        <v>849.90332699999999</v>
      </c>
      <c r="HS54" s="47">
        <f t="shared" si="132"/>
        <v>66.153963000000005</v>
      </c>
      <c r="HT54" s="47">
        <f t="shared" si="186"/>
        <v>11.843485838559893</v>
      </c>
      <c r="HU54" s="48">
        <f t="shared" si="187"/>
        <v>642.75254083855987</v>
      </c>
      <c r="HV54" s="48">
        <f t="shared" si="188"/>
        <v>795.59284983855991</v>
      </c>
      <c r="HW54" s="93">
        <f t="shared" si="189"/>
        <v>633.91410352670289</v>
      </c>
      <c r="HX54" s="93">
        <f t="shared" si="190"/>
        <v>786.75441252670294</v>
      </c>
      <c r="HY54" s="298">
        <f t="shared" si="217"/>
        <v>0.82097087912087907</v>
      </c>
    </row>
    <row r="55" spans="1:233" s="131" customFormat="1" x14ac:dyDescent="0.2">
      <c r="A55" s="118">
        <v>45</v>
      </c>
      <c r="B55" s="118"/>
      <c r="C55" s="275">
        <v>1.1655</v>
      </c>
      <c r="D55" s="275">
        <v>0.97440000000000004</v>
      </c>
      <c r="E55" s="275">
        <v>0.1065</v>
      </c>
      <c r="F55" s="275">
        <v>35241.869200000001</v>
      </c>
      <c r="G55" s="275">
        <v>8953.7108000000007</v>
      </c>
      <c r="H55" s="49">
        <f t="shared" si="192"/>
        <v>1152.7377749999998</v>
      </c>
      <c r="I55" s="49">
        <f t="shared" si="192"/>
        <v>1755.6934080000001</v>
      </c>
      <c r="J55" s="47">
        <f t="shared" si="192"/>
        <v>28.844459999999998</v>
      </c>
      <c r="K55" s="47">
        <f t="shared" si="134"/>
        <v>5.8436828529497298</v>
      </c>
      <c r="L55" s="48">
        <f t="shared" si="135"/>
        <v>1158.5814578529496</v>
      </c>
      <c r="M55" s="48">
        <f t="shared" si="136"/>
        <v>1732.6926308529498</v>
      </c>
      <c r="N55" s="93">
        <f t="shared" si="137"/>
        <v>1175.0341681656182</v>
      </c>
      <c r="O55" s="93">
        <f t="shared" si="138"/>
        <v>1749.1453411656184</v>
      </c>
      <c r="P55" s="298">
        <f t="shared" si="193"/>
        <v>0.79740709817588096</v>
      </c>
      <c r="Q55" s="275">
        <v>1.2567999999999999</v>
      </c>
      <c r="R55" s="275">
        <v>1.0325</v>
      </c>
      <c r="S55" s="275">
        <v>0.1205</v>
      </c>
      <c r="T55" s="275">
        <v>5585.3433000000005</v>
      </c>
      <c r="U55" s="275">
        <v>2187.145</v>
      </c>
      <c r="V55" s="49">
        <f t="shared" si="194"/>
        <v>770.40583199999992</v>
      </c>
      <c r="W55" s="49">
        <f t="shared" si="194"/>
        <v>1198.3814500000001</v>
      </c>
      <c r="X55" s="47">
        <f t="shared" si="194"/>
        <v>26.062944999999999</v>
      </c>
      <c r="Y55" s="47">
        <f t="shared" si="139"/>
        <v>15.864258219223021</v>
      </c>
      <c r="Z55" s="48">
        <f t="shared" si="140"/>
        <v>786.27009021922299</v>
      </c>
      <c r="AA55" s="48">
        <f t="shared" si="141"/>
        <v>1188.1827632192233</v>
      </c>
      <c r="AB55" s="93">
        <f t="shared" si="142"/>
        <v>787.52378968304561</v>
      </c>
      <c r="AC55" s="93">
        <f t="shared" si="143"/>
        <v>1189.4364626830459</v>
      </c>
      <c r="AD55" s="118"/>
      <c r="AE55" s="275">
        <v>1.3862000000000001</v>
      </c>
      <c r="AF55" s="275">
        <v>1.0698000000000001</v>
      </c>
      <c r="AG55" s="275">
        <v>0.1099</v>
      </c>
      <c r="AH55" s="275">
        <v>624.56420000000003</v>
      </c>
      <c r="AI55" s="275">
        <v>251.83580000000001</v>
      </c>
      <c r="AJ55" s="49">
        <f t="shared" si="195"/>
        <v>649.94759400000009</v>
      </c>
      <c r="AK55" s="49">
        <f t="shared" si="195"/>
        <v>1216.127244</v>
      </c>
      <c r="AL55" s="47">
        <f t="shared" si="195"/>
        <v>21.972307000000001</v>
      </c>
      <c r="AM55" s="47">
        <f t="shared" si="144"/>
        <v>14.319426323153664</v>
      </c>
      <c r="AN55" s="48">
        <f t="shared" si="145"/>
        <v>664.2670203231537</v>
      </c>
      <c r="AO55" s="48">
        <f t="shared" si="146"/>
        <v>1208.4743633231537</v>
      </c>
      <c r="AP55" s="93">
        <f t="shared" si="147"/>
        <v>663.05427712682206</v>
      </c>
      <c r="AQ55" s="93">
        <f t="shared" si="148"/>
        <v>1207.261620126822</v>
      </c>
      <c r="AR55" s="118"/>
      <c r="AS55" s="275">
        <v>1.3077000000000001</v>
      </c>
      <c r="AT55" s="275">
        <v>0.80920000000000003</v>
      </c>
      <c r="AU55" s="275">
        <v>9.5699999999999993E-2</v>
      </c>
      <c r="AV55" s="275">
        <v>29177.745800000001</v>
      </c>
      <c r="AW55" s="275">
        <v>7607.9250000000002</v>
      </c>
      <c r="AX55" s="49">
        <f t="shared" si="196"/>
        <v>455.66806500000001</v>
      </c>
      <c r="AY55" s="49">
        <f t="shared" si="196"/>
        <v>566.33480400000008</v>
      </c>
      <c r="AZ55" s="47">
        <f t="shared" si="196"/>
        <v>25.214079000000002</v>
      </c>
      <c r="BA55" s="47">
        <f t="shared" si="149"/>
        <v>13.972182389739961</v>
      </c>
      <c r="BB55" s="48">
        <f t="shared" si="150"/>
        <v>469.64024738973995</v>
      </c>
      <c r="BC55" s="48">
        <f t="shared" si="151"/>
        <v>555.09290738974005</v>
      </c>
      <c r="BD55" s="93">
        <f t="shared" si="152"/>
        <v>474.09731057571946</v>
      </c>
      <c r="BE55" s="93">
        <f t="shared" si="153"/>
        <v>559.5499705757195</v>
      </c>
      <c r="BF55" s="118"/>
      <c r="BG55" s="275">
        <v>1.2341</v>
      </c>
      <c r="BH55" s="275">
        <v>0.81040000000000001</v>
      </c>
      <c r="BI55" s="275">
        <v>9.6500000000000002E-2</v>
      </c>
      <c r="BJ55" s="275">
        <v>15300.3308</v>
      </c>
      <c r="BK55" s="275">
        <v>4323.6633000000002</v>
      </c>
      <c r="BL55" s="49">
        <f t="shared" si="197"/>
        <v>417.39730200000002</v>
      </c>
      <c r="BM55" s="49">
        <f t="shared" si="197"/>
        <v>484.99198400000006</v>
      </c>
      <c r="BN55" s="47">
        <f t="shared" si="197"/>
        <v>22.238424999999999</v>
      </c>
      <c r="BO55" s="47">
        <f t="shared" si="154"/>
        <v>11.952112053095895</v>
      </c>
      <c r="BP55" s="48">
        <f t="shared" si="155"/>
        <v>429.34941405309593</v>
      </c>
      <c r="BQ55" s="48">
        <f t="shared" si="156"/>
        <v>474.70567105309595</v>
      </c>
      <c r="BR55" s="93">
        <f t="shared" si="157"/>
        <v>437.10284104207216</v>
      </c>
      <c r="BS55" s="93">
        <f t="shared" si="158"/>
        <v>482.45909804207218</v>
      </c>
      <c r="BT55" s="118"/>
      <c r="BU55" s="275">
        <v>1.2912999999999999</v>
      </c>
      <c r="BV55" s="275">
        <v>0.88949999999999996</v>
      </c>
      <c r="BW55" s="275">
        <v>0.12620000000000001</v>
      </c>
      <c r="BX55" s="275">
        <v>18976.580000000002</v>
      </c>
      <c r="BY55" s="275">
        <v>5880.1642000000002</v>
      </c>
      <c r="BZ55" s="49">
        <f t="shared" si="198"/>
        <v>303.63628199999994</v>
      </c>
      <c r="CA55" s="49">
        <f t="shared" si="198"/>
        <v>319.80193499999996</v>
      </c>
      <c r="CB55" s="47">
        <f t="shared" si="198"/>
        <v>11.886778</v>
      </c>
      <c r="CC55" s="47">
        <f t="shared" si="159"/>
        <v>6.0975001237619511</v>
      </c>
      <c r="CD55" s="48">
        <f t="shared" si="160"/>
        <v>309.7337821237619</v>
      </c>
      <c r="CE55" s="48">
        <f t="shared" si="161"/>
        <v>314.01265712376193</v>
      </c>
      <c r="CF55" s="93">
        <f t="shared" si="162"/>
        <v>314.99933294558662</v>
      </c>
      <c r="CG55" s="93">
        <f t="shared" si="163"/>
        <v>319.27820794558664</v>
      </c>
      <c r="CH55" s="118"/>
      <c r="CI55" s="275">
        <v>1.054</v>
      </c>
      <c r="CJ55" s="275">
        <v>1.0232000000000001</v>
      </c>
      <c r="CK55" s="275">
        <v>0.19989999999999999</v>
      </c>
      <c r="CL55" s="275">
        <v>64369.245799999997</v>
      </c>
      <c r="CM55" s="275">
        <v>17779.747500000001</v>
      </c>
      <c r="CN55" s="49">
        <f t="shared" si="199"/>
        <v>217.54560000000001</v>
      </c>
      <c r="CO55" s="49">
        <f t="shared" si="199"/>
        <v>274.03342400000002</v>
      </c>
      <c r="CP55" s="47">
        <f t="shared" si="199"/>
        <v>8.3957999999999991E-2</v>
      </c>
      <c r="CQ55" s="47">
        <f t="shared" si="164"/>
        <v>4.6802847739475559E-2</v>
      </c>
      <c r="CR55" s="48">
        <f t="shared" si="165"/>
        <v>217.59240284773949</v>
      </c>
      <c r="CS55" s="48">
        <f t="shared" si="166"/>
        <v>273.99626884773949</v>
      </c>
      <c r="CT55" s="93">
        <f t="shared" si="167"/>
        <v>217.58022258071861</v>
      </c>
      <c r="CU55" s="93">
        <f t="shared" si="168"/>
        <v>273.98408858071866</v>
      </c>
      <c r="CV55" s="118"/>
      <c r="CW55" s="275">
        <v>1.2249000000000001</v>
      </c>
      <c r="CX55" s="275">
        <v>1.1861999999999999</v>
      </c>
      <c r="CY55" s="275">
        <v>0.36919999999999997</v>
      </c>
      <c r="CZ55" s="275">
        <v>30276.267500000002</v>
      </c>
      <c r="DA55" s="275">
        <v>7441.0749999999998</v>
      </c>
      <c r="DB55" s="49">
        <f t="shared" si="200"/>
        <v>254.27699100000004</v>
      </c>
      <c r="DC55" s="49">
        <f t="shared" si="200"/>
        <v>333.92716199999995</v>
      </c>
      <c r="DD55" s="47">
        <f t="shared" si="200"/>
        <v>0.10706799999999998</v>
      </c>
      <c r="DE55" s="47">
        <f t="shared" si="169"/>
        <v>6.0783170602700567E-2</v>
      </c>
      <c r="DF55" s="48">
        <f t="shared" si="170"/>
        <v>254.33777417060273</v>
      </c>
      <c r="DG55" s="48">
        <f t="shared" si="171"/>
        <v>333.88087717060262</v>
      </c>
      <c r="DH55" s="93">
        <f t="shared" si="172"/>
        <v>254.2996961116981</v>
      </c>
      <c r="DI55" s="93">
        <f t="shared" si="173"/>
        <v>333.84279911169801</v>
      </c>
      <c r="DJ55" s="118"/>
      <c r="DK55" s="275">
        <v>1.2883</v>
      </c>
      <c r="DL55" s="275">
        <v>1.2383</v>
      </c>
      <c r="DM55" s="275">
        <v>0.4919</v>
      </c>
      <c r="DN55" s="275">
        <v>8697.0866999999998</v>
      </c>
      <c r="DO55" s="275">
        <v>2608.2350000000001</v>
      </c>
      <c r="DP55" s="49">
        <f t="shared" si="201"/>
        <v>175.51799200000002</v>
      </c>
      <c r="DQ55" s="49">
        <f t="shared" si="201"/>
        <v>244.32897299999999</v>
      </c>
      <c r="DR55" s="47">
        <f t="shared" si="201"/>
        <v>0.10821799999999999</v>
      </c>
      <c r="DS55" s="47">
        <f t="shared" si="174"/>
        <v>6.2977215519740615E-2</v>
      </c>
      <c r="DT55" s="48">
        <f t="shared" si="175"/>
        <v>175.58096921551976</v>
      </c>
      <c r="DU55" s="48">
        <f t="shared" si="176"/>
        <v>244.28373221551973</v>
      </c>
      <c r="DV55" s="93">
        <f t="shared" si="177"/>
        <v>175.54007275104334</v>
      </c>
      <c r="DW55" s="93">
        <f t="shared" si="178"/>
        <v>244.24283575104332</v>
      </c>
      <c r="DX55" s="118"/>
      <c r="DY55" s="118"/>
      <c r="DZ55" s="118"/>
      <c r="EB55" s="52"/>
      <c r="EC55" s="52"/>
      <c r="ED55" s="52"/>
      <c r="EE55" s="55">
        <f t="shared" si="179"/>
        <v>159065.12829999998</v>
      </c>
      <c r="EF55" s="55">
        <f t="shared" si="179"/>
        <v>41782.458299999998</v>
      </c>
      <c r="EG55" s="55">
        <f t="shared" si="179"/>
        <v>2029.3730327999999</v>
      </c>
      <c r="EH55" s="55">
        <f t="shared" si="179"/>
        <v>2863.2033656000003</v>
      </c>
      <c r="EI55" s="298">
        <f t="shared" si="202"/>
        <v>0.79196932854756041</v>
      </c>
      <c r="EJ55" s="52"/>
      <c r="EK55" s="55">
        <f t="shared" si="180"/>
        <v>2049.2843274269112</v>
      </c>
      <c r="EL55" s="55">
        <f t="shared" si="180"/>
        <v>2828.8865088269113</v>
      </c>
      <c r="EM55" s="55">
        <f t="shared" si="111"/>
        <v>2070.1514582114146</v>
      </c>
      <c r="EN55" s="55">
        <f t="shared" si="111"/>
        <v>2849.7536396114151</v>
      </c>
      <c r="EP55" s="52"/>
      <c r="EQ55" s="52"/>
      <c r="ER55" s="52"/>
      <c r="ES55" s="55">
        <f t="shared" si="203"/>
        <v>115531.1874</v>
      </c>
      <c r="ET55" s="55">
        <f t="shared" si="203"/>
        <v>31731.630800000003</v>
      </c>
      <c r="EU55" s="55">
        <f t="shared" si="203"/>
        <v>1583.3426276999999</v>
      </c>
      <c r="EV55" s="55">
        <f t="shared" si="203"/>
        <v>2191.1558713999998</v>
      </c>
      <c r="EW55" s="298">
        <f t="shared" si="204"/>
        <v>0.78452381132007964</v>
      </c>
      <c r="EX55" s="52"/>
      <c r="EY55" s="55">
        <f t="shared" si="205"/>
        <v>1611.2483490394802</v>
      </c>
      <c r="EZ55" s="55">
        <f t="shared" si="205"/>
        <v>2170.6013171394807</v>
      </c>
      <c r="FA55" s="55">
        <f t="shared" si="205"/>
        <v>1620.2166405840251</v>
      </c>
      <c r="FB55" s="55">
        <f t="shared" si="205"/>
        <v>2179.5696086840253</v>
      </c>
      <c r="FD55" s="52"/>
      <c r="FE55" s="52"/>
      <c r="FF55" s="52"/>
      <c r="FG55" s="55">
        <f t="shared" si="206"/>
        <v>92667.476699999999</v>
      </c>
      <c r="FH55" s="55">
        <f t="shared" si="206"/>
        <v>26519.982500000002</v>
      </c>
      <c r="FI55" s="55">
        <f t="shared" si="206"/>
        <v>1276.4402712000001</v>
      </c>
      <c r="FJ55" s="55">
        <f t="shared" si="206"/>
        <v>1956.5599867999999</v>
      </c>
      <c r="FK55" s="298">
        <f t="shared" si="207"/>
        <v>0.77749351586144055</v>
      </c>
      <c r="FL55" s="52"/>
      <c r="FM55" s="55">
        <f t="shared" si="208"/>
        <v>1296.9417868239668</v>
      </c>
      <c r="FN55" s="55">
        <f t="shared" si="208"/>
        <v>1943.0535286239669</v>
      </c>
      <c r="FO55" s="55">
        <f t="shared" si="208"/>
        <v>1300.9578763037532</v>
      </c>
      <c r="FP55" s="55">
        <f t="shared" si="208"/>
        <v>1947.0696181037533</v>
      </c>
      <c r="FR55" s="52"/>
      <c r="FS55" s="52"/>
      <c r="FT55" s="52"/>
      <c r="FU55" s="55">
        <f t="shared" si="209"/>
        <v>94645.513299999991</v>
      </c>
      <c r="FV55" s="55">
        <f t="shared" si="209"/>
        <v>25220.822500000002</v>
      </c>
      <c r="FW55" s="55">
        <f t="shared" si="209"/>
        <v>420.96719280000002</v>
      </c>
      <c r="FX55" s="55">
        <f t="shared" si="209"/>
        <v>541.17515359999993</v>
      </c>
      <c r="FY55" s="298">
        <f t="shared" si="210"/>
        <v>0.78959211248367855</v>
      </c>
      <c r="FZ55" s="52"/>
      <c r="GA55" s="55">
        <f t="shared" si="211"/>
        <v>421.06262218422171</v>
      </c>
      <c r="GB55" s="55">
        <f t="shared" si="211"/>
        <v>541.10097058422161</v>
      </c>
      <c r="GC55" s="55">
        <f t="shared" si="211"/>
        <v>421.01997947007709</v>
      </c>
      <c r="GD55" s="55">
        <f t="shared" si="211"/>
        <v>541.05832787007716</v>
      </c>
      <c r="GF55" s="52"/>
      <c r="GG55" s="52"/>
      <c r="GH55" s="52"/>
      <c r="GI55" s="55">
        <f t="shared" si="212"/>
        <v>48154.325800000006</v>
      </c>
      <c r="GJ55" s="55">
        <f t="shared" si="212"/>
        <v>13488.0892</v>
      </c>
      <c r="GK55" s="56">
        <f t="shared" si="213"/>
        <v>114.02383725000006</v>
      </c>
      <c r="GL55" s="56">
        <f t="shared" si="213"/>
        <v>184.89965175000009</v>
      </c>
      <c r="GM55" s="298">
        <f t="shared" si="214"/>
        <v>0.78118817700442134</v>
      </c>
      <c r="GN55" s="52"/>
      <c r="GO55" s="56">
        <f t="shared" si="215"/>
        <v>119.92984894948354</v>
      </c>
      <c r="GP55" s="56">
        <f t="shared" si="215"/>
        <v>180.81018769948361</v>
      </c>
      <c r="GQ55" s="56">
        <f t="shared" si="215"/>
        <v>119.32348322259963</v>
      </c>
      <c r="GR55" s="56">
        <f t="shared" si="215"/>
        <v>180.20382197259966</v>
      </c>
      <c r="GW55" s="275">
        <v>1.2177</v>
      </c>
      <c r="GX55" s="275">
        <v>0.96819999999999995</v>
      </c>
      <c r="GY55" s="275">
        <v>9.7500000000000003E-2</v>
      </c>
      <c r="GZ55" s="275">
        <v>2262.9542000000001</v>
      </c>
      <c r="HA55" s="275">
        <v>737.15830000000005</v>
      </c>
      <c r="HB55" s="49">
        <f t="shared" si="126"/>
        <v>799.7731829999999</v>
      </c>
      <c r="HC55" s="49">
        <f t="shared" si="127"/>
        <v>1314.6316419999998</v>
      </c>
      <c r="HD55" s="47">
        <f t="shared" si="128"/>
        <v>23.723700000000001</v>
      </c>
      <c r="HE55" s="47">
        <f t="shared" si="181"/>
        <v>5.8291555272377282</v>
      </c>
      <c r="HF55" s="48">
        <f t="shared" si="182"/>
        <v>805.60233852723763</v>
      </c>
      <c r="HG55" s="48">
        <f t="shared" si="183"/>
        <v>1296.7370975272374</v>
      </c>
      <c r="HH55" s="93">
        <f t="shared" si="184"/>
        <v>814.59857654956977</v>
      </c>
      <c r="HI55" s="93">
        <f t="shared" si="185"/>
        <v>1305.7333355495698</v>
      </c>
      <c r="HJ55" s="298">
        <f t="shared" si="216"/>
        <v>0.75428978079988662</v>
      </c>
      <c r="HL55" s="275">
        <v>1.2349000000000001</v>
      </c>
      <c r="HM55" s="275">
        <v>1.1105</v>
      </c>
      <c r="HN55" s="275">
        <v>0.38419999999999999</v>
      </c>
      <c r="HO55" s="275">
        <v>173.9992</v>
      </c>
      <c r="HP55" s="275">
        <v>41.416699999999999</v>
      </c>
      <c r="HQ55" s="49">
        <f t="shared" si="130"/>
        <v>656.53458499999999</v>
      </c>
      <c r="HR55" s="49">
        <f t="shared" si="131"/>
        <v>861.22606499999995</v>
      </c>
      <c r="HS55" s="47">
        <f t="shared" si="132"/>
        <v>49.865317999999995</v>
      </c>
      <c r="HT55" s="47">
        <f t="shared" si="186"/>
        <v>9.5873002689708589</v>
      </c>
      <c r="HU55" s="48">
        <f t="shared" si="187"/>
        <v>666.1218852689708</v>
      </c>
      <c r="HV55" s="48">
        <f t="shared" si="188"/>
        <v>820.94804726897075</v>
      </c>
      <c r="HW55" s="93">
        <f t="shared" si="189"/>
        <v>659.53963352670291</v>
      </c>
      <c r="HX55" s="93">
        <f t="shared" si="190"/>
        <v>814.36579552670287</v>
      </c>
      <c r="HY55" s="298">
        <f t="shared" si="217"/>
        <v>0.80773610490219161</v>
      </c>
    </row>
    <row r="56" spans="1:233" s="131" customFormat="1" x14ac:dyDescent="0.2">
      <c r="A56" s="118">
        <v>46</v>
      </c>
      <c r="B56" s="118"/>
      <c r="C56" s="275">
        <v>1.2039</v>
      </c>
      <c r="D56" s="275">
        <v>0.98229999999999995</v>
      </c>
      <c r="E56" s="275">
        <v>5.3699999999999998E-2</v>
      </c>
      <c r="F56" s="275">
        <v>37984.43</v>
      </c>
      <c r="G56" s="275">
        <v>9999.8274999999994</v>
      </c>
      <c r="H56" s="49">
        <f t="shared" si="192"/>
        <v>1190.7172949999999</v>
      </c>
      <c r="I56" s="49">
        <f t="shared" si="192"/>
        <v>1769.9277859999997</v>
      </c>
      <c r="J56" s="47">
        <f t="shared" si="192"/>
        <v>14.544107999999998</v>
      </c>
      <c r="K56" s="47">
        <f t="shared" si="134"/>
        <v>3.030964293682568</v>
      </c>
      <c r="L56" s="48">
        <f t="shared" si="135"/>
        <v>1193.7482592936824</v>
      </c>
      <c r="M56" s="48">
        <f t="shared" si="136"/>
        <v>1758.4146422936822</v>
      </c>
      <c r="N56" s="93">
        <f t="shared" si="137"/>
        <v>1213.0136881656183</v>
      </c>
      <c r="O56" s="93">
        <f t="shared" si="138"/>
        <v>1777.6800711656181</v>
      </c>
      <c r="P56" s="298">
        <f t="shared" si="193"/>
        <v>0.79160191235635979</v>
      </c>
      <c r="Q56" s="275">
        <v>1.3113999999999999</v>
      </c>
      <c r="R56" s="275">
        <v>1.0632999999999999</v>
      </c>
      <c r="S56" s="275">
        <v>7.9200000000000007E-2</v>
      </c>
      <c r="T56" s="275">
        <v>6348.5550000000003</v>
      </c>
      <c r="U56" s="275">
        <v>2531.8674999999998</v>
      </c>
      <c r="V56" s="49">
        <f t="shared" si="194"/>
        <v>803.8750859999999</v>
      </c>
      <c r="W56" s="49">
        <f t="shared" si="194"/>
        <v>1234.129778</v>
      </c>
      <c r="X56" s="47">
        <f t="shared" si="194"/>
        <v>17.130168000000001</v>
      </c>
      <c r="Y56" s="47">
        <f t="shared" si="139"/>
        <v>10.373307151705946</v>
      </c>
      <c r="Z56" s="48">
        <f t="shared" si="140"/>
        <v>814.24839315170584</v>
      </c>
      <c r="AA56" s="48">
        <f t="shared" si="141"/>
        <v>1227.3729171517061</v>
      </c>
      <c r="AB56" s="93">
        <f t="shared" si="142"/>
        <v>820.99304368304558</v>
      </c>
      <c r="AC56" s="93">
        <f t="shared" si="143"/>
        <v>1234.1175676830458</v>
      </c>
      <c r="AD56" s="118"/>
      <c r="AE56" s="275">
        <v>1.4557</v>
      </c>
      <c r="AF56" s="275">
        <v>1.0999000000000001</v>
      </c>
      <c r="AG56" s="275">
        <v>5.5E-2</v>
      </c>
      <c r="AH56" s="275">
        <v>752.87829999999997</v>
      </c>
      <c r="AI56" s="275">
        <v>291.76749999999998</v>
      </c>
      <c r="AJ56" s="49">
        <f t="shared" si="195"/>
        <v>682.53405899999996</v>
      </c>
      <c r="AK56" s="49">
        <f t="shared" si="195"/>
        <v>1250.3443220000001</v>
      </c>
      <c r="AL56" s="47">
        <f t="shared" si="195"/>
        <v>10.99615</v>
      </c>
      <c r="AM56" s="47">
        <f t="shared" si="144"/>
        <v>7.1132120114288258</v>
      </c>
      <c r="AN56" s="48">
        <f t="shared" si="145"/>
        <v>689.64727101142876</v>
      </c>
      <c r="AO56" s="48">
        <f t="shared" si="146"/>
        <v>1246.4613840114291</v>
      </c>
      <c r="AP56" s="93">
        <f t="shared" si="147"/>
        <v>695.64074212682192</v>
      </c>
      <c r="AQ56" s="93">
        <f t="shared" si="148"/>
        <v>1252.4548551268222</v>
      </c>
      <c r="AR56" s="118"/>
      <c r="AS56" s="275">
        <v>1.3908</v>
      </c>
      <c r="AT56" s="275">
        <v>0.81520000000000004</v>
      </c>
      <c r="AU56" s="275">
        <v>5.0999999999999997E-2</v>
      </c>
      <c r="AV56" s="275">
        <v>32443.4</v>
      </c>
      <c r="AW56" s="275">
        <v>8621.6157999999996</v>
      </c>
      <c r="AX56" s="49">
        <f t="shared" si="196"/>
        <v>484.62425999999999</v>
      </c>
      <c r="AY56" s="49">
        <f t="shared" si="196"/>
        <v>570.53402400000004</v>
      </c>
      <c r="AZ56" s="47">
        <f t="shared" si="196"/>
        <v>13.436970000000001</v>
      </c>
      <c r="BA56" s="47">
        <f t="shared" si="149"/>
        <v>7.265496258443136</v>
      </c>
      <c r="BB56" s="48">
        <f t="shared" si="150"/>
        <v>491.88975625844313</v>
      </c>
      <c r="BC56" s="48">
        <f t="shared" si="151"/>
        <v>564.36255025844321</v>
      </c>
      <c r="BD56" s="93">
        <f t="shared" si="152"/>
        <v>503.05350557571944</v>
      </c>
      <c r="BE56" s="93">
        <f t="shared" si="153"/>
        <v>575.52629957571958</v>
      </c>
      <c r="BF56" s="118"/>
      <c r="BG56" s="275">
        <v>1.3073999999999999</v>
      </c>
      <c r="BH56" s="275">
        <v>0.81979999999999997</v>
      </c>
      <c r="BI56" s="275">
        <v>4.41E-2</v>
      </c>
      <c r="BJ56" s="275">
        <v>16880.8367</v>
      </c>
      <c r="BK56" s="275">
        <v>4771.6891999999998</v>
      </c>
      <c r="BL56" s="49">
        <f t="shared" si="197"/>
        <v>442.188828</v>
      </c>
      <c r="BM56" s="49">
        <f t="shared" si="197"/>
        <v>490.61750799999999</v>
      </c>
      <c r="BN56" s="47">
        <f t="shared" si="197"/>
        <v>10.162844999999999</v>
      </c>
      <c r="BO56" s="47">
        <f t="shared" si="154"/>
        <v>5.345235656815114</v>
      </c>
      <c r="BP56" s="48">
        <f t="shared" si="155"/>
        <v>447.53406365681514</v>
      </c>
      <c r="BQ56" s="48">
        <f t="shared" si="156"/>
        <v>485.79989865681512</v>
      </c>
      <c r="BR56" s="93">
        <f t="shared" si="157"/>
        <v>461.89436704207213</v>
      </c>
      <c r="BS56" s="93">
        <f t="shared" si="158"/>
        <v>500.16020204207211</v>
      </c>
      <c r="BT56" s="118"/>
      <c r="BU56" s="275">
        <v>1.3709</v>
      </c>
      <c r="BV56" s="275">
        <v>0.90380000000000005</v>
      </c>
      <c r="BW56" s="275">
        <v>4.5400000000000003E-2</v>
      </c>
      <c r="BX56" s="275">
        <v>20210.8825</v>
      </c>
      <c r="BY56" s="275">
        <v>6492.9475000000002</v>
      </c>
      <c r="BZ56" s="49">
        <f t="shared" si="198"/>
        <v>322.35342599999996</v>
      </c>
      <c r="CA56" s="49">
        <f t="shared" si="198"/>
        <v>324.94321400000001</v>
      </c>
      <c r="CB56" s="47">
        <f t="shared" si="198"/>
        <v>4.2762260000000003</v>
      </c>
      <c r="CC56" s="47">
        <f t="shared" si="159"/>
        <v>2.1466674386419866</v>
      </c>
      <c r="CD56" s="48">
        <f t="shared" si="160"/>
        <v>324.50009343864195</v>
      </c>
      <c r="CE56" s="48">
        <f t="shared" si="161"/>
        <v>322.813655438642</v>
      </c>
      <c r="CF56" s="93">
        <f t="shared" si="162"/>
        <v>333.71647694558663</v>
      </c>
      <c r="CG56" s="93">
        <f t="shared" si="163"/>
        <v>332.03003894558668</v>
      </c>
      <c r="CH56" s="118"/>
      <c r="CI56" s="275">
        <v>1.0676000000000001</v>
      </c>
      <c r="CJ56" s="275">
        <v>1.0301</v>
      </c>
      <c r="CK56" s="275">
        <v>0.1356</v>
      </c>
      <c r="CL56" s="275">
        <v>70521.712499999994</v>
      </c>
      <c r="CM56" s="275">
        <v>19908.668300000001</v>
      </c>
      <c r="CN56" s="49">
        <f t="shared" si="199"/>
        <v>220.35264000000004</v>
      </c>
      <c r="CO56" s="49">
        <f t="shared" si="199"/>
        <v>275.88138199999997</v>
      </c>
      <c r="CP56" s="47">
        <f t="shared" si="199"/>
        <v>5.6951999999999996E-2</v>
      </c>
      <c r="CQ56" s="47">
        <f t="shared" si="164"/>
        <v>3.1662473291007034E-2</v>
      </c>
      <c r="CR56" s="48">
        <f t="shared" si="165"/>
        <v>220.38430247329103</v>
      </c>
      <c r="CS56" s="48">
        <f t="shared" si="166"/>
        <v>275.85609247329097</v>
      </c>
      <c r="CT56" s="93">
        <f t="shared" si="167"/>
        <v>220.38726258071864</v>
      </c>
      <c r="CU56" s="93">
        <f t="shared" si="168"/>
        <v>275.85905258071858</v>
      </c>
      <c r="CV56" s="118"/>
      <c r="CW56" s="275">
        <v>1.2763</v>
      </c>
      <c r="CX56" s="275">
        <v>1.2337</v>
      </c>
      <c r="CY56" s="275">
        <v>0.29110000000000003</v>
      </c>
      <c r="CZ56" s="275">
        <v>33543.646699999998</v>
      </c>
      <c r="DA56" s="275">
        <v>8387.5833000000002</v>
      </c>
      <c r="DB56" s="49">
        <f t="shared" si="200"/>
        <v>264.94711699999999</v>
      </c>
      <c r="DC56" s="49">
        <f t="shared" si="200"/>
        <v>347.29888699999998</v>
      </c>
      <c r="DD56" s="47">
        <f t="shared" si="200"/>
        <v>8.4419000000000008E-2</v>
      </c>
      <c r="DE56" s="47">
        <f t="shared" si="169"/>
        <v>4.7887000568570474E-2</v>
      </c>
      <c r="DF56" s="48">
        <f t="shared" si="170"/>
        <v>264.99500400056854</v>
      </c>
      <c r="DG56" s="48">
        <f t="shared" si="171"/>
        <v>347.2623550005685</v>
      </c>
      <c r="DH56" s="93">
        <f t="shared" si="172"/>
        <v>264.96982211169808</v>
      </c>
      <c r="DI56" s="93">
        <f t="shared" si="173"/>
        <v>347.23717311169804</v>
      </c>
      <c r="DJ56" s="118"/>
      <c r="DK56" s="275">
        <v>1.3492999999999999</v>
      </c>
      <c r="DL56" s="275">
        <v>1.284</v>
      </c>
      <c r="DM56" s="275">
        <v>0.38790000000000002</v>
      </c>
      <c r="DN56" s="275">
        <v>9237.0817000000006</v>
      </c>
      <c r="DO56" s="275">
        <v>2955.9492</v>
      </c>
      <c r="DP56" s="49">
        <f t="shared" si="201"/>
        <v>183.828632</v>
      </c>
      <c r="DQ56" s="49">
        <f t="shared" si="201"/>
        <v>253.34604000000002</v>
      </c>
      <c r="DR56" s="47">
        <f t="shared" si="201"/>
        <v>8.5338000000000011E-2</v>
      </c>
      <c r="DS56" s="47">
        <f t="shared" si="174"/>
        <v>4.9454018602248774E-2</v>
      </c>
      <c r="DT56" s="48">
        <f t="shared" si="175"/>
        <v>183.87808601860226</v>
      </c>
      <c r="DU56" s="48">
        <f t="shared" si="176"/>
        <v>253.31015601860227</v>
      </c>
      <c r="DV56" s="93">
        <f t="shared" si="177"/>
        <v>183.85071275104332</v>
      </c>
      <c r="DW56" s="93">
        <f t="shared" si="178"/>
        <v>253.28278275104333</v>
      </c>
      <c r="DX56" s="118"/>
      <c r="DY56" s="118"/>
      <c r="DZ56" s="118"/>
      <c r="EB56" s="52"/>
      <c r="EC56" s="52"/>
      <c r="ED56" s="52"/>
      <c r="EE56" s="55">
        <f t="shared" si="179"/>
        <v>174493.18919999996</v>
      </c>
      <c r="EF56" s="55">
        <f t="shared" si="179"/>
        <v>46917.694900000002</v>
      </c>
      <c r="EG56" s="55">
        <f t="shared" si="179"/>
        <v>2107.6518885999999</v>
      </c>
      <c r="EH56" s="55">
        <f t="shared" si="179"/>
        <v>2894.1823015999998</v>
      </c>
      <c r="EI56" s="298">
        <f t="shared" si="202"/>
        <v>0.78809670946975818</v>
      </c>
      <c r="EJ56" s="52"/>
      <c r="EK56" s="55">
        <f t="shared" si="180"/>
        <v>2118.0183212258712</v>
      </c>
      <c r="EL56" s="55">
        <f t="shared" si="180"/>
        <v>2876.4431690258716</v>
      </c>
      <c r="EM56" s="55">
        <f t="shared" si="111"/>
        <v>2148.4303140114148</v>
      </c>
      <c r="EN56" s="55">
        <f t="shared" si="111"/>
        <v>2906.8551618114147</v>
      </c>
      <c r="EP56" s="52"/>
      <c r="EQ56" s="52"/>
      <c r="ER56" s="52"/>
      <c r="ES56" s="55">
        <f t="shared" si="203"/>
        <v>127294.7509</v>
      </c>
      <c r="ET56" s="55">
        <f t="shared" si="203"/>
        <v>35599.808299999997</v>
      </c>
      <c r="EU56" s="55">
        <f t="shared" si="203"/>
        <v>1651.8795358999998</v>
      </c>
      <c r="EV56" s="55">
        <f t="shared" si="203"/>
        <v>2243.7378889000001</v>
      </c>
      <c r="EW56" s="298">
        <f t="shared" si="204"/>
        <v>0.78145489649969846</v>
      </c>
      <c r="EX56" s="52"/>
      <c r="EY56" s="55">
        <f t="shared" si="205"/>
        <v>1667.6632620822099</v>
      </c>
      <c r="EZ56" s="55">
        <f t="shared" si="205"/>
        <v>2232.11255678221</v>
      </c>
      <c r="FA56" s="55">
        <f t="shared" si="205"/>
        <v>1688.753548784025</v>
      </c>
      <c r="FB56" s="55">
        <f t="shared" si="205"/>
        <v>2253.2028434840249</v>
      </c>
      <c r="FD56" s="52"/>
      <c r="FE56" s="52"/>
      <c r="FF56" s="52"/>
      <c r="FG56" s="55">
        <f t="shared" si="206"/>
        <v>100722.55499999999</v>
      </c>
      <c r="FH56" s="55">
        <f t="shared" si="206"/>
        <v>29649.3325</v>
      </c>
      <c r="FI56" s="55">
        <f t="shared" si="206"/>
        <v>1335.5373042000001</v>
      </c>
      <c r="FJ56" s="55">
        <f t="shared" si="206"/>
        <v>2003.1765420000004</v>
      </c>
      <c r="FK56" s="298">
        <f t="shared" si="207"/>
        <v>0.77257878927310919</v>
      </c>
      <c r="FL56" s="52"/>
      <c r="FM56" s="55">
        <f t="shared" si="208"/>
        <v>1344.858518534523</v>
      </c>
      <c r="FN56" s="55">
        <f t="shared" si="208"/>
        <v>1997.1172255345234</v>
      </c>
      <c r="FO56" s="55">
        <f t="shared" si="208"/>
        <v>1360.0549093037532</v>
      </c>
      <c r="FP56" s="55">
        <f t="shared" si="208"/>
        <v>2012.3136163037534</v>
      </c>
      <c r="FR56" s="52"/>
      <c r="FS56" s="52"/>
      <c r="FT56" s="52"/>
      <c r="FU56" s="55">
        <f t="shared" si="209"/>
        <v>104065.35919999999</v>
      </c>
      <c r="FV56" s="55">
        <f t="shared" si="209"/>
        <v>28296.251600000003</v>
      </c>
      <c r="FW56" s="55">
        <f t="shared" si="209"/>
        <v>432.31033360000004</v>
      </c>
      <c r="FX56" s="55">
        <f t="shared" si="209"/>
        <v>553.72049159999995</v>
      </c>
      <c r="FY56" s="298">
        <f t="shared" si="210"/>
        <v>0.78622010242262774</v>
      </c>
      <c r="FZ56" s="52"/>
      <c r="GA56" s="55">
        <f t="shared" si="211"/>
        <v>432.38030567374585</v>
      </c>
      <c r="GB56" s="55">
        <f t="shared" si="211"/>
        <v>553.66597647374579</v>
      </c>
      <c r="GC56" s="55">
        <f t="shared" si="211"/>
        <v>432.3631202700771</v>
      </c>
      <c r="GD56" s="55">
        <f t="shared" si="211"/>
        <v>553.6487910700771</v>
      </c>
      <c r="GF56" s="52"/>
      <c r="GG56" s="52"/>
      <c r="GH56" s="52"/>
      <c r="GI56" s="55">
        <f t="shared" si="212"/>
        <v>52654.282500000001</v>
      </c>
      <c r="GJ56" s="55">
        <f t="shared" si="212"/>
        <v>15114.5633</v>
      </c>
      <c r="GK56" s="56">
        <f t="shared" si="213"/>
        <v>121.70312550000003</v>
      </c>
      <c r="GL56" s="56">
        <f t="shared" si="213"/>
        <v>184.19310750000002</v>
      </c>
      <c r="GM56" s="298">
        <f t="shared" si="214"/>
        <v>0.77696885461785459</v>
      </c>
      <c r="GN56" s="52"/>
      <c r="GO56" s="56">
        <f t="shared" si="215"/>
        <v>125.54224711485088</v>
      </c>
      <c r="GP56" s="56">
        <f t="shared" si="215"/>
        <v>181.16167111485089</v>
      </c>
      <c r="GQ56" s="56">
        <f t="shared" si="215"/>
        <v>127.0027714725996</v>
      </c>
      <c r="GR56" s="56">
        <f t="shared" si="215"/>
        <v>182.62219547259969</v>
      </c>
      <c r="GW56" s="275">
        <v>1.2573000000000001</v>
      </c>
      <c r="GX56" s="275">
        <v>0.98519999999999996</v>
      </c>
      <c r="GY56" s="275">
        <v>5.2200000000000003E-2</v>
      </c>
      <c r="GZ56" s="275">
        <v>2613.3042</v>
      </c>
      <c r="HA56" s="275">
        <v>892.53499999999997</v>
      </c>
      <c r="HB56" s="49">
        <f t="shared" si="126"/>
        <v>825.78206699999998</v>
      </c>
      <c r="HC56" s="49">
        <f t="shared" si="127"/>
        <v>1337.7144119999998</v>
      </c>
      <c r="HD56" s="47">
        <f t="shared" si="128"/>
        <v>12.701304</v>
      </c>
      <c r="HE56" s="47">
        <f t="shared" si="181"/>
        <v>3.2335648382390159</v>
      </c>
      <c r="HF56" s="48">
        <f t="shared" si="182"/>
        <v>829.01563183823896</v>
      </c>
      <c r="HG56" s="48">
        <f t="shared" si="183"/>
        <v>1328.246672838239</v>
      </c>
      <c r="HH56" s="93">
        <f t="shared" si="184"/>
        <v>840.60746054956985</v>
      </c>
      <c r="HI56" s="93">
        <f t="shared" si="185"/>
        <v>1339.8385015495699</v>
      </c>
      <c r="HJ56" s="298">
        <f t="shared" si="216"/>
        <v>0.74541473550754989</v>
      </c>
      <c r="HL56" s="275">
        <v>1.2839</v>
      </c>
      <c r="HM56" s="275">
        <v>1.1311</v>
      </c>
      <c r="HN56" s="275">
        <v>0.27329999999999999</v>
      </c>
      <c r="HO56" s="275">
        <v>204.25</v>
      </c>
      <c r="HP56" s="275">
        <v>54.333300000000001</v>
      </c>
      <c r="HQ56" s="49">
        <f t="shared" si="130"/>
        <v>682.58543499999996</v>
      </c>
      <c r="HR56" s="49">
        <f t="shared" si="131"/>
        <v>877.20198299999993</v>
      </c>
      <c r="HS56" s="47">
        <f t="shared" si="132"/>
        <v>35.471606999999999</v>
      </c>
      <c r="HT56" s="47">
        <f t="shared" si="186"/>
        <v>7.4532634729818197</v>
      </c>
      <c r="HU56" s="48">
        <f t="shared" si="187"/>
        <v>690.03869847298176</v>
      </c>
      <c r="HV56" s="48">
        <f t="shared" si="188"/>
        <v>849.18363947298178</v>
      </c>
      <c r="HW56" s="93">
        <f t="shared" si="189"/>
        <v>685.59048352670288</v>
      </c>
      <c r="HX56" s="93">
        <f t="shared" si="190"/>
        <v>844.7354245267029</v>
      </c>
      <c r="HY56" s="298">
        <f t="shared" si="217"/>
        <v>0.78988086237587651</v>
      </c>
    </row>
    <row r="57" spans="1:233" s="131" customFormat="1" x14ac:dyDescent="0.2">
      <c r="A57" s="118">
        <v>47</v>
      </c>
      <c r="B57" s="118"/>
      <c r="C57" s="275">
        <v>1.246</v>
      </c>
      <c r="D57" s="275">
        <v>0.99609999999999999</v>
      </c>
      <c r="E57" s="275">
        <v>2.92E-2</v>
      </c>
      <c r="F57" s="275">
        <v>39422.605799999998</v>
      </c>
      <c r="G57" s="275">
        <v>10339.498299999999</v>
      </c>
      <c r="H57" s="49">
        <f t="shared" si="192"/>
        <v>1232.3562999999999</v>
      </c>
      <c r="I57" s="49">
        <f t="shared" si="192"/>
        <v>1794.7929019999999</v>
      </c>
      <c r="J57" s="47">
        <f t="shared" si="192"/>
        <v>7.9085279999999996</v>
      </c>
      <c r="K57" s="47">
        <f t="shared" si="134"/>
        <v>1.6432225543996319</v>
      </c>
      <c r="L57" s="48">
        <f t="shared" si="135"/>
        <v>1233.9995225543996</v>
      </c>
      <c r="M57" s="48">
        <f t="shared" si="136"/>
        <v>1788.5275965543997</v>
      </c>
      <c r="N57" s="93">
        <f t="shared" si="137"/>
        <v>1254.6526931656183</v>
      </c>
      <c r="O57" s="93">
        <f t="shared" si="138"/>
        <v>1809.1807671656184</v>
      </c>
      <c r="P57" s="298">
        <f t="shared" si="193"/>
        <v>0.79222144065246636</v>
      </c>
      <c r="Q57" s="275">
        <v>1.3722000000000001</v>
      </c>
      <c r="R57" s="275">
        <v>1.1032</v>
      </c>
      <c r="S57" s="275">
        <v>5.67E-2</v>
      </c>
      <c r="T57" s="275">
        <v>6947.5208000000002</v>
      </c>
      <c r="U57" s="275">
        <v>2597.0342000000001</v>
      </c>
      <c r="V57" s="49">
        <f t="shared" si="194"/>
        <v>841.14487800000006</v>
      </c>
      <c r="W57" s="49">
        <f t="shared" si="194"/>
        <v>1280.440112</v>
      </c>
      <c r="X57" s="47">
        <f t="shared" si="194"/>
        <v>12.263643</v>
      </c>
      <c r="Y57" s="47">
        <f t="shared" si="139"/>
        <v>7.4014760146130252</v>
      </c>
      <c r="Z57" s="48">
        <f t="shared" si="140"/>
        <v>848.54635401461314</v>
      </c>
      <c r="AA57" s="48">
        <f t="shared" si="141"/>
        <v>1275.5779450146131</v>
      </c>
      <c r="AB57" s="93">
        <f t="shared" si="142"/>
        <v>858.26283568304575</v>
      </c>
      <c r="AC57" s="93">
        <f t="shared" si="143"/>
        <v>1285.2944266830457</v>
      </c>
      <c r="AD57" s="118"/>
      <c r="AE57" s="275">
        <v>1.5243</v>
      </c>
      <c r="AF57" s="275">
        <v>1.1373</v>
      </c>
      <c r="AG57" s="275">
        <v>2.6200000000000001E-2</v>
      </c>
      <c r="AH57" s="275">
        <v>846.82079999999996</v>
      </c>
      <c r="AI57" s="275">
        <v>317.88749999999999</v>
      </c>
      <c r="AJ57" s="49">
        <f t="shared" si="195"/>
        <v>714.69854099999998</v>
      </c>
      <c r="AK57" s="49">
        <f t="shared" si="195"/>
        <v>1292.8598939999999</v>
      </c>
      <c r="AL57" s="47">
        <f t="shared" si="195"/>
        <v>5.2381660000000005</v>
      </c>
      <c r="AM57" s="47">
        <f t="shared" si="144"/>
        <v>3.3733587134734662</v>
      </c>
      <c r="AN57" s="48">
        <f t="shared" si="145"/>
        <v>718.0718997134735</v>
      </c>
      <c r="AO57" s="48">
        <f t="shared" si="146"/>
        <v>1290.9950867134733</v>
      </c>
      <c r="AP57" s="93">
        <f t="shared" si="147"/>
        <v>727.80522412682194</v>
      </c>
      <c r="AQ57" s="93">
        <f t="shared" si="148"/>
        <v>1300.7284111268218</v>
      </c>
      <c r="AR57" s="118"/>
      <c r="AS57" s="275">
        <v>1.4761</v>
      </c>
      <c r="AT57" s="275">
        <v>0.83320000000000005</v>
      </c>
      <c r="AU57" s="275">
        <v>3.2500000000000001E-2</v>
      </c>
      <c r="AV57" s="275">
        <v>34151.7808</v>
      </c>
      <c r="AW57" s="275">
        <v>9253.5967000000001</v>
      </c>
      <c r="AX57" s="49">
        <f t="shared" si="196"/>
        <v>514.34704499999998</v>
      </c>
      <c r="AY57" s="49">
        <f t="shared" si="196"/>
        <v>583.13168400000006</v>
      </c>
      <c r="AZ57" s="47">
        <f t="shared" si="196"/>
        <v>8.562775000000002</v>
      </c>
      <c r="BA57" s="47">
        <f t="shared" si="149"/>
        <v>4.5497240844137607</v>
      </c>
      <c r="BB57" s="48">
        <f t="shared" si="150"/>
        <v>518.89676908441379</v>
      </c>
      <c r="BC57" s="48">
        <f t="shared" si="151"/>
        <v>579.11863308441389</v>
      </c>
      <c r="BD57" s="93">
        <f t="shared" si="152"/>
        <v>532.77629057571949</v>
      </c>
      <c r="BE57" s="93">
        <f t="shared" si="153"/>
        <v>592.99815457571958</v>
      </c>
      <c r="BF57" s="118"/>
      <c r="BG57" s="275">
        <v>1.3958999999999999</v>
      </c>
      <c r="BH57" s="275">
        <v>0.84360000000000002</v>
      </c>
      <c r="BI57" s="275">
        <v>1.7399999999999999E-2</v>
      </c>
      <c r="BJ57" s="275">
        <v>17966.919999999998</v>
      </c>
      <c r="BK57" s="275">
        <v>5147.7232999999997</v>
      </c>
      <c r="BL57" s="49">
        <f t="shared" si="197"/>
        <v>472.12129800000002</v>
      </c>
      <c r="BM57" s="49">
        <f t="shared" si="197"/>
        <v>504.86085600000001</v>
      </c>
      <c r="BN57" s="47">
        <f t="shared" si="197"/>
        <v>4.0098299999999991</v>
      </c>
      <c r="BO57" s="47">
        <f t="shared" si="154"/>
        <v>2.0721015198958073</v>
      </c>
      <c r="BP57" s="48">
        <f t="shared" si="155"/>
        <v>474.19339951989582</v>
      </c>
      <c r="BQ57" s="48">
        <f t="shared" si="156"/>
        <v>502.92312751989579</v>
      </c>
      <c r="BR57" s="93">
        <f t="shared" si="157"/>
        <v>491.82683704207216</v>
      </c>
      <c r="BS57" s="93">
        <f t="shared" si="158"/>
        <v>520.55656504207218</v>
      </c>
      <c r="BT57" s="118"/>
      <c r="BU57" s="275">
        <v>1.4610000000000001</v>
      </c>
      <c r="BV57" s="275">
        <v>0.92849999999999999</v>
      </c>
      <c r="BW57" s="275">
        <v>4.0300000000000002E-2</v>
      </c>
      <c r="BX57" s="275">
        <v>21658.73</v>
      </c>
      <c r="BY57" s="275">
        <v>6662.0574999999999</v>
      </c>
      <c r="BZ57" s="49">
        <f t="shared" si="198"/>
        <v>343.53953999999999</v>
      </c>
      <c r="CA57" s="49">
        <f t="shared" si="198"/>
        <v>333.82360499999999</v>
      </c>
      <c r="CB57" s="47">
        <f t="shared" si="198"/>
        <v>3.7958570000000003</v>
      </c>
      <c r="CC57" s="47">
        <f t="shared" si="159"/>
        <v>1.8707050673748791</v>
      </c>
      <c r="CD57" s="48">
        <f t="shared" si="160"/>
        <v>345.41024506737489</v>
      </c>
      <c r="CE57" s="48">
        <f t="shared" si="161"/>
        <v>331.89845306737487</v>
      </c>
      <c r="CF57" s="93">
        <f t="shared" si="162"/>
        <v>354.90259094558667</v>
      </c>
      <c r="CG57" s="93">
        <f t="shared" si="163"/>
        <v>341.39079894558665</v>
      </c>
      <c r="CH57" s="118"/>
      <c r="CI57" s="275">
        <v>1.0805</v>
      </c>
      <c r="CJ57" s="275">
        <v>1.038</v>
      </c>
      <c r="CK57" s="275">
        <v>9.5299999999999996E-2</v>
      </c>
      <c r="CL57" s="275">
        <v>74797.047500000001</v>
      </c>
      <c r="CM57" s="275">
        <v>21088.0658</v>
      </c>
      <c r="CN57" s="49">
        <f t="shared" si="199"/>
        <v>223.01520000000002</v>
      </c>
      <c r="CO57" s="49">
        <f t="shared" si="199"/>
        <v>277.99716000000001</v>
      </c>
      <c r="CP57" s="47">
        <f t="shared" si="199"/>
        <v>4.0025999999999999E-2</v>
      </c>
      <c r="CQ57" s="47">
        <f t="shared" si="164"/>
        <v>2.2209261117150877E-2</v>
      </c>
      <c r="CR57" s="48">
        <f t="shared" si="165"/>
        <v>223.03740926111718</v>
      </c>
      <c r="CS57" s="48">
        <f t="shared" si="166"/>
        <v>277.97934326111715</v>
      </c>
      <c r="CT57" s="93">
        <f t="shared" si="167"/>
        <v>223.04982258071863</v>
      </c>
      <c r="CU57" s="93">
        <f t="shared" si="168"/>
        <v>277.99175658071863</v>
      </c>
      <c r="CV57" s="118"/>
      <c r="CW57" s="275">
        <v>1.3331</v>
      </c>
      <c r="CX57" s="275">
        <v>1.2873000000000001</v>
      </c>
      <c r="CY57" s="275">
        <v>0.22900000000000001</v>
      </c>
      <c r="CZ57" s="275">
        <v>35417.267500000002</v>
      </c>
      <c r="DA57" s="275">
        <v>8932.3250000000007</v>
      </c>
      <c r="DB57" s="49">
        <f t="shared" si="200"/>
        <v>276.73822899999999</v>
      </c>
      <c r="DC57" s="49">
        <f t="shared" si="200"/>
        <v>362.38782300000003</v>
      </c>
      <c r="DD57" s="47">
        <f t="shared" si="200"/>
        <v>6.6409999999999997E-2</v>
      </c>
      <c r="DE57" s="47">
        <f t="shared" si="169"/>
        <v>3.7654818247699902E-2</v>
      </c>
      <c r="DF57" s="48">
        <f t="shared" si="170"/>
        <v>276.77588381824768</v>
      </c>
      <c r="DG57" s="48">
        <f t="shared" si="171"/>
        <v>362.35906781824769</v>
      </c>
      <c r="DH57" s="93">
        <f t="shared" si="172"/>
        <v>276.76093411169808</v>
      </c>
      <c r="DI57" s="93">
        <f t="shared" si="173"/>
        <v>362.34411811169809</v>
      </c>
      <c r="DJ57" s="118"/>
      <c r="DK57" s="275">
        <v>1.4113</v>
      </c>
      <c r="DL57" s="275">
        <v>1.3333999999999999</v>
      </c>
      <c r="DM57" s="275">
        <v>0.30059999999999998</v>
      </c>
      <c r="DN57" s="275">
        <v>9784.7325000000001</v>
      </c>
      <c r="DO57" s="275">
        <v>2991.8883000000001</v>
      </c>
      <c r="DP57" s="49">
        <f t="shared" si="201"/>
        <v>192.27551200000002</v>
      </c>
      <c r="DQ57" s="49">
        <f t="shared" si="201"/>
        <v>263.09315399999997</v>
      </c>
      <c r="DR57" s="47">
        <f t="shared" si="201"/>
        <v>6.6131999999999996E-2</v>
      </c>
      <c r="DS57" s="47">
        <f t="shared" si="174"/>
        <v>3.8208330435120452E-2</v>
      </c>
      <c r="DT57" s="48">
        <f t="shared" si="175"/>
        <v>192.31372033043513</v>
      </c>
      <c r="DU57" s="48">
        <f t="shared" si="176"/>
        <v>263.0652303304351</v>
      </c>
      <c r="DV57" s="93">
        <f t="shared" si="177"/>
        <v>192.29759275104334</v>
      </c>
      <c r="DW57" s="93">
        <f t="shared" si="178"/>
        <v>263.04910275104328</v>
      </c>
      <c r="DX57" s="118"/>
      <c r="DY57" s="118"/>
      <c r="DZ57" s="118"/>
      <c r="EB57" s="52"/>
      <c r="EC57" s="52"/>
      <c r="ED57" s="52"/>
      <c r="EE57" s="55">
        <f t="shared" si="179"/>
        <v>183788.70160000003</v>
      </c>
      <c r="EF57" s="55">
        <f t="shared" si="179"/>
        <v>49613.485799999995</v>
      </c>
      <c r="EG57" s="55">
        <f t="shared" si="179"/>
        <v>2191.1091281999998</v>
      </c>
      <c r="EH57" s="55">
        <f t="shared" si="179"/>
        <v>2945.8320044000002</v>
      </c>
      <c r="EI57" s="298">
        <f t="shared" si="202"/>
        <v>0.78743350114807031</v>
      </c>
      <c r="EJ57" s="52"/>
      <c r="EK57" s="55">
        <f t="shared" si="180"/>
        <v>2197.3544079545286</v>
      </c>
      <c r="EL57" s="55">
        <f t="shared" si="180"/>
        <v>2935.5128271545291</v>
      </c>
      <c r="EM57" s="55">
        <f t="shared" si="111"/>
        <v>2231.8875536114151</v>
      </c>
      <c r="EN57" s="55">
        <f t="shared" si="111"/>
        <v>2970.0459728114151</v>
      </c>
      <c r="EP57" s="52"/>
      <c r="EQ57" s="52"/>
      <c r="ER57" s="52"/>
      <c r="ES57" s="55">
        <f t="shared" si="203"/>
        <v>135128.75579999998</v>
      </c>
      <c r="ET57" s="55">
        <f t="shared" si="203"/>
        <v>37765.148300000001</v>
      </c>
      <c r="EU57" s="55">
        <f t="shared" si="203"/>
        <v>1729.9981363000002</v>
      </c>
      <c r="EV57" s="55">
        <f t="shared" si="203"/>
        <v>2316.9696040999997</v>
      </c>
      <c r="EW57" s="298">
        <f t="shared" si="204"/>
        <v>0.78157038851897842</v>
      </c>
      <c r="EX57" s="52"/>
      <c r="EY57" s="55">
        <f t="shared" si="205"/>
        <v>1739.5202814683994</v>
      </c>
      <c r="EZ57" s="55">
        <f t="shared" si="205"/>
        <v>2310.1317632683995</v>
      </c>
      <c r="FA57" s="55">
        <f t="shared" si="205"/>
        <v>1766.8721491840251</v>
      </c>
      <c r="FB57" s="55">
        <f t="shared" si="205"/>
        <v>2337.4836309840252</v>
      </c>
      <c r="FD57" s="52"/>
      <c r="FE57" s="52"/>
      <c r="FF57" s="52"/>
      <c r="FG57" s="55">
        <f t="shared" si="206"/>
        <v>107087.3308</v>
      </c>
      <c r="FH57" s="55">
        <f t="shared" si="206"/>
        <v>31059.899099999999</v>
      </c>
      <c r="FI57" s="55">
        <f t="shared" si="206"/>
        <v>1396.6185882</v>
      </c>
      <c r="FJ57" s="55">
        <f t="shared" si="206"/>
        <v>2062.5365514</v>
      </c>
      <c r="FK57" s="298">
        <f t="shared" si="207"/>
        <v>0.77516813675899843</v>
      </c>
      <c r="FL57" s="52"/>
      <c r="FM57" s="55">
        <f t="shared" si="208"/>
        <v>1401.9077862402264</v>
      </c>
      <c r="FN57" s="55">
        <f t="shared" si="208"/>
        <v>2058.7120212402265</v>
      </c>
      <c r="FO57" s="55">
        <f t="shared" si="208"/>
        <v>1421.1361933037533</v>
      </c>
      <c r="FP57" s="55">
        <f t="shared" si="208"/>
        <v>2077.9404283037529</v>
      </c>
      <c r="FR57" s="52"/>
      <c r="FS57" s="52"/>
      <c r="FT57" s="52"/>
      <c r="FU57" s="55">
        <f t="shared" si="209"/>
        <v>110214.315</v>
      </c>
      <c r="FV57" s="55">
        <f t="shared" si="209"/>
        <v>30020.390800000001</v>
      </c>
      <c r="FW57" s="55">
        <f t="shared" si="209"/>
        <v>444.40578320000003</v>
      </c>
      <c r="FX57" s="55">
        <f t="shared" si="209"/>
        <v>567.9074184000001</v>
      </c>
      <c r="FY57" s="298">
        <f t="shared" si="210"/>
        <v>0.7859275232279912</v>
      </c>
      <c r="FZ57" s="52"/>
      <c r="GA57" s="55">
        <f t="shared" si="211"/>
        <v>444.4581163157153</v>
      </c>
      <c r="GB57" s="55">
        <f t="shared" si="211"/>
        <v>567.86659751571528</v>
      </c>
      <c r="GC57" s="55">
        <f t="shared" si="211"/>
        <v>444.4585698700771</v>
      </c>
      <c r="GD57" s="55">
        <f t="shared" si="211"/>
        <v>567.8670510700772</v>
      </c>
      <c r="GF57" s="52"/>
      <c r="GG57" s="52"/>
      <c r="GH57" s="52"/>
      <c r="GI57" s="55">
        <f t="shared" si="212"/>
        <v>55810.510800000004</v>
      </c>
      <c r="GJ57" s="55">
        <f t="shared" si="212"/>
        <v>15915.654200000001</v>
      </c>
      <c r="GK57" s="56">
        <f t="shared" si="213"/>
        <v>128.10562874999999</v>
      </c>
      <c r="GL57" s="56">
        <f t="shared" si="213"/>
        <v>186.98105925000004</v>
      </c>
      <c r="GM57" s="298">
        <f t="shared" si="214"/>
        <v>0.77810532321085335</v>
      </c>
      <c r="GN57" s="52"/>
      <c r="GO57" s="56">
        <f t="shared" si="215"/>
        <v>130.11489301277919</v>
      </c>
      <c r="GP57" s="56">
        <f t="shared" si="215"/>
        <v>185.41513501277927</v>
      </c>
      <c r="GQ57" s="56">
        <f t="shared" si="215"/>
        <v>133.40527472259961</v>
      </c>
      <c r="GR57" s="56">
        <f t="shared" si="215"/>
        <v>188.7055167225997</v>
      </c>
      <c r="GW57" s="275">
        <v>1.2950999999999999</v>
      </c>
      <c r="GX57" s="275">
        <v>1.0089999999999999</v>
      </c>
      <c r="GY57" s="275">
        <v>2.8000000000000001E-2</v>
      </c>
      <c r="GZ57" s="275">
        <v>3059.2233000000001</v>
      </c>
      <c r="HA57" s="275">
        <v>1025.9441999999999</v>
      </c>
      <c r="HB57" s="49">
        <f t="shared" si="126"/>
        <v>850.60872899999993</v>
      </c>
      <c r="HC57" s="49">
        <f t="shared" si="127"/>
        <v>1370.0302899999997</v>
      </c>
      <c r="HD57" s="47">
        <f t="shared" si="128"/>
        <v>6.8129600000000003</v>
      </c>
      <c r="HE57" s="47">
        <f t="shared" si="181"/>
        <v>1.7109988260780005</v>
      </c>
      <c r="HF57" s="48">
        <f t="shared" si="182"/>
        <v>852.31972782607795</v>
      </c>
      <c r="HG57" s="48">
        <f t="shared" si="183"/>
        <v>1364.9283288260776</v>
      </c>
      <c r="HH57" s="93">
        <f t="shared" si="184"/>
        <v>865.43412254956979</v>
      </c>
      <c r="HI57" s="93">
        <f t="shared" si="185"/>
        <v>1378.0427235495697</v>
      </c>
      <c r="HJ57" s="298">
        <f t="shared" si="216"/>
        <v>0.74886116664738966</v>
      </c>
      <c r="HL57" s="275">
        <v>1.335</v>
      </c>
      <c r="HM57" s="275">
        <v>1.1588000000000001</v>
      </c>
      <c r="HN57" s="275">
        <v>0.1807</v>
      </c>
      <c r="HO57" s="275">
        <v>281.5</v>
      </c>
      <c r="HP57" s="275">
        <v>64.333299999999994</v>
      </c>
      <c r="HQ57" s="49">
        <f t="shared" si="130"/>
        <v>709.75274999999999</v>
      </c>
      <c r="HR57" s="49">
        <f t="shared" si="131"/>
        <v>898.68416400000001</v>
      </c>
      <c r="HS57" s="47">
        <f t="shared" si="132"/>
        <v>23.453052999999997</v>
      </c>
      <c r="HT57" s="47">
        <f t="shared" si="186"/>
        <v>4.3628311517858451</v>
      </c>
      <c r="HU57" s="48">
        <f t="shared" si="187"/>
        <v>714.11558115178582</v>
      </c>
      <c r="HV57" s="48">
        <f t="shared" si="188"/>
        <v>879.59394215178588</v>
      </c>
      <c r="HW57" s="93">
        <f t="shared" si="189"/>
        <v>712.75779852670291</v>
      </c>
      <c r="HX57" s="93">
        <f t="shared" si="190"/>
        <v>878.23615952670298</v>
      </c>
      <c r="HY57" s="298">
        <f t="shared" si="217"/>
        <v>0.81397598206997412</v>
      </c>
    </row>
    <row r="58" spans="1:233" s="131" customFormat="1" x14ac:dyDescent="0.2">
      <c r="A58" s="118">
        <v>48</v>
      </c>
      <c r="B58" s="118"/>
      <c r="C58" s="275">
        <v>1.2922</v>
      </c>
      <c r="D58" s="275">
        <v>1.0147999999999999</v>
      </c>
      <c r="E58" s="275">
        <v>1.9400000000000001E-2</v>
      </c>
      <c r="F58" s="275">
        <v>40020.815799999997</v>
      </c>
      <c r="G58" s="275">
        <v>10648.9558</v>
      </c>
      <c r="H58" s="49">
        <f t="shared" si="192"/>
        <v>1278.0504100000001</v>
      </c>
      <c r="I58" s="49">
        <f t="shared" si="192"/>
        <v>1828.4869359999998</v>
      </c>
      <c r="J58" s="47">
        <f t="shared" si="192"/>
        <v>5.2542960000000001</v>
      </c>
      <c r="K58" s="47">
        <f t="shared" si="134"/>
        <v>1.1042632342182654</v>
      </c>
      <c r="L58" s="48">
        <f t="shared" si="135"/>
        <v>1279.1546732342183</v>
      </c>
      <c r="M58" s="48">
        <f t="shared" si="136"/>
        <v>1824.336903234218</v>
      </c>
      <c r="N58" s="93">
        <f t="shared" si="137"/>
        <v>1300.3468031656184</v>
      </c>
      <c r="O58" s="93">
        <f t="shared" si="138"/>
        <v>1845.5290331656181</v>
      </c>
      <c r="P58" s="298">
        <f t="shared" si="193"/>
        <v>0.78983611996388003</v>
      </c>
      <c r="Q58" s="275">
        <v>1.4401999999999999</v>
      </c>
      <c r="R58" s="275">
        <v>1.1505000000000001</v>
      </c>
      <c r="S58" s="275">
        <v>4.4200000000000003E-2</v>
      </c>
      <c r="T58" s="275">
        <v>7362.5457999999999</v>
      </c>
      <c r="U58" s="275">
        <v>2811.5925000000002</v>
      </c>
      <c r="V58" s="49">
        <f t="shared" si="194"/>
        <v>882.82819799999993</v>
      </c>
      <c r="W58" s="49">
        <f t="shared" si="194"/>
        <v>1335.3393300000002</v>
      </c>
      <c r="X58" s="47">
        <f t="shared" si="194"/>
        <v>9.5600179999999995</v>
      </c>
      <c r="Y58" s="47">
        <f t="shared" si="139"/>
        <v>5.7551415164833042</v>
      </c>
      <c r="Z58" s="48">
        <f t="shared" si="140"/>
        <v>888.58333951648319</v>
      </c>
      <c r="AA58" s="48">
        <f t="shared" si="141"/>
        <v>1331.5344535164836</v>
      </c>
      <c r="AB58" s="93">
        <f t="shared" si="142"/>
        <v>899.94615568304562</v>
      </c>
      <c r="AC58" s="93">
        <f t="shared" si="143"/>
        <v>1342.897269683046</v>
      </c>
      <c r="AD58" s="118"/>
      <c r="AE58" s="275">
        <v>1.5985</v>
      </c>
      <c r="AF58" s="275">
        <v>1.1820999999999999</v>
      </c>
      <c r="AG58" s="275">
        <v>1.32E-2</v>
      </c>
      <c r="AH58" s="275">
        <v>885.40750000000003</v>
      </c>
      <c r="AI58" s="275">
        <v>352.55419999999998</v>
      </c>
      <c r="AJ58" s="49">
        <f t="shared" si="195"/>
        <v>749.48869500000001</v>
      </c>
      <c r="AK58" s="49">
        <f t="shared" si="195"/>
        <v>1343.7876379999998</v>
      </c>
      <c r="AL58" s="47">
        <f t="shared" si="195"/>
        <v>2.6390760000000002</v>
      </c>
      <c r="AM58" s="47">
        <f t="shared" si="144"/>
        <v>1.6941660537765646</v>
      </c>
      <c r="AN58" s="48">
        <f t="shared" si="145"/>
        <v>751.18286105377661</v>
      </c>
      <c r="AO58" s="48">
        <f t="shared" si="146"/>
        <v>1342.8427280537765</v>
      </c>
      <c r="AP58" s="93">
        <f t="shared" si="147"/>
        <v>762.59537812682197</v>
      </c>
      <c r="AQ58" s="93">
        <f t="shared" si="148"/>
        <v>1354.2552451268218</v>
      </c>
      <c r="AR58" s="118"/>
      <c r="AS58" s="275">
        <v>1.5732999999999999</v>
      </c>
      <c r="AT58" s="275">
        <v>0.85940000000000005</v>
      </c>
      <c r="AU58" s="275">
        <v>2.3699999999999999E-2</v>
      </c>
      <c r="AV58" s="275">
        <v>35117.177499999998</v>
      </c>
      <c r="AW58" s="275">
        <v>9509.0632999999998</v>
      </c>
      <c r="AX58" s="49">
        <f t="shared" si="196"/>
        <v>548.21638499999995</v>
      </c>
      <c r="AY58" s="49">
        <f t="shared" si="196"/>
        <v>601.46827800000005</v>
      </c>
      <c r="AZ58" s="47">
        <f t="shared" si="196"/>
        <v>6.2442390000000003</v>
      </c>
      <c r="BA58" s="47">
        <f t="shared" si="149"/>
        <v>3.2667320001905971</v>
      </c>
      <c r="BB58" s="48">
        <f t="shared" si="150"/>
        <v>551.48311700019053</v>
      </c>
      <c r="BC58" s="48">
        <f t="shared" si="151"/>
        <v>598.49077100019065</v>
      </c>
      <c r="BD58" s="93">
        <f t="shared" si="152"/>
        <v>566.64563057571945</v>
      </c>
      <c r="BE58" s="93">
        <f t="shared" si="153"/>
        <v>613.65328457571945</v>
      </c>
      <c r="BF58" s="118"/>
      <c r="BG58" s="275">
        <v>1.4950000000000001</v>
      </c>
      <c r="BH58" s="275">
        <v>0.88</v>
      </c>
      <c r="BI58" s="275">
        <v>6.7999999999999996E-3</v>
      </c>
      <c r="BJ58" s="275">
        <v>18502.5167</v>
      </c>
      <c r="BK58" s="275">
        <v>5257.1767</v>
      </c>
      <c r="BL58" s="49">
        <f t="shared" si="197"/>
        <v>505.63890000000009</v>
      </c>
      <c r="BM58" s="49">
        <f t="shared" si="197"/>
        <v>526.64480000000003</v>
      </c>
      <c r="BN58" s="47">
        <f t="shared" si="197"/>
        <v>1.5670599999999999</v>
      </c>
      <c r="BO58" s="47">
        <f t="shared" si="154"/>
        <v>0.79947402084136354</v>
      </c>
      <c r="BP58" s="48">
        <f t="shared" si="155"/>
        <v>506.43837402084148</v>
      </c>
      <c r="BQ58" s="48">
        <f t="shared" si="156"/>
        <v>525.87721402084139</v>
      </c>
      <c r="BR58" s="93">
        <f t="shared" si="157"/>
        <v>525.34443904207228</v>
      </c>
      <c r="BS58" s="93">
        <f t="shared" si="158"/>
        <v>544.78327904207219</v>
      </c>
      <c r="BT58" s="118"/>
      <c r="BU58" s="275">
        <v>1.5617000000000001</v>
      </c>
      <c r="BV58" s="275">
        <v>0.96020000000000005</v>
      </c>
      <c r="BW58" s="275">
        <v>2.47E-2</v>
      </c>
      <c r="BX58" s="275">
        <v>22106.9192</v>
      </c>
      <c r="BY58" s="275">
        <v>6945.6157999999996</v>
      </c>
      <c r="BZ58" s="49">
        <f t="shared" si="198"/>
        <v>367.21813800000001</v>
      </c>
      <c r="CA58" s="49">
        <f t="shared" si="198"/>
        <v>345.22070600000001</v>
      </c>
      <c r="CB58" s="47">
        <f t="shared" si="198"/>
        <v>2.3264929999999997</v>
      </c>
      <c r="CC58" s="47">
        <f t="shared" si="159"/>
        <v>1.1273298230831135</v>
      </c>
      <c r="CD58" s="48">
        <f t="shared" si="160"/>
        <v>368.34546782308314</v>
      </c>
      <c r="CE58" s="48">
        <f t="shared" si="161"/>
        <v>344.02154282308311</v>
      </c>
      <c r="CF58" s="93">
        <f t="shared" si="162"/>
        <v>378.58118894558669</v>
      </c>
      <c r="CG58" s="93">
        <f t="shared" si="163"/>
        <v>354.25726394558666</v>
      </c>
      <c r="CH58" s="118"/>
      <c r="CI58" s="275">
        <v>1.0916999999999999</v>
      </c>
      <c r="CJ58" s="275">
        <v>1.0468</v>
      </c>
      <c r="CK58" s="275">
        <v>7.1900000000000006E-2</v>
      </c>
      <c r="CL58" s="275">
        <v>76710.681700000001</v>
      </c>
      <c r="CM58" s="275">
        <v>21728.853299999999</v>
      </c>
      <c r="CN58" s="49">
        <f t="shared" si="199"/>
        <v>225.32687999999999</v>
      </c>
      <c r="CO58" s="49">
        <f t="shared" si="199"/>
        <v>280.35397599999999</v>
      </c>
      <c r="CP58" s="47">
        <f t="shared" si="199"/>
        <v>3.0198000000000003E-2</v>
      </c>
      <c r="CQ58" s="47">
        <f t="shared" si="164"/>
        <v>1.6742040492132057E-2</v>
      </c>
      <c r="CR58" s="48">
        <f t="shared" si="165"/>
        <v>225.34362204049211</v>
      </c>
      <c r="CS58" s="48">
        <f t="shared" si="166"/>
        <v>280.34052004049215</v>
      </c>
      <c r="CT58" s="93">
        <f t="shared" si="167"/>
        <v>225.36150258071859</v>
      </c>
      <c r="CU58" s="93">
        <f t="shared" si="168"/>
        <v>280.35840058071864</v>
      </c>
      <c r="CV58" s="118"/>
      <c r="CW58" s="275">
        <v>1.3978999999999999</v>
      </c>
      <c r="CX58" s="275">
        <v>1.3469</v>
      </c>
      <c r="CY58" s="275">
        <v>0.18240000000000001</v>
      </c>
      <c r="CZ58" s="275">
        <v>36624.0458</v>
      </c>
      <c r="DA58" s="275">
        <v>9249.5332999999991</v>
      </c>
      <c r="DB58" s="49">
        <f t="shared" si="200"/>
        <v>290.19006100000001</v>
      </c>
      <c r="DC58" s="49">
        <f t="shared" si="200"/>
        <v>379.165819</v>
      </c>
      <c r="DD58" s="47">
        <f t="shared" si="200"/>
        <v>5.2895999999999999E-2</v>
      </c>
      <c r="DE58" s="47">
        <f t="shared" si="169"/>
        <v>2.996366471274443E-2</v>
      </c>
      <c r="DF58" s="48">
        <f t="shared" si="170"/>
        <v>290.22002466471275</v>
      </c>
      <c r="DG58" s="48">
        <f t="shared" si="171"/>
        <v>379.14288666471276</v>
      </c>
      <c r="DH58" s="93">
        <f t="shared" si="172"/>
        <v>290.2127661116981</v>
      </c>
      <c r="DI58" s="93">
        <f t="shared" si="173"/>
        <v>379.13562811169811</v>
      </c>
      <c r="DJ58" s="118"/>
      <c r="DK58" s="275">
        <v>1.4741</v>
      </c>
      <c r="DL58" s="275">
        <v>1.3876999999999999</v>
      </c>
      <c r="DM58" s="275">
        <v>0.23449999999999999</v>
      </c>
      <c r="DN58" s="275">
        <v>9823.4907999999996</v>
      </c>
      <c r="DO58" s="275">
        <v>3144.2449999999999</v>
      </c>
      <c r="DP58" s="49">
        <f t="shared" si="201"/>
        <v>200.83138400000001</v>
      </c>
      <c r="DQ58" s="49">
        <f t="shared" si="201"/>
        <v>273.80708699999997</v>
      </c>
      <c r="DR58" s="47">
        <f t="shared" si="201"/>
        <v>5.1589999999999997E-2</v>
      </c>
      <c r="DS58" s="47">
        <f t="shared" si="174"/>
        <v>2.9760983319723357E-2</v>
      </c>
      <c r="DT58" s="48">
        <f t="shared" si="175"/>
        <v>200.86114498331975</v>
      </c>
      <c r="DU58" s="48">
        <f t="shared" si="176"/>
        <v>273.7852579833197</v>
      </c>
      <c r="DV58" s="93">
        <f t="shared" si="177"/>
        <v>200.85346475104333</v>
      </c>
      <c r="DW58" s="93">
        <f t="shared" si="178"/>
        <v>273.77757775104328</v>
      </c>
      <c r="DX58" s="118"/>
      <c r="DY58" s="118"/>
      <c r="DZ58" s="118"/>
      <c r="EB58" s="52"/>
      <c r="EC58" s="52"/>
      <c r="ED58" s="52"/>
      <c r="EE58" s="55">
        <f t="shared" si="179"/>
        <v>188472.72079999998</v>
      </c>
      <c r="EF58" s="55">
        <f t="shared" si="179"/>
        <v>51136.405699999988</v>
      </c>
      <c r="EG58" s="55">
        <f t="shared" si="179"/>
        <v>2283.7457238000002</v>
      </c>
      <c r="EH58" s="55">
        <f t="shared" si="179"/>
        <v>3013.6418451999994</v>
      </c>
      <c r="EI58" s="298">
        <f t="shared" si="202"/>
        <v>0.78658406527766389</v>
      </c>
      <c r="EJ58" s="52"/>
      <c r="EK58" s="55">
        <f t="shared" si="180"/>
        <v>2288.1574320066711</v>
      </c>
      <c r="EL58" s="55">
        <f t="shared" si="180"/>
        <v>3006.4825036066713</v>
      </c>
      <c r="EM58" s="55">
        <f t="shared" si="111"/>
        <v>2324.5241492114151</v>
      </c>
      <c r="EN58" s="55">
        <f t="shared" si="111"/>
        <v>3042.8492208114149</v>
      </c>
      <c r="EP58" s="52"/>
      <c r="EQ58" s="52"/>
      <c r="ER58" s="52"/>
      <c r="ES58" s="55">
        <f t="shared" si="203"/>
        <v>139199.79</v>
      </c>
      <c r="ET58" s="55">
        <f t="shared" si="203"/>
        <v>39047.155799999993</v>
      </c>
      <c r="EU58" s="55">
        <f t="shared" si="203"/>
        <v>1816.9270207000002</v>
      </c>
      <c r="EV58" s="55">
        <f t="shared" si="203"/>
        <v>2407.7541793</v>
      </c>
      <c r="EW58" s="298">
        <f t="shared" si="204"/>
        <v>0.78093786895057149</v>
      </c>
      <c r="EX58" s="52"/>
      <c r="EY58" s="55">
        <f t="shared" si="205"/>
        <v>1823.5193528431157</v>
      </c>
      <c r="EZ58" s="55">
        <f t="shared" si="205"/>
        <v>2403.1522082431161</v>
      </c>
      <c r="FA58" s="55">
        <f t="shared" si="205"/>
        <v>1853.8010335840249</v>
      </c>
      <c r="FB58" s="55">
        <f t="shared" si="205"/>
        <v>2433.4338889840255</v>
      </c>
      <c r="FD58" s="52"/>
      <c r="FE58" s="52"/>
      <c r="FF58" s="52"/>
      <c r="FG58" s="55">
        <f t="shared" si="206"/>
        <v>109526.49920000001</v>
      </c>
      <c r="FH58" s="55">
        <f t="shared" si="206"/>
        <v>32171.268299999996</v>
      </c>
      <c r="FI58" s="55">
        <f t="shared" si="206"/>
        <v>1462.5325434000001</v>
      </c>
      <c r="FJ58" s="55">
        <f t="shared" si="206"/>
        <v>2133.6465721999998</v>
      </c>
      <c r="FK58" s="298">
        <f t="shared" si="207"/>
        <v>0.77295853796708547</v>
      </c>
      <c r="FL58" s="52"/>
      <c r="FM58" s="55">
        <f t="shared" si="208"/>
        <v>1465.3886379073435</v>
      </c>
      <c r="FN58" s="55">
        <f t="shared" si="208"/>
        <v>2131.4759457073433</v>
      </c>
      <c r="FO58" s="55">
        <f t="shared" si="208"/>
        <v>1487.0501485037535</v>
      </c>
      <c r="FP58" s="55">
        <f t="shared" si="208"/>
        <v>2153.137456303753</v>
      </c>
      <c r="FR58" s="52"/>
      <c r="FS58" s="52"/>
      <c r="FT58" s="52"/>
      <c r="FU58" s="55">
        <f t="shared" si="209"/>
        <v>113334.72750000001</v>
      </c>
      <c r="FV58" s="55">
        <f t="shared" si="209"/>
        <v>30978.386599999998</v>
      </c>
      <c r="FW58" s="55">
        <f t="shared" si="209"/>
        <v>457.47892880000001</v>
      </c>
      <c r="FX58" s="55">
        <f t="shared" si="209"/>
        <v>583.68663119999997</v>
      </c>
      <c r="FY58" s="298">
        <f t="shared" si="210"/>
        <v>0.78533907473901576</v>
      </c>
      <c r="FZ58" s="52"/>
      <c r="GA58" s="55">
        <f t="shared" si="211"/>
        <v>457.51964177226233</v>
      </c>
      <c r="GB58" s="55">
        <f t="shared" si="211"/>
        <v>583.65482937226238</v>
      </c>
      <c r="GC58" s="55">
        <f t="shared" si="211"/>
        <v>457.53171547007707</v>
      </c>
      <c r="GD58" s="55">
        <f t="shared" si="211"/>
        <v>583.66690307007707</v>
      </c>
      <c r="GF58" s="52"/>
      <c r="GG58" s="52"/>
      <c r="GH58" s="52"/>
      <c r="GI58" s="55">
        <f t="shared" si="212"/>
        <v>57224.096699999995</v>
      </c>
      <c r="GJ58" s="55">
        <f t="shared" si="212"/>
        <v>16454.679100000001</v>
      </c>
      <c r="GK58" s="56">
        <f t="shared" si="213"/>
        <v>135.74868524999994</v>
      </c>
      <c r="GL58" s="56">
        <f t="shared" si="213"/>
        <v>192.18567900000005</v>
      </c>
      <c r="GM58" s="298">
        <f t="shared" si="214"/>
        <v>0.77667002577966271</v>
      </c>
      <c r="GN58" s="52"/>
      <c r="GO58" s="56">
        <f t="shared" si="215"/>
        <v>137.35323688283054</v>
      </c>
      <c r="GP58" s="56">
        <f t="shared" si="215"/>
        <v>190.85192113283065</v>
      </c>
      <c r="GQ58" s="56">
        <f t="shared" si="215"/>
        <v>141.04833122259959</v>
      </c>
      <c r="GR58" s="56">
        <f t="shared" si="215"/>
        <v>194.54701547259958</v>
      </c>
      <c r="GW58" s="275">
        <v>1.3328</v>
      </c>
      <c r="GX58" s="275">
        <v>1.0394000000000001</v>
      </c>
      <c r="GY58" s="275">
        <v>2.1999999999999999E-2</v>
      </c>
      <c r="GZ58" s="275">
        <v>3219.4717000000001</v>
      </c>
      <c r="HA58" s="275">
        <v>997.29579999999999</v>
      </c>
      <c r="HB58" s="49">
        <f t="shared" si="126"/>
        <v>875.36971199999994</v>
      </c>
      <c r="HC58" s="49">
        <f t="shared" si="127"/>
        <v>1411.307714</v>
      </c>
      <c r="HD58" s="47">
        <f t="shared" si="128"/>
        <v>5.3530399999999991</v>
      </c>
      <c r="HE58" s="47">
        <f t="shared" si="181"/>
        <v>1.2660324073433025</v>
      </c>
      <c r="HF58" s="48">
        <f t="shared" si="182"/>
        <v>876.63574440734328</v>
      </c>
      <c r="HG58" s="48">
        <f t="shared" si="183"/>
        <v>1407.2207064073434</v>
      </c>
      <c r="HH58" s="93">
        <f t="shared" si="184"/>
        <v>890.1951055495698</v>
      </c>
      <c r="HI58" s="93">
        <f t="shared" si="185"/>
        <v>1420.78006754957</v>
      </c>
      <c r="HJ58" s="298">
        <f t="shared" si="216"/>
        <v>0.76349281766187016</v>
      </c>
      <c r="HL58" s="275">
        <v>1.3898999999999999</v>
      </c>
      <c r="HM58" s="275">
        <v>1.1944999999999999</v>
      </c>
      <c r="HN58" s="275">
        <v>0.10780000000000001</v>
      </c>
      <c r="HO58" s="275">
        <v>297.30669999999998</v>
      </c>
      <c r="HP58" s="275">
        <v>66.416700000000006</v>
      </c>
      <c r="HQ58" s="49">
        <f t="shared" si="130"/>
        <v>738.94033499999989</v>
      </c>
      <c r="HR58" s="49">
        <f t="shared" si="131"/>
        <v>926.37058499999989</v>
      </c>
      <c r="HS58" s="47">
        <f t="shared" si="132"/>
        <v>13.991362000000001</v>
      </c>
      <c r="HT58" s="47">
        <f t="shared" si="186"/>
        <v>2.5548537502547268</v>
      </c>
      <c r="HU58" s="48">
        <f t="shared" si="187"/>
        <v>741.49518875025467</v>
      </c>
      <c r="HV58" s="48">
        <f t="shared" si="188"/>
        <v>914.93407675025469</v>
      </c>
      <c r="HW58" s="93">
        <f t="shared" si="189"/>
        <v>741.94538352670281</v>
      </c>
      <c r="HX58" s="93">
        <f t="shared" si="190"/>
        <v>915.38427152670283</v>
      </c>
      <c r="HY58" s="298">
        <f t="shared" si="217"/>
        <v>0.81739778084115566</v>
      </c>
    </row>
    <row r="59" spans="1:233" s="131" customFormat="1" x14ac:dyDescent="0.2">
      <c r="A59" s="118">
        <v>49</v>
      </c>
      <c r="B59" s="118"/>
      <c r="C59" s="275">
        <v>1.3427</v>
      </c>
      <c r="D59" s="275">
        <v>1.0370999999999999</v>
      </c>
      <c r="E59" s="275">
        <v>1.6799999999999999E-2</v>
      </c>
      <c r="F59" s="275">
        <v>39193.6175</v>
      </c>
      <c r="G59" s="275">
        <v>10819.275</v>
      </c>
      <c r="H59" s="49">
        <f t="shared" si="192"/>
        <v>1327.997435</v>
      </c>
      <c r="I59" s="49">
        <f t="shared" si="192"/>
        <v>1868.6675219999997</v>
      </c>
      <c r="J59" s="47">
        <f t="shared" si="192"/>
        <v>4.5501119999999995</v>
      </c>
      <c r="K59" s="47">
        <f t="shared" si="134"/>
        <v>0.98432445211602171</v>
      </c>
      <c r="L59" s="48">
        <f t="shared" si="135"/>
        <v>1328.981759452116</v>
      </c>
      <c r="M59" s="48">
        <f t="shared" si="136"/>
        <v>1865.1017344521158</v>
      </c>
      <c r="N59" s="93">
        <f t="shared" si="137"/>
        <v>1350.2938281656184</v>
      </c>
      <c r="O59" s="93">
        <f t="shared" si="138"/>
        <v>1886.4138031656182</v>
      </c>
      <c r="P59" s="298">
        <f t="shared" si="193"/>
        <v>0.78367028061814259</v>
      </c>
      <c r="Q59" s="275">
        <v>1.5145999999999999</v>
      </c>
      <c r="R59" s="275">
        <v>1.2041999999999999</v>
      </c>
      <c r="S59" s="275">
        <v>3.8199999999999998E-2</v>
      </c>
      <c r="T59" s="275">
        <v>7691.6157999999996</v>
      </c>
      <c r="U59" s="275">
        <v>2857.3308000000002</v>
      </c>
      <c r="V59" s="49">
        <f t="shared" si="194"/>
        <v>928.43465400000002</v>
      </c>
      <c r="W59" s="49">
        <f t="shared" si="194"/>
        <v>1397.666772</v>
      </c>
      <c r="X59" s="47">
        <f t="shared" si="194"/>
        <v>8.2622779999999985</v>
      </c>
      <c r="Y59" s="47">
        <f t="shared" si="139"/>
        <v>4.9644917855042028</v>
      </c>
      <c r="Z59" s="48">
        <f t="shared" si="140"/>
        <v>933.39914578550417</v>
      </c>
      <c r="AA59" s="48">
        <f t="shared" si="141"/>
        <v>1394.3689857855043</v>
      </c>
      <c r="AB59" s="93">
        <f t="shared" si="142"/>
        <v>945.55261168304571</v>
      </c>
      <c r="AC59" s="93">
        <f t="shared" si="143"/>
        <v>1406.5224516830458</v>
      </c>
      <c r="AD59" s="118"/>
      <c r="AE59" s="275">
        <v>1.6836</v>
      </c>
      <c r="AF59" s="275">
        <v>1.2343</v>
      </c>
      <c r="AG59" s="275">
        <v>9.1000000000000004E-3</v>
      </c>
      <c r="AH59" s="275">
        <v>923.45579999999995</v>
      </c>
      <c r="AI59" s="275">
        <v>327.89830000000001</v>
      </c>
      <c r="AJ59" s="49">
        <f t="shared" si="195"/>
        <v>789.38953200000003</v>
      </c>
      <c r="AK59" s="49">
        <f t="shared" si="195"/>
        <v>1403.1275539999999</v>
      </c>
      <c r="AL59" s="47">
        <f t="shared" si="195"/>
        <v>1.8193630000000001</v>
      </c>
      <c r="AM59" s="47">
        <f t="shared" si="144"/>
        <v>1.164323129944403</v>
      </c>
      <c r="AN59" s="48">
        <f t="shared" si="145"/>
        <v>790.5538551299444</v>
      </c>
      <c r="AO59" s="48">
        <f t="shared" si="146"/>
        <v>1402.4725141299443</v>
      </c>
      <c r="AP59" s="93">
        <f t="shared" si="147"/>
        <v>802.49621512682199</v>
      </c>
      <c r="AQ59" s="93">
        <f t="shared" si="148"/>
        <v>1414.4148741268218</v>
      </c>
      <c r="AR59" s="118"/>
      <c r="AS59" s="275">
        <v>1.6800999999999999</v>
      </c>
      <c r="AT59" s="275">
        <v>0.89090000000000003</v>
      </c>
      <c r="AU59" s="275">
        <v>1.9300000000000001E-2</v>
      </c>
      <c r="AV59" s="275">
        <v>34551.698299999996</v>
      </c>
      <c r="AW59" s="275">
        <v>9546.8083000000006</v>
      </c>
      <c r="AX59" s="49">
        <f t="shared" si="196"/>
        <v>585.43084499999998</v>
      </c>
      <c r="AY59" s="49">
        <f t="shared" si="196"/>
        <v>623.514183</v>
      </c>
      <c r="AZ59" s="47">
        <f t="shared" si="196"/>
        <v>5.0849710000000012</v>
      </c>
      <c r="BA59" s="47">
        <f t="shared" si="149"/>
        <v>2.6225770942528692</v>
      </c>
      <c r="BB59" s="48">
        <f t="shared" si="150"/>
        <v>588.05342209425282</v>
      </c>
      <c r="BC59" s="48">
        <f t="shared" si="151"/>
        <v>621.05178909425285</v>
      </c>
      <c r="BD59" s="93">
        <f t="shared" si="152"/>
        <v>603.86009057571937</v>
      </c>
      <c r="BE59" s="93">
        <f t="shared" si="153"/>
        <v>636.85845757571951</v>
      </c>
      <c r="BF59" s="118"/>
      <c r="BG59" s="275">
        <v>1.6040000000000001</v>
      </c>
      <c r="BH59" s="275">
        <v>0.92649999999999999</v>
      </c>
      <c r="BI59" s="275">
        <v>4.7999999999999996E-3</v>
      </c>
      <c r="BJ59" s="275">
        <v>18419.6067</v>
      </c>
      <c r="BK59" s="275">
        <v>5278.5349999999999</v>
      </c>
      <c r="BL59" s="49">
        <f t="shared" si="197"/>
        <v>542.50488000000007</v>
      </c>
      <c r="BM59" s="49">
        <f t="shared" si="197"/>
        <v>554.47319000000005</v>
      </c>
      <c r="BN59" s="47">
        <f t="shared" si="197"/>
        <v>1.1061599999999998</v>
      </c>
      <c r="BO59" s="47">
        <f t="shared" si="154"/>
        <v>0.5591142435968659</v>
      </c>
      <c r="BP59" s="48">
        <f t="shared" si="155"/>
        <v>543.06399424359688</v>
      </c>
      <c r="BQ59" s="48">
        <f t="shared" si="156"/>
        <v>553.92614424359681</v>
      </c>
      <c r="BR59" s="93">
        <f t="shared" si="157"/>
        <v>562.2104190420722</v>
      </c>
      <c r="BS59" s="93">
        <f t="shared" si="158"/>
        <v>573.07256904207213</v>
      </c>
      <c r="BT59" s="118"/>
      <c r="BU59" s="275">
        <v>1.6696</v>
      </c>
      <c r="BV59" s="275">
        <v>0.99729999999999996</v>
      </c>
      <c r="BW59" s="275">
        <v>6.1999999999999998E-3</v>
      </c>
      <c r="BX59" s="275">
        <v>22610.4375</v>
      </c>
      <c r="BY59" s="275">
        <v>7272.8233</v>
      </c>
      <c r="BZ59" s="49">
        <f t="shared" si="198"/>
        <v>392.589744</v>
      </c>
      <c r="CA59" s="49">
        <f t="shared" si="198"/>
        <v>358.55926899999997</v>
      </c>
      <c r="CB59" s="47">
        <f t="shared" si="198"/>
        <v>0.583978</v>
      </c>
      <c r="CC59" s="47">
        <f t="shared" si="159"/>
        <v>0.27876056703556101</v>
      </c>
      <c r="CD59" s="48">
        <f t="shared" si="160"/>
        <v>392.86850456703553</v>
      </c>
      <c r="CE59" s="48">
        <f t="shared" si="161"/>
        <v>358.2540515670355</v>
      </c>
      <c r="CF59" s="93">
        <f t="shared" si="162"/>
        <v>403.95279494558667</v>
      </c>
      <c r="CG59" s="93">
        <f t="shared" si="163"/>
        <v>369.33834194558665</v>
      </c>
      <c r="CH59" s="118"/>
      <c r="CI59" s="275">
        <v>1.1022000000000001</v>
      </c>
      <c r="CJ59" s="275">
        <v>1.0559000000000001</v>
      </c>
      <c r="CK59" s="275">
        <v>6.08E-2</v>
      </c>
      <c r="CL59" s="275">
        <v>76437.83</v>
      </c>
      <c r="CM59" s="275">
        <v>22115.341700000001</v>
      </c>
      <c r="CN59" s="49">
        <f t="shared" si="199"/>
        <v>227.49408000000003</v>
      </c>
      <c r="CO59" s="49">
        <f t="shared" si="199"/>
        <v>282.79113799999999</v>
      </c>
      <c r="CP59" s="47">
        <f t="shared" si="199"/>
        <v>2.5536E-2</v>
      </c>
      <c r="CQ59" s="47">
        <f t="shared" si="164"/>
        <v>1.4151604328793236E-2</v>
      </c>
      <c r="CR59" s="48">
        <f t="shared" si="165"/>
        <v>227.50823160432881</v>
      </c>
      <c r="CS59" s="48">
        <f t="shared" si="166"/>
        <v>282.77975360432879</v>
      </c>
      <c r="CT59" s="93">
        <f t="shared" si="167"/>
        <v>227.52870258071863</v>
      </c>
      <c r="CU59" s="93">
        <f t="shared" si="168"/>
        <v>282.80022458071863</v>
      </c>
      <c r="CV59" s="118"/>
      <c r="CW59" s="275">
        <v>1.4722</v>
      </c>
      <c r="CX59" s="275">
        <v>1.4125000000000001</v>
      </c>
      <c r="CY59" s="275">
        <v>0.14929999999999999</v>
      </c>
      <c r="CZ59" s="275">
        <v>36109.092499999999</v>
      </c>
      <c r="DA59" s="275">
        <v>9400.4950000000008</v>
      </c>
      <c r="DB59" s="49">
        <f t="shared" si="200"/>
        <v>305.61399799999998</v>
      </c>
      <c r="DC59" s="49">
        <f t="shared" si="200"/>
        <v>397.63287500000001</v>
      </c>
      <c r="DD59" s="47">
        <f t="shared" si="200"/>
        <v>4.3296999999999995E-2</v>
      </c>
      <c r="DE59" s="47">
        <f t="shared" si="169"/>
        <v>2.4481176169943664E-2</v>
      </c>
      <c r="DF59" s="48">
        <f t="shared" si="170"/>
        <v>305.63847917616994</v>
      </c>
      <c r="DG59" s="48">
        <f t="shared" si="171"/>
        <v>397.61405917616997</v>
      </c>
      <c r="DH59" s="93">
        <f t="shared" si="172"/>
        <v>305.63670311169807</v>
      </c>
      <c r="DI59" s="93">
        <f t="shared" si="173"/>
        <v>397.6122831116981</v>
      </c>
      <c r="DJ59" s="118"/>
      <c r="DK59" s="275">
        <v>1.5373000000000001</v>
      </c>
      <c r="DL59" s="275">
        <v>1.4470000000000001</v>
      </c>
      <c r="DM59" s="275">
        <v>0.1893</v>
      </c>
      <c r="DN59" s="275">
        <v>9665.4082999999991</v>
      </c>
      <c r="DO59" s="275">
        <v>3256.7908000000002</v>
      </c>
      <c r="DP59" s="49">
        <f t="shared" si="201"/>
        <v>209.44175200000004</v>
      </c>
      <c r="DQ59" s="49">
        <f t="shared" si="201"/>
        <v>285.50757000000004</v>
      </c>
      <c r="DR59" s="47">
        <f t="shared" si="201"/>
        <v>4.1646000000000002E-2</v>
      </c>
      <c r="DS59" s="47">
        <f t="shared" si="174"/>
        <v>2.4023163042579135E-2</v>
      </c>
      <c r="DT59" s="48">
        <f t="shared" si="175"/>
        <v>209.46577516304262</v>
      </c>
      <c r="DU59" s="48">
        <f t="shared" si="176"/>
        <v>285.48994716304259</v>
      </c>
      <c r="DV59" s="93">
        <f t="shared" si="177"/>
        <v>209.46383275104336</v>
      </c>
      <c r="DW59" s="93">
        <f t="shared" si="178"/>
        <v>285.48800475104332</v>
      </c>
      <c r="DX59" s="118"/>
      <c r="DY59" s="118"/>
      <c r="DZ59" s="118"/>
      <c r="EB59" s="52"/>
      <c r="EC59" s="52"/>
      <c r="ED59" s="52"/>
      <c r="EE59" s="55">
        <f t="shared" si="179"/>
        <v>186292.2383</v>
      </c>
      <c r="EF59" s="55">
        <f t="shared" si="179"/>
        <v>51881.920000000006</v>
      </c>
      <c r="EG59" s="55">
        <f t="shared" si="179"/>
        <v>2385.4135584000001</v>
      </c>
      <c r="EH59" s="55">
        <f t="shared" si="179"/>
        <v>3093.0791429999999</v>
      </c>
      <c r="EI59" s="298">
        <f t="shared" si="202"/>
        <v>0.78216813960710863</v>
      </c>
      <c r="EJ59" s="52"/>
      <c r="EK59" s="55">
        <f t="shared" si="180"/>
        <v>2389.0541964916338</v>
      </c>
      <c r="EL59" s="55">
        <f t="shared" si="180"/>
        <v>3087.0245244916341</v>
      </c>
      <c r="EM59" s="55">
        <f t="shared" si="111"/>
        <v>2426.191983811415</v>
      </c>
      <c r="EN59" s="55">
        <f t="shared" si="111"/>
        <v>3124.1623118114153</v>
      </c>
      <c r="EP59" s="52"/>
      <c r="EQ59" s="52"/>
      <c r="ER59" s="52"/>
      <c r="ES59" s="55">
        <f t="shared" si="203"/>
        <v>138658.14500000002</v>
      </c>
      <c r="ET59" s="55">
        <f t="shared" si="203"/>
        <v>39651.702499999999</v>
      </c>
      <c r="EU59" s="55">
        <f t="shared" si="203"/>
        <v>1912.3634125999999</v>
      </c>
      <c r="EV59" s="55">
        <f t="shared" si="203"/>
        <v>2513.2741125000002</v>
      </c>
      <c r="EW59" s="298">
        <f t="shared" si="204"/>
        <v>0.77762471867965677</v>
      </c>
      <c r="EX59" s="52"/>
      <c r="EY59" s="55">
        <f t="shared" si="205"/>
        <v>1917.9183070567487</v>
      </c>
      <c r="EZ59" s="55">
        <f t="shared" si="205"/>
        <v>2509.4047250567487</v>
      </c>
      <c r="FA59" s="55">
        <f t="shared" si="205"/>
        <v>1949.2374254840252</v>
      </c>
      <c r="FB59" s="55">
        <f t="shared" si="205"/>
        <v>2540.7238434840256</v>
      </c>
      <c r="FD59" s="52"/>
      <c r="FE59" s="52"/>
      <c r="FF59" s="52"/>
      <c r="FG59" s="55">
        <f t="shared" si="206"/>
        <v>109637.13159999999</v>
      </c>
      <c r="FH59" s="55">
        <f t="shared" si="206"/>
        <v>32972.854100000004</v>
      </c>
      <c r="FI59" s="55">
        <f t="shared" si="206"/>
        <v>1535.1384072000001</v>
      </c>
      <c r="FJ59" s="55">
        <f t="shared" si="206"/>
        <v>2215.7825029999999</v>
      </c>
      <c r="FK59" s="298">
        <f t="shared" si="207"/>
        <v>0.76879000486429472</v>
      </c>
      <c r="FL59" s="52"/>
      <c r="FM59" s="55">
        <f t="shared" si="208"/>
        <v>1536.6100563991345</v>
      </c>
      <c r="FN59" s="55">
        <f t="shared" si="208"/>
        <v>2214.8002875991342</v>
      </c>
      <c r="FO59" s="55">
        <f t="shared" si="208"/>
        <v>1559.6560123037534</v>
      </c>
      <c r="FP59" s="55">
        <f t="shared" si="208"/>
        <v>2237.8462435037532</v>
      </c>
      <c r="FR59" s="52"/>
      <c r="FS59" s="52"/>
      <c r="FT59" s="52"/>
      <c r="FU59" s="55">
        <f t="shared" si="209"/>
        <v>112546.9225</v>
      </c>
      <c r="FV59" s="55">
        <f t="shared" si="209"/>
        <v>31515.8367</v>
      </c>
      <c r="FW59" s="55">
        <f t="shared" si="209"/>
        <v>471.98527840000003</v>
      </c>
      <c r="FX59" s="55">
        <f t="shared" si="209"/>
        <v>600.89743799999997</v>
      </c>
      <c r="FY59" s="298">
        <f t="shared" si="210"/>
        <v>0.78123536662068871</v>
      </c>
      <c r="FZ59" s="52"/>
      <c r="GA59" s="55">
        <f t="shared" si="211"/>
        <v>472.01901494526476</v>
      </c>
      <c r="GB59" s="55">
        <f t="shared" si="211"/>
        <v>600.87100094526477</v>
      </c>
      <c r="GC59" s="55">
        <f t="shared" si="211"/>
        <v>472.0380650700771</v>
      </c>
      <c r="GD59" s="55">
        <f t="shared" si="211"/>
        <v>600.89005107007711</v>
      </c>
      <c r="GF59" s="52"/>
      <c r="GG59" s="52"/>
      <c r="GH59" s="52"/>
      <c r="GI59" s="55">
        <f t="shared" si="212"/>
        <v>57162.135799999996</v>
      </c>
      <c r="GJ59" s="55">
        <f t="shared" si="212"/>
        <v>16819.631600000001</v>
      </c>
      <c r="GK59" s="56">
        <f t="shared" si="213"/>
        <v>144.63082574999999</v>
      </c>
      <c r="GL59" s="56">
        <f t="shared" si="213"/>
        <v>198.71618550000002</v>
      </c>
      <c r="GM59" s="298">
        <f t="shared" si="214"/>
        <v>0.77265166552374087</v>
      </c>
      <c r="GN59" s="52"/>
      <c r="GO59" s="56">
        <f t="shared" si="215"/>
        <v>146.38868814541297</v>
      </c>
      <c r="GP59" s="56">
        <f t="shared" si="215"/>
        <v>197.09830314541301</v>
      </c>
      <c r="GQ59" s="56">
        <f t="shared" si="215"/>
        <v>149.93047172259952</v>
      </c>
      <c r="GR59" s="56">
        <f t="shared" si="215"/>
        <v>200.64008672259965</v>
      </c>
      <c r="GW59" s="275">
        <v>1.3743000000000001</v>
      </c>
      <c r="GX59" s="275">
        <v>1.0764</v>
      </c>
      <c r="GY59" s="275">
        <v>2.58E-2</v>
      </c>
      <c r="GZ59" s="275">
        <v>3197.1342</v>
      </c>
      <c r="HA59" s="275">
        <v>1081.6658</v>
      </c>
      <c r="HB59" s="49">
        <f t="shared" si="126"/>
        <v>902.62649699999997</v>
      </c>
      <c r="HC59" s="49">
        <f t="shared" si="127"/>
        <v>1461.5466839999999</v>
      </c>
      <c r="HD59" s="47">
        <f t="shared" si="128"/>
        <v>6.2776559999999995</v>
      </c>
      <c r="HE59" s="47">
        <f t="shared" si="181"/>
        <v>1.5869696642434326</v>
      </c>
      <c r="HF59" s="48">
        <f t="shared" si="182"/>
        <v>904.21346666424336</v>
      </c>
      <c r="HG59" s="48">
        <f t="shared" si="183"/>
        <v>1456.8559976642434</v>
      </c>
      <c r="HH59" s="93">
        <f t="shared" si="184"/>
        <v>917.45189054956984</v>
      </c>
      <c r="HI59" s="93">
        <f t="shared" si="185"/>
        <v>1470.0944215495699</v>
      </c>
      <c r="HJ59" s="298">
        <f t="shared" si="216"/>
        <v>0.74720346826212958</v>
      </c>
      <c r="HL59" s="275">
        <v>1.4507000000000001</v>
      </c>
      <c r="HM59" s="275">
        <v>1.2390000000000001</v>
      </c>
      <c r="HN59" s="275">
        <v>5.3699999999999998E-2</v>
      </c>
      <c r="HO59" s="275">
        <v>311.14420000000001</v>
      </c>
      <c r="HP59" s="275">
        <v>80</v>
      </c>
      <c r="HQ59" s="49">
        <f t="shared" si="130"/>
        <v>771.26465500000006</v>
      </c>
      <c r="HR59" s="49">
        <f t="shared" si="131"/>
        <v>960.8816700000001</v>
      </c>
      <c r="HS59" s="47">
        <f t="shared" si="132"/>
        <v>6.9697229999999992</v>
      </c>
      <c r="HT59" s="47">
        <f t="shared" si="186"/>
        <v>1.425504558165505</v>
      </c>
      <c r="HU59" s="48">
        <f t="shared" si="187"/>
        <v>772.69015955816553</v>
      </c>
      <c r="HV59" s="48">
        <f t="shared" si="188"/>
        <v>955.33745155816553</v>
      </c>
      <c r="HW59" s="93">
        <f t="shared" si="189"/>
        <v>774.26970352670298</v>
      </c>
      <c r="HX59" s="93">
        <f t="shared" si="190"/>
        <v>956.91699552670298</v>
      </c>
      <c r="HY59" s="298">
        <f t="shared" si="217"/>
        <v>0.79547184900095669</v>
      </c>
    </row>
    <row r="60" spans="1:233" s="131" customFormat="1" x14ac:dyDescent="0.2">
      <c r="A60" s="118">
        <v>50</v>
      </c>
      <c r="B60" s="118"/>
      <c r="C60" s="275">
        <v>1.3976</v>
      </c>
      <c r="D60" s="275">
        <v>1.0619000000000001</v>
      </c>
      <c r="E60" s="275">
        <v>0</v>
      </c>
      <c r="F60" s="275">
        <v>37529.097500000003</v>
      </c>
      <c r="G60" s="275">
        <v>10525.72</v>
      </c>
      <c r="H60" s="49">
        <f t="shared" si="192"/>
        <v>1382.2962799999998</v>
      </c>
      <c r="I60" s="49">
        <f t="shared" si="192"/>
        <v>1913.352658</v>
      </c>
      <c r="J60" s="47">
        <f t="shared" si="192"/>
        <v>0</v>
      </c>
      <c r="K60" s="47">
        <f t="shared" si="134"/>
        <v>0</v>
      </c>
      <c r="L60" s="48">
        <f t="shared" si="135"/>
        <v>1382.2962799999998</v>
      </c>
      <c r="M60" s="48">
        <f t="shared" si="136"/>
        <v>1913.352658</v>
      </c>
      <c r="N60" s="93">
        <f t="shared" si="137"/>
        <v>1404.5926731656182</v>
      </c>
      <c r="O60" s="93">
        <f t="shared" si="138"/>
        <v>1935.6490511656184</v>
      </c>
      <c r="P60" s="298">
        <f t="shared" si="193"/>
        <v>0.78096431226692309</v>
      </c>
      <c r="Q60" s="275">
        <v>1.5952999999999999</v>
      </c>
      <c r="R60" s="275">
        <v>1.2641</v>
      </c>
      <c r="S60" s="275">
        <v>3.6400000000000002E-2</v>
      </c>
      <c r="T60" s="275">
        <v>7525.2833000000001</v>
      </c>
      <c r="U60" s="275">
        <v>2807.1282999999999</v>
      </c>
      <c r="V60" s="49">
        <f t="shared" si="194"/>
        <v>977.90294699999993</v>
      </c>
      <c r="W60" s="49">
        <f t="shared" si="194"/>
        <v>1467.1903060000002</v>
      </c>
      <c r="X60" s="47">
        <f t="shared" si="194"/>
        <v>7.8729560000000003</v>
      </c>
      <c r="Y60" s="47">
        <f t="shared" si="139"/>
        <v>4.7242062071014752</v>
      </c>
      <c r="Z60" s="48">
        <f t="shared" si="140"/>
        <v>982.6271532071014</v>
      </c>
      <c r="AA60" s="48">
        <f t="shared" si="141"/>
        <v>1464.0415562071018</v>
      </c>
      <c r="AB60" s="93">
        <f t="shared" si="142"/>
        <v>995.02090468304561</v>
      </c>
      <c r="AC60" s="93">
        <f t="shared" si="143"/>
        <v>1476.4353076830459</v>
      </c>
      <c r="AD60" s="118"/>
      <c r="AE60" s="275">
        <v>1.784</v>
      </c>
      <c r="AF60" s="275">
        <v>1.2926</v>
      </c>
      <c r="AG60" s="275">
        <v>9.1000000000000004E-3</v>
      </c>
      <c r="AH60" s="275">
        <v>872.32079999999996</v>
      </c>
      <c r="AI60" s="275">
        <v>350.48919999999998</v>
      </c>
      <c r="AJ60" s="49">
        <f t="shared" si="195"/>
        <v>836.46407999999997</v>
      </c>
      <c r="AK60" s="49">
        <f t="shared" si="195"/>
        <v>1469.401828</v>
      </c>
      <c r="AL60" s="47">
        <f t="shared" si="195"/>
        <v>1.8193630000000001</v>
      </c>
      <c r="AM60" s="47">
        <f t="shared" si="144"/>
        <v>1.1593802175228503</v>
      </c>
      <c r="AN60" s="48">
        <f t="shared" si="145"/>
        <v>837.62346021752285</v>
      </c>
      <c r="AO60" s="48">
        <f t="shared" si="146"/>
        <v>1468.7418452175227</v>
      </c>
      <c r="AP60" s="93">
        <f t="shared" si="147"/>
        <v>849.57076312682193</v>
      </c>
      <c r="AQ60" s="93">
        <f t="shared" si="148"/>
        <v>1480.6891481268219</v>
      </c>
      <c r="AR60" s="118"/>
      <c r="AS60" s="275">
        <v>1.7938000000000001</v>
      </c>
      <c r="AT60" s="275">
        <v>0.92569999999999997</v>
      </c>
      <c r="AU60" s="275">
        <v>1.6E-2</v>
      </c>
      <c r="AV60" s="275">
        <v>33489.2883</v>
      </c>
      <c r="AW60" s="275">
        <v>9322.4974999999995</v>
      </c>
      <c r="AX60" s="49">
        <f t="shared" si="196"/>
        <v>625.04961000000003</v>
      </c>
      <c r="AY60" s="49">
        <f t="shared" si="196"/>
        <v>647.86965899999996</v>
      </c>
      <c r="AZ60" s="47">
        <f t="shared" si="196"/>
        <v>4.2155200000000006</v>
      </c>
      <c r="BA60" s="47">
        <f t="shared" si="149"/>
        <v>2.1455465176933233</v>
      </c>
      <c r="BB60" s="48">
        <f t="shared" si="150"/>
        <v>627.19515651769336</v>
      </c>
      <c r="BC60" s="48">
        <f t="shared" si="151"/>
        <v>645.79968551769332</v>
      </c>
      <c r="BD60" s="93">
        <f t="shared" si="152"/>
        <v>643.47885557571954</v>
      </c>
      <c r="BE60" s="93">
        <f t="shared" si="153"/>
        <v>662.08338457571949</v>
      </c>
      <c r="BF60" s="118"/>
      <c r="BG60" s="275">
        <v>1.7179</v>
      </c>
      <c r="BH60" s="275">
        <v>0.97899999999999998</v>
      </c>
      <c r="BI60" s="275">
        <v>7.1999999999999998E-3</v>
      </c>
      <c r="BJ60" s="275">
        <v>17776.802500000002</v>
      </c>
      <c r="BK60" s="275">
        <v>5160.2857999999997</v>
      </c>
      <c r="BL60" s="49">
        <f t="shared" si="197"/>
        <v>581.02813800000001</v>
      </c>
      <c r="BM60" s="49">
        <f t="shared" si="197"/>
        <v>585.89233999999999</v>
      </c>
      <c r="BN60" s="47">
        <f t="shared" si="197"/>
        <v>1.6592399999999998</v>
      </c>
      <c r="BO60" s="47">
        <f t="shared" si="154"/>
        <v>0.8330781956005745</v>
      </c>
      <c r="BP60" s="48">
        <f t="shared" si="155"/>
        <v>581.8612161956006</v>
      </c>
      <c r="BQ60" s="48">
        <f t="shared" si="156"/>
        <v>585.06617819560063</v>
      </c>
      <c r="BR60" s="93">
        <f t="shared" si="157"/>
        <v>600.73367704207215</v>
      </c>
      <c r="BS60" s="93">
        <f t="shared" si="158"/>
        <v>603.93863904207217</v>
      </c>
      <c r="BT60" s="118"/>
      <c r="BU60" s="275">
        <v>1.7833000000000001</v>
      </c>
      <c r="BV60" s="275">
        <v>1.0367999999999999</v>
      </c>
      <c r="BW60" s="275">
        <v>5.8999999999999999E-3</v>
      </c>
      <c r="BX60" s="275">
        <v>22053.3825</v>
      </c>
      <c r="BY60" s="275">
        <v>7224.2250000000004</v>
      </c>
      <c r="BZ60" s="49">
        <f t="shared" si="198"/>
        <v>419.32516199999998</v>
      </c>
      <c r="CA60" s="49">
        <f t="shared" si="198"/>
        <v>372.76070399999998</v>
      </c>
      <c r="CB60" s="47">
        <f t="shared" si="198"/>
        <v>0.55572100000000002</v>
      </c>
      <c r="CC60" s="47">
        <f t="shared" si="159"/>
        <v>0.26152587753356532</v>
      </c>
      <c r="CD60" s="48">
        <f t="shared" si="160"/>
        <v>419.58668787753356</v>
      </c>
      <c r="CE60" s="48">
        <f t="shared" si="161"/>
        <v>372.46650887753356</v>
      </c>
      <c r="CF60" s="93">
        <f t="shared" si="162"/>
        <v>430.68821294558666</v>
      </c>
      <c r="CG60" s="93">
        <f t="shared" si="163"/>
        <v>383.56803394558665</v>
      </c>
      <c r="CH60" s="118"/>
      <c r="CI60" s="275">
        <v>1.1138999999999999</v>
      </c>
      <c r="CJ60" s="275">
        <v>1.0649</v>
      </c>
      <c r="CK60" s="275">
        <v>5.6300000000000003E-2</v>
      </c>
      <c r="CL60" s="275">
        <v>74266.514200000005</v>
      </c>
      <c r="CM60" s="275">
        <v>21730.165799999999</v>
      </c>
      <c r="CN60" s="49">
        <f t="shared" si="199"/>
        <v>229.90895999999998</v>
      </c>
      <c r="CO60" s="49">
        <f t="shared" si="199"/>
        <v>285.20151799999996</v>
      </c>
      <c r="CP60" s="47">
        <f t="shared" si="199"/>
        <v>2.3646E-2</v>
      </c>
      <c r="CQ60" s="47">
        <f t="shared" si="164"/>
        <v>1.3092094575152478E-2</v>
      </c>
      <c r="CR60" s="48">
        <f t="shared" si="165"/>
        <v>229.92205209457512</v>
      </c>
      <c r="CS60" s="48">
        <f t="shared" si="166"/>
        <v>285.19096409457512</v>
      </c>
      <c r="CT60" s="93">
        <f t="shared" si="167"/>
        <v>229.94358258071858</v>
      </c>
      <c r="CU60" s="93">
        <f t="shared" si="168"/>
        <v>285.21249458071861</v>
      </c>
      <c r="CV60" s="118"/>
      <c r="CW60" s="275">
        <v>1.5548999999999999</v>
      </c>
      <c r="CX60" s="275">
        <v>1.4825999999999999</v>
      </c>
      <c r="CY60" s="275">
        <v>0.12709999999999999</v>
      </c>
      <c r="CZ60" s="275">
        <v>35165.914199999999</v>
      </c>
      <c r="DA60" s="275">
        <v>8940.5941999999995</v>
      </c>
      <c r="DB60" s="49">
        <f t="shared" si="200"/>
        <v>322.78169099999997</v>
      </c>
      <c r="DC60" s="49">
        <f t="shared" si="200"/>
        <v>417.36672599999997</v>
      </c>
      <c r="DD60" s="47">
        <f t="shared" si="200"/>
        <v>3.6858999999999996E-2</v>
      </c>
      <c r="DE60" s="47">
        <f t="shared" si="169"/>
        <v>2.0784642377521964E-2</v>
      </c>
      <c r="DF60" s="48">
        <f t="shared" si="170"/>
        <v>322.80247564237749</v>
      </c>
      <c r="DG60" s="48">
        <f t="shared" si="171"/>
        <v>417.3506516423775</v>
      </c>
      <c r="DH60" s="93">
        <f t="shared" si="172"/>
        <v>322.80439611169805</v>
      </c>
      <c r="DI60" s="93">
        <f t="shared" si="173"/>
        <v>417.35257211169807</v>
      </c>
      <c r="DJ60" s="118"/>
      <c r="DK60" s="275">
        <v>1.6007</v>
      </c>
      <c r="DL60" s="275">
        <v>1.5134000000000001</v>
      </c>
      <c r="DM60" s="275">
        <v>0.16039999999999999</v>
      </c>
      <c r="DN60" s="275">
        <v>9246.9599999999991</v>
      </c>
      <c r="DO60" s="275">
        <v>3077.5475000000001</v>
      </c>
      <c r="DP60" s="49">
        <f t="shared" si="201"/>
        <v>218.07936800000002</v>
      </c>
      <c r="DQ60" s="49">
        <f t="shared" si="201"/>
        <v>298.60895400000004</v>
      </c>
      <c r="DR60" s="47">
        <f t="shared" si="201"/>
        <v>3.5288E-2</v>
      </c>
      <c r="DS60" s="47">
        <f t="shared" si="174"/>
        <v>2.0393944124698058E-2</v>
      </c>
      <c r="DT60" s="48">
        <f t="shared" si="175"/>
        <v>218.09976194412471</v>
      </c>
      <c r="DU60" s="48">
        <f t="shared" si="176"/>
        <v>298.59405994412475</v>
      </c>
      <c r="DV60" s="93">
        <f t="shared" si="177"/>
        <v>218.10144875104334</v>
      </c>
      <c r="DW60" s="93">
        <f t="shared" si="178"/>
        <v>298.59574675104335</v>
      </c>
      <c r="DX60" s="118"/>
      <c r="DY60" s="118"/>
      <c r="DZ60" s="118"/>
      <c r="EB60" s="52"/>
      <c r="EC60" s="52"/>
      <c r="ED60" s="52"/>
      <c r="EE60" s="55">
        <f t="shared" si="179"/>
        <v>180450.81420000002</v>
      </c>
      <c r="EF60" s="55">
        <f t="shared" si="179"/>
        <v>50518.977500000001</v>
      </c>
      <c r="EG60" s="55">
        <f t="shared" si="179"/>
        <v>2495.4802027999999</v>
      </c>
      <c r="EH60" s="55">
        <f t="shared" si="179"/>
        <v>3180.3172157999998</v>
      </c>
      <c r="EI60" s="298">
        <f t="shared" si="202"/>
        <v>0.78127452456805413</v>
      </c>
      <c r="EJ60" s="52"/>
      <c r="EK60" s="55">
        <f t="shared" si="180"/>
        <v>2497.6554691261704</v>
      </c>
      <c r="EL60" s="55">
        <f t="shared" si="180"/>
        <v>3178.2238289261704</v>
      </c>
      <c r="EM60" s="55">
        <f t="shared" si="111"/>
        <v>2536.2586282114148</v>
      </c>
      <c r="EN60" s="55">
        <f t="shared" si="111"/>
        <v>3216.8269880114153</v>
      </c>
      <c r="EP60" s="52"/>
      <c r="EQ60" s="52"/>
      <c r="ER60" s="52"/>
      <c r="ES60" s="55">
        <f t="shared" si="203"/>
        <v>134734.51420000001</v>
      </c>
      <c r="ET60" s="55">
        <f t="shared" si="203"/>
        <v>38638.174099999997</v>
      </c>
      <c r="EU60" s="55">
        <f t="shared" si="203"/>
        <v>2014.7872286999998</v>
      </c>
      <c r="EV60" s="55">
        <f t="shared" si="203"/>
        <v>2630.4408722000003</v>
      </c>
      <c r="EW60" s="298">
        <f t="shared" si="204"/>
        <v>0.77713805744800235</v>
      </c>
      <c r="EX60" s="52"/>
      <c r="EY60" s="55">
        <f t="shared" si="205"/>
        <v>2020.3721544469413</v>
      </c>
      <c r="EZ60" s="55">
        <f t="shared" si="205"/>
        <v>2626.444154646942</v>
      </c>
      <c r="FA60" s="55">
        <f t="shared" si="205"/>
        <v>2051.661241584025</v>
      </c>
      <c r="FB60" s="55">
        <f t="shared" si="205"/>
        <v>2657.7332417840253</v>
      </c>
      <c r="FD60" s="52"/>
      <c r="FE60" s="52"/>
      <c r="FF60" s="52"/>
      <c r="FG60" s="55">
        <f t="shared" si="206"/>
        <v>106439.17749999999</v>
      </c>
      <c r="FH60" s="55">
        <f t="shared" si="206"/>
        <v>32382.427499999998</v>
      </c>
      <c r="FI60" s="55">
        <f t="shared" si="206"/>
        <v>1616.5458227999998</v>
      </c>
      <c r="FJ60" s="55">
        <f t="shared" si="206"/>
        <v>2306.5294223999999</v>
      </c>
      <c r="FK60" s="298">
        <f t="shared" si="207"/>
        <v>0.76673351745212859</v>
      </c>
      <c r="FL60" s="52"/>
      <c r="FM60" s="55">
        <f t="shared" si="208"/>
        <v>1617.9920573561062</v>
      </c>
      <c r="FN60" s="55">
        <f t="shared" si="208"/>
        <v>2305.5557541561061</v>
      </c>
      <c r="FO60" s="55">
        <f t="shared" si="208"/>
        <v>1641.0634279037531</v>
      </c>
      <c r="FP60" s="55">
        <f t="shared" si="208"/>
        <v>2328.627124703753</v>
      </c>
      <c r="FR60" s="52"/>
      <c r="FS60" s="52"/>
      <c r="FT60" s="52"/>
      <c r="FU60" s="55">
        <f t="shared" si="209"/>
        <v>109432.4284</v>
      </c>
      <c r="FV60" s="55">
        <f t="shared" si="209"/>
        <v>30670.76</v>
      </c>
      <c r="FW60" s="55">
        <f t="shared" si="209"/>
        <v>488.13431279999998</v>
      </c>
      <c r="FX60" s="55">
        <f t="shared" si="209"/>
        <v>619.09489880000001</v>
      </c>
      <c r="FY60" s="298">
        <f t="shared" si="210"/>
        <v>0.78108449671799185</v>
      </c>
      <c r="FZ60" s="52"/>
      <c r="GA60" s="55">
        <f t="shared" si="211"/>
        <v>488.1640326084771</v>
      </c>
      <c r="GB60" s="55">
        <f t="shared" si="211"/>
        <v>619.0714854084772</v>
      </c>
      <c r="GC60" s="55">
        <f t="shared" si="211"/>
        <v>488.18709947007699</v>
      </c>
      <c r="GD60" s="55">
        <f t="shared" si="211"/>
        <v>619.09455227007709</v>
      </c>
      <c r="GF60" s="52"/>
      <c r="GG60" s="52"/>
      <c r="GH60" s="52"/>
      <c r="GI60" s="55">
        <f t="shared" si="212"/>
        <v>55542.6708</v>
      </c>
      <c r="GJ60" s="55">
        <f t="shared" si="212"/>
        <v>16546.7225</v>
      </c>
      <c r="GK60" s="56">
        <f t="shared" si="213"/>
        <v>154.29333600000004</v>
      </c>
      <c r="GL60" s="56">
        <f t="shared" si="213"/>
        <v>206.33171625</v>
      </c>
      <c r="GM60" s="298">
        <f t="shared" si="214"/>
        <v>0.77046938887194105</v>
      </c>
      <c r="GN60" s="52"/>
      <c r="GO60" s="56">
        <f t="shared" si="215"/>
        <v>155.70635148011985</v>
      </c>
      <c r="GP60" s="56">
        <f t="shared" si="215"/>
        <v>204.99988248011982</v>
      </c>
      <c r="GQ60" s="56">
        <f t="shared" si="215"/>
        <v>159.59298197259966</v>
      </c>
      <c r="GR60" s="56">
        <f t="shared" si="215"/>
        <v>208.88651297259963</v>
      </c>
      <c r="GW60" s="275">
        <v>1.4220999999999999</v>
      </c>
      <c r="GX60" s="275">
        <v>1.1188</v>
      </c>
      <c r="GY60" s="275">
        <v>3.2500000000000001E-2</v>
      </c>
      <c r="GZ60" s="275">
        <v>3196.4825000000001</v>
      </c>
      <c r="HA60" s="275">
        <v>1106.8108</v>
      </c>
      <c r="HB60" s="49">
        <f t="shared" si="126"/>
        <v>934.02105899999992</v>
      </c>
      <c r="HC60" s="49">
        <f t="shared" si="127"/>
        <v>1519.1178279999999</v>
      </c>
      <c r="HD60" s="47">
        <f t="shared" si="128"/>
        <v>7.9078999999999997</v>
      </c>
      <c r="HE60" s="47">
        <f t="shared" si="181"/>
        <v>2.0339187954769429</v>
      </c>
      <c r="HF60" s="48">
        <f t="shared" si="182"/>
        <v>936.05497779547682</v>
      </c>
      <c r="HG60" s="48">
        <f t="shared" si="183"/>
        <v>1513.2438467954769</v>
      </c>
      <c r="HH60" s="93">
        <f t="shared" si="184"/>
        <v>948.84645254956979</v>
      </c>
      <c r="HI60" s="93">
        <f t="shared" si="185"/>
        <v>1526.03532154957</v>
      </c>
      <c r="HJ60" s="298">
        <f t="shared" si="216"/>
        <v>0.74279912549767402</v>
      </c>
      <c r="HL60" s="275">
        <v>1.5196000000000001</v>
      </c>
      <c r="HM60" s="275">
        <v>1.2925</v>
      </c>
      <c r="HN60" s="275">
        <v>1.6299999999999999E-2</v>
      </c>
      <c r="HO60" s="275">
        <v>355.50830000000002</v>
      </c>
      <c r="HP60" s="275">
        <v>74.25</v>
      </c>
      <c r="HQ60" s="49">
        <f t="shared" si="130"/>
        <v>807.89534000000003</v>
      </c>
      <c r="HR60" s="49">
        <f t="shared" si="131"/>
        <v>1002.372525</v>
      </c>
      <c r="HS60" s="47">
        <f t="shared" si="132"/>
        <v>2.1155769999999996</v>
      </c>
      <c r="HT60" s="47">
        <f t="shared" si="186"/>
        <v>0.36551147994116684</v>
      </c>
      <c r="HU60" s="48">
        <f t="shared" si="187"/>
        <v>808.26085147994115</v>
      </c>
      <c r="HV60" s="48">
        <f t="shared" si="188"/>
        <v>1000.6224594799411</v>
      </c>
      <c r="HW60" s="93">
        <f t="shared" si="189"/>
        <v>810.90038852670295</v>
      </c>
      <c r="HX60" s="93">
        <f t="shared" si="190"/>
        <v>1003.2619965267029</v>
      </c>
      <c r="HY60" s="298">
        <f t="shared" si="217"/>
        <v>0.82722846772243841</v>
      </c>
    </row>
    <row r="61" spans="1:233" s="131" customFormat="1" x14ac:dyDescent="0.2">
      <c r="A61" s="118">
        <v>51</v>
      </c>
      <c r="B61" s="118"/>
      <c r="C61" s="275">
        <v>1.4571000000000001</v>
      </c>
      <c r="D61" s="275">
        <v>1.0882000000000001</v>
      </c>
      <c r="E61" s="275">
        <v>0</v>
      </c>
      <c r="F61" s="275">
        <v>36416.2408</v>
      </c>
      <c r="G61" s="275">
        <v>10515.5658</v>
      </c>
      <c r="H61" s="49">
        <f t="shared" si="192"/>
        <v>1441.144755</v>
      </c>
      <c r="I61" s="49">
        <f t="shared" si="192"/>
        <v>1960.7405240000001</v>
      </c>
      <c r="J61" s="47">
        <f t="shared" si="192"/>
        <v>0</v>
      </c>
      <c r="K61" s="47">
        <f t="shared" si="134"/>
        <v>0</v>
      </c>
      <c r="L61" s="48">
        <f t="shared" si="135"/>
        <v>1441.144755</v>
      </c>
      <c r="M61" s="48">
        <f t="shared" si="136"/>
        <v>1960.7405240000001</v>
      </c>
      <c r="N61" s="93">
        <f t="shared" si="137"/>
        <v>1463.4411481656184</v>
      </c>
      <c r="O61" s="93">
        <f t="shared" si="138"/>
        <v>1983.0369171656184</v>
      </c>
      <c r="P61" s="298">
        <f t="shared" si="193"/>
        <v>0.77593946276937065</v>
      </c>
      <c r="Q61" s="275">
        <v>1.6859999999999999</v>
      </c>
      <c r="R61" s="275">
        <v>1.3284</v>
      </c>
      <c r="S61" s="275">
        <v>3.7100000000000001E-2</v>
      </c>
      <c r="T61" s="275">
        <v>7648.8333000000002</v>
      </c>
      <c r="U61" s="275">
        <v>2795.6433000000002</v>
      </c>
      <c r="V61" s="49">
        <f t="shared" si="194"/>
        <v>1033.5011400000001</v>
      </c>
      <c r="W61" s="49">
        <f t="shared" si="194"/>
        <v>1541.8207440000001</v>
      </c>
      <c r="X61" s="47">
        <f t="shared" si="194"/>
        <v>8.0243590000000005</v>
      </c>
      <c r="Y61" s="47">
        <f t="shared" si="139"/>
        <v>4.8041074944335378</v>
      </c>
      <c r="Z61" s="48">
        <f t="shared" si="140"/>
        <v>1038.3052474944336</v>
      </c>
      <c r="AA61" s="48">
        <f t="shared" si="141"/>
        <v>1538.6004924944336</v>
      </c>
      <c r="AB61" s="93">
        <f t="shared" si="142"/>
        <v>1050.6190976830458</v>
      </c>
      <c r="AC61" s="93">
        <f t="shared" si="143"/>
        <v>1550.9143426830458</v>
      </c>
      <c r="AD61" s="118"/>
      <c r="AE61" s="275">
        <v>1.9044000000000001</v>
      </c>
      <c r="AF61" s="275">
        <v>1.3559000000000001</v>
      </c>
      <c r="AG61" s="275">
        <v>0</v>
      </c>
      <c r="AH61" s="275">
        <v>947.21500000000003</v>
      </c>
      <c r="AI61" s="275">
        <v>316.8725</v>
      </c>
      <c r="AJ61" s="49">
        <f t="shared" si="195"/>
        <v>892.9160280000001</v>
      </c>
      <c r="AK61" s="49">
        <f t="shared" si="195"/>
        <v>1541.3600020000001</v>
      </c>
      <c r="AL61" s="47">
        <f t="shared" si="195"/>
        <v>0</v>
      </c>
      <c r="AM61" s="47">
        <f t="shared" si="144"/>
        <v>0</v>
      </c>
      <c r="AN61" s="48">
        <f t="shared" si="145"/>
        <v>892.9160280000001</v>
      </c>
      <c r="AO61" s="48">
        <f t="shared" si="146"/>
        <v>1541.3600020000001</v>
      </c>
      <c r="AP61" s="93">
        <f t="shared" si="147"/>
        <v>906.02271112682206</v>
      </c>
      <c r="AQ61" s="93">
        <f t="shared" si="148"/>
        <v>1554.4666851268221</v>
      </c>
      <c r="AR61" s="118"/>
      <c r="AS61" s="275">
        <v>1.9205000000000001</v>
      </c>
      <c r="AT61" s="275">
        <v>0.96389999999999998</v>
      </c>
      <c r="AU61" s="275">
        <v>0</v>
      </c>
      <c r="AV61" s="275">
        <v>32581.17</v>
      </c>
      <c r="AW61" s="275">
        <v>9407.8708000000006</v>
      </c>
      <c r="AX61" s="49">
        <f t="shared" si="196"/>
        <v>669.19822499999998</v>
      </c>
      <c r="AY61" s="49">
        <f t="shared" si="196"/>
        <v>674.604693</v>
      </c>
      <c r="AZ61" s="47">
        <f t="shared" si="196"/>
        <v>0</v>
      </c>
      <c r="BA61" s="47">
        <f t="shared" si="149"/>
        <v>0</v>
      </c>
      <c r="BB61" s="48">
        <f t="shared" si="150"/>
        <v>669.19822499999998</v>
      </c>
      <c r="BC61" s="48">
        <f t="shared" si="151"/>
        <v>674.604693</v>
      </c>
      <c r="BD61" s="93">
        <f t="shared" si="152"/>
        <v>687.62747057571937</v>
      </c>
      <c r="BE61" s="93">
        <f t="shared" si="153"/>
        <v>693.0339385757195</v>
      </c>
      <c r="BF61" s="118"/>
      <c r="BG61" s="275">
        <v>1.8361000000000001</v>
      </c>
      <c r="BH61" s="275">
        <v>1.0343</v>
      </c>
      <c r="BI61" s="275">
        <v>0</v>
      </c>
      <c r="BJ61" s="275">
        <v>17515.692500000001</v>
      </c>
      <c r="BK61" s="275">
        <v>5060.0433000000003</v>
      </c>
      <c r="BL61" s="49">
        <f t="shared" si="197"/>
        <v>621.00574200000005</v>
      </c>
      <c r="BM61" s="49">
        <f t="shared" si="197"/>
        <v>618.98717800000009</v>
      </c>
      <c r="BN61" s="47">
        <f t="shared" si="197"/>
        <v>0</v>
      </c>
      <c r="BO61" s="47">
        <f t="shared" si="154"/>
        <v>0</v>
      </c>
      <c r="BP61" s="48">
        <f t="shared" si="155"/>
        <v>621.00574200000005</v>
      </c>
      <c r="BQ61" s="48">
        <f t="shared" si="156"/>
        <v>618.98717800000009</v>
      </c>
      <c r="BR61" s="93">
        <f t="shared" si="157"/>
        <v>640.71128104207219</v>
      </c>
      <c r="BS61" s="93">
        <f t="shared" si="158"/>
        <v>638.69271704207222</v>
      </c>
      <c r="BT61" s="118"/>
      <c r="BU61" s="275">
        <v>1.9048</v>
      </c>
      <c r="BV61" s="275">
        <v>1.0789</v>
      </c>
      <c r="BW61" s="275">
        <v>3.3E-3</v>
      </c>
      <c r="BX61" s="275">
        <v>22187.6433</v>
      </c>
      <c r="BY61" s="275">
        <v>7297.5150000000003</v>
      </c>
      <c r="BZ61" s="49">
        <f t="shared" si="198"/>
        <v>447.89467199999996</v>
      </c>
      <c r="CA61" s="49">
        <f t="shared" si="198"/>
        <v>387.89691699999997</v>
      </c>
      <c r="CB61" s="47">
        <f t="shared" si="198"/>
        <v>0.31082699999999996</v>
      </c>
      <c r="CC61" s="47">
        <f t="shared" si="159"/>
        <v>0.14425705715059425</v>
      </c>
      <c r="CD61" s="48">
        <f t="shared" si="160"/>
        <v>448.03892905715054</v>
      </c>
      <c r="CE61" s="48">
        <f t="shared" si="161"/>
        <v>387.73034705715054</v>
      </c>
      <c r="CF61" s="93">
        <f t="shared" si="162"/>
        <v>459.25772294558664</v>
      </c>
      <c r="CG61" s="93">
        <f t="shared" si="163"/>
        <v>398.94914094558663</v>
      </c>
      <c r="CH61" s="118"/>
      <c r="CI61" s="275">
        <v>1.1287</v>
      </c>
      <c r="CJ61" s="275">
        <v>1.0737000000000001</v>
      </c>
      <c r="CK61" s="275">
        <v>5.5100000000000003E-2</v>
      </c>
      <c r="CL61" s="275">
        <v>73176.774999999994</v>
      </c>
      <c r="CM61" s="275">
        <v>21857.337500000001</v>
      </c>
      <c r="CN61" s="49">
        <f t="shared" si="199"/>
        <v>232.96368000000001</v>
      </c>
      <c r="CO61" s="49">
        <f t="shared" si="199"/>
        <v>287.558334</v>
      </c>
      <c r="CP61" s="47">
        <f t="shared" si="199"/>
        <v>2.3141999999999999E-2</v>
      </c>
      <c r="CQ61" s="47">
        <f t="shared" si="164"/>
        <v>1.2784617723061373E-2</v>
      </c>
      <c r="CR61" s="48">
        <f t="shared" si="165"/>
        <v>232.97646461772308</v>
      </c>
      <c r="CS61" s="48">
        <f t="shared" si="166"/>
        <v>287.54797661772307</v>
      </c>
      <c r="CT61" s="93">
        <f t="shared" si="167"/>
        <v>232.99830258071862</v>
      </c>
      <c r="CU61" s="93">
        <f t="shared" si="168"/>
        <v>287.56981458071863</v>
      </c>
      <c r="CV61" s="118"/>
      <c r="CW61" s="275">
        <v>1.6443000000000001</v>
      </c>
      <c r="CX61" s="275">
        <v>1.5552999999999999</v>
      </c>
      <c r="CY61" s="275">
        <v>0.113</v>
      </c>
      <c r="CZ61" s="275">
        <v>34034.982499999998</v>
      </c>
      <c r="DA61" s="275">
        <v>9119.3932999999997</v>
      </c>
      <c r="DB61" s="49">
        <f t="shared" si="200"/>
        <v>341.340237</v>
      </c>
      <c r="DC61" s="49">
        <f t="shared" si="200"/>
        <v>437.83250299999997</v>
      </c>
      <c r="DD61" s="47">
        <f t="shared" si="200"/>
        <v>3.2770000000000001E-2</v>
      </c>
      <c r="DE61" s="47">
        <f t="shared" si="169"/>
        <v>1.8414108177488345E-2</v>
      </c>
      <c r="DF61" s="48">
        <f t="shared" si="170"/>
        <v>341.35865110817747</v>
      </c>
      <c r="DG61" s="48">
        <f t="shared" si="171"/>
        <v>437.81814710817741</v>
      </c>
      <c r="DH61" s="93">
        <f t="shared" si="172"/>
        <v>341.36294211169809</v>
      </c>
      <c r="DI61" s="93">
        <f t="shared" si="173"/>
        <v>437.82243811169803</v>
      </c>
      <c r="DJ61" s="118"/>
      <c r="DK61" s="275">
        <v>1.6732</v>
      </c>
      <c r="DL61" s="275">
        <v>1.5834999999999999</v>
      </c>
      <c r="DM61" s="275">
        <v>0.14030000000000001</v>
      </c>
      <c r="DN61" s="275">
        <v>9327.4308000000001</v>
      </c>
      <c r="DO61" s="275">
        <v>3235.7849999999999</v>
      </c>
      <c r="DP61" s="49">
        <f t="shared" si="201"/>
        <v>227.95676800000001</v>
      </c>
      <c r="DQ61" s="49">
        <f t="shared" si="201"/>
        <v>312.44038499999999</v>
      </c>
      <c r="DR61" s="47">
        <f t="shared" si="201"/>
        <v>3.0866000000000001E-2</v>
      </c>
      <c r="DS61" s="47">
        <f t="shared" si="174"/>
        <v>1.784573599226567E-2</v>
      </c>
      <c r="DT61" s="48">
        <f t="shared" si="175"/>
        <v>227.97461373599228</v>
      </c>
      <c r="DU61" s="48">
        <f t="shared" si="176"/>
        <v>312.42736473599223</v>
      </c>
      <c r="DV61" s="93">
        <f t="shared" si="177"/>
        <v>227.97884875104333</v>
      </c>
      <c r="DW61" s="93">
        <f t="shared" si="178"/>
        <v>312.43159975104328</v>
      </c>
      <c r="DX61" s="118"/>
      <c r="DY61" s="118"/>
      <c r="DZ61" s="118"/>
      <c r="EB61" s="52"/>
      <c r="EC61" s="52"/>
      <c r="ED61" s="52"/>
      <c r="EE61" s="55">
        <f t="shared" si="179"/>
        <v>176209.16829999996</v>
      </c>
      <c r="EF61" s="55">
        <f t="shared" si="179"/>
        <v>50900.167400000006</v>
      </c>
      <c r="EG61" s="55">
        <f t="shared" si="179"/>
        <v>2616.3788495999997</v>
      </c>
      <c r="EH61" s="55">
        <f t="shared" si="179"/>
        <v>3273.1695534</v>
      </c>
      <c r="EI61" s="298">
        <f t="shared" si="202"/>
        <v>0.77587813709588505</v>
      </c>
      <c r="EJ61" s="52"/>
      <c r="EK61" s="55">
        <f t="shared" si="180"/>
        <v>2616.4063655042651</v>
      </c>
      <c r="EL61" s="55">
        <f t="shared" si="180"/>
        <v>3273.1477113042652</v>
      </c>
      <c r="EM61" s="55">
        <f t="shared" si="111"/>
        <v>2657.1572750114146</v>
      </c>
      <c r="EN61" s="55">
        <f t="shared" si="111"/>
        <v>3313.8986208114152</v>
      </c>
      <c r="EP61" s="52"/>
      <c r="EQ61" s="52"/>
      <c r="ER61" s="52"/>
      <c r="ES61" s="55">
        <f t="shared" si="203"/>
        <v>132376.28330000001</v>
      </c>
      <c r="ET61" s="55">
        <f t="shared" si="203"/>
        <v>38832.417400000006</v>
      </c>
      <c r="EU61" s="55">
        <f t="shared" si="203"/>
        <v>2126.4087279</v>
      </c>
      <c r="EV61" s="55">
        <f t="shared" si="203"/>
        <v>2754.8490081</v>
      </c>
      <c r="EW61" s="298">
        <f t="shared" si="204"/>
        <v>0.77318665908198203</v>
      </c>
      <c r="EX61" s="52"/>
      <c r="EY61" s="55">
        <f t="shared" si="205"/>
        <v>2131.2385098878813</v>
      </c>
      <c r="EZ61" s="55">
        <f t="shared" si="205"/>
        <v>2751.6083500878813</v>
      </c>
      <c r="FA61" s="55">
        <f t="shared" si="205"/>
        <v>2163.2827407840255</v>
      </c>
      <c r="FB61" s="55">
        <f t="shared" si="205"/>
        <v>2783.6525809840255</v>
      </c>
      <c r="FD61" s="52"/>
      <c r="FE61" s="52"/>
      <c r="FF61" s="52"/>
      <c r="FG61" s="55">
        <f t="shared" si="206"/>
        <v>105639.06409999999</v>
      </c>
      <c r="FH61" s="55">
        <f t="shared" si="206"/>
        <v>32707.510000000002</v>
      </c>
      <c r="FI61" s="55">
        <f t="shared" si="206"/>
        <v>1710.5484408</v>
      </c>
      <c r="FJ61" s="55">
        <f t="shared" si="206"/>
        <v>2404.2794840000001</v>
      </c>
      <c r="FK61" s="298">
        <f t="shared" si="207"/>
        <v>0.76358279767478532</v>
      </c>
      <c r="FL61" s="52"/>
      <c r="FM61" s="55">
        <f t="shared" si="208"/>
        <v>1710.7161899164694</v>
      </c>
      <c r="FN61" s="55">
        <f t="shared" si="208"/>
        <v>2404.0947445164688</v>
      </c>
      <c r="FO61" s="55">
        <f t="shared" si="208"/>
        <v>1735.0660459037535</v>
      </c>
      <c r="FP61" s="55">
        <f t="shared" si="208"/>
        <v>2428.444600503753</v>
      </c>
      <c r="FR61" s="52"/>
      <c r="FS61" s="52"/>
      <c r="FT61" s="52"/>
      <c r="FU61" s="55">
        <f t="shared" si="209"/>
        <v>107211.75749999999</v>
      </c>
      <c r="FV61" s="55">
        <f t="shared" si="209"/>
        <v>30976.730800000001</v>
      </c>
      <c r="FW61" s="55">
        <f t="shared" si="209"/>
        <v>506.03586960000001</v>
      </c>
      <c r="FX61" s="55">
        <f t="shared" si="209"/>
        <v>637.82433639999999</v>
      </c>
      <c r="FY61" s="298">
        <f t="shared" si="210"/>
        <v>0.77583711073855055</v>
      </c>
      <c r="FZ61" s="52"/>
      <c r="GA61" s="55">
        <f t="shared" si="211"/>
        <v>506.06338550426506</v>
      </c>
      <c r="GB61" s="55">
        <f t="shared" si="211"/>
        <v>637.802494304265</v>
      </c>
      <c r="GC61" s="55">
        <f t="shared" si="211"/>
        <v>506.08865627007708</v>
      </c>
      <c r="GD61" s="55">
        <f t="shared" si="211"/>
        <v>637.82776507007702</v>
      </c>
      <c r="GF61" s="52"/>
      <c r="GG61" s="52"/>
      <c r="GH61" s="52"/>
      <c r="GI61" s="55">
        <f t="shared" si="212"/>
        <v>54768.813299999994</v>
      </c>
      <c r="GJ61" s="55">
        <f t="shared" si="212"/>
        <v>16705.3858</v>
      </c>
      <c r="GK61" s="56">
        <f t="shared" si="213"/>
        <v>165.97766475000003</v>
      </c>
      <c r="GL61" s="56">
        <f t="shared" si="213"/>
        <v>215.03083200000003</v>
      </c>
      <c r="GM61" s="298">
        <f t="shared" si="214"/>
        <v>0.76627390008767504</v>
      </c>
      <c r="GN61" s="52"/>
      <c r="GO61" s="56">
        <f t="shared" si="215"/>
        <v>165.86947195713708</v>
      </c>
      <c r="GP61" s="56">
        <f t="shared" si="215"/>
        <v>215.15575945713709</v>
      </c>
      <c r="GQ61" s="56">
        <f t="shared" si="215"/>
        <v>171.27731072259957</v>
      </c>
      <c r="GR61" s="56">
        <f t="shared" si="215"/>
        <v>220.56359822259964</v>
      </c>
      <c r="GW61" s="275">
        <v>1.4664999999999999</v>
      </c>
      <c r="GX61" s="275">
        <v>1.1633</v>
      </c>
      <c r="GY61" s="275">
        <v>3.7699999999999997E-2</v>
      </c>
      <c r="GZ61" s="275">
        <v>3201.41</v>
      </c>
      <c r="HA61" s="275">
        <v>1111.1042</v>
      </c>
      <c r="HB61" s="49">
        <f t="shared" si="126"/>
        <v>963.18253499999992</v>
      </c>
      <c r="HC61" s="49">
        <f t="shared" si="127"/>
        <v>1579.540373</v>
      </c>
      <c r="HD61" s="47">
        <f t="shared" si="128"/>
        <v>9.1731639999999999</v>
      </c>
      <c r="HE61" s="47">
        <f t="shared" si="181"/>
        <v>2.3634336201580046</v>
      </c>
      <c r="HF61" s="48">
        <f t="shared" si="182"/>
        <v>965.54596862015796</v>
      </c>
      <c r="HG61" s="48">
        <f t="shared" si="183"/>
        <v>1572.7306426201581</v>
      </c>
      <c r="HH61" s="93">
        <f t="shared" si="184"/>
        <v>978.00792854956978</v>
      </c>
      <c r="HI61" s="93">
        <f t="shared" si="185"/>
        <v>1585.19260254957</v>
      </c>
      <c r="HJ61" s="298">
        <f t="shared" si="216"/>
        <v>0.74235349764181646</v>
      </c>
      <c r="HL61" s="275">
        <v>1.5984</v>
      </c>
      <c r="HM61" s="275">
        <v>1.3551</v>
      </c>
      <c r="HN61" s="275">
        <v>0</v>
      </c>
      <c r="HO61" s="275">
        <v>428.93169999999998</v>
      </c>
      <c r="HP61" s="275">
        <v>108.25</v>
      </c>
      <c r="HQ61" s="49">
        <f t="shared" si="130"/>
        <v>849.78935999999999</v>
      </c>
      <c r="HR61" s="49">
        <f t="shared" si="131"/>
        <v>1050.920703</v>
      </c>
      <c r="HS61" s="47">
        <f t="shared" si="132"/>
        <v>0</v>
      </c>
      <c r="HT61" s="47">
        <f t="shared" si="186"/>
        <v>0</v>
      </c>
      <c r="HU61" s="48">
        <f t="shared" si="187"/>
        <v>849.78935999999999</v>
      </c>
      <c r="HV61" s="48">
        <f t="shared" si="188"/>
        <v>1050.920703</v>
      </c>
      <c r="HW61" s="93">
        <f t="shared" si="189"/>
        <v>852.79440852670291</v>
      </c>
      <c r="HX61" s="93">
        <f t="shared" si="190"/>
        <v>1053.9257515267029</v>
      </c>
      <c r="HY61" s="298">
        <f t="shared" si="217"/>
        <v>0.79848531697933867</v>
      </c>
    </row>
    <row r="62" spans="1:233" s="131" customFormat="1" x14ac:dyDescent="0.2">
      <c r="A62" s="118">
        <v>52</v>
      </c>
      <c r="B62" s="118"/>
      <c r="C62" s="275">
        <v>1.5215000000000001</v>
      </c>
      <c r="D62" s="275">
        <v>1.1155999999999999</v>
      </c>
      <c r="E62" s="275">
        <v>0</v>
      </c>
      <c r="F62" s="275">
        <v>34067.14</v>
      </c>
      <c r="G62" s="275">
        <v>10234.1667</v>
      </c>
      <c r="H62" s="49">
        <f t="shared" si="192"/>
        <v>1504.839575</v>
      </c>
      <c r="I62" s="49">
        <f t="shared" si="192"/>
        <v>2010.1103919999998</v>
      </c>
      <c r="J62" s="47">
        <f t="shared" si="192"/>
        <v>0</v>
      </c>
      <c r="K62" s="47">
        <f t="shared" si="134"/>
        <v>0</v>
      </c>
      <c r="L62" s="48">
        <f t="shared" si="135"/>
        <v>1504.839575</v>
      </c>
      <c r="M62" s="48">
        <f t="shared" si="136"/>
        <v>2010.1103919999998</v>
      </c>
      <c r="N62" s="93">
        <f t="shared" si="137"/>
        <v>1527.1359681656184</v>
      </c>
      <c r="O62" s="93">
        <f t="shared" si="138"/>
        <v>2032.4067851656182</v>
      </c>
      <c r="P62" s="298">
        <f t="shared" si="193"/>
        <v>0.76898724975983601</v>
      </c>
      <c r="Q62" s="275">
        <v>1.7869999999999999</v>
      </c>
      <c r="R62" s="275">
        <v>1.393</v>
      </c>
      <c r="S62" s="275">
        <v>3.8800000000000001E-2</v>
      </c>
      <c r="T62" s="275">
        <v>7396.4092000000001</v>
      </c>
      <c r="U62" s="275">
        <v>2839.9508000000001</v>
      </c>
      <c r="V62" s="49">
        <f t="shared" si="194"/>
        <v>1095.4131299999999</v>
      </c>
      <c r="W62" s="49">
        <f t="shared" si="194"/>
        <v>1616.7993800000002</v>
      </c>
      <c r="X62" s="47">
        <f t="shared" si="194"/>
        <v>8.3920519999999996</v>
      </c>
      <c r="Y62" s="47">
        <f t="shared" si="139"/>
        <v>5.002655367343527</v>
      </c>
      <c r="Z62" s="48">
        <f t="shared" si="140"/>
        <v>1100.4157853673435</v>
      </c>
      <c r="AA62" s="48">
        <f t="shared" si="141"/>
        <v>1613.4099833673438</v>
      </c>
      <c r="AB62" s="93">
        <f t="shared" si="142"/>
        <v>1112.5310876830456</v>
      </c>
      <c r="AC62" s="93">
        <f t="shared" si="143"/>
        <v>1625.5252856830459</v>
      </c>
      <c r="AD62" s="118"/>
      <c r="AE62" s="275">
        <v>2.048</v>
      </c>
      <c r="AF62" s="275">
        <v>1.4224000000000001</v>
      </c>
      <c r="AG62" s="275">
        <v>0</v>
      </c>
      <c r="AH62" s="275">
        <v>863.56920000000002</v>
      </c>
      <c r="AI62" s="275">
        <v>329.48250000000002</v>
      </c>
      <c r="AJ62" s="49">
        <f t="shared" si="195"/>
        <v>960.24576000000002</v>
      </c>
      <c r="AK62" s="49">
        <f t="shared" si="195"/>
        <v>1616.955872</v>
      </c>
      <c r="AL62" s="47">
        <f t="shared" si="195"/>
        <v>0</v>
      </c>
      <c r="AM62" s="47">
        <f t="shared" si="144"/>
        <v>0</v>
      </c>
      <c r="AN62" s="48">
        <f t="shared" si="145"/>
        <v>960.24576000000002</v>
      </c>
      <c r="AO62" s="48">
        <f t="shared" si="146"/>
        <v>1616.955872</v>
      </c>
      <c r="AP62" s="93">
        <f t="shared" si="147"/>
        <v>973.35244312682198</v>
      </c>
      <c r="AQ62" s="93">
        <f t="shared" si="148"/>
        <v>1630.062555126822</v>
      </c>
      <c r="AR62" s="118"/>
      <c r="AS62" s="275">
        <v>2.0663</v>
      </c>
      <c r="AT62" s="275">
        <v>1.0059</v>
      </c>
      <c r="AU62" s="275">
        <v>0</v>
      </c>
      <c r="AV62" s="275">
        <v>30673.861700000001</v>
      </c>
      <c r="AW62" s="275">
        <v>8991.7674999999999</v>
      </c>
      <c r="AX62" s="49">
        <f t="shared" si="196"/>
        <v>720.00223500000004</v>
      </c>
      <c r="AY62" s="49">
        <f t="shared" si="196"/>
        <v>703.999233</v>
      </c>
      <c r="AZ62" s="47">
        <f t="shared" si="196"/>
        <v>0</v>
      </c>
      <c r="BA62" s="47">
        <f t="shared" si="149"/>
        <v>0</v>
      </c>
      <c r="BB62" s="48">
        <f t="shared" si="150"/>
        <v>720.00223500000004</v>
      </c>
      <c r="BC62" s="48">
        <f t="shared" si="151"/>
        <v>703.999233</v>
      </c>
      <c r="BD62" s="93">
        <f t="shared" si="152"/>
        <v>738.43148057571943</v>
      </c>
      <c r="BE62" s="93">
        <f t="shared" si="153"/>
        <v>722.42847857571951</v>
      </c>
      <c r="BF62" s="118"/>
      <c r="BG62" s="275">
        <v>1.9665999999999999</v>
      </c>
      <c r="BH62" s="275">
        <v>1.0903</v>
      </c>
      <c r="BI62" s="275">
        <v>0</v>
      </c>
      <c r="BJ62" s="275">
        <v>16623.004199999999</v>
      </c>
      <c r="BK62" s="275">
        <v>5017.9817000000003</v>
      </c>
      <c r="BL62" s="49">
        <f t="shared" si="197"/>
        <v>665.14345200000002</v>
      </c>
      <c r="BM62" s="49">
        <f t="shared" si="197"/>
        <v>652.50093800000002</v>
      </c>
      <c r="BN62" s="47">
        <f t="shared" si="197"/>
        <v>0</v>
      </c>
      <c r="BO62" s="47">
        <f t="shared" si="154"/>
        <v>0</v>
      </c>
      <c r="BP62" s="48">
        <f t="shared" si="155"/>
        <v>665.14345200000002</v>
      </c>
      <c r="BQ62" s="48">
        <f t="shared" si="156"/>
        <v>652.50093800000002</v>
      </c>
      <c r="BR62" s="93">
        <f t="shared" si="157"/>
        <v>684.84899104207216</v>
      </c>
      <c r="BS62" s="93">
        <f t="shared" si="158"/>
        <v>672.20647704207215</v>
      </c>
      <c r="BT62" s="118"/>
      <c r="BU62" s="275">
        <v>2.0390000000000001</v>
      </c>
      <c r="BV62" s="275">
        <v>1.1232</v>
      </c>
      <c r="BW62" s="275">
        <v>3.3E-3</v>
      </c>
      <c r="BX62" s="275">
        <v>21292.685799999999</v>
      </c>
      <c r="BY62" s="275">
        <v>7162.0249999999996</v>
      </c>
      <c r="BZ62" s="49">
        <f t="shared" si="198"/>
        <v>479.45046000000002</v>
      </c>
      <c r="CA62" s="49">
        <f t="shared" si="198"/>
        <v>403.82409599999994</v>
      </c>
      <c r="CB62" s="47">
        <f t="shared" si="198"/>
        <v>0.31082699999999996</v>
      </c>
      <c r="CC62" s="47">
        <f t="shared" si="159"/>
        <v>0.14210692636253405</v>
      </c>
      <c r="CD62" s="48">
        <f t="shared" si="160"/>
        <v>479.59256692636257</v>
      </c>
      <c r="CE62" s="48">
        <f t="shared" si="161"/>
        <v>403.65537592636247</v>
      </c>
      <c r="CF62" s="93">
        <f t="shared" si="162"/>
        <v>490.8135109455867</v>
      </c>
      <c r="CG62" s="93">
        <f t="shared" si="163"/>
        <v>414.8763199455866</v>
      </c>
      <c r="CH62" s="118"/>
      <c r="CI62" s="275">
        <v>1.1467000000000001</v>
      </c>
      <c r="CJ62" s="275">
        <v>1.0822000000000001</v>
      </c>
      <c r="CK62" s="275">
        <v>5.3900000000000003E-2</v>
      </c>
      <c r="CL62" s="275">
        <v>69351.341700000004</v>
      </c>
      <c r="CM62" s="275">
        <v>21154.174999999999</v>
      </c>
      <c r="CN62" s="49">
        <f t="shared" si="199"/>
        <v>236.67888000000002</v>
      </c>
      <c r="CO62" s="49">
        <f t="shared" si="199"/>
        <v>289.83480400000002</v>
      </c>
      <c r="CP62" s="47">
        <f t="shared" si="199"/>
        <v>2.2638000000000002E-2</v>
      </c>
      <c r="CQ62" s="47">
        <f t="shared" si="164"/>
        <v>1.2461746944742278E-2</v>
      </c>
      <c r="CR62" s="48">
        <f t="shared" si="165"/>
        <v>236.69134174694477</v>
      </c>
      <c r="CS62" s="48">
        <f t="shared" si="166"/>
        <v>289.82462774694477</v>
      </c>
      <c r="CT62" s="93">
        <f t="shared" si="167"/>
        <v>236.71350258071863</v>
      </c>
      <c r="CU62" s="93">
        <f t="shared" si="168"/>
        <v>289.84678858071868</v>
      </c>
      <c r="CV62" s="118"/>
      <c r="CW62" s="275">
        <v>1.7382</v>
      </c>
      <c r="CX62" s="275">
        <v>1.627</v>
      </c>
      <c r="CY62" s="275">
        <v>0.1038</v>
      </c>
      <c r="CZ62" s="275">
        <v>31971.173299999999</v>
      </c>
      <c r="DA62" s="275">
        <v>8772.2342000000008</v>
      </c>
      <c r="DB62" s="49">
        <f t="shared" si="200"/>
        <v>360.83293800000001</v>
      </c>
      <c r="DC62" s="49">
        <f t="shared" si="200"/>
        <v>458.01677000000001</v>
      </c>
      <c r="DD62" s="47">
        <f t="shared" si="200"/>
        <v>3.0102E-2</v>
      </c>
      <c r="DE62" s="47">
        <f t="shared" si="169"/>
        <v>1.6837303202091394E-2</v>
      </c>
      <c r="DF62" s="48">
        <f t="shared" si="170"/>
        <v>360.84977530320208</v>
      </c>
      <c r="DG62" s="48">
        <f t="shared" si="171"/>
        <v>458.00350530320208</v>
      </c>
      <c r="DH62" s="93">
        <f t="shared" si="172"/>
        <v>360.8556431116981</v>
      </c>
      <c r="DI62" s="93">
        <f t="shared" si="173"/>
        <v>458.0093731116981</v>
      </c>
      <c r="DJ62" s="118"/>
      <c r="DK62" s="275">
        <v>1.7762</v>
      </c>
      <c r="DL62" s="275">
        <v>1.6517999999999999</v>
      </c>
      <c r="DM62" s="275">
        <v>0.1237</v>
      </c>
      <c r="DN62" s="275">
        <v>8758.875</v>
      </c>
      <c r="DO62" s="275">
        <v>3123.5749999999998</v>
      </c>
      <c r="DP62" s="49">
        <f t="shared" si="201"/>
        <v>241.98948800000002</v>
      </c>
      <c r="DQ62" s="49">
        <f t="shared" si="201"/>
        <v>325.91665799999998</v>
      </c>
      <c r="DR62" s="47">
        <f t="shared" si="201"/>
        <v>2.7214000000000002E-2</v>
      </c>
      <c r="DS62" s="47">
        <f t="shared" si="174"/>
        <v>1.5617890373759047E-2</v>
      </c>
      <c r="DT62" s="48">
        <f t="shared" si="175"/>
        <v>242.00510589037378</v>
      </c>
      <c r="DU62" s="48">
        <f t="shared" si="176"/>
        <v>325.9050618903737</v>
      </c>
      <c r="DV62" s="93">
        <f t="shared" si="177"/>
        <v>242.01156875104334</v>
      </c>
      <c r="DW62" s="93">
        <f t="shared" si="178"/>
        <v>325.91152475104326</v>
      </c>
      <c r="DX62" s="118"/>
      <c r="DY62" s="118"/>
      <c r="DZ62" s="118"/>
      <c r="EB62" s="52"/>
      <c r="EC62" s="52"/>
      <c r="ED62" s="52"/>
      <c r="EE62" s="55">
        <f t="shared" si="179"/>
        <v>166063.51670000001</v>
      </c>
      <c r="EF62" s="55">
        <f t="shared" si="179"/>
        <v>49152.343399999998</v>
      </c>
      <c r="EG62" s="55">
        <f t="shared" si="179"/>
        <v>2750.1870403999997</v>
      </c>
      <c r="EH62" s="55">
        <f t="shared" si="179"/>
        <v>3370.357845</v>
      </c>
      <c r="EI62" s="298">
        <f t="shared" si="202"/>
        <v>0.77161374920435066</v>
      </c>
      <c r="EJ62" s="52"/>
      <c r="EK62" s="55">
        <f t="shared" si="180"/>
        <v>2750.2129719895065</v>
      </c>
      <c r="EL62" s="55">
        <f t="shared" si="180"/>
        <v>3370.3370569895064</v>
      </c>
      <c r="EM62" s="55">
        <f t="shared" si="111"/>
        <v>2790.9654658114155</v>
      </c>
      <c r="EN62" s="55">
        <f t="shared" si="111"/>
        <v>3411.0895508114149</v>
      </c>
      <c r="EP62" s="52"/>
      <c r="EQ62" s="52"/>
      <c r="ER62" s="52"/>
      <c r="ES62" s="55">
        <f t="shared" si="203"/>
        <v>125341.9284</v>
      </c>
      <c r="ET62" s="55">
        <f t="shared" si="203"/>
        <v>37784.341699999997</v>
      </c>
      <c r="EU62" s="55">
        <f t="shared" si="203"/>
        <v>2249.8185186000001</v>
      </c>
      <c r="EV62" s="55">
        <f t="shared" si="203"/>
        <v>2879.7468610000001</v>
      </c>
      <c r="EW62" s="298">
        <f t="shared" si="204"/>
        <v>0.76837365510265543</v>
      </c>
      <c r="EX62" s="52"/>
      <c r="EY62" s="55">
        <f t="shared" si="205"/>
        <v>2254.8454218265297</v>
      </c>
      <c r="EZ62" s="55">
        <f t="shared" si="205"/>
        <v>2876.3380028265301</v>
      </c>
      <c r="FA62" s="55">
        <f t="shared" si="205"/>
        <v>2286.692531484025</v>
      </c>
      <c r="FB62" s="55">
        <f t="shared" si="205"/>
        <v>2908.1851124840255</v>
      </c>
      <c r="FD62" s="52"/>
      <c r="FE62" s="52"/>
      <c r="FF62" s="52"/>
      <c r="FG62" s="55">
        <f t="shared" si="206"/>
        <v>100266.47170000001</v>
      </c>
      <c r="FH62" s="55">
        <f t="shared" si="206"/>
        <v>31769.2575</v>
      </c>
      <c r="FI62" s="55">
        <f t="shared" si="206"/>
        <v>1821.5687928</v>
      </c>
      <c r="FJ62" s="55">
        <f t="shared" si="206"/>
        <v>2506.1647668000001</v>
      </c>
      <c r="FK62" s="298">
        <f t="shared" si="207"/>
        <v>0.75938893440064414</v>
      </c>
      <c r="FL62" s="52"/>
      <c r="FM62" s="55">
        <f t="shared" si="208"/>
        <v>1821.7327322075316</v>
      </c>
      <c r="FN62" s="55">
        <f t="shared" si="208"/>
        <v>2505.9789128075313</v>
      </c>
      <c r="FO62" s="55">
        <f t="shared" si="208"/>
        <v>1846.0863979037531</v>
      </c>
      <c r="FP62" s="55">
        <f t="shared" si="208"/>
        <v>2530.3325785037532</v>
      </c>
      <c r="FR62" s="52"/>
      <c r="FS62" s="52"/>
      <c r="FT62" s="52"/>
      <c r="FU62" s="55">
        <f t="shared" si="209"/>
        <v>101322.515</v>
      </c>
      <c r="FV62" s="55">
        <f t="shared" si="209"/>
        <v>29926.409200000002</v>
      </c>
      <c r="FW62" s="55">
        <f t="shared" si="209"/>
        <v>525.34523039999999</v>
      </c>
      <c r="FX62" s="55">
        <f t="shared" si="209"/>
        <v>656.24822000000006</v>
      </c>
      <c r="FY62" s="298">
        <f t="shared" si="210"/>
        <v>0.77198739431648611</v>
      </c>
      <c r="FZ62" s="52"/>
      <c r="GA62" s="55">
        <f t="shared" si="211"/>
        <v>525.37116198950639</v>
      </c>
      <c r="GB62" s="55">
        <f t="shared" si="211"/>
        <v>656.22743198950639</v>
      </c>
      <c r="GC62" s="55">
        <f t="shared" si="211"/>
        <v>525.39801707007712</v>
      </c>
      <c r="GD62" s="55">
        <f t="shared" si="211"/>
        <v>656.25428707007723</v>
      </c>
      <c r="GF62" s="52"/>
      <c r="GG62" s="52"/>
      <c r="GH62" s="52"/>
      <c r="GI62" s="55">
        <f t="shared" si="212"/>
        <v>51966.547500000001</v>
      </c>
      <c r="GJ62" s="55">
        <f t="shared" si="212"/>
        <v>16153.7925</v>
      </c>
      <c r="GK62" s="56">
        <f t="shared" si="213"/>
        <v>180.41383125000002</v>
      </c>
      <c r="GL62" s="56">
        <f t="shared" si="213"/>
        <v>225.13135275000005</v>
      </c>
      <c r="GM62" s="298">
        <f t="shared" si="214"/>
        <v>0.76286388911153413</v>
      </c>
      <c r="GN62" s="52"/>
      <c r="GO62" s="56">
        <f t="shared" si="215"/>
        <v>180.30725105522811</v>
      </c>
      <c r="GP62" s="56">
        <f t="shared" si="215"/>
        <v>225.25789280522815</v>
      </c>
      <c r="GQ62" s="56">
        <f t="shared" si="215"/>
        <v>185.71347722259955</v>
      </c>
      <c r="GR62" s="56">
        <f t="shared" si="215"/>
        <v>230.66411897259968</v>
      </c>
      <c r="GW62" s="275">
        <v>1.5306999999999999</v>
      </c>
      <c r="GX62" s="275">
        <v>1.2054</v>
      </c>
      <c r="GY62" s="275">
        <v>3.95E-2</v>
      </c>
      <c r="GZ62" s="275">
        <v>3175.0558000000001</v>
      </c>
      <c r="HA62" s="275">
        <v>1142.8399999999999</v>
      </c>
      <c r="HB62" s="49">
        <f t="shared" si="126"/>
        <v>1005.3484529999999</v>
      </c>
      <c r="HC62" s="49">
        <f t="shared" si="127"/>
        <v>1636.704174</v>
      </c>
      <c r="HD62" s="47">
        <f t="shared" si="128"/>
        <v>9.6111400000000007</v>
      </c>
      <c r="HE62" s="47">
        <f t="shared" si="181"/>
        <v>2.5438305476477687</v>
      </c>
      <c r="HF62" s="48">
        <f t="shared" si="182"/>
        <v>1007.8922835476477</v>
      </c>
      <c r="HG62" s="48">
        <f t="shared" si="183"/>
        <v>1629.6368645476477</v>
      </c>
      <c r="HH62" s="93">
        <f t="shared" si="184"/>
        <v>1020.1738465495698</v>
      </c>
      <c r="HI62" s="93">
        <f t="shared" si="185"/>
        <v>1641.91842754957</v>
      </c>
      <c r="HJ62" s="298">
        <f t="shared" si="216"/>
        <v>0.73532478481764196</v>
      </c>
      <c r="HL62" s="275">
        <v>1.6887000000000001</v>
      </c>
      <c r="HM62" s="275">
        <v>1.4266000000000001</v>
      </c>
      <c r="HN62" s="275">
        <v>0</v>
      </c>
      <c r="HO62" s="275">
        <v>464.83330000000001</v>
      </c>
      <c r="HP62" s="275">
        <v>120.5483</v>
      </c>
      <c r="HQ62" s="49">
        <f t="shared" si="130"/>
        <v>897.79735500000004</v>
      </c>
      <c r="HR62" s="49">
        <f t="shared" si="131"/>
        <v>1106.3710980000001</v>
      </c>
      <c r="HS62" s="47">
        <f t="shared" si="132"/>
        <v>0</v>
      </c>
      <c r="HT62" s="47">
        <f t="shared" si="186"/>
        <v>0</v>
      </c>
      <c r="HU62" s="48">
        <f t="shared" si="187"/>
        <v>897.79735500000004</v>
      </c>
      <c r="HV62" s="48">
        <f t="shared" si="188"/>
        <v>1106.3710980000001</v>
      </c>
      <c r="HW62" s="93">
        <f t="shared" si="189"/>
        <v>900.80240352670296</v>
      </c>
      <c r="HX62" s="93">
        <f t="shared" si="190"/>
        <v>1109.376146526703</v>
      </c>
      <c r="HY62" s="298">
        <f t="shared" si="217"/>
        <v>0.79406886038098901</v>
      </c>
    </row>
    <row r="63" spans="1:233" s="131" customFormat="1" x14ac:dyDescent="0.2">
      <c r="A63" s="118">
        <v>53</v>
      </c>
      <c r="B63" s="118"/>
      <c r="C63" s="275">
        <v>1.5911</v>
      </c>
      <c r="D63" s="275">
        <v>1.1432</v>
      </c>
      <c r="E63" s="275">
        <v>0</v>
      </c>
      <c r="F63" s="275">
        <v>30710.095000000001</v>
      </c>
      <c r="G63" s="275">
        <v>9433.8017</v>
      </c>
      <c r="H63" s="49">
        <f t="shared" si="192"/>
        <v>1573.6774549999998</v>
      </c>
      <c r="I63" s="49">
        <f t="shared" si="192"/>
        <v>2059.8406239999999</v>
      </c>
      <c r="J63" s="47">
        <f t="shared" si="192"/>
        <v>0</v>
      </c>
      <c r="K63" s="47">
        <f t="shared" si="134"/>
        <v>0</v>
      </c>
      <c r="L63" s="48">
        <f t="shared" si="135"/>
        <v>1573.6774549999998</v>
      </c>
      <c r="M63" s="48">
        <f t="shared" si="136"/>
        <v>2059.8406239999999</v>
      </c>
      <c r="N63" s="93">
        <f t="shared" si="137"/>
        <v>1595.9738481656182</v>
      </c>
      <c r="O63" s="93">
        <f t="shared" si="138"/>
        <v>2082.1370171656185</v>
      </c>
      <c r="P63" s="298">
        <f t="shared" si="193"/>
        <v>0.7650003493557217</v>
      </c>
      <c r="Q63" s="275">
        <v>1.8973</v>
      </c>
      <c r="R63" s="275">
        <v>1.4530000000000001</v>
      </c>
      <c r="S63" s="275">
        <v>3.9399999999999998E-2</v>
      </c>
      <c r="T63" s="275">
        <v>7007.0883000000003</v>
      </c>
      <c r="U63" s="275">
        <v>2598.5392000000002</v>
      </c>
      <c r="V63" s="49">
        <f t="shared" si="194"/>
        <v>1163.0259269999999</v>
      </c>
      <c r="W63" s="49">
        <f t="shared" si="194"/>
        <v>1686.4389800000001</v>
      </c>
      <c r="X63" s="47">
        <f t="shared" si="194"/>
        <v>8.521825999999999</v>
      </c>
      <c r="Y63" s="47">
        <f t="shared" si="139"/>
        <v>5.0435923993562204</v>
      </c>
      <c r="Z63" s="48">
        <f t="shared" si="140"/>
        <v>1168.0695193993561</v>
      </c>
      <c r="AA63" s="48">
        <f t="shared" si="141"/>
        <v>1682.9607463993564</v>
      </c>
      <c r="AB63" s="93">
        <f t="shared" si="142"/>
        <v>1180.1438846830456</v>
      </c>
      <c r="AC63" s="93">
        <f t="shared" si="143"/>
        <v>1695.0351116830459</v>
      </c>
      <c r="AD63" s="118"/>
      <c r="AE63" s="275">
        <v>2.2151000000000001</v>
      </c>
      <c r="AF63" s="275">
        <v>1.4905999999999999</v>
      </c>
      <c r="AG63" s="275">
        <v>0</v>
      </c>
      <c r="AH63" s="275">
        <v>811.9633</v>
      </c>
      <c r="AI63" s="275">
        <v>303.9092</v>
      </c>
      <c r="AJ63" s="49">
        <f t="shared" si="195"/>
        <v>1038.5939370000001</v>
      </c>
      <c r="AK63" s="49">
        <f t="shared" si="195"/>
        <v>1694.4842679999999</v>
      </c>
      <c r="AL63" s="47">
        <f t="shared" si="195"/>
        <v>0</v>
      </c>
      <c r="AM63" s="47">
        <f t="shared" si="144"/>
        <v>0</v>
      </c>
      <c r="AN63" s="48">
        <f t="shared" si="145"/>
        <v>1038.5939370000001</v>
      </c>
      <c r="AO63" s="48">
        <f t="shared" si="146"/>
        <v>1694.4842679999999</v>
      </c>
      <c r="AP63" s="93">
        <f t="shared" si="147"/>
        <v>1051.7006201268221</v>
      </c>
      <c r="AQ63" s="93">
        <f t="shared" si="148"/>
        <v>1707.5909511268219</v>
      </c>
      <c r="AR63" s="118"/>
      <c r="AS63" s="275">
        <v>2.2282999999999999</v>
      </c>
      <c r="AT63" s="275">
        <v>1.0516000000000001</v>
      </c>
      <c r="AU63" s="275">
        <v>0</v>
      </c>
      <c r="AV63" s="275">
        <v>28154.834200000001</v>
      </c>
      <c r="AW63" s="275">
        <v>8219.1674999999996</v>
      </c>
      <c r="AX63" s="49">
        <f t="shared" si="196"/>
        <v>776.45113499999991</v>
      </c>
      <c r="AY63" s="49">
        <f t="shared" si="196"/>
        <v>735.98329200000012</v>
      </c>
      <c r="AZ63" s="47">
        <f t="shared" si="196"/>
        <v>0</v>
      </c>
      <c r="BA63" s="47">
        <f t="shared" si="149"/>
        <v>0</v>
      </c>
      <c r="BB63" s="48">
        <f t="shared" si="150"/>
        <v>776.45113499999991</v>
      </c>
      <c r="BC63" s="48">
        <f t="shared" si="151"/>
        <v>735.98329200000012</v>
      </c>
      <c r="BD63" s="93">
        <f t="shared" si="152"/>
        <v>794.8803805757193</v>
      </c>
      <c r="BE63" s="93">
        <f t="shared" si="153"/>
        <v>754.41253757571963</v>
      </c>
      <c r="BF63" s="118"/>
      <c r="BG63" s="275">
        <v>2.1194999999999999</v>
      </c>
      <c r="BH63" s="275">
        <v>1.1466000000000001</v>
      </c>
      <c r="BI63" s="275">
        <v>0</v>
      </c>
      <c r="BJ63" s="275">
        <v>15104.53</v>
      </c>
      <c r="BK63" s="275">
        <v>4560.5191999999997</v>
      </c>
      <c r="BL63" s="49">
        <f t="shared" si="197"/>
        <v>716.85729000000003</v>
      </c>
      <c r="BM63" s="49">
        <f t="shared" si="197"/>
        <v>686.19423600000005</v>
      </c>
      <c r="BN63" s="47">
        <f t="shared" si="197"/>
        <v>0</v>
      </c>
      <c r="BO63" s="47">
        <f t="shared" si="154"/>
        <v>0</v>
      </c>
      <c r="BP63" s="48">
        <f t="shared" si="155"/>
        <v>716.85729000000003</v>
      </c>
      <c r="BQ63" s="48">
        <f t="shared" si="156"/>
        <v>686.19423600000005</v>
      </c>
      <c r="BR63" s="93">
        <f t="shared" si="157"/>
        <v>736.56282904207217</v>
      </c>
      <c r="BS63" s="93">
        <f t="shared" si="158"/>
        <v>705.89977504207218</v>
      </c>
      <c r="BT63" s="118"/>
      <c r="BU63" s="275">
        <v>2.1896</v>
      </c>
      <c r="BV63" s="275">
        <v>1.17</v>
      </c>
      <c r="BW63" s="275">
        <v>2.8E-3</v>
      </c>
      <c r="BX63" s="275">
        <v>19683.28</v>
      </c>
      <c r="BY63" s="275">
        <v>6845.3032999999996</v>
      </c>
      <c r="BZ63" s="49">
        <f t="shared" si="198"/>
        <v>514.86254399999996</v>
      </c>
      <c r="CA63" s="49">
        <f t="shared" si="198"/>
        <v>420.65009999999995</v>
      </c>
      <c r="CB63" s="47">
        <f t="shared" si="198"/>
        <v>0.26373199999999997</v>
      </c>
      <c r="CC63" s="47">
        <f t="shared" si="159"/>
        <v>0.11858620285328819</v>
      </c>
      <c r="CD63" s="48">
        <f t="shared" si="160"/>
        <v>514.98113020285325</v>
      </c>
      <c r="CE63" s="48">
        <f t="shared" si="161"/>
        <v>420.50495420285324</v>
      </c>
      <c r="CF63" s="93">
        <f t="shared" si="162"/>
        <v>526.22559494558664</v>
      </c>
      <c r="CG63" s="93">
        <f t="shared" si="163"/>
        <v>431.74941894558663</v>
      </c>
      <c r="CH63" s="118"/>
      <c r="CI63" s="275">
        <v>1.1658999999999999</v>
      </c>
      <c r="CJ63" s="275">
        <v>1.0899000000000001</v>
      </c>
      <c r="CK63" s="275">
        <v>5.0099999999999999E-2</v>
      </c>
      <c r="CL63" s="275">
        <v>63606.662499999999</v>
      </c>
      <c r="CM63" s="275">
        <v>19634.759999999998</v>
      </c>
      <c r="CN63" s="49">
        <f t="shared" si="199"/>
        <v>240.64176</v>
      </c>
      <c r="CO63" s="49">
        <f t="shared" si="199"/>
        <v>291.897018</v>
      </c>
      <c r="CP63" s="47">
        <f t="shared" si="199"/>
        <v>2.1041999999999998E-2</v>
      </c>
      <c r="CQ63" s="47">
        <f t="shared" si="164"/>
        <v>1.1533614652107079E-2</v>
      </c>
      <c r="CR63" s="48">
        <f t="shared" si="165"/>
        <v>240.65329361465211</v>
      </c>
      <c r="CS63" s="48">
        <f t="shared" si="166"/>
        <v>291.88750961465206</v>
      </c>
      <c r="CT63" s="93">
        <f t="shared" si="167"/>
        <v>240.67638258071861</v>
      </c>
      <c r="CU63" s="93">
        <f t="shared" si="168"/>
        <v>291.91059858071861</v>
      </c>
      <c r="CV63" s="118"/>
      <c r="CW63" s="275">
        <v>1.8346</v>
      </c>
      <c r="CX63" s="275">
        <v>1.6938</v>
      </c>
      <c r="CY63" s="275">
        <v>9.7199999999999995E-2</v>
      </c>
      <c r="CZ63" s="275">
        <v>29135.048299999999</v>
      </c>
      <c r="DA63" s="275">
        <v>8099.4542000000001</v>
      </c>
      <c r="DB63" s="49">
        <f t="shared" si="200"/>
        <v>380.84461400000004</v>
      </c>
      <c r="DC63" s="49">
        <f t="shared" si="200"/>
        <v>476.82163799999995</v>
      </c>
      <c r="DD63" s="47">
        <f t="shared" si="200"/>
        <v>2.8187999999999998E-2</v>
      </c>
      <c r="DE63" s="47">
        <f t="shared" si="169"/>
        <v>1.567118713205938E-2</v>
      </c>
      <c r="DF63" s="48">
        <f t="shared" si="170"/>
        <v>380.86028518713209</v>
      </c>
      <c r="DG63" s="48">
        <f t="shared" si="171"/>
        <v>476.80912118713201</v>
      </c>
      <c r="DH63" s="93">
        <f t="shared" si="172"/>
        <v>380.86731911169812</v>
      </c>
      <c r="DI63" s="93">
        <f t="shared" si="173"/>
        <v>476.81615511169804</v>
      </c>
      <c r="DJ63" s="118"/>
      <c r="DK63" s="275">
        <v>1.883</v>
      </c>
      <c r="DL63" s="275">
        <v>1.7145999999999999</v>
      </c>
      <c r="DM63" s="275">
        <v>0.10489999999999999</v>
      </c>
      <c r="DN63" s="275">
        <v>7944.3275000000003</v>
      </c>
      <c r="DO63" s="275">
        <v>2794.9382999999998</v>
      </c>
      <c r="DP63" s="49">
        <f t="shared" si="201"/>
        <v>256.53992</v>
      </c>
      <c r="DQ63" s="49">
        <f t="shared" si="201"/>
        <v>338.307726</v>
      </c>
      <c r="DR63" s="47">
        <f t="shared" si="201"/>
        <v>2.3077999999999998E-2</v>
      </c>
      <c r="DS63" s="47">
        <f t="shared" si="174"/>
        <v>1.3125151882383007E-2</v>
      </c>
      <c r="DT63" s="48">
        <f t="shared" si="175"/>
        <v>256.55304515188237</v>
      </c>
      <c r="DU63" s="48">
        <f t="shared" si="176"/>
        <v>338.29777315188238</v>
      </c>
      <c r="DV63" s="93">
        <f t="shared" si="177"/>
        <v>256.56200075104329</v>
      </c>
      <c r="DW63" s="93">
        <f t="shared" si="178"/>
        <v>338.30672875104329</v>
      </c>
      <c r="DX63" s="118"/>
      <c r="DY63" s="118"/>
      <c r="DZ63" s="118"/>
      <c r="EB63" s="52"/>
      <c r="EC63" s="52"/>
      <c r="ED63" s="52"/>
      <c r="EE63" s="55">
        <f t="shared" si="179"/>
        <v>151606.63999999998</v>
      </c>
      <c r="EF63" s="55">
        <f t="shared" si="179"/>
        <v>45387.183400000002</v>
      </c>
      <c r="EG63" s="55">
        <f t="shared" si="179"/>
        <v>2895.4460411999999</v>
      </c>
      <c r="EH63" s="55">
        <f t="shared" si="179"/>
        <v>3469.1782444000005</v>
      </c>
      <c r="EI63" s="298">
        <f t="shared" si="202"/>
        <v>0.7696009823219665</v>
      </c>
      <c r="EJ63" s="52"/>
      <c r="EK63" s="55">
        <f t="shared" si="180"/>
        <v>2895.4701117643576</v>
      </c>
      <c r="EL63" s="55">
        <f t="shared" si="180"/>
        <v>3469.158722564358</v>
      </c>
      <c r="EM63" s="55">
        <f t="shared" si="111"/>
        <v>2936.2244666114143</v>
      </c>
      <c r="EN63" s="55">
        <f t="shared" si="111"/>
        <v>3509.9130774114155</v>
      </c>
      <c r="EP63" s="52"/>
      <c r="EQ63" s="52"/>
      <c r="ER63" s="52"/>
      <c r="ES63" s="55">
        <f t="shared" si="203"/>
        <v>114853.3291</v>
      </c>
      <c r="ET63" s="55">
        <f t="shared" si="203"/>
        <v>34893.272599999997</v>
      </c>
      <c r="EU63" s="55">
        <f t="shared" si="203"/>
        <v>2387.1162067999999</v>
      </c>
      <c r="EV63" s="55">
        <f t="shared" si="203"/>
        <v>2998.3053806000003</v>
      </c>
      <c r="EW63" s="298">
        <f t="shared" si="204"/>
        <v>0.76698454453140352</v>
      </c>
      <c r="EX63" s="52"/>
      <c r="EY63" s="55">
        <f t="shared" si="205"/>
        <v>2392.1823026450006</v>
      </c>
      <c r="EZ63" s="55">
        <f t="shared" si="205"/>
        <v>2994.8088768450007</v>
      </c>
      <c r="FA63" s="55">
        <f t="shared" si="205"/>
        <v>2423.9902196840249</v>
      </c>
      <c r="FB63" s="55">
        <f t="shared" si="205"/>
        <v>3026.6167938840254</v>
      </c>
      <c r="FD63" s="52"/>
      <c r="FE63" s="52"/>
      <c r="FF63" s="52"/>
      <c r="FG63" s="55">
        <f t="shared" si="206"/>
        <v>92046.233299999993</v>
      </c>
      <c r="FH63" s="55">
        <f t="shared" si="206"/>
        <v>29578.910799999998</v>
      </c>
      <c r="FI63" s="55">
        <f t="shared" si="206"/>
        <v>1948.0221930000002</v>
      </c>
      <c r="FJ63" s="55">
        <f t="shared" si="206"/>
        <v>2610.0160215999999</v>
      </c>
      <c r="FK63" s="298">
        <f t="shared" si="207"/>
        <v>0.75680266593821865</v>
      </c>
      <c r="FL63" s="52"/>
      <c r="FM63" s="55">
        <f t="shared" si="208"/>
        <v>1948.160187908635</v>
      </c>
      <c r="FN63" s="55">
        <f t="shared" si="208"/>
        <v>2609.8553957086347</v>
      </c>
      <c r="FO63" s="55">
        <f t="shared" si="208"/>
        <v>1972.5397981037534</v>
      </c>
      <c r="FP63" s="55">
        <f t="shared" si="208"/>
        <v>2634.2350059037531</v>
      </c>
      <c r="FR63" s="52"/>
      <c r="FS63" s="52"/>
      <c r="FT63" s="52"/>
      <c r="FU63" s="55">
        <f t="shared" si="209"/>
        <v>92741.710800000001</v>
      </c>
      <c r="FV63" s="55">
        <f t="shared" si="209"/>
        <v>27734.214199999999</v>
      </c>
      <c r="FW63" s="55">
        <f t="shared" si="209"/>
        <v>545.31745120000005</v>
      </c>
      <c r="FX63" s="55">
        <f t="shared" si="209"/>
        <v>673.35432839999999</v>
      </c>
      <c r="FY63" s="298">
        <f t="shared" si="210"/>
        <v>0.76979455272910335</v>
      </c>
      <c r="FZ63" s="52"/>
      <c r="GA63" s="55">
        <f t="shared" si="211"/>
        <v>545.34152176435782</v>
      </c>
      <c r="GB63" s="55">
        <f t="shared" si="211"/>
        <v>673.33480656435768</v>
      </c>
      <c r="GC63" s="55">
        <f t="shared" si="211"/>
        <v>545.37023787007706</v>
      </c>
      <c r="GD63" s="55">
        <f t="shared" si="211"/>
        <v>673.36352267007715</v>
      </c>
      <c r="GF63" s="52"/>
      <c r="GG63" s="52"/>
      <c r="GH63" s="52"/>
      <c r="GI63" s="55">
        <f t="shared" si="212"/>
        <v>47838.114199999996</v>
      </c>
      <c r="GJ63" s="55">
        <f t="shared" si="212"/>
        <v>15064.470799999999</v>
      </c>
      <c r="GK63" s="56">
        <f t="shared" si="213"/>
        <v>196.19144324999996</v>
      </c>
      <c r="GL63" s="56">
        <f t="shared" si="213"/>
        <v>236.49989400000013</v>
      </c>
      <c r="GM63" s="298">
        <f t="shared" si="214"/>
        <v>0.76051110141181011</v>
      </c>
      <c r="GN63" s="52"/>
      <c r="GO63" s="56">
        <f t="shared" si="215"/>
        <v>196.10250359785999</v>
      </c>
      <c r="GP63" s="56">
        <f t="shared" si="215"/>
        <v>236.60875334786016</v>
      </c>
      <c r="GQ63" s="56">
        <f t="shared" si="215"/>
        <v>201.4910892225995</v>
      </c>
      <c r="GR63" s="56">
        <f t="shared" si="215"/>
        <v>241.99733897259975</v>
      </c>
      <c r="GW63" s="275">
        <v>1.613</v>
      </c>
      <c r="GX63" s="275">
        <v>1.2447999999999999</v>
      </c>
      <c r="GY63" s="275">
        <v>3.7600000000000001E-2</v>
      </c>
      <c r="GZ63" s="275">
        <v>2858.1417000000001</v>
      </c>
      <c r="HA63" s="275">
        <v>1043.2633000000001</v>
      </c>
      <c r="HB63" s="49">
        <f t="shared" si="126"/>
        <v>1059.40227</v>
      </c>
      <c r="HC63" s="49">
        <f t="shared" si="127"/>
        <v>1690.2018879999998</v>
      </c>
      <c r="HD63" s="47">
        <f t="shared" si="128"/>
        <v>9.1488320000000005</v>
      </c>
      <c r="HE63" s="47">
        <f t="shared" si="181"/>
        <v>2.4464624060987261</v>
      </c>
      <c r="HF63" s="48">
        <f t="shared" si="182"/>
        <v>1061.8487324060989</v>
      </c>
      <c r="HG63" s="48">
        <f t="shared" si="183"/>
        <v>1683.4995184060986</v>
      </c>
      <c r="HH63" s="93">
        <f t="shared" si="184"/>
        <v>1074.22766354957</v>
      </c>
      <c r="HI63" s="93">
        <f t="shared" si="185"/>
        <v>1695.8784495495697</v>
      </c>
      <c r="HJ63" s="298">
        <f t="shared" si="216"/>
        <v>0.73259292485655814</v>
      </c>
      <c r="HL63" s="275">
        <v>1.7919</v>
      </c>
      <c r="HM63" s="275">
        <v>1.5066999999999999</v>
      </c>
      <c r="HN63" s="275">
        <v>0</v>
      </c>
      <c r="HO63" s="275">
        <v>426.26499999999999</v>
      </c>
      <c r="HP63" s="275">
        <v>106.58329999999999</v>
      </c>
      <c r="HQ63" s="49">
        <f t="shared" si="130"/>
        <v>952.663635</v>
      </c>
      <c r="HR63" s="49">
        <f t="shared" si="131"/>
        <v>1168.491051</v>
      </c>
      <c r="HS63" s="47">
        <f t="shared" si="132"/>
        <v>0</v>
      </c>
      <c r="HT63" s="47">
        <f t="shared" si="186"/>
        <v>0</v>
      </c>
      <c r="HU63" s="48">
        <f t="shared" si="187"/>
        <v>952.663635</v>
      </c>
      <c r="HV63" s="48">
        <f t="shared" si="188"/>
        <v>1168.491051</v>
      </c>
      <c r="HW63" s="93">
        <f t="shared" si="189"/>
        <v>955.66868352670292</v>
      </c>
      <c r="HX63" s="93">
        <f t="shared" si="190"/>
        <v>1171.4960995267029</v>
      </c>
      <c r="HY63" s="298">
        <f t="shared" si="217"/>
        <v>0.79997440171996415</v>
      </c>
    </row>
    <row r="64" spans="1:233" s="131" customFormat="1" x14ac:dyDescent="0.2">
      <c r="A64" s="118">
        <v>54</v>
      </c>
      <c r="B64" s="118"/>
      <c r="C64" s="275">
        <v>1.6664000000000001</v>
      </c>
      <c r="D64" s="275">
        <v>1.1706000000000001</v>
      </c>
      <c r="E64" s="275">
        <v>0</v>
      </c>
      <c r="F64" s="275">
        <v>28433.283299999999</v>
      </c>
      <c r="G64" s="275">
        <v>8979.0849999999991</v>
      </c>
      <c r="H64" s="49">
        <f t="shared" si="192"/>
        <v>1648.15292</v>
      </c>
      <c r="I64" s="49">
        <f t="shared" si="192"/>
        <v>2109.2104920000002</v>
      </c>
      <c r="J64" s="47">
        <f t="shared" si="192"/>
        <v>0</v>
      </c>
      <c r="K64" s="47">
        <f t="shared" si="134"/>
        <v>0</v>
      </c>
      <c r="L64" s="48">
        <f t="shared" si="135"/>
        <v>1648.15292</v>
      </c>
      <c r="M64" s="48">
        <f t="shared" si="136"/>
        <v>2109.2104920000002</v>
      </c>
      <c r="N64" s="93">
        <f t="shared" si="137"/>
        <v>1670.4493131656184</v>
      </c>
      <c r="O64" s="93">
        <f t="shared" si="138"/>
        <v>2131.5068851656188</v>
      </c>
      <c r="P64" s="298">
        <f t="shared" si="193"/>
        <v>0.75999688316978309</v>
      </c>
      <c r="Q64" s="275">
        <v>2.0148000000000001</v>
      </c>
      <c r="R64" s="275">
        <v>1.5077</v>
      </c>
      <c r="S64" s="275">
        <v>3.6700000000000003E-2</v>
      </c>
      <c r="T64" s="275">
        <v>6605.8325000000004</v>
      </c>
      <c r="U64" s="275">
        <v>2379.0275000000001</v>
      </c>
      <c r="V64" s="49">
        <f t="shared" si="194"/>
        <v>1235.0522520000002</v>
      </c>
      <c r="W64" s="49">
        <f t="shared" si="194"/>
        <v>1749.9270820000002</v>
      </c>
      <c r="X64" s="47">
        <f t="shared" si="194"/>
        <v>7.9378430000000009</v>
      </c>
      <c r="Y64" s="47">
        <f t="shared" si="139"/>
        <v>4.6535151115267741</v>
      </c>
      <c r="Z64" s="48">
        <f t="shared" si="140"/>
        <v>1239.7057671115269</v>
      </c>
      <c r="AA64" s="48">
        <f t="shared" si="141"/>
        <v>1746.642754111527</v>
      </c>
      <c r="AB64" s="93">
        <f t="shared" si="142"/>
        <v>1252.1702096830459</v>
      </c>
      <c r="AC64" s="93">
        <f t="shared" si="143"/>
        <v>1759.1071966830459</v>
      </c>
      <c r="AD64" s="118"/>
      <c r="AE64" s="275">
        <v>2.4049999999999998</v>
      </c>
      <c r="AF64" s="275">
        <v>1.5589</v>
      </c>
      <c r="AG64" s="275">
        <v>0</v>
      </c>
      <c r="AH64" s="275">
        <v>808.85670000000005</v>
      </c>
      <c r="AI64" s="275">
        <v>296.25</v>
      </c>
      <c r="AJ64" s="49">
        <f t="shared" si="195"/>
        <v>1127.6323499999999</v>
      </c>
      <c r="AK64" s="49">
        <f t="shared" si="195"/>
        <v>1772.1263419999998</v>
      </c>
      <c r="AL64" s="47">
        <f t="shared" si="195"/>
        <v>0</v>
      </c>
      <c r="AM64" s="47">
        <f t="shared" si="144"/>
        <v>0</v>
      </c>
      <c r="AN64" s="48">
        <f t="shared" si="145"/>
        <v>1127.6323499999999</v>
      </c>
      <c r="AO64" s="48">
        <f t="shared" si="146"/>
        <v>1772.1263419999998</v>
      </c>
      <c r="AP64" s="93">
        <f t="shared" si="147"/>
        <v>1140.7390331268218</v>
      </c>
      <c r="AQ64" s="93">
        <f t="shared" si="148"/>
        <v>1785.2330251268218</v>
      </c>
      <c r="AR64" s="118"/>
      <c r="AS64" s="275">
        <v>2.4127999999999998</v>
      </c>
      <c r="AT64" s="275">
        <v>1.1007</v>
      </c>
      <c r="AU64" s="275">
        <v>0</v>
      </c>
      <c r="AV64" s="275">
        <v>26222.9342</v>
      </c>
      <c r="AW64" s="275">
        <v>7815.2691999999997</v>
      </c>
      <c r="AX64" s="49">
        <f t="shared" si="196"/>
        <v>840.74015999999995</v>
      </c>
      <c r="AY64" s="49">
        <f t="shared" si="196"/>
        <v>770.34690899999998</v>
      </c>
      <c r="AZ64" s="47">
        <f t="shared" si="196"/>
        <v>0</v>
      </c>
      <c r="BA64" s="47">
        <f t="shared" si="149"/>
        <v>0</v>
      </c>
      <c r="BB64" s="48">
        <f t="shared" si="150"/>
        <v>840.74015999999995</v>
      </c>
      <c r="BC64" s="48">
        <f t="shared" si="151"/>
        <v>770.34690899999998</v>
      </c>
      <c r="BD64" s="93">
        <f t="shared" si="152"/>
        <v>859.16940557571934</v>
      </c>
      <c r="BE64" s="93">
        <f t="shared" si="153"/>
        <v>788.77615457571937</v>
      </c>
      <c r="BF64" s="118"/>
      <c r="BG64" s="275">
        <v>2.2944</v>
      </c>
      <c r="BH64" s="275">
        <v>1.2020999999999999</v>
      </c>
      <c r="BI64" s="275">
        <v>0</v>
      </c>
      <c r="BJ64" s="275">
        <v>14257.68</v>
      </c>
      <c r="BK64" s="275">
        <v>4470.6441999999997</v>
      </c>
      <c r="BL64" s="49">
        <f t="shared" si="197"/>
        <v>776.01196800000002</v>
      </c>
      <c r="BM64" s="49">
        <f t="shared" si="197"/>
        <v>719.40876600000001</v>
      </c>
      <c r="BN64" s="47">
        <f t="shared" si="197"/>
        <v>0</v>
      </c>
      <c r="BO64" s="47">
        <f t="shared" si="154"/>
        <v>0</v>
      </c>
      <c r="BP64" s="48">
        <f t="shared" si="155"/>
        <v>776.01196800000002</v>
      </c>
      <c r="BQ64" s="48">
        <f t="shared" si="156"/>
        <v>719.40876600000001</v>
      </c>
      <c r="BR64" s="93">
        <f t="shared" si="157"/>
        <v>795.71750704207216</v>
      </c>
      <c r="BS64" s="93">
        <f t="shared" si="158"/>
        <v>739.11430504207215</v>
      </c>
      <c r="BT64" s="118"/>
      <c r="BU64" s="275">
        <v>2.3567</v>
      </c>
      <c r="BV64" s="275">
        <v>1.2192000000000001</v>
      </c>
      <c r="BW64" s="275">
        <v>2.8E-3</v>
      </c>
      <c r="BX64" s="275">
        <v>18213.4683</v>
      </c>
      <c r="BY64" s="275">
        <v>6327.7533000000003</v>
      </c>
      <c r="BZ64" s="49">
        <f t="shared" si="198"/>
        <v>554.15443800000003</v>
      </c>
      <c r="CA64" s="49">
        <f t="shared" si="198"/>
        <v>438.338976</v>
      </c>
      <c r="CB64" s="47">
        <f t="shared" si="198"/>
        <v>0.26373199999999997</v>
      </c>
      <c r="CC64" s="47">
        <f t="shared" si="159"/>
        <v>0.1164783697178589</v>
      </c>
      <c r="CD64" s="48">
        <f t="shared" si="160"/>
        <v>554.27091636971784</v>
      </c>
      <c r="CE64" s="48">
        <f t="shared" si="161"/>
        <v>438.19172236971787</v>
      </c>
      <c r="CF64" s="93">
        <f t="shared" si="162"/>
        <v>565.51748894558671</v>
      </c>
      <c r="CG64" s="93">
        <f t="shared" si="163"/>
        <v>449.43829494558668</v>
      </c>
      <c r="CH64" s="118"/>
      <c r="CI64" s="275">
        <v>1.1842999999999999</v>
      </c>
      <c r="CJ64" s="275">
        <v>1.0956999999999999</v>
      </c>
      <c r="CK64" s="275">
        <v>4.4200000000000003E-2</v>
      </c>
      <c r="CL64" s="275">
        <v>59285.144999999997</v>
      </c>
      <c r="CM64" s="275">
        <v>18619.0092</v>
      </c>
      <c r="CN64" s="49">
        <f t="shared" si="199"/>
        <v>244.43951999999999</v>
      </c>
      <c r="CO64" s="49">
        <f t="shared" si="199"/>
        <v>293.45037399999995</v>
      </c>
      <c r="CP64" s="47">
        <f t="shared" si="199"/>
        <v>1.8564000000000001E-2</v>
      </c>
      <c r="CQ64" s="47">
        <f t="shared" si="164"/>
        <v>1.0127746967739088E-2</v>
      </c>
      <c r="CR64" s="48">
        <f t="shared" si="165"/>
        <v>244.44964774696771</v>
      </c>
      <c r="CS64" s="48">
        <f t="shared" si="166"/>
        <v>293.44193774696765</v>
      </c>
      <c r="CT64" s="93">
        <f t="shared" si="167"/>
        <v>244.47414258071859</v>
      </c>
      <c r="CU64" s="93">
        <f t="shared" si="168"/>
        <v>293.46643258071856</v>
      </c>
      <c r="CV64" s="118"/>
      <c r="CW64" s="275">
        <v>1.9282999999999999</v>
      </c>
      <c r="CX64" s="275">
        <v>1.7549999999999999</v>
      </c>
      <c r="CY64" s="275">
        <v>9.0999999999999998E-2</v>
      </c>
      <c r="CZ64" s="275">
        <v>27073.035800000001</v>
      </c>
      <c r="DA64" s="275">
        <v>7726.4242000000004</v>
      </c>
      <c r="DB64" s="49">
        <f t="shared" si="200"/>
        <v>400.29579699999999</v>
      </c>
      <c r="DC64" s="49">
        <f t="shared" si="200"/>
        <v>494.05004999999994</v>
      </c>
      <c r="DD64" s="47">
        <f t="shared" si="200"/>
        <v>2.6389999999999997E-2</v>
      </c>
      <c r="DE64" s="47">
        <f t="shared" si="169"/>
        <v>1.4578231523335958E-2</v>
      </c>
      <c r="DF64" s="48">
        <f t="shared" si="170"/>
        <v>400.31037523152332</v>
      </c>
      <c r="DG64" s="48">
        <f t="shared" si="171"/>
        <v>494.03823823152328</v>
      </c>
      <c r="DH64" s="93">
        <f t="shared" si="172"/>
        <v>400.31850211169808</v>
      </c>
      <c r="DI64" s="93">
        <f t="shared" si="173"/>
        <v>494.04636511169804</v>
      </c>
      <c r="DJ64" s="118"/>
      <c r="DK64" s="275">
        <v>1.9891000000000001</v>
      </c>
      <c r="DL64" s="275">
        <v>1.7682</v>
      </c>
      <c r="DM64" s="275">
        <v>8.5800000000000001E-2</v>
      </c>
      <c r="DN64" s="275">
        <v>7327.1875</v>
      </c>
      <c r="DO64" s="275">
        <v>2627.5925000000002</v>
      </c>
      <c r="DP64" s="49">
        <f t="shared" si="201"/>
        <v>270.99498400000004</v>
      </c>
      <c r="DQ64" s="49">
        <f t="shared" si="201"/>
        <v>348.88354199999998</v>
      </c>
      <c r="DR64" s="47">
        <f t="shared" si="201"/>
        <v>1.8876E-2</v>
      </c>
      <c r="DS64" s="47">
        <f t="shared" si="174"/>
        <v>1.0623897203356259E-2</v>
      </c>
      <c r="DT64" s="48">
        <f t="shared" si="175"/>
        <v>271.00560789720339</v>
      </c>
      <c r="DU64" s="48">
        <f t="shared" si="176"/>
        <v>348.87528989720334</v>
      </c>
      <c r="DV64" s="93">
        <f t="shared" si="177"/>
        <v>271.01706475104334</v>
      </c>
      <c r="DW64" s="93">
        <f t="shared" si="178"/>
        <v>348.88674675104329</v>
      </c>
      <c r="DX64" s="118"/>
      <c r="DY64" s="118"/>
      <c r="DZ64" s="118"/>
      <c r="EB64" s="52"/>
      <c r="EC64" s="52"/>
      <c r="ED64" s="52"/>
      <c r="EE64" s="55">
        <f t="shared" si="179"/>
        <v>141014.3983</v>
      </c>
      <c r="EF64" s="55">
        <f t="shared" si="179"/>
        <v>43139.787600000003</v>
      </c>
      <c r="EG64" s="55">
        <f t="shared" si="179"/>
        <v>3053.5692375999997</v>
      </c>
      <c r="EH64" s="55">
        <f t="shared" si="179"/>
        <v>3568.2478150000002</v>
      </c>
      <c r="EI64" s="298">
        <f t="shared" si="202"/>
        <v>0.76574093393985676</v>
      </c>
      <c r="EJ64" s="52"/>
      <c r="EK64" s="55">
        <f t="shared" si="180"/>
        <v>3053.5910279321865</v>
      </c>
      <c r="EL64" s="55">
        <f t="shared" si="180"/>
        <v>3568.2299293321862</v>
      </c>
      <c r="EM64" s="55">
        <f t="shared" si="111"/>
        <v>3094.3476630114151</v>
      </c>
      <c r="EN64" s="55">
        <f t="shared" si="111"/>
        <v>3608.9865644114152</v>
      </c>
      <c r="EP64" s="52"/>
      <c r="EQ64" s="52"/>
      <c r="ER64" s="52"/>
      <c r="ES64" s="55">
        <f t="shared" si="203"/>
        <v>107221.6933</v>
      </c>
      <c r="ET64" s="55">
        <f t="shared" si="203"/>
        <v>33195.105100000001</v>
      </c>
      <c r="EU64" s="55">
        <f t="shared" si="203"/>
        <v>2535.7107979000002</v>
      </c>
      <c r="EV64" s="55">
        <f t="shared" si="203"/>
        <v>3108.6212570000002</v>
      </c>
      <c r="EW64" s="298">
        <f t="shared" si="204"/>
        <v>0.76359591246740743</v>
      </c>
      <c r="EX64" s="52"/>
      <c r="EY64" s="55">
        <f t="shared" si="205"/>
        <v>2540.3846455205612</v>
      </c>
      <c r="EZ64" s="55">
        <f t="shared" si="205"/>
        <v>3105.3202246205606</v>
      </c>
      <c r="FA64" s="55">
        <f t="shared" si="205"/>
        <v>2572.5848107840256</v>
      </c>
      <c r="FB64" s="55">
        <f t="shared" si="205"/>
        <v>3137.5203898840255</v>
      </c>
      <c r="FD64" s="52"/>
      <c r="FE64" s="52"/>
      <c r="FF64" s="52"/>
      <c r="FG64" s="55">
        <f t="shared" si="206"/>
        <v>85634.657500000001</v>
      </c>
      <c r="FH64" s="55">
        <f t="shared" si="206"/>
        <v>27870.605</v>
      </c>
      <c r="FI64" s="55">
        <f t="shared" si="206"/>
        <v>2088.8232983999997</v>
      </c>
      <c r="FJ64" s="55">
        <f t="shared" si="206"/>
        <v>2713.2458171999997</v>
      </c>
      <c r="FK64" s="298">
        <f t="shared" si="207"/>
        <v>0.75445539364309211</v>
      </c>
      <c r="FL64" s="52"/>
      <c r="FM64" s="55">
        <f t="shared" si="208"/>
        <v>2088.9562788550074</v>
      </c>
      <c r="FN64" s="55">
        <f t="shared" si="208"/>
        <v>2713.0851760550077</v>
      </c>
      <c r="FO64" s="55">
        <f t="shared" si="208"/>
        <v>2113.340903503753</v>
      </c>
      <c r="FP64" s="55">
        <f t="shared" si="208"/>
        <v>2737.4698007037528</v>
      </c>
      <c r="FR64" s="52"/>
      <c r="FS64" s="52"/>
      <c r="FT64" s="52"/>
      <c r="FU64" s="55">
        <f t="shared" si="209"/>
        <v>86358.180800000002</v>
      </c>
      <c r="FV64" s="55">
        <f t="shared" si="209"/>
        <v>26345.433400000002</v>
      </c>
      <c r="FW64" s="55">
        <f t="shared" si="209"/>
        <v>564.67615760000001</v>
      </c>
      <c r="FX64" s="55">
        <f t="shared" si="209"/>
        <v>688.69041399999992</v>
      </c>
      <c r="FY64" s="298">
        <f t="shared" si="210"/>
        <v>0.76624145031189239</v>
      </c>
      <c r="FZ64" s="52"/>
      <c r="GA64" s="55">
        <f t="shared" si="211"/>
        <v>564.69794793218637</v>
      </c>
      <c r="GB64" s="55">
        <f t="shared" si="211"/>
        <v>688.67252833218629</v>
      </c>
      <c r="GC64" s="55">
        <f t="shared" si="211"/>
        <v>564.72894427007714</v>
      </c>
      <c r="GD64" s="55">
        <f t="shared" si="211"/>
        <v>688.70352467007706</v>
      </c>
      <c r="GF64" s="52"/>
      <c r="GG64" s="52"/>
      <c r="GH64" s="52"/>
      <c r="GI64" s="55">
        <f t="shared" si="212"/>
        <v>44436.402499999997</v>
      </c>
      <c r="GJ64" s="55">
        <f t="shared" si="212"/>
        <v>14143.022499999999</v>
      </c>
      <c r="GK64" s="56">
        <f t="shared" si="213"/>
        <v>214.93929149999994</v>
      </c>
      <c r="GL64" s="56">
        <f t="shared" si="213"/>
        <v>249.00594974999998</v>
      </c>
      <c r="GM64" s="298">
        <f t="shared" si="214"/>
        <v>0.7585667237259498</v>
      </c>
      <c r="GN64" s="52"/>
      <c r="GO64" s="56">
        <f t="shared" si="215"/>
        <v>214.85193272271158</v>
      </c>
      <c r="GP64" s="56">
        <f t="shared" si="215"/>
        <v>249.1163899727116</v>
      </c>
      <c r="GQ64" s="56">
        <f t="shared" si="215"/>
        <v>220.23893747259947</v>
      </c>
      <c r="GR64" s="56">
        <f t="shared" si="215"/>
        <v>254.50339472259952</v>
      </c>
      <c r="GW64" s="275">
        <v>1.7137</v>
      </c>
      <c r="GX64" s="275">
        <v>1.2810999999999999</v>
      </c>
      <c r="GY64" s="275">
        <v>3.3000000000000002E-2</v>
      </c>
      <c r="GZ64" s="275">
        <v>2729.16</v>
      </c>
      <c r="HA64" s="275">
        <v>1026.7041999999999</v>
      </c>
      <c r="HB64" s="49">
        <f t="shared" si="126"/>
        <v>1125.541023</v>
      </c>
      <c r="HC64" s="49">
        <f t="shared" si="127"/>
        <v>1739.4903909999998</v>
      </c>
      <c r="HD64" s="47">
        <f t="shared" si="128"/>
        <v>8.02956</v>
      </c>
      <c r="HE64" s="47">
        <f t="shared" si="181"/>
        <v>2.1949630064239276</v>
      </c>
      <c r="HF64" s="48">
        <f t="shared" si="182"/>
        <v>1127.7359860064239</v>
      </c>
      <c r="HG64" s="48">
        <f t="shared" si="183"/>
        <v>1733.6557940064238</v>
      </c>
      <c r="HH64" s="93">
        <f t="shared" si="184"/>
        <v>1140.36641654957</v>
      </c>
      <c r="HI64" s="93">
        <f t="shared" si="185"/>
        <v>1746.2862245495699</v>
      </c>
      <c r="HJ64" s="298">
        <f t="shared" si="216"/>
        <v>0.72663969054046196</v>
      </c>
      <c r="HL64" s="275">
        <v>1.9088000000000001</v>
      </c>
      <c r="HM64" s="275">
        <v>1.5952</v>
      </c>
      <c r="HN64" s="275">
        <v>0</v>
      </c>
      <c r="HO64" s="275">
        <v>445.83</v>
      </c>
      <c r="HP64" s="275">
        <v>108.41670000000001</v>
      </c>
      <c r="HQ64" s="49">
        <f t="shared" si="130"/>
        <v>1014.81352</v>
      </c>
      <c r="HR64" s="49">
        <f t="shared" si="131"/>
        <v>1237.125456</v>
      </c>
      <c r="HS64" s="47">
        <f t="shared" si="132"/>
        <v>0</v>
      </c>
      <c r="HT64" s="47">
        <f t="shared" si="186"/>
        <v>0</v>
      </c>
      <c r="HU64" s="48">
        <f t="shared" si="187"/>
        <v>1014.81352</v>
      </c>
      <c r="HV64" s="48">
        <f t="shared" si="188"/>
        <v>1237.125456</v>
      </c>
      <c r="HW64" s="93">
        <f t="shared" si="189"/>
        <v>1017.818568526703</v>
      </c>
      <c r="HX64" s="93">
        <f t="shared" si="190"/>
        <v>1240.1305045267029</v>
      </c>
      <c r="HY64" s="298">
        <f t="shared" si="217"/>
        <v>0.80438909243843937</v>
      </c>
    </row>
    <row r="65" spans="1:233" s="131" customFormat="1" x14ac:dyDescent="0.2">
      <c r="A65" s="118">
        <v>55</v>
      </c>
      <c r="B65" s="118"/>
      <c r="C65" s="275">
        <v>1.7473000000000001</v>
      </c>
      <c r="D65" s="275">
        <v>1.1974</v>
      </c>
      <c r="E65" s="275">
        <v>0</v>
      </c>
      <c r="F65" s="275">
        <v>25431.134999999998</v>
      </c>
      <c r="G65" s="275">
        <v>8151.5691999999999</v>
      </c>
      <c r="H65" s="49">
        <f t="shared" si="192"/>
        <v>1728.1670650000001</v>
      </c>
      <c r="I65" s="49">
        <f t="shared" si="192"/>
        <v>2157.499268</v>
      </c>
      <c r="J65" s="47">
        <f t="shared" si="192"/>
        <v>0</v>
      </c>
      <c r="K65" s="47">
        <f t="shared" si="134"/>
        <v>0</v>
      </c>
      <c r="L65" s="48">
        <f t="shared" si="135"/>
        <v>1728.1670650000001</v>
      </c>
      <c r="M65" s="48">
        <f t="shared" si="136"/>
        <v>2157.499268</v>
      </c>
      <c r="N65" s="93">
        <f t="shared" si="137"/>
        <v>1750.4634581656185</v>
      </c>
      <c r="O65" s="93">
        <f t="shared" si="138"/>
        <v>2179.7956611656186</v>
      </c>
      <c r="P65" s="298">
        <f t="shared" si="193"/>
        <v>0.75726882649313265</v>
      </c>
      <c r="Q65" s="275">
        <v>2.1373000000000002</v>
      </c>
      <c r="R65" s="275">
        <v>1.5569999999999999</v>
      </c>
      <c r="S65" s="275">
        <v>3.0200000000000001E-2</v>
      </c>
      <c r="T65" s="275">
        <v>6147.8307999999997</v>
      </c>
      <c r="U65" s="275">
        <v>2343.4124999999999</v>
      </c>
      <c r="V65" s="49">
        <f t="shared" si="194"/>
        <v>1310.1435270000002</v>
      </c>
      <c r="W65" s="49">
        <f t="shared" si="194"/>
        <v>1807.14762</v>
      </c>
      <c r="X65" s="47">
        <f t="shared" si="194"/>
        <v>6.5319580000000004</v>
      </c>
      <c r="Y65" s="47">
        <f t="shared" si="139"/>
        <v>3.7866890826030248</v>
      </c>
      <c r="Z65" s="48">
        <f t="shared" si="140"/>
        <v>1313.9302160826032</v>
      </c>
      <c r="AA65" s="48">
        <f t="shared" si="141"/>
        <v>1804.402351082603</v>
      </c>
      <c r="AB65" s="93">
        <f t="shared" si="142"/>
        <v>1327.2614846830459</v>
      </c>
      <c r="AC65" s="93">
        <f t="shared" si="143"/>
        <v>1817.7336196830456</v>
      </c>
      <c r="AD65" s="118"/>
      <c r="AE65" s="275">
        <v>2.6154000000000002</v>
      </c>
      <c r="AF65" s="275">
        <v>1.627</v>
      </c>
      <c r="AG65" s="275">
        <v>0</v>
      </c>
      <c r="AH65" s="275">
        <v>717.11249999999995</v>
      </c>
      <c r="AI65" s="275">
        <v>213.66919999999999</v>
      </c>
      <c r="AJ65" s="49">
        <f t="shared" si="195"/>
        <v>1226.282598</v>
      </c>
      <c r="AK65" s="49">
        <f t="shared" si="195"/>
        <v>1849.54106</v>
      </c>
      <c r="AL65" s="47">
        <f t="shared" si="195"/>
        <v>0</v>
      </c>
      <c r="AM65" s="47">
        <f t="shared" si="144"/>
        <v>0</v>
      </c>
      <c r="AN65" s="48">
        <f t="shared" si="145"/>
        <v>1226.282598</v>
      </c>
      <c r="AO65" s="48">
        <f t="shared" si="146"/>
        <v>1849.54106</v>
      </c>
      <c r="AP65" s="93">
        <f t="shared" si="147"/>
        <v>1239.389281126822</v>
      </c>
      <c r="AQ65" s="93">
        <f t="shared" si="148"/>
        <v>1862.647743126822</v>
      </c>
      <c r="AR65" s="118"/>
      <c r="AS65" s="275">
        <v>2.6065</v>
      </c>
      <c r="AT65" s="275">
        <v>1.1536999999999999</v>
      </c>
      <c r="AU65" s="275">
        <v>0</v>
      </c>
      <c r="AV65" s="275">
        <v>24174.366699999999</v>
      </c>
      <c r="AW65" s="275">
        <v>7317.8932999999997</v>
      </c>
      <c r="AX65" s="49">
        <f t="shared" si="196"/>
        <v>908.23492499999998</v>
      </c>
      <c r="AY65" s="49">
        <f t="shared" si="196"/>
        <v>807.44001900000001</v>
      </c>
      <c r="AZ65" s="47">
        <f t="shared" si="196"/>
        <v>0</v>
      </c>
      <c r="BA65" s="47">
        <f t="shared" si="149"/>
        <v>0</v>
      </c>
      <c r="BB65" s="48">
        <f t="shared" si="150"/>
        <v>908.23492499999998</v>
      </c>
      <c r="BC65" s="48">
        <f t="shared" si="151"/>
        <v>807.44001900000001</v>
      </c>
      <c r="BD65" s="93">
        <f t="shared" si="152"/>
        <v>926.66417057571948</v>
      </c>
      <c r="BE65" s="93">
        <f t="shared" si="153"/>
        <v>825.8692645757194</v>
      </c>
      <c r="BF65" s="118"/>
      <c r="BG65" s="275">
        <v>2.4914000000000001</v>
      </c>
      <c r="BH65" s="275">
        <v>1.2584</v>
      </c>
      <c r="BI65" s="275">
        <v>0</v>
      </c>
      <c r="BJ65" s="275">
        <v>12896.671700000001</v>
      </c>
      <c r="BK65" s="275">
        <v>4139.4142000000002</v>
      </c>
      <c r="BL65" s="49">
        <f t="shared" si="197"/>
        <v>842.64130800000009</v>
      </c>
      <c r="BM65" s="49">
        <f t="shared" si="197"/>
        <v>753.10206400000004</v>
      </c>
      <c r="BN65" s="47">
        <f t="shared" si="197"/>
        <v>0</v>
      </c>
      <c r="BO65" s="47">
        <f t="shared" si="154"/>
        <v>0</v>
      </c>
      <c r="BP65" s="48">
        <f t="shared" si="155"/>
        <v>842.64130800000009</v>
      </c>
      <c r="BQ65" s="48">
        <f t="shared" si="156"/>
        <v>753.10206400000004</v>
      </c>
      <c r="BR65" s="93">
        <f t="shared" si="157"/>
        <v>862.34684704207223</v>
      </c>
      <c r="BS65" s="93">
        <f t="shared" si="158"/>
        <v>772.80760304207217</v>
      </c>
      <c r="BT65" s="118"/>
      <c r="BU65" s="275">
        <v>2.5419</v>
      </c>
      <c r="BV65" s="275">
        <v>1.2699</v>
      </c>
      <c r="BW65" s="275">
        <v>2.8E-3</v>
      </c>
      <c r="BX65" s="275">
        <v>15994.885</v>
      </c>
      <c r="BY65" s="275">
        <v>5692.9282999999996</v>
      </c>
      <c r="BZ65" s="49">
        <f t="shared" si="198"/>
        <v>597.70236599999998</v>
      </c>
      <c r="CA65" s="49">
        <f t="shared" si="198"/>
        <v>456.56714699999998</v>
      </c>
      <c r="CB65" s="47">
        <f t="shared" si="198"/>
        <v>0.26373199999999997</v>
      </c>
      <c r="CC65" s="47">
        <f t="shared" si="159"/>
        <v>0.11421307865572698</v>
      </c>
      <c r="CD65" s="48">
        <f t="shared" si="160"/>
        <v>597.81657907865576</v>
      </c>
      <c r="CE65" s="48">
        <f t="shared" si="161"/>
        <v>456.4176280786557</v>
      </c>
      <c r="CF65" s="93">
        <f t="shared" si="162"/>
        <v>609.06541694558666</v>
      </c>
      <c r="CG65" s="93">
        <f t="shared" si="163"/>
        <v>467.66646594558665</v>
      </c>
      <c r="CH65" s="118"/>
      <c r="CI65" s="275">
        <v>1.2003999999999999</v>
      </c>
      <c r="CJ65" s="275">
        <v>1.0996999999999999</v>
      </c>
      <c r="CK65" s="275">
        <v>3.6200000000000003E-2</v>
      </c>
      <c r="CL65" s="275">
        <v>53555.080800000003</v>
      </c>
      <c r="CM65" s="275">
        <v>17129.298299999999</v>
      </c>
      <c r="CN65" s="49">
        <f t="shared" si="199"/>
        <v>247.76255999999998</v>
      </c>
      <c r="CO65" s="49">
        <f t="shared" si="199"/>
        <v>294.52165399999996</v>
      </c>
      <c r="CP65" s="47">
        <f t="shared" si="199"/>
        <v>1.5204000000000001E-2</v>
      </c>
      <c r="CQ65" s="47">
        <f t="shared" si="164"/>
        <v>8.2574913888531533E-3</v>
      </c>
      <c r="CR65" s="48">
        <f t="shared" si="165"/>
        <v>247.77081749138884</v>
      </c>
      <c r="CS65" s="48">
        <f t="shared" si="166"/>
        <v>294.51470749138883</v>
      </c>
      <c r="CT65" s="93">
        <f t="shared" si="167"/>
        <v>247.79718258071858</v>
      </c>
      <c r="CU65" s="93">
        <f t="shared" si="168"/>
        <v>294.54107258071861</v>
      </c>
      <c r="CV65" s="118"/>
      <c r="CW65" s="275">
        <v>2.0154000000000001</v>
      </c>
      <c r="CX65" s="275">
        <v>1.8122</v>
      </c>
      <c r="CY65" s="275">
        <v>8.3299999999999999E-2</v>
      </c>
      <c r="CZ65" s="275">
        <v>24468.778300000002</v>
      </c>
      <c r="DA65" s="275">
        <v>7150.4557999999997</v>
      </c>
      <c r="DB65" s="49">
        <f t="shared" si="200"/>
        <v>418.37688600000001</v>
      </c>
      <c r="DC65" s="49">
        <f t="shared" si="200"/>
        <v>510.152422</v>
      </c>
      <c r="DD65" s="47">
        <f t="shared" si="200"/>
        <v>2.4156999999999998E-2</v>
      </c>
      <c r="DE65" s="47">
        <f t="shared" si="169"/>
        <v>1.3272335027096419E-2</v>
      </c>
      <c r="DF65" s="48">
        <f t="shared" si="170"/>
        <v>418.39015833502708</v>
      </c>
      <c r="DG65" s="48">
        <f t="shared" si="171"/>
        <v>510.14153733502707</v>
      </c>
      <c r="DH65" s="93">
        <f t="shared" si="172"/>
        <v>418.3995911116981</v>
      </c>
      <c r="DI65" s="93">
        <f t="shared" si="173"/>
        <v>510.15097011169809</v>
      </c>
      <c r="DJ65" s="118"/>
      <c r="DK65" s="275">
        <v>2.0836999999999999</v>
      </c>
      <c r="DL65" s="275">
        <v>1.8099000000000001</v>
      </c>
      <c r="DM65" s="275">
        <v>6.7400000000000002E-2</v>
      </c>
      <c r="DN65" s="275">
        <v>6397.9367000000002</v>
      </c>
      <c r="DO65" s="275">
        <v>2265.4924999999998</v>
      </c>
      <c r="DP65" s="49">
        <f t="shared" si="201"/>
        <v>283.88328799999999</v>
      </c>
      <c r="DQ65" s="49">
        <f t="shared" si="201"/>
        <v>357.11136900000002</v>
      </c>
      <c r="DR65" s="47">
        <f t="shared" si="201"/>
        <v>1.4828000000000001E-2</v>
      </c>
      <c r="DS65" s="47">
        <f t="shared" si="174"/>
        <v>8.2609852074508015E-3</v>
      </c>
      <c r="DT65" s="48">
        <f t="shared" si="175"/>
        <v>283.89154898520746</v>
      </c>
      <c r="DU65" s="48">
        <f t="shared" si="176"/>
        <v>357.10480198520747</v>
      </c>
      <c r="DV65" s="93">
        <f t="shared" si="177"/>
        <v>283.90536875104328</v>
      </c>
      <c r="DW65" s="93">
        <f t="shared" si="178"/>
        <v>357.11862175104329</v>
      </c>
      <c r="DX65" s="118"/>
      <c r="DY65" s="118"/>
      <c r="DZ65" s="118"/>
      <c r="EB65" s="52"/>
      <c r="EC65" s="52"/>
      <c r="ED65" s="52"/>
      <c r="EE65" s="55">
        <f t="shared" si="179"/>
        <v>127629.36079999999</v>
      </c>
      <c r="EF65" s="55">
        <f t="shared" si="179"/>
        <v>39749.2166</v>
      </c>
      <c r="EG65" s="55">
        <f t="shared" si="179"/>
        <v>3218.8660588000002</v>
      </c>
      <c r="EH65" s="55">
        <f t="shared" si="179"/>
        <v>3667.5828786000002</v>
      </c>
      <c r="EI65" s="298">
        <f t="shared" si="202"/>
        <v>0.76251909164571496</v>
      </c>
      <c r="EJ65" s="52"/>
      <c r="EK65" s="55">
        <f t="shared" si="180"/>
        <v>3218.8849341594105</v>
      </c>
      <c r="EL65" s="55">
        <f t="shared" si="180"/>
        <v>3667.5672243594108</v>
      </c>
      <c r="EM65" s="55">
        <f t="shared" si="111"/>
        <v>3259.6444842114151</v>
      </c>
      <c r="EN65" s="55">
        <f t="shared" si="111"/>
        <v>3708.3267744114155</v>
      </c>
      <c r="EP65" s="52"/>
      <c r="EQ65" s="52"/>
      <c r="ER65" s="52"/>
      <c r="ES65" s="55">
        <f t="shared" si="203"/>
        <v>97068.361600000004</v>
      </c>
      <c r="ET65" s="55">
        <f t="shared" si="203"/>
        <v>30762.5808</v>
      </c>
      <c r="EU65" s="55">
        <f t="shared" si="203"/>
        <v>2693.4112152000007</v>
      </c>
      <c r="EV65" s="55">
        <f t="shared" si="203"/>
        <v>3211.8780333999998</v>
      </c>
      <c r="EW65" s="298">
        <f t="shared" si="204"/>
        <v>0.75934949533783613</v>
      </c>
      <c r="EX65" s="52"/>
      <c r="EY65" s="55">
        <f t="shared" si="205"/>
        <v>2697.2154524085108</v>
      </c>
      <c r="EZ65" s="55">
        <f t="shared" si="205"/>
        <v>3209.1181987085106</v>
      </c>
      <c r="FA65" s="55">
        <f t="shared" si="205"/>
        <v>2730.2852280840252</v>
      </c>
      <c r="FB65" s="55">
        <f t="shared" si="205"/>
        <v>3242.187974384025</v>
      </c>
      <c r="FD65" s="52"/>
      <c r="FE65" s="52"/>
      <c r="FF65" s="52"/>
      <c r="FG65" s="55">
        <f t="shared" si="206"/>
        <v>76665.015000000014</v>
      </c>
      <c r="FH65" s="55">
        <f t="shared" si="206"/>
        <v>25301.388299999999</v>
      </c>
      <c r="FI65" s="55">
        <f t="shared" si="206"/>
        <v>2242.0774968000001</v>
      </c>
      <c r="FJ65" s="55">
        <f t="shared" si="206"/>
        <v>2814.8966824000004</v>
      </c>
      <c r="FK65" s="298">
        <f t="shared" si="207"/>
        <v>0.75186544311502657</v>
      </c>
      <c r="FL65" s="52"/>
      <c r="FM65" s="55">
        <f t="shared" si="208"/>
        <v>2242.2049239611692</v>
      </c>
      <c r="FN65" s="55">
        <f t="shared" si="208"/>
        <v>2814.7362767611689</v>
      </c>
      <c r="FO65" s="55">
        <f t="shared" si="208"/>
        <v>2266.5951019037529</v>
      </c>
      <c r="FP65" s="55">
        <f t="shared" si="208"/>
        <v>2839.1264547037536</v>
      </c>
      <c r="FR65" s="52"/>
      <c r="FS65" s="52"/>
      <c r="FT65" s="52"/>
      <c r="FU65" s="55">
        <f t="shared" si="209"/>
        <v>78023.859100000001</v>
      </c>
      <c r="FV65" s="55">
        <f t="shared" si="209"/>
        <v>24279.754099999998</v>
      </c>
      <c r="FW65" s="55">
        <f t="shared" si="209"/>
        <v>582.46406880000006</v>
      </c>
      <c r="FX65" s="55">
        <f t="shared" si="209"/>
        <v>702.64359160000004</v>
      </c>
      <c r="FY65" s="298">
        <f t="shared" si="210"/>
        <v>0.76266963266943544</v>
      </c>
      <c r="FZ65" s="52"/>
      <c r="GA65" s="55">
        <f t="shared" si="211"/>
        <v>582.48294415941052</v>
      </c>
      <c r="GB65" s="55">
        <f t="shared" si="211"/>
        <v>702.62793735941045</v>
      </c>
      <c r="GC65" s="55">
        <f t="shared" si="211"/>
        <v>582.51685547007708</v>
      </c>
      <c r="GD65" s="55">
        <f t="shared" si="211"/>
        <v>702.66184867007712</v>
      </c>
      <c r="GF65" s="52"/>
      <c r="GG65" s="52"/>
      <c r="GH65" s="52"/>
      <c r="GI65" s="55">
        <f t="shared" si="212"/>
        <v>40169.251700000001</v>
      </c>
      <c r="GJ65" s="55">
        <f t="shared" si="212"/>
        <v>13010.821599999999</v>
      </c>
      <c r="GK65" s="56">
        <f t="shared" si="213"/>
        <v>232.89941924999999</v>
      </c>
      <c r="GL65" s="56">
        <f t="shared" si="213"/>
        <v>263.15465400000005</v>
      </c>
      <c r="GM65" s="298">
        <f t="shared" si="214"/>
        <v>0.75534404537949362</v>
      </c>
      <c r="GN65" s="52"/>
      <c r="GO65" s="56">
        <f t="shared" si="215"/>
        <v>232.81375944100816</v>
      </c>
      <c r="GP65" s="56">
        <f t="shared" si="215"/>
        <v>263.26679319100822</v>
      </c>
      <c r="GQ65" s="56">
        <f t="shared" si="215"/>
        <v>238.19906522259961</v>
      </c>
      <c r="GR65" s="56">
        <f t="shared" si="215"/>
        <v>268.65209897259956</v>
      </c>
      <c r="GW65" s="275">
        <v>1.829</v>
      </c>
      <c r="GX65" s="275">
        <v>1.3131999999999999</v>
      </c>
      <c r="GY65" s="275">
        <v>2.6800000000000001E-2</v>
      </c>
      <c r="GZ65" s="275">
        <v>2551.4191999999998</v>
      </c>
      <c r="HA65" s="275">
        <v>990.76750000000004</v>
      </c>
      <c r="HB65" s="49">
        <f t="shared" si="126"/>
        <v>1201.26891</v>
      </c>
      <c r="HC65" s="49">
        <f t="shared" si="127"/>
        <v>1783.0760919999998</v>
      </c>
      <c r="HD65" s="47">
        <f t="shared" si="128"/>
        <v>6.5209760000000001</v>
      </c>
      <c r="HE65" s="47">
        <f t="shared" si="181"/>
        <v>1.8239499033407813</v>
      </c>
      <c r="HF65" s="48">
        <f t="shared" si="182"/>
        <v>1203.0928599033407</v>
      </c>
      <c r="HG65" s="48">
        <f t="shared" si="183"/>
        <v>1778.3790659033405</v>
      </c>
      <c r="HH65" s="93">
        <f t="shared" si="184"/>
        <v>1216.09430354957</v>
      </c>
      <c r="HI65" s="93">
        <f t="shared" si="185"/>
        <v>1791.3805095495698</v>
      </c>
      <c r="HJ65" s="298">
        <f t="shared" si="216"/>
        <v>0.72029495226776163</v>
      </c>
      <c r="HL65" s="275">
        <v>2.0400999999999998</v>
      </c>
      <c r="HM65" s="275">
        <v>1.6921999999999999</v>
      </c>
      <c r="HN65" s="275">
        <v>0</v>
      </c>
      <c r="HO65" s="275">
        <v>466.25080000000003</v>
      </c>
      <c r="HP65" s="275">
        <v>126.83329999999999</v>
      </c>
      <c r="HQ65" s="49">
        <f t="shared" si="130"/>
        <v>1084.6191649999998</v>
      </c>
      <c r="HR65" s="49">
        <f t="shared" si="131"/>
        <v>1312.351866</v>
      </c>
      <c r="HS65" s="47">
        <f t="shared" si="132"/>
        <v>0</v>
      </c>
      <c r="HT65" s="47">
        <f t="shared" si="186"/>
        <v>0</v>
      </c>
      <c r="HU65" s="48">
        <f t="shared" si="187"/>
        <v>1084.6191649999998</v>
      </c>
      <c r="HV65" s="48">
        <f t="shared" si="188"/>
        <v>1312.351866</v>
      </c>
      <c r="HW65" s="93">
        <f t="shared" si="189"/>
        <v>1087.6242135267028</v>
      </c>
      <c r="HX65" s="93">
        <f t="shared" si="190"/>
        <v>1315.3569145267029</v>
      </c>
      <c r="HY65" s="298">
        <f t="shared" si="217"/>
        <v>0.78614618061755492</v>
      </c>
    </row>
    <row r="66" spans="1:233" s="131" customFormat="1" x14ac:dyDescent="0.2">
      <c r="A66" s="118">
        <v>56</v>
      </c>
      <c r="B66" s="118"/>
      <c r="C66" s="275">
        <v>1.8333999999999999</v>
      </c>
      <c r="D66" s="275">
        <v>1.2239</v>
      </c>
      <c r="E66" s="275">
        <v>0</v>
      </c>
      <c r="F66" s="275">
        <v>24038.502499999999</v>
      </c>
      <c r="G66" s="275">
        <v>7591.3374999999996</v>
      </c>
      <c r="H66" s="49">
        <f t="shared" si="192"/>
        <v>1813.3242699999998</v>
      </c>
      <c r="I66" s="49">
        <f t="shared" si="192"/>
        <v>2205.2474979999997</v>
      </c>
      <c r="J66" s="47">
        <f t="shared" si="192"/>
        <v>0</v>
      </c>
      <c r="K66" s="47">
        <f t="shared" si="134"/>
        <v>0</v>
      </c>
      <c r="L66" s="48">
        <f t="shared" si="135"/>
        <v>1813.3242699999998</v>
      </c>
      <c r="M66" s="48">
        <f t="shared" si="136"/>
        <v>2205.2474979999997</v>
      </c>
      <c r="N66" s="93">
        <f t="shared" si="137"/>
        <v>1835.6206631656182</v>
      </c>
      <c r="O66" s="93">
        <f t="shared" si="138"/>
        <v>2227.5438911656183</v>
      </c>
      <c r="P66" s="298">
        <f t="shared" si="193"/>
        <v>0.75999443879577011</v>
      </c>
      <c r="Q66" s="275">
        <v>2.2629999999999999</v>
      </c>
      <c r="R66" s="275">
        <v>1.6017999999999999</v>
      </c>
      <c r="S66" s="275">
        <v>2.1600000000000001E-2</v>
      </c>
      <c r="T66" s="275">
        <v>6043.0558000000001</v>
      </c>
      <c r="U66" s="275">
        <v>2237.66</v>
      </c>
      <c r="V66" s="49">
        <f t="shared" si="194"/>
        <v>1387.1963699999999</v>
      </c>
      <c r="W66" s="49">
        <f t="shared" si="194"/>
        <v>1859.145188</v>
      </c>
      <c r="X66" s="47">
        <f t="shared" si="194"/>
        <v>4.6718640000000002</v>
      </c>
      <c r="Y66" s="47">
        <f t="shared" si="139"/>
        <v>2.675526687321677</v>
      </c>
      <c r="Z66" s="48">
        <f t="shared" si="140"/>
        <v>1389.8718966873216</v>
      </c>
      <c r="AA66" s="48">
        <f t="shared" si="141"/>
        <v>1857.1488506873218</v>
      </c>
      <c r="AB66" s="93">
        <f t="shared" si="142"/>
        <v>1404.3143276830456</v>
      </c>
      <c r="AC66" s="93">
        <f t="shared" si="143"/>
        <v>1871.5912816830457</v>
      </c>
      <c r="AD66" s="118"/>
      <c r="AE66" s="275">
        <v>2.8431000000000002</v>
      </c>
      <c r="AF66" s="275">
        <v>1.6957</v>
      </c>
      <c r="AG66" s="275">
        <v>0</v>
      </c>
      <c r="AH66" s="275">
        <v>673.40830000000005</v>
      </c>
      <c r="AI66" s="275">
        <v>224.32830000000001</v>
      </c>
      <c r="AJ66" s="49">
        <f t="shared" si="195"/>
        <v>1333.0442970000001</v>
      </c>
      <c r="AK66" s="49">
        <f t="shared" si="195"/>
        <v>1927.6378459999999</v>
      </c>
      <c r="AL66" s="47">
        <f t="shared" si="195"/>
        <v>0</v>
      </c>
      <c r="AM66" s="47">
        <f t="shared" si="144"/>
        <v>0</v>
      </c>
      <c r="AN66" s="48">
        <f t="shared" si="145"/>
        <v>1333.0442970000001</v>
      </c>
      <c r="AO66" s="48">
        <f t="shared" si="146"/>
        <v>1927.6378459999999</v>
      </c>
      <c r="AP66" s="93">
        <f t="shared" si="147"/>
        <v>1346.1509801268221</v>
      </c>
      <c r="AQ66" s="93">
        <f t="shared" si="148"/>
        <v>1940.7445291268218</v>
      </c>
      <c r="AR66" s="118"/>
      <c r="AS66" s="275">
        <v>2.8157999999999999</v>
      </c>
      <c r="AT66" s="275">
        <v>1.2122999999999999</v>
      </c>
      <c r="AU66" s="275">
        <v>0</v>
      </c>
      <c r="AV66" s="275">
        <v>22861.874199999998</v>
      </c>
      <c r="AW66" s="275">
        <v>6932.3067000000001</v>
      </c>
      <c r="AX66" s="49">
        <f t="shared" si="196"/>
        <v>981.16550999999993</v>
      </c>
      <c r="AY66" s="49">
        <f t="shared" si="196"/>
        <v>848.45240100000001</v>
      </c>
      <c r="AZ66" s="47">
        <f t="shared" si="196"/>
        <v>0</v>
      </c>
      <c r="BA66" s="47">
        <f t="shared" si="149"/>
        <v>0</v>
      </c>
      <c r="BB66" s="48">
        <f t="shared" si="150"/>
        <v>981.16550999999993</v>
      </c>
      <c r="BC66" s="48">
        <f t="shared" si="151"/>
        <v>848.45240100000001</v>
      </c>
      <c r="BD66" s="93">
        <f t="shared" si="152"/>
        <v>999.59475557571932</v>
      </c>
      <c r="BE66" s="93">
        <f t="shared" si="153"/>
        <v>866.88164657571951</v>
      </c>
      <c r="BF66" s="118"/>
      <c r="BG66" s="275">
        <v>2.7109999999999999</v>
      </c>
      <c r="BH66" s="275">
        <v>1.3182</v>
      </c>
      <c r="BI66" s="275">
        <v>0</v>
      </c>
      <c r="BJ66" s="275">
        <v>12519.2767</v>
      </c>
      <c r="BK66" s="275">
        <v>3915.1958</v>
      </c>
      <c r="BL66" s="49">
        <f t="shared" si="197"/>
        <v>916.91442000000006</v>
      </c>
      <c r="BM66" s="49">
        <f t="shared" si="197"/>
        <v>788.88997200000006</v>
      </c>
      <c r="BN66" s="47">
        <f t="shared" si="197"/>
        <v>0</v>
      </c>
      <c r="BO66" s="47">
        <f t="shared" si="154"/>
        <v>0</v>
      </c>
      <c r="BP66" s="48">
        <f t="shared" si="155"/>
        <v>916.91442000000006</v>
      </c>
      <c r="BQ66" s="48">
        <f t="shared" si="156"/>
        <v>788.88997200000006</v>
      </c>
      <c r="BR66" s="93">
        <f t="shared" si="157"/>
        <v>936.6199590420722</v>
      </c>
      <c r="BS66" s="93">
        <f t="shared" si="158"/>
        <v>808.59551104207219</v>
      </c>
      <c r="BT66" s="118"/>
      <c r="BU66" s="275">
        <v>2.7429000000000001</v>
      </c>
      <c r="BV66" s="275">
        <v>1.3226</v>
      </c>
      <c r="BW66" s="275">
        <v>2.8E-3</v>
      </c>
      <c r="BX66" s="275">
        <v>15175.976699999999</v>
      </c>
      <c r="BY66" s="275">
        <v>5346.6532999999999</v>
      </c>
      <c r="BZ66" s="49">
        <f t="shared" si="198"/>
        <v>644.965506</v>
      </c>
      <c r="CA66" s="49">
        <f t="shared" si="198"/>
        <v>475.51437799999997</v>
      </c>
      <c r="CB66" s="47">
        <f t="shared" si="198"/>
        <v>0.26373199999999997</v>
      </c>
      <c r="CC66" s="47">
        <f t="shared" si="159"/>
        <v>0.1119237924120519</v>
      </c>
      <c r="CD66" s="48">
        <f t="shared" si="160"/>
        <v>645.07742979241209</v>
      </c>
      <c r="CE66" s="48">
        <f t="shared" si="161"/>
        <v>475.36256979241199</v>
      </c>
      <c r="CF66" s="93">
        <f t="shared" si="162"/>
        <v>656.32855694558668</v>
      </c>
      <c r="CG66" s="93">
        <f t="shared" si="163"/>
        <v>486.61369694558664</v>
      </c>
      <c r="CH66" s="118"/>
      <c r="CI66" s="275">
        <v>1.2143999999999999</v>
      </c>
      <c r="CJ66" s="275">
        <v>1.1024</v>
      </c>
      <c r="CK66" s="275">
        <v>2.6700000000000002E-2</v>
      </c>
      <c r="CL66" s="275">
        <v>50965.4</v>
      </c>
      <c r="CM66" s="275">
        <v>16104.376700000001</v>
      </c>
      <c r="CN66" s="49">
        <f t="shared" si="199"/>
        <v>250.65215999999998</v>
      </c>
      <c r="CO66" s="49">
        <f t="shared" si="199"/>
        <v>295.24476800000002</v>
      </c>
      <c r="CP66" s="47">
        <f t="shared" si="199"/>
        <v>1.1214E-2</v>
      </c>
      <c r="CQ66" s="47">
        <f t="shared" si="164"/>
        <v>6.0650182452611284E-3</v>
      </c>
      <c r="CR66" s="48">
        <f t="shared" si="165"/>
        <v>250.65822501824525</v>
      </c>
      <c r="CS66" s="48">
        <f t="shared" si="166"/>
        <v>295.23961901824526</v>
      </c>
      <c r="CT66" s="93">
        <f t="shared" si="167"/>
        <v>250.68678258071859</v>
      </c>
      <c r="CU66" s="93">
        <f t="shared" si="168"/>
        <v>295.26817658071866</v>
      </c>
      <c r="CV66" s="118"/>
      <c r="CW66" s="275">
        <v>2.1006999999999998</v>
      </c>
      <c r="CX66" s="275">
        <v>1.8676999999999999</v>
      </c>
      <c r="CY66" s="275">
        <v>7.3700000000000002E-2</v>
      </c>
      <c r="CZ66" s="275">
        <v>23123.550800000001</v>
      </c>
      <c r="DA66" s="275">
        <v>6703.8716999999997</v>
      </c>
      <c r="DB66" s="49">
        <f t="shared" si="200"/>
        <v>436.08431299999995</v>
      </c>
      <c r="DC66" s="49">
        <f t="shared" si="200"/>
        <v>525.77622699999995</v>
      </c>
      <c r="DD66" s="47">
        <f t="shared" si="200"/>
        <v>2.1373E-2</v>
      </c>
      <c r="DE66" s="47">
        <f t="shared" si="169"/>
        <v>1.1682998555768803E-2</v>
      </c>
      <c r="DF66" s="48">
        <f t="shared" si="170"/>
        <v>436.09599599855574</v>
      </c>
      <c r="DG66" s="48">
        <f t="shared" si="171"/>
        <v>525.76653699855569</v>
      </c>
      <c r="DH66" s="93">
        <f t="shared" si="172"/>
        <v>436.10701811169804</v>
      </c>
      <c r="DI66" s="93">
        <f t="shared" si="173"/>
        <v>525.777559111698</v>
      </c>
      <c r="DJ66" s="118"/>
      <c r="DK66" s="275">
        <v>2.1574</v>
      </c>
      <c r="DL66" s="275">
        <v>1.8418000000000001</v>
      </c>
      <c r="DM66" s="275">
        <v>5.11E-2</v>
      </c>
      <c r="DN66" s="275">
        <v>6010.7466999999997</v>
      </c>
      <c r="DO66" s="275">
        <v>2202.3649999999998</v>
      </c>
      <c r="DP66" s="49">
        <f t="shared" si="201"/>
        <v>293.92417600000005</v>
      </c>
      <c r="DQ66" s="49">
        <f t="shared" si="201"/>
        <v>363.40555800000004</v>
      </c>
      <c r="DR66" s="47">
        <f t="shared" si="201"/>
        <v>1.1242E-2</v>
      </c>
      <c r="DS66" s="47">
        <f t="shared" si="174"/>
        <v>6.2151536310024883E-3</v>
      </c>
      <c r="DT66" s="48">
        <f t="shared" si="175"/>
        <v>293.93039115363104</v>
      </c>
      <c r="DU66" s="48">
        <f t="shared" si="176"/>
        <v>363.40053115363105</v>
      </c>
      <c r="DV66" s="93">
        <f t="shared" si="177"/>
        <v>293.94625675104334</v>
      </c>
      <c r="DW66" s="93">
        <f t="shared" si="178"/>
        <v>363.41639675104335</v>
      </c>
      <c r="DX66" s="118"/>
      <c r="DY66" s="118"/>
      <c r="DZ66" s="118"/>
      <c r="EB66" s="52"/>
      <c r="EC66" s="52"/>
      <c r="ED66" s="52"/>
      <c r="EE66" s="55">
        <f t="shared" si="179"/>
        <v>120989.32749999998</v>
      </c>
      <c r="EF66" s="55">
        <f t="shared" si="179"/>
        <v>37331.892599999999</v>
      </c>
      <c r="EG66" s="55">
        <f t="shared" si="179"/>
        <v>3394.0093904</v>
      </c>
      <c r="EH66" s="55">
        <f t="shared" si="179"/>
        <v>3769.5656485999998</v>
      </c>
      <c r="EI66" s="298">
        <f t="shared" si="202"/>
        <v>0.76420158601342159</v>
      </c>
      <c r="EJ66" s="52"/>
      <c r="EK66" s="55">
        <f t="shared" si="180"/>
        <v>3394.0248018170896</v>
      </c>
      <c r="EL66" s="55">
        <f t="shared" si="180"/>
        <v>3769.5527476170896</v>
      </c>
      <c r="EM66" s="55">
        <f t="shared" si="111"/>
        <v>3434.7878158114145</v>
      </c>
      <c r="EN66" s="55">
        <f t="shared" si="111"/>
        <v>3810.3157616114149</v>
      </c>
      <c r="EP66" s="52"/>
      <c r="EQ66" s="52"/>
      <c r="ER66" s="52"/>
      <c r="ES66" s="55">
        <f t="shared" si="203"/>
        <v>92651.283299999996</v>
      </c>
      <c r="ET66" s="55">
        <f t="shared" si="203"/>
        <v>28961.104199999998</v>
      </c>
      <c r="EU66" s="55">
        <f t="shared" si="203"/>
        <v>2860.0219690999998</v>
      </c>
      <c r="EV66" s="55">
        <f t="shared" si="203"/>
        <v>3311.3232868999999</v>
      </c>
      <c r="EW66" s="298">
        <f t="shared" si="204"/>
        <v>0.76185728448099088</v>
      </c>
      <c r="EX66" s="52"/>
      <c r="EY66" s="55">
        <f t="shared" si="205"/>
        <v>2862.7117389045557</v>
      </c>
      <c r="EZ66" s="55">
        <f t="shared" si="205"/>
        <v>3309.3150176045565</v>
      </c>
      <c r="FA66" s="55">
        <f t="shared" si="205"/>
        <v>2896.8959819840252</v>
      </c>
      <c r="FB66" s="55">
        <f t="shared" si="205"/>
        <v>3343.4992606840251</v>
      </c>
      <c r="FD66" s="52"/>
      <c r="FE66" s="52"/>
      <c r="FF66" s="52"/>
      <c r="FG66" s="55">
        <f t="shared" si="206"/>
        <v>72825.531700000007</v>
      </c>
      <c r="FH66" s="55">
        <f t="shared" si="206"/>
        <v>23877.723299999998</v>
      </c>
      <c r="FI66" s="55">
        <f t="shared" si="206"/>
        <v>2405.0164685999998</v>
      </c>
      <c r="FJ66" s="55">
        <f t="shared" si="206"/>
        <v>2916.4403268000001</v>
      </c>
      <c r="FK66" s="298">
        <f t="shared" si="207"/>
        <v>0.75308252757365823</v>
      </c>
      <c r="FL66" s="52"/>
      <c r="FM66" s="55">
        <f t="shared" si="208"/>
        <v>2405.1381865028357</v>
      </c>
      <c r="FN66" s="55">
        <f t="shared" si="208"/>
        <v>2916.2803535028356</v>
      </c>
      <c r="FO66" s="55">
        <f t="shared" si="208"/>
        <v>2429.5340737037532</v>
      </c>
      <c r="FP66" s="55">
        <f t="shared" si="208"/>
        <v>2940.6762407037531</v>
      </c>
      <c r="FR66" s="52"/>
      <c r="FS66" s="52"/>
      <c r="FT66" s="52"/>
      <c r="FU66" s="55">
        <f t="shared" si="209"/>
        <v>74088.950800000006</v>
      </c>
      <c r="FV66" s="55">
        <f t="shared" si="209"/>
        <v>22808.2484</v>
      </c>
      <c r="FW66" s="55">
        <f t="shared" si="209"/>
        <v>599.51961039999992</v>
      </c>
      <c r="FX66" s="55">
        <f t="shared" si="209"/>
        <v>715.86574960000007</v>
      </c>
      <c r="FY66" s="298">
        <f t="shared" si="210"/>
        <v>0.7646139559418762</v>
      </c>
      <c r="FZ66" s="52"/>
      <c r="GA66" s="55">
        <f t="shared" si="211"/>
        <v>599.53502181708984</v>
      </c>
      <c r="GB66" s="55">
        <f t="shared" si="211"/>
        <v>715.85284861708988</v>
      </c>
      <c r="GC66" s="55">
        <f t="shared" si="211"/>
        <v>599.57239707007705</v>
      </c>
      <c r="GD66" s="55">
        <f t="shared" si="211"/>
        <v>715.89022387007708</v>
      </c>
      <c r="GF66" s="52"/>
      <c r="GG66" s="52"/>
      <c r="GH66" s="52"/>
      <c r="GI66" s="55">
        <f t="shared" si="212"/>
        <v>38037.850899999998</v>
      </c>
      <c r="GJ66" s="55">
        <f t="shared" si="212"/>
        <v>12278.96</v>
      </c>
      <c r="GK66" s="56">
        <f t="shared" si="213"/>
        <v>252.15000299999994</v>
      </c>
      <c r="GL66" s="56">
        <f t="shared" si="213"/>
        <v>279.70351725</v>
      </c>
      <c r="GM66" s="298">
        <f t="shared" si="214"/>
        <v>0.75596704599575493</v>
      </c>
      <c r="GN66" s="52"/>
      <c r="GO66" s="56">
        <f t="shared" si="215"/>
        <v>252.06606015569088</v>
      </c>
      <c r="GP66" s="56">
        <f t="shared" si="215"/>
        <v>279.817373405691</v>
      </c>
      <c r="GQ66" s="56">
        <f t="shared" si="215"/>
        <v>257.44964897259945</v>
      </c>
      <c r="GR66" s="56">
        <f t="shared" si="215"/>
        <v>285.20096222259963</v>
      </c>
      <c r="GW66" s="275">
        <v>1.9532</v>
      </c>
      <c r="GX66" s="275">
        <v>1.3431999999999999</v>
      </c>
      <c r="GY66" s="275">
        <v>1.9900000000000001E-2</v>
      </c>
      <c r="GZ66" s="275">
        <v>2345.3141999999998</v>
      </c>
      <c r="HA66" s="275">
        <v>945.48670000000004</v>
      </c>
      <c r="HB66" s="49">
        <f t="shared" si="126"/>
        <v>1282.842228</v>
      </c>
      <c r="HC66" s="49">
        <f t="shared" si="127"/>
        <v>1823.8103919999999</v>
      </c>
      <c r="HD66" s="47">
        <f t="shared" si="128"/>
        <v>4.8420680000000003</v>
      </c>
      <c r="HE66" s="47">
        <f t="shared" si="181"/>
        <v>1.3911844057462124</v>
      </c>
      <c r="HF66" s="48">
        <f t="shared" si="182"/>
        <v>1284.2334124057461</v>
      </c>
      <c r="HG66" s="48">
        <f t="shared" si="183"/>
        <v>1820.3595084057461</v>
      </c>
      <c r="HH66" s="93">
        <f t="shared" si="184"/>
        <v>1297.66762154957</v>
      </c>
      <c r="HI66" s="93">
        <f t="shared" si="185"/>
        <v>1833.7937175495699</v>
      </c>
      <c r="HJ66" s="298">
        <f t="shared" si="216"/>
        <v>0.71268796602067297</v>
      </c>
      <c r="HL66" s="275">
        <v>2.1861999999999999</v>
      </c>
      <c r="HM66" s="275">
        <v>1.7982</v>
      </c>
      <c r="HN66" s="275">
        <v>0</v>
      </c>
      <c r="HO66" s="275">
        <v>470.83249999999998</v>
      </c>
      <c r="HP66" s="275">
        <v>116.5</v>
      </c>
      <c r="HQ66" s="49">
        <f t="shared" si="130"/>
        <v>1162.29323</v>
      </c>
      <c r="HR66" s="49">
        <f t="shared" si="131"/>
        <v>1394.5580459999999</v>
      </c>
      <c r="HS66" s="47">
        <f t="shared" si="132"/>
        <v>0</v>
      </c>
      <c r="HT66" s="47">
        <f t="shared" si="186"/>
        <v>0</v>
      </c>
      <c r="HU66" s="48">
        <f t="shared" si="187"/>
        <v>1162.29323</v>
      </c>
      <c r="HV66" s="48">
        <f t="shared" si="188"/>
        <v>1394.5580459999999</v>
      </c>
      <c r="HW66" s="93">
        <f t="shared" si="189"/>
        <v>1165.2982785267029</v>
      </c>
      <c r="HX66" s="93">
        <f t="shared" si="190"/>
        <v>1397.5630945267028</v>
      </c>
      <c r="HY66" s="298">
        <f t="shared" si="217"/>
        <v>0.80164557554707083</v>
      </c>
    </row>
    <row r="67" spans="1:233" s="131" customFormat="1" x14ac:dyDescent="0.2">
      <c r="A67" s="118">
        <v>57</v>
      </c>
      <c r="B67" s="118"/>
      <c r="C67" s="275">
        <v>1.925</v>
      </c>
      <c r="D67" s="275">
        <v>1.2504</v>
      </c>
      <c r="E67" s="275">
        <v>0</v>
      </c>
      <c r="F67" s="275">
        <v>21849.784199999998</v>
      </c>
      <c r="G67" s="275">
        <v>7257.9717000000001</v>
      </c>
      <c r="H67" s="49">
        <f t="shared" si="192"/>
        <v>1903.9212499999999</v>
      </c>
      <c r="I67" s="49">
        <f t="shared" si="192"/>
        <v>2252.9957279999999</v>
      </c>
      <c r="J67" s="47">
        <f t="shared" si="192"/>
        <v>0</v>
      </c>
      <c r="K67" s="47">
        <f t="shared" si="134"/>
        <v>0</v>
      </c>
      <c r="L67" s="48">
        <f t="shared" si="135"/>
        <v>1903.9212499999999</v>
      </c>
      <c r="M67" s="48">
        <f t="shared" si="136"/>
        <v>2252.9957279999999</v>
      </c>
      <c r="N67" s="93">
        <f t="shared" si="137"/>
        <v>1926.2176431656183</v>
      </c>
      <c r="O67" s="93">
        <f t="shared" si="138"/>
        <v>2275.2921211656185</v>
      </c>
      <c r="P67" s="298">
        <f t="shared" si="193"/>
        <v>0.75065162271750396</v>
      </c>
      <c r="Q67" s="275">
        <v>2.3932000000000002</v>
      </c>
      <c r="R67" s="275">
        <v>1.6435</v>
      </c>
      <c r="S67" s="275">
        <v>1.32E-2</v>
      </c>
      <c r="T67" s="275">
        <v>5696.6049999999996</v>
      </c>
      <c r="U67" s="275">
        <v>2244.5374999999999</v>
      </c>
      <c r="V67" s="49">
        <f t="shared" si="194"/>
        <v>1467.0076680000002</v>
      </c>
      <c r="W67" s="49">
        <f t="shared" si="194"/>
        <v>1907.5447100000001</v>
      </c>
      <c r="X67" s="47">
        <f t="shared" si="194"/>
        <v>2.8550279999999999</v>
      </c>
      <c r="Y67" s="47">
        <f t="shared" si="139"/>
        <v>1.6138713963389781</v>
      </c>
      <c r="Z67" s="48">
        <f t="shared" si="140"/>
        <v>1468.6215393963391</v>
      </c>
      <c r="AA67" s="48">
        <f t="shared" si="141"/>
        <v>1906.3035533963391</v>
      </c>
      <c r="AB67" s="93">
        <f t="shared" si="142"/>
        <v>1484.1256256830459</v>
      </c>
      <c r="AC67" s="93">
        <f t="shared" si="143"/>
        <v>1921.8076396830459</v>
      </c>
      <c r="AD67" s="118"/>
      <c r="AE67" s="275">
        <v>3.0832000000000002</v>
      </c>
      <c r="AF67" s="275">
        <v>1.7650999999999999</v>
      </c>
      <c r="AG67" s="275">
        <v>0</v>
      </c>
      <c r="AH67" s="275">
        <v>647.30499999999995</v>
      </c>
      <c r="AI67" s="275">
        <v>230.17</v>
      </c>
      <c r="AJ67" s="49">
        <f t="shared" si="195"/>
        <v>1445.6199840000002</v>
      </c>
      <c r="AK67" s="49">
        <f t="shared" si="195"/>
        <v>2006.5303779999999</v>
      </c>
      <c r="AL67" s="47">
        <f t="shared" si="195"/>
        <v>0</v>
      </c>
      <c r="AM67" s="47">
        <f t="shared" si="144"/>
        <v>0</v>
      </c>
      <c r="AN67" s="48">
        <f t="shared" si="145"/>
        <v>1445.6199840000002</v>
      </c>
      <c r="AO67" s="48">
        <f t="shared" si="146"/>
        <v>2006.5303779999999</v>
      </c>
      <c r="AP67" s="93">
        <f t="shared" si="147"/>
        <v>1458.7266671268221</v>
      </c>
      <c r="AQ67" s="93">
        <f t="shared" si="148"/>
        <v>2019.6370611268219</v>
      </c>
      <c r="AR67" s="118"/>
      <c r="AS67" s="275">
        <v>3.0430000000000001</v>
      </c>
      <c r="AT67" s="275">
        <v>1.2781</v>
      </c>
      <c r="AU67" s="275">
        <v>0</v>
      </c>
      <c r="AV67" s="275">
        <v>21064.474999999999</v>
      </c>
      <c r="AW67" s="275">
        <v>6873.2416999999996</v>
      </c>
      <c r="AX67" s="49">
        <f t="shared" si="196"/>
        <v>1060.3333500000001</v>
      </c>
      <c r="AY67" s="49">
        <f t="shared" si="196"/>
        <v>894.50384700000006</v>
      </c>
      <c r="AZ67" s="47">
        <f t="shared" si="196"/>
        <v>0</v>
      </c>
      <c r="BA67" s="47">
        <f t="shared" si="149"/>
        <v>0</v>
      </c>
      <c r="BB67" s="48">
        <f t="shared" si="150"/>
        <v>1060.3333500000001</v>
      </c>
      <c r="BC67" s="48">
        <f t="shared" si="151"/>
        <v>894.50384700000006</v>
      </c>
      <c r="BD67" s="93">
        <f t="shared" si="152"/>
        <v>1078.7625955757196</v>
      </c>
      <c r="BE67" s="93">
        <f t="shared" si="153"/>
        <v>912.93309257571946</v>
      </c>
      <c r="BF67" s="118"/>
      <c r="BG67" s="275">
        <v>2.9531999999999998</v>
      </c>
      <c r="BH67" s="275">
        <v>1.3817999999999999</v>
      </c>
      <c r="BI67" s="275">
        <v>0</v>
      </c>
      <c r="BJ67" s="275">
        <v>11763.620800000001</v>
      </c>
      <c r="BK67" s="275">
        <v>3788.2150000000001</v>
      </c>
      <c r="BL67" s="49">
        <f t="shared" si="197"/>
        <v>998.83130400000005</v>
      </c>
      <c r="BM67" s="49">
        <f t="shared" si="197"/>
        <v>826.95202800000004</v>
      </c>
      <c r="BN67" s="47">
        <f t="shared" si="197"/>
        <v>0</v>
      </c>
      <c r="BO67" s="47">
        <f t="shared" si="154"/>
        <v>0</v>
      </c>
      <c r="BP67" s="48">
        <f t="shared" si="155"/>
        <v>998.83130400000005</v>
      </c>
      <c r="BQ67" s="48">
        <f t="shared" si="156"/>
        <v>826.95202800000004</v>
      </c>
      <c r="BR67" s="93">
        <f t="shared" si="157"/>
        <v>1018.5368430420722</v>
      </c>
      <c r="BS67" s="93">
        <f t="shared" si="158"/>
        <v>846.65756704207217</v>
      </c>
      <c r="BT67" s="118"/>
      <c r="BU67" s="275">
        <v>2.9565999999999999</v>
      </c>
      <c r="BV67" s="275">
        <v>1.3781000000000001</v>
      </c>
      <c r="BW67" s="275">
        <v>2.0999999999999999E-3</v>
      </c>
      <c r="BX67" s="275">
        <v>14099.6417</v>
      </c>
      <c r="BY67" s="275">
        <v>5076.3867</v>
      </c>
      <c r="BZ67" s="49">
        <f t="shared" si="198"/>
        <v>695.21492399999988</v>
      </c>
      <c r="CA67" s="49">
        <f t="shared" si="198"/>
        <v>495.46829300000002</v>
      </c>
      <c r="CB67" s="47">
        <f t="shared" si="198"/>
        <v>0.19779899999999997</v>
      </c>
      <c r="CC67" s="47">
        <f t="shared" si="159"/>
        <v>8.2308318021003066E-2</v>
      </c>
      <c r="CD67" s="48">
        <f t="shared" si="160"/>
        <v>695.29723231802086</v>
      </c>
      <c r="CE67" s="48">
        <f t="shared" si="161"/>
        <v>495.35280231802102</v>
      </c>
      <c r="CF67" s="93">
        <f t="shared" si="162"/>
        <v>706.57797494558656</v>
      </c>
      <c r="CG67" s="93">
        <f t="shared" si="163"/>
        <v>506.63354494558672</v>
      </c>
      <c r="CH67" s="118"/>
      <c r="CI67" s="275">
        <v>1.2263999999999999</v>
      </c>
      <c r="CJ67" s="275">
        <v>1.1049</v>
      </c>
      <c r="CK67" s="275">
        <v>1.84E-2</v>
      </c>
      <c r="CL67" s="275">
        <v>47305.278299999998</v>
      </c>
      <c r="CM67" s="275">
        <v>15679.9275</v>
      </c>
      <c r="CN67" s="49">
        <f t="shared" si="199"/>
        <v>253.12896000000001</v>
      </c>
      <c r="CO67" s="49">
        <f t="shared" si="199"/>
        <v>295.91431799999998</v>
      </c>
      <c r="CP67" s="47">
        <f t="shared" si="199"/>
        <v>7.7279999999999996E-3</v>
      </c>
      <c r="CQ67" s="47">
        <f t="shared" si="164"/>
        <v>4.165110367682163E-3</v>
      </c>
      <c r="CR67" s="48">
        <f t="shared" si="165"/>
        <v>253.1331251103677</v>
      </c>
      <c r="CS67" s="48">
        <f t="shared" si="166"/>
        <v>295.91075511036769</v>
      </c>
      <c r="CT67" s="93">
        <f t="shared" si="167"/>
        <v>253.16358258071861</v>
      </c>
      <c r="CU67" s="93">
        <f t="shared" si="168"/>
        <v>295.94121258071863</v>
      </c>
      <c r="CV67" s="118"/>
      <c r="CW67" s="275">
        <v>2.1911999999999998</v>
      </c>
      <c r="CX67" s="275">
        <v>1.9207000000000001</v>
      </c>
      <c r="CY67" s="275">
        <v>6.3E-2</v>
      </c>
      <c r="CZ67" s="275">
        <v>21335.33</v>
      </c>
      <c r="DA67" s="275">
        <v>6513.0016999999998</v>
      </c>
      <c r="DB67" s="49">
        <f t="shared" si="200"/>
        <v>454.87120799999997</v>
      </c>
      <c r="DC67" s="49">
        <f t="shared" si="200"/>
        <v>540.69625700000006</v>
      </c>
      <c r="DD67" s="47">
        <f t="shared" si="200"/>
        <v>1.8269999999999998E-2</v>
      </c>
      <c r="DE67" s="47">
        <f t="shared" si="169"/>
        <v>9.9225024548085239E-3</v>
      </c>
      <c r="DF67" s="48">
        <f t="shared" si="170"/>
        <v>454.88113050245477</v>
      </c>
      <c r="DG67" s="48">
        <f t="shared" si="171"/>
        <v>540.68790950245489</v>
      </c>
      <c r="DH67" s="93">
        <f t="shared" si="172"/>
        <v>454.89391311169805</v>
      </c>
      <c r="DI67" s="93">
        <f t="shared" si="173"/>
        <v>540.70069211169812</v>
      </c>
      <c r="DJ67" s="118"/>
      <c r="DK67" s="275">
        <v>2.2107999999999999</v>
      </c>
      <c r="DL67" s="275">
        <v>1.8673</v>
      </c>
      <c r="DM67" s="275">
        <v>3.7600000000000001E-2</v>
      </c>
      <c r="DN67" s="275">
        <v>5549.5766999999996</v>
      </c>
      <c r="DO67" s="275">
        <v>2205.2624999999998</v>
      </c>
      <c r="DP67" s="49">
        <f t="shared" si="201"/>
        <v>301.19939199999999</v>
      </c>
      <c r="DQ67" s="49">
        <f t="shared" si="201"/>
        <v>368.43696299999999</v>
      </c>
      <c r="DR67" s="47">
        <f t="shared" si="201"/>
        <v>8.2719999999999998E-3</v>
      </c>
      <c r="DS67" s="47">
        <f t="shared" si="174"/>
        <v>4.5512919589558425E-3</v>
      </c>
      <c r="DT67" s="48">
        <f t="shared" si="175"/>
        <v>301.20394329195892</v>
      </c>
      <c r="DU67" s="48">
        <f t="shared" si="176"/>
        <v>368.43324229195895</v>
      </c>
      <c r="DV67" s="93">
        <f t="shared" si="177"/>
        <v>301.22147275104328</v>
      </c>
      <c r="DW67" s="93">
        <f t="shared" si="178"/>
        <v>368.45077175104331</v>
      </c>
      <c r="DX67" s="118"/>
      <c r="DY67" s="118"/>
      <c r="DZ67" s="118"/>
      <c r="EB67" s="52"/>
      <c r="EC67" s="52"/>
      <c r="ED67" s="52"/>
      <c r="EE67" s="55">
        <f t="shared" si="179"/>
        <v>111554.86750000001</v>
      </c>
      <c r="EF67" s="55">
        <f t="shared" si="179"/>
        <v>36324.142599999999</v>
      </c>
      <c r="EG67" s="55">
        <f t="shared" si="179"/>
        <v>3581.2805264000003</v>
      </c>
      <c r="EH67" s="55">
        <f t="shared" si="179"/>
        <v>3875.9708986000001</v>
      </c>
      <c r="EI67" s="298">
        <f t="shared" si="202"/>
        <v>0.75436579826010075</v>
      </c>
      <c r="EJ67" s="52"/>
      <c r="EK67" s="55">
        <f t="shared" si="180"/>
        <v>3581.2926295123316</v>
      </c>
      <c r="EL67" s="55">
        <f t="shared" si="180"/>
        <v>3875.9606577123313</v>
      </c>
      <c r="EM67" s="55">
        <f t="shared" si="111"/>
        <v>3622.0589518114148</v>
      </c>
      <c r="EN67" s="55">
        <f t="shared" si="111"/>
        <v>3916.726980011415</v>
      </c>
      <c r="EP67" s="52"/>
      <c r="EQ67" s="52"/>
      <c r="ER67" s="52"/>
      <c r="ES67" s="55">
        <f t="shared" si="203"/>
        <v>86100.834100000007</v>
      </c>
      <c r="ET67" s="55">
        <f t="shared" si="203"/>
        <v>28225.681700000001</v>
      </c>
      <c r="EU67" s="55">
        <f t="shared" si="203"/>
        <v>3037.3777776000006</v>
      </c>
      <c r="EV67" s="55">
        <f t="shared" si="203"/>
        <v>3408.8984359000005</v>
      </c>
      <c r="EW67" s="298">
        <f t="shared" si="204"/>
        <v>0.75311342690284278</v>
      </c>
      <c r="EX67" s="52"/>
      <c r="EY67" s="55">
        <f t="shared" si="205"/>
        <v>3039.0027598584256</v>
      </c>
      <c r="EZ67" s="55">
        <f t="shared" si="205"/>
        <v>3407.6478731584248</v>
      </c>
      <c r="FA67" s="55">
        <f t="shared" si="205"/>
        <v>3074.2517904840247</v>
      </c>
      <c r="FB67" s="55">
        <f t="shared" si="205"/>
        <v>3442.8969037840252</v>
      </c>
      <c r="FD67" s="52"/>
      <c r="FE67" s="52"/>
      <c r="FF67" s="52"/>
      <c r="FG67" s="55">
        <f t="shared" si="206"/>
        <v>67601.801699999996</v>
      </c>
      <c r="FH67" s="55">
        <f t="shared" si="206"/>
        <v>23191.7467</v>
      </c>
      <c r="FI67" s="55">
        <f t="shared" si="206"/>
        <v>2574.6835031999999</v>
      </c>
      <c r="FJ67" s="55">
        <f t="shared" si="206"/>
        <v>3018.9751667999999</v>
      </c>
      <c r="FK67" s="298">
        <f t="shared" si="207"/>
        <v>0.74456613813763006</v>
      </c>
      <c r="FL67" s="52"/>
      <c r="FM67" s="55">
        <f t="shared" si="208"/>
        <v>2574.7727074035638</v>
      </c>
      <c r="FN67" s="55">
        <f t="shared" si="208"/>
        <v>3018.8538808035637</v>
      </c>
      <c r="FO67" s="55">
        <f t="shared" si="208"/>
        <v>2599.2011083037528</v>
      </c>
      <c r="FP67" s="55">
        <f t="shared" si="208"/>
        <v>3043.2822817037531</v>
      </c>
      <c r="FR67" s="52"/>
      <c r="FS67" s="52"/>
      <c r="FT67" s="52"/>
      <c r="FU67" s="55">
        <f t="shared" si="209"/>
        <v>68640.608299999993</v>
      </c>
      <c r="FV67" s="55">
        <f t="shared" si="209"/>
        <v>22192.929199999999</v>
      </c>
      <c r="FW67" s="55">
        <f t="shared" si="209"/>
        <v>617.0259264</v>
      </c>
      <c r="FX67" s="55">
        <f t="shared" si="209"/>
        <v>728.47132360000001</v>
      </c>
      <c r="FY67" s="298">
        <f t="shared" si="210"/>
        <v>0.75567472311644801</v>
      </c>
      <c r="FZ67" s="52"/>
      <c r="GA67" s="55">
        <f t="shared" si="211"/>
        <v>617.0380295123316</v>
      </c>
      <c r="GB67" s="55">
        <f t="shared" si="211"/>
        <v>728.46108271233163</v>
      </c>
      <c r="GC67" s="55">
        <f t="shared" si="211"/>
        <v>617.07871307007713</v>
      </c>
      <c r="GD67" s="55">
        <f t="shared" si="211"/>
        <v>728.50176627007716</v>
      </c>
      <c r="GF67" s="52"/>
      <c r="GG67" s="52"/>
      <c r="GH67" s="52"/>
      <c r="GI67" s="55">
        <f t="shared" si="212"/>
        <v>35164.116699999999</v>
      </c>
      <c r="GJ67" s="55">
        <f t="shared" si="212"/>
        <v>11949.6284</v>
      </c>
      <c r="GK67" s="56">
        <f t="shared" si="213"/>
        <v>273.83881950000017</v>
      </c>
      <c r="GL67" s="56">
        <f t="shared" si="213"/>
        <v>299.27666550000004</v>
      </c>
      <c r="GM67" s="298">
        <f t="shared" si="214"/>
        <v>0.74636640804850807</v>
      </c>
      <c r="GN67" s="52"/>
      <c r="GO67" s="56">
        <f t="shared" si="215"/>
        <v>273.77708826148444</v>
      </c>
      <c r="GP67" s="56">
        <f t="shared" si="215"/>
        <v>299.36328351148427</v>
      </c>
      <c r="GQ67" s="56">
        <f t="shared" si="215"/>
        <v>279.13846547259982</v>
      </c>
      <c r="GR67" s="56">
        <f t="shared" si="215"/>
        <v>304.72466072259954</v>
      </c>
      <c r="GW67" s="275">
        <v>2.0834000000000001</v>
      </c>
      <c r="GX67" s="275">
        <v>1.3736999999999999</v>
      </c>
      <c r="GY67" s="275">
        <v>1.34E-2</v>
      </c>
      <c r="GZ67" s="275">
        <v>2169.7824999999998</v>
      </c>
      <c r="HA67" s="275">
        <v>922.95169999999996</v>
      </c>
      <c r="HB67" s="49">
        <f t="shared" si="126"/>
        <v>1368.356286</v>
      </c>
      <c r="HC67" s="49">
        <f t="shared" si="127"/>
        <v>1865.2235969999999</v>
      </c>
      <c r="HD67" s="47">
        <f t="shared" si="128"/>
        <v>3.2604880000000001</v>
      </c>
      <c r="HE67" s="47">
        <f t="shared" si="181"/>
        <v>0.97301376317098309</v>
      </c>
      <c r="HF67" s="48">
        <f t="shared" si="182"/>
        <v>1369.3292997631709</v>
      </c>
      <c r="HG67" s="48">
        <f t="shared" si="183"/>
        <v>1862.9361227631709</v>
      </c>
      <c r="HH67" s="93">
        <f t="shared" si="184"/>
        <v>1383.1816795495699</v>
      </c>
      <c r="HI67" s="93">
        <f t="shared" si="185"/>
        <v>1876.78850254957</v>
      </c>
      <c r="HJ67" s="298">
        <f t="shared" si="216"/>
        <v>0.70157419282911537</v>
      </c>
      <c r="HL67" s="275">
        <v>2.3469000000000002</v>
      </c>
      <c r="HM67" s="275">
        <v>1.9126000000000001</v>
      </c>
      <c r="HN67" s="275">
        <v>0</v>
      </c>
      <c r="HO67" s="275">
        <v>471.57499999999999</v>
      </c>
      <c r="HP67" s="275">
        <v>131.66669999999999</v>
      </c>
      <c r="HQ67" s="49">
        <f t="shared" si="130"/>
        <v>1247.7293850000001</v>
      </c>
      <c r="HR67" s="49">
        <f t="shared" si="131"/>
        <v>1483.2786779999999</v>
      </c>
      <c r="HS67" s="47">
        <f t="shared" si="132"/>
        <v>0</v>
      </c>
      <c r="HT67" s="47">
        <f t="shared" si="186"/>
        <v>0</v>
      </c>
      <c r="HU67" s="48">
        <f t="shared" si="187"/>
        <v>1247.7293850000001</v>
      </c>
      <c r="HV67" s="48">
        <f t="shared" si="188"/>
        <v>1483.2786779999999</v>
      </c>
      <c r="HW67" s="93">
        <f t="shared" si="189"/>
        <v>1250.734433526703</v>
      </c>
      <c r="HX67" s="93">
        <f t="shared" si="190"/>
        <v>1486.2837265267028</v>
      </c>
      <c r="HY67" s="298">
        <f t="shared" si="217"/>
        <v>0.78173475076408006</v>
      </c>
    </row>
    <row r="68" spans="1:233" s="131" customFormat="1" x14ac:dyDescent="0.2">
      <c r="A68" s="118">
        <v>58</v>
      </c>
      <c r="B68" s="118"/>
      <c r="C68" s="275">
        <v>2.0226999999999999</v>
      </c>
      <c r="D68" s="275">
        <v>1.2773000000000001</v>
      </c>
      <c r="E68" s="275">
        <v>0</v>
      </c>
      <c r="F68" s="275">
        <v>21013.915000000001</v>
      </c>
      <c r="G68" s="275">
        <v>7248.0033000000003</v>
      </c>
      <c r="H68" s="49">
        <f t="shared" si="192"/>
        <v>2000.5514349999999</v>
      </c>
      <c r="I68" s="49">
        <f t="shared" si="192"/>
        <v>2301.4646860000003</v>
      </c>
      <c r="J68" s="47">
        <f t="shared" si="192"/>
        <v>0</v>
      </c>
      <c r="K68" s="47">
        <f t="shared" si="134"/>
        <v>0</v>
      </c>
      <c r="L68" s="48">
        <f t="shared" si="135"/>
        <v>2000.5514349999999</v>
      </c>
      <c r="M68" s="48">
        <f t="shared" si="136"/>
        <v>2301.4646860000003</v>
      </c>
      <c r="N68" s="93">
        <f t="shared" si="137"/>
        <v>2022.8478281656182</v>
      </c>
      <c r="O68" s="93">
        <f t="shared" si="138"/>
        <v>2323.7610791656189</v>
      </c>
      <c r="P68" s="298">
        <f t="shared" si="193"/>
        <v>0.74354170785356777</v>
      </c>
      <c r="Q68" s="275">
        <v>2.5314999999999999</v>
      </c>
      <c r="R68" s="275">
        <v>1.6830000000000001</v>
      </c>
      <c r="S68" s="275">
        <v>6.7999999999999996E-3</v>
      </c>
      <c r="T68" s="275">
        <v>5671.3766999999998</v>
      </c>
      <c r="U68" s="275">
        <v>2254.4367000000002</v>
      </c>
      <c r="V68" s="49">
        <f t="shared" si="194"/>
        <v>1551.784185</v>
      </c>
      <c r="W68" s="49">
        <f t="shared" si="194"/>
        <v>1953.3907800000002</v>
      </c>
      <c r="X68" s="47">
        <f t="shared" si="194"/>
        <v>1.470772</v>
      </c>
      <c r="Y68" s="47">
        <f t="shared" si="139"/>
        <v>0.81964309712629713</v>
      </c>
      <c r="Z68" s="48">
        <f t="shared" si="140"/>
        <v>1552.6038280971263</v>
      </c>
      <c r="AA68" s="48">
        <f t="shared" si="141"/>
        <v>1952.7396510971266</v>
      </c>
      <c r="AB68" s="93">
        <f t="shared" si="142"/>
        <v>1568.9021426830457</v>
      </c>
      <c r="AC68" s="93">
        <f t="shared" si="143"/>
        <v>1969.037965683046</v>
      </c>
      <c r="AD68" s="118"/>
      <c r="AE68" s="275">
        <v>3.3327</v>
      </c>
      <c r="AF68" s="275">
        <v>1.8353999999999999</v>
      </c>
      <c r="AG68" s="275">
        <v>0</v>
      </c>
      <c r="AH68" s="275">
        <v>599.22329999999999</v>
      </c>
      <c r="AI68" s="275">
        <v>190.58</v>
      </c>
      <c r="AJ68" s="49">
        <f t="shared" si="195"/>
        <v>1562.6030490000001</v>
      </c>
      <c r="AK68" s="49">
        <f t="shared" si="195"/>
        <v>2086.4460119999999</v>
      </c>
      <c r="AL68" s="47">
        <f t="shared" si="195"/>
        <v>0</v>
      </c>
      <c r="AM68" s="47">
        <f t="shared" si="144"/>
        <v>0</v>
      </c>
      <c r="AN68" s="48">
        <f t="shared" si="145"/>
        <v>1562.6030490000001</v>
      </c>
      <c r="AO68" s="48">
        <f t="shared" si="146"/>
        <v>2086.4460119999999</v>
      </c>
      <c r="AP68" s="93">
        <f t="shared" si="147"/>
        <v>1575.709732126822</v>
      </c>
      <c r="AQ68" s="93">
        <f t="shared" si="148"/>
        <v>2099.5526951268221</v>
      </c>
      <c r="AR68" s="118"/>
      <c r="AS68" s="275">
        <v>3.3001</v>
      </c>
      <c r="AT68" s="275">
        <v>1.3516999999999999</v>
      </c>
      <c r="AU68" s="275">
        <v>0</v>
      </c>
      <c r="AV68" s="275">
        <v>19911.224999999999</v>
      </c>
      <c r="AW68" s="275">
        <v>6513.0958000000001</v>
      </c>
      <c r="AX68" s="49">
        <f t="shared" si="196"/>
        <v>1149.9198449999999</v>
      </c>
      <c r="AY68" s="49">
        <f t="shared" si="196"/>
        <v>946.01427899999999</v>
      </c>
      <c r="AZ68" s="47">
        <f t="shared" si="196"/>
        <v>0</v>
      </c>
      <c r="BA68" s="47">
        <f t="shared" si="149"/>
        <v>0</v>
      </c>
      <c r="BB68" s="48">
        <f t="shared" si="150"/>
        <v>1149.9198449999999</v>
      </c>
      <c r="BC68" s="48">
        <f t="shared" si="151"/>
        <v>946.01427899999999</v>
      </c>
      <c r="BD68" s="93">
        <f t="shared" si="152"/>
        <v>1168.3490905757194</v>
      </c>
      <c r="BE68" s="93">
        <f t="shared" si="153"/>
        <v>964.44352457571949</v>
      </c>
      <c r="BF68" s="118"/>
      <c r="BG68" s="275">
        <v>3.2183000000000002</v>
      </c>
      <c r="BH68" s="275">
        <v>1.4516</v>
      </c>
      <c r="BI68" s="275">
        <v>0</v>
      </c>
      <c r="BJ68" s="275">
        <v>11606.2883</v>
      </c>
      <c r="BK68" s="275">
        <v>3924.0142000000001</v>
      </c>
      <c r="BL68" s="49">
        <f t="shared" si="197"/>
        <v>1088.4934260000002</v>
      </c>
      <c r="BM68" s="49">
        <f t="shared" si="197"/>
        <v>868.72453600000006</v>
      </c>
      <c r="BN68" s="47">
        <f t="shared" si="197"/>
        <v>0</v>
      </c>
      <c r="BO68" s="47">
        <f t="shared" si="154"/>
        <v>0</v>
      </c>
      <c r="BP68" s="48">
        <f t="shared" si="155"/>
        <v>1088.4934260000002</v>
      </c>
      <c r="BQ68" s="48">
        <f t="shared" si="156"/>
        <v>868.72453600000006</v>
      </c>
      <c r="BR68" s="93">
        <f t="shared" si="157"/>
        <v>1108.1989650420724</v>
      </c>
      <c r="BS68" s="93">
        <f t="shared" si="158"/>
        <v>888.43007504207219</v>
      </c>
      <c r="BT68" s="118"/>
      <c r="BU68" s="275">
        <v>3.1844999999999999</v>
      </c>
      <c r="BV68" s="275">
        <v>1.4395</v>
      </c>
      <c r="BW68" s="275">
        <v>0</v>
      </c>
      <c r="BX68" s="275">
        <v>13905.43</v>
      </c>
      <c r="BY68" s="275">
        <v>5282.4157999999998</v>
      </c>
      <c r="BZ68" s="49">
        <f t="shared" si="198"/>
        <v>748.80332999999996</v>
      </c>
      <c r="CA68" s="49">
        <f t="shared" si="198"/>
        <v>517.54343499999993</v>
      </c>
      <c r="CB68" s="47">
        <f t="shared" si="198"/>
        <v>0</v>
      </c>
      <c r="CC68" s="47">
        <f t="shared" si="159"/>
        <v>0</v>
      </c>
      <c r="CD68" s="48">
        <f t="shared" si="160"/>
        <v>748.80332999999996</v>
      </c>
      <c r="CE68" s="48">
        <f t="shared" si="161"/>
        <v>517.54343499999993</v>
      </c>
      <c r="CF68" s="93">
        <f t="shared" si="162"/>
        <v>760.16638094558664</v>
      </c>
      <c r="CG68" s="93">
        <f t="shared" si="163"/>
        <v>528.90648594558661</v>
      </c>
      <c r="CH68" s="118"/>
      <c r="CI68" s="275">
        <v>1.2383</v>
      </c>
      <c r="CJ68" s="275">
        <v>1.1074999999999999</v>
      </c>
      <c r="CK68" s="275">
        <v>1.21E-2</v>
      </c>
      <c r="CL68" s="275">
        <v>45770.7258</v>
      </c>
      <c r="CM68" s="275">
        <v>15667.349200000001</v>
      </c>
      <c r="CN68" s="49">
        <f t="shared" si="199"/>
        <v>255.58511999999999</v>
      </c>
      <c r="CO68" s="49">
        <f t="shared" si="199"/>
        <v>296.61064999999996</v>
      </c>
      <c r="CP68" s="47">
        <f t="shared" si="199"/>
        <v>5.0819999999999997E-3</v>
      </c>
      <c r="CQ68" s="47">
        <f t="shared" si="164"/>
        <v>2.7297842634687332E-3</v>
      </c>
      <c r="CR68" s="48">
        <f t="shared" si="165"/>
        <v>255.58784978426345</v>
      </c>
      <c r="CS68" s="48">
        <f t="shared" si="166"/>
        <v>296.60829778426341</v>
      </c>
      <c r="CT68" s="93">
        <f t="shared" si="167"/>
        <v>255.61974258071859</v>
      </c>
      <c r="CU68" s="93">
        <f t="shared" si="168"/>
        <v>296.64019058071858</v>
      </c>
      <c r="CV68" s="118"/>
      <c r="CW68" s="275">
        <v>2.2858000000000001</v>
      </c>
      <c r="CX68" s="275">
        <v>1.9719</v>
      </c>
      <c r="CY68" s="275">
        <v>5.21E-2</v>
      </c>
      <c r="CZ68" s="275">
        <v>20556.756700000002</v>
      </c>
      <c r="DA68" s="275">
        <v>6490.1549999999997</v>
      </c>
      <c r="DB68" s="49">
        <f t="shared" si="200"/>
        <v>474.50922200000002</v>
      </c>
      <c r="DC68" s="49">
        <f t="shared" si="200"/>
        <v>555.10956899999996</v>
      </c>
      <c r="DD68" s="47">
        <f t="shared" si="200"/>
        <v>1.5108999999999999E-2</v>
      </c>
      <c r="DE68" s="47">
        <f t="shared" si="169"/>
        <v>8.1458793791779199E-3</v>
      </c>
      <c r="DF68" s="48">
        <f t="shared" si="170"/>
        <v>474.51736787937921</v>
      </c>
      <c r="DG68" s="48">
        <f t="shared" si="171"/>
        <v>555.1026058793791</v>
      </c>
      <c r="DH68" s="93">
        <f t="shared" si="172"/>
        <v>474.53192711169811</v>
      </c>
      <c r="DI68" s="93">
        <f t="shared" si="173"/>
        <v>555.117165111698</v>
      </c>
      <c r="DJ68" s="118"/>
      <c r="DK68" s="275">
        <v>2.2481</v>
      </c>
      <c r="DL68" s="275">
        <v>1.8896999999999999</v>
      </c>
      <c r="DM68" s="275">
        <v>2.69E-2</v>
      </c>
      <c r="DN68" s="275">
        <v>5538.1525000000001</v>
      </c>
      <c r="DO68" s="275">
        <v>2215.1907999999999</v>
      </c>
      <c r="DP68" s="49">
        <f t="shared" si="201"/>
        <v>306.28114400000004</v>
      </c>
      <c r="DQ68" s="49">
        <f t="shared" si="201"/>
        <v>372.85670699999997</v>
      </c>
      <c r="DR68" s="47">
        <f t="shared" si="201"/>
        <v>5.9180000000000005E-3</v>
      </c>
      <c r="DS68" s="47">
        <f t="shared" si="174"/>
        <v>3.249069373437117E-3</v>
      </c>
      <c r="DT68" s="48">
        <f t="shared" si="175"/>
        <v>306.28439306937349</v>
      </c>
      <c r="DU68" s="48">
        <f t="shared" si="176"/>
        <v>372.85403806937342</v>
      </c>
      <c r="DV68" s="93">
        <f t="shared" si="177"/>
        <v>306.30322475104333</v>
      </c>
      <c r="DW68" s="93">
        <f t="shared" si="178"/>
        <v>372.87286975104325</v>
      </c>
      <c r="DX68" s="118"/>
      <c r="DY68" s="118"/>
      <c r="DZ68" s="118"/>
      <c r="EB68" s="52"/>
      <c r="EC68" s="52"/>
      <c r="ED68" s="52"/>
      <c r="EE68" s="55">
        <f t="shared" si="179"/>
        <v>107252.6225</v>
      </c>
      <c r="EF68" s="55">
        <f t="shared" si="179"/>
        <v>35918.603300000002</v>
      </c>
      <c r="EG68" s="55">
        <f t="shared" si="179"/>
        <v>3785.6637775999998</v>
      </c>
      <c r="EH68" s="55">
        <f t="shared" si="179"/>
        <v>3988.1772702000003</v>
      </c>
      <c r="EI68" s="298">
        <f t="shared" si="202"/>
        <v>0.74912135382443579</v>
      </c>
      <c r="EJ68" s="52"/>
      <c r="EK68" s="55">
        <f t="shared" si="180"/>
        <v>3785.6730240877669</v>
      </c>
      <c r="EL68" s="55">
        <f t="shared" si="180"/>
        <v>3988.169347487767</v>
      </c>
      <c r="EM68" s="55">
        <f t="shared" si="111"/>
        <v>3826.4422030114151</v>
      </c>
      <c r="EN68" s="55">
        <f t="shared" si="111"/>
        <v>4028.9385264114158</v>
      </c>
      <c r="EP68" s="52"/>
      <c r="EQ68" s="52"/>
      <c r="ER68" s="52"/>
      <c r="ES68" s="55">
        <f t="shared" si="203"/>
        <v>83605.147500000006</v>
      </c>
      <c r="ET68" s="55">
        <f t="shared" si="203"/>
        <v>28335.955099999999</v>
      </c>
      <c r="EU68" s="55">
        <f t="shared" si="203"/>
        <v>3228.0191864000008</v>
      </c>
      <c r="EV68" s="55">
        <f t="shared" si="203"/>
        <v>3507.3026643000003</v>
      </c>
      <c r="EW68" s="298">
        <f t="shared" si="204"/>
        <v>0.74686728608299413</v>
      </c>
      <c r="EX68" s="52"/>
      <c r="EY68" s="55">
        <f t="shared" si="205"/>
        <v>3228.8472613969557</v>
      </c>
      <c r="EZ68" s="55">
        <f t="shared" si="205"/>
        <v>3506.6443089969557</v>
      </c>
      <c r="FA68" s="55">
        <f t="shared" si="205"/>
        <v>3264.8931992840253</v>
      </c>
      <c r="FB68" s="55">
        <f t="shared" si="205"/>
        <v>3542.6902468840253</v>
      </c>
      <c r="FD68" s="52"/>
      <c r="FE68" s="52"/>
      <c r="FF68" s="52"/>
      <c r="FG68" s="55">
        <f t="shared" si="206"/>
        <v>65813.531600000002</v>
      </c>
      <c r="FH68" s="55">
        <f t="shared" si="206"/>
        <v>23355.535800000001</v>
      </c>
      <c r="FI68" s="55">
        <f t="shared" si="206"/>
        <v>2750.7601854000004</v>
      </c>
      <c r="FJ68" s="55">
        <f t="shared" si="206"/>
        <v>3124.3141212</v>
      </c>
      <c r="FK68" s="298">
        <f t="shared" si="207"/>
        <v>0.73807580945945839</v>
      </c>
      <c r="FL68" s="52"/>
      <c r="FM68" s="55">
        <f t="shared" si="208"/>
        <v>2750.7648646258876</v>
      </c>
      <c r="FN68" s="55">
        <f t="shared" si="208"/>
        <v>3124.3101676258875</v>
      </c>
      <c r="FO68" s="55">
        <f t="shared" si="208"/>
        <v>2775.2777905037533</v>
      </c>
      <c r="FP68" s="55">
        <f t="shared" si="208"/>
        <v>3148.8230935037536</v>
      </c>
      <c r="FR68" s="52"/>
      <c r="FS68" s="52"/>
      <c r="FT68" s="52"/>
      <c r="FU68" s="55">
        <f t="shared" si="209"/>
        <v>66327.482499999998</v>
      </c>
      <c r="FV68" s="55">
        <f t="shared" si="209"/>
        <v>22157.504199999999</v>
      </c>
      <c r="FW68" s="55">
        <f t="shared" si="209"/>
        <v>635.19249760000002</v>
      </c>
      <c r="FX68" s="55">
        <f t="shared" si="209"/>
        <v>740.69830519999994</v>
      </c>
      <c r="FY68" s="298">
        <f t="shared" si="210"/>
        <v>0.74959024093970961</v>
      </c>
      <c r="FZ68" s="52"/>
      <c r="GA68" s="55">
        <f t="shared" si="211"/>
        <v>635.20174408776688</v>
      </c>
      <c r="GB68" s="55">
        <f t="shared" si="211"/>
        <v>740.69038248776678</v>
      </c>
      <c r="GC68" s="55">
        <f t="shared" si="211"/>
        <v>635.24528427007704</v>
      </c>
      <c r="GD68" s="55">
        <f t="shared" si="211"/>
        <v>740.73392267007694</v>
      </c>
      <c r="GF68" s="52"/>
      <c r="GG68" s="52"/>
      <c r="GH68" s="52"/>
      <c r="GI68" s="55">
        <f t="shared" si="212"/>
        <v>33816.654999999999</v>
      </c>
      <c r="GJ68" s="55">
        <f t="shared" si="212"/>
        <v>11795.5116</v>
      </c>
      <c r="GK68" s="56">
        <f t="shared" si="213"/>
        <v>300.83738624999995</v>
      </c>
      <c r="GL68" s="56">
        <f t="shared" si="213"/>
        <v>321.35313300000007</v>
      </c>
      <c r="GM68" s="298">
        <f t="shared" si="214"/>
        <v>0.74139549862996423</v>
      </c>
      <c r="GN68" s="52"/>
      <c r="GO68" s="56">
        <f t="shared" si="215"/>
        <v>300.83738624999995</v>
      </c>
      <c r="GP68" s="56">
        <f t="shared" si="215"/>
        <v>321.35313300000007</v>
      </c>
      <c r="GQ68" s="56">
        <f t="shared" si="215"/>
        <v>306.1370322225996</v>
      </c>
      <c r="GR68" s="56">
        <f t="shared" si="215"/>
        <v>326.65277897259966</v>
      </c>
      <c r="GW68" s="275">
        <v>2.2206999999999999</v>
      </c>
      <c r="GX68" s="275">
        <v>1.4063000000000001</v>
      </c>
      <c r="GY68" s="275">
        <v>7.9000000000000008E-3</v>
      </c>
      <c r="GZ68" s="275">
        <v>2102.7725</v>
      </c>
      <c r="HA68" s="275">
        <v>918.38250000000005</v>
      </c>
      <c r="HB68" s="49">
        <f t="shared" si="126"/>
        <v>1458.5335529999998</v>
      </c>
      <c r="HC68" s="49">
        <f t="shared" si="127"/>
        <v>1909.4882030000001</v>
      </c>
      <c r="HD68" s="47">
        <f t="shared" si="128"/>
        <v>1.922228</v>
      </c>
      <c r="HE68" s="47">
        <f t="shared" si="181"/>
        <v>0.58432637723321046</v>
      </c>
      <c r="HF68" s="48">
        <f t="shared" si="182"/>
        <v>1459.1178793772331</v>
      </c>
      <c r="HG68" s="48">
        <f t="shared" si="183"/>
        <v>1908.1503013772335</v>
      </c>
      <c r="HH68" s="93">
        <f t="shared" si="184"/>
        <v>1473.3589465495697</v>
      </c>
      <c r="HI68" s="93">
        <f t="shared" si="185"/>
        <v>1922.3913685495702</v>
      </c>
      <c r="HJ68" s="298">
        <f t="shared" si="216"/>
        <v>0.69601609318290514</v>
      </c>
      <c r="HL68" s="275">
        <v>2.5222000000000002</v>
      </c>
      <c r="HM68" s="275">
        <v>2.0346000000000002</v>
      </c>
      <c r="HN68" s="275">
        <v>0</v>
      </c>
      <c r="HO68" s="275">
        <v>462.46749999999997</v>
      </c>
      <c r="HP68" s="275">
        <v>146.91669999999999</v>
      </c>
      <c r="HQ68" s="49">
        <f t="shared" si="130"/>
        <v>1340.9276300000001</v>
      </c>
      <c r="HR68" s="49">
        <f t="shared" si="131"/>
        <v>1577.8933380000001</v>
      </c>
      <c r="HS68" s="47">
        <f t="shared" si="132"/>
        <v>0</v>
      </c>
      <c r="HT68" s="47">
        <f t="shared" si="186"/>
        <v>0</v>
      </c>
      <c r="HU68" s="48">
        <f t="shared" si="187"/>
        <v>1340.9276300000001</v>
      </c>
      <c r="HV68" s="48">
        <f t="shared" si="188"/>
        <v>1577.8933380000001</v>
      </c>
      <c r="HW68" s="93">
        <f t="shared" si="189"/>
        <v>1343.9326785267031</v>
      </c>
      <c r="HX68" s="93">
        <f t="shared" si="190"/>
        <v>1580.898386526703</v>
      </c>
      <c r="HY68" s="298">
        <f t="shared" si="217"/>
        <v>0.75890956805247001</v>
      </c>
    </row>
    <row r="69" spans="1:233" s="131" customFormat="1" x14ac:dyDescent="0.2">
      <c r="A69" s="118">
        <v>59</v>
      </c>
      <c r="B69" s="118"/>
      <c r="C69" s="275">
        <v>2.1267999999999998</v>
      </c>
      <c r="D69" s="275">
        <v>1.3052999999999999</v>
      </c>
      <c r="E69" s="275">
        <v>0</v>
      </c>
      <c r="F69" s="275">
        <v>19989.938300000002</v>
      </c>
      <c r="G69" s="275">
        <v>7071.5241999999998</v>
      </c>
      <c r="H69" s="49">
        <f t="shared" si="192"/>
        <v>2103.5115399999995</v>
      </c>
      <c r="I69" s="49">
        <f t="shared" si="192"/>
        <v>2351.9156459999999</v>
      </c>
      <c r="J69" s="47">
        <f t="shared" si="192"/>
        <v>0</v>
      </c>
      <c r="K69" s="47">
        <f t="shared" si="134"/>
        <v>0</v>
      </c>
      <c r="L69" s="48">
        <f t="shared" si="135"/>
        <v>2103.5115399999995</v>
      </c>
      <c r="M69" s="48">
        <f t="shared" si="136"/>
        <v>2351.9156459999999</v>
      </c>
      <c r="N69" s="93">
        <f t="shared" si="137"/>
        <v>2125.8079331656181</v>
      </c>
      <c r="O69" s="93">
        <f t="shared" si="138"/>
        <v>2374.2120391656185</v>
      </c>
      <c r="P69" s="298">
        <f t="shared" si="193"/>
        <v>0.73868654733645678</v>
      </c>
      <c r="Q69" s="275">
        <v>2.6785000000000001</v>
      </c>
      <c r="R69" s="275">
        <v>1.7237</v>
      </c>
      <c r="S69" s="275">
        <v>2.8E-3</v>
      </c>
      <c r="T69" s="275">
        <v>5476.5308000000005</v>
      </c>
      <c r="U69" s="275">
        <v>2222.1891999999998</v>
      </c>
      <c r="V69" s="49">
        <f t="shared" si="194"/>
        <v>1641.8937150000002</v>
      </c>
      <c r="W69" s="49">
        <f t="shared" si="194"/>
        <v>2000.6296420000001</v>
      </c>
      <c r="X69" s="47">
        <f t="shared" si="194"/>
        <v>0.60561199999999993</v>
      </c>
      <c r="Y69" s="47">
        <f t="shared" si="139"/>
        <v>0.33262801635094746</v>
      </c>
      <c r="Z69" s="48">
        <f t="shared" si="140"/>
        <v>1642.2263430163512</v>
      </c>
      <c r="AA69" s="48">
        <f t="shared" si="141"/>
        <v>2000.356658016351</v>
      </c>
      <c r="AB69" s="93">
        <f t="shared" si="142"/>
        <v>1659.0116726830458</v>
      </c>
      <c r="AC69" s="93">
        <f t="shared" si="143"/>
        <v>2017.1419876830457</v>
      </c>
      <c r="AD69" s="118"/>
      <c r="AE69" s="275">
        <v>3.5893000000000002</v>
      </c>
      <c r="AF69" s="275">
        <v>1.9077</v>
      </c>
      <c r="AG69" s="275">
        <v>0</v>
      </c>
      <c r="AH69" s="275">
        <v>583.34580000000005</v>
      </c>
      <c r="AI69" s="275">
        <v>207.48920000000001</v>
      </c>
      <c r="AJ69" s="49">
        <f t="shared" si="195"/>
        <v>1682.9150910000001</v>
      </c>
      <c r="AK69" s="49">
        <f t="shared" si="195"/>
        <v>2168.6352059999999</v>
      </c>
      <c r="AL69" s="47">
        <f t="shared" si="195"/>
        <v>0</v>
      </c>
      <c r="AM69" s="47">
        <f t="shared" si="144"/>
        <v>0</v>
      </c>
      <c r="AN69" s="48">
        <f t="shared" si="145"/>
        <v>1682.9150910000001</v>
      </c>
      <c r="AO69" s="48">
        <f t="shared" si="146"/>
        <v>2168.6352059999999</v>
      </c>
      <c r="AP69" s="93">
        <f t="shared" si="147"/>
        <v>1696.021774126822</v>
      </c>
      <c r="AQ69" s="93">
        <f t="shared" si="148"/>
        <v>2181.7418891268221</v>
      </c>
      <c r="AR69" s="118"/>
      <c r="AS69" s="275">
        <v>3.5847000000000002</v>
      </c>
      <c r="AT69" s="275">
        <v>1.4339</v>
      </c>
      <c r="AU69" s="275">
        <v>0</v>
      </c>
      <c r="AV69" s="275">
        <v>18921.0108</v>
      </c>
      <c r="AW69" s="275">
        <v>6635.39</v>
      </c>
      <c r="AX69" s="49">
        <f t="shared" si="196"/>
        <v>1249.0887150000001</v>
      </c>
      <c r="AY69" s="49">
        <f t="shared" si="196"/>
        <v>1003.543593</v>
      </c>
      <c r="AZ69" s="47">
        <f t="shared" si="196"/>
        <v>0</v>
      </c>
      <c r="BA69" s="47">
        <f t="shared" si="149"/>
        <v>0</v>
      </c>
      <c r="BB69" s="48">
        <f t="shared" si="150"/>
        <v>1249.0887150000001</v>
      </c>
      <c r="BC69" s="48">
        <f t="shared" si="151"/>
        <v>1003.543593</v>
      </c>
      <c r="BD69" s="93">
        <f t="shared" si="152"/>
        <v>1267.5179605757196</v>
      </c>
      <c r="BE69" s="93">
        <f t="shared" si="153"/>
        <v>1021.9728385757194</v>
      </c>
      <c r="BF69" s="118"/>
      <c r="BG69" s="275">
        <v>3.4981</v>
      </c>
      <c r="BH69" s="275">
        <v>1.5311999999999999</v>
      </c>
      <c r="BI69" s="275">
        <v>0</v>
      </c>
      <c r="BJ69" s="275">
        <v>11154.3917</v>
      </c>
      <c r="BK69" s="275">
        <v>3851.2741999999998</v>
      </c>
      <c r="BL69" s="49">
        <f t="shared" si="197"/>
        <v>1183.1273820000001</v>
      </c>
      <c r="BM69" s="49">
        <f t="shared" si="197"/>
        <v>916.36195199999997</v>
      </c>
      <c r="BN69" s="47">
        <f t="shared" si="197"/>
        <v>0</v>
      </c>
      <c r="BO69" s="47">
        <f t="shared" si="154"/>
        <v>0</v>
      </c>
      <c r="BP69" s="48">
        <f t="shared" si="155"/>
        <v>1183.1273820000001</v>
      </c>
      <c r="BQ69" s="48">
        <f t="shared" si="156"/>
        <v>916.36195199999997</v>
      </c>
      <c r="BR69" s="93">
        <f t="shared" si="157"/>
        <v>1202.8329210420723</v>
      </c>
      <c r="BS69" s="93">
        <f t="shared" si="158"/>
        <v>936.06749104207211</v>
      </c>
      <c r="BT69" s="118"/>
      <c r="BU69" s="275">
        <v>3.4319000000000002</v>
      </c>
      <c r="BV69" s="275">
        <v>1.5059</v>
      </c>
      <c r="BW69" s="275">
        <v>0</v>
      </c>
      <c r="BX69" s="275">
        <v>13403.6908</v>
      </c>
      <c r="BY69" s="275">
        <v>5064.4732999999997</v>
      </c>
      <c r="BZ69" s="49">
        <f t="shared" si="198"/>
        <v>806.97696599999995</v>
      </c>
      <c r="CA69" s="49">
        <f t="shared" si="198"/>
        <v>541.41622699999994</v>
      </c>
      <c r="CB69" s="47">
        <f t="shared" si="198"/>
        <v>0</v>
      </c>
      <c r="CC69" s="47">
        <f t="shared" si="159"/>
        <v>0</v>
      </c>
      <c r="CD69" s="48">
        <f t="shared" si="160"/>
        <v>806.97696599999995</v>
      </c>
      <c r="CE69" s="48">
        <f t="shared" si="161"/>
        <v>541.41622699999994</v>
      </c>
      <c r="CF69" s="93">
        <f t="shared" si="162"/>
        <v>818.34001694558663</v>
      </c>
      <c r="CG69" s="93">
        <f t="shared" si="163"/>
        <v>552.77927794558661</v>
      </c>
      <c r="CH69" s="118"/>
      <c r="CI69" s="275">
        <v>1.2518</v>
      </c>
      <c r="CJ69" s="275">
        <v>1.1106</v>
      </c>
      <c r="CK69" s="275">
        <v>7.4000000000000003E-3</v>
      </c>
      <c r="CL69" s="275">
        <v>43793.227500000001</v>
      </c>
      <c r="CM69" s="275">
        <v>15516.567499999999</v>
      </c>
      <c r="CN69" s="49">
        <f t="shared" si="199"/>
        <v>258.37152000000003</v>
      </c>
      <c r="CO69" s="49">
        <f t="shared" si="199"/>
        <v>297.44089200000002</v>
      </c>
      <c r="CP69" s="47">
        <f t="shared" si="199"/>
        <v>3.1080000000000001E-3</v>
      </c>
      <c r="CQ69" s="47">
        <f t="shared" si="164"/>
        <v>1.6632343437771233E-3</v>
      </c>
      <c r="CR69" s="48">
        <f t="shared" si="165"/>
        <v>258.3731832343438</v>
      </c>
      <c r="CS69" s="48">
        <f t="shared" si="166"/>
        <v>297.43944723434379</v>
      </c>
      <c r="CT69" s="93">
        <f t="shared" si="167"/>
        <v>258.40614258071867</v>
      </c>
      <c r="CU69" s="93">
        <f t="shared" si="168"/>
        <v>297.47240658071865</v>
      </c>
      <c r="CV69" s="118"/>
      <c r="CW69" s="275">
        <v>2.3858000000000001</v>
      </c>
      <c r="CX69" s="275">
        <v>2.0230999999999999</v>
      </c>
      <c r="CY69" s="275">
        <v>4.1200000000000001E-2</v>
      </c>
      <c r="CZ69" s="275">
        <v>19458.146700000001</v>
      </c>
      <c r="DA69" s="275">
        <v>6627.4142000000002</v>
      </c>
      <c r="DB69" s="49">
        <f t="shared" si="200"/>
        <v>495.26822200000004</v>
      </c>
      <c r="DC69" s="49">
        <f t="shared" si="200"/>
        <v>569.52288099999998</v>
      </c>
      <c r="DD69" s="47">
        <f t="shared" si="200"/>
        <v>1.1947999999999999E-2</v>
      </c>
      <c r="DE69" s="47">
        <f t="shared" si="169"/>
        <v>6.3906050332465996E-3</v>
      </c>
      <c r="DF69" s="48">
        <f t="shared" si="170"/>
        <v>495.27461260503327</v>
      </c>
      <c r="DG69" s="48">
        <f t="shared" si="171"/>
        <v>569.51732360503331</v>
      </c>
      <c r="DH69" s="93">
        <f t="shared" si="172"/>
        <v>495.29092711169812</v>
      </c>
      <c r="DI69" s="93">
        <f t="shared" si="173"/>
        <v>569.53363811169811</v>
      </c>
      <c r="DJ69" s="118"/>
      <c r="DK69" s="275">
        <v>2.2810000000000001</v>
      </c>
      <c r="DL69" s="275">
        <v>1.9088000000000001</v>
      </c>
      <c r="DM69" s="275">
        <v>1.8200000000000001E-2</v>
      </c>
      <c r="DN69" s="275">
        <v>5401.0258000000003</v>
      </c>
      <c r="DO69" s="275">
        <v>2158.3150000000001</v>
      </c>
      <c r="DP69" s="49">
        <f t="shared" si="201"/>
        <v>310.76344000000006</v>
      </c>
      <c r="DQ69" s="49">
        <f t="shared" si="201"/>
        <v>376.62532800000002</v>
      </c>
      <c r="DR69" s="47">
        <f t="shared" si="201"/>
        <v>4.0040000000000006E-3</v>
      </c>
      <c r="DS69" s="47">
        <f t="shared" si="174"/>
        <v>2.1938208529354384E-3</v>
      </c>
      <c r="DT69" s="48">
        <f t="shared" si="175"/>
        <v>310.765633820853</v>
      </c>
      <c r="DU69" s="48">
        <f t="shared" si="176"/>
        <v>376.62351782085295</v>
      </c>
      <c r="DV69" s="93">
        <f t="shared" si="177"/>
        <v>310.78552075104335</v>
      </c>
      <c r="DW69" s="93">
        <f t="shared" si="178"/>
        <v>376.64340475104331</v>
      </c>
      <c r="DX69" s="118"/>
      <c r="DY69" s="118"/>
      <c r="DZ69" s="118"/>
      <c r="EB69" s="52"/>
      <c r="EC69" s="52"/>
      <c r="ED69" s="52"/>
      <c r="EE69" s="55">
        <f t="shared" si="179"/>
        <v>102162.3233</v>
      </c>
      <c r="EF69" s="55">
        <f t="shared" si="179"/>
        <v>35850.895899999996</v>
      </c>
      <c r="EG69" s="55">
        <f t="shared" si="179"/>
        <v>4007.1863525999997</v>
      </c>
      <c r="EH69" s="55">
        <f t="shared" si="179"/>
        <v>4108.5184357999997</v>
      </c>
      <c r="EI69" s="298">
        <f t="shared" si="202"/>
        <v>0.74023578242858645</v>
      </c>
      <c r="EJ69" s="52"/>
      <c r="EK69" s="55">
        <f t="shared" si="180"/>
        <v>4007.1931283183699</v>
      </c>
      <c r="EL69" s="55">
        <f t="shared" si="180"/>
        <v>4108.5125451183703</v>
      </c>
      <c r="EM69" s="55">
        <f t="shared" si="111"/>
        <v>4047.9647780114146</v>
      </c>
      <c r="EN69" s="55">
        <f t="shared" si="111"/>
        <v>4149.2841948114146</v>
      </c>
      <c r="EP69" s="52"/>
      <c r="EQ69" s="52"/>
      <c r="ER69" s="52"/>
      <c r="ES69" s="55">
        <f t="shared" si="203"/>
        <v>79882.296700000006</v>
      </c>
      <c r="ET69" s="55">
        <f t="shared" si="203"/>
        <v>28217.445099999997</v>
      </c>
      <c r="EU69" s="55">
        <f t="shared" si="203"/>
        <v>3430.0803724000007</v>
      </c>
      <c r="EV69" s="55">
        <f t="shared" si="203"/>
        <v>3613.0985027000002</v>
      </c>
      <c r="EW69" s="298">
        <f t="shared" si="204"/>
        <v>0.73896843202265639</v>
      </c>
      <c r="EX69" s="52"/>
      <c r="EY69" s="55">
        <f t="shared" si="205"/>
        <v>3430.4191370742183</v>
      </c>
      <c r="EZ69" s="55">
        <f t="shared" si="205"/>
        <v>3612.8201837742181</v>
      </c>
      <c r="FA69" s="55">
        <f t="shared" si="205"/>
        <v>3466.9543852840252</v>
      </c>
      <c r="FB69" s="55">
        <f t="shared" si="205"/>
        <v>3649.3554319840255</v>
      </c>
      <c r="FD69" s="52"/>
      <c r="FE69" s="52"/>
      <c r="FF69" s="52"/>
      <c r="FG69" s="55">
        <f t="shared" si="206"/>
        <v>63181.289900000003</v>
      </c>
      <c r="FH69" s="55">
        <f t="shared" si="206"/>
        <v>22946.844999999998</v>
      </c>
      <c r="FI69" s="55">
        <f t="shared" si="206"/>
        <v>2934.7216410000001</v>
      </c>
      <c r="FJ69" s="55">
        <f t="shared" si="206"/>
        <v>3233.4675217999998</v>
      </c>
      <c r="FK69" s="298">
        <f t="shared" si="207"/>
        <v>0.73357318109067748</v>
      </c>
      <c r="FL69" s="52"/>
      <c r="FM69" s="55">
        <f t="shared" si="208"/>
        <v>2934.7246205268557</v>
      </c>
      <c r="FN69" s="55">
        <f t="shared" si="208"/>
        <v>3233.4649909268551</v>
      </c>
      <c r="FO69" s="55">
        <f t="shared" si="208"/>
        <v>2959.2392461037534</v>
      </c>
      <c r="FP69" s="55">
        <f t="shared" si="208"/>
        <v>3257.9796165037533</v>
      </c>
      <c r="FR69" s="52"/>
      <c r="FS69" s="52"/>
      <c r="FT69" s="52"/>
      <c r="FU69" s="55">
        <f t="shared" si="209"/>
        <v>63251.374200000006</v>
      </c>
      <c r="FV69" s="55">
        <f t="shared" si="209"/>
        <v>22143.9817</v>
      </c>
      <c r="FW69" s="55">
        <f t="shared" si="209"/>
        <v>654.58609760000013</v>
      </c>
      <c r="FX69" s="55">
        <f t="shared" si="209"/>
        <v>753.05919680000011</v>
      </c>
      <c r="FY69" s="298">
        <f t="shared" si="210"/>
        <v>0.74068868890328021</v>
      </c>
      <c r="FZ69" s="52"/>
      <c r="GA69" s="55">
        <f t="shared" si="211"/>
        <v>654.59287331837049</v>
      </c>
      <c r="GB69" s="55">
        <f t="shared" si="211"/>
        <v>753.05330611837053</v>
      </c>
      <c r="GC69" s="55">
        <f t="shared" si="211"/>
        <v>654.63888427007714</v>
      </c>
      <c r="GD69" s="55">
        <f t="shared" si="211"/>
        <v>753.09931707007718</v>
      </c>
      <c r="GF69" s="52"/>
      <c r="GG69" s="52"/>
      <c r="GH69" s="52"/>
      <c r="GI69" s="55">
        <f t="shared" si="212"/>
        <v>32324.7016</v>
      </c>
      <c r="GJ69" s="55">
        <f t="shared" si="212"/>
        <v>11699.863300000001</v>
      </c>
      <c r="GK69" s="56">
        <f t="shared" si="213"/>
        <v>331.58381175000011</v>
      </c>
      <c r="GL69" s="56">
        <f t="shared" si="213"/>
        <v>346.59552450000001</v>
      </c>
      <c r="GM69" s="298">
        <f t="shared" si="214"/>
        <v>0.7342423865726837</v>
      </c>
      <c r="GN69" s="52"/>
      <c r="GO69" s="56">
        <f t="shared" si="215"/>
        <v>331.58381175000011</v>
      </c>
      <c r="GP69" s="56">
        <f t="shared" si="215"/>
        <v>346.59552450000001</v>
      </c>
      <c r="GQ69" s="56">
        <f t="shared" si="215"/>
        <v>336.8834577225997</v>
      </c>
      <c r="GR69" s="56">
        <f t="shared" si="215"/>
        <v>351.8951704725996</v>
      </c>
      <c r="GW69" s="275">
        <v>2.3652000000000002</v>
      </c>
      <c r="GX69" s="275">
        <v>1.4432</v>
      </c>
      <c r="GY69" s="275">
        <v>3.5999999999999999E-3</v>
      </c>
      <c r="GZ69" s="275">
        <v>2049.2224999999999</v>
      </c>
      <c r="HA69" s="275">
        <v>872.49419999999998</v>
      </c>
      <c r="HB69" s="49">
        <f t="shared" si="126"/>
        <v>1553.4397080000001</v>
      </c>
      <c r="HC69" s="49">
        <f t="shared" si="127"/>
        <v>1959.591392</v>
      </c>
      <c r="HD69" s="47">
        <f t="shared" si="128"/>
        <v>0.87595199999999995</v>
      </c>
      <c r="HE69" s="47">
        <f t="shared" si="181"/>
        <v>0.26158013180347017</v>
      </c>
      <c r="HF69" s="48">
        <f t="shared" si="182"/>
        <v>1553.7012881318035</v>
      </c>
      <c r="HG69" s="48">
        <f t="shared" si="183"/>
        <v>1958.9770201318033</v>
      </c>
      <c r="HH69" s="93">
        <f t="shared" si="184"/>
        <v>1568.2651015495701</v>
      </c>
      <c r="HI69" s="93">
        <f t="shared" si="185"/>
        <v>1973.5408335495699</v>
      </c>
      <c r="HJ69" s="298">
        <f t="shared" si="216"/>
        <v>0.70137618065433927</v>
      </c>
      <c r="HL69" s="275">
        <v>2.7118000000000002</v>
      </c>
      <c r="HM69" s="275">
        <v>2.1634000000000002</v>
      </c>
      <c r="HN69" s="275">
        <v>0</v>
      </c>
      <c r="HO69" s="275">
        <v>486.74669999999998</v>
      </c>
      <c r="HP69" s="275">
        <v>171.25</v>
      </c>
      <c r="HQ69" s="49">
        <f t="shared" si="130"/>
        <v>1441.72847</v>
      </c>
      <c r="HR69" s="49">
        <f t="shared" si="131"/>
        <v>1677.781602</v>
      </c>
      <c r="HS69" s="47">
        <f t="shared" si="132"/>
        <v>0</v>
      </c>
      <c r="HT69" s="47">
        <f t="shared" si="186"/>
        <v>0</v>
      </c>
      <c r="HU69" s="48">
        <f t="shared" si="187"/>
        <v>1441.72847</v>
      </c>
      <c r="HV69" s="48">
        <f t="shared" si="188"/>
        <v>1677.781602</v>
      </c>
      <c r="HW69" s="93">
        <f t="shared" si="189"/>
        <v>1444.7335185267029</v>
      </c>
      <c r="HX69" s="93">
        <f t="shared" si="190"/>
        <v>1680.7866505267029</v>
      </c>
      <c r="HY69" s="298">
        <f t="shared" si="217"/>
        <v>0.73974033608375245</v>
      </c>
    </row>
    <row r="70" spans="1:233" s="131" customFormat="1" x14ac:dyDescent="0.2">
      <c r="A70" s="118">
        <v>60</v>
      </c>
      <c r="B70" s="118"/>
      <c r="C70" s="275">
        <v>2.2372999999999998</v>
      </c>
      <c r="D70" s="275">
        <v>1.3352999999999999</v>
      </c>
      <c r="E70" s="275">
        <v>0</v>
      </c>
      <c r="F70" s="275">
        <v>18798.564999999999</v>
      </c>
      <c r="G70" s="275">
        <v>6820.5241999999998</v>
      </c>
      <c r="H70" s="49">
        <f t="shared" si="192"/>
        <v>2212.8015649999998</v>
      </c>
      <c r="I70" s="49">
        <f t="shared" si="192"/>
        <v>2405.9702459999999</v>
      </c>
      <c r="J70" s="47">
        <f t="shared" si="192"/>
        <v>0</v>
      </c>
      <c r="K70" s="47">
        <f t="shared" si="134"/>
        <v>0</v>
      </c>
      <c r="L70" s="48">
        <f t="shared" si="135"/>
        <v>2212.8015649999998</v>
      </c>
      <c r="M70" s="48">
        <f t="shared" si="136"/>
        <v>2405.9702459999999</v>
      </c>
      <c r="N70" s="93">
        <f t="shared" si="137"/>
        <v>2235.0979581656184</v>
      </c>
      <c r="O70" s="93">
        <f t="shared" si="138"/>
        <v>2428.2666391656185</v>
      </c>
      <c r="P70" s="298">
        <f t="shared" si="193"/>
        <v>0.73377179232429546</v>
      </c>
      <c r="Q70" s="275">
        <v>2.8348</v>
      </c>
      <c r="R70" s="275">
        <v>1.7681</v>
      </c>
      <c r="S70" s="275">
        <v>6.9999999999999999E-4</v>
      </c>
      <c r="T70" s="275">
        <v>5450.3582999999999</v>
      </c>
      <c r="U70" s="275">
        <v>2061.9542000000001</v>
      </c>
      <c r="V70" s="49">
        <f t="shared" si="194"/>
        <v>1737.704052</v>
      </c>
      <c r="W70" s="49">
        <f t="shared" si="194"/>
        <v>2052.1629460000004</v>
      </c>
      <c r="X70" s="47">
        <f t="shared" si="194"/>
        <v>0.15140299999999998</v>
      </c>
      <c r="Y70" s="47">
        <f t="shared" si="139"/>
        <v>8.1982725693857714E-2</v>
      </c>
      <c r="Z70" s="48">
        <f t="shared" si="140"/>
        <v>1737.786034725694</v>
      </c>
      <c r="AA70" s="48">
        <f t="shared" si="141"/>
        <v>2052.0935257256942</v>
      </c>
      <c r="AB70" s="93">
        <f t="shared" si="142"/>
        <v>1754.8220096830457</v>
      </c>
      <c r="AC70" s="93">
        <f t="shared" si="143"/>
        <v>2069.1295006830464</v>
      </c>
      <c r="AD70" s="118"/>
      <c r="AE70" s="275">
        <v>3.8504</v>
      </c>
      <c r="AF70" s="275">
        <v>1.9823</v>
      </c>
      <c r="AG70" s="275">
        <v>0</v>
      </c>
      <c r="AH70" s="275">
        <v>523.89750000000004</v>
      </c>
      <c r="AI70" s="275">
        <v>184.97919999999999</v>
      </c>
      <c r="AJ70" s="49">
        <f t="shared" si="195"/>
        <v>1805.3370480000001</v>
      </c>
      <c r="AK70" s="49">
        <f t="shared" si="195"/>
        <v>2253.4389940000001</v>
      </c>
      <c r="AL70" s="47">
        <f t="shared" si="195"/>
        <v>0</v>
      </c>
      <c r="AM70" s="47">
        <f t="shared" si="144"/>
        <v>0</v>
      </c>
      <c r="AN70" s="48">
        <f t="shared" si="145"/>
        <v>1805.3370480000001</v>
      </c>
      <c r="AO70" s="48">
        <f t="shared" si="146"/>
        <v>2253.4389940000001</v>
      </c>
      <c r="AP70" s="93">
        <f t="shared" si="147"/>
        <v>1818.4437311268221</v>
      </c>
      <c r="AQ70" s="93">
        <f t="shared" si="148"/>
        <v>2266.5456771268223</v>
      </c>
      <c r="AR70" s="118"/>
      <c r="AS70" s="275">
        <v>3.8866999999999998</v>
      </c>
      <c r="AT70" s="275">
        <v>1.5244</v>
      </c>
      <c r="AU70" s="275">
        <v>0</v>
      </c>
      <c r="AV70" s="275">
        <v>17933.7667</v>
      </c>
      <c r="AW70" s="275">
        <v>6224.0392000000002</v>
      </c>
      <c r="AX70" s="49">
        <f t="shared" si="196"/>
        <v>1354.3206149999999</v>
      </c>
      <c r="AY70" s="49">
        <f t="shared" si="196"/>
        <v>1066.881828</v>
      </c>
      <c r="AZ70" s="47">
        <f t="shared" si="196"/>
        <v>0</v>
      </c>
      <c r="BA70" s="47">
        <f t="shared" si="149"/>
        <v>0</v>
      </c>
      <c r="BB70" s="48">
        <f t="shared" si="150"/>
        <v>1354.3206149999999</v>
      </c>
      <c r="BC70" s="48">
        <f t="shared" si="151"/>
        <v>1066.881828</v>
      </c>
      <c r="BD70" s="93">
        <f t="shared" si="152"/>
        <v>1372.7498605757194</v>
      </c>
      <c r="BE70" s="93">
        <f t="shared" si="153"/>
        <v>1085.3110735757195</v>
      </c>
      <c r="BF70" s="118"/>
      <c r="BG70" s="275">
        <v>3.7875999999999999</v>
      </c>
      <c r="BH70" s="275">
        <v>1.623</v>
      </c>
      <c r="BI70" s="275">
        <v>0</v>
      </c>
      <c r="BJ70" s="275">
        <v>10879.8133</v>
      </c>
      <c r="BK70" s="275">
        <v>3798.6008000000002</v>
      </c>
      <c r="BL70" s="49">
        <f t="shared" si="197"/>
        <v>1281.042072</v>
      </c>
      <c r="BM70" s="49">
        <f t="shared" si="197"/>
        <v>971.30058000000008</v>
      </c>
      <c r="BN70" s="47">
        <f t="shared" si="197"/>
        <v>0</v>
      </c>
      <c r="BO70" s="47">
        <f t="shared" si="154"/>
        <v>0</v>
      </c>
      <c r="BP70" s="48">
        <f t="shared" si="155"/>
        <v>1281.042072</v>
      </c>
      <c r="BQ70" s="48">
        <f t="shared" si="156"/>
        <v>971.30058000000008</v>
      </c>
      <c r="BR70" s="93">
        <f t="shared" si="157"/>
        <v>1300.7476110420721</v>
      </c>
      <c r="BS70" s="93">
        <f t="shared" si="158"/>
        <v>991.00611904207221</v>
      </c>
      <c r="BT70" s="118"/>
      <c r="BU70" s="275">
        <v>3.7044999999999999</v>
      </c>
      <c r="BV70" s="275">
        <v>1.5793999999999999</v>
      </c>
      <c r="BW70" s="275">
        <v>0</v>
      </c>
      <c r="BX70" s="275">
        <v>12813.5692</v>
      </c>
      <c r="BY70" s="275">
        <v>4995.8867</v>
      </c>
      <c r="BZ70" s="49">
        <f t="shared" si="198"/>
        <v>871.07612999999992</v>
      </c>
      <c r="CA70" s="49">
        <f t="shared" si="198"/>
        <v>567.84168199999988</v>
      </c>
      <c r="CB70" s="47">
        <f t="shared" si="198"/>
        <v>0</v>
      </c>
      <c r="CC70" s="47">
        <f t="shared" si="159"/>
        <v>0</v>
      </c>
      <c r="CD70" s="48">
        <f t="shared" si="160"/>
        <v>871.07612999999992</v>
      </c>
      <c r="CE70" s="48">
        <f t="shared" si="161"/>
        <v>567.84168199999988</v>
      </c>
      <c r="CF70" s="93">
        <f t="shared" si="162"/>
        <v>882.4391809455866</v>
      </c>
      <c r="CG70" s="93">
        <f t="shared" si="163"/>
        <v>579.20473294558656</v>
      </c>
      <c r="CH70" s="118"/>
      <c r="CI70" s="275">
        <v>1.2667999999999999</v>
      </c>
      <c r="CJ70" s="275">
        <v>1.1146</v>
      </c>
      <c r="CK70" s="275">
        <v>0</v>
      </c>
      <c r="CL70" s="275">
        <v>41940.540800000002</v>
      </c>
      <c r="CM70" s="275">
        <v>14902.5308</v>
      </c>
      <c r="CN70" s="49">
        <f t="shared" si="199"/>
        <v>261.46751999999998</v>
      </c>
      <c r="CO70" s="49">
        <f t="shared" si="199"/>
        <v>298.51217200000002</v>
      </c>
      <c r="CP70" s="47">
        <f t="shared" si="199"/>
        <v>0</v>
      </c>
      <c r="CQ70" s="47">
        <f t="shared" si="164"/>
        <v>0</v>
      </c>
      <c r="CR70" s="48">
        <f t="shared" si="165"/>
        <v>261.46751999999998</v>
      </c>
      <c r="CS70" s="48">
        <f t="shared" si="166"/>
        <v>298.51217200000002</v>
      </c>
      <c r="CT70" s="93">
        <f t="shared" si="167"/>
        <v>261.50214258071861</v>
      </c>
      <c r="CU70" s="93">
        <f t="shared" si="168"/>
        <v>298.54679458071865</v>
      </c>
      <c r="CV70" s="118"/>
      <c r="CW70" s="275">
        <v>2.4883999999999999</v>
      </c>
      <c r="CX70" s="275">
        <v>2.0754999999999999</v>
      </c>
      <c r="CY70" s="275">
        <v>3.1E-2</v>
      </c>
      <c r="CZ70" s="275">
        <v>18570.421699999999</v>
      </c>
      <c r="DA70" s="275">
        <v>6210.4125000000004</v>
      </c>
      <c r="DB70" s="49">
        <f t="shared" si="200"/>
        <v>516.566956</v>
      </c>
      <c r="DC70" s="49">
        <f t="shared" si="200"/>
        <v>584.27400499999999</v>
      </c>
      <c r="DD70" s="47">
        <f t="shared" si="200"/>
        <v>8.9899999999999997E-3</v>
      </c>
      <c r="DE70" s="47">
        <f t="shared" si="169"/>
        <v>4.7714642632651818E-3</v>
      </c>
      <c r="DF70" s="48">
        <f t="shared" si="170"/>
        <v>516.57172746426329</v>
      </c>
      <c r="DG70" s="48">
        <f t="shared" si="171"/>
        <v>584.26978646426323</v>
      </c>
      <c r="DH70" s="93">
        <f t="shared" si="172"/>
        <v>516.58966111169809</v>
      </c>
      <c r="DI70" s="93">
        <f t="shared" si="173"/>
        <v>584.28772011169804</v>
      </c>
      <c r="DJ70" s="118"/>
      <c r="DK70" s="275">
        <v>2.3163999999999998</v>
      </c>
      <c r="DL70" s="275">
        <v>1.9253</v>
      </c>
      <c r="DM70" s="275">
        <v>1.12E-2</v>
      </c>
      <c r="DN70" s="275">
        <v>5280.2341999999999</v>
      </c>
      <c r="DO70" s="275">
        <v>2179.3924999999999</v>
      </c>
      <c r="DP70" s="49">
        <f t="shared" si="201"/>
        <v>315.58633600000002</v>
      </c>
      <c r="DQ70" s="49">
        <f t="shared" si="201"/>
        <v>379.880943</v>
      </c>
      <c r="DR70" s="47">
        <f t="shared" si="201"/>
        <v>2.464E-3</v>
      </c>
      <c r="DS70" s="47">
        <f t="shared" si="174"/>
        <v>1.345896021014671E-3</v>
      </c>
      <c r="DT70" s="48">
        <f t="shared" si="175"/>
        <v>315.58768189602102</v>
      </c>
      <c r="DU70" s="48">
        <f t="shared" si="176"/>
        <v>379.87982489602103</v>
      </c>
      <c r="DV70" s="93">
        <f t="shared" si="177"/>
        <v>315.60841675104331</v>
      </c>
      <c r="DW70" s="93">
        <f t="shared" si="178"/>
        <v>379.90055975104332</v>
      </c>
      <c r="DX70" s="118"/>
      <c r="DY70" s="118"/>
      <c r="DZ70" s="118"/>
      <c r="EB70" s="52"/>
      <c r="EC70" s="52"/>
      <c r="ED70" s="52"/>
      <c r="EE70" s="55">
        <f t="shared" si="179"/>
        <v>97243.294200000004</v>
      </c>
      <c r="EF70" s="55">
        <f t="shared" si="179"/>
        <v>34157.506699999998</v>
      </c>
      <c r="EG70" s="55">
        <f t="shared" si="179"/>
        <v>4241.8432647999998</v>
      </c>
      <c r="EH70" s="55">
        <f t="shared" si="179"/>
        <v>4238.7834499999999</v>
      </c>
      <c r="EI70" s="298">
        <f t="shared" si="202"/>
        <v>0.74005100070893104</v>
      </c>
      <c r="EJ70" s="52"/>
      <c r="EK70" s="55">
        <f t="shared" si="180"/>
        <v>4241.8470819714103</v>
      </c>
      <c r="EL70" s="55">
        <f t="shared" si="180"/>
        <v>4238.7800751714103</v>
      </c>
      <c r="EM70" s="55">
        <f t="shared" si="111"/>
        <v>4282.6216902114147</v>
      </c>
      <c r="EN70" s="55">
        <f t="shared" si="111"/>
        <v>4279.5546834114148</v>
      </c>
      <c r="EP70" s="52"/>
      <c r="EQ70" s="52"/>
      <c r="ER70" s="52"/>
      <c r="ES70" s="55">
        <f t="shared" si="203"/>
        <v>76841.134099999996</v>
      </c>
      <c r="ET70" s="55">
        <f t="shared" si="203"/>
        <v>26973.498299999999</v>
      </c>
      <c r="EU70" s="55">
        <f t="shared" si="203"/>
        <v>3641.8105132000005</v>
      </c>
      <c r="EV70" s="55">
        <f t="shared" si="203"/>
        <v>3730.9675015000007</v>
      </c>
      <c r="EW70" s="298">
        <f t="shared" si="204"/>
        <v>0.74017633471868838</v>
      </c>
      <c r="EX70" s="52"/>
      <c r="EY70" s="55">
        <f t="shared" si="205"/>
        <v>3641.8958359506782</v>
      </c>
      <c r="EZ70" s="55">
        <f t="shared" si="205"/>
        <v>3730.8951282506787</v>
      </c>
      <c r="FA70" s="55">
        <f t="shared" si="205"/>
        <v>3678.6845260840246</v>
      </c>
      <c r="FB70" s="55">
        <f t="shared" si="205"/>
        <v>3767.6838183840259</v>
      </c>
      <c r="FD70" s="52"/>
      <c r="FE70" s="52"/>
      <c r="FF70" s="52"/>
      <c r="FG70" s="55">
        <f t="shared" si="206"/>
        <v>60558.241700000006</v>
      </c>
      <c r="FH70" s="55">
        <f t="shared" si="206"/>
        <v>22262.789199999999</v>
      </c>
      <c r="FI70" s="55">
        <f t="shared" si="206"/>
        <v>3127.2324995999998</v>
      </c>
      <c r="FJ70" s="55">
        <f t="shared" si="206"/>
        <v>3347.7214137999999</v>
      </c>
      <c r="FK70" s="298">
        <f t="shared" si="207"/>
        <v>0.73119401004703022</v>
      </c>
      <c r="FL70" s="52"/>
      <c r="FM70" s="55">
        <f t="shared" si="208"/>
        <v>3127.2333071376124</v>
      </c>
      <c r="FN70" s="55">
        <f t="shared" si="208"/>
        <v>3347.7207429376126</v>
      </c>
      <c r="FO70" s="55">
        <f t="shared" si="208"/>
        <v>3151.7501047037531</v>
      </c>
      <c r="FP70" s="55">
        <f t="shared" si="208"/>
        <v>3372.2375405037537</v>
      </c>
      <c r="FR70" s="52"/>
      <c r="FS70" s="52"/>
      <c r="FT70" s="52"/>
      <c r="FU70" s="55">
        <f t="shared" si="209"/>
        <v>60510.962500000001</v>
      </c>
      <c r="FV70" s="55">
        <f t="shared" si="209"/>
        <v>21112.943299999999</v>
      </c>
      <c r="FW70" s="55">
        <f t="shared" si="209"/>
        <v>674.72108479999997</v>
      </c>
      <c r="FX70" s="55">
        <f t="shared" si="209"/>
        <v>765.931376</v>
      </c>
      <c r="FY70" s="298">
        <f t="shared" si="210"/>
        <v>0.74133872799799294</v>
      </c>
      <c r="FZ70" s="52"/>
      <c r="GA70" s="55">
        <f t="shared" si="211"/>
        <v>674.72490197141065</v>
      </c>
      <c r="GB70" s="55">
        <f t="shared" si="211"/>
        <v>765.92800117141064</v>
      </c>
      <c r="GC70" s="55">
        <f t="shared" si="211"/>
        <v>674.7738714700771</v>
      </c>
      <c r="GD70" s="55">
        <f t="shared" si="211"/>
        <v>765.97697067007709</v>
      </c>
      <c r="GF70" s="52"/>
      <c r="GG70" s="52"/>
      <c r="GH70" s="52"/>
      <c r="GI70" s="55">
        <f t="shared" si="212"/>
        <v>30747.335899999998</v>
      </c>
      <c r="GJ70" s="55">
        <f t="shared" si="212"/>
        <v>11219.9259</v>
      </c>
      <c r="GK70" s="56">
        <f t="shared" si="213"/>
        <v>362.43336374999996</v>
      </c>
      <c r="GL70" s="56">
        <f t="shared" si="213"/>
        <v>374.28010950000009</v>
      </c>
      <c r="GM70" s="298">
        <f t="shared" si="214"/>
        <v>0.73265051331035369</v>
      </c>
      <c r="GN70" s="52"/>
      <c r="GO70" s="56">
        <f t="shared" si="215"/>
        <v>362.43336374999996</v>
      </c>
      <c r="GP70" s="56">
        <f t="shared" si="215"/>
        <v>374.28010950000009</v>
      </c>
      <c r="GQ70" s="56">
        <f t="shared" si="215"/>
        <v>367.7330097225996</v>
      </c>
      <c r="GR70" s="56">
        <f t="shared" si="215"/>
        <v>379.57975547259974</v>
      </c>
      <c r="GW70" s="275">
        <v>2.5171000000000001</v>
      </c>
      <c r="GX70" s="275">
        <v>1.4834000000000001</v>
      </c>
      <c r="GY70" s="275">
        <v>0</v>
      </c>
      <c r="GZ70" s="275">
        <v>1978.1275000000001</v>
      </c>
      <c r="HA70" s="275">
        <v>867.44079999999997</v>
      </c>
      <c r="HB70" s="49">
        <f t="shared" si="126"/>
        <v>1653.206109</v>
      </c>
      <c r="HC70" s="49">
        <f t="shared" si="127"/>
        <v>2014.175354</v>
      </c>
      <c r="HD70" s="47">
        <f t="shared" si="128"/>
        <v>0</v>
      </c>
      <c r="HE70" s="47">
        <f t="shared" si="181"/>
        <v>0</v>
      </c>
      <c r="HF70" s="48">
        <f t="shared" si="182"/>
        <v>1653.206109</v>
      </c>
      <c r="HG70" s="48">
        <f t="shared" si="183"/>
        <v>2014.175354</v>
      </c>
      <c r="HH70" s="93">
        <f t="shared" si="184"/>
        <v>1668.03150254957</v>
      </c>
      <c r="HI70" s="93">
        <f t="shared" si="185"/>
        <v>2029.00074754957</v>
      </c>
      <c r="HJ70" s="298">
        <f t="shared" si="216"/>
        <v>0.69516078738999165</v>
      </c>
      <c r="HL70" s="275">
        <v>2.9157999999999999</v>
      </c>
      <c r="HM70" s="275">
        <v>2.2991999999999999</v>
      </c>
      <c r="HN70" s="275">
        <v>0</v>
      </c>
      <c r="HO70" s="275">
        <v>506.08170000000001</v>
      </c>
      <c r="HP70" s="275">
        <v>136.66669999999999</v>
      </c>
      <c r="HQ70" s="49">
        <f t="shared" si="130"/>
        <v>1550.18507</v>
      </c>
      <c r="HR70" s="49">
        <f t="shared" si="131"/>
        <v>1783.0985759999999</v>
      </c>
      <c r="HS70" s="47">
        <f t="shared" si="132"/>
        <v>0</v>
      </c>
      <c r="HT70" s="47">
        <f t="shared" si="186"/>
        <v>0</v>
      </c>
      <c r="HU70" s="48">
        <f t="shared" si="187"/>
        <v>1550.18507</v>
      </c>
      <c r="HV70" s="48">
        <f t="shared" si="188"/>
        <v>1783.0985759999999</v>
      </c>
      <c r="HW70" s="93">
        <f t="shared" si="189"/>
        <v>1553.1901185267029</v>
      </c>
      <c r="HX70" s="93">
        <f t="shared" si="190"/>
        <v>1786.1036245267028</v>
      </c>
      <c r="HY70" s="298">
        <f t="shared" si="217"/>
        <v>0.78737138824460717</v>
      </c>
    </row>
    <row r="71" spans="1:233" s="131" customFormat="1" x14ac:dyDescent="0.2">
      <c r="A71" s="118">
        <v>61</v>
      </c>
      <c r="B71" s="118"/>
      <c r="C71" s="275">
        <v>2.3542000000000001</v>
      </c>
      <c r="D71" s="275">
        <v>1.3683000000000001</v>
      </c>
      <c r="E71" s="275">
        <v>0</v>
      </c>
      <c r="F71" s="275">
        <v>17958.9175</v>
      </c>
      <c r="G71" s="275">
        <v>6468.1333000000004</v>
      </c>
      <c r="H71" s="49">
        <f t="shared" si="192"/>
        <v>2328.4215100000001</v>
      </c>
      <c r="I71" s="49">
        <f t="shared" si="192"/>
        <v>2465.4303060000002</v>
      </c>
      <c r="J71" s="47">
        <f t="shared" si="192"/>
        <v>0</v>
      </c>
      <c r="K71" s="47">
        <f t="shared" si="134"/>
        <v>0</v>
      </c>
      <c r="L71" s="48">
        <f t="shared" si="135"/>
        <v>2328.4215100000001</v>
      </c>
      <c r="M71" s="48">
        <f t="shared" si="136"/>
        <v>2465.4303060000002</v>
      </c>
      <c r="N71" s="93">
        <f t="shared" si="137"/>
        <v>2350.7179031656187</v>
      </c>
      <c r="O71" s="93">
        <f t="shared" si="138"/>
        <v>2487.7266991656188</v>
      </c>
      <c r="P71" s="298">
        <f t="shared" si="193"/>
        <v>0.73520613057389639</v>
      </c>
      <c r="Q71" s="275">
        <v>3.0013000000000001</v>
      </c>
      <c r="R71" s="275">
        <v>1.8192999999999999</v>
      </c>
      <c r="S71" s="275">
        <v>0</v>
      </c>
      <c r="T71" s="275">
        <v>5402.3582999999999</v>
      </c>
      <c r="U71" s="275">
        <v>2314.4142000000002</v>
      </c>
      <c r="V71" s="49">
        <f t="shared" si="194"/>
        <v>1839.766887</v>
      </c>
      <c r="W71" s="49">
        <f t="shared" si="194"/>
        <v>2111.5887379999999</v>
      </c>
      <c r="X71" s="47">
        <f t="shared" si="194"/>
        <v>0</v>
      </c>
      <c r="Y71" s="47">
        <f t="shared" si="139"/>
        <v>0</v>
      </c>
      <c r="Z71" s="48">
        <f t="shared" si="140"/>
        <v>1839.766887</v>
      </c>
      <c r="AA71" s="48">
        <f t="shared" si="141"/>
        <v>2111.5887379999999</v>
      </c>
      <c r="AB71" s="93">
        <f t="shared" si="142"/>
        <v>1856.8848446830457</v>
      </c>
      <c r="AC71" s="93">
        <f t="shared" si="143"/>
        <v>2128.7066956830458</v>
      </c>
      <c r="AD71" s="118"/>
      <c r="AE71" s="275">
        <v>4.1127000000000002</v>
      </c>
      <c r="AF71" s="275">
        <v>2.0598000000000001</v>
      </c>
      <c r="AG71" s="275">
        <v>0</v>
      </c>
      <c r="AH71" s="275">
        <v>497.73329999999999</v>
      </c>
      <c r="AI71" s="275">
        <v>157.25</v>
      </c>
      <c r="AJ71" s="49">
        <f t="shared" si="195"/>
        <v>1928.3216490000002</v>
      </c>
      <c r="AK71" s="49">
        <f t="shared" si="195"/>
        <v>2341.539444</v>
      </c>
      <c r="AL71" s="47">
        <f t="shared" si="195"/>
        <v>0</v>
      </c>
      <c r="AM71" s="47">
        <f t="shared" si="144"/>
        <v>0</v>
      </c>
      <c r="AN71" s="48">
        <f t="shared" si="145"/>
        <v>1928.3216490000002</v>
      </c>
      <c r="AO71" s="48">
        <f t="shared" si="146"/>
        <v>2341.539444</v>
      </c>
      <c r="AP71" s="93">
        <f t="shared" si="147"/>
        <v>1941.4283321268222</v>
      </c>
      <c r="AQ71" s="93">
        <f t="shared" si="148"/>
        <v>2354.6461271268222</v>
      </c>
      <c r="AR71" s="118"/>
      <c r="AS71" s="275">
        <v>4.2041000000000004</v>
      </c>
      <c r="AT71" s="275">
        <v>1.6236999999999999</v>
      </c>
      <c r="AU71" s="275">
        <v>0</v>
      </c>
      <c r="AV71" s="275">
        <v>17081.811699999998</v>
      </c>
      <c r="AW71" s="275">
        <v>6004.8182999999999</v>
      </c>
      <c r="AX71" s="49">
        <f t="shared" si="196"/>
        <v>1464.9186450000002</v>
      </c>
      <c r="AY71" s="49">
        <f t="shared" si="196"/>
        <v>1136.378919</v>
      </c>
      <c r="AZ71" s="47">
        <f t="shared" si="196"/>
        <v>0</v>
      </c>
      <c r="BA71" s="47">
        <f t="shared" si="149"/>
        <v>0</v>
      </c>
      <c r="BB71" s="48">
        <f t="shared" si="150"/>
        <v>1464.9186450000002</v>
      </c>
      <c r="BC71" s="48">
        <f t="shared" si="151"/>
        <v>1136.378919</v>
      </c>
      <c r="BD71" s="93">
        <f t="shared" si="152"/>
        <v>1483.3478905757197</v>
      </c>
      <c r="BE71" s="93">
        <f t="shared" si="153"/>
        <v>1154.8081645757195</v>
      </c>
      <c r="BF71" s="118"/>
      <c r="BG71" s="275">
        <v>4.0936000000000003</v>
      </c>
      <c r="BH71" s="275">
        <v>1.7315</v>
      </c>
      <c r="BI71" s="275">
        <v>0</v>
      </c>
      <c r="BJ71" s="275">
        <v>10711.0442</v>
      </c>
      <c r="BK71" s="275">
        <v>3770.95</v>
      </c>
      <c r="BL71" s="49">
        <f t="shared" si="197"/>
        <v>1384.5373920000002</v>
      </c>
      <c r="BM71" s="49">
        <f t="shared" si="197"/>
        <v>1036.2334900000001</v>
      </c>
      <c r="BN71" s="47">
        <f t="shared" si="197"/>
        <v>0</v>
      </c>
      <c r="BO71" s="47">
        <f t="shared" si="154"/>
        <v>0</v>
      </c>
      <c r="BP71" s="48">
        <f t="shared" si="155"/>
        <v>1384.5373920000002</v>
      </c>
      <c r="BQ71" s="48">
        <f t="shared" si="156"/>
        <v>1036.2334900000001</v>
      </c>
      <c r="BR71" s="93">
        <f t="shared" si="157"/>
        <v>1404.2429310420723</v>
      </c>
      <c r="BS71" s="93">
        <f t="shared" si="158"/>
        <v>1055.9390290420722</v>
      </c>
      <c r="BT71" s="118"/>
      <c r="BU71" s="275">
        <v>4.0031999999999996</v>
      </c>
      <c r="BV71" s="275">
        <v>1.6656</v>
      </c>
      <c r="BW71" s="275">
        <v>0</v>
      </c>
      <c r="BX71" s="275">
        <v>12172.16</v>
      </c>
      <c r="BY71" s="275">
        <v>4844.1283000000003</v>
      </c>
      <c r="BZ71" s="49">
        <f t="shared" si="198"/>
        <v>941.3124479999999</v>
      </c>
      <c r="CA71" s="49">
        <f t="shared" si="198"/>
        <v>598.83316799999989</v>
      </c>
      <c r="CB71" s="47">
        <f t="shared" si="198"/>
        <v>0</v>
      </c>
      <c r="CC71" s="47">
        <f t="shared" si="159"/>
        <v>0</v>
      </c>
      <c r="CD71" s="48">
        <f t="shared" si="160"/>
        <v>941.3124479999999</v>
      </c>
      <c r="CE71" s="48">
        <f t="shared" si="161"/>
        <v>598.83316799999989</v>
      </c>
      <c r="CF71" s="93">
        <f t="shared" si="162"/>
        <v>952.67549894558658</v>
      </c>
      <c r="CG71" s="93">
        <f t="shared" si="163"/>
        <v>610.19621894558657</v>
      </c>
      <c r="CH71" s="118"/>
      <c r="CI71" s="275">
        <v>1.2833000000000001</v>
      </c>
      <c r="CJ71" s="275">
        <v>1.1198999999999999</v>
      </c>
      <c r="CK71" s="275">
        <v>0</v>
      </c>
      <c r="CL71" s="275">
        <v>40254.033300000003</v>
      </c>
      <c r="CM71" s="275">
        <v>14553.42</v>
      </c>
      <c r="CN71" s="49">
        <f t="shared" si="199"/>
        <v>264.87312000000003</v>
      </c>
      <c r="CO71" s="49">
        <f t="shared" si="199"/>
        <v>299.93161799999996</v>
      </c>
      <c r="CP71" s="47">
        <f t="shared" si="199"/>
        <v>0</v>
      </c>
      <c r="CQ71" s="47">
        <f t="shared" si="164"/>
        <v>0</v>
      </c>
      <c r="CR71" s="48">
        <f t="shared" si="165"/>
        <v>264.87312000000003</v>
      </c>
      <c r="CS71" s="48">
        <f t="shared" si="166"/>
        <v>299.93161799999996</v>
      </c>
      <c r="CT71" s="93">
        <f t="shared" si="167"/>
        <v>264.90774258071866</v>
      </c>
      <c r="CU71" s="93">
        <f t="shared" si="168"/>
        <v>299.96624058071859</v>
      </c>
      <c r="CV71" s="118"/>
      <c r="CW71" s="275">
        <v>2.5871</v>
      </c>
      <c r="CX71" s="275">
        <v>2.1276000000000002</v>
      </c>
      <c r="CY71" s="275">
        <v>2.1999999999999999E-2</v>
      </c>
      <c r="CZ71" s="275">
        <v>17183.939999999999</v>
      </c>
      <c r="DA71" s="275">
        <v>5708.8692000000001</v>
      </c>
      <c r="DB71" s="49">
        <f t="shared" si="200"/>
        <v>537.05608900000004</v>
      </c>
      <c r="DC71" s="49">
        <f t="shared" si="200"/>
        <v>598.94067600000005</v>
      </c>
      <c r="DD71" s="47">
        <f t="shared" si="200"/>
        <v>6.3799999999999994E-3</v>
      </c>
      <c r="DE71" s="47">
        <f t="shared" si="169"/>
        <v>3.3637785164643487E-3</v>
      </c>
      <c r="DF71" s="48">
        <f t="shared" si="170"/>
        <v>537.05945277851652</v>
      </c>
      <c r="DG71" s="48">
        <f t="shared" si="171"/>
        <v>598.93765977851649</v>
      </c>
      <c r="DH71" s="93">
        <f t="shared" si="172"/>
        <v>537.07879411169813</v>
      </c>
      <c r="DI71" s="93">
        <f t="shared" si="173"/>
        <v>598.9570011116981</v>
      </c>
      <c r="DJ71" s="118"/>
      <c r="DK71" s="275">
        <v>2.3544999999999998</v>
      </c>
      <c r="DL71" s="275">
        <v>1.9408000000000001</v>
      </c>
      <c r="DM71" s="275">
        <v>5.7999999999999996E-3</v>
      </c>
      <c r="DN71" s="275">
        <v>5106.1333000000004</v>
      </c>
      <c r="DO71" s="275">
        <v>2210.9616999999998</v>
      </c>
      <c r="DP71" s="49">
        <f t="shared" si="201"/>
        <v>320.77708000000001</v>
      </c>
      <c r="DQ71" s="49">
        <f t="shared" si="201"/>
        <v>382.93924800000002</v>
      </c>
      <c r="DR71" s="47">
        <f t="shared" si="201"/>
        <v>1.276E-3</v>
      </c>
      <c r="DS71" s="47">
        <f t="shared" si="174"/>
        <v>6.9435717348880388E-4</v>
      </c>
      <c r="DT71" s="48">
        <f t="shared" si="175"/>
        <v>320.77777435717348</v>
      </c>
      <c r="DU71" s="48">
        <f t="shared" si="176"/>
        <v>382.93866635717347</v>
      </c>
      <c r="DV71" s="93">
        <f t="shared" si="177"/>
        <v>320.7991607510433</v>
      </c>
      <c r="DW71" s="93">
        <f t="shared" si="178"/>
        <v>382.96005275104329</v>
      </c>
      <c r="DX71" s="118"/>
      <c r="DY71" s="118"/>
      <c r="DZ71" s="118"/>
      <c r="EB71" s="52"/>
      <c r="EC71" s="52"/>
      <c r="ED71" s="52"/>
      <c r="EE71" s="55">
        <f t="shared" si="179"/>
        <v>92478.702500000014</v>
      </c>
      <c r="EF71" s="55">
        <f t="shared" si="179"/>
        <v>32735.2408</v>
      </c>
      <c r="EG71" s="55">
        <f t="shared" si="179"/>
        <v>4487.8581462000002</v>
      </c>
      <c r="EH71" s="55">
        <f t="shared" si="179"/>
        <v>4380.8933838000003</v>
      </c>
      <c r="EI71" s="298">
        <f t="shared" si="202"/>
        <v>0.73856553082455323</v>
      </c>
      <c r="EJ71" s="52"/>
      <c r="EK71" s="55">
        <f t="shared" si="180"/>
        <v>4487.8608372228136</v>
      </c>
      <c r="EL71" s="55">
        <f t="shared" si="180"/>
        <v>4380.890970822813</v>
      </c>
      <c r="EM71" s="55">
        <f t="shared" si="111"/>
        <v>4528.636571611416</v>
      </c>
      <c r="EN71" s="55">
        <f t="shared" si="111"/>
        <v>4421.6667052114153</v>
      </c>
      <c r="EP71" s="52"/>
      <c r="EQ71" s="52"/>
      <c r="ER71" s="52"/>
      <c r="ES71" s="55">
        <f t="shared" si="203"/>
        <v>73551.375800000009</v>
      </c>
      <c r="ET71" s="55">
        <f t="shared" si="203"/>
        <v>26347.653400000003</v>
      </c>
      <c r="EU71" s="55">
        <f t="shared" si="203"/>
        <v>3865.1166613</v>
      </c>
      <c r="EV71" s="55">
        <f t="shared" si="203"/>
        <v>3867.0123192000001</v>
      </c>
      <c r="EW71" s="298">
        <f t="shared" si="204"/>
        <v>0.73625716274728314</v>
      </c>
      <c r="EX71" s="52"/>
      <c r="EY71" s="55">
        <f t="shared" si="205"/>
        <v>3865.1190159449616</v>
      </c>
      <c r="EZ71" s="55">
        <f t="shared" si="205"/>
        <v>3867.0102078449618</v>
      </c>
      <c r="FA71" s="55">
        <f t="shared" si="205"/>
        <v>3901.9906741840255</v>
      </c>
      <c r="FB71" s="55">
        <f t="shared" si="205"/>
        <v>3903.8818660840252</v>
      </c>
      <c r="FD71" s="52"/>
      <c r="FE71" s="52"/>
      <c r="FF71" s="52"/>
      <c r="FG71" s="55">
        <f t="shared" si="206"/>
        <v>58030.059900000007</v>
      </c>
      <c r="FH71" s="55">
        <f t="shared" si="206"/>
        <v>21765.760000000002</v>
      </c>
      <c r="FI71" s="55">
        <f t="shared" si="206"/>
        <v>3326.9734650000005</v>
      </c>
      <c r="FJ71" s="55">
        <f t="shared" si="206"/>
        <v>3470.0677788000003</v>
      </c>
      <c r="FK71" s="298">
        <f t="shared" si="207"/>
        <v>0.72723182708972967</v>
      </c>
      <c r="FL71" s="52"/>
      <c r="FM71" s="55">
        <f t="shared" si="208"/>
        <v>3326.9738816143044</v>
      </c>
      <c r="FN71" s="55">
        <f t="shared" si="208"/>
        <v>3470.0674298143044</v>
      </c>
      <c r="FO71" s="55">
        <f t="shared" si="208"/>
        <v>3351.4910701037534</v>
      </c>
      <c r="FP71" s="55">
        <f t="shared" si="208"/>
        <v>3494.5846183037534</v>
      </c>
      <c r="FR71" s="52"/>
      <c r="FS71" s="52"/>
      <c r="FT71" s="52"/>
      <c r="FU71" s="55">
        <f t="shared" si="209"/>
        <v>57437.973299999998</v>
      </c>
      <c r="FV71" s="55">
        <f t="shared" si="209"/>
        <v>20262.289199999999</v>
      </c>
      <c r="FW71" s="55">
        <f t="shared" si="209"/>
        <v>694.5179912000001</v>
      </c>
      <c r="FX71" s="55">
        <f t="shared" si="209"/>
        <v>779.08415880000007</v>
      </c>
      <c r="FY71" s="298">
        <f t="shared" si="210"/>
        <v>0.73922495821683998</v>
      </c>
      <c r="FZ71" s="52"/>
      <c r="GA71" s="55">
        <f t="shared" si="211"/>
        <v>694.52068222281332</v>
      </c>
      <c r="GB71" s="55">
        <f t="shared" si="211"/>
        <v>779.08174582281322</v>
      </c>
      <c r="GC71" s="55">
        <f t="shared" si="211"/>
        <v>694.57077787007711</v>
      </c>
      <c r="GD71" s="55">
        <f t="shared" si="211"/>
        <v>779.13184147007712</v>
      </c>
      <c r="GF71" s="52"/>
      <c r="GG71" s="52"/>
      <c r="GH71" s="52"/>
      <c r="GI71" s="55">
        <f t="shared" si="212"/>
        <v>29253.971699999998</v>
      </c>
      <c r="GJ71" s="55">
        <f t="shared" si="212"/>
        <v>10848.946599999999</v>
      </c>
      <c r="GK71" s="56">
        <f t="shared" si="213"/>
        <v>392.70464775000022</v>
      </c>
      <c r="GL71" s="56">
        <f t="shared" si="213"/>
        <v>403.15931325000008</v>
      </c>
      <c r="GM71" s="298">
        <f t="shared" si="214"/>
        <v>0.7294723910404296</v>
      </c>
      <c r="GN71" s="52"/>
      <c r="GO71" s="56">
        <f t="shared" si="215"/>
        <v>392.70464775000022</v>
      </c>
      <c r="GP71" s="56">
        <f t="shared" si="215"/>
        <v>403.15931325000008</v>
      </c>
      <c r="GQ71" s="56">
        <f t="shared" si="215"/>
        <v>398.00429372259987</v>
      </c>
      <c r="GR71" s="56">
        <f t="shared" si="215"/>
        <v>408.45895922259967</v>
      </c>
      <c r="GW71" s="275">
        <v>2.6755</v>
      </c>
      <c r="GX71" s="275">
        <v>1.5243</v>
      </c>
      <c r="GY71" s="275">
        <v>0</v>
      </c>
      <c r="GZ71" s="275">
        <v>1944.26</v>
      </c>
      <c r="HA71" s="275">
        <v>813.9008</v>
      </c>
      <c r="HB71" s="49">
        <f t="shared" si="126"/>
        <v>1757.2416449999998</v>
      </c>
      <c r="HC71" s="49">
        <f t="shared" si="127"/>
        <v>2069.7097829999998</v>
      </c>
      <c r="HD71" s="47">
        <f t="shared" si="128"/>
        <v>0</v>
      </c>
      <c r="HE71" s="47">
        <f t="shared" si="181"/>
        <v>0</v>
      </c>
      <c r="HF71" s="48">
        <f t="shared" si="182"/>
        <v>1757.2416449999998</v>
      </c>
      <c r="HG71" s="48">
        <f t="shared" si="183"/>
        <v>2069.7097829999998</v>
      </c>
      <c r="HH71" s="93">
        <f t="shared" si="184"/>
        <v>1772.0670385495698</v>
      </c>
      <c r="HI71" s="93">
        <f t="shared" si="185"/>
        <v>2084.5351765495698</v>
      </c>
      <c r="HJ71" s="298">
        <f t="shared" si="216"/>
        <v>0.70491176584048321</v>
      </c>
      <c r="HL71" s="275">
        <v>3.1341999999999999</v>
      </c>
      <c r="HM71" s="275">
        <v>2.4115000000000002</v>
      </c>
      <c r="HN71" s="275">
        <v>0</v>
      </c>
      <c r="HO71" s="275">
        <v>488.5</v>
      </c>
      <c r="HP71" s="275">
        <v>157</v>
      </c>
      <c r="HQ71" s="49">
        <f t="shared" si="130"/>
        <v>1666.2974299999998</v>
      </c>
      <c r="HR71" s="49">
        <f t="shared" si="131"/>
        <v>1870.190595</v>
      </c>
      <c r="HS71" s="47">
        <f t="shared" si="132"/>
        <v>0</v>
      </c>
      <c r="HT71" s="47">
        <f t="shared" si="186"/>
        <v>0</v>
      </c>
      <c r="HU71" s="48">
        <f t="shared" si="187"/>
        <v>1666.2974299999998</v>
      </c>
      <c r="HV71" s="48">
        <f t="shared" si="188"/>
        <v>1870.190595</v>
      </c>
      <c r="HW71" s="93">
        <f t="shared" si="189"/>
        <v>1669.3024785267028</v>
      </c>
      <c r="HX71" s="93">
        <f t="shared" si="190"/>
        <v>1873.195643526703</v>
      </c>
      <c r="HY71" s="298">
        <f t="shared" si="217"/>
        <v>0.75677769171185127</v>
      </c>
    </row>
    <row r="72" spans="1:233" s="131" customFormat="1" x14ac:dyDescent="0.2">
      <c r="A72" s="118">
        <v>62</v>
      </c>
      <c r="B72" s="118"/>
      <c r="C72" s="275">
        <v>2.4775</v>
      </c>
      <c r="D72" s="275">
        <v>1.4051</v>
      </c>
      <c r="E72" s="275">
        <v>0</v>
      </c>
      <c r="F72" s="275">
        <v>16633.160800000001</v>
      </c>
      <c r="G72" s="275">
        <v>6080.0691999999999</v>
      </c>
      <c r="H72" s="49">
        <f t="shared" si="192"/>
        <v>2450.3713749999997</v>
      </c>
      <c r="I72" s="49">
        <f t="shared" si="192"/>
        <v>2531.7372820000001</v>
      </c>
      <c r="J72" s="47">
        <f t="shared" si="192"/>
        <v>0</v>
      </c>
      <c r="K72" s="47">
        <f t="shared" si="134"/>
        <v>0</v>
      </c>
      <c r="L72" s="48">
        <f t="shared" si="135"/>
        <v>2450.3713749999997</v>
      </c>
      <c r="M72" s="48">
        <f t="shared" si="136"/>
        <v>2531.7372820000001</v>
      </c>
      <c r="N72" s="93">
        <f t="shared" si="137"/>
        <v>2472.6677681656183</v>
      </c>
      <c r="O72" s="93">
        <f t="shared" si="138"/>
        <v>2554.0336751656187</v>
      </c>
      <c r="P72" s="298">
        <f t="shared" si="193"/>
        <v>0.73231155586413732</v>
      </c>
      <c r="Q72" s="275">
        <v>3.1770999999999998</v>
      </c>
      <c r="R72" s="275">
        <v>1.8802000000000001</v>
      </c>
      <c r="S72" s="275">
        <v>0</v>
      </c>
      <c r="T72" s="275">
        <v>5109.9983000000002</v>
      </c>
      <c r="U72" s="275">
        <v>2115.2242000000001</v>
      </c>
      <c r="V72" s="49">
        <f t="shared" si="194"/>
        <v>1947.5305289999999</v>
      </c>
      <c r="W72" s="49">
        <f t="shared" si="194"/>
        <v>2182.2729320000003</v>
      </c>
      <c r="X72" s="47">
        <f t="shared" si="194"/>
        <v>0</v>
      </c>
      <c r="Y72" s="47">
        <f t="shared" si="139"/>
        <v>0</v>
      </c>
      <c r="Z72" s="48">
        <f t="shared" si="140"/>
        <v>1947.5305289999999</v>
      </c>
      <c r="AA72" s="48">
        <f t="shared" si="141"/>
        <v>2182.2729320000003</v>
      </c>
      <c r="AB72" s="93">
        <f t="shared" si="142"/>
        <v>1964.6484866830456</v>
      </c>
      <c r="AC72" s="93">
        <f t="shared" si="143"/>
        <v>2199.3908896830462</v>
      </c>
      <c r="AD72" s="118"/>
      <c r="AE72" s="275">
        <v>4.3772000000000002</v>
      </c>
      <c r="AF72" s="275">
        <v>2.1404000000000001</v>
      </c>
      <c r="AG72" s="275">
        <v>0</v>
      </c>
      <c r="AH72" s="275">
        <v>467.19920000000002</v>
      </c>
      <c r="AI72" s="275">
        <v>136.02420000000001</v>
      </c>
      <c r="AJ72" s="49">
        <f t="shared" si="195"/>
        <v>2052.3377640000003</v>
      </c>
      <c r="AK72" s="49">
        <f t="shared" si="195"/>
        <v>2433.163912</v>
      </c>
      <c r="AL72" s="47">
        <f t="shared" si="195"/>
        <v>0</v>
      </c>
      <c r="AM72" s="47">
        <f t="shared" si="144"/>
        <v>0</v>
      </c>
      <c r="AN72" s="48">
        <f t="shared" si="145"/>
        <v>2052.3377640000003</v>
      </c>
      <c r="AO72" s="48">
        <f t="shared" si="146"/>
        <v>2433.163912</v>
      </c>
      <c r="AP72" s="93">
        <f t="shared" si="147"/>
        <v>2065.4444471268225</v>
      </c>
      <c r="AQ72" s="93">
        <f t="shared" si="148"/>
        <v>2446.2705951268222</v>
      </c>
      <c r="AR72" s="118"/>
      <c r="AS72" s="275">
        <v>4.5423</v>
      </c>
      <c r="AT72" s="275">
        <v>1.7316</v>
      </c>
      <c r="AU72" s="275">
        <v>0</v>
      </c>
      <c r="AV72" s="275">
        <v>15663.556699999999</v>
      </c>
      <c r="AW72" s="275">
        <v>5598.0349999999999</v>
      </c>
      <c r="AX72" s="49">
        <f t="shared" si="196"/>
        <v>1582.764435</v>
      </c>
      <c r="AY72" s="49">
        <f t="shared" si="196"/>
        <v>1211.894892</v>
      </c>
      <c r="AZ72" s="47">
        <f t="shared" si="196"/>
        <v>0</v>
      </c>
      <c r="BA72" s="47">
        <f t="shared" si="149"/>
        <v>0</v>
      </c>
      <c r="BB72" s="48">
        <f t="shared" si="150"/>
        <v>1582.764435</v>
      </c>
      <c r="BC72" s="48">
        <f t="shared" si="151"/>
        <v>1211.894892</v>
      </c>
      <c r="BD72" s="93">
        <f t="shared" si="152"/>
        <v>1601.1936805757196</v>
      </c>
      <c r="BE72" s="93">
        <f t="shared" si="153"/>
        <v>1230.3241375757195</v>
      </c>
      <c r="BF72" s="118"/>
      <c r="BG72" s="275">
        <v>4.4295</v>
      </c>
      <c r="BH72" s="275">
        <v>1.8601000000000001</v>
      </c>
      <c r="BI72" s="275">
        <v>0</v>
      </c>
      <c r="BJ72" s="275">
        <v>10431.077499999999</v>
      </c>
      <c r="BK72" s="275">
        <v>3465.9591999999998</v>
      </c>
      <c r="BL72" s="49">
        <f t="shared" si="197"/>
        <v>1498.1454900000001</v>
      </c>
      <c r="BM72" s="49">
        <f t="shared" si="197"/>
        <v>1113.1954460000002</v>
      </c>
      <c r="BN72" s="47">
        <f t="shared" si="197"/>
        <v>0</v>
      </c>
      <c r="BO72" s="47">
        <f t="shared" si="154"/>
        <v>0</v>
      </c>
      <c r="BP72" s="48">
        <f t="shared" si="155"/>
        <v>1498.1454900000001</v>
      </c>
      <c r="BQ72" s="48">
        <f t="shared" si="156"/>
        <v>1113.1954460000002</v>
      </c>
      <c r="BR72" s="93">
        <f t="shared" si="157"/>
        <v>1517.8510290420722</v>
      </c>
      <c r="BS72" s="93">
        <f t="shared" si="158"/>
        <v>1132.9009850420723</v>
      </c>
      <c r="BT72" s="118"/>
      <c r="BU72" s="275">
        <v>4.3281999999999998</v>
      </c>
      <c r="BV72" s="275">
        <v>1.7692000000000001</v>
      </c>
      <c r="BW72" s="275">
        <v>0</v>
      </c>
      <c r="BX72" s="275">
        <v>11501.247499999999</v>
      </c>
      <c r="BY72" s="275">
        <v>4524.0691999999999</v>
      </c>
      <c r="BZ72" s="49">
        <f t="shared" si="198"/>
        <v>1017.7329479999999</v>
      </c>
      <c r="CA72" s="49">
        <f t="shared" si="198"/>
        <v>636.08047599999998</v>
      </c>
      <c r="CB72" s="47">
        <f t="shared" si="198"/>
        <v>0</v>
      </c>
      <c r="CC72" s="47">
        <f t="shared" si="159"/>
        <v>0</v>
      </c>
      <c r="CD72" s="48">
        <f t="shared" si="160"/>
        <v>1017.7329479999999</v>
      </c>
      <c r="CE72" s="48">
        <f t="shared" si="161"/>
        <v>636.08047599999998</v>
      </c>
      <c r="CF72" s="93">
        <f t="shared" si="162"/>
        <v>1029.0959989455866</v>
      </c>
      <c r="CG72" s="93">
        <f t="shared" si="163"/>
        <v>647.44352694558665</v>
      </c>
      <c r="CH72" s="118"/>
      <c r="CI72" s="275">
        <v>1.3004</v>
      </c>
      <c r="CJ72" s="275">
        <v>1.1266</v>
      </c>
      <c r="CK72" s="275">
        <v>0</v>
      </c>
      <c r="CL72" s="275">
        <v>37795.627500000002</v>
      </c>
      <c r="CM72" s="275">
        <v>13480.966700000001</v>
      </c>
      <c r="CN72" s="49">
        <f t="shared" si="199"/>
        <v>268.40255999999999</v>
      </c>
      <c r="CO72" s="49">
        <f t="shared" si="199"/>
        <v>301.72601200000003</v>
      </c>
      <c r="CP72" s="47">
        <f t="shared" si="199"/>
        <v>0</v>
      </c>
      <c r="CQ72" s="47">
        <f t="shared" si="164"/>
        <v>0</v>
      </c>
      <c r="CR72" s="48">
        <f t="shared" si="165"/>
        <v>268.40255999999999</v>
      </c>
      <c r="CS72" s="48">
        <f t="shared" si="166"/>
        <v>301.72601200000003</v>
      </c>
      <c r="CT72" s="93">
        <f t="shared" si="167"/>
        <v>268.43718258071863</v>
      </c>
      <c r="CU72" s="93">
        <f t="shared" si="168"/>
        <v>301.76063458071866</v>
      </c>
      <c r="CV72" s="118"/>
      <c r="CW72" s="275">
        <v>2.6778</v>
      </c>
      <c r="CX72" s="275">
        <v>2.177</v>
      </c>
      <c r="CY72" s="275">
        <v>1.4500000000000001E-2</v>
      </c>
      <c r="CZ72" s="275">
        <v>15799.9442</v>
      </c>
      <c r="DA72" s="275">
        <v>5239.9717000000001</v>
      </c>
      <c r="DB72" s="49">
        <f t="shared" si="200"/>
        <v>555.884502</v>
      </c>
      <c r="DC72" s="49">
        <f t="shared" si="200"/>
        <v>612.84726999999998</v>
      </c>
      <c r="DD72" s="47">
        <f t="shared" si="200"/>
        <v>4.2049999999999995E-3</v>
      </c>
      <c r="DE72" s="47">
        <f t="shared" si="169"/>
        <v>2.2049736578479869E-3</v>
      </c>
      <c r="DF72" s="48">
        <f t="shared" si="170"/>
        <v>555.88670697365785</v>
      </c>
      <c r="DG72" s="48">
        <f t="shared" si="171"/>
        <v>612.84526997365788</v>
      </c>
      <c r="DH72" s="93">
        <f t="shared" si="172"/>
        <v>555.90720711169809</v>
      </c>
      <c r="DI72" s="93">
        <f t="shared" si="173"/>
        <v>612.86577011169811</v>
      </c>
      <c r="DJ72" s="118"/>
      <c r="DK72" s="275">
        <v>2.3959000000000001</v>
      </c>
      <c r="DL72" s="275">
        <v>1.9587000000000001</v>
      </c>
      <c r="DM72" s="275">
        <v>2E-3</v>
      </c>
      <c r="DN72" s="275">
        <v>5066.1674999999996</v>
      </c>
      <c r="DO72" s="275">
        <v>2119.7157999999999</v>
      </c>
      <c r="DP72" s="49">
        <f t="shared" si="201"/>
        <v>326.41741600000006</v>
      </c>
      <c r="DQ72" s="49">
        <f t="shared" si="201"/>
        <v>386.47109700000004</v>
      </c>
      <c r="DR72" s="47">
        <f t="shared" si="201"/>
        <v>4.4000000000000002E-4</v>
      </c>
      <c r="DS72" s="47">
        <f t="shared" si="174"/>
        <v>2.3853278539220899E-4</v>
      </c>
      <c r="DT72" s="48">
        <f t="shared" si="175"/>
        <v>326.41765453278543</v>
      </c>
      <c r="DU72" s="48">
        <f t="shared" si="176"/>
        <v>386.47089553278539</v>
      </c>
      <c r="DV72" s="93">
        <f t="shared" si="177"/>
        <v>326.43949675104335</v>
      </c>
      <c r="DW72" s="93">
        <f t="shared" si="178"/>
        <v>386.49273775104331</v>
      </c>
      <c r="DX72" s="118"/>
      <c r="DY72" s="118"/>
      <c r="DZ72" s="118"/>
      <c r="EB72" s="52"/>
      <c r="EC72" s="52"/>
      <c r="ED72" s="52"/>
      <c r="EE72" s="55">
        <f t="shared" si="179"/>
        <v>85892.289199999999</v>
      </c>
      <c r="EF72" s="55">
        <f t="shared" si="179"/>
        <v>30399.042600000001</v>
      </c>
      <c r="EG72" s="55">
        <f t="shared" si="179"/>
        <v>4746.2459716000003</v>
      </c>
      <c r="EH72" s="55">
        <f t="shared" si="179"/>
        <v>4535.6360020000002</v>
      </c>
      <c r="EI72" s="298">
        <f t="shared" si="202"/>
        <v>0.73859579962261646</v>
      </c>
      <c r="EJ72" s="52"/>
      <c r="EK72" s="55">
        <f t="shared" si="180"/>
        <v>4746.2477355789269</v>
      </c>
      <c r="EL72" s="55">
        <f t="shared" si="180"/>
        <v>4535.6344019789267</v>
      </c>
      <c r="EM72" s="55">
        <f t="shared" si="111"/>
        <v>4787.0243970114152</v>
      </c>
      <c r="EN72" s="55">
        <f t="shared" si="111"/>
        <v>4576.4110634114149</v>
      </c>
      <c r="EP72" s="52"/>
      <c r="EQ72" s="52"/>
      <c r="ER72" s="52"/>
      <c r="ES72" s="55">
        <f t="shared" si="203"/>
        <v>69136.647500000006</v>
      </c>
      <c r="ET72" s="55">
        <f t="shared" si="203"/>
        <v>24302.121800000001</v>
      </c>
      <c r="EU72" s="55">
        <f t="shared" si="203"/>
        <v>4103.1977304000002</v>
      </c>
      <c r="EV72" s="55">
        <f t="shared" si="203"/>
        <v>4026.1874790000006</v>
      </c>
      <c r="EW72" s="298">
        <f t="shared" si="204"/>
        <v>0.73991393527483029</v>
      </c>
      <c r="EX72" s="52"/>
      <c r="EY72" s="55">
        <f t="shared" si="205"/>
        <v>4103.1992738815607</v>
      </c>
      <c r="EZ72" s="55">
        <f t="shared" si="205"/>
        <v>4026.186078981561</v>
      </c>
      <c r="FA72" s="55">
        <f t="shared" si="205"/>
        <v>4140.0717432840247</v>
      </c>
      <c r="FB72" s="55">
        <f t="shared" si="205"/>
        <v>4063.0585483840259</v>
      </c>
      <c r="FD72" s="52"/>
      <c r="FE72" s="52"/>
      <c r="FF72" s="52"/>
      <c r="FG72" s="55">
        <f t="shared" si="206"/>
        <v>54830.241699999999</v>
      </c>
      <c r="FH72" s="55">
        <f t="shared" si="206"/>
        <v>20260.775900000001</v>
      </c>
      <c r="FI72" s="55">
        <f t="shared" si="206"/>
        <v>3534.3237216000002</v>
      </c>
      <c r="FJ72" s="55">
        <f t="shared" si="206"/>
        <v>3602.8530582000003</v>
      </c>
      <c r="FK72" s="298">
        <f t="shared" si="207"/>
        <v>0.73018376168603161</v>
      </c>
      <c r="FL72" s="52"/>
      <c r="FM72" s="55">
        <f t="shared" si="208"/>
        <v>3534.3238647196713</v>
      </c>
      <c r="FN72" s="55">
        <f t="shared" si="208"/>
        <v>3602.8529373196716</v>
      </c>
      <c r="FO72" s="55">
        <f t="shared" si="208"/>
        <v>3558.841326703754</v>
      </c>
      <c r="FP72" s="55">
        <f t="shared" si="208"/>
        <v>3627.3703993037534</v>
      </c>
      <c r="FR72" s="52"/>
      <c r="FS72" s="52"/>
      <c r="FT72" s="52"/>
      <c r="FU72" s="55">
        <f t="shared" si="209"/>
        <v>53595.5717</v>
      </c>
      <c r="FV72" s="55">
        <f t="shared" si="209"/>
        <v>18720.938399999999</v>
      </c>
      <c r="FW72" s="55">
        <f t="shared" si="209"/>
        <v>713.11016160000008</v>
      </c>
      <c r="FX72" s="55">
        <f t="shared" si="209"/>
        <v>792.00382800000011</v>
      </c>
      <c r="FY72" s="298">
        <f t="shared" si="210"/>
        <v>0.74112497444757086</v>
      </c>
      <c r="FZ72" s="52"/>
      <c r="GA72" s="55">
        <f t="shared" si="211"/>
        <v>713.11192557892628</v>
      </c>
      <c r="GB72" s="55">
        <f t="shared" si="211"/>
        <v>792.00222797892638</v>
      </c>
      <c r="GC72" s="55">
        <f t="shared" si="211"/>
        <v>713.1629482700771</v>
      </c>
      <c r="GD72" s="55">
        <f t="shared" si="211"/>
        <v>792.0532506700772</v>
      </c>
      <c r="GF72" s="52"/>
      <c r="GG72" s="52"/>
      <c r="GH72" s="52"/>
      <c r="GI72" s="55">
        <f t="shared" si="212"/>
        <v>27164.804199999999</v>
      </c>
      <c r="GJ72" s="55">
        <f t="shared" si="212"/>
        <v>10122.1042</v>
      </c>
      <c r="GK72" s="56">
        <f t="shared" si="213"/>
        <v>423.77361525000015</v>
      </c>
      <c r="GL72" s="56">
        <f t="shared" si="213"/>
        <v>431.86081200000001</v>
      </c>
      <c r="GM72" s="298">
        <f t="shared" si="214"/>
        <v>0.72853463496051063</v>
      </c>
      <c r="GN72" s="52"/>
      <c r="GO72" s="56">
        <f t="shared" si="215"/>
        <v>423.77361525000015</v>
      </c>
      <c r="GP72" s="56">
        <f t="shared" si="215"/>
        <v>431.86081200000001</v>
      </c>
      <c r="GQ72" s="56">
        <f t="shared" si="215"/>
        <v>429.07326122259968</v>
      </c>
      <c r="GR72" s="56">
        <f t="shared" si="215"/>
        <v>437.16045797259966</v>
      </c>
      <c r="GW72" s="275">
        <v>2.8386</v>
      </c>
      <c r="GX72" s="275">
        <v>1.5659000000000001</v>
      </c>
      <c r="GY72" s="275">
        <v>0</v>
      </c>
      <c r="GZ72" s="275">
        <v>1824.0057999999999</v>
      </c>
      <c r="HA72" s="275">
        <v>758.11670000000004</v>
      </c>
      <c r="HB72" s="49">
        <f t="shared" si="126"/>
        <v>1864.3640939999998</v>
      </c>
      <c r="HC72" s="49">
        <f t="shared" si="127"/>
        <v>2126.1946790000002</v>
      </c>
      <c r="HD72" s="47">
        <f t="shared" si="128"/>
        <v>0</v>
      </c>
      <c r="HE72" s="47">
        <f t="shared" si="181"/>
        <v>0</v>
      </c>
      <c r="HF72" s="48">
        <f t="shared" si="182"/>
        <v>1864.3640939999998</v>
      </c>
      <c r="HG72" s="48">
        <f t="shared" si="183"/>
        <v>2126.1946790000002</v>
      </c>
      <c r="HH72" s="93">
        <f t="shared" si="184"/>
        <v>1879.1894875495698</v>
      </c>
      <c r="HI72" s="93">
        <f t="shared" si="185"/>
        <v>2141.0200725495702</v>
      </c>
      <c r="HJ72" s="298">
        <f t="shared" si="216"/>
        <v>0.70639785680191391</v>
      </c>
      <c r="HL72" s="275">
        <v>3.3673000000000002</v>
      </c>
      <c r="HM72" s="275">
        <v>2.5560999999999998</v>
      </c>
      <c r="HN72" s="275">
        <v>0</v>
      </c>
      <c r="HO72" s="275">
        <v>500.44</v>
      </c>
      <c r="HP72" s="275">
        <v>158</v>
      </c>
      <c r="HQ72" s="49">
        <f t="shared" si="130"/>
        <v>1790.2250449999999</v>
      </c>
      <c r="HR72" s="49">
        <f t="shared" si="131"/>
        <v>1982.3322329999999</v>
      </c>
      <c r="HS72" s="47">
        <f t="shared" si="132"/>
        <v>0</v>
      </c>
      <c r="HT72" s="47">
        <f t="shared" si="186"/>
        <v>0</v>
      </c>
      <c r="HU72" s="48">
        <f t="shared" si="187"/>
        <v>1790.2250449999999</v>
      </c>
      <c r="HV72" s="48">
        <f t="shared" si="188"/>
        <v>1982.3322329999999</v>
      </c>
      <c r="HW72" s="93">
        <f t="shared" si="189"/>
        <v>1793.2300935267028</v>
      </c>
      <c r="HX72" s="93">
        <f t="shared" si="190"/>
        <v>1985.3372815267028</v>
      </c>
      <c r="HY72" s="298">
        <f t="shared" si="217"/>
        <v>0.76003887977644125</v>
      </c>
    </row>
    <row r="73" spans="1:233" s="131" customFormat="1" x14ac:dyDescent="0.2">
      <c r="A73" s="118">
        <v>63</v>
      </c>
      <c r="B73" s="118"/>
      <c r="C73" s="275">
        <v>2.6071</v>
      </c>
      <c r="D73" s="275">
        <v>1.4459</v>
      </c>
      <c r="E73" s="275">
        <v>0</v>
      </c>
      <c r="F73" s="275">
        <v>15410.23</v>
      </c>
      <c r="G73" s="275">
        <v>5960.6458000000002</v>
      </c>
      <c r="H73" s="49">
        <f t="shared" si="192"/>
        <v>2578.5522550000001</v>
      </c>
      <c r="I73" s="49">
        <f t="shared" si="192"/>
        <v>2605.251538</v>
      </c>
      <c r="J73" s="47">
        <f t="shared" si="192"/>
        <v>0</v>
      </c>
      <c r="K73" s="47">
        <f t="shared" si="134"/>
        <v>0</v>
      </c>
      <c r="L73" s="48">
        <f t="shared" si="135"/>
        <v>2578.5522550000001</v>
      </c>
      <c r="M73" s="48">
        <f t="shared" si="136"/>
        <v>2605.251538</v>
      </c>
      <c r="N73" s="93">
        <f t="shared" si="137"/>
        <v>2600.8486481656187</v>
      </c>
      <c r="O73" s="93">
        <f t="shared" si="138"/>
        <v>2627.5479311656186</v>
      </c>
      <c r="P73" s="298">
        <f t="shared" si="193"/>
        <v>0.72108556262350265</v>
      </c>
      <c r="Q73" s="275">
        <v>3.3593000000000002</v>
      </c>
      <c r="R73" s="275">
        <v>1.9498</v>
      </c>
      <c r="S73" s="275">
        <v>0</v>
      </c>
      <c r="T73" s="275">
        <v>4831.6292000000003</v>
      </c>
      <c r="U73" s="275">
        <v>2010.1183000000001</v>
      </c>
      <c r="V73" s="49">
        <f t="shared" si="194"/>
        <v>2059.2173070000003</v>
      </c>
      <c r="W73" s="49">
        <f t="shared" si="194"/>
        <v>2263.0548680000002</v>
      </c>
      <c r="X73" s="47">
        <f t="shared" si="194"/>
        <v>0</v>
      </c>
      <c r="Y73" s="47">
        <f t="shared" si="139"/>
        <v>0</v>
      </c>
      <c r="Z73" s="48">
        <f t="shared" si="140"/>
        <v>2059.2173070000003</v>
      </c>
      <c r="AA73" s="48">
        <f t="shared" si="141"/>
        <v>2263.0548680000002</v>
      </c>
      <c r="AB73" s="93">
        <f t="shared" si="142"/>
        <v>2076.3352646830463</v>
      </c>
      <c r="AC73" s="93">
        <f t="shared" si="143"/>
        <v>2280.1728256830461</v>
      </c>
      <c r="AD73" s="118"/>
      <c r="AE73" s="275">
        <v>4.6459999999999999</v>
      </c>
      <c r="AF73" s="275">
        <v>2.2246999999999999</v>
      </c>
      <c r="AG73" s="275">
        <v>0</v>
      </c>
      <c r="AH73" s="275">
        <v>411.66669999999999</v>
      </c>
      <c r="AI73" s="275">
        <v>134.91669999999999</v>
      </c>
      <c r="AJ73" s="49">
        <f t="shared" si="195"/>
        <v>2178.3700199999998</v>
      </c>
      <c r="AK73" s="49">
        <f t="shared" si="195"/>
        <v>2528.9944659999996</v>
      </c>
      <c r="AL73" s="47">
        <f t="shared" si="195"/>
        <v>0</v>
      </c>
      <c r="AM73" s="47">
        <f t="shared" si="144"/>
        <v>0</v>
      </c>
      <c r="AN73" s="48">
        <f t="shared" si="145"/>
        <v>2178.3700199999998</v>
      </c>
      <c r="AO73" s="48">
        <f t="shared" si="146"/>
        <v>2528.9944659999996</v>
      </c>
      <c r="AP73" s="93">
        <f t="shared" si="147"/>
        <v>2191.476703126822</v>
      </c>
      <c r="AQ73" s="93">
        <f t="shared" si="148"/>
        <v>2542.1011491268218</v>
      </c>
      <c r="AR73" s="118"/>
      <c r="AS73" s="275">
        <v>4.9074999999999998</v>
      </c>
      <c r="AT73" s="275">
        <v>1.8486</v>
      </c>
      <c r="AU73" s="275">
        <v>0</v>
      </c>
      <c r="AV73" s="275">
        <v>14895.4308</v>
      </c>
      <c r="AW73" s="275">
        <v>5558.7416999999996</v>
      </c>
      <c r="AX73" s="49">
        <f t="shared" si="196"/>
        <v>1710.0183749999999</v>
      </c>
      <c r="AY73" s="49">
        <f t="shared" si="196"/>
        <v>1293.7796820000001</v>
      </c>
      <c r="AZ73" s="47">
        <f t="shared" si="196"/>
        <v>0</v>
      </c>
      <c r="BA73" s="47">
        <f t="shared" si="149"/>
        <v>0</v>
      </c>
      <c r="BB73" s="48">
        <f t="shared" si="150"/>
        <v>1710.0183749999999</v>
      </c>
      <c r="BC73" s="48">
        <f t="shared" si="151"/>
        <v>1293.7796820000001</v>
      </c>
      <c r="BD73" s="93">
        <f t="shared" si="152"/>
        <v>1728.4476205757194</v>
      </c>
      <c r="BE73" s="93">
        <f t="shared" si="153"/>
        <v>1312.2089275757196</v>
      </c>
      <c r="BF73" s="118"/>
      <c r="BG73" s="275">
        <v>4.7971000000000004</v>
      </c>
      <c r="BH73" s="275">
        <v>2.0093000000000001</v>
      </c>
      <c r="BI73" s="275">
        <v>0</v>
      </c>
      <c r="BJ73" s="275">
        <v>9630.7199999999993</v>
      </c>
      <c r="BK73" s="275">
        <v>3352.2566999999999</v>
      </c>
      <c r="BL73" s="49">
        <f t="shared" si="197"/>
        <v>1622.4751620000002</v>
      </c>
      <c r="BM73" s="49">
        <f t="shared" si="197"/>
        <v>1202.4856780000002</v>
      </c>
      <c r="BN73" s="47">
        <f t="shared" si="197"/>
        <v>0</v>
      </c>
      <c r="BO73" s="47">
        <f t="shared" si="154"/>
        <v>0</v>
      </c>
      <c r="BP73" s="48">
        <f t="shared" si="155"/>
        <v>1622.4751620000002</v>
      </c>
      <c r="BQ73" s="48">
        <f t="shared" si="156"/>
        <v>1202.4856780000002</v>
      </c>
      <c r="BR73" s="93">
        <f t="shared" si="157"/>
        <v>1642.1807010420723</v>
      </c>
      <c r="BS73" s="93">
        <f t="shared" si="158"/>
        <v>1222.1912170420724</v>
      </c>
      <c r="BT73" s="118"/>
      <c r="BU73" s="275">
        <v>4.6809000000000003</v>
      </c>
      <c r="BV73" s="275">
        <v>1.8894</v>
      </c>
      <c r="BW73" s="275">
        <v>0</v>
      </c>
      <c r="BX73" s="275">
        <v>10718.800800000001</v>
      </c>
      <c r="BY73" s="275">
        <v>4341.45</v>
      </c>
      <c r="BZ73" s="49">
        <f t="shared" si="198"/>
        <v>1100.6668259999999</v>
      </c>
      <c r="CA73" s="49">
        <f t="shared" si="198"/>
        <v>679.29598199999998</v>
      </c>
      <c r="CB73" s="47">
        <f t="shared" si="198"/>
        <v>0</v>
      </c>
      <c r="CC73" s="47">
        <f t="shared" si="159"/>
        <v>0</v>
      </c>
      <c r="CD73" s="48">
        <f t="shared" si="160"/>
        <v>1100.6668259999999</v>
      </c>
      <c r="CE73" s="48">
        <f t="shared" si="161"/>
        <v>679.29598199999998</v>
      </c>
      <c r="CF73" s="93">
        <f t="shared" si="162"/>
        <v>1112.0298769455867</v>
      </c>
      <c r="CG73" s="93">
        <f t="shared" si="163"/>
        <v>690.65903294558666</v>
      </c>
      <c r="CH73" s="118"/>
      <c r="CI73" s="275">
        <v>1.3174999999999999</v>
      </c>
      <c r="CJ73" s="275">
        <v>1.1347</v>
      </c>
      <c r="CK73" s="275">
        <v>0</v>
      </c>
      <c r="CL73" s="275">
        <v>35438.099199999997</v>
      </c>
      <c r="CM73" s="275">
        <v>13120.42</v>
      </c>
      <c r="CN73" s="49">
        <f t="shared" si="199"/>
        <v>271.93199999999996</v>
      </c>
      <c r="CO73" s="49">
        <f t="shared" si="199"/>
        <v>303.895354</v>
      </c>
      <c r="CP73" s="47">
        <f t="shared" si="199"/>
        <v>0</v>
      </c>
      <c r="CQ73" s="47">
        <f t="shared" si="164"/>
        <v>0</v>
      </c>
      <c r="CR73" s="48">
        <f t="shared" si="165"/>
        <v>271.93199999999996</v>
      </c>
      <c r="CS73" s="48">
        <f t="shared" si="166"/>
        <v>303.895354</v>
      </c>
      <c r="CT73" s="93">
        <f t="shared" si="167"/>
        <v>271.96662258071859</v>
      </c>
      <c r="CU73" s="93">
        <f t="shared" si="168"/>
        <v>303.92997658071863</v>
      </c>
      <c r="CV73" s="118"/>
      <c r="CW73" s="275">
        <v>2.7570000000000001</v>
      </c>
      <c r="CX73" s="275">
        <v>2.2212000000000001</v>
      </c>
      <c r="CY73" s="275">
        <v>8.5000000000000006E-3</v>
      </c>
      <c r="CZ73" s="275">
        <v>14997.8308</v>
      </c>
      <c r="DA73" s="275">
        <v>5251.9125000000004</v>
      </c>
      <c r="DB73" s="49">
        <f t="shared" si="200"/>
        <v>572.32563000000005</v>
      </c>
      <c r="DC73" s="49">
        <f t="shared" si="200"/>
        <v>625.29001200000005</v>
      </c>
      <c r="DD73" s="47">
        <f t="shared" si="200"/>
        <v>2.4650000000000002E-3</v>
      </c>
      <c r="DE73" s="47">
        <f t="shared" si="169"/>
        <v>1.2870071377875339E-3</v>
      </c>
      <c r="DF73" s="48">
        <f t="shared" si="170"/>
        <v>572.32691700713781</v>
      </c>
      <c r="DG73" s="48">
        <f t="shared" si="171"/>
        <v>625.28883400713778</v>
      </c>
      <c r="DH73" s="93">
        <f t="shared" si="172"/>
        <v>572.34833511169813</v>
      </c>
      <c r="DI73" s="93">
        <f t="shared" si="173"/>
        <v>625.31025211169811</v>
      </c>
      <c r="DJ73" s="118"/>
      <c r="DK73" s="275">
        <v>2.4356</v>
      </c>
      <c r="DL73" s="275">
        <v>1.9821</v>
      </c>
      <c r="DM73" s="275">
        <v>0</v>
      </c>
      <c r="DN73" s="275">
        <v>4837.2250000000004</v>
      </c>
      <c r="DO73" s="275">
        <v>2123.9917</v>
      </c>
      <c r="DP73" s="49">
        <f t="shared" si="201"/>
        <v>331.826144</v>
      </c>
      <c r="DQ73" s="49">
        <f t="shared" si="201"/>
        <v>391.08815099999998</v>
      </c>
      <c r="DR73" s="47">
        <f t="shared" si="201"/>
        <v>0</v>
      </c>
      <c r="DS73" s="47">
        <f t="shared" si="174"/>
        <v>0</v>
      </c>
      <c r="DT73" s="48">
        <f t="shared" si="175"/>
        <v>331.826144</v>
      </c>
      <c r="DU73" s="48">
        <f t="shared" si="176"/>
        <v>391.08815099999998</v>
      </c>
      <c r="DV73" s="93">
        <f t="shared" si="177"/>
        <v>331.84822475104329</v>
      </c>
      <c r="DW73" s="93">
        <f t="shared" si="178"/>
        <v>391.11023175104327</v>
      </c>
      <c r="DX73" s="118"/>
      <c r="DY73" s="118"/>
      <c r="DZ73" s="118"/>
      <c r="EB73" s="52"/>
      <c r="EC73" s="52"/>
      <c r="ED73" s="52"/>
      <c r="EE73" s="55">
        <f t="shared" si="179"/>
        <v>80741.590799999991</v>
      </c>
      <c r="EF73" s="55">
        <f t="shared" si="179"/>
        <v>29891.72</v>
      </c>
      <c r="EG73" s="55">
        <f t="shared" si="179"/>
        <v>5018.3631340000002</v>
      </c>
      <c r="EH73" s="55">
        <f t="shared" si="179"/>
        <v>4703.1585836000004</v>
      </c>
      <c r="EI73" s="298">
        <f t="shared" si="202"/>
        <v>0.72981265964247</v>
      </c>
      <c r="EJ73" s="52"/>
      <c r="EK73" s="55">
        <f t="shared" si="180"/>
        <v>5018.36416360571</v>
      </c>
      <c r="EL73" s="55">
        <f t="shared" si="180"/>
        <v>4703.1576412057102</v>
      </c>
      <c r="EM73" s="55">
        <f t="shared" si="111"/>
        <v>5059.1415594114151</v>
      </c>
      <c r="EN73" s="55">
        <f t="shared" si="111"/>
        <v>4743.9350370114144</v>
      </c>
      <c r="EP73" s="52"/>
      <c r="EQ73" s="52"/>
      <c r="ER73" s="52"/>
      <c r="ES73" s="55">
        <f t="shared" si="203"/>
        <v>64898.27919999999</v>
      </c>
      <c r="ET73" s="55">
        <f t="shared" si="203"/>
        <v>23734.707499999997</v>
      </c>
      <c r="EU73" s="55">
        <f t="shared" si="203"/>
        <v>4354.2524100000001</v>
      </c>
      <c r="EV73" s="55">
        <f t="shared" si="203"/>
        <v>4207.1389084000002</v>
      </c>
      <c r="EW73" s="298">
        <f t="shared" si="204"/>
        <v>0.73221361048865574</v>
      </c>
      <c r="EX73" s="52"/>
      <c r="EY73" s="55">
        <f t="shared" si="205"/>
        <v>4354.2533109049964</v>
      </c>
      <c r="EZ73" s="55">
        <f t="shared" si="205"/>
        <v>4207.1380838049972</v>
      </c>
      <c r="FA73" s="55">
        <f t="shared" si="205"/>
        <v>4391.1264228840264</v>
      </c>
      <c r="FB73" s="55">
        <f t="shared" si="205"/>
        <v>4244.0111957840254</v>
      </c>
      <c r="FD73" s="52"/>
      <c r="FE73" s="52"/>
      <c r="FF73" s="52"/>
      <c r="FG73" s="55">
        <f t="shared" si="206"/>
        <v>51405.791699999994</v>
      </c>
      <c r="FH73" s="55">
        <f t="shared" si="206"/>
        <v>19720.778399999999</v>
      </c>
      <c r="FI73" s="55">
        <f t="shared" si="206"/>
        <v>3750.0645323999997</v>
      </c>
      <c r="FJ73" s="55">
        <f t="shared" si="206"/>
        <v>3746.8386925999998</v>
      </c>
      <c r="FK73" s="298">
        <f t="shared" si="207"/>
        <v>0.72273682855403143</v>
      </c>
      <c r="FL73" s="52"/>
      <c r="FM73" s="55">
        <f t="shared" si="208"/>
        <v>3750.0645323999997</v>
      </c>
      <c r="FN73" s="55">
        <f t="shared" si="208"/>
        <v>3746.8386925999998</v>
      </c>
      <c r="FO73" s="55">
        <f t="shared" si="208"/>
        <v>3774.5821375037535</v>
      </c>
      <c r="FP73" s="55">
        <f t="shared" si="208"/>
        <v>3771.3562977037532</v>
      </c>
      <c r="FR73" s="52"/>
      <c r="FS73" s="52"/>
      <c r="FT73" s="52"/>
      <c r="FU73" s="55">
        <f t="shared" si="209"/>
        <v>50435.929999999993</v>
      </c>
      <c r="FV73" s="55">
        <f t="shared" si="209"/>
        <v>18372.3325</v>
      </c>
      <c r="FW73" s="55">
        <f t="shared" si="209"/>
        <v>729.79250400000001</v>
      </c>
      <c r="FX73" s="55">
        <f t="shared" si="209"/>
        <v>804.12736360000008</v>
      </c>
      <c r="FY73" s="298">
        <f t="shared" si="210"/>
        <v>0.73299234957429704</v>
      </c>
      <c r="FZ73" s="52"/>
      <c r="GA73" s="55">
        <f t="shared" si="211"/>
        <v>729.79353360571031</v>
      </c>
      <c r="GB73" s="55">
        <f t="shared" si="211"/>
        <v>804.12642120571024</v>
      </c>
      <c r="GC73" s="55">
        <f t="shared" si="211"/>
        <v>729.84529067007713</v>
      </c>
      <c r="GD73" s="55">
        <f t="shared" si="211"/>
        <v>804.17817827007707</v>
      </c>
      <c r="GF73" s="52"/>
      <c r="GG73" s="52"/>
      <c r="GH73" s="52"/>
      <c r="GI73" s="55">
        <f t="shared" si="212"/>
        <v>25614.231599999999</v>
      </c>
      <c r="GJ73" s="55">
        <f t="shared" si="212"/>
        <v>9900.1916999999994</v>
      </c>
      <c r="GK73" s="56">
        <f t="shared" si="213"/>
        <v>457.01366174999998</v>
      </c>
      <c r="GL73" s="56">
        <f t="shared" si="213"/>
        <v>460.86277500000006</v>
      </c>
      <c r="GM73" s="298">
        <f t="shared" si="214"/>
        <v>0.72123462018880657</v>
      </c>
      <c r="GN73" s="52"/>
      <c r="GO73" s="56">
        <f t="shared" si="215"/>
        <v>457.01366174999998</v>
      </c>
      <c r="GP73" s="56">
        <f t="shared" si="215"/>
        <v>460.86277500000006</v>
      </c>
      <c r="GQ73" s="56">
        <f t="shared" si="215"/>
        <v>462.31330772259952</v>
      </c>
      <c r="GR73" s="56">
        <f t="shared" si="215"/>
        <v>466.1624209725997</v>
      </c>
      <c r="GW73" s="275">
        <v>3.0047999999999999</v>
      </c>
      <c r="GX73" s="275">
        <v>1.6140000000000001</v>
      </c>
      <c r="GY73" s="275">
        <v>0</v>
      </c>
      <c r="GZ73" s="275">
        <v>1820.9749999999999</v>
      </c>
      <c r="HA73" s="275">
        <v>750.13670000000002</v>
      </c>
      <c r="HB73" s="49">
        <f t="shared" si="126"/>
        <v>1973.5225919999998</v>
      </c>
      <c r="HC73" s="49">
        <f t="shared" si="127"/>
        <v>2191.5053400000002</v>
      </c>
      <c r="HD73" s="47">
        <f t="shared" si="128"/>
        <v>0</v>
      </c>
      <c r="HE73" s="47">
        <f t="shared" si="181"/>
        <v>0</v>
      </c>
      <c r="HF73" s="48">
        <f t="shared" si="182"/>
        <v>1973.5225919999998</v>
      </c>
      <c r="HG73" s="48">
        <f t="shared" si="183"/>
        <v>2191.5053400000002</v>
      </c>
      <c r="HH73" s="93">
        <f t="shared" si="184"/>
        <v>1988.3479855495698</v>
      </c>
      <c r="HI73" s="93">
        <f t="shared" si="185"/>
        <v>2206.3307335495701</v>
      </c>
      <c r="HJ73" s="298">
        <f t="shared" si="216"/>
        <v>0.70824421980577501</v>
      </c>
      <c r="HL73" s="275">
        <v>3.6147999999999998</v>
      </c>
      <c r="HM73" s="275">
        <v>2.7147000000000001</v>
      </c>
      <c r="HN73" s="275">
        <v>0</v>
      </c>
      <c r="HO73" s="275">
        <v>539</v>
      </c>
      <c r="HP73" s="275">
        <v>176.86920000000001</v>
      </c>
      <c r="HQ73" s="49">
        <f t="shared" si="130"/>
        <v>1921.8084199999998</v>
      </c>
      <c r="HR73" s="49">
        <f t="shared" si="131"/>
        <v>2105.331291</v>
      </c>
      <c r="HS73" s="47">
        <f t="shared" si="132"/>
        <v>0</v>
      </c>
      <c r="HT73" s="47">
        <f t="shared" si="186"/>
        <v>0</v>
      </c>
      <c r="HU73" s="48">
        <f t="shared" si="187"/>
        <v>1921.8084199999998</v>
      </c>
      <c r="HV73" s="48">
        <f t="shared" si="188"/>
        <v>2105.331291</v>
      </c>
      <c r="HW73" s="93">
        <f t="shared" si="189"/>
        <v>1924.8134685267028</v>
      </c>
      <c r="HX73" s="93">
        <f t="shared" si="190"/>
        <v>2108.3363395267029</v>
      </c>
      <c r="HY73" s="298">
        <f t="shared" si="217"/>
        <v>0.75293084267349397</v>
      </c>
    </row>
    <row r="74" spans="1:233" s="131" customFormat="1" x14ac:dyDescent="0.2">
      <c r="A74" s="118">
        <v>64</v>
      </c>
      <c r="B74" s="118"/>
      <c r="C74" s="275">
        <v>2.7429000000000001</v>
      </c>
      <c r="D74" s="275">
        <v>1.4915</v>
      </c>
      <c r="E74" s="275">
        <v>0</v>
      </c>
      <c r="F74" s="275">
        <v>14047.466700000001</v>
      </c>
      <c r="G74" s="275">
        <v>5379.44</v>
      </c>
      <c r="H74" s="49">
        <f t="shared" ref="H74:J110" si="218" xml:space="preserve"> C74 * C$8</f>
        <v>2712.865245</v>
      </c>
      <c r="I74" s="49">
        <f t="shared" si="218"/>
        <v>2687.41453</v>
      </c>
      <c r="J74" s="47">
        <f t="shared" si="218"/>
        <v>0</v>
      </c>
      <c r="K74" s="47">
        <f t="shared" si="134"/>
        <v>0</v>
      </c>
      <c r="L74" s="48">
        <f t="shared" si="135"/>
        <v>2712.865245</v>
      </c>
      <c r="M74" s="48">
        <f t="shared" si="136"/>
        <v>2687.41453</v>
      </c>
      <c r="N74" s="93">
        <f t="shared" si="137"/>
        <v>2735.1616381656186</v>
      </c>
      <c r="O74" s="93">
        <f t="shared" si="138"/>
        <v>2709.7109231656186</v>
      </c>
      <c r="P74" s="298">
        <f t="shared" ref="P74:P110" si="219" xml:space="preserve"> IF(   SUM(F74:G74) = 0,    IF( H74&lt;I74, lambdax_min, lambdax_max ),
                                                                   MAX( lambdax_min, MIN( lambdax_max, F74 / SUM(F74:G74) ) )     )</f>
        <v>0.72309333219786354</v>
      </c>
      <c r="Q74" s="275">
        <v>3.5488</v>
      </c>
      <c r="R74" s="275">
        <v>2.0266999999999999</v>
      </c>
      <c r="S74" s="275">
        <v>0</v>
      </c>
      <c r="T74" s="275">
        <v>4474.99</v>
      </c>
      <c r="U74" s="275">
        <v>1960.7750000000001</v>
      </c>
      <c r="V74" s="49">
        <f t="shared" ref="V74:X110" si="220" xml:space="preserve"> Q74 * Q$8</f>
        <v>2175.3789120000001</v>
      </c>
      <c r="W74" s="49">
        <f t="shared" si="220"/>
        <v>2352.3096220000002</v>
      </c>
      <c r="X74" s="47">
        <f t="shared" si="220"/>
        <v>0</v>
      </c>
      <c r="Y74" s="47">
        <f t="shared" si="139"/>
        <v>0</v>
      </c>
      <c r="Z74" s="48">
        <f t="shared" si="140"/>
        <v>2175.3789120000001</v>
      </c>
      <c r="AA74" s="48">
        <f t="shared" si="141"/>
        <v>2352.3096220000002</v>
      </c>
      <c r="AB74" s="93">
        <f t="shared" si="142"/>
        <v>2192.496869683046</v>
      </c>
      <c r="AC74" s="93">
        <f t="shared" si="143"/>
        <v>2369.4275796830461</v>
      </c>
      <c r="AD74" s="118"/>
      <c r="AE74" s="275">
        <v>4.9192999999999998</v>
      </c>
      <c r="AF74" s="275">
        <v>2.3128000000000002</v>
      </c>
      <c r="AG74" s="275">
        <v>0</v>
      </c>
      <c r="AH74" s="275">
        <v>383.25</v>
      </c>
      <c r="AI74" s="275">
        <v>129</v>
      </c>
      <c r="AJ74" s="49">
        <f t="shared" ref="AJ74:AL110" si="221" xml:space="preserve"> AE74 * AE$8</f>
        <v>2306.5121909999998</v>
      </c>
      <c r="AK74" s="49">
        <f t="shared" si="221"/>
        <v>2629.1447840000001</v>
      </c>
      <c r="AL74" s="47">
        <f t="shared" si="221"/>
        <v>0</v>
      </c>
      <c r="AM74" s="47">
        <f t="shared" si="144"/>
        <v>0</v>
      </c>
      <c r="AN74" s="48">
        <f t="shared" si="145"/>
        <v>2306.5121909999998</v>
      </c>
      <c r="AO74" s="48">
        <f t="shared" si="146"/>
        <v>2629.1447840000001</v>
      </c>
      <c r="AP74" s="93">
        <f t="shared" si="147"/>
        <v>2319.618874126822</v>
      </c>
      <c r="AQ74" s="93">
        <f t="shared" si="148"/>
        <v>2642.2514671268223</v>
      </c>
      <c r="AR74" s="118"/>
      <c r="AS74" s="275">
        <v>5.3060999999999998</v>
      </c>
      <c r="AT74" s="275">
        <v>1.9777</v>
      </c>
      <c r="AU74" s="275">
        <v>0</v>
      </c>
      <c r="AV74" s="275">
        <v>13757.9542</v>
      </c>
      <c r="AW74" s="275">
        <v>5233.9083000000001</v>
      </c>
      <c r="AX74" s="49">
        <f t="shared" ref="AX74:AZ110" si="222" xml:space="preserve"> AS74 * AS$8</f>
        <v>1848.910545</v>
      </c>
      <c r="AY74" s="49">
        <f t="shared" si="222"/>
        <v>1384.132899</v>
      </c>
      <c r="AZ74" s="47">
        <f t="shared" si="222"/>
        <v>0</v>
      </c>
      <c r="BA74" s="47">
        <f t="shared" si="149"/>
        <v>0</v>
      </c>
      <c r="BB74" s="48">
        <f t="shared" si="150"/>
        <v>1848.910545</v>
      </c>
      <c r="BC74" s="48">
        <f t="shared" si="151"/>
        <v>1384.132899</v>
      </c>
      <c r="BD74" s="93">
        <f t="shared" si="152"/>
        <v>1867.3397905757195</v>
      </c>
      <c r="BE74" s="93">
        <f t="shared" si="153"/>
        <v>1402.5621445757195</v>
      </c>
      <c r="BF74" s="118"/>
      <c r="BG74" s="275">
        <v>5.1993</v>
      </c>
      <c r="BH74" s="275">
        <v>2.1781999999999999</v>
      </c>
      <c r="BI74" s="275">
        <v>0</v>
      </c>
      <c r="BJ74" s="275">
        <v>8823.8017</v>
      </c>
      <c r="BK74" s="275">
        <v>3245.38</v>
      </c>
      <c r="BL74" s="49">
        <f t="shared" ref="BL74:BN110" si="223" xml:space="preserve"> BG74 * BG$8</f>
        <v>1758.5072460000001</v>
      </c>
      <c r="BM74" s="49">
        <f t="shared" si="223"/>
        <v>1303.565572</v>
      </c>
      <c r="BN74" s="47">
        <f t="shared" si="223"/>
        <v>0</v>
      </c>
      <c r="BO74" s="47">
        <f t="shared" si="154"/>
        <v>0</v>
      </c>
      <c r="BP74" s="48">
        <f t="shared" si="155"/>
        <v>1758.5072460000001</v>
      </c>
      <c r="BQ74" s="48">
        <f t="shared" si="156"/>
        <v>1303.565572</v>
      </c>
      <c r="BR74" s="93">
        <f t="shared" si="157"/>
        <v>1778.2127850420723</v>
      </c>
      <c r="BS74" s="93">
        <f t="shared" si="158"/>
        <v>1323.2711110420721</v>
      </c>
      <c r="BT74" s="118"/>
      <c r="BU74" s="275">
        <v>5.0621999999999998</v>
      </c>
      <c r="BV74" s="275">
        <v>2.0265</v>
      </c>
      <c r="BW74" s="275">
        <v>0</v>
      </c>
      <c r="BX74" s="275">
        <v>10169.816699999999</v>
      </c>
      <c r="BY74" s="275">
        <v>4002.38</v>
      </c>
      <c r="BZ74" s="49">
        <f t="shared" ref="BZ74:CB110" si="224" xml:space="preserve"> BU74 * BU$8</f>
        <v>1190.3257079999998</v>
      </c>
      <c r="CA74" s="49">
        <f t="shared" si="224"/>
        <v>728.58754499999998</v>
      </c>
      <c r="CB74" s="47">
        <f t="shared" si="224"/>
        <v>0</v>
      </c>
      <c r="CC74" s="47">
        <f t="shared" si="159"/>
        <v>0</v>
      </c>
      <c r="CD74" s="48">
        <f t="shared" si="160"/>
        <v>1190.3257079999998</v>
      </c>
      <c r="CE74" s="48">
        <f t="shared" si="161"/>
        <v>728.58754499999998</v>
      </c>
      <c r="CF74" s="93">
        <f t="shared" si="162"/>
        <v>1201.6887589455866</v>
      </c>
      <c r="CG74" s="93">
        <f t="shared" si="163"/>
        <v>739.95059594558666</v>
      </c>
      <c r="CH74" s="118"/>
      <c r="CI74" s="275">
        <v>1.3340000000000001</v>
      </c>
      <c r="CJ74" s="275">
        <v>1.1436999999999999</v>
      </c>
      <c r="CK74" s="275">
        <v>0</v>
      </c>
      <c r="CL74" s="275">
        <v>32871.138299999999</v>
      </c>
      <c r="CM74" s="275">
        <v>12303.877500000001</v>
      </c>
      <c r="CN74" s="49">
        <f t="shared" ref="CN74:CP110" si="225" xml:space="preserve"> CI74 * CI$8</f>
        <v>275.33760000000001</v>
      </c>
      <c r="CO74" s="49">
        <f t="shared" si="225"/>
        <v>306.30573399999997</v>
      </c>
      <c r="CP74" s="47">
        <f t="shared" si="225"/>
        <v>0</v>
      </c>
      <c r="CQ74" s="47">
        <f t="shared" si="164"/>
        <v>0</v>
      </c>
      <c r="CR74" s="48">
        <f t="shared" si="165"/>
        <v>275.33760000000001</v>
      </c>
      <c r="CS74" s="48">
        <f t="shared" si="166"/>
        <v>306.30573399999997</v>
      </c>
      <c r="CT74" s="93">
        <f t="shared" si="167"/>
        <v>275.37222258071864</v>
      </c>
      <c r="CU74" s="93">
        <f t="shared" si="168"/>
        <v>306.34035658071861</v>
      </c>
      <c r="CV74" s="118"/>
      <c r="CW74" s="275">
        <v>2.8241999999999998</v>
      </c>
      <c r="CX74" s="275">
        <v>2.2578999999999998</v>
      </c>
      <c r="CY74" s="275">
        <v>3.8999999999999998E-3</v>
      </c>
      <c r="CZ74" s="275">
        <v>13491.5208</v>
      </c>
      <c r="DA74" s="275">
        <v>4889.0991999999997</v>
      </c>
      <c r="DB74" s="49">
        <f t="shared" ref="DB74:DD110" si="226" xml:space="preserve"> CW74 * CW$8</f>
        <v>586.27567799999997</v>
      </c>
      <c r="DC74" s="49">
        <f t="shared" si="226"/>
        <v>635.62142899999992</v>
      </c>
      <c r="DD74" s="47">
        <f t="shared" si="226"/>
        <v>1.1309999999999998E-3</v>
      </c>
      <c r="DE74" s="47">
        <f t="shared" si="169"/>
        <v>5.8833745663250836E-4</v>
      </c>
      <c r="DF74" s="48">
        <f t="shared" si="170"/>
        <v>586.2762663374566</v>
      </c>
      <c r="DG74" s="48">
        <f t="shared" si="171"/>
        <v>635.62088633745657</v>
      </c>
      <c r="DH74" s="93">
        <f t="shared" si="172"/>
        <v>586.29838311169806</v>
      </c>
      <c r="DI74" s="93">
        <f t="shared" si="173"/>
        <v>635.64300311169802</v>
      </c>
      <c r="DJ74" s="118"/>
      <c r="DK74" s="275">
        <v>2.4782000000000002</v>
      </c>
      <c r="DL74" s="275">
        <v>2.0125999999999999</v>
      </c>
      <c r="DM74" s="275">
        <v>0</v>
      </c>
      <c r="DN74" s="275">
        <v>4695.0807999999997</v>
      </c>
      <c r="DO74" s="275">
        <v>2065.7332999999999</v>
      </c>
      <c r="DP74" s="49">
        <f t="shared" ref="DP74:DR110" si="227" xml:space="preserve"> DK74 * DK$8</f>
        <v>337.62996800000002</v>
      </c>
      <c r="DQ74" s="49">
        <f t="shared" si="227"/>
        <v>397.10610600000001</v>
      </c>
      <c r="DR74" s="47">
        <f t="shared" si="227"/>
        <v>0</v>
      </c>
      <c r="DS74" s="47">
        <f t="shared" si="174"/>
        <v>0</v>
      </c>
      <c r="DT74" s="48">
        <f t="shared" si="175"/>
        <v>337.62996800000002</v>
      </c>
      <c r="DU74" s="48">
        <f t="shared" si="176"/>
        <v>397.10610600000001</v>
      </c>
      <c r="DV74" s="93">
        <f t="shared" si="177"/>
        <v>337.65204875104331</v>
      </c>
      <c r="DW74" s="93">
        <f t="shared" si="178"/>
        <v>397.1281867510433</v>
      </c>
      <c r="DX74" s="118"/>
      <c r="DY74" s="118"/>
      <c r="DZ74" s="118"/>
      <c r="EB74" s="52"/>
      <c r="EC74" s="52"/>
      <c r="ED74" s="52"/>
      <c r="EE74" s="55">
        <f t="shared" si="179"/>
        <v>74168.08</v>
      </c>
      <c r="EF74" s="55">
        <f t="shared" si="179"/>
        <v>27806.325000000001</v>
      </c>
      <c r="EG74" s="55">
        <f t="shared" si="179"/>
        <v>5306.1339323999991</v>
      </c>
      <c r="EH74" s="55">
        <f t="shared" ref="EH74:EH110" si="228" xml:space="preserve"> I74 + AY74 + CO74 + EH$8 * DC74</f>
        <v>4886.3503062</v>
      </c>
      <c r="EI74" s="298">
        <f t="shared" ref="EI74:EI105" si="229" xml:space="preserve"> IF(   SUM(EE74:EF74) = 0,    IF( EG74&lt;EH74, lambdax_min, lambdax_max ),
                                                                   MAX( lambdax_min, MIN( lambdax_max, EE74 / SUM(EE74:EF74) ) )     )</f>
        <v>0.72732054675876756</v>
      </c>
      <c r="EJ74" s="52"/>
      <c r="EK74" s="55">
        <f t="shared" si="180"/>
        <v>5306.1344030699647</v>
      </c>
      <c r="EL74" s="55">
        <f t="shared" si="180"/>
        <v>4886.3498720699654</v>
      </c>
      <c r="EM74" s="55">
        <f t="shared" si="111"/>
        <v>5346.9123578114149</v>
      </c>
      <c r="EN74" s="55">
        <f t="shared" si="111"/>
        <v>4927.1278268114147</v>
      </c>
      <c r="EP74" s="52"/>
      <c r="EQ74" s="52"/>
      <c r="ER74" s="52"/>
      <c r="ES74" s="55">
        <f t="shared" ref="ES74:EV110" si="230" xml:space="preserve"> T74 + BJ74 + CL74 + ES$8 * CZ74</f>
        <v>59661.450799999999</v>
      </c>
      <c r="ET74" s="55">
        <f t="shared" si="230"/>
        <v>22399.131700000002</v>
      </c>
      <c r="EU74" s="55">
        <f t="shared" si="230"/>
        <v>4619.6167326000004</v>
      </c>
      <c r="EV74" s="55">
        <f t="shared" si="230"/>
        <v>4407.1159282999997</v>
      </c>
      <c r="EW74" s="298">
        <f t="shared" ref="EW74:EW105" si="231" xml:space="preserve"> IF(   SUM(ES74:ET74) = 0,    IF( EU74&lt;EV74, lambdax_min, lambdax_max ),
                                                                   MAX( lambdax_min, MIN( lambdax_max, ES74 / SUM(ES74:ET74) ) )     )</f>
        <v>0.72704152203647832</v>
      </c>
      <c r="EX74" s="52"/>
      <c r="EY74" s="55">
        <f t="shared" ref="EY74:FB110" si="232" xml:space="preserve"> Z74 + BP74 + CR74 + EY$8 * DF74</f>
        <v>4619.6171444362199</v>
      </c>
      <c r="EZ74" s="55">
        <f t="shared" si="232"/>
        <v>4407.1155484362198</v>
      </c>
      <c r="FA74" s="55">
        <f t="shared" si="232"/>
        <v>4656.4907454840259</v>
      </c>
      <c r="FB74" s="55">
        <f t="shared" si="232"/>
        <v>4443.9891494840258</v>
      </c>
      <c r="FD74" s="52"/>
      <c r="FE74" s="52"/>
      <c r="FF74" s="52"/>
      <c r="FG74" s="55">
        <f t="shared" ref="FG74:FJ110" si="233" xml:space="preserve"> AH74 + BX74 + CL74 + FG$8 * DN74</f>
        <v>48119.285799999998</v>
      </c>
      <c r="FH74" s="55">
        <f t="shared" si="233"/>
        <v>18500.9908</v>
      </c>
      <c r="FI74" s="55">
        <f t="shared" si="233"/>
        <v>3974.7534797999997</v>
      </c>
      <c r="FJ74" s="55">
        <f t="shared" si="233"/>
        <v>3902.3017266000002</v>
      </c>
      <c r="FK74" s="298">
        <f t="shared" ref="FK74:FK105" si="234" xml:space="preserve"> IF(   SUM(FG74:FH74) = 0,    IF( FI74&lt;FJ74, lambdax_min, lambdax_max ),
                                                                   MAX( lambdax_min, MIN( lambdax_max, FG74 / SUM(FG74:FH74) ) )     )</f>
        <v>0.72229189453710552</v>
      </c>
      <c r="FL74" s="52"/>
      <c r="FM74" s="55">
        <f t="shared" ref="FM74:FP110" si="235" xml:space="preserve"> AN74 + CD74 + CR74 + FM$8 * DT74</f>
        <v>3974.7534797999997</v>
      </c>
      <c r="FN74" s="55">
        <f t="shared" si="235"/>
        <v>3902.3017266000002</v>
      </c>
      <c r="FO74" s="55">
        <f t="shared" si="235"/>
        <v>3999.2710849037535</v>
      </c>
      <c r="FP74" s="55">
        <f t="shared" si="235"/>
        <v>3926.8193317037535</v>
      </c>
      <c r="FR74" s="52"/>
      <c r="FS74" s="52"/>
      <c r="FT74" s="52"/>
      <c r="FU74" s="55">
        <f t="shared" ref="FU74:FX110" si="236" xml:space="preserve"> CL74 + FU$8 * CZ74</f>
        <v>46362.659099999997</v>
      </c>
      <c r="FV74" s="55">
        <f t="shared" si="236"/>
        <v>17192.976699999999</v>
      </c>
      <c r="FW74" s="55">
        <f t="shared" si="236"/>
        <v>744.35814240000002</v>
      </c>
      <c r="FX74" s="55">
        <f t="shared" si="236"/>
        <v>814.80287720000001</v>
      </c>
      <c r="FY74" s="298">
        <f t="shared" ref="FY74:FY105" si="237" xml:space="preserve"> IF(   SUM(FU74:FV74) = 0,    IF( FW74&lt;FX74, lambdax_min, lambdax_max ),
                                                                   MAX( lambdax_min, MIN( lambdax_max, FU74 / SUM(FU74:FV74) ) )     )</f>
        <v>0.7294814773924424</v>
      </c>
      <c r="FZ74" s="52"/>
      <c r="GA74" s="55">
        <f t="shared" ref="GA74:GD110" si="238" xml:space="preserve"> CR74 + GA$8 * DF74</f>
        <v>744.35861306996526</v>
      </c>
      <c r="GB74" s="55">
        <f t="shared" si="238"/>
        <v>814.80244306996519</v>
      </c>
      <c r="GC74" s="55">
        <f t="shared" si="238"/>
        <v>744.41092907007715</v>
      </c>
      <c r="GD74" s="55">
        <f t="shared" si="238"/>
        <v>814.85475907007708</v>
      </c>
      <c r="GF74" s="52"/>
      <c r="GG74" s="52"/>
      <c r="GH74" s="52"/>
      <c r="GI74" s="55">
        <f t="shared" ref="GI74:GJ110" si="239" xml:space="preserve"> MAX( 0, AV74 + BX74 ) * GI$8</f>
        <v>23927.7709</v>
      </c>
      <c r="GJ74" s="55">
        <f t="shared" si="239"/>
        <v>9236.2883000000002</v>
      </c>
      <c r="GK74" s="56">
        <f t="shared" ref="GK74:GL110" si="240" xml:space="preserve"> MAX( 0, AX74 - BZ74 ) * GK$8</f>
        <v>493.93862775000008</v>
      </c>
      <c r="GL74" s="56">
        <f t="shared" si="240"/>
        <v>491.65901550000001</v>
      </c>
      <c r="GM74" s="298">
        <f t="shared" ref="GM74:GM105" si="241" xml:space="preserve"> IF(   SUM(GI74:GJ74) = 0,    IF( GK74&lt;GL74, lambdax_min, lambdax_max ),
                                                                   MAX( lambdax_min, MIN( lambdax_max, GI74 / SUM(GI74:GJ74) ) )     )</f>
        <v>0.72149705063848146</v>
      </c>
      <c r="GN74" s="52"/>
      <c r="GO74" s="56">
        <f t="shared" ref="GO74:GR110" si="242" xml:space="preserve"> MAX( 0, BB74 - CD74 ) * GO$8</f>
        <v>493.93862775000008</v>
      </c>
      <c r="GP74" s="56">
        <f t="shared" si="242"/>
        <v>491.65901550000001</v>
      </c>
      <c r="GQ74" s="56">
        <f t="shared" si="242"/>
        <v>499.23827372259962</v>
      </c>
      <c r="GR74" s="56">
        <f t="shared" si="242"/>
        <v>496.9586614725996</v>
      </c>
      <c r="GW74" s="275">
        <v>3.1714000000000002</v>
      </c>
      <c r="GX74" s="275">
        <v>1.6739999999999999</v>
      </c>
      <c r="GY74" s="275">
        <v>0</v>
      </c>
      <c r="GZ74" s="275">
        <v>1613.4183</v>
      </c>
      <c r="HA74" s="275">
        <v>767.46749999999997</v>
      </c>
      <c r="HB74" s="49">
        <f t="shared" ref="HB74:HB110" si="243" xml:space="preserve"> GW74 * GW$8</f>
        <v>2082.9438060000002</v>
      </c>
      <c r="HC74" s="49">
        <f t="shared" ref="HC74:HC110" si="244" xml:space="preserve"> GX74 * GX$8</f>
        <v>2272.9739399999999</v>
      </c>
      <c r="HD74" s="47">
        <f t="shared" ref="HD74:HD110" si="245" xml:space="preserve"> GY74 * GY$8</f>
        <v>0</v>
      </c>
      <c r="HE74" s="47">
        <f t="shared" si="181"/>
        <v>0</v>
      </c>
      <c r="HF74" s="48">
        <f t="shared" si="182"/>
        <v>2082.9438060000002</v>
      </c>
      <c r="HG74" s="48">
        <f t="shared" si="183"/>
        <v>2272.9739399999999</v>
      </c>
      <c r="HH74" s="93">
        <f t="shared" si="184"/>
        <v>2097.7691995495702</v>
      </c>
      <c r="HI74" s="93">
        <f t="shared" si="185"/>
        <v>2287.7993335495698</v>
      </c>
      <c r="HJ74" s="298">
        <f t="shared" ref="HJ74:HJ110" si="246" xml:space="preserve"> IF(   SUM(GZ74:HA74) = 0,    IF( HB74&lt;HC74, lambdax_min, lambdax_max ),
                                                                   MAX( lambdax_min, MIN( lambdax_max, GZ74 / SUM(GZ74:HA74) ) )     )</f>
        <v>0.67765463593423925</v>
      </c>
      <c r="HL74" s="275">
        <v>3.8763999999999998</v>
      </c>
      <c r="HM74" s="275">
        <v>2.8915999999999999</v>
      </c>
      <c r="HN74" s="275">
        <v>0</v>
      </c>
      <c r="HO74" s="275">
        <v>507.47</v>
      </c>
      <c r="HP74" s="275">
        <v>179.91669999999999</v>
      </c>
      <c r="HQ74" s="49">
        <f t="shared" ref="HQ74:HQ110" si="247" xml:space="preserve"> HL74 * HL$8</f>
        <v>2060.8880599999998</v>
      </c>
      <c r="HR74" s="49">
        <f t="shared" ref="HR74:HR110" si="248" xml:space="preserve"> HM74 * HM$8</f>
        <v>2242.5225479999999</v>
      </c>
      <c r="HS74" s="47">
        <f t="shared" ref="HS74:HS110" si="249" xml:space="preserve"> HN74 * HN$8</f>
        <v>0</v>
      </c>
      <c r="HT74" s="47">
        <f t="shared" si="186"/>
        <v>0</v>
      </c>
      <c r="HU74" s="48">
        <f t="shared" si="187"/>
        <v>2060.8880599999998</v>
      </c>
      <c r="HV74" s="48">
        <f t="shared" si="188"/>
        <v>2242.5225479999999</v>
      </c>
      <c r="HW74" s="93">
        <f t="shared" si="189"/>
        <v>2063.8931085267027</v>
      </c>
      <c r="HX74" s="93">
        <f t="shared" si="190"/>
        <v>2245.5275965267028</v>
      </c>
      <c r="HY74" s="298">
        <f t="shared" ref="HY74:HY110" si="250" xml:space="preserve"> IF(   SUM(HO74:HP74) = 0,    IF( HQ74&lt;HR74, lambdax_min, lambdax_max ),
                                                                   MAX( lambdax_min, MIN( lambdax_max, HO74 / SUM(HO74:HP74) ) )     )</f>
        <v>0.73825984704097414</v>
      </c>
    </row>
    <row r="75" spans="1:233" s="131" customFormat="1" x14ac:dyDescent="0.2">
      <c r="A75" s="118">
        <v>65</v>
      </c>
      <c r="B75" s="118"/>
      <c r="C75" s="275">
        <v>2.8845000000000001</v>
      </c>
      <c r="D75" s="275">
        <v>1.5421</v>
      </c>
      <c r="E75" s="275">
        <v>0</v>
      </c>
      <c r="F75" s="275">
        <v>13533.786700000001</v>
      </c>
      <c r="G75" s="275">
        <v>5230.8975</v>
      </c>
      <c r="H75" s="49">
        <f t="shared" si="218"/>
        <v>2852.9147250000001</v>
      </c>
      <c r="I75" s="49">
        <f t="shared" si="218"/>
        <v>2778.5866219999998</v>
      </c>
      <c r="J75" s="47">
        <f t="shared" si="218"/>
        <v>0</v>
      </c>
      <c r="K75" s="47">
        <f t="shared" ref="K75:K110" si="251" xml:space="preserve"> IF(    SUM(F75:G75)=0,    0,   J75 * G75 / SUM(F75:G75)    )</f>
        <v>0</v>
      </c>
      <c r="L75" s="48">
        <f t="shared" ref="L75:L110" si="252" xml:space="preserve"> H75 + K75</f>
        <v>2852.9147250000001</v>
      </c>
      <c r="M75" s="48">
        <f t="shared" ref="M75:M110" si="253" xml:space="preserve"> I75 - J75 + K75</f>
        <v>2778.5866219999998</v>
      </c>
      <c r="N75" s="93">
        <f t="shared" ref="N75:N110" si="254" xml:space="preserve"> H75 + IF( OR( $A75&lt;=14, $A75&gt;=65 ),0, IF( $A75&lt;=19, N$8, N$9 ) )</f>
        <v>2852.9147250000001</v>
      </c>
      <c r="O75" s="93">
        <f t="shared" ref="O75:O110" si="255" xml:space="preserve"> I75 - J75 + IF( OR( $A75&lt;=14, $A75&gt;=65 ),0, IF( $A75&lt;=19, O$8, O$9 ) )</f>
        <v>2778.5866219999998</v>
      </c>
      <c r="P75" s="298">
        <f t="shared" si="219"/>
        <v>0.72123711519749423</v>
      </c>
      <c r="Q75" s="275">
        <v>3.7467999999999999</v>
      </c>
      <c r="R75" s="275">
        <v>2.1109</v>
      </c>
      <c r="S75" s="275">
        <v>0</v>
      </c>
      <c r="T75" s="275">
        <v>4645.0492000000004</v>
      </c>
      <c r="U75" s="275">
        <v>1851.4567</v>
      </c>
      <c r="V75" s="49">
        <f t="shared" si="220"/>
        <v>2296.7509319999999</v>
      </c>
      <c r="W75" s="49">
        <f t="shared" si="220"/>
        <v>2450.037194</v>
      </c>
      <c r="X75" s="47">
        <f t="shared" si="220"/>
        <v>0</v>
      </c>
      <c r="Y75" s="47">
        <f t="shared" ref="Y75:Y110" si="256" xml:space="preserve"> IF(    SUM(V75:W75)=0,    0,   X75 * W75 / SUM(V75:W75)    )</f>
        <v>0</v>
      </c>
      <c r="Z75" s="48">
        <f t="shared" ref="Z75:Z110" si="257" xml:space="preserve"> V75 + Y75</f>
        <v>2296.7509319999999</v>
      </c>
      <c r="AA75" s="48">
        <f t="shared" ref="AA75:AA110" si="258" xml:space="preserve"> W75 - X75 + Y75</f>
        <v>2450.037194</v>
      </c>
      <c r="AB75" s="93">
        <f t="shared" ref="AB75:AB110" si="259" xml:space="preserve"> V75 + IF( OR( $A75&lt;=14, $A75&gt;=65 ),0, IF( $A75&lt;=19, AB$8, AB$9 ) )</f>
        <v>2296.7509319999999</v>
      </c>
      <c r="AC75" s="93">
        <f t="shared" ref="AC75:AC110" si="260" xml:space="preserve"> W75 - X75 + IF( OR( $A75&lt;=14, $A75&gt;=65 ),0, IF( $A75&lt;=19, AC$8, AC$9 ) )</f>
        <v>2450.037194</v>
      </c>
      <c r="AD75" s="118"/>
      <c r="AE75" s="275">
        <v>5.1966999999999999</v>
      </c>
      <c r="AF75" s="275">
        <v>2.4043999999999999</v>
      </c>
      <c r="AG75" s="275">
        <v>0</v>
      </c>
      <c r="AH75" s="275">
        <v>349.9717</v>
      </c>
      <c r="AI75" s="275">
        <v>102.035</v>
      </c>
      <c r="AJ75" s="49">
        <f t="shared" si="221"/>
        <v>2436.5767289999999</v>
      </c>
      <c r="AK75" s="49">
        <f t="shared" si="221"/>
        <v>2733.2738319999999</v>
      </c>
      <c r="AL75" s="47">
        <f t="shared" si="221"/>
        <v>0</v>
      </c>
      <c r="AM75" s="47">
        <f t="shared" ref="AM75:AM110" si="261" xml:space="preserve"> IF(    SUM(AJ75:AK75)=0,    0,   AL75 * AK75 / SUM(AJ75:AK75)    )</f>
        <v>0</v>
      </c>
      <c r="AN75" s="48">
        <f t="shared" ref="AN75:AN110" si="262" xml:space="preserve"> AJ75 + AM75</f>
        <v>2436.5767289999999</v>
      </c>
      <c r="AO75" s="48">
        <f t="shared" ref="AO75:AO110" si="263" xml:space="preserve"> AK75 - AL75 + AM75</f>
        <v>2733.2738319999999</v>
      </c>
      <c r="AP75" s="93">
        <f t="shared" ref="AP75:AP110" si="264" xml:space="preserve"> AJ75 + IF( OR( $A75&lt;=14, $A75&gt;=65 ),0, IF( $A75&lt;=19, AP$8, AP$9 ) )</f>
        <v>2436.5767289999999</v>
      </c>
      <c r="AQ75" s="93">
        <f t="shared" ref="AQ75:AQ110" si="265" xml:space="preserve"> AK75 - AL75 + IF( OR( $A75&lt;=14, $A75&gt;=65 ),0, IF( $A75&lt;=19, AQ$8, AQ$9 ) )</f>
        <v>2733.2738319999999</v>
      </c>
      <c r="AR75" s="118"/>
      <c r="AS75" s="275">
        <v>5.7355</v>
      </c>
      <c r="AT75" s="275">
        <v>2.1208</v>
      </c>
      <c r="AU75" s="275">
        <v>0</v>
      </c>
      <c r="AV75" s="275">
        <v>13454.0933</v>
      </c>
      <c r="AW75" s="275">
        <v>4973.6724999999997</v>
      </c>
      <c r="AX75" s="49">
        <f t="shared" si="222"/>
        <v>1998.534975</v>
      </c>
      <c r="AY75" s="49">
        <f t="shared" si="222"/>
        <v>1484.284296</v>
      </c>
      <c r="AZ75" s="47">
        <f t="shared" si="222"/>
        <v>0</v>
      </c>
      <c r="BA75" s="47">
        <f t="shared" ref="BA75:BA110" si="266" xml:space="preserve"> IF(    SUM(AX75:AY75)=0,    0,   AZ75 * AY75 / SUM(AX75:AY75)    )</f>
        <v>0</v>
      </c>
      <c r="BB75" s="48">
        <f t="shared" ref="BB75:BB110" si="267" xml:space="preserve"> AX75 + BA75</f>
        <v>1998.534975</v>
      </c>
      <c r="BC75" s="48">
        <f t="shared" ref="BC75:BC110" si="268" xml:space="preserve"> AY75 - AZ75 + BA75</f>
        <v>1484.284296</v>
      </c>
      <c r="BD75" s="93">
        <f t="shared" ref="BD75:BD110" si="269" xml:space="preserve"> AX75 + IF( OR( $A75&lt;=14, $A75&gt;=65 ),0, IF( $A75&lt;=19, BD$8, BD$9 ) )</f>
        <v>1998.534975</v>
      </c>
      <c r="BE75" s="93">
        <f t="shared" ref="BE75:BE110" si="270" xml:space="preserve"> AY75 - AZ75 + IF( OR( $A75&lt;=14, $A75&gt;=65 ),0, IF( $A75&lt;=19, BE$8, BE$9 ) )</f>
        <v>1484.284296</v>
      </c>
      <c r="BF75" s="118"/>
      <c r="BG75" s="275">
        <v>5.6268000000000002</v>
      </c>
      <c r="BH75" s="275">
        <v>2.3643000000000001</v>
      </c>
      <c r="BI75" s="275">
        <v>0</v>
      </c>
      <c r="BJ75" s="275">
        <v>8932.8358000000007</v>
      </c>
      <c r="BK75" s="275">
        <v>3221.3982999999998</v>
      </c>
      <c r="BL75" s="49">
        <f t="shared" si="223"/>
        <v>1903.0962960000002</v>
      </c>
      <c r="BM75" s="49">
        <f t="shared" si="223"/>
        <v>1414.9389780000001</v>
      </c>
      <c r="BN75" s="47">
        <f t="shared" si="223"/>
        <v>0</v>
      </c>
      <c r="BO75" s="47">
        <f t="shared" ref="BO75:BO110" si="271" xml:space="preserve"> IF(    SUM(BL75:BM75)=0,    0,   BN75 * BM75 / SUM(BL75:BM75)    )</f>
        <v>0</v>
      </c>
      <c r="BP75" s="48">
        <f t="shared" ref="BP75:BP110" si="272" xml:space="preserve"> BL75 + BO75</f>
        <v>1903.0962960000002</v>
      </c>
      <c r="BQ75" s="48">
        <f t="shared" ref="BQ75:BQ110" si="273" xml:space="preserve"> BM75 - BN75 + BO75</f>
        <v>1414.9389780000001</v>
      </c>
      <c r="BR75" s="93">
        <f t="shared" ref="BR75:BR110" si="274" xml:space="preserve"> BL75 + IF( OR( $A75&lt;=14, $A75&gt;=65 ),0, IF( $A75&lt;=19, BR$8, BR$9 ) )</f>
        <v>1903.0962960000002</v>
      </c>
      <c r="BS75" s="93">
        <f t="shared" ref="BS75:BS110" si="275" xml:space="preserve"> BM75 - BN75 + IF( OR( $A75&lt;=14, $A75&gt;=65 ),0, IF( $A75&lt;=19, BS$8, BS$9 ) )</f>
        <v>1414.9389780000001</v>
      </c>
      <c r="BT75" s="118"/>
      <c r="BU75" s="275">
        <v>5.4744999999999999</v>
      </c>
      <c r="BV75" s="275">
        <v>2.1839</v>
      </c>
      <c r="BW75" s="275">
        <v>0</v>
      </c>
      <c r="BX75" s="275">
        <v>9603.7932999999994</v>
      </c>
      <c r="BY75" s="275">
        <v>3847.3233</v>
      </c>
      <c r="BZ75" s="49">
        <f t="shared" si="224"/>
        <v>1287.2739299999998</v>
      </c>
      <c r="CA75" s="49">
        <f t="shared" si="224"/>
        <v>785.17756699999995</v>
      </c>
      <c r="CB75" s="47">
        <f t="shared" si="224"/>
        <v>0</v>
      </c>
      <c r="CC75" s="47">
        <f t="shared" ref="CC75:CC110" si="276" xml:space="preserve"> IF(    SUM(BZ75:CA75)=0,    0,   CB75 * CA75 / SUM(BZ75:CA75)    )</f>
        <v>0</v>
      </c>
      <c r="CD75" s="48">
        <f t="shared" ref="CD75:CD110" si="277" xml:space="preserve"> BZ75 + CC75</f>
        <v>1287.2739299999998</v>
      </c>
      <c r="CE75" s="48">
        <f t="shared" ref="CE75:CE110" si="278" xml:space="preserve"> CA75 - CB75 + CC75</f>
        <v>785.17756699999995</v>
      </c>
      <c r="CF75" s="93">
        <f t="shared" ref="CF75:CF110" si="279" xml:space="preserve"> BZ75 + IF( OR( $A75&lt;=14, $A75&gt;=65 ),0, IF( $A75&lt;=19, CF$8, CF$9 ) )</f>
        <v>1287.2739299999998</v>
      </c>
      <c r="CG75" s="93">
        <f t="shared" ref="CG75:CG110" si="280" xml:space="preserve"> CA75 - CB75 + IF( OR( $A75&lt;=14, $A75&gt;=65 ),0, IF( $A75&lt;=19, CG$8, CG$9 ) )</f>
        <v>785.17756699999995</v>
      </c>
      <c r="CH75" s="118"/>
      <c r="CI75" s="275">
        <v>1.3505</v>
      </c>
      <c r="CJ75" s="275">
        <v>1.1535</v>
      </c>
      <c r="CK75" s="275">
        <v>0</v>
      </c>
      <c r="CL75" s="275">
        <v>32058.603299999999</v>
      </c>
      <c r="CM75" s="275">
        <v>11903.230799999999</v>
      </c>
      <c r="CN75" s="49">
        <f t="shared" si="225"/>
        <v>278.7432</v>
      </c>
      <c r="CO75" s="49">
        <f t="shared" si="225"/>
        <v>308.93036999999998</v>
      </c>
      <c r="CP75" s="47">
        <f t="shared" si="225"/>
        <v>0</v>
      </c>
      <c r="CQ75" s="47">
        <f t="shared" ref="CQ75:CQ110" si="281" xml:space="preserve"> IF(    SUM(CN75:CO75)=0,    0,   CP75 * CO75 / SUM(CN75:CO75)    )</f>
        <v>0</v>
      </c>
      <c r="CR75" s="48">
        <f t="shared" ref="CR75:CR110" si="282" xml:space="preserve"> CN75 + CQ75</f>
        <v>278.7432</v>
      </c>
      <c r="CS75" s="48">
        <f t="shared" ref="CS75:CS110" si="283" xml:space="preserve"> CO75 - CP75 + CQ75</f>
        <v>308.93036999999998</v>
      </c>
      <c r="CT75" s="93">
        <f t="shared" ref="CT75:CT110" si="284" xml:space="preserve"> CN75 + IF( OR( $A75&lt;=14, $A75&gt;=65 ),0, IF( $A75&lt;=19, CT$8, CT$9 ) )</f>
        <v>278.7432</v>
      </c>
      <c r="CU75" s="93">
        <f t="shared" ref="CU75:CU110" si="285" xml:space="preserve"> CO75 - CP75 + IF( OR( $A75&lt;=14, $A75&gt;=65 ),0, IF( $A75&lt;=19, CU$8, CU$9 ) )</f>
        <v>308.93036999999998</v>
      </c>
      <c r="CV75" s="118"/>
      <c r="CW75" s="275">
        <v>2.8812000000000002</v>
      </c>
      <c r="CX75" s="275">
        <v>2.29</v>
      </c>
      <c r="CY75" s="275">
        <v>5.0000000000000001E-4</v>
      </c>
      <c r="CZ75" s="275">
        <v>13145.888300000001</v>
      </c>
      <c r="DA75" s="275">
        <v>4663.9417000000003</v>
      </c>
      <c r="DB75" s="49">
        <f t="shared" si="226"/>
        <v>598.10830800000008</v>
      </c>
      <c r="DC75" s="49">
        <f t="shared" si="226"/>
        <v>644.65790000000004</v>
      </c>
      <c r="DD75" s="47">
        <f t="shared" si="226"/>
        <v>1.45E-4</v>
      </c>
      <c r="DE75" s="47">
        <f t="shared" ref="DE75:DE110" si="286" xml:space="preserve"> IF(    SUM(DB75:DC75)=0,    0,   DD75 * DC75 / SUM(DB75:DC75)    )</f>
        <v>7.5215591555575999E-5</v>
      </c>
      <c r="DF75" s="48">
        <f t="shared" ref="DF75:DF110" si="287" xml:space="preserve"> DB75 + DE75</f>
        <v>598.10838321559163</v>
      </c>
      <c r="DG75" s="48">
        <f t="shared" ref="DG75:DG110" si="288" xml:space="preserve"> DC75 - DD75 + DE75</f>
        <v>644.65783021559162</v>
      </c>
      <c r="DH75" s="93">
        <f t="shared" ref="DH75:DH110" si="289" xml:space="preserve"> DB75 + IF( OR( $A75&lt;=14, $A75&gt;=65 ),0, IF( $A75&lt;=19, DH$8, DH$9 ) )</f>
        <v>598.10830800000008</v>
      </c>
      <c r="DI75" s="93">
        <f t="shared" ref="DI75:DI110" si="290" xml:space="preserve"> DC75 - DD75 + IF( OR( $A75&lt;=14, $A75&gt;=65 ),0, IF( $A75&lt;=19, DI$8, DI$9 ) )</f>
        <v>644.65775500000007</v>
      </c>
      <c r="DJ75" s="118"/>
      <c r="DK75" s="275">
        <v>2.5270000000000001</v>
      </c>
      <c r="DL75" s="275">
        <v>2.0493000000000001</v>
      </c>
      <c r="DM75" s="275">
        <v>0</v>
      </c>
      <c r="DN75" s="275">
        <v>4663.8733000000002</v>
      </c>
      <c r="DO75" s="275">
        <v>2070.5358000000001</v>
      </c>
      <c r="DP75" s="49">
        <f t="shared" si="227"/>
        <v>344.27848000000006</v>
      </c>
      <c r="DQ75" s="49">
        <f t="shared" si="227"/>
        <v>404.34738300000004</v>
      </c>
      <c r="DR75" s="47">
        <f t="shared" si="227"/>
        <v>0</v>
      </c>
      <c r="DS75" s="47">
        <f t="shared" ref="DS75:DS110" si="291" xml:space="preserve"> IF(    SUM(DP75:DQ75)=0,    0,   DR75 * DQ75 / SUM(DP75:DQ75)    )</f>
        <v>0</v>
      </c>
      <c r="DT75" s="48">
        <f t="shared" ref="DT75:DT110" si="292" xml:space="preserve"> DP75 + DS75</f>
        <v>344.27848000000006</v>
      </c>
      <c r="DU75" s="48">
        <f t="shared" ref="DU75:DU110" si="293" xml:space="preserve"> DQ75 - DR75 + DS75</f>
        <v>404.34738300000004</v>
      </c>
      <c r="DV75" s="93">
        <f t="shared" ref="DV75:DV110" si="294" xml:space="preserve"> DP75 + IF( OR( $A75&lt;=14, $A75&gt;=65 ),0, IF( $A75&lt;=19, DV$8, DV$9 ) )</f>
        <v>344.27848000000006</v>
      </c>
      <c r="DW75" s="93">
        <f t="shared" ref="DW75:DW110" si="295" xml:space="preserve"> DQ75 - DR75 + IF( OR( $A75&lt;=14, $A75&gt;=65 ),0, IF( $A75&lt;=19, DW$8, DW$9 ) )</f>
        <v>404.34738300000004</v>
      </c>
      <c r="DX75" s="118"/>
      <c r="DY75" s="118"/>
      <c r="DZ75" s="118"/>
      <c r="EB75" s="52"/>
      <c r="EC75" s="52"/>
      <c r="ED75" s="52"/>
      <c r="EE75" s="55">
        <f t="shared" ref="EE75:EG110" si="296" xml:space="preserve"> F75 + AV75 + CL75 + EE$8 * CZ75</f>
        <v>72192.371599999999</v>
      </c>
      <c r="EF75" s="55">
        <f t="shared" si="296"/>
        <v>26771.742499999997</v>
      </c>
      <c r="EG75" s="55">
        <f t="shared" si="296"/>
        <v>5608.6795463999997</v>
      </c>
      <c r="EH75" s="55">
        <f t="shared" si="228"/>
        <v>5087.5276079999994</v>
      </c>
      <c r="EI75" s="298">
        <f t="shared" si="229"/>
        <v>0.72948029956648708</v>
      </c>
      <c r="EJ75" s="52"/>
      <c r="EK75" s="55">
        <f t="shared" ref="EK75:EN110" si="297" xml:space="preserve"> L75 + BB75 + CR75 + EK$8 * DF75</f>
        <v>5608.6796065724729</v>
      </c>
      <c r="EL75" s="55">
        <f t="shared" si="297"/>
        <v>5087.5275521724725</v>
      </c>
      <c r="EM75" s="55">
        <f t="shared" si="297"/>
        <v>5608.6795463999997</v>
      </c>
      <c r="EN75" s="55">
        <f t="shared" si="297"/>
        <v>5087.5274919999993</v>
      </c>
      <c r="EP75" s="52"/>
      <c r="EQ75" s="52"/>
      <c r="ER75" s="52"/>
      <c r="ES75" s="55">
        <f t="shared" si="230"/>
        <v>58782.376599999996</v>
      </c>
      <c r="ET75" s="55">
        <f t="shared" si="230"/>
        <v>21640.0275</v>
      </c>
      <c r="EU75" s="55">
        <f t="shared" si="230"/>
        <v>4897.2662436000001</v>
      </c>
      <c r="EV75" s="55">
        <f t="shared" si="230"/>
        <v>4625.1670720000002</v>
      </c>
      <c r="EW75" s="298">
        <f t="shared" si="231"/>
        <v>0.73092041027408172</v>
      </c>
      <c r="EX75" s="52"/>
      <c r="EY75" s="55">
        <f t="shared" si="232"/>
        <v>4897.2662962509148</v>
      </c>
      <c r="EZ75" s="55">
        <f t="shared" si="232"/>
        <v>4625.1670231509142</v>
      </c>
      <c r="FA75" s="55">
        <f t="shared" si="232"/>
        <v>4897.2662436000001</v>
      </c>
      <c r="FB75" s="55">
        <f t="shared" si="232"/>
        <v>4625.1669704999995</v>
      </c>
      <c r="FD75" s="52"/>
      <c r="FE75" s="52"/>
      <c r="FF75" s="52"/>
      <c r="FG75" s="55">
        <f t="shared" si="233"/>
        <v>46676.241600000001</v>
      </c>
      <c r="FH75" s="55">
        <f t="shared" si="233"/>
        <v>17923.124899999999</v>
      </c>
      <c r="FI75" s="55">
        <f t="shared" si="233"/>
        <v>4209.1609469999994</v>
      </c>
      <c r="FJ75" s="55">
        <f t="shared" si="233"/>
        <v>4069.9901987999997</v>
      </c>
      <c r="FK75" s="298">
        <f t="shared" si="234"/>
        <v>0.72254952531152139</v>
      </c>
      <c r="FL75" s="52"/>
      <c r="FM75" s="55">
        <f t="shared" si="235"/>
        <v>4209.1609469999994</v>
      </c>
      <c r="FN75" s="55">
        <f t="shared" si="235"/>
        <v>4069.9901987999997</v>
      </c>
      <c r="FO75" s="55">
        <f t="shared" si="235"/>
        <v>4209.1609469999994</v>
      </c>
      <c r="FP75" s="55">
        <f t="shared" si="235"/>
        <v>4069.9901987999997</v>
      </c>
      <c r="FR75" s="52"/>
      <c r="FS75" s="52"/>
      <c r="FT75" s="52"/>
      <c r="FU75" s="55">
        <f t="shared" si="236"/>
        <v>45204.491600000001</v>
      </c>
      <c r="FV75" s="55">
        <f t="shared" si="236"/>
        <v>16567.172500000001</v>
      </c>
      <c r="FW75" s="55">
        <f t="shared" si="236"/>
        <v>757.22984640000004</v>
      </c>
      <c r="FX75" s="55">
        <f t="shared" si="236"/>
        <v>824.65669000000003</v>
      </c>
      <c r="FY75" s="298">
        <f t="shared" si="237"/>
        <v>0.73179980268655254</v>
      </c>
      <c r="FZ75" s="52"/>
      <c r="GA75" s="55">
        <f t="shared" si="238"/>
        <v>757.22990657247328</v>
      </c>
      <c r="GB75" s="55">
        <f t="shared" si="238"/>
        <v>824.65663417247333</v>
      </c>
      <c r="GC75" s="55">
        <f t="shared" si="238"/>
        <v>757.22984640000004</v>
      </c>
      <c r="GD75" s="55">
        <f t="shared" si="238"/>
        <v>824.65657400000009</v>
      </c>
      <c r="GF75" s="52"/>
      <c r="GG75" s="52"/>
      <c r="GH75" s="52"/>
      <c r="GI75" s="55">
        <f t="shared" si="239"/>
        <v>23057.886599999998</v>
      </c>
      <c r="GJ75" s="55">
        <f t="shared" si="239"/>
        <v>8820.9958000000006</v>
      </c>
      <c r="GK75" s="56">
        <f t="shared" si="240"/>
        <v>533.44578375000015</v>
      </c>
      <c r="GL75" s="56">
        <f t="shared" si="240"/>
        <v>524.33004675000007</v>
      </c>
      <c r="GM75" s="298">
        <f t="shared" si="241"/>
        <v>0.72329657955637738</v>
      </c>
      <c r="GN75" s="52"/>
      <c r="GO75" s="56">
        <f t="shared" si="242"/>
        <v>533.44578375000015</v>
      </c>
      <c r="GP75" s="56">
        <f t="shared" si="242"/>
        <v>524.33004675000007</v>
      </c>
      <c r="GQ75" s="56">
        <f t="shared" si="242"/>
        <v>533.44578375000015</v>
      </c>
      <c r="GR75" s="56">
        <f t="shared" si="242"/>
        <v>524.33004675000007</v>
      </c>
      <c r="GW75" s="275">
        <v>3.3368000000000002</v>
      </c>
      <c r="GX75" s="275">
        <v>1.7461</v>
      </c>
      <c r="GY75" s="275">
        <v>0</v>
      </c>
      <c r="GZ75" s="275">
        <v>1698.1849999999999</v>
      </c>
      <c r="HA75" s="275">
        <v>751.87329999999997</v>
      </c>
      <c r="HB75" s="49">
        <f t="shared" si="243"/>
        <v>2191.5768720000001</v>
      </c>
      <c r="HC75" s="49">
        <f t="shared" si="244"/>
        <v>2370.8720410000001</v>
      </c>
      <c r="HD75" s="47">
        <f t="shared" si="245"/>
        <v>0</v>
      </c>
      <c r="HE75" s="47">
        <f t="shared" ref="HE75:HE110" si="298" xml:space="preserve"> IF(    SUM(GZ75:HA75)=0,    0,   HD75 * HA75 / SUM(GZ75:HA75)    )</f>
        <v>0</v>
      </c>
      <c r="HF75" s="48">
        <f t="shared" ref="HF75:HF110" si="299" xml:space="preserve"> HB75 + HE75</f>
        <v>2191.5768720000001</v>
      </c>
      <c r="HG75" s="48">
        <f t="shared" ref="HG75:HG110" si="300" xml:space="preserve"> HC75 - HD75 + HE75</f>
        <v>2370.8720410000001</v>
      </c>
      <c r="HH75" s="93">
        <f t="shared" ref="HH75:HH110" si="301" xml:space="preserve"> HB75 + IF( OR( $A75&lt;=14, $A75&gt;=65 ),0, IF( $A75&lt;=19, HH$8, HH$9 ) )</f>
        <v>2191.5768720000001</v>
      </c>
      <c r="HI75" s="93">
        <f t="shared" ref="HI75:HI110" si="302" xml:space="preserve"> HC75 - HD75 + IF( OR( $A75&lt;=14, $A75&gt;=65 ),0, IF( $A75&lt;=19, HI$8, HI$9 ) )</f>
        <v>2370.8720410000001</v>
      </c>
      <c r="HJ75" s="298">
        <f t="shared" si="246"/>
        <v>0.69312024126119776</v>
      </c>
      <c r="HL75" s="275">
        <v>4.1512000000000002</v>
      </c>
      <c r="HM75" s="275">
        <v>3.0878000000000001</v>
      </c>
      <c r="HN75" s="275">
        <v>0</v>
      </c>
      <c r="HO75" s="275">
        <v>588.10080000000005</v>
      </c>
      <c r="HP75" s="275">
        <v>178.5</v>
      </c>
      <c r="HQ75" s="49">
        <f t="shared" si="247"/>
        <v>2206.9854799999998</v>
      </c>
      <c r="HR75" s="49">
        <f t="shared" si="248"/>
        <v>2394.6815339999998</v>
      </c>
      <c r="HS75" s="47">
        <f t="shared" si="249"/>
        <v>0</v>
      </c>
      <c r="HT75" s="47">
        <f t="shared" ref="HT75:HT110" si="303" xml:space="preserve"> IF(    SUM(HO75:HP75)=0,    0,   HS75 * HP75 / SUM(HO75:HP75)    )</f>
        <v>0</v>
      </c>
      <c r="HU75" s="48">
        <f t="shared" ref="HU75:HU110" si="304" xml:space="preserve"> HQ75 + HT75</f>
        <v>2206.9854799999998</v>
      </c>
      <c r="HV75" s="48">
        <f t="shared" ref="HV75:HV110" si="305" xml:space="preserve"> HR75 - HS75 + HT75</f>
        <v>2394.6815339999998</v>
      </c>
      <c r="HW75" s="93">
        <f t="shared" ref="HW75:HW110" si="306" xml:space="preserve"> HQ75 + IF( OR( $A75&lt;=14, $A75&gt;=65 ),0, IF( $A75&lt;=19, HW$8, HW$9 ) )</f>
        <v>2206.9854799999998</v>
      </c>
      <c r="HX75" s="93">
        <f t="shared" ref="HX75:HX110" si="307" xml:space="preserve"> HR75 - HS75 + IF( OR( $A75&lt;=14, $A75&gt;=65 ),0, IF( $A75&lt;=19, HX$8, HX$9 ) )</f>
        <v>2394.6815339999998</v>
      </c>
      <c r="HY75" s="298">
        <f t="shared" si="250"/>
        <v>0.76715390852709786</v>
      </c>
    </row>
    <row r="76" spans="1:233" s="131" customFormat="1" x14ac:dyDescent="0.2">
      <c r="A76" s="118">
        <v>66</v>
      </c>
      <c r="B76" s="118"/>
      <c r="C76" s="275">
        <v>3.0310999999999999</v>
      </c>
      <c r="D76" s="275">
        <v>1.5974999999999999</v>
      </c>
      <c r="E76" s="275">
        <v>0</v>
      </c>
      <c r="F76" s="275">
        <v>12876.1167</v>
      </c>
      <c r="G76" s="275">
        <v>4898.665</v>
      </c>
      <c r="H76" s="49">
        <f t="shared" si="218"/>
        <v>2997.909455</v>
      </c>
      <c r="I76" s="49">
        <f t="shared" si="218"/>
        <v>2878.4074499999997</v>
      </c>
      <c r="J76" s="47">
        <f t="shared" si="218"/>
        <v>0</v>
      </c>
      <c r="K76" s="47">
        <f t="shared" si="251"/>
        <v>0</v>
      </c>
      <c r="L76" s="48">
        <f t="shared" si="252"/>
        <v>2997.909455</v>
      </c>
      <c r="M76" s="48">
        <f t="shared" si="253"/>
        <v>2878.4074499999997</v>
      </c>
      <c r="N76" s="93">
        <f t="shared" si="254"/>
        <v>2997.909455</v>
      </c>
      <c r="O76" s="93">
        <f t="shared" si="255"/>
        <v>2878.4074499999997</v>
      </c>
      <c r="P76" s="298">
        <f t="shared" si="219"/>
        <v>0.72440364766898946</v>
      </c>
      <c r="Q76" s="275">
        <v>3.9569000000000001</v>
      </c>
      <c r="R76" s="275">
        <v>2.2027999999999999</v>
      </c>
      <c r="S76" s="275">
        <v>0</v>
      </c>
      <c r="T76" s="275">
        <v>4625.5524999999998</v>
      </c>
      <c r="U76" s="275">
        <v>1726.8317</v>
      </c>
      <c r="V76" s="49">
        <f t="shared" si="220"/>
        <v>2425.5401310000002</v>
      </c>
      <c r="W76" s="49">
        <f t="shared" si="220"/>
        <v>2556.7018480000002</v>
      </c>
      <c r="X76" s="47">
        <f t="shared" si="220"/>
        <v>0</v>
      </c>
      <c r="Y76" s="47">
        <f t="shared" si="256"/>
        <v>0</v>
      </c>
      <c r="Z76" s="48">
        <f t="shared" si="257"/>
        <v>2425.5401310000002</v>
      </c>
      <c r="AA76" s="48">
        <f t="shared" si="258"/>
        <v>2556.7018480000002</v>
      </c>
      <c r="AB76" s="93">
        <f t="shared" si="259"/>
        <v>2425.5401310000002</v>
      </c>
      <c r="AC76" s="93">
        <f t="shared" si="260"/>
        <v>2556.7018480000002</v>
      </c>
      <c r="AD76" s="118"/>
      <c r="AE76" s="275">
        <v>5.4772999999999996</v>
      </c>
      <c r="AF76" s="275">
        <v>2.4988000000000001</v>
      </c>
      <c r="AG76" s="275">
        <v>0</v>
      </c>
      <c r="AH76" s="275">
        <v>371.19580000000002</v>
      </c>
      <c r="AI76" s="275">
        <v>121.16670000000001</v>
      </c>
      <c r="AJ76" s="49">
        <f t="shared" si="221"/>
        <v>2568.1416509999999</v>
      </c>
      <c r="AK76" s="49">
        <f t="shared" si="221"/>
        <v>2840.5858640000001</v>
      </c>
      <c r="AL76" s="47">
        <f t="shared" si="221"/>
        <v>0</v>
      </c>
      <c r="AM76" s="47">
        <f t="shared" si="261"/>
        <v>0</v>
      </c>
      <c r="AN76" s="48">
        <f t="shared" si="262"/>
        <v>2568.1416509999999</v>
      </c>
      <c r="AO76" s="48">
        <f t="shared" si="263"/>
        <v>2840.5858640000001</v>
      </c>
      <c r="AP76" s="93">
        <f t="shared" si="264"/>
        <v>2568.1416509999999</v>
      </c>
      <c r="AQ76" s="93">
        <f t="shared" si="265"/>
        <v>2840.5858640000001</v>
      </c>
      <c r="AR76" s="118"/>
      <c r="AS76" s="275">
        <v>6.1890000000000001</v>
      </c>
      <c r="AT76" s="275">
        <v>2.2675999999999998</v>
      </c>
      <c r="AU76" s="275">
        <v>0</v>
      </c>
      <c r="AV76" s="275">
        <v>13137.0308</v>
      </c>
      <c r="AW76" s="275">
        <v>5014.7425000000003</v>
      </c>
      <c r="AX76" s="49">
        <f t="shared" si="222"/>
        <v>2156.5570499999999</v>
      </c>
      <c r="AY76" s="49">
        <f t="shared" si="222"/>
        <v>1587.025212</v>
      </c>
      <c r="AZ76" s="47">
        <f t="shared" si="222"/>
        <v>0</v>
      </c>
      <c r="BA76" s="47">
        <f t="shared" si="266"/>
        <v>0</v>
      </c>
      <c r="BB76" s="48">
        <f t="shared" si="267"/>
        <v>2156.5570499999999</v>
      </c>
      <c r="BC76" s="48">
        <f t="shared" si="268"/>
        <v>1587.025212</v>
      </c>
      <c r="BD76" s="93">
        <f t="shared" si="269"/>
        <v>2156.5570499999999</v>
      </c>
      <c r="BE76" s="93">
        <f t="shared" si="270"/>
        <v>1587.025212</v>
      </c>
      <c r="BF76" s="118"/>
      <c r="BG76" s="275">
        <v>6.0702999999999996</v>
      </c>
      <c r="BH76" s="275">
        <v>2.5636000000000001</v>
      </c>
      <c r="BI76" s="275">
        <v>0</v>
      </c>
      <c r="BJ76" s="275">
        <v>8705.5457999999999</v>
      </c>
      <c r="BK76" s="275">
        <v>3003.2424999999998</v>
      </c>
      <c r="BL76" s="49">
        <f t="shared" si="223"/>
        <v>2053.0968659999999</v>
      </c>
      <c r="BM76" s="49">
        <f t="shared" si="223"/>
        <v>1534.2120560000001</v>
      </c>
      <c r="BN76" s="47">
        <f t="shared" si="223"/>
        <v>0</v>
      </c>
      <c r="BO76" s="47">
        <f t="shared" si="271"/>
        <v>0</v>
      </c>
      <c r="BP76" s="48">
        <f t="shared" si="272"/>
        <v>2053.0968659999999</v>
      </c>
      <c r="BQ76" s="48">
        <f t="shared" si="273"/>
        <v>1534.2120560000001</v>
      </c>
      <c r="BR76" s="93">
        <f t="shared" si="274"/>
        <v>2053.0968659999999</v>
      </c>
      <c r="BS76" s="93">
        <f t="shared" si="275"/>
        <v>1534.2120560000001</v>
      </c>
      <c r="BT76" s="118"/>
      <c r="BU76" s="275">
        <v>5.9179000000000004</v>
      </c>
      <c r="BV76" s="275">
        <v>2.3649</v>
      </c>
      <c r="BW76" s="275">
        <v>0</v>
      </c>
      <c r="BX76" s="275">
        <v>8900.5167000000001</v>
      </c>
      <c r="BY76" s="275">
        <v>3467.1550000000002</v>
      </c>
      <c r="BZ76" s="49">
        <f t="shared" si="224"/>
        <v>1391.5350060000001</v>
      </c>
      <c r="CA76" s="49">
        <f t="shared" si="224"/>
        <v>850.25249699999995</v>
      </c>
      <c r="CB76" s="47">
        <f t="shared" si="224"/>
        <v>0</v>
      </c>
      <c r="CC76" s="47">
        <f t="shared" si="276"/>
        <v>0</v>
      </c>
      <c r="CD76" s="48">
        <f t="shared" si="277"/>
        <v>1391.5350060000001</v>
      </c>
      <c r="CE76" s="48">
        <f t="shared" si="278"/>
        <v>850.25249699999995</v>
      </c>
      <c r="CF76" s="93">
        <f t="shared" si="279"/>
        <v>1391.5350060000001</v>
      </c>
      <c r="CG76" s="93">
        <f t="shared" si="280"/>
        <v>850.25249699999995</v>
      </c>
      <c r="CH76" s="118"/>
      <c r="CI76" s="275">
        <v>1.3663000000000001</v>
      </c>
      <c r="CJ76" s="275">
        <v>1.1635</v>
      </c>
      <c r="CK76" s="275">
        <v>0</v>
      </c>
      <c r="CL76" s="275">
        <v>30773.215800000002</v>
      </c>
      <c r="CM76" s="275">
        <v>11368.0483</v>
      </c>
      <c r="CN76" s="49">
        <f t="shared" si="225"/>
        <v>282.00432000000001</v>
      </c>
      <c r="CO76" s="49">
        <f t="shared" si="225"/>
        <v>311.60856999999999</v>
      </c>
      <c r="CP76" s="47">
        <f t="shared" si="225"/>
        <v>0</v>
      </c>
      <c r="CQ76" s="47">
        <f t="shared" si="281"/>
        <v>0</v>
      </c>
      <c r="CR76" s="48">
        <f t="shared" si="282"/>
        <v>282.00432000000001</v>
      </c>
      <c r="CS76" s="48">
        <f t="shared" si="283"/>
        <v>311.60856999999999</v>
      </c>
      <c r="CT76" s="93">
        <f t="shared" si="284"/>
        <v>282.00432000000001</v>
      </c>
      <c r="CU76" s="93">
        <f t="shared" si="285"/>
        <v>311.60856999999999</v>
      </c>
      <c r="CV76" s="118"/>
      <c r="CW76" s="275">
        <v>2.9260000000000002</v>
      </c>
      <c r="CX76" s="275">
        <v>2.3178999999999998</v>
      </c>
      <c r="CY76" s="275">
        <v>0</v>
      </c>
      <c r="CZ76" s="275">
        <v>12432.939200000001</v>
      </c>
      <c r="DA76" s="275">
        <v>4503.2442000000001</v>
      </c>
      <c r="DB76" s="49">
        <f t="shared" si="226"/>
        <v>607.40834000000007</v>
      </c>
      <c r="DC76" s="49">
        <f t="shared" si="226"/>
        <v>652.51202899999998</v>
      </c>
      <c r="DD76" s="47">
        <f t="shared" si="226"/>
        <v>0</v>
      </c>
      <c r="DE76" s="47">
        <f t="shared" si="286"/>
        <v>0</v>
      </c>
      <c r="DF76" s="48">
        <f t="shared" si="287"/>
        <v>607.40834000000007</v>
      </c>
      <c r="DG76" s="48">
        <f t="shared" si="288"/>
        <v>652.51202899999998</v>
      </c>
      <c r="DH76" s="93">
        <f t="shared" si="289"/>
        <v>607.40834000000007</v>
      </c>
      <c r="DI76" s="93">
        <f t="shared" si="290"/>
        <v>652.51202899999998</v>
      </c>
      <c r="DJ76" s="118"/>
      <c r="DK76" s="275">
        <v>2.5710000000000002</v>
      </c>
      <c r="DL76" s="275">
        <v>2.0903</v>
      </c>
      <c r="DM76" s="275">
        <v>0</v>
      </c>
      <c r="DN76" s="275">
        <v>4538.3891999999996</v>
      </c>
      <c r="DO76" s="275">
        <v>1946.1858</v>
      </c>
      <c r="DP76" s="49">
        <f t="shared" si="227"/>
        <v>350.27304000000004</v>
      </c>
      <c r="DQ76" s="49">
        <f t="shared" si="227"/>
        <v>412.437093</v>
      </c>
      <c r="DR76" s="47">
        <f t="shared" si="227"/>
        <v>0</v>
      </c>
      <c r="DS76" s="47">
        <f t="shared" si="291"/>
        <v>0</v>
      </c>
      <c r="DT76" s="48">
        <f t="shared" si="292"/>
        <v>350.27304000000004</v>
      </c>
      <c r="DU76" s="48">
        <f t="shared" si="293"/>
        <v>412.437093</v>
      </c>
      <c r="DV76" s="93">
        <f t="shared" si="294"/>
        <v>350.27304000000004</v>
      </c>
      <c r="DW76" s="93">
        <f t="shared" si="295"/>
        <v>412.437093</v>
      </c>
      <c r="DX76" s="118"/>
      <c r="DY76" s="118"/>
      <c r="DZ76" s="118"/>
      <c r="EB76" s="52"/>
      <c r="EC76" s="52"/>
      <c r="ED76" s="52"/>
      <c r="EE76" s="55">
        <f t="shared" si="296"/>
        <v>69219.302499999991</v>
      </c>
      <c r="EF76" s="55">
        <f t="shared" si="296"/>
        <v>25784.700000000004</v>
      </c>
      <c r="EG76" s="55">
        <f t="shared" si="296"/>
        <v>5922.3974969999999</v>
      </c>
      <c r="EH76" s="55">
        <f t="shared" si="228"/>
        <v>5299.0508551999992</v>
      </c>
      <c r="EI76" s="298">
        <f t="shared" si="229"/>
        <v>0.72859354004585219</v>
      </c>
      <c r="EJ76" s="52"/>
      <c r="EK76" s="55">
        <f t="shared" si="297"/>
        <v>5922.3974969999999</v>
      </c>
      <c r="EL76" s="55">
        <f t="shared" si="297"/>
        <v>5299.0508551999992</v>
      </c>
      <c r="EM76" s="55">
        <f t="shared" si="297"/>
        <v>5922.3974969999999</v>
      </c>
      <c r="EN76" s="55">
        <f t="shared" si="297"/>
        <v>5299.0508551999992</v>
      </c>
      <c r="EP76" s="52"/>
      <c r="EQ76" s="52"/>
      <c r="ER76" s="52"/>
      <c r="ES76" s="55">
        <f t="shared" si="230"/>
        <v>56537.253300000004</v>
      </c>
      <c r="ET76" s="55">
        <f t="shared" si="230"/>
        <v>20601.366700000002</v>
      </c>
      <c r="EU76" s="55">
        <f t="shared" si="230"/>
        <v>5185.8271549999999</v>
      </c>
      <c r="EV76" s="55">
        <f t="shared" si="230"/>
        <v>4859.2808943</v>
      </c>
      <c r="EW76" s="298">
        <f t="shared" si="231"/>
        <v>0.73293057744616119</v>
      </c>
      <c r="EX76" s="52"/>
      <c r="EY76" s="55">
        <f t="shared" si="232"/>
        <v>5185.8271549999999</v>
      </c>
      <c r="EZ76" s="55">
        <f t="shared" si="232"/>
        <v>4859.2808943</v>
      </c>
      <c r="FA76" s="55">
        <f t="shared" si="232"/>
        <v>5185.8271549999999</v>
      </c>
      <c r="FB76" s="55">
        <f t="shared" si="232"/>
        <v>4859.2808943</v>
      </c>
      <c r="FD76" s="52"/>
      <c r="FE76" s="52"/>
      <c r="FF76" s="52"/>
      <c r="FG76" s="55">
        <f t="shared" si="233"/>
        <v>44583.317499999997</v>
      </c>
      <c r="FH76" s="55">
        <f t="shared" si="233"/>
        <v>16902.555800000002</v>
      </c>
      <c r="FI76" s="55">
        <f t="shared" si="233"/>
        <v>4451.8448010000002</v>
      </c>
      <c r="FJ76" s="55">
        <f t="shared" si="233"/>
        <v>4249.9091867999996</v>
      </c>
      <c r="FK76" s="298">
        <f t="shared" si="234"/>
        <v>0.72509854877510538</v>
      </c>
      <c r="FL76" s="52"/>
      <c r="FM76" s="55">
        <f t="shared" si="235"/>
        <v>4451.8448010000002</v>
      </c>
      <c r="FN76" s="55">
        <f t="shared" si="235"/>
        <v>4249.9091867999996</v>
      </c>
      <c r="FO76" s="55">
        <f t="shared" si="235"/>
        <v>4451.8448010000002</v>
      </c>
      <c r="FP76" s="55">
        <f t="shared" si="235"/>
        <v>4249.9091867999996</v>
      </c>
      <c r="FR76" s="52"/>
      <c r="FS76" s="52"/>
      <c r="FT76" s="52"/>
      <c r="FU76" s="55">
        <f t="shared" si="236"/>
        <v>43206.154999999999</v>
      </c>
      <c r="FV76" s="55">
        <f t="shared" si="236"/>
        <v>15871.2925</v>
      </c>
      <c r="FW76" s="55">
        <f t="shared" si="236"/>
        <v>767.93099200000006</v>
      </c>
      <c r="FX76" s="55">
        <f t="shared" si="236"/>
        <v>833.61819319999995</v>
      </c>
      <c r="FY76" s="298">
        <f t="shared" si="237"/>
        <v>0.73134769405871847</v>
      </c>
      <c r="FZ76" s="52"/>
      <c r="GA76" s="55">
        <f t="shared" si="238"/>
        <v>767.93099200000006</v>
      </c>
      <c r="GB76" s="55">
        <f t="shared" si="238"/>
        <v>833.61819319999995</v>
      </c>
      <c r="GC76" s="55">
        <f t="shared" si="238"/>
        <v>767.93099200000006</v>
      </c>
      <c r="GD76" s="55">
        <f t="shared" si="238"/>
        <v>833.61819319999995</v>
      </c>
      <c r="GF76" s="52"/>
      <c r="GG76" s="52"/>
      <c r="GH76" s="52"/>
      <c r="GI76" s="55">
        <f t="shared" si="239"/>
        <v>22037.547500000001</v>
      </c>
      <c r="GJ76" s="55">
        <f t="shared" si="239"/>
        <v>8481.8975000000009</v>
      </c>
      <c r="GK76" s="56">
        <f t="shared" si="240"/>
        <v>573.76653299999987</v>
      </c>
      <c r="GL76" s="56">
        <f t="shared" si="240"/>
        <v>552.57953625000005</v>
      </c>
      <c r="GM76" s="298">
        <f t="shared" si="241"/>
        <v>0.72208218399777591</v>
      </c>
      <c r="GN76" s="52"/>
      <c r="GO76" s="56">
        <f t="shared" si="242"/>
        <v>573.76653299999987</v>
      </c>
      <c r="GP76" s="56">
        <f t="shared" si="242"/>
        <v>552.57953625000005</v>
      </c>
      <c r="GQ76" s="56">
        <f t="shared" si="242"/>
        <v>573.76653299999987</v>
      </c>
      <c r="GR76" s="56">
        <f t="shared" si="242"/>
        <v>552.57953625000005</v>
      </c>
      <c r="GW76" s="275">
        <v>3.5051999999999999</v>
      </c>
      <c r="GX76" s="275">
        <v>1.8287</v>
      </c>
      <c r="GY76" s="275">
        <v>0</v>
      </c>
      <c r="GZ76" s="275">
        <v>1677.1949999999999</v>
      </c>
      <c r="HA76" s="275">
        <v>717.10500000000002</v>
      </c>
      <c r="HB76" s="49">
        <f t="shared" si="243"/>
        <v>2302.180308</v>
      </c>
      <c r="HC76" s="49">
        <f t="shared" si="244"/>
        <v>2483.0271469999998</v>
      </c>
      <c r="HD76" s="47">
        <f t="shared" si="245"/>
        <v>0</v>
      </c>
      <c r="HE76" s="47">
        <f t="shared" si="298"/>
        <v>0</v>
      </c>
      <c r="HF76" s="48">
        <f t="shared" si="299"/>
        <v>2302.180308</v>
      </c>
      <c r="HG76" s="48">
        <f t="shared" si="300"/>
        <v>2483.0271469999998</v>
      </c>
      <c r="HH76" s="93">
        <f t="shared" si="301"/>
        <v>2302.180308</v>
      </c>
      <c r="HI76" s="93">
        <f t="shared" si="302"/>
        <v>2483.0271469999998</v>
      </c>
      <c r="HJ76" s="298">
        <f t="shared" si="246"/>
        <v>0.70049492544793879</v>
      </c>
      <c r="HL76" s="275">
        <v>4.4375</v>
      </c>
      <c r="HM76" s="275">
        <v>3.3025000000000002</v>
      </c>
      <c r="HN76" s="275">
        <v>0</v>
      </c>
      <c r="HO76" s="275">
        <v>597.23</v>
      </c>
      <c r="HP76" s="275">
        <v>173.66669999999999</v>
      </c>
      <c r="HQ76" s="49">
        <f t="shared" si="247"/>
        <v>2359.1968750000001</v>
      </c>
      <c r="HR76" s="49">
        <f t="shared" si="248"/>
        <v>2561.187825</v>
      </c>
      <c r="HS76" s="47">
        <f t="shared" si="249"/>
        <v>0</v>
      </c>
      <c r="HT76" s="47">
        <f t="shared" si="303"/>
        <v>0</v>
      </c>
      <c r="HU76" s="48">
        <f t="shared" si="304"/>
        <v>2359.1968750000001</v>
      </c>
      <c r="HV76" s="48">
        <f t="shared" si="305"/>
        <v>2561.187825</v>
      </c>
      <c r="HW76" s="93">
        <f t="shared" si="306"/>
        <v>2359.1968750000001</v>
      </c>
      <c r="HX76" s="93">
        <f t="shared" si="307"/>
        <v>2561.187825</v>
      </c>
      <c r="HY76" s="298">
        <f t="shared" si="250"/>
        <v>0.77472117859630218</v>
      </c>
    </row>
    <row r="77" spans="1:233" s="131" customFormat="1" x14ac:dyDescent="0.2">
      <c r="A77" s="118">
        <v>67</v>
      </c>
      <c r="B77" s="118"/>
      <c r="C77" s="275">
        <v>3.1815000000000002</v>
      </c>
      <c r="D77" s="275">
        <v>1.6571</v>
      </c>
      <c r="E77" s="275">
        <v>0</v>
      </c>
      <c r="F77" s="275">
        <v>11414.334999999999</v>
      </c>
      <c r="G77" s="275">
        <v>4343.9291999999996</v>
      </c>
      <c r="H77" s="49">
        <f t="shared" si="218"/>
        <v>3146.6625750000003</v>
      </c>
      <c r="I77" s="49">
        <f t="shared" si="218"/>
        <v>2985.7959219999998</v>
      </c>
      <c r="J77" s="47">
        <f t="shared" si="218"/>
        <v>0</v>
      </c>
      <c r="K77" s="47">
        <f t="shared" si="251"/>
        <v>0</v>
      </c>
      <c r="L77" s="48">
        <f t="shared" si="252"/>
        <v>3146.6625750000003</v>
      </c>
      <c r="M77" s="48">
        <f t="shared" si="253"/>
        <v>2985.7959219999998</v>
      </c>
      <c r="N77" s="93">
        <f t="shared" si="254"/>
        <v>3146.6625750000003</v>
      </c>
      <c r="O77" s="93">
        <f t="shared" si="255"/>
        <v>2985.7959219999998</v>
      </c>
      <c r="P77" s="298">
        <f t="shared" si="219"/>
        <v>0.72433961349626319</v>
      </c>
      <c r="Q77" s="275">
        <v>4.1829999999999998</v>
      </c>
      <c r="R77" s="275">
        <v>2.3026</v>
      </c>
      <c r="S77" s="275">
        <v>0</v>
      </c>
      <c r="T77" s="275">
        <v>4092.625</v>
      </c>
      <c r="U77" s="275">
        <v>1478.0108</v>
      </c>
      <c r="V77" s="49">
        <f t="shared" si="220"/>
        <v>2564.13717</v>
      </c>
      <c r="W77" s="49">
        <f t="shared" si="220"/>
        <v>2672.5357160000003</v>
      </c>
      <c r="X77" s="47">
        <f t="shared" si="220"/>
        <v>0</v>
      </c>
      <c r="Y77" s="47">
        <f t="shared" si="256"/>
        <v>0</v>
      </c>
      <c r="Z77" s="48">
        <f t="shared" si="257"/>
        <v>2564.13717</v>
      </c>
      <c r="AA77" s="48">
        <f t="shared" si="258"/>
        <v>2672.5357160000003</v>
      </c>
      <c r="AB77" s="93">
        <f t="shared" si="259"/>
        <v>2564.13717</v>
      </c>
      <c r="AC77" s="93">
        <f t="shared" si="260"/>
        <v>2672.5357160000003</v>
      </c>
      <c r="AD77" s="118"/>
      <c r="AE77" s="275">
        <v>5.7630999999999997</v>
      </c>
      <c r="AF77" s="275">
        <v>2.5926999999999998</v>
      </c>
      <c r="AG77" s="275">
        <v>0</v>
      </c>
      <c r="AH77" s="275">
        <v>288.44580000000002</v>
      </c>
      <c r="AI77" s="275">
        <v>102.30419999999999</v>
      </c>
      <c r="AJ77" s="49">
        <f t="shared" si="221"/>
        <v>2702.1446969999997</v>
      </c>
      <c r="AK77" s="49">
        <f t="shared" si="221"/>
        <v>2947.3295059999996</v>
      </c>
      <c r="AL77" s="47">
        <f t="shared" si="221"/>
        <v>0</v>
      </c>
      <c r="AM77" s="47">
        <f t="shared" si="261"/>
        <v>0</v>
      </c>
      <c r="AN77" s="48">
        <f t="shared" si="262"/>
        <v>2702.1446969999997</v>
      </c>
      <c r="AO77" s="48">
        <f t="shared" si="263"/>
        <v>2947.3295059999996</v>
      </c>
      <c r="AP77" s="93">
        <f t="shared" si="264"/>
        <v>2702.1446969999997</v>
      </c>
      <c r="AQ77" s="93">
        <f t="shared" si="265"/>
        <v>2947.3295059999996</v>
      </c>
      <c r="AR77" s="118"/>
      <c r="AS77" s="275">
        <v>6.6544999999999996</v>
      </c>
      <c r="AT77" s="275">
        <v>2.4390000000000001</v>
      </c>
      <c r="AU77" s="275">
        <v>0</v>
      </c>
      <c r="AV77" s="275">
        <v>11941.6792</v>
      </c>
      <c r="AW77" s="275">
        <v>4481.3424999999997</v>
      </c>
      <c r="AX77" s="49">
        <f t="shared" si="222"/>
        <v>2318.7605249999997</v>
      </c>
      <c r="AY77" s="49">
        <f t="shared" si="222"/>
        <v>1706.9829300000001</v>
      </c>
      <c r="AZ77" s="47">
        <f t="shared" si="222"/>
        <v>0</v>
      </c>
      <c r="BA77" s="47">
        <f t="shared" si="266"/>
        <v>0</v>
      </c>
      <c r="BB77" s="48">
        <f t="shared" si="267"/>
        <v>2318.7605249999997</v>
      </c>
      <c r="BC77" s="48">
        <f t="shared" si="268"/>
        <v>1706.9829300000001</v>
      </c>
      <c r="BD77" s="93">
        <f t="shared" si="269"/>
        <v>2318.7605249999997</v>
      </c>
      <c r="BE77" s="93">
        <f t="shared" si="270"/>
        <v>1706.9829300000001</v>
      </c>
      <c r="BF77" s="118"/>
      <c r="BG77" s="275">
        <v>6.5164999999999997</v>
      </c>
      <c r="BH77" s="275">
        <v>2.7726000000000002</v>
      </c>
      <c r="BI77" s="275">
        <v>0</v>
      </c>
      <c r="BJ77" s="275">
        <v>7637.2857999999997</v>
      </c>
      <c r="BK77" s="275">
        <v>2776.4133000000002</v>
      </c>
      <c r="BL77" s="49">
        <f t="shared" si="223"/>
        <v>2204.0106300000002</v>
      </c>
      <c r="BM77" s="49">
        <f t="shared" si="223"/>
        <v>1659.2901960000002</v>
      </c>
      <c r="BN77" s="47">
        <f t="shared" si="223"/>
        <v>0</v>
      </c>
      <c r="BO77" s="47">
        <f t="shared" si="271"/>
        <v>0</v>
      </c>
      <c r="BP77" s="48">
        <f t="shared" si="272"/>
        <v>2204.0106300000002</v>
      </c>
      <c r="BQ77" s="48">
        <f t="shared" si="273"/>
        <v>1659.2901960000002</v>
      </c>
      <c r="BR77" s="93">
        <f t="shared" si="274"/>
        <v>2204.0106300000002</v>
      </c>
      <c r="BS77" s="93">
        <f t="shared" si="275"/>
        <v>1659.2901960000002</v>
      </c>
      <c r="BT77" s="118"/>
      <c r="BU77" s="275">
        <v>6.3846999999999996</v>
      </c>
      <c r="BV77" s="275">
        <v>2.5684</v>
      </c>
      <c r="BW77" s="275">
        <v>0</v>
      </c>
      <c r="BX77" s="275">
        <v>7951.0474999999997</v>
      </c>
      <c r="BY77" s="275">
        <v>2999.3375000000001</v>
      </c>
      <c r="BZ77" s="49">
        <f t="shared" si="224"/>
        <v>1501.2983579999998</v>
      </c>
      <c r="CA77" s="49">
        <f t="shared" si="224"/>
        <v>923.41685199999995</v>
      </c>
      <c r="CB77" s="47">
        <f t="shared" si="224"/>
        <v>0</v>
      </c>
      <c r="CC77" s="47">
        <f t="shared" si="276"/>
        <v>0</v>
      </c>
      <c r="CD77" s="48">
        <f t="shared" si="277"/>
        <v>1501.2983579999998</v>
      </c>
      <c r="CE77" s="48">
        <f t="shared" si="278"/>
        <v>923.41685199999995</v>
      </c>
      <c r="CF77" s="93">
        <f t="shared" si="279"/>
        <v>1501.2983579999998</v>
      </c>
      <c r="CG77" s="93">
        <f t="shared" si="280"/>
        <v>923.41685199999995</v>
      </c>
      <c r="CH77" s="118"/>
      <c r="CI77" s="275">
        <v>1.3812</v>
      </c>
      <c r="CJ77" s="275">
        <v>1.1735</v>
      </c>
      <c r="CK77" s="275">
        <v>0</v>
      </c>
      <c r="CL77" s="275">
        <v>27540.529200000001</v>
      </c>
      <c r="CM77" s="275">
        <v>10097.7425</v>
      </c>
      <c r="CN77" s="49">
        <f t="shared" si="225"/>
        <v>285.07968</v>
      </c>
      <c r="CO77" s="49">
        <f t="shared" si="225"/>
        <v>314.28676999999999</v>
      </c>
      <c r="CP77" s="47">
        <f t="shared" si="225"/>
        <v>0</v>
      </c>
      <c r="CQ77" s="47">
        <f t="shared" si="281"/>
        <v>0</v>
      </c>
      <c r="CR77" s="48">
        <f t="shared" si="282"/>
        <v>285.07968</v>
      </c>
      <c r="CS77" s="48">
        <f t="shared" si="283"/>
        <v>314.28676999999999</v>
      </c>
      <c r="CT77" s="93">
        <f t="shared" si="284"/>
        <v>285.07968</v>
      </c>
      <c r="CU77" s="93">
        <f t="shared" si="285"/>
        <v>314.28676999999999</v>
      </c>
      <c r="CV77" s="118"/>
      <c r="CW77" s="275">
        <v>2.9601999999999999</v>
      </c>
      <c r="CX77" s="275">
        <v>2.3412000000000002</v>
      </c>
      <c r="CY77" s="275">
        <v>0</v>
      </c>
      <c r="CZ77" s="275">
        <v>11213.896699999999</v>
      </c>
      <c r="DA77" s="275">
        <v>4187.5357999999997</v>
      </c>
      <c r="DB77" s="49">
        <f t="shared" si="226"/>
        <v>614.50791800000002</v>
      </c>
      <c r="DC77" s="49">
        <f t="shared" si="226"/>
        <v>659.07121200000006</v>
      </c>
      <c r="DD77" s="47">
        <f t="shared" si="226"/>
        <v>0</v>
      </c>
      <c r="DE77" s="47">
        <f t="shared" si="286"/>
        <v>0</v>
      </c>
      <c r="DF77" s="48">
        <f t="shared" si="287"/>
        <v>614.50791800000002</v>
      </c>
      <c r="DG77" s="48">
        <f t="shared" si="288"/>
        <v>659.07121200000006</v>
      </c>
      <c r="DH77" s="93">
        <f t="shared" si="289"/>
        <v>614.50791800000002</v>
      </c>
      <c r="DI77" s="93">
        <f t="shared" si="290"/>
        <v>659.07121200000006</v>
      </c>
      <c r="DJ77" s="118"/>
      <c r="DK77" s="275">
        <v>2.6086999999999998</v>
      </c>
      <c r="DL77" s="275">
        <v>2.1352000000000002</v>
      </c>
      <c r="DM77" s="275">
        <v>0</v>
      </c>
      <c r="DN77" s="275">
        <v>4326.3558000000003</v>
      </c>
      <c r="DO77" s="275">
        <v>1786.6832999999999</v>
      </c>
      <c r="DP77" s="49">
        <f t="shared" si="227"/>
        <v>355.409288</v>
      </c>
      <c r="DQ77" s="49">
        <f t="shared" si="227"/>
        <v>421.29631200000006</v>
      </c>
      <c r="DR77" s="47">
        <f t="shared" si="227"/>
        <v>0</v>
      </c>
      <c r="DS77" s="47">
        <f t="shared" si="291"/>
        <v>0</v>
      </c>
      <c r="DT77" s="48">
        <f t="shared" si="292"/>
        <v>355.409288</v>
      </c>
      <c r="DU77" s="48">
        <f t="shared" si="293"/>
        <v>421.29631200000006</v>
      </c>
      <c r="DV77" s="93">
        <f t="shared" si="294"/>
        <v>355.409288</v>
      </c>
      <c r="DW77" s="93">
        <f t="shared" si="295"/>
        <v>421.29631200000006</v>
      </c>
      <c r="DX77" s="118"/>
      <c r="DY77" s="118"/>
      <c r="DZ77" s="118"/>
      <c r="EB77" s="52"/>
      <c r="EC77" s="52"/>
      <c r="ED77" s="52"/>
      <c r="EE77" s="55">
        <f t="shared" si="296"/>
        <v>62110.440099999993</v>
      </c>
      <c r="EF77" s="55">
        <f t="shared" si="296"/>
        <v>23110.549999999996</v>
      </c>
      <c r="EG77" s="55">
        <f t="shared" si="296"/>
        <v>6242.1091144000002</v>
      </c>
      <c r="EH77" s="55">
        <f t="shared" si="228"/>
        <v>5534.3225915999992</v>
      </c>
      <c r="EI77" s="298">
        <f t="shared" si="229"/>
        <v>0.72881622270661695</v>
      </c>
      <c r="EJ77" s="52"/>
      <c r="EK77" s="55">
        <f t="shared" si="297"/>
        <v>6242.1091144000002</v>
      </c>
      <c r="EL77" s="55">
        <f t="shared" si="297"/>
        <v>5534.3225915999992</v>
      </c>
      <c r="EM77" s="55">
        <f t="shared" si="297"/>
        <v>6242.1091144000002</v>
      </c>
      <c r="EN77" s="55">
        <f t="shared" si="297"/>
        <v>5534.3225915999992</v>
      </c>
      <c r="EP77" s="52"/>
      <c r="EQ77" s="52"/>
      <c r="ER77" s="52"/>
      <c r="ES77" s="55">
        <f t="shared" si="230"/>
        <v>50484.3367</v>
      </c>
      <c r="ET77" s="55">
        <f t="shared" si="230"/>
        <v>18539.702400000002</v>
      </c>
      <c r="EU77" s="55">
        <f t="shared" si="230"/>
        <v>5483.3830226000009</v>
      </c>
      <c r="EV77" s="55">
        <f t="shared" si="230"/>
        <v>5107.4625304000001</v>
      </c>
      <c r="EW77" s="298">
        <f t="shared" si="231"/>
        <v>0.73140223838335194</v>
      </c>
      <c r="EX77" s="52"/>
      <c r="EY77" s="55">
        <f t="shared" si="232"/>
        <v>5483.3830226000009</v>
      </c>
      <c r="EZ77" s="55">
        <f t="shared" si="232"/>
        <v>5107.4625304000001</v>
      </c>
      <c r="FA77" s="55">
        <f t="shared" si="232"/>
        <v>5483.3830226000009</v>
      </c>
      <c r="FB77" s="55">
        <f t="shared" si="232"/>
        <v>5107.4625304000001</v>
      </c>
      <c r="FD77" s="52"/>
      <c r="FE77" s="52"/>
      <c r="FF77" s="52"/>
      <c r="FG77" s="55">
        <f t="shared" si="233"/>
        <v>40106.378299999997</v>
      </c>
      <c r="FH77" s="55">
        <f t="shared" si="233"/>
        <v>14986.067500000001</v>
      </c>
      <c r="FI77" s="55">
        <f t="shared" si="233"/>
        <v>4701.7683077999991</v>
      </c>
      <c r="FJ77" s="55">
        <f t="shared" si="233"/>
        <v>4437.8109151999988</v>
      </c>
      <c r="FK77" s="298">
        <f t="shared" si="234"/>
        <v>0.72798326009334646</v>
      </c>
      <c r="FL77" s="52"/>
      <c r="FM77" s="55">
        <f t="shared" si="235"/>
        <v>4701.7683077999991</v>
      </c>
      <c r="FN77" s="55">
        <f t="shared" si="235"/>
        <v>4437.8109151999988</v>
      </c>
      <c r="FO77" s="55">
        <f t="shared" si="235"/>
        <v>4701.7683077999991</v>
      </c>
      <c r="FP77" s="55">
        <f t="shared" si="235"/>
        <v>4437.8109151999988</v>
      </c>
      <c r="FR77" s="52"/>
      <c r="FS77" s="52"/>
      <c r="FT77" s="52"/>
      <c r="FU77" s="55">
        <f t="shared" si="236"/>
        <v>38754.425900000002</v>
      </c>
      <c r="FV77" s="55">
        <f t="shared" si="236"/>
        <v>14285.2783</v>
      </c>
      <c r="FW77" s="55">
        <f t="shared" si="236"/>
        <v>776.68601439999998</v>
      </c>
      <c r="FX77" s="55">
        <f t="shared" si="236"/>
        <v>841.54373959999998</v>
      </c>
      <c r="FY77" s="298">
        <f t="shared" si="237"/>
        <v>0.73066821326654385</v>
      </c>
      <c r="FZ77" s="52"/>
      <c r="GA77" s="55">
        <f t="shared" si="238"/>
        <v>776.68601439999998</v>
      </c>
      <c r="GB77" s="55">
        <f t="shared" si="238"/>
        <v>841.54373959999998</v>
      </c>
      <c r="GC77" s="55">
        <f t="shared" si="238"/>
        <v>776.68601439999998</v>
      </c>
      <c r="GD77" s="55">
        <f t="shared" si="238"/>
        <v>841.54373959999998</v>
      </c>
      <c r="GF77" s="52"/>
      <c r="GG77" s="52"/>
      <c r="GH77" s="52"/>
      <c r="GI77" s="55">
        <f t="shared" si="239"/>
        <v>19892.726699999999</v>
      </c>
      <c r="GJ77" s="55">
        <f t="shared" si="239"/>
        <v>7480.68</v>
      </c>
      <c r="GK77" s="56">
        <f t="shared" si="240"/>
        <v>613.09662524999999</v>
      </c>
      <c r="GL77" s="56">
        <f t="shared" si="240"/>
        <v>587.6745585000001</v>
      </c>
      <c r="GM77" s="298">
        <f t="shared" si="241"/>
        <v>0.72671724487986367</v>
      </c>
      <c r="GN77" s="52"/>
      <c r="GO77" s="56">
        <f t="shared" si="242"/>
        <v>613.09662524999999</v>
      </c>
      <c r="GP77" s="56">
        <f t="shared" si="242"/>
        <v>587.6745585000001</v>
      </c>
      <c r="GQ77" s="56">
        <f t="shared" si="242"/>
        <v>613.09662524999999</v>
      </c>
      <c r="GR77" s="56">
        <f t="shared" si="242"/>
        <v>587.6745585000001</v>
      </c>
      <c r="GW77" s="275">
        <v>3.6831999999999998</v>
      </c>
      <c r="GX77" s="275">
        <v>1.9278999999999999</v>
      </c>
      <c r="GY77" s="275">
        <v>0</v>
      </c>
      <c r="GZ77" s="275">
        <v>1635.4075</v>
      </c>
      <c r="HA77" s="275">
        <v>683.76250000000005</v>
      </c>
      <c r="HB77" s="49">
        <f t="shared" si="243"/>
        <v>2419.0889279999997</v>
      </c>
      <c r="HC77" s="49">
        <f t="shared" si="244"/>
        <v>2617.7218989999997</v>
      </c>
      <c r="HD77" s="47">
        <f t="shared" si="245"/>
        <v>0</v>
      </c>
      <c r="HE77" s="47">
        <f t="shared" si="298"/>
        <v>0</v>
      </c>
      <c r="HF77" s="48">
        <f t="shared" si="299"/>
        <v>2419.0889279999997</v>
      </c>
      <c r="HG77" s="48">
        <f t="shared" si="300"/>
        <v>2617.7218989999997</v>
      </c>
      <c r="HH77" s="93">
        <f t="shared" si="301"/>
        <v>2419.0889279999997</v>
      </c>
      <c r="HI77" s="93">
        <f t="shared" si="302"/>
        <v>2617.7218989999997</v>
      </c>
      <c r="HJ77" s="298">
        <f t="shared" si="246"/>
        <v>0.7051693062604294</v>
      </c>
      <c r="HL77" s="275">
        <v>4.7335000000000003</v>
      </c>
      <c r="HM77" s="275">
        <v>3.5325000000000002</v>
      </c>
      <c r="HN77" s="275">
        <v>0</v>
      </c>
      <c r="HO77" s="275">
        <v>560.88499999999999</v>
      </c>
      <c r="HP77" s="275">
        <v>170.24170000000001</v>
      </c>
      <c r="HQ77" s="49">
        <f t="shared" si="247"/>
        <v>2516.5652749999999</v>
      </c>
      <c r="HR77" s="49">
        <f t="shared" si="248"/>
        <v>2739.5597250000001</v>
      </c>
      <c r="HS77" s="47">
        <f t="shared" si="249"/>
        <v>0</v>
      </c>
      <c r="HT77" s="47">
        <f t="shared" si="303"/>
        <v>0</v>
      </c>
      <c r="HU77" s="48">
        <f t="shared" si="304"/>
        <v>2516.5652749999999</v>
      </c>
      <c r="HV77" s="48">
        <f t="shared" si="305"/>
        <v>2739.5597250000001</v>
      </c>
      <c r="HW77" s="93">
        <f t="shared" si="306"/>
        <v>2516.5652749999999</v>
      </c>
      <c r="HX77" s="93">
        <f t="shared" si="307"/>
        <v>2739.5597250000001</v>
      </c>
      <c r="HY77" s="298">
        <f t="shared" si="250"/>
        <v>0.76715157578023063</v>
      </c>
    </row>
    <row r="78" spans="1:233" s="131" customFormat="1" x14ac:dyDescent="0.2">
      <c r="A78" s="118">
        <v>68</v>
      </c>
      <c r="B78" s="118"/>
      <c r="C78" s="275">
        <v>3.3344999999999998</v>
      </c>
      <c r="D78" s="275">
        <v>1.7201</v>
      </c>
      <c r="E78" s="275">
        <v>0</v>
      </c>
      <c r="F78" s="275">
        <v>10133.25</v>
      </c>
      <c r="G78" s="275">
        <v>3975.7091999999998</v>
      </c>
      <c r="H78" s="49">
        <f t="shared" si="218"/>
        <v>3297.9872249999999</v>
      </c>
      <c r="I78" s="49">
        <f t="shared" si="218"/>
        <v>3099.3105819999996</v>
      </c>
      <c r="J78" s="47">
        <f t="shared" si="218"/>
        <v>0</v>
      </c>
      <c r="K78" s="47">
        <f t="shared" si="251"/>
        <v>0</v>
      </c>
      <c r="L78" s="48">
        <f t="shared" si="252"/>
        <v>3297.9872249999999</v>
      </c>
      <c r="M78" s="48">
        <f t="shared" si="253"/>
        <v>3099.3105819999996</v>
      </c>
      <c r="N78" s="93">
        <f t="shared" si="254"/>
        <v>3297.9872249999999</v>
      </c>
      <c r="O78" s="93">
        <f t="shared" si="255"/>
        <v>3099.3105819999996</v>
      </c>
      <c r="P78" s="298">
        <f t="shared" si="219"/>
        <v>0.71821385662522863</v>
      </c>
      <c r="Q78" s="275">
        <v>4.4267000000000003</v>
      </c>
      <c r="R78" s="275">
        <v>2.4102000000000001</v>
      </c>
      <c r="S78" s="275">
        <v>0</v>
      </c>
      <c r="T78" s="275">
        <v>3553.3208</v>
      </c>
      <c r="U78" s="275">
        <v>1406.7967000000001</v>
      </c>
      <c r="V78" s="49">
        <f t="shared" si="220"/>
        <v>2713.5228330000004</v>
      </c>
      <c r="W78" s="49">
        <f t="shared" si="220"/>
        <v>2797.4227320000005</v>
      </c>
      <c r="X78" s="47">
        <f t="shared" si="220"/>
        <v>0</v>
      </c>
      <c r="Y78" s="47">
        <f t="shared" si="256"/>
        <v>0</v>
      </c>
      <c r="Z78" s="48">
        <f t="shared" si="257"/>
        <v>2713.5228330000004</v>
      </c>
      <c r="AA78" s="48">
        <f t="shared" si="258"/>
        <v>2797.4227320000005</v>
      </c>
      <c r="AB78" s="93">
        <f t="shared" si="259"/>
        <v>2713.5228330000004</v>
      </c>
      <c r="AC78" s="93">
        <f t="shared" si="260"/>
        <v>2797.4227320000005</v>
      </c>
      <c r="AD78" s="118"/>
      <c r="AE78" s="275">
        <v>6.0548000000000002</v>
      </c>
      <c r="AF78" s="275">
        <v>2.6907999999999999</v>
      </c>
      <c r="AG78" s="275">
        <v>0</v>
      </c>
      <c r="AH78" s="275">
        <v>263.99419999999998</v>
      </c>
      <c r="AI78" s="275">
        <v>97.583299999999994</v>
      </c>
      <c r="AJ78" s="49">
        <f t="shared" si="221"/>
        <v>2838.914076</v>
      </c>
      <c r="AK78" s="49">
        <f t="shared" si="221"/>
        <v>3058.8476239999995</v>
      </c>
      <c r="AL78" s="47">
        <f t="shared" si="221"/>
        <v>0</v>
      </c>
      <c r="AM78" s="47">
        <f t="shared" si="261"/>
        <v>0</v>
      </c>
      <c r="AN78" s="48">
        <f t="shared" si="262"/>
        <v>2838.914076</v>
      </c>
      <c r="AO78" s="48">
        <f t="shared" si="263"/>
        <v>3058.8476239999995</v>
      </c>
      <c r="AP78" s="93">
        <f t="shared" si="264"/>
        <v>2838.914076</v>
      </c>
      <c r="AQ78" s="93">
        <f t="shared" si="265"/>
        <v>3058.8476239999995</v>
      </c>
      <c r="AR78" s="118"/>
      <c r="AS78" s="275">
        <v>7.1239999999999997</v>
      </c>
      <c r="AT78" s="275">
        <v>2.6153</v>
      </c>
      <c r="AU78" s="275">
        <v>0</v>
      </c>
      <c r="AV78" s="275">
        <v>10687.068300000001</v>
      </c>
      <c r="AW78" s="275">
        <v>4172.4467000000004</v>
      </c>
      <c r="AX78" s="49">
        <f t="shared" si="222"/>
        <v>2482.3577999999998</v>
      </c>
      <c r="AY78" s="49">
        <f t="shared" si="222"/>
        <v>1830.370011</v>
      </c>
      <c r="AZ78" s="47">
        <f t="shared" si="222"/>
        <v>0</v>
      </c>
      <c r="BA78" s="47">
        <f t="shared" si="266"/>
        <v>0</v>
      </c>
      <c r="BB78" s="48">
        <f t="shared" si="267"/>
        <v>2482.3577999999998</v>
      </c>
      <c r="BC78" s="48">
        <f t="shared" si="268"/>
        <v>1830.370011</v>
      </c>
      <c r="BD78" s="93">
        <f t="shared" si="269"/>
        <v>2482.3577999999998</v>
      </c>
      <c r="BE78" s="93">
        <f t="shared" si="270"/>
        <v>1830.370011</v>
      </c>
      <c r="BF78" s="118"/>
      <c r="BG78" s="275">
        <v>6.9702000000000002</v>
      </c>
      <c r="BH78" s="275">
        <v>2.9870000000000001</v>
      </c>
      <c r="BI78" s="275">
        <v>0</v>
      </c>
      <c r="BJ78" s="275">
        <v>6851.0016999999998</v>
      </c>
      <c r="BK78" s="275">
        <v>2523.5717</v>
      </c>
      <c r="BL78" s="49">
        <f t="shared" si="223"/>
        <v>2357.4610440000001</v>
      </c>
      <c r="BM78" s="49">
        <f t="shared" si="223"/>
        <v>1787.6000200000001</v>
      </c>
      <c r="BN78" s="47">
        <f t="shared" si="223"/>
        <v>0</v>
      </c>
      <c r="BO78" s="47">
        <f t="shared" si="271"/>
        <v>0</v>
      </c>
      <c r="BP78" s="48">
        <f t="shared" si="272"/>
        <v>2357.4610440000001</v>
      </c>
      <c r="BQ78" s="48">
        <f t="shared" si="273"/>
        <v>1787.6000200000001</v>
      </c>
      <c r="BR78" s="93">
        <f t="shared" si="274"/>
        <v>2357.4610440000001</v>
      </c>
      <c r="BS78" s="93">
        <f t="shared" si="275"/>
        <v>1787.6000200000001</v>
      </c>
      <c r="BT78" s="118"/>
      <c r="BU78" s="275">
        <v>6.8636999999999997</v>
      </c>
      <c r="BV78" s="275">
        <v>2.7915000000000001</v>
      </c>
      <c r="BW78" s="275">
        <v>0</v>
      </c>
      <c r="BX78" s="275">
        <v>7063.6558000000005</v>
      </c>
      <c r="BY78" s="275">
        <v>2673.6808000000001</v>
      </c>
      <c r="BZ78" s="49">
        <f t="shared" si="224"/>
        <v>1613.9304179999999</v>
      </c>
      <c r="CA78" s="49">
        <f t="shared" si="224"/>
        <v>1003.6279949999999</v>
      </c>
      <c r="CB78" s="47">
        <f t="shared" si="224"/>
        <v>0</v>
      </c>
      <c r="CC78" s="47">
        <f t="shared" si="276"/>
        <v>0</v>
      </c>
      <c r="CD78" s="48">
        <f t="shared" si="277"/>
        <v>1613.9304179999999</v>
      </c>
      <c r="CE78" s="48">
        <f t="shared" si="278"/>
        <v>1003.6279949999999</v>
      </c>
      <c r="CF78" s="93">
        <f t="shared" si="279"/>
        <v>1613.9304179999999</v>
      </c>
      <c r="CG78" s="93">
        <f t="shared" si="280"/>
        <v>1003.6279949999999</v>
      </c>
      <c r="CH78" s="118"/>
      <c r="CI78" s="275">
        <v>1.3958999999999999</v>
      </c>
      <c r="CJ78" s="275">
        <v>1.1832</v>
      </c>
      <c r="CK78" s="275">
        <v>0</v>
      </c>
      <c r="CL78" s="275">
        <v>24612.853299999999</v>
      </c>
      <c r="CM78" s="275">
        <v>9190.4750000000004</v>
      </c>
      <c r="CN78" s="49">
        <f t="shared" si="225"/>
        <v>288.11376000000001</v>
      </c>
      <c r="CO78" s="49">
        <f t="shared" si="225"/>
        <v>316.88462399999997</v>
      </c>
      <c r="CP78" s="47">
        <f t="shared" si="225"/>
        <v>0</v>
      </c>
      <c r="CQ78" s="47">
        <f t="shared" si="281"/>
        <v>0</v>
      </c>
      <c r="CR78" s="48">
        <f t="shared" si="282"/>
        <v>288.11376000000001</v>
      </c>
      <c r="CS78" s="48">
        <f t="shared" si="283"/>
        <v>316.88462399999997</v>
      </c>
      <c r="CT78" s="93">
        <f t="shared" si="284"/>
        <v>288.11376000000001</v>
      </c>
      <c r="CU78" s="93">
        <f t="shared" si="285"/>
        <v>316.88462399999997</v>
      </c>
      <c r="CV78" s="118"/>
      <c r="CW78" s="275">
        <v>2.9851000000000001</v>
      </c>
      <c r="CX78" s="275">
        <v>2.3611</v>
      </c>
      <c r="CY78" s="275">
        <v>0</v>
      </c>
      <c r="CZ78" s="275">
        <v>10025.950000000001</v>
      </c>
      <c r="DA78" s="275">
        <v>3808.3182999999999</v>
      </c>
      <c r="DB78" s="49">
        <f t="shared" si="226"/>
        <v>619.67690900000002</v>
      </c>
      <c r="DC78" s="49">
        <f t="shared" si="226"/>
        <v>664.67326100000002</v>
      </c>
      <c r="DD78" s="47">
        <f t="shared" si="226"/>
        <v>0</v>
      </c>
      <c r="DE78" s="47">
        <f t="shared" si="286"/>
        <v>0</v>
      </c>
      <c r="DF78" s="48">
        <f t="shared" si="287"/>
        <v>619.67690900000002</v>
      </c>
      <c r="DG78" s="48">
        <f t="shared" si="288"/>
        <v>664.67326100000002</v>
      </c>
      <c r="DH78" s="93">
        <f t="shared" si="289"/>
        <v>619.67690900000002</v>
      </c>
      <c r="DI78" s="93">
        <f t="shared" si="290"/>
        <v>664.67326100000002</v>
      </c>
      <c r="DJ78" s="118"/>
      <c r="DK78" s="275">
        <v>2.6417000000000002</v>
      </c>
      <c r="DL78" s="275">
        <v>2.1833</v>
      </c>
      <c r="DM78" s="275">
        <v>0</v>
      </c>
      <c r="DN78" s="275">
        <v>3896.83</v>
      </c>
      <c r="DO78" s="275">
        <v>1653.1075000000001</v>
      </c>
      <c r="DP78" s="49">
        <f t="shared" si="227"/>
        <v>359.90520800000007</v>
      </c>
      <c r="DQ78" s="49">
        <f t="shared" si="227"/>
        <v>430.786923</v>
      </c>
      <c r="DR78" s="47">
        <f t="shared" si="227"/>
        <v>0</v>
      </c>
      <c r="DS78" s="47">
        <f t="shared" si="291"/>
        <v>0</v>
      </c>
      <c r="DT78" s="48">
        <f t="shared" si="292"/>
        <v>359.90520800000007</v>
      </c>
      <c r="DU78" s="48">
        <f t="shared" si="293"/>
        <v>430.786923</v>
      </c>
      <c r="DV78" s="93">
        <f t="shared" si="294"/>
        <v>359.90520800000007</v>
      </c>
      <c r="DW78" s="93">
        <f t="shared" si="295"/>
        <v>430.786923</v>
      </c>
      <c r="DX78" s="118"/>
      <c r="DY78" s="118"/>
      <c r="DZ78" s="118"/>
      <c r="EB78" s="52"/>
      <c r="EC78" s="52"/>
      <c r="ED78" s="52"/>
      <c r="EE78" s="55">
        <f t="shared" si="296"/>
        <v>55459.121599999999</v>
      </c>
      <c r="EF78" s="55">
        <f t="shared" si="296"/>
        <v>21146.949199999999</v>
      </c>
      <c r="EG78" s="55">
        <f t="shared" si="296"/>
        <v>6564.2003121999996</v>
      </c>
      <c r="EH78" s="55">
        <f t="shared" si="228"/>
        <v>5778.3038257999997</v>
      </c>
      <c r="EI78" s="298">
        <f t="shared" si="229"/>
        <v>0.72395204480321684</v>
      </c>
      <c r="EJ78" s="52"/>
      <c r="EK78" s="55">
        <f t="shared" si="297"/>
        <v>6564.2003121999996</v>
      </c>
      <c r="EL78" s="55">
        <f t="shared" si="297"/>
        <v>5778.3038257999997</v>
      </c>
      <c r="EM78" s="55">
        <f t="shared" si="297"/>
        <v>6564.2003121999996</v>
      </c>
      <c r="EN78" s="55">
        <f t="shared" si="297"/>
        <v>5778.3038257999997</v>
      </c>
      <c r="EP78" s="52"/>
      <c r="EQ78" s="52"/>
      <c r="ER78" s="52"/>
      <c r="ES78" s="55">
        <f t="shared" si="230"/>
        <v>45043.125799999994</v>
      </c>
      <c r="ET78" s="55">
        <f t="shared" si="230"/>
        <v>16929.161700000001</v>
      </c>
      <c r="EU78" s="55">
        <f t="shared" si="230"/>
        <v>5792.8714733000006</v>
      </c>
      <c r="EV78" s="55">
        <f t="shared" si="230"/>
        <v>5367.1786587000006</v>
      </c>
      <c r="EW78" s="298">
        <f t="shared" si="231"/>
        <v>0.72682690307341002</v>
      </c>
      <c r="EX78" s="52"/>
      <c r="EY78" s="55">
        <f t="shared" si="232"/>
        <v>5792.8714733000006</v>
      </c>
      <c r="EZ78" s="55">
        <f t="shared" si="232"/>
        <v>5367.1786587000006</v>
      </c>
      <c r="FA78" s="55">
        <f t="shared" si="232"/>
        <v>5792.8714733000006</v>
      </c>
      <c r="FB78" s="55">
        <f t="shared" si="232"/>
        <v>5367.1786587000006</v>
      </c>
      <c r="FD78" s="52"/>
      <c r="FE78" s="52"/>
      <c r="FF78" s="52"/>
      <c r="FG78" s="55">
        <f t="shared" si="233"/>
        <v>35837.333299999998</v>
      </c>
      <c r="FH78" s="55">
        <f t="shared" si="233"/>
        <v>13614.846600000001</v>
      </c>
      <c r="FI78" s="55">
        <f t="shared" si="233"/>
        <v>4956.9013788000002</v>
      </c>
      <c r="FJ78" s="55">
        <f t="shared" si="233"/>
        <v>4637.8323967999995</v>
      </c>
      <c r="FK78" s="298">
        <f t="shared" si="234"/>
        <v>0.72468662397630723</v>
      </c>
      <c r="FL78" s="52"/>
      <c r="FM78" s="55">
        <f t="shared" si="235"/>
        <v>4956.9013788000002</v>
      </c>
      <c r="FN78" s="55">
        <f t="shared" si="235"/>
        <v>4637.8323967999995</v>
      </c>
      <c r="FO78" s="55">
        <f t="shared" si="235"/>
        <v>4956.9013788000002</v>
      </c>
      <c r="FP78" s="55">
        <f t="shared" si="235"/>
        <v>4637.8323967999995</v>
      </c>
      <c r="FR78" s="52"/>
      <c r="FS78" s="52"/>
      <c r="FT78" s="52"/>
      <c r="FU78" s="55">
        <f t="shared" si="236"/>
        <v>34638.8033</v>
      </c>
      <c r="FV78" s="55">
        <f t="shared" si="236"/>
        <v>12998.793300000001</v>
      </c>
      <c r="FW78" s="55">
        <f t="shared" si="236"/>
        <v>783.85528720000002</v>
      </c>
      <c r="FX78" s="55">
        <f t="shared" si="236"/>
        <v>848.6232328000001</v>
      </c>
      <c r="FY78" s="298">
        <f t="shared" si="237"/>
        <v>0.72713163073386444</v>
      </c>
      <c r="FZ78" s="52"/>
      <c r="GA78" s="55">
        <f t="shared" si="238"/>
        <v>783.85528720000002</v>
      </c>
      <c r="GB78" s="55">
        <f t="shared" si="238"/>
        <v>848.6232328000001</v>
      </c>
      <c r="GC78" s="55">
        <f t="shared" si="238"/>
        <v>783.85528720000002</v>
      </c>
      <c r="GD78" s="55">
        <f t="shared" si="238"/>
        <v>848.6232328000001</v>
      </c>
      <c r="GF78" s="52"/>
      <c r="GG78" s="52"/>
      <c r="GH78" s="52"/>
      <c r="GI78" s="55">
        <f t="shared" si="239"/>
        <v>17750.724099999999</v>
      </c>
      <c r="GJ78" s="55">
        <f t="shared" si="239"/>
        <v>6846.1275000000005</v>
      </c>
      <c r="GK78" s="56">
        <f t="shared" si="240"/>
        <v>651.32053649999989</v>
      </c>
      <c r="GL78" s="56">
        <f t="shared" si="240"/>
        <v>620.056512</v>
      </c>
      <c r="GM78" s="298">
        <f t="shared" si="241"/>
        <v>0.72166651198562337</v>
      </c>
      <c r="GN78" s="52"/>
      <c r="GO78" s="56">
        <f t="shared" si="242"/>
        <v>651.32053649999989</v>
      </c>
      <c r="GP78" s="56">
        <f t="shared" si="242"/>
        <v>620.056512</v>
      </c>
      <c r="GQ78" s="56">
        <f t="shared" si="242"/>
        <v>651.32053649999989</v>
      </c>
      <c r="GR78" s="56">
        <f t="shared" si="242"/>
        <v>620.056512</v>
      </c>
      <c r="GW78" s="275">
        <v>3.8711000000000002</v>
      </c>
      <c r="GX78" s="275">
        <v>2.0175999999999998</v>
      </c>
      <c r="GY78" s="275">
        <v>0</v>
      </c>
      <c r="GZ78" s="275">
        <v>1425.5916999999999</v>
      </c>
      <c r="HA78" s="275">
        <v>583.59829999999999</v>
      </c>
      <c r="HB78" s="49">
        <f t="shared" si="243"/>
        <v>2542.499769</v>
      </c>
      <c r="HC78" s="49">
        <f t="shared" si="244"/>
        <v>2739.5174559999996</v>
      </c>
      <c r="HD78" s="47">
        <f t="shared" si="245"/>
        <v>0</v>
      </c>
      <c r="HE78" s="47">
        <f t="shared" si="298"/>
        <v>0</v>
      </c>
      <c r="HF78" s="48">
        <f t="shared" si="299"/>
        <v>2542.499769</v>
      </c>
      <c r="HG78" s="48">
        <f t="shared" si="300"/>
        <v>2739.5174559999996</v>
      </c>
      <c r="HH78" s="93">
        <f t="shared" si="301"/>
        <v>2542.499769</v>
      </c>
      <c r="HI78" s="93">
        <f t="shared" si="302"/>
        <v>2739.5174559999996</v>
      </c>
      <c r="HJ78" s="298">
        <f t="shared" si="246"/>
        <v>0.70953553422025784</v>
      </c>
      <c r="HL78" s="275">
        <v>5.0369000000000002</v>
      </c>
      <c r="HM78" s="275">
        <v>3.7713999999999999</v>
      </c>
      <c r="HN78" s="275">
        <v>0</v>
      </c>
      <c r="HO78" s="275">
        <v>532.15250000000003</v>
      </c>
      <c r="HP78" s="275">
        <v>175.41669999999999</v>
      </c>
      <c r="HQ78" s="49">
        <f t="shared" si="247"/>
        <v>2677.8678850000001</v>
      </c>
      <c r="HR78" s="49">
        <f t="shared" si="248"/>
        <v>2924.833842</v>
      </c>
      <c r="HS78" s="47">
        <f t="shared" si="249"/>
        <v>0</v>
      </c>
      <c r="HT78" s="47">
        <f t="shared" si="303"/>
        <v>0</v>
      </c>
      <c r="HU78" s="48">
        <f t="shared" si="304"/>
        <v>2677.8678850000001</v>
      </c>
      <c r="HV78" s="48">
        <f t="shared" si="305"/>
        <v>2924.833842</v>
      </c>
      <c r="HW78" s="93">
        <f t="shared" si="306"/>
        <v>2677.8678850000001</v>
      </c>
      <c r="HX78" s="93">
        <f t="shared" si="307"/>
        <v>2924.833842</v>
      </c>
      <c r="HY78" s="298">
        <f t="shared" si="250"/>
        <v>0.75208544973410374</v>
      </c>
    </row>
    <row r="79" spans="1:233" s="131" customFormat="1" x14ac:dyDescent="0.2">
      <c r="A79" s="118">
        <v>69</v>
      </c>
      <c r="B79" s="118"/>
      <c r="C79" s="275">
        <v>3.4891999999999999</v>
      </c>
      <c r="D79" s="275">
        <v>1.7858000000000001</v>
      </c>
      <c r="E79" s="275">
        <v>0</v>
      </c>
      <c r="F79" s="275">
        <v>8224.7849999999999</v>
      </c>
      <c r="G79" s="275">
        <v>3278.5742</v>
      </c>
      <c r="H79" s="49">
        <f t="shared" si="218"/>
        <v>3450.9932599999997</v>
      </c>
      <c r="I79" s="49">
        <f t="shared" si="218"/>
        <v>3217.6901560000001</v>
      </c>
      <c r="J79" s="47">
        <f t="shared" si="218"/>
        <v>0</v>
      </c>
      <c r="K79" s="47">
        <f t="shared" si="251"/>
        <v>0</v>
      </c>
      <c r="L79" s="48">
        <f t="shared" si="252"/>
        <v>3450.9932599999997</v>
      </c>
      <c r="M79" s="48">
        <f t="shared" si="253"/>
        <v>3217.6901560000001</v>
      </c>
      <c r="N79" s="93">
        <f t="shared" si="254"/>
        <v>3450.9932599999997</v>
      </c>
      <c r="O79" s="93">
        <f t="shared" si="255"/>
        <v>3217.6901560000001</v>
      </c>
      <c r="P79" s="298">
        <f t="shared" si="219"/>
        <v>0.71498984401008714</v>
      </c>
      <c r="Q79" s="275">
        <v>4.6882999999999999</v>
      </c>
      <c r="R79" s="275">
        <v>2.5249999999999999</v>
      </c>
      <c r="S79" s="275">
        <v>0</v>
      </c>
      <c r="T79" s="275">
        <v>3071.2541999999999</v>
      </c>
      <c r="U79" s="275">
        <v>1187.9817</v>
      </c>
      <c r="V79" s="49">
        <f t="shared" si="220"/>
        <v>2873.8810170000002</v>
      </c>
      <c r="W79" s="49">
        <f t="shared" si="220"/>
        <v>2930.6665000000003</v>
      </c>
      <c r="X79" s="47">
        <f t="shared" si="220"/>
        <v>0</v>
      </c>
      <c r="Y79" s="47">
        <f t="shared" si="256"/>
        <v>0</v>
      </c>
      <c r="Z79" s="48">
        <f t="shared" si="257"/>
        <v>2873.8810170000002</v>
      </c>
      <c r="AA79" s="48">
        <f t="shared" si="258"/>
        <v>2930.6665000000003</v>
      </c>
      <c r="AB79" s="93">
        <f t="shared" si="259"/>
        <v>2873.8810170000002</v>
      </c>
      <c r="AC79" s="93">
        <f t="shared" si="260"/>
        <v>2930.6665000000003</v>
      </c>
      <c r="AD79" s="118"/>
      <c r="AE79" s="275">
        <v>6.3531000000000004</v>
      </c>
      <c r="AF79" s="275">
        <v>2.7898999999999998</v>
      </c>
      <c r="AG79" s="275">
        <v>0</v>
      </c>
      <c r="AH79" s="275">
        <v>223.69919999999999</v>
      </c>
      <c r="AI79" s="275">
        <v>60.916699999999999</v>
      </c>
      <c r="AJ79" s="49">
        <f t="shared" si="221"/>
        <v>2978.7779970000001</v>
      </c>
      <c r="AK79" s="49">
        <f t="shared" si="221"/>
        <v>3171.5025219999998</v>
      </c>
      <c r="AL79" s="47">
        <f t="shared" si="221"/>
        <v>0</v>
      </c>
      <c r="AM79" s="47">
        <f t="shared" si="261"/>
        <v>0</v>
      </c>
      <c r="AN79" s="48">
        <f t="shared" si="262"/>
        <v>2978.7779970000001</v>
      </c>
      <c r="AO79" s="48">
        <f t="shared" si="263"/>
        <v>3171.5025219999998</v>
      </c>
      <c r="AP79" s="93">
        <f t="shared" si="264"/>
        <v>2978.7779970000001</v>
      </c>
      <c r="AQ79" s="93">
        <f t="shared" si="265"/>
        <v>3171.5025219999998</v>
      </c>
      <c r="AR79" s="118"/>
      <c r="AS79" s="275">
        <v>7.5993000000000004</v>
      </c>
      <c r="AT79" s="275">
        <v>2.8037999999999998</v>
      </c>
      <c r="AU79" s="275">
        <v>0</v>
      </c>
      <c r="AV79" s="275">
        <v>9069.2342000000008</v>
      </c>
      <c r="AW79" s="275">
        <v>3759.5475000000001</v>
      </c>
      <c r="AX79" s="49">
        <f t="shared" si="222"/>
        <v>2647.9760850000002</v>
      </c>
      <c r="AY79" s="49">
        <f t="shared" si="222"/>
        <v>1962.2955059999999</v>
      </c>
      <c r="AZ79" s="47">
        <f t="shared" si="222"/>
        <v>0</v>
      </c>
      <c r="BA79" s="47">
        <f t="shared" si="266"/>
        <v>0</v>
      </c>
      <c r="BB79" s="48">
        <f t="shared" si="267"/>
        <v>2647.9760850000002</v>
      </c>
      <c r="BC79" s="48">
        <f t="shared" si="268"/>
        <v>1962.2955059999999</v>
      </c>
      <c r="BD79" s="93">
        <f t="shared" si="269"/>
        <v>2647.9760850000002</v>
      </c>
      <c r="BE79" s="93">
        <f t="shared" si="270"/>
        <v>1962.2955059999999</v>
      </c>
      <c r="BF79" s="118"/>
      <c r="BG79" s="275">
        <v>7.4356</v>
      </c>
      <c r="BH79" s="275">
        <v>3.2065999999999999</v>
      </c>
      <c r="BI79" s="275">
        <v>0</v>
      </c>
      <c r="BJ79" s="275">
        <v>5942.3208000000004</v>
      </c>
      <c r="BK79" s="275">
        <v>2112.0857999999998</v>
      </c>
      <c r="BL79" s="49">
        <f t="shared" si="223"/>
        <v>2514.8686320000002</v>
      </c>
      <c r="BM79" s="49">
        <f t="shared" si="223"/>
        <v>1919.0218360000001</v>
      </c>
      <c r="BN79" s="47">
        <f t="shared" si="223"/>
        <v>0</v>
      </c>
      <c r="BO79" s="47">
        <f t="shared" si="271"/>
        <v>0</v>
      </c>
      <c r="BP79" s="48">
        <f t="shared" si="272"/>
        <v>2514.8686320000002</v>
      </c>
      <c r="BQ79" s="48">
        <f t="shared" si="273"/>
        <v>1919.0218360000001</v>
      </c>
      <c r="BR79" s="93">
        <f t="shared" si="274"/>
        <v>2514.8686320000002</v>
      </c>
      <c r="BS79" s="93">
        <f t="shared" si="275"/>
        <v>1919.0218360000001</v>
      </c>
      <c r="BT79" s="118"/>
      <c r="BU79" s="275">
        <v>7.3551000000000002</v>
      </c>
      <c r="BV79" s="275">
        <v>3.0297000000000001</v>
      </c>
      <c r="BW79" s="275">
        <v>0</v>
      </c>
      <c r="BX79" s="275">
        <v>5716.4758000000002</v>
      </c>
      <c r="BY79" s="275">
        <v>2161.4175</v>
      </c>
      <c r="BZ79" s="49">
        <f t="shared" si="224"/>
        <v>1729.478214</v>
      </c>
      <c r="CA79" s="49">
        <f t="shared" si="224"/>
        <v>1089.268041</v>
      </c>
      <c r="CB79" s="47">
        <f t="shared" si="224"/>
        <v>0</v>
      </c>
      <c r="CC79" s="47">
        <f t="shared" si="276"/>
        <v>0</v>
      </c>
      <c r="CD79" s="48">
        <f t="shared" si="277"/>
        <v>1729.478214</v>
      </c>
      <c r="CE79" s="48">
        <f t="shared" si="278"/>
        <v>1089.268041</v>
      </c>
      <c r="CF79" s="93">
        <f t="shared" si="279"/>
        <v>1729.478214</v>
      </c>
      <c r="CG79" s="93">
        <f t="shared" si="280"/>
        <v>1089.268041</v>
      </c>
      <c r="CH79" s="118"/>
      <c r="CI79" s="275">
        <v>1.4116</v>
      </c>
      <c r="CJ79" s="275">
        <v>1.1921999999999999</v>
      </c>
      <c r="CK79" s="275">
        <v>0</v>
      </c>
      <c r="CL79" s="275">
        <v>20699.3842</v>
      </c>
      <c r="CM79" s="275">
        <v>7851.9717000000001</v>
      </c>
      <c r="CN79" s="49">
        <f t="shared" si="225"/>
        <v>291.35424</v>
      </c>
      <c r="CO79" s="49">
        <f t="shared" si="225"/>
        <v>319.29500399999995</v>
      </c>
      <c r="CP79" s="47">
        <f t="shared" si="225"/>
        <v>0</v>
      </c>
      <c r="CQ79" s="47">
        <f t="shared" si="281"/>
        <v>0</v>
      </c>
      <c r="CR79" s="48">
        <f t="shared" si="282"/>
        <v>291.35424</v>
      </c>
      <c r="CS79" s="48">
        <f t="shared" si="283"/>
        <v>319.29500399999995</v>
      </c>
      <c r="CT79" s="93">
        <f t="shared" si="284"/>
        <v>291.35424</v>
      </c>
      <c r="CU79" s="93">
        <f t="shared" si="285"/>
        <v>319.29500399999995</v>
      </c>
      <c r="CV79" s="118"/>
      <c r="CW79" s="275">
        <v>3.0061</v>
      </c>
      <c r="CX79" s="275">
        <v>2.3778000000000001</v>
      </c>
      <c r="CY79" s="275">
        <v>0</v>
      </c>
      <c r="CZ79" s="275">
        <v>8440.3158000000003</v>
      </c>
      <c r="DA79" s="275">
        <v>3383.1716999999999</v>
      </c>
      <c r="DB79" s="49">
        <f t="shared" si="226"/>
        <v>624.03629899999999</v>
      </c>
      <c r="DC79" s="49">
        <f t="shared" si="226"/>
        <v>669.37447800000007</v>
      </c>
      <c r="DD79" s="47">
        <f t="shared" si="226"/>
        <v>0</v>
      </c>
      <c r="DE79" s="47">
        <f t="shared" si="286"/>
        <v>0</v>
      </c>
      <c r="DF79" s="48">
        <f t="shared" si="287"/>
        <v>624.03629899999999</v>
      </c>
      <c r="DG79" s="48">
        <f t="shared" si="288"/>
        <v>669.37447800000007</v>
      </c>
      <c r="DH79" s="93">
        <f t="shared" si="289"/>
        <v>624.03629899999999</v>
      </c>
      <c r="DI79" s="93">
        <f t="shared" si="290"/>
        <v>669.37447800000007</v>
      </c>
      <c r="DJ79" s="118"/>
      <c r="DK79" s="275">
        <v>2.6758000000000002</v>
      </c>
      <c r="DL79" s="275">
        <v>2.2326000000000001</v>
      </c>
      <c r="DM79" s="275">
        <v>0</v>
      </c>
      <c r="DN79" s="275">
        <v>3374.4783000000002</v>
      </c>
      <c r="DO79" s="275">
        <v>1354.4258</v>
      </c>
      <c r="DP79" s="49">
        <f t="shared" si="227"/>
        <v>364.55099200000006</v>
      </c>
      <c r="DQ79" s="49">
        <f t="shared" si="227"/>
        <v>440.51430600000003</v>
      </c>
      <c r="DR79" s="47">
        <f t="shared" si="227"/>
        <v>0</v>
      </c>
      <c r="DS79" s="47">
        <f t="shared" si="291"/>
        <v>0</v>
      </c>
      <c r="DT79" s="48">
        <f t="shared" si="292"/>
        <v>364.55099200000006</v>
      </c>
      <c r="DU79" s="48">
        <f t="shared" si="293"/>
        <v>440.51430600000003</v>
      </c>
      <c r="DV79" s="93">
        <f t="shared" si="294"/>
        <v>364.55099200000006</v>
      </c>
      <c r="DW79" s="93">
        <f t="shared" si="295"/>
        <v>440.51430600000003</v>
      </c>
      <c r="DX79" s="118"/>
      <c r="DY79" s="118"/>
      <c r="DZ79" s="118"/>
      <c r="EB79" s="52"/>
      <c r="EC79" s="52"/>
      <c r="ED79" s="52"/>
      <c r="EE79" s="55">
        <f t="shared" si="296"/>
        <v>46433.719200000007</v>
      </c>
      <c r="EF79" s="55">
        <f t="shared" si="296"/>
        <v>18273.265100000001</v>
      </c>
      <c r="EG79" s="55">
        <f t="shared" si="296"/>
        <v>6889.5526241999996</v>
      </c>
      <c r="EH79" s="55">
        <f t="shared" si="228"/>
        <v>6034.7802483999994</v>
      </c>
      <c r="EI79" s="298">
        <f t="shared" si="229"/>
        <v>0.71759980321011496</v>
      </c>
      <c r="EJ79" s="52"/>
      <c r="EK79" s="55">
        <f t="shared" si="297"/>
        <v>6889.5526241999996</v>
      </c>
      <c r="EL79" s="55">
        <f t="shared" si="297"/>
        <v>6034.7802483999994</v>
      </c>
      <c r="EM79" s="55">
        <f t="shared" si="297"/>
        <v>6889.5526241999996</v>
      </c>
      <c r="EN79" s="55">
        <f t="shared" si="297"/>
        <v>6034.7802483999994</v>
      </c>
      <c r="EP79" s="52"/>
      <c r="EQ79" s="52"/>
      <c r="ER79" s="52"/>
      <c r="ES79" s="55">
        <f t="shared" si="230"/>
        <v>38153.275000000001</v>
      </c>
      <c r="ET79" s="55">
        <f t="shared" si="230"/>
        <v>14535.210899999998</v>
      </c>
      <c r="EU79" s="55">
        <f t="shared" si="230"/>
        <v>6116.9292982999996</v>
      </c>
      <c r="EV79" s="55">
        <f t="shared" si="230"/>
        <v>5637.5454745999996</v>
      </c>
      <c r="EW79" s="298">
        <f t="shared" si="231"/>
        <v>0.72412927318528242</v>
      </c>
      <c r="EX79" s="52"/>
      <c r="EY79" s="55">
        <f t="shared" si="232"/>
        <v>6116.9292982999996</v>
      </c>
      <c r="EZ79" s="55">
        <f t="shared" si="232"/>
        <v>5637.5454745999996</v>
      </c>
      <c r="FA79" s="55">
        <f t="shared" si="232"/>
        <v>6116.9292982999996</v>
      </c>
      <c r="FB79" s="55">
        <f t="shared" si="232"/>
        <v>5637.5454745999996</v>
      </c>
      <c r="FD79" s="52"/>
      <c r="FE79" s="52"/>
      <c r="FF79" s="52"/>
      <c r="FG79" s="55">
        <f t="shared" si="233"/>
        <v>30014.037499999999</v>
      </c>
      <c r="FH79" s="55">
        <f t="shared" si="233"/>
        <v>11428.7317</v>
      </c>
      <c r="FI79" s="55">
        <f t="shared" si="233"/>
        <v>5218.3410461999993</v>
      </c>
      <c r="FJ79" s="55">
        <f t="shared" si="233"/>
        <v>4844.3741505999997</v>
      </c>
      <c r="FK79" s="298">
        <f t="shared" si="234"/>
        <v>0.72422857061395407</v>
      </c>
      <c r="FL79" s="52"/>
      <c r="FM79" s="55">
        <f t="shared" si="235"/>
        <v>5218.3410461999993</v>
      </c>
      <c r="FN79" s="55">
        <f t="shared" si="235"/>
        <v>4844.3741505999997</v>
      </c>
      <c r="FO79" s="55">
        <f t="shared" si="235"/>
        <v>5218.3410461999993</v>
      </c>
      <c r="FP79" s="55">
        <f t="shared" si="235"/>
        <v>4844.3741505999997</v>
      </c>
      <c r="FR79" s="52"/>
      <c r="FS79" s="52"/>
      <c r="FT79" s="52"/>
      <c r="FU79" s="55">
        <f t="shared" si="236"/>
        <v>29139.7</v>
      </c>
      <c r="FV79" s="55">
        <f t="shared" si="236"/>
        <v>11235.143400000001</v>
      </c>
      <c r="FW79" s="55">
        <f t="shared" si="236"/>
        <v>790.58327919999999</v>
      </c>
      <c r="FX79" s="55">
        <f t="shared" si="236"/>
        <v>854.79458640000007</v>
      </c>
      <c r="FY79" s="298">
        <f t="shared" si="237"/>
        <v>0.72172911511527993</v>
      </c>
      <c r="FZ79" s="52"/>
      <c r="GA79" s="55">
        <f t="shared" si="238"/>
        <v>790.58327919999999</v>
      </c>
      <c r="GB79" s="55">
        <f t="shared" si="238"/>
        <v>854.79458640000007</v>
      </c>
      <c r="GC79" s="55">
        <f t="shared" si="238"/>
        <v>790.58327919999999</v>
      </c>
      <c r="GD79" s="55">
        <f t="shared" si="238"/>
        <v>854.79458640000007</v>
      </c>
      <c r="GF79" s="52"/>
      <c r="GG79" s="52"/>
      <c r="GH79" s="52"/>
      <c r="GI79" s="55">
        <f t="shared" si="239"/>
        <v>14785.710000000001</v>
      </c>
      <c r="GJ79" s="55">
        <f t="shared" si="239"/>
        <v>5920.9650000000001</v>
      </c>
      <c r="GK79" s="56">
        <f t="shared" si="240"/>
        <v>688.87340325000014</v>
      </c>
      <c r="GL79" s="56">
        <f t="shared" si="240"/>
        <v>654.77059874999986</v>
      </c>
      <c r="GM79" s="298">
        <f t="shared" si="241"/>
        <v>0.71405525029972217</v>
      </c>
      <c r="GN79" s="52"/>
      <c r="GO79" s="56">
        <f t="shared" si="242"/>
        <v>688.87340325000014</v>
      </c>
      <c r="GP79" s="56">
        <f t="shared" si="242"/>
        <v>654.77059874999986</v>
      </c>
      <c r="GQ79" s="56">
        <f t="shared" si="242"/>
        <v>688.87340325000014</v>
      </c>
      <c r="GR79" s="56">
        <f t="shared" si="242"/>
        <v>654.77059874999986</v>
      </c>
      <c r="GW79" s="275">
        <v>4.07</v>
      </c>
      <c r="GX79" s="275">
        <v>2.1103999999999998</v>
      </c>
      <c r="GY79" s="275">
        <v>0</v>
      </c>
      <c r="GZ79" s="275">
        <v>1269.3442</v>
      </c>
      <c r="HA79" s="275">
        <v>537.05420000000004</v>
      </c>
      <c r="HB79" s="49">
        <f t="shared" si="243"/>
        <v>2673.1352999999999</v>
      </c>
      <c r="HC79" s="49">
        <f t="shared" si="244"/>
        <v>2865.5222239999998</v>
      </c>
      <c r="HD79" s="47">
        <f t="shared" si="245"/>
        <v>0</v>
      </c>
      <c r="HE79" s="47">
        <f t="shared" si="298"/>
        <v>0</v>
      </c>
      <c r="HF79" s="48">
        <f t="shared" si="299"/>
        <v>2673.1352999999999</v>
      </c>
      <c r="HG79" s="48">
        <f t="shared" si="300"/>
        <v>2865.5222239999998</v>
      </c>
      <c r="HH79" s="93">
        <f t="shared" si="301"/>
        <v>2673.1352999999999</v>
      </c>
      <c r="HI79" s="93">
        <f t="shared" si="302"/>
        <v>2865.5222239999998</v>
      </c>
      <c r="HJ79" s="298">
        <f t="shared" si="246"/>
        <v>0.70269338148218019</v>
      </c>
      <c r="HL79" s="275">
        <v>5.3452000000000002</v>
      </c>
      <c r="HM79" s="275">
        <v>4.0109000000000004</v>
      </c>
      <c r="HN79" s="275">
        <v>0</v>
      </c>
      <c r="HO79" s="275">
        <v>475.95080000000002</v>
      </c>
      <c r="HP79" s="275">
        <v>160.83330000000001</v>
      </c>
      <c r="HQ79" s="49">
        <f t="shared" si="247"/>
        <v>2841.77558</v>
      </c>
      <c r="HR79" s="49">
        <f t="shared" si="248"/>
        <v>3110.573277</v>
      </c>
      <c r="HS79" s="47">
        <f t="shared" si="249"/>
        <v>0</v>
      </c>
      <c r="HT79" s="47">
        <f t="shared" si="303"/>
        <v>0</v>
      </c>
      <c r="HU79" s="48">
        <f t="shared" si="304"/>
        <v>2841.77558</v>
      </c>
      <c r="HV79" s="48">
        <f t="shared" si="305"/>
        <v>3110.573277</v>
      </c>
      <c r="HW79" s="93">
        <f t="shared" si="306"/>
        <v>2841.77558</v>
      </c>
      <c r="HX79" s="93">
        <f t="shared" si="307"/>
        <v>3110.573277</v>
      </c>
      <c r="HY79" s="298">
        <f t="shared" si="250"/>
        <v>0.74742883812582628</v>
      </c>
    </row>
    <row r="80" spans="1:233" s="131" customFormat="1" x14ac:dyDescent="0.2">
      <c r="A80" s="118">
        <v>70</v>
      </c>
      <c r="B80" s="118"/>
      <c r="C80" s="275">
        <v>3.6448999999999998</v>
      </c>
      <c r="D80" s="275">
        <v>1.8535999999999999</v>
      </c>
      <c r="E80" s="275">
        <v>0</v>
      </c>
      <c r="F80" s="275">
        <v>6585.3850000000002</v>
      </c>
      <c r="G80" s="275">
        <v>2749.4308000000001</v>
      </c>
      <c r="H80" s="49">
        <f t="shared" si="218"/>
        <v>3604.9883449999998</v>
      </c>
      <c r="I80" s="49">
        <f t="shared" si="218"/>
        <v>3339.8535519999996</v>
      </c>
      <c r="J80" s="47">
        <f t="shared" si="218"/>
        <v>0</v>
      </c>
      <c r="K80" s="47">
        <f t="shared" si="251"/>
        <v>0</v>
      </c>
      <c r="L80" s="48">
        <f t="shared" si="252"/>
        <v>3604.9883449999998</v>
      </c>
      <c r="M80" s="48">
        <f t="shared" si="253"/>
        <v>3339.8535519999996</v>
      </c>
      <c r="N80" s="93">
        <f t="shared" si="254"/>
        <v>3604.9883449999998</v>
      </c>
      <c r="O80" s="93">
        <f t="shared" si="255"/>
        <v>3339.8535519999996</v>
      </c>
      <c r="P80" s="298">
        <f t="shared" si="219"/>
        <v>0.70546491126263033</v>
      </c>
      <c r="Q80" s="275">
        <v>4.9660000000000002</v>
      </c>
      <c r="R80" s="275">
        <v>2.6465999999999998</v>
      </c>
      <c r="S80" s="275">
        <v>0</v>
      </c>
      <c r="T80" s="275">
        <v>2411.7874999999999</v>
      </c>
      <c r="U80" s="275">
        <v>1005.9075</v>
      </c>
      <c r="V80" s="49">
        <f t="shared" si="220"/>
        <v>3044.1083400000002</v>
      </c>
      <c r="W80" s="49">
        <f t="shared" si="220"/>
        <v>3071.802756</v>
      </c>
      <c r="X80" s="47">
        <f t="shared" si="220"/>
        <v>0</v>
      </c>
      <c r="Y80" s="47">
        <f t="shared" si="256"/>
        <v>0</v>
      </c>
      <c r="Z80" s="48">
        <f t="shared" si="257"/>
        <v>3044.1083400000002</v>
      </c>
      <c r="AA80" s="48">
        <f t="shared" si="258"/>
        <v>3071.802756</v>
      </c>
      <c r="AB80" s="93">
        <f t="shared" si="259"/>
        <v>3044.1083400000002</v>
      </c>
      <c r="AC80" s="93">
        <f t="shared" si="260"/>
        <v>3071.802756</v>
      </c>
      <c r="AD80" s="118"/>
      <c r="AE80" s="275">
        <v>6.6585999999999999</v>
      </c>
      <c r="AF80" s="275">
        <v>2.8898000000000001</v>
      </c>
      <c r="AG80" s="275">
        <v>0</v>
      </c>
      <c r="AH80" s="275">
        <v>163.38579999999999</v>
      </c>
      <c r="AI80" s="275">
        <v>59.5</v>
      </c>
      <c r="AJ80" s="49">
        <f t="shared" si="221"/>
        <v>3122.0177819999999</v>
      </c>
      <c r="AK80" s="49">
        <f t="shared" si="221"/>
        <v>3285.0668439999999</v>
      </c>
      <c r="AL80" s="47">
        <f t="shared" si="221"/>
        <v>0</v>
      </c>
      <c r="AM80" s="47">
        <f t="shared" si="261"/>
        <v>0</v>
      </c>
      <c r="AN80" s="48">
        <f t="shared" si="262"/>
        <v>3122.0177819999999</v>
      </c>
      <c r="AO80" s="48">
        <f t="shared" si="263"/>
        <v>3285.0668439999999</v>
      </c>
      <c r="AP80" s="93">
        <f t="shared" si="264"/>
        <v>3122.0177819999999</v>
      </c>
      <c r="AQ80" s="93">
        <f t="shared" si="265"/>
        <v>3285.0668439999999</v>
      </c>
      <c r="AR80" s="118"/>
      <c r="AS80" s="275">
        <v>8.0885999999999996</v>
      </c>
      <c r="AT80" s="275">
        <v>3.0070000000000001</v>
      </c>
      <c r="AU80" s="275">
        <v>0</v>
      </c>
      <c r="AV80" s="275">
        <v>7210.2232999999997</v>
      </c>
      <c r="AW80" s="275">
        <v>3038.2908000000002</v>
      </c>
      <c r="AX80" s="49">
        <f t="shared" si="222"/>
        <v>2818.4726699999997</v>
      </c>
      <c r="AY80" s="49">
        <f t="shared" si="222"/>
        <v>2104.50909</v>
      </c>
      <c r="AZ80" s="47">
        <f t="shared" si="222"/>
        <v>0</v>
      </c>
      <c r="BA80" s="47">
        <f t="shared" si="266"/>
        <v>0</v>
      </c>
      <c r="BB80" s="48">
        <f t="shared" si="267"/>
        <v>2818.4726699999997</v>
      </c>
      <c r="BC80" s="48">
        <f t="shared" si="268"/>
        <v>2104.50909</v>
      </c>
      <c r="BD80" s="93">
        <f t="shared" si="269"/>
        <v>2818.4726699999997</v>
      </c>
      <c r="BE80" s="93">
        <f t="shared" si="270"/>
        <v>2104.50909</v>
      </c>
      <c r="BF80" s="118"/>
      <c r="BG80" s="275">
        <v>7.9109999999999996</v>
      </c>
      <c r="BH80" s="275">
        <v>3.4321999999999999</v>
      </c>
      <c r="BI80" s="275">
        <v>0</v>
      </c>
      <c r="BJ80" s="275">
        <v>4621.5874999999996</v>
      </c>
      <c r="BK80" s="275">
        <v>1886.6383000000001</v>
      </c>
      <c r="BL80" s="49">
        <f t="shared" si="223"/>
        <v>2675.6584200000002</v>
      </c>
      <c r="BM80" s="49">
        <f t="shared" si="223"/>
        <v>2054.034412</v>
      </c>
      <c r="BN80" s="47">
        <f t="shared" si="223"/>
        <v>0</v>
      </c>
      <c r="BO80" s="47">
        <f t="shared" si="271"/>
        <v>0</v>
      </c>
      <c r="BP80" s="48">
        <f t="shared" si="272"/>
        <v>2675.6584200000002</v>
      </c>
      <c r="BQ80" s="48">
        <f t="shared" si="273"/>
        <v>2054.034412</v>
      </c>
      <c r="BR80" s="93">
        <f t="shared" si="274"/>
        <v>2675.6584200000002</v>
      </c>
      <c r="BS80" s="93">
        <f t="shared" si="275"/>
        <v>2054.034412</v>
      </c>
      <c r="BT80" s="118"/>
      <c r="BU80" s="275">
        <v>7.8555999999999999</v>
      </c>
      <c r="BV80" s="275">
        <v>3.2818000000000001</v>
      </c>
      <c r="BW80" s="275">
        <v>0</v>
      </c>
      <c r="BX80" s="275">
        <v>4759.6932999999999</v>
      </c>
      <c r="BY80" s="275">
        <v>1853.8483000000001</v>
      </c>
      <c r="BZ80" s="49">
        <f t="shared" si="224"/>
        <v>1847.1657839999998</v>
      </c>
      <c r="CA80" s="49">
        <f t="shared" si="224"/>
        <v>1179.9055539999999</v>
      </c>
      <c r="CB80" s="47">
        <f t="shared" si="224"/>
        <v>0</v>
      </c>
      <c r="CC80" s="47">
        <f t="shared" si="276"/>
        <v>0</v>
      </c>
      <c r="CD80" s="48">
        <f t="shared" si="277"/>
        <v>1847.1657839999998</v>
      </c>
      <c r="CE80" s="48">
        <f t="shared" si="278"/>
        <v>1179.9055539999999</v>
      </c>
      <c r="CF80" s="93">
        <f t="shared" si="279"/>
        <v>1847.1657839999998</v>
      </c>
      <c r="CG80" s="93">
        <f t="shared" si="280"/>
        <v>1179.9055539999999</v>
      </c>
      <c r="CH80" s="118"/>
      <c r="CI80" s="275">
        <v>1.4276</v>
      </c>
      <c r="CJ80" s="275">
        <v>1.1996</v>
      </c>
      <c r="CK80" s="275">
        <v>0</v>
      </c>
      <c r="CL80" s="275">
        <v>16572.767500000002</v>
      </c>
      <c r="CM80" s="275">
        <v>6656.6225000000004</v>
      </c>
      <c r="CN80" s="49">
        <f t="shared" si="225"/>
        <v>294.65663999999998</v>
      </c>
      <c r="CO80" s="49">
        <f t="shared" si="225"/>
        <v>321.27687199999997</v>
      </c>
      <c r="CP80" s="47">
        <f t="shared" si="225"/>
        <v>0</v>
      </c>
      <c r="CQ80" s="47">
        <f t="shared" si="281"/>
        <v>0</v>
      </c>
      <c r="CR80" s="48">
        <f t="shared" si="282"/>
        <v>294.65663999999998</v>
      </c>
      <c r="CS80" s="48">
        <f t="shared" si="283"/>
        <v>321.27687199999997</v>
      </c>
      <c r="CT80" s="93">
        <f t="shared" si="284"/>
        <v>294.65663999999998</v>
      </c>
      <c r="CU80" s="93">
        <f t="shared" si="285"/>
        <v>321.27687199999997</v>
      </c>
      <c r="CV80" s="118"/>
      <c r="CW80" s="275">
        <v>3.0257999999999998</v>
      </c>
      <c r="CX80" s="275">
        <v>2.3915999999999999</v>
      </c>
      <c r="CY80" s="275">
        <v>0</v>
      </c>
      <c r="CZ80" s="275">
        <v>6798.3625000000002</v>
      </c>
      <c r="DA80" s="275">
        <v>2703.3083000000001</v>
      </c>
      <c r="DB80" s="49">
        <f t="shared" si="226"/>
        <v>628.12582199999997</v>
      </c>
      <c r="DC80" s="49">
        <f t="shared" si="226"/>
        <v>673.25931600000001</v>
      </c>
      <c r="DD80" s="47">
        <f t="shared" si="226"/>
        <v>0</v>
      </c>
      <c r="DE80" s="47">
        <f t="shared" si="286"/>
        <v>0</v>
      </c>
      <c r="DF80" s="48">
        <f t="shared" si="287"/>
        <v>628.12582199999997</v>
      </c>
      <c r="DG80" s="48">
        <f t="shared" si="288"/>
        <v>673.25931600000001</v>
      </c>
      <c r="DH80" s="93">
        <f t="shared" si="289"/>
        <v>628.12582199999997</v>
      </c>
      <c r="DI80" s="93">
        <f t="shared" si="290"/>
        <v>673.25931600000001</v>
      </c>
      <c r="DJ80" s="118"/>
      <c r="DK80" s="275">
        <v>2.7178</v>
      </c>
      <c r="DL80" s="275">
        <v>2.2812999999999999</v>
      </c>
      <c r="DM80" s="275">
        <v>0</v>
      </c>
      <c r="DN80" s="275">
        <v>2921.5007999999998</v>
      </c>
      <c r="DO80" s="275">
        <v>1247.4549999999999</v>
      </c>
      <c r="DP80" s="49">
        <f t="shared" si="227"/>
        <v>370.27307200000001</v>
      </c>
      <c r="DQ80" s="49">
        <f t="shared" si="227"/>
        <v>450.12330299999996</v>
      </c>
      <c r="DR80" s="47">
        <f t="shared" si="227"/>
        <v>0</v>
      </c>
      <c r="DS80" s="47">
        <f t="shared" si="291"/>
        <v>0</v>
      </c>
      <c r="DT80" s="48">
        <f t="shared" si="292"/>
        <v>370.27307200000001</v>
      </c>
      <c r="DU80" s="48">
        <f t="shared" si="293"/>
        <v>450.12330299999996</v>
      </c>
      <c r="DV80" s="93">
        <f t="shared" si="294"/>
        <v>370.27307200000001</v>
      </c>
      <c r="DW80" s="93">
        <f t="shared" si="295"/>
        <v>450.12330299999996</v>
      </c>
      <c r="DX80" s="118"/>
      <c r="DY80" s="118"/>
      <c r="DZ80" s="118"/>
      <c r="EB80" s="52"/>
      <c r="EC80" s="52"/>
      <c r="ED80" s="52"/>
      <c r="EE80" s="55">
        <f t="shared" si="296"/>
        <v>37166.738300000005</v>
      </c>
      <c r="EF80" s="55">
        <f t="shared" si="296"/>
        <v>15147.652400000003</v>
      </c>
      <c r="EG80" s="55">
        <f t="shared" si="296"/>
        <v>7220.6183125999987</v>
      </c>
      <c r="EH80" s="55">
        <f t="shared" si="228"/>
        <v>6304.2469668000003</v>
      </c>
      <c r="EI80" s="298">
        <f t="shared" si="229"/>
        <v>0.71044960674654289</v>
      </c>
      <c r="EJ80" s="52"/>
      <c r="EK80" s="55">
        <f t="shared" si="297"/>
        <v>7220.6183125999987</v>
      </c>
      <c r="EL80" s="55">
        <f t="shared" si="297"/>
        <v>6304.2469668000003</v>
      </c>
      <c r="EM80" s="55">
        <f t="shared" si="297"/>
        <v>7220.6183125999987</v>
      </c>
      <c r="EN80" s="55">
        <f t="shared" si="297"/>
        <v>6304.2469668000003</v>
      </c>
      <c r="EP80" s="52"/>
      <c r="EQ80" s="52"/>
      <c r="ER80" s="52"/>
      <c r="ES80" s="55">
        <f t="shared" si="230"/>
        <v>30404.505000000001</v>
      </c>
      <c r="ET80" s="55">
        <f t="shared" si="230"/>
        <v>12252.476600000002</v>
      </c>
      <c r="EU80" s="55">
        <f t="shared" si="230"/>
        <v>6454.1114754000009</v>
      </c>
      <c r="EV80" s="55">
        <f t="shared" si="230"/>
        <v>5918.3955612</v>
      </c>
      <c r="EW80" s="298">
        <f t="shared" si="231"/>
        <v>0.71276737967789083</v>
      </c>
      <c r="EX80" s="52"/>
      <c r="EY80" s="55">
        <f t="shared" si="232"/>
        <v>6454.1114754000009</v>
      </c>
      <c r="EZ80" s="55">
        <f t="shared" si="232"/>
        <v>5918.3955612</v>
      </c>
      <c r="FA80" s="55">
        <f t="shared" si="232"/>
        <v>6454.1114754000009</v>
      </c>
      <c r="FB80" s="55">
        <f t="shared" si="232"/>
        <v>5918.3955612</v>
      </c>
      <c r="FD80" s="52"/>
      <c r="FE80" s="52"/>
      <c r="FF80" s="52"/>
      <c r="FG80" s="55">
        <f t="shared" si="233"/>
        <v>24417.347399999999</v>
      </c>
      <c r="FH80" s="55">
        <f t="shared" si="233"/>
        <v>9817.4258000000009</v>
      </c>
      <c r="FI80" s="55">
        <f t="shared" si="233"/>
        <v>5486.0040491999998</v>
      </c>
      <c r="FJ80" s="55">
        <f t="shared" si="233"/>
        <v>5056.3232518000004</v>
      </c>
      <c r="FK80" s="298">
        <f t="shared" si="234"/>
        <v>0.71323234003489766</v>
      </c>
      <c r="FL80" s="52"/>
      <c r="FM80" s="55">
        <f t="shared" si="235"/>
        <v>5486.0040491999998</v>
      </c>
      <c r="FN80" s="55">
        <f t="shared" si="235"/>
        <v>5056.3232518000004</v>
      </c>
      <c r="FO80" s="55">
        <f t="shared" si="235"/>
        <v>5486.0040491999998</v>
      </c>
      <c r="FP80" s="55">
        <f t="shared" si="235"/>
        <v>5056.3232518000004</v>
      </c>
      <c r="FR80" s="52"/>
      <c r="FS80" s="52"/>
      <c r="FT80" s="52"/>
      <c r="FU80" s="55">
        <f t="shared" si="236"/>
        <v>23371.13</v>
      </c>
      <c r="FV80" s="55">
        <f t="shared" si="236"/>
        <v>9359.9308000000001</v>
      </c>
      <c r="FW80" s="55">
        <f t="shared" si="236"/>
        <v>797.15729759999999</v>
      </c>
      <c r="FX80" s="55">
        <f t="shared" si="236"/>
        <v>859.88432480000006</v>
      </c>
      <c r="FY80" s="298">
        <f t="shared" si="237"/>
        <v>0.71403521391521785</v>
      </c>
      <c r="FZ80" s="52"/>
      <c r="GA80" s="55">
        <f t="shared" si="238"/>
        <v>797.15729759999999</v>
      </c>
      <c r="GB80" s="55">
        <f t="shared" si="238"/>
        <v>859.88432480000006</v>
      </c>
      <c r="GC80" s="55">
        <f t="shared" si="238"/>
        <v>797.15729759999999</v>
      </c>
      <c r="GD80" s="55">
        <f t="shared" si="238"/>
        <v>859.88432480000006</v>
      </c>
      <c r="GF80" s="52"/>
      <c r="GG80" s="52"/>
      <c r="GH80" s="52"/>
      <c r="GI80" s="55">
        <f t="shared" si="239"/>
        <v>11969.9166</v>
      </c>
      <c r="GJ80" s="55">
        <f t="shared" si="239"/>
        <v>4892.1391000000003</v>
      </c>
      <c r="GK80" s="56">
        <f t="shared" si="240"/>
        <v>728.48016449999989</v>
      </c>
      <c r="GL80" s="56">
        <f t="shared" si="240"/>
        <v>693.45265200000006</v>
      </c>
      <c r="GM80" s="298">
        <f t="shared" si="241"/>
        <v>0.70987291306361888</v>
      </c>
      <c r="GN80" s="52"/>
      <c r="GO80" s="56">
        <f t="shared" si="242"/>
        <v>728.48016449999989</v>
      </c>
      <c r="GP80" s="56">
        <f t="shared" si="242"/>
        <v>693.45265200000006</v>
      </c>
      <c r="GQ80" s="56">
        <f t="shared" si="242"/>
        <v>728.48016449999989</v>
      </c>
      <c r="GR80" s="56">
        <f t="shared" si="242"/>
        <v>693.45265200000006</v>
      </c>
      <c r="GW80" s="275">
        <v>4.2826000000000004</v>
      </c>
      <c r="GX80" s="275">
        <v>2.2065000000000001</v>
      </c>
      <c r="GY80" s="275">
        <v>0</v>
      </c>
      <c r="GZ80" s="275">
        <v>1087.4475</v>
      </c>
      <c r="HA80" s="275">
        <v>451.25</v>
      </c>
      <c r="HB80" s="49">
        <f t="shared" si="243"/>
        <v>2812.7688539999999</v>
      </c>
      <c r="HC80" s="49">
        <f t="shared" si="244"/>
        <v>2996.0077649999998</v>
      </c>
      <c r="HD80" s="47">
        <f t="shared" si="245"/>
        <v>0</v>
      </c>
      <c r="HE80" s="47">
        <f t="shared" si="298"/>
        <v>0</v>
      </c>
      <c r="HF80" s="48">
        <f t="shared" si="299"/>
        <v>2812.7688539999999</v>
      </c>
      <c r="HG80" s="48">
        <f t="shared" si="300"/>
        <v>2996.0077649999998</v>
      </c>
      <c r="HH80" s="93">
        <f t="shared" si="301"/>
        <v>2812.7688539999999</v>
      </c>
      <c r="HI80" s="93">
        <f t="shared" si="302"/>
        <v>2996.0077649999998</v>
      </c>
      <c r="HJ80" s="298">
        <f t="shared" si="246"/>
        <v>0.70673247990589438</v>
      </c>
      <c r="HL80" s="275">
        <v>5.6566999999999998</v>
      </c>
      <c r="HM80" s="275">
        <v>4.2416</v>
      </c>
      <c r="HN80" s="275">
        <v>0</v>
      </c>
      <c r="HO80" s="275">
        <v>418.66669999999999</v>
      </c>
      <c r="HP80" s="275">
        <v>167.08330000000001</v>
      </c>
      <c r="HQ80" s="49">
        <f t="shared" si="247"/>
        <v>3007.3845549999996</v>
      </c>
      <c r="HR80" s="49">
        <f t="shared" si="248"/>
        <v>3289.4880479999997</v>
      </c>
      <c r="HS80" s="47">
        <f t="shared" si="249"/>
        <v>0</v>
      </c>
      <c r="HT80" s="47">
        <f t="shared" si="303"/>
        <v>0</v>
      </c>
      <c r="HU80" s="48">
        <f t="shared" si="304"/>
        <v>3007.3845549999996</v>
      </c>
      <c r="HV80" s="48">
        <f t="shared" si="305"/>
        <v>3289.4880479999997</v>
      </c>
      <c r="HW80" s="93">
        <f t="shared" si="306"/>
        <v>3007.3845549999996</v>
      </c>
      <c r="HX80" s="93">
        <f t="shared" si="307"/>
        <v>3289.4880479999997</v>
      </c>
      <c r="HY80" s="298">
        <f t="shared" si="250"/>
        <v>0.7147532223644899</v>
      </c>
    </row>
    <row r="81" spans="1:233" s="131" customFormat="1" x14ac:dyDescent="0.2">
      <c r="A81" s="118">
        <v>71</v>
      </c>
      <c r="B81" s="118"/>
      <c r="C81" s="275">
        <v>3.8014000000000001</v>
      </c>
      <c r="D81" s="275">
        <v>1.9229000000000001</v>
      </c>
      <c r="E81" s="275">
        <v>0</v>
      </c>
      <c r="F81" s="275">
        <v>8600.9457999999995</v>
      </c>
      <c r="G81" s="275">
        <v>3475.46</v>
      </c>
      <c r="H81" s="49">
        <f t="shared" si="218"/>
        <v>3759.7746699999998</v>
      </c>
      <c r="I81" s="49">
        <f t="shared" si="218"/>
        <v>3464.7196779999999</v>
      </c>
      <c r="J81" s="47">
        <f t="shared" si="218"/>
        <v>0</v>
      </c>
      <c r="K81" s="47">
        <f t="shared" si="251"/>
        <v>0</v>
      </c>
      <c r="L81" s="48">
        <f t="shared" si="252"/>
        <v>3759.7746699999998</v>
      </c>
      <c r="M81" s="48">
        <f t="shared" si="253"/>
        <v>3464.7196779999999</v>
      </c>
      <c r="N81" s="93">
        <f t="shared" si="254"/>
        <v>3759.7746699999998</v>
      </c>
      <c r="O81" s="93">
        <f t="shared" si="255"/>
        <v>3464.7196779999999</v>
      </c>
      <c r="P81" s="298">
        <f t="shared" si="219"/>
        <v>0.71221073077885466</v>
      </c>
      <c r="Q81" s="275">
        <v>5.2614999999999998</v>
      </c>
      <c r="R81" s="275">
        <v>2.7860999999999998</v>
      </c>
      <c r="S81" s="275">
        <v>0</v>
      </c>
      <c r="T81" s="275">
        <v>3094.7766999999999</v>
      </c>
      <c r="U81" s="275">
        <v>1280.7217000000001</v>
      </c>
      <c r="V81" s="49">
        <f t="shared" si="220"/>
        <v>3225.246885</v>
      </c>
      <c r="W81" s="49">
        <f t="shared" si="220"/>
        <v>3233.7148259999999</v>
      </c>
      <c r="X81" s="47">
        <f t="shared" si="220"/>
        <v>0</v>
      </c>
      <c r="Y81" s="47">
        <f t="shared" si="256"/>
        <v>0</v>
      </c>
      <c r="Z81" s="48">
        <f t="shared" si="257"/>
        <v>3225.246885</v>
      </c>
      <c r="AA81" s="48">
        <f t="shared" si="258"/>
        <v>3233.7148259999999</v>
      </c>
      <c r="AB81" s="93">
        <f t="shared" si="259"/>
        <v>3225.246885</v>
      </c>
      <c r="AC81" s="93">
        <f t="shared" si="260"/>
        <v>3233.7148259999999</v>
      </c>
      <c r="AD81" s="118"/>
      <c r="AE81" s="275">
        <v>6.9698000000000002</v>
      </c>
      <c r="AF81" s="275">
        <v>2.9910000000000001</v>
      </c>
      <c r="AG81" s="275">
        <v>0</v>
      </c>
      <c r="AH81" s="275">
        <v>210</v>
      </c>
      <c r="AI81" s="275">
        <v>84.478300000000004</v>
      </c>
      <c r="AJ81" s="49">
        <f t="shared" si="221"/>
        <v>3267.9301260000002</v>
      </c>
      <c r="AK81" s="49">
        <f t="shared" si="221"/>
        <v>3400.10898</v>
      </c>
      <c r="AL81" s="47">
        <f t="shared" si="221"/>
        <v>0</v>
      </c>
      <c r="AM81" s="47">
        <f t="shared" si="261"/>
        <v>0</v>
      </c>
      <c r="AN81" s="48">
        <f t="shared" si="262"/>
        <v>3267.9301260000002</v>
      </c>
      <c r="AO81" s="48">
        <f t="shared" si="263"/>
        <v>3400.10898</v>
      </c>
      <c r="AP81" s="93">
        <f t="shared" si="264"/>
        <v>3267.9301260000002</v>
      </c>
      <c r="AQ81" s="93">
        <f t="shared" si="265"/>
        <v>3400.10898</v>
      </c>
      <c r="AR81" s="118"/>
      <c r="AS81" s="275">
        <v>8.5961999999999996</v>
      </c>
      <c r="AT81" s="275">
        <v>3.2233999999999998</v>
      </c>
      <c r="AU81" s="275">
        <v>0</v>
      </c>
      <c r="AV81" s="275">
        <v>9581.2916999999998</v>
      </c>
      <c r="AW81" s="275">
        <v>4084.375</v>
      </c>
      <c r="AX81" s="49">
        <f t="shared" si="222"/>
        <v>2995.3458899999996</v>
      </c>
      <c r="AY81" s="49">
        <f t="shared" si="222"/>
        <v>2255.9609579999997</v>
      </c>
      <c r="AZ81" s="47">
        <f t="shared" si="222"/>
        <v>0</v>
      </c>
      <c r="BA81" s="47">
        <f t="shared" si="266"/>
        <v>0</v>
      </c>
      <c r="BB81" s="48">
        <f t="shared" si="267"/>
        <v>2995.3458899999996</v>
      </c>
      <c r="BC81" s="48">
        <f t="shared" si="268"/>
        <v>2255.9609579999997</v>
      </c>
      <c r="BD81" s="93">
        <f t="shared" si="269"/>
        <v>2995.3458899999996</v>
      </c>
      <c r="BE81" s="93">
        <f t="shared" si="270"/>
        <v>2255.9609579999997</v>
      </c>
      <c r="BF81" s="118"/>
      <c r="BG81" s="275">
        <v>8.4029000000000007</v>
      </c>
      <c r="BH81" s="275">
        <v>3.6669</v>
      </c>
      <c r="BI81" s="275">
        <v>0</v>
      </c>
      <c r="BJ81" s="275">
        <v>5988.8891999999996</v>
      </c>
      <c r="BK81" s="275">
        <v>2468.7874999999999</v>
      </c>
      <c r="BL81" s="49">
        <f t="shared" si="223"/>
        <v>2842.0288380000006</v>
      </c>
      <c r="BM81" s="49">
        <f t="shared" si="223"/>
        <v>2194.4929740000002</v>
      </c>
      <c r="BN81" s="47">
        <f t="shared" si="223"/>
        <v>0</v>
      </c>
      <c r="BO81" s="47">
        <f t="shared" si="271"/>
        <v>0</v>
      </c>
      <c r="BP81" s="48">
        <f t="shared" si="272"/>
        <v>2842.0288380000006</v>
      </c>
      <c r="BQ81" s="48">
        <f t="shared" si="273"/>
        <v>2194.4929740000002</v>
      </c>
      <c r="BR81" s="93">
        <f t="shared" si="274"/>
        <v>2842.0288380000006</v>
      </c>
      <c r="BS81" s="93">
        <f t="shared" si="275"/>
        <v>2194.4929740000002</v>
      </c>
      <c r="BT81" s="118"/>
      <c r="BU81" s="275">
        <v>8.3660999999999994</v>
      </c>
      <c r="BV81" s="275">
        <v>3.5409000000000002</v>
      </c>
      <c r="BW81" s="275">
        <v>0</v>
      </c>
      <c r="BX81" s="275">
        <v>6110.1967000000004</v>
      </c>
      <c r="BY81" s="275">
        <v>2205.7267000000002</v>
      </c>
      <c r="BZ81" s="49">
        <f t="shared" si="224"/>
        <v>1967.2047539999996</v>
      </c>
      <c r="CA81" s="49">
        <f t="shared" si="224"/>
        <v>1273.0597769999999</v>
      </c>
      <c r="CB81" s="47">
        <f t="shared" si="224"/>
        <v>0</v>
      </c>
      <c r="CC81" s="47">
        <f t="shared" si="276"/>
        <v>0</v>
      </c>
      <c r="CD81" s="48">
        <f t="shared" si="277"/>
        <v>1967.2047539999996</v>
      </c>
      <c r="CE81" s="48">
        <f t="shared" si="278"/>
        <v>1273.0597769999999</v>
      </c>
      <c r="CF81" s="93">
        <f t="shared" si="279"/>
        <v>1967.2047539999996</v>
      </c>
      <c r="CG81" s="93">
        <f t="shared" si="280"/>
        <v>1273.0597769999999</v>
      </c>
      <c r="CH81" s="118"/>
      <c r="CI81" s="275">
        <v>1.4423999999999999</v>
      </c>
      <c r="CJ81" s="275">
        <v>1.2045999999999999</v>
      </c>
      <c r="CK81" s="275">
        <v>0</v>
      </c>
      <c r="CL81" s="275">
        <v>21588.123299999999</v>
      </c>
      <c r="CM81" s="275">
        <v>8644.8824999999997</v>
      </c>
      <c r="CN81" s="49">
        <f t="shared" si="225"/>
        <v>297.71136000000001</v>
      </c>
      <c r="CO81" s="49">
        <f t="shared" si="225"/>
        <v>322.61597199999994</v>
      </c>
      <c r="CP81" s="47">
        <f t="shared" si="225"/>
        <v>0</v>
      </c>
      <c r="CQ81" s="47">
        <f t="shared" si="281"/>
        <v>0</v>
      </c>
      <c r="CR81" s="48">
        <f t="shared" si="282"/>
        <v>297.71136000000001</v>
      </c>
      <c r="CS81" s="48">
        <f t="shared" si="283"/>
        <v>322.61597199999994</v>
      </c>
      <c r="CT81" s="93">
        <f t="shared" si="284"/>
        <v>297.71136000000001</v>
      </c>
      <c r="CU81" s="93">
        <f t="shared" si="285"/>
        <v>322.61597199999994</v>
      </c>
      <c r="CV81" s="118"/>
      <c r="CW81" s="275">
        <v>3.0432000000000001</v>
      </c>
      <c r="CX81" s="275">
        <v>2.4011999999999998</v>
      </c>
      <c r="CY81" s="275">
        <v>0</v>
      </c>
      <c r="CZ81" s="275">
        <v>8843.8382999999994</v>
      </c>
      <c r="DA81" s="275">
        <v>3672.6475</v>
      </c>
      <c r="DB81" s="49">
        <f t="shared" si="226"/>
        <v>631.737888</v>
      </c>
      <c r="DC81" s="49">
        <f t="shared" si="226"/>
        <v>675.9618119999999</v>
      </c>
      <c r="DD81" s="47">
        <f t="shared" si="226"/>
        <v>0</v>
      </c>
      <c r="DE81" s="47">
        <f t="shared" si="286"/>
        <v>0</v>
      </c>
      <c r="DF81" s="48">
        <f t="shared" si="287"/>
        <v>631.737888</v>
      </c>
      <c r="DG81" s="48">
        <f t="shared" si="288"/>
        <v>675.9618119999999</v>
      </c>
      <c r="DH81" s="93">
        <f t="shared" si="289"/>
        <v>631.737888</v>
      </c>
      <c r="DI81" s="93">
        <f t="shared" si="290"/>
        <v>675.9618119999999</v>
      </c>
      <c r="DJ81" s="118"/>
      <c r="DK81" s="275">
        <v>2.7742</v>
      </c>
      <c r="DL81" s="275">
        <v>2.2951999999999999</v>
      </c>
      <c r="DM81" s="275">
        <v>0</v>
      </c>
      <c r="DN81" s="275">
        <v>3828.9274999999998</v>
      </c>
      <c r="DO81" s="275">
        <v>1647.2625</v>
      </c>
      <c r="DP81" s="49">
        <f t="shared" si="227"/>
        <v>377.95700800000003</v>
      </c>
      <c r="DQ81" s="49">
        <f t="shared" si="227"/>
        <v>452.86591199999998</v>
      </c>
      <c r="DR81" s="47">
        <f t="shared" si="227"/>
        <v>0</v>
      </c>
      <c r="DS81" s="47">
        <f t="shared" si="291"/>
        <v>0</v>
      </c>
      <c r="DT81" s="48">
        <f t="shared" si="292"/>
        <v>377.95700800000003</v>
      </c>
      <c r="DU81" s="48">
        <f t="shared" si="293"/>
        <v>452.86591199999998</v>
      </c>
      <c r="DV81" s="93">
        <f t="shared" si="294"/>
        <v>377.95700800000003</v>
      </c>
      <c r="DW81" s="93">
        <f t="shared" si="295"/>
        <v>452.86591199999998</v>
      </c>
      <c r="DX81" s="118"/>
      <c r="DY81" s="118"/>
      <c r="DZ81" s="118"/>
      <c r="EB81" s="52"/>
      <c r="EC81" s="52"/>
      <c r="ED81" s="52"/>
      <c r="EE81" s="55">
        <f t="shared" si="296"/>
        <v>48614.199099999998</v>
      </c>
      <c r="EF81" s="55">
        <f t="shared" si="296"/>
        <v>19877.364999999998</v>
      </c>
      <c r="EG81" s="55">
        <f t="shared" si="296"/>
        <v>7558.2222303999997</v>
      </c>
      <c r="EH81" s="55">
        <f t="shared" si="228"/>
        <v>6584.0660575999991</v>
      </c>
      <c r="EI81" s="298">
        <f t="shared" si="229"/>
        <v>0.70978374839011749</v>
      </c>
      <c r="EJ81" s="52"/>
      <c r="EK81" s="55">
        <f t="shared" si="297"/>
        <v>7558.2222303999997</v>
      </c>
      <c r="EL81" s="55">
        <f t="shared" si="297"/>
        <v>6584.0660575999991</v>
      </c>
      <c r="EM81" s="55">
        <f t="shared" si="297"/>
        <v>7558.2222303999997</v>
      </c>
      <c r="EN81" s="55">
        <f t="shared" si="297"/>
        <v>6584.0660575999991</v>
      </c>
      <c r="EP81" s="52"/>
      <c r="EQ81" s="52"/>
      <c r="ER81" s="52"/>
      <c r="ES81" s="55">
        <f t="shared" si="230"/>
        <v>39515.627500000002</v>
      </c>
      <c r="ET81" s="55">
        <f t="shared" si="230"/>
        <v>16067.039199999999</v>
      </c>
      <c r="EU81" s="55">
        <f t="shared" si="230"/>
        <v>6807.2036046000012</v>
      </c>
      <c r="EV81" s="55">
        <f t="shared" si="230"/>
        <v>6223.9970403999996</v>
      </c>
      <c r="EW81" s="298">
        <f t="shared" si="231"/>
        <v>0.7109343586064395</v>
      </c>
      <c r="EX81" s="52"/>
      <c r="EY81" s="55">
        <f t="shared" si="232"/>
        <v>6807.2036046000012</v>
      </c>
      <c r="EZ81" s="55">
        <f t="shared" si="232"/>
        <v>6223.9970403999996</v>
      </c>
      <c r="FA81" s="55">
        <f t="shared" si="232"/>
        <v>6807.2036046000012</v>
      </c>
      <c r="FB81" s="55">
        <f t="shared" si="232"/>
        <v>6223.9970403999996</v>
      </c>
      <c r="FD81" s="52"/>
      <c r="FE81" s="52"/>
      <c r="FF81" s="52"/>
      <c r="FG81" s="55">
        <f t="shared" si="233"/>
        <v>31737.247499999998</v>
      </c>
      <c r="FH81" s="55">
        <f t="shared" si="233"/>
        <v>12582.35</v>
      </c>
      <c r="FI81" s="55">
        <f t="shared" si="233"/>
        <v>5759.6204447999999</v>
      </c>
      <c r="FJ81" s="55">
        <f t="shared" si="233"/>
        <v>5267.5042761999994</v>
      </c>
      <c r="FK81" s="298">
        <f t="shared" si="234"/>
        <v>0.7160996328994188</v>
      </c>
      <c r="FL81" s="52"/>
      <c r="FM81" s="55">
        <f t="shared" si="235"/>
        <v>5759.6204447999999</v>
      </c>
      <c r="FN81" s="55">
        <f t="shared" si="235"/>
        <v>5267.5042761999994</v>
      </c>
      <c r="FO81" s="55">
        <f t="shared" si="235"/>
        <v>5759.6204447999999</v>
      </c>
      <c r="FP81" s="55">
        <f t="shared" si="235"/>
        <v>5267.5042761999994</v>
      </c>
      <c r="FR81" s="52"/>
      <c r="FS81" s="52"/>
      <c r="FT81" s="52"/>
      <c r="FU81" s="55">
        <f t="shared" si="236"/>
        <v>30431.961599999999</v>
      </c>
      <c r="FV81" s="55">
        <f t="shared" si="236"/>
        <v>12317.529999999999</v>
      </c>
      <c r="FW81" s="55">
        <f t="shared" si="236"/>
        <v>803.1016704000001</v>
      </c>
      <c r="FX81" s="55">
        <f t="shared" si="236"/>
        <v>863.38542159999986</v>
      </c>
      <c r="FY81" s="298">
        <f t="shared" si="237"/>
        <v>0.71186721668521558</v>
      </c>
      <c r="FZ81" s="52"/>
      <c r="GA81" s="55">
        <f t="shared" si="238"/>
        <v>803.1016704000001</v>
      </c>
      <c r="GB81" s="55">
        <f t="shared" si="238"/>
        <v>863.38542159999986</v>
      </c>
      <c r="GC81" s="55">
        <f t="shared" si="238"/>
        <v>803.1016704000001</v>
      </c>
      <c r="GD81" s="55">
        <f t="shared" si="238"/>
        <v>863.38542159999986</v>
      </c>
      <c r="GF81" s="52"/>
      <c r="GG81" s="52"/>
      <c r="GH81" s="52"/>
      <c r="GI81" s="55">
        <f t="shared" si="239"/>
        <v>15691.4884</v>
      </c>
      <c r="GJ81" s="55">
        <f t="shared" si="239"/>
        <v>6290.1017000000002</v>
      </c>
      <c r="GK81" s="56">
        <f t="shared" si="240"/>
        <v>771.10585199999991</v>
      </c>
      <c r="GL81" s="56">
        <f t="shared" si="240"/>
        <v>737.17588574999979</v>
      </c>
      <c r="GM81" s="298">
        <f t="shared" si="241"/>
        <v>0.71384682948846356</v>
      </c>
      <c r="GN81" s="52"/>
      <c r="GO81" s="56">
        <f t="shared" si="242"/>
        <v>771.10585199999991</v>
      </c>
      <c r="GP81" s="56">
        <f t="shared" si="242"/>
        <v>737.17588574999979</v>
      </c>
      <c r="GQ81" s="56">
        <f t="shared" si="242"/>
        <v>771.10585199999991</v>
      </c>
      <c r="GR81" s="56">
        <f t="shared" si="242"/>
        <v>737.17588574999979</v>
      </c>
      <c r="GW81" s="275">
        <v>4.5076999999999998</v>
      </c>
      <c r="GX81" s="275">
        <v>2.3054999999999999</v>
      </c>
      <c r="GY81" s="275">
        <v>0</v>
      </c>
      <c r="GZ81" s="275">
        <v>1447.4825000000001</v>
      </c>
      <c r="HA81" s="275">
        <v>583.03250000000003</v>
      </c>
      <c r="HB81" s="49">
        <f t="shared" si="243"/>
        <v>2960.6122829999999</v>
      </c>
      <c r="HC81" s="49">
        <f t="shared" si="244"/>
        <v>3130.4309549999998</v>
      </c>
      <c r="HD81" s="47">
        <f t="shared" si="245"/>
        <v>0</v>
      </c>
      <c r="HE81" s="47">
        <f t="shared" si="298"/>
        <v>0</v>
      </c>
      <c r="HF81" s="48">
        <f t="shared" si="299"/>
        <v>2960.6122829999999</v>
      </c>
      <c r="HG81" s="48">
        <f t="shared" si="300"/>
        <v>3130.4309549999998</v>
      </c>
      <c r="HH81" s="93">
        <f t="shared" si="301"/>
        <v>2960.6122829999999</v>
      </c>
      <c r="HI81" s="93">
        <f t="shared" si="302"/>
        <v>3130.4309549999998</v>
      </c>
      <c r="HJ81" s="298">
        <f t="shared" si="246"/>
        <v>0.71286471658667871</v>
      </c>
      <c r="HL81" s="275">
        <v>5.9702000000000002</v>
      </c>
      <c r="HM81" s="275">
        <v>4.4580000000000002</v>
      </c>
      <c r="HN81" s="275">
        <v>0</v>
      </c>
      <c r="HO81" s="275">
        <v>558.30499999999995</v>
      </c>
      <c r="HP81" s="275">
        <v>217.91669999999999</v>
      </c>
      <c r="HQ81" s="49">
        <f t="shared" si="247"/>
        <v>3174.05683</v>
      </c>
      <c r="HR81" s="49">
        <f t="shared" si="248"/>
        <v>3457.3127399999998</v>
      </c>
      <c r="HS81" s="47">
        <f t="shared" si="249"/>
        <v>0</v>
      </c>
      <c r="HT81" s="47">
        <f t="shared" si="303"/>
        <v>0</v>
      </c>
      <c r="HU81" s="48">
        <f t="shared" si="304"/>
        <v>3174.05683</v>
      </c>
      <c r="HV81" s="48">
        <f t="shared" si="305"/>
        <v>3457.3127399999998</v>
      </c>
      <c r="HW81" s="93">
        <f t="shared" si="306"/>
        <v>3174.05683</v>
      </c>
      <c r="HX81" s="93">
        <f t="shared" si="307"/>
        <v>3457.3127399999998</v>
      </c>
      <c r="HY81" s="298">
        <f t="shared" si="250"/>
        <v>0.71925971665053934</v>
      </c>
    </row>
    <row r="82" spans="1:233" s="131" customFormat="1" x14ac:dyDescent="0.2">
      <c r="A82" s="118">
        <v>72</v>
      </c>
      <c r="B82" s="118"/>
      <c r="C82" s="275">
        <v>3.9586000000000001</v>
      </c>
      <c r="D82" s="275">
        <v>1.9934000000000001</v>
      </c>
      <c r="E82" s="275">
        <v>0</v>
      </c>
      <c r="F82" s="275">
        <v>7937.6382999999996</v>
      </c>
      <c r="G82" s="275">
        <v>3369.3858</v>
      </c>
      <c r="H82" s="49">
        <f t="shared" si="218"/>
        <v>3915.25333</v>
      </c>
      <c r="I82" s="49">
        <f t="shared" si="218"/>
        <v>3591.7479880000001</v>
      </c>
      <c r="J82" s="47">
        <f t="shared" si="218"/>
        <v>0</v>
      </c>
      <c r="K82" s="47">
        <f t="shared" si="251"/>
        <v>0</v>
      </c>
      <c r="L82" s="48">
        <f t="shared" si="252"/>
        <v>3915.25333</v>
      </c>
      <c r="M82" s="48">
        <f t="shared" si="253"/>
        <v>3591.7479880000001</v>
      </c>
      <c r="N82" s="93">
        <f t="shared" si="254"/>
        <v>3915.25333</v>
      </c>
      <c r="O82" s="93">
        <f t="shared" si="255"/>
        <v>3591.7479880000001</v>
      </c>
      <c r="P82" s="298">
        <f t="shared" si="219"/>
        <v>0.70200949691086278</v>
      </c>
      <c r="Q82" s="275">
        <v>5.5720999999999998</v>
      </c>
      <c r="R82" s="275">
        <v>2.9087000000000001</v>
      </c>
      <c r="S82" s="275">
        <v>0</v>
      </c>
      <c r="T82" s="275">
        <v>2933.6667000000002</v>
      </c>
      <c r="U82" s="275">
        <v>1156.9617000000001</v>
      </c>
      <c r="V82" s="49">
        <f t="shared" si="220"/>
        <v>3415.6415790000001</v>
      </c>
      <c r="W82" s="49">
        <f t="shared" si="220"/>
        <v>3376.0117420000001</v>
      </c>
      <c r="X82" s="47">
        <f t="shared" si="220"/>
        <v>0</v>
      </c>
      <c r="Y82" s="47">
        <f t="shared" si="256"/>
        <v>0</v>
      </c>
      <c r="Z82" s="48">
        <f t="shared" si="257"/>
        <v>3415.6415790000001</v>
      </c>
      <c r="AA82" s="48">
        <f t="shared" si="258"/>
        <v>3376.0117420000001</v>
      </c>
      <c r="AB82" s="93">
        <f t="shared" si="259"/>
        <v>3415.6415790000001</v>
      </c>
      <c r="AC82" s="93">
        <f t="shared" si="260"/>
        <v>3376.0117420000001</v>
      </c>
      <c r="AD82" s="118"/>
      <c r="AE82" s="275">
        <v>7.2835999999999999</v>
      </c>
      <c r="AF82" s="275">
        <v>3.0945999999999998</v>
      </c>
      <c r="AG82" s="275">
        <v>0</v>
      </c>
      <c r="AH82" s="275">
        <v>200.05420000000001</v>
      </c>
      <c r="AI82" s="275">
        <v>85.666700000000006</v>
      </c>
      <c r="AJ82" s="49">
        <f t="shared" si="221"/>
        <v>3415.0615320000002</v>
      </c>
      <c r="AK82" s="49">
        <f t="shared" si="221"/>
        <v>3517.8793879999998</v>
      </c>
      <c r="AL82" s="47">
        <f t="shared" si="221"/>
        <v>0</v>
      </c>
      <c r="AM82" s="47">
        <f t="shared" si="261"/>
        <v>0</v>
      </c>
      <c r="AN82" s="48">
        <f t="shared" si="262"/>
        <v>3415.0615320000002</v>
      </c>
      <c r="AO82" s="48">
        <f t="shared" si="263"/>
        <v>3517.8793879999998</v>
      </c>
      <c r="AP82" s="93">
        <f t="shared" si="264"/>
        <v>3415.0615320000002</v>
      </c>
      <c r="AQ82" s="93">
        <f t="shared" si="265"/>
        <v>3517.8793879999998</v>
      </c>
      <c r="AR82" s="118"/>
      <c r="AS82" s="275">
        <v>9.1196999999999999</v>
      </c>
      <c r="AT82" s="275">
        <v>3.4567000000000001</v>
      </c>
      <c r="AU82" s="275">
        <v>0</v>
      </c>
      <c r="AV82" s="275">
        <v>8980.9066999999995</v>
      </c>
      <c r="AW82" s="275">
        <v>3996.46</v>
      </c>
      <c r="AX82" s="49">
        <f t="shared" si="222"/>
        <v>3177.7594650000001</v>
      </c>
      <c r="AY82" s="49">
        <f t="shared" si="222"/>
        <v>2419.2406289999999</v>
      </c>
      <c r="AZ82" s="47">
        <f t="shared" si="222"/>
        <v>0</v>
      </c>
      <c r="BA82" s="47">
        <f t="shared" si="266"/>
        <v>0</v>
      </c>
      <c r="BB82" s="48">
        <f t="shared" si="267"/>
        <v>3177.7594650000001</v>
      </c>
      <c r="BC82" s="48">
        <f t="shared" si="268"/>
        <v>2419.2406289999999</v>
      </c>
      <c r="BD82" s="93">
        <f t="shared" si="269"/>
        <v>3177.7594650000001</v>
      </c>
      <c r="BE82" s="93">
        <f t="shared" si="270"/>
        <v>2419.2406289999999</v>
      </c>
      <c r="BF82" s="118"/>
      <c r="BG82" s="275">
        <v>8.9110999999999994</v>
      </c>
      <c r="BH82" s="275">
        <v>3.9131</v>
      </c>
      <c r="BI82" s="275">
        <v>0</v>
      </c>
      <c r="BJ82" s="275">
        <v>5454.11</v>
      </c>
      <c r="BK82" s="275">
        <v>2334.69</v>
      </c>
      <c r="BL82" s="49">
        <f t="shared" si="223"/>
        <v>3013.9122419999999</v>
      </c>
      <c r="BM82" s="49">
        <f t="shared" si="223"/>
        <v>2341.833826</v>
      </c>
      <c r="BN82" s="47">
        <f t="shared" si="223"/>
        <v>0</v>
      </c>
      <c r="BO82" s="47">
        <f t="shared" si="271"/>
        <v>0</v>
      </c>
      <c r="BP82" s="48">
        <f t="shared" si="272"/>
        <v>3013.9122419999999</v>
      </c>
      <c r="BQ82" s="48">
        <f t="shared" si="273"/>
        <v>2341.833826</v>
      </c>
      <c r="BR82" s="93">
        <f t="shared" si="274"/>
        <v>3013.9122419999999</v>
      </c>
      <c r="BS82" s="93">
        <f t="shared" si="275"/>
        <v>2341.833826</v>
      </c>
      <c r="BT82" s="118"/>
      <c r="BU82" s="275">
        <v>8.8857999999999997</v>
      </c>
      <c r="BV82" s="275">
        <v>3.8166000000000002</v>
      </c>
      <c r="BW82" s="275">
        <v>0</v>
      </c>
      <c r="BX82" s="275">
        <v>5773.4708000000001</v>
      </c>
      <c r="BY82" s="275">
        <v>1988.7908</v>
      </c>
      <c r="BZ82" s="49">
        <f t="shared" si="224"/>
        <v>2089.4070119999997</v>
      </c>
      <c r="CA82" s="49">
        <f t="shared" si="224"/>
        <v>1372.182198</v>
      </c>
      <c r="CB82" s="47">
        <f t="shared" si="224"/>
        <v>0</v>
      </c>
      <c r="CC82" s="47">
        <f t="shared" si="276"/>
        <v>0</v>
      </c>
      <c r="CD82" s="48">
        <f t="shared" si="277"/>
        <v>2089.4070119999997</v>
      </c>
      <c r="CE82" s="48">
        <f t="shared" si="278"/>
        <v>1372.182198</v>
      </c>
      <c r="CF82" s="93">
        <f t="shared" si="279"/>
        <v>2089.4070119999997</v>
      </c>
      <c r="CG82" s="93">
        <f t="shared" si="280"/>
        <v>1372.182198</v>
      </c>
      <c r="CH82" s="118"/>
      <c r="CI82" s="275">
        <v>1.4550000000000001</v>
      </c>
      <c r="CJ82" s="275">
        <v>1.2063999999999999</v>
      </c>
      <c r="CK82" s="275">
        <v>0</v>
      </c>
      <c r="CL82" s="275">
        <v>20084.291700000002</v>
      </c>
      <c r="CM82" s="275">
        <v>8139.5658000000003</v>
      </c>
      <c r="CN82" s="49">
        <f t="shared" si="225"/>
        <v>300.31200000000001</v>
      </c>
      <c r="CO82" s="49">
        <f t="shared" si="225"/>
        <v>323.09804799999995</v>
      </c>
      <c r="CP82" s="47">
        <f t="shared" si="225"/>
        <v>0</v>
      </c>
      <c r="CQ82" s="47">
        <f t="shared" si="281"/>
        <v>0</v>
      </c>
      <c r="CR82" s="48">
        <f t="shared" si="282"/>
        <v>300.31200000000001</v>
      </c>
      <c r="CS82" s="48">
        <f t="shared" si="283"/>
        <v>323.09804799999995</v>
      </c>
      <c r="CT82" s="93">
        <f t="shared" si="284"/>
        <v>300.31200000000001</v>
      </c>
      <c r="CU82" s="93">
        <f t="shared" si="285"/>
        <v>323.09804799999995</v>
      </c>
      <c r="CV82" s="118"/>
      <c r="CW82" s="275">
        <v>3.0564</v>
      </c>
      <c r="CX82" s="275">
        <v>2.4053</v>
      </c>
      <c r="CY82" s="275">
        <v>0</v>
      </c>
      <c r="CZ82" s="275">
        <v>8274.0807999999997</v>
      </c>
      <c r="DA82" s="275">
        <v>3369.2624999999998</v>
      </c>
      <c r="DB82" s="49">
        <f t="shared" si="226"/>
        <v>634.47807599999999</v>
      </c>
      <c r="DC82" s="49">
        <f t="shared" si="226"/>
        <v>677.11600299999998</v>
      </c>
      <c r="DD82" s="47">
        <f t="shared" si="226"/>
        <v>0</v>
      </c>
      <c r="DE82" s="47">
        <f t="shared" si="286"/>
        <v>0</v>
      </c>
      <c r="DF82" s="48">
        <f t="shared" si="287"/>
        <v>634.47807599999999</v>
      </c>
      <c r="DG82" s="48">
        <f t="shared" si="288"/>
        <v>677.11600299999998</v>
      </c>
      <c r="DH82" s="93">
        <f t="shared" si="289"/>
        <v>634.47807599999999</v>
      </c>
      <c r="DI82" s="93">
        <f t="shared" si="290"/>
        <v>677.11600299999998</v>
      </c>
      <c r="DJ82" s="118"/>
      <c r="DK82" s="275">
        <v>2.8449</v>
      </c>
      <c r="DL82" s="275">
        <v>2.3302999999999998</v>
      </c>
      <c r="DM82" s="275">
        <v>0</v>
      </c>
      <c r="DN82" s="275">
        <v>3633.8458000000001</v>
      </c>
      <c r="DO82" s="275">
        <v>1567.86</v>
      </c>
      <c r="DP82" s="49">
        <f t="shared" si="227"/>
        <v>387.58917600000001</v>
      </c>
      <c r="DQ82" s="49">
        <f t="shared" si="227"/>
        <v>459.79149299999995</v>
      </c>
      <c r="DR82" s="47">
        <f t="shared" si="227"/>
        <v>0</v>
      </c>
      <c r="DS82" s="47">
        <f t="shared" si="291"/>
        <v>0</v>
      </c>
      <c r="DT82" s="48">
        <f t="shared" si="292"/>
        <v>387.58917600000001</v>
      </c>
      <c r="DU82" s="48">
        <f t="shared" si="293"/>
        <v>459.79149299999995</v>
      </c>
      <c r="DV82" s="93">
        <f t="shared" si="294"/>
        <v>387.58917600000001</v>
      </c>
      <c r="DW82" s="93">
        <f t="shared" si="295"/>
        <v>459.79149299999995</v>
      </c>
      <c r="DX82" s="118"/>
      <c r="DY82" s="118"/>
      <c r="DZ82" s="118"/>
      <c r="EB82" s="52"/>
      <c r="EC82" s="52"/>
      <c r="ED82" s="52"/>
      <c r="EE82" s="55">
        <f t="shared" si="296"/>
        <v>45276.917499999996</v>
      </c>
      <c r="EF82" s="55">
        <f t="shared" si="296"/>
        <v>18874.6741</v>
      </c>
      <c r="EG82" s="55">
        <f t="shared" si="296"/>
        <v>7900.9072558000007</v>
      </c>
      <c r="EH82" s="55">
        <f t="shared" si="228"/>
        <v>6875.7794673999997</v>
      </c>
      <c r="EI82" s="298">
        <f t="shared" si="229"/>
        <v>0.7057801119310031</v>
      </c>
      <c r="EJ82" s="52"/>
      <c r="EK82" s="55">
        <f t="shared" si="297"/>
        <v>7900.9072558000007</v>
      </c>
      <c r="EL82" s="55">
        <f t="shared" si="297"/>
        <v>6875.7794673999997</v>
      </c>
      <c r="EM82" s="55">
        <f t="shared" si="297"/>
        <v>7900.9072558000007</v>
      </c>
      <c r="EN82" s="55">
        <f t="shared" si="297"/>
        <v>6875.7794673999997</v>
      </c>
      <c r="EP82" s="52"/>
      <c r="EQ82" s="52"/>
      <c r="ER82" s="52"/>
      <c r="ES82" s="55">
        <f t="shared" si="230"/>
        <v>36746.1492</v>
      </c>
      <c r="ET82" s="55">
        <f t="shared" si="230"/>
        <v>15000.48</v>
      </c>
      <c r="EU82" s="55">
        <f t="shared" si="230"/>
        <v>7174.0004741999992</v>
      </c>
      <c r="EV82" s="55">
        <f t="shared" si="230"/>
        <v>6514.9248181000003</v>
      </c>
      <c r="EW82" s="298">
        <f t="shared" si="231"/>
        <v>0.71011677027264231</v>
      </c>
      <c r="EX82" s="52"/>
      <c r="EY82" s="55">
        <f t="shared" si="232"/>
        <v>7174.0004741999992</v>
      </c>
      <c r="EZ82" s="55">
        <f t="shared" si="232"/>
        <v>6514.9248181000003</v>
      </c>
      <c r="FA82" s="55">
        <f t="shared" si="232"/>
        <v>7174.0004741999992</v>
      </c>
      <c r="FB82" s="55">
        <f t="shared" si="232"/>
        <v>6514.9248181000003</v>
      </c>
      <c r="FD82" s="52"/>
      <c r="FE82" s="52"/>
      <c r="FF82" s="52"/>
      <c r="FG82" s="55">
        <f t="shared" si="233"/>
        <v>29691.662500000002</v>
      </c>
      <c r="FH82" s="55">
        <f t="shared" si="233"/>
        <v>11781.883300000001</v>
      </c>
      <c r="FI82" s="55">
        <f t="shared" si="233"/>
        <v>6037.3340495999992</v>
      </c>
      <c r="FJ82" s="55">
        <f t="shared" si="233"/>
        <v>5489.0345297999993</v>
      </c>
      <c r="FK82" s="298">
        <f t="shared" si="234"/>
        <v>0.71591810941807621</v>
      </c>
      <c r="FL82" s="52"/>
      <c r="FM82" s="55">
        <f t="shared" si="235"/>
        <v>6037.3340495999992</v>
      </c>
      <c r="FN82" s="55">
        <f t="shared" si="235"/>
        <v>5489.0345297999993</v>
      </c>
      <c r="FO82" s="55">
        <f t="shared" si="235"/>
        <v>6037.3340495999992</v>
      </c>
      <c r="FP82" s="55">
        <f t="shared" si="235"/>
        <v>5489.0345297999993</v>
      </c>
      <c r="FR82" s="52"/>
      <c r="FS82" s="52"/>
      <c r="FT82" s="52"/>
      <c r="FU82" s="55">
        <f t="shared" si="236"/>
        <v>28358.372500000001</v>
      </c>
      <c r="FV82" s="55">
        <f t="shared" si="236"/>
        <v>11508.828300000001</v>
      </c>
      <c r="FW82" s="55">
        <f t="shared" si="236"/>
        <v>807.89446080000005</v>
      </c>
      <c r="FX82" s="55">
        <f t="shared" si="236"/>
        <v>864.79085039999995</v>
      </c>
      <c r="FY82" s="298">
        <f t="shared" si="237"/>
        <v>0.71132088360715806</v>
      </c>
      <c r="FZ82" s="52"/>
      <c r="GA82" s="55">
        <f t="shared" si="238"/>
        <v>807.89446080000005</v>
      </c>
      <c r="GB82" s="55">
        <f t="shared" si="238"/>
        <v>864.79085039999995</v>
      </c>
      <c r="GC82" s="55">
        <f t="shared" si="238"/>
        <v>807.89446080000005</v>
      </c>
      <c r="GD82" s="55">
        <f t="shared" si="238"/>
        <v>864.79085039999995</v>
      </c>
      <c r="GF82" s="52"/>
      <c r="GG82" s="52"/>
      <c r="GH82" s="52"/>
      <c r="GI82" s="55">
        <f t="shared" si="239"/>
        <v>14754.377499999999</v>
      </c>
      <c r="GJ82" s="55">
        <f t="shared" si="239"/>
        <v>5985.2507999999998</v>
      </c>
      <c r="GK82" s="56">
        <f t="shared" si="240"/>
        <v>816.26433975000032</v>
      </c>
      <c r="GL82" s="56">
        <f t="shared" si="240"/>
        <v>785.29382324999995</v>
      </c>
      <c r="GM82" s="298">
        <f t="shared" si="241"/>
        <v>0.71140992917409229</v>
      </c>
      <c r="GN82" s="52"/>
      <c r="GO82" s="56">
        <f t="shared" si="242"/>
        <v>816.26433975000032</v>
      </c>
      <c r="GP82" s="56">
        <f t="shared" si="242"/>
        <v>785.29382324999995</v>
      </c>
      <c r="GQ82" s="56">
        <f t="shared" si="242"/>
        <v>816.26433975000032</v>
      </c>
      <c r="GR82" s="56">
        <f t="shared" si="242"/>
        <v>785.29382324999995</v>
      </c>
      <c r="GW82" s="275">
        <v>4.7417999999999996</v>
      </c>
      <c r="GX82" s="275">
        <v>2.4066000000000001</v>
      </c>
      <c r="GY82" s="275">
        <v>0</v>
      </c>
      <c r="GZ82" s="275">
        <v>1296.4241999999999</v>
      </c>
      <c r="HA82" s="275">
        <v>556.92169999999999</v>
      </c>
      <c r="HB82" s="49">
        <f t="shared" si="243"/>
        <v>3114.3668219999995</v>
      </c>
      <c r="HC82" s="49">
        <f t="shared" si="244"/>
        <v>3267.7055460000001</v>
      </c>
      <c r="HD82" s="47">
        <f t="shared" si="245"/>
        <v>0</v>
      </c>
      <c r="HE82" s="47">
        <f t="shared" si="298"/>
        <v>0</v>
      </c>
      <c r="HF82" s="48">
        <f t="shared" si="299"/>
        <v>3114.3668219999995</v>
      </c>
      <c r="HG82" s="48">
        <f t="shared" si="300"/>
        <v>3267.7055460000001</v>
      </c>
      <c r="HH82" s="93">
        <f t="shared" si="301"/>
        <v>3114.3668219999995</v>
      </c>
      <c r="HI82" s="93">
        <f t="shared" si="302"/>
        <v>3267.7055460000001</v>
      </c>
      <c r="HJ82" s="298">
        <f t="shared" si="246"/>
        <v>0.6995047173870782</v>
      </c>
      <c r="HL82" s="275">
        <v>6.2850999999999999</v>
      </c>
      <c r="HM82" s="275">
        <v>4.6585000000000001</v>
      </c>
      <c r="HN82" s="275">
        <v>0</v>
      </c>
      <c r="HO82" s="275">
        <v>562.6567</v>
      </c>
      <c r="HP82" s="275">
        <v>176.21170000000001</v>
      </c>
      <c r="HQ82" s="49">
        <f t="shared" si="247"/>
        <v>3341.4734149999999</v>
      </c>
      <c r="HR82" s="49">
        <f t="shared" si="248"/>
        <v>3612.806505</v>
      </c>
      <c r="HS82" s="47">
        <f t="shared" si="249"/>
        <v>0</v>
      </c>
      <c r="HT82" s="47">
        <f t="shared" si="303"/>
        <v>0</v>
      </c>
      <c r="HU82" s="48">
        <f t="shared" si="304"/>
        <v>3341.4734149999999</v>
      </c>
      <c r="HV82" s="48">
        <f t="shared" si="305"/>
        <v>3612.806505</v>
      </c>
      <c r="HW82" s="93">
        <f t="shared" si="306"/>
        <v>3341.4734149999999</v>
      </c>
      <c r="HX82" s="93">
        <f t="shared" si="307"/>
        <v>3612.806505</v>
      </c>
      <c r="HY82" s="298">
        <f t="shared" si="250"/>
        <v>0.76151138687214115</v>
      </c>
    </row>
    <row r="83" spans="1:233" s="131" customFormat="1" x14ac:dyDescent="0.2">
      <c r="A83" s="118">
        <v>73</v>
      </c>
      <c r="B83" s="118"/>
      <c r="C83" s="275">
        <v>4.1158000000000001</v>
      </c>
      <c r="D83" s="275">
        <v>2.0649999999999999</v>
      </c>
      <c r="E83" s="275">
        <v>0</v>
      </c>
      <c r="F83" s="275">
        <v>6616.0567000000001</v>
      </c>
      <c r="G83" s="275">
        <v>2810.1116999999999</v>
      </c>
      <c r="H83" s="49">
        <f t="shared" si="218"/>
        <v>4070.7319899999998</v>
      </c>
      <c r="I83" s="49">
        <f t="shared" si="218"/>
        <v>3720.7583</v>
      </c>
      <c r="J83" s="47">
        <f t="shared" si="218"/>
        <v>0</v>
      </c>
      <c r="K83" s="47">
        <f t="shared" si="251"/>
        <v>0</v>
      </c>
      <c r="L83" s="48">
        <f t="shared" si="252"/>
        <v>4070.7319899999998</v>
      </c>
      <c r="M83" s="48">
        <f t="shared" si="253"/>
        <v>3720.7583</v>
      </c>
      <c r="N83" s="93">
        <f t="shared" si="254"/>
        <v>4070.7319899999998</v>
      </c>
      <c r="O83" s="93">
        <f t="shared" si="255"/>
        <v>3720.7583</v>
      </c>
      <c r="P83" s="298">
        <f t="shared" si="219"/>
        <v>0.70188186962583865</v>
      </c>
      <c r="Q83" s="275">
        <v>5.8917999999999999</v>
      </c>
      <c r="R83" s="275">
        <v>3.0316999999999998</v>
      </c>
      <c r="S83" s="275">
        <v>0</v>
      </c>
      <c r="T83" s="275">
        <v>2447.3833</v>
      </c>
      <c r="U83" s="275">
        <v>1002.2883</v>
      </c>
      <c r="V83" s="49">
        <f t="shared" si="220"/>
        <v>3611.614482</v>
      </c>
      <c r="W83" s="49">
        <f t="shared" si="220"/>
        <v>3518.7729220000001</v>
      </c>
      <c r="X83" s="47">
        <f t="shared" si="220"/>
        <v>0</v>
      </c>
      <c r="Y83" s="47">
        <f t="shared" si="256"/>
        <v>0</v>
      </c>
      <c r="Z83" s="48">
        <f t="shared" si="257"/>
        <v>3611.614482</v>
      </c>
      <c r="AA83" s="48">
        <f t="shared" si="258"/>
        <v>3518.7729220000001</v>
      </c>
      <c r="AB83" s="93">
        <f t="shared" si="259"/>
        <v>3611.614482</v>
      </c>
      <c r="AC83" s="93">
        <f t="shared" si="260"/>
        <v>3518.7729220000001</v>
      </c>
      <c r="AD83" s="118"/>
      <c r="AE83" s="275">
        <v>7.6012000000000004</v>
      </c>
      <c r="AF83" s="275">
        <v>3.2008999999999999</v>
      </c>
      <c r="AG83" s="275">
        <v>0</v>
      </c>
      <c r="AH83" s="275">
        <v>152.30420000000001</v>
      </c>
      <c r="AI83" s="275">
        <v>72.916700000000006</v>
      </c>
      <c r="AJ83" s="49">
        <f t="shared" si="221"/>
        <v>3563.9746440000004</v>
      </c>
      <c r="AK83" s="49">
        <f t="shared" si="221"/>
        <v>3638.7191019999996</v>
      </c>
      <c r="AL83" s="47">
        <f t="shared" si="221"/>
        <v>0</v>
      </c>
      <c r="AM83" s="47">
        <f t="shared" si="261"/>
        <v>0</v>
      </c>
      <c r="AN83" s="48">
        <f t="shared" si="262"/>
        <v>3563.9746440000004</v>
      </c>
      <c r="AO83" s="48">
        <f t="shared" si="263"/>
        <v>3638.7191019999996</v>
      </c>
      <c r="AP83" s="93">
        <f t="shared" si="264"/>
        <v>3563.9746440000004</v>
      </c>
      <c r="AQ83" s="93">
        <f t="shared" si="265"/>
        <v>3638.7191019999996</v>
      </c>
      <c r="AR83" s="118"/>
      <c r="AS83" s="275">
        <v>9.6636000000000006</v>
      </c>
      <c r="AT83" s="275">
        <v>3.6993999999999998</v>
      </c>
      <c r="AU83" s="275">
        <v>0</v>
      </c>
      <c r="AV83" s="275">
        <v>7431.8424999999997</v>
      </c>
      <c r="AW83" s="275">
        <v>3358.3966999999998</v>
      </c>
      <c r="AX83" s="49">
        <f t="shared" si="222"/>
        <v>3367.2814200000003</v>
      </c>
      <c r="AY83" s="49">
        <f t="shared" si="222"/>
        <v>2589.0990779999997</v>
      </c>
      <c r="AZ83" s="47">
        <f t="shared" si="222"/>
        <v>0</v>
      </c>
      <c r="BA83" s="47">
        <f t="shared" si="266"/>
        <v>0</v>
      </c>
      <c r="BB83" s="48">
        <f t="shared" si="267"/>
        <v>3367.2814200000003</v>
      </c>
      <c r="BC83" s="48">
        <f t="shared" si="268"/>
        <v>2589.0990779999997</v>
      </c>
      <c r="BD83" s="93">
        <f t="shared" si="269"/>
        <v>3367.2814200000003</v>
      </c>
      <c r="BE83" s="93">
        <f t="shared" si="270"/>
        <v>2589.0990779999997</v>
      </c>
      <c r="BF83" s="118"/>
      <c r="BG83" s="275">
        <v>9.4341000000000008</v>
      </c>
      <c r="BH83" s="275">
        <v>4.1707999999999998</v>
      </c>
      <c r="BI83" s="275">
        <v>0</v>
      </c>
      <c r="BJ83" s="275">
        <v>4630.7116999999998</v>
      </c>
      <c r="BK83" s="275">
        <v>2038.4641999999999</v>
      </c>
      <c r="BL83" s="49">
        <f t="shared" si="223"/>
        <v>3190.8013020000008</v>
      </c>
      <c r="BM83" s="49">
        <f t="shared" si="223"/>
        <v>2496.0569679999999</v>
      </c>
      <c r="BN83" s="47">
        <f t="shared" si="223"/>
        <v>0</v>
      </c>
      <c r="BO83" s="47">
        <f t="shared" si="271"/>
        <v>0</v>
      </c>
      <c r="BP83" s="48">
        <f t="shared" si="272"/>
        <v>3190.8013020000008</v>
      </c>
      <c r="BQ83" s="48">
        <f t="shared" si="273"/>
        <v>2496.0569679999999</v>
      </c>
      <c r="BR83" s="93">
        <f t="shared" si="274"/>
        <v>3190.8013020000008</v>
      </c>
      <c r="BS83" s="93">
        <f t="shared" si="275"/>
        <v>2496.0569679999999</v>
      </c>
      <c r="BT83" s="118"/>
      <c r="BU83" s="275">
        <v>9.4113000000000007</v>
      </c>
      <c r="BV83" s="275">
        <v>4.0960999999999999</v>
      </c>
      <c r="BW83" s="275">
        <v>0</v>
      </c>
      <c r="BX83" s="275">
        <v>4915.68</v>
      </c>
      <c r="BY83" s="275">
        <v>1716.2950000000001</v>
      </c>
      <c r="BZ83" s="49">
        <f t="shared" si="224"/>
        <v>2212.973082</v>
      </c>
      <c r="CA83" s="49">
        <f t="shared" si="224"/>
        <v>1472.6708329999999</v>
      </c>
      <c r="CB83" s="47">
        <f t="shared" si="224"/>
        <v>0</v>
      </c>
      <c r="CC83" s="47">
        <f t="shared" si="276"/>
        <v>0</v>
      </c>
      <c r="CD83" s="48">
        <f t="shared" si="277"/>
        <v>2212.973082</v>
      </c>
      <c r="CE83" s="48">
        <f t="shared" si="278"/>
        <v>1472.6708329999999</v>
      </c>
      <c r="CF83" s="93">
        <f t="shared" si="279"/>
        <v>2212.973082</v>
      </c>
      <c r="CG83" s="93">
        <f t="shared" si="280"/>
        <v>1472.6708329999999</v>
      </c>
      <c r="CH83" s="118"/>
      <c r="CI83" s="275">
        <v>1.4653</v>
      </c>
      <c r="CJ83" s="275">
        <v>1.2040999999999999</v>
      </c>
      <c r="CK83" s="275">
        <v>0</v>
      </c>
      <c r="CL83" s="275">
        <v>16819.904200000001</v>
      </c>
      <c r="CM83" s="275">
        <v>6930.2016999999996</v>
      </c>
      <c r="CN83" s="49">
        <f t="shared" si="225"/>
        <v>302.43792000000002</v>
      </c>
      <c r="CO83" s="49">
        <f t="shared" si="225"/>
        <v>322.48206199999998</v>
      </c>
      <c r="CP83" s="47">
        <f t="shared" si="225"/>
        <v>0</v>
      </c>
      <c r="CQ83" s="47">
        <f t="shared" si="281"/>
        <v>0</v>
      </c>
      <c r="CR83" s="48">
        <f t="shared" si="282"/>
        <v>302.43792000000002</v>
      </c>
      <c r="CS83" s="48">
        <f t="shared" si="283"/>
        <v>322.48206199999998</v>
      </c>
      <c r="CT83" s="93">
        <f t="shared" si="284"/>
        <v>302.43792000000002</v>
      </c>
      <c r="CU83" s="93">
        <f t="shared" si="285"/>
        <v>322.48206199999998</v>
      </c>
      <c r="CV83" s="118"/>
      <c r="CW83" s="275">
        <v>3.0651999999999999</v>
      </c>
      <c r="CX83" s="275">
        <v>2.4016999999999999</v>
      </c>
      <c r="CY83" s="275">
        <v>0</v>
      </c>
      <c r="CZ83" s="275">
        <v>6881.1441999999997</v>
      </c>
      <c r="DA83" s="275">
        <v>2948.8975</v>
      </c>
      <c r="DB83" s="49">
        <f t="shared" si="226"/>
        <v>636.30486799999994</v>
      </c>
      <c r="DC83" s="49">
        <f t="shared" si="226"/>
        <v>676.10256699999991</v>
      </c>
      <c r="DD83" s="47">
        <f t="shared" si="226"/>
        <v>0</v>
      </c>
      <c r="DE83" s="47">
        <f t="shared" si="286"/>
        <v>0</v>
      </c>
      <c r="DF83" s="48">
        <f t="shared" si="287"/>
        <v>636.30486799999994</v>
      </c>
      <c r="DG83" s="48">
        <f t="shared" si="288"/>
        <v>676.10256699999991</v>
      </c>
      <c r="DH83" s="93">
        <f t="shared" si="289"/>
        <v>636.30486799999994</v>
      </c>
      <c r="DI83" s="93">
        <f t="shared" si="290"/>
        <v>676.10256699999991</v>
      </c>
      <c r="DJ83" s="118"/>
      <c r="DK83" s="275">
        <v>2.9258000000000002</v>
      </c>
      <c r="DL83" s="275">
        <v>2.3614999999999999</v>
      </c>
      <c r="DM83" s="275">
        <v>0</v>
      </c>
      <c r="DN83" s="275">
        <v>3150.1174999999998</v>
      </c>
      <c r="DO83" s="275">
        <v>1330.2782999999999</v>
      </c>
      <c r="DP83" s="49">
        <f t="shared" si="227"/>
        <v>398.61099200000007</v>
      </c>
      <c r="DQ83" s="49">
        <f t="shared" si="227"/>
        <v>465.947565</v>
      </c>
      <c r="DR83" s="47">
        <f t="shared" si="227"/>
        <v>0</v>
      </c>
      <c r="DS83" s="47">
        <f t="shared" si="291"/>
        <v>0</v>
      </c>
      <c r="DT83" s="48">
        <f t="shared" si="292"/>
        <v>398.61099200000007</v>
      </c>
      <c r="DU83" s="48">
        <f t="shared" si="293"/>
        <v>465.947565</v>
      </c>
      <c r="DV83" s="93">
        <f t="shared" si="294"/>
        <v>398.61099200000007</v>
      </c>
      <c r="DW83" s="93">
        <f t="shared" si="295"/>
        <v>465.947565</v>
      </c>
      <c r="DX83" s="118"/>
      <c r="DY83" s="118"/>
      <c r="DZ83" s="118"/>
      <c r="EB83" s="52"/>
      <c r="EC83" s="52"/>
      <c r="ED83" s="52"/>
      <c r="EE83" s="55">
        <f t="shared" si="296"/>
        <v>37748.9476</v>
      </c>
      <c r="EF83" s="55">
        <f t="shared" si="296"/>
        <v>16047.607599999999</v>
      </c>
      <c r="EG83" s="55">
        <f t="shared" si="296"/>
        <v>8249.4952243999996</v>
      </c>
      <c r="EH83" s="55">
        <f t="shared" si="228"/>
        <v>7173.2214936</v>
      </c>
      <c r="EI83" s="298">
        <f t="shared" si="229"/>
        <v>0.70169823067035342</v>
      </c>
      <c r="EJ83" s="52"/>
      <c r="EK83" s="55">
        <f t="shared" si="297"/>
        <v>8249.4952243999996</v>
      </c>
      <c r="EL83" s="55">
        <f t="shared" si="297"/>
        <v>7173.2214936</v>
      </c>
      <c r="EM83" s="55">
        <f t="shared" si="297"/>
        <v>8249.4952243999996</v>
      </c>
      <c r="EN83" s="55">
        <f t="shared" si="297"/>
        <v>7173.2214936</v>
      </c>
      <c r="EP83" s="52"/>
      <c r="EQ83" s="52"/>
      <c r="ER83" s="52"/>
      <c r="ES83" s="55">
        <f t="shared" si="230"/>
        <v>30779.143399999997</v>
      </c>
      <c r="ET83" s="55">
        <f t="shared" si="230"/>
        <v>12919.851699999999</v>
      </c>
      <c r="EU83" s="55">
        <f t="shared" si="230"/>
        <v>7550.267111600001</v>
      </c>
      <c r="EV83" s="55">
        <f t="shared" si="230"/>
        <v>6810.5837488999996</v>
      </c>
      <c r="EW83" s="298">
        <f t="shared" si="231"/>
        <v>0.70434442095443051</v>
      </c>
      <c r="EX83" s="52"/>
      <c r="EY83" s="55">
        <f t="shared" si="232"/>
        <v>7550.267111600001</v>
      </c>
      <c r="EZ83" s="55">
        <f t="shared" si="232"/>
        <v>6810.5837488999996</v>
      </c>
      <c r="FA83" s="55">
        <f t="shared" si="232"/>
        <v>7550.267111600001</v>
      </c>
      <c r="FB83" s="55">
        <f t="shared" si="232"/>
        <v>6810.5837488999996</v>
      </c>
      <c r="FD83" s="52"/>
      <c r="FE83" s="52"/>
      <c r="FF83" s="52"/>
      <c r="FG83" s="55">
        <f t="shared" si="233"/>
        <v>25038.0059</v>
      </c>
      <c r="FH83" s="55">
        <f t="shared" si="233"/>
        <v>10049.691699999999</v>
      </c>
      <c r="FI83" s="55">
        <f t="shared" si="233"/>
        <v>6318.5522412000009</v>
      </c>
      <c r="FJ83" s="55">
        <f t="shared" si="233"/>
        <v>5713.4405359999992</v>
      </c>
      <c r="FK83" s="298">
        <f t="shared" si="234"/>
        <v>0.71358360943010413</v>
      </c>
      <c r="FL83" s="52"/>
      <c r="FM83" s="55">
        <f t="shared" si="235"/>
        <v>6318.5522412000009</v>
      </c>
      <c r="FN83" s="55">
        <f t="shared" si="235"/>
        <v>5713.4405359999992</v>
      </c>
      <c r="FO83" s="55">
        <f t="shared" si="235"/>
        <v>6318.5522412000009</v>
      </c>
      <c r="FP83" s="55">
        <f t="shared" si="235"/>
        <v>5713.4405359999992</v>
      </c>
      <c r="FR83" s="52"/>
      <c r="FS83" s="52"/>
      <c r="FT83" s="52"/>
      <c r="FU83" s="55">
        <f t="shared" si="236"/>
        <v>23701.0484</v>
      </c>
      <c r="FV83" s="55">
        <f t="shared" si="236"/>
        <v>9879.0992000000006</v>
      </c>
      <c r="FW83" s="55">
        <f t="shared" si="236"/>
        <v>811.48181440000008</v>
      </c>
      <c r="FX83" s="55">
        <f t="shared" si="236"/>
        <v>863.36411559999988</v>
      </c>
      <c r="FY83" s="298">
        <f t="shared" si="237"/>
        <v>0.7058053669781964</v>
      </c>
      <c r="FZ83" s="52"/>
      <c r="GA83" s="55">
        <f t="shared" si="238"/>
        <v>811.48181440000008</v>
      </c>
      <c r="GB83" s="55">
        <f t="shared" si="238"/>
        <v>863.36411559999988</v>
      </c>
      <c r="GC83" s="55">
        <f t="shared" si="238"/>
        <v>811.48181440000008</v>
      </c>
      <c r="GD83" s="55">
        <f t="shared" si="238"/>
        <v>863.36411559999988</v>
      </c>
      <c r="GF83" s="52"/>
      <c r="GG83" s="52"/>
      <c r="GH83" s="52"/>
      <c r="GI83" s="55">
        <f t="shared" si="239"/>
        <v>12347.522499999999</v>
      </c>
      <c r="GJ83" s="55">
        <f t="shared" si="239"/>
        <v>5074.6916999999994</v>
      </c>
      <c r="GK83" s="56">
        <f t="shared" si="240"/>
        <v>865.73125350000021</v>
      </c>
      <c r="GL83" s="56">
        <f t="shared" si="240"/>
        <v>837.32118374999982</v>
      </c>
      <c r="GM83" s="298">
        <f t="shared" si="241"/>
        <v>0.70872291881246641</v>
      </c>
      <c r="GN83" s="52"/>
      <c r="GO83" s="56">
        <f t="shared" si="242"/>
        <v>865.73125350000021</v>
      </c>
      <c r="GP83" s="56">
        <f t="shared" si="242"/>
        <v>837.32118374999982</v>
      </c>
      <c r="GQ83" s="56">
        <f t="shared" si="242"/>
        <v>865.73125350000021</v>
      </c>
      <c r="GR83" s="56">
        <f t="shared" si="242"/>
        <v>837.32118374999982</v>
      </c>
      <c r="GW83" s="275">
        <v>4.9847000000000001</v>
      </c>
      <c r="GX83" s="275">
        <v>2.5083000000000002</v>
      </c>
      <c r="GY83" s="275">
        <v>0</v>
      </c>
      <c r="GZ83" s="275">
        <v>1159.3382999999999</v>
      </c>
      <c r="HA83" s="275">
        <v>452.80579999999998</v>
      </c>
      <c r="HB83" s="49">
        <f t="shared" si="243"/>
        <v>3273.9011129999999</v>
      </c>
      <c r="HC83" s="49">
        <f t="shared" si="244"/>
        <v>3405.7948230000002</v>
      </c>
      <c r="HD83" s="47">
        <f t="shared" si="245"/>
        <v>0</v>
      </c>
      <c r="HE83" s="47">
        <f t="shared" si="298"/>
        <v>0</v>
      </c>
      <c r="HF83" s="48">
        <f t="shared" si="299"/>
        <v>3273.9011129999999</v>
      </c>
      <c r="HG83" s="48">
        <f t="shared" si="300"/>
        <v>3405.7948230000002</v>
      </c>
      <c r="HH83" s="93">
        <f t="shared" si="301"/>
        <v>3273.9011129999999</v>
      </c>
      <c r="HI83" s="93">
        <f t="shared" si="302"/>
        <v>3405.7948230000002</v>
      </c>
      <c r="HJ83" s="298">
        <f t="shared" si="246"/>
        <v>0.71912820944480083</v>
      </c>
      <c r="HL83" s="275">
        <v>6.6002000000000001</v>
      </c>
      <c r="HM83" s="275">
        <v>4.8430999999999997</v>
      </c>
      <c r="HN83" s="275">
        <v>0</v>
      </c>
      <c r="HO83" s="275">
        <v>486.4667</v>
      </c>
      <c r="HP83" s="275">
        <v>163</v>
      </c>
      <c r="HQ83" s="49">
        <f t="shared" si="247"/>
        <v>3508.9963299999999</v>
      </c>
      <c r="HR83" s="49">
        <f t="shared" si="248"/>
        <v>3755.9693429999998</v>
      </c>
      <c r="HS83" s="47">
        <f t="shared" si="249"/>
        <v>0</v>
      </c>
      <c r="HT83" s="47">
        <f t="shared" si="303"/>
        <v>0</v>
      </c>
      <c r="HU83" s="48">
        <f t="shared" si="304"/>
        <v>3508.9963299999999</v>
      </c>
      <c r="HV83" s="48">
        <f t="shared" si="305"/>
        <v>3755.9693429999998</v>
      </c>
      <c r="HW83" s="93">
        <f t="shared" si="306"/>
        <v>3508.9963299999999</v>
      </c>
      <c r="HX83" s="93">
        <f t="shared" si="307"/>
        <v>3755.9693429999998</v>
      </c>
      <c r="HY83" s="298">
        <f t="shared" si="250"/>
        <v>0.74902485377618289</v>
      </c>
    </row>
    <row r="84" spans="1:233" s="131" customFormat="1" x14ac:dyDescent="0.2">
      <c r="A84" s="118">
        <v>74</v>
      </c>
      <c r="B84" s="118"/>
      <c r="C84" s="275">
        <v>4.2721</v>
      </c>
      <c r="D84" s="275">
        <v>2.1371000000000002</v>
      </c>
      <c r="E84" s="275">
        <v>0</v>
      </c>
      <c r="F84" s="275">
        <v>7021.7842000000001</v>
      </c>
      <c r="G84" s="275">
        <v>3012.355</v>
      </c>
      <c r="H84" s="49">
        <f t="shared" si="218"/>
        <v>4225.3205049999997</v>
      </c>
      <c r="I84" s="49">
        <f t="shared" si="218"/>
        <v>3850.6695220000001</v>
      </c>
      <c r="J84" s="47">
        <f t="shared" si="218"/>
        <v>0</v>
      </c>
      <c r="K84" s="47">
        <f t="shared" si="251"/>
        <v>0</v>
      </c>
      <c r="L84" s="48">
        <f t="shared" si="252"/>
        <v>4225.3205049999997</v>
      </c>
      <c r="M84" s="48">
        <f t="shared" si="253"/>
        <v>3850.6695220000001</v>
      </c>
      <c r="N84" s="93">
        <f t="shared" si="254"/>
        <v>4225.3205049999997</v>
      </c>
      <c r="O84" s="93">
        <f t="shared" si="255"/>
        <v>3850.6695220000001</v>
      </c>
      <c r="P84" s="298">
        <f t="shared" si="219"/>
        <v>0.69978939498866033</v>
      </c>
      <c r="Q84" s="275">
        <v>6.2145000000000001</v>
      </c>
      <c r="R84" s="275">
        <v>3.1535000000000002</v>
      </c>
      <c r="S84" s="275">
        <v>0</v>
      </c>
      <c r="T84" s="275">
        <v>2510.9857999999999</v>
      </c>
      <c r="U84" s="275">
        <v>1049.4232999999999</v>
      </c>
      <c r="V84" s="49">
        <f t="shared" si="220"/>
        <v>3809.4263550000001</v>
      </c>
      <c r="W84" s="49">
        <f t="shared" si="220"/>
        <v>3660.1413100000004</v>
      </c>
      <c r="X84" s="47">
        <f t="shared" si="220"/>
        <v>0</v>
      </c>
      <c r="Y84" s="47">
        <f t="shared" si="256"/>
        <v>0</v>
      </c>
      <c r="Z84" s="48">
        <f t="shared" si="257"/>
        <v>3809.4263550000001</v>
      </c>
      <c r="AA84" s="48">
        <f t="shared" si="258"/>
        <v>3660.1413100000004</v>
      </c>
      <c r="AB84" s="93">
        <f t="shared" si="259"/>
        <v>3809.4263550000001</v>
      </c>
      <c r="AC84" s="93">
        <f t="shared" si="260"/>
        <v>3660.1413100000004</v>
      </c>
      <c r="AD84" s="118"/>
      <c r="AE84" s="275">
        <v>7.9230999999999998</v>
      </c>
      <c r="AF84" s="275">
        <v>3.3096000000000001</v>
      </c>
      <c r="AG84" s="275">
        <v>0</v>
      </c>
      <c r="AH84" s="275">
        <v>166.75</v>
      </c>
      <c r="AI84" s="275">
        <v>71.583299999999994</v>
      </c>
      <c r="AJ84" s="49">
        <f t="shared" si="221"/>
        <v>3714.9038970000001</v>
      </c>
      <c r="AK84" s="49">
        <f t="shared" si="221"/>
        <v>3762.287088</v>
      </c>
      <c r="AL84" s="47">
        <f t="shared" si="221"/>
        <v>0</v>
      </c>
      <c r="AM84" s="47">
        <f t="shared" si="261"/>
        <v>0</v>
      </c>
      <c r="AN84" s="48">
        <f t="shared" si="262"/>
        <v>3714.9038970000001</v>
      </c>
      <c r="AO84" s="48">
        <f t="shared" si="263"/>
        <v>3762.287088</v>
      </c>
      <c r="AP84" s="93">
        <f t="shared" si="264"/>
        <v>3714.9038970000001</v>
      </c>
      <c r="AQ84" s="93">
        <f t="shared" si="265"/>
        <v>3762.287088</v>
      </c>
      <c r="AR84" s="118"/>
      <c r="AS84" s="275">
        <v>10.2241</v>
      </c>
      <c r="AT84" s="275">
        <v>3.9502000000000002</v>
      </c>
      <c r="AU84" s="275">
        <v>0</v>
      </c>
      <c r="AV84" s="275">
        <v>8086.5083000000004</v>
      </c>
      <c r="AW84" s="275">
        <v>3709.5232999999998</v>
      </c>
      <c r="AX84" s="49">
        <f t="shared" si="222"/>
        <v>3562.5876450000001</v>
      </c>
      <c r="AY84" s="49">
        <f t="shared" si="222"/>
        <v>2764.6264740000001</v>
      </c>
      <c r="AZ84" s="47">
        <f t="shared" si="222"/>
        <v>0</v>
      </c>
      <c r="BA84" s="47">
        <f t="shared" si="266"/>
        <v>0</v>
      </c>
      <c r="BB84" s="48">
        <f t="shared" si="267"/>
        <v>3562.5876450000001</v>
      </c>
      <c r="BC84" s="48">
        <f t="shared" si="268"/>
        <v>2764.6264740000001</v>
      </c>
      <c r="BD84" s="93">
        <f t="shared" si="269"/>
        <v>3562.5876450000001</v>
      </c>
      <c r="BE84" s="93">
        <f t="shared" si="270"/>
        <v>2764.6264740000001</v>
      </c>
      <c r="BF84" s="118"/>
      <c r="BG84" s="275">
        <v>9.9725999999999999</v>
      </c>
      <c r="BH84" s="275">
        <v>4.4329000000000001</v>
      </c>
      <c r="BI84" s="275">
        <v>0</v>
      </c>
      <c r="BJ84" s="275">
        <v>4851.0416999999998</v>
      </c>
      <c r="BK84" s="275">
        <v>2159.6817000000001</v>
      </c>
      <c r="BL84" s="49">
        <f t="shared" si="223"/>
        <v>3372.9327720000001</v>
      </c>
      <c r="BM84" s="49">
        <f t="shared" si="223"/>
        <v>2652.9133340000003</v>
      </c>
      <c r="BN84" s="47">
        <f t="shared" si="223"/>
        <v>0</v>
      </c>
      <c r="BO84" s="47">
        <f t="shared" si="271"/>
        <v>0</v>
      </c>
      <c r="BP84" s="48">
        <f t="shared" si="272"/>
        <v>3372.9327720000001</v>
      </c>
      <c r="BQ84" s="48">
        <f t="shared" si="273"/>
        <v>2652.9133340000003</v>
      </c>
      <c r="BR84" s="93">
        <f t="shared" si="274"/>
        <v>3372.9327720000001</v>
      </c>
      <c r="BS84" s="93">
        <f t="shared" si="275"/>
        <v>2652.9133340000003</v>
      </c>
      <c r="BT84" s="118"/>
      <c r="BU84" s="275">
        <v>9.9382999999999999</v>
      </c>
      <c r="BV84" s="275">
        <v>4.3769999999999998</v>
      </c>
      <c r="BW84" s="275">
        <v>0</v>
      </c>
      <c r="BX84" s="275">
        <v>5120.9832999999999</v>
      </c>
      <c r="BY84" s="275">
        <v>1670.8824999999999</v>
      </c>
      <c r="BZ84" s="49">
        <f t="shared" si="224"/>
        <v>2336.8918619999999</v>
      </c>
      <c r="CA84" s="49">
        <f t="shared" si="224"/>
        <v>1573.6628099999998</v>
      </c>
      <c r="CB84" s="47">
        <f t="shared" si="224"/>
        <v>0</v>
      </c>
      <c r="CC84" s="47">
        <f t="shared" si="276"/>
        <v>0</v>
      </c>
      <c r="CD84" s="48">
        <f t="shared" si="277"/>
        <v>2336.8918619999999</v>
      </c>
      <c r="CE84" s="48">
        <f t="shared" si="278"/>
        <v>1573.6628099999998</v>
      </c>
      <c r="CF84" s="93">
        <f t="shared" si="279"/>
        <v>2336.8918619999999</v>
      </c>
      <c r="CG84" s="93">
        <f t="shared" si="280"/>
        <v>1573.6628099999998</v>
      </c>
      <c r="CH84" s="118"/>
      <c r="CI84" s="275">
        <v>1.4736</v>
      </c>
      <c r="CJ84" s="275">
        <v>1.1969000000000001</v>
      </c>
      <c r="CK84" s="275">
        <v>0</v>
      </c>
      <c r="CL84" s="275">
        <v>17894.807499999999</v>
      </c>
      <c r="CM84" s="275">
        <v>7347.56</v>
      </c>
      <c r="CN84" s="49">
        <f t="shared" si="225"/>
        <v>304.15104000000002</v>
      </c>
      <c r="CO84" s="49">
        <f t="shared" si="225"/>
        <v>320.55375800000002</v>
      </c>
      <c r="CP84" s="47">
        <f t="shared" si="225"/>
        <v>0</v>
      </c>
      <c r="CQ84" s="47">
        <f t="shared" si="281"/>
        <v>0</v>
      </c>
      <c r="CR84" s="48">
        <f t="shared" si="282"/>
        <v>304.15104000000002</v>
      </c>
      <c r="CS84" s="48">
        <f t="shared" si="283"/>
        <v>320.55375800000002</v>
      </c>
      <c r="CT84" s="93">
        <f t="shared" si="284"/>
        <v>304.15104000000002</v>
      </c>
      <c r="CU84" s="93">
        <f t="shared" si="285"/>
        <v>320.55375800000002</v>
      </c>
      <c r="CV84" s="118"/>
      <c r="CW84" s="275">
        <v>3.0703999999999998</v>
      </c>
      <c r="CX84" s="275">
        <v>2.3889999999999998</v>
      </c>
      <c r="CY84" s="275">
        <v>0</v>
      </c>
      <c r="CZ84" s="275">
        <v>7334.1157999999996</v>
      </c>
      <c r="DA84" s="275">
        <v>3240.3833</v>
      </c>
      <c r="DB84" s="49">
        <f t="shared" si="226"/>
        <v>637.38433599999996</v>
      </c>
      <c r="DC84" s="49">
        <f t="shared" si="226"/>
        <v>672.52738999999997</v>
      </c>
      <c r="DD84" s="47">
        <f t="shared" si="226"/>
        <v>0</v>
      </c>
      <c r="DE84" s="47">
        <f t="shared" si="286"/>
        <v>0</v>
      </c>
      <c r="DF84" s="48">
        <f t="shared" si="287"/>
        <v>637.38433599999996</v>
      </c>
      <c r="DG84" s="48">
        <f t="shared" si="288"/>
        <v>672.52738999999997</v>
      </c>
      <c r="DH84" s="93">
        <f t="shared" si="289"/>
        <v>637.38433599999996</v>
      </c>
      <c r="DI84" s="93">
        <f t="shared" si="290"/>
        <v>672.52738999999997</v>
      </c>
      <c r="DJ84" s="118"/>
      <c r="DK84" s="275">
        <v>3.0053999999999998</v>
      </c>
      <c r="DL84" s="275">
        <v>2.3862000000000001</v>
      </c>
      <c r="DM84" s="275">
        <v>0</v>
      </c>
      <c r="DN84" s="275">
        <v>3390.2566999999999</v>
      </c>
      <c r="DO84" s="275">
        <v>1384.8907999999999</v>
      </c>
      <c r="DP84" s="49">
        <f t="shared" si="227"/>
        <v>409.45569599999999</v>
      </c>
      <c r="DQ84" s="49">
        <f t="shared" si="227"/>
        <v>470.821122</v>
      </c>
      <c r="DR84" s="47">
        <f t="shared" si="227"/>
        <v>0</v>
      </c>
      <c r="DS84" s="47">
        <f t="shared" si="291"/>
        <v>0</v>
      </c>
      <c r="DT84" s="48">
        <f t="shared" si="292"/>
        <v>409.45569599999999</v>
      </c>
      <c r="DU84" s="48">
        <f t="shared" si="293"/>
        <v>470.821122</v>
      </c>
      <c r="DV84" s="93">
        <f t="shared" si="294"/>
        <v>409.45569599999999</v>
      </c>
      <c r="DW84" s="93">
        <f t="shared" si="295"/>
        <v>470.821122</v>
      </c>
      <c r="DX84" s="118"/>
      <c r="DY84" s="118"/>
      <c r="DZ84" s="118"/>
      <c r="EB84" s="52"/>
      <c r="EC84" s="52"/>
      <c r="ED84" s="52"/>
      <c r="EE84" s="55">
        <f t="shared" si="296"/>
        <v>40337.215799999998</v>
      </c>
      <c r="EF84" s="55">
        <f t="shared" si="296"/>
        <v>17309.821600000003</v>
      </c>
      <c r="EG84" s="55">
        <f t="shared" si="296"/>
        <v>8601.9666587999982</v>
      </c>
      <c r="EH84" s="55">
        <f t="shared" si="228"/>
        <v>7473.8716660000009</v>
      </c>
      <c r="EI84" s="298">
        <f t="shared" si="229"/>
        <v>0.69972747289871995</v>
      </c>
      <c r="EJ84" s="52"/>
      <c r="EK84" s="55">
        <f t="shared" si="297"/>
        <v>8601.9666587999982</v>
      </c>
      <c r="EL84" s="55">
        <f t="shared" si="297"/>
        <v>7473.8716660000009</v>
      </c>
      <c r="EM84" s="55">
        <f t="shared" si="297"/>
        <v>8601.9666587999982</v>
      </c>
      <c r="EN84" s="55">
        <f t="shared" si="297"/>
        <v>7473.8716660000009</v>
      </c>
      <c r="EP84" s="52"/>
      <c r="EQ84" s="52"/>
      <c r="ER84" s="52"/>
      <c r="ES84" s="55">
        <f t="shared" si="230"/>
        <v>32590.950799999999</v>
      </c>
      <c r="ET84" s="55">
        <f t="shared" si="230"/>
        <v>13797.0483</v>
      </c>
      <c r="EU84" s="55">
        <f t="shared" si="230"/>
        <v>7932.6792021999991</v>
      </c>
      <c r="EV84" s="55">
        <f t="shared" si="230"/>
        <v>7104.3775750000004</v>
      </c>
      <c r="EW84" s="298">
        <f t="shared" si="231"/>
        <v>0.70257289454849536</v>
      </c>
      <c r="EX84" s="52"/>
      <c r="EY84" s="55">
        <f t="shared" si="232"/>
        <v>7932.6792021999991</v>
      </c>
      <c r="EZ84" s="55">
        <f t="shared" si="232"/>
        <v>7104.3775750000004</v>
      </c>
      <c r="FA84" s="55">
        <f t="shared" si="232"/>
        <v>7932.6792021999991</v>
      </c>
      <c r="FB84" s="55">
        <f t="shared" si="232"/>
        <v>7104.3775750000004</v>
      </c>
      <c r="FD84" s="52"/>
      <c r="FE84" s="52"/>
      <c r="FF84" s="52"/>
      <c r="FG84" s="55">
        <f t="shared" si="233"/>
        <v>26572.797500000001</v>
      </c>
      <c r="FH84" s="55">
        <f t="shared" si="233"/>
        <v>10474.916599999999</v>
      </c>
      <c r="FI84" s="55">
        <f t="shared" si="233"/>
        <v>6601.6202166000003</v>
      </c>
      <c r="FJ84" s="55">
        <f t="shared" si="233"/>
        <v>5938.9963292000002</v>
      </c>
      <c r="FK84" s="298">
        <f t="shared" si="234"/>
        <v>0.71725876064240091</v>
      </c>
      <c r="FL84" s="52"/>
      <c r="FM84" s="55">
        <f t="shared" si="235"/>
        <v>6601.6202166000003</v>
      </c>
      <c r="FN84" s="55">
        <f t="shared" si="235"/>
        <v>5938.9963292000002</v>
      </c>
      <c r="FO84" s="55">
        <f t="shared" si="235"/>
        <v>6601.6202166000003</v>
      </c>
      <c r="FP84" s="55">
        <f t="shared" si="235"/>
        <v>5938.9963292000002</v>
      </c>
      <c r="FR84" s="52"/>
      <c r="FS84" s="52"/>
      <c r="FT84" s="52"/>
      <c r="FU84" s="55">
        <f t="shared" si="236"/>
        <v>25228.923299999999</v>
      </c>
      <c r="FV84" s="55">
        <f t="shared" si="236"/>
        <v>10587.943300000001</v>
      </c>
      <c r="FW84" s="55">
        <f t="shared" si="236"/>
        <v>814.05850880000003</v>
      </c>
      <c r="FX84" s="55">
        <f t="shared" si="236"/>
        <v>858.57567000000006</v>
      </c>
      <c r="FY84" s="298">
        <f t="shared" si="237"/>
        <v>0.70438666736972455</v>
      </c>
      <c r="FZ84" s="52"/>
      <c r="GA84" s="55">
        <f t="shared" si="238"/>
        <v>814.05850880000003</v>
      </c>
      <c r="GB84" s="55">
        <f t="shared" si="238"/>
        <v>858.57567000000006</v>
      </c>
      <c r="GC84" s="55">
        <f t="shared" si="238"/>
        <v>814.05850880000003</v>
      </c>
      <c r="GD84" s="55">
        <f t="shared" si="238"/>
        <v>858.57567000000006</v>
      </c>
      <c r="GF84" s="52"/>
      <c r="GG84" s="52"/>
      <c r="GH84" s="52"/>
      <c r="GI84" s="55">
        <f t="shared" si="239"/>
        <v>13207.491600000001</v>
      </c>
      <c r="GJ84" s="55">
        <f t="shared" si="239"/>
        <v>5380.4057999999995</v>
      </c>
      <c r="GK84" s="56">
        <f t="shared" si="240"/>
        <v>919.27183725000009</v>
      </c>
      <c r="GL84" s="56">
        <f t="shared" si="240"/>
        <v>893.22274800000025</v>
      </c>
      <c r="GM84" s="298">
        <f t="shared" si="241"/>
        <v>0.7105425275265399</v>
      </c>
      <c r="GN84" s="52"/>
      <c r="GO84" s="56">
        <f t="shared" si="242"/>
        <v>919.27183725000009</v>
      </c>
      <c r="GP84" s="56">
        <f t="shared" si="242"/>
        <v>893.22274800000025</v>
      </c>
      <c r="GQ84" s="56">
        <f t="shared" si="242"/>
        <v>919.27183725000009</v>
      </c>
      <c r="GR84" s="56">
        <f t="shared" si="242"/>
        <v>893.22274800000025</v>
      </c>
      <c r="GW84" s="275">
        <v>5.2389999999999999</v>
      </c>
      <c r="GX84" s="275">
        <v>2.6093999999999999</v>
      </c>
      <c r="GY84" s="275">
        <v>0</v>
      </c>
      <c r="GZ84" s="275">
        <v>1282.5658000000001</v>
      </c>
      <c r="HA84" s="275">
        <v>521.505</v>
      </c>
      <c r="HB84" s="49">
        <f t="shared" si="243"/>
        <v>3440.9228099999996</v>
      </c>
      <c r="HC84" s="49">
        <f t="shared" si="244"/>
        <v>3543.0694139999996</v>
      </c>
      <c r="HD84" s="47">
        <f t="shared" si="245"/>
        <v>0</v>
      </c>
      <c r="HE84" s="47">
        <f t="shared" si="298"/>
        <v>0</v>
      </c>
      <c r="HF84" s="48">
        <f t="shared" si="299"/>
        <v>3440.9228099999996</v>
      </c>
      <c r="HG84" s="48">
        <f t="shared" si="300"/>
        <v>3543.0694139999996</v>
      </c>
      <c r="HH84" s="93">
        <f t="shared" si="301"/>
        <v>3440.9228099999996</v>
      </c>
      <c r="HI84" s="93">
        <f t="shared" si="302"/>
        <v>3543.0694139999996</v>
      </c>
      <c r="HJ84" s="298">
        <f t="shared" si="246"/>
        <v>0.71092875068982886</v>
      </c>
      <c r="HL84" s="275">
        <v>6.9146999999999998</v>
      </c>
      <c r="HM84" s="275">
        <v>5.0106999999999999</v>
      </c>
      <c r="HN84" s="275">
        <v>0</v>
      </c>
      <c r="HO84" s="275">
        <v>487.32749999999999</v>
      </c>
      <c r="HP84" s="275">
        <v>172.23920000000001</v>
      </c>
      <c r="HQ84" s="49">
        <f t="shared" si="247"/>
        <v>3676.2002549999997</v>
      </c>
      <c r="HR84" s="49">
        <f t="shared" si="248"/>
        <v>3885.948171</v>
      </c>
      <c r="HS84" s="47">
        <f t="shared" si="249"/>
        <v>0</v>
      </c>
      <c r="HT84" s="47">
        <f t="shared" si="303"/>
        <v>0</v>
      </c>
      <c r="HU84" s="48">
        <f t="shared" si="304"/>
        <v>3676.2002549999997</v>
      </c>
      <c r="HV84" s="48">
        <f t="shared" si="305"/>
        <v>3885.948171</v>
      </c>
      <c r="HW84" s="93">
        <f t="shared" si="306"/>
        <v>3676.2002549999997</v>
      </c>
      <c r="HX84" s="93">
        <f t="shared" si="307"/>
        <v>3885.948171</v>
      </c>
      <c r="HY84" s="298">
        <f t="shared" si="250"/>
        <v>0.73886007283266419</v>
      </c>
    </row>
    <row r="85" spans="1:233" s="131" customFormat="1" x14ac:dyDescent="0.2">
      <c r="A85" s="118">
        <v>75</v>
      </c>
      <c r="B85" s="118"/>
      <c r="C85" s="275">
        <v>4.4264000000000001</v>
      </c>
      <c r="D85" s="275">
        <v>2.2090999999999998</v>
      </c>
      <c r="E85" s="275">
        <v>0</v>
      </c>
      <c r="F85" s="275">
        <v>6207.3257999999996</v>
      </c>
      <c r="G85" s="275">
        <v>2748.6891999999998</v>
      </c>
      <c r="H85" s="49">
        <f t="shared" si="218"/>
        <v>4377.9309199999998</v>
      </c>
      <c r="I85" s="49">
        <f t="shared" si="218"/>
        <v>3980.4005619999994</v>
      </c>
      <c r="J85" s="47">
        <f t="shared" si="218"/>
        <v>0</v>
      </c>
      <c r="K85" s="47">
        <f t="shared" si="251"/>
        <v>0</v>
      </c>
      <c r="L85" s="48">
        <f t="shared" si="252"/>
        <v>4377.9309199999998</v>
      </c>
      <c r="M85" s="48">
        <f t="shared" si="253"/>
        <v>3980.4005619999994</v>
      </c>
      <c r="N85" s="93">
        <f t="shared" si="254"/>
        <v>4377.9309199999998</v>
      </c>
      <c r="O85" s="93">
        <f t="shared" si="255"/>
        <v>3980.4005619999994</v>
      </c>
      <c r="P85" s="298">
        <f t="shared" si="219"/>
        <v>0.69309015226079906</v>
      </c>
      <c r="Q85" s="275">
        <v>6.5354000000000001</v>
      </c>
      <c r="R85" s="275">
        <v>3.2722000000000002</v>
      </c>
      <c r="S85" s="275">
        <v>0</v>
      </c>
      <c r="T85" s="275">
        <v>2292.6642000000002</v>
      </c>
      <c r="U85" s="275">
        <v>981.6567</v>
      </c>
      <c r="V85" s="49">
        <f t="shared" si="220"/>
        <v>4006.1348459999999</v>
      </c>
      <c r="W85" s="49">
        <f t="shared" si="220"/>
        <v>3797.9116520000007</v>
      </c>
      <c r="X85" s="47">
        <f t="shared" si="220"/>
        <v>0</v>
      </c>
      <c r="Y85" s="47">
        <f t="shared" si="256"/>
        <v>0</v>
      </c>
      <c r="Z85" s="48">
        <f t="shared" si="257"/>
        <v>4006.1348459999999</v>
      </c>
      <c r="AA85" s="48">
        <f t="shared" si="258"/>
        <v>3797.9116520000007</v>
      </c>
      <c r="AB85" s="93">
        <f t="shared" si="259"/>
        <v>4006.1348459999999</v>
      </c>
      <c r="AC85" s="93">
        <f t="shared" si="260"/>
        <v>3797.9116520000007</v>
      </c>
      <c r="AD85" s="118"/>
      <c r="AE85" s="275">
        <v>8.2492999999999999</v>
      </c>
      <c r="AF85" s="275">
        <v>3.419</v>
      </c>
      <c r="AG85" s="275">
        <v>0</v>
      </c>
      <c r="AH85" s="275">
        <v>175.48670000000001</v>
      </c>
      <c r="AI85" s="275">
        <v>94</v>
      </c>
      <c r="AJ85" s="49">
        <f t="shared" si="221"/>
        <v>3867.849291</v>
      </c>
      <c r="AK85" s="49">
        <f t="shared" si="221"/>
        <v>3886.6508199999998</v>
      </c>
      <c r="AL85" s="47">
        <f t="shared" si="221"/>
        <v>0</v>
      </c>
      <c r="AM85" s="47">
        <f t="shared" si="261"/>
        <v>0</v>
      </c>
      <c r="AN85" s="48">
        <f t="shared" si="262"/>
        <v>3867.849291</v>
      </c>
      <c r="AO85" s="48">
        <f t="shared" si="263"/>
        <v>3886.6508199999998</v>
      </c>
      <c r="AP85" s="93">
        <f t="shared" si="264"/>
        <v>3867.849291</v>
      </c>
      <c r="AQ85" s="93">
        <f t="shared" si="265"/>
        <v>3886.6508199999998</v>
      </c>
      <c r="AR85" s="118"/>
      <c r="AS85" s="275">
        <v>10.7989</v>
      </c>
      <c r="AT85" s="275">
        <v>4.202</v>
      </c>
      <c r="AU85" s="275">
        <v>0</v>
      </c>
      <c r="AV85" s="275">
        <v>7155.3742000000002</v>
      </c>
      <c r="AW85" s="275">
        <v>3364.2575000000002</v>
      </c>
      <c r="AX85" s="49">
        <f t="shared" si="222"/>
        <v>3762.8767049999997</v>
      </c>
      <c r="AY85" s="49">
        <f t="shared" si="222"/>
        <v>2940.85374</v>
      </c>
      <c r="AZ85" s="47">
        <f t="shared" si="222"/>
        <v>0</v>
      </c>
      <c r="BA85" s="47">
        <f t="shared" si="266"/>
        <v>0</v>
      </c>
      <c r="BB85" s="48">
        <f t="shared" si="267"/>
        <v>3762.8767049999997</v>
      </c>
      <c r="BC85" s="48">
        <f t="shared" si="268"/>
        <v>2940.85374</v>
      </c>
      <c r="BD85" s="93">
        <f t="shared" si="269"/>
        <v>3762.8767049999997</v>
      </c>
      <c r="BE85" s="93">
        <f t="shared" si="270"/>
        <v>2940.85374</v>
      </c>
      <c r="BF85" s="118"/>
      <c r="BG85" s="275">
        <v>10.533200000000001</v>
      </c>
      <c r="BH85" s="275">
        <v>4.694</v>
      </c>
      <c r="BI85" s="275">
        <v>0</v>
      </c>
      <c r="BJ85" s="275">
        <v>4285.6333000000004</v>
      </c>
      <c r="BK85" s="275">
        <v>1994.0308</v>
      </c>
      <c r="BL85" s="49">
        <f t="shared" si="223"/>
        <v>3562.5389040000005</v>
      </c>
      <c r="BM85" s="49">
        <f t="shared" si="223"/>
        <v>2809.1712400000001</v>
      </c>
      <c r="BN85" s="47">
        <f t="shared" si="223"/>
        <v>0</v>
      </c>
      <c r="BO85" s="47">
        <f t="shared" si="271"/>
        <v>0</v>
      </c>
      <c r="BP85" s="48">
        <f t="shared" si="272"/>
        <v>3562.5389040000005</v>
      </c>
      <c r="BQ85" s="48">
        <f t="shared" si="273"/>
        <v>2809.1712400000001</v>
      </c>
      <c r="BR85" s="93">
        <f t="shared" si="274"/>
        <v>3562.5389040000005</v>
      </c>
      <c r="BS85" s="93">
        <f t="shared" si="275"/>
        <v>2809.1712400000001</v>
      </c>
      <c r="BT85" s="118"/>
      <c r="BU85" s="275">
        <v>10.460599999999999</v>
      </c>
      <c r="BV85" s="275">
        <v>4.6569000000000003</v>
      </c>
      <c r="BW85" s="275">
        <v>0</v>
      </c>
      <c r="BX85" s="275">
        <v>4553.2275</v>
      </c>
      <c r="BY85" s="275">
        <v>1572.4567</v>
      </c>
      <c r="BZ85" s="49">
        <f t="shared" si="224"/>
        <v>2459.7054839999996</v>
      </c>
      <c r="CA85" s="49">
        <f t="shared" si="224"/>
        <v>1674.295257</v>
      </c>
      <c r="CB85" s="47">
        <f t="shared" si="224"/>
        <v>0</v>
      </c>
      <c r="CC85" s="47">
        <f t="shared" si="276"/>
        <v>0</v>
      </c>
      <c r="CD85" s="48">
        <f t="shared" si="277"/>
        <v>2459.7054839999996</v>
      </c>
      <c r="CE85" s="48">
        <f t="shared" si="278"/>
        <v>1674.295257</v>
      </c>
      <c r="CF85" s="93">
        <f t="shared" si="279"/>
        <v>2459.7054839999996</v>
      </c>
      <c r="CG85" s="93">
        <f t="shared" si="280"/>
        <v>1674.295257</v>
      </c>
      <c r="CH85" s="118"/>
      <c r="CI85" s="275">
        <v>1.4782</v>
      </c>
      <c r="CJ85" s="275">
        <v>1.1845000000000001</v>
      </c>
      <c r="CK85" s="275">
        <v>0</v>
      </c>
      <c r="CL85" s="275">
        <v>15782.6633</v>
      </c>
      <c r="CM85" s="275">
        <v>6737.4233000000004</v>
      </c>
      <c r="CN85" s="49">
        <f t="shared" si="225"/>
        <v>305.10048</v>
      </c>
      <c r="CO85" s="49">
        <f t="shared" si="225"/>
        <v>317.23279000000002</v>
      </c>
      <c r="CP85" s="47">
        <f t="shared" si="225"/>
        <v>0</v>
      </c>
      <c r="CQ85" s="47">
        <f t="shared" si="281"/>
        <v>0</v>
      </c>
      <c r="CR85" s="48">
        <f t="shared" si="282"/>
        <v>305.10048</v>
      </c>
      <c r="CS85" s="48">
        <f t="shared" si="283"/>
        <v>317.23279000000002</v>
      </c>
      <c r="CT85" s="93">
        <f t="shared" si="284"/>
        <v>305.10048</v>
      </c>
      <c r="CU85" s="93">
        <f t="shared" si="285"/>
        <v>317.23279000000002</v>
      </c>
      <c r="CV85" s="118"/>
      <c r="CW85" s="275">
        <v>3.0716000000000001</v>
      </c>
      <c r="CX85" s="275">
        <v>2.3662000000000001</v>
      </c>
      <c r="CY85" s="275">
        <v>0</v>
      </c>
      <c r="CZ85" s="275">
        <v>6735.8275000000003</v>
      </c>
      <c r="DA85" s="275">
        <v>2883.3474999999999</v>
      </c>
      <c r="DB85" s="49">
        <f t="shared" si="226"/>
        <v>637.63344400000005</v>
      </c>
      <c r="DC85" s="49">
        <f t="shared" si="226"/>
        <v>666.10896200000002</v>
      </c>
      <c r="DD85" s="47">
        <f t="shared" si="226"/>
        <v>0</v>
      </c>
      <c r="DE85" s="47">
        <f t="shared" si="286"/>
        <v>0</v>
      </c>
      <c r="DF85" s="48">
        <f t="shared" si="287"/>
        <v>637.63344400000005</v>
      </c>
      <c r="DG85" s="48">
        <f t="shared" si="288"/>
        <v>666.10896200000002</v>
      </c>
      <c r="DH85" s="93">
        <f t="shared" si="289"/>
        <v>637.63344400000005</v>
      </c>
      <c r="DI85" s="93">
        <f t="shared" si="290"/>
        <v>666.10896200000002</v>
      </c>
      <c r="DJ85" s="118"/>
      <c r="DK85" s="275">
        <v>3.0756999999999999</v>
      </c>
      <c r="DL85" s="275">
        <v>2.4014000000000002</v>
      </c>
      <c r="DM85" s="275">
        <v>0</v>
      </c>
      <c r="DN85" s="275">
        <v>2900.6257999999998</v>
      </c>
      <c r="DO85" s="275">
        <v>1280.1532999999999</v>
      </c>
      <c r="DP85" s="49">
        <f t="shared" si="227"/>
        <v>419.033368</v>
      </c>
      <c r="DQ85" s="49">
        <f t="shared" si="227"/>
        <v>473.82023400000003</v>
      </c>
      <c r="DR85" s="47">
        <f t="shared" si="227"/>
        <v>0</v>
      </c>
      <c r="DS85" s="47">
        <f t="shared" si="291"/>
        <v>0</v>
      </c>
      <c r="DT85" s="48">
        <f t="shared" si="292"/>
        <v>419.033368</v>
      </c>
      <c r="DU85" s="48">
        <f t="shared" si="293"/>
        <v>473.82023400000003</v>
      </c>
      <c r="DV85" s="93">
        <f t="shared" si="294"/>
        <v>419.033368</v>
      </c>
      <c r="DW85" s="93">
        <f t="shared" si="295"/>
        <v>473.82023400000003</v>
      </c>
      <c r="DX85" s="118"/>
      <c r="DY85" s="118"/>
      <c r="DZ85" s="118"/>
      <c r="EB85" s="52"/>
      <c r="EC85" s="52"/>
      <c r="ED85" s="52"/>
      <c r="EE85" s="55">
        <f t="shared" si="296"/>
        <v>35881.190800000004</v>
      </c>
      <c r="EF85" s="55">
        <f t="shared" si="296"/>
        <v>15733.717500000001</v>
      </c>
      <c r="EG85" s="55">
        <f t="shared" si="296"/>
        <v>8956.014860199999</v>
      </c>
      <c r="EH85" s="55">
        <f t="shared" si="228"/>
        <v>7771.374261599999</v>
      </c>
      <c r="EI85" s="298">
        <f t="shared" si="229"/>
        <v>0.69517106552720553</v>
      </c>
      <c r="EJ85" s="52"/>
      <c r="EK85" s="55">
        <f t="shared" si="297"/>
        <v>8956.014860199999</v>
      </c>
      <c r="EL85" s="55">
        <f t="shared" si="297"/>
        <v>7771.374261599999</v>
      </c>
      <c r="EM85" s="55">
        <f t="shared" si="297"/>
        <v>8956.014860199999</v>
      </c>
      <c r="EN85" s="55">
        <f t="shared" si="297"/>
        <v>7771.374261599999</v>
      </c>
      <c r="EP85" s="52"/>
      <c r="EQ85" s="52"/>
      <c r="ER85" s="52"/>
      <c r="ES85" s="55">
        <f t="shared" si="230"/>
        <v>29096.7883</v>
      </c>
      <c r="ET85" s="55">
        <f t="shared" si="230"/>
        <v>12596.4583</v>
      </c>
      <c r="EU85" s="55">
        <f t="shared" si="230"/>
        <v>8320.1176407999992</v>
      </c>
      <c r="EV85" s="55">
        <f t="shared" si="230"/>
        <v>7390.5919554000002</v>
      </c>
      <c r="EW85" s="298">
        <f t="shared" si="231"/>
        <v>0.69787773015498389</v>
      </c>
      <c r="EX85" s="52"/>
      <c r="EY85" s="55">
        <f t="shared" si="232"/>
        <v>8320.1176407999992</v>
      </c>
      <c r="EZ85" s="55">
        <f t="shared" si="232"/>
        <v>7390.5919554000002</v>
      </c>
      <c r="FA85" s="55">
        <f t="shared" si="232"/>
        <v>8320.1176407999992</v>
      </c>
      <c r="FB85" s="55">
        <f t="shared" si="232"/>
        <v>7390.5919554000002</v>
      </c>
      <c r="FD85" s="52"/>
      <c r="FE85" s="52"/>
      <c r="FF85" s="52"/>
      <c r="FG85" s="55">
        <f t="shared" si="233"/>
        <v>23412.003300000004</v>
      </c>
      <c r="FH85" s="55">
        <f t="shared" si="233"/>
        <v>9684.033300000001</v>
      </c>
      <c r="FI85" s="55">
        <f t="shared" si="233"/>
        <v>6884.0752757999999</v>
      </c>
      <c r="FJ85" s="55">
        <f t="shared" si="233"/>
        <v>6162.4710073999995</v>
      </c>
      <c r="FK85" s="298">
        <f t="shared" si="234"/>
        <v>0.70739598166869322</v>
      </c>
      <c r="FL85" s="52"/>
      <c r="FM85" s="55">
        <f t="shared" si="235"/>
        <v>6884.0752757999999</v>
      </c>
      <c r="FN85" s="55">
        <f t="shared" si="235"/>
        <v>6162.4710073999995</v>
      </c>
      <c r="FO85" s="55">
        <f t="shared" si="235"/>
        <v>6884.0752757999999</v>
      </c>
      <c r="FP85" s="55">
        <f t="shared" si="235"/>
        <v>6162.4710073999995</v>
      </c>
      <c r="FR85" s="52"/>
      <c r="FS85" s="52"/>
      <c r="FT85" s="52"/>
      <c r="FU85" s="55">
        <f t="shared" si="236"/>
        <v>22518.4908</v>
      </c>
      <c r="FV85" s="55">
        <f t="shared" si="236"/>
        <v>9620.7708000000002</v>
      </c>
      <c r="FW85" s="55">
        <f t="shared" si="236"/>
        <v>815.20723520000001</v>
      </c>
      <c r="FX85" s="55">
        <f t="shared" si="236"/>
        <v>850.11995960000002</v>
      </c>
      <c r="FY85" s="298">
        <f t="shared" si="237"/>
        <v>0.70065364538431096</v>
      </c>
      <c r="FZ85" s="52"/>
      <c r="GA85" s="55">
        <f t="shared" si="238"/>
        <v>815.20723520000001</v>
      </c>
      <c r="GB85" s="55">
        <f t="shared" si="238"/>
        <v>850.11995960000002</v>
      </c>
      <c r="GC85" s="55">
        <f t="shared" si="238"/>
        <v>815.20723520000001</v>
      </c>
      <c r="GD85" s="55">
        <f t="shared" si="238"/>
        <v>850.11995960000002</v>
      </c>
      <c r="GF85" s="52"/>
      <c r="GG85" s="52"/>
      <c r="GH85" s="52"/>
      <c r="GI85" s="55">
        <f t="shared" si="239"/>
        <v>11708.601699999999</v>
      </c>
      <c r="GJ85" s="55">
        <f t="shared" si="239"/>
        <v>4936.7142000000003</v>
      </c>
      <c r="GK85" s="56">
        <f t="shared" si="240"/>
        <v>977.37841575000004</v>
      </c>
      <c r="GL85" s="56">
        <f t="shared" si="240"/>
        <v>949.91886225000007</v>
      </c>
      <c r="GM85" s="298">
        <f t="shared" si="241"/>
        <v>0.70341721180551453</v>
      </c>
      <c r="GN85" s="52"/>
      <c r="GO85" s="56">
        <f t="shared" si="242"/>
        <v>977.37841575000004</v>
      </c>
      <c r="GP85" s="56">
        <f t="shared" si="242"/>
        <v>949.91886225000007</v>
      </c>
      <c r="GQ85" s="56">
        <f t="shared" si="242"/>
        <v>977.37841575000004</v>
      </c>
      <c r="GR85" s="56">
        <f t="shared" si="242"/>
        <v>949.91886225000007</v>
      </c>
      <c r="GW85" s="275">
        <v>5.5045000000000002</v>
      </c>
      <c r="GX85" s="275">
        <v>2.7079</v>
      </c>
      <c r="GY85" s="275">
        <v>0</v>
      </c>
      <c r="GZ85" s="275">
        <v>1165.8191999999999</v>
      </c>
      <c r="HA85" s="275">
        <v>486.0675</v>
      </c>
      <c r="HB85" s="49">
        <f t="shared" si="243"/>
        <v>3615.3005549999998</v>
      </c>
      <c r="HC85" s="49">
        <f t="shared" si="244"/>
        <v>3676.8136989999998</v>
      </c>
      <c r="HD85" s="47">
        <f t="shared" si="245"/>
        <v>0</v>
      </c>
      <c r="HE85" s="47">
        <f t="shared" si="298"/>
        <v>0</v>
      </c>
      <c r="HF85" s="48">
        <f t="shared" si="299"/>
        <v>3615.3005549999998</v>
      </c>
      <c r="HG85" s="48">
        <f t="shared" si="300"/>
        <v>3676.8136989999998</v>
      </c>
      <c r="HH85" s="93">
        <f t="shared" si="301"/>
        <v>3615.3005549999998</v>
      </c>
      <c r="HI85" s="93">
        <f t="shared" si="302"/>
        <v>3676.8136989999998</v>
      </c>
      <c r="HJ85" s="298">
        <f t="shared" si="246"/>
        <v>0.70575009775186148</v>
      </c>
      <c r="HL85" s="275">
        <v>7.3861999999999997</v>
      </c>
      <c r="HM85" s="275">
        <v>5.1605999999999996</v>
      </c>
      <c r="HN85" s="275">
        <v>0</v>
      </c>
      <c r="HO85" s="275">
        <v>468.65499999999997</v>
      </c>
      <c r="HP85" s="275">
        <v>200.33330000000001</v>
      </c>
      <c r="HQ85" s="49">
        <f t="shared" si="247"/>
        <v>3926.8732299999997</v>
      </c>
      <c r="HR85" s="49">
        <f t="shared" si="248"/>
        <v>4002.2001179999997</v>
      </c>
      <c r="HS85" s="47">
        <f t="shared" si="249"/>
        <v>0</v>
      </c>
      <c r="HT85" s="47">
        <f t="shared" si="303"/>
        <v>0</v>
      </c>
      <c r="HU85" s="48">
        <f t="shared" si="304"/>
        <v>3926.8732299999997</v>
      </c>
      <c r="HV85" s="48">
        <f t="shared" si="305"/>
        <v>4002.2001179999997</v>
      </c>
      <c r="HW85" s="93">
        <f t="shared" si="306"/>
        <v>3926.8732299999997</v>
      </c>
      <c r="HX85" s="93">
        <f t="shared" si="307"/>
        <v>4002.2001179999997</v>
      </c>
      <c r="HY85" s="298">
        <f t="shared" si="250"/>
        <v>0.70054289439740569</v>
      </c>
    </row>
    <row r="86" spans="1:233" s="131" customFormat="1" x14ac:dyDescent="0.2">
      <c r="A86" s="118">
        <v>76</v>
      </c>
      <c r="B86" s="118"/>
      <c r="C86" s="275">
        <v>4.6163999999999996</v>
      </c>
      <c r="D86" s="275">
        <v>2.2799</v>
      </c>
      <c r="E86" s="275">
        <v>0</v>
      </c>
      <c r="F86" s="275">
        <v>5231.1683000000003</v>
      </c>
      <c r="G86" s="275">
        <v>2185.9232999999999</v>
      </c>
      <c r="H86" s="49">
        <f t="shared" si="218"/>
        <v>4565.8504199999998</v>
      </c>
      <c r="I86" s="49">
        <f t="shared" si="218"/>
        <v>4107.9694179999997</v>
      </c>
      <c r="J86" s="47">
        <f t="shared" si="218"/>
        <v>0</v>
      </c>
      <c r="K86" s="47">
        <f t="shared" si="251"/>
        <v>0</v>
      </c>
      <c r="L86" s="48">
        <f t="shared" si="252"/>
        <v>4565.8504199999998</v>
      </c>
      <c r="M86" s="48">
        <f t="shared" si="253"/>
        <v>4107.9694179999997</v>
      </c>
      <c r="N86" s="93">
        <f t="shared" si="254"/>
        <v>4565.8504199999998</v>
      </c>
      <c r="O86" s="93">
        <f t="shared" si="255"/>
        <v>4107.9694179999997</v>
      </c>
      <c r="P86" s="298">
        <f t="shared" si="219"/>
        <v>0.70528565401565224</v>
      </c>
      <c r="Q86" s="275">
        <v>6.8465999999999996</v>
      </c>
      <c r="R86" s="275">
        <v>3.3854000000000002</v>
      </c>
      <c r="S86" s="275">
        <v>0</v>
      </c>
      <c r="T86" s="275">
        <v>2059.9425000000001</v>
      </c>
      <c r="U86" s="275">
        <v>830.9633</v>
      </c>
      <c r="V86" s="49">
        <f t="shared" si="220"/>
        <v>4196.8973340000002</v>
      </c>
      <c r="W86" s="49">
        <f t="shared" si="220"/>
        <v>3929.2983640000007</v>
      </c>
      <c r="X86" s="47">
        <f t="shared" si="220"/>
        <v>0</v>
      </c>
      <c r="Y86" s="47">
        <f t="shared" si="256"/>
        <v>0</v>
      </c>
      <c r="Z86" s="48">
        <f t="shared" si="257"/>
        <v>4196.8973340000002</v>
      </c>
      <c r="AA86" s="48">
        <f t="shared" si="258"/>
        <v>3929.2983640000007</v>
      </c>
      <c r="AB86" s="93">
        <f t="shared" si="259"/>
        <v>4196.8973340000002</v>
      </c>
      <c r="AC86" s="93">
        <f t="shared" si="260"/>
        <v>3929.2983640000007</v>
      </c>
      <c r="AD86" s="118"/>
      <c r="AE86" s="275">
        <v>8.5797000000000008</v>
      </c>
      <c r="AF86" s="275">
        <v>3.5276999999999998</v>
      </c>
      <c r="AG86" s="275">
        <v>0</v>
      </c>
      <c r="AH86" s="275">
        <v>133.58330000000001</v>
      </c>
      <c r="AI86" s="275">
        <v>54.25</v>
      </c>
      <c r="AJ86" s="49">
        <f t="shared" si="221"/>
        <v>4022.7639390000004</v>
      </c>
      <c r="AK86" s="49">
        <f t="shared" si="221"/>
        <v>4010.2188059999999</v>
      </c>
      <c r="AL86" s="47">
        <f t="shared" si="221"/>
        <v>0</v>
      </c>
      <c r="AM86" s="47">
        <f t="shared" si="261"/>
        <v>0</v>
      </c>
      <c r="AN86" s="48">
        <f t="shared" si="262"/>
        <v>4022.7639390000004</v>
      </c>
      <c r="AO86" s="48">
        <f t="shared" si="263"/>
        <v>4010.2188059999999</v>
      </c>
      <c r="AP86" s="93">
        <f t="shared" si="264"/>
        <v>4022.7639390000004</v>
      </c>
      <c r="AQ86" s="93">
        <f t="shared" si="265"/>
        <v>4010.2188059999999</v>
      </c>
      <c r="AR86" s="118"/>
      <c r="AS86" s="275">
        <v>11.3888</v>
      </c>
      <c r="AT86" s="275">
        <v>4.4588999999999999</v>
      </c>
      <c r="AU86" s="275">
        <v>0</v>
      </c>
      <c r="AV86" s="275">
        <v>6280.72</v>
      </c>
      <c r="AW86" s="275">
        <v>2851.7467000000001</v>
      </c>
      <c r="AX86" s="49">
        <f t="shared" si="222"/>
        <v>3968.4273599999997</v>
      </c>
      <c r="AY86" s="49">
        <f t="shared" si="222"/>
        <v>3120.6503429999998</v>
      </c>
      <c r="AZ86" s="47">
        <f t="shared" si="222"/>
        <v>0</v>
      </c>
      <c r="BA86" s="47">
        <f t="shared" si="266"/>
        <v>0</v>
      </c>
      <c r="BB86" s="48">
        <f t="shared" si="267"/>
        <v>3968.4273599999997</v>
      </c>
      <c r="BC86" s="48">
        <f t="shared" si="268"/>
        <v>3120.6503429999998</v>
      </c>
      <c r="BD86" s="93">
        <f t="shared" si="269"/>
        <v>3968.4273599999997</v>
      </c>
      <c r="BE86" s="93">
        <f t="shared" si="270"/>
        <v>3120.6503429999998</v>
      </c>
      <c r="BF86" s="118"/>
      <c r="BG86" s="275">
        <v>11.1165</v>
      </c>
      <c r="BH86" s="275">
        <v>4.952</v>
      </c>
      <c r="BI86" s="275">
        <v>0</v>
      </c>
      <c r="BJ86" s="275">
        <v>3763.8191999999999</v>
      </c>
      <c r="BK86" s="275">
        <v>1814.2108000000001</v>
      </c>
      <c r="BL86" s="49">
        <f t="shared" si="223"/>
        <v>3759.8226300000006</v>
      </c>
      <c r="BM86" s="49">
        <f t="shared" si="223"/>
        <v>2963.5739200000003</v>
      </c>
      <c r="BN86" s="47">
        <f t="shared" si="223"/>
        <v>0</v>
      </c>
      <c r="BO86" s="47">
        <f t="shared" si="271"/>
        <v>0</v>
      </c>
      <c r="BP86" s="48">
        <f t="shared" si="272"/>
        <v>3759.8226300000006</v>
      </c>
      <c r="BQ86" s="48">
        <f t="shared" si="273"/>
        <v>2963.5739200000003</v>
      </c>
      <c r="BR86" s="93">
        <f t="shared" si="274"/>
        <v>3759.8226300000006</v>
      </c>
      <c r="BS86" s="93">
        <f t="shared" si="275"/>
        <v>2963.5739200000003</v>
      </c>
      <c r="BT86" s="118"/>
      <c r="BU86" s="275">
        <v>10.972099999999999</v>
      </c>
      <c r="BV86" s="275">
        <v>4.9428999999999998</v>
      </c>
      <c r="BW86" s="275">
        <v>0</v>
      </c>
      <c r="BX86" s="275">
        <v>3643.5207999999998</v>
      </c>
      <c r="BY86" s="275">
        <v>1182.0142000000001</v>
      </c>
      <c r="BZ86" s="49">
        <f t="shared" si="224"/>
        <v>2579.9795939999999</v>
      </c>
      <c r="CA86" s="49">
        <f t="shared" si="224"/>
        <v>1777.1208369999997</v>
      </c>
      <c r="CB86" s="47">
        <f t="shared" si="224"/>
        <v>0</v>
      </c>
      <c r="CC86" s="47">
        <f t="shared" si="276"/>
        <v>0</v>
      </c>
      <c r="CD86" s="48">
        <f t="shared" si="277"/>
        <v>2579.9795939999999</v>
      </c>
      <c r="CE86" s="48">
        <f t="shared" si="278"/>
        <v>1777.1208369999997</v>
      </c>
      <c r="CF86" s="93">
        <f t="shared" si="279"/>
        <v>2579.9795939999999</v>
      </c>
      <c r="CG86" s="93">
        <f t="shared" si="280"/>
        <v>1777.1208369999997</v>
      </c>
      <c r="CH86" s="118"/>
      <c r="CI86" s="275">
        <v>1.478</v>
      </c>
      <c r="CJ86" s="275">
        <v>1.1668000000000001</v>
      </c>
      <c r="CK86" s="275">
        <v>0</v>
      </c>
      <c r="CL86" s="275">
        <v>13553.985000000001</v>
      </c>
      <c r="CM86" s="275">
        <v>5730.8342000000002</v>
      </c>
      <c r="CN86" s="49">
        <f t="shared" si="225"/>
        <v>305.05920000000003</v>
      </c>
      <c r="CO86" s="49">
        <f t="shared" si="225"/>
        <v>312.49237600000004</v>
      </c>
      <c r="CP86" s="47">
        <f t="shared" si="225"/>
        <v>0</v>
      </c>
      <c r="CQ86" s="47">
        <f t="shared" si="281"/>
        <v>0</v>
      </c>
      <c r="CR86" s="48">
        <f t="shared" si="282"/>
        <v>305.05920000000003</v>
      </c>
      <c r="CS86" s="48">
        <f t="shared" si="283"/>
        <v>312.49237600000004</v>
      </c>
      <c r="CT86" s="93">
        <f t="shared" si="284"/>
        <v>305.05920000000003</v>
      </c>
      <c r="CU86" s="93">
        <f t="shared" si="285"/>
        <v>312.49237600000004</v>
      </c>
      <c r="CV86" s="118"/>
      <c r="CW86" s="275">
        <v>3.0670999999999999</v>
      </c>
      <c r="CX86" s="275">
        <v>2.3334000000000001</v>
      </c>
      <c r="CY86" s="275">
        <v>0</v>
      </c>
      <c r="CZ86" s="275">
        <v>5743.5208000000002</v>
      </c>
      <c r="DA86" s="275">
        <v>2522.1932999999999</v>
      </c>
      <c r="DB86" s="49">
        <f t="shared" si="226"/>
        <v>636.69928900000002</v>
      </c>
      <c r="DC86" s="49">
        <f t="shared" si="226"/>
        <v>656.87543400000004</v>
      </c>
      <c r="DD86" s="47">
        <f t="shared" si="226"/>
        <v>0</v>
      </c>
      <c r="DE86" s="47">
        <f t="shared" si="286"/>
        <v>0</v>
      </c>
      <c r="DF86" s="48">
        <f t="shared" si="287"/>
        <v>636.69928900000002</v>
      </c>
      <c r="DG86" s="48">
        <f t="shared" si="288"/>
        <v>656.87543400000004</v>
      </c>
      <c r="DH86" s="93">
        <f t="shared" si="289"/>
        <v>636.69928900000002</v>
      </c>
      <c r="DI86" s="93">
        <f t="shared" si="290"/>
        <v>656.87543400000004</v>
      </c>
      <c r="DJ86" s="118"/>
      <c r="DK86" s="275">
        <v>3.1313</v>
      </c>
      <c r="DL86" s="275">
        <v>2.4051999999999998</v>
      </c>
      <c r="DM86" s="275">
        <v>0</v>
      </c>
      <c r="DN86" s="275">
        <v>2510.6183000000001</v>
      </c>
      <c r="DO86" s="275">
        <v>1167.7192</v>
      </c>
      <c r="DP86" s="49">
        <f t="shared" si="227"/>
        <v>426.60831200000001</v>
      </c>
      <c r="DQ86" s="49">
        <f t="shared" si="227"/>
        <v>474.57001199999996</v>
      </c>
      <c r="DR86" s="47">
        <f t="shared" si="227"/>
        <v>0</v>
      </c>
      <c r="DS86" s="47">
        <f t="shared" si="291"/>
        <v>0</v>
      </c>
      <c r="DT86" s="48">
        <f t="shared" si="292"/>
        <v>426.60831200000001</v>
      </c>
      <c r="DU86" s="48">
        <f t="shared" si="293"/>
        <v>474.57001199999996</v>
      </c>
      <c r="DV86" s="93">
        <f t="shared" si="294"/>
        <v>426.60831200000001</v>
      </c>
      <c r="DW86" s="93">
        <f t="shared" si="295"/>
        <v>474.57001199999996</v>
      </c>
      <c r="DX86" s="118"/>
      <c r="DY86" s="118"/>
      <c r="DZ86" s="118"/>
      <c r="EB86" s="52"/>
      <c r="EC86" s="52"/>
      <c r="ED86" s="52"/>
      <c r="EE86" s="55">
        <f t="shared" si="296"/>
        <v>30809.394099999998</v>
      </c>
      <c r="EF86" s="55">
        <f t="shared" si="296"/>
        <v>13290.697499999998</v>
      </c>
      <c r="EG86" s="55">
        <f t="shared" si="296"/>
        <v>9348.6964112000005</v>
      </c>
      <c r="EH86" s="55">
        <f t="shared" si="228"/>
        <v>8066.6124841999999</v>
      </c>
      <c r="EI86" s="298">
        <f t="shared" si="229"/>
        <v>0.69862426544256884</v>
      </c>
      <c r="EJ86" s="52"/>
      <c r="EK86" s="55">
        <f t="shared" si="297"/>
        <v>9348.6964112000005</v>
      </c>
      <c r="EL86" s="55">
        <f t="shared" si="297"/>
        <v>8066.6124841999999</v>
      </c>
      <c r="EM86" s="55">
        <f t="shared" si="297"/>
        <v>9348.6964112000005</v>
      </c>
      <c r="EN86" s="55">
        <f t="shared" si="297"/>
        <v>8066.6124841999999</v>
      </c>
      <c r="EP86" s="52"/>
      <c r="EQ86" s="52"/>
      <c r="ER86" s="52"/>
      <c r="ES86" s="55">
        <f t="shared" si="230"/>
        <v>25121.267500000002</v>
      </c>
      <c r="ET86" s="55">
        <f t="shared" si="230"/>
        <v>10898.2016</v>
      </c>
      <c r="EU86" s="55">
        <f t="shared" si="230"/>
        <v>8707.4686663000011</v>
      </c>
      <c r="EV86" s="55">
        <f t="shared" si="230"/>
        <v>7665.1774638000006</v>
      </c>
      <c r="EW86" s="298">
        <f t="shared" si="231"/>
        <v>0.69743580701471253</v>
      </c>
      <c r="EX86" s="52"/>
      <c r="EY86" s="55">
        <f t="shared" si="232"/>
        <v>8707.4686663000011</v>
      </c>
      <c r="EZ86" s="55">
        <f t="shared" si="232"/>
        <v>7665.1774638000006</v>
      </c>
      <c r="FA86" s="55">
        <f t="shared" si="232"/>
        <v>8707.4686663000011</v>
      </c>
      <c r="FB86" s="55">
        <f t="shared" si="232"/>
        <v>7665.1774638000006</v>
      </c>
      <c r="FD86" s="52"/>
      <c r="FE86" s="52"/>
      <c r="FF86" s="52"/>
      <c r="FG86" s="55">
        <f t="shared" si="233"/>
        <v>19841.707399999999</v>
      </c>
      <c r="FH86" s="55">
        <f t="shared" si="233"/>
        <v>8134.8176000000003</v>
      </c>
      <c r="FI86" s="55">
        <f t="shared" si="233"/>
        <v>7163.7677202000004</v>
      </c>
      <c r="FJ86" s="55">
        <f t="shared" si="233"/>
        <v>6384.5740261999999</v>
      </c>
      <c r="FK86" s="298">
        <f t="shared" si="234"/>
        <v>0.70922701800884846</v>
      </c>
      <c r="FL86" s="52"/>
      <c r="FM86" s="55">
        <f t="shared" si="235"/>
        <v>7163.7677202000004</v>
      </c>
      <c r="FN86" s="55">
        <f t="shared" si="235"/>
        <v>6384.5740261999999</v>
      </c>
      <c r="FO86" s="55">
        <f t="shared" si="235"/>
        <v>7163.7677202000004</v>
      </c>
      <c r="FP86" s="55">
        <f t="shared" si="235"/>
        <v>6384.5740261999999</v>
      </c>
      <c r="FR86" s="52"/>
      <c r="FS86" s="52"/>
      <c r="FT86" s="52"/>
      <c r="FU86" s="55">
        <f t="shared" si="236"/>
        <v>19297.505799999999</v>
      </c>
      <c r="FV86" s="55">
        <f t="shared" si="236"/>
        <v>8253.0275000000001</v>
      </c>
      <c r="FW86" s="55">
        <f t="shared" si="236"/>
        <v>814.41863120000005</v>
      </c>
      <c r="FX86" s="55">
        <f t="shared" si="236"/>
        <v>837.99272320000011</v>
      </c>
      <c r="FY86" s="298">
        <f t="shared" si="237"/>
        <v>0.70044037223773081</v>
      </c>
      <c r="FZ86" s="52"/>
      <c r="GA86" s="55">
        <f t="shared" si="238"/>
        <v>814.41863120000005</v>
      </c>
      <c r="GB86" s="55">
        <f t="shared" si="238"/>
        <v>837.99272320000011</v>
      </c>
      <c r="GC86" s="55">
        <f t="shared" si="238"/>
        <v>814.41863120000005</v>
      </c>
      <c r="GD86" s="55">
        <f t="shared" si="238"/>
        <v>837.99272320000011</v>
      </c>
      <c r="GF86" s="52"/>
      <c r="GG86" s="52"/>
      <c r="GH86" s="52"/>
      <c r="GI86" s="55">
        <f t="shared" si="239"/>
        <v>9924.2407999999996</v>
      </c>
      <c r="GJ86" s="55">
        <f t="shared" si="239"/>
        <v>4033.7609000000002</v>
      </c>
      <c r="GK86" s="56">
        <f t="shared" si="240"/>
        <v>1041.3358244999999</v>
      </c>
      <c r="GL86" s="56">
        <f t="shared" si="240"/>
        <v>1007.6471295000001</v>
      </c>
      <c r="GM86" s="298">
        <f t="shared" si="241"/>
        <v>0.71100727835561151</v>
      </c>
      <c r="GN86" s="52"/>
      <c r="GO86" s="56">
        <f t="shared" si="242"/>
        <v>1041.3358244999999</v>
      </c>
      <c r="GP86" s="56">
        <f t="shared" si="242"/>
        <v>1007.6471295000001</v>
      </c>
      <c r="GQ86" s="56">
        <f t="shared" si="242"/>
        <v>1041.3358244999999</v>
      </c>
      <c r="GR86" s="56">
        <f t="shared" si="242"/>
        <v>1007.6471295000001</v>
      </c>
      <c r="GW86" s="275">
        <v>5.7808999999999999</v>
      </c>
      <c r="GX86" s="275">
        <v>2.8020999999999998</v>
      </c>
      <c r="GY86" s="275">
        <v>0</v>
      </c>
      <c r="GZ86" s="275">
        <v>1014.1808</v>
      </c>
      <c r="HA86" s="275">
        <v>402.63749999999999</v>
      </c>
      <c r="HB86" s="49">
        <f t="shared" si="243"/>
        <v>3796.8373109999998</v>
      </c>
      <c r="HC86" s="49">
        <f t="shared" si="244"/>
        <v>3804.7194009999994</v>
      </c>
      <c r="HD86" s="47">
        <f t="shared" si="245"/>
        <v>0</v>
      </c>
      <c r="HE86" s="47">
        <f t="shared" si="298"/>
        <v>0</v>
      </c>
      <c r="HF86" s="48">
        <f t="shared" si="299"/>
        <v>3796.8373109999998</v>
      </c>
      <c r="HG86" s="48">
        <f t="shared" si="300"/>
        <v>3804.7194009999994</v>
      </c>
      <c r="HH86" s="93">
        <f t="shared" si="301"/>
        <v>3796.8373109999998</v>
      </c>
      <c r="HI86" s="93">
        <f t="shared" si="302"/>
        <v>3804.7194009999994</v>
      </c>
      <c r="HJ86" s="298">
        <f t="shared" si="246"/>
        <v>0.71581571186651105</v>
      </c>
      <c r="HL86" s="275">
        <v>7.7145999999999999</v>
      </c>
      <c r="HM86" s="275">
        <v>5.2927</v>
      </c>
      <c r="HN86" s="275">
        <v>0</v>
      </c>
      <c r="HO86" s="275">
        <v>393.63170000000002</v>
      </c>
      <c r="HP86" s="275">
        <v>159.08330000000001</v>
      </c>
      <c r="HQ86" s="49">
        <f t="shared" si="247"/>
        <v>4101.4670900000001</v>
      </c>
      <c r="HR86" s="49">
        <f t="shared" si="248"/>
        <v>4104.6476309999998</v>
      </c>
      <c r="HS86" s="47">
        <f t="shared" si="249"/>
        <v>0</v>
      </c>
      <c r="HT86" s="47">
        <f t="shared" si="303"/>
        <v>0</v>
      </c>
      <c r="HU86" s="48">
        <f t="shared" si="304"/>
        <v>4101.4670900000001</v>
      </c>
      <c r="HV86" s="48">
        <f t="shared" si="305"/>
        <v>4104.6476309999998</v>
      </c>
      <c r="HW86" s="93">
        <f t="shared" si="306"/>
        <v>4101.4670900000001</v>
      </c>
      <c r="HX86" s="93">
        <f t="shared" si="307"/>
        <v>4104.6476309999998</v>
      </c>
      <c r="HY86" s="298">
        <f t="shared" si="250"/>
        <v>0.71217842830391798</v>
      </c>
    </row>
    <row r="87" spans="1:233" s="131" customFormat="1" x14ac:dyDescent="0.2">
      <c r="A87" s="118">
        <v>77</v>
      </c>
      <c r="B87" s="118"/>
      <c r="C87" s="275">
        <v>4.7735000000000003</v>
      </c>
      <c r="D87" s="275">
        <v>2.3483999999999998</v>
      </c>
      <c r="E87" s="275">
        <v>0</v>
      </c>
      <c r="F87" s="275">
        <v>4209.5517</v>
      </c>
      <c r="G87" s="275">
        <v>1888.2357999999999</v>
      </c>
      <c r="H87" s="49">
        <f t="shared" si="218"/>
        <v>4721.2301749999997</v>
      </c>
      <c r="I87" s="49">
        <f t="shared" si="218"/>
        <v>4231.3940879999991</v>
      </c>
      <c r="J87" s="47">
        <f t="shared" si="218"/>
        <v>0</v>
      </c>
      <c r="K87" s="47">
        <f t="shared" si="251"/>
        <v>0</v>
      </c>
      <c r="L87" s="48">
        <f t="shared" si="252"/>
        <v>4721.2301749999997</v>
      </c>
      <c r="M87" s="48">
        <f t="shared" si="253"/>
        <v>4231.3940879999991</v>
      </c>
      <c r="N87" s="93">
        <f t="shared" si="254"/>
        <v>4721.2301749999997</v>
      </c>
      <c r="O87" s="93">
        <f t="shared" si="255"/>
        <v>4231.3940879999991</v>
      </c>
      <c r="P87" s="298">
        <f t="shared" si="219"/>
        <v>0.69034083263806745</v>
      </c>
      <c r="Q87" s="275">
        <v>7.1443000000000003</v>
      </c>
      <c r="R87" s="275">
        <v>3.4903</v>
      </c>
      <c r="S87" s="275">
        <v>0</v>
      </c>
      <c r="T87" s="275">
        <v>1566.1941999999999</v>
      </c>
      <c r="U87" s="275">
        <v>715.97580000000005</v>
      </c>
      <c r="V87" s="49">
        <f t="shared" si="220"/>
        <v>4379.3844570000001</v>
      </c>
      <c r="W87" s="49">
        <f t="shared" si="220"/>
        <v>4051.051598</v>
      </c>
      <c r="X87" s="47">
        <f t="shared" si="220"/>
        <v>0</v>
      </c>
      <c r="Y87" s="47">
        <f t="shared" si="256"/>
        <v>0</v>
      </c>
      <c r="Z87" s="48">
        <f t="shared" si="257"/>
        <v>4379.3844570000001</v>
      </c>
      <c r="AA87" s="48">
        <f t="shared" si="258"/>
        <v>4051.051598</v>
      </c>
      <c r="AB87" s="93">
        <f t="shared" si="259"/>
        <v>4379.3844570000001</v>
      </c>
      <c r="AC87" s="93">
        <f t="shared" si="260"/>
        <v>4051.051598</v>
      </c>
      <c r="AD87" s="118"/>
      <c r="AE87" s="275">
        <v>8.9154999999999998</v>
      </c>
      <c r="AF87" s="275">
        <v>3.6343999999999999</v>
      </c>
      <c r="AG87" s="275">
        <v>0</v>
      </c>
      <c r="AH87" s="275">
        <v>119.60420000000001</v>
      </c>
      <c r="AI87" s="275">
        <v>68.333299999999994</v>
      </c>
      <c r="AJ87" s="49">
        <f t="shared" si="221"/>
        <v>4180.2104849999996</v>
      </c>
      <c r="AK87" s="49">
        <f t="shared" si="221"/>
        <v>4131.5132319999993</v>
      </c>
      <c r="AL87" s="47">
        <f t="shared" si="221"/>
        <v>0</v>
      </c>
      <c r="AM87" s="47">
        <f t="shared" si="261"/>
        <v>0</v>
      </c>
      <c r="AN87" s="48">
        <f t="shared" si="262"/>
        <v>4180.2104849999996</v>
      </c>
      <c r="AO87" s="48">
        <f t="shared" si="263"/>
        <v>4131.5132319999993</v>
      </c>
      <c r="AP87" s="93">
        <f t="shared" si="264"/>
        <v>4180.2104849999996</v>
      </c>
      <c r="AQ87" s="93">
        <f t="shared" si="265"/>
        <v>4131.5132319999993</v>
      </c>
      <c r="AR87" s="118"/>
      <c r="AS87" s="275">
        <v>11.997</v>
      </c>
      <c r="AT87" s="275">
        <v>4.7264999999999997</v>
      </c>
      <c r="AU87" s="275">
        <v>0</v>
      </c>
      <c r="AV87" s="275">
        <v>5018.8467000000001</v>
      </c>
      <c r="AW87" s="275">
        <v>2474.3166999999999</v>
      </c>
      <c r="AX87" s="49">
        <f t="shared" si="222"/>
        <v>4180.3546500000002</v>
      </c>
      <c r="AY87" s="49">
        <f t="shared" si="222"/>
        <v>3307.935555</v>
      </c>
      <c r="AZ87" s="47">
        <f t="shared" si="222"/>
        <v>0</v>
      </c>
      <c r="BA87" s="47">
        <f t="shared" si="266"/>
        <v>0</v>
      </c>
      <c r="BB87" s="48">
        <f t="shared" si="267"/>
        <v>4180.3546500000002</v>
      </c>
      <c r="BC87" s="48">
        <f t="shared" si="268"/>
        <v>3307.935555</v>
      </c>
      <c r="BD87" s="93">
        <f t="shared" si="269"/>
        <v>4180.3546500000002</v>
      </c>
      <c r="BE87" s="93">
        <f t="shared" si="270"/>
        <v>3307.935555</v>
      </c>
      <c r="BF87" s="118"/>
      <c r="BG87" s="275">
        <v>11.719200000000001</v>
      </c>
      <c r="BH87" s="275">
        <v>5.2070999999999996</v>
      </c>
      <c r="BI87" s="275">
        <v>0</v>
      </c>
      <c r="BJ87" s="275">
        <v>3157.71</v>
      </c>
      <c r="BK87" s="275">
        <v>1452.6958</v>
      </c>
      <c r="BL87" s="49">
        <f t="shared" si="223"/>
        <v>3963.6678240000006</v>
      </c>
      <c r="BM87" s="49">
        <f t="shared" si="223"/>
        <v>3116.241066</v>
      </c>
      <c r="BN87" s="47">
        <f t="shared" si="223"/>
        <v>0</v>
      </c>
      <c r="BO87" s="47">
        <f t="shared" si="271"/>
        <v>0</v>
      </c>
      <c r="BP87" s="48">
        <f t="shared" si="272"/>
        <v>3963.6678240000006</v>
      </c>
      <c r="BQ87" s="48">
        <f t="shared" si="273"/>
        <v>3116.241066</v>
      </c>
      <c r="BR87" s="93">
        <f t="shared" si="274"/>
        <v>3963.6678240000006</v>
      </c>
      <c r="BS87" s="93">
        <f t="shared" si="275"/>
        <v>3116.241066</v>
      </c>
      <c r="BT87" s="118"/>
      <c r="BU87" s="275">
        <v>11.462</v>
      </c>
      <c r="BV87" s="275">
        <v>5.2355</v>
      </c>
      <c r="BW87" s="275">
        <v>0</v>
      </c>
      <c r="BX87" s="275">
        <v>2844.6767</v>
      </c>
      <c r="BY87" s="275">
        <v>1001.8542</v>
      </c>
      <c r="BZ87" s="49">
        <f t="shared" si="224"/>
        <v>2695.1746799999996</v>
      </c>
      <c r="CA87" s="49">
        <f t="shared" si="224"/>
        <v>1882.319315</v>
      </c>
      <c r="CB87" s="47">
        <f t="shared" si="224"/>
        <v>0</v>
      </c>
      <c r="CC87" s="47">
        <f t="shared" si="276"/>
        <v>0</v>
      </c>
      <c r="CD87" s="48">
        <f t="shared" si="277"/>
        <v>2695.1746799999996</v>
      </c>
      <c r="CE87" s="48">
        <f t="shared" si="278"/>
        <v>1882.319315</v>
      </c>
      <c r="CF87" s="93">
        <f t="shared" si="279"/>
        <v>2695.1746799999996</v>
      </c>
      <c r="CG87" s="93">
        <f t="shared" si="280"/>
        <v>1882.319315</v>
      </c>
      <c r="CH87" s="118"/>
      <c r="CI87" s="275">
        <v>1.4702999999999999</v>
      </c>
      <c r="CJ87" s="275">
        <v>1.1432</v>
      </c>
      <c r="CK87" s="275">
        <v>0</v>
      </c>
      <c r="CL87" s="275">
        <v>10827.235000000001</v>
      </c>
      <c r="CM87" s="275">
        <v>4799.0200000000004</v>
      </c>
      <c r="CN87" s="49">
        <f t="shared" si="225"/>
        <v>303.46992</v>
      </c>
      <c r="CO87" s="49">
        <f t="shared" si="225"/>
        <v>306.17182400000002</v>
      </c>
      <c r="CP87" s="47">
        <f t="shared" si="225"/>
        <v>0</v>
      </c>
      <c r="CQ87" s="47">
        <f t="shared" si="281"/>
        <v>0</v>
      </c>
      <c r="CR87" s="48">
        <f t="shared" si="282"/>
        <v>303.46992</v>
      </c>
      <c r="CS87" s="48">
        <f t="shared" si="283"/>
        <v>306.17182400000002</v>
      </c>
      <c r="CT87" s="93">
        <f t="shared" si="284"/>
        <v>303.46992</v>
      </c>
      <c r="CU87" s="93">
        <f t="shared" si="285"/>
        <v>306.17182400000002</v>
      </c>
      <c r="CV87" s="118"/>
      <c r="CW87" s="275">
        <v>3.0537999999999998</v>
      </c>
      <c r="CX87" s="275">
        <v>2.2881</v>
      </c>
      <c r="CY87" s="275">
        <v>0</v>
      </c>
      <c r="CZ87" s="275">
        <v>4575.1824999999999</v>
      </c>
      <c r="DA87" s="275">
        <v>2203.0500000000002</v>
      </c>
      <c r="DB87" s="49">
        <f t="shared" si="226"/>
        <v>633.93834200000003</v>
      </c>
      <c r="DC87" s="49">
        <f t="shared" si="226"/>
        <v>644.12303099999997</v>
      </c>
      <c r="DD87" s="47">
        <f t="shared" si="226"/>
        <v>0</v>
      </c>
      <c r="DE87" s="47">
        <f t="shared" si="286"/>
        <v>0</v>
      </c>
      <c r="DF87" s="48">
        <f t="shared" si="287"/>
        <v>633.93834200000003</v>
      </c>
      <c r="DG87" s="48">
        <f t="shared" si="288"/>
        <v>644.12303099999997</v>
      </c>
      <c r="DH87" s="93">
        <f t="shared" si="289"/>
        <v>633.93834200000003</v>
      </c>
      <c r="DI87" s="93">
        <f t="shared" si="290"/>
        <v>644.12303099999997</v>
      </c>
      <c r="DJ87" s="118"/>
      <c r="DK87" s="275">
        <v>3.1694</v>
      </c>
      <c r="DL87" s="275">
        <v>2.3969</v>
      </c>
      <c r="DM87" s="275">
        <v>0</v>
      </c>
      <c r="DN87" s="275">
        <v>2039.6783</v>
      </c>
      <c r="DO87" s="275">
        <v>975.48580000000004</v>
      </c>
      <c r="DP87" s="49">
        <f t="shared" si="227"/>
        <v>431.79905600000001</v>
      </c>
      <c r="DQ87" s="49">
        <f t="shared" si="227"/>
        <v>472.93233900000001</v>
      </c>
      <c r="DR87" s="47">
        <f t="shared" si="227"/>
        <v>0</v>
      </c>
      <c r="DS87" s="47">
        <f t="shared" si="291"/>
        <v>0</v>
      </c>
      <c r="DT87" s="48">
        <f t="shared" si="292"/>
        <v>431.79905600000001</v>
      </c>
      <c r="DU87" s="48">
        <f t="shared" si="293"/>
        <v>472.93233900000001</v>
      </c>
      <c r="DV87" s="93">
        <f t="shared" si="294"/>
        <v>431.79905600000001</v>
      </c>
      <c r="DW87" s="93">
        <f t="shared" si="295"/>
        <v>472.93233900000001</v>
      </c>
      <c r="DX87" s="118"/>
      <c r="DY87" s="118"/>
      <c r="DZ87" s="118"/>
      <c r="EB87" s="52"/>
      <c r="EC87" s="52"/>
      <c r="ED87" s="52"/>
      <c r="EE87" s="55">
        <f t="shared" si="296"/>
        <v>24630.815899999998</v>
      </c>
      <c r="EF87" s="55">
        <f t="shared" si="296"/>
        <v>11364.622500000001</v>
      </c>
      <c r="EG87" s="55">
        <f t="shared" si="296"/>
        <v>9712.2054185999987</v>
      </c>
      <c r="EH87" s="55">
        <f t="shared" si="228"/>
        <v>8360.7998917999994</v>
      </c>
      <c r="EI87" s="298">
        <f t="shared" si="229"/>
        <v>0.68427603593237518</v>
      </c>
      <c r="EJ87" s="52"/>
      <c r="EK87" s="55">
        <f t="shared" si="297"/>
        <v>9712.2054185999987</v>
      </c>
      <c r="EL87" s="55">
        <f t="shared" si="297"/>
        <v>8360.7998917999994</v>
      </c>
      <c r="EM87" s="55">
        <f t="shared" si="297"/>
        <v>9712.2054185999987</v>
      </c>
      <c r="EN87" s="55">
        <f t="shared" si="297"/>
        <v>8360.7998917999994</v>
      </c>
      <c r="EP87" s="52"/>
      <c r="EQ87" s="52"/>
      <c r="ER87" s="52"/>
      <c r="ES87" s="55">
        <f t="shared" si="230"/>
        <v>20126.3217</v>
      </c>
      <c r="ET87" s="55">
        <f t="shared" si="230"/>
        <v>9170.7416000000012</v>
      </c>
      <c r="EU87" s="55">
        <f t="shared" si="230"/>
        <v>9090.2790404000007</v>
      </c>
      <c r="EV87" s="55">
        <f t="shared" si="230"/>
        <v>7924.3506097000009</v>
      </c>
      <c r="EW87" s="298">
        <f t="shared" si="231"/>
        <v>0.68697403196722451</v>
      </c>
      <c r="EX87" s="52"/>
      <c r="EY87" s="55">
        <f t="shared" si="232"/>
        <v>9090.2790404000007</v>
      </c>
      <c r="EZ87" s="55">
        <f t="shared" si="232"/>
        <v>7924.3506097000009</v>
      </c>
      <c r="FA87" s="55">
        <f t="shared" si="232"/>
        <v>9090.2790404000007</v>
      </c>
      <c r="FB87" s="55">
        <f t="shared" si="232"/>
        <v>7924.3506097000009</v>
      </c>
      <c r="FD87" s="52"/>
      <c r="FE87" s="52"/>
      <c r="FF87" s="52"/>
      <c r="FG87" s="55">
        <f t="shared" si="233"/>
        <v>15831.1942</v>
      </c>
      <c r="FH87" s="55">
        <f t="shared" si="233"/>
        <v>6844.6933000000008</v>
      </c>
      <c r="FI87" s="55">
        <f t="shared" si="233"/>
        <v>7437.9345185999991</v>
      </c>
      <c r="FJ87" s="55">
        <f t="shared" si="233"/>
        <v>6603.7637743999994</v>
      </c>
      <c r="FK87" s="298">
        <f t="shared" si="234"/>
        <v>0.69815102936985374</v>
      </c>
      <c r="FL87" s="52"/>
      <c r="FM87" s="55">
        <f t="shared" si="235"/>
        <v>7437.9345185999991</v>
      </c>
      <c r="FN87" s="55">
        <f t="shared" si="235"/>
        <v>6603.7637743999994</v>
      </c>
      <c r="FO87" s="55">
        <f t="shared" si="235"/>
        <v>7437.9345185999991</v>
      </c>
      <c r="FP87" s="55">
        <f t="shared" si="235"/>
        <v>6603.7637743999994</v>
      </c>
      <c r="FR87" s="52"/>
      <c r="FS87" s="52"/>
      <c r="FT87" s="52"/>
      <c r="FU87" s="55">
        <f t="shared" si="236"/>
        <v>15402.4175</v>
      </c>
      <c r="FV87" s="55">
        <f t="shared" si="236"/>
        <v>7002.0700000000006</v>
      </c>
      <c r="FW87" s="55">
        <f t="shared" si="236"/>
        <v>810.62059360000012</v>
      </c>
      <c r="FX87" s="55">
        <f t="shared" si="236"/>
        <v>821.47024880000004</v>
      </c>
      <c r="FY87" s="298">
        <f t="shared" si="237"/>
        <v>0.68747019988741098</v>
      </c>
      <c r="FZ87" s="52"/>
      <c r="GA87" s="55">
        <f t="shared" si="238"/>
        <v>810.62059360000012</v>
      </c>
      <c r="GB87" s="55">
        <f t="shared" si="238"/>
        <v>821.47024880000004</v>
      </c>
      <c r="GC87" s="55">
        <f t="shared" si="238"/>
        <v>810.62059360000012</v>
      </c>
      <c r="GD87" s="55">
        <f t="shared" si="238"/>
        <v>821.47024880000004</v>
      </c>
      <c r="GF87" s="52"/>
      <c r="GG87" s="52"/>
      <c r="GH87" s="52"/>
      <c r="GI87" s="55">
        <f t="shared" si="239"/>
        <v>7863.5234</v>
      </c>
      <c r="GJ87" s="55">
        <f t="shared" si="239"/>
        <v>3476.1709000000001</v>
      </c>
      <c r="GK87" s="56">
        <f t="shared" si="240"/>
        <v>1113.8849775000003</v>
      </c>
      <c r="GL87" s="56">
        <f t="shared" si="240"/>
        <v>1069.21218</v>
      </c>
      <c r="GM87" s="298">
        <f t="shared" si="241"/>
        <v>0.69345109241613334</v>
      </c>
      <c r="GN87" s="52"/>
      <c r="GO87" s="56">
        <f t="shared" si="242"/>
        <v>1113.8849775000003</v>
      </c>
      <c r="GP87" s="56">
        <f t="shared" si="242"/>
        <v>1069.21218</v>
      </c>
      <c r="GQ87" s="56">
        <f t="shared" si="242"/>
        <v>1113.8849775000003</v>
      </c>
      <c r="GR87" s="56">
        <f t="shared" si="242"/>
        <v>1069.21218</v>
      </c>
      <c r="GW87" s="275">
        <v>6.0651999999999999</v>
      </c>
      <c r="GX87" s="275">
        <v>2.8925000000000001</v>
      </c>
      <c r="GY87" s="275">
        <v>0</v>
      </c>
      <c r="GZ87" s="275">
        <v>811.62919999999997</v>
      </c>
      <c r="HA87" s="275">
        <v>313.80329999999998</v>
      </c>
      <c r="HB87" s="49">
        <f t="shared" si="243"/>
        <v>3983.5627079999999</v>
      </c>
      <c r="HC87" s="49">
        <f t="shared" si="244"/>
        <v>3927.4654249999999</v>
      </c>
      <c r="HD87" s="47">
        <f t="shared" si="245"/>
        <v>0</v>
      </c>
      <c r="HE87" s="47">
        <f t="shared" si="298"/>
        <v>0</v>
      </c>
      <c r="HF87" s="48">
        <f t="shared" si="299"/>
        <v>3983.5627079999999</v>
      </c>
      <c r="HG87" s="48">
        <f t="shared" si="300"/>
        <v>3927.4654249999999</v>
      </c>
      <c r="HH87" s="93">
        <f t="shared" si="301"/>
        <v>3983.5627079999999</v>
      </c>
      <c r="HI87" s="93">
        <f t="shared" si="302"/>
        <v>3927.4654249999999</v>
      </c>
      <c r="HJ87" s="298">
        <f t="shared" si="246"/>
        <v>0.72117092762115897</v>
      </c>
      <c r="HL87" s="275">
        <v>8.0299999999999994</v>
      </c>
      <c r="HM87" s="275">
        <v>5.4089999999999998</v>
      </c>
      <c r="HN87" s="275">
        <v>0</v>
      </c>
      <c r="HO87" s="275">
        <v>360.2783</v>
      </c>
      <c r="HP87" s="275">
        <v>120.25</v>
      </c>
      <c r="HQ87" s="49">
        <f t="shared" si="247"/>
        <v>4269.1494999999995</v>
      </c>
      <c r="HR87" s="49">
        <f t="shared" si="248"/>
        <v>4194.84177</v>
      </c>
      <c r="HS87" s="47">
        <f t="shared" si="249"/>
        <v>0</v>
      </c>
      <c r="HT87" s="47">
        <f t="shared" si="303"/>
        <v>0</v>
      </c>
      <c r="HU87" s="48">
        <f t="shared" si="304"/>
        <v>4269.1494999999995</v>
      </c>
      <c r="HV87" s="48">
        <f t="shared" si="305"/>
        <v>4194.84177</v>
      </c>
      <c r="HW87" s="93">
        <f t="shared" si="306"/>
        <v>4269.1494999999995</v>
      </c>
      <c r="HX87" s="93">
        <f t="shared" si="307"/>
        <v>4194.84177</v>
      </c>
      <c r="HY87" s="298">
        <f t="shared" si="250"/>
        <v>0.74975459301772651</v>
      </c>
    </row>
    <row r="88" spans="1:233" s="131" customFormat="1" x14ac:dyDescent="0.2">
      <c r="A88" s="118">
        <v>78</v>
      </c>
      <c r="B88" s="118"/>
      <c r="C88" s="275">
        <v>4.9207999999999998</v>
      </c>
      <c r="D88" s="275">
        <v>2.4135</v>
      </c>
      <c r="E88" s="275">
        <v>0</v>
      </c>
      <c r="F88" s="275">
        <v>3577.52</v>
      </c>
      <c r="G88" s="275">
        <v>1788.21</v>
      </c>
      <c r="H88" s="49">
        <f t="shared" si="218"/>
        <v>4866.9172399999998</v>
      </c>
      <c r="I88" s="49">
        <f t="shared" si="218"/>
        <v>4348.6925700000002</v>
      </c>
      <c r="J88" s="47">
        <f t="shared" si="218"/>
        <v>0</v>
      </c>
      <c r="K88" s="47">
        <f t="shared" si="251"/>
        <v>0</v>
      </c>
      <c r="L88" s="48">
        <f t="shared" si="252"/>
        <v>4866.9172399999998</v>
      </c>
      <c r="M88" s="48">
        <f t="shared" si="253"/>
        <v>4348.6925700000002</v>
      </c>
      <c r="N88" s="93">
        <f t="shared" si="254"/>
        <v>4866.9172399999998</v>
      </c>
      <c r="O88" s="93">
        <f t="shared" si="255"/>
        <v>4348.6925700000002</v>
      </c>
      <c r="P88" s="298">
        <f t="shared" si="219"/>
        <v>0.66673500157480903</v>
      </c>
      <c r="Q88" s="275">
        <v>7.4286000000000003</v>
      </c>
      <c r="R88" s="275">
        <v>3.5849000000000002</v>
      </c>
      <c r="S88" s="275">
        <v>0</v>
      </c>
      <c r="T88" s="275">
        <v>1339.425</v>
      </c>
      <c r="U88" s="275">
        <v>582.31500000000005</v>
      </c>
      <c r="V88" s="49">
        <f t="shared" si="220"/>
        <v>4553.6575140000004</v>
      </c>
      <c r="W88" s="49">
        <f t="shared" si="220"/>
        <v>4160.850034000001</v>
      </c>
      <c r="X88" s="47">
        <f t="shared" si="220"/>
        <v>0</v>
      </c>
      <c r="Y88" s="47">
        <f t="shared" si="256"/>
        <v>0</v>
      </c>
      <c r="Z88" s="48">
        <f t="shared" si="257"/>
        <v>4553.6575140000004</v>
      </c>
      <c r="AA88" s="48">
        <f t="shared" si="258"/>
        <v>4160.850034000001</v>
      </c>
      <c r="AB88" s="93">
        <f t="shared" si="259"/>
        <v>4553.6575140000004</v>
      </c>
      <c r="AC88" s="93">
        <f t="shared" si="260"/>
        <v>4160.850034000001</v>
      </c>
      <c r="AD88" s="118"/>
      <c r="AE88" s="275">
        <v>9.2582000000000004</v>
      </c>
      <c r="AF88" s="275">
        <v>3.7387999999999999</v>
      </c>
      <c r="AG88" s="275">
        <v>0</v>
      </c>
      <c r="AH88" s="275">
        <v>123</v>
      </c>
      <c r="AI88" s="275">
        <v>57.04</v>
      </c>
      <c r="AJ88" s="49">
        <f t="shared" si="221"/>
        <v>4340.8922339999999</v>
      </c>
      <c r="AK88" s="49">
        <f t="shared" si="221"/>
        <v>4250.193064</v>
      </c>
      <c r="AL88" s="47">
        <f t="shared" si="221"/>
        <v>0</v>
      </c>
      <c r="AM88" s="47">
        <f t="shared" si="261"/>
        <v>0</v>
      </c>
      <c r="AN88" s="48">
        <f t="shared" si="262"/>
        <v>4340.8922339999999</v>
      </c>
      <c r="AO88" s="48">
        <f t="shared" si="263"/>
        <v>4250.193064</v>
      </c>
      <c r="AP88" s="93">
        <f t="shared" si="264"/>
        <v>4340.8922339999999</v>
      </c>
      <c r="AQ88" s="93">
        <f t="shared" si="265"/>
        <v>4250.193064</v>
      </c>
      <c r="AR88" s="118"/>
      <c r="AS88" s="275">
        <v>12.6129</v>
      </c>
      <c r="AT88" s="275">
        <v>4.9973000000000001</v>
      </c>
      <c r="AU88" s="275">
        <v>0</v>
      </c>
      <c r="AV88" s="275">
        <v>4212.92</v>
      </c>
      <c r="AW88" s="275">
        <v>2189.0657999999999</v>
      </c>
      <c r="AX88" s="49">
        <f t="shared" si="222"/>
        <v>4394.965005</v>
      </c>
      <c r="AY88" s="49">
        <f t="shared" si="222"/>
        <v>3497.4603510000002</v>
      </c>
      <c r="AZ88" s="47">
        <f t="shared" si="222"/>
        <v>0</v>
      </c>
      <c r="BA88" s="47">
        <f t="shared" si="266"/>
        <v>0</v>
      </c>
      <c r="BB88" s="48">
        <f t="shared" si="267"/>
        <v>4394.965005</v>
      </c>
      <c r="BC88" s="48">
        <f t="shared" si="268"/>
        <v>3497.4603510000002</v>
      </c>
      <c r="BD88" s="93">
        <f t="shared" si="269"/>
        <v>4394.965005</v>
      </c>
      <c r="BE88" s="93">
        <f t="shared" si="270"/>
        <v>3497.4603510000002</v>
      </c>
      <c r="BF88" s="118"/>
      <c r="BG88" s="275">
        <v>12.3299</v>
      </c>
      <c r="BH88" s="275">
        <v>5.4611999999999998</v>
      </c>
      <c r="BI88" s="275">
        <v>0</v>
      </c>
      <c r="BJ88" s="275">
        <v>2673.4367000000002</v>
      </c>
      <c r="BK88" s="275">
        <v>1392.415</v>
      </c>
      <c r="BL88" s="49">
        <f t="shared" si="223"/>
        <v>4170.2187780000004</v>
      </c>
      <c r="BM88" s="49">
        <f t="shared" si="223"/>
        <v>3268.3097520000001</v>
      </c>
      <c r="BN88" s="47">
        <f t="shared" si="223"/>
        <v>0</v>
      </c>
      <c r="BO88" s="47">
        <f t="shared" si="271"/>
        <v>0</v>
      </c>
      <c r="BP88" s="48">
        <f t="shared" si="272"/>
        <v>4170.2187780000004</v>
      </c>
      <c r="BQ88" s="48">
        <f t="shared" si="273"/>
        <v>3268.3097520000001</v>
      </c>
      <c r="BR88" s="93">
        <f t="shared" si="274"/>
        <v>4170.2187780000004</v>
      </c>
      <c r="BS88" s="93">
        <f t="shared" si="275"/>
        <v>3268.3097520000001</v>
      </c>
      <c r="BT88" s="118"/>
      <c r="BU88" s="275">
        <v>11.929399999999999</v>
      </c>
      <c r="BV88" s="275">
        <v>5.5278999999999998</v>
      </c>
      <c r="BW88" s="275">
        <v>0</v>
      </c>
      <c r="BX88" s="275">
        <v>2373.8108000000002</v>
      </c>
      <c r="BY88" s="275">
        <v>882.80169999999998</v>
      </c>
      <c r="BZ88" s="49">
        <f t="shared" si="224"/>
        <v>2805.0791159999999</v>
      </c>
      <c r="CA88" s="49">
        <f t="shared" si="224"/>
        <v>1987.4458869999999</v>
      </c>
      <c r="CB88" s="47">
        <f t="shared" si="224"/>
        <v>0</v>
      </c>
      <c r="CC88" s="47">
        <f t="shared" si="276"/>
        <v>0</v>
      </c>
      <c r="CD88" s="48">
        <f t="shared" si="277"/>
        <v>2805.0791159999999</v>
      </c>
      <c r="CE88" s="48">
        <f t="shared" si="278"/>
        <v>1987.4458869999999</v>
      </c>
      <c r="CF88" s="93">
        <f t="shared" si="279"/>
        <v>2805.0791159999999</v>
      </c>
      <c r="CG88" s="93">
        <f t="shared" si="280"/>
        <v>1987.4458869999999</v>
      </c>
      <c r="CH88" s="118"/>
      <c r="CI88" s="275">
        <v>1.4534</v>
      </c>
      <c r="CJ88" s="275">
        <v>1.1137999999999999</v>
      </c>
      <c r="CK88" s="275">
        <v>0</v>
      </c>
      <c r="CL88" s="275">
        <v>9096.1407999999992</v>
      </c>
      <c r="CM88" s="275">
        <v>4364.1683000000003</v>
      </c>
      <c r="CN88" s="49">
        <f t="shared" si="225"/>
        <v>299.98176000000001</v>
      </c>
      <c r="CO88" s="49">
        <f t="shared" si="225"/>
        <v>298.29791599999999</v>
      </c>
      <c r="CP88" s="47">
        <f t="shared" si="225"/>
        <v>0</v>
      </c>
      <c r="CQ88" s="47">
        <f t="shared" si="281"/>
        <v>0</v>
      </c>
      <c r="CR88" s="48">
        <f t="shared" si="282"/>
        <v>299.98176000000001</v>
      </c>
      <c r="CS88" s="48">
        <f t="shared" si="283"/>
        <v>298.29791599999999</v>
      </c>
      <c r="CT88" s="93">
        <f t="shared" si="284"/>
        <v>299.98176000000001</v>
      </c>
      <c r="CU88" s="93">
        <f t="shared" si="285"/>
        <v>298.29791599999999</v>
      </c>
      <c r="CV88" s="118"/>
      <c r="CW88" s="275">
        <v>3.0293999999999999</v>
      </c>
      <c r="CX88" s="275">
        <v>2.2307999999999999</v>
      </c>
      <c r="CY88" s="275">
        <v>0</v>
      </c>
      <c r="CZ88" s="275">
        <v>3873.19</v>
      </c>
      <c r="DA88" s="275">
        <v>1901.5916999999999</v>
      </c>
      <c r="DB88" s="49">
        <f t="shared" si="226"/>
        <v>628.87314600000002</v>
      </c>
      <c r="DC88" s="49">
        <f t="shared" si="226"/>
        <v>627.99250799999993</v>
      </c>
      <c r="DD88" s="47">
        <f t="shared" si="226"/>
        <v>0</v>
      </c>
      <c r="DE88" s="47">
        <f t="shared" si="286"/>
        <v>0</v>
      </c>
      <c r="DF88" s="48">
        <f t="shared" si="287"/>
        <v>628.87314600000002</v>
      </c>
      <c r="DG88" s="48">
        <f t="shared" si="288"/>
        <v>627.99250799999993</v>
      </c>
      <c r="DH88" s="93">
        <f t="shared" si="289"/>
        <v>628.87314600000002</v>
      </c>
      <c r="DI88" s="93">
        <f t="shared" si="290"/>
        <v>627.99250799999993</v>
      </c>
      <c r="DJ88" s="118"/>
      <c r="DK88" s="275">
        <v>3.1955</v>
      </c>
      <c r="DL88" s="275">
        <v>2.3746999999999998</v>
      </c>
      <c r="DM88" s="275">
        <v>0</v>
      </c>
      <c r="DN88" s="275">
        <v>1744.5725</v>
      </c>
      <c r="DO88" s="275">
        <v>902.97829999999999</v>
      </c>
      <c r="DP88" s="49">
        <f t="shared" si="227"/>
        <v>435.35492000000005</v>
      </c>
      <c r="DQ88" s="49">
        <f t="shared" si="227"/>
        <v>468.55205699999999</v>
      </c>
      <c r="DR88" s="47">
        <f t="shared" si="227"/>
        <v>0</v>
      </c>
      <c r="DS88" s="47">
        <f t="shared" si="291"/>
        <v>0</v>
      </c>
      <c r="DT88" s="48">
        <f t="shared" si="292"/>
        <v>435.35492000000005</v>
      </c>
      <c r="DU88" s="48">
        <f t="shared" si="293"/>
        <v>468.55205699999999</v>
      </c>
      <c r="DV88" s="93">
        <f t="shared" si="294"/>
        <v>435.35492000000005</v>
      </c>
      <c r="DW88" s="93">
        <f t="shared" si="295"/>
        <v>468.55205699999999</v>
      </c>
      <c r="DX88" s="118"/>
      <c r="DY88" s="118"/>
      <c r="DZ88" s="118"/>
      <c r="EB88" s="52"/>
      <c r="EC88" s="52"/>
      <c r="ED88" s="52"/>
      <c r="EE88" s="55">
        <f t="shared" si="296"/>
        <v>20759.770799999998</v>
      </c>
      <c r="EF88" s="55">
        <f t="shared" si="296"/>
        <v>10243.035800000001</v>
      </c>
      <c r="EG88" s="55">
        <f t="shared" si="296"/>
        <v>10064.962521800002</v>
      </c>
      <c r="EH88" s="55">
        <f t="shared" si="228"/>
        <v>8646.8448434000002</v>
      </c>
      <c r="EI88" s="298">
        <f t="shared" si="229"/>
        <v>0.66960940239520117</v>
      </c>
      <c r="EJ88" s="52"/>
      <c r="EK88" s="55">
        <f t="shared" si="297"/>
        <v>10064.962521800002</v>
      </c>
      <c r="EL88" s="55">
        <f t="shared" si="297"/>
        <v>8646.8448434000002</v>
      </c>
      <c r="EM88" s="55">
        <f t="shared" si="297"/>
        <v>10064.962521800002</v>
      </c>
      <c r="EN88" s="55">
        <f t="shared" si="297"/>
        <v>8646.8448434000002</v>
      </c>
      <c r="EP88" s="52"/>
      <c r="EQ88" s="52"/>
      <c r="ER88" s="52"/>
      <c r="ES88" s="55">
        <f t="shared" si="230"/>
        <v>16982.192499999997</v>
      </c>
      <c r="ET88" s="55">
        <f t="shared" si="230"/>
        <v>8240.4900000000016</v>
      </c>
      <c r="EU88" s="55">
        <f t="shared" si="230"/>
        <v>9464.0692542000015</v>
      </c>
      <c r="EV88" s="55">
        <f t="shared" si="230"/>
        <v>8167.0524576000016</v>
      </c>
      <c r="EW88" s="298">
        <f t="shared" si="231"/>
        <v>0.67329049953350517</v>
      </c>
      <c r="EX88" s="52"/>
      <c r="EY88" s="55">
        <f t="shared" si="232"/>
        <v>9464.0692542000015</v>
      </c>
      <c r="EZ88" s="55">
        <f t="shared" si="232"/>
        <v>8167.0524576000016</v>
      </c>
      <c r="FA88" s="55">
        <f t="shared" si="232"/>
        <v>9464.0692542000015</v>
      </c>
      <c r="FB88" s="55">
        <f t="shared" si="232"/>
        <v>8167.0524576000016</v>
      </c>
      <c r="FD88" s="52"/>
      <c r="FE88" s="52"/>
      <c r="FF88" s="52"/>
      <c r="FG88" s="55">
        <f t="shared" si="233"/>
        <v>13337.524100000001</v>
      </c>
      <c r="FH88" s="55">
        <f t="shared" si="233"/>
        <v>6206.9883</v>
      </c>
      <c r="FI88" s="55">
        <f t="shared" si="233"/>
        <v>7707.1660619999993</v>
      </c>
      <c r="FJ88" s="55">
        <f t="shared" si="233"/>
        <v>6817.0681012000005</v>
      </c>
      <c r="FK88" s="298">
        <f t="shared" si="234"/>
        <v>0.68241784839820308</v>
      </c>
      <c r="FL88" s="52"/>
      <c r="FM88" s="55">
        <f t="shared" si="235"/>
        <v>7707.1660619999993</v>
      </c>
      <c r="FN88" s="55">
        <f t="shared" si="235"/>
        <v>6817.0681012000005</v>
      </c>
      <c r="FO88" s="55">
        <f t="shared" si="235"/>
        <v>7707.1660619999993</v>
      </c>
      <c r="FP88" s="55">
        <f t="shared" si="235"/>
        <v>6817.0681012000005</v>
      </c>
      <c r="FR88" s="52"/>
      <c r="FS88" s="52"/>
      <c r="FT88" s="52"/>
      <c r="FU88" s="55">
        <f t="shared" si="236"/>
        <v>12969.3308</v>
      </c>
      <c r="FV88" s="55">
        <f t="shared" si="236"/>
        <v>6265.76</v>
      </c>
      <c r="FW88" s="55">
        <f t="shared" si="236"/>
        <v>803.08027680000009</v>
      </c>
      <c r="FX88" s="55">
        <f t="shared" si="236"/>
        <v>800.69192239999995</v>
      </c>
      <c r="FY88" s="298">
        <f t="shared" si="237"/>
        <v>0.67425368223372262</v>
      </c>
      <c r="FZ88" s="52"/>
      <c r="GA88" s="55">
        <f t="shared" si="238"/>
        <v>803.08027680000009</v>
      </c>
      <c r="GB88" s="55">
        <f t="shared" si="238"/>
        <v>800.69192239999995</v>
      </c>
      <c r="GC88" s="55">
        <f t="shared" si="238"/>
        <v>803.08027680000009</v>
      </c>
      <c r="GD88" s="55">
        <f t="shared" si="238"/>
        <v>800.69192239999995</v>
      </c>
      <c r="GF88" s="52"/>
      <c r="GG88" s="52"/>
      <c r="GH88" s="52"/>
      <c r="GI88" s="55">
        <f t="shared" si="239"/>
        <v>6586.7308000000003</v>
      </c>
      <c r="GJ88" s="55">
        <f t="shared" si="239"/>
        <v>3071.8674999999998</v>
      </c>
      <c r="GK88" s="56">
        <f t="shared" si="240"/>
        <v>1192.4144167500001</v>
      </c>
      <c r="GL88" s="56">
        <f t="shared" si="240"/>
        <v>1132.5108480000004</v>
      </c>
      <c r="GM88" s="298">
        <f t="shared" si="241"/>
        <v>0.6819551445679235</v>
      </c>
      <c r="GN88" s="52"/>
      <c r="GO88" s="56">
        <f t="shared" si="242"/>
        <v>1192.4144167500001</v>
      </c>
      <c r="GP88" s="56">
        <f t="shared" si="242"/>
        <v>1132.5108480000004</v>
      </c>
      <c r="GQ88" s="56">
        <f t="shared" si="242"/>
        <v>1192.4144167500001</v>
      </c>
      <c r="GR88" s="56">
        <f t="shared" si="242"/>
        <v>1132.5108480000004</v>
      </c>
      <c r="GW88" s="275">
        <v>6.3532000000000002</v>
      </c>
      <c r="GX88" s="275">
        <v>2.9801000000000002</v>
      </c>
      <c r="GY88" s="275">
        <v>0</v>
      </c>
      <c r="GZ88" s="275">
        <v>649.92169999999999</v>
      </c>
      <c r="HA88" s="275">
        <v>267.51920000000001</v>
      </c>
      <c r="HB88" s="49">
        <f t="shared" si="243"/>
        <v>4172.7182279999997</v>
      </c>
      <c r="HC88" s="49">
        <f t="shared" si="244"/>
        <v>4046.4095809999999</v>
      </c>
      <c r="HD88" s="47">
        <f t="shared" si="245"/>
        <v>0</v>
      </c>
      <c r="HE88" s="47">
        <f t="shared" si="298"/>
        <v>0</v>
      </c>
      <c r="HF88" s="48">
        <f t="shared" si="299"/>
        <v>4172.7182279999997</v>
      </c>
      <c r="HG88" s="48">
        <f t="shared" si="300"/>
        <v>4046.4095809999999</v>
      </c>
      <c r="HH88" s="93">
        <f t="shared" si="301"/>
        <v>4172.7182279999997</v>
      </c>
      <c r="HI88" s="93">
        <f t="shared" si="302"/>
        <v>4046.4095809999999</v>
      </c>
      <c r="HJ88" s="298">
        <f t="shared" si="246"/>
        <v>0.70840715734386805</v>
      </c>
      <c r="HL88" s="275">
        <v>8.3290000000000006</v>
      </c>
      <c r="HM88" s="275">
        <v>5.5132000000000003</v>
      </c>
      <c r="HN88" s="275">
        <v>0</v>
      </c>
      <c r="HO88" s="275">
        <v>252.41669999999999</v>
      </c>
      <c r="HP88" s="275">
        <v>127.83329999999999</v>
      </c>
      <c r="HQ88" s="49">
        <f t="shared" si="247"/>
        <v>4428.1128500000004</v>
      </c>
      <c r="HR88" s="49">
        <f t="shared" si="248"/>
        <v>4275.6519960000005</v>
      </c>
      <c r="HS88" s="47">
        <f t="shared" si="249"/>
        <v>0</v>
      </c>
      <c r="HT88" s="47">
        <f t="shared" si="303"/>
        <v>0</v>
      </c>
      <c r="HU88" s="48">
        <f t="shared" si="304"/>
        <v>4428.1128500000004</v>
      </c>
      <c r="HV88" s="48">
        <f t="shared" si="305"/>
        <v>4275.6519960000005</v>
      </c>
      <c r="HW88" s="93">
        <f t="shared" si="306"/>
        <v>4428.1128500000004</v>
      </c>
      <c r="HX88" s="93">
        <f t="shared" si="307"/>
        <v>4275.6519960000005</v>
      </c>
      <c r="HY88" s="298">
        <f t="shared" si="250"/>
        <v>0.6638177514792899</v>
      </c>
    </row>
    <row r="89" spans="1:233" s="131" customFormat="1" x14ac:dyDescent="0.2">
      <c r="A89" s="118">
        <v>79</v>
      </c>
      <c r="B89" s="118"/>
      <c r="C89" s="275">
        <v>5.0574000000000003</v>
      </c>
      <c r="D89" s="275">
        <v>2.4742999999999999</v>
      </c>
      <c r="E89" s="275">
        <v>0</v>
      </c>
      <c r="F89" s="275">
        <v>3103.8267000000001</v>
      </c>
      <c r="G89" s="275">
        <v>1436.0625</v>
      </c>
      <c r="H89" s="49">
        <f t="shared" si="218"/>
        <v>5002.0214699999997</v>
      </c>
      <c r="I89" s="49">
        <f t="shared" si="218"/>
        <v>4458.2432259999996</v>
      </c>
      <c r="J89" s="47">
        <f t="shared" si="218"/>
        <v>0</v>
      </c>
      <c r="K89" s="47">
        <f t="shared" si="251"/>
        <v>0</v>
      </c>
      <c r="L89" s="48">
        <f t="shared" si="252"/>
        <v>5002.0214699999997</v>
      </c>
      <c r="M89" s="48">
        <f t="shared" si="253"/>
        <v>4458.2432259999996</v>
      </c>
      <c r="N89" s="93">
        <f t="shared" si="254"/>
        <v>5002.0214699999997</v>
      </c>
      <c r="O89" s="93">
        <f t="shared" si="255"/>
        <v>4458.2432259999996</v>
      </c>
      <c r="P89" s="298">
        <f t="shared" si="219"/>
        <v>0.68367895410310897</v>
      </c>
      <c r="Q89" s="275">
        <v>7.702</v>
      </c>
      <c r="R89" s="275">
        <v>3.6686999999999999</v>
      </c>
      <c r="S89" s="275">
        <v>0</v>
      </c>
      <c r="T89" s="275">
        <v>1097.0083</v>
      </c>
      <c r="U89" s="275">
        <v>499.68579999999997</v>
      </c>
      <c r="V89" s="49">
        <f t="shared" si="220"/>
        <v>4721.2489800000003</v>
      </c>
      <c r="W89" s="49">
        <f t="shared" si="220"/>
        <v>4258.1133420000006</v>
      </c>
      <c r="X89" s="47">
        <f t="shared" si="220"/>
        <v>0</v>
      </c>
      <c r="Y89" s="47">
        <f t="shared" si="256"/>
        <v>0</v>
      </c>
      <c r="Z89" s="48">
        <f t="shared" si="257"/>
        <v>4721.2489800000003</v>
      </c>
      <c r="AA89" s="48">
        <f t="shared" si="258"/>
        <v>4258.1133420000006</v>
      </c>
      <c r="AB89" s="93">
        <f t="shared" si="259"/>
        <v>4721.2489800000003</v>
      </c>
      <c r="AC89" s="93">
        <f t="shared" si="260"/>
        <v>4258.1133420000006</v>
      </c>
      <c r="AD89" s="118"/>
      <c r="AE89" s="275">
        <v>9.6084999999999994</v>
      </c>
      <c r="AF89" s="275">
        <v>3.8407</v>
      </c>
      <c r="AG89" s="275">
        <v>0</v>
      </c>
      <c r="AH89" s="275">
        <v>88.712500000000006</v>
      </c>
      <c r="AI89" s="275">
        <v>58.916699999999999</v>
      </c>
      <c r="AJ89" s="49">
        <f t="shared" si="221"/>
        <v>4505.1373949999997</v>
      </c>
      <c r="AK89" s="49">
        <f t="shared" si="221"/>
        <v>4366.0309459999999</v>
      </c>
      <c r="AL89" s="47">
        <f t="shared" si="221"/>
        <v>0</v>
      </c>
      <c r="AM89" s="47">
        <f t="shared" si="261"/>
        <v>0</v>
      </c>
      <c r="AN89" s="48">
        <f t="shared" si="262"/>
        <v>4505.1373949999997</v>
      </c>
      <c r="AO89" s="48">
        <f t="shared" si="263"/>
        <v>4366.0309459999999</v>
      </c>
      <c r="AP89" s="93">
        <f t="shared" si="264"/>
        <v>4505.1373949999997</v>
      </c>
      <c r="AQ89" s="93">
        <f t="shared" si="265"/>
        <v>4366.0309459999999</v>
      </c>
      <c r="AR89" s="118"/>
      <c r="AS89" s="275">
        <v>13.2247</v>
      </c>
      <c r="AT89" s="275">
        <v>5.2603999999999997</v>
      </c>
      <c r="AU89" s="275">
        <v>0</v>
      </c>
      <c r="AV89" s="275">
        <v>3733.9625000000001</v>
      </c>
      <c r="AW89" s="275">
        <v>1908.2058</v>
      </c>
      <c r="AX89" s="49">
        <f t="shared" si="222"/>
        <v>4608.1467149999999</v>
      </c>
      <c r="AY89" s="49">
        <f t="shared" si="222"/>
        <v>3681.5961479999996</v>
      </c>
      <c r="AZ89" s="47">
        <f t="shared" si="222"/>
        <v>0</v>
      </c>
      <c r="BA89" s="47">
        <f t="shared" si="266"/>
        <v>0</v>
      </c>
      <c r="BB89" s="48">
        <f t="shared" si="267"/>
        <v>4608.1467149999999</v>
      </c>
      <c r="BC89" s="48">
        <f t="shared" si="268"/>
        <v>3681.5961479999996</v>
      </c>
      <c r="BD89" s="93">
        <f t="shared" si="269"/>
        <v>4608.1467149999999</v>
      </c>
      <c r="BE89" s="93">
        <f t="shared" si="270"/>
        <v>3681.5961479999996</v>
      </c>
      <c r="BF89" s="118"/>
      <c r="BG89" s="275">
        <v>12.929</v>
      </c>
      <c r="BH89" s="275">
        <v>5.7145999999999999</v>
      </c>
      <c r="BI89" s="275">
        <v>0</v>
      </c>
      <c r="BJ89" s="275">
        <v>2215.9191999999998</v>
      </c>
      <c r="BK89" s="275">
        <v>1181.96</v>
      </c>
      <c r="BL89" s="49">
        <f t="shared" si="223"/>
        <v>4372.8463800000009</v>
      </c>
      <c r="BM89" s="49">
        <f t="shared" si="223"/>
        <v>3419.9595160000003</v>
      </c>
      <c r="BN89" s="47">
        <f t="shared" si="223"/>
        <v>0</v>
      </c>
      <c r="BO89" s="47">
        <f t="shared" si="271"/>
        <v>0</v>
      </c>
      <c r="BP89" s="48">
        <f t="shared" si="272"/>
        <v>4372.8463800000009</v>
      </c>
      <c r="BQ89" s="48">
        <f t="shared" si="273"/>
        <v>3419.9595160000003</v>
      </c>
      <c r="BR89" s="93">
        <f t="shared" si="274"/>
        <v>4372.8463800000009</v>
      </c>
      <c r="BS89" s="93">
        <f t="shared" si="275"/>
        <v>3419.9595160000003</v>
      </c>
      <c r="BT89" s="118"/>
      <c r="BU89" s="275">
        <v>12.375400000000001</v>
      </c>
      <c r="BV89" s="275">
        <v>5.8094999999999999</v>
      </c>
      <c r="BW89" s="275">
        <v>0</v>
      </c>
      <c r="BX89" s="275">
        <v>2051.6950000000002</v>
      </c>
      <c r="BY89" s="275">
        <v>761.64499999999998</v>
      </c>
      <c r="BZ89" s="49">
        <f t="shared" si="224"/>
        <v>2909.951556</v>
      </c>
      <c r="CA89" s="49">
        <f t="shared" si="224"/>
        <v>2088.689535</v>
      </c>
      <c r="CB89" s="47">
        <f t="shared" si="224"/>
        <v>0</v>
      </c>
      <c r="CC89" s="47">
        <f t="shared" si="276"/>
        <v>0</v>
      </c>
      <c r="CD89" s="48">
        <f t="shared" si="277"/>
        <v>2909.951556</v>
      </c>
      <c r="CE89" s="48">
        <f t="shared" si="278"/>
        <v>2088.689535</v>
      </c>
      <c r="CF89" s="93">
        <f t="shared" si="279"/>
        <v>2909.951556</v>
      </c>
      <c r="CG89" s="93">
        <f t="shared" si="280"/>
        <v>2088.689535</v>
      </c>
      <c r="CH89" s="118"/>
      <c r="CI89" s="275">
        <v>1.4268000000000001</v>
      </c>
      <c r="CJ89" s="275">
        <v>1.0788</v>
      </c>
      <c r="CK89" s="275">
        <v>0</v>
      </c>
      <c r="CL89" s="275">
        <v>7795.8158000000003</v>
      </c>
      <c r="CM89" s="275">
        <v>3736.0742</v>
      </c>
      <c r="CN89" s="49">
        <f t="shared" si="225"/>
        <v>294.49152000000004</v>
      </c>
      <c r="CO89" s="49">
        <f t="shared" si="225"/>
        <v>288.924216</v>
      </c>
      <c r="CP89" s="47">
        <f t="shared" si="225"/>
        <v>0</v>
      </c>
      <c r="CQ89" s="47">
        <f t="shared" si="281"/>
        <v>0</v>
      </c>
      <c r="CR89" s="48">
        <f t="shared" si="282"/>
        <v>294.49152000000004</v>
      </c>
      <c r="CS89" s="48">
        <f t="shared" si="283"/>
        <v>288.924216</v>
      </c>
      <c r="CT89" s="93">
        <f t="shared" si="284"/>
        <v>294.49152000000004</v>
      </c>
      <c r="CU89" s="93">
        <f t="shared" si="285"/>
        <v>288.924216</v>
      </c>
      <c r="CV89" s="118"/>
      <c r="CW89" s="275">
        <v>2.9921000000000002</v>
      </c>
      <c r="CX89" s="275">
        <v>2.1629999999999998</v>
      </c>
      <c r="CY89" s="275">
        <v>0</v>
      </c>
      <c r="CZ89" s="275">
        <v>3279.8933000000002</v>
      </c>
      <c r="DA89" s="275">
        <v>1683.9024999999999</v>
      </c>
      <c r="DB89" s="49">
        <f t="shared" si="226"/>
        <v>621.13003900000001</v>
      </c>
      <c r="DC89" s="49">
        <f t="shared" si="226"/>
        <v>608.90612999999996</v>
      </c>
      <c r="DD89" s="47">
        <f t="shared" si="226"/>
        <v>0</v>
      </c>
      <c r="DE89" s="47">
        <f t="shared" si="286"/>
        <v>0</v>
      </c>
      <c r="DF89" s="48">
        <f t="shared" si="287"/>
        <v>621.13003900000001</v>
      </c>
      <c r="DG89" s="48">
        <f t="shared" si="288"/>
        <v>608.90612999999996</v>
      </c>
      <c r="DH89" s="93">
        <f t="shared" si="289"/>
        <v>621.13003900000001</v>
      </c>
      <c r="DI89" s="93">
        <f t="shared" si="290"/>
        <v>608.90612999999996</v>
      </c>
      <c r="DJ89" s="118"/>
      <c r="DK89" s="275">
        <v>3.2128000000000001</v>
      </c>
      <c r="DL89" s="275">
        <v>2.3378999999999999</v>
      </c>
      <c r="DM89" s="275">
        <v>0</v>
      </c>
      <c r="DN89" s="275">
        <v>1507.6767</v>
      </c>
      <c r="DO89" s="275">
        <v>740.32920000000001</v>
      </c>
      <c r="DP89" s="49">
        <f t="shared" si="227"/>
        <v>437.71187200000003</v>
      </c>
      <c r="DQ89" s="49">
        <f t="shared" si="227"/>
        <v>461.29104899999999</v>
      </c>
      <c r="DR89" s="47">
        <f t="shared" si="227"/>
        <v>0</v>
      </c>
      <c r="DS89" s="47">
        <f t="shared" si="291"/>
        <v>0</v>
      </c>
      <c r="DT89" s="48">
        <f t="shared" si="292"/>
        <v>437.71187200000003</v>
      </c>
      <c r="DU89" s="48">
        <f t="shared" si="293"/>
        <v>461.29104899999999</v>
      </c>
      <c r="DV89" s="93">
        <f t="shared" si="294"/>
        <v>437.71187200000003</v>
      </c>
      <c r="DW89" s="93">
        <f t="shared" si="295"/>
        <v>461.29104899999999</v>
      </c>
      <c r="DX89" s="118"/>
      <c r="DY89" s="118"/>
      <c r="DZ89" s="118"/>
      <c r="EB89" s="52"/>
      <c r="EC89" s="52"/>
      <c r="ED89" s="52"/>
      <c r="EE89" s="55">
        <f t="shared" si="296"/>
        <v>17913.498299999999</v>
      </c>
      <c r="EF89" s="55">
        <f t="shared" si="296"/>
        <v>8764.244999999999</v>
      </c>
      <c r="EG89" s="55">
        <f t="shared" si="296"/>
        <v>10401.563736199998</v>
      </c>
      <c r="EH89" s="55">
        <f t="shared" si="228"/>
        <v>8915.8884939999989</v>
      </c>
      <c r="EI89" s="298">
        <f t="shared" si="229"/>
        <v>0.67147727221739928</v>
      </c>
      <c r="EJ89" s="52"/>
      <c r="EK89" s="55">
        <f t="shared" si="297"/>
        <v>10401.563736199998</v>
      </c>
      <c r="EL89" s="55">
        <f t="shared" si="297"/>
        <v>8915.8884939999989</v>
      </c>
      <c r="EM89" s="55">
        <f t="shared" si="297"/>
        <v>10401.563736199998</v>
      </c>
      <c r="EN89" s="55">
        <f t="shared" si="297"/>
        <v>8915.8884939999989</v>
      </c>
      <c r="EP89" s="52"/>
      <c r="EQ89" s="52"/>
      <c r="ER89" s="52"/>
      <c r="ES89" s="55">
        <f t="shared" si="230"/>
        <v>14388.6366</v>
      </c>
      <c r="ET89" s="55">
        <f t="shared" si="230"/>
        <v>7101.6225000000004</v>
      </c>
      <c r="EU89" s="55">
        <f t="shared" si="230"/>
        <v>9823.3779073000005</v>
      </c>
      <c r="EV89" s="55">
        <f t="shared" si="230"/>
        <v>8393.2313650000015</v>
      </c>
      <c r="EW89" s="298">
        <f t="shared" si="231"/>
        <v>0.66954225786882204</v>
      </c>
      <c r="EX89" s="52"/>
      <c r="EY89" s="55">
        <f t="shared" si="232"/>
        <v>9823.3779073000005</v>
      </c>
      <c r="EZ89" s="55">
        <f t="shared" si="232"/>
        <v>8393.2313650000015</v>
      </c>
      <c r="FA89" s="55">
        <f t="shared" si="232"/>
        <v>9823.3779073000005</v>
      </c>
      <c r="FB89" s="55">
        <f t="shared" si="232"/>
        <v>8393.2313650000015</v>
      </c>
      <c r="FD89" s="52"/>
      <c r="FE89" s="52"/>
      <c r="FF89" s="52"/>
      <c r="FG89" s="55">
        <f t="shared" si="233"/>
        <v>11443.900000000001</v>
      </c>
      <c r="FH89" s="55">
        <f t="shared" si="233"/>
        <v>5296.9651000000003</v>
      </c>
      <c r="FI89" s="55">
        <f t="shared" si="233"/>
        <v>7972.2075941999992</v>
      </c>
      <c r="FJ89" s="55">
        <f t="shared" si="233"/>
        <v>7020.4193264000005</v>
      </c>
      <c r="FK89" s="298">
        <f t="shared" si="234"/>
        <v>0.68359071837930285</v>
      </c>
      <c r="FL89" s="52"/>
      <c r="FM89" s="55">
        <f t="shared" si="235"/>
        <v>7972.2075941999992</v>
      </c>
      <c r="FN89" s="55">
        <f t="shared" si="235"/>
        <v>7020.4193264000005</v>
      </c>
      <c r="FO89" s="55">
        <f t="shared" si="235"/>
        <v>7972.2075941999992</v>
      </c>
      <c r="FP89" s="55">
        <f t="shared" si="235"/>
        <v>7020.4193264000005</v>
      </c>
      <c r="FR89" s="52"/>
      <c r="FS89" s="52"/>
      <c r="FT89" s="52"/>
      <c r="FU89" s="55">
        <f t="shared" si="236"/>
        <v>11075.7091</v>
      </c>
      <c r="FV89" s="55">
        <f t="shared" si="236"/>
        <v>5419.9767000000002</v>
      </c>
      <c r="FW89" s="55">
        <f t="shared" si="236"/>
        <v>791.3955512</v>
      </c>
      <c r="FX89" s="55">
        <f t="shared" si="236"/>
        <v>776.04912000000002</v>
      </c>
      <c r="FY89" s="298">
        <f t="shared" si="237"/>
        <v>0.67143065370461896</v>
      </c>
      <c r="FZ89" s="52"/>
      <c r="GA89" s="55">
        <f t="shared" si="238"/>
        <v>791.3955512</v>
      </c>
      <c r="GB89" s="55">
        <f t="shared" si="238"/>
        <v>776.04912000000002</v>
      </c>
      <c r="GC89" s="55">
        <f t="shared" si="238"/>
        <v>791.3955512</v>
      </c>
      <c r="GD89" s="55">
        <f t="shared" si="238"/>
        <v>776.04912000000002</v>
      </c>
      <c r="GF89" s="52"/>
      <c r="GG89" s="52"/>
      <c r="GH89" s="52"/>
      <c r="GI89" s="55">
        <f t="shared" si="239"/>
        <v>5785.6575000000003</v>
      </c>
      <c r="GJ89" s="55">
        <f t="shared" si="239"/>
        <v>2669.8508000000002</v>
      </c>
      <c r="GK89" s="56">
        <f t="shared" si="240"/>
        <v>1273.6463692499999</v>
      </c>
      <c r="GL89" s="56">
        <f t="shared" si="240"/>
        <v>1194.6799597499999</v>
      </c>
      <c r="GM89" s="298">
        <f t="shared" si="241"/>
        <v>0.68424715519467938</v>
      </c>
      <c r="GN89" s="52"/>
      <c r="GO89" s="56">
        <f t="shared" si="242"/>
        <v>1273.6463692499999</v>
      </c>
      <c r="GP89" s="56">
        <f t="shared" si="242"/>
        <v>1194.6799597499999</v>
      </c>
      <c r="GQ89" s="56">
        <f t="shared" si="242"/>
        <v>1273.6463692499999</v>
      </c>
      <c r="GR89" s="56">
        <f t="shared" si="242"/>
        <v>1194.6799597499999</v>
      </c>
      <c r="GW89" s="275">
        <v>6.6368999999999998</v>
      </c>
      <c r="GX89" s="275">
        <v>3.0655999999999999</v>
      </c>
      <c r="GY89" s="275">
        <v>0</v>
      </c>
      <c r="GZ89" s="275">
        <v>573.36919999999998</v>
      </c>
      <c r="HA89" s="275">
        <v>256.25080000000003</v>
      </c>
      <c r="HB89" s="49">
        <f t="shared" si="243"/>
        <v>4359.0495510000001</v>
      </c>
      <c r="HC89" s="49">
        <f t="shared" si="244"/>
        <v>4162.5023359999996</v>
      </c>
      <c r="HD89" s="47">
        <f t="shared" si="245"/>
        <v>0</v>
      </c>
      <c r="HE89" s="47">
        <f t="shared" si="298"/>
        <v>0</v>
      </c>
      <c r="HF89" s="48">
        <f t="shared" si="299"/>
        <v>4359.0495510000001</v>
      </c>
      <c r="HG89" s="48">
        <f t="shared" si="300"/>
        <v>4162.5023359999996</v>
      </c>
      <c r="HH89" s="93">
        <f t="shared" si="301"/>
        <v>4359.0495510000001</v>
      </c>
      <c r="HI89" s="93">
        <f t="shared" si="302"/>
        <v>4162.5023359999996</v>
      </c>
      <c r="HJ89" s="298">
        <f t="shared" si="246"/>
        <v>0.69112268267399535</v>
      </c>
      <c r="HL89" s="275">
        <v>8.6105999999999998</v>
      </c>
      <c r="HM89" s="275">
        <v>5.6101999999999999</v>
      </c>
      <c r="HN89" s="275">
        <v>0</v>
      </c>
      <c r="HO89" s="275">
        <v>258.30579999999998</v>
      </c>
      <c r="HP89" s="275">
        <v>121.33329999999999</v>
      </c>
      <c r="HQ89" s="49">
        <f t="shared" si="247"/>
        <v>4577.8254899999993</v>
      </c>
      <c r="HR89" s="49">
        <f t="shared" si="248"/>
        <v>4350.8784059999998</v>
      </c>
      <c r="HS89" s="47">
        <f t="shared" si="249"/>
        <v>0</v>
      </c>
      <c r="HT89" s="47">
        <f t="shared" si="303"/>
        <v>0</v>
      </c>
      <c r="HU89" s="48">
        <f t="shared" si="304"/>
        <v>4577.8254899999993</v>
      </c>
      <c r="HV89" s="48">
        <f t="shared" si="305"/>
        <v>4350.8784059999998</v>
      </c>
      <c r="HW89" s="93">
        <f t="shared" si="306"/>
        <v>4577.8254899999993</v>
      </c>
      <c r="HX89" s="93">
        <f t="shared" si="307"/>
        <v>4350.8784059999998</v>
      </c>
      <c r="HY89" s="298">
        <f t="shared" si="250"/>
        <v>0.68039830460034278</v>
      </c>
    </row>
    <row r="90" spans="1:233" s="131" customFormat="1" x14ac:dyDescent="0.2">
      <c r="A90" s="118">
        <v>80</v>
      </c>
      <c r="B90" s="118"/>
      <c r="C90" s="275">
        <v>5.1836000000000002</v>
      </c>
      <c r="D90" s="275">
        <v>2.5301</v>
      </c>
      <c r="E90" s="275">
        <v>0</v>
      </c>
      <c r="F90" s="275">
        <v>2477.9517000000001</v>
      </c>
      <c r="G90" s="275">
        <v>1406.5682999999999</v>
      </c>
      <c r="H90" s="49">
        <f t="shared" si="218"/>
        <v>5126.8395799999998</v>
      </c>
      <c r="I90" s="49">
        <f t="shared" si="218"/>
        <v>4558.7847819999997</v>
      </c>
      <c r="J90" s="47">
        <f t="shared" si="218"/>
        <v>0</v>
      </c>
      <c r="K90" s="47">
        <f t="shared" si="251"/>
        <v>0</v>
      </c>
      <c r="L90" s="48">
        <f t="shared" si="252"/>
        <v>5126.8395799999998</v>
      </c>
      <c r="M90" s="48">
        <f t="shared" si="253"/>
        <v>4558.7847819999997</v>
      </c>
      <c r="N90" s="93">
        <f t="shared" si="254"/>
        <v>5126.8395799999998</v>
      </c>
      <c r="O90" s="93">
        <f t="shared" si="255"/>
        <v>4558.7847819999997</v>
      </c>
      <c r="P90" s="298">
        <f t="shared" si="219"/>
        <v>0.63790421982638779</v>
      </c>
      <c r="Q90" s="275">
        <v>7.9667000000000003</v>
      </c>
      <c r="R90" s="275">
        <v>3.7427000000000001</v>
      </c>
      <c r="S90" s="275">
        <v>0</v>
      </c>
      <c r="T90" s="275">
        <v>893.32420000000002</v>
      </c>
      <c r="U90" s="275">
        <v>449.91419999999999</v>
      </c>
      <c r="V90" s="49">
        <f t="shared" si="220"/>
        <v>4883.5074330000007</v>
      </c>
      <c r="W90" s="49">
        <f t="shared" si="220"/>
        <v>4344.0021820000002</v>
      </c>
      <c r="X90" s="47">
        <f t="shared" si="220"/>
        <v>0</v>
      </c>
      <c r="Y90" s="47">
        <f t="shared" si="256"/>
        <v>0</v>
      </c>
      <c r="Z90" s="48">
        <f t="shared" si="257"/>
        <v>4883.5074330000007</v>
      </c>
      <c r="AA90" s="48">
        <f t="shared" si="258"/>
        <v>4344.0021820000002</v>
      </c>
      <c r="AB90" s="93">
        <f t="shared" si="259"/>
        <v>4883.5074330000007</v>
      </c>
      <c r="AC90" s="93">
        <f t="shared" si="260"/>
        <v>4344.0021820000002</v>
      </c>
      <c r="AD90" s="118"/>
      <c r="AE90" s="275">
        <v>9.9661000000000008</v>
      </c>
      <c r="AF90" s="275">
        <v>3.9405000000000001</v>
      </c>
      <c r="AG90" s="275">
        <v>0</v>
      </c>
      <c r="AH90" s="275">
        <v>66.349999999999994</v>
      </c>
      <c r="AI90" s="275">
        <v>27.276700000000002</v>
      </c>
      <c r="AJ90" s="49">
        <f t="shared" si="221"/>
        <v>4672.8053070000005</v>
      </c>
      <c r="AK90" s="49">
        <f t="shared" si="221"/>
        <v>4479.4815900000003</v>
      </c>
      <c r="AL90" s="47">
        <f t="shared" si="221"/>
        <v>0</v>
      </c>
      <c r="AM90" s="47">
        <f t="shared" si="261"/>
        <v>0</v>
      </c>
      <c r="AN90" s="48">
        <f t="shared" si="262"/>
        <v>4672.8053070000005</v>
      </c>
      <c r="AO90" s="48">
        <f t="shared" si="263"/>
        <v>4479.4815900000003</v>
      </c>
      <c r="AP90" s="93">
        <f t="shared" si="264"/>
        <v>4672.8053070000005</v>
      </c>
      <c r="AQ90" s="93">
        <f t="shared" si="265"/>
        <v>4479.4815900000003</v>
      </c>
      <c r="AR90" s="118"/>
      <c r="AS90" s="275">
        <v>13.8209</v>
      </c>
      <c r="AT90" s="275">
        <v>5.5147000000000004</v>
      </c>
      <c r="AU90" s="275">
        <v>0</v>
      </c>
      <c r="AV90" s="275">
        <v>3130.8458000000001</v>
      </c>
      <c r="AW90" s="275">
        <v>1747.2492</v>
      </c>
      <c r="AX90" s="49">
        <f t="shared" si="222"/>
        <v>4815.892605</v>
      </c>
      <c r="AY90" s="49">
        <f t="shared" si="222"/>
        <v>3859.5730890000004</v>
      </c>
      <c r="AZ90" s="47">
        <f t="shared" si="222"/>
        <v>0</v>
      </c>
      <c r="BA90" s="47">
        <f t="shared" si="266"/>
        <v>0</v>
      </c>
      <c r="BB90" s="48">
        <f t="shared" si="267"/>
        <v>4815.892605</v>
      </c>
      <c r="BC90" s="48">
        <f t="shared" si="268"/>
        <v>3859.5730890000004</v>
      </c>
      <c r="BD90" s="93">
        <f t="shared" si="269"/>
        <v>4815.892605</v>
      </c>
      <c r="BE90" s="93">
        <f t="shared" si="270"/>
        <v>3859.5730890000004</v>
      </c>
      <c r="BF90" s="118"/>
      <c r="BG90" s="275">
        <v>13.5032</v>
      </c>
      <c r="BH90" s="275">
        <v>5.9637000000000002</v>
      </c>
      <c r="BI90" s="275">
        <v>0</v>
      </c>
      <c r="BJ90" s="275">
        <v>1847.605</v>
      </c>
      <c r="BK90" s="275">
        <v>1126.7950000000001</v>
      </c>
      <c r="BL90" s="49">
        <f t="shared" si="223"/>
        <v>4567.0523039999998</v>
      </c>
      <c r="BM90" s="49">
        <f t="shared" si="223"/>
        <v>3569.0359020000005</v>
      </c>
      <c r="BN90" s="47">
        <f t="shared" si="223"/>
        <v>0</v>
      </c>
      <c r="BO90" s="47">
        <f t="shared" si="271"/>
        <v>0</v>
      </c>
      <c r="BP90" s="48">
        <f t="shared" si="272"/>
        <v>4567.0523039999998</v>
      </c>
      <c r="BQ90" s="48">
        <f t="shared" si="273"/>
        <v>3569.0359020000005</v>
      </c>
      <c r="BR90" s="93">
        <f t="shared" si="274"/>
        <v>4567.0523039999998</v>
      </c>
      <c r="BS90" s="93">
        <f t="shared" si="275"/>
        <v>3569.0359020000005</v>
      </c>
      <c r="BT90" s="118"/>
      <c r="BU90" s="275">
        <v>12.7996</v>
      </c>
      <c r="BV90" s="275">
        <v>6.0743</v>
      </c>
      <c r="BW90" s="275">
        <v>0</v>
      </c>
      <c r="BX90" s="275">
        <v>1525.0308</v>
      </c>
      <c r="BY90" s="275">
        <v>660.43579999999997</v>
      </c>
      <c r="BZ90" s="49">
        <f t="shared" si="224"/>
        <v>3009.697944</v>
      </c>
      <c r="CA90" s="49">
        <f t="shared" si="224"/>
        <v>2183.8930789999999</v>
      </c>
      <c r="CB90" s="47">
        <f t="shared" si="224"/>
        <v>0</v>
      </c>
      <c r="CC90" s="47">
        <f t="shared" si="276"/>
        <v>0</v>
      </c>
      <c r="CD90" s="48">
        <f t="shared" si="277"/>
        <v>3009.697944</v>
      </c>
      <c r="CE90" s="48">
        <f t="shared" si="278"/>
        <v>2183.8930789999999</v>
      </c>
      <c r="CF90" s="93">
        <f t="shared" si="279"/>
        <v>3009.697944</v>
      </c>
      <c r="CG90" s="93">
        <f t="shared" si="280"/>
        <v>2183.8930789999999</v>
      </c>
      <c r="CH90" s="118"/>
      <c r="CI90" s="275">
        <v>1.3916999999999999</v>
      </c>
      <c r="CJ90" s="275">
        <v>1.0389999999999999</v>
      </c>
      <c r="CK90" s="275">
        <v>0</v>
      </c>
      <c r="CL90" s="275">
        <v>6312.9966999999997</v>
      </c>
      <c r="CM90" s="275">
        <v>3375.0792000000001</v>
      </c>
      <c r="CN90" s="49">
        <f t="shared" si="225"/>
        <v>287.24687999999998</v>
      </c>
      <c r="CO90" s="49">
        <f t="shared" si="225"/>
        <v>278.26497999999998</v>
      </c>
      <c r="CP90" s="47">
        <f t="shared" si="225"/>
        <v>0</v>
      </c>
      <c r="CQ90" s="47">
        <f t="shared" si="281"/>
        <v>0</v>
      </c>
      <c r="CR90" s="48">
        <f t="shared" si="282"/>
        <v>287.24687999999998</v>
      </c>
      <c r="CS90" s="48">
        <f t="shared" si="283"/>
        <v>278.26497999999998</v>
      </c>
      <c r="CT90" s="93">
        <f t="shared" si="284"/>
        <v>287.24687999999998</v>
      </c>
      <c r="CU90" s="93">
        <f t="shared" si="285"/>
        <v>278.26497999999998</v>
      </c>
      <c r="CV90" s="118"/>
      <c r="CW90" s="275">
        <v>2.9401999999999999</v>
      </c>
      <c r="CX90" s="275">
        <v>2.0853999999999999</v>
      </c>
      <c r="CY90" s="275">
        <v>0</v>
      </c>
      <c r="CZ90" s="275">
        <v>2687.7642000000001</v>
      </c>
      <c r="DA90" s="275">
        <v>1508.7583</v>
      </c>
      <c r="DB90" s="49">
        <f t="shared" si="226"/>
        <v>610.35611800000004</v>
      </c>
      <c r="DC90" s="49">
        <f t="shared" si="226"/>
        <v>587.06095399999992</v>
      </c>
      <c r="DD90" s="47">
        <f t="shared" si="226"/>
        <v>0</v>
      </c>
      <c r="DE90" s="47">
        <f t="shared" si="286"/>
        <v>0</v>
      </c>
      <c r="DF90" s="48">
        <f t="shared" si="287"/>
        <v>610.35611800000004</v>
      </c>
      <c r="DG90" s="48">
        <f t="shared" si="288"/>
        <v>587.06095399999992</v>
      </c>
      <c r="DH90" s="93">
        <f t="shared" si="289"/>
        <v>610.35611800000004</v>
      </c>
      <c r="DI90" s="93">
        <f t="shared" si="290"/>
        <v>587.06095399999992</v>
      </c>
      <c r="DJ90" s="118"/>
      <c r="DK90" s="275">
        <v>3.2225000000000001</v>
      </c>
      <c r="DL90" s="275">
        <v>2.2875999999999999</v>
      </c>
      <c r="DM90" s="275">
        <v>0</v>
      </c>
      <c r="DN90" s="275">
        <v>1231.3907999999999</v>
      </c>
      <c r="DO90" s="275">
        <v>736.61580000000004</v>
      </c>
      <c r="DP90" s="49">
        <f t="shared" si="227"/>
        <v>439.03340000000003</v>
      </c>
      <c r="DQ90" s="49">
        <f t="shared" si="227"/>
        <v>451.366356</v>
      </c>
      <c r="DR90" s="47">
        <f t="shared" si="227"/>
        <v>0</v>
      </c>
      <c r="DS90" s="47">
        <f t="shared" si="291"/>
        <v>0</v>
      </c>
      <c r="DT90" s="48">
        <f t="shared" si="292"/>
        <v>439.03340000000003</v>
      </c>
      <c r="DU90" s="48">
        <f t="shared" si="293"/>
        <v>451.366356</v>
      </c>
      <c r="DV90" s="93">
        <f t="shared" si="294"/>
        <v>439.03340000000003</v>
      </c>
      <c r="DW90" s="93">
        <f t="shared" si="295"/>
        <v>451.366356</v>
      </c>
      <c r="DX90" s="118"/>
      <c r="DY90" s="118"/>
      <c r="DZ90" s="118"/>
      <c r="EB90" s="52"/>
      <c r="EC90" s="52"/>
      <c r="ED90" s="52"/>
      <c r="EE90" s="55">
        <f t="shared" si="296"/>
        <v>14609.5584</v>
      </c>
      <c r="EF90" s="55">
        <f t="shared" si="296"/>
        <v>8037.6550000000007</v>
      </c>
      <c r="EG90" s="55">
        <f t="shared" si="296"/>
        <v>10718.263959400001</v>
      </c>
      <c r="EH90" s="55">
        <f t="shared" si="228"/>
        <v>9166.2716142000008</v>
      </c>
      <c r="EI90" s="298">
        <f t="shared" si="229"/>
        <v>0.64509298084328559</v>
      </c>
      <c r="EJ90" s="52"/>
      <c r="EK90" s="55">
        <f t="shared" si="297"/>
        <v>10718.263959400001</v>
      </c>
      <c r="EL90" s="55">
        <f t="shared" si="297"/>
        <v>9166.2716142000008</v>
      </c>
      <c r="EM90" s="55">
        <f t="shared" si="297"/>
        <v>10718.263959400001</v>
      </c>
      <c r="EN90" s="55">
        <f t="shared" si="297"/>
        <v>9166.2716142000008</v>
      </c>
      <c r="EP90" s="52"/>
      <c r="EQ90" s="52"/>
      <c r="ER90" s="52"/>
      <c r="ES90" s="55">
        <f t="shared" si="230"/>
        <v>11741.6901</v>
      </c>
      <c r="ET90" s="55">
        <f t="shared" si="230"/>
        <v>6460.5467000000008</v>
      </c>
      <c r="EU90" s="55">
        <f t="shared" si="230"/>
        <v>10165.0558996</v>
      </c>
      <c r="EV90" s="55">
        <f t="shared" si="230"/>
        <v>8602.2457317999997</v>
      </c>
      <c r="EW90" s="298">
        <f t="shared" si="231"/>
        <v>0.64506852806134252</v>
      </c>
      <c r="EX90" s="52"/>
      <c r="EY90" s="55">
        <f t="shared" si="232"/>
        <v>10165.0558996</v>
      </c>
      <c r="EZ90" s="55">
        <f t="shared" si="232"/>
        <v>8602.2457317999997</v>
      </c>
      <c r="FA90" s="55">
        <f t="shared" si="232"/>
        <v>10165.0558996</v>
      </c>
      <c r="FB90" s="55">
        <f t="shared" si="232"/>
        <v>8602.2457317999997</v>
      </c>
      <c r="FD90" s="52"/>
      <c r="FE90" s="52"/>
      <c r="FF90" s="52"/>
      <c r="FG90" s="55">
        <f t="shared" si="233"/>
        <v>9135.7682999999997</v>
      </c>
      <c r="FH90" s="55">
        <f t="shared" si="233"/>
        <v>4799.4075000000003</v>
      </c>
      <c r="FI90" s="55">
        <f t="shared" si="233"/>
        <v>8233.1701709999998</v>
      </c>
      <c r="FJ90" s="55">
        <f t="shared" si="233"/>
        <v>7212.4594626000007</v>
      </c>
      <c r="FK90" s="298">
        <f t="shared" si="234"/>
        <v>0.6555904590740792</v>
      </c>
      <c r="FL90" s="52"/>
      <c r="FM90" s="55">
        <f t="shared" si="235"/>
        <v>8233.1701709999998</v>
      </c>
      <c r="FN90" s="55">
        <f t="shared" si="235"/>
        <v>7212.4594626000007</v>
      </c>
      <c r="FO90" s="55">
        <f t="shared" si="235"/>
        <v>8233.1701709999998</v>
      </c>
      <c r="FP90" s="55">
        <f t="shared" si="235"/>
        <v>7212.4594626000007</v>
      </c>
      <c r="FR90" s="52"/>
      <c r="FS90" s="52"/>
      <c r="FT90" s="52"/>
      <c r="FU90" s="55">
        <f t="shared" si="236"/>
        <v>9000.7608999999993</v>
      </c>
      <c r="FV90" s="55">
        <f t="shared" si="236"/>
        <v>4883.8374999999996</v>
      </c>
      <c r="FW90" s="55">
        <f t="shared" si="236"/>
        <v>775.53177440000002</v>
      </c>
      <c r="FX90" s="55">
        <f t="shared" si="236"/>
        <v>747.9137432</v>
      </c>
      <c r="FY90" s="298">
        <f t="shared" si="237"/>
        <v>0.64825504063552897</v>
      </c>
      <c r="FZ90" s="52"/>
      <c r="GA90" s="55">
        <f t="shared" si="238"/>
        <v>775.53177440000002</v>
      </c>
      <c r="GB90" s="55">
        <f t="shared" si="238"/>
        <v>747.9137432</v>
      </c>
      <c r="GC90" s="55">
        <f t="shared" si="238"/>
        <v>775.53177440000002</v>
      </c>
      <c r="GD90" s="55">
        <f t="shared" si="238"/>
        <v>747.9137432</v>
      </c>
      <c r="GF90" s="52"/>
      <c r="GG90" s="52"/>
      <c r="GH90" s="52"/>
      <c r="GI90" s="55">
        <f t="shared" si="239"/>
        <v>4655.8765999999996</v>
      </c>
      <c r="GJ90" s="55">
        <f t="shared" si="239"/>
        <v>2407.6849999999999</v>
      </c>
      <c r="GK90" s="56">
        <f t="shared" si="240"/>
        <v>1354.6459957500001</v>
      </c>
      <c r="GL90" s="56">
        <f t="shared" si="240"/>
        <v>1256.7600075000005</v>
      </c>
      <c r="GM90" s="298">
        <f t="shared" si="241"/>
        <v>0.65914008593058782</v>
      </c>
      <c r="GN90" s="52"/>
      <c r="GO90" s="56">
        <f t="shared" si="242"/>
        <v>1354.6459957500001</v>
      </c>
      <c r="GP90" s="56">
        <f t="shared" si="242"/>
        <v>1256.7600075000005</v>
      </c>
      <c r="GQ90" s="56">
        <f t="shared" si="242"/>
        <v>1354.6459957500001</v>
      </c>
      <c r="GR90" s="56">
        <f t="shared" si="242"/>
        <v>1256.7600075000005</v>
      </c>
      <c r="GW90" s="275">
        <v>6.9112</v>
      </c>
      <c r="GX90" s="275">
        <v>3.1484000000000001</v>
      </c>
      <c r="GY90" s="275">
        <v>0</v>
      </c>
      <c r="GZ90" s="275">
        <v>493.67579999999998</v>
      </c>
      <c r="HA90" s="275">
        <v>223.55250000000001</v>
      </c>
      <c r="HB90" s="49">
        <f t="shared" si="243"/>
        <v>4539.2070479999993</v>
      </c>
      <c r="HC90" s="49">
        <f t="shared" si="244"/>
        <v>4274.9290039999996</v>
      </c>
      <c r="HD90" s="47">
        <f t="shared" si="245"/>
        <v>0</v>
      </c>
      <c r="HE90" s="47">
        <f t="shared" si="298"/>
        <v>0</v>
      </c>
      <c r="HF90" s="48">
        <f t="shared" si="299"/>
        <v>4539.2070479999993</v>
      </c>
      <c r="HG90" s="48">
        <f t="shared" si="300"/>
        <v>4274.9290039999996</v>
      </c>
      <c r="HH90" s="93">
        <f t="shared" si="301"/>
        <v>4539.2070479999993</v>
      </c>
      <c r="HI90" s="93">
        <f t="shared" si="302"/>
        <v>4274.9290039999996</v>
      </c>
      <c r="HJ90" s="298">
        <f t="shared" si="246"/>
        <v>0.6883105421244532</v>
      </c>
      <c r="HL90" s="275">
        <v>8.8773999999999997</v>
      </c>
      <c r="HM90" s="275">
        <v>5.7057000000000002</v>
      </c>
      <c r="HN90" s="275">
        <v>0</v>
      </c>
      <c r="HO90" s="275">
        <v>166.1283</v>
      </c>
      <c r="HP90" s="275">
        <v>100.16670000000001</v>
      </c>
      <c r="HQ90" s="49">
        <f t="shared" si="247"/>
        <v>4719.6697099999992</v>
      </c>
      <c r="HR90" s="49">
        <f t="shared" si="248"/>
        <v>4424.9415209999997</v>
      </c>
      <c r="HS90" s="47">
        <f t="shared" si="249"/>
        <v>0</v>
      </c>
      <c r="HT90" s="47">
        <f t="shared" si="303"/>
        <v>0</v>
      </c>
      <c r="HU90" s="48">
        <f t="shared" si="304"/>
        <v>4719.6697099999992</v>
      </c>
      <c r="HV90" s="48">
        <f t="shared" si="305"/>
        <v>4424.9415209999997</v>
      </c>
      <c r="HW90" s="93">
        <f t="shared" si="306"/>
        <v>4719.6697099999992</v>
      </c>
      <c r="HX90" s="93">
        <f t="shared" si="307"/>
        <v>4424.9415209999997</v>
      </c>
      <c r="HY90" s="298">
        <f t="shared" si="250"/>
        <v>0.62385061679716103</v>
      </c>
    </row>
    <row r="91" spans="1:233" s="131" customFormat="1" x14ac:dyDescent="0.2">
      <c r="A91" s="118">
        <v>81</v>
      </c>
      <c r="B91" s="118"/>
      <c r="C91" s="275">
        <v>5.3005000000000004</v>
      </c>
      <c r="D91" s="275">
        <v>2.5804</v>
      </c>
      <c r="E91" s="275">
        <v>0</v>
      </c>
      <c r="F91" s="275">
        <v>2144.5542</v>
      </c>
      <c r="G91" s="275">
        <v>1128.3025</v>
      </c>
      <c r="H91" s="49">
        <f t="shared" si="218"/>
        <v>5242.4595250000002</v>
      </c>
      <c r="I91" s="49">
        <f t="shared" si="218"/>
        <v>4649.4163280000002</v>
      </c>
      <c r="J91" s="47">
        <f t="shared" si="218"/>
        <v>0</v>
      </c>
      <c r="K91" s="47">
        <f t="shared" si="251"/>
        <v>0</v>
      </c>
      <c r="L91" s="48">
        <f t="shared" si="252"/>
        <v>5242.4595250000002</v>
      </c>
      <c r="M91" s="48">
        <f t="shared" si="253"/>
        <v>4649.4163280000002</v>
      </c>
      <c r="N91" s="93">
        <f t="shared" si="254"/>
        <v>5242.4595250000002</v>
      </c>
      <c r="O91" s="93">
        <f t="shared" si="255"/>
        <v>4649.4163280000002</v>
      </c>
      <c r="P91" s="298">
        <f t="shared" si="219"/>
        <v>0.65525453650323273</v>
      </c>
      <c r="Q91" s="275">
        <v>8.2576000000000001</v>
      </c>
      <c r="R91" s="275">
        <v>3.8087</v>
      </c>
      <c r="S91" s="275">
        <v>0</v>
      </c>
      <c r="T91" s="275">
        <v>708.00250000000005</v>
      </c>
      <c r="U91" s="275">
        <v>350.79669999999999</v>
      </c>
      <c r="V91" s="49">
        <f t="shared" si="220"/>
        <v>5061.8262240000004</v>
      </c>
      <c r="W91" s="49">
        <f t="shared" si="220"/>
        <v>4420.6057420000006</v>
      </c>
      <c r="X91" s="47">
        <f t="shared" si="220"/>
        <v>0</v>
      </c>
      <c r="Y91" s="47">
        <f t="shared" si="256"/>
        <v>0</v>
      </c>
      <c r="Z91" s="48">
        <f t="shared" si="257"/>
        <v>5061.8262240000004</v>
      </c>
      <c r="AA91" s="48">
        <f t="shared" si="258"/>
        <v>4420.6057420000006</v>
      </c>
      <c r="AB91" s="93">
        <f t="shared" si="259"/>
        <v>5061.8262240000004</v>
      </c>
      <c r="AC91" s="93">
        <f t="shared" si="260"/>
        <v>4420.6057420000006</v>
      </c>
      <c r="AD91" s="118"/>
      <c r="AE91" s="275">
        <v>10.365399999999999</v>
      </c>
      <c r="AF91" s="275">
        <v>4.0391000000000004</v>
      </c>
      <c r="AG91" s="275">
        <v>0</v>
      </c>
      <c r="AH91" s="275">
        <v>67.333299999999994</v>
      </c>
      <c r="AI91" s="275">
        <v>57</v>
      </c>
      <c r="AJ91" s="49">
        <f t="shared" si="221"/>
        <v>4860.0250980000001</v>
      </c>
      <c r="AK91" s="49">
        <f t="shared" si="221"/>
        <v>4591.5680980000006</v>
      </c>
      <c r="AL91" s="47">
        <f t="shared" si="221"/>
        <v>0</v>
      </c>
      <c r="AM91" s="47">
        <f t="shared" si="261"/>
        <v>0</v>
      </c>
      <c r="AN91" s="48">
        <f t="shared" si="262"/>
        <v>4860.0250980000001</v>
      </c>
      <c r="AO91" s="48">
        <f t="shared" si="263"/>
        <v>4591.5680980000006</v>
      </c>
      <c r="AP91" s="93">
        <f t="shared" si="264"/>
        <v>4860.0250980000001</v>
      </c>
      <c r="AQ91" s="93">
        <f t="shared" si="265"/>
        <v>4591.5680980000006</v>
      </c>
      <c r="AR91" s="118"/>
      <c r="AS91" s="275">
        <v>14.391</v>
      </c>
      <c r="AT91" s="275">
        <v>5.7609000000000004</v>
      </c>
      <c r="AU91" s="275">
        <v>0</v>
      </c>
      <c r="AV91" s="275">
        <v>2495.0383000000002</v>
      </c>
      <c r="AW91" s="275">
        <v>1463.6475</v>
      </c>
      <c r="AX91" s="49">
        <f t="shared" si="222"/>
        <v>5014.5439500000002</v>
      </c>
      <c r="AY91" s="49">
        <f t="shared" si="222"/>
        <v>4031.8810830000002</v>
      </c>
      <c r="AZ91" s="47">
        <f t="shared" si="222"/>
        <v>0</v>
      </c>
      <c r="BA91" s="47">
        <f t="shared" si="266"/>
        <v>0</v>
      </c>
      <c r="BB91" s="48">
        <f t="shared" si="267"/>
        <v>5014.5439500000002</v>
      </c>
      <c r="BC91" s="48">
        <f t="shared" si="268"/>
        <v>4031.8810830000002</v>
      </c>
      <c r="BD91" s="93">
        <f t="shared" si="269"/>
        <v>5014.5439500000002</v>
      </c>
      <c r="BE91" s="93">
        <f t="shared" si="270"/>
        <v>4031.8810830000002</v>
      </c>
      <c r="BF91" s="118"/>
      <c r="BG91" s="275">
        <v>14.040900000000001</v>
      </c>
      <c r="BH91" s="275">
        <v>6.2050000000000001</v>
      </c>
      <c r="BI91" s="275">
        <v>0</v>
      </c>
      <c r="BJ91" s="275">
        <v>1551.5891999999999</v>
      </c>
      <c r="BK91" s="275">
        <v>865.19330000000002</v>
      </c>
      <c r="BL91" s="49">
        <f t="shared" si="223"/>
        <v>4748.9131980000002</v>
      </c>
      <c r="BM91" s="49">
        <f t="shared" si="223"/>
        <v>3713.4443000000001</v>
      </c>
      <c r="BN91" s="47">
        <f t="shared" si="223"/>
        <v>0</v>
      </c>
      <c r="BO91" s="47">
        <f t="shared" si="271"/>
        <v>0</v>
      </c>
      <c r="BP91" s="48">
        <f t="shared" si="272"/>
        <v>4748.9131980000002</v>
      </c>
      <c r="BQ91" s="48">
        <f t="shared" si="273"/>
        <v>3713.4443000000001</v>
      </c>
      <c r="BR91" s="93">
        <f t="shared" si="274"/>
        <v>4748.9131980000002</v>
      </c>
      <c r="BS91" s="93">
        <f t="shared" si="275"/>
        <v>3713.4443000000001</v>
      </c>
      <c r="BT91" s="118"/>
      <c r="BU91" s="275">
        <v>13.3611</v>
      </c>
      <c r="BV91" s="275">
        <v>6.3190999999999997</v>
      </c>
      <c r="BW91" s="275">
        <v>0</v>
      </c>
      <c r="BX91" s="275">
        <v>1323.6033</v>
      </c>
      <c r="BY91" s="275">
        <v>547.61580000000004</v>
      </c>
      <c r="BZ91" s="49">
        <f t="shared" si="224"/>
        <v>3141.7290539999999</v>
      </c>
      <c r="CA91" s="49">
        <f t="shared" si="224"/>
        <v>2271.9060229999995</v>
      </c>
      <c r="CB91" s="47">
        <f t="shared" si="224"/>
        <v>0</v>
      </c>
      <c r="CC91" s="47">
        <f t="shared" si="276"/>
        <v>0</v>
      </c>
      <c r="CD91" s="48">
        <f t="shared" si="277"/>
        <v>3141.7290539999999</v>
      </c>
      <c r="CE91" s="48">
        <f t="shared" si="278"/>
        <v>2271.9060229999995</v>
      </c>
      <c r="CF91" s="93">
        <f t="shared" si="279"/>
        <v>3141.7290539999999</v>
      </c>
      <c r="CG91" s="93">
        <f t="shared" si="280"/>
        <v>2271.9060229999995</v>
      </c>
      <c r="CH91" s="118"/>
      <c r="CI91" s="275">
        <v>1.3496999999999999</v>
      </c>
      <c r="CJ91" s="275">
        <v>0.99550000000000005</v>
      </c>
      <c r="CK91" s="275">
        <v>0</v>
      </c>
      <c r="CL91" s="275">
        <v>5175.5591999999997</v>
      </c>
      <c r="CM91" s="275">
        <v>2753.7674999999999</v>
      </c>
      <c r="CN91" s="49">
        <f t="shared" si="225"/>
        <v>278.57808</v>
      </c>
      <c r="CO91" s="49">
        <f t="shared" si="225"/>
        <v>266.61481000000003</v>
      </c>
      <c r="CP91" s="47">
        <f t="shared" si="225"/>
        <v>0</v>
      </c>
      <c r="CQ91" s="47">
        <f t="shared" si="281"/>
        <v>0</v>
      </c>
      <c r="CR91" s="48">
        <f t="shared" si="282"/>
        <v>278.57808</v>
      </c>
      <c r="CS91" s="48">
        <f t="shared" si="283"/>
        <v>266.61481000000003</v>
      </c>
      <c r="CT91" s="93">
        <f t="shared" si="284"/>
        <v>278.57808</v>
      </c>
      <c r="CU91" s="93">
        <f t="shared" si="285"/>
        <v>266.61481000000003</v>
      </c>
      <c r="CV91" s="118"/>
      <c r="CW91" s="275">
        <v>2.8734000000000002</v>
      </c>
      <c r="CX91" s="275">
        <v>2.0007999999999999</v>
      </c>
      <c r="CY91" s="275">
        <v>0</v>
      </c>
      <c r="CZ91" s="275">
        <v>2219.7316999999998</v>
      </c>
      <c r="DA91" s="275">
        <v>1186.5916999999999</v>
      </c>
      <c r="DB91" s="49">
        <f t="shared" si="226"/>
        <v>596.48910599999999</v>
      </c>
      <c r="DC91" s="49">
        <f t="shared" si="226"/>
        <v>563.24520799999993</v>
      </c>
      <c r="DD91" s="47">
        <f t="shared" si="226"/>
        <v>0</v>
      </c>
      <c r="DE91" s="47">
        <f t="shared" si="286"/>
        <v>0</v>
      </c>
      <c r="DF91" s="48">
        <f t="shared" si="287"/>
        <v>596.48910599999999</v>
      </c>
      <c r="DG91" s="48">
        <f t="shared" si="288"/>
        <v>563.24520799999993</v>
      </c>
      <c r="DH91" s="93">
        <f t="shared" si="289"/>
        <v>596.48910599999999</v>
      </c>
      <c r="DI91" s="93">
        <f t="shared" si="290"/>
        <v>563.24520799999993</v>
      </c>
      <c r="DJ91" s="118"/>
      <c r="DK91" s="275">
        <v>3.2210000000000001</v>
      </c>
      <c r="DL91" s="275">
        <v>2.2252000000000001</v>
      </c>
      <c r="DM91" s="275">
        <v>0</v>
      </c>
      <c r="DN91" s="275">
        <v>1049.2774999999999</v>
      </c>
      <c r="DO91" s="275">
        <v>621.31579999999997</v>
      </c>
      <c r="DP91" s="49">
        <f t="shared" si="227"/>
        <v>438.82904000000002</v>
      </c>
      <c r="DQ91" s="49">
        <f t="shared" si="227"/>
        <v>439.05421200000001</v>
      </c>
      <c r="DR91" s="47">
        <f t="shared" si="227"/>
        <v>0</v>
      </c>
      <c r="DS91" s="47">
        <f t="shared" si="291"/>
        <v>0</v>
      </c>
      <c r="DT91" s="48">
        <f t="shared" si="292"/>
        <v>438.82904000000002</v>
      </c>
      <c r="DU91" s="48">
        <f t="shared" si="293"/>
        <v>439.05421200000001</v>
      </c>
      <c r="DV91" s="93">
        <f t="shared" si="294"/>
        <v>438.82904000000002</v>
      </c>
      <c r="DW91" s="93">
        <f t="shared" si="295"/>
        <v>439.05421200000001</v>
      </c>
      <c r="DX91" s="118"/>
      <c r="DY91" s="118"/>
      <c r="DZ91" s="118"/>
      <c r="EB91" s="52"/>
      <c r="EC91" s="52"/>
      <c r="ED91" s="52"/>
      <c r="EE91" s="55">
        <f t="shared" si="296"/>
        <v>12034.883400000001</v>
      </c>
      <c r="EF91" s="55">
        <f t="shared" si="296"/>
        <v>6532.3091999999997</v>
      </c>
      <c r="EG91" s="55">
        <f t="shared" si="296"/>
        <v>11012.7728398</v>
      </c>
      <c r="EH91" s="55">
        <f t="shared" si="228"/>
        <v>9398.5083873999993</v>
      </c>
      <c r="EI91" s="298">
        <f t="shared" si="229"/>
        <v>0.64818002695787191</v>
      </c>
      <c r="EJ91" s="52"/>
      <c r="EK91" s="55">
        <f t="shared" si="297"/>
        <v>11012.7728398</v>
      </c>
      <c r="EL91" s="55">
        <f t="shared" si="297"/>
        <v>9398.5083873999993</v>
      </c>
      <c r="EM91" s="55">
        <f t="shared" si="297"/>
        <v>11012.7728398</v>
      </c>
      <c r="EN91" s="55">
        <f t="shared" si="297"/>
        <v>9398.5083873999993</v>
      </c>
      <c r="EP91" s="52"/>
      <c r="EQ91" s="52"/>
      <c r="ER91" s="52"/>
      <c r="ES91" s="55">
        <f t="shared" si="230"/>
        <v>9654.882599999999</v>
      </c>
      <c r="ET91" s="55">
        <f t="shared" si="230"/>
        <v>5156.3491999999997</v>
      </c>
      <c r="EU91" s="55">
        <f t="shared" si="230"/>
        <v>10506.8598762</v>
      </c>
      <c r="EV91" s="55">
        <f t="shared" si="230"/>
        <v>8794.9364976000015</v>
      </c>
      <c r="EW91" s="298">
        <f t="shared" si="231"/>
        <v>0.65186223066200344</v>
      </c>
      <c r="EX91" s="52"/>
      <c r="EY91" s="55">
        <f t="shared" si="232"/>
        <v>10506.8598762</v>
      </c>
      <c r="EZ91" s="55">
        <f t="shared" si="232"/>
        <v>8794.9364976000015</v>
      </c>
      <c r="FA91" s="55">
        <f t="shared" si="232"/>
        <v>10506.8598762</v>
      </c>
      <c r="FB91" s="55">
        <f t="shared" si="232"/>
        <v>8794.9364976000015</v>
      </c>
      <c r="FD91" s="52"/>
      <c r="FE91" s="52"/>
      <c r="FF91" s="52"/>
      <c r="FG91" s="55">
        <f t="shared" si="233"/>
        <v>7615.7732999999998</v>
      </c>
      <c r="FH91" s="55">
        <f t="shared" si="233"/>
        <v>3979.6990999999998</v>
      </c>
      <c r="FI91" s="55">
        <f t="shared" si="233"/>
        <v>8543.6296559999992</v>
      </c>
      <c r="FJ91" s="55">
        <f t="shared" si="233"/>
        <v>7393.5214581999999</v>
      </c>
      <c r="FK91" s="298">
        <f t="shared" si="234"/>
        <v>0.65678853239303991</v>
      </c>
      <c r="FL91" s="52"/>
      <c r="FM91" s="55">
        <f t="shared" si="235"/>
        <v>8543.6296559999992</v>
      </c>
      <c r="FN91" s="55">
        <f t="shared" si="235"/>
        <v>7393.5214581999999</v>
      </c>
      <c r="FO91" s="55">
        <f t="shared" si="235"/>
        <v>8543.6296559999992</v>
      </c>
      <c r="FP91" s="55">
        <f t="shared" si="235"/>
        <v>7393.5214581999999</v>
      </c>
      <c r="FR91" s="52"/>
      <c r="FS91" s="52"/>
      <c r="FT91" s="52"/>
      <c r="FU91" s="55">
        <f t="shared" si="236"/>
        <v>7395.2909</v>
      </c>
      <c r="FV91" s="55">
        <f t="shared" si="236"/>
        <v>3940.3591999999999</v>
      </c>
      <c r="FW91" s="55">
        <f t="shared" si="236"/>
        <v>755.76936479999995</v>
      </c>
      <c r="FX91" s="55">
        <f t="shared" si="236"/>
        <v>717.21097639999994</v>
      </c>
      <c r="FY91" s="298">
        <f t="shared" si="237"/>
        <v>0.65239230522826397</v>
      </c>
      <c r="FZ91" s="52"/>
      <c r="GA91" s="55">
        <f t="shared" si="238"/>
        <v>755.76936479999995</v>
      </c>
      <c r="GB91" s="55">
        <f t="shared" si="238"/>
        <v>717.21097639999994</v>
      </c>
      <c r="GC91" s="55">
        <f t="shared" si="238"/>
        <v>755.76936479999995</v>
      </c>
      <c r="GD91" s="55">
        <f t="shared" si="238"/>
        <v>717.21097639999994</v>
      </c>
      <c r="GF91" s="52"/>
      <c r="GG91" s="52"/>
      <c r="GH91" s="52"/>
      <c r="GI91" s="55">
        <f t="shared" si="239"/>
        <v>3818.6415999999999</v>
      </c>
      <c r="GJ91" s="55">
        <f t="shared" si="239"/>
        <v>2011.2633000000001</v>
      </c>
      <c r="GK91" s="56">
        <f t="shared" si="240"/>
        <v>1404.6111720000004</v>
      </c>
      <c r="GL91" s="56">
        <f t="shared" si="240"/>
        <v>1319.9812950000005</v>
      </c>
      <c r="GM91" s="298">
        <f t="shared" si="241"/>
        <v>0.65500924380430292</v>
      </c>
      <c r="GN91" s="52"/>
      <c r="GO91" s="56">
        <f t="shared" si="242"/>
        <v>1404.6111720000004</v>
      </c>
      <c r="GP91" s="56">
        <f t="shared" si="242"/>
        <v>1319.9812950000005</v>
      </c>
      <c r="GQ91" s="56">
        <f t="shared" si="242"/>
        <v>1404.6111720000004</v>
      </c>
      <c r="GR91" s="56">
        <f t="shared" si="242"/>
        <v>1319.9812950000005</v>
      </c>
      <c r="GW91" s="275">
        <v>7.17</v>
      </c>
      <c r="GX91" s="275">
        <v>3.2282000000000002</v>
      </c>
      <c r="GY91" s="275">
        <v>0</v>
      </c>
      <c r="GZ91" s="275">
        <v>333.48829999999998</v>
      </c>
      <c r="HA91" s="275">
        <v>147.93</v>
      </c>
      <c r="HB91" s="49">
        <f t="shared" si="243"/>
        <v>4709.1842999999999</v>
      </c>
      <c r="HC91" s="49">
        <f t="shared" si="244"/>
        <v>4383.2822420000002</v>
      </c>
      <c r="HD91" s="47">
        <f t="shared" si="245"/>
        <v>0</v>
      </c>
      <c r="HE91" s="47">
        <f t="shared" si="298"/>
        <v>0</v>
      </c>
      <c r="HF91" s="48">
        <f t="shared" si="299"/>
        <v>4709.1842999999999</v>
      </c>
      <c r="HG91" s="48">
        <f t="shared" si="300"/>
        <v>4383.2822420000002</v>
      </c>
      <c r="HH91" s="93">
        <f t="shared" si="301"/>
        <v>4709.1842999999999</v>
      </c>
      <c r="HI91" s="93">
        <f t="shared" si="302"/>
        <v>4383.2822420000002</v>
      </c>
      <c r="HJ91" s="298">
        <f t="shared" si="246"/>
        <v>0.69272044706235714</v>
      </c>
      <c r="HL91" s="275">
        <v>9.1320999999999994</v>
      </c>
      <c r="HM91" s="275">
        <v>5.8038999999999996</v>
      </c>
      <c r="HN91" s="275">
        <v>0</v>
      </c>
      <c r="HO91" s="275">
        <v>147.1208</v>
      </c>
      <c r="HP91" s="275">
        <v>83.333299999999994</v>
      </c>
      <c r="HQ91" s="49">
        <f t="shared" si="247"/>
        <v>4855.0809649999992</v>
      </c>
      <c r="HR91" s="49">
        <f t="shared" si="248"/>
        <v>4501.0985669999991</v>
      </c>
      <c r="HS91" s="47">
        <f t="shared" si="249"/>
        <v>0</v>
      </c>
      <c r="HT91" s="47">
        <f t="shared" si="303"/>
        <v>0</v>
      </c>
      <c r="HU91" s="48">
        <f t="shared" si="304"/>
        <v>4855.0809649999992</v>
      </c>
      <c r="HV91" s="48">
        <f t="shared" si="305"/>
        <v>4501.0985669999991</v>
      </c>
      <c r="HW91" s="93">
        <f t="shared" si="306"/>
        <v>4855.0809649999992</v>
      </c>
      <c r="HX91" s="93">
        <f t="shared" si="307"/>
        <v>4501.0985669999991</v>
      </c>
      <c r="HY91" s="298">
        <f t="shared" si="250"/>
        <v>0.63839523792373409</v>
      </c>
    </row>
    <row r="92" spans="1:233" s="131" customFormat="1" x14ac:dyDescent="0.2">
      <c r="A92" s="118">
        <v>82</v>
      </c>
      <c r="B92" s="118"/>
      <c r="C92" s="275">
        <v>5.4084000000000003</v>
      </c>
      <c r="D92" s="275">
        <v>2.6255000000000002</v>
      </c>
      <c r="E92" s="275">
        <v>0</v>
      </c>
      <c r="F92" s="275">
        <v>1461.1667</v>
      </c>
      <c r="G92" s="275">
        <v>853.07830000000001</v>
      </c>
      <c r="H92" s="49">
        <f t="shared" si="218"/>
        <v>5349.1780200000003</v>
      </c>
      <c r="I92" s="49">
        <f t="shared" si="218"/>
        <v>4730.6784100000004</v>
      </c>
      <c r="J92" s="47">
        <f t="shared" si="218"/>
        <v>0</v>
      </c>
      <c r="K92" s="47">
        <f t="shared" si="251"/>
        <v>0</v>
      </c>
      <c r="L92" s="48">
        <f t="shared" si="252"/>
        <v>5349.1780200000003</v>
      </c>
      <c r="M92" s="48">
        <f t="shared" si="253"/>
        <v>4730.6784100000004</v>
      </c>
      <c r="N92" s="93">
        <f t="shared" si="254"/>
        <v>5349.1780200000003</v>
      </c>
      <c r="O92" s="93">
        <f t="shared" si="255"/>
        <v>4730.6784100000004</v>
      </c>
      <c r="P92" s="298">
        <f t="shared" si="219"/>
        <v>0.63137943476166092</v>
      </c>
      <c r="Q92" s="275">
        <v>8.5048999999999992</v>
      </c>
      <c r="R92" s="275">
        <v>3.8679999999999999</v>
      </c>
      <c r="S92" s="275">
        <v>0</v>
      </c>
      <c r="T92" s="275">
        <v>411.98169999999999</v>
      </c>
      <c r="U92" s="275">
        <v>245.405</v>
      </c>
      <c r="V92" s="49">
        <f t="shared" si="220"/>
        <v>5213.418651</v>
      </c>
      <c r="W92" s="49">
        <f t="shared" si="220"/>
        <v>4489.4328800000003</v>
      </c>
      <c r="X92" s="47">
        <f t="shared" si="220"/>
        <v>0</v>
      </c>
      <c r="Y92" s="47">
        <f t="shared" si="256"/>
        <v>0</v>
      </c>
      <c r="Z92" s="48">
        <f t="shared" si="257"/>
        <v>5213.418651</v>
      </c>
      <c r="AA92" s="48">
        <f t="shared" si="258"/>
        <v>4489.4328800000003</v>
      </c>
      <c r="AB92" s="93">
        <f t="shared" si="259"/>
        <v>5213.418651</v>
      </c>
      <c r="AC92" s="93">
        <f t="shared" si="260"/>
        <v>4489.4328800000003</v>
      </c>
      <c r="AD92" s="118"/>
      <c r="AE92" s="275">
        <v>10.7903</v>
      </c>
      <c r="AF92" s="275">
        <v>4.1369999999999996</v>
      </c>
      <c r="AG92" s="275">
        <v>0</v>
      </c>
      <c r="AH92" s="275">
        <v>48.398299999999999</v>
      </c>
      <c r="AI92" s="275">
        <v>32</v>
      </c>
      <c r="AJ92" s="49">
        <f t="shared" si="221"/>
        <v>5059.247961</v>
      </c>
      <c r="AK92" s="49">
        <f t="shared" si="221"/>
        <v>4702.8588599999994</v>
      </c>
      <c r="AL92" s="47">
        <f t="shared" si="221"/>
        <v>0</v>
      </c>
      <c r="AM92" s="47">
        <f t="shared" si="261"/>
        <v>0</v>
      </c>
      <c r="AN92" s="48">
        <f t="shared" si="262"/>
        <v>5059.247961</v>
      </c>
      <c r="AO92" s="48">
        <f t="shared" si="263"/>
        <v>4702.8588599999994</v>
      </c>
      <c r="AP92" s="93">
        <f t="shared" si="264"/>
        <v>5059.247961</v>
      </c>
      <c r="AQ92" s="93">
        <f t="shared" si="265"/>
        <v>4702.8588599999994</v>
      </c>
      <c r="AR92" s="118"/>
      <c r="AS92" s="275">
        <v>14.919</v>
      </c>
      <c r="AT92" s="275">
        <v>5.9890999999999996</v>
      </c>
      <c r="AU92" s="275">
        <v>0</v>
      </c>
      <c r="AV92" s="275">
        <v>1706.2442000000001</v>
      </c>
      <c r="AW92" s="275">
        <v>1019.2975</v>
      </c>
      <c r="AX92" s="49">
        <f t="shared" si="222"/>
        <v>5198.5255500000003</v>
      </c>
      <c r="AY92" s="49">
        <f t="shared" si="222"/>
        <v>4191.5914169999996</v>
      </c>
      <c r="AZ92" s="47">
        <f t="shared" si="222"/>
        <v>0</v>
      </c>
      <c r="BA92" s="47">
        <f t="shared" si="266"/>
        <v>0</v>
      </c>
      <c r="BB92" s="48">
        <f t="shared" si="267"/>
        <v>5198.5255500000003</v>
      </c>
      <c r="BC92" s="48">
        <f t="shared" si="268"/>
        <v>4191.5914169999996</v>
      </c>
      <c r="BD92" s="93">
        <f t="shared" si="269"/>
        <v>5198.5255500000003</v>
      </c>
      <c r="BE92" s="93">
        <f t="shared" si="270"/>
        <v>4191.5914169999996</v>
      </c>
      <c r="BF92" s="118"/>
      <c r="BG92" s="275">
        <v>14.5297</v>
      </c>
      <c r="BH92" s="275">
        <v>6.4329000000000001</v>
      </c>
      <c r="BI92" s="275">
        <v>0</v>
      </c>
      <c r="BJ92" s="275">
        <v>1025.33</v>
      </c>
      <c r="BK92" s="275">
        <v>674.52329999999995</v>
      </c>
      <c r="BL92" s="49">
        <f t="shared" si="223"/>
        <v>4914.2351340000005</v>
      </c>
      <c r="BM92" s="49">
        <f t="shared" si="223"/>
        <v>3849.8333340000004</v>
      </c>
      <c r="BN92" s="47">
        <f t="shared" si="223"/>
        <v>0</v>
      </c>
      <c r="BO92" s="47">
        <f t="shared" si="271"/>
        <v>0</v>
      </c>
      <c r="BP92" s="48">
        <f t="shared" si="272"/>
        <v>4914.2351340000005</v>
      </c>
      <c r="BQ92" s="48">
        <f t="shared" si="273"/>
        <v>3849.8333340000004</v>
      </c>
      <c r="BR92" s="93">
        <f t="shared" si="274"/>
        <v>4914.2351340000005</v>
      </c>
      <c r="BS92" s="93">
        <f t="shared" si="275"/>
        <v>3849.8333340000004</v>
      </c>
      <c r="BT92" s="118"/>
      <c r="BU92" s="275">
        <v>13.7622</v>
      </c>
      <c r="BV92" s="275">
        <v>6.5416999999999996</v>
      </c>
      <c r="BW92" s="275">
        <v>0</v>
      </c>
      <c r="BX92" s="275">
        <v>911.7758</v>
      </c>
      <c r="BY92" s="275">
        <v>397.01499999999999</v>
      </c>
      <c r="BZ92" s="49">
        <f t="shared" si="224"/>
        <v>3236.0437079999997</v>
      </c>
      <c r="CA92" s="49">
        <f t="shared" si="224"/>
        <v>2351.9374009999997</v>
      </c>
      <c r="CB92" s="47">
        <f t="shared" si="224"/>
        <v>0</v>
      </c>
      <c r="CC92" s="47">
        <f t="shared" si="276"/>
        <v>0</v>
      </c>
      <c r="CD92" s="48">
        <f t="shared" si="277"/>
        <v>3236.0437079999997</v>
      </c>
      <c r="CE92" s="48">
        <f t="shared" si="278"/>
        <v>2351.9374009999997</v>
      </c>
      <c r="CF92" s="93">
        <f t="shared" si="279"/>
        <v>3236.0437079999997</v>
      </c>
      <c r="CG92" s="93">
        <f t="shared" si="280"/>
        <v>2351.9374009999997</v>
      </c>
      <c r="CH92" s="118"/>
      <c r="CI92" s="275">
        <v>1.3032999999999999</v>
      </c>
      <c r="CJ92" s="275">
        <v>0.94940000000000002</v>
      </c>
      <c r="CK92" s="275">
        <v>0</v>
      </c>
      <c r="CL92" s="275">
        <v>3469.3008</v>
      </c>
      <c r="CM92" s="275">
        <v>2020.4167</v>
      </c>
      <c r="CN92" s="49">
        <f t="shared" si="225"/>
        <v>269.00112000000001</v>
      </c>
      <c r="CO92" s="49">
        <f t="shared" si="225"/>
        <v>254.26830799999999</v>
      </c>
      <c r="CP92" s="47">
        <f t="shared" si="225"/>
        <v>0</v>
      </c>
      <c r="CQ92" s="47">
        <f t="shared" si="281"/>
        <v>0</v>
      </c>
      <c r="CR92" s="48">
        <f t="shared" si="282"/>
        <v>269.00112000000001</v>
      </c>
      <c r="CS92" s="48">
        <f t="shared" si="283"/>
        <v>254.26830799999999</v>
      </c>
      <c r="CT92" s="93">
        <f t="shared" si="284"/>
        <v>269.00112000000001</v>
      </c>
      <c r="CU92" s="93">
        <f t="shared" si="285"/>
        <v>254.26830799999999</v>
      </c>
      <c r="CV92" s="118"/>
      <c r="CW92" s="275">
        <v>2.7948</v>
      </c>
      <c r="CX92" s="275">
        <v>1.9121999999999999</v>
      </c>
      <c r="CY92" s="275">
        <v>0</v>
      </c>
      <c r="CZ92" s="275">
        <v>1441.0325</v>
      </c>
      <c r="DA92" s="275">
        <v>860.54420000000005</v>
      </c>
      <c r="DB92" s="49">
        <f t="shared" si="226"/>
        <v>580.17253200000005</v>
      </c>
      <c r="DC92" s="49">
        <f t="shared" si="226"/>
        <v>538.30342199999996</v>
      </c>
      <c r="DD92" s="47">
        <f t="shared" si="226"/>
        <v>0</v>
      </c>
      <c r="DE92" s="47">
        <f t="shared" si="286"/>
        <v>0</v>
      </c>
      <c r="DF92" s="48">
        <f t="shared" si="287"/>
        <v>580.17253200000005</v>
      </c>
      <c r="DG92" s="48">
        <f t="shared" si="288"/>
        <v>538.30342199999996</v>
      </c>
      <c r="DH92" s="93">
        <f t="shared" si="289"/>
        <v>580.17253200000005</v>
      </c>
      <c r="DI92" s="93">
        <f t="shared" si="290"/>
        <v>538.30342199999996</v>
      </c>
      <c r="DJ92" s="118"/>
      <c r="DK92" s="275">
        <v>3.2071999999999998</v>
      </c>
      <c r="DL92" s="275">
        <v>2.1520000000000001</v>
      </c>
      <c r="DM92" s="275">
        <v>0</v>
      </c>
      <c r="DN92" s="275">
        <v>780.9</v>
      </c>
      <c r="DO92" s="275">
        <v>441.66329999999999</v>
      </c>
      <c r="DP92" s="49">
        <f t="shared" si="227"/>
        <v>436.94892800000002</v>
      </c>
      <c r="DQ92" s="49">
        <f t="shared" si="227"/>
        <v>424.61112000000003</v>
      </c>
      <c r="DR92" s="47">
        <f t="shared" si="227"/>
        <v>0</v>
      </c>
      <c r="DS92" s="47">
        <f t="shared" si="291"/>
        <v>0</v>
      </c>
      <c r="DT92" s="48">
        <f t="shared" si="292"/>
        <v>436.94892800000002</v>
      </c>
      <c r="DU92" s="48">
        <f t="shared" si="293"/>
        <v>424.61112000000003</v>
      </c>
      <c r="DV92" s="93">
        <f t="shared" si="294"/>
        <v>436.94892800000002</v>
      </c>
      <c r="DW92" s="93">
        <f t="shared" si="295"/>
        <v>424.61112000000003</v>
      </c>
      <c r="DX92" s="118"/>
      <c r="DY92" s="118"/>
      <c r="DZ92" s="118"/>
      <c r="EB92" s="52"/>
      <c r="EC92" s="52"/>
      <c r="ED92" s="52"/>
      <c r="EE92" s="55">
        <f t="shared" si="296"/>
        <v>8077.7442000000001</v>
      </c>
      <c r="EF92" s="55">
        <f t="shared" si="296"/>
        <v>4753.3366999999998</v>
      </c>
      <c r="EG92" s="55">
        <f t="shared" si="296"/>
        <v>11280.842715600002</v>
      </c>
      <c r="EH92" s="55">
        <f t="shared" si="228"/>
        <v>9607.1808725999999</v>
      </c>
      <c r="EI92" s="298">
        <f t="shared" si="229"/>
        <v>0.62954510714681877</v>
      </c>
      <c r="EJ92" s="52"/>
      <c r="EK92" s="55">
        <f t="shared" si="297"/>
        <v>11280.842715600002</v>
      </c>
      <c r="EL92" s="55">
        <f t="shared" si="297"/>
        <v>9607.1808725999999</v>
      </c>
      <c r="EM92" s="55">
        <f t="shared" si="297"/>
        <v>11280.842715600002</v>
      </c>
      <c r="EN92" s="55">
        <f t="shared" si="297"/>
        <v>9607.1808725999999</v>
      </c>
      <c r="EP92" s="52"/>
      <c r="EQ92" s="52"/>
      <c r="ER92" s="52"/>
      <c r="ES92" s="55">
        <f t="shared" si="230"/>
        <v>6347.6450000000004</v>
      </c>
      <c r="ET92" s="55">
        <f t="shared" si="230"/>
        <v>3800.8891999999996</v>
      </c>
      <c r="EU92" s="55">
        <f t="shared" si="230"/>
        <v>10802.775677400001</v>
      </c>
      <c r="EV92" s="55">
        <f t="shared" si="230"/>
        <v>8970.346917400002</v>
      </c>
      <c r="EW92" s="298">
        <f t="shared" si="231"/>
        <v>0.62547407092543472</v>
      </c>
      <c r="EX92" s="52"/>
      <c r="EY92" s="55">
        <f t="shared" si="232"/>
        <v>10802.775677400001</v>
      </c>
      <c r="EZ92" s="55">
        <f t="shared" si="232"/>
        <v>8970.346917400002</v>
      </c>
      <c r="FA92" s="55">
        <f t="shared" si="232"/>
        <v>10802.775677400001</v>
      </c>
      <c r="FB92" s="55">
        <f t="shared" si="232"/>
        <v>8970.346917400002</v>
      </c>
      <c r="FD92" s="52"/>
      <c r="FE92" s="52"/>
      <c r="FF92" s="52"/>
      <c r="FG92" s="55">
        <f t="shared" si="233"/>
        <v>5210.3748999999998</v>
      </c>
      <c r="FH92" s="55">
        <f t="shared" si="233"/>
        <v>2891.0950000000003</v>
      </c>
      <c r="FI92" s="55">
        <f t="shared" si="233"/>
        <v>8826.4621458000001</v>
      </c>
      <c r="FJ92" s="55">
        <f t="shared" si="233"/>
        <v>7563.831240999999</v>
      </c>
      <c r="FK92" s="298">
        <f t="shared" si="234"/>
        <v>0.64313945053353838</v>
      </c>
      <c r="FL92" s="52"/>
      <c r="FM92" s="55">
        <f t="shared" si="235"/>
        <v>8826.4621458000001</v>
      </c>
      <c r="FN92" s="55">
        <f t="shared" si="235"/>
        <v>7563.831240999999</v>
      </c>
      <c r="FO92" s="55">
        <f t="shared" si="235"/>
        <v>8826.4621458000001</v>
      </c>
      <c r="FP92" s="55">
        <f t="shared" si="235"/>
        <v>7563.831240999999</v>
      </c>
      <c r="FR92" s="52"/>
      <c r="FS92" s="52"/>
      <c r="FT92" s="52"/>
      <c r="FU92" s="55">
        <f t="shared" si="236"/>
        <v>4910.3333000000002</v>
      </c>
      <c r="FV92" s="55">
        <f t="shared" si="236"/>
        <v>2880.9609</v>
      </c>
      <c r="FW92" s="55">
        <f t="shared" si="236"/>
        <v>733.13914560000012</v>
      </c>
      <c r="FX92" s="55">
        <f t="shared" si="236"/>
        <v>684.91104559999997</v>
      </c>
      <c r="FY92" s="298">
        <f t="shared" si="237"/>
        <v>0.63023333145345739</v>
      </c>
      <c r="FZ92" s="52"/>
      <c r="GA92" s="55">
        <f t="shared" si="238"/>
        <v>733.13914560000012</v>
      </c>
      <c r="GB92" s="55">
        <f t="shared" si="238"/>
        <v>684.91104559999997</v>
      </c>
      <c r="GC92" s="55">
        <f t="shared" si="238"/>
        <v>733.13914560000012</v>
      </c>
      <c r="GD92" s="55">
        <f t="shared" si="238"/>
        <v>684.91104559999997</v>
      </c>
      <c r="GF92" s="52"/>
      <c r="GG92" s="52"/>
      <c r="GH92" s="52"/>
      <c r="GI92" s="55">
        <f t="shared" si="239"/>
        <v>2618.02</v>
      </c>
      <c r="GJ92" s="55">
        <f t="shared" si="239"/>
        <v>1416.3125</v>
      </c>
      <c r="GK92" s="56">
        <f t="shared" si="240"/>
        <v>1471.8613815000003</v>
      </c>
      <c r="GL92" s="56">
        <f t="shared" si="240"/>
        <v>1379.7405119999999</v>
      </c>
      <c r="GM92" s="298">
        <f t="shared" si="241"/>
        <v>0.64893510884390415</v>
      </c>
      <c r="GN92" s="52"/>
      <c r="GO92" s="56">
        <f t="shared" si="242"/>
        <v>1471.8613815000003</v>
      </c>
      <c r="GP92" s="56">
        <f t="shared" si="242"/>
        <v>1379.7405119999999</v>
      </c>
      <c r="GQ92" s="56">
        <f t="shared" si="242"/>
        <v>1471.8613815000003</v>
      </c>
      <c r="GR92" s="56">
        <f t="shared" si="242"/>
        <v>1379.7405119999999</v>
      </c>
      <c r="GW92" s="275">
        <v>7.4084000000000003</v>
      </c>
      <c r="GX92" s="275">
        <v>3.3048999999999999</v>
      </c>
      <c r="GY92" s="275">
        <v>0</v>
      </c>
      <c r="GZ92" s="275">
        <v>247.23830000000001</v>
      </c>
      <c r="HA92" s="275">
        <v>123.0575</v>
      </c>
      <c r="HB92" s="49">
        <f t="shared" si="243"/>
        <v>4865.7630360000003</v>
      </c>
      <c r="HC92" s="49">
        <f t="shared" si="244"/>
        <v>4487.4262689999996</v>
      </c>
      <c r="HD92" s="47">
        <f t="shared" si="245"/>
        <v>0</v>
      </c>
      <c r="HE92" s="47">
        <f t="shared" si="298"/>
        <v>0</v>
      </c>
      <c r="HF92" s="48">
        <f t="shared" si="299"/>
        <v>4865.7630360000003</v>
      </c>
      <c r="HG92" s="48">
        <f t="shared" si="300"/>
        <v>4487.4262689999996</v>
      </c>
      <c r="HH92" s="93">
        <f t="shared" si="301"/>
        <v>4865.7630360000003</v>
      </c>
      <c r="HI92" s="93">
        <f t="shared" si="302"/>
        <v>4487.4262689999996</v>
      </c>
      <c r="HJ92" s="298">
        <f t="shared" si="246"/>
        <v>0.66767784025635724</v>
      </c>
      <c r="HL92" s="275">
        <v>9.3756000000000004</v>
      </c>
      <c r="HM92" s="275">
        <v>5.9062999999999999</v>
      </c>
      <c r="HN92" s="275">
        <v>0</v>
      </c>
      <c r="HO92" s="275">
        <v>103.10080000000001</v>
      </c>
      <c r="HP92" s="275">
        <v>64.833299999999994</v>
      </c>
      <c r="HQ92" s="49">
        <f t="shared" si="247"/>
        <v>4984.5377399999998</v>
      </c>
      <c r="HR92" s="49">
        <f t="shared" si="248"/>
        <v>4580.512839</v>
      </c>
      <c r="HS92" s="47">
        <f t="shared" si="249"/>
        <v>0</v>
      </c>
      <c r="HT92" s="47">
        <f t="shared" si="303"/>
        <v>0</v>
      </c>
      <c r="HU92" s="48">
        <f t="shared" si="304"/>
        <v>4984.5377399999998</v>
      </c>
      <c r="HV92" s="48">
        <f t="shared" si="305"/>
        <v>4580.512839</v>
      </c>
      <c r="HW92" s="93">
        <f t="shared" si="306"/>
        <v>4984.5377399999998</v>
      </c>
      <c r="HX92" s="93">
        <f t="shared" si="307"/>
        <v>4580.512839</v>
      </c>
      <c r="HY92" s="298">
        <f t="shared" si="250"/>
        <v>0.61393606182425131</v>
      </c>
    </row>
    <row r="93" spans="1:233" s="131" customFormat="1" x14ac:dyDescent="0.2">
      <c r="A93" s="118">
        <v>83</v>
      </c>
      <c r="B93" s="118"/>
      <c r="C93" s="275">
        <v>5.5079000000000002</v>
      </c>
      <c r="D93" s="275">
        <v>2.6659000000000002</v>
      </c>
      <c r="E93" s="275">
        <v>0</v>
      </c>
      <c r="F93" s="275">
        <v>1362.6592000000001</v>
      </c>
      <c r="G93" s="275">
        <v>793.39170000000001</v>
      </c>
      <c r="H93" s="49">
        <f t="shared" si="218"/>
        <v>5447.588495</v>
      </c>
      <c r="I93" s="49">
        <f t="shared" si="218"/>
        <v>4803.4719379999997</v>
      </c>
      <c r="J93" s="47">
        <f t="shared" si="218"/>
        <v>0</v>
      </c>
      <c r="K93" s="47">
        <f t="shared" si="251"/>
        <v>0</v>
      </c>
      <c r="L93" s="48">
        <f t="shared" si="252"/>
        <v>5447.588495</v>
      </c>
      <c r="M93" s="48">
        <f t="shared" si="253"/>
        <v>4803.4719379999997</v>
      </c>
      <c r="N93" s="93">
        <f t="shared" si="254"/>
        <v>5447.588495</v>
      </c>
      <c r="O93" s="93">
        <f t="shared" si="255"/>
        <v>4803.4719379999997</v>
      </c>
      <c r="P93" s="298">
        <f t="shared" si="219"/>
        <v>0.63201624785388877</v>
      </c>
      <c r="Q93" s="275">
        <v>8.7308000000000003</v>
      </c>
      <c r="R93" s="275">
        <v>3.9220999999999999</v>
      </c>
      <c r="S93" s="275">
        <v>0</v>
      </c>
      <c r="T93" s="275">
        <v>378.32499999999999</v>
      </c>
      <c r="U93" s="275">
        <v>228.78749999999999</v>
      </c>
      <c r="V93" s="49">
        <f t="shared" si="220"/>
        <v>5351.8930920000003</v>
      </c>
      <c r="W93" s="49">
        <f t="shared" si="220"/>
        <v>4552.2245860000003</v>
      </c>
      <c r="X93" s="47">
        <f t="shared" si="220"/>
        <v>0</v>
      </c>
      <c r="Y93" s="47">
        <f t="shared" si="256"/>
        <v>0</v>
      </c>
      <c r="Z93" s="48">
        <f t="shared" si="257"/>
        <v>5351.8930920000003</v>
      </c>
      <c r="AA93" s="48">
        <f t="shared" si="258"/>
        <v>4552.2245860000003</v>
      </c>
      <c r="AB93" s="93">
        <f t="shared" si="259"/>
        <v>5351.8930920000003</v>
      </c>
      <c r="AC93" s="93">
        <f t="shared" si="260"/>
        <v>4552.2245860000003</v>
      </c>
      <c r="AD93" s="118"/>
      <c r="AE93" s="275">
        <v>11.2113</v>
      </c>
      <c r="AF93" s="275">
        <v>4.234</v>
      </c>
      <c r="AG93" s="275">
        <v>0</v>
      </c>
      <c r="AH93" s="275">
        <v>48.206699999999998</v>
      </c>
      <c r="AI93" s="275">
        <v>26.061699999999998</v>
      </c>
      <c r="AJ93" s="49">
        <f t="shared" si="221"/>
        <v>5256.6422309999998</v>
      </c>
      <c r="AK93" s="49">
        <f t="shared" si="221"/>
        <v>4813.1265199999998</v>
      </c>
      <c r="AL93" s="47">
        <f t="shared" si="221"/>
        <v>0</v>
      </c>
      <c r="AM93" s="47">
        <f t="shared" si="261"/>
        <v>0</v>
      </c>
      <c r="AN93" s="48">
        <f t="shared" si="262"/>
        <v>5256.6422309999998</v>
      </c>
      <c r="AO93" s="48">
        <f t="shared" si="263"/>
        <v>4813.1265199999998</v>
      </c>
      <c r="AP93" s="93">
        <f t="shared" si="264"/>
        <v>5256.6422309999998</v>
      </c>
      <c r="AQ93" s="93">
        <f t="shared" si="265"/>
        <v>4813.1265199999998</v>
      </c>
      <c r="AR93" s="118"/>
      <c r="AS93" s="275">
        <v>15.3902</v>
      </c>
      <c r="AT93" s="275">
        <v>6.1883999999999997</v>
      </c>
      <c r="AU93" s="275">
        <v>0</v>
      </c>
      <c r="AV93" s="275">
        <v>1540.2757999999999</v>
      </c>
      <c r="AW93" s="275">
        <v>1039.1224999999999</v>
      </c>
      <c r="AX93" s="49">
        <f t="shared" si="222"/>
        <v>5362.7151899999999</v>
      </c>
      <c r="AY93" s="49">
        <f t="shared" si="222"/>
        <v>4331.0755079999999</v>
      </c>
      <c r="AZ93" s="47">
        <f t="shared" si="222"/>
        <v>0</v>
      </c>
      <c r="BA93" s="47">
        <f t="shared" si="266"/>
        <v>0</v>
      </c>
      <c r="BB93" s="48">
        <f t="shared" si="267"/>
        <v>5362.7151899999999</v>
      </c>
      <c r="BC93" s="48">
        <f t="shared" si="268"/>
        <v>4331.0755079999999</v>
      </c>
      <c r="BD93" s="93">
        <f t="shared" si="269"/>
        <v>5362.7151899999999</v>
      </c>
      <c r="BE93" s="93">
        <f t="shared" si="270"/>
        <v>4331.0755079999999</v>
      </c>
      <c r="BF93" s="118"/>
      <c r="BG93" s="275">
        <v>14.9656</v>
      </c>
      <c r="BH93" s="275">
        <v>6.6405000000000003</v>
      </c>
      <c r="BI93" s="275">
        <v>0</v>
      </c>
      <c r="BJ93" s="275">
        <v>919.87829999999997</v>
      </c>
      <c r="BK93" s="275">
        <v>593.60670000000005</v>
      </c>
      <c r="BL93" s="49">
        <f t="shared" si="223"/>
        <v>5061.6652320000003</v>
      </c>
      <c r="BM93" s="49">
        <f t="shared" si="223"/>
        <v>3974.0736300000003</v>
      </c>
      <c r="BN93" s="47">
        <f t="shared" si="223"/>
        <v>0</v>
      </c>
      <c r="BO93" s="47">
        <f t="shared" si="271"/>
        <v>0</v>
      </c>
      <c r="BP93" s="48">
        <f t="shared" si="272"/>
        <v>5061.6652320000003</v>
      </c>
      <c r="BQ93" s="48">
        <f t="shared" si="273"/>
        <v>3974.0736300000003</v>
      </c>
      <c r="BR93" s="93">
        <f t="shared" si="274"/>
        <v>5061.6652320000003</v>
      </c>
      <c r="BS93" s="93">
        <f t="shared" si="275"/>
        <v>3974.0736300000003</v>
      </c>
      <c r="BT93" s="118"/>
      <c r="BU93" s="275">
        <v>14.1408</v>
      </c>
      <c r="BV93" s="275">
        <v>6.7374000000000001</v>
      </c>
      <c r="BW93" s="275">
        <v>0</v>
      </c>
      <c r="BX93" s="275">
        <v>808.00080000000003</v>
      </c>
      <c r="BY93" s="275">
        <v>373.45920000000001</v>
      </c>
      <c r="BZ93" s="49">
        <f t="shared" si="224"/>
        <v>3325.067712</v>
      </c>
      <c r="CA93" s="49">
        <f t="shared" si="224"/>
        <v>2422.2974219999996</v>
      </c>
      <c r="CB93" s="47">
        <f t="shared" si="224"/>
        <v>0</v>
      </c>
      <c r="CC93" s="47">
        <f t="shared" si="276"/>
        <v>0</v>
      </c>
      <c r="CD93" s="48">
        <f t="shared" si="277"/>
        <v>3325.067712</v>
      </c>
      <c r="CE93" s="48">
        <f t="shared" si="278"/>
        <v>2422.2974219999996</v>
      </c>
      <c r="CF93" s="93">
        <f t="shared" si="279"/>
        <v>3325.067712</v>
      </c>
      <c r="CG93" s="93">
        <f t="shared" si="280"/>
        <v>2422.2974219999996</v>
      </c>
      <c r="CH93" s="118"/>
      <c r="CI93" s="275">
        <v>1.2543</v>
      </c>
      <c r="CJ93" s="275">
        <v>0.90159999999999996</v>
      </c>
      <c r="CK93" s="275">
        <v>0</v>
      </c>
      <c r="CL93" s="275">
        <v>3079.4967000000001</v>
      </c>
      <c r="CM93" s="275">
        <v>1891.9583</v>
      </c>
      <c r="CN93" s="49">
        <f t="shared" si="225"/>
        <v>258.88751999999999</v>
      </c>
      <c r="CO93" s="49">
        <f t="shared" si="225"/>
        <v>241.46651199999999</v>
      </c>
      <c r="CP93" s="47">
        <f t="shared" si="225"/>
        <v>0</v>
      </c>
      <c r="CQ93" s="47">
        <f t="shared" si="281"/>
        <v>0</v>
      </c>
      <c r="CR93" s="48">
        <f t="shared" si="282"/>
        <v>258.88751999999999</v>
      </c>
      <c r="CS93" s="48">
        <f t="shared" si="283"/>
        <v>241.46651199999999</v>
      </c>
      <c r="CT93" s="93">
        <f t="shared" si="284"/>
        <v>258.88751999999999</v>
      </c>
      <c r="CU93" s="93">
        <f t="shared" si="285"/>
        <v>241.46651199999999</v>
      </c>
      <c r="CV93" s="118"/>
      <c r="CW93" s="275">
        <v>2.7067000000000001</v>
      </c>
      <c r="CX93" s="275">
        <v>1.8213999999999999</v>
      </c>
      <c r="CY93" s="275">
        <v>0</v>
      </c>
      <c r="CZ93" s="275">
        <v>1236.0291999999999</v>
      </c>
      <c r="DA93" s="275">
        <v>793.42669999999998</v>
      </c>
      <c r="DB93" s="49">
        <f t="shared" si="226"/>
        <v>561.88385300000004</v>
      </c>
      <c r="DC93" s="49">
        <f t="shared" si="226"/>
        <v>512.74231399999996</v>
      </c>
      <c r="DD93" s="47">
        <f t="shared" si="226"/>
        <v>0</v>
      </c>
      <c r="DE93" s="47">
        <f t="shared" si="286"/>
        <v>0</v>
      </c>
      <c r="DF93" s="48">
        <f t="shared" si="287"/>
        <v>561.88385300000004</v>
      </c>
      <c r="DG93" s="48">
        <f t="shared" si="288"/>
        <v>512.74231399999996</v>
      </c>
      <c r="DH93" s="93">
        <f t="shared" si="289"/>
        <v>561.88385300000004</v>
      </c>
      <c r="DI93" s="93">
        <f t="shared" si="290"/>
        <v>512.74231399999996</v>
      </c>
      <c r="DJ93" s="118"/>
      <c r="DK93" s="275">
        <v>3.1798000000000002</v>
      </c>
      <c r="DL93" s="275">
        <v>2.0687000000000002</v>
      </c>
      <c r="DM93" s="275">
        <v>0</v>
      </c>
      <c r="DN93" s="275">
        <v>695.19749999999999</v>
      </c>
      <c r="DO93" s="275">
        <v>441.9667</v>
      </c>
      <c r="DP93" s="49">
        <f t="shared" si="227"/>
        <v>433.21595200000007</v>
      </c>
      <c r="DQ93" s="49">
        <f t="shared" si="227"/>
        <v>408.17519700000003</v>
      </c>
      <c r="DR93" s="47">
        <f t="shared" si="227"/>
        <v>0</v>
      </c>
      <c r="DS93" s="47">
        <f t="shared" si="291"/>
        <v>0</v>
      </c>
      <c r="DT93" s="48">
        <f t="shared" si="292"/>
        <v>433.21595200000007</v>
      </c>
      <c r="DU93" s="48">
        <f t="shared" si="293"/>
        <v>408.17519700000003</v>
      </c>
      <c r="DV93" s="93">
        <f t="shared" si="294"/>
        <v>433.21595200000007</v>
      </c>
      <c r="DW93" s="93">
        <f t="shared" si="295"/>
        <v>408.17519700000003</v>
      </c>
      <c r="DX93" s="118"/>
      <c r="DY93" s="118"/>
      <c r="DZ93" s="118"/>
      <c r="EB93" s="52"/>
      <c r="EC93" s="52"/>
      <c r="ED93" s="52"/>
      <c r="EE93" s="55">
        <f t="shared" si="296"/>
        <v>7218.4609</v>
      </c>
      <c r="EF93" s="55">
        <f t="shared" si="296"/>
        <v>4517.8991999999998</v>
      </c>
      <c r="EG93" s="55">
        <f t="shared" si="296"/>
        <v>11518.698287399999</v>
      </c>
      <c r="EH93" s="55">
        <f t="shared" si="228"/>
        <v>9786.2078092000011</v>
      </c>
      <c r="EI93" s="298">
        <f t="shared" si="229"/>
        <v>0.6150510753329731</v>
      </c>
      <c r="EJ93" s="52"/>
      <c r="EK93" s="55">
        <f t="shared" si="297"/>
        <v>11518.698287399999</v>
      </c>
      <c r="EL93" s="55">
        <f t="shared" si="297"/>
        <v>9786.2078092000011</v>
      </c>
      <c r="EM93" s="55">
        <f t="shared" si="297"/>
        <v>11518.698287399999</v>
      </c>
      <c r="EN93" s="55">
        <f t="shared" si="297"/>
        <v>9786.2078092000011</v>
      </c>
      <c r="EP93" s="52"/>
      <c r="EQ93" s="52"/>
      <c r="ER93" s="52"/>
      <c r="ES93" s="55">
        <f t="shared" si="230"/>
        <v>5613.7291999999998</v>
      </c>
      <c r="ET93" s="55">
        <f t="shared" si="230"/>
        <v>3507.7791999999999</v>
      </c>
      <c r="EU93" s="55">
        <f t="shared" si="230"/>
        <v>11065.764541100001</v>
      </c>
      <c r="EV93" s="55">
        <f t="shared" si="230"/>
        <v>9126.684347800001</v>
      </c>
      <c r="EW93" s="298">
        <f t="shared" si="231"/>
        <v>0.6154386921356122</v>
      </c>
      <c r="EX93" s="52"/>
      <c r="EY93" s="55">
        <f t="shared" si="232"/>
        <v>11065.764541100001</v>
      </c>
      <c r="EZ93" s="55">
        <f t="shared" si="232"/>
        <v>9126.684347800001</v>
      </c>
      <c r="FA93" s="55">
        <f t="shared" si="232"/>
        <v>11065.764541100001</v>
      </c>
      <c r="FB93" s="55">
        <f t="shared" si="232"/>
        <v>9126.684347800001</v>
      </c>
      <c r="FD93" s="52"/>
      <c r="FE93" s="52"/>
      <c r="FF93" s="52"/>
      <c r="FG93" s="55">
        <f t="shared" si="233"/>
        <v>4630.9017000000003</v>
      </c>
      <c r="FH93" s="55">
        <f t="shared" si="233"/>
        <v>2733.4458999999997</v>
      </c>
      <c r="FI93" s="55">
        <f t="shared" si="233"/>
        <v>9100.5270342000003</v>
      </c>
      <c r="FJ93" s="55">
        <f t="shared" si="233"/>
        <v>7721.7955721999997</v>
      </c>
      <c r="FK93" s="298">
        <f t="shared" si="234"/>
        <v>0.62882714824596275</v>
      </c>
      <c r="FL93" s="52"/>
      <c r="FM93" s="55">
        <f t="shared" si="235"/>
        <v>9100.5270342000003</v>
      </c>
      <c r="FN93" s="55">
        <f t="shared" si="235"/>
        <v>7721.7955721999997</v>
      </c>
      <c r="FO93" s="55">
        <f t="shared" si="235"/>
        <v>9100.5270342000003</v>
      </c>
      <c r="FP93" s="55">
        <f t="shared" si="235"/>
        <v>7721.7955721999997</v>
      </c>
      <c r="FR93" s="52"/>
      <c r="FS93" s="52"/>
      <c r="FT93" s="52"/>
      <c r="FU93" s="55">
        <f t="shared" si="236"/>
        <v>4315.5259000000005</v>
      </c>
      <c r="FV93" s="55">
        <f t="shared" si="236"/>
        <v>2685.3850000000002</v>
      </c>
      <c r="FW93" s="55">
        <f t="shared" si="236"/>
        <v>708.39460240000005</v>
      </c>
      <c r="FX93" s="55">
        <f t="shared" si="236"/>
        <v>651.66036320000001</v>
      </c>
      <c r="FY93" s="298">
        <f t="shared" si="237"/>
        <v>0.61642348569241179</v>
      </c>
      <c r="FZ93" s="52"/>
      <c r="GA93" s="55">
        <f t="shared" si="238"/>
        <v>708.39460240000005</v>
      </c>
      <c r="GB93" s="55">
        <f t="shared" si="238"/>
        <v>651.66036320000001</v>
      </c>
      <c r="GC93" s="55">
        <f t="shared" si="238"/>
        <v>708.39460240000005</v>
      </c>
      <c r="GD93" s="55">
        <f t="shared" si="238"/>
        <v>651.66036320000001</v>
      </c>
      <c r="GF93" s="52"/>
      <c r="GG93" s="52"/>
      <c r="GH93" s="52"/>
      <c r="GI93" s="55">
        <f t="shared" si="239"/>
        <v>2348.2766000000001</v>
      </c>
      <c r="GJ93" s="55">
        <f t="shared" si="239"/>
        <v>1412.5817</v>
      </c>
      <c r="GK93" s="56">
        <f t="shared" si="240"/>
        <v>1528.2356084999999</v>
      </c>
      <c r="GL93" s="56">
        <f t="shared" si="240"/>
        <v>1431.5835645000002</v>
      </c>
      <c r="GM93" s="298">
        <f t="shared" si="241"/>
        <v>0.62439911655272951</v>
      </c>
      <c r="GN93" s="52"/>
      <c r="GO93" s="56">
        <f t="shared" si="242"/>
        <v>1528.2356084999999</v>
      </c>
      <c r="GP93" s="56">
        <f t="shared" si="242"/>
        <v>1431.5835645000002</v>
      </c>
      <c r="GQ93" s="56">
        <f t="shared" si="242"/>
        <v>1528.2356084999999</v>
      </c>
      <c r="GR93" s="56">
        <f t="shared" si="242"/>
        <v>1431.5835645000002</v>
      </c>
      <c r="GW93" s="275">
        <v>7.6246</v>
      </c>
      <c r="GX93" s="275">
        <v>3.3786999999999998</v>
      </c>
      <c r="GY93" s="275">
        <v>0</v>
      </c>
      <c r="GZ93" s="275">
        <v>195.88499999999999</v>
      </c>
      <c r="HA93" s="275">
        <v>110.82170000000001</v>
      </c>
      <c r="HB93" s="49">
        <f t="shared" si="243"/>
        <v>5007.7610340000001</v>
      </c>
      <c r="HC93" s="49">
        <f t="shared" si="244"/>
        <v>4587.6326469999995</v>
      </c>
      <c r="HD93" s="47">
        <f t="shared" si="245"/>
        <v>0</v>
      </c>
      <c r="HE93" s="47">
        <f t="shared" si="298"/>
        <v>0</v>
      </c>
      <c r="HF93" s="48">
        <f t="shared" si="299"/>
        <v>5007.7610340000001</v>
      </c>
      <c r="HG93" s="48">
        <f t="shared" si="300"/>
        <v>4587.6326469999995</v>
      </c>
      <c r="HH93" s="93">
        <f t="shared" si="301"/>
        <v>5007.7610340000001</v>
      </c>
      <c r="HI93" s="93">
        <f t="shared" si="302"/>
        <v>4587.6326469999995</v>
      </c>
      <c r="HJ93" s="298">
        <f t="shared" si="246"/>
        <v>0.6386720603103877</v>
      </c>
      <c r="HL93" s="275">
        <v>9.6082000000000001</v>
      </c>
      <c r="HM93" s="275">
        <v>6.0137</v>
      </c>
      <c r="HN93" s="275">
        <v>0</v>
      </c>
      <c r="HO93" s="275">
        <v>103.9933</v>
      </c>
      <c r="HP93" s="275">
        <v>54</v>
      </c>
      <c r="HQ93" s="49">
        <f t="shared" si="247"/>
        <v>5108.1995299999999</v>
      </c>
      <c r="HR93" s="49">
        <f t="shared" si="248"/>
        <v>4663.8047609999994</v>
      </c>
      <c r="HS93" s="47">
        <f t="shared" si="249"/>
        <v>0</v>
      </c>
      <c r="HT93" s="47">
        <f t="shared" si="303"/>
        <v>0</v>
      </c>
      <c r="HU93" s="48">
        <f t="shared" si="304"/>
        <v>5108.1995299999999</v>
      </c>
      <c r="HV93" s="48">
        <f t="shared" si="305"/>
        <v>4663.8047609999994</v>
      </c>
      <c r="HW93" s="93">
        <f t="shared" si="306"/>
        <v>5108.1995299999999</v>
      </c>
      <c r="HX93" s="93">
        <f t="shared" si="307"/>
        <v>4663.8047609999994</v>
      </c>
      <c r="HY93" s="298">
        <f t="shared" si="250"/>
        <v>0.65821335461693631</v>
      </c>
    </row>
    <row r="94" spans="1:233" s="131" customFormat="1" x14ac:dyDescent="0.2">
      <c r="A94" s="118">
        <v>84</v>
      </c>
      <c r="B94" s="118"/>
      <c r="C94" s="275">
        <v>5.5998999999999999</v>
      </c>
      <c r="D94" s="275">
        <v>2.7021999999999999</v>
      </c>
      <c r="E94" s="275">
        <v>0</v>
      </c>
      <c r="F94" s="275">
        <v>1229.8483000000001</v>
      </c>
      <c r="G94" s="275">
        <v>800.32749999999999</v>
      </c>
      <c r="H94" s="49">
        <f t="shared" si="218"/>
        <v>5538.5810949999996</v>
      </c>
      <c r="I94" s="49">
        <f t="shared" si="218"/>
        <v>4868.8780040000001</v>
      </c>
      <c r="J94" s="47">
        <f t="shared" si="218"/>
        <v>0</v>
      </c>
      <c r="K94" s="47">
        <f t="shared" si="251"/>
        <v>0</v>
      </c>
      <c r="L94" s="48">
        <f t="shared" si="252"/>
        <v>5538.5810949999996</v>
      </c>
      <c r="M94" s="48">
        <f t="shared" si="253"/>
        <v>4868.8780040000001</v>
      </c>
      <c r="N94" s="93">
        <f t="shared" si="254"/>
        <v>5538.5810949999996</v>
      </c>
      <c r="O94" s="93">
        <f t="shared" si="255"/>
        <v>4868.8780040000001</v>
      </c>
      <c r="P94" s="298">
        <f t="shared" si="219"/>
        <v>0.6057841394819109</v>
      </c>
      <c r="Q94" s="275">
        <v>8.9285999999999994</v>
      </c>
      <c r="R94" s="275">
        <v>3.9721000000000002</v>
      </c>
      <c r="S94" s="275">
        <v>0</v>
      </c>
      <c r="T94" s="275">
        <v>370.875</v>
      </c>
      <c r="U94" s="275">
        <v>221.58080000000001</v>
      </c>
      <c r="V94" s="49">
        <f t="shared" si="220"/>
        <v>5473.1425140000001</v>
      </c>
      <c r="W94" s="49">
        <f t="shared" si="220"/>
        <v>4610.2575860000006</v>
      </c>
      <c r="X94" s="47">
        <f t="shared" si="220"/>
        <v>0</v>
      </c>
      <c r="Y94" s="47">
        <f t="shared" si="256"/>
        <v>0</v>
      </c>
      <c r="Z94" s="48">
        <f t="shared" si="257"/>
        <v>5473.1425140000001</v>
      </c>
      <c r="AA94" s="48">
        <f t="shared" si="258"/>
        <v>4610.2575860000006</v>
      </c>
      <c r="AB94" s="93">
        <f t="shared" si="259"/>
        <v>5473.1425140000001</v>
      </c>
      <c r="AC94" s="93">
        <f t="shared" si="260"/>
        <v>4610.2575860000006</v>
      </c>
      <c r="AD94" s="118"/>
      <c r="AE94" s="275">
        <v>11.620699999999999</v>
      </c>
      <c r="AF94" s="275">
        <v>4.3295000000000003</v>
      </c>
      <c r="AG94" s="275">
        <v>0</v>
      </c>
      <c r="AH94" s="275">
        <v>38</v>
      </c>
      <c r="AI94" s="275">
        <v>29.583300000000001</v>
      </c>
      <c r="AJ94" s="49">
        <f t="shared" si="221"/>
        <v>5448.5976089999995</v>
      </c>
      <c r="AK94" s="49">
        <f t="shared" si="221"/>
        <v>4921.6890100000001</v>
      </c>
      <c r="AL94" s="47">
        <f t="shared" si="221"/>
        <v>0</v>
      </c>
      <c r="AM94" s="47">
        <f t="shared" si="261"/>
        <v>0</v>
      </c>
      <c r="AN94" s="48">
        <f t="shared" si="262"/>
        <v>5448.5976089999995</v>
      </c>
      <c r="AO94" s="48">
        <f t="shared" si="263"/>
        <v>4921.6890100000001</v>
      </c>
      <c r="AP94" s="93">
        <f t="shared" si="264"/>
        <v>5448.5976089999995</v>
      </c>
      <c r="AQ94" s="93">
        <f t="shared" si="265"/>
        <v>4921.6890100000001</v>
      </c>
      <c r="AR94" s="118"/>
      <c r="AS94" s="275">
        <v>15.7973</v>
      </c>
      <c r="AT94" s="275">
        <v>6.3467000000000002</v>
      </c>
      <c r="AU94" s="275">
        <v>0</v>
      </c>
      <c r="AV94" s="275">
        <v>1451.2517</v>
      </c>
      <c r="AW94" s="275">
        <v>975.51580000000001</v>
      </c>
      <c r="AX94" s="49">
        <f t="shared" si="222"/>
        <v>5504.5691849999994</v>
      </c>
      <c r="AY94" s="49">
        <f t="shared" si="222"/>
        <v>4441.8649290000003</v>
      </c>
      <c r="AZ94" s="47">
        <f t="shared" si="222"/>
        <v>0</v>
      </c>
      <c r="BA94" s="47">
        <f t="shared" si="266"/>
        <v>0</v>
      </c>
      <c r="BB94" s="48">
        <f t="shared" si="267"/>
        <v>5504.5691849999994</v>
      </c>
      <c r="BC94" s="48">
        <f t="shared" si="268"/>
        <v>4441.8649290000003</v>
      </c>
      <c r="BD94" s="93">
        <f t="shared" si="269"/>
        <v>5504.5691849999994</v>
      </c>
      <c r="BE94" s="93">
        <f t="shared" si="270"/>
        <v>4441.8649290000003</v>
      </c>
      <c r="BF94" s="118"/>
      <c r="BG94" s="275">
        <v>15.3507</v>
      </c>
      <c r="BH94" s="275">
        <v>6.8230000000000004</v>
      </c>
      <c r="BI94" s="275">
        <v>0</v>
      </c>
      <c r="BJ94" s="275">
        <v>880.47249999999997</v>
      </c>
      <c r="BK94" s="275">
        <v>649.1508</v>
      </c>
      <c r="BL94" s="49">
        <f t="shared" si="223"/>
        <v>5191.9137540000002</v>
      </c>
      <c r="BM94" s="49">
        <f t="shared" si="223"/>
        <v>4083.2925800000003</v>
      </c>
      <c r="BN94" s="47">
        <f t="shared" si="223"/>
        <v>0</v>
      </c>
      <c r="BO94" s="47">
        <f t="shared" si="271"/>
        <v>0</v>
      </c>
      <c r="BP94" s="48">
        <f t="shared" si="272"/>
        <v>5191.9137540000002</v>
      </c>
      <c r="BQ94" s="48">
        <f t="shared" si="273"/>
        <v>4083.2925800000003</v>
      </c>
      <c r="BR94" s="93">
        <f t="shared" si="274"/>
        <v>5191.9137540000002</v>
      </c>
      <c r="BS94" s="93">
        <f t="shared" si="275"/>
        <v>4083.2925800000003</v>
      </c>
      <c r="BT94" s="118"/>
      <c r="BU94" s="275">
        <v>14.4941</v>
      </c>
      <c r="BV94" s="275">
        <v>6.9032</v>
      </c>
      <c r="BW94" s="275">
        <v>0</v>
      </c>
      <c r="BX94" s="275">
        <v>730.34670000000006</v>
      </c>
      <c r="BY94" s="275">
        <v>337.01920000000001</v>
      </c>
      <c r="BZ94" s="49">
        <f t="shared" si="224"/>
        <v>3408.1426739999997</v>
      </c>
      <c r="CA94" s="49">
        <f t="shared" si="224"/>
        <v>2481.9074959999998</v>
      </c>
      <c r="CB94" s="47">
        <f t="shared" si="224"/>
        <v>0</v>
      </c>
      <c r="CC94" s="47">
        <f t="shared" si="276"/>
        <v>0</v>
      </c>
      <c r="CD94" s="48">
        <f t="shared" si="277"/>
        <v>3408.1426739999997</v>
      </c>
      <c r="CE94" s="48">
        <f t="shared" si="278"/>
        <v>2481.9074959999998</v>
      </c>
      <c r="CF94" s="93">
        <f t="shared" si="279"/>
        <v>3408.1426739999997</v>
      </c>
      <c r="CG94" s="93">
        <f t="shared" si="280"/>
        <v>2481.9074959999998</v>
      </c>
      <c r="CH94" s="118"/>
      <c r="CI94" s="275">
        <v>1.2040999999999999</v>
      </c>
      <c r="CJ94" s="275">
        <v>0.85270000000000001</v>
      </c>
      <c r="CK94" s="275">
        <v>0</v>
      </c>
      <c r="CL94" s="275">
        <v>2852.0891999999999</v>
      </c>
      <c r="CM94" s="275">
        <v>1865.5617</v>
      </c>
      <c r="CN94" s="49">
        <f t="shared" si="225"/>
        <v>248.52624</v>
      </c>
      <c r="CO94" s="49">
        <f t="shared" si="225"/>
        <v>228.370114</v>
      </c>
      <c r="CP94" s="47">
        <f t="shared" si="225"/>
        <v>0</v>
      </c>
      <c r="CQ94" s="47">
        <f t="shared" si="281"/>
        <v>0</v>
      </c>
      <c r="CR94" s="48">
        <f t="shared" si="282"/>
        <v>248.52624</v>
      </c>
      <c r="CS94" s="48">
        <f t="shared" si="283"/>
        <v>228.370114</v>
      </c>
      <c r="CT94" s="93">
        <f t="shared" si="284"/>
        <v>248.52624</v>
      </c>
      <c r="CU94" s="93">
        <f t="shared" si="285"/>
        <v>228.370114</v>
      </c>
      <c r="CV94" s="118"/>
      <c r="CW94" s="275">
        <v>2.6105999999999998</v>
      </c>
      <c r="CX94" s="275">
        <v>1.7302999999999999</v>
      </c>
      <c r="CY94" s="275">
        <v>0</v>
      </c>
      <c r="CZ94" s="275">
        <v>1160.9608000000001</v>
      </c>
      <c r="DA94" s="275">
        <v>782.77750000000003</v>
      </c>
      <c r="DB94" s="49">
        <f t="shared" si="226"/>
        <v>541.93445399999996</v>
      </c>
      <c r="DC94" s="49">
        <f t="shared" si="226"/>
        <v>487.09675299999998</v>
      </c>
      <c r="DD94" s="47">
        <f t="shared" si="226"/>
        <v>0</v>
      </c>
      <c r="DE94" s="47">
        <f t="shared" si="286"/>
        <v>0</v>
      </c>
      <c r="DF94" s="48">
        <f t="shared" si="287"/>
        <v>541.93445399999996</v>
      </c>
      <c r="DG94" s="48">
        <f t="shared" si="288"/>
        <v>487.09675299999998</v>
      </c>
      <c r="DH94" s="93">
        <f t="shared" si="289"/>
        <v>541.93445399999996</v>
      </c>
      <c r="DI94" s="93">
        <f t="shared" si="290"/>
        <v>487.09675299999998</v>
      </c>
      <c r="DJ94" s="118"/>
      <c r="DK94" s="275">
        <v>3.1356000000000002</v>
      </c>
      <c r="DL94" s="275">
        <v>1.976</v>
      </c>
      <c r="DM94" s="275">
        <v>0</v>
      </c>
      <c r="DN94" s="275">
        <v>666.11329999999998</v>
      </c>
      <c r="DO94" s="275">
        <v>423.7525</v>
      </c>
      <c r="DP94" s="49">
        <f t="shared" si="227"/>
        <v>427.19414400000005</v>
      </c>
      <c r="DQ94" s="49">
        <f t="shared" si="227"/>
        <v>389.88456000000002</v>
      </c>
      <c r="DR94" s="47">
        <f t="shared" si="227"/>
        <v>0</v>
      </c>
      <c r="DS94" s="47">
        <f t="shared" si="291"/>
        <v>0</v>
      </c>
      <c r="DT94" s="48">
        <f t="shared" si="292"/>
        <v>427.19414400000005</v>
      </c>
      <c r="DU94" s="48">
        <f t="shared" si="293"/>
        <v>389.88456000000002</v>
      </c>
      <c r="DV94" s="93">
        <f t="shared" si="294"/>
        <v>427.19414400000005</v>
      </c>
      <c r="DW94" s="93">
        <f t="shared" si="295"/>
        <v>389.88456000000002</v>
      </c>
      <c r="DX94" s="118"/>
      <c r="DY94" s="118"/>
      <c r="DZ94" s="118"/>
      <c r="EB94" s="52"/>
      <c r="EC94" s="52"/>
      <c r="ED94" s="52"/>
      <c r="EE94" s="55">
        <f t="shared" si="296"/>
        <v>6694.1500000000005</v>
      </c>
      <c r="EF94" s="55">
        <f t="shared" si="296"/>
        <v>4424.1824999999999</v>
      </c>
      <c r="EG94" s="55">
        <f t="shared" si="296"/>
        <v>11725.224083199997</v>
      </c>
      <c r="EH94" s="55">
        <f t="shared" si="228"/>
        <v>9928.7904494000013</v>
      </c>
      <c r="EI94" s="298">
        <f t="shared" si="229"/>
        <v>0.60208219173153887</v>
      </c>
      <c r="EJ94" s="52"/>
      <c r="EK94" s="55">
        <f t="shared" si="297"/>
        <v>11725.224083199997</v>
      </c>
      <c r="EL94" s="55">
        <f t="shared" si="297"/>
        <v>9928.7904494000013</v>
      </c>
      <c r="EM94" s="55">
        <f t="shared" si="297"/>
        <v>11725.224083199997</v>
      </c>
      <c r="EN94" s="55">
        <f t="shared" si="297"/>
        <v>9928.7904494000013</v>
      </c>
      <c r="EP94" s="52"/>
      <c r="EQ94" s="52"/>
      <c r="ER94" s="52"/>
      <c r="ES94" s="55">
        <f t="shared" si="230"/>
        <v>5264.3975</v>
      </c>
      <c r="ET94" s="55">
        <f t="shared" si="230"/>
        <v>3519.0708000000004</v>
      </c>
      <c r="EU94" s="55">
        <f t="shared" si="230"/>
        <v>11292.936625799999</v>
      </c>
      <c r="EV94" s="55">
        <f t="shared" si="230"/>
        <v>9262.8880071000003</v>
      </c>
      <c r="EW94" s="298">
        <f t="shared" si="231"/>
        <v>0.59935293442113291</v>
      </c>
      <c r="EX94" s="52"/>
      <c r="EY94" s="55">
        <f t="shared" si="232"/>
        <v>11292.936625799999</v>
      </c>
      <c r="EZ94" s="55">
        <f t="shared" si="232"/>
        <v>9262.8880071000003</v>
      </c>
      <c r="FA94" s="55">
        <f t="shared" si="232"/>
        <v>11292.936625799999</v>
      </c>
      <c r="FB94" s="55">
        <f t="shared" si="232"/>
        <v>9262.8880071000003</v>
      </c>
      <c r="FD94" s="52"/>
      <c r="FE94" s="52"/>
      <c r="FF94" s="52"/>
      <c r="FG94" s="55">
        <f t="shared" si="233"/>
        <v>4286.5491999999995</v>
      </c>
      <c r="FH94" s="55">
        <f t="shared" si="233"/>
        <v>2655.9167000000002</v>
      </c>
      <c r="FI94" s="55">
        <f t="shared" si="233"/>
        <v>9361.5830093999975</v>
      </c>
      <c r="FJ94" s="55">
        <f t="shared" si="233"/>
        <v>7865.8973560000004</v>
      </c>
      <c r="FK94" s="298">
        <f t="shared" si="234"/>
        <v>0.61743899959234949</v>
      </c>
      <c r="FL94" s="52"/>
      <c r="FM94" s="55">
        <f t="shared" si="235"/>
        <v>9361.5830093999975</v>
      </c>
      <c r="FN94" s="55">
        <f t="shared" si="235"/>
        <v>7865.8973560000004</v>
      </c>
      <c r="FO94" s="55">
        <f t="shared" si="235"/>
        <v>9361.5830093999975</v>
      </c>
      <c r="FP94" s="55">
        <f t="shared" si="235"/>
        <v>7865.8973560000004</v>
      </c>
      <c r="FR94" s="52"/>
      <c r="FS94" s="52"/>
      <c r="FT94" s="52"/>
      <c r="FU94" s="55">
        <f t="shared" si="236"/>
        <v>4013.05</v>
      </c>
      <c r="FV94" s="55">
        <f t="shared" si="236"/>
        <v>2648.3391999999999</v>
      </c>
      <c r="FW94" s="55">
        <f t="shared" si="236"/>
        <v>682.07380320000004</v>
      </c>
      <c r="FX94" s="55">
        <f t="shared" si="236"/>
        <v>618.04751639999995</v>
      </c>
      <c r="FY94" s="298">
        <f t="shared" si="237"/>
        <v>0.60243439911903063</v>
      </c>
      <c r="FZ94" s="52"/>
      <c r="GA94" s="55">
        <f t="shared" si="238"/>
        <v>682.07380320000004</v>
      </c>
      <c r="GB94" s="55">
        <f t="shared" si="238"/>
        <v>618.04751639999995</v>
      </c>
      <c r="GC94" s="55">
        <f t="shared" si="238"/>
        <v>682.07380320000004</v>
      </c>
      <c r="GD94" s="55">
        <f t="shared" si="238"/>
        <v>618.04751639999995</v>
      </c>
      <c r="GF94" s="52"/>
      <c r="GG94" s="52"/>
      <c r="GH94" s="52"/>
      <c r="GI94" s="55">
        <f t="shared" si="239"/>
        <v>2181.5983999999999</v>
      </c>
      <c r="GJ94" s="55">
        <f t="shared" si="239"/>
        <v>1312.5350000000001</v>
      </c>
      <c r="GK94" s="56">
        <f t="shared" si="240"/>
        <v>1572.3198832499997</v>
      </c>
      <c r="GL94" s="56">
        <f t="shared" si="240"/>
        <v>1469.9680747500004</v>
      </c>
      <c r="GM94" s="298">
        <f t="shared" si="241"/>
        <v>0.62436036357398372</v>
      </c>
      <c r="GN94" s="52"/>
      <c r="GO94" s="56">
        <f t="shared" si="242"/>
        <v>1572.3198832499997</v>
      </c>
      <c r="GP94" s="56">
        <f t="shared" si="242"/>
        <v>1469.9680747500004</v>
      </c>
      <c r="GQ94" s="56">
        <f t="shared" si="242"/>
        <v>1572.3198832499997</v>
      </c>
      <c r="GR94" s="56">
        <f t="shared" si="242"/>
        <v>1469.9680747500004</v>
      </c>
      <c r="GW94" s="275">
        <v>7.8185000000000002</v>
      </c>
      <c r="GX94" s="275">
        <v>3.4493999999999998</v>
      </c>
      <c r="GY94" s="275">
        <v>0</v>
      </c>
      <c r="GZ94" s="275">
        <v>183.08170000000001</v>
      </c>
      <c r="HA94" s="275">
        <v>102.7683</v>
      </c>
      <c r="HB94" s="49">
        <f t="shared" si="243"/>
        <v>5135.112615</v>
      </c>
      <c r="HC94" s="49">
        <f t="shared" si="244"/>
        <v>4683.6298139999999</v>
      </c>
      <c r="HD94" s="47">
        <f t="shared" si="245"/>
        <v>0</v>
      </c>
      <c r="HE94" s="47">
        <f t="shared" si="298"/>
        <v>0</v>
      </c>
      <c r="HF94" s="48">
        <f t="shared" si="299"/>
        <v>5135.112615</v>
      </c>
      <c r="HG94" s="48">
        <f t="shared" si="300"/>
        <v>4683.6298139999999</v>
      </c>
      <c r="HH94" s="93">
        <f t="shared" si="301"/>
        <v>5135.112615</v>
      </c>
      <c r="HI94" s="93">
        <f t="shared" si="302"/>
        <v>4683.6298139999999</v>
      </c>
      <c r="HJ94" s="298">
        <f t="shared" si="246"/>
        <v>0.64048172118243829</v>
      </c>
      <c r="HL94" s="275">
        <v>9.8297000000000008</v>
      </c>
      <c r="HM94" s="275">
        <v>6.1254999999999997</v>
      </c>
      <c r="HN94" s="275">
        <v>0</v>
      </c>
      <c r="HO94" s="275">
        <v>102.30249999999999</v>
      </c>
      <c r="HP94" s="275">
        <v>57</v>
      </c>
      <c r="HQ94" s="49">
        <f t="shared" si="247"/>
        <v>5225.9600049999999</v>
      </c>
      <c r="HR94" s="49">
        <f t="shared" si="248"/>
        <v>4750.5090149999996</v>
      </c>
      <c r="HS94" s="47">
        <f t="shared" si="249"/>
        <v>0</v>
      </c>
      <c r="HT94" s="47">
        <f t="shared" si="303"/>
        <v>0</v>
      </c>
      <c r="HU94" s="48">
        <f t="shared" si="304"/>
        <v>5225.9600049999999</v>
      </c>
      <c r="HV94" s="48">
        <f t="shared" si="305"/>
        <v>4750.5090149999996</v>
      </c>
      <c r="HW94" s="93">
        <f t="shared" si="306"/>
        <v>5225.9600049999999</v>
      </c>
      <c r="HX94" s="93">
        <f t="shared" si="307"/>
        <v>4750.5090149999996</v>
      </c>
      <c r="HY94" s="298">
        <f t="shared" si="250"/>
        <v>0.64219017278448232</v>
      </c>
    </row>
    <row r="95" spans="1:233" s="131" customFormat="1" x14ac:dyDescent="0.2">
      <c r="A95" s="118">
        <v>85</v>
      </c>
      <c r="B95" s="118"/>
      <c r="C95" s="275">
        <v>5.6851000000000003</v>
      </c>
      <c r="D95" s="275">
        <v>2.7349999999999999</v>
      </c>
      <c r="E95" s="275">
        <v>0</v>
      </c>
      <c r="F95" s="275">
        <v>1100.2574999999999</v>
      </c>
      <c r="G95" s="275">
        <v>820.12670000000003</v>
      </c>
      <c r="H95" s="49">
        <f t="shared" si="218"/>
        <v>5622.8481549999997</v>
      </c>
      <c r="I95" s="49">
        <f t="shared" si="218"/>
        <v>4927.9776999999995</v>
      </c>
      <c r="J95" s="47">
        <f t="shared" si="218"/>
        <v>0</v>
      </c>
      <c r="K95" s="47">
        <f t="shared" si="251"/>
        <v>0</v>
      </c>
      <c r="L95" s="48">
        <f t="shared" si="252"/>
        <v>5622.8481549999997</v>
      </c>
      <c r="M95" s="48">
        <f t="shared" si="253"/>
        <v>4927.9776999999995</v>
      </c>
      <c r="N95" s="93">
        <f t="shared" si="254"/>
        <v>5622.8481549999997</v>
      </c>
      <c r="O95" s="93">
        <f t="shared" si="255"/>
        <v>4927.9776999999995</v>
      </c>
      <c r="P95" s="298">
        <f t="shared" si="219"/>
        <v>0.57293613434228419</v>
      </c>
      <c r="Q95" s="275">
        <v>9.0945999999999998</v>
      </c>
      <c r="R95" s="275">
        <v>4.0186999999999999</v>
      </c>
      <c r="S95" s="275">
        <v>0</v>
      </c>
      <c r="T95" s="275">
        <v>306.25420000000003</v>
      </c>
      <c r="U95" s="275">
        <v>198.3408</v>
      </c>
      <c r="V95" s="49">
        <f t="shared" si="220"/>
        <v>5574.898854</v>
      </c>
      <c r="W95" s="49">
        <f t="shared" si="220"/>
        <v>4664.3443420000003</v>
      </c>
      <c r="X95" s="47">
        <f t="shared" si="220"/>
        <v>0</v>
      </c>
      <c r="Y95" s="47">
        <f t="shared" si="256"/>
        <v>0</v>
      </c>
      <c r="Z95" s="48">
        <f t="shared" si="257"/>
        <v>5574.898854</v>
      </c>
      <c r="AA95" s="48">
        <f t="shared" si="258"/>
        <v>4664.3443420000003</v>
      </c>
      <c r="AB95" s="93">
        <f t="shared" si="259"/>
        <v>5574.898854</v>
      </c>
      <c r="AC95" s="93">
        <f t="shared" si="260"/>
        <v>4664.3443420000003</v>
      </c>
      <c r="AD95" s="118"/>
      <c r="AE95" s="275">
        <v>12.013999999999999</v>
      </c>
      <c r="AF95" s="275">
        <v>4.4219999999999997</v>
      </c>
      <c r="AG95" s="275">
        <v>0</v>
      </c>
      <c r="AH95" s="275">
        <v>41.556699999999999</v>
      </c>
      <c r="AI95" s="275">
        <v>37.666699999999999</v>
      </c>
      <c r="AJ95" s="49">
        <f t="shared" si="221"/>
        <v>5633.0041799999999</v>
      </c>
      <c r="AK95" s="49">
        <f t="shared" si="221"/>
        <v>5026.8411599999999</v>
      </c>
      <c r="AL95" s="47">
        <f t="shared" si="221"/>
        <v>0</v>
      </c>
      <c r="AM95" s="47">
        <f t="shared" si="261"/>
        <v>0</v>
      </c>
      <c r="AN95" s="48">
        <f t="shared" si="262"/>
        <v>5633.0041799999999</v>
      </c>
      <c r="AO95" s="48">
        <f t="shared" si="263"/>
        <v>5026.8411599999999</v>
      </c>
      <c r="AP95" s="93">
        <f t="shared" si="264"/>
        <v>5633.0041799999999</v>
      </c>
      <c r="AQ95" s="93">
        <f t="shared" si="265"/>
        <v>5026.8411599999999</v>
      </c>
      <c r="AR95" s="118"/>
      <c r="AS95" s="275">
        <v>16.1386</v>
      </c>
      <c r="AT95" s="275">
        <v>6.4577</v>
      </c>
      <c r="AU95" s="275">
        <v>0</v>
      </c>
      <c r="AV95" s="275">
        <v>1327.9124999999999</v>
      </c>
      <c r="AW95" s="275">
        <v>986.63919999999996</v>
      </c>
      <c r="AX95" s="49">
        <f t="shared" si="222"/>
        <v>5623.4951700000001</v>
      </c>
      <c r="AY95" s="49">
        <f t="shared" si="222"/>
        <v>4519.5504989999999</v>
      </c>
      <c r="AZ95" s="47">
        <f t="shared" si="222"/>
        <v>0</v>
      </c>
      <c r="BA95" s="47">
        <f t="shared" si="266"/>
        <v>0</v>
      </c>
      <c r="BB95" s="48">
        <f t="shared" si="267"/>
        <v>5623.4951700000001</v>
      </c>
      <c r="BC95" s="48">
        <f t="shared" si="268"/>
        <v>4519.5504989999999</v>
      </c>
      <c r="BD95" s="93">
        <f t="shared" si="269"/>
        <v>5623.4951700000001</v>
      </c>
      <c r="BE95" s="93">
        <f t="shared" si="270"/>
        <v>4519.5504989999999</v>
      </c>
      <c r="BF95" s="118"/>
      <c r="BG95" s="275">
        <v>15.6883</v>
      </c>
      <c r="BH95" s="275">
        <v>6.9783999999999997</v>
      </c>
      <c r="BI95" s="275">
        <v>0</v>
      </c>
      <c r="BJ95" s="275">
        <v>828.61080000000004</v>
      </c>
      <c r="BK95" s="275">
        <v>692.30920000000003</v>
      </c>
      <c r="BL95" s="49">
        <f t="shared" si="223"/>
        <v>5306.096826</v>
      </c>
      <c r="BM95" s="49">
        <f t="shared" si="223"/>
        <v>4176.2932639999999</v>
      </c>
      <c r="BN95" s="47">
        <f t="shared" si="223"/>
        <v>0</v>
      </c>
      <c r="BO95" s="47">
        <f t="shared" si="271"/>
        <v>0</v>
      </c>
      <c r="BP95" s="48">
        <f t="shared" si="272"/>
        <v>5306.096826</v>
      </c>
      <c r="BQ95" s="48">
        <f t="shared" si="273"/>
        <v>4176.2932639999999</v>
      </c>
      <c r="BR95" s="93">
        <f t="shared" si="274"/>
        <v>5306.096826</v>
      </c>
      <c r="BS95" s="93">
        <f t="shared" si="275"/>
        <v>4176.2932639999999</v>
      </c>
      <c r="BT95" s="118"/>
      <c r="BU95" s="275">
        <v>14.816000000000001</v>
      </c>
      <c r="BV95" s="275">
        <v>7.0369000000000002</v>
      </c>
      <c r="BW95" s="275">
        <v>0</v>
      </c>
      <c r="BX95" s="275">
        <v>627.53420000000006</v>
      </c>
      <c r="BY95" s="275">
        <v>364.05169999999998</v>
      </c>
      <c r="BZ95" s="49">
        <f t="shared" si="224"/>
        <v>3483.8342400000001</v>
      </c>
      <c r="CA95" s="49">
        <f t="shared" si="224"/>
        <v>2529.9766569999997</v>
      </c>
      <c r="CB95" s="47">
        <f t="shared" si="224"/>
        <v>0</v>
      </c>
      <c r="CC95" s="47">
        <f t="shared" si="276"/>
        <v>0</v>
      </c>
      <c r="CD95" s="48">
        <f t="shared" si="277"/>
        <v>3483.8342400000001</v>
      </c>
      <c r="CE95" s="48">
        <f t="shared" si="278"/>
        <v>2529.9766569999997</v>
      </c>
      <c r="CF95" s="93">
        <f t="shared" si="279"/>
        <v>3483.8342400000001</v>
      </c>
      <c r="CG95" s="93">
        <f t="shared" si="280"/>
        <v>2529.9766569999997</v>
      </c>
      <c r="CH95" s="118"/>
      <c r="CI95" s="275">
        <v>1.1536</v>
      </c>
      <c r="CJ95" s="275">
        <v>0.8034</v>
      </c>
      <c r="CK95" s="275">
        <v>0</v>
      </c>
      <c r="CL95" s="275">
        <v>2574.5549999999998</v>
      </c>
      <c r="CM95" s="275">
        <v>1914.29</v>
      </c>
      <c r="CN95" s="49">
        <f t="shared" si="225"/>
        <v>238.10303999999999</v>
      </c>
      <c r="CO95" s="49">
        <f t="shared" si="225"/>
        <v>215.16658799999999</v>
      </c>
      <c r="CP95" s="47">
        <f t="shared" si="225"/>
        <v>0</v>
      </c>
      <c r="CQ95" s="47">
        <f t="shared" si="281"/>
        <v>0</v>
      </c>
      <c r="CR95" s="48">
        <f t="shared" si="282"/>
        <v>238.10303999999999</v>
      </c>
      <c r="CS95" s="48">
        <f t="shared" si="283"/>
        <v>215.16658799999999</v>
      </c>
      <c r="CT95" s="93">
        <f t="shared" si="284"/>
        <v>238.10303999999999</v>
      </c>
      <c r="CU95" s="93">
        <f t="shared" si="285"/>
        <v>215.16658799999999</v>
      </c>
      <c r="CV95" s="118"/>
      <c r="CW95" s="275">
        <v>2.5084</v>
      </c>
      <c r="CX95" s="275">
        <v>1.6397999999999999</v>
      </c>
      <c r="CY95" s="275">
        <v>0</v>
      </c>
      <c r="CZ95" s="275">
        <v>1063.1925000000001</v>
      </c>
      <c r="DA95" s="275">
        <v>767.57330000000002</v>
      </c>
      <c r="DB95" s="49">
        <f t="shared" si="226"/>
        <v>520.71875599999998</v>
      </c>
      <c r="DC95" s="49">
        <f t="shared" si="226"/>
        <v>461.62009799999998</v>
      </c>
      <c r="DD95" s="47">
        <f t="shared" si="226"/>
        <v>0</v>
      </c>
      <c r="DE95" s="47">
        <f t="shared" si="286"/>
        <v>0</v>
      </c>
      <c r="DF95" s="48">
        <f t="shared" si="287"/>
        <v>520.71875599999998</v>
      </c>
      <c r="DG95" s="48">
        <f t="shared" si="288"/>
        <v>461.62009799999998</v>
      </c>
      <c r="DH95" s="93">
        <f t="shared" si="289"/>
        <v>520.71875599999998</v>
      </c>
      <c r="DI95" s="93">
        <f t="shared" si="290"/>
        <v>461.62009799999998</v>
      </c>
      <c r="DJ95" s="118"/>
      <c r="DK95" s="275">
        <v>3.0729000000000002</v>
      </c>
      <c r="DL95" s="275">
        <v>1.8755999999999999</v>
      </c>
      <c r="DM95" s="275">
        <v>0</v>
      </c>
      <c r="DN95" s="275">
        <v>609.40250000000003</v>
      </c>
      <c r="DO95" s="275">
        <v>520.0367</v>
      </c>
      <c r="DP95" s="49">
        <f t="shared" si="227"/>
        <v>418.65189600000008</v>
      </c>
      <c r="DQ95" s="49">
        <f t="shared" si="227"/>
        <v>370.074636</v>
      </c>
      <c r="DR95" s="47">
        <f t="shared" si="227"/>
        <v>0</v>
      </c>
      <c r="DS95" s="47">
        <f t="shared" si="291"/>
        <v>0</v>
      </c>
      <c r="DT95" s="48">
        <f t="shared" si="292"/>
        <v>418.65189600000008</v>
      </c>
      <c r="DU95" s="48">
        <f t="shared" si="293"/>
        <v>370.074636</v>
      </c>
      <c r="DV95" s="93">
        <f t="shared" si="294"/>
        <v>418.65189600000008</v>
      </c>
      <c r="DW95" s="93">
        <f t="shared" si="295"/>
        <v>370.074636</v>
      </c>
      <c r="DX95" s="118"/>
      <c r="DY95" s="118"/>
      <c r="DZ95" s="118"/>
      <c r="EB95" s="52"/>
      <c r="EC95" s="52"/>
      <c r="ED95" s="52"/>
      <c r="EE95" s="55">
        <f t="shared" si="296"/>
        <v>6065.9175000000005</v>
      </c>
      <c r="EF95" s="55">
        <f t="shared" si="296"/>
        <v>4488.6291999999994</v>
      </c>
      <c r="EG95" s="55">
        <f t="shared" si="296"/>
        <v>11901.021369800001</v>
      </c>
      <c r="EH95" s="55">
        <f t="shared" si="228"/>
        <v>10031.990865400001</v>
      </c>
      <c r="EI95" s="298">
        <f t="shared" si="229"/>
        <v>0.57472079781503083</v>
      </c>
      <c r="EJ95" s="52"/>
      <c r="EK95" s="55">
        <f t="shared" si="297"/>
        <v>11901.021369800001</v>
      </c>
      <c r="EL95" s="55">
        <f t="shared" si="297"/>
        <v>10031.990865400001</v>
      </c>
      <c r="EM95" s="55">
        <f t="shared" si="297"/>
        <v>11901.021369800001</v>
      </c>
      <c r="EN95" s="55">
        <f t="shared" si="297"/>
        <v>10031.990865400001</v>
      </c>
      <c r="EP95" s="52"/>
      <c r="EQ95" s="52"/>
      <c r="ER95" s="52"/>
      <c r="ES95" s="55">
        <f t="shared" si="230"/>
        <v>4772.6125000000002</v>
      </c>
      <c r="ET95" s="55">
        <f t="shared" si="230"/>
        <v>3572.5133000000001</v>
      </c>
      <c r="EU95" s="55">
        <f t="shared" si="230"/>
        <v>11483.6018492</v>
      </c>
      <c r="EV95" s="55">
        <f t="shared" si="230"/>
        <v>9378.9382626000006</v>
      </c>
      <c r="EW95" s="298">
        <f t="shared" si="231"/>
        <v>0.57190420065327241</v>
      </c>
      <c r="EX95" s="52"/>
      <c r="EY95" s="55">
        <f t="shared" si="232"/>
        <v>11483.6018492</v>
      </c>
      <c r="EZ95" s="55">
        <f t="shared" si="232"/>
        <v>9378.9382626000006</v>
      </c>
      <c r="FA95" s="55">
        <f t="shared" si="232"/>
        <v>11483.6018492</v>
      </c>
      <c r="FB95" s="55">
        <f t="shared" si="232"/>
        <v>9378.9382626000006</v>
      </c>
      <c r="FD95" s="52"/>
      <c r="FE95" s="52"/>
      <c r="FF95" s="52"/>
      <c r="FG95" s="55">
        <f t="shared" si="233"/>
        <v>3853.0484000000001</v>
      </c>
      <c r="FH95" s="55">
        <f t="shared" si="233"/>
        <v>2836.0450999999998</v>
      </c>
      <c r="FI95" s="55">
        <f t="shared" si="233"/>
        <v>9606.1325976000007</v>
      </c>
      <c r="FJ95" s="55">
        <f t="shared" si="233"/>
        <v>7994.0291865999989</v>
      </c>
      <c r="FK95" s="298">
        <f t="shared" si="234"/>
        <v>0.57601951594786349</v>
      </c>
      <c r="FL95" s="52"/>
      <c r="FM95" s="55">
        <f t="shared" si="235"/>
        <v>9606.1325976000007</v>
      </c>
      <c r="FN95" s="55">
        <f t="shared" si="235"/>
        <v>7994.0291865999989</v>
      </c>
      <c r="FO95" s="55">
        <f t="shared" si="235"/>
        <v>9606.1325976000007</v>
      </c>
      <c r="FP95" s="55">
        <f t="shared" si="235"/>
        <v>7994.0291865999989</v>
      </c>
      <c r="FR95" s="52"/>
      <c r="FS95" s="52"/>
      <c r="FT95" s="52"/>
      <c r="FU95" s="55">
        <f t="shared" si="236"/>
        <v>3637.7474999999999</v>
      </c>
      <c r="FV95" s="55">
        <f t="shared" si="236"/>
        <v>2681.8633</v>
      </c>
      <c r="FW95" s="55">
        <f t="shared" si="236"/>
        <v>654.67804479999995</v>
      </c>
      <c r="FX95" s="55">
        <f t="shared" si="236"/>
        <v>584.46266639999999</v>
      </c>
      <c r="FY95" s="298">
        <f t="shared" si="237"/>
        <v>0.57562840736964371</v>
      </c>
      <c r="FZ95" s="52"/>
      <c r="GA95" s="55">
        <f t="shared" si="238"/>
        <v>654.67804479999995</v>
      </c>
      <c r="GB95" s="55">
        <f t="shared" si="238"/>
        <v>584.46266639999999</v>
      </c>
      <c r="GC95" s="55">
        <f t="shared" si="238"/>
        <v>654.67804479999995</v>
      </c>
      <c r="GD95" s="55">
        <f t="shared" si="238"/>
        <v>584.46266639999999</v>
      </c>
      <c r="GF95" s="52"/>
      <c r="GG95" s="52"/>
      <c r="GH95" s="52"/>
      <c r="GI95" s="55">
        <f t="shared" si="239"/>
        <v>1955.4467</v>
      </c>
      <c r="GJ95" s="55">
        <f t="shared" si="239"/>
        <v>1350.6909000000001</v>
      </c>
      <c r="GK95" s="56">
        <f t="shared" si="240"/>
        <v>1604.7456975</v>
      </c>
      <c r="GL95" s="56">
        <f t="shared" si="240"/>
        <v>1492.1803815000003</v>
      </c>
      <c r="GM95" s="298">
        <f t="shared" si="241"/>
        <v>0.59145956296555835</v>
      </c>
      <c r="GN95" s="52"/>
      <c r="GO95" s="56">
        <f t="shared" si="242"/>
        <v>1604.7456975</v>
      </c>
      <c r="GP95" s="56">
        <f t="shared" si="242"/>
        <v>1492.1803815000003</v>
      </c>
      <c r="GQ95" s="56">
        <f t="shared" si="242"/>
        <v>1604.7456975</v>
      </c>
      <c r="GR95" s="56">
        <f t="shared" si="242"/>
        <v>1492.1803815000003</v>
      </c>
      <c r="GW95" s="275">
        <v>7.9927999999999999</v>
      </c>
      <c r="GX95" s="275">
        <v>3.5165000000000002</v>
      </c>
      <c r="GY95" s="275">
        <v>0</v>
      </c>
      <c r="GZ95" s="275">
        <v>154.7567</v>
      </c>
      <c r="HA95" s="275">
        <v>102.49169999999999</v>
      </c>
      <c r="HB95" s="49">
        <f t="shared" si="243"/>
        <v>5249.5911120000001</v>
      </c>
      <c r="HC95" s="49">
        <f t="shared" si="244"/>
        <v>4774.7388650000003</v>
      </c>
      <c r="HD95" s="47">
        <f t="shared" si="245"/>
        <v>0</v>
      </c>
      <c r="HE95" s="47">
        <f t="shared" si="298"/>
        <v>0</v>
      </c>
      <c r="HF95" s="48">
        <f t="shared" si="299"/>
        <v>5249.5911120000001</v>
      </c>
      <c r="HG95" s="48">
        <f t="shared" si="300"/>
        <v>4774.7388650000003</v>
      </c>
      <c r="HH95" s="93">
        <f t="shared" si="301"/>
        <v>5249.5911120000001</v>
      </c>
      <c r="HI95" s="93">
        <f t="shared" si="302"/>
        <v>4774.7388650000003</v>
      </c>
      <c r="HJ95" s="298">
        <f t="shared" si="246"/>
        <v>0.60158469401558956</v>
      </c>
      <c r="HL95" s="275">
        <v>10.0413</v>
      </c>
      <c r="HM95" s="275">
        <v>6.2407000000000004</v>
      </c>
      <c r="HN95" s="275">
        <v>0</v>
      </c>
      <c r="HO95" s="275">
        <v>90.883300000000006</v>
      </c>
      <c r="HP95" s="275">
        <v>72.666700000000006</v>
      </c>
      <c r="HQ95" s="49">
        <f t="shared" si="247"/>
        <v>5338.4571449999994</v>
      </c>
      <c r="HR95" s="49">
        <f t="shared" si="248"/>
        <v>4839.8500709999998</v>
      </c>
      <c r="HS95" s="47">
        <f t="shared" si="249"/>
        <v>0</v>
      </c>
      <c r="HT95" s="47">
        <f t="shared" si="303"/>
        <v>0</v>
      </c>
      <c r="HU95" s="48">
        <f t="shared" si="304"/>
        <v>5338.4571449999994</v>
      </c>
      <c r="HV95" s="48">
        <f t="shared" si="305"/>
        <v>4839.8500709999998</v>
      </c>
      <c r="HW95" s="93">
        <f t="shared" si="306"/>
        <v>5338.4571449999994</v>
      </c>
      <c r="HX95" s="93">
        <f t="shared" si="307"/>
        <v>4839.8500709999998</v>
      </c>
      <c r="HY95" s="298">
        <f t="shared" si="250"/>
        <v>0.55569122592479359</v>
      </c>
    </row>
    <row r="96" spans="1:233" s="131" customFormat="1" x14ac:dyDescent="0.2">
      <c r="A96" s="118">
        <v>86</v>
      </c>
      <c r="B96" s="118"/>
      <c r="C96" s="275">
        <v>5.7645</v>
      </c>
      <c r="D96" s="275">
        <v>2.7648000000000001</v>
      </c>
      <c r="E96" s="275">
        <v>0</v>
      </c>
      <c r="F96" s="275">
        <v>944.85170000000005</v>
      </c>
      <c r="G96" s="275">
        <v>754.80330000000004</v>
      </c>
      <c r="H96" s="49">
        <f t="shared" si="218"/>
        <v>5701.3787249999996</v>
      </c>
      <c r="I96" s="49">
        <f t="shared" si="218"/>
        <v>4981.6719359999997</v>
      </c>
      <c r="J96" s="47">
        <f t="shared" si="218"/>
        <v>0</v>
      </c>
      <c r="K96" s="47">
        <f t="shared" si="251"/>
        <v>0</v>
      </c>
      <c r="L96" s="48">
        <f t="shared" si="252"/>
        <v>5701.3787249999996</v>
      </c>
      <c r="M96" s="48">
        <f t="shared" si="253"/>
        <v>4981.6719359999997</v>
      </c>
      <c r="N96" s="93">
        <f t="shared" si="254"/>
        <v>5701.3787249999996</v>
      </c>
      <c r="O96" s="93">
        <f t="shared" si="255"/>
        <v>4981.6719359999997</v>
      </c>
      <c r="P96" s="298">
        <f t="shared" si="219"/>
        <v>0.55590793425724627</v>
      </c>
      <c r="Q96" s="275">
        <v>9.2288999999999994</v>
      </c>
      <c r="R96" s="275">
        <v>4.0625</v>
      </c>
      <c r="S96" s="275">
        <v>0</v>
      </c>
      <c r="T96" s="275">
        <v>252.10830000000001</v>
      </c>
      <c r="U96" s="275">
        <v>211.8117</v>
      </c>
      <c r="V96" s="49">
        <f t="shared" si="220"/>
        <v>5657.2234109999999</v>
      </c>
      <c r="W96" s="49">
        <f t="shared" si="220"/>
        <v>4715.1812500000005</v>
      </c>
      <c r="X96" s="47">
        <f t="shared" si="220"/>
        <v>0</v>
      </c>
      <c r="Y96" s="47">
        <f t="shared" si="256"/>
        <v>0</v>
      </c>
      <c r="Z96" s="48">
        <f t="shared" si="257"/>
        <v>5657.2234109999999</v>
      </c>
      <c r="AA96" s="48">
        <f t="shared" si="258"/>
        <v>4715.1812500000005</v>
      </c>
      <c r="AB96" s="93">
        <f t="shared" si="259"/>
        <v>5657.2234109999999</v>
      </c>
      <c r="AC96" s="93">
        <f t="shared" si="260"/>
        <v>4715.1812500000005</v>
      </c>
      <c r="AD96" s="118"/>
      <c r="AE96" s="275">
        <v>12.3855</v>
      </c>
      <c r="AF96" s="275">
        <v>4.5101000000000004</v>
      </c>
      <c r="AG96" s="275">
        <v>0</v>
      </c>
      <c r="AH96" s="275">
        <v>32.674999999999997</v>
      </c>
      <c r="AI96" s="275">
        <v>30.646699999999999</v>
      </c>
      <c r="AJ96" s="49">
        <f t="shared" si="221"/>
        <v>5807.1893850000006</v>
      </c>
      <c r="AK96" s="49">
        <f t="shared" si="221"/>
        <v>5126.9914780000008</v>
      </c>
      <c r="AL96" s="47">
        <f t="shared" si="221"/>
        <v>0</v>
      </c>
      <c r="AM96" s="47">
        <f t="shared" si="261"/>
        <v>0</v>
      </c>
      <c r="AN96" s="48">
        <f t="shared" si="262"/>
        <v>5807.1893850000006</v>
      </c>
      <c r="AO96" s="48">
        <f t="shared" si="263"/>
        <v>5126.9914780000008</v>
      </c>
      <c r="AP96" s="93">
        <f t="shared" si="264"/>
        <v>5807.1893850000006</v>
      </c>
      <c r="AQ96" s="93">
        <f t="shared" si="265"/>
        <v>5126.9914780000008</v>
      </c>
      <c r="AR96" s="118"/>
      <c r="AS96" s="275">
        <v>16.4175</v>
      </c>
      <c r="AT96" s="275">
        <v>6.5198999999999998</v>
      </c>
      <c r="AU96" s="275">
        <v>0</v>
      </c>
      <c r="AV96" s="275">
        <v>1108.1858</v>
      </c>
      <c r="AW96" s="275">
        <v>954.93330000000003</v>
      </c>
      <c r="AX96" s="49">
        <f t="shared" si="222"/>
        <v>5720.6778750000003</v>
      </c>
      <c r="AY96" s="49">
        <f t="shared" si="222"/>
        <v>4563.0824130000001</v>
      </c>
      <c r="AZ96" s="47">
        <f t="shared" si="222"/>
        <v>0</v>
      </c>
      <c r="BA96" s="47">
        <f t="shared" si="266"/>
        <v>0</v>
      </c>
      <c r="BB96" s="48">
        <f t="shared" si="267"/>
        <v>5720.6778750000003</v>
      </c>
      <c r="BC96" s="48">
        <f t="shared" si="268"/>
        <v>4563.0824130000001</v>
      </c>
      <c r="BD96" s="93">
        <f t="shared" si="269"/>
        <v>5720.6778750000003</v>
      </c>
      <c r="BE96" s="93">
        <f t="shared" si="270"/>
        <v>4563.0824130000001</v>
      </c>
      <c r="BF96" s="118"/>
      <c r="BG96" s="275">
        <v>15.9762</v>
      </c>
      <c r="BH96" s="275">
        <v>7.1047000000000002</v>
      </c>
      <c r="BI96" s="275">
        <v>0</v>
      </c>
      <c r="BJ96" s="275">
        <v>739.75250000000005</v>
      </c>
      <c r="BK96" s="275">
        <v>611.21169999999995</v>
      </c>
      <c r="BL96" s="49">
        <f t="shared" si="223"/>
        <v>5403.4703640000007</v>
      </c>
      <c r="BM96" s="49">
        <f t="shared" si="223"/>
        <v>4251.8787620000003</v>
      </c>
      <c r="BN96" s="47">
        <f t="shared" si="223"/>
        <v>0</v>
      </c>
      <c r="BO96" s="47">
        <f t="shared" si="271"/>
        <v>0</v>
      </c>
      <c r="BP96" s="48">
        <f t="shared" si="272"/>
        <v>5403.4703640000007</v>
      </c>
      <c r="BQ96" s="48">
        <f t="shared" si="273"/>
        <v>4251.8787620000003</v>
      </c>
      <c r="BR96" s="93">
        <f t="shared" si="274"/>
        <v>5403.4703640000007</v>
      </c>
      <c r="BS96" s="93">
        <f t="shared" si="275"/>
        <v>4251.8787620000003</v>
      </c>
      <c r="BT96" s="118"/>
      <c r="BU96" s="275">
        <v>15.0985</v>
      </c>
      <c r="BV96" s="275">
        <v>7.1409000000000002</v>
      </c>
      <c r="BW96" s="275">
        <v>0</v>
      </c>
      <c r="BX96" s="275">
        <v>536.51329999999996</v>
      </c>
      <c r="BY96" s="275">
        <v>352.86500000000001</v>
      </c>
      <c r="BZ96" s="49">
        <f t="shared" si="224"/>
        <v>3550.2612899999999</v>
      </c>
      <c r="CA96" s="49">
        <f t="shared" si="224"/>
        <v>2567.3677769999999</v>
      </c>
      <c r="CB96" s="47">
        <f t="shared" si="224"/>
        <v>0</v>
      </c>
      <c r="CC96" s="47">
        <f t="shared" si="276"/>
        <v>0</v>
      </c>
      <c r="CD96" s="48">
        <f t="shared" si="277"/>
        <v>3550.2612899999999</v>
      </c>
      <c r="CE96" s="48">
        <f t="shared" si="278"/>
        <v>2567.3677769999999</v>
      </c>
      <c r="CF96" s="93">
        <f t="shared" si="279"/>
        <v>3550.2612899999999</v>
      </c>
      <c r="CG96" s="93">
        <f t="shared" si="280"/>
        <v>2567.3677769999999</v>
      </c>
      <c r="CH96" s="118"/>
      <c r="CI96" s="275">
        <v>1.0912999999999999</v>
      </c>
      <c r="CJ96" s="275">
        <v>0.72260000000000002</v>
      </c>
      <c r="CK96" s="275">
        <v>0</v>
      </c>
      <c r="CL96" s="275">
        <v>2172.8249999999998</v>
      </c>
      <c r="CM96" s="275">
        <v>1790.4183</v>
      </c>
      <c r="CN96" s="49">
        <f t="shared" si="225"/>
        <v>225.24431999999999</v>
      </c>
      <c r="CO96" s="49">
        <f t="shared" si="225"/>
        <v>193.52673200000001</v>
      </c>
      <c r="CP96" s="47">
        <f t="shared" si="225"/>
        <v>0</v>
      </c>
      <c r="CQ96" s="47">
        <f t="shared" si="281"/>
        <v>0</v>
      </c>
      <c r="CR96" s="48">
        <f t="shared" si="282"/>
        <v>225.24431999999999</v>
      </c>
      <c r="CS96" s="48">
        <f t="shared" si="283"/>
        <v>193.52673200000001</v>
      </c>
      <c r="CT96" s="93">
        <f t="shared" si="284"/>
        <v>225.24431999999999</v>
      </c>
      <c r="CU96" s="93">
        <f t="shared" si="285"/>
        <v>193.52673200000001</v>
      </c>
      <c r="CV96" s="118"/>
      <c r="CW96" s="275">
        <v>2.4016000000000002</v>
      </c>
      <c r="CX96" s="275">
        <v>1.5502</v>
      </c>
      <c r="CY96" s="275">
        <v>0</v>
      </c>
      <c r="CZ96" s="275">
        <v>824.4008</v>
      </c>
      <c r="DA96" s="275">
        <v>702.59169999999995</v>
      </c>
      <c r="DB96" s="49">
        <f t="shared" si="226"/>
        <v>498.54814400000004</v>
      </c>
      <c r="DC96" s="49">
        <f t="shared" si="226"/>
        <v>436.39680199999998</v>
      </c>
      <c r="DD96" s="47">
        <f t="shared" si="226"/>
        <v>0</v>
      </c>
      <c r="DE96" s="47">
        <f t="shared" si="286"/>
        <v>0</v>
      </c>
      <c r="DF96" s="48">
        <f t="shared" si="287"/>
        <v>498.54814400000004</v>
      </c>
      <c r="DG96" s="48">
        <f t="shared" si="288"/>
        <v>436.39680199999998</v>
      </c>
      <c r="DH96" s="93">
        <f t="shared" si="289"/>
        <v>498.54814400000004</v>
      </c>
      <c r="DI96" s="93">
        <f t="shared" si="290"/>
        <v>436.39680199999998</v>
      </c>
      <c r="DJ96" s="118"/>
      <c r="DK96" s="275">
        <v>2.9929000000000001</v>
      </c>
      <c r="DL96" s="275">
        <v>1.7698</v>
      </c>
      <c r="DM96" s="275">
        <v>0</v>
      </c>
      <c r="DN96" s="275">
        <v>559.52419999999995</v>
      </c>
      <c r="DO96" s="275">
        <v>467.39249999999998</v>
      </c>
      <c r="DP96" s="49">
        <f t="shared" si="227"/>
        <v>407.75269600000007</v>
      </c>
      <c r="DQ96" s="49">
        <f t="shared" si="227"/>
        <v>349.19923800000004</v>
      </c>
      <c r="DR96" s="47">
        <f t="shared" si="227"/>
        <v>0</v>
      </c>
      <c r="DS96" s="47">
        <f t="shared" si="291"/>
        <v>0</v>
      </c>
      <c r="DT96" s="48">
        <f t="shared" si="292"/>
        <v>407.75269600000007</v>
      </c>
      <c r="DU96" s="48">
        <f t="shared" si="293"/>
        <v>349.19923800000004</v>
      </c>
      <c r="DV96" s="93">
        <f t="shared" si="294"/>
        <v>407.75269600000007</v>
      </c>
      <c r="DW96" s="93">
        <f t="shared" si="295"/>
        <v>349.19923800000004</v>
      </c>
      <c r="DX96" s="118"/>
      <c r="DY96" s="118"/>
      <c r="DZ96" s="118"/>
      <c r="EB96" s="52"/>
      <c r="EC96" s="52"/>
      <c r="ED96" s="52"/>
      <c r="EE96" s="55">
        <f t="shared" si="296"/>
        <v>5050.2632999999996</v>
      </c>
      <c r="EF96" s="55">
        <f t="shared" si="296"/>
        <v>4202.7466000000004</v>
      </c>
      <c r="EG96" s="55">
        <f t="shared" si="296"/>
        <v>12046.139435199999</v>
      </c>
      <c r="EH96" s="55">
        <f t="shared" si="228"/>
        <v>10087.398522599999</v>
      </c>
      <c r="EI96" s="298">
        <f t="shared" si="229"/>
        <v>0.54579681147860859</v>
      </c>
      <c r="EJ96" s="52"/>
      <c r="EK96" s="55">
        <f t="shared" si="297"/>
        <v>12046.139435199999</v>
      </c>
      <c r="EL96" s="55">
        <f t="shared" si="297"/>
        <v>10087.398522599999</v>
      </c>
      <c r="EM96" s="55">
        <f t="shared" si="297"/>
        <v>12046.139435199999</v>
      </c>
      <c r="EN96" s="55">
        <f t="shared" si="297"/>
        <v>10087.398522599999</v>
      </c>
      <c r="EP96" s="52"/>
      <c r="EQ96" s="52"/>
      <c r="ER96" s="52"/>
      <c r="ES96" s="55">
        <f t="shared" si="230"/>
        <v>3989.0865999999996</v>
      </c>
      <c r="ET96" s="55">
        <f t="shared" si="230"/>
        <v>3316.0333999999998</v>
      </c>
      <c r="EU96" s="55">
        <f t="shared" si="230"/>
        <v>11634.921795799999</v>
      </c>
      <c r="EV96" s="55">
        <f t="shared" si="230"/>
        <v>9466.0645054000015</v>
      </c>
      <c r="EW96" s="298">
        <f t="shared" si="231"/>
        <v>0.54606722408393016</v>
      </c>
      <c r="EX96" s="52"/>
      <c r="EY96" s="55">
        <f t="shared" si="232"/>
        <v>11634.921795799999</v>
      </c>
      <c r="EZ96" s="55">
        <f t="shared" si="232"/>
        <v>9466.0645054000015</v>
      </c>
      <c r="FA96" s="55">
        <f t="shared" si="232"/>
        <v>11634.921795799999</v>
      </c>
      <c r="FB96" s="55">
        <f t="shared" si="232"/>
        <v>9466.0645054000015</v>
      </c>
      <c r="FD96" s="52"/>
      <c r="FE96" s="52"/>
      <c r="FF96" s="52"/>
      <c r="FG96" s="55">
        <f t="shared" si="233"/>
        <v>3301.5374999999995</v>
      </c>
      <c r="FH96" s="55">
        <f t="shared" si="233"/>
        <v>2641.3225000000002</v>
      </c>
      <c r="FI96" s="55">
        <f t="shared" si="233"/>
        <v>9827.3466126000003</v>
      </c>
      <c r="FJ96" s="55">
        <f t="shared" si="233"/>
        <v>8097.4055298000012</v>
      </c>
      <c r="FK96" s="298">
        <f t="shared" si="234"/>
        <v>0.55554690839090937</v>
      </c>
      <c r="FL96" s="52"/>
      <c r="FM96" s="55">
        <f t="shared" si="235"/>
        <v>9827.3466126000003</v>
      </c>
      <c r="FN96" s="55">
        <f t="shared" si="235"/>
        <v>8097.4055298000012</v>
      </c>
      <c r="FO96" s="55">
        <f t="shared" si="235"/>
        <v>9827.3466126000003</v>
      </c>
      <c r="FP96" s="55">
        <f t="shared" si="235"/>
        <v>8097.4055298000012</v>
      </c>
      <c r="FR96" s="52"/>
      <c r="FS96" s="52"/>
      <c r="FT96" s="52"/>
      <c r="FU96" s="55">
        <f t="shared" si="236"/>
        <v>2997.2257999999997</v>
      </c>
      <c r="FV96" s="55">
        <f t="shared" si="236"/>
        <v>2493.0100000000002</v>
      </c>
      <c r="FW96" s="55">
        <f t="shared" si="236"/>
        <v>624.08283520000009</v>
      </c>
      <c r="FX96" s="55">
        <f t="shared" si="236"/>
        <v>542.64417360000004</v>
      </c>
      <c r="FY96" s="298">
        <f t="shared" si="237"/>
        <v>0.54591932098799822</v>
      </c>
      <c r="FZ96" s="52"/>
      <c r="GA96" s="55">
        <f t="shared" si="238"/>
        <v>624.08283520000009</v>
      </c>
      <c r="GB96" s="55">
        <f t="shared" si="238"/>
        <v>542.64417360000004</v>
      </c>
      <c r="GC96" s="55">
        <f t="shared" si="238"/>
        <v>624.08283520000009</v>
      </c>
      <c r="GD96" s="55">
        <f t="shared" si="238"/>
        <v>542.64417360000004</v>
      </c>
      <c r="GF96" s="52"/>
      <c r="GG96" s="52"/>
      <c r="GH96" s="52"/>
      <c r="GI96" s="55">
        <f t="shared" si="239"/>
        <v>1644.6990999999998</v>
      </c>
      <c r="GJ96" s="55">
        <f t="shared" si="239"/>
        <v>1307.7982999999999</v>
      </c>
      <c r="GK96" s="56">
        <f t="shared" si="240"/>
        <v>1627.8124387500002</v>
      </c>
      <c r="GL96" s="56">
        <f t="shared" si="240"/>
        <v>1496.785977</v>
      </c>
      <c r="GM96" s="298">
        <f t="shared" si="241"/>
        <v>0.55705353034349836</v>
      </c>
      <c r="GN96" s="52"/>
      <c r="GO96" s="56">
        <f t="shared" si="242"/>
        <v>1627.8124387500002</v>
      </c>
      <c r="GP96" s="56">
        <f t="shared" si="242"/>
        <v>1496.785977</v>
      </c>
      <c r="GQ96" s="56">
        <f t="shared" si="242"/>
        <v>1627.8124387500002</v>
      </c>
      <c r="GR96" s="56">
        <f t="shared" si="242"/>
        <v>1496.785977</v>
      </c>
      <c r="GW96" s="275">
        <v>8.1489999999999991</v>
      </c>
      <c r="GX96" s="275">
        <v>3.5792000000000002</v>
      </c>
      <c r="GY96" s="275">
        <v>0</v>
      </c>
      <c r="GZ96" s="275">
        <v>128.58330000000001</v>
      </c>
      <c r="HA96" s="275">
        <v>90.054199999999994</v>
      </c>
      <c r="HB96" s="49">
        <f t="shared" si="243"/>
        <v>5352.1817099999989</v>
      </c>
      <c r="HC96" s="49">
        <f t="shared" si="244"/>
        <v>4859.873552</v>
      </c>
      <c r="HD96" s="47">
        <f t="shared" si="245"/>
        <v>0</v>
      </c>
      <c r="HE96" s="47">
        <f t="shared" si="298"/>
        <v>0</v>
      </c>
      <c r="HF96" s="48">
        <f t="shared" si="299"/>
        <v>5352.1817099999989</v>
      </c>
      <c r="HG96" s="48">
        <f t="shared" si="300"/>
        <v>4859.873552</v>
      </c>
      <c r="HH96" s="93">
        <f t="shared" si="301"/>
        <v>5352.1817099999989</v>
      </c>
      <c r="HI96" s="93">
        <f t="shared" si="302"/>
        <v>4859.873552</v>
      </c>
      <c r="HJ96" s="298">
        <f t="shared" si="246"/>
        <v>0.5881118289405981</v>
      </c>
      <c r="HL96" s="275">
        <v>10.2453</v>
      </c>
      <c r="HM96" s="275">
        <v>6.3562000000000003</v>
      </c>
      <c r="HN96" s="275">
        <v>0</v>
      </c>
      <c r="HO96" s="275">
        <v>82.333299999999994</v>
      </c>
      <c r="HP96" s="275">
        <v>59.380800000000001</v>
      </c>
      <c r="HQ96" s="49">
        <f t="shared" si="247"/>
        <v>5446.9137449999998</v>
      </c>
      <c r="HR96" s="49">
        <f t="shared" si="248"/>
        <v>4929.4237860000003</v>
      </c>
      <c r="HS96" s="47">
        <f t="shared" si="249"/>
        <v>0</v>
      </c>
      <c r="HT96" s="47">
        <f t="shared" si="303"/>
        <v>0</v>
      </c>
      <c r="HU96" s="48">
        <f t="shared" si="304"/>
        <v>5446.9137449999998</v>
      </c>
      <c r="HV96" s="48">
        <f t="shared" si="305"/>
        <v>4929.4237860000003</v>
      </c>
      <c r="HW96" s="93">
        <f t="shared" si="306"/>
        <v>5446.9137449999998</v>
      </c>
      <c r="HX96" s="93">
        <f t="shared" si="307"/>
        <v>4929.4237860000003</v>
      </c>
      <c r="HY96" s="298">
        <f t="shared" si="250"/>
        <v>0.58098170894780399</v>
      </c>
    </row>
    <row r="97" spans="1:233" s="131" customFormat="1" x14ac:dyDescent="0.2">
      <c r="A97" s="118">
        <v>87</v>
      </c>
      <c r="B97" s="118"/>
      <c r="C97" s="275">
        <v>5.8391000000000002</v>
      </c>
      <c r="D97" s="275">
        <v>2.7919999999999998</v>
      </c>
      <c r="E97" s="275">
        <v>0</v>
      </c>
      <c r="F97" s="275">
        <v>862.65329999999994</v>
      </c>
      <c r="G97" s="275">
        <v>707.51</v>
      </c>
      <c r="H97" s="49">
        <f t="shared" si="218"/>
        <v>5775.1618550000003</v>
      </c>
      <c r="I97" s="49">
        <f t="shared" si="218"/>
        <v>5030.6814399999994</v>
      </c>
      <c r="J97" s="47">
        <f t="shared" si="218"/>
        <v>0</v>
      </c>
      <c r="K97" s="47">
        <f t="shared" si="251"/>
        <v>0</v>
      </c>
      <c r="L97" s="48">
        <f t="shared" si="252"/>
        <v>5775.1618550000003</v>
      </c>
      <c r="M97" s="48">
        <f t="shared" si="253"/>
        <v>5030.6814399999994</v>
      </c>
      <c r="N97" s="93">
        <f t="shared" si="254"/>
        <v>5775.1618550000003</v>
      </c>
      <c r="O97" s="93">
        <f t="shared" si="255"/>
        <v>5030.6814399999994</v>
      </c>
      <c r="P97" s="298">
        <f t="shared" si="219"/>
        <v>0.54940355566838173</v>
      </c>
      <c r="Q97" s="275">
        <v>9.3335000000000008</v>
      </c>
      <c r="R97" s="275">
        <v>4.1036999999999999</v>
      </c>
      <c r="S97" s="275">
        <v>0</v>
      </c>
      <c r="T97" s="275">
        <v>222.89250000000001</v>
      </c>
      <c r="U97" s="275">
        <v>199.9083</v>
      </c>
      <c r="V97" s="49">
        <f t="shared" si="220"/>
        <v>5721.3421650000009</v>
      </c>
      <c r="W97" s="49">
        <f t="shared" si="220"/>
        <v>4763.0004420000005</v>
      </c>
      <c r="X97" s="47">
        <f t="shared" si="220"/>
        <v>0</v>
      </c>
      <c r="Y97" s="47">
        <f t="shared" si="256"/>
        <v>0</v>
      </c>
      <c r="Z97" s="48">
        <f t="shared" si="257"/>
        <v>5721.3421650000009</v>
      </c>
      <c r="AA97" s="48">
        <f t="shared" si="258"/>
        <v>4763.0004420000005</v>
      </c>
      <c r="AB97" s="93">
        <f t="shared" si="259"/>
        <v>5721.3421650000009</v>
      </c>
      <c r="AC97" s="93">
        <f t="shared" si="260"/>
        <v>4763.0004420000005</v>
      </c>
      <c r="AD97" s="118"/>
      <c r="AE97" s="275">
        <v>12.729799999999999</v>
      </c>
      <c r="AF97" s="275">
        <v>4.5934999999999997</v>
      </c>
      <c r="AG97" s="275">
        <v>0</v>
      </c>
      <c r="AH97" s="275">
        <v>33.486699999999999</v>
      </c>
      <c r="AI97" s="275">
        <v>34.5</v>
      </c>
      <c r="AJ97" s="49">
        <f t="shared" si="221"/>
        <v>5968.6213259999995</v>
      </c>
      <c r="AK97" s="49">
        <f t="shared" si="221"/>
        <v>5221.7989299999999</v>
      </c>
      <c r="AL97" s="47">
        <f t="shared" si="221"/>
        <v>0</v>
      </c>
      <c r="AM97" s="47">
        <f t="shared" si="261"/>
        <v>0</v>
      </c>
      <c r="AN97" s="48">
        <f t="shared" si="262"/>
        <v>5968.6213259999995</v>
      </c>
      <c r="AO97" s="48">
        <f t="shared" si="263"/>
        <v>5221.7989299999999</v>
      </c>
      <c r="AP97" s="93">
        <f t="shared" si="264"/>
        <v>5968.6213259999995</v>
      </c>
      <c r="AQ97" s="93">
        <f t="shared" si="265"/>
        <v>5221.7989299999999</v>
      </c>
      <c r="AR97" s="118"/>
      <c r="AS97" s="275">
        <v>16.645499999999998</v>
      </c>
      <c r="AT97" s="275">
        <v>6.5448000000000004</v>
      </c>
      <c r="AU97" s="275">
        <v>0</v>
      </c>
      <c r="AV97" s="275">
        <v>1039.8867</v>
      </c>
      <c r="AW97" s="275">
        <v>853.45749999999998</v>
      </c>
      <c r="AX97" s="49">
        <f t="shared" si="222"/>
        <v>5800.1244749999996</v>
      </c>
      <c r="AY97" s="49">
        <f t="shared" si="222"/>
        <v>4580.5091760000005</v>
      </c>
      <c r="AZ97" s="47">
        <f t="shared" si="222"/>
        <v>0</v>
      </c>
      <c r="BA97" s="47">
        <f t="shared" si="266"/>
        <v>0</v>
      </c>
      <c r="BB97" s="48">
        <f t="shared" si="267"/>
        <v>5800.1244749999996</v>
      </c>
      <c r="BC97" s="48">
        <f t="shared" si="268"/>
        <v>4580.5091760000005</v>
      </c>
      <c r="BD97" s="93">
        <f t="shared" si="269"/>
        <v>5800.1244749999996</v>
      </c>
      <c r="BE97" s="93">
        <f t="shared" si="270"/>
        <v>4580.5091760000005</v>
      </c>
      <c r="BF97" s="118"/>
      <c r="BG97" s="275">
        <v>16.2133</v>
      </c>
      <c r="BH97" s="275">
        <v>7.1992000000000003</v>
      </c>
      <c r="BI97" s="275">
        <v>0</v>
      </c>
      <c r="BJ97" s="275">
        <v>652.31420000000003</v>
      </c>
      <c r="BK97" s="275">
        <v>572.04079999999999</v>
      </c>
      <c r="BL97" s="49">
        <f t="shared" si="223"/>
        <v>5483.6623260000006</v>
      </c>
      <c r="BM97" s="49">
        <f t="shared" si="223"/>
        <v>4308.4332320000003</v>
      </c>
      <c r="BN97" s="47">
        <f t="shared" si="223"/>
        <v>0</v>
      </c>
      <c r="BO97" s="47">
        <f t="shared" si="271"/>
        <v>0</v>
      </c>
      <c r="BP97" s="48">
        <f t="shared" si="272"/>
        <v>5483.6623260000006</v>
      </c>
      <c r="BQ97" s="48">
        <f t="shared" si="273"/>
        <v>4308.4332320000003</v>
      </c>
      <c r="BR97" s="93">
        <f t="shared" si="274"/>
        <v>5483.6623260000006</v>
      </c>
      <c r="BS97" s="93">
        <f t="shared" si="275"/>
        <v>4308.4332320000003</v>
      </c>
      <c r="BT97" s="118"/>
      <c r="BU97" s="275">
        <v>15.334099999999999</v>
      </c>
      <c r="BV97" s="275">
        <v>7.2171000000000003</v>
      </c>
      <c r="BW97" s="275">
        <v>0</v>
      </c>
      <c r="BX97" s="275">
        <v>441.71420000000001</v>
      </c>
      <c r="BY97" s="275">
        <v>361.10669999999999</v>
      </c>
      <c r="BZ97" s="49">
        <f t="shared" si="224"/>
        <v>3605.6602739999998</v>
      </c>
      <c r="CA97" s="49">
        <f t="shared" si="224"/>
        <v>2594.7639629999999</v>
      </c>
      <c r="CB97" s="47">
        <f t="shared" si="224"/>
        <v>0</v>
      </c>
      <c r="CC97" s="47">
        <f t="shared" si="276"/>
        <v>0</v>
      </c>
      <c r="CD97" s="48">
        <f t="shared" si="277"/>
        <v>3605.6602739999998</v>
      </c>
      <c r="CE97" s="48">
        <f t="shared" si="278"/>
        <v>2594.7639629999999</v>
      </c>
      <c r="CF97" s="93">
        <f t="shared" si="279"/>
        <v>3605.6602739999998</v>
      </c>
      <c r="CG97" s="93">
        <f t="shared" si="280"/>
        <v>2594.7639629999999</v>
      </c>
      <c r="CH97" s="118"/>
      <c r="CI97" s="275">
        <v>1.0374000000000001</v>
      </c>
      <c r="CJ97" s="275">
        <v>0.6724</v>
      </c>
      <c r="CK97" s="275">
        <v>0</v>
      </c>
      <c r="CL97" s="275">
        <v>1960.3616999999999</v>
      </c>
      <c r="CM97" s="275">
        <v>1643.6516999999999</v>
      </c>
      <c r="CN97" s="49">
        <f t="shared" si="225"/>
        <v>214.11936000000003</v>
      </c>
      <c r="CO97" s="49">
        <f t="shared" si="225"/>
        <v>180.082168</v>
      </c>
      <c r="CP97" s="47">
        <f t="shared" si="225"/>
        <v>0</v>
      </c>
      <c r="CQ97" s="47">
        <f t="shared" si="281"/>
        <v>0</v>
      </c>
      <c r="CR97" s="48">
        <f t="shared" si="282"/>
        <v>214.11936000000003</v>
      </c>
      <c r="CS97" s="48">
        <f t="shared" si="283"/>
        <v>180.082168</v>
      </c>
      <c r="CT97" s="93">
        <f t="shared" si="284"/>
        <v>214.11936000000003</v>
      </c>
      <c r="CU97" s="93">
        <f t="shared" si="285"/>
        <v>180.082168</v>
      </c>
      <c r="CV97" s="118"/>
      <c r="CW97" s="275">
        <v>2.2911999999999999</v>
      </c>
      <c r="CX97" s="275">
        <v>1.4621</v>
      </c>
      <c r="CY97" s="275">
        <v>0</v>
      </c>
      <c r="CZ97" s="275">
        <v>736.78499999999997</v>
      </c>
      <c r="DA97" s="275">
        <v>631.54669999999999</v>
      </c>
      <c r="DB97" s="49">
        <f t="shared" si="226"/>
        <v>475.63020799999998</v>
      </c>
      <c r="DC97" s="49">
        <f t="shared" si="226"/>
        <v>411.59577099999996</v>
      </c>
      <c r="DD97" s="47">
        <f t="shared" si="226"/>
        <v>0</v>
      </c>
      <c r="DE97" s="47">
        <f t="shared" si="286"/>
        <v>0</v>
      </c>
      <c r="DF97" s="48">
        <f t="shared" si="287"/>
        <v>475.63020799999998</v>
      </c>
      <c r="DG97" s="48">
        <f t="shared" si="288"/>
        <v>411.59577099999996</v>
      </c>
      <c r="DH97" s="93">
        <f t="shared" si="289"/>
        <v>475.63020799999998</v>
      </c>
      <c r="DI97" s="93">
        <f t="shared" si="290"/>
        <v>411.59577099999996</v>
      </c>
      <c r="DJ97" s="118"/>
      <c r="DK97" s="275">
        <v>2.8961999999999999</v>
      </c>
      <c r="DL97" s="275">
        <v>1.6614</v>
      </c>
      <c r="DM97" s="275">
        <v>0</v>
      </c>
      <c r="DN97" s="275">
        <v>475.32830000000001</v>
      </c>
      <c r="DO97" s="275">
        <v>439.5342</v>
      </c>
      <c r="DP97" s="49">
        <f t="shared" si="227"/>
        <v>394.57828799999999</v>
      </c>
      <c r="DQ97" s="49">
        <f t="shared" si="227"/>
        <v>327.810834</v>
      </c>
      <c r="DR97" s="47">
        <f t="shared" si="227"/>
        <v>0</v>
      </c>
      <c r="DS97" s="47">
        <f t="shared" si="291"/>
        <v>0</v>
      </c>
      <c r="DT97" s="48">
        <f t="shared" si="292"/>
        <v>394.57828799999999</v>
      </c>
      <c r="DU97" s="48">
        <f t="shared" si="293"/>
        <v>327.810834</v>
      </c>
      <c r="DV97" s="93">
        <f t="shared" si="294"/>
        <v>394.57828799999999</v>
      </c>
      <c r="DW97" s="93">
        <f t="shared" si="295"/>
        <v>327.810834</v>
      </c>
      <c r="DX97" s="118"/>
      <c r="DY97" s="118"/>
      <c r="DZ97" s="118"/>
      <c r="EB97" s="52"/>
      <c r="EC97" s="52"/>
      <c r="ED97" s="52"/>
      <c r="EE97" s="55">
        <f t="shared" si="296"/>
        <v>4599.6867000000002</v>
      </c>
      <c r="EF97" s="55">
        <f t="shared" si="296"/>
        <v>3836.1659</v>
      </c>
      <c r="EG97" s="55">
        <f t="shared" si="296"/>
        <v>12169.9098564</v>
      </c>
      <c r="EH97" s="55">
        <f t="shared" si="228"/>
        <v>10120.549400800001</v>
      </c>
      <c r="EI97" s="298">
        <f t="shared" si="229"/>
        <v>0.54525451286334714</v>
      </c>
      <c r="EJ97" s="52"/>
      <c r="EK97" s="55">
        <f t="shared" si="297"/>
        <v>12169.9098564</v>
      </c>
      <c r="EL97" s="55">
        <f t="shared" si="297"/>
        <v>10120.549400800001</v>
      </c>
      <c r="EM97" s="55">
        <f t="shared" si="297"/>
        <v>12169.9098564</v>
      </c>
      <c r="EN97" s="55">
        <f t="shared" si="297"/>
        <v>10120.549400800001</v>
      </c>
      <c r="EP97" s="52"/>
      <c r="EQ97" s="52"/>
      <c r="ER97" s="52"/>
      <c r="ES97" s="55">
        <f t="shared" si="230"/>
        <v>3572.3534</v>
      </c>
      <c r="ET97" s="55">
        <f t="shared" si="230"/>
        <v>3047.1475</v>
      </c>
      <c r="EU97" s="55">
        <f t="shared" si="230"/>
        <v>11752.064996600002</v>
      </c>
      <c r="EV97" s="55">
        <f t="shared" si="230"/>
        <v>9539.6328817000012</v>
      </c>
      <c r="EW97" s="298">
        <f t="shared" si="231"/>
        <v>0.53967111024941472</v>
      </c>
      <c r="EX97" s="52"/>
      <c r="EY97" s="55">
        <f t="shared" si="232"/>
        <v>11752.064996600002</v>
      </c>
      <c r="EZ97" s="55">
        <f t="shared" si="232"/>
        <v>9539.6328817000012</v>
      </c>
      <c r="FA97" s="55">
        <f t="shared" si="232"/>
        <v>11752.064996600002</v>
      </c>
      <c r="FB97" s="55">
        <f t="shared" si="232"/>
        <v>9539.6328817000012</v>
      </c>
      <c r="FD97" s="52"/>
      <c r="FE97" s="52"/>
      <c r="FF97" s="52"/>
      <c r="FG97" s="55">
        <f t="shared" si="233"/>
        <v>2910.8908999999999</v>
      </c>
      <c r="FH97" s="55">
        <f t="shared" si="233"/>
        <v>2478.7925999999998</v>
      </c>
      <c r="FI97" s="55">
        <f t="shared" si="233"/>
        <v>10025.147932799999</v>
      </c>
      <c r="FJ97" s="55">
        <f t="shared" si="233"/>
        <v>8193.3315614000003</v>
      </c>
      <c r="FK97" s="298">
        <f t="shared" si="234"/>
        <v>0.54008568406660618</v>
      </c>
      <c r="FL97" s="52"/>
      <c r="FM97" s="55">
        <f t="shared" si="235"/>
        <v>10025.147932799999</v>
      </c>
      <c r="FN97" s="55">
        <f t="shared" si="235"/>
        <v>8193.3315614000003</v>
      </c>
      <c r="FO97" s="55">
        <f t="shared" si="235"/>
        <v>10025.147932799999</v>
      </c>
      <c r="FP97" s="55">
        <f t="shared" si="235"/>
        <v>8193.3315614000003</v>
      </c>
      <c r="FR97" s="52"/>
      <c r="FS97" s="52"/>
      <c r="FT97" s="52"/>
      <c r="FU97" s="55">
        <f t="shared" si="236"/>
        <v>2697.1466999999998</v>
      </c>
      <c r="FV97" s="55">
        <f t="shared" si="236"/>
        <v>2275.1983999999998</v>
      </c>
      <c r="FW97" s="55">
        <f t="shared" si="236"/>
        <v>594.62352640000006</v>
      </c>
      <c r="FX97" s="55">
        <f t="shared" si="236"/>
        <v>509.35878479999997</v>
      </c>
      <c r="FY97" s="298">
        <f t="shared" si="237"/>
        <v>0.54242950675326218</v>
      </c>
      <c r="FZ97" s="52"/>
      <c r="GA97" s="55">
        <f t="shared" si="238"/>
        <v>594.62352640000006</v>
      </c>
      <c r="GB97" s="55">
        <f t="shared" si="238"/>
        <v>509.35878479999997</v>
      </c>
      <c r="GC97" s="55">
        <f t="shared" si="238"/>
        <v>594.62352640000006</v>
      </c>
      <c r="GD97" s="55">
        <f t="shared" si="238"/>
        <v>509.35878479999997</v>
      </c>
      <c r="GF97" s="52"/>
      <c r="GG97" s="52"/>
      <c r="GH97" s="52"/>
      <c r="GI97" s="55">
        <f t="shared" si="239"/>
        <v>1481.6008999999999</v>
      </c>
      <c r="GJ97" s="55">
        <f t="shared" si="239"/>
        <v>1214.5642</v>
      </c>
      <c r="GK97" s="56">
        <f t="shared" si="240"/>
        <v>1645.8481507499998</v>
      </c>
      <c r="GL97" s="56">
        <f t="shared" si="240"/>
        <v>1489.3089097500006</v>
      </c>
      <c r="GM97" s="298">
        <f t="shared" si="241"/>
        <v>0.54952157788853506</v>
      </c>
      <c r="GN97" s="52"/>
      <c r="GO97" s="56">
        <f t="shared" si="242"/>
        <v>1645.8481507499998</v>
      </c>
      <c r="GP97" s="56">
        <f t="shared" si="242"/>
        <v>1489.3089097500006</v>
      </c>
      <c r="GQ97" s="56">
        <f t="shared" si="242"/>
        <v>1645.8481507499998</v>
      </c>
      <c r="GR97" s="56">
        <f t="shared" si="242"/>
        <v>1489.3089097500006</v>
      </c>
      <c r="GW97" s="275">
        <v>8.2891999999999992</v>
      </c>
      <c r="GX97" s="275">
        <v>3.6372</v>
      </c>
      <c r="GY97" s="275">
        <v>0</v>
      </c>
      <c r="GZ97" s="275">
        <v>102.2025</v>
      </c>
      <c r="HA97" s="275">
        <v>78.475800000000007</v>
      </c>
      <c r="HB97" s="49">
        <f t="shared" si="243"/>
        <v>5444.2636679999996</v>
      </c>
      <c r="HC97" s="49">
        <f t="shared" si="244"/>
        <v>4938.6265320000002</v>
      </c>
      <c r="HD97" s="47">
        <f t="shared" si="245"/>
        <v>0</v>
      </c>
      <c r="HE97" s="47">
        <f t="shared" si="298"/>
        <v>0</v>
      </c>
      <c r="HF97" s="48">
        <f t="shared" si="299"/>
        <v>5444.2636679999996</v>
      </c>
      <c r="HG97" s="48">
        <f t="shared" si="300"/>
        <v>4938.6265320000002</v>
      </c>
      <c r="HH97" s="93">
        <f t="shared" si="301"/>
        <v>5444.2636679999996</v>
      </c>
      <c r="HI97" s="93">
        <f t="shared" si="302"/>
        <v>4938.6265320000002</v>
      </c>
      <c r="HJ97" s="298">
        <f t="shared" si="246"/>
        <v>0.56566007096591009</v>
      </c>
      <c r="HL97" s="275">
        <v>10.4434</v>
      </c>
      <c r="HM97" s="275">
        <v>6.4684999999999997</v>
      </c>
      <c r="HN97" s="275">
        <v>0</v>
      </c>
      <c r="HO97" s="275">
        <v>66.9833</v>
      </c>
      <c r="HP97" s="275">
        <v>62.729199999999999</v>
      </c>
      <c r="HQ97" s="49">
        <f t="shared" si="247"/>
        <v>5552.2336100000002</v>
      </c>
      <c r="HR97" s="49">
        <f t="shared" si="248"/>
        <v>5016.515805</v>
      </c>
      <c r="HS97" s="47">
        <f t="shared" si="249"/>
        <v>0</v>
      </c>
      <c r="HT97" s="47">
        <f t="shared" si="303"/>
        <v>0</v>
      </c>
      <c r="HU97" s="48">
        <f t="shared" si="304"/>
        <v>5552.2336100000002</v>
      </c>
      <c r="HV97" s="48">
        <f t="shared" si="305"/>
        <v>5016.515805</v>
      </c>
      <c r="HW97" s="93">
        <f t="shared" si="306"/>
        <v>5552.2336100000002</v>
      </c>
      <c r="HX97" s="93">
        <f t="shared" si="307"/>
        <v>5016.515805</v>
      </c>
      <c r="HY97" s="298">
        <f t="shared" si="250"/>
        <v>0.51639818830105033</v>
      </c>
    </row>
    <row r="98" spans="1:233" s="131" customFormat="1" x14ac:dyDescent="0.2">
      <c r="A98" s="118">
        <v>88</v>
      </c>
      <c r="B98" s="118"/>
      <c r="C98" s="275">
        <v>5.9107000000000003</v>
      </c>
      <c r="D98" s="275">
        <v>2.8170999999999999</v>
      </c>
      <c r="E98" s="275">
        <v>0</v>
      </c>
      <c r="F98" s="275">
        <v>674.78579999999999</v>
      </c>
      <c r="G98" s="275">
        <v>681.88499999999999</v>
      </c>
      <c r="H98" s="49">
        <f t="shared" si="218"/>
        <v>5845.9778349999997</v>
      </c>
      <c r="I98" s="49">
        <f t="shared" si="218"/>
        <v>5075.9071219999996</v>
      </c>
      <c r="J98" s="47">
        <f t="shared" si="218"/>
        <v>0</v>
      </c>
      <c r="K98" s="47">
        <f t="shared" si="251"/>
        <v>0</v>
      </c>
      <c r="L98" s="48">
        <f t="shared" si="252"/>
        <v>5845.9778349999997</v>
      </c>
      <c r="M98" s="48">
        <f t="shared" si="253"/>
        <v>5075.9071219999996</v>
      </c>
      <c r="N98" s="93">
        <f t="shared" si="254"/>
        <v>5845.9778349999997</v>
      </c>
      <c r="O98" s="93">
        <f t="shared" si="255"/>
        <v>5075.9071219999996</v>
      </c>
      <c r="P98" s="298">
        <f t="shared" si="219"/>
        <v>0.49738359519494341</v>
      </c>
      <c r="Q98" s="275">
        <v>9.4122000000000003</v>
      </c>
      <c r="R98" s="275">
        <v>4.1424000000000003</v>
      </c>
      <c r="S98" s="275">
        <v>0</v>
      </c>
      <c r="T98" s="275">
        <v>168.51750000000001</v>
      </c>
      <c r="U98" s="275">
        <v>183.73</v>
      </c>
      <c r="V98" s="49">
        <f t="shared" si="220"/>
        <v>5769.5844780000007</v>
      </c>
      <c r="W98" s="49">
        <f t="shared" si="220"/>
        <v>4807.9179840000006</v>
      </c>
      <c r="X98" s="47">
        <f t="shared" si="220"/>
        <v>0</v>
      </c>
      <c r="Y98" s="47">
        <f t="shared" si="256"/>
        <v>0</v>
      </c>
      <c r="Z98" s="48">
        <f t="shared" si="257"/>
        <v>5769.5844780000007</v>
      </c>
      <c r="AA98" s="48">
        <f t="shared" si="258"/>
        <v>4807.9179840000006</v>
      </c>
      <c r="AB98" s="93">
        <f t="shared" si="259"/>
        <v>5769.5844780000007</v>
      </c>
      <c r="AC98" s="93">
        <f t="shared" si="260"/>
        <v>4807.9179840000006</v>
      </c>
      <c r="AD98" s="118"/>
      <c r="AE98" s="275">
        <v>13.0396</v>
      </c>
      <c r="AF98" s="275">
        <v>4.6719999999999997</v>
      </c>
      <c r="AG98" s="275">
        <v>0</v>
      </c>
      <c r="AH98" s="275">
        <v>30.197500000000002</v>
      </c>
      <c r="AI98" s="275">
        <v>43.583300000000001</v>
      </c>
      <c r="AJ98" s="49">
        <f t="shared" si="221"/>
        <v>6113.8772520000002</v>
      </c>
      <c r="AK98" s="49">
        <f t="shared" si="221"/>
        <v>5311.0361599999997</v>
      </c>
      <c r="AL98" s="47">
        <f t="shared" si="221"/>
        <v>0</v>
      </c>
      <c r="AM98" s="47">
        <f t="shared" si="261"/>
        <v>0</v>
      </c>
      <c r="AN98" s="48">
        <f t="shared" si="262"/>
        <v>6113.8772520000002</v>
      </c>
      <c r="AO98" s="48">
        <f t="shared" si="263"/>
        <v>5311.0361599999997</v>
      </c>
      <c r="AP98" s="93">
        <f t="shared" si="264"/>
        <v>6113.8772520000002</v>
      </c>
      <c r="AQ98" s="93">
        <f t="shared" si="265"/>
        <v>5311.0361599999997</v>
      </c>
      <c r="AR98" s="118"/>
      <c r="AS98" s="275">
        <v>16.837</v>
      </c>
      <c r="AT98" s="275">
        <v>6.5448000000000004</v>
      </c>
      <c r="AU98" s="275">
        <v>0</v>
      </c>
      <c r="AV98" s="275">
        <v>776.62919999999997</v>
      </c>
      <c r="AW98" s="275">
        <v>813.30579999999998</v>
      </c>
      <c r="AX98" s="49">
        <f t="shared" si="222"/>
        <v>5866.8526499999998</v>
      </c>
      <c r="AY98" s="49">
        <f t="shared" si="222"/>
        <v>4580.5091760000005</v>
      </c>
      <c r="AZ98" s="47">
        <f t="shared" si="222"/>
        <v>0</v>
      </c>
      <c r="BA98" s="47">
        <f t="shared" si="266"/>
        <v>0</v>
      </c>
      <c r="BB98" s="48">
        <f t="shared" si="267"/>
        <v>5866.8526499999998</v>
      </c>
      <c r="BC98" s="48">
        <f t="shared" si="268"/>
        <v>4580.5091760000005</v>
      </c>
      <c r="BD98" s="93">
        <f t="shared" si="269"/>
        <v>5866.8526499999998</v>
      </c>
      <c r="BE98" s="93">
        <f t="shared" si="270"/>
        <v>4580.5091760000005</v>
      </c>
      <c r="BF98" s="118"/>
      <c r="BG98" s="275">
        <v>16.401800000000001</v>
      </c>
      <c r="BH98" s="275">
        <v>7.2607999999999997</v>
      </c>
      <c r="BI98" s="275">
        <v>0</v>
      </c>
      <c r="BJ98" s="275">
        <v>517.50750000000005</v>
      </c>
      <c r="BK98" s="275">
        <v>547.30499999999995</v>
      </c>
      <c r="BL98" s="49">
        <f t="shared" si="223"/>
        <v>5547.4167960000013</v>
      </c>
      <c r="BM98" s="49">
        <f t="shared" si="223"/>
        <v>4345.2983679999998</v>
      </c>
      <c r="BN98" s="47">
        <f t="shared" si="223"/>
        <v>0</v>
      </c>
      <c r="BO98" s="47">
        <f t="shared" si="271"/>
        <v>0</v>
      </c>
      <c r="BP98" s="48">
        <f t="shared" si="272"/>
        <v>5547.4167960000013</v>
      </c>
      <c r="BQ98" s="48">
        <f t="shared" si="273"/>
        <v>4345.2983679999998</v>
      </c>
      <c r="BR98" s="93">
        <f t="shared" si="274"/>
        <v>5547.4167960000013</v>
      </c>
      <c r="BS98" s="93">
        <f t="shared" si="275"/>
        <v>4345.2983679999998</v>
      </c>
      <c r="BT98" s="118"/>
      <c r="BU98" s="275">
        <v>15.5177</v>
      </c>
      <c r="BV98" s="275">
        <v>7.2657999999999996</v>
      </c>
      <c r="BW98" s="275">
        <v>0</v>
      </c>
      <c r="BX98" s="275">
        <v>340.82170000000002</v>
      </c>
      <c r="BY98" s="275">
        <v>269.60169999999999</v>
      </c>
      <c r="BZ98" s="49">
        <f t="shared" si="224"/>
        <v>3648.8319779999997</v>
      </c>
      <c r="CA98" s="49">
        <f t="shared" si="224"/>
        <v>2612.2730739999997</v>
      </c>
      <c r="CB98" s="47">
        <f t="shared" si="224"/>
        <v>0</v>
      </c>
      <c r="CC98" s="47">
        <f t="shared" si="276"/>
        <v>0</v>
      </c>
      <c r="CD98" s="48">
        <f t="shared" si="277"/>
        <v>3648.8319779999997</v>
      </c>
      <c r="CE98" s="48">
        <f t="shared" si="278"/>
        <v>2612.2730739999997</v>
      </c>
      <c r="CF98" s="93">
        <f t="shared" si="279"/>
        <v>3648.8319779999997</v>
      </c>
      <c r="CG98" s="93">
        <f t="shared" si="280"/>
        <v>2612.2730739999997</v>
      </c>
      <c r="CH98" s="118"/>
      <c r="CI98" s="275">
        <v>0.9849</v>
      </c>
      <c r="CJ98" s="275">
        <v>0.62519999999999998</v>
      </c>
      <c r="CK98" s="275">
        <v>0</v>
      </c>
      <c r="CL98" s="275">
        <v>1466.9349999999999</v>
      </c>
      <c r="CM98" s="275">
        <v>1502.1732999999999</v>
      </c>
      <c r="CN98" s="49">
        <f t="shared" si="225"/>
        <v>203.28336000000002</v>
      </c>
      <c r="CO98" s="49">
        <f t="shared" si="225"/>
        <v>167.44106399999998</v>
      </c>
      <c r="CP98" s="47">
        <f t="shared" si="225"/>
        <v>0</v>
      </c>
      <c r="CQ98" s="47">
        <f t="shared" si="281"/>
        <v>0</v>
      </c>
      <c r="CR98" s="48">
        <f t="shared" si="282"/>
        <v>203.28336000000002</v>
      </c>
      <c r="CS98" s="48">
        <f t="shared" si="283"/>
        <v>167.44106399999998</v>
      </c>
      <c r="CT98" s="93">
        <f t="shared" si="284"/>
        <v>203.28336000000002</v>
      </c>
      <c r="CU98" s="93">
        <f t="shared" si="285"/>
        <v>167.44106399999998</v>
      </c>
      <c r="CV98" s="118"/>
      <c r="CW98" s="275">
        <v>2.1774</v>
      </c>
      <c r="CX98" s="275">
        <v>1.375</v>
      </c>
      <c r="CY98" s="275">
        <v>0</v>
      </c>
      <c r="CZ98" s="275">
        <v>532.28830000000005</v>
      </c>
      <c r="DA98" s="275">
        <v>582.6508</v>
      </c>
      <c r="DB98" s="49">
        <f t="shared" si="226"/>
        <v>452.00646599999999</v>
      </c>
      <c r="DC98" s="49">
        <f t="shared" si="226"/>
        <v>387.07624999999996</v>
      </c>
      <c r="DD98" s="47">
        <f t="shared" si="226"/>
        <v>0</v>
      </c>
      <c r="DE98" s="47">
        <f t="shared" si="286"/>
        <v>0</v>
      </c>
      <c r="DF98" s="48">
        <f t="shared" si="287"/>
        <v>452.00646599999999</v>
      </c>
      <c r="DG98" s="48">
        <f t="shared" si="288"/>
        <v>387.07624999999996</v>
      </c>
      <c r="DH98" s="93">
        <f t="shared" si="289"/>
        <v>452.00646599999999</v>
      </c>
      <c r="DI98" s="93">
        <f t="shared" si="290"/>
        <v>387.07624999999996</v>
      </c>
      <c r="DJ98" s="118"/>
      <c r="DK98" s="275">
        <v>2.7856999999999998</v>
      </c>
      <c r="DL98" s="275">
        <v>1.5518000000000001</v>
      </c>
      <c r="DM98" s="275">
        <v>0</v>
      </c>
      <c r="DN98" s="275">
        <v>379.32</v>
      </c>
      <c r="DO98" s="275">
        <v>405.89920000000001</v>
      </c>
      <c r="DP98" s="49">
        <f t="shared" si="227"/>
        <v>379.52376800000002</v>
      </c>
      <c r="DQ98" s="49">
        <f t="shared" si="227"/>
        <v>306.18565799999999</v>
      </c>
      <c r="DR98" s="47">
        <f t="shared" si="227"/>
        <v>0</v>
      </c>
      <c r="DS98" s="47">
        <f t="shared" si="291"/>
        <v>0</v>
      </c>
      <c r="DT98" s="48">
        <f t="shared" si="292"/>
        <v>379.52376800000002</v>
      </c>
      <c r="DU98" s="48">
        <f t="shared" si="293"/>
        <v>306.18565799999999</v>
      </c>
      <c r="DV98" s="93">
        <f t="shared" si="294"/>
        <v>379.52376800000002</v>
      </c>
      <c r="DW98" s="93">
        <f t="shared" si="295"/>
        <v>306.18565799999999</v>
      </c>
      <c r="DX98" s="118"/>
      <c r="DY98" s="118"/>
      <c r="DZ98" s="118"/>
      <c r="EB98" s="52"/>
      <c r="EC98" s="52"/>
      <c r="ED98" s="52"/>
      <c r="EE98" s="55">
        <f t="shared" si="296"/>
        <v>3450.6383000000001</v>
      </c>
      <c r="EF98" s="55">
        <f t="shared" si="296"/>
        <v>3580.0148999999997</v>
      </c>
      <c r="EG98" s="55">
        <f t="shared" si="296"/>
        <v>12277.719017799998</v>
      </c>
      <c r="EH98" s="55">
        <f t="shared" si="228"/>
        <v>10133.518362000001</v>
      </c>
      <c r="EI98" s="298">
        <f t="shared" si="229"/>
        <v>0.49079910526663445</v>
      </c>
      <c r="EJ98" s="52"/>
      <c r="EK98" s="55">
        <f t="shared" si="297"/>
        <v>12277.719017799998</v>
      </c>
      <c r="EL98" s="55">
        <f t="shared" si="297"/>
        <v>10133.518362000001</v>
      </c>
      <c r="EM98" s="55">
        <f t="shared" si="297"/>
        <v>12277.719017799998</v>
      </c>
      <c r="EN98" s="55">
        <f t="shared" si="297"/>
        <v>10133.518362000001</v>
      </c>
      <c r="EP98" s="52"/>
      <c r="EQ98" s="52"/>
      <c r="ER98" s="52"/>
      <c r="ES98" s="55">
        <f t="shared" si="230"/>
        <v>2685.2483000000002</v>
      </c>
      <c r="ET98" s="55">
        <f t="shared" si="230"/>
        <v>2815.8590999999997</v>
      </c>
      <c r="EU98" s="55">
        <f t="shared" si="230"/>
        <v>11836.689160200001</v>
      </c>
      <c r="EV98" s="55">
        <f t="shared" si="230"/>
        <v>9591.6107909999992</v>
      </c>
      <c r="EW98" s="298">
        <f t="shared" si="231"/>
        <v>0.48812868114518182</v>
      </c>
      <c r="EX98" s="52"/>
      <c r="EY98" s="55">
        <f t="shared" si="232"/>
        <v>11836.689160200001</v>
      </c>
      <c r="EZ98" s="55">
        <f t="shared" si="232"/>
        <v>9591.6107909999992</v>
      </c>
      <c r="FA98" s="55">
        <f t="shared" si="232"/>
        <v>11836.689160200001</v>
      </c>
      <c r="FB98" s="55">
        <f t="shared" si="232"/>
        <v>9591.6107909999992</v>
      </c>
      <c r="FD98" s="52"/>
      <c r="FE98" s="52"/>
      <c r="FF98" s="52"/>
      <c r="FG98" s="55">
        <f t="shared" si="233"/>
        <v>2217.2741999999998</v>
      </c>
      <c r="FH98" s="55">
        <f t="shared" si="233"/>
        <v>2221.2574999999997</v>
      </c>
      <c r="FI98" s="55">
        <f t="shared" si="233"/>
        <v>10193.706850799999</v>
      </c>
      <c r="FJ98" s="55">
        <f t="shared" si="233"/>
        <v>8274.4616927999996</v>
      </c>
      <c r="FK98" s="298">
        <f t="shared" si="234"/>
        <v>0.49955128178987662</v>
      </c>
      <c r="FL98" s="52"/>
      <c r="FM98" s="55">
        <f t="shared" si="235"/>
        <v>10193.706850799999</v>
      </c>
      <c r="FN98" s="55">
        <f t="shared" si="235"/>
        <v>8274.4616927999996</v>
      </c>
      <c r="FO98" s="55">
        <f t="shared" si="235"/>
        <v>10193.706850799999</v>
      </c>
      <c r="FP98" s="55">
        <f t="shared" si="235"/>
        <v>8274.4616927999996</v>
      </c>
      <c r="FR98" s="52"/>
      <c r="FS98" s="52"/>
      <c r="FT98" s="52"/>
      <c r="FU98" s="55">
        <f t="shared" si="236"/>
        <v>1999.2233000000001</v>
      </c>
      <c r="FV98" s="55">
        <f t="shared" si="236"/>
        <v>2084.8240999999998</v>
      </c>
      <c r="FW98" s="55">
        <f t="shared" si="236"/>
        <v>564.88853280000001</v>
      </c>
      <c r="FX98" s="55">
        <f t="shared" si="236"/>
        <v>477.10206399999998</v>
      </c>
      <c r="FY98" s="298">
        <f t="shared" si="237"/>
        <v>0.48952010204386953</v>
      </c>
      <c r="FZ98" s="52"/>
      <c r="GA98" s="55">
        <f t="shared" si="238"/>
        <v>564.88853280000001</v>
      </c>
      <c r="GB98" s="55">
        <f t="shared" si="238"/>
        <v>477.10206399999998</v>
      </c>
      <c r="GC98" s="55">
        <f t="shared" si="238"/>
        <v>564.88853280000001</v>
      </c>
      <c r="GD98" s="55">
        <f t="shared" si="238"/>
        <v>477.10206399999998</v>
      </c>
      <c r="GF98" s="52"/>
      <c r="GG98" s="52"/>
      <c r="GH98" s="52"/>
      <c r="GI98" s="55">
        <f t="shared" si="239"/>
        <v>1117.4509</v>
      </c>
      <c r="GJ98" s="55">
        <f t="shared" si="239"/>
        <v>1082.9075</v>
      </c>
      <c r="GK98" s="56">
        <f t="shared" si="240"/>
        <v>1663.515504</v>
      </c>
      <c r="GL98" s="56">
        <f t="shared" si="240"/>
        <v>1476.1770765000006</v>
      </c>
      <c r="GM98" s="298">
        <f t="shared" si="241"/>
        <v>0.50784949397334544</v>
      </c>
      <c r="GN98" s="52"/>
      <c r="GO98" s="56">
        <f t="shared" si="242"/>
        <v>1663.515504</v>
      </c>
      <c r="GP98" s="56">
        <f t="shared" si="242"/>
        <v>1476.1770765000006</v>
      </c>
      <c r="GQ98" s="56">
        <f t="shared" si="242"/>
        <v>1663.515504</v>
      </c>
      <c r="GR98" s="56">
        <f t="shared" si="242"/>
        <v>1476.1770765000006</v>
      </c>
      <c r="GW98" s="275">
        <v>8.4159000000000006</v>
      </c>
      <c r="GX98" s="275">
        <v>3.6905000000000001</v>
      </c>
      <c r="GY98" s="275">
        <v>0</v>
      </c>
      <c r="GZ98" s="275">
        <v>73.053299999999993</v>
      </c>
      <c r="HA98" s="275">
        <v>72.844999999999999</v>
      </c>
      <c r="HB98" s="49">
        <f t="shared" si="243"/>
        <v>5527.4789609999998</v>
      </c>
      <c r="HC98" s="49">
        <f t="shared" si="244"/>
        <v>5010.997805</v>
      </c>
      <c r="HD98" s="47">
        <f t="shared" si="245"/>
        <v>0</v>
      </c>
      <c r="HE98" s="47">
        <f t="shared" si="298"/>
        <v>0</v>
      </c>
      <c r="HF98" s="48">
        <f t="shared" si="299"/>
        <v>5527.4789609999998</v>
      </c>
      <c r="HG98" s="48">
        <f t="shared" si="300"/>
        <v>5010.997805</v>
      </c>
      <c r="HH98" s="93">
        <f t="shared" si="301"/>
        <v>5527.4789609999998</v>
      </c>
      <c r="HI98" s="93">
        <f t="shared" si="302"/>
        <v>5010.997805</v>
      </c>
      <c r="HJ98" s="298">
        <f t="shared" si="246"/>
        <v>0.50071385341707197</v>
      </c>
      <c r="HL98" s="275">
        <v>10.637600000000001</v>
      </c>
      <c r="HM98" s="275">
        <v>6.5757000000000003</v>
      </c>
      <c r="HN98" s="275">
        <v>0</v>
      </c>
      <c r="HO98" s="275">
        <v>60.583300000000001</v>
      </c>
      <c r="HP98" s="275">
        <v>49.405799999999999</v>
      </c>
      <c r="HQ98" s="49">
        <f t="shared" si="247"/>
        <v>5655.4800400000004</v>
      </c>
      <c r="HR98" s="49">
        <f t="shared" si="248"/>
        <v>5099.6526210000002</v>
      </c>
      <c r="HS98" s="47">
        <f t="shared" si="249"/>
        <v>0</v>
      </c>
      <c r="HT98" s="47">
        <f t="shared" si="303"/>
        <v>0</v>
      </c>
      <c r="HU98" s="48">
        <f t="shared" si="304"/>
        <v>5655.4800400000004</v>
      </c>
      <c r="HV98" s="48">
        <f t="shared" si="305"/>
        <v>5099.6526210000002</v>
      </c>
      <c r="HW98" s="93">
        <f t="shared" si="306"/>
        <v>5655.4800400000004</v>
      </c>
      <c r="HX98" s="93">
        <f t="shared" si="307"/>
        <v>5099.6526210000002</v>
      </c>
      <c r="HY98" s="298">
        <f t="shared" si="250"/>
        <v>0.55081185317454184</v>
      </c>
    </row>
    <row r="99" spans="1:233" s="131" customFormat="1" x14ac:dyDescent="0.2">
      <c r="A99" s="118">
        <v>89</v>
      </c>
      <c r="B99" s="118"/>
      <c r="C99" s="275">
        <v>5.9802</v>
      </c>
      <c r="D99" s="275">
        <v>2.8405</v>
      </c>
      <c r="E99" s="275">
        <v>0</v>
      </c>
      <c r="F99" s="275">
        <v>543.27750000000003</v>
      </c>
      <c r="G99" s="275">
        <v>649.99080000000004</v>
      </c>
      <c r="H99" s="49">
        <f t="shared" si="218"/>
        <v>5914.7168099999999</v>
      </c>
      <c r="I99" s="49">
        <f t="shared" si="218"/>
        <v>5118.0697099999998</v>
      </c>
      <c r="J99" s="47">
        <f t="shared" si="218"/>
        <v>0</v>
      </c>
      <c r="K99" s="47">
        <f t="shared" si="251"/>
        <v>0</v>
      </c>
      <c r="L99" s="48">
        <f t="shared" si="252"/>
        <v>5914.7168099999999</v>
      </c>
      <c r="M99" s="48">
        <f t="shared" si="253"/>
        <v>5118.0697099999998</v>
      </c>
      <c r="N99" s="93">
        <f t="shared" si="254"/>
        <v>5914.7168099999999</v>
      </c>
      <c r="O99" s="93">
        <f t="shared" si="255"/>
        <v>5118.0697099999998</v>
      </c>
      <c r="P99" s="298">
        <f t="shared" si="219"/>
        <v>0.45528528663671025</v>
      </c>
      <c r="Q99" s="275">
        <v>9.4702000000000002</v>
      </c>
      <c r="R99" s="275">
        <v>4.1787999999999998</v>
      </c>
      <c r="S99" s="275">
        <v>0</v>
      </c>
      <c r="T99" s="275">
        <v>142.2817</v>
      </c>
      <c r="U99" s="275">
        <v>164.5675</v>
      </c>
      <c r="V99" s="49">
        <f t="shared" si="220"/>
        <v>5805.137898</v>
      </c>
      <c r="W99" s="49">
        <f t="shared" si="220"/>
        <v>4850.1660080000001</v>
      </c>
      <c r="X99" s="47">
        <f t="shared" si="220"/>
        <v>0</v>
      </c>
      <c r="Y99" s="47">
        <f t="shared" si="256"/>
        <v>0</v>
      </c>
      <c r="Z99" s="48">
        <f t="shared" si="257"/>
        <v>5805.137898</v>
      </c>
      <c r="AA99" s="48">
        <f t="shared" si="258"/>
        <v>4850.1660080000001</v>
      </c>
      <c r="AB99" s="93">
        <f t="shared" si="259"/>
        <v>5805.137898</v>
      </c>
      <c r="AC99" s="93">
        <f t="shared" si="260"/>
        <v>4850.1660080000001</v>
      </c>
      <c r="AD99" s="118"/>
      <c r="AE99" s="275">
        <v>13.3116</v>
      </c>
      <c r="AF99" s="275">
        <v>4.7451999999999996</v>
      </c>
      <c r="AG99" s="275">
        <v>0</v>
      </c>
      <c r="AH99" s="275">
        <v>35.385800000000003</v>
      </c>
      <c r="AI99" s="275">
        <v>33.984999999999999</v>
      </c>
      <c r="AJ99" s="49">
        <f t="shared" si="221"/>
        <v>6241.4098920000006</v>
      </c>
      <c r="AK99" s="49">
        <f t="shared" si="221"/>
        <v>5394.2484559999994</v>
      </c>
      <c r="AL99" s="47">
        <f t="shared" si="221"/>
        <v>0</v>
      </c>
      <c r="AM99" s="47">
        <f t="shared" si="261"/>
        <v>0</v>
      </c>
      <c r="AN99" s="48">
        <f t="shared" si="262"/>
        <v>6241.4098920000006</v>
      </c>
      <c r="AO99" s="48">
        <f t="shared" si="263"/>
        <v>5394.2484559999994</v>
      </c>
      <c r="AP99" s="93">
        <f t="shared" si="264"/>
        <v>6241.4098920000006</v>
      </c>
      <c r="AQ99" s="93">
        <f t="shared" si="265"/>
        <v>5394.2484559999994</v>
      </c>
      <c r="AR99" s="118"/>
      <c r="AS99" s="275">
        <v>17.0059</v>
      </c>
      <c r="AT99" s="275">
        <v>6.5448000000000004</v>
      </c>
      <c r="AU99" s="275">
        <v>0</v>
      </c>
      <c r="AV99" s="275">
        <v>688.46579999999994</v>
      </c>
      <c r="AW99" s="275">
        <v>776.43830000000003</v>
      </c>
      <c r="AX99" s="49">
        <f t="shared" si="222"/>
        <v>5925.7058550000002</v>
      </c>
      <c r="AY99" s="49">
        <f t="shared" si="222"/>
        <v>4580.5091760000005</v>
      </c>
      <c r="AZ99" s="47">
        <f t="shared" si="222"/>
        <v>0</v>
      </c>
      <c r="BA99" s="47">
        <f t="shared" si="266"/>
        <v>0</v>
      </c>
      <c r="BB99" s="48">
        <f t="shared" si="267"/>
        <v>5925.7058550000002</v>
      </c>
      <c r="BC99" s="48">
        <f t="shared" si="268"/>
        <v>4580.5091760000005</v>
      </c>
      <c r="BD99" s="93">
        <f t="shared" si="269"/>
        <v>5925.7058550000002</v>
      </c>
      <c r="BE99" s="93">
        <f t="shared" si="270"/>
        <v>4580.5091760000005</v>
      </c>
      <c r="BF99" s="118"/>
      <c r="BG99" s="275">
        <v>16.552800000000001</v>
      </c>
      <c r="BH99" s="275">
        <v>7.2881</v>
      </c>
      <c r="BI99" s="275">
        <v>0</v>
      </c>
      <c r="BJ99" s="275">
        <v>443.76330000000002</v>
      </c>
      <c r="BK99" s="275">
        <v>487.8725</v>
      </c>
      <c r="BL99" s="49">
        <f t="shared" si="223"/>
        <v>5598.4880160000012</v>
      </c>
      <c r="BM99" s="49">
        <f t="shared" si="223"/>
        <v>4361.6363259999998</v>
      </c>
      <c r="BN99" s="47">
        <f t="shared" si="223"/>
        <v>0</v>
      </c>
      <c r="BO99" s="47">
        <f t="shared" si="271"/>
        <v>0</v>
      </c>
      <c r="BP99" s="48">
        <f t="shared" si="272"/>
        <v>5598.4880160000012</v>
      </c>
      <c r="BQ99" s="48">
        <f t="shared" si="273"/>
        <v>4361.6363259999998</v>
      </c>
      <c r="BR99" s="93">
        <f t="shared" si="274"/>
        <v>5598.4880160000012</v>
      </c>
      <c r="BS99" s="93">
        <f t="shared" si="275"/>
        <v>4361.6363259999998</v>
      </c>
      <c r="BT99" s="118"/>
      <c r="BU99" s="275">
        <v>15.6465</v>
      </c>
      <c r="BV99" s="275">
        <v>7.2925000000000004</v>
      </c>
      <c r="BW99" s="275">
        <v>0</v>
      </c>
      <c r="BX99" s="275">
        <v>310.76499999999999</v>
      </c>
      <c r="BY99" s="275">
        <v>315.68329999999997</v>
      </c>
      <c r="BZ99" s="49">
        <f t="shared" si="224"/>
        <v>3679.1180099999997</v>
      </c>
      <c r="CA99" s="49">
        <f t="shared" si="224"/>
        <v>2621.8725249999998</v>
      </c>
      <c r="CB99" s="47">
        <f t="shared" si="224"/>
        <v>0</v>
      </c>
      <c r="CC99" s="47">
        <f t="shared" si="276"/>
        <v>0</v>
      </c>
      <c r="CD99" s="48">
        <f t="shared" si="277"/>
        <v>3679.1180099999997</v>
      </c>
      <c r="CE99" s="48">
        <f t="shared" si="278"/>
        <v>2621.8725249999998</v>
      </c>
      <c r="CF99" s="93">
        <f t="shared" si="279"/>
        <v>3679.1180099999997</v>
      </c>
      <c r="CG99" s="93">
        <f t="shared" si="280"/>
        <v>2621.8725249999998</v>
      </c>
      <c r="CH99" s="118"/>
      <c r="CI99" s="275">
        <v>0.93430000000000002</v>
      </c>
      <c r="CJ99" s="275">
        <v>0.58130000000000004</v>
      </c>
      <c r="CK99" s="275">
        <v>0</v>
      </c>
      <c r="CL99" s="275">
        <v>1297.3892000000001</v>
      </c>
      <c r="CM99" s="275">
        <v>1423.7217000000001</v>
      </c>
      <c r="CN99" s="49">
        <f t="shared" si="225"/>
        <v>192.83952000000002</v>
      </c>
      <c r="CO99" s="49">
        <f t="shared" si="225"/>
        <v>155.68376600000002</v>
      </c>
      <c r="CP99" s="47">
        <f t="shared" si="225"/>
        <v>0</v>
      </c>
      <c r="CQ99" s="47">
        <f t="shared" si="281"/>
        <v>0</v>
      </c>
      <c r="CR99" s="48">
        <f t="shared" si="282"/>
        <v>192.83952000000002</v>
      </c>
      <c r="CS99" s="48">
        <f t="shared" si="283"/>
        <v>155.68376600000002</v>
      </c>
      <c r="CT99" s="93">
        <f t="shared" si="284"/>
        <v>192.83952000000002</v>
      </c>
      <c r="CU99" s="93">
        <f t="shared" si="285"/>
        <v>155.68376600000002</v>
      </c>
      <c r="CV99" s="118"/>
      <c r="CW99" s="275">
        <v>2.0604</v>
      </c>
      <c r="CX99" s="275">
        <v>1.2887</v>
      </c>
      <c r="CY99" s="275">
        <v>0</v>
      </c>
      <c r="CZ99" s="275">
        <v>497.64170000000001</v>
      </c>
      <c r="DA99" s="275">
        <v>570.26670000000001</v>
      </c>
      <c r="DB99" s="49">
        <f t="shared" si="226"/>
        <v>427.718436</v>
      </c>
      <c r="DC99" s="49">
        <f t="shared" si="226"/>
        <v>362.78193699999997</v>
      </c>
      <c r="DD99" s="47">
        <f t="shared" si="226"/>
        <v>0</v>
      </c>
      <c r="DE99" s="47">
        <f t="shared" si="286"/>
        <v>0</v>
      </c>
      <c r="DF99" s="48">
        <f t="shared" si="287"/>
        <v>427.718436</v>
      </c>
      <c r="DG99" s="48">
        <f t="shared" si="288"/>
        <v>362.78193699999997</v>
      </c>
      <c r="DH99" s="93">
        <f t="shared" si="289"/>
        <v>427.718436</v>
      </c>
      <c r="DI99" s="93">
        <f t="shared" si="290"/>
        <v>362.78193699999997</v>
      </c>
      <c r="DJ99" s="118"/>
      <c r="DK99" s="275">
        <v>2.6684999999999999</v>
      </c>
      <c r="DL99" s="275">
        <v>1.4428000000000001</v>
      </c>
      <c r="DM99" s="275">
        <v>0</v>
      </c>
      <c r="DN99" s="275">
        <v>384.30419999999998</v>
      </c>
      <c r="DO99" s="275">
        <v>362.33749999999998</v>
      </c>
      <c r="DP99" s="49">
        <f t="shared" si="227"/>
        <v>363.55644000000001</v>
      </c>
      <c r="DQ99" s="49">
        <f t="shared" si="227"/>
        <v>284.67886800000002</v>
      </c>
      <c r="DR99" s="47">
        <f t="shared" si="227"/>
        <v>0</v>
      </c>
      <c r="DS99" s="47">
        <f t="shared" si="291"/>
        <v>0</v>
      </c>
      <c r="DT99" s="48">
        <f t="shared" si="292"/>
        <v>363.55644000000001</v>
      </c>
      <c r="DU99" s="48">
        <f t="shared" si="293"/>
        <v>284.67886800000002</v>
      </c>
      <c r="DV99" s="93">
        <f t="shared" si="294"/>
        <v>363.55644000000001</v>
      </c>
      <c r="DW99" s="93">
        <f t="shared" si="295"/>
        <v>284.67886800000002</v>
      </c>
      <c r="DX99" s="118"/>
      <c r="DY99" s="118"/>
      <c r="DZ99" s="118"/>
      <c r="EB99" s="52"/>
      <c r="EC99" s="52"/>
      <c r="ED99" s="52"/>
      <c r="EE99" s="55">
        <f t="shared" si="296"/>
        <v>3026.7742000000003</v>
      </c>
      <c r="EF99" s="55">
        <f t="shared" si="296"/>
        <v>3420.4175000000005</v>
      </c>
      <c r="EG99" s="55">
        <f t="shared" si="296"/>
        <v>12375.4369338</v>
      </c>
      <c r="EH99" s="55">
        <f t="shared" si="228"/>
        <v>10144.488201599999</v>
      </c>
      <c r="EI99" s="298">
        <f t="shared" si="229"/>
        <v>0.46947172363433831</v>
      </c>
      <c r="EJ99" s="52"/>
      <c r="EK99" s="55">
        <f t="shared" si="297"/>
        <v>12375.4369338</v>
      </c>
      <c r="EL99" s="55">
        <f t="shared" si="297"/>
        <v>10144.488201599999</v>
      </c>
      <c r="EM99" s="55">
        <f t="shared" si="297"/>
        <v>12375.4369338</v>
      </c>
      <c r="EN99" s="55">
        <f t="shared" si="297"/>
        <v>10144.488201599999</v>
      </c>
      <c r="EP99" s="52"/>
      <c r="EQ99" s="52"/>
      <c r="ER99" s="52"/>
      <c r="ES99" s="55">
        <f t="shared" si="230"/>
        <v>2381.0759000000003</v>
      </c>
      <c r="ET99" s="55">
        <f t="shared" si="230"/>
        <v>2646.4284000000002</v>
      </c>
      <c r="EU99" s="55">
        <f t="shared" si="230"/>
        <v>11895.8683392</v>
      </c>
      <c r="EV99" s="55">
        <f t="shared" si="230"/>
        <v>9621.4334558999999</v>
      </c>
      <c r="EW99" s="298">
        <f t="shared" si="231"/>
        <v>0.47360991814566922</v>
      </c>
      <c r="EX99" s="52"/>
      <c r="EY99" s="55">
        <f t="shared" si="232"/>
        <v>11895.8683392</v>
      </c>
      <c r="EZ99" s="55">
        <f t="shared" si="232"/>
        <v>9621.4334558999999</v>
      </c>
      <c r="FA99" s="55">
        <f t="shared" si="232"/>
        <v>11895.8683392</v>
      </c>
      <c r="FB99" s="55">
        <f t="shared" si="232"/>
        <v>9621.4334558999999</v>
      </c>
      <c r="FD99" s="52"/>
      <c r="FE99" s="52"/>
      <c r="FF99" s="52"/>
      <c r="FG99" s="55">
        <f t="shared" si="233"/>
        <v>2027.8442</v>
      </c>
      <c r="FH99" s="55">
        <f t="shared" si="233"/>
        <v>2135.7275</v>
      </c>
      <c r="FI99" s="55">
        <f t="shared" si="233"/>
        <v>10331.501285999999</v>
      </c>
      <c r="FJ99" s="55">
        <f t="shared" si="233"/>
        <v>8342.6120677999988</v>
      </c>
      <c r="FK99" s="298">
        <f t="shared" si="234"/>
        <v>0.48704438066960631</v>
      </c>
      <c r="FL99" s="52"/>
      <c r="FM99" s="55">
        <f t="shared" si="235"/>
        <v>10331.501285999999</v>
      </c>
      <c r="FN99" s="55">
        <f t="shared" si="235"/>
        <v>8342.6120677999988</v>
      </c>
      <c r="FO99" s="55">
        <f t="shared" si="235"/>
        <v>10331.501285999999</v>
      </c>
      <c r="FP99" s="55">
        <f t="shared" si="235"/>
        <v>8342.6120677999988</v>
      </c>
      <c r="FR99" s="52"/>
      <c r="FS99" s="52"/>
      <c r="FT99" s="52"/>
      <c r="FU99" s="55">
        <f t="shared" si="236"/>
        <v>1795.0309000000002</v>
      </c>
      <c r="FV99" s="55">
        <f t="shared" si="236"/>
        <v>1993.9884000000002</v>
      </c>
      <c r="FW99" s="55">
        <f t="shared" si="236"/>
        <v>535.01426880000008</v>
      </c>
      <c r="FX99" s="55">
        <f t="shared" si="236"/>
        <v>445.90931560000001</v>
      </c>
      <c r="FY99" s="298">
        <f t="shared" si="237"/>
        <v>0.47374551509938206</v>
      </c>
      <c r="FZ99" s="52"/>
      <c r="GA99" s="55">
        <f t="shared" si="238"/>
        <v>535.01426880000008</v>
      </c>
      <c r="GB99" s="55">
        <f t="shared" si="238"/>
        <v>445.90931560000001</v>
      </c>
      <c r="GC99" s="55">
        <f t="shared" si="238"/>
        <v>535.01426880000008</v>
      </c>
      <c r="GD99" s="55">
        <f t="shared" si="238"/>
        <v>445.90931560000001</v>
      </c>
      <c r="GF99" s="52"/>
      <c r="GG99" s="52"/>
      <c r="GH99" s="52"/>
      <c r="GI99" s="55">
        <f t="shared" si="239"/>
        <v>999.23079999999993</v>
      </c>
      <c r="GJ99" s="55">
        <f t="shared" si="239"/>
        <v>1092.1215999999999</v>
      </c>
      <c r="GK99" s="56">
        <f t="shared" si="240"/>
        <v>1684.9408837500005</v>
      </c>
      <c r="GL99" s="56">
        <f t="shared" si="240"/>
        <v>1468.9774882500005</v>
      </c>
      <c r="GM99" s="298">
        <f t="shared" si="241"/>
        <v>0.47779169115640197</v>
      </c>
      <c r="GN99" s="52"/>
      <c r="GO99" s="56">
        <f t="shared" si="242"/>
        <v>1684.9408837500005</v>
      </c>
      <c r="GP99" s="56">
        <f t="shared" si="242"/>
        <v>1468.9774882500005</v>
      </c>
      <c r="GQ99" s="56">
        <f t="shared" si="242"/>
        <v>1684.9408837500005</v>
      </c>
      <c r="GR99" s="56">
        <f t="shared" si="242"/>
        <v>1468.9774882500005</v>
      </c>
      <c r="GW99" s="275">
        <v>8.5326000000000004</v>
      </c>
      <c r="GX99" s="275">
        <v>3.7399</v>
      </c>
      <c r="GY99" s="275">
        <v>0</v>
      </c>
      <c r="GZ99" s="275">
        <v>66.907499999999999</v>
      </c>
      <c r="HA99" s="275">
        <v>57.365000000000002</v>
      </c>
      <c r="HB99" s="49">
        <f t="shared" si="243"/>
        <v>5604.126354</v>
      </c>
      <c r="HC99" s="49">
        <f t="shared" si="244"/>
        <v>5078.0736189999998</v>
      </c>
      <c r="HD99" s="47">
        <f t="shared" si="245"/>
        <v>0</v>
      </c>
      <c r="HE99" s="47">
        <f t="shared" si="298"/>
        <v>0</v>
      </c>
      <c r="HF99" s="48">
        <f t="shared" si="299"/>
        <v>5604.126354</v>
      </c>
      <c r="HG99" s="48">
        <f t="shared" si="300"/>
        <v>5078.0736189999998</v>
      </c>
      <c r="HH99" s="93">
        <f t="shared" si="301"/>
        <v>5604.126354</v>
      </c>
      <c r="HI99" s="93">
        <f t="shared" si="302"/>
        <v>5078.0736189999998</v>
      </c>
      <c r="HJ99" s="298">
        <f t="shared" si="246"/>
        <v>0.53839344987829163</v>
      </c>
      <c r="HL99" s="275">
        <v>10.829000000000001</v>
      </c>
      <c r="HM99" s="275">
        <v>6.6772999999999998</v>
      </c>
      <c r="HN99" s="275">
        <v>0</v>
      </c>
      <c r="HO99" s="275">
        <v>34.349200000000003</v>
      </c>
      <c r="HP99" s="275">
        <v>46.526699999999998</v>
      </c>
      <c r="HQ99" s="49">
        <f t="shared" si="247"/>
        <v>5757.2378500000004</v>
      </c>
      <c r="HR99" s="49">
        <f t="shared" si="248"/>
        <v>5178.4464689999995</v>
      </c>
      <c r="HS99" s="47">
        <f t="shared" si="249"/>
        <v>0</v>
      </c>
      <c r="HT99" s="47">
        <f t="shared" si="303"/>
        <v>0</v>
      </c>
      <c r="HU99" s="48">
        <f t="shared" si="304"/>
        <v>5757.2378500000004</v>
      </c>
      <c r="HV99" s="48">
        <f t="shared" si="305"/>
        <v>5178.4464689999995</v>
      </c>
      <c r="HW99" s="93">
        <f t="shared" si="306"/>
        <v>5757.2378500000004</v>
      </c>
      <c r="HX99" s="93">
        <f t="shared" si="307"/>
        <v>5178.4464689999995</v>
      </c>
      <c r="HY99" s="298">
        <f t="shared" si="250"/>
        <v>0.42471490270896523</v>
      </c>
    </row>
    <row r="100" spans="1:233" s="131" customFormat="1" x14ac:dyDescent="0.2">
      <c r="A100" s="118">
        <v>90</v>
      </c>
      <c r="B100" s="118"/>
      <c r="C100" s="275">
        <v>6.0483000000000002</v>
      </c>
      <c r="D100" s="275">
        <v>2.8624000000000001</v>
      </c>
      <c r="E100" s="275">
        <v>0</v>
      </c>
      <c r="F100" s="275">
        <v>451.23669999999998</v>
      </c>
      <c r="G100" s="275">
        <v>581.90750000000003</v>
      </c>
      <c r="H100" s="49">
        <f t="shared" si="218"/>
        <v>5982.0711149999997</v>
      </c>
      <c r="I100" s="49">
        <f t="shared" si="218"/>
        <v>5157.5295679999999</v>
      </c>
      <c r="J100" s="47">
        <f t="shared" si="218"/>
        <v>0</v>
      </c>
      <c r="K100" s="47">
        <f t="shared" si="251"/>
        <v>0</v>
      </c>
      <c r="L100" s="48">
        <f t="shared" si="252"/>
        <v>5982.0711149999997</v>
      </c>
      <c r="M100" s="48">
        <f t="shared" si="253"/>
        <v>5157.5295679999999</v>
      </c>
      <c r="N100" s="93">
        <f t="shared" si="254"/>
        <v>5982.0711149999997</v>
      </c>
      <c r="O100" s="93">
        <f t="shared" si="255"/>
        <v>5157.5295679999999</v>
      </c>
      <c r="P100" s="298">
        <f t="shared" si="219"/>
        <v>0.43676061870162947</v>
      </c>
      <c r="Q100" s="275">
        <v>9.5132999999999992</v>
      </c>
      <c r="R100" s="275">
        <v>4.2126999999999999</v>
      </c>
      <c r="S100" s="275">
        <v>0</v>
      </c>
      <c r="T100" s="275">
        <v>136.64750000000001</v>
      </c>
      <c r="U100" s="275">
        <v>130.6267</v>
      </c>
      <c r="V100" s="49">
        <f t="shared" si="220"/>
        <v>5831.5577669999993</v>
      </c>
      <c r="W100" s="49">
        <f t="shared" si="220"/>
        <v>4889.5123819999999</v>
      </c>
      <c r="X100" s="47">
        <f t="shared" si="220"/>
        <v>0</v>
      </c>
      <c r="Y100" s="47">
        <f t="shared" si="256"/>
        <v>0</v>
      </c>
      <c r="Z100" s="48">
        <f t="shared" si="257"/>
        <v>5831.5577669999993</v>
      </c>
      <c r="AA100" s="48">
        <f t="shared" si="258"/>
        <v>4889.5123819999999</v>
      </c>
      <c r="AB100" s="93">
        <f t="shared" si="259"/>
        <v>5831.5577669999993</v>
      </c>
      <c r="AC100" s="93">
        <f t="shared" si="260"/>
        <v>4889.5123819999999</v>
      </c>
      <c r="AD100" s="118"/>
      <c r="AE100" s="275">
        <v>13.552300000000001</v>
      </c>
      <c r="AF100" s="275">
        <v>4.8131000000000004</v>
      </c>
      <c r="AG100" s="275">
        <v>0</v>
      </c>
      <c r="AH100" s="275">
        <v>24.921700000000001</v>
      </c>
      <c r="AI100" s="275">
        <v>21.75</v>
      </c>
      <c r="AJ100" s="49">
        <f t="shared" si="221"/>
        <v>6354.266901</v>
      </c>
      <c r="AK100" s="49">
        <f t="shared" si="221"/>
        <v>5471.4358179999999</v>
      </c>
      <c r="AL100" s="47">
        <f t="shared" si="221"/>
        <v>0</v>
      </c>
      <c r="AM100" s="47">
        <f t="shared" si="261"/>
        <v>0</v>
      </c>
      <c r="AN100" s="48">
        <f t="shared" si="262"/>
        <v>6354.266901</v>
      </c>
      <c r="AO100" s="48">
        <f t="shared" si="263"/>
        <v>5471.4358179999999</v>
      </c>
      <c r="AP100" s="93">
        <f t="shared" si="264"/>
        <v>6354.266901</v>
      </c>
      <c r="AQ100" s="93">
        <f t="shared" si="265"/>
        <v>5471.4358179999999</v>
      </c>
      <c r="AR100" s="118"/>
      <c r="AS100" s="275">
        <v>17.158999999999999</v>
      </c>
      <c r="AT100" s="275">
        <v>6.5448000000000004</v>
      </c>
      <c r="AU100" s="275">
        <v>0</v>
      </c>
      <c r="AV100" s="275">
        <v>569.38829999999996</v>
      </c>
      <c r="AW100" s="275">
        <v>649.43420000000003</v>
      </c>
      <c r="AX100" s="49">
        <f t="shared" si="222"/>
        <v>5979.0535499999996</v>
      </c>
      <c r="AY100" s="49">
        <f t="shared" si="222"/>
        <v>4580.5091760000005</v>
      </c>
      <c r="AZ100" s="47">
        <f t="shared" si="222"/>
        <v>0</v>
      </c>
      <c r="BA100" s="47">
        <f t="shared" si="266"/>
        <v>0</v>
      </c>
      <c r="BB100" s="48">
        <f t="shared" si="267"/>
        <v>5979.0535499999996</v>
      </c>
      <c r="BC100" s="48">
        <f t="shared" si="268"/>
        <v>4580.5091760000005</v>
      </c>
      <c r="BD100" s="93">
        <f t="shared" si="269"/>
        <v>5979.0535499999996</v>
      </c>
      <c r="BE100" s="93">
        <f t="shared" si="270"/>
        <v>4580.5091760000005</v>
      </c>
      <c r="BF100" s="118"/>
      <c r="BG100" s="275">
        <v>16.674700000000001</v>
      </c>
      <c r="BH100" s="275">
        <v>7.2881</v>
      </c>
      <c r="BI100" s="275">
        <v>0</v>
      </c>
      <c r="BJ100" s="275">
        <v>356.03250000000003</v>
      </c>
      <c r="BK100" s="275">
        <v>477.05579999999998</v>
      </c>
      <c r="BL100" s="49">
        <f t="shared" si="223"/>
        <v>5639.7170340000011</v>
      </c>
      <c r="BM100" s="49">
        <f t="shared" si="223"/>
        <v>4361.6363259999998</v>
      </c>
      <c r="BN100" s="47">
        <f t="shared" si="223"/>
        <v>0</v>
      </c>
      <c r="BO100" s="47">
        <f t="shared" si="271"/>
        <v>0</v>
      </c>
      <c r="BP100" s="48">
        <f t="shared" si="272"/>
        <v>5639.7170340000011</v>
      </c>
      <c r="BQ100" s="48">
        <f t="shared" si="273"/>
        <v>4361.6363259999998</v>
      </c>
      <c r="BR100" s="93">
        <f t="shared" si="274"/>
        <v>5639.7170340000011</v>
      </c>
      <c r="BS100" s="93">
        <f t="shared" si="275"/>
        <v>4361.6363259999998</v>
      </c>
      <c r="BT100" s="118"/>
      <c r="BU100" s="275">
        <v>15.7201</v>
      </c>
      <c r="BV100" s="275">
        <v>7.2990000000000004</v>
      </c>
      <c r="BW100" s="275">
        <v>0</v>
      </c>
      <c r="BX100" s="275">
        <v>275.03250000000003</v>
      </c>
      <c r="BY100" s="275">
        <v>300.86829999999998</v>
      </c>
      <c r="BZ100" s="49">
        <f t="shared" si="224"/>
        <v>3696.4243139999999</v>
      </c>
      <c r="CA100" s="49">
        <f t="shared" si="224"/>
        <v>2624.2094699999998</v>
      </c>
      <c r="CB100" s="47">
        <f t="shared" si="224"/>
        <v>0</v>
      </c>
      <c r="CC100" s="47">
        <f t="shared" si="276"/>
        <v>0</v>
      </c>
      <c r="CD100" s="48">
        <f t="shared" si="277"/>
        <v>3696.4243139999999</v>
      </c>
      <c r="CE100" s="48">
        <f t="shared" si="278"/>
        <v>2624.2094699999998</v>
      </c>
      <c r="CF100" s="93">
        <f t="shared" si="279"/>
        <v>3696.4243139999999</v>
      </c>
      <c r="CG100" s="93">
        <f t="shared" si="280"/>
        <v>2624.2094699999998</v>
      </c>
      <c r="CH100" s="118"/>
      <c r="CI100" s="275">
        <v>0.88600000000000001</v>
      </c>
      <c r="CJ100" s="275">
        <v>0.54049999999999998</v>
      </c>
      <c r="CK100" s="275">
        <v>0</v>
      </c>
      <c r="CL100" s="275">
        <v>1036.2766999999999</v>
      </c>
      <c r="CM100" s="275">
        <v>1283.7257999999999</v>
      </c>
      <c r="CN100" s="49">
        <f t="shared" si="225"/>
        <v>182.87040000000002</v>
      </c>
      <c r="CO100" s="49">
        <f t="shared" si="225"/>
        <v>144.75671</v>
      </c>
      <c r="CP100" s="47">
        <f t="shared" si="225"/>
        <v>0</v>
      </c>
      <c r="CQ100" s="47">
        <f t="shared" si="281"/>
        <v>0</v>
      </c>
      <c r="CR100" s="48">
        <f t="shared" si="282"/>
        <v>182.87040000000002</v>
      </c>
      <c r="CS100" s="48">
        <f t="shared" si="283"/>
        <v>144.75671</v>
      </c>
      <c r="CT100" s="93">
        <f t="shared" si="284"/>
        <v>182.87040000000002</v>
      </c>
      <c r="CU100" s="93">
        <f t="shared" si="285"/>
        <v>144.75671</v>
      </c>
      <c r="CV100" s="118"/>
      <c r="CW100" s="275">
        <v>1.9403999999999999</v>
      </c>
      <c r="CX100" s="275">
        <v>1.2029000000000001</v>
      </c>
      <c r="CY100" s="275">
        <v>0</v>
      </c>
      <c r="CZ100" s="275">
        <v>420.48750000000001</v>
      </c>
      <c r="DA100" s="275">
        <v>485.29419999999999</v>
      </c>
      <c r="DB100" s="49">
        <f t="shared" si="226"/>
        <v>402.807636</v>
      </c>
      <c r="DC100" s="49">
        <f t="shared" si="226"/>
        <v>338.628379</v>
      </c>
      <c r="DD100" s="47">
        <f t="shared" si="226"/>
        <v>0</v>
      </c>
      <c r="DE100" s="47">
        <f t="shared" si="286"/>
        <v>0</v>
      </c>
      <c r="DF100" s="48">
        <f t="shared" si="287"/>
        <v>402.807636</v>
      </c>
      <c r="DG100" s="48">
        <f t="shared" si="288"/>
        <v>338.628379</v>
      </c>
      <c r="DH100" s="93">
        <f t="shared" si="289"/>
        <v>402.807636</v>
      </c>
      <c r="DI100" s="93">
        <f t="shared" si="290"/>
        <v>338.628379</v>
      </c>
      <c r="DJ100" s="118"/>
      <c r="DK100" s="275">
        <v>2.5508999999999999</v>
      </c>
      <c r="DL100" s="275">
        <v>1.3352999999999999</v>
      </c>
      <c r="DM100" s="275">
        <v>0</v>
      </c>
      <c r="DN100" s="275">
        <v>259.56</v>
      </c>
      <c r="DO100" s="275">
        <v>376.29419999999999</v>
      </c>
      <c r="DP100" s="49">
        <f t="shared" si="227"/>
        <v>347.53461600000003</v>
      </c>
      <c r="DQ100" s="49">
        <f t="shared" si="227"/>
        <v>263.46804299999997</v>
      </c>
      <c r="DR100" s="47">
        <f t="shared" si="227"/>
        <v>0</v>
      </c>
      <c r="DS100" s="47">
        <f t="shared" si="291"/>
        <v>0</v>
      </c>
      <c r="DT100" s="48">
        <f t="shared" si="292"/>
        <v>347.53461600000003</v>
      </c>
      <c r="DU100" s="48">
        <f t="shared" si="293"/>
        <v>263.46804299999997</v>
      </c>
      <c r="DV100" s="93">
        <f t="shared" si="294"/>
        <v>347.53461600000003</v>
      </c>
      <c r="DW100" s="93">
        <f t="shared" si="295"/>
        <v>263.46804299999997</v>
      </c>
      <c r="DX100" s="118"/>
      <c r="DY100" s="118"/>
      <c r="DZ100" s="118"/>
      <c r="EB100" s="52"/>
      <c r="EC100" s="52"/>
      <c r="ED100" s="52"/>
      <c r="EE100" s="55">
        <f t="shared" si="296"/>
        <v>2477.3892000000001</v>
      </c>
      <c r="EF100" s="55">
        <f t="shared" si="296"/>
        <v>3000.3616999999999</v>
      </c>
      <c r="EG100" s="55">
        <f t="shared" si="296"/>
        <v>12466.241173799999</v>
      </c>
      <c r="EH100" s="55">
        <f t="shared" si="228"/>
        <v>10153.6981572</v>
      </c>
      <c r="EI100" s="298">
        <f t="shared" si="229"/>
        <v>0.45226393920176255</v>
      </c>
      <c r="EJ100" s="52"/>
      <c r="EK100" s="55">
        <f t="shared" si="297"/>
        <v>12466.241173799999</v>
      </c>
      <c r="EL100" s="55">
        <f t="shared" si="297"/>
        <v>10153.6981572</v>
      </c>
      <c r="EM100" s="55">
        <f t="shared" si="297"/>
        <v>12466.241173799999</v>
      </c>
      <c r="EN100" s="55">
        <f t="shared" si="297"/>
        <v>10153.6981572</v>
      </c>
      <c r="EP100" s="52"/>
      <c r="EQ100" s="52"/>
      <c r="ER100" s="52"/>
      <c r="ES100" s="55">
        <f t="shared" si="230"/>
        <v>1949.4441999999999</v>
      </c>
      <c r="ET100" s="55">
        <f t="shared" si="230"/>
        <v>2376.7024999999999</v>
      </c>
      <c r="EU100" s="55">
        <f t="shared" si="230"/>
        <v>11936.1105462</v>
      </c>
      <c r="EV100" s="55">
        <f t="shared" si="230"/>
        <v>9632.9452832999996</v>
      </c>
      <c r="EW100" s="298">
        <f t="shared" si="231"/>
        <v>0.45061906939031915</v>
      </c>
      <c r="EX100" s="52"/>
      <c r="EY100" s="55">
        <f t="shared" si="232"/>
        <v>11936.1105462</v>
      </c>
      <c r="EZ100" s="55">
        <f t="shared" si="232"/>
        <v>9632.9452832999996</v>
      </c>
      <c r="FA100" s="55">
        <f t="shared" si="232"/>
        <v>11936.1105462</v>
      </c>
      <c r="FB100" s="55">
        <f t="shared" si="232"/>
        <v>9632.9452832999996</v>
      </c>
      <c r="FD100" s="52"/>
      <c r="FE100" s="52"/>
      <c r="FF100" s="52"/>
      <c r="FG100" s="55">
        <f t="shared" si="233"/>
        <v>1595.7909</v>
      </c>
      <c r="FH100" s="55">
        <f t="shared" si="233"/>
        <v>1982.6382999999998</v>
      </c>
      <c r="FI100" s="55">
        <f t="shared" si="233"/>
        <v>10442.082384599998</v>
      </c>
      <c r="FJ100" s="55">
        <f t="shared" si="233"/>
        <v>8398.4828237999991</v>
      </c>
      <c r="FK100" s="298">
        <f t="shared" si="234"/>
        <v>0.44594731677239841</v>
      </c>
      <c r="FL100" s="52"/>
      <c r="FM100" s="55">
        <f t="shared" si="235"/>
        <v>10442.082384599998</v>
      </c>
      <c r="FN100" s="55">
        <f t="shared" si="235"/>
        <v>8398.4828237999991</v>
      </c>
      <c r="FO100" s="55">
        <f t="shared" si="235"/>
        <v>10442.082384599998</v>
      </c>
      <c r="FP100" s="55">
        <f t="shared" si="235"/>
        <v>8398.4828237999991</v>
      </c>
      <c r="FR100" s="52"/>
      <c r="FS100" s="52"/>
      <c r="FT100" s="52"/>
      <c r="FU100" s="55">
        <f t="shared" si="236"/>
        <v>1456.7641999999998</v>
      </c>
      <c r="FV100" s="55">
        <f t="shared" si="236"/>
        <v>1769.02</v>
      </c>
      <c r="FW100" s="55">
        <f t="shared" si="236"/>
        <v>505.11650880000002</v>
      </c>
      <c r="FX100" s="55">
        <f t="shared" si="236"/>
        <v>415.65941320000002</v>
      </c>
      <c r="FY100" s="298">
        <f t="shared" si="237"/>
        <v>0.45160001713691816</v>
      </c>
      <c r="FZ100" s="52"/>
      <c r="GA100" s="55">
        <f t="shared" si="238"/>
        <v>505.11650880000002</v>
      </c>
      <c r="GB100" s="55">
        <f t="shared" si="238"/>
        <v>415.65941320000002</v>
      </c>
      <c r="GC100" s="55">
        <f t="shared" si="238"/>
        <v>505.11650880000002</v>
      </c>
      <c r="GD100" s="55">
        <f t="shared" si="238"/>
        <v>415.65941320000002</v>
      </c>
      <c r="GF100" s="52"/>
      <c r="GG100" s="52"/>
      <c r="GH100" s="52"/>
      <c r="GI100" s="55">
        <f t="shared" si="239"/>
        <v>844.42079999999999</v>
      </c>
      <c r="GJ100" s="55">
        <f t="shared" si="239"/>
        <v>950.30250000000001</v>
      </c>
      <c r="GK100" s="56">
        <f t="shared" si="240"/>
        <v>1711.9719269999998</v>
      </c>
      <c r="GL100" s="56">
        <f t="shared" si="240"/>
        <v>1467.2247795000005</v>
      </c>
      <c r="GM100" s="298">
        <f t="shared" si="241"/>
        <v>0.47050194311290211</v>
      </c>
      <c r="GN100" s="52"/>
      <c r="GO100" s="56">
        <f t="shared" si="242"/>
        <v>1711.9719269999998</v>
      </c>
      <c r="GP100" s="56">
        <f t="shared" si="242"/>
        <v>1467.2247795000005</v>
      </c>
      <c r="GQ100" s="56">
        <f t="shared" si="242"/>
        <v>1711.9719269999998</v>
      </c>
      <c r="GR100" s="56">
        <f t="shared" si="242"/>
        <v>1467.2247795000005</v>
      </c>
      <c r="GW100" s="275">
        <v>8.6419999999999995</v>
      </c>
      <c r="GX100" s="275">
        <v>3.786</v>
      </c>
      <c r="GY100" s="275">
        <v>0</v>
      </c>
      <c r="GZ100" s="275">
        <v>48.092500000000001</v>
      </c>
      <c r="HA100" s="275">
        <v>55.815800000000003</v>
      </c>
      <c r="HB100" s="49">
        <f t="shared" si="243"/>
        <v>5675.9791799999994</v>
      </c>
      <c r="HC100" s="49">
        <f t="shared" si="244"/>
        <v>5140.6686600000003</v>
      </c>
      <c r="HD100" s="47">
        <f t="shared" si="245"/>
        <v>0</v>
      </c>
      <c r="HE100" s="47">
        <f t="shared" si="298"/>
        <v>0</v>
      </c>
      <c r="HF100" s="48">
        <f t="shared" si="299"/>
        <v>5675.9791799999994</v>
      </c>
      <c r="HG100" s="48">
        <f t="shared" si="300"/>
        <v>5140.6686600000003</v>
      </c>
      <c r="HH100" s="93">
        <f t="shared" si="301"/>
        <v>5675.9791799999994</v>
      </c>
      <c r="HI100" s="93">
        <f t="shared" si="302"/>
        <v>5140.6686600000003</v>
      </c>
      <c r="HJ100" s="298">
        <f t="shared" si="246"/>
        <v>0.46283598134124032</v>
      </c>
      <c r="HL100" s="275">
        <v>11.017799999999999</v>
      </c>
      <c r="HM100" s="275">
        <v>6.7728000000000002</v>
      </c>
      <c r="HN100" s="275">
        <v>0</v>
      </c>
      <c r="HO100" s="275">
        <v>34.164200000000001</v>
      </c>
      <c r="HP100" s="275">
        <v>55.225000000000001</v>
      </c>
      <c r="HQ100" s="49">
        <f t="shared" si="247"/>
        <v>5857.6133699999991</v>
      </c>
      <c r="HR100" s="49">
        <f t="shared" si="248"/>
        <v>5252.5095840000004</v>
      </c>
      <c r="HS100" s="47">
        <f t="shared" si="249"/>
        <v>0</v>
      </c>
      <c r="HT100" s="47">
        <f t="shared" si="303"/>
        <v>0</v>
      </c>
      <c r="HU100" s="48">
        <f t="shared" si="304"/>
        <v>5857.6133699999991</v>
      </c>
      <c r="HV100" s="48">
        <f t="shared" si="305"/>
        <v>5252.5095840000004</v>
      </c>
      <c r="HW100" s="93">
        <f t="shared" si="306"/>
        <v>5857.6133699999991</v>
      </c>
      <c r="HX100" s="93">
        <f t="shared" si="307"/>
        <v>5252.5095840000004</v>
      </c>
      <c r="HY100" s="298">
        <f t="shared" si="250"/>
        <v>0.3821960594792212</v>
      </c>
    </row>
    <row r="101" spans="1:233" s="131" customFormat="1" x14ac:dyDescent="0.2">
      <c r="A101" s="118">
        <v>91</v>
      </c>
      <c r="B101" s="118"/>
      <c r="C101" s="275">
        <v>6.1158000000000001</v>
      </c>
      <c r="D101" s="275">
        <v>2.8833000000000002</v>
      </c>
      <c r="E101" s="275">
        <v>0</v>
      </c>
      <c r="F101" s="275">
        <v>273.80079999999998</v>
      </c>
      <c r="G101" s="275">
        <v>458.41669999999999</v>
      </c>
      <c r="H101" s="49">
        <f t="shared" si="218"/>
        <v>6048.8319899999997</v>
      </c>
      <c r="I101" s="49">
        <f t="shared" si="218"/>
        <v>5195.1876060000004</v>
      </c>
      <c r="J101" s="47">
        <f t="shared" si="218"/>
        <v>0</v>
      </c>
      <c r="K101" s="47">
        <f t="shared" si="251"/>
        <v>0</v>
      </c>
      <c r="L101" s="48">
        <f t="shared" si="252"/>
        <v>6048.8319899999997</v>
      </c>
      <c r="M101" s="48">
        <f t="shared" si="253"/>
        <v>5195.1876060000004</v>
      </c>
      <c r="N101" s="93">
        <f t="shared" si="254"/>
        <v>6048.8319899999997</v>
      </c>
      <c r="O101" s="93">
        <f t="shared" si="255"/>
        <v>5195.1876060000004</v>
      </c>
      <c r="P101" s="298">
        <f t="shared" si="219"/>
        <v>0.37393370139337012</v>
      </c>
      <c r="Q101" s="275">
        <v>9.5469000000000008</v>
      </c>
      <c r="R101" s="275">
        <v>4.2449000000000003</v>
      </c>
      <c r="S101" s="275">
        <v>0</v>
      </c>
      <c r="T101" s="275">
        <v>70.256699999999995</v>
      </c>
      <c r="U101" s="275">
        <v>143.07</v>
      </c>
      <c r="V101" s="49">
        <f t="shared" si="220"/>
        <v>5852.1542310000004</v>
      </c>
      <c r="W101" s="49">
        <f t="shared" si="220"/>
        <v>4926.8856340000011</v>
      </c>
      <c r="X101" s="47">
        <f t="shared" si="220"/>
        <v>0</v>
      </c>
      <c r="Y101" s="47">
        <f t="shared" si="256"/>
        <v>0</v>
      </c>
      <c r="Z101" s="48">
        <f t="shared" si="257"/>
        <v>5852.1542310000004</v>
      </c>
      <c r="AA101" s="48">
        <f t="shared" si="258"/>
        <v>4926.8856340000011</v>
      </c>
      <c r="AB101" s="93">
        <f t="shared" si="259"/>
        <v>5852.1542310000004</v>
      </c>
      <c r="AC101" s="93">
        <f t="shared" si="260"/>
        <v>4926.8856340000011</v>
      </c>
      <c r="AD101" s="118"/>
      <c r="AE101" s="275">
        <v>13.766999999999999</v>
      </c>
      <c r="AF101" s="275">
        <v>4.8734999999999999</v>
      </c>
      <c r="AG101" s="275">
        <v>0</v>
      </c>
      <c r="AH101" s="275">
        <v>21.642499999999998</v>
      </c>
      <c r="AI101" s="275">
        <v>26.125</v>
      </c>
      <c r="AJ101" s="49">
        <f t="shared" si="221"/>
        <v>6454.9332899999999</v>
      </c>
      <c r="AK101" s="49">
        <f t="shared" si="221"/>
        <v>5540.0973299999996</v>
      </c>
      <c r="AL101" s="47">
        <f t="shared" si="221"/>
        <v>0</v>
      </c>
      <c r="AM101" s="47">
        <f t="shared" si="261"/>
        <v>0</v>
      </c>
      <c r="AN101" s="48">
        <f t="shared" si="262"/>
        <v>6454.9332899999999</v>
      </c>
      <c r="AO101" s="48">
        <f t="shared" si="263"/>
        <v>5540.0973299999996</v>
      </c>
      <c r="AP101" s="93">
        <f t="shared" si="264"/>
        <v>6454.9332899999999</v>
      </c>
      <c r="AQ101" s="93">
        <f t="shared" si="265"/>
        <v>5540.0973299999996</v>
      </c>
      <c r="AR101" s="118"/>
      <c r="AS101" s="275">
        <v>17.298100000000002</v>
      </c>
      <c r="AT101" s="275">
        <v>6.5448000000000004</v>
      </c>
      <c r="AU101" s="275">
        <v>0</v>
      </c>
      <c r="AV101" s="275">
        <v>363.67250000000001</v>
      </c>
      <c r="AW101" s="275">
        <v>556.95420000000001</v>
      </c>
      <c r="AX101" s="49">
        <f t="shared" si="222"/>
        <v>6027.5229450000006</v>
      </c>
      <c r="AY101" s="49">
        <f t="shared" si="222"/>
        <v>4580.5091760000005</v>
      </c>
      <c r="AZ101" s="47">
        <f t="shared" si="222"/>
        <v>0</v>
      </c>
      <c r="BA101" s="47">
        <f t="shared" si="266"/>
        <v>0</v>
      </c>
      <c r="BB101" s="48">
        <f t="shared" si="267"/>
        <v>6027.5229450000006</v>
      </c>
      <c r="BC101" s="48">
        <f t="shared" si="268"/>
        <v>4580.5091760000005</v>
      </c>
      <c r="BD101" s="93">
        <f t="shared" si="269"/>
        <v>6027.5229450000006</v>
      </c>
      <c r="BE101" s="93">
        <f t="shared" si="270"/>
        <v>4580.5091760000005</v>
      </c>
      <c r="BF101" s="118"/>
      <c r="BG101" s="275">
        <v>16.771899999999999</v>
      </c>
      <c r="BH101" s="275">
        <v>7.2881</v>
      </c>
      <c r="BI101" s="275">
        <v>0</v>
      </c>
      <c r="BJ101" s="275">
        <v>249.8108</v>
      </c>
      <c r="BK101" s="275">
        <v>405.85419999999999</v>
      </c>
      <c r="BL101" s="49">
        <f t="shared" si="223"/>
        <v>5672.5920180000003</v>
      </c>
      <c r="BM101" s="49">
        <f t="shared" si="223"/>
        <v>4361.6363259999998</v>
      </c>
      <c r="BN101" s="47">
        <f t="shared" si="223"/>
        <v>0</v>
      </c>
      <c r="BO101" s="47">
        <f t="shared" si="271"/>
        <v>0</v>
      </c>
      <c r="BP101" s="48">
        <f t="shared" si="272"/>
        <v>5672.5920180000003</v>
      </c>
      <c r="BQ101" s="48">
        <f t="shared" si="273"/>
        <v>4361.6363259999998</v>
      </c>
      <c r="BR101" s="93">
        <f t="shared" si="274"/>
        <v>5672.5920180000003</v>
      </c>
      <c r="BS101" s="93">
        <f t="shared" si="275"/>
        <v>4361.6363259999998</v>
      </c>
      <c r="BT101" s="118"/>
      <c r="BU101" s="275">
        <v>15.739599999999999</v>
      </c>
      <c r="BV101" s="275">
        <v>7.2990000000000004</v>
      </c>
      <c r="BW101" s="275">
        <v>0</v>
      </c>
      <c r="BX101" s="275">
        <v>135.685</v>
      </c>
      <c r="BY101" s="275">
        <v>237.89830000000001</v>
      </c>
      <c r="BZ101" s="49">
        <f t="shared" si="224"/>
        <v>3701.0095439999996</v>
      </c>
      <c r="CA101" s="49">
        <f t="shared" si="224"/>
        <v>2624.2094699999998</v>
      </c>
      <c r="CB101" s="47">
        <f t="shared" si="224"/>
        <v>0</v>
      </c>
      <c r="CC101" s="47">
        <f t="shared" si="276"/>
        <v>0</v>
      </c>
      <c r="CD101" s="48">
        <f t="shared" si="277"/>
        <v>3701.0095439999996</v>
      </c>
      <c r="CE101" s="48">
        <f t="shared" si="278"/>
        <v>2624.2094699999998</v>
      </c>
      <c r="CF101" s="93">
        <f t="shared" si="279"/>
        <v>3701.0095439999996</v>
      </c>
      <c r="CG101" s="93">
        <f t="shared" si="280"/>
        <v>2624.2094699999998</v>
      </c>
      <c r="CH101" s="118"/>
      <c r="CI101" s="275">
        <v>0.84040000000000004</v>
      </c>
      <c r="CJ101" s="275">
        <v>0.50290000000000001</v>
      </c>
      <c r="CK101" s="275">
        <v>0</v>
      </c>
      <c r="CL101" s="275">
        <v>656.32749999999999</v>
      </c>
      <c r="CM101" s="275">
        <v>1061.2417</v>
      </c>
      <c r="CN101" s="49">
        <f t="shared" si="225"/>
        <v>173.45856000000001</v>
      </c>
      <c r="CO101" s="49">
        <f t="shared" si="225"/>
        <v>134.686678</v>
      </c>
      <c r="CP101" s="47">
        <f t="shared" si="225"/>
        <v>0</v>
      </c>
      <c r="CQ101" s="47">
        <f t="shared" si="281"/>
        <v>0</v>
      </c>
      <c r="CR101" s="48">
        <f t="shared" si="282"/>
        <v>173.45856000000001</v>
      </c>
      <c r="CS101" s="48">
        <f t="shared" si="283"/>
        <v>134.686678</v>
      </c>
      <c r="CT101" s="93">
        <f t="shared" si="284"/>
        <v>173.45856000000001</v>
      </c>
      <c r="CU101" s="93">
        <f t="shared" si="285"/>
        <v>134.686678</v>
      </c>
      <c r="CV101" s="118"/>
      <c r="CW101" s="275">
        <v>1.8183</v>
      </c>
      <c r="CX101" s="275">
        <v>1.1175999999999999</v>
      </c>
      <c r="CY101" s="275">
        <v>0</v>
      </c>
      <c r="CZ101" s="275">
        <v>243.7808</v>
      </c>
      <c r="DA101" s="275">
        <v>400.09249999999997</v>
      </c>
      <c r="DB101" s="49">
        <f t="shared" si="226"/>
        <v>377.46089699999999</v>
      </c>
      <c r="DC101" s="49">
        <f t="shared" si="226"/>
        <v>314.61557599999998</v>
      </c>
      <c r="DD101" s="47">
        <f t="shared" si="226"/>
        <v>0</v>
      </c>
      <c r="DE101" s="47">
        <f t="shared" si="286"/>
        <v>0</v>
      </c>
      <c r="DF101" s="48">
        <f t="shared" si="287"/>
        <v>377.46089699999999</v>
      </c>
      <c r="DG101" s="48">
        <f t="shared" si="288"/>
        <v>314.61557599999998</v>
      </c>
      <c r="DH101" s="93">
        <f t="shared" si="289"/>
        <v>377.46089699999999</v>
      </c>
      <c r="DI101" s="93">
        <f t="shared" si="290"/>
        <v>314.61557599999998</v>
      </c>
      <c r="DJ101" s="118"/>
      <c r="DK101" s="275">
        <v>2.4251</v>
      </c>
      <c r="DL101" s="275">
        <v>1.2298</v>
      </c>
      <c r="DM101" s="275">
        <v>0</v>
      </c>
      <c r="DN101" s="275">
        <v>169.5033</v>
      </c>
      <c r="DO101" s="275">
        <v>301.25080000000003</v>
      </c>
      <c r="DP101" s="49">
        <f t="shared" si="227"/>
        <v>330.39562400000005</v>
      </c>
      <c r="DQ101" s="49">
        <f t="shared" si="227"/>
        <v>242.651838</v>
      </c>
      <c r="DR101" s="47">
        <f t="shared" si="227"/>
        <v>0</v>
      </c>
      <c r="DS101" s="47">
        <f t="shared" si="291"/>
        <v>0</v>
      </c>
      <c r="DT101" s="48">
        <f t="shared" si="292"/>
        <v>330.39562400000005</v>
      </c>
      <c r="DU101" s="48">
        <f t="shared" si="293"/>
        <v>242.651838</v>
      </c>
      <c r="DV101" s="93">
        <f t="shared" si="294"/>
        <v>330.39562400000005</v>
      </c>
      <c r="DW101" s="93">
        <f t="shared" si="295"/>
        <v>242.651838</v>
      </c>
      <c r="DX101" s="118"/>
      <c r="DY101" s="118"/>
      <c r="DZ101" s="118"/>
      <c r="EB101" s="52"/>
      <c r="EC101" s="52"/>
      <c r="ED101" s="52"/>
      <c r="EE101" s="55">
        <f t="shared" si="296"/>
        <v>1537.5816</v>
      </c>
      <c r="EF101" s="55">
        <f t="shared" si="296"/>
        <v>2476.7051000000001</v>
      </c>
      <c r="EG101" s="55">
        <f t="shared" si="296"/>
        <v>12551.782212599999</v>
      </c>
      <c r="EH101" s="55">
        <f t="shared" si="228"/>
        <v>10162.075920800002</v>
      </c>
      <c r="EI101" s="298">
        <f t="shared" si="229"/>
        <v>0.38302735078687827</v>
      </c>
      <c r="EJ101" s="52"/>
      <c r="EK101" s="55">
        <f t="shared" si="297"/>
        <v>12551.782212599999</v>
      </c>
      <c r="EL101" s="55">
        <f t="shared" si="297"/>
        <v>10162.075920800002</v>
      </c>
      <c r="EM101" s="55">
        <f t="shared" si="297"/>
        <v>12551.782212599999</v>
      </c>
      <c r="EN101" s="55">
        <f t="shared" si="297"/>
        <v>10162.075920800002</v>
      </c>
      <c r="EP101" s="52"/>
      <c r="EQ101" s="52"/>
      <c r="ER101" s="52"/>
      <c r="ES101" s="55">
        <f t="shared" si="230"/>
        <v>1220.1758</v>
      </c>
      <c r="ET101" s="55">
        <f t="shared" si="230"/>
        <v>2010.2583999999999</v>
      </c>
      <c r="EU101" s="55">
        <f t="shared" si="230"/>
        <v>11962.4274369</v>
      </c>
      <c r="EV101" s="55">
        <f t="shared" si="230"/>
        <v>9643.4395412000013</v>
      </c>
      <c r="EW101" s="298">
        <f t="shared" si="231"/>
        <v>0.37771263070456601</v>
      </c>
      <c r="EX101" s="52"/>
      <c r="EY101" s="55">
        <f t="shared" si="232"/>
        <v>11962.4274369</v>
      </c>
      <c r="EZ101" s="55">
        <f t="shared" si="232"/>
        <v>9643.4395412000013</v>
      </c>
      <c r="FA101" s="55">
        <f t="shared" si="232"/>
        <v>11962.4274369</v>
      </c>
      <c r="FB101" s="55">
        <f t="shared" si="232"/>
        <v>9643.4395412000013</v>
      </c>
      <c r="FD101" s="52"/>
      <c r="FE101" s="52"/>
      <c r="FF101" s="52"/>
      <c r="FG101" s="55">
        <f t="shared" si="233"/>
        <v>983.15829999999994</v>
      </c>
      <c r="FH101" s="55">
        <f t="shared" si="233"/>
        <v>1626.5158000000001</v>
      </c>
      <c r="FI101" s="55">
        <f t="shared" si="233"/>
        <v>10527.638768399998</v>
      </c>
      <c r="FJ101" s="55">
        <f t="shared" si="233"/>
        <v>8444.5845807999976</v>
      </c>
      <c r="FK101" s="298">
        <f t="shared" si="234"/>
        <v>0.37673604531692284</v>
      </c>
      <c r="FL101" s="52"/>
      <c r="FM101" s="55">
        <f t="shared" si="235"/>
        <v>10527.638768399998</v>
      </c>
      <c r="FN101" s="55">
        <f t="shared" si="235"/>
        <v>8444.5845807999976</v>
      </c>
      <c r="FO101" s="55">
        <f t="shared" si="235"/>
        <v>10527.638768399998</v>
      </c>
      <c r="FP101" s="55">
        <f t="shared" si="235"/>
        <v>8444.5845807999976</v>
      </c>
      <c r="FR101" s="52"/>
      <c r="FS101" s="52"/>
      <c r="FT101" s="52"/>
      <c r="FU101" s="55">
        <f t="shared" si="236"/>
        <v>900.10829999999999</v>
      </c>
      <c r="FV101" s="55">
        <f t="shared" si="236"/>
        <v>1461.3342</v>
      </c>
      <c r="FW101" s="55">
        <f t="shared" si="236"/>
        <v>475.42727760000002</v>
      </c>
      <c r="FX101" s="55">
        <f t="shared" si="236"/>
        <v>386.37913879999996</v>
      </c>
      <c r="FY101" s="298">
        <f t="shared" si="237"/>
        <v>0.38116884065565854</v>
      </c>
      <c r="FZ101" s="52"/>
      <c r="GA101" s="55">
        <f t="shared" si="238"/>
        <v>475.42727760000002</v>
      </c>
      <c r="GB101" s="55">
        <f t="shared" si="238"/>
        <v>386.37913879999996</v>
      </c>
      <c r="GC101" s="55">
        <f t="shared" si="238"/>
        <v>475.42727760000002</v>
      </c>
      <c r="GD101" s="55">
        <f t="shared" si="238"/>
        <v>386.37913879999996</v>
      </c>
      <c r="GF101" s="52"/>
      <c r="GG101" s="52"/>
      <c r="GH101" s="52"/>
      <c r="GI101" s="55">
        <f t="shared" si="239"/>
        <v>499.35750000000002</v>
      </c>
      <c r="GJ101" s="55">
        <f t="shared" si="239"/>
        <v>794.85249999999996</v>
      </c>
      <c r="GK101" s="56">
        <f t="shared" si="240"/>
        <v>1744.8850507500008</v>
      </c>
      <c r="GL101" s="56">
        <f t="shared" si="240"/>
        <v>1467.2247795000005</v>
      </c>
      <c r="GM101" s="298">
        <f t="shared" si="241"/>
        <v>0.38583962417227496</v>
      </c>
      <c r="GN101" s="52"/>
      <c r="GO101" s="56">
        <f t="shared" si="242"/>
        <v>1744.8850507500008</v>
      </c>
      <c r="GP101" s="56">
        <f t="shared" si="242"/>
        <v>1467.2247795000005</v>
      </c>
      <c r="GQ101" s="56">
        <f t="shared" si="242"/>
        <v>1744.8850507500008</v>
      </c>
      <c r="GR101" s="56">
        <f t="shared" si="242"/>
        <v>1467.2247795000005</v>
      </c>
      <c r="GW101" s="275">
        <v>8.7466000000000008</v>
      </c>
      <c r="GX101" s="275">
        <v>3.8296000000000001</v>
      </c>
      <c r="GY101" s="275">
        <v>0</v>
      </c>
      <c r="GZ101" s="275">
        <v>32.76</v>
      </c>
      <c r="HA101" s="275">
        <v>33.809199999999997</v>
      </c>
      <c r="HB101" s="49">
        <f t="shared" si="243"/>
        <v>5744.6794140000002</v>
      </c>
      <c r="HC101" s="49">
        <f t="shared" si="244"/>
        <v>5199.8691760000002</v>
      </c>
      <c r="HD101" s="47">
        <f t="shared" si="245"/>
        <v>0</v>
      </c>
      <c r="HE101" s="47">
        <f t="shared" si="298"/>
        <v>0</v>
      </c>
      <c r="HF101" s="48">
        <f t="shared" si="299"/>
        <v>5744.6794140000002</v>
      </c>
      <c r="HG101" s="48">
        <f t="shared" si="300"/>
        <v>5199.8691760000002</v>
      </c>
      <c r="HH101" s="93">
        <f t="shared" si="301"/>
        <v>5744.6794140000002</v>
      </c>
      <c r="HI101" s="93">
        <f t="shared" si="302"/>
        <v>5199.8691760000002</v>
      </c>
      <c r="HJ101" s="298">
        <f t="shared" si="246"/>
        <v>0.49211947867782702</v>
      </c>
      <c r="HL101" s="275">
        <v>11.203799999999999</v>
      </c>
      <c r="HM101" s="275">
        <v>6.8663999999999996</v>
      </c>
      <c r="HN101" s="275">
        <v>0</v>
      </c>
      <c r="HO101" s="275">
        <v>25.583300000000001</v>
      </c>
      <c r="HP101" s="275">
        <v>41.083300000000001</v>
      </c>
      <c r="HQ101" s="49">
        <f t="shared" si="247"/>
        <v>5956.5002699999995</v>
      </c>
      <c r="HR101" s="49">
        <f t="shared" si="248"/>
        <v>5325.0991919999997</v>
      </c>
      <c r="HS101" s="47">
        <f t="shared" si="249"/>
        <v>0</v>
      </c>
      <c r="HT101" s="47">
        <f t="shared" si="303"/>
        <v>0</v>
      </c>
      <c r="HU101" s="48">
        <f t="shared" si="304"/>
        <v>5956.5002699999995</v>
      </c>
      <c r="HV101" s="48">
        <f t="shared" si="305"/>
        <v>5325.0991919999997</v>
      </c>
      <c r="HW101" s="93">
        <f t="shared" si="306"/>
        <v>5956.5002699999995</v>
      </c>
      <c r="HX101" s="93">
        <f t="shared" si="307"/>
        <v>5325.0991919999997</v>
      </c>
      <c r="HY101" s="298">
        <f t="shared" si="250"/>
        <v>0.38374988374988378</v>
      </c>
    </row>
    <row r="102" spans="1:233" s="131" customFormat="1" x14ac:dyDescent="0.2">
      <c r="A102" s="118">
        <v>92</v>
      </c>
      <c r="B102" s="118"/>
      <c r="C102" s="275">
        <v>6.1833</v>
      </c>
      <c r="D102" s="275">
        <v>2.9035000000000002</v>
      </c>
      <c r="E102" s="275">
        <v>0</v>
      </c>
      <c r="F102" s="275">
        <v>236.74080000000001</v>
      </c>
      <c r="G102" s="275">
        <v>411.98919999999998</v>
      </c>
      <c r="H102" s="49">
        <f t="shared" si="218"/>
        <v>6115.5928649999996</v>
      </c>
      <c r="I102" s="49">
        <f t="shared" si="218"/>
        <v>5231.5843700000005</v>
      </c>
      <c r="J102" s="47">
        <f t="shared" si="218"/>
        <v>0</v>
      </c>
      <c r="K102" s="47">
        <f t="shared" si="251"/>
        <v>0</v>
      </c>
      <c r="L102" s="48">
        <f t="shared" si="252"/>
        <v>6115.5928649999996</v>
      </c>
      <c r="M102" s="48">
        <f t="shared" si="253"/>
        <v>5231.5843700000005</v>
      </c>
      <c r="N102" s="93">
        <f t="shared" si="254"/>
        <v>6115.5928649999996</v>
      </c>
      <c r="O102" s="93">
        <f t="shared" si="255"/>
        <v>5231.5843700000005</v>
      </c>
      <c r="P102" s="298">
        <f t="shared" si="219"/>
        <v>0.36492963174201903</v>
      </c>
      <c r="Q102" s="275">
        <v>9.5751000000000008</v>
      </c>
      <c r="R102" s="275">
        <v>4.2756999999999996</v>
      </c>
      <c r="S102" s="275">
        <v>0</v>
      </c>
      <c r="T102" s="275">
        <v>46.576700000000002</v>
      </c>
      <c r="U102" s="275">
        <v>89.848299999999995</v>
      </c>
      <c r="V102" s="49">
        <f t="shared" si="220"/>
        <v>5869.4405490000008</v>
      </c>
      <c r="W102" s="49">
        <f t="shared" si="220"/>
        <v>4962.6339619999999</v>
      </c>
      <c r="X102" s="47">
        <f t="shared" si="220"/>
        <v>0</v>
      </c>
      <c r="Y102" s="47">
        <f t="shared" si="256"/>
        <v>0</v>
      </c>
      <c r="Z102" s="48">
        <f t="shared" si="257"/>
        <v>5869.4405490000008</v>
      </c>
      <c r="AA102" s="48">
        <f t="shared" si="258"/>
        <v>4962.6339619999999</v>
      </c>
      <c r="AB102" s="93">
        <f t="shared" si="259"/>
        <v>5869.4405490000008</v>
      </c>
      <c r="AC102" s="93">
        <f t="shared" si="260"/>
        <v>4962.6339619999999</v>
      </c>
      <c r="AD102" s="118"/>
      <c r="AE102" s="275">
        <v>13.9597</v>
      </c>
      <c r="AF102" s="275">
        <v>4.9230999999999998</v>
      </c>
      <c r="AG102" s="275">
        <v>0</v>
      </c>
      <c r="AH102" s="275">
        <v>10.166700000000001</v>
      </c>
      <c r="AI102" s="275">
        <v>15.25</v>
      </c>
      <c r="AJ102" s="49">
        <f t="shared" si="221"/>
        <v>6545.2845390000002</v>
      </c>
      <c r="AK102" s="49">
        <f t="shared" si="221"/>
        <v>5596.4816179999998</v>
      </c>
      <c r="AL102" s="47">
        <f t="shared" si="221"/>
        <v>0</v>
      </c>
      <c r="AM102" s="47">
        <f t="shared" si="261"/>
        <v>0</v>
      </c>
      <c r="AN102" s="48">
        <f t="shared" si="262"/>
        <v>6545.2845390000002</v>
      </c>
      <c r="AO102" s="48">
        <f t="shared" si="263"/>
        <v>5596.4816179999998</v>
      </c>
      <c r="AP102" s="93">
        <f t="shared" si="264"/>
        <v>6545.2845390000002</v>
      </c>
      <c r="AQ102" s="93">
        <f t="shared" si="265"/>
        <v>5596.4816179999998</v>
      </c>
      <c r="AR102" s="118"/>
      <c r="AS102" s="275">
        <v>17.425799999999999</v>
      </c>
      <c r="AT102" s="275">
        <v>6.5448000000000004</v>
      </c>
      <c r="AU102" s="275">
        <v>0</v>
      </c>
      <c r="AV102" s="275">
        <v>287.42419999999998</v>
      </c>
      <c r="AW102" s="275">
        <v>460.26580000000001</v>
      </c>
      <c r="AX102" s="49">
        <f t="shared" si="222"/>
        <v>6072.0200099999993</v>
      </c>
      <c r="AY102" s="49">
        <f t="shared" si="222"/>
        <v>4580.5091760000005</v>
      </c>
      <c r="AZ102" s="47">
        <f t="shared" si="222"/>
        <v>0</v>
      </c>
      <c r="BA102" s="47">
        <f t="shared" si="266"/>
        <v>0</v>
      </c>
      <c r="BB102" s="48">
        <f t="shared" si="267"/>
        <v>6072.0200099999993</v>
      </c>
      <c r="BC102" s="48">
        <f t="shared" si="268"/>
        <v>4580.5091760000005</v>
      </c>
      <c r="BD102" s="93">
        <f t="shared" si="269"/>
        <v>6072.0200099999993</v>
      </c>
      <c r="BE102" s="93">
        <f t="shared" si="270"/>
        <v>4580.5091760000005</v>
      </c>
      <c r="BF102" s="118"/>
      <c r="BG102" s="275">
        <v>16.849499999999999</v>
      </c>
      <c r="BH102" s="275">
        <v>7.2881</v>
      </c>
      <c r="BI102" s="275">
        <v>0</v>
      </c>
      <c r="BJ102" s="275">
        <v>180.83920000000001</v>
      </c>
      <c r="BK102" s="275">
        <v>333.68169999999998</v>
      </c>
      <c r="BL102" s="49">
        <f t="shared" si="223"/>
        <v>5698.8378899999998</v>
      </c>
      <c r="BM102" s="49">
        <f t="shared" si="223"/>
        <v>4361.6363259999998</v>
      </c>
      <c r="BN102" s="47">
        <f t="shared" si="223"/>
        <v>0</v>
      </c>
      <c r="BO102" s="47">
        <f t="shared" si="271"/>
        <v>0</v>
      </c>
      <c r="BP102" s="48">
        <f t="shared" si="272"/>
        <v>5698.8378899999998</v>
      </c>
      <c r="BQ102" s="48">
        <f t="shared" si="273"/>
        <v>4361.6363259999998</v>
      </c>
      <c r="BR102" s="93">
        <f t="shared" si="274"/>
        <v>5698.8378899999998</v>
      </c>
      <c r="BS102" s="93">
        <f t="shared" si="275"/>
        <v>4361.6363259999998</v>
      </c>
      <c r="BT102" s="118"/>
      <c r="BU102" s="275">
        <v>15.739599999999999</v>
      </c>
      <c r="BV102" s="275">
        <v>7.2990000000000004</v>
      </c>
      <c r="BW102" s="275">
        <v>0</v>
      </c>
      <c r="BX102" s="275">
        <v>142.5642</v>
      </c>
      <c r="BY102" s="275">
        <v>201.42750000000001</v>
      </c>
      <c r="BZ102" s="49">
        <f t="shared" si="224"/>
        <v>3701.0095439999996</v>
      </c>
      <c r="CA102" s="49">
        <f t="shared" si="224"/>
        <v>2624.2094699999998</v>
      </c>
      <c r="CB102" s="47">
        <f t="shared" si="224"/>
        <v>0</v>
      </c>
      <c r="CC102" s="47">
        <f t="shared" si="276"/>
        <v>0</v>
      </c>
      <c r="CD102" s="48">
        <f t="shared" si="277"/>
        <v>3701.0095439999996</v>
      </c>
      <c r="CE102" s="48">
        <f t="shared" si="278"/>
        <v>2624.2094699999998</v>
      </c>
      <c r="CF102" s="93">
        <f t="shared" si="279"/>
        <v>3701.0095439999996</v>
      </c>
      <c r="CG102" s="93">
        <f t="shared" si="280"/>
        <v>2624.2094699999998</v>
      </c>
      <c r="CH102" s="118"/>
      <c r="CI102" s="275">
        <v>0.7974</v>
      </c>
      <c r="CJ102" s="275">
        <v>0.46850000000000003</v>
      </c>
      <c r="CK102" s="275">
        <v>0</v>
      </c>
      <c r="CL102" s="275">
        <v>516.48080000000004</v>
      </c>
      <c r="CM102" s="275">
        <v>885.30669999999998</v>
      </c>
      <c r="CN102" s="49">
        <f t="shared" si="225"/>
        <v>164.58336</v>
      </c>
      <c r="CO102" s="49">
        <f t="shared" si="225"/>
        <v>125.47367</v>
      </c>
      <c r="CP102" s="47">
        <f t="shared" si="225"/>
        <v>0</v>
      </c>
      <c r="CQ102" s="47">
        <f t="shared" si="281"/>
        <v>0</v>
      </c>
      <c r="CR102" s="48">
        <f t="shared" si="282"/>
        <v>164.58336</v>
      </c>
      <c r="CS102" s="48">
        <f t="shared" si="283"/>
        <v>125.47367</v>
      </c>
      <c r="CT102" s="93">
        <f t="shared" si="284"/>
        <v>164.58336</v>
      </c>
      <c r="CU102" s="93">
        <f t="shared" si="285"/>
        <v>125.47367</v>
      </c>
      <c r="CV102" s="118"/>
      <c r="CW102" s="275">
        <v>1.6944999999999999</v>
      </c>
      <c r="CX102" s="275">
        <v>1.0328999999999999</v>
      </c>
      <c r="CY102" s="275">
        <v>0</v>
      </c>
      <c r="CZ102" s="275">
        <v>180.0325</v>
      </c>
      <c r="DA102" s="275">
        <v>342.34</v>
      </c>
      <c r="DB102" s="49">
        <f t="shared" si="226"/>
        <v>351.76125500000001</v>
      </c>
      <c r="DC102" s="49">
        <f t="shared" si="226"/>
        <v>290.77167899999995</v>
      </c>
      <c r="DD102" s="47">
        <f t="shared" si="226"/>
        <v>0</v>
      </c>
      <c r="DE102" s="47">
        <f t="shared" si="286"/>
        <v>0</v>
      </c>
      <c r="DF102" s="48">
        <f t="shared" si="287"/>
        <v>351.76125500000001</v>
      </c>
      <c r="DG102" s="48">
        <f t="shared" si="288"/>
        <v>290.77167899999995</v>
      </c>
      <c r="DH102" s="93">
        <f t="shared" si="289"/>
        <v>351.76125500000001</v>
      </c>
      <c r="DI102" s="93">
        <f t="shared" si="290"/>
        <v>290.77167899999995</v>
      </c>
      <c r="DJ102" s="118"/>
      <c r="DK102" s="275">
        <v>2.3167</v>
      </c>
      <c r="DL102" s="275">
        <v>1.1261000000000001</v>
      </c>
      <c r="DM102" s="275">
        <v>0</v>
      </c>
      <c r="DN102" s="275">
        <v>164.33170000000001</v>
      </c>
      <c r="DO102" s="275">
        <v>261.33580000000001</v>
      </c>
      <c r="DP102" s="49">
        <f t="shared" si="227"/>
        <v>315.627208</v>
      </c>
      <c r="DQ102" s="49">
        <f t="shared" si="227"/>
        <v>222.19079100000002</v>
      </c>
      <c r="DR102" s="47">
        <f t="shared" si="227"/>
        <v>0</v>
      </c>
      <c r="DS102" s="47">
        <f t="shared" si="291"/>
        <v>0</v>
      </c>
      <c r="DT102" s="48">
        <f t="shared" si="292"/>
        <v>315.627208</v>
      </c>
      <c r="DU102" s="48">
        <f t="shared" si="293"/>
        <v>222.19079100000002</v>
      </c>
      <c r="DV102" s="93">
        <f t="shared" si="294"/>
        <v>315.627208</v>
      </c>
      <c r="DW102" s="93">
        <f t="shared" si="295"/>
        <v>222.19079100000002</v>
      </c>
      <c r="DX102" s="118"/>
      <c r="DY102" s="118"/>
      <c r="DZ102" s="118"/>
      <c r="EB102" s="52"/>
      <c r="EC102" s="52"/>
      <c r="ED102" s="52"/>
      <c r="EE102" s="55">
        <f t="shared" si="296"/>
        <v>1220.6783</v>
      </c>
      <c r="EF102" s="55">
        <f t="shared" si="296"/>
        <v>2099.9016999999999</v>
      </c>
      <c r="EG102" s="55">
        <f t="shared" si="296"/>
        <v>12633.605238999999</v>
      </c>
      <c r="EH102" s="55">
        <f t="shared" si="228"/>
        <v>10170.184559199999</v>
      </c>
      <c r="EI102" s="298">
        <f t="shared" si="229"/>
        <v>0.36760996572887872</v>
      </c>
      <c r="EJ102" s="52"/>
      <c r="EK102" s="55">
        <f t="shared" si="297"/>
        <v>12633.605238999999</v>
      </c>
      <c r="EL102" s="55">
        <f t="shared" si="297"/>
        <v>10170.184559199999</v>
      </c>
      <c r="EM102" s="55">
        <f t="shared" si="297"/>
        <v>12633.605238999999</v>
      </c>
      <c r="EN102" s="55">
        <f t="shared" si="297"/>
        <v>10170.184559199999</v>
      </c>
      <c r="EP102" s="52"/>
      <c r="EQ102" s="52"/>
      <c r="ER102" s="52"/>
      <c r="ES102" s="55">
        <f t="shared" si="230"/>
        <v>923.92920000000004</v>
      </c>
      <c r="ET102" s="55">
        <f t="shared" si="230"/>
        <v>1651.1766999999998</v>
      </c>
      <c r="EU102" s="55">
        <f t="shared" si="230"/>
        <v>11979.094677500003</v>
      </c>
      <c r="EV102" s="55">
        <f t="shared" si="230"/>
        <v>9653.2841332999997</v>
      </c>
      <c r="EW102" s="298">
        <f t="shared" si="231"/>
        <v>0.35879270052544254</v>
      </c>
      <c r="EX102" s="52"/>
      <c r="EY102" s="55">
        <f t="shared" si="232"/>
        <v>11979.094677500003</v>
      </c>
      <c r="EZ102" s="55">
        <f t="shared" si="232"/>
        <v>9653.2841332999997</v>
      </c>
      <c r="FA102" s="55">
        <f t="shared" si="232"/>
        <v>11979.094677500003</v>
      </c>
      <c r="FB102" s="55">
        <f t="shared" si="232"/>
        <v>9653.2841332999997</v>
      </c>
      <c r="FD102" s="52"/>
      <c r="FE102" s="52"/>
      <c r="FF102" s="52"/>
      <c r="FG102" s="55">
        <f t="shared" si="233"/>
        <v>833.54340000000002</v>
      </c>
      <c r="FH102" s="55">
        <f t="shared" si="233"/>
        <v>1363.32</v>
      </c>
      <c r="FI102" s="55">
        <f t="shared" si="233"/>
        <v>10600.253767800001</v>
      </c>
      <c r="FJ102" s="55">
        <f t="shared" si="233"/>
        <v>8479.4792325999988</v>
      </c>
      <c r="FK102" s="298">
        <f t="shared" si="234"/>
        <v>0.37942431923623471</v>
      </c>
      <c r="FL102" s="52"/>
      <c r="FM102" s="55">
        <f t="shared" si="235"/>
        <v>10600.253767800001</v>
      </c>
      <c r="FN102" s="55">
        <f t="shared" si="235"/>
        <v>8479.4792325999988</v>
      </c>
      <c r="FO102" s="55">
        <f t="shared" si="235"/>
        <v>10600.253767800001</v>
      </c>
      <c r="FP102" s="55">
        <f t="shared" si="235"/>
        <v>8479.4792325999988</v>
      </c>
      <c r="FR102" s="52"/>
      <c r="FS102" s="52"/>
      <c r="FT102" s="52"/>
      <c r="FU102" s="55">
        <f t="shared" si="236"/>
        <v>696.51330000000007</v>
      </c>
      <c r="FV102" s="55">
        <f t="shared" si="236"/>
        <v>1227.6467</v>
      </c>
      <c r="FW102" s="55">
        <f t="shared" si="236"/>
        <v>445.99236400000007</v>
      </c>
      <c r="FX102" s="55">
        <f t="shared" si="236"/>
        <v>358.09101319999996</v>
      </c>
      <c r="FY102" s="298">
        <f t="shared" si="237"/>
        <v>0.36198304714784635</v>
      </c>
      <c r="FZ102" s="52"/>
      <c r="GA102" s="55">
        <f t="shared" si="238"/>
        <v>445.99236400000007</v>
      </c>
      <c r="GB102" s="55">
        <f t="shared" si="238"/>
        <v>358.09101319999996</v>
      </c>
      <c r="GC102" s="55">
        <f t="shared" si="238"/>
        <v>445.99236400000007</v>
      </c>
      <c r="GD102" s="55">
        <f t="shared" si="238"/>
        <v>358.09101319999996</v>
      </c>
      <c r="GF102" s="52"/>
      <c r="GG102" s="52"/>
      <c r="GH102" s="52"/>
      <c r="GI102" s="55">
        <f t="shared" si="239"/>
        <v>429.98839999999996</v>
      </c>
      <c r="GJ102" s="55">
        <f t="shared" si="239"/>
        <v>661.69330000000002</v>
      </c>
      <c r="GK102" s="56">
        <f t="shared" si="240"/>
        <v>1778.2578494999998</v>
      </c>
      <c r="GL102" s="56">
        <f t="shared" si="240"/>
        <v>1467.2247795000005</v>
      </c>
      <c r="GM102" s="298">
        <f t="shared" si="241"/>
        <v>0.39387707973853542</v>
      </c>
      <c r="GN102" s="52"/>
      <c r="GO102" s="56">
        <f t="shared" si="242"/>
        <v>1778.2578494999998</v>
      </c>
      <c r="GP102" s="56">
        <f t="shared" si="242"/>
        <v>1467.2247795000005</v>
      </c>
      <c r="GQ102" s="56">
        <f t="shared" si="242"/>
        <v>1778.2578494999998</v>
      </c>
      <c r="GR102" s="56">
        <f t="shared" si="242"/>
        <v>1467.2247795000005</v>
      </c>
      <c r="GW102" s="275">
        <v>8.8482000000000003</v>
      </c>
      <c r="GX102" s="275">
        <v>3.8714</v>
      </c>
      <c r="GY102" s="275">
        <v>0</v>
      </c>
      <c r="GZ102" s="275">
        <v>35.508299999999998</v>
      </c>
      <c r="HA102" s="275">
        <v>39.034999999999997</v>
      </c>
      <c r="HB102" s="49">
        <f t="shared" si="243"/>
        <v>5811.4092780000001</v>
      </c>
      <c r="HC102" s="49">
        <f t="shared" si="244"/>
        <v>5256.625634</v>
      </c>
      <c r="HD102" s="47">
        <f t="shared" si="245"/>
        <v>0</v>
      </c>
      <c r="HE102" s="47">
        <f t="shared" si="298"/>
        <v>0</v>
      </c>
      <c r="HF102" s="48">
        <f t="shared" si="299"/>
        <v>5811.4092780000001</v>
      </c>
      <c r="HG102" s="48">
        <f t="shared" si="300"/>
        <v>5256.625634</v>
      </c>
      <c r="HH102" s="93">
        <f t="shared" si="301"/>
        <v>5811.4092780000001</v>
      </c>
      <c r="HI102" s="93">
        <f t="shared" si="302"/>
        <v>5256.625634</v>
      </c>
      <c r="HJ102" s="298">
        <f t="shared" si="246"/>
        <v>0.47634462117990489</v>
      </c>
      <c r="HL102" s="275">
        <v>11.387</v>
      </c>
      <c r="HM102" s="275">
        <v>6.9459999999999997</v>
      </c>
      <c r="HN102" s="275">
        <v>0</v>
      </c>
      <c r="HO102" s="275">
        <v>17.9025</v>
      </c>
      <c r="HP102" s="275">
        <v>29.25</v>
      </c>
      <c r="HQ102" s="49">
        <f t="shared" si="247"/>
        <v>6053.8985499999999</v>
      </c>
      <c r="HR102" s="49">
        <f t="shared" si="248"/>
        <v>5386.8313799999996</v>
      </c>
      <c r="HS102" s="47">
        <f t="shared" si="249"/>
        <v>0</v>
      </c>
      <c r="HT102" s="47">
        <f t="shared" si="303"/>
        <v>0</v>
      </c>
      <c r="HU102" s="48">
        <f t="shared" si="304"/>
        <v>6053.8985499999999</v>
      </c>
      <c r="HV102" s="48">
        <f t="shared" si="305"/>
        <v>5386.8313799999996</v>
      </c>
      <c r="HW102" s="93">
        <f t="shared" si="306"/>
        <v>6053.8985499999999</v>
      </c>
      <c r="HX102" s="93">
        <f t="shared" si="307"/>
        <v>5386.8313799999996</v>
      </c>
      <c r="HY102" s="298">
        <f t="shared" si="250"/>
        <v>0.37967233974868775</v>
      </c>
    </row>
    <row r="103" spans="1:233" s="131" customFormat="1" x14ac:dyDescent="0.2">
      <c r="A103" s="118">
        <v>93</v>
      </c>
      <c r="B103" s="118"/>
      <c r="C103" s="275">
        <v>6.2507999999999999</v>
      </c>
      <c r="D103" s="275">
        <v>2.9234</v>
      </c>
      <c r="E103" s="275">
        <v>0</v>
      </c>
      <c r="F103" s="275">
        <v>203.2775</v>
      </c>
      <c r="G103" s="275">
        <v>333.99669999999998</v>
      </c>
      <c r="H103" s="49">
        <f t="shared" si="218"/>
        <v>6182.3537399999996</v>
      </c>
      <c r="I103" s="49">
        <f t="shared" si="218"/>
        <v>5267.4405879999995</v>
      </c>
      <c r="J103" s="47">
        <f t="shared" si="218"/>
        <v>0</v>
      </c>
      <c r="K103" s="47">
        <f t="shared" si="251"/>
        <v>0</v>
      </c>
      <c r="L103" s="48">
        <f t="shared" si="252"/>
        <v>6182.3537399999996</v>
      </c>
      <c r="M103" s="48">
        <f t="shared" si="253"/>
        <v>5267.4405879999995</v>
      </c>
      <c r="N103" s="93">
        <f t="shared" si="254"/>
        <v>6182.3537399999996</v>
      </c>
      <c r="O103" s="93">
        <f t="shared" si="255"/>
        <v>5267.4405879999995</v>
      </c>
      <c r="P103" s="298">
        <f t="shared" si="219"/>
        <v>0.37834963971841568</v>
      </c>
      <c r="Q103" s="275">
        <v>9.6003000000000007</v>
      </c>
      <c r="R103" s="275">
        <v>4.3056999999999999</v>
      </c>
      <c r="S103" s="275">
        <v>0</v>
      </c>
      <c r="T103" s="275">
        <v>54.864199999999997</v>
      </c>
      <c r="U103" s="275">
        <v>73.4392</v>
      </c>
      <c r="V103" s="49">
        <f t="shared" si="220"/>
        <v>5884.8878970000005</v>
      </c>
      <c r="W103" s="49">
        <f t="shared" si="220"/>
        <v>4997.4537620000001</v>
      </c>
      <c r="X103" s="47">
        <f t="shared" si="220"/>
        <v>0</v>
      </c>
      <c r="Y103" s="47">
        <f t="shared" si="256"/>
        <v>0</v>
      </c>
      <c r="Z103" s="48">
        <f t="shared" si="257"/>
        <v>5884.8878970000005</v>
      </c>
      <c r="AA103" s="48">
        <f t="shared" si="258"/>
        <v>4997.4537620000001</v>
      </c>
      <c r="AB103" s="93">
        <f t="shared" si="259"/>
        <v>5884.8878970000005</v>
      </c>
      <c r="AC103" s="93">
        <f t="shared" si="260"/>
        <v>4997.4537620000001</v>
      </c>
      <c r="AD103" s="118"/>
      <c r="AE103" s="275">
        <v>14.133900000000001</v>
      </c>
      <c r="AF103" s="275">
        <v>4.9668999999999999</v>
      </c>
      <c r="AG103" s="275">
        <v>0</v>
      </c>
      <c r="AH103" s="275">
        <v>7.5374999999999996</v>
      </c>
      <c r="AI103" s="275">
        <v>12.1958</v>
      </c>
      <c r="AJ103" s="49">
        <f t="shared" si="221"/>
        <v>6626.9616930000002</v>
      </c>
      <c r="AK103" s="49">
        <f t="shared" si="221"/>
        <v>5646.2725819999996</v>
      </c>
      <c r="AL103" s="47">
        <f t="shared" si="221"/>
        <v>0</v>
      </c>
      <c r="AM103" s="47">
        <f t="shared" si="261"/>
        <v>0</v>
      </c>
      <c r="AN103" s="48">
        <f t="shared" si="262"/>
        <v>6626.9616930000002</v>
      </c>
      <c r="AO103" s="48">
        <f t="shared" si="263"/>
        <v>5646.2725819999996</v>
      </c>
      <c r="AP103" s="93">
        <f t="shared" si="264"/>
        <v>6626.9616930000002</v>
      </c>
      <c r="AQ103" s="93">
        <f t="shared" si="265"/>
        <v>5646.2725819999996</v>
      </c>
      <c r="AR103" s="118"/>
      <c r="AS103" s="275">
        <v>17.546299999999999</v>
      </c>
      <c r="AT103" s="275">
        <v>6.5448000000000004</v>
      </c>
      <c r="AU103" s="275">
        <v>0</v>
      </c>
      <c r="AV103" s="275">
        <v>216.46080000000001</v>
      </c>
      <c r="AW103" s="275">
        <v>387.56</v>
      </c>
      <c r="AX103" s="49">
        <f t="shared" si="222"/>
        <v>6114.0082349999993</v>
      </c>
      <c r="AY103" s="49">
        <f t="shared" si="222"/>
        <v>4580.5091760000005</v>
      </c>
      <c r="AZ103" s="47">
        <f t="shared" si="222"/>
        <v>0</v>
      </c>
      <c r="BA103" s="47">
        <f t="shared" si="266"/>
        <v>0</v>
      </c>
      <c r="BB103" s="48">
        <f t="shared" si="267"/>
        <v>6114.0082349999993</v>
      </c>
      <c r="BC103" s="48">
        <f t="shared" si="268"/>
        <v>4580.5091760000005</v>
      </c>
      <c r="BD103" s="93">
        <f t="shared" si="269"/>
        <v>6114.0082349999993</v>
      </c>
      <c r="BE103" s="93">
        <f t="shared" si="270"/>
        <v>4580.5091760000005</v>
      </c>
      <c r="BF103" s="118"/>
      <c r="BG103" s="275">
        <v>16.9129</v>
      </c>
      <c r="BH103" s="275">
        <v>7.2881</v>
      </c>
      <c r="BI103" s="275">
        <v>0</v>
      </c>
      <c r="BJ103" s="275">
        <v>157.73330000000001</v>
      </c>
      <c r="BK103" s="275">
        <v>274.87670000000003</v>
      </c>
      <c r="BL103" s="49">
        <f t="shared" si="223"/>
        <v>5720.281038000001</v>
      </c>
      <c r="BM103" s="49">
        <f t="shared" si="223"/>
        <v>4361.6363259999998</v>
      </c>
      <c r="BN103" s="47">
        <f t="shared" si="223"/>
        <v>0</v>
      </c>
      <c r="BO103" s="47">
        <f t="shared" si="271"/>
        <v>0</v>
      </c>
      <c r="BP103" s="48">
        <f t="shared" si="272"/>
        <v>5720.281038000001</v>
      </c>
      <c r="BQ103" s="48">
        <f t="shared" si="273"/>
        <v>4361.6363259999998</v>
      </c>
      <c r="BR103" s="93">
        <f t="shared" si="274"/>
        <v>5720.281038000001</v>
      </c>
      <c r="BS103" s="93">
        <f t="shared" si="275"/>
        <v>4361.6363259999998</v>
      </c>
      <c r="BT103" s="118"/>
      <c r="BU103" s="275">
        <v>15.739599999999999</v>
      </c>
      <c r="BV103" s="275">
        <v>7.2990000000000004</v>
      </c>
      <c r="BW103" s="275">
        <v>0</v>
      </c>
      <c r="BX103" s="275">
        <v>114.4408</v>
      </c>
      <c r="BY103" s="275">
        <v>162.58920000000001</v>
      </c>
      <c r="BZ103" s="49">
        <f t="shared" si="224"/>
        <v>3701.0095439999996</v>
      </c>
      <c r="CA103" s="49">
        <f t="shared" si="224"/>
        <v>2624.2094699999998</v>
      </c>
      <c r="CB103" s="47">
        <f t="shared" si="224"/>
        <v>0</v>
      </c>
      <c r="CC103" s="47">
        <f t="shared" si="276"/>
        <v>0</v>
      </c>
      <c r="CD103" s="48">
        <f t="shared" si="277"/>
        <v>3701.0095439999996</v>
      </c>
      <c r="CE103" s="48">
        <f t="shared" si="278"/>
        <v>2624.2094699999998</v>
      </c>
      <c r="CF103" s="93">
        <f t="shared" si="279"/>
        <v>3701.0095439999996</v>
      </c>
      <c r="CG103" s="93">
        <f t="shared" si="280"/>
        <v>2624.2094699999998</v>
      </c>
      <c r="CH103" s="118"/>
      <c r="CI103" s="275">
        <v>0.75739999999999996</v>
      </c>
      <c r="CJ103" s="275">
        <v>0.43709999999999999</v>
      </c>
      <c r="CK103" s="275">
        <v>0</v>
      </c>
      <c r="CL103" s="275">
        <v>422.4425</v>
      </c>
      <c r="CM103" s="275">
        <v>729.83420000000001</v>
      </c>
      <c r="CN103" s="49">
        <f t="shared" si="225"/>
        <v>156.32736</v>
      </c>
      <c r="CO103" s="49">
        <f t="shared" si="225"/>
        <v>117.064122</v>
      </c>
      <c r="CP103" s="47">
        <f t="shared" si="225"/>
        <v>0</v>
      </c>
      <c r="CQ103" s="47">
        <f t="shared" si="281"/>
        <v>0</v>
      </c>
      <c r="CR103" s="48">
        <f t="shared" si="282"/>
        <v>156.32736</v>
      </c>
      <c r="CS103" s="48">
        <f t="shared" si="283"/>
        <v>117.064122</v>
      </c>
      <c r="CT103" s="93">
        <f t="shared" si="284"/>
        <v>156.32736</v>
      </c>
      <c r="CU103" s="93">
        <f t="shared" si="285"/>
        <v>117.064122</v>
      </c>
      <c r="CV103" s="118"/>
      <c r="CW103" s="275">
        <v>1.5697000000000001</v>
      </c>
      <c r="CX103" s="275">
        <v>0.94889999999999997</v>
      </c>
      <c r="CY103" s="275">
        <v>0</v>
      </c>
      <c r="CZ103" s="275">
        <v>161.33420000000001</v>
      </c>
      <c r="DA103" s="275">
        <v>256.30579999999998</v>
      </c>
      <c r="DB103" s="49">
        <f t="shared" si="226"/>
        <v>325.85402300000004</v>
      </c>
      <c r="DC103" s="49">
        <f t="shared" si="226"/>
        <v>267.12483900000001</v>
      </c>
      <c r="DD103" s="47">
        <f t="shared" si="226"/>
        <v>0</v>
      </c>
      <c r="DE103" s="47">
        <f t="shared" si="286"/>
        <v>0</v>
      </c>
      <c r="DF103" s="48">
        <f t="shared" si="287"/>
        <v>325.85402300000004</v>
      </c>
      <c r="DG103" s="48">
        <f t="shared" si="288"/>
        <v>267.12483900000001</v>
      </c>
      <c r="DH103" s="93">
        <f t="shared" si="289"/>
        <v>325.85402300000004</v>
      </c>
      <c r="DI103" s="93">
        <f t="shared" si="290"/>
        <v>267.12483900000001</v>
      </c>
      <c r="DJ103" s="118"/>
      <c r="DK103" s="275">
        <v>2.2067999999999999</v>
      </c>
      <c r="DL103" s="275">
        <v>1.0236000000000001</v>
      </c>
      <c r="DM103" s="275">
        <v>0</v>
      </c>
      <c r="DN103" s="275">
        <v>118.4267</v>
      </c>
      <c r="DO103" s="275">
        <v>247.815</v>
      </c>
      <c r="DP103" s="49">
        <f t="shared" si="227"/>
        <v>300.65443199999999</v>
      </c>
      <c r="DQ103" s="49">
        <f t="shared" si="227"/>
        <v>201.96651600000001</v>
      </c>
      <c r="DR103" s="47">
        <f t="shared" si="227"/>
        <v>0</v>
      </c>
      <c r="DS103" s="47">
        <f t="shared" si="291"/>
        <v>0</v>
      </c>
      <c r="DT103" s="48">
        <f t="shared" si="292"/>
        <v>300.65443199999999</v>
      </c>
      <c r="DU103" s="48">
        <f t="shared" si="293"/>
        <v>201.96651600000001</v>
      </c>
      <c r="DV103" s="93">
        <f t="shared" si="294"/>
        <v>300.65443199999999</v>
      </c>
      <c r="DW103" s="93">
        <f t="shared" si="295"/>
        <v>201.96651600000001</v>
      </c>
      <c r="DX103" s="118"/>
      <c r="DY103" s="118"/>
      <c r="DZ103" s="118"/>
      <c r="EB103" s="52"/>
      <c r="EC103" s="52"/>
      <c r="ED103" s="52"/>
      <c r="EE103" s="55">
        <f t="shared" si="296"/>
        <v>1003.515</v>
      </c>
      <c r="EF103" s="55">
        <f t="shared" si="296"/>
        <v>1707.6967</v>
      </c>
      <c r="EG103" s="55">
        <f t="shared" si="296"/>
        <v>12713.372553399999</v>
      </c>
      <c r="EH103" s="55">
        <f t="shared" si="228"/>
        <v>10178.713757200001</v>
      </c>
      <c r="EI103" s="298">
        <f t="shared" si="229"/>
        <v>0.37013524248217139</v>
      </c>
      <c r="EJ103" s="52"/>
      <c r="EK103" s="55">
        <f t="shared" si="297"/>
        <v>12713.372553399999</v>
      </c>
      <c r="EL103" s="55">
        <f t="shared" si="297"/>
        <v>10178.713757200001</v>
      </c>
      <c r="EM103" s="55">
        <f t="shared" si="297"/>
        <v>12713.372553399999</v>
      </c>
      <c r="EN103" s="55">
        <f t="shared" si="297"/>
        <v>10178.713757200001</v>
      </c>
      <c r="EP103" s="52"/>
      <c r="EQ103" s="52"/>
      <c r="ER103" s="52"/>
      <c r="ES103" s="55">
        <f t="shared" si="230"/>
        <v>796.37419999999997</v>
      </c>
      <c r="ET103" s="55">
        <f t="shared" si="230"/>
        <v>1334.4558999999999</v>
      </c>
      <c r="EU103" s="55">
        <f t="shared" si="230"/>
        <v>11989.594111100001</v>
      </c>
      <c r="EV103" s="55">
        <f t="shared" si="230"/>
        <v>9663.1415973000003</v>
      </c>
      <c r="EW103" s="298">
        <f t="shared" si="231"/>
        <v>0.37373894802781316</v>
      </c>
      <c r="EX103" s="52"/>
      <c r="EY103" s="55">
        <f t="shared" si="232"/>
        <v>11989.594111100001</v>
      </c>
      <c r="EZ103" s="55">
        <f t="shared" si="232"/>
        <v>9663.1415973000003</v>
      </c>
      <c r="FA103" s="55">
        <f t="shared" si="232"/>
        <v>11989.594111100001</v>
      </c>
      <c r="FB103" s="55">
        <f t="shared" si="232"/>
        <v>9663.1415973000003</v>
      </c>
      <c r="FD103" s="52"/>
      <c r="FE103" s="52"/>
      <c r="FF103" s="52"/>
      <c r="FG103" s="55">
        <f t="shared" si="233"/>
        <v>662.84749999999997</v>
      </c>
      <c r="FH103" s="55">
        <f t="shared" si="233"/>
        <v>1152.4341999999999</v>
      </c>
      <c r="FI103" s="55">
        <f t="shared" si="233"/>
        <v>10664.6912562</v>
      </c>
      <c r="FJ103" s="55">
        <f t="shared" si="233"/>
        <v>8508.7260835999987</v>
      </c>
      <c r="FK103" s="298">
        <f t="shared" si="234"/>
        <v>0.36514856068895529</v>
      </c>
      <c r="FL103" s="52"/>
      <c r="FM103" s="55">
        <f t="shared" si="235"/>
        <v>10664.6912562</v>
      </c>
      <c r="FN103" s="55">
        <f t="shared" si="235"/>
        <v>8508.7260835999987</v>
      </c>
      <c r="FO103" s="55">
        <f t="shared" si="235"/>
        <v>10664.6912562</v>
      </c>
      <c r="FP103" s="55">
        <f t="shared" si="235"/>
        <v>8508.7260835999987</v>
      </c>
      <c r="FR103" s="52"/>
      <c r="FS103" s="52"/>
      <c r="FT103" s="52"/>
      <c r="FU103" s="55">
        <f t="shared" si="236"/>
        <v>583.77670000000001</v>
      </c>
      <c r="FV103" s="55">
        <f t="shared" si="236"/>
        <v>986.14</v>
      </c>
      <c r="FW103" s="55">
        <f t="shared" si="236"/>
        <v>417.01057840000004</v>
      </c>
      <c r="FX103" s="55">
        <f t="shared" si="236"/>
        <v>330.76399320000002</v>
      </c>
      <c r="FY103" s="298">
        <f t="shared" si="237"/>
        <v>0.3718520224671793</v>
      </c>
      <c r="FZ103" s="52"/>
      <c r="GA103" s="55">
        <f t="shared" si="238"/>
        <v>417.01057840000004</v>
      </c>
      <c r="GB103" s="55">
        <f t="shared" si="238"/>
        <v>330.76399320000002</v>
      </c>
      <c r="GC103" s="55">
        <f t="shared" si="238"/>
        <v>417.01057840000004</v>
      </c>
      <c r="GD103" s="55">
        <f t="shared" si="238"/>
        <v>330.76399320000002</v>
      </c>
      <c r="GF103" s="52"/>
      <c r="GG103" s="52"/>
      <c r="GH103" s="52"/>
      <c r="GI103" s="55">
        <f t="shared" si="239"/>
        <v>330.90160000000003</v>
      </c>
      <c r="GJ103" s="55">
        <f t="shared" si="239"/>
        <v>550.14920000000006</v>
      </c>
      <c r="GK103" s="56">
        <f t="shared" si="240"/>
        <v>1809.7490182499998</v>
      </c>
      <c r="GL103" s="56">
        <f t="shared" si="240"/>
        <v>1467.2247795000005</v>
      </c>
      <c r="GM103" s="298">
        <f t="shared" si="241"/>
        <v>0.37557607347953148</v>
      </c>
      <c r="GN103" s="52"/>
      <c r="GO103" s="56">
        <f t="shared" si="242"/>
        <v>1809.7490182499998</v>
      </c>
      <c r="GP103" s="56">
        <f t="shared" si="242"/>
        <v>1467.2247795000005</v>
      </c>
      <c r="GQ103" s="56">
        <f t="shared" si="242"/>
        <v>1809.7490182499998</v>
      </c>
      <c r="GR103" s="56">
        <f t="shared" si="242"/>
        <v>1467.2247795000005</v>
      </c>
      <c r="GW103" s="275">
        <v>8.9479000000000006</v>
      </c>
      <c r="GX103" s="275">
        <v>3.9121000000000001</v>
      </c>
      <c r="GY103" s="275">
        <v>0</v>
      </c>
      <c r="GZ103" s="275">
        <v>19.765799999999999</v>
      </c>
      <c r="HA103" s="275">
        <v>26.341699999999999</v>
      </c>
      <c r="HB103" s="49">
        <f t="shared" si="243"/>
        <v>5876.8912410000003</v>
      </c>
      <c r="HC103" s="49">
        <f t="shared" si="244"/>
        <v>5311.8885010000004</v>
      </c>
      <c r="HD103" s="47">
        <f t="shared" si="245"/>
        <v>0</v>
      </c>
      <c r="HE103" s="47">
        <f t="shared" si="298"/>
        <v>0</v>
      </c>
      <c r="HF103" s="48">
        <f t="shared" si="299"/>
        <v>5876.8912410000003</v>
      </c>
      <c r="HG103" s="48">
        <f t="shared" si="300"/>
        <v>5311.8885010000004</v>
      </c>
      <c r="HH103" s="93">
        <f t="shared" si="301"/>
        <v>5876.8912410000003</v>
      </c>
      <c r="HI103" s="93">
        <f t="shared" si="302"/>
        <v>5311.8885010000004</v>
      </c>
      <c r="HJ103" s="298">
        <f t="shared" si="246"/>
        <v>0.42868947568183047</v>
      </c>
      <c r="HL103" s="275">
        <v>11.5671</v>
      </c>
      <c r="HM103" s="275">
        <v>7.0202</v>
      </c>
      <c r="HN103" s="275">
        <v>0</v>
      </c>
      <c r="HO103" s="275">
        <v>23.65</v>
      </c>
      <c r="HP103" s="275">
        <v>21.223299999999998</v>
      </c>
      <c r="HQ103" s="49">
        <f t="shared" si="247"/>
        <v>6149.6487149999994</v>
      </c>
      <c r="HR103" s="49">
        <f t="shared" si="248"/>
        <v>5444.3757059999998</v>
      </c>
      <c r="HS103" s="47">
        <f t="shared" si="249"/>
        <v>0</v>
      </c>
      <c r="HT103" s="47">
        <f t="shared" si="303"/>
        <v>0</v>
      </c>
      <c r="HU103" s="48">
        <f t="shared" si="304"/>
        <v>6149.6487149999994</v>
      </c>
      <c r="HV103" s="48">
        <f t="shared" si="305"/>
        <v>5444.3757059999998</v>
      </c>
      <c r="HW103" s="93">
        <f t="shared" si="306"/>
        <v>6149.6487149999994</v>
      </c>
      <c r="HX103" s="93">
        <f t="shared" si="307"/>
        <v>5444.3757059999998</v>
      </c>
      <c r="HY103" s="298">
        <f t="shared" si="250"/>
        <v>0.52703946444767824</v>
      </c>
    </row>
    <row r="104" spans="1:233" s="131" customFormat="1" x14ac:dyDescent="0.2">
      <c r="A104" s="118">
        <v>94</v>
      </c>
      <c r="B104" s="118"/>
      <c r="C104" s="275">
        <v>6.3182</v>
      </c>
      <c r="D104" s="275">
        <v>2.9430999999999998</v>
      </c>
      <c r="E104" s="275">
        <v>0</v>
      </c>
      <c r="F104" s="275">
        <v>127.4158</v>
      </c>
      <c r="G104" s="275">
        <v>278.12079999999997</v>
      </c>
      <c r="H104" s="49">
        <f t="shared" si="218"/>
        <v>6249.0157099999997</v>
      </c>
      <c r="I104" s="49">
        <f t="shared" si="218"/>
        <v>5302.9364419999993</v>
      </c>
      <c r="J104" s="47">
        <f t="shared" si="218"/>
        <v>0</v>
      </c>
      <c r="K104" s="47">
        <f t="shared" si="251"/>
        <v>0</v>
      </c>
      <c r="L104" s="48">
        <f t="shared" si="252"/>
        <v>6249.0157099999997</v>
      </c>
      <c r="M104" s="48">
        <f t="shared" si="253"/>
        <v>5302.9364419999993</v>
      </c>
      <c r="N104" s="93">
        <f t="shared" si="254"/>
        <v>6249.0157099999997</v>
      </c>
      <c r="O104" s="93">
        <f t="shared" si="255"/>
        <v>5302.9364419999993</v>
      </c>
      <c r="P104" s="298">
        <f t="shared" si="219"/>
        <v>0.31419063038946426</v>
      </c>
      <c r="Q104" s="275">
        <v>9.6241000000000003</v>
      </c>
      <c r="R104" s="275">
        <v>4.3352000000000004</v>
      </c>
      <c r="S104" s="275">
        <v>0</v>
      </c>
      <c r="T104" s="275">
        <v>34.629199999999997</v>
      </c>
      <c r="U104" s="275">
        <v>63.3292</v>
      </c>
      <c r="V104" s="49">
        <f t="shared" si="220"/>
        <v>5899.4770590000007</v>
      </c>
      <c r="W104" s="49">
        <f t="shared" si="220"/>
        <v>5031.6932320000005</v>
      </c>
      <c r="X104" s="47">
        <f t="shared" si="220"/>
        <v>0</v>
      </c>
      <c r="Y104" s="47">
        <f t="shared" si="256"/>
        <v>0</v>
      </c>
      <c r="Z104" s="48">
        <f t="shared" si="257"/>
        <v>5899.4770590000007</v>
      </c>
      <c r="AA104" s="48">
        <f t="shared" si="258"/>
        <v>5031.6932320000005</v>
      </c>
      <c r="AB104" s="93">
        <f t="shared" si="259"/>
        <v>5899.4770590000007</v>
      </c>
      <c r="AC104" s="93">
        <f t="shared" si="260"/>
        <v>5031.6932320000005</v>
      </c>
      <c r="AD104" s="118"/>
      <c r="AE104" s="275">
        <v>14.2944</v>
      </c>
      <c r="AF104" s="275">
        <v>5.0061</v>
      </c>
      <c r="AG104" s="275">
        <v>0</v>
      </c>
      <c r="AH104" s="275">
        <v>10</v>
      </c>
      <c r="AI104" s="275">
        <v>14.452500000000001</v>
      </c>
      <c r="AJ104" s="49">
        <f t="shared" si="221"/>
        <v>6702.2153280000002</v>
      </c>
      <c r="AK104" s="49">
        <f t="shared" si="221"/>
        <v>5690.8343580000001</v>
      </c>
      <c r="AL104" s="47">
        <f t="shared" si="221"/>
        <v>0</v>
      </c>
      <c r="AM104" s="47">
        <f t="shared" si="261"/>
        <v>0</v>
      </c>
      <c r="AN104" s="48">
        <f t="shared" si="262"/>
        <v>6702.2153280000002</v>
      </c>
      <c r="AO104" s="48">
        <f t="shared" si="263"/>
        <v>5690.8343580000001</v>
      </c>
      <c r="AP104" s="93">
        <f t="shared" si="264"/>
        <v>6702.2153280000002</v>
      </c>
      <c r="AQ104" s="93">
        <f t="shared" si="265"/>
        <v>5690.8343580000001</v>
      </c>
      <c r="AR104" s="118"/>
      <c r="AS104" s="275">
        <v>17.662700000000001</v>
      </c>
      <c r="AT104" s="275">
        <v>6.5448000000000004</v>
      </c>
      <c r="AU104" s="275">
        <v>0</v>
      </c>
      <c r="AV104" s="275">
        <v>156.25</v>
      </c>
      <c r="AW104" s="275">
        <v>302.2842</v>
      </c>
      <c r="AX104" s="49">
        <f t="shared" si="222"/>
        <v>6154.5678150000003</v>
      </c>
      <c r="AY104" s="49">
        <f t="shared" si="222"/>
        <v>4580.5091760000005</v>
      </c>
      <c r="AZ104" s="47">
        <f t="shared" si="222"/>
        <v>0</v>
      </c>
      <c r="BA104" s="47">
        <f t="shared" si="266"/>
        <v>0</v>
      </c>
      <c r="BB104" s="48">
        <f t="shared" si="267"/>
        <v>6154.5678150000003</v>
      </c>
      <c r="BC104" s="48">
        <f t="shared" si="268"/>
        <v>4580.5091760000005</v>
      </c>
      <c r="BD104" s="93">
        <f t="shared" si="269"/>
        <v>6154.5678150000003</v>
      </c>
      <c r="BE104" s="93">
        <f t="shared" si="270"/>
        <v>4580.5091760000005</v>
      </c>
      <c r="BF104" s="118"/>
      <c r="BG104" s="275">
        <v>16.965299999999999</v>
      </c>
      <c r="BH104" s="275">
        <v>7.2881</v>
      </c>
      <c r="BI104" s="275">
        <v>0</v>
      </c>
      <c r="BJ104" s="275">
        <v>114.2208</v>
      </c>
      <c r="BK104" s="275">
        <v>235.95</v>
      </c>
      <c r="BL104" s="49">
        <f t="shared" si="223"/>
        <v>5738.0037659999998</v>
      </c>
      <c r="BM104" s="49">
        <f t="shared" si="223"/>
        <v>4361.6363259999998</v>
      </c>
      <c r="BN104" s="47">
        <f t="shared" si="223"/>
        <v>0</v>
      </c>
      <c r="BO104" s="47">
        <f t="shared" si="271"/>
        <v>0</v>
      </c>
      <c r="BP104" s="48">
        <f t="shared" si="272"/>
        <v>5738.0037659999998</v>
      </c>
      <c r="BQ104" s="48">
        <f t="shared" si="273"/>
        <v>4361.6363259999998</v>
      </c>
      <c r="BR104" s="93">
        <f t="shared" si="274"/>
        <v>5738.0037659999998</v>
      </c>
      <c r="BS104" s="93">
        <f t="shared" si="275"/>
        <v>4361.6363259999998</v>
      </c>
      <c r="BT104" s="118"/>
      <c r="BU104" s="275">
        <v>15.739599999999999</v>
      </c>
      <c r="BV104" s="275">
        <v>7.2990000000000004</v>
      </c>
      <c r="BW104" s="275">
        <v>0</v>
      </c>
      <c r="BX104" s="275">
        <v>65.671700000000001</v>
      </c>
      <c r="BY104" s="275">
        <v>143.5067</v>
      </c>
      <c r="BZ104" s="49">
        <f t="shared" si="224"/>
        <v>3701.0095439999996</v>
      </c>
      <c r="CA104" s="49">
        <f t="shared" si="224"/>
        <v>2624.2094699999998</v>
      </c>
      <c r="CB104" s="47">
        <f t="shared" si="224"/>
        <v>0</v>
      </c>
      <c r="CC104" s="47">
        <f t="shared" si="276"/>
        <v>0</v>
      </c>
      <c r="CD104" s="48">
        <f t="shared" si="277"/>
        <v>3701.0095439999996</v>
      </c>
      <c r="CE104" s="48">
        <f t="shared" si="278"/>
        <v>2624.2094699999998</v>
      </c>
      <c r="CF104" s="93">
        <f t="shared" si="279"/>
        <v>3701.0095439999996</v>
      </c>
      <c r="CG104" s="93">
        <f t="shared" si="280"/>
        <v>2624.2094699999998</v>
      </c>
      <c r="CH104" s="118"/>
      <c r="CI104" s="275">
        <v>0.72019999999999995</v>
      </c>
      <c r="CJ104" s="275">
        <v>0.40860000000000002</v>
      </c>
      <c r="CK104" s="275">
        <v>0</v>
      </c>
      <c r="CL104" s="275">
        <v>295.98669999999998</v>
      </c>
      <c r="CM104" s="275">
        <v>595.93499999999995</v>
      </c>
      <c r="CN104" s="49">
        <f t="shared" si="225"/>
        <v>148.64928</v>
      </c>
      <c r="CO104" s="49">
        <f t="shared" si="225"/>
        <v>109.431252</v>
      </c>
      <c r="CP104" s="47">
        <f t="shared" si="225"/>
        <v>0</v>
      </c>
      <c r="CQ104" s="47">
        <f t="shared" si="281"/>
        <v>0</v>
      </c>
      <c r="CR104" s="48">
        <f t="shared" si="282"/>
        <v>148.64928</v>
      </c>
      <c r="CS104" s="48">
        <f t="shared" si="283"/>
        <v>109.431252</v>
      </c>
      <c r="CT104" s="93">
        <f t="shared" si="284"/>
        <v>148.64928</v>
      </c>
      <c r="CU104" s="93">
        <f t="shared" si="285"/>
        <v>109.431252</v>
      </c>
      <c r="CV104" s="118"/>
      <c r="CW104" s="275">
        <v>1.4441999999999999</v>
      </c>
      <c r="CX104" s="275">
        <v>0.86580000000000001</v>
      </c>
      <c r="CY104" s="275">
        <v>0</v>
      </c>
      <c r="CZ104" s="275">
        <v>96.790800000000004</v>
      </c>
      <c r="DA104" s="275">
        <v>202.8775</v>
      </c>
      <c r="DB104" s="49">
        <f t="shared" si="226"/>
        <v>299.80147799999997</v>
      </c>
      <c r="DC104" s="49">
        <f t="shared" si="226"/>
        <v>243.731358</v>
      </c>
      <c r="DD104" s="47">
        <f t="shared" si="226"/>
        <v>0</v>
      </c>
      <c r="DE104" s="47">
        <f t="shared" si="286"/>
        <v>0</v>
      </c>
      <c r="DF104" s="48">
        <f t="shared" si="287"/>
        <v>299.80147799999997</v>
      </c>
      <c r="DG104" s="48">
        <f t="shared" si="288"/>
        <v>243.731358</v>
      </c>
      <c r="DH104" s="93">
        <f t="shared" si="289"/>
        <v>299.80147799999997</v>
      </c>
      <c r="DI104" s="93">
        <f t="shared" si="290"/>
        <v>243.731358</v>
      </c>
      <c r="DJ104" s="118"/>
      <c r="DK104" s="275">
        <v>2.0960000000000001</v>
      </c>
      <c r="DL104" s="275">
        <v>0.92210000000000003</v>
      </c>
      <c r="DM104" s="275">
        <v>0</v>
      </c>
      <c r="DN104" s="275">
        <v>97.515000000000001</v>
      </c>
      <c r="DO104" s="275">
        <v>185.1917</v>
      </c>
      <c r="DP104" s="49">
        <f t="shared" si="227"/>
        <v>285.55904000000004</v>
      </c>
      <c r="DQ104" s="49">
        <f t="shared" si="227"/>
        <v>181.93955099999999</v>
      </c>
      <c r="DR104" s="47">
        <f t="shared" si="227"/>
        <v>0</v>
      </c>
      <c r="DS104" s="47">
        <f t="shared" si="291"/>
        <v>0</v>
      </c>
      <c r="DT104" s="48">
        <f t="shared" si="292"/>
        <v>285.55904000000004</v>
      </c>
      <c r="DU104" s="48">
        <f t="shared" si="293"/>
        <v>181.93955099999999</v>
      </c>
      <c r="DV104" s="93">
        <f t="shared" si="294"/>
        <v>285.55904000000004</v>
      </c>
      <c r="DW104" s="93">
        <f t="shared" si="295"/>
        <v>181.93955099999999</v>
      </c>
      <c r="DX104" s="118"/>
      <c r="DY104" s="118"/>
      <c r="DZ104" s="118"/>
      <c r="EB104" s="52"/>
      <c r="EC104" s="52"/>
      <c r="ED104" s="52"/>
      <c r="EE104" s="55">
        <f t="shared" si="296"/>
        <v>676.44329999999991</v>
      </c>
      <c r="EF104" s="55">
        <f t="shared" si="296"/>
        <v>1379.2175</v>
      </c>
      <c r="EG104" s="55">
        <f t="shared" si="296"/>
        <v>12792.073987399999</v>
      </c>
      <c r="EH104" s="55">
        <f t="shared" si="228"/>
        <v>10187.8619564</v>
      </c>
      <c r="EI104" s="298">
        <f t="shared" si="229"/>
        <v>0.3290636762640996</v>
      </c>
      <c r="EJ104" s="52"/>
      <c r="EK104" s="55">
        <f t="shared" si="297"/>
        <v>12792.073987399999</v>
      </c>
      <c r="EL104" s="55">
        <f t="shared" si="297"/>
        <v>10187.8619564</v>
      </c>
      <c r="EM104" s="55">
        <f t="shared" si="297"/>
        <v>12792.073987399999</v>
      </c>
      <c r="EN104" s="55">
        <f t="shared" si="297"/>
        <v>10187.8619564</v>
      </c>
      <c r="EP104" s="52"/>
      <c r="EQ104" s="52"/>
      <c r="ER104" s="52"/>
      <c r="ES104" s="55">
        <f t="shared" si="230"/>
        <v>541.62749999999994</v>
      </c>
      <c r="ET104" s="55">
        <f t="shared" si="230"/>
        <v>1098.0916999999999</v>
      </c>
      <c r="EU104" s="55">
        <f t="shared" si="230"/>
        <v>11995.991139600001</v>
      </c>
      <c r="EV104" s="55">
        <f t="shared" si="230"/>
        <v>9673.3727606000011</v>
      </c>
      <c r="EW104" s="298">
        <f t="shared" si="231"/>
        <v>0.33031722748626713</v>
      </c>
      <c r="EX104" s="52"/>
      <c r="EY104" s="55">
        <f t="shared" si="232"/>
        <v>11995.991139600001</v>
      </c>
      <c r="EZ104" s="55">
        <f t="shared" si="232"/>
        <v>9673.3727606000011</v>
      </c>
      <c r="FA104" s="55">
        <f t="shared" si="232"/>
        <v>11995.991139600001</v>
      </c>
      <c r="FB104" s="55">
        <f t="shared" si="232"/>
        <v>9673.3727606000011</v>
      </c>
      <c r="FD104" s="52"/>
      <c r="FE104" s="52"/>
      <c r="FF104" s="52"/>
      <c r="FG104" s="55">
        <f t="shared" si="233"/>
        <v>469.17339999999996</v>
      </c>
      <c r="FH104" s="55">
        <f t="shared" si="233"/>
        <v>939.08589999999992</v>
      </c>
      <c r="FI104" s="55">
        <f t="shared" si="233"/>
        <v>10723.209575999999</v>
      </c>
      <c r="FJ104" s="55">
        <f t="shared" si="233"/>
        <v>8533.6388105999995</v>
      </c>
      <c r="FK104" s="298">
        <f t="shared" si="234"/>
        <v>0.33315838922562058</v>
      </c>
      <c r="FL104" s="52"/>
      <c r="FM104" s="55">
        <f t="shared" si="235"/>
        <v>10723.209575999999</v>
      </c>
      <c r="FN104" s="55">
        <f t="shared" si="235"/>
        <v>8533.6388105999995</v>
      </c>
      <c r="FO104" s="55">
        <f t="shared" si="235"/>
        <v>10723.209575999999</v>
      </c>
      <c r="FP104" s="55">
        <f t="shared" si="235"/>
        <v>8533.6388105999995</v>
      </c>
      <c r="FR104" s="52"/>
      <c r="FS104" s="52"/>
      <c r="FT104" s="52"/>
      <c r="FU104" s="55">
        <f t="shared" si="236"/>
        <v>392.77749999999997</v>
      </c>
      <c r="FV104" s="55">
        <f t="shared" si="236"/>
        <v>798.8125</v>
      </c>
      <c r="FW104" s="55">
        <f t="shared" si="236"/>
        <v>388.49046239999996</v>
      </c>
      <c r="FX104" s="55">
        <f t="shared" si="236"/>
        <v>304.41633839999997</v>
      </c>
      <c r="FY104" s="298">
        <f t="shared" si="237"/>
        <v>0.32962470312775366</v>
      </c>
      <c r="FZ104" s="52"/>
      <c r="GA104" s="55">
        <f t="shared" si="238"/>
        <v>388.49046239999996</v>
      </c>
      <c r="GB104" s="55">
        <f t="shared" si="238"/>
        <v>304.41633839999997</v>
      </c>
      <c r="GC104" s="55">
        <f t="shared" si="238"/>
        <v>388.49046239999996</v>
      </c>
      <c r="GD104" s="55">
        <f t="shared" si="238"/>
        <v>304.41633839999997</v>
      </c>
      <c r="GF104" s="52"/>
      <c r="GG104" s="52"/>
      <c r="GH104" s="52"/>
      <c r="GI104" s="55">
        <f t="shared" si="239"/>
        <v>221.92169999999999</v>
      </c>
      <c r="GJ104" s="55">
        <f t="shared" si="239"/>
        <v>445.79089999999997</v>
      </c>
      <c r="GK104" s="56">
        <f t="shared" si="240"/>
        <v>1840.1687032500006</v>
      </c>
      <c r="GL104" s="56">
        <f t="shared" si="240"/>
        <v>1467.2247795000005</v>
      </c>
      <c r="GM104" s="298">
        <f t="shared" si="241"/>
        <v>0.3323611086566286</v>
      </c>
      <c r="GN104" s="52"/>
      <c r="GO104" s="56">
        <f t="shared" si="242"/>
        <v>1840.1687032500006</v>
      </c>
      <c r="GP104" s="56">
        <f t="shared" si="242"/>
        <v>1467.2247795000005</v>
      </c>
      <c r="GQ104" s="56">
        <f t="shared" si="242"/>
        <v>1840.1687032500006</v>
      </c>
      <c r="GR104" s="56">
        <f t="shared" si="242"/>
        <v>1467.2247795000005</v>
      </c>
      <c r="GW104" s="275">
        <v>9.0465999999999998</v>
      </c>
      <c r="GX104" s="275">
        <v>3.952</v>
      </c>
      <c r="GY104" s="275">
        <v>0</v>
      </c>
      <c r="GZ104" s="275">
        <v>15.675000000000001</v>
      </c>
      <c r="HA104" s="275">
        <v>23.916699999999999</v>
      </c>
      <c r="HB104" s="49">
        <f t="shared" si="243"/>
        <v>5941.7164139999995</v>
      </c>
      <c r="HC104" s="49">
        <f t="shared" si="244"/>
        <v>5366.0651199999993</v>
      </c>
      <c r="HD104" s="47">
        <f t="shared" si="245"/>
        <v>0</v>
      </c>
      <c r="HE104" s="47">
        <f t="shared" si="298"/>
        <v>0</v>
      </c>
      <c r="HF104" s="48">
        <f t="shared" si="299"/>
        <v>5941.7164139999995</v>
      </c>
      <c r="HG104" s="48">
        <f t="shared" si="300"/>
        <v>5366.0651199999993</v>
      </c>
      <c r="HH104" s="93">
        <f t="shared" si="301"/>
        <v>5941.7164139999995</v>
      </c>
      <c r="HI104" s="93">
        <f t="shared" si="302"/>
        <v>5366.0651199999993</v>
      </c>
      <c r="HJ104" s="298">
        <f t="shared" si="246"/>
        <v>0.39591631579346176</v>
      </c>
      <c r="HL104" s="275">
        <v>11.7446</v>
      </c>
      <c r="HM104" s="275">
        <v>7.0907999999999998</v>
      </c>
      <c r="HN104" s="275">
        <v>0</v>
      </c>
      <c r="HO104" s="275">
        <v>6.9166999999999996</v>
      </c>
      <c r="HP104" s="275">
        <v>13.333299999999999</v>
      </c>
      <c r="HQ104" s="49">
        <f t="shared" si="247"/>
        <v>6244.0165900000002</v>
      </c>
      <c r="HR104" s="49">
        <f t="shared" si="248"/>
        <v>5499.1281239999998</v>
      </c>
      <c r="HS104" s="47">
        <f t="shared" si="249"/>
        <v>0</v>
      </c>
      <c r="HT104" s="47">
        <f t="shared" si="303"/>
        <v>0</v>
      </c>
      <c r="HU104" s="48">
        <f t="shared" si="304"/>
        <v>6244.0165900000002</v>
      </c>
      <c r="HV104" s="48">
        <f t="shared" si="305"/>
        <v>5499.1281239999998</v>
      </c>
      <c r="HW104" s="93">
        <f t="shared" si="306"/>
        <v>6244.0165900000002</v>
      </c>
      <c r="HX104" s="93">
        <f t="shared" si="307"/>
        <v>5499.1281239999998</v>
      </c>
      <c r="HY104" s="298">
        <f t="shared" si="250"/>
        <v>0.34156543209876539</v>
      </c>
    </row>
    <row r="105" spans="1:233" s="131" customFormat="1" x14ac:dyDescent="0.2">
      <c r="A105" s="118">
        <v>95</v>
      </c>
      <c r="B105" s="118"/>
      <c r="C105" s="275">
        <v>6.3853</v>
      </c>
      <c r="D105" s="275">
        <v>2.9626999999999999</v>
      </c>
      <c r="E105" s="275">
        <v>0</v>
      </c>
      <c r="F105" s="275">
        <v>88.95</v>
      </c>
      <c r="G105" s="275">
        <v>210.72749999999999</v>
      </c>
      <c r="H105" s="49">
        <f t="shared" si="218"/>
        <v>6315.3809649999994</v>
      </c>
      <c r="I105" s="49">
        <f t="shared" si="218"/>
        <v>5338.2521139999999</v>
      </c>
      <c r="J105" s="47">
        <f t="shared" si="218"/>
        <v>0</v>
      </c>
      <c r="K105" s="47">
        <f t="shared" si="251"/>
        <v>0</v>
      </c>
      <c r="L105" s="48">
        <f t="shared" si="252"/>
        <v>6315.3809649999994</v>
      </c>
      <c r="M105" s="48">
        <f t="shared" si="253"/>
        <v>5338.2521139999999</v>
      </c>
      <c r="N105" s="93">
        <f t="shared" si="254"/>
        <v>6315.3809649999994</v>
      </c>
      <c r="O105" s="93">
        <f t="shared" si="255"/>
        <v>5338.2521139999999</v>
      </c>
      <c r="P105" s="298">
        <f t="shared" si="219"/>
        <v>0.29681908051154993</v>
      </c>
      <c r="Q105" s="275">
        <v>9.6471999999999998</v>
      </c>
      <c r="R105" s="275">
        <v>4.3647</v>
      </c>
      <c r="S105" s="275">
        <v>0</v>
      </c>
      <c r="T105" s="275">
        <v>25.932500000000001</v>
      </c>
      <c r="U105" s="275">
        <v>46.236699999999999</v>
      </c>
      <c r="V105" s="49">
        <f t="shared" si="220"/>
        <v>5913.6371280000003</v>
      </c>
      <c r="W105" s="49">
        <f t="shared" si="220"/>
        <v>5065.9327020000001</v>
      </c>
      <c r="X105" s="47">
        <f t="shared" si="220"/>
        <v>0</v>
      </c>
      <c r="Y105" s="47">
        <f t="shared" si="256"/>
        <v>0</v>
      </c>
      <c r="Z105" s="48">
        <f t="shared" si="257"/>
        <v>5913.6371280000003</v>
      </c>
      <c r="AA105" s="48">
        <f t="shared" si="258"/>
        <v>5065.9327020000001</v>
      </c>
      <c r="AB105" s="93">
        <f t="shared" si="259"/>
        <v>5913.6371280000003</v>
      </c>
      <c r="AC105" s="93">
        <f t="shared" si="260"/>
        <v>5065.9327020000001</v>
      </c>
      <c r="AD105" s="118"/>
      <c r="AE105" s="275">
        <v>14.4467</v>
      </c>
      <c r="AF105" s="275">
        <v>5.0425000000000004</v>
      </c>
      <c r="AG105" s="275">
        <v>0</v>
      </c>
      <c r="AH105" s="275">
        <v>6.51</v>
      </c>
      <c r="AI105" s="275">
        <v>10</v>
      </c>
      <c r="AJ105" s="49">
        <f t="shared" si="221"/>
        <v>6773.624229</v>
      </c>
      <c r="AK105" s="49">
        <f t="shared" si="221"/>
        <v>5732.2131500000005</v>
      </c>
      <c r="AL105" s="47">
        <f t="shared" si="221"/>
        <v>0</v>
      </c>
      <c r="AM105" s="47">
        <f t="shared" si="261"/>
        <v>0</v>
      </c>
      <c r="AN105" s="48">
        <f t="shared" si="262"/>
        <v>6773.624229</v>
      </c>
      <c r="AO105" s="48">
        <f t="shared" si="263"/>
        <v>5732.2131500000005</v>
      </c>
      <c r="AP105" s="93">
        <f t="shared" si="264"/>
        <v>6773.624229</v>
      </c>
      <c r="AQ105" s="93">
        <f t="shared" si="265"/>
        <v>5732.2131500000005</v>
      </c>
      <c r="AR105" s="118"/>
      <c r="AS105" s="275">
        <v>17.777899999999999</v>
      </c>
      <c r="AT105" s="275">
        <v>6.5448000000000004</v>
      </c>
      <c r="AU105" s="275">
        <v>0</v>
      </c>
      <c r="AV105" s="275">
        <v>118.715</v>
      </c>
      <c r="AW105" s="275">
        <v>237.9658</v>
      </c>
      <c r="AX105" s="49">
        <f t="shared" si="222"/>
        <v>6194.7092549999998</v>
      </c>
      <c r="AY105" s="49">
        <f t="shared" si="222"/>
        <v>4580.5091760000005</v>
      </c>
      <c r="AZ105" s="47">
        <f t="shared" si="222"/>
        <v>0</v>
      </c>
      <c r="BA105" s="47">
        <f t="shared" si="266"/>
        <v>0</v>
      </c>
      <c r="BB105" s="48">
        <f t="shared" si="267"/>
        <v>6194.7092549999998</v>
      </c>
      <c r="BC105" s="48">
        <f t="shared" si="268"/>
        <v>4580.5091760000005</v>
      </c>
      <c r="BD105" s="93">
        <f t="shared" si="269"/>
        <v>6194.7092549999998</v>
      </c>
      <c r="BE105" s="93">
        <f t="shared" si="270"/>
        <v>4580.5091760000005</v>
      </c>
      <c r="BF105" s="118"/>
      <c r="BG105" s="275">
        <v>17.008700000000001</v>
      </c>
      <c r="BH105" s="275">
        <v>7.2881</v>
      </c>
      <c r="BI105" s="275">
        <v>0</v>
      </c>
      <c r="BJ105" s="275">
        <v>78.575000000000003</v>
      </c>
      <c r="BK105" s="275">
        <v>180.79920000000001</v>
      </c>
      <c r="BL105" s="49">
        <f t="shared" si="223"/>
        <v>5752.682514000001</v>
      </c>
      <c r="BM105" s="49">
        <f t="shared" si="223"/>
        <v>4361.6363259999998</v>
      </c>
      <c r="BN105" s="47">
        <f t="shared" si="223"/>
        <v>0</v>
      </c>
      <c r="BO105" s="47">
        <f t="shared" si="271"/>
        <v>0</v>
      </c>
      <c r="BP105" s="48">
        <f t="shared" si="272"/>
        <v>5752.682514000001</v>
      </c>
      <c r="BQ105" s="48">
        <f t="shared" si="273"/>
        <v>4361.6363259999998</v>
      </c>
      <c r="BR105" s="93">
        <f t="shared" si="274"/>
        <v>5752.682514000001</v>
      </c>
      <c r="BS105" s="93">
        <f t="shared" si="275"/>
        <v>4361.6363259999998</v>
      </c>
      <c r="BT105" s="118"/>
      <c r="BU105" s="275">
        <v>15.739599999999999</v>
      </c>
      <c r="BV105" s="275">
        <v>7.2990000000000004</v>
      </c>
      <c r="BW105" s="275">
        <v>0</v>
      </c>
      <c r="BX105" s="275">
        <v>55.9133</v>
      </c>
      <c r="BY105" s="275">
        <v>109.24</v>
      </c>
      <c r="BZ105" s="49">
        <f t="shared" si="224"/>
        <v>3701.0095439999996</v>
      </c>
      <c r="CA105" s="49">
        <f t="shared" si="224"/>
        <v>2624.2094699999998</v>
      </c>
      <c r="CB105" s="47">
        <f t="shared" si="224"/>
        <v>0</v>
      </c>
      <c r="CC105" s="47">
        <f t="shared" si="276"/>
        <v>0</v>
      </c>
      <c r="CD105" s="48">
        <f t="shared" si="277"/>
        <v>3701.0095439999996</v>
      </c>
      <c r="CE105" s="48">
        <f t="shared" si="278"/>
        <v>2624.2094699999998</v>
      </c>
      <c r="CF105" s="93">
        <f t="shared" si="279"/>
        <v>3701.0095439999996</v>
      </c>
      <c r="CG105" s="93">
        <f t="shared" si="280"/>
        <v>2624.2094699999998</v>
      </c>
      <c r="CH105" s="118"/>
      <c r="CI105" s="275">
        <v>0.68610000000000004</v>
      </c>
      <c r="CJ105" s="275">
        <v>0.38300000000000001</v>
      </c>
      <c r="CK105" s="275">
        <v>0</v>
      </c>
      <c r="CL105" s="275">
        <v>216.7192</v>
      </c>
      <c r="CM105" s="275">
        <v>452.56920000000002</v>
      </c>
      <c r="CN105" s="49">
        <f t="shared" si="225"/>
        <v>141.61104</v>
      </c>
      <c r="CO105" s="49">
        <f t="shared" si="225"/>
        <v>102.57505999999999</v>
      </c>
      <c r="CP105" s="47">
        <f t="shared" si="225"/>
        <v>0</v>
      </c>
      <c r="CQ105" s="47">
        <f t="shared" si="281"/>
        <v>0</v>
      </c>
      <c r="CR105" s="48">
        <f t="shared" si="282"/>
        <v>141.61104</v>
      </c>
      <c r="CS105" s="48">
        <f t="shared" si="283"/>
        <v>102.57505999999999</v>
      </c>
      <c r="CT105" s="93">
        <f t="shared" si="284"/>
        <v>141.61104</v>
      </c>
      <c r="CU105" s="93">
        <f t="shared" si="285"/>
        <v>102.57505999999999</v>
      </c>
      <c r="CV105" s="118"/>
      <c r="CW105" s="275">
        <v>1.3182</v>
      </c>
      <c r="CX105" s="275">
        <v>0.78339999999999999</v>
      </c>
      <c r="CY105" s="275">
        <v>0</v>
      </c>
      <c r="CZ105" s="275">
        <v>88.744200000000006</v>
      </c>
      <c r="DA105" s="275">
        <v>139.92169999999999</v>
      </c>
      <c r="DB105" s="49">
        <f t="shared" si="226"/>
        <v>273.64513800000003</v>
      </c>
      <c r="DC105" s="49">
        <f t="shared" si="226"/>
        <v>220.53493399999999</v>
      </c>
      <c r="DD105" s="47">
        <f t="shared" si="226"/>
        <v>0</v>
      </c>
      <c r="DE105" s="47">
        <f t="shared" si="286"/>
        <v>0</v>
      </c>
      <c r="DF105" s="48">
        <f t="shared" si="287"/>
        <v>273.64513800000003</v>
      </c>
      <c r="DG105" s="48">
        <f t="shared" si="288"/>
        <v>220.53493399999999</v>
      </c>
      <c r="DH105" s="93">
        <f t="shared" si="289"/>
        <v>273.64513800000003</v>
      </c>
      <c r="DI105" s="93">
        <f t="shared" si="290"/>
        <v>220.53493399999999</v>
      </c>
      <c r="DJ105" s="118"/>
      <c r="DK105" s="275">
        <v>1.9845999999999999</v>
      </c>
      <c r="DL105" s="275">
        <v>0.82120000000000004</v>
      </c>
      <c r="DM105" s="275">
        <v>0</v>
      </c>
      <c r="DN105" s="275">
        <v>57.49</v>
      </c>
      <c r="DO105" s="275">
        <v>150.00579999999999</v>
      </c>
      <c r="DP105" s="49">
        <f t="shared" si="227"/>
        <v>270.38190400000002</v>
      </c>
      <c r="DQ105" s="49">
        <f t="shared" si="227"/>
        <v>162.03097200000002</v>
      </c>
      <c r="DR105" s="47">
        <f t="shared" si="227"/>
        <v>0</v>
      </c>
      <c r="DS105" s="47">
        <f t="shared" si="291"/>
        <v>0</v>
      </c>
      <c r="DT105" s="48">
        <f t="shared" si="292"/>
        <v>270.38190400000002</v>
      </c>
      <c r="DU105" s="48">
        <f t="shared" si="293"/>
        <v>162.03097200000002</v>
      </c>
      <c r="DV105" s="93">
        <f t="shared" si="294"/>
        <v>270.38190400000002</v>
      </c>
      <c r="DW105" s="93">
        <f t="shared" si="295"/>
        <v>162.03097200000002</v>
      </c>
      <c r="DX105" s="118"/>
      <c r="DY105" s="118"/>
      <c r="DZ105" s="118"/>
      <c r="EB105" s="52"/>
      <c r="EC105" s="52"/>
      <c r="ED105" s="52"/>
      <c r="EE105" s="55">
        <f t="shared" si="296"/>
        <v>513.12840000000006</v>
      </c>
      <c r="EF105" s="55">
        <f t="shared" si="296"/>
        <v>1041.1842000000001</v>
      </c>
      <c r="EG105" s="55">
        <f t="shared" si="296"/>
        <v>12870.617370399998</v>
      </c>
      <c r="EH105" s="55">
        <f t="shared" si="228"/>
        <v>10197.764297199999</v>
      </c>
      <c r="EI105" s="298">
        <f t="shared" si="229"/>
        <v>0.33013204679676406</v>
      </c>
      <c r="EJ105" s="52"/>
      <c r="EK105" s="55">
        <f t="shared" si="297"/>
        <v>12870.617370399998</v>
      </c>
      <c r="EL105" s="55">
        <f t="shared" si="297"/>
        <v>10197.764297199999</v>
      </c>
      <c r="EM105" s="55">
        <f t="shared" si="297"/>
        <v>12870.617370399998</v>
      </c>
      <c r="EN105" s="55">
        <f t="shared" si="297"/>
        <v>10197.764297199999</v>
      </c>
      <c r="EP105" s="52"/>
      <c r="EQ105" s="52"/>
      <c r="ER105" s="52"/>
      <c r="ES105" s="55">
        <f t="shared" si="230"/>
        <v>409.97090000000003</v>
      </c>
      <c r="ET105" s="55">
        <f t="shared" si="230"/>
        <v>819.52679999999998</v>
      </c>
      <c r="EU105" s="55">
        <f t="shared" si="230"/>
        <v>11999.482278600002</v>
      </c>
      <c r="EV105" s="55">
        <f t="shared" si="230"/>
        <v>9684.5185417999983</v>
      </c>
      <c r="EW105" s="298">
        <f t="shared" si="231"/>
        <v>0.33344584540499755</v>
      </c>
      <c r="EX105" s="52"/>
      <c r="EY105" s="55">
        <f t="shared" si="232"/>
        <v>11999.482278600002</v>
      </c>
      <c r="EZ105" s="55">
        <f t="shared" si="232"/>
        <v>9684.5185417999983</v>
      </c>
      <c r="FA105" s="55">
        <f t="shared" si="232"/>
        <v>11999.482278600002</v>
      </c>
      <c r="FB105" s="55">
        <f t="shared" si="232"/>
        <v>9684.5185417999983</v>
      </c>
      <c r="FD105" s="52"/>
      <c r="FE105" s="52"/>
      <c r="FF105" s="52"/>
      <c r="FG105" s="55">
        <f t="shared" si="233"/>
        <v>336.63249999999999</v>
      </c>
      <c r="FH105" s="55">
        <f t="shared" si="233"/>
        <v>721.81500000000005</v>
      </c>
      <c r="FI105" s="55">
        <f t="shared" si="233"/>
        <v>10778.473955399999</v>
      </c>
      <c r="FJ105" s="55">
        <f t="shared" si="233"/>
        <v>8556.2162632</v>
      </c>
      <c r="FK105" s="298">
        <f t="shared" si="234"/>
        <v>0.31804364411083214</v>
      </c>
      <c r="FL105" s="52"/>
      <c r="FM105" s="55">
        <f t="shared" si="235"/>
        <v>10778.473955399999</v>
      </c>
      <c r="FN105" s="55">
        <f t="shared" si="235"/>
        <v>8556.2162632</v>
      </c>
      <c r="FO105" s="55">
        <f t="shared" si="235"/>
        <v>10778.473955399999</v>
      </c>
      <c r="FP105" s="55">
        <f t="shared" si="235"/>
        <v>8556.2162632</v>
      </c>
      <c r="FR105" s="52"/>
      <c r="FS105" s="52"/>
      <c r="FT105" s="52"/>
      <c r="FU105" s="55">
        <f t="shared" si="236"/>
        <v>305.46339999999998</v>
      </c>
      <c r="FV105" s="55">
        <f t="shared" si="236"/>
        <v>592.49090000000001</v>
      </c>
      <c r="FW105" s="55">
        <f t="shared" si="236"/>
        <v>360.52715040000004</v>
      </c>
      <c r="FX105" s="55">
        <f t="shared" si="236"/>
        <v>279.00300720000001</v>
      </c>
      <c r="FY105" s="298">
        <f t="shared" si="237"/>
        <v>0.34017700009900281</v>
      </c>
      <c r="FZ105" s="52"/>
      <c r="GA105" s="55">
        <f t="shared" si="238"/>
        <v>360.52715040000004</v>
      </c>
      <c r="GB105" s="55">
        <f t="shared" si="238"/>
        <v>279.00300720000001</v>
      </c>
      <c r="GC105" s="55">
        <f t="shared" si="238"/>
        <v>360.52715040000004</v>
      </c>
      <c r="GD105" s="55">
        <f t="shared" si="238"/>
        <v>279.00300720000001</v>
      </c>
      <c r="GF105" s="52"/>
      <c r="GG105" s="52"/>
      <c r="GH105" s="52"/>
      <c r="GI105" s="55">
        <f t="shared" si="239"/>
        <v>174.6283</v>
      </c>
      <c r="GJ105" s="55">
        <f t="shared" si="239"/>
        <v>347.20580000000001</v>
      </c>
      <c r="GK105" s="56">
        <f t="shared" si="240"/>
        <v>1870.2747832500002</v>
      </c>
      <c r="GL105" s="56">
        <f t="shared" si="240"/>
        <v>1467.2247795000005</v>
      </c>
      <c r="GM105" s="298">
        <f t="shared" si="241"/>
        <v>0.33464332821484832</v>
      </c>
      <c r="GN105" s="52"/>
      <c r="GO105" s="56">
        <f t="shared" si="242"/>
        <v>1870.2747832500002</v>
      </c>
      <c r="GP105" s="56">
        <f t="shared" si="242"/>
        <v>1467.2247795000005</v>
      </c>
      <c r="GQ105" s="56">
        <f t="shared" si="242"/>
        <v>1870.2747832500002</v>
      </c>
      <c r="GR105" s="56">
        <f t="shared" si="242"/>
        <v>1467.2247795000005</v>
      </c>
      <c r="GW105" s="275">
        <v>9.1445000000000007</v>
      </c>
      <c r="GX105" s="275">
        <v>3.9916999999999998</v>
      </c>
      <c r="GY105" s="275">
        <v>0</v>
      </c>
      <c r="GZ105" s="275">
        <v>6.6082999999999998</v>
      </c>
      <c r="HA105" s="275">
        <v>16.438300000000002</v>
      </c>
      <c r="HB105" s="49">
        <f t="shared" si="243"/>
        <v>6006.0161550000003</v>
      </c>
      <c r="HC105" s="49">
        <f t="shared" si="244"/>
        <v>5419.9701769999992</v>
      </c>
      <c r="HD105" s="47">
        <f t="shared" si="245"/>
        <v>0</v>
      </c>
      <c r="HE105" s="47">
        <f t="shared" si="298"/>
        <v>0</v>
      </c>
      <c r="HF105" s="48">
        <f t="shared" si="299"/>
        <v>6006.0161550000003</v>
      </c>
      <c r="HG105" s="48">
        <f t="shared" si="300"/>
        <v>5419.9701769999992</v>
      </c>
      <c r="HH105" s="93">
        <f t="shared" si="301"/>
        <v>6006.0161550000003</v>
      </c>
      <c r="HI105" s="93">
        <f t="shared" si="302"/>
        <v>5419.9701769999992</v>
      </c>
      <c r="HJ105" s="298">
        <f t="shared" si="246"/>
        <v>0.28673643834665413</v>
      </c>
      <c r="HL105" s="275">
        <v>11.9207</v>
      </c>
      <c r="HM105" s="275">
        <v>7.1593999999999998</v>
      </c>
      <c r="HN105" s="275">
        <v>0</v>
      </c>
      <c r="HO105" s="275">
        <v>6</v>
      </c>
      <c r="HP105" s="275">
        <v>15.25</v>
      </c>
      <c r="HQ105" s="49">
        <f t="shared" si="247"/>
        <v>6337.640155</v>
      </c>
      <c r="HR105" s="49">
        <f t="shared" si="248"/>
        <v>5552.3294819999992</v>
      </c>
      <c r="HS105" s="47">
        <f t="shared" si="249"/>
        <v>0</v>
      </c>
      <c r="HT105" s="47">
        <f t="shared" si="303"/>
        <v>0</v>
      </c>
      <c r="HU105" s="48">
        <f t="shared" si="304"/>
        <v>6337.640155</v>
      </c>
      <c r="HV105" s="48">
        <f t="shared" si="305"/>
        <v>5552.3294819999992</v>
      </c>
      <c r="HW105" s="93">
        <f t="shared" si="306"/>
        <v>6337.640155</v>
      </c>
      <c r="HX105" s="93">
        <f t="shared" si="307"/>
        <v>5552.3294819999992</v>
      </c>
      <c r="HY105" s="298">
        <f t="shared" si="250"/>
        <v>0.28235294117647058</v>
      </c>
    </row>
    <row r="106" spans="1:233" s="131" customFormat="1" x14ac:dyDescent="0.2">
      <c r="A106" s="118">
        <v>96</v>
      </c>
      <c r="B106" s="118"/>
      <c r="C106" s="275">
        <v>6.4519000000000002</v>
      </c>
      <c r="D106" s="275">
        <v>2.9823</v>
      </c>
      <c r="E106" s="275">
        <v>0</v>
      </c>
      <c r="F106" s="275">
        <v>55.402500000000003</v>
      </c>
      <c r="G106" s="275">
        <v>116.7675</v>
      </c>
      <c r="H106" s="49">
        <f t="shared" si="218"/>
        <v>6381.2516949999999</v>
      </c>
      <c r="I106" s="49">
        <f t="shared" si="218"/>
        <v>5373.5677859999996</v>
      </c>
      <c r="J106" s="47">
        <f t="shared" si="218"/>
        <v>0</v>
      </c>
      <c r="K106" s="47">
        <f t="shared" si="251"/>
        <v>0</v>
      </c>
      <c r="L106" s="48">
        <f t="shared" si="252"/>
        <v>6381.2516949999999</v>
      </c>
      <c r="M106" s="48">
        <f t="shared" si="253"/>
        <v>5373.5677859999996</v>
      </c>
      <c r="N106" s="93">
        <f t="shared" si="254"/>
        <v>6381.2516949999999</v>
      </c>
      <c r="O106" s="93">
        <f t="shared" si="255"/>
        <v>5373.5677859999996</v>
      </c>
      <c r="P106" s="298">
        <f t="shared" si="219"/>
        <v>0.32178951036765985</v>
      </c>
      <c r="Q106" s="275">
        <v>9.6697000000000006</v>
      </c>
      <c r="R106" s="275">
        <v>4.3941999999999997</v>
      </c>
      <c r="S106" s="275">
        <v>0</v>
      </c>
      <c r="T106" s="275">
        <v>14.344200000000001</v>
      </c>
      <c r="U106" s="275">
        <v>20.2608</v>
      </c>
      <c r="V106" s="49">
        <f t="shared" si="220"/>
        <v>5927.4294030000001</v>
      </c>
      <c r="W106" s="49">
        <f t="shared" si="220"/>
        <v>5100.1721719999996</v>
      </c>
      <c r="X106" s="47">
        <f t="shared" si="220"/>
        <v>0</v>
      </c>
      <c r="Y106" s="47">
        <f t="shared" si="256"/>
        <v>0</v>
      </c>
      <c r="Z106" s="48">
        <f t="shared" si="257"/>
        <v>5927.4294030000001</v>
      </c>
      <c r="AA106" s="48">
        <f t="shared" si="258"/>
        <v>5100.1721719999996</v>
      </c>
      <c r="AB106" s="93">
        <f t="shared" si="259"/>
        <v>5927.4294030000001</v>
      </c>
      <c r="AC106" s="93">
        <f t="shared" si="260"/>
        <v>5100.1721719999996</v>
      </c>
      <c r="AD106" s="118"/>
      <c r="AE106" s="275">
        <v>14.5937</v>
      </c>
      <c r="AF106" s="275">
        <v>5.0773000000000001</v>
      </c>
      <c r="AG106" s="275">
        <v>0</v>
      </c>
      <c r="AH106" s="275">
        <v>1</v>
      </c>
      <c r="AI106" s="275">
        <v>5.0833000000000004</v>
      </c>
      <c r="AJ106" s="49">
        <f t="shared" si="221"/>
        <v>6842.548119</v>
      </c>
      <c r="AK106" s="49">
        <f t="shared" si="221"/>
        <v>5771.7730940000001</v>
      </c>
      <c r="AL106" s="47">
        <f t="shared" si="221"/>
        <v>0</v>
      </c>
      <c r="AM106" s="47">
        <f t="shared" si="261"/>
        <v>0</v>
      </c>
      <c r="AN106" s="48">
        <f t="shared" si="262"/>
        <v>6842.548119</v>
      </c>
      <c r="AO106" s="48">
        <f t="shared" si="263"/>
        <v>5771.7730940000001</v>
      </c>
      <c r="AP106" s="93">
        <f t="shared" si="264"/>
        <v>6842.548119</v>
      </c>
      <c r="AQ106" s="93">
        <f t="shared" si="265"/>
        <v>5771.7730940000001</v>
      </c>
      <c r="AR106" s="118"/>
      <c r="AS106" s="275">
        <v>17.892700000000001</v>
      </c>
      <c r="AT106" s="275">
        <v>6.5448000000000004</v>
      </c>
      <c r="AU106" s="275">
        <v>0</v>
      </c>
      <c r="AV106" s="275">
        <v>60.651699999999998</v>
      </c>
      <c r="AW106" s="275">
        <v>121.80670000000001</v>
      </c>
      <c r="AX106" s="49">
        <f t="shared" si="222"/>
        <v>6234.7113150000005</v>
      </c>
      <c r="AY106" s="49">
        <f t="shared" si="222"/>
        <v>4580.5091760000005</v>
      </c>
      <c r="AZ106" s="47">
        <f t="shared" si="222"/>
        <v>0</v>
      </c>
      <c r="BA106" s="47">
        <f t="shared" si="266"/>
        <v>0</v>
      </c>
      <c r="BB106" s="48">
        <f t="shared" si="267"/>
        <v>6234.7113150000005</v>
      </c>
      <c r="BC106" s="48">
        <f t="shared" si="268"/>
        <v>4580.5091760000005</v>
      </c>
      <c r="BD106" s="93">
        <f t="shared" si="269"/>
        <v>6234.7113150000005</v>
      </c>
      <c r="BE106" s="93">
        <f t="shared" si="270"/>
        <v>4580.5091760000005</v>
      </c>
      <c r="BF106" s="118"/>
      <c r="BG106" s="275">
        <v>17.045100000000001</v>
      </c>
      <c r="BH106" s="275">
        <v>7.2881</v>
      </c>
      <c r="BI106" s="275">
        <v>0</v>
      </c>
      <c r="BJ106" s="275">
        <v>51.1892</v>
      </c>
      <c r="BK106" s="275">
        <v>94.746700000000004</v>
      </c>
      <c r="BL106" s="49">
        <f t="shared" si="223"/>
        <v>5764.9937220000011</v>
      </c>
      <c r="BM106" s="49">
        <f t="shared" si="223"/>
        <v>4361.6363259999998</v>
      </c>
      <c r="BN106" s="47">
        <f t="shared" si="223"/>
        <v>0</v>
      </c>
      <c r="BO106" s="47">
        <f t="shared" si="271"/>
        <v>0</v>
      </c>
      <c r="BP106" s="48">
        <f t="shared" si="272"/>
        <v>5764.9937220000011</v>
      </c>
      <c r="BQ106" s="48">
        <f t="shared" si="273"/>
        <v>4361.6363259999998</v>
      </c>
      <c r="BR106" s="93">
        <f t="shared" si="274"/>
        <v>5764.9937220000011</v>
      </c>
      <c r="BS106" s="93">
        <f t="shared" si="275"/>
        <v>4361.6363259999998</v>
      </c>
      <c r="BT106" s="118"/>
      <c r="BU106" s="275">
        <v>15.739599999999999</v>
      </c>
      <c r="BV106" s="275">
        <v>7.2990000000000004</v>
      </c>
      <c r="BW106" s="275">
        <v>0</v>
      </c>
      <c r="BX106" s="275">
        <v>37.912500000000001</v>
      </c>
      <c r="BY106" s="275">
        <v>63.327500000000001</v>
      </c>
      <c r="BZ106" s="49">
        <f t="shared" si="224"/>
        <v>3701.0095439999996</v>
      </c>
      <c r="CA106" s="49">
        <f t="shared" si="224"/>
        <v>2624.2094699999998</v>
      </c>
      <c r="CB106" s="47">
        <f t="shared" si="224"/>
        <v>0</v>
      </c>
      <c r="CC106" s="47">
        <f t="shared" si="276"/>
        <v>0</v>
      </c>
      <c r="CD106" s="48">
        <f t="shared" si="277"/>
        <v>3701.0095439999996</v>
      </c>
      <c r="CE106" s="48">
        <f t="shared" si="278"/>
        <v>2624.2094699999998</v>
      </c>
      <c r="CF106" s="93">
        <f t="shared" si="279"/>
        <v>3701.0095439999996</v>
      </c>
      <c r="CG106" s="93">
        <f t="shared" si="280"/>
        <v>2624.2094699999998</v>
      </c>
      <c r="CH106" s="118"/>
      <c r="CI106" s="275">
        <v>0.65490000000000004</v>
      </c>
      <c r="CJ106" s="275">
        <v>0.36</v>
      </c>
      <c r="CK106" s="275">
        <v>0</v>
      </c>
      <c r="CL106" s="275">
        <v>127.6058</v>
      </c>
      <c r="CM106" s="275">
        <v>242.20500000000001</v>
      </c>
      <c r="CN106" s="49">
        <f t="shared" si="225"/>
        <v>135.17136000000002</v>
      </c>
      <c r="CO106" s="49">
        <f t="shared" si="225"/>
        <v>96.415199999999999</v>
      </c>
      <c r="CP106" s="47">
        <f t="shared" si="225"/>
        <v>0</v>
      </c>
      <c r="CQ106" s="47">
        <f t="shared" si="281"/>
        <v>0</v>
      </c>
      <c r="CR106" s="48">
        <f t="shared" si="282"/>
        <v>135.17136000000002</v>
      </c>
      <c r="CS106" s="48">
        <f t="shared" si="283"/>
        <v>96.415199999999999</v>
      </c>
      <c r="CT106" s="93">
        <f t="shared" si="284"/>
        <v>135.17136000000002</v>
      </c>
      <c r="CU106" s="93">
        <f t="shared" si="285"/>
        <v>96.415199999999999</v>
      </c>
      <c r="CV106" s="118"/>
      <c r="CW106" s="275">
        <v>1.1919999999999999</v>
      </c>
      <c r="CX106" s="275">
        <v>0.70140000000000002</v>
      </c>
      <c r="CY106" s="275">
        <v>0</v>
      </c>
      <c r="CZ106" s="275">
        <v>41.282499999999999</v>
      </c>
      <c r="DA106" s="275">
        <v>77.322500000000005</v>
      </c>
      <c r="DB106" s="49">
        <f t="shared" si="226"/>
        <v>247.44728000000001</v>
      </c>
      <c r="DC106" s="49">
        <f t="shared" si="226"/>
        <v>197.45111399999999</v>
      </c>
      <c r="DD106" s="47">
        <f t="shared" si="226"/>
        <v>0</v>
      </c>
      <c r="DE106" s="47">
        <f t="shared" si="286"/>
        <v>0</v>
      </c>
      <c r="DF106" s="48">
        <f t="shared" si="287"/>
        <v>247.44728000000001</v>
      </c>
      <c r="DG106" s="48">
        <f t="shared" si="288"/>
        <v>197.45111399999999</v>
      </c>
      <c r="DH106" s="93">
        <f t="shared" si="289"/>
        <v>247.44728000000001</v>
      </c>
      <c r="DI106" s="93">
        <f t="shared" si="290"/>
        <v>197.45111399999999</v>
      </c>
      <c r="DJ106" s="118"/>
      <c r="DK106" s="275">
        <v>1.873</v>
      </c>
      <c r="DL106" s="275">
        <v>0.7208</v>
      </c>
      <c r="DM106" s="275">
        <v>0</v>
      </c>
      <c r="DN106" s="275">
        <v>34.799199999999999</v>
      </c>
      <c r="DO106" s="275">
        <v>79.012500000000003</v>
      </c>
      <c r="DP106" s="49">
        <f t="shared" si="227"/>
        <v>255.17752000000002</v>
      </c>
      <c r="DQ106" s="49">
        <f t="shared" si="227"/>
        <v>142.221048</v>
      </c>
      <c r="DR106" s="47">
        <f t="shared" si="227"/>
        <v>0</v>
      </c>
      <c r="DS106" s="47">
        <f t="shared" si="291"/>
        <v>0</v>
      </c>
      <c r="DT106" s="48">
        <f t="shared" si="292"/>
        <v>255.17752000000002</v>
      </c>
      <c r="DU106" s="48">
        <f t="shared" si="293"/>
        <v>142.221048</v>
      </c>
      <c r="DV106" s="93">
        <f t="shared" si="294"/>
        <v>255.17752000000002</v>
      </c>
      <c r="DW106" s="93">
        <f t="shared" si="295"/>
        <v>142.221048</v>
      </c>
      <c r="DX106" s="118"/>
      <c r="DY106" s="118"/>
      <c r="DZ106" s="118"/>
      <c r="EB106" s="52"/>
      <c r="EC106" s="52"/>
      <c r="ED106" s="52"/>
      <c r="EE106" s="55">
        <f t="shared" si="296"/>
        <v>284.9425</v>
      </c>
      <c r="EF106" s="55">
        <f t="shared" si="296"/>
        <v>558.10170000000005</v>
      </c>
      <c r="EG106" s="55">
        <f t="shared" si="296"/>
        <v>12949.092193999999</v>
      </c>
      <c r="EH106" s="55">
        <f t="shared" si="228"/>
        <v>10208.453053199999</v>
      </c>
      <c r="EI106" s="298">
        <f t="shared" ref="EI106:EI110" si="308" xml:space="preserve"> IF(   SUM(EE106:EF106) = 0,    IF( EG106&lt;EH106, lambdax_min, lambdax_max ),
                                                                   MAX( lambdax_min, MIN( lambdax_max, EE106 / SUM(EE106:EF106) ) )     )</f>
        <v>0.33799236149184109</v>
      </c>
      <c r="EJ106" s="52"/>
      <c r="EK106" s="55">
        <f t="shared" si="297"/>
        <v>12949.092193999999</v>
      </c>
      <c r="EL106" s="55">
        <f t="shared" si="297"/>
        <v>10208.453053199999</v>
      </c>
      <c r="EM106" s="55">
        <f t="shared" si="297"/>
        <v>12949.092193999999</v>
      </c>
      <c r="EN106" s="55">
        <f t="shared" si="297"/>
        <v>10208.453053199999</v>
      </c>
      <c r="EP106" s="52"/>
      <c r="EQ106" s="52"/>
      <c r="ER106" s="52"/>
      <c r="ES106" s="55">
        <f t="shared" si="230"/>
        <v>234.42170000000002</v>
      </c>
      <c r="ET106" s="55">
        <f t="shared" si="230"/>
        <v>434.53500000000003</v>
      </c>
      <c r="EU106" s="55">
        <f t="shared" si="230"/>
        <v>12000.807581000001</v>
      </c>
      <c r="EV106" s="55">
        <f t="shared" si="230"/>
        <v>9696.4394777999987</v>
      </c>
      <c r="EW106" s="298">
        <f t="shared" ref="EW106:EW110" si="309" xml:space="preserve"> IF(   SUM(ES106:ET106) = 0,    IF( EU106&lt;EV106, lambdax_min, lambdax_max ),
                                                                   MAX( lambdax_min, MIN( lambdax_max, ES106 / SUM(ES106:ET106) ) )     )</f>
        <v>0.35042880951786565</v>
      </c>
      <c r="EX106" s="52"/>
      <c r="EY106" s="55">
        <f t="shared" si="232"/>
        <v>12000.807581000001</v>
      </c>
      <c r="EZ106" s="55">
        <f t="shared" si="232"/>
        <v>9696.4394777999987</v>
      </c>
      <c r="FA106" s="55">
        <f t="shared" si="232"/>
        <v>12000.807581000001</v>
      </c>
      <c r="FB106" s="55">
        <f t="shared" si="232"/>
        <v>9696.4394777999987</v>
      </c>
      <c r="FD106" s="52"/>
      <c r="FE106" s="52"/>
      <c r="FF106" s="52"/>
      <c r="FG106" s="55">
        <f t="shared" si="233"/>
        <v>201.3175</v>
      </c>
      <c r="FH106" s="55">
        <f t="shared" si="233"/>
        <v>389.62830000000002</v>
      </c>
      <c r="FI106" s="55">
        <f t="shared" si="233"/>
        <v>10831.835535</v>
      </c>
      <c r="FJ106" s="55">
        <f t="shared" si="233"/>
        <v>8577.7303928000001</v>
      </c>
      <c r="FK106" s="298">
        <f t="shared" ref="FK106:FK110" si="310" xml:space="preserve"> IF(   SUM(FG106:FH106) = 0,    IF( FI106&lt;FJ106, lambdax_min, lambdax_max ),
                                                                   MAX( lambdax_min, MIN( lambdax_max, FG106 / SUM(FG106:FH106) ) )     )</f>
        <v>0.34066999037813622</v>
      </c>
      <c r="FL106" s="52"/>
      <c r="FM106" s="55">
        <f t="shared" si="235"/>
        <v>10831.835535</v>
      </c>
      <c r="FN106" s="55">
        <f t="shared" si="235"/>
        <v>8577.7303928000001</v>
      </c>
      <c r="FO106" s="55">
        <f t="shared" si="235"/>
        <v>10831.835535</v>
      </c>
      <c r="FP106" s="55">
        <f t="shared" si="235"/>
        <v>8577.7303928000001</v>
      </c>
      <c r="FR106" s="52"/>
      <c r="FS106" s="52"/>
      <c r="FT106" s="52"/>
      <c r="FU106" s="55">
        <f t="shared" si="236"/>
        <v>168.88830000000002</v>
      </c>
      <c r="FV106" s="55">
        <f t="shared" si="236"/>
        <v>319.52750000000003</v>
      </c>
      <c r="FW106" s="55">
        <f t="shared" si="236"/>
        <v>333.12918400000001</v>
      </c>
      <c r="FX106" s="55">
        <f t="shared" si="236"/>
        <v>254.37609119999999</v>
      </c>
      <c r="FY106" s="298">
        <f t="shared" ref="FY106:FY110" si="311" xml:space="preserve"> IF(   SUM(FU106:FV106) = 0,    IF( FW106&lt;FX106, lambdax_min, lambdax_max ),
                                                                   MAX( lambdax_min, MIN( lambdax_max, FU106 / SUM(FU106:FV106) ) )     )</f>
        <v>0.34578795362475989</v>
      </c>
      <c r="FZ106" s="52"/>
      <c r="GA106" s="55">
        <f t="shared" si="238"/>
        <v>333.12918400000001</v>
      </c>
      <c r="GB106" s="55">
        <f t="shared" si="238"/>
        <v>254.37609119999999</v>
      </c>
      <c r="GC106" s="55">
        <f t="shared" si="238"/>
        <v>333.12918400000001</v>
      </c>
      <c r="GD106" s="55">
        <f t="shared" si="238"/>
        <v>254.37609119999999</v>
      </c>
      <c r="GF106" s="52"/>
      <c r="GG106" s="52"/>
      <c r="GH106" s="52"/>
      <c r="GI106" s="55">
        <f t="shared" si="239"/>
        <v>98.5642</v>
      </c>
      <c r="GJ106" s="55">
        <f t="shared" si="239"/>
        <v>185.13420000000002</v>
      </c>
      <c r="GK106" s="56">
        <f t="shared" si="240"/>
        <v>1900.2763282500007</v>
      </c>
      <c r="GL106" s="56">
        <f t="shared" si="240"/>
        <v>1467.2247795000005</v>
      </c>
      <c r="GM106" s="298">
        <f t="shared" ref="GM106:GM110" si="312" xml:space="preserve"> IF(   SUM(GI106:GJ106) = 0,    IF( GK106&lt;GL106, lambdax_min, lambdax_max ),
                                                                   MAX( lambdax_min, MIN( lambdax_max, GI106 / SUM(GI106:GJ106) ) )     )</f>
        <v>0.34742599887768139</v>
      </c>
      <c r="GN106" s="52"/>
      <c r="GO106" s="56">
        <f t="shared" si="242"/>
        <v>1900.2763282500007</v>
      </c>
      <c r="GP106" s="56">
        <f t="shared" si="242"/>
        <v>1467.2247795000005</v>
      </c>
      <c r="GQ106" s="56">
        <f t="shared" si="242"/>
        <v>1900.2763282500007</v>
      </c>
      <c r="GR106" s="56">
        <f t="shared" si="242"/>
        <v>1467.2247795000005</v>
      </c>
      <c r="GW106" s="275">
        <v>9.2416999999999998</v>
      </c>
      <c r="GX106" s="275">
        <v>4.0312999999999999</v>
      </c>
      <c r="GY106" s="275">
        <v>0</v>
      </c>
      <c r="GZ106" s="275">
        <v>4.1666999999999996</v>
      </c>
      <c r="HA106" s="275">
        <v>9.8866999999999994</v>
      </c>
      <c r="HB106" s="49">
        <f t="shared" si="243"/>
        <v>6069.856143</v>
      </c>
      <c r="HC106" s="49">
        <f t="shared" si="244"/>
        <v>5473.7394529999992</v>
      </c>
      <c r="HD106" s="47">
        <f t="shared" si="245"/>
        <v>0</v>
      </c>
      <c r="HE106" s="47">
        <f t="shared" si="298"/>
        <v>0</v>
      </c>
      <c r="HF106" s="48">
        <f t="shared" si="299"/>
        <v>6069.856143</v>
      </c>
      <c r="HG106" s="48">
        <f t="shared" si="300"/>
        <v>5473.7394529999992</v>
      </c>
      <c r="HH106" s="93">
        <f t="shared" si="301"/>
        <v>6069.856143</v>
      </c>
      <c r="HI106" s="93">
        <f t="shared" si="302"/>
        <v>5473.7394529999992</v>
      </c>
      <c r="HJ106" s="298">
        <f t="shared" si="246"/>
        <v>0.29649052898231032</v>
      </c>
      <c r="HL106" s="275">
        <v>12.096500000000001</v>
      </c>
      <c r="HM106" s="275">
        <v>7.2270000000000003</v>
      </c>
      <c r="HN106" s="275">
        <v>0</v>
      </c>
      <c r="HO106" s="275">
        <v>9.8332999999999995</v>
      </c>
      <c r="HP106" s="275">
        <v>9</v>
      </c>
      <c r="HQ106" s="49">
        <f t="shared" si="247"/>
        <v>6431.104225</v>
      </c>
      <c r="HR106" s="49">
        <f t="shared" si="248"/>
        <v>5604.7553100000005</v>
      </c>
      <c r="HS106" s="47">
        <f t="shared" si="249"/>
        <v>0</v>
      </c>
      <c r="HT106" s="47">
        <f t="shared" si="303"/>
        <v>0</v>
      </c>
      <c r="HU106" s="48">
        <f t="shared" si="304"/>
        <v>6431.104225</v>
      </c>
      <c r="HV106" s="48">
        <f t="shared" si="305"/>
        <v>5604.7553100000005</v>
      </c>
      <c r="HW106" s="93">
        <f t="shared" si="306"/>
        <v>6431.104225</v>
      </c>
      <c r="HX106" s="93">
        <f t="shared" si="307"/>
        <v>5604.7553100000005</v>
      </c>
      <c r="HY106" s="298">
        <f t="shared" si="250"/>
        <v>0.52212304800539466</v>
      </c>
    </row>
    <row r="107" spans="1:233" s="131" customFormat="1" x14ac:dyDescent="0.2">
      <c r="A107" s="118">
        <v>97</v>
      </c>
      <c r="B107" s="118"/>
      <c r="C107" s="275">
        <v>6.5180999999999996</v>
      </c>
      <c r="D107" s="275">
        <v>3.0019999999999998</v>
      </c>
      <c r="E107" s="275">
        <v>0</v>
      </c>
      <c r="F107" s="275">
        <v>24.1492</v>
      </c>
      <c r="G107" s="275">
        <v>42.931699999999999</v>
      </c>
      <c r="H107" s="49">
        <f t="shared" si="218"/>
        <v>6446.7268049999993</v>
      </c>
      <c r="I107" s="49">
        <f t="shared" si="218"/>
        <v>5409.0636399999994</v>
      </c>
      <c r="J107" s="47">
        <f t="shared" si="218"/>
        <v>0</v>
      </c>
      <c r="K107" s="47">
        <f t="shared" si="251"/>
        <v>0</v>
      </c>
      <c r="L107" s="48">
        <f t="shared" si="252"/>
        <v>6446.7268049999993</v>
      </c>
      <c r="M107" s="48">
        <f t="shared" si="253"/>
        <v>5409.0636399999994</v>
      </c>
      <c r="N107" s="93">
        <f t="shared" si="254"/>
        <v>6446.7268049999993</v>
      </c>
      <c r="O107" s="93">
        <f t="shared" si="255"/>
        <v>5409.0636399999994</v>
      </c>
      <c r="P107" s="298">
        <f t="shared" si="219"/>
        <v>0.36000113296035086</v>
      </c>
      <c r="Q107" s="275">
        <v>9.6919000000000004</v>
      </c>
      <c r="R107" s="275">
        <v>4.4238</v>
      </c>
      <c r="S107" s="275">
        <v>0</v>
      </c>
      <c r="T107" s="275">
        <v>2.2433000000000001</v>
      </c>
      <c r="U107" s="275">
        <v>14.833299999999999</v>
      </c>
      <c r="V107" s="49">
        <f t="shared" si="220"/>
        <v>5941.037781</v>
      </c>
      <c r="W107" s="49">
        <f t="shared" si="220"/>
        <v>5134.5277080000005</v>
      </c>
      <c r="X107" s="47">
        <f t="shared" si="220"/>
        <v>0</v>
      </c>
      <c r="Y107" s="47">
        <f t="shared" si="256"/>
        <v>0</v>
      </c>
      <c r="Z107" s="48">
        <f t="shared" si="257"/>
        <v>5941.037781</v>
      </c>
      <c r="AA107" s="48">
        <f t="shared" si="258"/>
        <v>5134.5277080000005</v>
      </c>
      <c r="AB107" s="93">
        <f t="shared" si="259"/>
        <v>5941.037781</v>
      </c>
      <c r="AC107" s="93">
        <f t="shared" si="260"/>
        <v>5134.5277080000005</v>
      </c>
      <c r="AD107" s="118"/>
      <c r="AE107" s="275">
        <v>14.7369</v>
      </c>
      <c r="AF107" s="275">
        <v>5.1109999999999998</v>
      </c>
      <c r="AG107" s="275">
        <v>0</v>
      </c>
      <c r="AH107" s="275">
        <v>2</v>
      </c>
      <c r="AI107" s="275">
        <v>4</v>
      </c>
      <c r="AJ107" s="49">
        <f t="shared" si="221"/>
        <v>6909.6903030000003</v>
      </c>
      <c r="AK107" s="49">
        <f t="shared" si="221"/>
        <v>5810.0825799999993</v>
      </c>
      <c r="AL107" s="47">
        <f t="shared" si="221"/>
        <v>0</v>
      </c>
      <c r="AM107" s="47">
        <f t="shared" si="261"/>
        <v>0</v>
      </c>
      <c r="AN107" s="48">
        <f t="shared" si="262"/>
        <v>6909.6903030000003</v>
      </c>
      <c r="AO107" s="48">
        <f t="shared" si="263"/>
        <v>5810.0825799999993</v>
      </c>
      <c r="AP107" s="93">
        <f t="shared" si="264"/>
        <v>6909.6903030000003</v>
      </c>
      <c r="AQ107" s="93">
        <f t="shared" si="265"/>
        <v>5810.0825799999993</v>
      </c>
      <c r="AR107" s="118"/>
      <c r="AS107" s="275">
        <v>18.006799999999998</v>
      </c>
      <c r="AT107" s="275">
        <v>6.5448000000000004</v>
      </c>
      <c r="AU107" s="275">
        <v>0</v>
      </c>
      <c r="AV107" s="275">
        <v>29.445799999999998</v>
      </c>
      <c r="AW107" s="275">
        <v>53.398299999999999</v>
      </c>
      <c r="AX107" s="49">
        <f t="shared" si="222"/>
        <v>6274.4694599999993</v>
      </c>
      <c r="AY107" s="49">
        <f t="shared" si="222"/>
        <v>4580.5091760000005</v>
      </c>
      <c r="AZ107" s="47">
        <f t="shared" si="222"/>
        <v>0</v>
      </c>
      <c r="BA107" s="47">
        <f t="shared" si="266"/>
        <v>0</v>
      </c>
      <c r="BB107" s="48">
        <f t="shared" si="267"/>
        <v>6274.4694599999993</v>
      </c>
      <c r="BC107" s="48">
        <f t="shared" si="268"/>
        <v>4580.5091760000005</v>
      </c>
      <c r="BD107" s="93">
        <f t="shared" si="269"/>
        <v>6274.4694599999993</v>
      </c>
      <c r="BE107" s="93">
        <f t="shared" si="270"/>
        <v>4580.5091760000005</v>
      </c>
      <c r="BF107" s="118"/>
      <c r="BG107" s="275">
        <v>17.076699999999999</v>
      </c>
      <c r="BH107" s="275">
        <v>7.2881</v>
      </c>
      <c r="BI107" s="275">
        <v>0</v>
      </c>
      <c r="BJ107" s="275">
        <v>14.845800000000001</v>
      </c>
      <c r="BK107" s="275">
        <v>47.708300000000001</v>
      </c>
      <c r="BL107" s="49">
        <f t="shared" si="223"/>
        <v>5775.681474</v>
      </c>
      <c r="BM107" s="49">
        <f t="shared" si="223"/>
        <v>4361.6363259999998</v>
      </c>
      <c r="BN107" s="47">
        <f t="shared" si="223"/>
        <v>0</v>
      </c>
      <c r="BO107" s="47">
        <f t="shared" si="271"/>
        <v>0</v>
      </c>
      <c r="BP107" s="48">
        <f t="shared" si="272"/>
        <v>5775.681474</v>
      </c>
      <c r="BQ107" s="48">
        <f t="shared" si="273"/>
        <v>4361.6363259999998</v>
      </c>
      <c r="BR107" s="93">
        <f t="shared" si="274"/>
        <v>5775.681474</v>
      </c>
      <c r="BS107" s="93">
        <f t="shared" si="275"/>
        <v>4361.6363259999998</v>
      </c>
      <c r="BT107" s="118"/>
      <c r="BU107" s="275">
        <v>15.739599999999999</v>
      </c>
      <c r="BV107" s="275">
        <v>7.2990000000000004</v>
      </c>
      <c r="BW107" s="275">
        <v>0</v>
      </c>
      <c r="BX107" s="275">
        <v>13.9567</v>
      </c>
      <c r="BY107" s="275">
        <v>24.5608</v>
      </c>
      <c r="BZ107" s="49">
        <f t="shared" si="224"/>
        <v>3701.0095439999996</v>
      </c>
      <c r="CA107" s="49">
        <f t="shared" si="224"/>
        <v>2624.2094699999998</v>
      </c>
      <c r="CB107" s="47">
        <f t="shared" si="224"/>
        <v>0</v>
      </c>
      <c r="CC107" s="47">
        <f t="shared" si="276"/>
        <v>0</v>
      </c>
      <c r="CD107" s="48">
        <f t="shared" si="277"/>
        <v>3701.0095439999996</v>
      </c>
      <c r="CE107" s="48">
        <f t="shared" si="278"/>
        <v>2624.2094699999998</v>
      </c>
      <c r="CF107" s="93">
        <f t="shared" si="279"/>
        <v>3701.0095439999996</v>
      </c>
      <c r="CG107" s="93">
        <f t="shared" si="280"/>
        <v>2624.2094699999998</v>
      </c>
      <c r="CH107" s="118"/>
      <c r="CI107" s="275">
        <v>0.62670000000000003</v>
      </c>
      <c r="CJ107" s="275">
        <v>0.33950000000000002</v>
      </c>
      <c r="CK107" s="275">
        <v>0</v>
      </c>
      <c r="CL107" s="275">
        <v>47.27</v>
      </c>
      <c r="CM107" s="275">
        <v>99.024199999999993</v>
      </c>
      <c r="CN107" s="49">
        <f t="shared" si="225"/>
        <v>129.35088000000002</v>
      </c>
      <c r="CO107" s="49">
        <f t="shared" si="225"/>
        <v>90.924890000000005</v>
      </c>
      <c r="CP107" s="47">
        <f t="shared" si="225"/>
        <v>0</v>
      </c>
      <c r="CQ107" s="47">
        <f t="shared" si="281"/>
        <v>0</v>
      </c>
      <c r="CR107" s="48">
        <f t="shared" si="282"/>
        <v>129.35088000000002</v>
      </c>
      <c r="CS107" s="48">
        <f t="shared" si="283"/>
        <v>90.924890000000005</v>
      </c>
      <c r="CT107" s="93">
        <f t="shared" si="284"/>
        <v>129.35088000000002</v>
      </c>
      <c r="CU107" s="93">
        <f t="shared" si="285"/>
        <v>90.924890000000005</v>
      </c>
      <c r="CV107" s="118"/>
      <c r="CW107" s="275">
        <v>1.0656000000000001</v>
      </c>
      <c r="CX107" s="275">
        <v>0.61990000000000001</v>
      </c>
      <c r="CY107" s="275">
        <v>0</v>
      </c>
      <c r="CZ107" s="275">
        <v>19.3</v>
      </c>
      <c r="DA107" s="275">
        <v>29.502500000000001</v>
      </c>
      <c r="DB107" s="49">
        <f t="shared" si="226"/>
        <v>221.20790400000001</v>
      </c>
      <c r="DC107" s="49">
        <f t="shared" si="226"/>
        <v>174.508049</v>
      </c>
      <c r="DD107" s="47">
        <f t="shared" si="226"/>
        <v>0</v>
      </c>
      <c r="DE107" s="47">
        <f t="shared" si="286"/>
        <v>0</v>
      </c>
      <c r="DF107" s="48">
        <f t="shared" si="287"/>
        <v>221.20790400000001</v>
      </c>
      <c r="DG107" s="48">
        <f t="shared" si="288"/>
        <v>174.508049</v>
      </c>
      <c r="DH107" s="93">
        <f t="shared" si="289"/>
        <v>221.20790400000001</v>
      </c>
      <c r="DI107" s="93">
        <f t="shared" si="290"/>
        <v>174.508049</v>
      </c>
      <c r="DJ107" s="118"/>
      <c r="DK107" s="275">
        <v>1.7612000000000001</v>
      </c>
      <c r="DL107" s="275">
        <v>0.62090000000000001</v>
      </c>
      <c r="DM107" s="275">
        <v>0</v>
      </c>
      <c r="DN107" s="275">
        <v>13.4375</v>
      </c>
      <c r="DO107" s="275">
        <v>25.761700000000001</v>
      </c>
      <c r="DP107" s="49">
        <f t="shared" si="227"/>
        <v>239.94588800000002</v>
      </c>
      <c r="DQ107" s="49">
        <f t="shared" si="227"/>
        <v>122.50977900000001</v>
      </c>
      <c r="DR107" s="47">
        <f t="shared" si="227"/>
        <v>0</v>
      </c>
      <c r="DS107" s="47">
        <f t="shared" si="291"/>
        <v>0</v>
      </c>
      <c r="DT107" s="48">
        <f t="shared" si="292"/>
        <v>239.94588800000002</v>
      </c>
      <c r="DU107" s="48">
        <f t="shared" si="293"/>
        <v>122.50977900000001</v>
      </c>
      <c r="DV107" s="93">
        <f t="shared" si="294"/>
        <v>239.94588800000002</v>
      </c>
      <c r="DW107" s="93">
        <f t="shared" si="295"/>
        <v>122.50977900000001</v>
      </c>
      <c r="DX107" s="118"/>
      <c r="DY107" s="118"/>
      <c r="DZ107" s="118"/>
      <c r="EB107" s="52"/>
      <c r="EC107" s="52"/>
      <c r="ED107" s="52"/>
      <c r="EE107" s="55">
        <f t="shared" si="296"/>
        <v>120.16500000000001</v>
      </c>
      <c r="EF107" s="55">
        <f t="shared" si="296"/>
        <v>224.85669999999999</v>
      </c>
      <c r="EG107" s="55">
        <f t="shared" si="296"/>
        <v>13027.513468199999</v>
      </c>
      <c r="EH107" s="55">
        <f t="shared" si="228"/>
        <v>10220.104145200001</v>
      </c>
      <c r="EI107" s="298">
        <f t="shared" si="308"/>
        <v>0.34828244136528225</v>
      </c>
      <c r="EJ107" s="52"/>
      <c r="EK107" s="55">
        <f t="shared" si="297"/>
        <v>13027.513468199999</v>
      </c>
      <c r="EL107" s="55">
        <f t="shared" si="297"/>
        <v>10220.104145200001</v>
      </c>
      <c r="EM107" s="55">
        <f t="shared" si="297"/>
        <v>13027.513468199999</v>
      </c>
      <c r="EN107" s="55">
        <f t="shared" si="297"/>
        <v>10220.104145200001</v>
      </c>
      <c r="EP107" s="52"/>
      <c r="EQ107" s="52"/>
      <c r="ER107" s="52"/>
      <c r="ES107" s="55">
        <f t="shared" si="230"/>
        <v>83.659100000000009</v>
      </c>
      <c r="ET107" s="55">
        <f t="shared" si="230"/>
        <v>191.06829999999999</v>
      </c>
      <c r="EU107" s="55">
        <f t="shared" si="230"/>
        <v>12000.9156678</v>
      </c>
      <c r="EV107" s="55">
        <f t="shared" si="230"/>
        <v>9709.2445583000008</v>
      </c>
      <c r="EW107" s="298">
        <f t="shared" si="309"/>
        <v>0.30451676825828078</v>
      </c>
      <c r="EX107" s="52"/>
      <c r="EY107" s="55">
        <f t="shared" si="232"/>
        <v>12000.9156678</v>
      </c>
      <c r="EZ107" s="55">
        <f t="shared" si="232"/>
        <v>9709.2445583000008</v>
      </c>
      <c r="FA107" s="55">
        <f t="shared" si="232"/>
        <v>12000.9156678</v>
      </c>
      <c r="FB107" s="55">
        <f t="shared" si="232"/>
        <v>9709.2445583000008</v>
      </c>
      <c r="FD107" s="52"/>
      <c r="FE107" s="52"/>
      <c r="FF107" s="52"/>
      <c r="FG107" s="55">
        <f t="shared" si="233"/>
        <v>76.664199999999994</v>
      </c>
      <c r="FH107" s="55">
        <f t="shared" si="233"/>
        <v>153.3467</v>
      </c>
      <c r="FI107" s="55">
        <f t="shared" si="233"/>
        <v>10884.018259799999</v>
      </c>
      <c r="FJ107" s="55">
        <f t="shared" si="233"/>
        <v>8598.7228073999995</v>
      </c>
      <c r="FK107" s="298">
        <f t="shared" si="310"/>
        <v>0.33330681285104313</v>
      </c>
      <c r="FL107" s="52"/>
      <c r="FM107" s="55">
        <f t="shared" si="235"/>
        <v>10884.018259799999</v>
      </c>
      <c r="FN107" s="55">
        <f t="shared" si="235"/>
        <v>8598.7228073999995</v>
      </c>
      <c r="FO107" s="55">
        <f t="shared" si="235"/>
        <v>10884.018259799999</v>
      </c>
      <c r="FP107" s="55">
        <f t="shared" si="235"/>
        <v>8598.7228073999995</v>
      </c>
      <c r="FR107" s="52"/>
      <c r="FS107" s="52"/>
      <c r="FT107" s="52"/>
      <c r="FU107" s="55">
        <f t="shared" si="236"/>
        <v>66.570000000000007</v>
      </c>
      <c r="FV107" s="55">
        <f t="shared" si="236"/>
        <v>128.52670000000001</v>
      </c>
      <c r="FW107" s="55">
        <f t="shared" si="236"/>
        <v>306.31720320000005</v>
      </c>
      <c r="FX107" s="55">
        <f t="shared" si="236"/>
        <v>230.53132920000002</v>
      </c>
      <c r="FY107" s="298">
        <f t="shared" si="311"/>
        <v>0.34121540753892815</v>
      </c>
      <c r="FZ107" s="52"/>
      <c r="GA107" s="55">
        <f t="shared" si="238"/>
        <v>306.31720320000005</v>
      </c>
      <c r="GB107" s="55">
        <f t="shared" si="238"/>
        <v>230.53132920000002</v>
      </c>
      <c r="GC107" s="55">
        <f t="shared" si="238"/>
        <v>306.31720320000005</v>
      </c>
      <c r="GD107" s="55">
        <f t="shared" si="238"/>
        <v>230.53132920000002</v>
      </c>
      <c r="GF107" s="52"/>
      <c r="GG107" s="52"/>
      <c r="GH107" s="52"/>
      <c r="GI107" s="55">
        <f t="shared" si="239"/>
        <v>43.402499999999996</v>
      </c>
      <c r="GJ107" s="55">
        <f t="shared" si="239"/>
        <v>77.959100000000007</v>
      </c>
      <c r="GK107" s="56">
        <f t="shared" si="240"/>
        <v>1930.0949369999998</v>
      </c>
      <c r="GL107" s="56">
        <f t="shared" si="240"/>
        <v>1467.2247795000005</v>
      </c>
      <c r="GM107" s="298">
        <f t="shared" si="312"/>
        <v>0.35762959618198831</v>
      </c>
      <c r="GN107" s="52"/>
      <c r="GO107" s="56">
        <f t="shared" si="242"/>
        <v>1930.0949369999998</v>
      </c>
      <c r="GP107" s="56">
        <f t="shared" si="242"/>
        <v>1467.2247795000005</v>
      </c>
      <c r="GQ107" s="56">
        <f t="shared" si="242"/>
        <v>1930.0949369999998</v>
      </c>
      <c r="GR107" s="56">
        <f t="shared" si="242"/>
        <v>1467.2247795000005</v>
      </c>
      <c r="GW107" s="275">
        <v>9.3383000000000003</v>
      </c>
      <c r="GX107" s="275">
        <v>4.0709999999999997</v>
      </c>
      <c r="GY107" s="275">
        <v>0</v>
      </c>
      <c r="GZ107" s="275">
        <v>0.86670000000000003</v>
      </c>
      <c r="HA107" s="275">
        <v>2.5832999999999999</v>
      </c>
      <c r="HB107" s="49">
        <f t="shared" si="243"/>
        <v>6133.3020569999999</v>
      </c>
      <c r="HC107" s="49">
        <f t="shared" si="244"/>
        <v>5527.6445099999992</v>
      </c>
      <c r="HD107" s="47">
        <f t="shared" si="245"/>
        <v>0</v>
      </c>
      <c r="HE107" s="47">
        <f t="shared" si="298"/>
        <v>0</v>
      </c>
      <c r="HF107" s="48">
        <f t="shared" si="299"/>
        <v>6133.3020569999999</v>
      </c>
      <c r="HG107" s="48">
        <f t="shared" si="300"/>
        <v>5527.6445099999992</v>
      </c>
      <c r="HH107" s="93">
        <f t="shared" si="301"/>
        <v>6133.3020569999999</v>
      </c>
      <c r="HI107" s="93">
        <f t="shared" si="302"/>
        <v>5527.6445099999992</v>
      </c>
      <c r="HJ107" s="298">
        <f t="shared" si="246"/>
        <v>0.25121739130434784</v>
      </c>
      <c r="HL107" s="275">
        <v>12.272500000000001</v>
      </c>
      <c r="HM107" s="275">
        <v>7.2946</v>
      </c>
      <c r="HN107" s="275">
        <v>0</v>
      </c>
      <c r="HO107" s="275">
        <v>2</v>
      </c>
      <c r="HP107" s="275">
        <v>6</v>
      </c>
      <c r="HQ107" s="49">
        <f t="shared" si="247"/>
        <v>6524.6746250000006</v>
      </c>
      <c r="HR107" s="49">
        <f t="shared" si="248"/>
        <v>5657.1811379999999</v>
      </c>
      <c r="HS107" s="47">
        <f t="shared" si="249"/>
        <v>0</v>
      </c>
      <c r="HT107" s="47">
        <f t="shared" si="303"/>
        <v>0</v>
      </c>
      <c r="HU107" s="48">
        <f t="shared" si="304"/>
        <v>6524.6746250000006</v>
      </c>
      <c r="HV107" s="48">
        <f t="shared" si="305"/>
        <v>5657.1811379999999</v>
      </c>
      <c r="HW107" s="93">
        <f t="shared" si="306"/>
        <v>6524.6746250000006</v>
      </c>
      <c r="HX107" s="93">
        <f t="shared" si="307"/>
        <v>5657.1811379999999</v>
      </c>
      <c r="HY107" s="298">
        <f t="shared" si="250"/>
        <v>0.25</v>
      </c>
    </row>
    <row r="108" spans="1:233" s="131" customFormat="1" x14ac:dyDescent="0.2">
      <c r="A108" s="118">
        <v>98</v>
      </c>
      <c r="B108" s="118"/>
      <c r="C108" s="275">
        <v>6.5841000000000003</v>
      </c>
      <c r="D108" s="275">
        <v>3.0217000000000001</v>
      </c>
      <c r="E108" s="275">
        <v>0</v>
      </c>
      <c r="F108" s="275">
        <v>11.657500000000001</v>
      </c>
      <c r="G108" s="275">
        <v>38.307499999999997</v>
      </c>
      <c r="H108" s="49">
        <f t="shared" si="218"/>
        <v>6512.004105</v>
      </c>
      <c r="I108" s="49">
        <f t="shared" si="218"/>
        <v>5444.5594940000001</v>
      </c>
      <c r="J108" s="47">
        <f t="shared" si="218"/>
        <v>0</v>
      </c>
      <c r="K108" s="47">
        <f t="shared" si="251"/>
        <v>0</v>
      </c>
      <c r="L108" s="48">
        <f t="shared" si="252"/>
        <v>6512.004105</v>
      </c>
      <c r="M108" s="48">
        <f t="shared" si="253"/>
        <v>5444.5594940000001</v>
      </c>
      <c r="N108" s="93">
        <f t="shared" si="254"/>
        <v>6512.004105</v>
      </c>
      <c r="O108" s="93">
        <f t="shared" si="255"/>
        <v>5444.5594940000001</v>
      </c>
      <c r="P108" s="298">
        <f t="shared" si="219"/>
        <v>0.2333133193235265</v>
      </c>
      <c r="Q108" s="275">
        <v>9.7139000000000006</v>
      </c>
      <c r="R108" s="275">
        <v>4.4534000000000002</v>
      </c>
      <c r="S108" s="275">
        <v>0</v>
      </c>
      <c r="T108" s="275">
        <v>1.4892000000000001</v>
      </c>
      <c r="U108" s="275">
        <v>9.4375</v>
      </c>
      <c r="V108" s="49">
        <f t="shared" si="220"/>
        <v>5954.5235610000009</v>
      </c>
      <c r="W108" s="49">
        <f t="shared" si="220"/>
        <v>5168.8832440000006</v>
      </c>
      <c r="X108" s="47">
        <f t="shared" si="220"/>
        <v>0</v>
      </c>
      <c r="Y108" s="47">
        <f t="shared" si="256"/>
        <v>0</v>
      </c>
      <c r="Z108" s="48">
        <f t="shared" si="257"/>
        <v>5954.5235610000009</v>
      </c>
      <c r="AA108" s="48">
        <f t="shared" si="258"/>
        <v>5168.8832440000006</v>
      </c>
      <c r="AB108" s="93">
        <f t="shared" si="259"/>
        <v>5954.5235610000009</v>
      </c>
      <c r="AC108" s="93">
        <f t="shared" si="260"/>
        <v>5168.8832440000006</v>
      </c>
      <c r="AD108" s="118"/>
      <c r="AE108" s="275">
        <v>14.8782</v>
      </c>
      <c r="AF108" s="275">
        <v>5.1440000000000001</v>
      </c>
      <c r="AG108" s="275">
        <v>0</v>
      </c>
      <c r="AH108" s="275">
        <v>1</v>
      </c>
      <c r="AI108" s="275">
        <v>3</v>
      </c>
      <c r="AJ108" s="49">
        <f t="shared" si="221"/>
        <v>6975.9416339999998</v>
      </c>
      <c r="AK108" s="49">
        <f t="shared" si="221"/>
        <v>5847.5963199999997</v>
      </c>
      <c r="AL108" s="47">
        <f t="shared" si="221"/>
        <v>0</v>
      </c>
      <c r="AM108" s="47">
        <f t="shared" si="261"/>
        <v>0</v>
      </c>
      <c r="AN108" s="48">
        <f t="shared" si="262"/>
        <v>6975.9416339999998</v>
      </c>
      <c r="AO108" s="48">
        <f t="shared" si="263"/>
        <v>5847.5963199999997</v>
      </c>
      <c r="AP108" s="93">
        <f t="shared" si="264"/>
        <v>6975.9416339999998</v>
      </c>
      <c r="AQ108" s="93">
        <f t="shared" si="265"/>
        <v>5847.5963199999997</v>
      </c>
      <c r="AR108" s="118"/>
      <c r="AS108" s="275">
        <v>18.119800000000001</v>
      </c>
      <c r="AT108" s="275">
        <v>6.5448000000000004</v>
      </c>
      <c r="AU108" s="275">
        <v>0</v>
      </c>
      <c r="AV108" s="275">
        <v>18.37</v>
      </c>
      <c r="AW108" s="275">
        <v>45.322499999999998</v>
      </c>
      <c r="AX108" s="49">
        <f t="shared" si="222"/>
        <v>6313.8443100000004</v>
      </c>
      <c r="AY108" s="49">
        <f t="shared" si="222"/>
        <v>4580.5091760000005</v>
      </c>
      <c r="AZ108" s="47">
        <f t="shared" si="222"/>
        <v>0</v>
      </c>
      <c r="BA108" s="47">
        <f t="shared" si="266"/>
        <v>0</v>
      </c>
      <c r="BB108" s="48">
        <f t="shared" si="267"/>
        <v>6313.8443100000004</v>
      </c>
      <c r="BC108" s="48">
        <f t="shared" si="268"/>
        <v>4580.5091760000005</v>
      </c>
      <c r="BD108" s="93">
        <f t="shared" si="269"/>
        <v>6313.8443100000004</v>
      </c>
      <c r="BE108" s="93">
        <f t="shared" si="270"/>
        <v>4580.5091760000005</v>
      </c>
      <c r="BF108" s="118"/>
      <c r="BG108" s="275">
        <v>17.1052</v>
      </c>
      <c r="BH108" s="275">
        <v>7.2881</v>
      </c>
      <c r="BI108" s="275">
        <v>0</v>
      </c>
      <c r="BJ108" s="275">
        <v>6.8333000000000004</v>
      </c>
      <c r="BK108" s="275">
        <v>28.127500000000001</v>
      </c>
      <c r="BL108" s="49">
        <f t="shared" si="223"/>
        <v>5785.3207440000006</v>
      </c>
      <c r="BM108" s="49">
        <f t="shared" si="223"/>
        <v>4361.6363259999998</v>
      </c>
      <c r="BN108" s="47">
        <f t="shared" si="223"/>
        <v>0</v>
      </c>
      <c r="BO108" s="47">
        <f t="shared" si="271"/>
        <v>0</v>
      </c>
      <c r="BP108" s="48">
        <f t="shared" si="272"/>
        <v>5785.3207440000006</v>
      </c>
      <c r="BQ108" s="48">
        <f t="shared" si="273"/>
        <v>4361.6363259999998</v>
      </c>
      <c r="BR108" s="93">
        <f t="shared" si="274"/>
        <v>5785.3207440000006</v>
      </c>
      <c r="BS108" s="93">
        <f t="shared" si="275"/>
        <v>4361.6363259999998</v>
      </c>
      <c r="BT108" s="118"/>
      <c r="BU108" s="275">
        <v>15.739599999999999</v>
      </c>
      <c r="BV108" s="275">
        <v>7.2990000000000004</v>
      </c>
      <c r="BW108" s="275">
        <v>0</v>
      </c>
      <c r="BX108" s="275">
        <v>9.4674999999999994</v>
      </c>
      <c r="BY108" s="275">
        <v>19.4392</v>
      </c>
      <c r="BZ108" s="49">
        <f t="shared" si="224"/>
        <v>3701.0095439999996</v>
      </c>
      <c r="CA108" s="49">
        <f t="shared" si="224"/>
        <v>2624.2094699999998</v>
      </c>
      <c r="CB108" s="47">
        <f t="shared" si="224"/>
        <v>0</v>
      </c>
      <c r="CC108" s="47">
        <f t="shared" si="276"/>
        <v>0</v>
      </c>
      <c r="CD108" s="48">
        <f t="shared" si="277"/>
        <v>3701.0095439999996</v>
      </c>
      <c r="CE108" s="48">
        <f t="shared" si="278"/>
        <v>2624.2094699999998</v>
      </c>
      <c r="CF108" s="93">
        <f t="shared" si="279"/>
        <v>3701.0095439999996</v>
      </c>
      <c r="CG108" s="93">
        <f t="shared" si="280"/>
        <v>2624.2094699999998</v>
      </c>
      <c r="CH108" s="118"/>
      <c r="CI108" s="275">
        <v>0.60160000000000002</v>
      </c>
      <c r="CJ108" s="275">
        <v>0.3216</v>
      </c>
      <c r="CK108" s="275">
        <v>0</v>
      </c>
      <c r="CL108" s="275">
        <v>28.813300000000002</v>
      </c>
      <c r="CM108" s="275">
        <v>81.2333</v>
      </c>
      <c r="CN108" s="49">
        <f t="shared" si="225"/>
        <v>124.17024000000001</v>
      </c>
      <c r="CO108" s="49">
        <f t="shared" si="225"/>
        <v>86.130911999999995</v>
      </c>
      <c r="CP108" s="47">
        <f t="shared" si="225"/>
        <v>0</v>
      </c>
      <c r="CQ108" s="47">
        <f t="shared" si="281"/>
        <v>0</v>
      </c>
      <c r="CR108" s="48">
        <f t="shared" si="282"/>
        <v>124.17024000000001</v>
      </c>
      <c r="CS108" s="48">
        <f t="shared" si="283"/>
        <v>86.130911999999995</v>
      </c>
      <c r="CT108" s="93">
        <f t="shared" si="284"/>
        <v>124.17024000000001</v>
      </c>
      <c r="CU108" s="93">
        <f t="shared" si="285"/>
        <v>86.130911999999995</v>
      </c>
      <c r="CV108" s="118"/>
      <c r="CW108" s="275">
        <v>0.93910000000000005</v>
      </c>
      <c r="CX108" s="275">
        <v>0.53839999999999999</v>
      </c>
      <c r="CY108" s="275">
        <v>0</v>
      </c>
      <c r="CZ108" s="275">
        <v>8.7658000000000005</v>
      </c>
      <c r="DA108" s="275">
        <v>31.795000000000002</v>
      </c>
      <c r="DB108" s="49">
        <f t="shared" si="226"/>
        <v>194.94776900000002</v>
      </c>
      <c r="DC108" s="49">
        <f t="shared" si="226"/>
        <v>151.56498399999998</v>
      </c>
      <c r="DD108" s="47">
        <f t="shared" si="226"/>
        <v>0</v>
      </c>
      <c r="DE108" s="47">
        <f t="shared" si="286"/>
        <v>0</v>
      </c>
      <c r="DF108" s="48">
        <f t="shared" si="287"/>
        <v>194.94776900000002</v>
      </c>
      <c r="DG108" s="48">
        <f t="shared" si="288"/>
        <v>151.56498399999998</v>
      </c>
      <c r="DH108" s="93">
        <f t="shared" si="289"/>
        <v>194.94776900000002</v>
      </c>
      <c r="DI108" s="93">
        <f t="shared" si="290"/>
        <v>151.56498399999998</v>
      </c>
      <c r="DJ108" s="118"/>
      <c r="DK108" s="275">
        <v>1.6494</v>
      </c>
      <c r="DL108" s="275">
        <v>0.52139999999999997</v>
      </c>
      <c r="DM108" s="275">
        <v>0</v>
      </c>
      <c r="DN108" s="275">
        <v>10.333299999999999</v>
      </c>
      <c r="DO108" s="275">
        <v>19.514199999999999</v>
      </c>
      <c r="DP108" s="49">
        <f t="shared" si="227"/>
        <v>224.71425600000001</v>
      </c>
      <c r="DQ108" s="49">
        <f t="shared" si="227"/>
        <v>102.87743399999999</v>
      </c>
      <c r="DR108" s="47">
        <f t="shared" si="227"/>
        <v>0</v>
      </c>
      <c r="DS108" s="47">
        <f t="shared" si="291"/>
        <v>0</v>
      </c>
      <c r="DT108" s="48">
        <f t="shared" si="292"/>
        <v>224.71425600000001</v>
      </c>
      <c r="DU108" s="48">
        <f t="shared" si="293"/>
        <v>102.87743399999999</v>
      </c>
      <c r="DV108" s="93">
        <f t="shared" si="294"/>
        <v>224.71425600000001</v>
      </c>
      <c r="DW108" s="93">
        <f t="shared" si="295"/>
        <v>102.87743399999999</v>
      </c>
      <c r="DX108" s="118"/>
      <c r="DY108" s="118"/>
      <c r="DZ108" s="118"/>
      <c r="EB108" s="52"/>
      <c r="EC108" s="52"/>
      <c r="ED108" s="52"/>
      <c r="EE108" s="55">
        <f t="shared" si="296"/>
        <v>67.6066</v>
      </c>
      <c r="EF108" s="55">
        <f t="shared" si="296"/>
        <v>196.6583</v>
      </c>
      <c r="EG108" s="55">
        <f t="shared" si="296"/>
        <v>13105.9768702</v>
      </c>
      <c r="EH108" s="55">
        <f t="shared" si="228"/>
        <v>10232.4515692</v>
      </c>
      <c r="EI108" s="298">
        <f t="shared" si="308"/>
        <v>0.25582890501160011</v>
      </c>
      <c r="EJ108" s="52"/>
      <c r="EK108" s="55">
        <f t="shared" si="297"/>
        <v>13105.9768702</v>
      </c>
      <c r="EL108" s="55">
        <f t="shared" si="297"/>
        <v>10232.4515692</v>
      </c>
      <c r="EM108" s="55">
        <f t="shared" si="297"/>
        <v>13105.9768702</v>
      </c>
      <c r="EN108" s="55">
        <f t="shared" si="297"/>
        <v>10232.4515692</v>
      </c>
      <c r="EP108" s="52"/>
      <c r="EQ108" s="52"/>
      <c r="ER108" s="52"/>
      <c r="ES108" s="55">
        <f t="shared" si="230"/>
        <v>45.901600000000002</v>
      </c>
      <c r="ET108" s="55">
        <f t="shared" si="230"/>
        <v>150.5933</v>
      </c>
      <c r="EU108" s="55">
        <f t="shared" si="230"/>
        <v>12000.477983300001</v>
      </c>
      <c r="EV108" s="55">
        <f t="shared" si="230"/>
        <v>9722.7459708000006</v>
      </c>
      <c r="EW108" s="298">
        <f t="shared" si="309"/>
        <v>0.23360199170563714</v>
      </c>
      <c r="EX108" s="52"/>
      <c r="EY108" s="55">
        <f t="shared" si="232"/>
        <v>12000.477983300001</v>
      </c>
      <c r="EZ108" s="55">
        <f t="shared" si="232"/>
        <v>9722.7459708000006</v>
      </c>
      <c r="FA108" s="55">
        <f t="shared" si="232"/>
        <v>12000.477983300001</v>
      </c>
      <c r="FB108" s="55">
        <f t="shared" si="232"/>
        <v>9722.7459708000006</v>
      </c>
      <c r="FD108" s="52"/>
      <c r="FE108" s="52"/>
      <c r="FF108" s="52"/>
      <c r="FG108" s="55">
        <f t="shared" si="233"/>
        <v>49.614100000000001</v>
      </c>
      <c r="FH108" s="55">
        <f t="shared" si="233"/>
        <v>123.1867</v>
      </c>
      <c r="FI108" s="55">
        <f t="shared" si="233"/>
        <v>10935.949971599999</v>
      </c>
      <c r="FJ108" s="55">
        <f t="shared" si="233"/>
        <v>8619.6631623999983</v>
      </c>
      <c r="FK108" s="298">
        <f t="shared" si="310"/>
        <v>0.28711730501247679</v>
      </c>
      <c r="FL108" s="52"/>
      <c r="FM108" s="55">
        <f t="shared" si="235"/>
        <v>10935.949971599999</v>
      </c>
      <c r="FN108" s="55">
        <f t="shared" si="235"/>
        <v>8619.6631623999983</v>
      </c>
      <c r="FO108" s="55">
        <f t="shared" si="235"/>
        <v>10935.949971599999</v>
      </c>
      <c r="FP108" s="55">
        <f t="shared" si="235"/>
        <v>8619.6631623999983</v>
      </c>
      <c r="FR108" s="52"/>
      <c r="FS108" s="52"/>
      <c r="FT108" s="52"/>
      <c r="FU108" s="55">
        <f t="shared" si="236"/>
        <v>37.579100000000004</v>
      </c>
      <c r="FV108" s="55">
        <f t="shared" si="236"/>
        <v>113.0283</v>
      </c>
      <c r="FW108" s="55">
        <f t="shared" si="236"/>
        <v>280.12845520000008</v>
      </c>
      <c r="FX108" s="55">
        <f t="shared" si="236"/>
        <v>207.3828992</v>
      </c>
      <c r="FY108" s="298">
        <f t="shared" si="311"/>
        <v>0.24951695600614579</v>
      </c>
      <c r="FZ108" s="52"/>
      <c r="GA108" s="55">
        <f t="shared" si="238"/>
        <v>280.12845520000008</v>
      </c>
      <c r="GB108" s="55">
        <f t="shared" si="238"/>
        <v>207.3828992</v>
      </c>
      <c r="GC108" s="55">
        <f t="shared" si="238"/>
        <v>280.12845520000008</v>
      </c>
      <c r="GD108" s="55">
        <f t="shared" si="238"/>
        <v>207.3828992</v>
      </c>
      <c r="GF108" s="52"/>
      <c r="GG108" s="52"/>
      <c r="GH108" s="52"/>
      <c r="GI108" s="55">
        <f t="shared" si="239"/>
        <v>27.837499999999999</v>
      </c>
      <c r="GJ108" s="55">
        <f t="shared" si="239"/>
        <v>64.76169999999999</v>
      </c>
      <c r="GK108" s="56">
        <f t="shared" si="240"/>
        <v>1959.6260745000006</v>
      </c>
      <c r="GL108" s="56">
        <f t="shared" si="240"/>
        <v>1467.2247795000005</v>
      </c>
      <c r="GM108" s="298">
        <f t="shared" si="312"/>
        <v>0.30062354750365011</v>
      </c>
      <c r="GN108" s="52"/>
      <c r="GO108" s="56">
        <f t="shared" si="242"/>
        <v>1959.6260745000006</v>
      </c>
      <c r="GP108" s="56">
        <f t="shared" si="242"/>
        <v>1467.2247795000005</v>
      </c>
      <c r="GQ108" s="56">
        <f t="shared" si="242"/>
        <v>1959.6260745000006</v>
      </c>
      <c r="GR108" s="56">
        <f t="shared" si="242"/>
        <v>1467.2247795000005</v>
      </c>
      <c r="GW108" s="275">
        <v>9.4345999999999997</v>
      </c>
      <c r="GX108" s="275">
        <v>4.1108000000000002</v>
      </c>
      <c r="GY108" s="275">
        <v>0</v>
      </c>
      <c r="GZ108" s="275">
        <v>2.6667000000000001</v>
      </c>
      <c r="HA108" s="275">
        <v>3.0832999999999999</v>
      </c>
      <c r="HB108" s="49">
        <f t="shared" si="243"/>
        <v>6196.5509339999999</v>
      </c>
      <c r="HC108" s="49">
        <f t="shared" si="244"/>
        <v>5581.685348</v>
      </c>
      <c r="HD108" s="47">
        <f t="shared" si="245"/>
        <v>0</v>
      </c>
      <c r="HE108" s="47">
        <f t="shared" si="298"/>
        <v>0</v>
      </c>
      <c r="HF108" s="48">
        <f t="shared" si="299"/>
        <v>6196.5509339999999</v>
      </c>
      <c r="HG108" s="48">
        <f t="shared" si="300"/>
        <v>5581.685348</v>
      </c>
      <c r="HH108" s="93">
        <f t="shared" si="301"/>
        <v>6196.5509339999999</v>
      </c>
      <c r="HI108" s="93">
        <f t="shared" si="302"/>
        <v>5581.685348</v>
      </c>
      <c r="HJ108" s="298">
        <f t="shared" si="246"/>
        <v>0.46377391304347826</v>
      </c>
      <c r="HL108" s="275">
        <v>12.448700000000001</v>
      </c>
      <c r="HM108" s="275">
        <v>7.3624000000000001</v>
      </c>
      <c r="HN108" s="275">
        <v>0</v>
      </c>
      <c r="HO108" s="275">
        <v>1.1267</v>
      </c>
      <c r="HP108" s="275">
        <v>0.58330000000000004</v>
      </c>
      <c r="HQ108" s="49">
        <f t="shared" si="247"/>
        <v>6618.3513549999998</v>
      </c>
      <c r="HR108" s="49">
        <f t="shared" si="248"/>
        <v>5709.7620719999995</v>
      </c>
      <c r="HS108" s="47">
        <f t="shared" si="249"/>
        <v>0</v>
      </c>
      <c r="HT108" s="47">
        <f t="shared" si="303"/>
        <v>0</v>
      </c>
      <c r="HU108" s="48">
        <f t="shared" si="304"/>
        <v>6618.3513549999998</v>
      </c>
      <c r="HV108" s="48">
        <f t="shared" si="305"/>
        <v>5709.7620719999995</v>
      </c>
      <c r="HW108" s="93">
        <f t="shared" si="306"/>
        <v>6618.3513549999998</v>
      </c>
      <c r="HX108" s="93">
        <f t="shared" si="307"/>
        <v>5709.7620719999995</v>
      </c>
      <c r="HY108" s="298">
        <f t="shared" si="250"/>
        <v>0.65888888888888897</v>
      </c>
    </row>
    <row r="109" spans="1:233" s="131" customFormat="1" x14ac:dyDescent="0.2">
      <c r="A109" s="118">
        <v>99</v>
      </c>
      <c r="B109" s="118"/>
      <c r="C109" s="275">
        <v>6.65</v>
      </c>
      <c r="D109" s="275">
        <v>3.0413999999999999</v>
      </c>
      <c r="E109" s="275">
        <v>0</v>
      </c>
      <c r="F109" s="275">
        <v>7.3433000000000002</v>
      </c>
      <c r="G109" s="275">
        <v>19.715800000000002</v>
      </c>
      <c r="H109" s="49">
        <f t="shared" si="218"/>
        <v>6577.1824999999999</v>
      </c>
      <c r="I109" s="49">
        <f t="shared" si="218"/>
        <v>5480.0553479999999</v>
      </c>
      <c r="J109" s="47">
        <f t="shared" si="218"/>
        <v>0</v>
      </c>
      <c r="K109" s="47">
        <f t="shared" si="251"/>
        <v>0</v>
      </c>
      <c r="L109" s="48">
        <f t="shared" si="252"/>
        <v>6577.1824999999999</v>
      </c>
      <c r="M109" s="48">
        <f t="shared" si="253"/>
        <v>5480.0553479999999</v>
      </c>
      <c r="N109" s="93">
        <f t="shared" si="254"/>
        <v>6577.1824999999999</v>
      </c>
      <c r="O109" s="93">
        <f t="shared" si="255"/>
        <v>5480.0553479999999</v>
      </c>
      <c r="P109" s="298">
        <f t="shared" si="219"/>
        <v>0.27138005329075987</v>
      </c>
      <c r="Q109" s="275">
        <v>9.7357999999999993</v>
      </c>
      <c r="R109" s="275">
        <v>4.4829999999999997</v>
      </c>
      <c r="S109" s="275">
        <v>0</v>
      </c>
      <c r="T109" s="275">
        <v>2</v>
      </c>
      <c r="U109" s="275">
        <v>7.3567</v>
      </c>
      <c r="V109" s="49">
        <f t="shared" si="220"/>
        <v>5967.948042</v>
      </c>
      <c r="W109" s="49">
        <f t="shared" si="220"/>
        <v>5203.2387799999997</v>
      </c>
      <c r="X109" s="47">
        <f t="shared" si="220"/>
        <v>0</v>
      </c>
      <c r="Y109" s="47">
        <f t="shared" si="256"/>
        <v>0</v>
      </c>
      <c r="Z109" s="48">
        <f t="shared" si="257"/>
        <v>5967.948042</v>
      </c>
      <c r="AA109" s="48">
        <f t="shared" si="258"/>
        <v>5203.2387799999997</v>
      </c>
      <c r="AB109" s="93">
        <f t="shared" si="259"/>
        <v>5967.948042</v>
      </c>
      <c r="AC109" s="93">
        <f t="shared" si="260"/>
        <v>5203.2387799999997</v>
      </c>
      <c r="AD109" s="118"/>
      <c r="AE109" s="275">
        <v>15.019</v>
      </c>
      <c r="AF109" s="275">
        <v>5.1765999999999996</v>
      </c>
      <c r="AG109" s="275">
        <v>0</v>
      </c>
      <c r="AH109" s="275">
        <v>0</v>
      </c>
      <c r="AI109" s="275">
        <v>2.9</v>
      </c>
      <c r="AJ109" s="49">
        <f t="shared" si="221"/>
        <v>7041.9585299999999</v>
      </c>
      <c r="AK109" s="49">
        <f t="shared" si="221"/>
        <v>5884.6553479999993</v>
      </c>
      <c r="AL109" s="47">
        <f t="shared" si="221"/>
        <v>0</v>
      </c>
      <c r="AM109" s="47">
        <f t="shared" si="261"/>
        <v>0</v>
      </c>
      <c r="AN109" s="48">
        <f t="shared" si="262"/>
        <v>7041.9585299999999</v>
      </c>
      <c r="AO109" s="48">
        <f t="shared" si="263"/>
        <v>5884.6553479999993</v>
      </c>
      <c r="AP109" s="93">
        <f t="shared" si="264"/>
        <v>7041.9585299999999</v>
      </c>
      <c r="AQ109" s="93">
        <f t="shared" si="265"/>
        <v>5884.6553479999993</v>
      </c>
      <c r="AR109" s="118"/>
      <c r="AS109" s="275">
        <v>18.232099999999999</v>
      </c>
      <c r="AT109" s="275">
        <v>6.5448000000000004</v>
      </c>
      <c r="AU109" s="275">
        <v>0</v>
      </c>
      <c r="AV109" s="275">
        <v>14.033300000000001</v>
      </c>
      <c r="AW109" s="275">
        <v>24.683299999999999</v>
      </c>
      <c r="AX109" s="49">
        <f t="shared" si="222"/>
        <v>6352.9752449999996</v>
      </c>
      <c r="AY109" s="49">
        <f t="shared" si="222"/>
        <v>4580.5091760000005</v>
      </c>
      <c r="AZ109" s="47">
        <f t="shared" si="222"/>
        <v>0</v>
      </c>
      <c r="BA109" s="47">
        <f t="shared" si="266"/>
        <v>0</v>
      </c>
      <c r="BB109" s="48">
        <f t="shared" si="267"/>
        <v>6352.9752449999996</v>
      </c>
      <c r="BC109" s="48">
        <f t="shared" si="268"/>
        <v>4580.5091760000005</v>
      </c>
      <c r="BD109" s="93">
        <f t="shared" si="269"/>
        <v>6352.9752449999996</v>
      </c>
      <c r="BE109" s="93">
        <f t="shared" si="270"/>
        <v>4580.5091760000005</v>
      </c>
      <c r="BF109" s="118"/>
      <c r="BG109" s="275">
        <v>17.132100000000001</v>
      </c>
      <c r="BH109" s="275">
        <v>7.2881</v>
      </c>
      <c r="BI109" s="275">
        <v>0</v>
      </c>
      <c r="BJ109" s="275">
        <v>4.2782999999999998</v>
      </c>
      <c r="BK109" s="275">
        <v>27.746700000000001</v>
      </c>
      <c r="BL109" s="49">
        <f t="shared" si="223"/>
        <v>5794.4188620000004</v>
      </c>
      <c r="BM109" s="49">
        <f t="shared" si="223"/>
        <v>4361.6363259999998</v>
      </c>
      <c r="BN109" s="47">
        <f t="shared" si="223"/>
        <v>0</v>
      </c>
      <c r="BO109" s="47">
        <f t="shared" si="271"/>
        <v>0</v>
      </c>
      <c r="BP109" s="48">
        <f t="shared" si="272"/>
        <v>5794.4188620000004</v>
      </c>
      <c r="BQ109" s="48">
        <f t="shared" si="273"/>
        <v>4361.6363259999998</v>
      </c>
      <c r="BR109" s="93">
        <f t="shared" si="274"/>
        <v>5794.4188620000004</v>
      </c>
      <c r="BS109" s="93">
        <f t="shared" si="275"/>
        <v>4361.6363259999998</v>
      </c>
      <c r="BT109" s="118"/>
      <c r="BU109" s="275">
        <v>15.739599999999999</v>
      </c>
      <c r="BV109" s="275">
        <v>7.2990000000000004</v>
      </c>
      <c r="BW109" s="275">
        <v>0</v>
      </c>
      <c r="BX109" s="275">
        <v>6.0933000000000002</v>
      </c>
      <c r="BY109" s="275">
        <v>15.7333</v>
      </c>
      <c r="BZ109" s="49">
        <f t="shared" si="224"/>
        <v>3701.0095439999996</v>
      </c>
      <c r="CA109" s="49">
        <f t="shared" si="224"/>
        <v>2624.2094699999998</v>
      </c>
      <c r="CB109" s="47">
        <f t="shared" si="224"/>
        <v>0</v>
      </c>
      <c r="CC109" s="47">
        <f t="shared" si="276"/>
        <v>0</v>
      </c>
      <c r="CD109" s="48">
        <f t="shared" si="277"/>
        <v>3701.0095439999996</v>
      </c>
      <c r="CE109" s="48">
        <f t="shared" si="278"/>
        <v>2624.2094699999998</v>
      </c>
      <c r="CF109" s="93">
        <f t="shared" si="279"/>
        <v>3701.0095439999996</v>
      </c>
      <c r="CG109" s="93">
        <f t="shared" si="280"/>
        <v>2624.2094699999998</v>
      </c>
      <c r="CH109" s="118"/>
      <c r="CI109" s="275">
        <v>0.57940000000000003</v>
      </c>
      <c r="CJ109" s="275">
        <v>0.30609999999999998</v>
      </c>
      <c r="CK109" s="275">
        <v>0</v>
      </c>
      <c r="CL109" s="275">
        <v>19.8217</v>
      </c>
      <c r="CM109" s="275">
        <v>54.996699999999997</v>
      </c>
      <c r="CN109" s="49">
        <f t="shared" si="225"/>
        <v>119.58816</v>
      </c>
      <c r="CO109" s="49">
        <f t="shared" si="225"/>
        <v>81.979701999999989</v>
      </c>
      <c r="CP109" s="47">
        <f t="shared" si="225"/>
        <v>0</v>
      </c>
      <c r="CQ109" s="47">
        <f t="shared" si="281"/>
        <v>0</v>
      </c>
      <c r="CR109" s="48">
        <f t="shared" si="282"/>
        <v>119.58816</v>
      </c>
      <c r="CS109" s="48">
        <f t="shared" si="283"/>
        <v>81.979701999999989</v>
      </c>
      <c r="CT109" s="93">
        <f t="shared" si="284"/>
        <v>119.58816</v>
      </c>
      <c r="CU109" s="93">
        <f t="shared" si="285"/>
        <v>81.979701999999989</v>
      </c>
      <c r="CV109" s="118"/>
      <c r="CW109" s="275">
        <v>0.81259999999999999</v>
      </c>
      <c r="CX109" s="275">
        <v>0.45700000000000002</v>
      </c>
      <c r="CY109" s="275">
        <v>0</v>
      </c>
      <c r="CZ109" s="275">
        <v>3.5333000000000001</v>
      </c>
      <c r="DA109" s="275">
        <v>18.149999999999999</v>
      </c>
      <c r="DB109" s="49">
        <f t="shared" si="226"/>
        <v>168.687634</v>
      </c>
      <c r="DC109" s="49">
        <f t="shared" si="226"/>
        <v>128.65007</v>
      </c>
      <c r="DD109" s="47">
        <f t="shared" si="226"/>
        <v>0</v>
      </c>
      <c r="DE109" s="47">
        <f t="shared" si="286"/>
        <v>0</v>
      </c>
      <c r="DF109" s="48">
        <f t="shared" si="287"/>
        <v>168.687634</v>
      </c>
      <c r="DG109" s="48">
        <f t="shared" si="288"/>
        <v>128.65007</v>
      </c>
      <c r="DH109" s="93">
        <f t="shared" si="289"/>
        <v>168.687634</v>
      </c>
      <c r="DI109" s="93">
        <f t="shared" si="290"/>
        <v>128.65007</v>
      </c>
      <c r="DJ109" s="118"/>
      <c r="DK109" s="275">
        <v>1.5375000000000001</v>
      </c>
      <c r="DL109" s="275">
        <v>0.42209999999999998</v>
      </c>
      <c r="DM109" s="275">
        <v>0</v>
      </c>
      <c r="DN109" s="275">
        <v>10.0533</v>
      </c>
      <c r="DO109" s="275">
        <v>16.008299999999998</v>
      </c>
      <c r="DP109" s="49">
        <f t="shared" si="227"/>
        <v>209.46900000000002</v>
      </c>
      <c r="DQ109" s="49">
        <f t="shared" si="227"/>
        <v>83.284550999999993</v>
      </c>
      <c r="DR109" s="47">
        <f t="shared" si="227"/>
        <v>0</v>
      </c>
      <c r="DS109" s="47">
        <f t="shared" si="291"/>
        <v>0</v>
      </c>
      <c r="DT109" s="48">
        <f t="shared" si="292"/>
        <v>209.46900000000002</v>
      </c>
      <c r="DU109" s="48">
        <f t="shared" si="293"/>
        <v>83.284550999999993</v>
      </c>
      <c r="DV109" s="93">
        <f t="shared" si="294"/>
        <v>209.46900000000002</v>
      </c>
      <c r="DW109" s="93">
        <f t="shared" si="295"/>
        <v>83.284550999999993</v>
      </c>
      <c r="DX109" s="118"/>
      <c r="DY109" s="118"/>
      <c r="DZ109" s="118"/>
      <c r="EB109" s="52"/>
      <c r="EC109" s="52"/>
      <c r="ED109" s="52"/>
      <c r="EE109" s="55">
        <f t="shared" si="296"/>
        <v>44.7316</v>
      </c>
      <c r="EF109" s="55">
        <f t="shared" si="296"/>
        <v>117.54580000000001</v>
      </c>
      <c r="EG109" s="55">
        <f t="shared" si="296"/>
        <v>13184.6960122</v>
      </c>
      <c r="EH109" s="55">
        <f t="shared" si="228"/>
        <v>10245.464282000003</v>
      </c>
      <c r="EI109" s="298">
        <f t="shared" si="308"/>
        <v>0.2756489813122468</v>
      </c>
      <c r="EJ109" s="52"/>
      <c r="EK109" s="55">
        <f t="shared" si="297"/>
        <v>13184.6960122</v>
      </c>
      <c r="EL109" s="55">
        <f t="shared" si="297"/>
        <v>10245.464282000003</v>
      </c>
      <c r="EM109" s="55">
        <f t="shared" si="297"/>
        <v>13184.6960122</v>
      </c>
      <c r="EN109" s="55">
        <f t="shared" si="297"/>
        <v>10245.464282000003</v>
      </c>
      <c r="EP109" s="52"/>
      <c r="EQ109" s="52"/>
      <c r="ER109" s="52"/>
      <c r="ES109" s="55">
        <f t="shared" si="230"/>
        <v>29.633300000000002</v>
      </c>
      <c r="ET109" s="55">
        <f t="shared" si="230"/>
        <v>108.2501</v>
      </c>
      <c r="EU109" s="55">
        <f t="shared" si="230"/>
        <v>12000.0364078</v>
      </c>
      <c r="EV109" s="55">
        <f t="shared" si="230"/>
        <v>9736.9098570000006</v>
      </c>
      <c r="EW109" s="298">
        <f t="shared" si="309"/>
        <v>0.21491564611838701</v>
      </c>
      <c r="EX109" s="52"/>
      <c r="EY109" s="55">
        <f t="shared" si="232"/>
        <v>12000.0364078</v>
      </c>
      <c r="EZ109" s="55">
        <f t="shared" si="232"/>
        <v>9736.9098570000006</v>
      </c>
      <c r="FA109" s="55">
        <f t="shared" si="232"/>
        <v>12000.0364078</v>
      </c>
      <c r="FB109" s="55">
        <f t="shared" si="232"/>
        <v>9736.9098570000006</v>
      </c>
      <c r="FD109" s="52"/>
      <c r="FE109" s="52"/>
      <c r="FF109" s="52"/>
      <c r="FG109" s="55">
        <f t="shared" si="233"/>
        <v>35.968299999999999</v>
      </c>
      <c r="FH109" s="55">
        <f t="shared" si="233"/>
        <v>89.638299999999987</v>
      </c>
      <c r="FI109" s="55">
        <f t="shared" si="233"/>
        <v>10988.237633999999</v>
      </c>
      <c r="FJ109" s="55">
        <f t="shared" si="233"/>
        <v>8640.8152505999988</v>
      </c>
      <c r="FK109" s="298">
        <f t="shared" si="310"/>
        <v>0.28635676787684727</v>
      </c>
      <c r="FL109" s="52"/>
      <c r="FM109" s="55">
        <f t="shared" si="235"/>
        <v>10988.237633999999</v>
      </c>
      <c r="FN109" s="55">
        <f t="shared" si="235"/>
        <v>8640.8152505999988</v>
      </c>
      <c r="FO109" s="55">
        <f t="shared" si="235"/>
        <v>10988.237633999999</v>
      </c>
      <c r="FP109" s="55">
        <f t="shared" si="235"/>
        <v>8640.8152505999988</v>
      </c>
      <c r="FR109" s="52"/>
      <c r="FS109" s="52"/>
      <c r="FT109" s="52"/>
      <c r="FU109" s="55">
        <f t="shared" si="236"/>
        <v>23.355</v>
      </c>
      <c r="FV109" s="55">
        <f t="shared" si="236"/>
        <v>73.146699999999996</v>
      </c>
      <c r="FW109" s="55">
        <f t="shared" si="236"/>
        <v>254.53826720000001</v>
      </c>
      <c r="FX109" s="55">
        <f t="shared" si="236"/>
        <v>184.89975799999999</v>
      </c>
      <c r="FY109" s="298">
        <f t="shared" si="311"/>
        <v>0.24201646188616366</v>
      </c>
      <c r="FZ109" s="52"/>
      <c r="GA109" s="55">
        <f t="shared" si="238"/>
        <v>254.53826720000001</v>
      </c>
      <c r="GB109" s="55">
        <f t="shared" si="238"/>
        <v>184.89975799999999</v>
      </c>
      <c r="GC109" s="55">
        <f t="shared" si="238"/>
        <v>254.53826720000001</v>
      </c>
      <c r="GD109" s="55">
        <f t="shared" si="238"/>
        <v>184.89975799999999</v>
      </c>
      <c r="GF109" s="52"/>
      <c r="GG109" s="52"/>
      <c r="GH109" s="52"/>
      <c r="GI109" s="55">
        <f t="shared" si="239"/>
        <v>20.1266</v>
      </c>
      <c r="GJ109" s="55">
        <f t="shared" si="239"/>
        <v>40.416600000000003</v>
      </c>
      <c r="GK109" s="56">
        <f t="shared" si="240"/>
        <v>1988.9742757500001</v>
      </c>
      <c r="GL109" s="56">
        <f t="shared" si="240"/>
        <v>1467.2247795000005</v>
      </c>
      <c r="GM109" s="298">
        <f t="shared" si="312"/>
        <v>0.33243370023388258</v>
      </c>
      <c r="GN109" s="52"/>
      <c r="GO109" s="56">
        <f t="shared" si="242"/>
        <v>1988.9742757500001</v>
      </c>
      <c r="GP109" s="56">
        <f t="shared" si="242"/>
        <v>1467.2247795000005</v>
      </c>
      <c r="GQ109" s="56">
        <f t="shared" si="242"/>
        <v>1988.9742757500001</v>
      </c>
      <c r="GR109" s="56">
        <f t="shared" si="242"/>
        <v>1467.2247795000005</v>
      </c>
      <c r="GW109" s="275">
        <v>9.5306999999999995</v>
      </c>
      <c r="GX109" s="275">
        <v>4.1508000000000003</v>
      </c>
      <c r="GY109" s="275">
        <v>0</v>
      </c>
      <c r="GZ109" s="275">
        <v>0</v>
      </c>
      <c r="HA109" s="275">
        <v>3</v>
      </c>
      <c r="HB109" s="49">
        <f t="shared" si="243"/>
        <v>6259.6684529999993</v>
      </c>
      <c r="HC109" s="49">
        <f t="shared" si="244"/>
        <v>5635.9977479999998</v>
      </c>
      <c r="HD109" s="47">
        <f t="shared" si="245"/>
        <v>0</v>
      </c>
      <c r="HE109" s="47">
        <f t="shared" si="298"/>
        <v>0</v>
      </c>
      <c r="HF109" s="48">
        <f t="shared" si="299"/>
        <v>6259.6684529999993</v>
      </c>
      <c r="HG109" s="48">
        <f t="shared" si="300"/>
        <v>5635.9977479999998</v>
      </c>
      <c r="HH109" s="93">
        <f t="shared" si="301"/>
        <v>6259.6684529999993</v>
      </c>
      <c r="HI109" s="93">
        <f t="shared" si="302"/>
        <v>5635.9977479999998</v>
      </c>
      <c r="HJ109" s="298">
        <f t="shared" si="246"/>
        <v>0.15</v>
      </c>
      <c r="HL109" s="275">
        <v>12.6252</v>
      </c>
      <c r="HM109" s="275">
        <v>7.4301000000000004</v>
      </c>
      <c r="HN109" s="275">
        <v>0</v>
      </c>
      <c r="HO109" s="275">
        <v>0.66669999999999996</v>
      </c>
      <c r="HP109" s="275">
        <v>3</v>
      </c>
      <c r="HQ109" s="49">
        <f t="shared" si="247"/>
        <v>6712.1875799999998</v>
      </c>
      <c r="HR109" s="49">
        <f t="shared" si="248"/>
        <v>5762.265453</v>
      </c>
      <c r="HS109" s="47">
        <f t="shared" si="249"/>
        <v>0</v>
      </c>
      <c r="HT109" s="47">
        <f t="shared" si="303"/>
        <v>0</v>
      </c>
      <c r="HU109" s="48">
        <f t="shared" si="304"/>
        <v>6712.1875799999998</v>
      </c>
      <c r="HV109" s="48">
        <f t="shared" si="305"/>
        <v>5762.265453</v>
      </c>
      <c r="HW109" s="93">
        <f t="shared" si="306"/>
        <v>6712.1875799999998</v>
      </c>
      <c r="HX109" s="93">
        <f t="shared" si="307"/>
        <v>5762.265453</v>
      </c>
      <c r="HY109" s="298">
        <f t="shared" si="250"/>
        <v>0.18182561976709302</v>
      </c>
    </row>
    <row r="110" spans="1:233" s="131" customFormat="1" x14ac:dyDescent="0.2">
      <c r="A110" s="118">
        <v>100</v>
      </c>
      <c r="B110" s="118"/>
      <c r="C110" s="275">
        <v>6.7159000000000004</v>
      </c>
      <c r="D110" s="275">
        <v>3.0611999999999999</v>
      </c>
      <c r="E110" s="275">
        <v>0</v>
      </c>
      <c r="F110" s="275">
        <v>8.4167000000000005</v>
      </c>
      <c r="G110" s="275">
        <v>23.796700000000001</v>
      </c>
      <c r="H110" s="49">
        <f t="shared" si="218"/>
        <v>6642.3608949999998</v>
      </c>
      <c r="I110" s="49">
        <f t="shared" si="218"/>
        <v>5515.7313839999997</v>
      </c>
      <c r="J110" s="47">
        <f t="shared" si="218"/>
        <v>0</v>
      </c>
      <c r="K110" s="47">
        <f t="shared" si="251"/>
        <v>0</v>
      </c>
      <c r="L110" s="48">
        <f t="shared" si="252"/>
        <v>6642.3608949999998</v>
      </c>
      <c r="M110" s="48">
        <f t="shared" si="253"/>
        <v>5515.7313839999997</v>
      </c>
      <c r="N110" s="93">
        <f t="shared" si="254"/>
        <v>6642.3608949999998</v>
      </c>
      <c r="O110" s="93">
        <f t="shared" si="255"/>
        <v>5515.7313839999997</v>
      </c>
      <c r="P110" s="298">
        <f t="shared" si="219"/>
        <v>0.26127946755077081</v>
      </c>
      <c r="Q110" s="275">
        <v>9.7576999999999998</v>
      </c>
      <c r="R110" s="275">
        <v>4.5125000000000002</v>
      </c>
      <c r="S110" s="275">
        <v>0</v>
      </c>
      <c r="T110" s="275">
        <v>1.5183</v>
      </c>
      <c r="U110" s="275">
        <v>2.5449999999999999</v>
      </c>
      <c r="V110" s="49">
        <f t="shared" si="220"/>
        <v>5981.372523</v>
      </c>
      <c r="W110" s="49">
        <f t="shared" si="220"/>
        <v>5237.478250000001</v>
      </c>
      <c r="X110" s="47">
        <f t="shared" si="220"/>
        <v>0</v>
      </c>
      <c r="Y110" s="47">
        <f t="shared" si="256"/>
        <v>0</v>
      </c>
      <c r="Z110" s="48">
        <f t="shared" si="257"/>
        <v>5981.372523</v>
      </c>
      <c r="AA110" s="48">
        <f t="shared" si="258"/>
        <v>5237.478250000001</v>
      </c>
      <c r="AB110" s="93">
        <f t="shared" si="259"/>
        <v>5981.372523</v>
      </c>
      <c r="AC110" s="93">
        <f t="shared" si="260"/>
        <v>5237.478250000001</v>
      </c>
      <c r="AD110" s="118"/>
      <c r="AE110" s="275">
        <v>15.1599</v>
      </c>
      <c r="AF110" s="275">
        <v>5.2089999999999996</v>
      </c>
      <c r="AG110" s="275">
        <v>0</v>
      </c>
      <c r="AH110" s="275">
        <v>0.6633</v>
      </c>
      <c r="AI110" s="275">
        <v>1.5</v>
      </c>
      <c r="AJ110" s="49">
        <f t="shared" si="221"/>
        <v>7108.0223130000004</v>
      </c>
      <c r="AK110" s="49">
        <f t="shared" si="221"/>
        <v>5921.4870199999996</v>
      </c>
      <c r="AL110" s="47">
        <f t="shared" si="221"/>
        <v>0</v>
      </c>
      <c r="AM110" s="47">
        <f t="shared" si="261"/>
        <v>0</v>
      </c>
      <c r="AN110" s="48">
        <f t="shared" si="262"/>
        <v>7108.0223130000004</v>
      </c>
      <c r="AO110" s="48">
        <f t="shared" si="263"/>
        <v>5921.4870199999996</v>
      </c>
      <c r="AP110" s="93">
        <f t="shared" si="264"/>
        <v>7108.0223130000004</v>
      </c>
      <c r="AQ110" s="93">
        <f t="shared" si="265"/>
        <v>5921.4870199999996</v>
      </c>
      <c r="AR110" s="118"/>
      <c r="AS110" s="275">
        <v>18.344100000000001</v>
      </c>
      <c r="AT110" s="275">
        <v>6.5448000000000004</v>
      </c>
      <c r="AU110" s="275">
        <v>0</v>
      </c>
      <c r="AV110" s="275">
        <v>7.6632999999999996</v>
      </c>
      <c r="AW110" s="275">
        <v>23.763300000000001</v>
      </c>
      <c r="AX110" s="49">
        <f t="shared" si="222"/>
        <v>6392.0016450000003</v>
      </c>
      <c r="AY110" s="49">
        <f t="shared" si="222"/>
        <v>4580.5091760000005</v>
      </c>
      <c r="AZ110" s="47">
        <f t="shared" si="222"/>
        <v>0</v>
      </c>
      <c r="BA110" s="47">
        <f t="shared" si="266"/>
        <v>0</v>
      </c>
      <c r="BB110" s="48">
        <f t="shared" si="267"/>
        <v>6392.0016450000003</v>
      </c>
      <c r="BC110" s="48">
        <f t="shared" si="268"/>
        <v>4580.5091760000005</v>
      </c>
      <c r="BD110" s="93">
        <f t="shared" si="269"/>
        <v>6392.0016450000003</v>
      </c>
      <c r="BE110" s="93">
        <f t="shared" si="270"/>
        <v>4580.5091760000005</v>
      </c>
      <c r="BF110" s="118"/>
      <c r="BG110" s="275">
        <v>17.1586</v>
      </c>
      <c r="BH110" s="275">
        <v>7.2881</v>
      </c>
      <c r="BI110" s="275">
        <v>0</v>
      </c>
      <c r="BJ110" s="275">
        <v>5.2683</v>
      </c>
      <c r="BK110" s="275">
        <v>19.504200000000001</v>
      </c>
      <c r="BL110" s="49">
        <f t="shared" si="223"/>
        <v>5803.3816920000008</v>
      </c>
      <c r="BM110" s="49">
        <f t="shared" si="223"/>
        <v>4361.6363259999998</v>
      </c>
      <c r="BN110" s="47">
        <f t="shared" si="223"/>
        <v>0</v>
      </c>
      <c r="BO110" s="47">
        <f t="shared" si="271"/>
        <v>0</v>
      </c>
      <c r="BP110" s="48">
        <f t="shared" si="272"/>
        <v>5803.3816920000008</v>
      </c>
      <c r="BQ110" s="48">
        <f t="shared" si="273"/>
        <v>4361.6363259999998</v>
      </c>
      <c r="BR110" s="93">
        <f t="shared" si="274"/>
        <v>5803.3816920000008</v>
      </c>
      <c r="BS110" s="93">
        <f t="shared" si="275"/>
        <v>4361.6363259999998</v>
      </c>
      <c r="BT110" s="118"/>
      <c r="BU110" s="275">
        <v>15.739599999999999</v>
      </c>
      <c r="BV110" s="275">
        <v>7.2990000000000004</v>
      </c>
      <c r="BW110" s="275">
        <v>0</v>
      </c>
      <c r="BX110" s="275">
        <v>3.5649999999999999</v>
      </c>
      <c r="BY110" s="275">
        <v>11.255800000000001</v>
      </c>
      <c r="BZ110" s="49">
        <f t="shared" si="224"/>
        <v>3701.0095439999996</v>
      </c>
      <c r="CA110" s="49">
        <f t="shared" si="224"/>
        <v>2624.2094699999998</v>
      </c>
      <c r="CB110" s="47">
        <f t="shared" si="224"/>
        <v>0</v>
      </c>
      <c r="CC110" s="47">
        <f t="shared" si="276"/>
        <v>0</v>
      </c>
      <c r="CD110" s="48">
        <f t="shared" si="277"/>
        <v>3701.0095439999996</v>
      </c>
      <c r="CE110" s="48">
        <f t="shared" si="278"/>
        <v>2624.2094699999998</v>
      </c>
      <c r="CF110" s="93">
        <f t="shared" si="279"/>
        <v>3701.0095439999996</v>
      </c>
      <c r="CG110" s="93">
        <f t="shared" si="280"/>
        <v>2624.2094699999998</v>
      </c>
      <c r="CH110" s="118"/>
      <c r="CI110" s="275">
        <v>0.56030000000000002</v>
      </c>
      <c r="CJ110" s="275">
        <v>0.29320000000000002</v>
      </c>
      <c r="CK110" s="275">
        <v>0</v>
      </c>
      <c r="CL110" s="275">
        <v>14.5358</v>
      </c>
      <c r="CM110" s="275">
        <v>41.037500000000001</v>
      </c>
      <c r="CN110" s="49">
        <f t="shared" si="225"/>
        <v>115.64592</v>
      </c>
      <c r="CO110" s="49">
        <f t="shared" si="225"/>
        <v>78.524823999999995</v>
      </c>
      <c r="CP110" s="47">
        <f t="shared" si="225"/>
        <v>0</v>
      </c>
      <c r="CQ110" s="47">
        <f t="shared" si="281"/>
        <v>0</v>
      </c>
      <c r="CR110" s="48">
        <f t="shared" si="282"/>
        <v>115.64592</v>
      </c>
      <c r="CS110" s="48">
        <f t="shared" si="283"/>
        <v>78.524823999999995</v>
      </c>
      <c r="CT110" s="93">
        <f t="shared" si="284"/>
        <v>115.64592</v>
      </c>
      <c r="CU110" s="93">
        <f t="shared" si="285"/>
        <v>78.524823999999995</v>
      </c>
      <c r="CV110" s="118"/>
      <c r="CW110" s="275">
        <v>0.68610000000000004</v>
      </c>
      <c r="CX110" s="275">
        <v>0.37559999999999999</v>
      </c>
      <c r="CY110" s="275">
        <v>0</v>
      </c>
      <c r="CZ110" s="275">
        <v>2</v>
      </c>
      <c r="DA110" s="275">
        <v>10.95</v>
      </c>
      <c r="DB110" s="49">
        <f t="shared" si="226"/>
        <v>142.42749900000001</v>
      </c>
      <c r="DC110" s="49">
        <f t="shared" si="226"/>
        <v>105.73515599999999</v>
      </c>
      <c r="DD110" s="47">
        <f t="shared" si="226"/>
        <v>0</v>
      </c>
      <c r="DE110" s="47">
        <f t="shared" si="286"/>
        <v>0</v>
      </c>
      <c r="DF110" s="48">
        <f t="shared" si="287"/>
        <v>142.42749900000001</v>
      </c>
      <c r="DG110" s="48">
        <f t="shared" si="288"/>
        <v>105.73515599999999</v>
      </c>
      <c r="DH110" s="93">
        <f t="shared" si="289"/>
        <v>142.42749900000001</v>
      </c>
      <c r="DI110" s="93">
        <f t="shared" si="290"/>
        <v>105.73515599999999</v>
      </c>
      <c r="DJ110" s="118"/>
      <c r="DK110" s="275">
        <v>1.4256</v>
      </c>
      <c r="DL110" s="275">
        <v>0.32279999999999998</v>
      </c>
      <c r="DM110" s="275">
        <v>0</v>
      </c>
      <c r="DN110" s="275">
        <v>4.5617000000000001</v>
      </c>
      <c r="DO110" s="275">
        <v>16.7042</v>
      </c>
      <c r="DP110" s="49">
        <f t="shared" si="227"/>
        <v>194.22374400000001</v>
      </c>
      <c r="DQ110" s="49">
        <f t="shared" si="227"/>
        <v>63.691667999999993</v>
      </c>
      <c r="DR110" s="47">
        <f t="shared" si="227"/>
        <v>0</v>
      </c>
      <c r="DS110" s="47">
        <f t="shared" si="291"/>
        <v>0</v>
      </c>
      <c r="DT110" s="48">
        <f t="shared" si="292"/>
        <v>194.22374400000001</v>
      </c>
      <c r="DU110" s="48">
        <f t="shared" si="293"/>
        <v>63.691667999999993</v>
      </c>
      <c r="DV110" s="93">
        <f t="shared" si="294"/>
        <v>194.22374400000001</v>
      </c>
      <c r="DW110" s="93">
        <f t="shared" si="295"/>
        <v>63.691667999999993</v>
      </c>
      <c r="DX110" s="118"/>
      <c r="DY110" s="118"/>
      <c r="DZ110" s="118"/>
      <c r="EB110" s="52"/>
      <c r="EC110" s="52"/>
      <c r="ED110" s="52"/>
      <c r="EE110" s="55">
        <f t="shared" si="296"/>
        <v>32.6158</v>
      </c>
      <c r="EF110" s="55">
        <f t="shared" si="296"/>
        <v>99.547499999999999</v>
      </c>
      <c r="EG110" s="55">
        <f t="shared" si="296"/>
        <v>13263.950459200001</v>
      </c>
      <c r="EH110" s="55">
        <f t="shared" si="228"/>
        <v>10259.353508800001</v>
      </c>
      <c r="EI110" s="298">
        <f t="shared" si="308"/>
        <v>0.24678409210423774</v>
      </c>
      <c r="EJ110" s="52"/>
      <c r="EK110" s="55">
        <f t="shared" si="297"/>
        <v>13263.950459200001</v>
      </c>
      <c r="EL110" s="55">
        <f t="shared" si="297"/>
        <v>10259.353508800001</v>
      </c>
      <c r="EM110" s="55">
        <f t="shared" si="297"/>
        <v>13263.950459200001</v>
      </c>
      <c r="EN110" s="55">
        <f t="shared" si="297"/>
        <v>10259.353508800001</v>
      </c>
      <c r="EP110" s="52"/>
      <c r="EQ110" s="52"/>
      <c r="ER110" s="52"/>
      <c r="ES110" s="55">
        <f t="shared" si="230"/>
        <v>23.322400000000002</v>
      </c>
      <c r="ET110" s="55">
        <f t="shared" si="230"/>
        <v>74.036699999999996</v>
      </c>
      <c r="EU110" s="55">
        <f t="shared" si="230"/>
        <v>12000.099384300001</v>
      </c>
      <c r="EV110" s="55">
        <f t="shared" si="230"/>
        <v>9751.6540091999996</v>
      </c>
      <c r="EW110" s="298">
        <f t="shared" si="309"/>
        <v>0.23955028343524132</v>
      </c>
      <c r="EX110" s="52"/>
      <c r="EY110" s="55">
        <f t="shared" si="232"/>
        <v>12000.099384300001</v>
      </c>
      <c r="EZ110" s="55">
        <f t="shared" si="232"/>
        <v>9751.6540091999996</v>
      </c>
      <c r="FA110" s="55">
        <f t="shared" si="232"/>
        <v>12000.099384300001</v>
      </c>
      <c r="FB110" s="55">
        <f t="shared" si="232"/>
        <v>9751.6540091999996</v>
      </c>
      <c r="FD110" s="52"/>
      <c r="FE110" s="52"/>
      <c r="FF110" s="52"/>
      <c r="FG110" s="55">
        <f t="shared" si="233"/>
        <v>23.325800000000001</v>
      </c>
      <c r="FH110" s="55">
        <f t="shared" si="233"/>
        <v>70.497500000000002</v>
      </c>
      <c r="FI110" s="55">
        <f t="shared" si="233"/>
        <v>11041.212023400001</v>
      </c>
      <c r="FJ110" s="55">
        <f t="shared" si="233"/>
        <v>8662.4363147999993</v>
      </c>
      <c r="FK110" s="298">
        <f t="shared" si="310"/>
        <v>0.24861415021641745</v>
      </c>
      <c r="FL110" s="52"/>
      <c r="FM110" s="55">
        <f t="shared" si="235"/>
        <v>11041.212023400001</v>
      </c>
      <c r="FN110" s="55">
        <f t="shared" si="235"/>
        <v>8662.4363147999993</v>
      </c>
      <c r="FO110" s="55">
        <f t="shared" si="235"/>
        <v>11041.212023400001</v>
      </c>
      <c r="FP110" s="55">
        <f t="shared" si="235"/>
        <v>8662.4363147999993</v>
      </c>
      <c r="FR110" s="52"/>
      <c r="FS110" s="52"/>
      <c r="FT110" s="52"/>
      <c r="FU110" s="55">
        <f t="shared" si="236"/>
        <v>16.535800000000002</v>
      </c>
      <c r="FV110" s="55">
        <f t="shared" si="236"/>
        <v>51.987499999999997</v>
      </c>
      <c r="FW110" s="55">
        <f t="shared" si="236"/>
        <v>229.58791920000002</v>
      </c>
      <c r="FX110" s="55">
        <f t="shared" si="236"/>
        <v>163.1129488</v>
      </c>
      <c r="FY110" s="298">
        <f t="shared" si="311"/>
        <v>0.24131645732181609</v>
      </c>
      <c r="FZ110" s="52"/>
      <c r="GA110" s="55">
        <f t="shared" si="238"/>
        <v>229.58791920000002</v>
      </c>
      <c r="GB110" s="55">
        <f t="shared" si="238"/>
        <v>163.1129488</v>
      </c>
      <c r="GC110" s="55">
        <f t="shared" si="238"/>
        <v>229.58791920000002</v>
      </c>
      <c r="GD110" s="55">
        <f t="shared" si="238"/>
        <v>163.1129488</v>
      </c>
      <c r="GF110" s="52"/>
      <c r="GG110" s="52"/>
      <c r="GH110" s="52"/>
      <c r="GI110" s="55">
        <f t="shared" si="239"/>
        <v>11.228299999999999</v>
      </c>
      <c r="GJ110" s="55">
        <f t="shared" si="239"/>
        <v>35.019100000000002</v>
      </c>
      <c r="GK110" s="56">
        <f t="shared" si="240"/>
        <v>2018.2440757500005</v>
      </c>
      <c r="GL110" s="56">
        <f t="shared" si="240"/>
        <v>1467.2247795000005</v>
      </c>
      <c r="GM110" s="298">
        <f t="shared" si="312"/>
        <v>0.2427877026600414</v>
      </c>
      <c r="GN110" s="52"/>
      <c r="GO110" s="56">
        <f t="shared" si="242"/>
        <v>2018.2440757500005</v>
      </c>
      <c r="GP110" s="56">
        <f t="shared" si="242"/>
        <v>1467.2247795000005</v>
      </c>
      <c r="GQ110" s="56">
        <f t="shared" si="242"/>
        <v>2018.2440757500005</v>
      </c>
      <c r="GR110" s="56">
        <f t="shared" si="242"/>
        <v>1467.2247795000005</v>
      </c>
      <c r="GW110" s="275">
        <v>9.6266999999999996</v>
      </c>
      <c r="GX110" s="275">
        <v>4.1908000000000003</v>
      </c>
      <c r="GY110" s="275">
        <v>0</v>
      </c>
      <c r="GZ110" s="275">
        <v>0</v>
      </c>
      <c r="HA110" s="275">
        <v>4.25</v>
      </c>
      <c r="HB110" s="49">
        <f t="shared" si="243"/>
        <v>6322.7202929999994</v>
      </c>
      <c r="HC110" s="49">
        <f t="shared" si="244"/>
        <v>5690.3101480000005</v>
      </c>
      <c r="HD110" s="47">
        <f t="shared" si="245"/>
        <v>0</v>
      </c>
      <c r="HE110" s="47">
        <f t="shared" si="298"/>
        <v>0</v>
      </c>
      <c r="HF110" s="48">
        <f t="shared" si="299"/>
        <v>6322.7202929999994</v>
      </c>
      <c r="HG110" s="48">
        <f t="shared" si="300"/>
        <v>5690.3101480000005</v>
      </c>
      <c r="HH110" s="93">
        <f t="shared" si="301"/>
        <v>6322.7202929999994</v>
      </c>
      <c r="HI110" s="93">
        <f t="shared" si="302"/>
        <v>5690.3101480000005</v>
      </c>
      <c r="HJ110" s="298">
        <f t="shared" si="246"/>
        <v>0.15</v>
      </c>
      <c r="HL110" s="275">
        <v>12.8019</v>
      </c>
      <c r="HM110" s="275">
        <v>7.4977999999999998</v>
      </c>
      <c r="HN110" s="275">
        <v>0</v>
      </c>
      <c r="HO110" s="275">
        <v>2</v>
      </c>
      <c r="HP110" s="275">
        <v>0.41670000000000001</v>
      </c>
      <c r="HQ110" s="49">
        <f t="shared" si="247"/>
        <v>6806.1301349999994</v>
      </c>
      <c r="HR110" s="49">
        <f t="shared" si="248"/>
        <v>5814.7688339999995</v>
      </c>
      <c r="HS110" s="47">
        <f t="shared" si="249"/>
        <v>0</v>
      </c>
      <c r="HT110" s="47">
        <f t="shared" si="303"/>
        <v>0</v>
      </c>
      <c r="HU110" s="48">
        <f t="shared" si="304"/>
        <v>6806.1301349999994</v>
      </c>
      <c r="HV110" s="48">
        <f t="shared" si="305"/>
        <v>5814.7688339999995</v>
      </c>
      <c r="HW110" s="93">
        <f t="shared" si="306"/>
        <v>6806.1301349999994</v>
      </c>
      <c r="HX110" s="93">
        <f t="shared" si="307"/>
        <v>5814.7688339999995</v>
      </c>
      <c r="HY110" s="298">
        <f t="shared" si="250"/>
        <v>0.82757479207183349</v>
      </c>
    </row>
    <row r="113" spans="6:233" s="131" customFormat="1" x14ac:dyDescent="0.2">
      <c r="F113" s="1"/>
      <c r="G113" s="1"/>
      <c r="M113" s="118"/>
      <c r="N113" s="118"/>
      <c r="O113" s="118"/>
      <c r="Q113" s="118"/>
      <c r="R113" s="118"/>
      <c r="S113" s="118"/>
      <c r="T113" s="1"/>
      <c r="U113" s="1"/>
      <c r="V113" s="118"/>
      <c r="W113" s="118"/>
      <c r="X113" s="118"/>
      <c r="Y113" s="118"/>
      <c r="Z113" s="118"/>
      <c r="AA113" s="118"/>
      <c r="AB113" s="118"/>
      <c r="AC113" s="118"/>
      <c r="AD113" s="118"/>
      <c r="AE113" s="118"/>
      <c r="AF113" s="118"/>
      <c r="AG113" s="118"/>
      <c r="AH113" s="1"/>
      <c r="AI113" s="1"/>
      <c r="AJ113" s="118"/>
      <c r="AK113" s="118"/>
      <c r="AL113" s="118"/>
      <c r="AM113" s="118"/>
      <c r="AN113" s="118"/>
      <c r="AO113" s="118"/>
      <c r="AP113" s="118"/>
      <c r="AQ113" s="118"/>
      <c r="AR113" s="118"/>
      <c r="AS113" s="118"/>
      <c r="AT113" s="118"/>
      <c r="AU113" s="118"/>
      <c r="AV113" s="1"/>
      <c r="AW113" s="1"/>
      <c r="AX113" s="118"/>
      <c r="AY113" s="118"/>
      <c r="AZ113" s="118"/>
      <c r="BA113" s="118"/>
      <c r="BB113" s="118"/>
      <c r="BC113" s="118"/>
      <c r="BD113" s="118"/>
      <c r="BE113" s="118"/>
      <c r="BF113" s="118"/>
      <c r="BG113" s="118"/>
      <c r="BH113" s="118"/>
      <c r="BI113" s="118"/>
      <c r="BJ113" s="1"/>
      <c r="BK113" s="1"/>
      <c r="BL113" s="118"/>
      <c r="BM113" s="118"/>
      <c r="BN113" s="118"/>
      <c r="BO113" s="118"/>
      <c r="BP113" s="118"/>
      <c r="BQ113" s="118"/>
      <c r="BR113" s="118"/>
      <c r="BS113" s="118"/>
      <c r="BT113" s="118"/>
      <c r="BU113" s="118"/>
      <c r="BV113" s="118"/>
      <c r="BW113" s="118"/>
      <c r="BX113" s="1"/>
      <c r="BY113" s="1"/>
      <c r="BZ113" s="118"/>
      <c r="CA113" s="118"/>
      <c r="CB113" s="118"/>
      <c r="CC113" s="118"/>
      <c r="CD113" s="118"/>
      <c r="CE113" s="118"/>
      <c r="CF113" s="118"/>
      <c r="CG113" s="118"/>
      <c r="CH113" s="118"/>
      <c r="CI113" s="118"/>
      <c r="CJ113" s="118"/>
      <c r="CK113" s="118"/>
      <c r="CL113" s="1"/>
      <c r="CM113" s="1"/>
      <c r="CN113" s="118"/>
      <c r="CO113" s="118"/>
      <c r="CP113" s="118"/>
      <c r="CQ113" s="118"/>
      <c r="CR113" s="118"/>
      <c r="CS113" s="118"/>
      <c r="CT113" s="118"/>
      <c r="CU113" s="118"/>
      <c r="CV113" s="118"/>
      <c r="CW113" s="118"/>
      <c r="CX113" s="118"/>
      <c r="CY113" s="118"/>
      <c r="CZ113" s="1"/>
      <c r="DA113" s="1"/>
      <c r="DB113" s="118"/>
      <c r="DC113" s="118"/>
      <c r="DD113" s="118"/>
      <c r="DE113" s="118"/>
      <c r="DF113" s="118"/>
      <c r="DG113" s="118"/>
      <c r="DH113" s="118"/>
      <c r="DI113" s="118"/>
      <c r="DJ113" s="118"/>
      <c r="DK113" s="118"/>
      <c r="DL113" s="118"/>
      <c r="DM113" s="118"/>
      <c r="DN113" s="1"/>
      <c r="DO113" s="1"/>
      <c r="DP113" s="118"/>
      <c r="DQ113" s="118"/>
      <c r="DR113" s="118"/>
      <c r="DS113" s="118"/>
      <c r="DT113" s="118"/>
      <c r="DU113" s="118"/>
      <c r="DV113" s="118"/>
      <c r="DW113" s="118"/>
      <c r="DX113" s="118"/>
      <c r="DY113" s="118"/>
      <c r="DZ113" s="118"/>
      <c r="EW113" s="1"/>
      <c r="FK113" s="1"/>
      <c r="GZ113" s="1"/>
      <c r="HA113" s="1"/>
      <c r="HG113" s="118"/>
      <c r="HH113" s="118"/>
      <c r="HI113" s="118"/>
      <c r="HO113" s="1"/>
      <c r="HP113" s="1"/>
      <c r="HV113" s="118"/>
      <c r="HW113" s="118"/>
      <c r="HX113" s="118"/>
      <c r="HY113" s="118"/>
    </row>
  </sheetData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1">
    <tabColor indexed="11"/>
  </sheetPr>
  <dimension ref="A1:AZ122"/>
  <sheetViews>
    <sheetView topLeftCell="P1" workbookViewId="0">
      <selection activeCell="X30" sqref="X30"/>
    </sheetView>
  </sheetViews>
  <sheetFormatPr baseColWidth="10" defaultColWidth="8.5546875" defaultRowHeight="10.199999999999999" x14ac:dyDescent="0.2"/>
  <cols>
    <col min="1" max="1" width="8.5546875" style="1" customWidth="1"/>
    <col min="2" max="2" width="8.5546875" style="139" customWidth="1"/>
    <col min="3" max="4" width="8.5546875" style="140" customWidth="1"/>
    <col min="5" max="7" width="8.5546875" style="1"/>
    <col min="8" max="21" width="8.5546875" style="140" customWidth="1"/>
    <col min="22" max="22" width="8.5546875" style="1" customWidth="1"/>
    <col min="23" max="46" width="8.5546875" style="139" customWidth="1"/>
    <col min="47" max="52" width="8.5546875" style="1" customWidth="1"/>
    <col min="53" max="16384" width="8.5546875" style="139"/>
  </cols>
  <sheetData>
    <row r="1" spans="1:52" x14ac:dyDescent="0.2">
      <c r="C1" s="2"/>
      <c r="D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</row>
    <row r="2" spans="1:52" x14ac:dyDescent="0.2">
      <c r="C2" s="2"/>
      <c r="D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52" x14ac:dyDescent="0.2">
      <c r="C3" s="2"/>
      <c r="D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52" x14ac:dyDescent="0.2">
      <c r="C4" s="2"/>
      <c r="D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</row>
    <row r="5" spans="1:52" x14ac:dyDescent="0.2">
      <c r="C5" s="2"/>
      <c r="D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</row>
    <row r="6" spans="1:52" x14ac:dyDescent="0.2">
      <c r="C6" s="2"/>
      <c r="D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</row>
    <row r="7" spans="1:52" x14ac:dyDescent="0.2">
      <c r="C7" s="2"/>
      <c r="D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</row>
    <row r="8" spans="1:52" x14ac:dyDescent="0.2">
      <c r="C8" s="2"/>
      <c r="D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</row>
    <row r="9" spans="1:52" x14ac:dyDescent="0.2">
      <c r="C9" s="2"/>
      <c r="D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52" x14ac:dyDescent="0.2">
      <c r="C10" s="2"/>
      <c r="D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</row>
    <row r="11" spans="1:52" x14ac:dyDescent="0.2">
      <c r="C11" s="2"/>
      <c r="D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</row>
    <row r="12" spans="1:52" x14ac:dyDescent="0.2">
      <c r="C12" s="2"/>
      <c r="D12" s="2"/>
      <c r="H12" s="141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</row>
    <row r="13" spans="1:52" s="142" customFormat="1" x14ac:dyDescent="0.2">
      <c r="C13" s="140" t="s">
        <v>75</v>
      </c>
      <c r="D13" s="139" t="str">
        <f xml:space="preserve"> C13</f>
        <v>PKV 0</v>
      </c>
      <c r="H13" s="140" t="s">
        <v>72</v>
      </c>
      <c r="I13" s="139" t="str">
        <f xml:space="preserve"> H13</f>
        <v>PKV 2013</v>
      </c>
      <c r="J13" s="143"/>
      <c r="K13" s="140" t="s">
        <v>73</v>
      </c>
      <c r="L13" s="139" t="str">
        <f xml:space="preserve"> K13</f>
        <v>PKV 2014</v>
      </c>
      <c r="M13" s="143"/>
      <c r="N13" s="140" t="s">
        <v>74</v>
      </c>
      <c r="O13" s="139" t="str">
        <f xml:space="preserve"> N13</f>
        <v>PKV 2015</v>
      </c>
      <c r="P13" s="143"/>
      <c r="Q13" s="140" t="s">
        <v>171</v>
      </c>
      <c r="R13" s="139" t="str">
        <f xml:space="preserve"> Q13</f>
        <v>PKV 2016</v>
      </c>
      <c r="T13" s="140" t="s">
        <v>172</v>
      </c>
      <c r="U13" s="139" t="str">
        <f xml:space="preserve"> T13</f>
        <v>PKV 2017</v>
      </c>
    </row>
    <row r="14" spans="1:52" x14ac:dyDescent="0.2">
      <c r="C14" s="141" t="s">
        <v>0</v>
      </c>
      <c r="D14" s="141" t="s">
        <v>1</v>
      </c>
      <c r="H14" s="141" t="s">
        <v>0</v>
      </c>
      <c r="I14" s="141" t="s">
        <v>1</v>
      </c>
      <c r="J14" s="141"/>
      <c r="K14" s="141" t="s">
        <v>0</v>
      </c>
      <c r="L14" s="141" t="s">
        <v>1</v>
      </c>
      <c r="M14" s="141"/>
      <c r="N14" s="141" t="s">
        <v>0</v>
      </c>
      <c r="O14" s="141" t="s">
        <v>1</v>
      </c>
      <c r="P14" s="141"/>
      <c r="Q14" s="141" t="s">
        <v>0</v>
      </c>
      <c r="R14" s="141" t="s">
        <v>1</v>
      </c>
      <c r="S14" s="141"/>
      <c r="T14" s="141" t="s">
        <v>0</v>
      </c>
      <c r="U14" s="141" t="s">
        <v>1</v>
      </c>
    </row>
    <row r="15" spans="1:52" s="145" customFormat="1" x14ac:dyDescent="0.2">
      <c r="A15" s="146" t="str">
        <f xml:space="preserve"> A13 &amp; " # " &amp; A14</f>
        <v xml:space="preserve"> # </v>
      </c>
      <c r="B15" s="146" t="str">
        <f xml:space="preserve"> B13 &amp; " # " &amp; B14</f>
        <v xml:space="preserve"> # </v>
      </c>
      <c r="C15" s="146" t="str">
        <f xml:space="preserve"> C13 &amp; " # " &amp; C14</f>
        <v>PKV 0 # M</v>
      </c>
      <c r="D15" s="146" t="str">
        <f t="shared" ref="D15:U15" si="0" xml:space="preserve"> D13 &amp; " # " &amp; D14</f>
        <v>PKV 0 # F</v>
      </c>
      <c r="E15" s="146" t="str">
        <f t="shared" si="0"/>
        <v xml:space="preserve"> # </v>
      </c>
      <c r="F15" s="146" t="str">
        <f t="shared" si="0"/>
        <v xml:space="preserve"> # </v>
      </c>
      <c r="G15" s="146" t="str">
        <f t="shared" si="0"/>
        <v xml:space="preserve"> # </v>
      </c>
      <c r="H15" s="146" t="str">
        <f t="shared" si="0"/>
        <v>PKV 2013 # M</v>
      </c>
      <c r="I15" s="146" t="str">
        <f t="shared" si="0"/>
        <v>PKV 2013 # F</v>
      </c>
      <c r="J15" s="146" t="str">
        <f t="shared" si="0"/>
        <v xml:space="preserve"> # </v>
      </c>
      <c r="K15" s="146" t="str">
        <f t="shared" si="0"/>
        <v>PKV 2014 # M</v>
      </c>
      <c r="L15" s="146" t="str">
        <f t="shared" si="0"/>
        <v>PKV 2014 # F</v>
      </c>
      <c r="M15" s="146" t="str">
        <f t="shared" si="0"/>
        <v xml:space="preserve"> # </v>
      </c>
      <c r="N15" s="146" t="str">
        <f t="shared" si="0"/>
        <v>PKV 2015 # M</v>
      </c>
      <c r="O15" s="146" t="str">
        <f t="shared" si="0"/>
        <v>PKV 2015 # F</v>
      </c>
      <c r="P15" s="146" t="str">
        <f t="shared" si="0"/>
        <v xml:space="preserve"> # </v>
      </c>
      <c r="Q15" s="146" t="str">
        <f t="shared" si="0"/>
        <v>PKV 2016 # M</v>
      </c>
      <c r="R15" s="146" t="str">
        <f t="shared" si="0"/>
        <v>PKV 2016 # F</v>
      </c>
      <c r="S15" s="146" t="str">
        <f t="shared" si="0"/>
        <v xml:space="preserve"> # </v>
      </c>
      <c r="T15" s="146" t="str">
        <f t="shared" si="0"/>
        <v>PKV 2017 # M</v>
      </c>
      <c r="U15" s="146" t="str">
        <f t="shared" si="0"/>
        <v>PKV 2017 # F</v>
      </c>
      <c r="V15" s="144"/>
      <c r="AU15" s="144"/>
      <c r="AV15" s="144"/>
      <c r="AW15" s="144"/>
      <c r="AX15" s="144"/>
      <c r="AY15" s="144"/>
      <c r="AZ15" s="144"/>
    </row>
    <row r="20" spans="1:48" x14ac:dyDescent="0.2">
      <c r="A20" s="4">
        <f xml:space="preserve"> Basis!A20</f>
        <v>20</v>
      </c>
      <c r="C20" s="147">
        <v>0</v>
      </c>
      <c r="D20" s="147">
        <v>0</v>
      </c>
      <c r="H20" s="147">
        <v>3.8999999999999999E-4</v>
      </c>
      <c r="I20" s="147">
        <v>2.0000000000000001E-4</v>
      </c>
      <c r="K20" s="147">
        <v>3.9800000000000002E-4</v>
      </c>
      <c r="L20" s="147">
        <v>2.0000000000000001E-4</v>
      </c>
      <c r="N20" s="147">
        <v>3.9800000000000002E-4</v>
      </c>
      <c r="O20" s="147">
        <v>2.0000000000000001E-4</v>
      </c>
      <c r="Q20" s="147">
        <v>3.9199999999999999E-4</v>
      </c>
      <c r="R20" s="147">
        <v>2.0000000000000001E-4</v>
      </c>
      <c r="T20" s="147">
        <v>3.7399999999999998E-4</v>
      </c>
      <c r="U20" s="147">
        <v>2.0000000000000001E-4</v>
      </c>
      <c r="W20" s="148"/>
      <c r="X20" s="148"/>
      <c r="Y20" s="148"/>
      <c r="Z20" s="148"/>
      <c r="AA20" s="148"/>
      <c r="AB20" s="148"/>
      <c r="AC20" s="148"/>
      <c r="AD20" s="148"/>
      <c r="AE20" s="148"/>
      <c r="AF20" s="148"/>
      <c r="AG20" s="148"/>
      <c r="AH20" s="148"/>
      <c r="AI20" s="1"/>
      <c r="AJ20" s="1"/>
      <c r="AU20" s="139"/>
      <c r="AV20" s="139"/>
    </row>
    <row r="21" spans="1:48" x14ac:dyDescent="0.2">
      <c r="A21" s="4">
        <f xml:space="preserve"> Basis!A21</f>
        <v>21</v>
      </c>
      <c r="C21" s="147">
        <v>0</v>
      </c>
      <c r="D21" s="147">
        <v>0</v>
      </c>
      <c r="H21" s="147">
        <v>4.2000000000000002E-4</v>
      </c>
      <c r="I21" s="147">
        <v>2.0000000000000001E-4</v>
      </c>
      <c r="K21" s="147">
        <v>4.2299999999999998E-4</v>
      </c>
      <c r="L21" s="147">
        <v>2.03E-4</v>
      </c>
      <c r="N21" s="147">
        <v>4.2299999999999998E-4</v>
      </c>
      <c r="O21" s="147">
        <v>2.03E-4</v>
      </c>
      <c r="Q21" s="147">
        <v>4.17E-4</v>
      </c>
      <c r="R21" s="147">
        <v>2.03E-4</v>
      </c>
      <c r="T21" s="147">
        <v>4.0099999999999999E-4</v>
      </c>
      <c r="U21" s="147">
        <v>2.03E-4</v>
      </c>
      <c r="W21" s="148"/>
      <c r="X21" s="148"/>
      <c r="Y21" s="148"/>
      <c r="Z21" s="148"/>
      <c r="AA21" s="148"/>
      <c r="AB21" s="148"/>
      <c r="AC21" s="148"/>
      <c r="AD21" s="148"/>
      <c r="AE21" s="148"/>
      <c r="AF21" s="148"/>
      <c r="AG21" s="148"/>
      <c r="AH21" s="148"/>
      <c r="AU21" s="139"/>
      <c r="AV21" s="139"/>
    </row>
    <row r="22" spans="1:48" x14ac:dyDescent="0.2">
      <c r="A22" s="4">
        <f xml:space="preserve"> Basis!A22</f>
        <v>22</v>
      </c>
      <c r="C22" s="147">
        <v>0</v>
      </c>
      <c r="D22" s="147">
        <v>0</v>
      </c>
      <c r="H22" s="147">
        <v>4.2000000000000002E-4</v>
      </c>
      <c r="I22" s="147">
        <v>2.0000000000000001E-4</v>
      </c>
      <c r="K22" s="147">
        <v>4.26E-4</v>
      </c>
      <c r="L22" s="147">
        <v>2.02E-4</v>
      </c>
      <c r="N22" s="147">
        <v>4.26E-4</v>
      </c>
      <c r="O22" s="147">
        <v>2.02E-4</v>
      </c>
      <c r="Q22" s="147">
        <v>4.26E-4</v>
      </c>
      <c r="R22" s="147">
        <v>2.02E-4</v>
      </c>
      <c r="T22" s="147">
        <v>4.1599999999999997E-4</v>
      </c>
      <c r="U22" s="147">
        <v>2.02E-4</v>
      </c>
      <c r="W22" s="148"/>
      <c r="X22" s="148"/>
      <c r="Y22" s="148"/>
      <c r="Z22" s="148"/>
      <c r="AA22" s="148"/>
      <c r="AB22" s="148"/>
      <c r="AC22" s="148"/>
      <c r="AD22" s="148"/>
      <c r="AE22" s="148"/>
      <c r="AF22" s="148"/>
      <c r="AG22" s="148"/>
      <c r="AH22" s="148"/>
      <c r="AU22" s="139"/>
      <c r="AV22" s="139"/>
    </row>
    <row r="23" spans="1:48" x14ac:dyDescent="0.2">
      <c r="A23" s="4">
        <f xml:space="preserve"> Basis!A23</f>
        <v>23</v>
      </c>
      <c r="C23" s="147">
        <v>0</v>
      </c>
      <c r="D23" s="147">
        <v>0</v>
      </c>
      <c r="H23" s="147">
        <v>4.0999999999999999E-4</v>
      </c>
      <c r="I23" s="147">
        <v>2.0000000000000001E-4</v>
      </c>
      <c r="K23" s="147">
        <v>4.15E-4</v>
      </c>
      <c r="L23" s="147">
        <v>2.0000000000000001E-4</v>
      </c>
      <c r="N23" s="147">
        <v>4.15E-4</v>
      </c>
      <c r="O23" s="147">
        <v>2.0000000000000001E-4</v>
      </c>
      <c r="Q23" s="147">
        <v>4.15E-4</v>
      </c>
      <c r="R23" s="147">
        <v>2.0000000000000001E-4</v>
      </c>
      <c r="T23" s="147">
        <v>4.15E-4</v>
      </c>
      <c r="U23" s="147">
        <v>2.0000000000000001E-4</v>
      </c>
      <c r="W23" s="148"/>
      <c r="X23" s="148"/>
      <c r="Y23" s="148"/>
      <c r="Z23" s="148"/>
      <c r="AA23" s="148"/>
      <c r="AB23" s="148"/>
      <c r="AC23" s="148"/>
      <c r="AD23" s="148"/>
      <c r="AE23" s="148"/>
      <c r="AF23" s="148"/>
      <c r="AG23" s="148"/>
      <c r="AH23" s="148"/>
      <c r="AU23" s="139"/>
      <c r="AV23" s="139"/>
    </row>
    <row r="24" spans="1:48" x14ac:dyDescent="0.2">
      <c r="A24" s="4">
        <f xml:space="preserve"> Basis!A24</f>
        <v>24</v>
      </c>
      <c r="C24" s="147">
        <v>0</v>
      </c>
      <c r="D24" s="147">
        <v>0</v>
      </c>
      <c r="H24" s="147">
        <v>3.8999999999999999E-4</v>
      </c>
      <c r="I24" s="147">
        <v>1.9000000000000001E-4</v>
      </c>
      <c r="K24" s="147">
        <v>3.9800000000000002E-4</v>
      </c>
      <c r="L24" s="147">
        <v>1.9699999999999999E-4</v>
      </c>
      <c r="N24" s="147">
        <v>3.9800000000000002E-4</v>
      </c>
      <c r="O24" s="147">
        <v>1.9699999999999999E-4</v>
      </c>
      <c r="Q24" s="147">
        <v>3.9800000000000002E-4</v>
      </c>
      <c r="R24" s="147">
        <v>1.9699999999999999E-4</v>
      </c>
      <c r="T24" s="147">
        <v>3.9800000000000002E-4</v>
      </c>
      <c r="U24" s="147">
        <v>1.9699999999999999E-4</v>
      </c>
      <c r="W24" s="148"/>
      <c r="X24" s="148"/>
      <c r="Y24" s="148"/>
      <c r="Z24" s="148"/>
      <c r="AA24" s="148"/>
      <c r="AB24" s="148"/>
      <c r="AC24" s="148"/>
      <c r="AD24" s="148"/>
      <c r="AE24" s="148"/>
      <c r="AF24" s="148"/>
      <c r="AG24" s="148"/>
      <c r="AH24" s="148"/>
      <c r="AU24" s="139"/>
      <c r="AV24" s="139"/>
    </row>
    <row r="25" spans="1:48" x14ac:dyDescent="0.2">
      <c r="A25" s="4">
        <f xml:space="preserve"> Basis!A25</f>
        <v>25</v>
      </c>
      <c r="C25" s="147">
        <v>0</v>
      </c>
      <c r="D25" s="147">
        <v>0</v>
      </c>
      <c r="H25" s="147">
        <v>3.8000000000000002E-4</v>
      </c>
      <c r="I25" s="147">
        <v>1.9000000000000001E-4</v>
      </c>
      <c r="K25" s="147">
        <v>3.8000000000000002E-4</v>
      </c>
      <c r="L25" s="147">
        <v>1.95E-4</v>
      </c>
      <c r="N25" s="147">
        <v>3.8000000000000002E-4</v>
      </c>
      <c r="O25" s="147">
        <v>1.95E-4</v>
      </c>
      <c r="Q25" s="147">
        <v>3.8000000000000002E-4</v>
      </c>
      <c r="R25" s="147">
        <v>1.95E-4</v>
      </c>
      <c r="T25" s="147">
        <v>3.8000000000000002E-4</v>
      </c>
      <c r="U25" s="147">
        <v>1.95E-4</v>
      </c>
      <c r="W25" s="148"/>
      <c r="X25" s="148"/>
      <c r="Y25" s="148"/>
      <c r="Z25" s="148"/>
      <c r="AA25" s="148"/>
      <c r="AB25" s="148"/>
      <c r="AC25" s="148"/>
      <c r="AD25" s="148"/>
      <c r="AE25" s="148"/>
      <c r="AF25" s="148"/>
      <c r="AG25" s="148"/>
      <c r="AH25" s="148"/>
      <c r="AU25" s="139"/>
      <c r="AV25" s="139"/>
    </row>
    <row r="26" spans="1:48" x14ac:dyDescent="0.2">
      <c r="A26" s="4">
        <f xml:space="preserve"> Basis!A26</f>
        <v>26</v>
      </c>
      <c r="C26" s="147">
        <v>0</v>
      </c>
      <c r="D26" s="147">
        <v>0</v>
      </c>
      <c r="H26" s="147">
        <v>3.5E-4</v>
      </c>
      <c r="I26" s="147">
        <v>1.9000000000000001E-4</v>
      </c>
      <c r="K26" s="147">
        <v>3.59E-4</v>
      </c>
      <c r="L26" s="147">
        <v>1.9599999999999999E-4</v>
      </c>
      <c r="N26" s="147">
        <v>3.59E-4</v>
      </c>
      <c r="O26" s="147">
        <v>1.9599999999999999E-4</v>
      </c>
      <c r="Q26" s="147">
        <v>3.59E-4</v>
      </c>
      <c r="R26" s="147">
        <v>1.9599999999999999E-4</v>
      </c>
      <c r="T26" s="147">
        <v>3.59E-4</v>
      </c>
      <c r="U26" s="147">
        <v>1.9599999999999999E-4</v>
      </c>
      <c r="W26" s="148"/>
      <c r="X26" s="148"/>
      <c r="Y26" s="148"/>
      <c r="Z26" s="148"/>
      <c r="AA26" s="148"/>
      <c r="AB26" s="148"/>
      <c r="AC26" s="148"/>
      <c r="AD26" s="148"/>
      <c r="AE26" s="148"/>
      <c r="AF26" s="148"/>
      <c r="AG26" s="148"/>
      <c r="AH26" s="148"/>
      <c r="AU26" s="139"/>
      <c r="AV26" s="139"/>
    </row>
    <row r="27" spans="1:48" x14ac:dyDescent="0.2">
      <c r="A27" s="4">
        <f xml:space="preserve"> Basis!A27</f>
        <v>27</v>
      </c>
      <c r="C27" s="147">
        <v>0</v>
      </c>
      <c r="D27" s="147">
        <v>0</v>
      </c>
      <c r="H27" s="147">
        <v>3.3E-4</v>
      </c>
      <c r="I27" s="147">
        <v>1.9000000000000001E-4</v>
      </c>
      <c r="K27" s="147">
        <v>3.3300000000000002E-4</v>
      </c>
      <c r="L27" s="147">
        <v>1.94E-4</v>
      </c>
      <c r="N27" s="147">
        <v>3.3300000000000002E-4</v>
      </c>
      <c r="O27" s="147">
        <v>1.94E-4</v>
      </c>
      <c r="Q27" s="147">
        <v>3.3300000000000002E-4</v>
      </c>
      <c r="R27" s="147">
        <v>1.94E-4</v>
      </c>
      <c r="T27" s="147">
        <v>3.3300000000000002E-4</v>
      </c>
      <c r="U27" s="147">
        <v>1.94E-4</v>
      </c>
      <c r="W27" s="148"/>
      <c r="X27" s="148"/>
      <c r="Y27" s="148"/>
      <c r="Z27" s="148"/>
      <c r="AA27" s="148"/>
      <c r="AB27" s="148"/>
      <c r="AC27" s="148"/>
      <c r="AD27" s="148"/>
      <c r="AE27" s="148"/>
      <c r="AF27" s="148"/>
      <c r="AG27" s="148"/>
      <c r="AH27" s="148"/>
      <c r="AU27" s="139"/>
      <c r="AV27" s="139"/>
    </row>
    <row r="28" spans="1:48" x14ac:dyDescent="0.2">
      <c r="A28" s="4">
        <f xml:space="preserve"> Basis!A28</f>
        <v>28</v>
      </c>
      <c r="C28" s="147">
        <v>0</v>
      </c>
      <c r="D28" s="147">
        <v>0</v>
      </c>
      <c r="H28" s="147">
        <v>3.1E-4</v>
      </c>
      <c r="I28" s="147">
        <v>1.8000000000000001E-4</v>
      </c>
      <c r="K28" s="147">
        <v>3.1100000000000002E-4</v>
      </c>
      <c r="L28" s="147">
        <v>1.84E-4</v>
      </c>
      <c r="N28" s="147">
        <v>3.1100000000000002E-4</v>
      </c>
      <c r="O28" s="147">
        <v>1.84E-4</v>
      </c>
      <c r="Q28" s="147">
        <v>3.1100000000000002E-4</v>
      </c>
      <c r="R28" s="147">
        <v>1.84E-4</v>
      </c>
      <c r="T28" s="147">
        <v>3.1100000000000002E-4</v>
      </c>
      <c r="U28" s="147">
        <v>1.84E-4</v>
      </c>
      <c r="W28" s="148"/>
      <c r="X28" s="148"/>
      <c r="Y28" s="148"/>
      <c r="Z28" s="148"/>
      <c r="AA28" s="148"/>
      <c r="AB28" s="148"/>
      <c r="AC28" s="148"/>
      <c r="AD28" s="148"/>
      <c r="AE28" s="148"/>
      <c r="AF28" s="148"/>
      <c r="AG28" s="148"/>
      <c r="AH28" s="148"/>
      <c r="AU28" s="139"/>
      <c r="AV28" s="139"/>
    </row>
    <row r="29" spans="1:48" x14ac:dyDescent="0.2">
      <c r="A29" s="4">
        <f xml:space="preserve"> Basis!A29</f>
        <v>29</v>
      </c>
      <c r="C29" s="147">
        <v>0</v>
      </c>
      <c r="D29" s="147">
        <v>0</v>
      </c>
      <c r="H29" s="147">
        <v>2.9E-4</v>
      </c>
      <c r="I29" s="147">
        <v>1.7000000000000001E-4</v>
      </c>
      <c r="K29" s="147">
        <v>2.9599999999999998E-4</v>
      </c>
      <c r="L29" s="147">
        <v>1.7799999999999999E-4</v>
      </c>
      <c r="N29" s="147">
        <v>2.9599999999999998E-4</v>
      </c>
      <c r="O29" s="147">
        <v>1.7799999999999999E-4</v>
      </c>
      <c r="Q29" s="147">
        <v>2.9599999999999998E-4</v>
      </c>
      <c r="R29" s="147">
        <v>1.7799999999999999E-4</v>
      </c>
      <c r="T29" s="147">
        <v>2.9599999999999998E-4</v>
      </c>
      <c r="U29" s="147">
        <v>1.7799999999999999E-4</v>
      </c>
      <c r="W29" s="148"/>
      <c r="X29" s="148"/>
      <c r="Y29" s="148"/>
      <c r="Z29" s="148"/>
      <c r="AA29" s="148"/>
      <c r="AB29" s="148"/>
      <c r="AC29" s="148"/>
      <c r="AD29" s="148"/>
      <c r="AE29" s="148"/>
      <c r="AF29" s="148"/>
      <c r="AG29" s="148"/>
      <c r="AH29" s="148"/>
      <c r="AU29" s="139"/>
      <c r="AV29" s="139"/>
    </row>
    <row r="30" spans="1:48" x14ac:dyDescent="0.2">
      <c r="A30" s="4">
        <f xml:space="preserve"> Basis!A30</f>
        <v>30</v>
      </c>
      <c r="C30" s="147">
        <v>0</v>
      </c>
      <c r="D30" s="147">
        <v>0</v>
      </c>
      <c r="H30" s="147">
        <v>2.7999999999999998E-4</v>
      </c>
      <c r="I30" s="147">
        <v>1.7000000000000001E-4</v>
      </c>
      <c r="K30" s="147">
        <v>2.8800000000000001E-4</v>
      </c>
      <c r="L30" s="147">
        <v>1.76E-4</v>
      </c>
      <c r="N30" s="147">
        <v>2.8800000000000001E-4</v>
      </c>
      <c r="O30" s="147">
        <v>1.76E-4</v>
      </c>
      <c r="Q30" s="147">
        <v>2.8800000000000001E-4</v>
      </c>
      <c r="R30" s="147">
        <v>1.76E-4</v>
      </c>
      <c r="T30" s="147">
        <v>2.8800000000000001E-4</v>
      </c>
      <c r="U30" s="147">
        <v>1.76E-4</v>
      </c>
      <c r="W30" s="148"/>
      <c r="X30" s="148"/>
      <c r="Y30" s="148"/>
      <c r="Z30" s="148"/>
      <c r="AA30" s="148"/>
      <c r="AB30" s="148"/>
      <c r="AC30" s="148"/>
      <c r="AD30" s="148"/>
      <c r="AE30" s="148"/>
      <c r="AF30" s="148"/>
      <c r="AG30" s="148"/>
      <c r="AH30" s="148"/>
      <c r="AU30" s="139"/>
      <c r="AV30" s="139"/>
    </row>
    <row r="31" spans="1:48" x14ac:dyDescent="0.2">
      <c r="A31" s="4">
        <f xml:space="preserve"> Basis!A31</f>
        <v>31</v>
      </c>
      <c r="C31" s="147">
        <v>0</v>
      </c>
      <c r="D31" s="147">
        <v>0</v>
      </c>
      <c r="H31" s="147">
        <v>2.7999999999999998E-4</v>
      </c>
      <c r="I31" s="147">
        <v>1.7000000000000001E-4</v>
      </c>
      <c r="K31" s="147">
        <v>2.8600000000000001E-4</v>
      </c>
      <c r="L31" s="147">
        <v>1.7699999999999999E-4</v>
      </c>
      <c r="N31" s="147">
        <v>2.8600000000000001E-4</v>
      </c>
      <c r="O31" s="147">
        <v>1.7699999999999999E-4</v>
      </c>
      <c r="Q31" s="147">
        <v>2.8600000000000001E-4</v>
      </c>
      <c r="R31" s="147">
        <v>1.7699999999999999E-4</v>
      </c>
      <c r="T31" s="147">
        <v>2.8600000000000001E-4</v>
      </c>
      <c r="U31" s="147">
        <v>1.7699999999999999E-4</v>
      </c>
      <c r="W31" s="148"/>
      <c r="X31" s="148"/>
      <c r="Y31" s="148"/>
      <c r="Z31" s="148"/>
      <c r="AA31" s="148"/>
      <c r="AB31" s="148"/>
      <c r="AC31" s="148"/>
      <c r="AD31" s="148"/>
      <c r="AE31" s="148"/>
      <c r="AF31" s="148"/>
      <c r="AG31" s="148"/>
      <c r="AH31" s="148"/>
      <c r="AU31" s="139"/>
      <c r="AV31" s="139"/>
    </row>
    <row r="32" spans="1:48" x14ac:dyDescent="0.2">
      <c r="A32" s="4">
        <f xml:space="preserve"> Basis!A32</f>
        <v>32</v>
      </c>
      <c r="C32" s="147">
        <v>0</v>
      </c>
      <c r="D32" s="147">
        <v>0</v>
      </c>
      <c r="H32" s="147">
        <v>2.9E-4</v>
      </c>
      <c r="I32" s="147">
        <v>1.8000000000000001E-4</v>
      </c>
      <c r="K32" s="147">
        <v>2.9E-4</v>
      </c>
      <c r="L32" s="147">
        <v>1.8100000000000001E-4</v>
      </c>
      <c r="N32" s="147">
        <v>2.9E-4</v>
      </c>
      <c r="O32" s="147">
        <v>1.8100000000000001E-4</v>
      </c>
      <c r="Q32" s="147">
        <v>2.9E-4</v>
      </c>
      <c r="R32" s="147">
        <v>1.8100000000000001E-4</v>
      </c>
      <c r="T32" s="147">
        <v>2.9E-4</v>
      </c>
      <c r="U32" s="147">
        <v>1.8100000000000001E-4</v>
      </c>
      <c r="W32" s="148"/>
      <c r="X32" s="148"/>
      <c r="Y32" s="148"/>
      <c r="Z32" s="148"/>
      <c r="AA32" s="148"/>
      <c r="AB32" s="148"/>
      <c r="AC32" s="148"/>
      <c r="AD32" s="148"/>
      <c r="AE32" s="148"/>
      <c r="AF32" s="148"/>
      <c r="AG32" s="148"/>
      <c r="AH32" s="148"/>
      <c r="AU32" s="139"/>
      <c r="AV32" s="139"/>
    </row>
    <row r="33" spans="1:48" x14ac:dyDescent="0.2">
      <c r="A33" s="4">
        <f xml:space="preserve"> Basis!A33</f>
        <v>33</v>
      </c>
      <c r="C33" s="147">
        <v>0</v>
      </c>
      <c r="D33" s="147">
        <v>0</v>
      </c>
      <c r="H33" s="147">
        <v>2.9E-4</v>
      </c>
      <c r="I33" s="147">
        <v>1.8000000000000001E-4</v>
      </c>
      <c r="K33" s="147">
        <v>2.9300000000000002E-4</v>
      </c>
      <c r="L33" s="147">
        <v>1.8699999999999999E-4</v>
      </c>
      <c r="N33" s="147">
        <v>2.9300000000000002E-4</v>
      </c>
      <c r="O33" s="147">
        <v>1.8699999999999999E-4</v>
      </c>
      <c r="Q33" s="147">
        <v>2.9300000000000002E-4</v>
      </c>
      <c r="R33" s="147">
        <v>1.8699999999999999E-4</v>
      </c>
      <c r="T33" s="147">
        <v>2.9300000000000002E-4</v>
      </c>
      <c r="U33" s="147">
        <v>1.8699999999999999E-4</v>
      </c>
      <c r="W33" s="148"/>
      <c r="X33" s="148"/>
      <c r="Y33" s="148"/>
      <c r="Z33" s="148"/>
      <c r="AA33" s="148"/>
      <c r="AB33" s="148"/>
      <c r="AC33" s="148"/>
      <c r="AD33" s="148"/>
      <c r="AE33" s="148"/>
      <c r="AF33" s="148"/>
      <c r="AG33" s="148"/>
      <c r="AH33" s="148"/>
      <c r="AU33" s="139"/>
      <c r="AV33" s="139"/>
    </row>
    <row r="34" spans="1:48" x14ac:dyDescent="0.2">
      <c r="A34" s="4">
        <f xml:space="preserve"> Basis!A34</f>
        <v>34</v>
      </c>
      <c r="C34" s="147">
        <v>0</v>
      </c>
      <c r="D34" s="147">
        <v>0</v>
      </c>
      <c r="H34" s="147">
        <v>2.9999999999999997E-4</v>
      </c>
      <c r="I34" s="147">
        <v>1.9000000000000001E-4</v>
      </c>
      <c r="K34" s="147">
        <v>3.0299999999999999E-4</v>
      </c>
      <c r="L34" s="147">
        <v>1.94E-4</v>
      </c>
      <c r="N34" s="147">
        <v>3.0299999999999999E-4</v>
      </c>
      <c r="O34" s="147">
        <v>1.94E-4</v>
      </c>
      <c r="Q34" s="147">
        <v>3.0299999999999999E-4</v>
      </c>
      <c r="R34" s="147">
        <v>1.94E-4</v>
      </c>
      <c r="T34" s="147">
        <v>3.0299999999999999E-4</v>
      </c>
      <c r="U34" s="147">
        <v>1.94E-4</v>
      </c>
      <c r="W34" s="148"/>
      <c r="X34" s="148"/>
      <c r="Y34" s="148"/>
      <c r="Z34" s="148"/>
      <c r="AA34" s="148"/>
      <c r="AB34" s="148"/>
      <c r="AC34" s="148"/>
      <c r="AD34" s="148"/>
      <c r="AE34" s="148"/>
      <c r="AF34" s="148"/>
      <c r="AG34" s="148"/>
      <c r="AH34" s="148"/>
      <c r="AU34" s="139"/>
      <c r="AV34" s="139"/>
    </row>
    <row r="35" spans="1:48" x14ac:dyDescent="0.2">
      <c r="A35" s="4">
        <f xml:space="preserve"> Basis!A35</f>
        <v>35</v>
      </c>
      <c r="C35" s="147">
        <v>0</v>
      </c>
      <c r="D35" s="147">
        <v>0</v>
      </c>
      <c r="H35" s="147">
        <v>3.1E-4</v>
      </c>
      <c r="I35" s="147">
        <v>2.0000000000000001E-4</v>
      </c>
      <c r="K35" s="147">
        <v>3.19E-4</v>
      </c>
      <c r="L35" s="147">
        <v>2.0599999999999999E-4</v>
      </c>
      <c r="N35" s="147">
        <v>3.19E-4</v>
      </c>
      <c r="O35" s="147">
        <v>2.03E-4</v>
      </c>
      <c r="Q35" s="147">
        <v>3.19E-4</v>
      </c>
      <c r="R35" s="147">
        <v>2.03E-4</v>
      </c>
      <c r="T35" s="147">
        <v>3.1799999999999998E-4</v>
      </c>
      <c r="U35" s="147">
        <v>2.03E-4</v>
      </c>
      <c r="W35" s="148"/>
      <c r="X35" s="148"/>
      <c r="Y35" s="148"/>
      <c r="Z35" s="148"/>
      <c r="AA35" s="148"/>
      <c r="AB35" s="148"/>
      <c r="AC35" s="148"/>
      <c r="AD35" s="148"/>
      <c r="AE35" s="148"/>
      <c r="AF35" s="148"/>
      <c r="AG35" s="148"/>
      <c r="AH35" s="148"/>
      <c r="AU35" s="139"/>
      <c r="AV35" s="139"/>
    </row>
    <row r="36" spans="1:48" x14ac:dyDescent="0.2">
      <c r="A36" s="4">
        <f xml:space="preserve"> Basis!A36</f>
        <v>36</v>
      </c>
      <c r="C36" s="147">
        <v>0</v>
      </c>
      <c r="D36" s="147">
        <v>0</v>
      </c>
      <c r="H36" s="147">
        <v>3.4000000000000002E-4</v>
      </c>
      <c r="I36" s="147">
        <v>2.2000000000000001E-4</v>
      </c>
      <c r="K36" s="147">
        <v>3.39E-4</v>
      </c>
      <c r="L36" s="147">
        <v>2.2000000000000001E-4</v>
      </c>
      <c r="N36" s="147">
        <v>3.3399999999999999E-4</v>
      </c>
      <c r="O36" s="147">
        <v>2.1800000000000001E-4</v>
      </c>
      <c r="Q36" s="147">
        <v>3.3399999999999999E-4</v>
      </c>
      <c r="R36" s="147">
        <v>2.1800000000000001E-4</v>
      </c>
      <c r="T36" s="147">
        <v>3.3E-4</v>
      </c>
      <c r="U36" s="147">
        <v>2.1800000000000001E-4</v>
      </c>
      <c r="W36" s="148"/>
      <c r="X36" s="148"/>
      <c r="Y36" s="148"/>
      <c r="Z36" s="148"/>
      <c r="AA36" s="148"/>
      <c r="AB36" s="148"/>
      <c r="AC36" s="148"/>
      <c r="AD36" s="148"/>
      <c r="AE36" s="148"/>
      <c r="AF36" s="148"/>
      <c r="AG36" s="148"/>
      <c r="AH36" s="148"/>
      <c r="AU36" s="139"/>
      <c r="AV36" s="139"/>
    </row>
    <row r="37" spans="1:48" x14ac:dyDescent="0.2">
      <c r="A37" s="4">
        <f xml:space="preserve"> Basis!A37</f>
        <v>37</v>
      </c>
      <c r="C37" s="147">
        <v>0</v>
      </c>
      <c r="D37" s="147">
        <v>0</v>
      </c>
      <c r="H37" s="147">
        <v>3.6000000000000002E-4</v>
      </c>
      <c r="I37" s="147">
        <v>2.4000000000000001E-4</v>
      </c>
      <c r="K37" s="147">
        <v>3.6200000000000002E-4</v>
      </c>
      <c r="L37" s="147">
        <v>2.4000000000000001E-4</v>
      </c>
      <c r="N37" s="147">
        <v>3.57E-4</v>
      </c>
      <c r="O37" s="147">
        <v>2.3699999999999999E-4</v>
      </c>
      <c r="Q37" s="147">
        <v>3.5599999999999998E-4</v>
      </c>
      <c r="R37" s="147">
        <v>2.3699999999999999E-4</v>
      </c>
      <c r="T37" s="147">
        <v>3.48E-4</v>
      </c>
      <c r="U37" s="147">
        <v>2.3699999999999999E-4</v>
      </c>
      <c r="W37" s="148"/>
      <c r="X37" s="148"/>
      <c r="Y37" s="148"/>
      <c r="Z37" s="148"/>
      <c r="AA37" s="148"/>
      <c r="AB37" s="148"/>
      <c r="AC37" s="148"/>
      <c r="AD37" s="148"/>
      <c r="AE37" s="148"/>
      <c r="AF37" s="148"/>
      <c r="AG37" s="148"/>
      <c r="AH37" s="148"/>
      <c r="AU37" s="139"/>
      <c r="AV37" s="139"/>
    </row>
    <row r="38" spans="1:48" x14ac:dyDescent="0.2">
      <c r="A38" s="4">
        <f xml:space="preserve"> Basis!A38</f>
        <v>38</v>
      </c>
      <c r="C38" s="147">
        <v>0</v>
      </c>
      <c r="D38" s="147">
        <v>0</v>
      </c>
      <c r="H38" s="147">
        <v>3.8999999999999999E-4</v>
      </c>
      <c r="I38" s="147">
        <v>2.7E-4</v>
      </c>
      <c r="K38" s="147">
        <v>3.9199999999999999E-4</v>
      </c>
      <c r="L38" s="147">
        <v>2.6499999999999999E-4</v>
      </c>
      <c r="N38" s="147">
        <v>3.8499999999999998E-4</v>
      </c>
      <c r="O38" s="147">
        <v>2.6200000000000003E-4</v>
      </c>
      <c r="Q38" s="147">
        <v>3.8299999999999999E-4</v>
      </c>
      <c r="R38" s="147">
        <v>2.6200000000000003E-4</v>
      </c>
      <c r="T38" s="147">
        <v>3.7300000000000001E-4</v>
      </c>
      <c r="U38" s="147">
        <v>2.6200000000000003E-4</v>
      </c>
      <c r="W38" s="148"/>
      <c r="X38" s="148"/>
      <c r="Y38" s="148"/>
      <c r="Z38" s="148"/>
      <c r="AA38" s="148"/>
      <c r="AB38" s="148"/>
      <c r="AC38" s="148"/>
      <c r="AD38" s="148"/>
      <c r="AE38" s="148"/>
      <c r="AF38" s="148"/>
      <c r="AG38" s="148"/>
      <c r="AH38" s="148"/>
      <c r="AU38" s="139"/>
      <c r="AV38" s="139"/>
    </row>
    <row r="39" spans="1:48" x14ac:dyDescent="0.2">
      <c r="A39" s="4">
        <f xml:space="preserve"> Basis!A39</f>
        <v>39</v>
      </c>
      <c r="C39" s="147">
        <v>0</v>
      </c>
      <c r="D39" s="147">
        <v>0</v>
      </c>
      <c r="H39" s="147">
        <v>4.2999999999999999E-4</v>
      </c>
      <c r="I39" s="147">
        <v>2.9999999999999997E-4</v>
      </c>
      <c r="K39" s="147">
        <v>4.2700000000000002E-4</v>
      </c>
      <c r="L39" s="147">
        <v>2.9500000000000001E-4</v>
      </c>
      <c r="N39" s="147">
        <v>4.2000000000000002E-4</v>
      </c>
      <c r="O39" s="147">
        <v>2.9100000000000003E-4</v>
      </c>
      <c r="Q39" s="147">
        <v>4.1599999999999997E-4</v>
      </c>
      <c r="R39" s="147">
        <v>2.9100000000000003E-4</v>
      </c>
      <c r="T39" s="147">
        <v>4.0499999999999998E-4</v>
      </c>
      <c r="U39" s="147">
        <v>2.9100000000000003E-4</v>
      </c>
      <c r="W39" s="148"/>
      <c r="X39" s="148"/>
      <c r="Y39" s="148"/>
      <c r="Z39" s="148"/>
      <c r="AA39" s="148"/>
      <c r="AB39" s="148"/>
      <c r="AC39" s="148"/>
      <c r="AD39" s="148"/>
      <c r="AE39" s="148"/>
      <c r="AF39" s="148"/>
      <c r="AG39" s="148"/>
      <c r="AH39" s="148"/>
      <c r="AU39" s="139"/>
      <c r="AV39" s="139"/>
    </row>
    <row r="40" spans="1:48" x14ac:dyDescent="0.2">
      <c r="A40" s="4">
        <f xml:space="preserve"> Basis!A40</f>
        <v>40</v>
      </c>
      <c r="C40" s="147">
        <v>0</v>
      </c>
      <c r="D40" s="147">
        <v>0</v>
      </c>
      <c r="H40" s="147">
        <v>4.6999999999999999E-4</v>
      </c>
      <c r="I40" s="147">
        <v>3.4000000000000002E-4</v>
      </c>
      <c r="K40" s="147">
        <v>4.6900000000000002E-4</v>
      </c>
      <c r="L40" s="147">
        <v>3.3E-4</v>
      </c>
      <c r="N40" s="147">
        <v>4.6099999999999998E-4</v>
      </c>
      <c r="O40" s="147">
        <v>3.2499999999999999E-4</v>
      </c>
      <c r="Q40" s="147">
        <v>4.5600000000000003E-4</v>
      </c>
      <c r="R40" s="147">
        <v>3.2499999999999999E-4</v>
      </c>
      <c r="T40" s="147">
        <v>4.4299999999999998E-4</v>
      </c>
      <c r="U40" s="147">
        <v>3.2499999999999999E-4</v>
      </c>
      <c r="W40" s="148"/>
      <c r="X40" s="148"/>
      <c r="Y40" s="148"/>
      <c r="Z40" s="148"/>
      <c r="AA40" s="148"/>
      <c r="AB40" s="148"/>
      <c r="AC40" s="148"/>
      <c r="AD40" s="148"/>
      <c r="AE40" s="148"/>
      <c r="AF40" s="148"/>
      <c r="AG40" s="148"/>
      <c r="AH40" s="148"/>
      <c r="AU40" s="139"/>
      <c r="AV40" s="139"/>
    </row>
    <row r="41" spans="1:48" x14ac:dyDescent="0.2">
      <c r="A41" s="4">
        <f xml:space="preserve"> Basis!A41</f>
        <v>41</v>
      </c>
      <c r="C41" s="147">
        <v>0</v>
      </c>
      <c r="D41" s="147">
        <v>0</v>
      </c>
      <c r="H41" s="147">
        <v>5.1999999999999995E-4</v>
      </c>
      <c r="I41" s="147">
        <v>3.8000000000000002E-4</v>
      </c>
      <c r="K41" s="147">
        <v>5.1999999999999995E-4</v>
      </c>
      <c r="L41" s="147">
        <v>3.7100000000000002E-4</v>
      </c>
      <c r="N41" s="147">
        <v>5.0900000000000001E-4</v>
      </c>
      <c r="O41" s="147">
        <v>3.6499999999999998E-4</v>
      </c>
      <c r="Q41" s="147">
        <v>5.04E-4</v>
      </c>
      <c r="R41" s="147">
        <v>3.6499999999999998E-4</v>
      </c>
      <c r="T41" s="147">
        <v>4.8899999999999996E-4</v>
      </c>
      <c r="U41" s="147">
        <v>3.6299999999999999E-4</v>
      </c>
      <c r="W41" s="148"/>
      <c r="X41" s="148"/>
      <c r="Y41" s="148"/>
      <c r="Z41" s="148"/>
      <c r="AA41" s="148"/>
      <c r="AB41" s="148"/>
      <c r="AC41" s="148"/>
      <c r="AD41" s="148"/>
      <c r="AE41" s="148"/>
      <c r="AF41" s="148"/>
      <c r="AG41" s="148"/>
      <c r="AH41" s="148"/>
      <c r="AU41" s="139"/>
      <c r="AV41" s="139"/>
    </row>
    <row r="42" spans="1:48" x14ac:dyDescent="0.2">
      <c r="A42" s="4">
        <f xml:space="preserve"> Basis!A42</f>
        <v>42</v>
      </c>
      <c r="C42" s="147">
        <v>0</v>
      </c>
      <c r="D42" s="147">
        <v>0</v>
      </c>
      <c r="H42" s="147">
        <v>5.9000000000000003E-4</v>
      </c>
      <c r="I42" s="147">
        <v>4.2000000000000002E-4</v>
      </c>
      <c r="K42" s="147">
        <v>5.8E-4</v>
      </c>
      <c r="L42" s="147">
        <v>4.2000000000000002E-4</v>
      </c>
      <c r="N42" s="147">
        <v>5.6599999999999999E-4</v>
      </c>
      <c r="O42" s="147">
        <v>4.1300000000000001E-4</v>
      </c>
      <c r="Q42" s="147">
        <v>5.5999999999999995E-4</v>
      </c>
      <c r="R42" s="147">
        <v>4.1300000000000001E-4</v>
      </c>
      <c r="T42" s="147">
        <v>5.4199999999999995E-4</v>
      </c>
      <c r="U42" s="147">
        <v>4.06E-4</v>
      </c>
      <c r="W42" s="148"/>
      <c r="X42" s="148"/>
      <c r="Y42" s="148"/>
      <c r="Z42" s="148"/>
      <c r="AA42" s="148"/>
      <c r="AB42" s="148"/>
      <c r="AC42" s="148"/>
      <c r="AD42" s="148"/>
      <c r="AE42" s="148"/>
      <c r="AF42" s="148"/>
      <c r="AG42" s="148"/>
      <c r="AH42" s="148"/>
      <c r="AU42" s="139"/>
      <c r="AV42" s="139"/>
    </row>
    <row r="43" spans="1:48" x14ac:dyDescent="0.2">
      <c r="A43" s="4">
        <f xml:space="preserve"> Basis!A43</f>
        <v>43</v>
      </c>
      <c r="C43" s="147">
        <v>0</v>
      </c>
      <c r="D43" s="147">
        <v>0</v>
      </c>
      <c r="H43" s="147">
        <v>6.6E-4</v>
      </c>
      <c r="I43" s="147">
        <v>4.8000000000000001E-4</v>
      </c>
      <c r="K43" s="147">
        <v>6.5099999999999999E-4</v>
      </c>
      <c r="L43" s="147">
        <v>4.7699999999999999E-4</v>
      </c>
      <c r="N43" s="147">
        <v>6.3199999999999997E-4</v>
      </c>
      <c r="O43" s="147">
        <v>4.6900000000000002E-4</v>
      </c>
      <c r="Q43" s="147">
        <v>6.2600000000000004E-4</v>
      </c>
      <c r="R43" s="147">
        <v>4.66E-4</v>
      </c>
      <c r="T43" s="147">
        <v>6.0499999999999996E-4</v>
      </c>
      <c r="U43" s="147">
        <v>4.57E-4</v>
      </c>
      <c r="W43" s="148"/>
      <c r="X43" s="148"/>
      <c r="Y43" s="148"/>
      <c r="Z43" s="148"/>
      <c r="AA43" s="148"/>
      <c r="AB43" s="148"/>
      <c r="AC43" s="148"/>
      <c r="AD43" s="148"/>
      <c r="AE43" s="148"/>
      <c r="AF43" s="148"/>
      <c r="AG43" s="148"/>
      <c r="AH43" s="148"/>
      <c r="AU43" s="139"/>
      <c r="AV43" s="139"/>
    </row>
    <row r="44" spans="1:48" x14ac:dyDescent="0.2">
      <c r="A44" s="4">
        <f xml:space="preserve"> Basis!A44</f>
        <v>44</v>
      </c>
      <c r="C44" s="147">
        <v>0</v>
      </c>
      <c r="D44" s="147">
        <v>0</v>
      </c>
      <c r="H44" s="147">
        <v>7.5000000000000002E-4</v>
      </c>
      <c r="I44" s="147">
        <v>5.4000000000000001E-4</v>
      </c>
      <c r="K44" s="147">
        <v>7.3399999999999995E-4</v>
      </c>
      <c r="L44" s="147">
        <v>5.4299999999999997E-4</v>
      </c>
      <c r="N44" s="147">
        <v>7.1100000000000004E-4</v>
      </c>
      <c r="O44" s="147">
        <v>5.3300000000000005E-4</v>
      </c>
      <c r="Q44" s="147">
        <v>7.0200000000000004E-4</v>
      </c>
      <c r="R44" s="147">
        <v>5.2499999999999997E-4</v>
      </c>
      <c r="T44" s="147">
        <v>6.78E-4</v>
      </c>
      <c r="U44" s="147">
        <v>5.1599999999999997E-4</v>
      </c>
      <c r="W44" s="148"/>
      <c r="X44" s="148"/>
      <c r="Y44" s="148"/>
      <c r="Z44" s="148"/>
      <c r="AA44" s="148"/>
      <c r="AB44" s="148"/>
      <c r="AC44" s="148"/>
      <c r="AD44" s="148"/>
      <c r="AE44" s="148"/>
      <c r="AF44" s="148"/>
      <c r="AG44" s="148"/>
      <c r="AH44" s="148"/>
      <c r="AU44" s="139"/>
      <c r="AV44" s="139"/>
    </row>
    <row r="45" spans="1:48" x14ac:dyDescent="0.2">
      <c r="A45" s="4">
        <f xml:space="preserve"> Basis!A45</f>
        <v>45</v>
      </c>
      <c r="C45" s="147">
        <v>0</v>
      </c>
      <c r="D45" s="147">
        <v>0</v>
      </c>
      <c r="H45" s="147">
        <v>8.4999999999999995E-4</v>
      </c>
      <c r="I45" s="147">
        <v>6.2E-4</v>
      </c>
      <c r="K45" s="147">
        <v>8.3000000000000001E-4</v>
      </c>
      <c r="L45" s="147">
        <v>6.1799999999999995E-4</v>
      </c>
      <c r="N45" s="147">
        <v>8.0099999999999995E-4</v>
      </c>
      <c r="O45" s="147">
        <v>6.0400000000000004E-4</v>
      </c>
      <c r="Q45" s="147">
        <v>7.9000000000000001E-4</v>
      </c>
      <c r="R45" s="147">
        <v>5.9100000000000005E-4</v>
      </c>
      <c r="T45" s="147">
        <v>7.6300000000000001E-4</v>
      </c>
      <c r="U45" s="147">
        <v>5.8299999999999997E-4</v>
      </c>
      <c r="W45" s="148"/>
      <c r="X45" s="148"/>
      <c r="Y45" s="148"/>
      <c r="Z45" s="148"/>
      <c r="AA45" s="148"/>
      <c r="AB45" s="148"/>
      <c r="AC45" s="148"/>
      <c r="AD45" s="148"/>
      <c r="AE45" s="148"/>
      <c r="AF45" s="148"/>
      <c r="AG45" s="148"/>
      <c r="AH45" s="148"/>
      <c r="AU45" s="139"/>
      <c r="AV45" s="139"/>
    </row>
    <row r="46" spans="1:48" x14ac:dyDescent="0.2">
      <c r="A46" s="4">
        <f xml:space="preserve"> Basis!A46</f>
        <v>46</v>
      </c>
      <c r="C46" s="147">
        <v>0</v>
      </c>
      <c r="D46" s="147">
        <v>0</v>
      </c>
      <c r="H46" s="147">
        <v>9.6000000000000002E-4</v>
      </c>
      <c r="I46" s="147">
        <v>6.9999999999999999E-4</v>
      </c>
      <c r="K46" s="147">
        <v>9.3800000000000003E-4</v>
      </c>
      <c r="L46" s="147">
        <v>6.9999999999999999E-4</v>
      </c>
      <c r="N46" s="147">
        <v>9.0499999999999999E-4</v>
      </c>
      <c r="O46" s="147">
        <v>6.8300000000000001E-4</v>
      </c>
      <c r="Q46" s="147">
        <v>8.8999999999999995E-4</v>
      </c>
      <c r="R46" s="147">
        <v>6.6500000000000001E-4</v>
      </c>
      <c r="T46" s="147">
        <v>8.61E-4</v>
      </c>
      <c r="U46" s="147">
        <v>6.5799999999999995E-4</v>
      </c>
      <c r="W46" s="148"/>
      <c r="X46" s="148"/>
      <c r="Y46" s="148"/>
      <c r="Z46" s="148"/>
      <c r="AA46" s="148"/>
      <c r="AB46" s="148"/>
      <c r="AC46" s="148"/>
      <c r="AD46" s="148"/>
      <c r="AE46" s="148"/>
      <c r="AF46" s="148"/>
      <c r="AG46" s="148"/>
      <c r="AH46" s="148"/>
      <c r="AU46" s="139"/>
      <c r="AV46" s="139"/>
    </row>
    <row r="47" spans="1:48" x14ac:dyDescent="0.2">
      <c r="A47" s="4">
        <f xml:space="preserve"> Basis!A47</f>
        <v>47</v>
      </c>
      <c r="C47" s="147">
        <v>0</v>
      </c>
      <c r="D47" s="147">
        <v>0</v>
      </c>
      <c r="H47" s="147">
        <v>1.08E-3</v>
      </c>
      <c r="I47" s="147">
        <v>7.9000000000000001E-4</v>
      </c>
      <c r="K47" s="147">
        <v>1.0579999999999999E-3</v>
      </c>
      <c r="L47" s="147">
        <v>7.8899999999999999E-4</v>
      </c>
      <c r="N47" s="147">
        <v>1.0219999999999999E-3</v>
      </c>
      <c r="O47" s="147">
        <v>7.6900000000000004E-4</v>
      </c>
      <c r="Q47" s="147">
        <v>1.0039999999999999E-3</v>
      </c>
      <c r="R47" s="147">
        <v>7.4600000000000003E-4</v>
      </c>
      <c r="T47" s="147">
        <v>9.7400000000000004E-4</v>
      </c>
      <c r="U47" s="147">
        <v>7.3999999999999999E-4</v>
      </c>
      <c r="W47" s="148"/>
      <c r="X47" s="148"/>
      <c r="Y47" s="148"/>
      <c r="Z47" s="148"/>
      <c r="AA47" s="148"/>
      <c r="AB47" s="148"/>
      <c r="AC47" s="148"/>
      <c r="AD47" s="148"/>
      <c r="AE47" s="148"/>
      <c r="AF47" s="148"/>
      <c r="AG47" s="148"/>
      <c r="AH47" s="148"/>
      <c r="AU47" s="139"/>
      <c r="AV47" s="139"/>
    </row>
    <row r="48" spans="1:48" x14ac:dyDescent="0.2">
      <c r="A48" s="4">
        <f xml:space="preserve"> Basis!A48</f>
        <v>48</v>
      </c>
      <c r="C48" s="147">
        <v>0</v>
      </c>
      <c r="D48" s="147">
        <v>0</v>
      </c>
      <c r="H48" s="147">
        <v>1.2099999999999999E-3</v>
      </c>
      <c r="I48" s="147">
        <v>8.8999999999999995E-4</v>
      </c>
      <c r="K48" s="147">
        <v>1.193E-3</v>
      </c>
      <c r="L48" s="147">
        <v>8.8400000000000002E-4</v>
      </c>
      <c r="N48" s="147">
        <v>1.155E-3</v>
      </c>
      <c r="O48" s="147">
        <v>8.61E-4</v>
      </c>
      <c r="Q48" s="147">
        <v>1.1349999999999999E-3</v>
      </c>
      <c r="R48" s="147">
        <v>8.3600000000000005E-4</v>
      </c>
      <c r="T48" s="147">
        <v>1.1050000000000001E-3</v>
      </c>
      <c r="U48" s="147">
        <v>8.3000000000000001E-4</v>
      </c>
      <c r="W48" s="148"/>
      <c r="X48" s="148"/>
      <c r="Y48" s="148"/>
      <c r="Z48" s="148"/>
      <c r="AA48" s="148"/>
      <c r="AB48" s="148"/>
      <c r="AC48" s="148"/>
      <c r="AD48" s="148"/>
      <c r="AE48" s="148"/>
      <c r="AF48" s="148"/>
      <c r="AG48" s="148"/>
      <c r="AH48" s="148"/>
      <c r="AU48" s="139"/>
      <c r="AV48" s="139"/>
    </row>
    <row r="49" spans="1:48" x14ac:dyDescent="0.2">
      <c r="A49" s="4">
        <f xml:space="preserve"> Basis!A49</f>
        <v>49</v>
      </c>
      <c r="C49" s="147">
        <v>0</v>
      </c>
      <c r="D49" s="147">
        <v>0</v>
      </c>
      <c r="H49" s="147">
        <v>1.3600000000000001E-3</v>
      </c>
      <c r="I49" s="147">
        <v>1E-3</v>
      </c>
      <c r="K49" s="147">
        <v>1.3439999999999999E-3</v>
      </c>
      <c r="L49" s="147">
        <v>9.859999999999999E-4</v>
      </c>
      <c r="N49" s="147">
        <v>1.3060000000000001E-3</v>
      </c>
      <c r="O49" s="147">
        <v>9.59E-4</v>
      </c>
      <c r="Q49" s="147">
        <v>1.284E-3</v>
      </c>
      <c r="R49" s="147">
        <v>9.3400000000000004E-4</v>
      </c>
      <c r="T49" s="147">
        <v>1.2539999999999999E-3</v>
      </c>
      <c r="U49" s="147">
        <v>9.2599999999999996E-4</v>
      </c>
      <c r="W49" s="148"/>
      <c r="X49" s="148"/>
      <c r="Y49" s="148"/>
      <c r="Z49" s="148"/>
      <c r="AA49" s="148"/>
      <c r="AB49" s="148"/>
      <c r="AC49" s="148"/>
      <c r="AD49" s="148"/>
      <c r="AE49" s="148"/>
      <c r="AF49" s="148"/>
      <c r="AG49" s="148"/>
      <c r="AH49" s="148"/>
      <c r="AU49" s="139"/>
      <c r="AV49" s="139"/>
    </row>
    <row r="50" spans="1:48" x14ac:dyDescent="0.2">
      <c r="A50" s="4">
        <f xml:space="preserve"> Basis!A50</f>
        <v>50</v>
      </c>
      <c r="C50" s="147">
        <v>0</v>
      </c>
      <c r="D50" s="147">
        <v>0</v>
      </c>
      <c r="H50" s="147">
        <v>1.5299999999999999E-3</v>
      </c>
      <c r="I50" s="147">
        <v>1.1100000000000001E-3</v>
      </c>
      <c r="K50" s="147">
        <v>1.516E-3</v>
      </c>
      <c r="L50" s="147">
        <v>1.093E-3</v>
      </c>
      <c r="N50" s="147">
        <v>1.4779999999999999E-3</v>
      </c>
      <c r="O50" s="147">
        <v>1.065E-3</v>
      </c>
      <c r="Q50" s="147">
        <v>1.4549999999999999E-3</v>
      </c>
      <c r="R50" s="147">
        <v>1.0430000000000001E-3</v>
      </c>
      <c r="T50" s="147">
        <v>1.4250000000000001E-3</v>
      </c>
      <c r="U50" s="147">
        <v>1.0280000000000001E-3</v>
      </c>
      <c r="W50" s="148"/>
      <c r="X50" s="148"/>
      <c r="Y50" s="148"/>
      <c r="Z50" s="148"/>
      <c r="AA50" s="148"/>
      <c r="AB50" s="148"/>
      <c r="AC50" s="148"/>
      <c r="AD50" s="148"/>
      <c r="AE50" s="148"/>
      <c r="AF50" s="148"/>
      <c r="AG50" s="148"/>
      <c r="AH50" s="148"/>
      <c r="AU50" s="139"/>
      <c r="AV50" s="139"/>
    </row>
    <row r="51" spans="1:48" x14ac:dyDescent="0.2">
      <c r="A51" s="4">
        <f xml:space="preserve"> Basis!A51</f>
        <v>51</v>
      </c>
      <c r="C51" s="147">
        <v>0</v>
      </c>
      <c r="D51" s="147">
        <v>0</v>
      </c>
      <c r="H51" s="147">
        <v>1.72E-3</v>
      </c>
      <c r="I51" s="147">
        <v>1.23E-3</v>
      </c>
      <c r="K51" s="147">
        <v>1.7099999999999999E-3</v>
      </c>
      <c r="L51" s="147">
        <v>1.209E-3</v>
      </c>
      <c r="N51" s="147">
        <v>1.6739999999999999E-3</v>
      </c>
      <c r="O51" s="147">
        <v>1.178E-3</v>
      </c>
      <c r="Q51" s="147">
        <v>1.6509999999999999E-3</v>
      </c>
      <c r="R51" s="147">
        <v>1.16E-3</v>
      </c>
      <c r="T51" s="147">
        <v>1.6169999999999999E-3</v>
      </c>
      <c r="U51" s="147">
        <v>1.137E-3</v>
      </c>
      <c r="W51" s="148"/>
      <c r="X51" s="148"/>
      <c r="Y51" s="148"/>
      <c r="Z51" s="148"/>
      <c r="AA51" s="148"/>
      <c r="AB51" s="148"/>
      <c r="AC51" s="148"/>
      <c r="AD51" s="148"/>
      <c r="AE51" s="148"/>
      <c r="AF51" s="148"/>
      <c r="AG51" s="148"/>
      <c r="AH51" s="148"/>
      <c r="AU51" s="139"/>
      <c r="AV51" s="139"/>
    </row>
    <row r="52" spans="1:48" x14ac:dyDescent="0.2">
      <c r="A52" s="4">
        <f xml:space="preserve"> Basis!A52</f>
        <v>52</v>
      </c>
      <c r="C52" s="147">
        <v>0</v>
      </c>
      <c r="D52" s="147">
        <v>0</v>
      </c>
      <c r="H52" s="147">
        <v>1.9400000000000001E-3</v>
      </c>
      <c r="I52" s="147">
        <v>1.3500000000000001E-3</v>
      </c>
      <c r="K52" s="147">
        <v>1.9300000000000001E-3</v>
      </c>
      <c r="L52" s="147">
        <v>1.333E-3</v>
      </c>
      <c r="N52" s="147">
        <v>1.8940000000000001E-3</v>
      </c>
      <c r="O52" s="147">
        <v>1.3010000000000001E-3</v>
      </c>
      <c r="Q52" s="147">
        <v>1.8710000000000001E-3</v>
      </c>
      <c r="R52" s="147">
        <v>1.2869999999999999E-3</v>
      </c>
      <c r="T52" s="147">
        <v>1.8339999999999999E-3</v>
      </c>
      <c r="U52" s="147">
        <v>1.2539999999999999E-3</v>
      </c>
      <c r="W52" s="148"/>
      <c r="X52" s="148"/>
      <c r="Y52" s="148"/>
      <c r="Z52" s="148"/>
      <c r="AA52" s="148"/>
      <c r="AB52" s="148"/>
      <c r="AC52" s="148"/>
      <c r="AD52" s="148"/>
      <c r="AE52" s="148"/>
      <c r="AF52" s="148"/>
      <c r="AG52" s="148"/>
      <c r="AH52" s="148"/>
      <c r="AU52" s="139"/>
      <c r="AV52" s="139"/>
    </row>
    <row r="53" spans="1:48" x14ac:dyDescent="0.2">
      <c r="A53" s="4">
        <f xml:space="preserve"> Basis!A53</f>
        <v>53</v>
      </c>
      <c r="C53" s="147">
        <v>0</v>
      </c>
      <c r="D53" s="147">
        <v>0</v>
      </c>
      <c r="H53" s="147">
        <v>2.1900000000000001E-3</v>
      </c>
      <c r="I53" s="147">
        <v>1.48E-3</v>
      </c>
      <c r="K53" s="147">
        <v>2.173E-3</v>
      </c>
      <c r="L53" s="147">
        <v>1.4679999999999999E-3</v>
      </c>
      <c r="N53" s="147">
        <v>2.1380000000000001E-3</v>
      </c>
      <c r="O53" s="147">
        <v>1.4339999999999999E-3</v>
      </c>
      <c r="Q53" s="147">
        <v>2.1150000000000001E-3</v>
      </c>
      <c r="R53" s="147">
        <v>1.4220000000000001E-3</v>
      </c>
      <c r="T53" s="147">
        <v>2.0730000000000002E-3</v>
      </c>
      <c r="U53" s="147">
        <v>1.379E-3</v>
      </c>
      <c r="W53" s="148"/>
      <c r="X53" s="148"/>
      <c r="Y53" s="148"/>
      <c r="Z53" s="148"/>
      <c r="AA53" s="148"/>
      <c r="AB53" s="148"/>
      <c r="AC53" s="148"/>
      <c r="AD53" s="148"/>
      <c r="AE53" s="148"/>
      <c r="AF53" s="148"/>
      <c r="AG53" s="148"/>
      <c r="AH53" s="148"/>
      <c r="AU53" s="139"/>
      <c r="AV53" s="139"/>
    </row>
    <row r="54" spans="1:48" x14ac:dyDescent="0.2">
      <c r="A54" s="4">
        <f xml:space="preserve"> Basis!A54</f>
        <v>54</v>
      </c>
      <c r="C54" s="147">
        <v>0</v>
      </c>
      <c r="D54" s="147">
        <v>0</v>
      </c>
      <c r="H54" s="147">
        <v>2.4499999999999999E-3</v>
      </c>
      <c r="I54" s="147">
        <v>1.6199999999999999E-3</v>
      </c>
      <c r="K54" s="147">
        <v>2.4369999999999999E-3</v>
      </c>
      <c r="L54" s="147">
        <v>1.614E-3</v>
      </c>
      <c r="N54" s="147">
        <v>2.4039999999999999E-3</v>
      </c>
      <c r="O54" s="147">
        <v>1.5770000000000001E-3</v>
      </c>
      <c r="Q54" s="147">
        <v>2.3800000000000002E-3</v>
      </c>
      <c r="R54" s="147">
        <v>1.565E-3</v>
      </c>
      <c r="T54" s="147">
        <v>2.333E-3</v>
      </c>
      <c r="U54" s="147">
        <v>1.5150000000000001E-3</v>
      </c>
      <c r="W54" s="148"/>
      <c r="X54" s="148"/>
      <c r="Y54" s="148"/>
      <c r="Z54" s="148"/>
      <c r="AA54" s="148"/>
      <c r="AB54" s="148"/>
      <c r="AC54" s="148"/>
      <c r="AD54" s="148"/>
      <c r="AE54" s="148"/>
      <c r="AF54" s="148"/>
      <c r="AG54" s="148"/>
      <c r="AH54" s="148"/>
      <c r="AU54" s="139"/>
      <c r="AV54" s="139"/>
    </row>
    <row r="55" spans="1:48" x14ac:dyDescent="0.2">
      <c r="A55" s="4">
        <f xml:space="preserve"> Basis!A55</f>
        <v>55</v>
      </c>
      <c r="C55" s="147">
        <v>0</v>
      </c>
      <c r="D55" s="147">
        <v>0</v>
      </c>
      <c r="H55" s="147">
        <v>2.7399999999999998E-3</v>
      </c>
      <c r="I55" s="147">
        <v>1.7799999999999999E-3</v>
      </c>
      <c r="K55" s="147">
        <v>2.7190000000000001E-3</v>
      </c>
      <c r="L55" s="147">
        <v>1.7719999999999999E-3</v>
      </c>
      <c r="N55" s="147">
        <v>2.689E-3</v>
      </c>
      <c r="O55" s="147">
        <v>1.7329999999999999E-3</v>
      </c>
      <c r="Q55" s="147">
        <v>2.6649999999999998E-3</v>
      </c>
      <c r="R55" s="147">
        <v>1.717E-3</v>
      </c>
      <c r="T55" s="147">
        <v>2.6150000000000001E-3</v>
      </c>
      <c r="U55" s="147">
        <v>1.663E-3</v>
      </c>
      <c r="W55" s="148"/>
      <c r="X55" s="148"/>
      <c r="Y55" s="148"/>
      <c r="Z55" s="148"/>
      <c r="AA55" s="148"/>
      <c r="AB55" s="148"/>
      <c r="AC55" s="148"/>
      <c r="AD55" s="148"/>
      <c r="AE55" s="148"/>
      <c r="AF55" s="148"/>
      <c r="AG55" s="148"/>
      <c r="AH55" s="148"/>
      <c r="AU55" s="139"/>
      <c r="AV55" s="139"/>
    </row>
    <row r="56" spans="1:48" x14ac:dyDescent="0.2">
      <c r="A56" s="4">
        <f xml:space="preserve"> Basis!A56</f>
        <v>56</v>
      </c>
      <c r="C56" s="147">
        <v>0</v>
      </c>
      <c r="D56" s="147">
        <v>0</v>
      </c>
      <c r="H56" s="147">
        <v>3.0400000000000002E-3</v>
      </c>
      <c r="I56" s="147">
        <v>1.9499999999999999E-3</v>
      </c>
      <c r="K56" s="147">
        <v>3.019E-3</v>
      </c>
      <c r="L56" s="147">
        <v>1.9449999999999999E-3</v>
      </c>
      <c r="N56" s="147">
        <v>2.99E-3</v>
      </c>
      <c r="O56" s="147">
        <v>1.902E-3</v>
      </c>
      <c r="Q56" s="147">
        <v>2.967E-3</v>
      </c>
      <c r="R56" s="147">
        <v>1.8799999999999999E-3</v>
      </c>
      <c r="T56" s="147">
        <v>2.9169999999999999E-3</v>
      </c>
      <c r="U56" s="147">
        <v>1.8270000000000001E-3</v>
      </c>
      <c r="W56" s="148"/>
      <c r="X56" s="148"/>
      <c r="Y56" s="148"/>
      <c r="Z56" s="148"/>
      <c r="AA56" s="148"/>
      <c r="AB56" s="148"/>
      <c r="AC56" s="148"/>
      <c r="AD56" s="148"/>
      <c r="AE56" s="148"/>
      <c r="AF56" s="148"/>
      <c r="AG56" s="148"/>
      <c r="AH56" s="148"/>
      <c r="AU56" s="139"/>
      <c r="AV56" s="139"/>
    </row>
    <row r="57" spans="1:48" x14ac:dyDescent="0.2">
      <c r="A57" s="4">
        <f xml:space="preserve"> Basis!A57</f>
        <v>57</v>
      </c>
      <c r="C57" s="147">
        <v>0</v>
      </c>
      <c r="D57" s="147">
        <v>0</v>
      </c>
      <c r="H57" s="147">
        <v>3.3600000000000001E-3</v>
      </c>
      <c r="I57" s="147">
        <v>2.14E-3</v>
      </c>
      <c r="K57" s="147">
        <v>3.3379999999999998E-3</v>
      </c>
      <c r="L57" s="147">
        <v>2.1350000000000002E-3</v>
      </c>
      <c r="N57" s="147">
        <v>3.3089999999999999E-3</v>
      </c>
      <c r="O57" s="147">
        <v>2.0860000000000002E-3</v>
      </c>
      <c r="Q57" s="147">
        <v>3.2889999999999998E-3</v>
      </c>
      <c r="R57" s="147">
        <v>2.0569999999999998E-3</v>
      </c>
      <c r="T57" s="147">
        <v>3.238E-3</v>
      </c>
      <c r="U57" s="147">
        <v>2.0079999999999998E-3</v>
      </c>
      <c r="W57" s="148"/>
      <c r="X57" s="148"/>
      <c r="Y57" s="148"/>
      <c r="Z57" s="148"/>
      <c r="AA57" s="148"/>
      <c r="AB57" s="148"/>
      <c r="AC57" s="148"/>
      <c r="AD57" s="148"/>
      <c r="AE57" s="148"/>
      <c r="AF57" s="148"/>
      <c r="AG57" s="148"/>
      <c r="AH57" s="148"/>
      <c r="AU57" s="139"/>
      <c r="AV57" s="139"/>
    </row>
    <row r="58" spans="1:48" x14ac:dyDescent="0.2">
      <c r="A58" s="4">
        <f xml:space="preserve"> Basis!A58</f>
        <v>58</v>
      </c>
      <c r="C58" s="147">
        <v>0</v>
      </c>
      <c r="D58" s="147">
        <v>0</v>
      </c>
      <c r="H58" s="147">
        <v>3.64E-3</v>
      </c>
      <c r="I58" s="147">
        <v>2.3500000000000001E-3</v>
      </c>
      <c r="K58" s="147">
        <v>3.6410000000000001E-3</v>
      </c>
      <c r="L58" s="147">
        <v>2.3419999999999999E-3</v>
      </c>
      <c r="N58" s="147">
        <v>3.6410000000000001E-3</v>
      </c>
      <c r="O58" s="147">
        <v>2.287E-3</v>
      </c>
      <c r="Q58" s="147">
        <v>3.6319999999999998E-3</v>
      </c>
      <c r="R58" s="147">
        <v>2.251E-3</v>
      </c>
      <c r="T58" s="147">
        <v>3.581E-3</v>
      </c>
      <c r="U58" s="147">
        <v>2.2070000000000002E-3</v>
      </c>
      <c r="W58" s="148"/>
      <c r="X58" s="148"/>
      <c r="Y58" s="148"/>
      <c r="Z58" s="148"/>
      <c r="AA58" s="148"/>
      <c r="AB58" s="148"/>
      <c r="AC58" s="148"/>
      <c r="AD58" s="148"/>
      <c r="AE58" s="148"/>
      <c r="AF58" s="148"/>
      <c r="AG58" s="148"/>
      <c r="AH58" s="148"/>
      <c r="AU58" s="139"/>
      <c r="AV58" s="139"/>
    </row>
    <row r="59" spans="1:48" x14ac:dyDescent="0.2">
      <c r="A59" s="4">
        <f xml:space="preserve"> Basis!A59</f>
        <v>59</v>
      </c>
      <c r="C59" s="147">
        <v>0</v>
      </c>
      <c r="D59" s="147">
        <v>0</v>
      </c>
      <c r="H59" s="147">
        <v>3.9100000000000003E-3</v>
      </c>
      <c r="I59" s="147">
        <v>2.5799999999999998E-3</v>
      </c>
      <c r="K59" s="147">
        <v>3.9170000000000003E-3</v>
      </c>
      <c r="L59" s="147">
        <v>2.5660000000000001E-3</v>
      </c>
      <c r="N59" s="147">
        <v>3.9170000000000003E-3</v>
      </c>
      <c r="O59" s="147">
        <v>2.5049999999999998E-3</v>
      </c>
      <c r="Q59" s="147">
        <v>3.9170000000000003E-3</v>
      </c>
      <c r="R59" s="147">
        <v>2.464E-3</v>
      </c>
      <c r="T59" s="147">
        <v>3.9170000000000003E-3</v>
      </c>
      <c r="U59" s="147">
        <v>2.4229999999999998E-3</v>
      </c>
      <c r="W59" s="148"/>
      <c r="X59" s="148"/>
      <c r="Y59" s="148"/>
      <c r="Z59" s="148"/>
      <c r="AA59" s="148"/>
      <c r="AB59" s="148"/>
      <c r="AC59" s="148"/>
      <c r="AD59" s="148"/>
      <c r="AE59" s="148"/>
      <c r="AF59" s="148"/>
      <c r="AG59" s="148"/>
      <c r="AH59" s="148"/>
      <c r="AU59" s="139"/>
      <c r="AV59" s="139"/>
    </row>
    <row r="60" spans="1:48" x14ac:dyDescent="0.2">
      <c r="A60" s="4">
        <f xml:space="preserve"> Basis!A60</f>
        <v>60</v>
      </c>
      <c r="C60" s="147">
        <v>0</v>
      </c>
      <c r="D60" s="147">
        <v>0</v>
      </c>
      <c r="H60" s="147">
        <v>4.2300000000000003E-3</v>
      </c>
      <c r="I60" s="147">
        <v>2.8300000000000001E-3</v>
      </c>
      <c r="K60" s="147">
        <v>4.2339999999999999E-3</v>
      </c>
      <c r="L60" s="147">
        <v>2.8059999999999999E-3</v>
      </c>
      <c r="N60" s="147">
        <v>4.2339999999999999E-3</v>
      </c>
      <c r="O60" s="147">
        <v>2.7409999999999999E-3</v>
      </c>
      <c r="Q60" s="147">
        <v>4.2339999999999999E-3</v>
      </c>
      <c r="R60" s="147">
        <v>2.6970000000000002E-3</v>
      </c>
      <c r="T60" s="147">
        <v>4.2339999999999999E-3</v>
      </c>
      <c r="U60" s="147">
        <v>2.6580000000000002E-3</v>
      </c>
      <c r="W60" s="148"/>
      <c r="X60" s="148"/>
      <c r="Y60" s="148"/>
      <c r="Z60" s="148"/>
      <c r="AA60" s="148"/>
      <c r="AB60" s="148"/>
      <c r="AC60" s="148"/>
      <c r="AD60" s="148"/>
      <c r="AE60" s="148"/>
      <c r="AF60" s="148"/>
      <c r="AG60" s="148"/>
      <c r="AH60" s="148"/>
      <c r="AU60" s="139"/>
      <c r="AV60" s="139"/>
    </row>
    <row r="61" spans="1:48" x14ac:dyDescent="0.2">
      <c r="A61" s="4">
        <f xml:space="preserve"> Basis!A61</f>
        <v>61</v>
      </c>
      <c r="C61" s="147">
        <v>0</v>
      </c>
      <c r="D61" s="147">
        <v>0</v>
      </c>
      <c r="H61" s="147">
        <v>4.6100000000000004E-3</v>
      </c>
      <c r="I61" s="147">
        <v>3.0799999999999998E-3</v>
      </c>
      <c r="K61" s="147">
        <v>4.6160000000000003E-3</v>
      </c>
      <c r="L61" s="147">
        <v>3.0590000000000001E-3</v>
      </c>
      <c r="N61" s="147">
        <v>4.6160000000000003E-3</v>
      </c>
      <c r="O61" s="147">
        <v>2.9910000000000002E-3</v>
      </c>
      <c r="Q61" s="147">
        <v>4.6160000000000003E-3</v>
      </c>
      <c r="R61" s="147">
        <v>2.9510000000000001E-3</v>
      </c>
      <c r="T61" s="147">
        <v>4.6160000000000003E-3</v>
      </c>
      <c r="U61" s="147">
        <v>2.9120000000000001E-3</v>
      </c>
      <c r="W61" s="148"/>
      <c r="X61" s="148"/>
      <c r="Y61" s="148"/>
      <c r="Z61" s="148"/>
      <c r="AA61" s="148"/>
      <c r="AB61" s="148"/>
      <c r="AC61" s="148"/>
      <c r="AD61" s="148"/>
      <c r="AE61" s="148"/>
      <c r="AF61" s="148"/>
      <c r="AG61" s="148"/>
      <c r="AH61" s="148"/>
      <c r="AU61" s="139"/>
      <c r="AV61" s="139"/>
    </row>
    <row r="62" spans="1:48" x14ac:dyDescent="0.2">
      <c r="A62" s="4">
        <f xml:space="preserve"> Basis!A62</f>
        <v>62</v>
      </c>
      <c r="C62" s="147">
        <v>0</v>
      </c>
      <c r="D62" s="147">
        <v>0</v>
      </c>
      <c r="H62" s="147">
        <v>5.0200000000000002E-3</v>
      </c>
      <c r="I62" s="147">
        <v>3.32E-3</v>
      </c>
      <c r="K62" s="147">
        <v>5.0229999999999997E-3</v>
      </c>
      <c r="L62" s="147">
        <v>3.3219999999999999E-3</v>
      </c>
      <c r="N62" s="147">
        <v>5.0229999999999997E-3</v>
      </c>
      <c r="O62" s="147">
        <v>3.2550000000000001E-3</v>
      </c>
      <c r="Q62" s="147">
        <v>5.0229999999999997E-3</v>
      </c>
      <c r="R62" s="147">
        <v>3.2260000000000001E-3</v>
      </c>
      <c r="T62" s="147">
        <v>5.0229999999999997E-3</v>
      </c>
      <c r="U62" s="147">
        <v>3.1870000000000002E-3</v>
      </c>
      <c r="W62" s="148"/>
      <c r="X62" s="148"/>
      <c r="Y62" s="148"/>
      <c r="Z62" s="148"/>
      <c r="AA62" s="148"/>
      <c r="AB62" s="148"/>
      <c r="AC62" s="148"/>
      <c r="AD62" s="148"/>
      <c r="AE62" s="148"/>
      <c r="AF62" s="148"/>
      <c r="AG62" s="148"/>
      <c r="AH62" s="148"/>
      <c r="AU62" s="139"/>
      <c r="AV62" s="139"/>
    </row>
    <row r="63" spans="1:48" x14ac:dyDescent="0.2">
      <c r="A63" s="4">
        <f xml:space="preserve"> Basis!A63</f>
        <v>63</v>
      </c>
      <c r="C63" s="147">
        <v>0</v>
      </c>
      <c r="D63" s="147">
        <v>0</v>
      </c>
      <c r="H63" s="147">
        <v>5.4099999999999999E-3</v>
      </c>
      <c r="I63" s="147">
        <v>3.5400000000000002E-3</v>
      </c>
      <c r="K63" s="147">
        <v>5.4159999999999998E-3</v>
      </c>
      <c r="L63" s="147">
        <v>3.5439999999999998E-3</v>
      </c>
      <c r="N63" s="147">
        <v>5.4159999999999998E-3</v>
      </c>
      <c r="O63" s="147">
        <v>3.5300000000000002E-3</v>
      </c>
      <c r="Q63" s="147">
        <v>5.4159999999999998E-3</v>
      </c>
      <c r="R63" s="147">
        <v>3.519E-3</v>
      </c>
      <c r="T63" s="147">
        <v>5.4159999999999998E-3</v>
      </c>
      <c r="U63" s="147">
        <v>3.4840000000000001E-3</v>
      </c>
      <c r="W63" s="148"/>
      <c r="X63" s="148"/>
      <c r="Y63" s="148"/>
      <c r="Z63" s="148"/>
      <c r="AA63" s="148"/>
      <c r="AB63" s="148"/>
      <c r="AC63" s="148"/>
      <c r="AD63" s="148"/>
      <c r="AE63" s="148"/>
      <c r="AF63" s="148"/>
      <c r="AG63" s="148"/>
      <c r="AH63" s="148"/>
      <c r="AU63" s="139"/>
      <c r="AV63" s="139"/>
    </row>
    <row r="64" spans="1:48" x14ac:dyDescent="0.2">
      <c r="A64" s="4">
        <f xml:space="preserve"> Basis!A64</f>
        <v>64</v>
      </c>
      <c r="C64" s="147">
        <v>0</v>
      </c>
      <c r="D64" s="147">
        <v>0</v>
      </c>
      <c r="H64" s="147">
        <v>5.8700000000000002E-3</v>
      </c>
      <c r="I64" s="147">
        <v>3.79E-3</v>
      </c>
      <c r="K64" s="147">
        <v>5.8770000000000003E-3</v>
      </c>
      <c r="L64" s="147">
        <v>3.7950000000000002E-3</v>
      </c>
      <c r="N64" s="147">
        <v>5.8770000000000003E-3</v>
      </c>
      <c r="O64" s="147">
        <v>3.7950000000000002E-3</v>
      </c>
      <c r="Q64" s="147">
        <v>5.8770000000000003E-3</v>
      </c>
      <c r="R64" s="147">
        <v>3.7950000000000002E-3</v>
      </c>
      <c r="T64" s="147">
        <v>5.8770000000000003E-3</v>
      </c>
      <c r="U64" s="147">
        <v>3.7950000000000002E-3</v>
      </c>
      <c r="W64" s="148"/>
      <c r="X64" s="148"/>
      <c r="Y64" s="148"/>
      <c r="Z64" s="148"/>
      <c r="AA64" s="148"/>
      <c r="AB64" s="148"/>
      <c r="AC64" s="148"/>
      <c r="AD64" s="148"/>
      <c r="AE64" s="148"/>
      <c r="AF64" s="148"/>
      <c r="AG64" s="148"/>
      <c r="AH64" s="148"/>
      <c r="AU64" s="139"/>
      <c r="AV64" s="139"/>
    </row>
    <row r="65" spans="1:48" x14ac:dyDescent="0.2">
      <c r="A65" s="4">
        <f xml:space="preserve"> Basis!A65</f>
        <v>65</v>
      </c>
      <c r="C65" s="147">
        <v>0</v>
      </c>
      <c r="D65" s="147">
        <v>0</v>
      </c>
      <c r="H65" s="147">
        <v>6.4200000000000004E-3</v>
      </c>
      <c r="I65" s="147">
        <v>4.0899999999999999E-3</v>
      </c>
      <c r="K65" s="147">
        <v>6.4250000000000002E-3</v>
      </c>
      <c r="L65" s="147">
        <v>4.0920000000000002E-3</v>
      </c>
      <c r="N65" s="147">
        <v>6.4250000000000002E-3</v>
      </c>
      <c r="O65" s="147">
        <v>4.0920000000000002E-3</v>
      </c>
      <c r="Q65" s="147">
        <v>6.4250000000000002E-3</v>
      </c>
      <c r="R65" s="147">
        <v>4.0920000000000002E-3</v>
      </c>
      <c r="T65" s="147">
        <v>6.4250000000000002E-3</v>
      </c>
      <c r="U65" s="147">
        <v>4.0920000000000002E-3</v>
      </c>
      <c r="W65" s="148"/>
      <c r="X65" s="148"/>
      <c r="Y65" s="148"/>
      <c r="Z65" s="148"/>
      <c r="AA65" s="148"/>
      <c r="AB65" s="148"/>
      <c r="AC65" s="148"/>
      <c r="AD65" s="148"/>
      <c r="AE65" s="148"/>
      <c r="AF65" s="148"/>
      <c r="AG65" s="148"/>
      <c r="AH65" s="148"/>
      <c r="AU65" s="139"/>
      <c r="AV65" s="139"/>
    </row>
    <row r="66" spans="1:48" x14ac:dyDescent="0.2">
      <c r="A66" s="4">
        <f xml:space="preserve"> Basis!A66</f>
        <v>66</v>
      </c>
      <c r="C66" s="147">
        <v>0</v>
      </c>
      <c r="D66" s="147">
        <v>0</v>
      </c>
      <c r="H66" s="147">
        <v>7.0299999999999998E-3</v>
      </c>
      <c r="I66" s="147">
        <v>4.4000000000000003E-3</v>
      </c>
      <c r="K66" s="147">
        <v>7.0369999999999999E-3</v>
      </c>
      <c r="L66" s="147">
        <v>4.4060000000000002E-3</v>
      </c>
      <c r="N66" s="147">
        <v>7.0369999999999999E-3</v>
      </c>
      <c r="O66" s="147">
        <v>4.4060000000000002E-3</v>
      </c>
      <c r="Q66" s="147">
        <v>7.0369999999999999E-3</v>
      </c>
      <c r="R66" s="147">
        <v>4.4060000000000002E-3</v>
      </c>
      <c r="T66" s="147">
        <v>7.0369999999999999E-3</v>
      </c>
      <c r="U66" s="147">
        <v>4.4060000000000002E-3</v>
      </c>
      <c r="W66" s="148"/>
      <c r="X66" s="148"/>
      <c r="Y66" s="148"/>
      <c r="Z66" s="148"/>
      <c r="AA66" s="148"/>
      <c r="AB66" s="148"/>
      <c r="AC66" s="148"/>
      <c r="AD66" s="148"/>
      <c r="AE66" s="148"/>
      <c r="AF66" s="148"/>
      <c r="AG66" s="148"/>
      <c r="AH66" s="148"/>
      <c r="AU66" s="139"/>
      <c r="AV66" s="139"/>
    </row>
    <row r="67" spans="1:48" x14ac:dyDescent="0.2">
      <c r="A67" s="4">
        <f xml:space="preserve"> Basis!A67</f>
        <v>67</v>
      </c>
      <c r="C67" s="147">
        <v>0</v>
      </c>
      <c r="D67" s="147">
        <v>0</v>
      </c>
      <c r="H67" s="147">
        <v>7.7000000000000002E-3</v>
      </c>
      <c r="I67" s="147">
        <v>4.7499999999999999E-3</v>
      </c>
      <c r="K67" s="147">
        <v>7.7010000000000004E-3</v>
      </c>
      <c r="L67" s="147">
        <v>4.751E-3</v>
      </c>
      <c r="N67" s="147">
        <v>7.7010000000000004E-3</v>
      </c>
      <c r="O67" s="147">
        <v>4.751E-3</v>
      </c>
      <c r="Q67" s="147">
        <v>7.7010000000000004E-3</v>
      </c>
      <c r="R67" s="147">
        <v>4.751E-3</v>
      </c>
      <c r="T67" s="147">
        <v>7.7010000000000004E-3</v>
      </c>
      <c r="U67" s="147">
        <v>4.751E-3</v>
      </c>
      <c r="W67" s="148"/>
      <c r="X67" s="148"/>
      <c r="Y67" s="148"/>
      <c r="Z67" s="148"/>
      <c r="AA67" s="148"/>
      <c r="AB67" s="148"/>
      <c r="AC67" s="148"/>
      <c r="AD67" s="148"/>
      <c r="AE67" s="148"/>
      <c r="AF67" s="148"/>
      <c r="AG67" s="148"/>
      <c r="AH67" s="148"/>
      <c r="AU67" s="139"/>
      <c r="AV67" s="139"/>
    </row>
    <row r="68" spans="1:48" x14ac:dyDescent="0.2">
      <c r="A68" s="4">
        <f xml:space="preserve"> Basis!A68</f>
        <v>68</v>
      </c>
      <c r="C68" s="147">
        <v>0</v>
      </c>
      <c r="D68" s="147">
        <v>0</v>
      </c>
      <c r="H68" s="147">
        <v>8.4799999999999997E-3</v>
      </c>
      <c r="I68" s="147">
        <v>5.1399999999999996E-3</v>
      </c>
      <c r="K68" s="147">
        <v>8.4309999999999993E-3</v>
      </c>
      <c r="L68" s="147">
        <v>5.1489999999999999E-3</v>
      </c>
      <c r="N68" s="147">
        <v>8.4309999999999993E-3</v>
      </c>
      <c r="O68" s="147">
        <v>5.1489999999999999E-3</v>
      </c>
      <c r="Q68" s="147">
        <v>8.4309999999999993E-3</v>
      </c>
      <c r="R68" s="147">
        <v>5.1489999999999999E-3</v>
      </c>
      <c r="T68" s="147">
        <v>8.4309999999999993E-3</v>
      </c>
      <c r="U68" s="147">
        <v>5.1489999999999999E-3</v>
      </c>
      <c r="W68" s="148"/>
      <c r="X68" s="148"/>
      <c r="Y68" s="148"/>
      <c r="Z68" s="148"/>
      <c r="AA68" s="148"/>
      <c r="AB68" s="148"/>
      <c r="AC68" s="148"/>
      <c r="AD68" s="148"/>
      <c r="AE68" s="148"/>
      <c r="AF68" s="148"/>
      <c r="AG68" s="148"/>
      <c r="AH68" s="148"/>
      <c r="AU68" s="139"/>
      <c r="AV68" s="139"/>
    </row>
    <row r="69" spans="1:48" x14ac:dyDescent="0.2">
      <c r="A69" s="4">
        <f xml:space="preserve"> Basis!A69</f>
        <v>69</v>
      </c>
      <c r="C69" s="147">
        <v>0</v>
      </c>
      <c r="D69" s="147">
        <v>0</v>
      </c>
      <c r="H69" s="147">
        <v>9.3500000000000007E-3</v>
      </c>
      <c r="I69" s="147">
        <v>5.62E-3</v>
      </c>
      <c r="K69" s="147">
        <v>9.2230000000000003E-3</v>
      </c>
      <c r="L69" s="147">
        <v>5.6239999999999997E-3</v>
      </c>
      <c r="N69" s="147">
        <v>9.1970000000000003E-3</v>
      </c>
      <c r="O69" s="147">
        <v>5.6179999999999997E-3</v>
      </c>
      <c r="Q69" s="147">
        <v>9.1970000000000003E-3</v>
      </c>
      <c r="R69" s="147">
        <v>5.6179999999999997E-3</v>
      </c>
      <c r="T69" s="147">
        <v>9.1970000000000003E-3</v>
      </c>
      <c r="U69" s="147">
        <v>5.6179999999999997E-3</v>
      </c>
      <c r="W69" s="148"/>
      <c r="X69" s="148"/>
      <c r="Y69" s="148"/>
      <c r="Z69" s="148"/>
      <c r="AA69" s="148"/>
      <c r="AB69" s="148"/>
      <c r="AC69" s="148"/>
      <c r="AD69" s="148"/>
      <c r="AE69" s="148"/>
      <c r="AF69" s="148"/>
      <c r="AG69" s="148"/>
      <c r="AH69" s="148"/>
      <c r="AU69" s="139"/>
      <c r="AV69" s="139"/>
    </row>
    <row r="70" spans="1:48" x14ac:dyDescent="0.2">
      <c r="A70" s="4">
        <f xml:space="preserve"> Basis!A70</f>
        <v>70</v>
      </c>
      <c r="C70" s="147">
        <v>0</v>
      </c>
      <c r="D70" s="147">
        <v>0</v>
      </c>
      <c r="H70" s="147">
        <v>1.035E-2</v>
      </c>
      <c r="I70" s="147">
        <v>6.1700000000000001E-3</v>
      </c>
      <c r="K70" s="147">
        <v>1.0154E-2</v>
      </c>
      <c r="L70" s="147">
        <v>6.1729999999999997E-3</v>
      </c>
      <c r="N70" s="147">
        <v>1.0078999999999999E-2</v>
      </c>
      <c r="O70" s="147">
        <v>6.1310000000000002E-3</v>
      </c>
      <c r="Q70" s="147">
        <v>1.0078999999999999E-2</v>
      </c>
      <c r="R70" s="147">
        <v>6.1310000000000002E-3</v>
      </c>
      <c r="T70" s="147">
        <v>1.0078999999999999E-2</v>
      </c>
      <c r="U70" s="147">
        <v>6.1310000000000002E-3</v>
      </c>
      <c r="W70" s="148"/>
      <c r="X70" s="148"/>
      <c r="Y70" s="148"/>
      <c r="Z70" s="148"/>
      <c r="AA70" s="148"/>
      <c r="AB70" s="148"/>
      <c r="AC70" s="148"/>
      <c r="AD70" s="148"/>
      <c r="AE70" s="148"/>
      <c r="AF70" s="148"/>
      <c r="AG70" s="148"/>
      <c r="AH70" s="148"/>
      <c r="AU70" s="139"/>
      <c r="AV70" s="139"/>
    </row>
    <row r="71" spans="1:48" x14ac:dyDescent="0.2">
      <c r="A71" s="4">
        <f xml:space="preserve"> Basis!A71</f>
        <v>71</v>
      </c>
      <c r="C71" s="147">
        <v>0</v>
      </c>
      <c r="D71" s="147">
        <v>0</v>
      </c>
      <c r="H71" s="147">
        <v>1.154E-2</v>
      </c>
      <c r="I71" s="147">
        <v>6.8199999999999997E-3</v>
      </c>
      <c r="K71" s="147">
        <v>1.1257E-2</v>
      </c>
      <c r="L71" s="147">
        <v>6.8019999999999999E-3</v>
      </c>
      <c r="N71" s="147">
        <v>1.1127E-2</v>
      </c>
      <c r="O71" s="147">
        <v>6.7409999999999996E-3</v>
      </c>
      <c r="Q71" s="147">
        <v>1.1127E-2</v>
      </c>
      <c r="R71" s="147">
        <v>6.7099999999999998E-3</v>
      </c>
      <c r="T71" s="147">
        <v>1.1107000000000001E-2</v>
      </c>
      <c r="U71" s="147">
        <v>6.7099999999999998E-3</v>
      </c>
      <c r="W71" s="148"/>
      <c r="X71" s="148"/>
      <c r="Y71" s="148"/>
      <c r="Z71" s="148"/>
      <c r="AA71" s="148"/>
      <c r="AB71" s="148"/>
      <c r="AC71" s="148"/>
      <c r="AD71" s="148"/>
      <c r="AE71" s="148"/>
      <c r="AF71" s="148"/>
      <c r="AG71" s="148"/>
      <c r="AH71" s="148"/>
      <c r="AU71" s="139"/>
      <c r="AV71" s="139"/>
    </row>
    <row r="72" spans="1:48" x14ac:dyDescent="0.2">
      <c r="A72" s="4">
        <f xml:space="preserve"> Basis!A72</f>
        <v>72</v>
      </c>
      <c r="C72" s="147">
        <v>0</v>
      </c>
      <c r="D72" s="147">
        <v>0</v>
      </c>
      <c r="H72" s="147">
        <v>1.294E-2</v>
      </c>
      <c r="I72" s="147">
        <v>7.62E-3</v>
      </c>
      <c r="K72" s="147">
        <v>1.2567999999999999E-2</v>
      </c>
      <c r="L72" s="147">
        <v>7.5599999999999999E-3</v>
      </c>
      <c r="N72" s="147">
        <v>1.2382000000000001E-2</v>
      </c>
      <c r="O72" s="147">
        <v>7.4729999999999996E-3</v>
      </c>
      <c r="Q72" s="147">
        <v>1.2375000000000001E-2</v>
      </c>
      <c r="R72" s="147">
        <v>7.3990000000000002E-3</v>
      </c>
      <c r="T72" s="147">
        <v>1.2282E-2</v>
      </c>
      <c r="U72" s="147">
        <v>7.3759999999999997E-3</v>
      </c>
      <c r="W72" s="148"/>
      <c r="X72" s="148"/>
      <c r="Y72" s="148"/>
      <c r="Z72" s="148"/>
      <c r="AA72" s="148"/>
      <c r="AB72" s="148"/>
      <c r="AC72" s="148"/>
      <c r="AD72" s="148"/>
      <c r="AE72" s="148"/>
      <c r="AF72" s="148"/>
      <c r="AG72" s="148"/>
      <c r="AH72" s="148"/>
      <c r="AU72" s="139"/>
      <c r="AV72" s="139"/>
    </row>
    <row r="73" spans="1:48" x14ac:dyDescent="0.2">
      <c r="A73" s="4">
        <f xml:space="preserve"> Basis!A73</f>
        <v>73</v>
      </c>
      <c r="C73" s="147">
        <v>0</v>
      </c>
      <c r="D73" s="147">
        <v>0</v>
      </c>
      <c r="H73" s="147">
        <v>1.46E-2</v>
      </c>
      <c r="I73" s="147">
        <v>8.5800000000000008E-3</v>
      </c>
      <c r="K73" s="147">
        <v>1.4126E-2</v>
      </c>
      <c r="L73" s="147">
        <v>8.4799999999999997E-3</v>
      </c>
      <c r="N73" s="147">
        <v>1.3887999999999999E-2</v>
      </c>
      <c r="O73" s="147">
        <v>8.3569999999999998E-3</v>
      </c>
      <c r="Q73" s="147">
        <v>1.3823E-2</v>
      </c>
      <c r="R73" s="147">
        <v>8.2400000000000008E-3</v>
      </c>
      <c r="T73" s="147">
        <v>1.3674E-2</v>
      </c>
      <c r="U73" s="147">
        <v>8.175E-3</v>
      </c>
      <c r="W73" s="148"/>
      <c r="X73" s="148"/>
      <c r="Y73" s="148"/>
      <c r="Z73" s="148"/>
      <c r="AA73" s="148"/>
      <c r="AB73" s="148"/>
      <c r="AC73" s="148"/>
      <c r="AD73" s="148"/>
      <c r="AE73" s="148"/>
      <c r="AF73" s="148"/>
      <c r="AG73" s="148"/>
      <c r="AH73" s="148"/>
      <c r="AU73" s="139"/>
      <c r="AV73" s="139"/>
    </row>
    <row r="74" spans="1:48" x14ac:dyDescent="0.2">
      <c r="A74" s="4">
        <f xml:space="preserve"> Basis!A74</f>
        <v>74</v>
      </c>
      <c r="C74" s="147">
        <v>0</v>
      </c>
      <c r="D74" s="147">
        <v>0</v>
      </c>
      <c r="H74" s="147">
        <v>1.6539999999999999E-2</v>
      </c>
      <c r="I74" s="147">
        <v>9.7400000000000004E-3</v>
      </c>
      <c r="K74" s="147">
        <v>1.5966000000000001E-2</v>
      </c>
      <c r="L74" s="147">
        <v>9.5919999999999998E-3</v>
      </c>
      <c r="N74" s="147">
        <v>1.5685000000000001E-2</v>
      </c>
      <c r="O74" s="147">
        <v>9.4269999999999996E-3</v>
      </c>
      <c r="Q74" s="147">
        <v>1.5546000000000001E-2</v>
      </c>
      <c r="R74" s="147">
        <v>9.2700000000000005E-3</v>
      </c>
      <c r="T74" s="147">
        <v>1.5323E-2</v>
      </c>
      <c r="U74" s="147">
        <v>9.1540000000000007E-3</v>
      </c>
      <c r="W74" s="148"/>
      <c r="X74" s="148"/>
      <c r="Y74" s="148"/>
      <c r="Z74" s="148"/>
      <c r="AA74" s="148"/>
      <c r="AB74" s="148"/>
      <c r="AC74" s="148"/>
      <c r="AD74" s="148"/>
      <c r="AE74" s="148"/>
      <c r="AF74" s="148"/>
      <c r="AG74" s="148"/>
      <c r="AH74" s="148"/>
      <c r="AU74" s="139"/>
      <c r="AV74" s="139"/>
    </row>
    <row r="75" spans="1:48" x14ac:dyDescent="0.2">
      <c r="A75" s="4">
        <f xml:space="preserve"> Basis!A75</f>
        <v>75</v>
      </c>
      <c r="C75" s="147">
        <v>0</v>
      </c>
      <c r="D75" s="147">
        <v>0</v>
      </c>
      <c r="H75" s="147">
        <v>1.8790000000000001E-2</v>
      </c>
      <c r="I75" s="147">
        <v>1.12E-2</v>
      </c>
      <c r="K75" s="147">
        <v>1.8124000000000001E-2</v>
      </c>
      <c r="L75" s="147">
        <v>1.093E-2</v>
      </c>
      <c r="N75" s="147">
        <v>1.7809999999999999E-2</v>
      </c>
      <c r="O75" s="147">
        <v>1.0718E-2</v>
      </c>
      <c r="Q75" s="147">
        <v>1.7586999999999998E-2</v>
      </c>
      <c r="R75" s="147">
        <v>1.0522999999999999E-2</v>
      </c>
      <c r="T75" s="147">
        <v>1.7276E-2</v>
      </c>
      <c r="U75" s="147">
        <v>1.0351000000000001E-2</v>
      </c>
      <c r="W75" s="148"/>
      <c r="X75" s="148"/>
      <c r="Y75" s="148"/>
      <c r="Z75" s="148"/>
      <c r="AA75" s="148"/>
      <c r="AB75" s="148"/>
      <c r="AC75" s="148"/>
      <c r="AD75" s="148"/>
      <c r="AE75" s="148"/>
      <c r="AF75" s="148"/>
      <c r="AG75" s="148"/>
      <c r="AH75" s="148"/>
      <c r="AU75" s="139"/>
      <c r="AV75" s="139"/>
    </row>
    <row r="76" spans="1:48" x14ac:dyDescent="0.2">
      <c r="A76" s="4">
        <f xml:space="preserve"> Basis!A76</f>
        <v>76</v>
      </c>
      <c r="C76" s="147">
        <v>0</v>
      </c>
      <c r="D76" s="147">
        <v>0</v>
      </c>
      <c r="H76" s="147">
        <v>2.164E-2</v>
      </c>
      <c r="I76" s="147">
        <v>1.295E-2</v>
      </c>
      <c r="K76" s="147">
        <v>2.0836E-2</v>
      </c>
      <c r="L76" s="147">
        <v>1.2553E-2</v>
      </c>
      <c r="N76" s="147">
        <v>2.0295000000000001E-2</v>
      </c>
      <c r="O76" s="147">
        <v>1.2267999999999999E-2</v>
      </c>
      <c r="Q76" s="147">
        <v>1.9987000000000001E-2</v>
      </c>
      <c r="R76" s="147">
        <v>1.2036E-2</v>
      </c>
      <c r="T76" s="147">
        <v>1.9578000000000002E-2</v>
      </c>
      <c r="U76" s="147">
        <v>1.1808000000000001E-2</v>
      </c>
      <c r="W76" s="148"/>
      <c r="X76" s="148"/>
      <c r="Y76" s="148"/>
      <c r="Z76" s="148"/>
      <c r="AA76" s="148"/>
      <c r="AB76" s="148"/>
      <c r="AC76" s="148"/>
      <c r="AD76" s="148"/>
      <c r="AE76" s="148"/>
      <c r="AF76" s="148"/>
      <c r="AG76" s="148"/>
      <c r="AH76" s="148"/>
      <c r="AU76" s="139"/>
      <c r="AV76" s="139"/>
    </row>
    <row r="77" spans="1:48" x14ac:dyDescent="0.2">
      <c r="A77" s="4">
        <f xml:space="preserve"> Basis!A77</f>
        <v>77</v>
      </c>
      <c r="C77" s="147">
        <v>0</v>
      </c>
      <c r="D77" s="147">
        <v>0</v>
      </c>
      <c r="H77" s="147">
        <v>2.487E-2</v>
      </c>
      <c r="I77" s="147">
        <v>1.503E-2</v>
      </c>
      <c r="K77" s="147">
        <v>2.3966000000000001E-2</v>
      </c>
      <c r="L77" s="147">
        <v>1.4557E-2</v>
      </c>
      <c r="N77" s="147">
        <v>2.3417E-2</v>
      </c>
      <c r="O77" s="147">
        <v>1.4178E-2</v>
      </c>
      <c r="Q77" s="147">
        <v>2.2790000000000001E-2</v>
      </c>
      <c r="R77" s="147">
        <v>1.3901999999999999E-2</v>
      </c>
      <c r="T77" s="147">
        <v>2.2280000000000001E-2</v>
      </c>
      <c r="U77" s="147">
        <v>1.3571E-2</v>
      </c>
      <c r="W77" s="148"/>
      <c r="X77" s="148"/>
      <c r="Y77" s="148"/>
      <c r="Z77" s="148"/>
      <c r="AA77" s="148"/>
      <c r="AB77" s="148"/>
      <c r="AC77" s="148"/>
      <c r="AD77" s="148"/>
      <c r="AE77" s="148"/>
      <c r="AF77" s="148"/>
      <c r="AG77" s="148"/>
      <c r="AH77" s="148"/>
      <c r="AU77" s="139"/>
      <c r="AV77" s="139"/>
    </row>
    <row r="78" spans="1:48" x14ac:dyDescent="0.2">
      <c r="A78" s="4">
        <f xml:space="preserve"> Basis!A78</f>
        <v>78</v>
      </c>
      <c r="C78" s="147">
        <v>0</v>
      </c>
      <c r="D78" s="147">
        <v>0</v>
      </c>
      <c r="H78" s="147">
        <v>2.86E-2</v>
      </c>
      <c r="I78" s="147">
        <v>1.7500000000000002E-2</v>
      </c>
      <c r="K78" s="147">
        <v>2.7588000000000001E-2</v>
      </c>
      <c r="L78" s="147">
        <v>1.6937000000000001E-2</v>
      </c>
      <c r="N78" s="147">
        <v>2.6974000000000001E-2</v>
      </c>
      <c r="O78" s="147">
        <v>1.6496E-2</v>
      </c>
      <c r="Q78" s="147">
        <v>2.6221000000000001E-2</v>
      </c>
      <c r="R78" s="147">
        <v>1.6184E-2</v>
      </c>
      <c r="T78" s="147">
        <v>2.5436E-2</v>
      </c>
      <c r="U78" s="147">
        <v>1.5730999999999998E-2</v>
      </c>
      <c r="W78" s="148"/>
      <c r="X78" s="148"/>
      <c r="Y78" s="148"/>
      <c r="Z78" s="148"/>
      <c r="AA78" s="148"/>
      <c r="AB78" s="148"/>
      <c r="AC78" s="148"/>
      <c r="AD78" s="148"/>
      <c r="AE78" s="148"/>
      <c r="AF78" s="148"/>
      <c r="AG78" s="148"/>
      <c r="AH78" s="148"/>
      <c r="AU78" s="139"/>
      <c r="AV78" s="139"/>
    </row>
    <row r="79" spans="1:48" x14ac:dyDescent="0.2">
      <c r="A79" s="4">
        <f xml:space="preserve"> Basis!A79</f>
        <v>79</v>
      </c>
      <c r="C79" s="147">
        <v>0</v>
      </c>
      <c r="D79" s="147">
        <v>0</v>
      </c>
      <c r="H79" s="147">
        <v>3.2870000000000003E-2</v>
      </c>
      <c r="I79" s="147">
        <v>2.0410000000000001E-2</v>
      </c>
      <c r="K79" s="147">
        <v>3.1761999999999999E-2</v>
      </c>
      <c r="L79" s="147">
        <v>1.9758000000000001E-2</v>
      </c>
      <c r="N79" s="147">
        <v>3.1071000000000001E-2</v>
      </c>
      <c r="O79" s="147">
        <v>1.9261E-2</v>
      </c>
      <c r="Q79" s="147">
        <v>3.0249999999999999E-2</v>
      </c>
      <c r="R79" s="147">
        <v>1.8914E-2</v>
      </c>
      <c r="T79" s="147">
        <v>2.9266E-2</v>
      </c>
      <c r="U79" s="147">
        <v>1.8395000000000002E-2</v>
      </c>
      <c r="W79" s="148"/>
      <c r="X79" s="148"/>
      <c r="Y79" s="148"/>
      <c r="Z79" s="148"/>
      <c r="AA79" s="148"/>
      <c r="AB79" s="148"/>
      <c r="AC79" s="148"/>
      <c r="AD79" s="148"/>
      <c r="AE79" s="148"/>
      <c r="AF79" s="148"/>
      <c r="AG79" s="148"/>
      <c r="AH79" s="148"/>
      <c r="AU79" s="139"/>
      <c r="AV79" s="139"/>
    </row>
    <row r="80" spans="1:48" x14ac:dyDescent="0.2">
      <c r="A80" s="4">
        <f xml:space="preserve"> Basis!A80</f>
        <v>80</v>
      </c>
      <c r="C80" s="147">
        <v>0</v>
      </c>
      <c r="D80" s="147">
        <v>0</v>
      </c>
      <c r="H80" s="147">
        <v>3.7769999999999998E-2</v>
      </c>
      <c r="I80" s="147">
        <v>2.384E-2</v>
      </c>
      <c r="K80" s="147">
        <v>3.6552000000000001E-2</v>
      </c>
      <c r="L80" s="147">
        <v>2.3095000000000001E-2</v>
      </c>
      <c r="N80" s="147">
        <v>3.5777999999999997E-2</v>
      </c>
      <c r="O80" s="147">
        <v>2.2558999999999999E-2</v>
      </c>
      <c r="Q80" s="147">
        <v>3.4925999999999999E-2</v>
      </c>
      <c r="R80" s="147">
        <v>2.2176999999999999E-2</v>
      </c>
      <c r="T80" s="147">
        <v>3.3798000000000002E-2</v>
      </c>
      <c r="U80" s="147">
        <v>2.1590999999999999E-2</v>
      </c>
      <c r="W80" s="148"/>
      <c r="X80" s="148"/>
      <c r="Y80" s="148"/>
      <c r="Z80" s="148"/>
      <c r="AA80" s="148"/>
      <c r="AB80" s="148"/>
      <c r="AC80" s="148"/>
      <c r="AD80" s="148"/>
      <c r="AE80" s="148"/>
      <c r="AF80" s="148"/>
      <c r="AG80" s="148"/>
      <c r="AH80" s="148"/>
      <c r="AU80" s="139"/>
      <c r="AV80" s="139"/>
    </row>
    <row r="81" spans="1:48" x14ac:dyDescent="0.2">
      <c r="A81" s="4">
        <f xml:space="preserve"> Basis!A81</f>
        <v>81</v>
      </c>
      <c r="C81" s="147">
        <v>0</v>
      </c>
      <c r="D81" s="147">
        <v>0</v>
      </c>
      <c r="H81" s="147">
        <v>4.3360000000000003E-2</v>
      </c>
      <c r="I81" s="147">
        <v>2.7890000000000002E-2</v>
      </c>
      <c r="K81" s="147">
        <v>4.2034000000000002E-2</v>
      </c>
      <c r="L81" s="147">
        <v>2.7036999999999999E-2</v>
      </c>
      <c r="N81" s="147">
        <v>4.1174000000000002E-2</v>
      </c>
      <c r="O81" s="147">
        <v>2.6481000000000001E-2</v>
      </c>
      <c r="Q81" s="147">
        <v>4.0339E-2</v>
      </c>
      <c r="R81" s="147">
        <v>2.6072999999999999E-2</v>
      </c>
      <c r="T81" s="147">
        <v>3.9054999999999999E-2</v>
      </c>
      <c r="U81" s="147">
        <v>2.5413999999999999E-2</v>
      </c>
      <c r="W81" s="148"/>
      <c r="X81" s="148"/>
      <c r="Y81" s="148"/>
      <c r="Z81" s="148"/>
      <c r="AA81" s="148"/>
      <c r="AB81" s="148"/>
      <c r="AC81" s="148"/>
      <c r="AD81" s="148"/>
      <c r="AE81" s="148"/>
      <c r="AF81" s="148"/>
      <c r="AG81" s="148"/>
      <c r="AH81" s="148"/>
      <c r="AU81" s="139"/>
      <c r="AV81" s="139"/>
    </row>
    <row r="82" spans="1:48" x14ac:dyDescent="0.2">
      <c r="A82" s="4">
        <f xml:space="preserve"> Basis!A82</f>
        <v>82</v>
      </c>
      <c r="C82" s="147">
        <v>0</v>
      </c>
      <c r="D82" s="147">
        <v>0</v>
      </c>
      <c r="H82" s="147">
        <v>4.9730000000000003E-2</v>
      </c>
      <c r="I82" s="147">
        <v>3.2649999999999998E-2</v>
      </c>
      <c r="K82" s="147">
        <v>4.8293000000000003E-2</v>
      </c>
      <c r="L82" s="147">
        <v>3.1684999999999998E-2</v>
      </c>
      <c r="N82" s="147">
        <v>4.7356000000000002E-2</v>
      </c>
      <c r="O82" s="147">
        <v>3.1130999999999999E-2</v>
      </c>
      <c r="Q82" s="147">
        <v>4.6574999999999998E-2</v>
      </c>
      <c r="R82" s="147">
        <v>3.0707999999999999E-2</v>
      </c>
      <c r="T82" s="147">
        <v>4.5130999999999998E-2</v>
      </c>
      <c r="U82" s="147">
        <v>2.9971000000000001E-2</v>
      </c>
      <c r="W82" s="148"/>
      <c r="X82" s="148"/>
      <c r="Y82" s="148"/>
      <c r="Z82" s="148"/>
      <c r="AA82" s="148"/>
      <c r="AB82" s="148"/>
      <c r="AC82" s="148"/>
      <c r="AD82" s="148"/>
      <c r="AE82" s="148"/>
      <c r="AF82" s="148"/>
      <c r="AG82" s="148"/>
      <c r="AH82" s="148"/>
      <c r="AU82" s="139"/>
      <c r="AV82" s="139"/>
    </row>
    <row r="83" spans="1:48" x14ac:dyDescent="0.2">
      <c r="A83" s="4">
        <f xml:space="preserve"> Basis!A83</f>
        <v>83</v>
      </c>
      <c r="C83" s="147">
        <v>0</v>
      </c>
      <c r="D83" s="147">
        <v>0</v>
      </c>
      <c r="H83" s="147">
        <v>5.697E-2</v>
      </c>
      <c r="I83" s="147">
        <v>3.8219999999999997E-2</v>
      </c>
      <c r="K83" s="147">
        <v>5.5420999999999998E-2</v>
      </c>
      <c r="L83" s="147">
        <v>3.7145999999999998E-2</v>
      </c>
      <c r="N83" s="147">
        <v>5.4427000000000003E-2</v>
      </c>
      <c r="O83" s="147">
        <v>3.6614000000000001E-2</v>
      </c>
      <c r="Q83" s="147">
        <v>5.3726999999999997E-2</v>
      </c>
      <c r="R83" s="147">
        <v>3.6194999999999998E-2</v>
      </c>
      <c r="T83" s="147">
        <v>5.2113E-2</v>
      </c>
      <c r="U83" s="147">
        <v>3.5372000000000001E-2</v>
      </c>
      <c r="W83" s="148"/>
      <c r="X83" s="148"/>
      <c r="Y83" s="148"/>
      <c r="Z83" s="148"/>
      <c r="AA83" s="148"/>
      <c r="AB83" s="148"/>
      <c r="AC83" s="148"/>
      <c r="AD83" s="148"/>
      <c r="AE83" s="148"/>
      <c r="AF83" s="148"/>
      <c r="AG83" s="148"/>
      <c r="AH83" s="148"/>
      <c r="AU83" s="139"/>
      <c r="AV83" s="139"/>
    </row>
    <row r="84" spans="1:48" x14ac:dyDescent="0.2">
      <c r="A84" s="4">
        <f xml:space="preserve"> Basis!A84</f>
        <v>84</v>
      </c>
      <c r="C84" s="147">
        <v>0</v>
      </c>
      <c r="D84" s="147">
        <v>0</v>
      </c>
      <c r="H84" s="147">
        <v>6.5180000000000002E-2</v>
      </c>
      <c r="I84" s="147">
        <v>4.471E-2</v>
      </c>
      <c r="K84" s="147">
        <v>6.3518000000000005E-2</v>
      </c>
      <c r="L84" s="147">
        <v>4.3534000000000003E-2</v>
      </c>
      <c r="N84" s="147">
        <v>6.25E-2</v>
      </c>
      <c r="O84" s="147">
        <v>4.3038E-2</v>
      </c>
      <c r="Q84" s="147">
        <v>6.1893999999999998E-2</v>
      </c>
      <c r="R84" s="147">
        <v>4.2643E-2</v>
      </c>
      <c r="T84" s="147">
        <v>6.0102000000000003E-2</v>
      </c>
      <c r="U84" s="147">
        <v>4.1729000000000002E-2</v>
      </c>
      <c r="W84" s="148"/>
      <c r="X84" s="148"/>
      <c r="Y84" s="148"/>
      <c r="Z84" s="148"/>
      <c r="AA84" s="148"/>
      <c r="AB84" s="148"/>
      <c r="AC84" s="148"/>
      <c r="AD84" s="148"/>
      <c r="AE84" s="148"/>
      <c r="AF84" s="148"/>
      <c r="AG84" s="148"/>
      <c r="AH84" s="148"/>
      <c r="AU84" s="139"/>
      <c r="AV84" s="139"/>
    </row>
    <row r="85" spans="1:48" x14ac:dyDescent="0.2">
      <c r="A85" s="4">
        <f xml:space="preserve"> Basis!A85</f>
        <v>85</v>
      </c>
      <c r="C85" s="147">
        <v>0</v>
      </c>
      <c r="D85" s="147">
        <v>0</v>
      </c>
      <c r="H85" s="147">
        <v>7.4450000000000002E-2</v>
      </c>
      <c r="I85" s="147">
        <v>5.2229999999999999E-2</v>
      </c>
      <c r="K85" s="147">
        <v>7.2683999999999999E-2</v>
      </c>
      <c r="L85" s="147">
        <v>5.0959999999999998E-2</v>
      </c>
      <c r="N85" s="147">
        <v>7.1681999999999996E-2</v>
      </c>
      <c r="O85" s="147">
        <v>5.0502999999999999E-2</v>
      </c>
      <c r="Q85" s="147">
        <v>7.1170999999999998E-2</v>
      </c>
      <c r="R85" s="147">
        <v>5.0157E-2</v>
      </c>
      <c r="T85" s="147">
        <v>6.9197999999999996E-2</v>
      </c>
      <c r="U85" s="147">
        <v>4.9151E-2</v>
      </c>
      <c r="W85" s="148"/>
      <c r="X85" s="148"/>
      <c r="Y85" s="148"/>
      <c r="Z85" s="148"/>
      <c r="AA85" s="148"/>
      <c r="AB85" s="148"/>
      <c r="AC85" s="148"/>
      <c r="AD85" s="148"/>
      <c r="AE85" s="148"/>
      <c r="AF85" s="148"/>
      <c r="AG85" s="148"/>
      <c r="AH85" s="148"/>
      <c r="AU85" s="139"/>
      <c r="AV85" s="139"/>
    </row>
    <row r="86" spans="1:48" x14ac:dyDescent="0.2">
      <c r="A86" s="4">
        <f xml:space="preserve"> Basis!A86</f>
        <v>86</v>
      </c>
      <c r="C86" s="147">
        <v>0</v>
      </c>
      <c r="D86" s="147">
        <v>0</v>
      </c>
      <c r="H86" s="147">
        <v>8.4900000000000003E-2</v>
      </c>
      <c r="I86" s="147">
        <v>6.087E-2</v>
      </c>
      <c r="K86" s="147">
        <v>8.3014000000000004E-2</v>
      </c>
      <c r="L86" s="147">
        <v>5.9521999999999999E-2</v>
      </c>
      <c r="N86" s="147">
        <v>8.2072999999999993E-2</v>
      </c>
      <c r="O86" s="147">
        <v>5.91E-2</v>
      </c>
      <c r="Q86" s="147">
        <v>8.1644999999999995E-2</v>
      </c>
      <c r="R86" s="147">
        <v>5.8827999999999998E-2</v>
      </c>
      <c r="T86" s="147">
        <v>7.9505999999999993E-2</v>
      </c>
      <c r="U86" s="147">
        <v>5.7736999999999997E-2</v>
      </c>
      <c r="W86" s="148"/>
      <c r="X86" s="148"/>
      <c r="Y86" s="148"/>
      <c r="Z86" s="148"/>
      <c r="AA86" s="148"/>
      <c r="AB86" s="148"/>
      <c r="AC86" s="148"/>
      <c r="AD86" s="148"/>
      <c r="AE86" s="148"/>
      <c r="AF86" s="148"/>
      <c r="AG86" s="148"/>
      <c r="AH86" s="148"/>
      <c r="AU86" s="139"/>
      <c r="AV86" s="139"/>
    </row>
    <row r="87" spans="1:48" x14ac:dyDescent="0.2">
      <c r="A87" s="4">
        <f xml:space="preserve"> Basis!A87</f>
        <v>87</v>
      </c>
      <c r="C87" s="147">
        <v>0</v>
      </c>
      <c r="D87" s="147">
        <v>0</v>
      </c>
      <c r="H87" s="147">
        <v>9.6600000000000005E-2</v>
      </c>
      <c r="I87" s="147">
        <v>7.0680000000000007E-2</v>
      </c>
      <c r="K87" s="147">
        <v>9.4591999999999996E-2</v>
      </c>
      <c r="L87" s="147">
        <v>6.9306000000000006E-2</v>
      </c>
      <c r="N87" s="147">
        <v>9.3747999999999998E-2</v>
      </c>
      <c r="O87" s="147">
        <v>6.8905999999999995E-2</v>
      </c>
      <c r="Q87" s="147">
        <v>9.3398999999999996E-2</v>
      </c>
      <c r="R87" s="147">
        <v>6.8732000000000001E-2</v>
      </c>
      <c r="T87" s="147">
        <v>9.1123999999999997E-2</v>
      </c>
      <c r="U87" s="147">
        <v>6.7569000000000004E-2</v>
      </c>
      <c r="W87" s="148"/>
      <c r="X87" s="148"/>
      <c r="Y87" s="148"/>
      <c r="Z87" s="148"/>
      <c r="AA87" s="148"/>
      <c r="AB87" s="148"/>
      <c r="AC87" s="148"/>
      <c r="AD87" s="148"/>
      <c r="AE87" s="148"/>
      <c r="AF87" s="148"/>
      <c r="AG87" s="148"/>
      <c r="AH87" s="148"/>
      <c r="AU87" s="139"/>
      <c r="AV87" s="139"/>
    </row>
    <row r="88" spans="1:48" x14ac:dyDescent="0.2">
      <c r="A88" s="4">
        <f xml:space="preserve"> Basis!A88</f>
        <v>88</v>
      </c>
      <c r="C88" s="147">
        <v>0</v>
      </c>
      <c r="D88" s="147">
        <v>0</v>
      </c>
      <c r="H88" s="147">
        <v>0.10964</v>
      </c>
      <c r="I88" s="147">
        <v>8.1049999999999997E-2</v>
      </c>
      <c r="K88" s="147">
        <v>0.107488</v>
      </c>
      <c r="L88" s="147">
        <v>8.0375000000000002E-2</v>
      </c>
      <c r="N88" s="147">
        <v>0.10676099999999999</v>
      </c>
      <c r="O88" s="147">
        <v>7.9977000000000006E-2</v>
      </c>
      <c r="Q88" s="147">
        <v>0.10649500000000001</v>
      </c>
      <c r="R88" s="147">
        <v>7.9926999999999998E-2</v>
      </c>
      <c r="T88" s="147">
        <v>0.104143</v>
      </c>
      <c r="U88" s="147">
        <v>7.8711000000000003E-2</v>
      </c>
      <c r="W88" s="148"/>
      <c r="X88" s="148"/>
      <c r="Y88" s="148"/>
      <c r="Z88" s="148"/>
      <c r="AA88" s="148"/>
      <c r="AB88" s="148"/>
      <c r="AC88" s="148"/>
      <c r="AD88" s="148"/>
      <c r="AE88" s="148"/>
      <c r="AF88" s="148"/>
      <c r="AG88" s="148"/>
      <c r="AH88" s="148"/>
      <c r="AU88" s="139"/>
      <c r="AV88" s="139"/>
    </row>
    <row r="89" spans="1:48" x14ac:dyDescent="0.2">
      <c r="A89" s="4">
        <f xml:space="preserve"> Basis!A89</f>
        <v>89</v>
      </c>
      <c r="C89" s="147">
        <v>0</v>
      </c>
      <c r="D89" s="147">
        <v>0</v>
      </c>
      <c r="H89" s="147">
        <v>0.12406</v>
      </c>
      <c r="I89" s="147">
        <v>9.2530000000000001E-2</v>
      </c>
      <c r="K89" s="147">
        <v>0.121742</v>
      </c>
      <c r="L89" s="147">
        <v>9.2530000000000001E-2</v>
      </c>
      <c r="N89" s="147">
        <v>0.12114</v>
      </c>
      <c r="O89" s="147">
        <v>9.2351000000000003E-2</v>
      </c>
      <c r="Q89" s="147">
        <v>0.120978</v>
      </c>
      <c r="R89" s="147">
        <v>9.2351000000000003E-2</v>
      </c>
      <c r="T89" s="147">
        <v>0.118631</v>
      </c>
      <c r="U89" s="147">
        <v>9.1205999999999995E-2</v>
      </c>
      <c r="W89" s="148"/>
      <c r="X89" s="148"/>
      <c r="Y89" s="148"/>
      <c r="Z89" s="148"/>
      <c r="AA89" s="148"/>
      <c r="AB89" s="148"/>
      <c r="AC89" s="148"/>
      <c r="AD89" s="148"/>
      <c r="AE89" s="148"/>
      <c r="AF89" s="148"/>
      <c r="AG89" s="148"/>
      <c r="AH89" s="148"/>
      <c r="AU89" s="139"/>
      <c r="AV89" s="139"/>
    </row>
    <row r="90" spans="1:48" x14ac:dyDescent="0.2">
      <c r="A90" s="4">
        <f xml:space="preserve"> Basis!A90</f>
        <v>90</v>
      </c>
      <c r="C90" s="147">
        <v>0</v>
      </c>
      <c r="D90" s="147">
        <v>0</v>
      </c>
      <c r="H90" s="147">
        <v>0.13985</v>
      </c>
      <c r="I90" s="147">
        <v>0.10536</v>
      </c>
      <c r="K90" s="147">
        <v>0.137351</v>
      </c>
      <c r="L90" s="147">
        <v>0.105361</v>
      </c>
      <c r="N90" s="147">
        <v>0.13686599999999999</v>
      </c>
      <c r="O90" s="147">
        <v>0.105361</v>
      </c>
      <c r="Q90" s="147">
        <v>0.13686400000000001</v>
      </c>
      <c r="R90" s="147">
        <v>0.105361</v>
      </c>
      <c r="T90" s="147">
        <v>0.13461899999999999</v>
      </c>
      <c r="U90" s="147">
        <v>0.105077</v>
      </c>
      <c r="W90" s="148"/>
      <c r="X90" s="148"/>
      <c r="Y90" s="148"/>
      <c r="Z90" s="148"/>
      <c r="AA90" s="148"/>
      <c r="AB90" s="148"/>
      <c r="AC90" s="148"/>
      <c r="AD90" s="148"/>
      <c r="AE90" s="148"/>
      <c r="AF90" s="148"/>
      <c r="AG90" s="148"/>
      <c r="AH90" s="148"/>
      <c r="AU90" s="139"/>
      <c r="AV90" s="139"/>
    </row>
    <row r="91" spans="1:48" x14ac:dyDescent="0.2">
      <c r="A91" s="4">
        <f xml:space="preserve"> Basis!A91</f>
        <v>91</v>
      </c>
      <c r="C91" s="147">
        <v>0</v>
      </c>
      <c r="D91" s="147">
        <v>0</v>
      </c>
      <c r="H91" s="147">
        <v>0.15694</v>
      </c>
      <c r="I91" s="147">
        <v>0.11955</v>
      </c>
      <c r="K91" s="147">
        <v>0.15427399999999999</v>
      </c>
      <c r="L91" s="147">
        <v>0.119551</v>
      </c>
      <c r="N91" s="147">
        <v>0.15388099999999999</v>
      </c>
      <c r="O91" s="147">
        <v>0.119551</v>
      </c>
      <c r="Q91" s="147">
        <v>0.15388099999999999</v>
      </c>
      <c r="R91" s="147">
        <v>0.119551</v>
      </c>
      <c r="T91" s="147">
        <v>0.15210299999999999</v>
      </c>
      <c r="U91" s="147">
        <v>0.119551</v>
      </c>
      <c r="W91" s="148"/>
      <c r="X91" s="148"/>
      <c r="Y91" s="148"/>
      <c r="Z91" s="148"/>
      <c r="AA91" s="148"/>
      <c r="AB91" s="148"/>
      <c r="AC91" s="148"/>
      <c r="AD91" s="148"/>
      <c r="AE91" s="148"/>
      <c r="AF91" s="148"/>
      <c r="AG91" s="148"/>
      <c r="AH91" s="148"/>
      <c r="AU91" s="139"/>
      <c r="AV91" s="139"/>
    </row>
    <row r="92" spans="1:48" x14ac:dyDescent="0.2">
      <c r="A92" s="4">
        <f xml:space="preserve"> Basis!A92</f>
        <v>92</v>
      </c>
      <c r="C92" s="147">
        <v>0</v>
      </c>
      <c r="D92" s="147">
        <v>0</v>
      </c>
      <c r="H92" s="147">
        <v>0.17519999999999999</v>
      </c>
      <c r="I92" s="147">
        <v>0.13506000000000001</v>
      </c>
      <c r="K92" s="147">
        <v>0.17241400000000001</v>
      </c>
      <c r="L92" s="147">
        <v>0.13506199999999999</v>
      </c>
      <c r="N92" s="147">
        <v>0.172074</v>
      </c>
      <c r="O92" s="147">
        <v>0.13506199999999999</v>
      </c>
      <c r="Q92" s="147">
        <v>0.172074</v>
      </c>
      <c r="R92" s="147">
        <v>0.13506199999999999</v>
      </c>
      <c r="T92" s="147">
        <v>0.17099700000000001</v>
      </c>
      <c r="U92" s="147">
        <v>0.13506199999999999</v>
      </c>
      <c r="W92" s="148"/>
      <c r="X92" s="148"/>
      <c r="Y92" s="148"/>
      <c r="Z92" s="148"/>
      <c r="AA92" s="148"/>
      <c r="AB92" s="148"/>
      <c r="AC92" s="148"/>
      <c r="AD92" s="148"/>
      <c r="AE92" s="148"/>
      <c r="AF92" s="148"/>
      <c r="AG92" s="148"/>
      <c r="AH92" s="148"/>
      <c r="AU92" s="139"/>
      <c r="AV92" s="139"/>
    </row>
    <row r="93" spans="1:48" x14ac:dyDescent="0.2">
      <c r="A93" s="4">
        <f xml:space="preserve"> Basis!A93</f>
        <v>93</v>
      </c>
      <c r="C93" s="147">
        <v>0</v>
      </c>
      <c r="D93" s="147">
        <v>0</v>
      </c>
      <c r="H93" s="147">
        <v>0.19478000000000001</v>
      </c>
      <c r="I93" s="147">
        <v>0.15179999999999999</v>
      </c>
      <c r="K93" s="147">
        <v>0.19165399999999999</v>
      </c>
      <c r="L93" s="147">
        <v>0.151809</v>
      </c>
      <c r="N93" s="147">
        <v>0.19128400000000001</v>
      </c>
      <c r="O93" s="147">
        <v>0.151809</v>
      </c>
      <c r="Q93" s="147">
        <v>0.19128400000000001</v>
      </c>
      <c r="R93" s="147">
        <v>0.151809</v>
      </c>
      <c r="T93" s="147">
        <v>0.191134</v>
      </c>
      <c r="U93" s="147">
        <v>0.151809</v>
      </c>
      <c r="W93" s="148"/>
      <c r="X93" s="148"/>
      <c r="Y93" s="148"/>
      <c r="Z93" s="148"/>
      <c r="AA93" s="148"/>
      <c r="AB93" s="148"/>
      <c r="AC93" s="148"/>
      <c r="AD93" s="148"/>
      <c r="AE93" s="148"/>
      <c r="AF93" s="148"/>
      <c r="AG93" s="148"/>
      <c r="AH93" s="148"/>
      <c r="AU93" s="139"/>
      <c r="AV93" s="139"/>
    </row>
    <row r="94" spans="1:48" x14ac:dyDescent="0.2">
      <c r="A94" s="4">
        <f xml:space="preserve"> Basis!A94</f>
        <v>94</v>
      </c>
      <c r="C94" s="147">
        <v>0</v>
      </c>
      <c r="D94" s="147">
        <v>0</v>
      </c>
      <c r="H94" s="147">
        <v>0.21534</v>
      </c>
      <c r="I94" s="147">
        <v>0.16968</v>
      </c>
      <c r="K94" s="147">
        <v>0.21180099999999999</v>
      </c>
      <c r="L94" s="147">
        <v>0.169682</v>
      </c>
      <c r="N94" s="147">
        <v>0.21135399999999999</v>
      </c>
      <c r="O94" s="147">
        <v>0.169682</v>
      </c>
      <c r="Q94" s="147">
        <v>0.21135399999999999</v>
      </c>
      <c r="R94" s="147">
        <v>0.169682</v>
      </c>
      <c r="T94" s="147">
        <v>0.21135399999999999</v>
      </c>
      <c r="U94" s="147">
        <v>0.169682</v>
      </c>
      <c r="W94" s="148"/>
      <c r="X94" s="148"/>
      <c r="Y94" s="148"/>
      <c r="Z94" s="148"/>
      <c r="AA94" s="148"/>
      <c r="AB94" s="148"/>
      <c r="AC94" s="148"/>
      <c r="AD94" s="148"/>
      <c r="AE94" s="148"/>
      <c r="AF94" s="148"/>
      <c r="AG94" s="148"/>
      <c r="AH94" s="148"/>
      <c r="AU94" s="139"/>
      <c r="AV94" s="139"/>
    </row>
    <row r="95" spans="1:48" x14ac:dyDescent="0.2">
      <c r="A95" s="4">
        <f xml:space="preserve"> Basis!A95</f>
        <v>95</v>
      </c>
      <c r="C95" s="147">
        <v>0</v>
      </c>
      <c r="D95" s="147">
        <v>0</v>
      </c>
      <c r="H95" s="147">
        <v>0.23487</v>
      </c>
      <c r="I95" s="147">
        <v>0.18853</v>
      </c>
      <c r="K95" s="147">
        <v>0.232541</v>
      </c>
      <c r="L95" s="147">
        <v>0.18853600000000001</v>
      </c>
      <c r="N95" s="147">
        <v>0.23203199999999999</v>
      </c>
      <c r="O95" s="147">
        <v>0.18853600000000001</v>
      </c>
      <c r="Q95" s="147">
        <v>0.23203199999999999</v>
      </c>
      <c r="R95" s="147">
        <v>0.18853600000000001</v>
      </c>
      <c r="T95" s="147">
        <v>0.23203199999999999</v>
      </c>
      <c r="U95" s="147">
        <v>0.18853600000000001</v>
      </c>
      <c r="W95" s="148"/>
      <c r="X95" s="148"/>
      <c r="Y95" s="148"/>
      <c r="Z95" s="148"/>
      <c r="AA95" s="148"/>
      <c r="AB95" s="148"/>
      <c r="AC95" s="148"/>
      <c r="AD95" s="148"/>
      <c r="AE95" s="148"/>
      <c r="AF95" s="148"/>
      <c r="AG95" s="148"/>
      <c r="AH95" s="148"/>
      <c r="AU95" s="139"/>
      <c r="AV95" s="139"/>
    </row>
    <row r="96" spans="1:48" x14ac:dyDescent="0.2">
      <c r="A96" s="4">
        <f xml:space="preserve"> Basis!A96</f>
        <v>96</v>
      </c>
      <c r="C96" s="147">
        <v>0</v>
      </c>
      <c r="D96" s="147">
        <v>0</v>
      </c>
      <c r="H96" s="147">
        <v>0.24324999999999999</v>
      </c>
      <c r="I96" s="147">
        <v>0.2082</v>
      </c>
      <c r="K96" s="147">
        <v>0.24324999999999999</v>
      </c>
      <c r="L96" s="147">
        <v>0.208205</v>
      </c>
      <c r="N96" s="147">
        <v>0.24324999999999999</v>
      </c>
      <c r="O96" s="147">
        <v>0.208205</v>
      </c>
      <c r="Q96" s="147">
        <v>0.24324999999999999</v>
      </c>
      <c r="R96" s="147">
        <v>0.208205</v>
      </c>
      <c r="T96" s="147">
        <v>0.24324999999999999</v>
      </c>
      <c r="U96" s="147">
        <v>0.208205</v>
      </c>
      <c r="W96" s="148"/>
      <c r="X96" s="148"/>
      <c r="Y96" s="148"/>
      <c r="Z96" s="148"/>
      <c r="AA96" s="148"/>
      <c r="AB96" s="148"/>
      <c r="AC96" s="148"/>
      <c r="AD96" s="148"/>
      <c r="AE96" s="148"/>
      <c r="AF96" s="148"/>
      <c r="AG96" s="148"/>
      <c r="AH96" s="148"/>
      <c r="AU96" s="139"/>
      <c r="AV96" s="139"/>
    </row>
    <row r="97" spans="1:48" x14ac:dyDescent="0.2">
      <c r="A97" s="4">
        <f xml:space="preserve"> Basis!A97</f>
        <v>97</v>
      </c>
      <c r="C97" s="147">
        <v>0</v>
      </c>
      <c r="D97" s="147">
        <v>0</v>
      </c>
      <c r="H97" s="147">
        <v>0.25129000000000001</v>
      </c>
      <c r="I97" s="147">
        <v>0.22850999999999999</v>
      </c>
      <c r="K97" s="147">
        <v>0.25129000000000001</v>
      </c>
      <c r="L97" s="147">
        <v>0.22851299999999999</v>
      </c>
      <c r="N97" s="147">
        <v>0.25129000000000001</v>
      </c>
      <c r="O97" s="147">
        <v>0.22851299999999999</v>
      </c>
      <c r="Q97" s="147">
        <v>0.25129000000000001</v>
      </c>
      <c r="R97" s="147">
        <v>0.22851299999999999</v>
      </c>
      <c r="T97" s="147">
        <v>0.25129000000000001</v>
      </c>
      <c r="U97" s="147">
        <v>0.22851299999999999</v>
      </c>
      <c r="W97" s="148"/>
      <c r="X97" s="148"/>
      <c r="Y97" s="148"/>
      <c r="Z97" s="148"/>
      <c r="AA97" s="148"/>
      <c r="AB97" s="148"/>
      <c r="AC97" s="148"/>
      <c r="AD97" s="148"/>
      <c r="AE97" s="148"/>
      <c r="AF97" s="148"/>
      <c r="AG97" s="148"/>
      <c r="AH97" s="148"/>
      <c r="AU97" s="139"/>
      <c r="AV97" s="139"/>
    </row>
    <row r="98" spans="1:48" x14ac:dyDescent="0.2">
      <c r="A98" s="4">
        <f xml:space="preserve"> Basis!A98</f>
        <v>98</v>
      </c>
      <c r="C98" s="147">
        <v>0</v>
      </c>
      <c r="D98" s="147">
        <v>0</v>
      </c>
      <c r="H98" s="147">
        <v>0.25896000000000002</v>
      </c>
      <c r="I98" s="147">
        <v>0.24923000000000001</v>
      </c>
      <c r="K98" s="147">
        <v>0.25896000000000002</v>
      </c>
      <c r="L98" s="147">
        <v>0.24923000000000001</v>
      </c>
      <c r="N98" s="147">
        <v>0.25896000000000002</v>
      </c>
      <c r="O98" s="147">
        <v>0.24923000000000001</v>
      </c>
      <c r="Q98" s="147">
        <v>0.25896000000000002</v>
      </c>
      <c r="R98" s="147">
        <v>0.24923000000000001</v>
      </c>
      <c r="T98" s="147">
        <v>0.25896000000000002</v>
      </c>
      <c r="U98" s="147">
        <v>0.24923000000000001</v>
      </c>
      <c r="W98" s="148"/>
      <c r="X98" s="148"/>
      <c r="Y98" s="148"/>
      <c r="Z98" s="148"/>
      <c r="AA98" s="148"/>
      <c r="AB98" s="148"/>
      <c r="AC98" s="148"/>
      <c r="AD98" s="148"/>
      <c r="AE98" s="148"/>
      <c r="AF98" s="148"/>
      <c r="AG98" s="148"/>
      <c r="AH98" s="148"/>
      <c r="AU98" s="139"/>
      <c r="AV98" s="139"/>
    </row>
    <row r="99" spans="1:48" x14ac:dyDescent="0.2">
      <c r="A99" s="4">
        <f xml:space="preserve"> Basis!A99</f>
        <v>99</v>
      </c>
      <c r="C99" s="147">
        <v>0</v>
      </c>
      <c r="D99" s="147">
        <v>0</v>
      </c>
      <c r="H99" s="147">
        <v>0.26621</v>
      </c>
      <c r="I99" s="147">
        <v>0.25845000000000001</v>
      </c>
      <c r="K99" s="147">
        <v>0.26621</v>
      </c>
      <c r="L99" s="147">
        <v>0.25845000000000001</v>
      </c>
      <c r="N99" s="147">
        <v>0.26621</v>
      </c>
      <c r="O99" s="147">
        <v>0.25845000000000001</v>
      </c>
      <c r="Q99" s="147">
        <v>0.26621</v>
      </c>
      <c r="R99" s="147">
        <v>0.25845000000000001</v>
      </c>
      <c r="T99" s="147">
        <v>0.26621</v>
      </c>
      <c r="U99" s="147">
        <v>0.25845000000000001</v>
      </c>
      <c r="W99" s="148"/>
      <c r="X99" s="148"/>
      <c r="Y99" s="148"/>
      <c r="Z99" s="148"/>
      <c r="AA99" s="148"/>
      <c r="AB99" s="148"/>
      <c r="AC99" s="148"/>
      <c r="AD99" s="148"/>
      <c r="AE99" s="148"/>
      <c r="AF99" s="148"/>
      <c r="AG99" s="148"/>
      <c r="AH99" s="148"/>
      <c r="AU99" s="139"/>
      <c r="AV99" s="139"/>
    </row>
    <row r="100" spans="1:48" x14ac:dyDescent="0.2">
      <c r="A100" s="4">
        <f xml:space="preserve"> Basis!A100</f>
        <v>100</v>
      </c>
      <c r="C100" s="147">
        <v>0</v>
      </c>
      <c r="D100" s="147">
        <v>0</v>
      </c>
      <c r="H100" s="147">
        <v>0.27301999999999998</v>
      </c>
      <c r="I100" s="147">
        <v>0.26297999999999999</v>
      </c>
      <c r="K100" s="147">
        <v>0.27301999999999998</v>
      </c>
      <c r="L100" s="147">
        <v>0.26297999999999999</v>
      </c>
      <c r="N100" s="147">
        <v>0.27301999999999998</v>
      </c>
      <c r="O100" s="147">
        <v>0.26297999999999999</v>
      </c>
      <c r="Q100" s="147">
        <v>0.27301999999999998</v>
      </c>
      <c r="R100" s="147">
        <v>0.26297999999999999</v>
      </c>
      <c r="T100" s="147">
        <v>0.27301999999999998</v>
      </c>
      <c r="U100" s="147">
        <v>0.26297999999999999</v>
      </c>
      <c r="W100" s="148"/>
      <c r="X100" s="148"/>
      <c r="Y100" s="148"/>
      <c r="Z100" s="148"/>
      <c r="AA100" s="148"/>
      <c r="AB100" s="148"/>
      <c r="AC100" s="148"/>
      <c r="AD100" s="148"/>
      <c r="AE100" s="148"/>
      <c r="AF100" s="148"/>
      <c r="AG100" s="148"/>
      <c r="AH100" s="148"/>
    </row>
    <row r="101" spans="1:48" x14ac:dyDescent="0.2">
      <c r="A101" s="4">
        <f xml:space="preserve"> Basis!A101</f>
        <v>101</v>
      </c>
      <c r="C101" s="147">
        <v>0</v>
      </c>
      <c r="D101" s="147">
        <v>0</v>
      </c>
      <c r="H101" s="147">
        <v>0.27933999999999998</v>
      </c>
      <c r="I101" s="147">
        <v>0.26811000000000001</v>
      </c>
      <c r="K101" s="147">
        <v>0.27933999999999998</v>
      </c>
      <c r="L101" s="147">
        <v>0.26811000000000001</v>
      </c>
      <c r="N101" s="147">
        <v>0.27933999999999998</v>
      </c>
      <c r="O101" s="147">
        <v>0.26811000000000001</v>
      </c>
      <c r="Q101" s="147">
        <v>0.27933999999999998</v>
      </c>
      <c r="R101" s="147">
        <v>0.26811000000000001</v>
      </c>
      <c r="T101" s="147">
        <v>0.27933999999999998</v>
      </c>
      <c r="U101" s="147">
        <v>0.26811000000000001</v>
      </c>
      <c r="W101" s="148"/>
      <c r="X101" s="148"/>
      <c r="Y101" s="148"/>
      <c r="Z101" s="148"/>
      <c r="AA101" s="148"/>
      <c r="AB101" s="148"/>
      <c r="AC101" s="148"/>
      <c r="AD101" s="148"/>
      <c r="AE101" s="148"/>
      <c r="AF101" s="148"/>
      <c r="AG101" s="148"/>
      <c r="AH101" s="148"/>
    </row>
    <row r="102" spans="1:48" x14ac:dyDescent="0.2">
      <c r="A102" s="4">
        <f xml:space="preserve"> Basis!A102</f>
        <v>102</v>
      </c>
      <c r="C102" s="147">
        <v>0</v>
      </c>
      <c r="D102" s="147">
        <v>0</v>
      </c>
      <c r="H102" s="147">
        <v>0.28514</v>
      </c>
      <c r="I102" s="147">
        <v>0.27288000000000001</v>
      </c>
      <c r="K102" s="147">
        <v>0.28514</v>
      </c>
      <c r="L102" s="147">
        <v>0.27288000000000001</v>
      </c>
      <c r="N102" s="147">
        <v>0.28514</v>
      </c>
      <c r="O102" s="147">
        <v>0.27288000000000001</v>
      </c>
      <c r="Q102" s="147">
        <v>0.28514</v>
      </c>
      <c r="R102" s="147">
        <v>0.27288000000000001</v>
      </c>
      <c r="T102" s="147">
        <v>0.28514</v>
      </c>
      <c r="U102" s="147">
        <v>0.27288000000000001</v>
      </c>
      <c r="W102" s="148"/>
      <c r="X102" s="148"/>
      <c r="Y102" s="148"/>
      <c r="Z102" s="148"/>
      <c r="AA102" s="148"/>
      <c r="AB102" s="148"/>
      <c r="AC102" s="148"/>
      <c r="AD102" s="148"/>
      <c r="AE102" s="148"/>
      <c r="AF102" s="148"/>
      <c r="AG102" s="148"/>
      <c r="AH102" s="148"/>
    </row>
    <row r="103" spans="1:48" x14ac:dyDescent="0.2">
      <c r="A103" s="4">
        <f xml:space="preserve"> Basis!A103</f>
        <v>103</v>
      </c>
      <c r="C103" s="147">
        <v>0</v>
      </c>
      <c r="D103" s="147">
        <v>0</v>
      </c>
      <c r="H103" s="149">
        <f t="shared" ref="H103:I120" si="1" xml:space="preserve"> MIN( 1, TREND( H$98:H$102, $A$98:$A$102, $A103 ) )</f>
        <v>0.29218099999999991</v>
      </c>
      <c r="I103" s="149">
        <f t="shared" si="1"/>
        <v>0.279418</v>
      </c>
      <c r="K103" s="149">
        <f t="shared" ref="K103:L120" si="2" xml:space="preserve"> MIN( 1, TREND( K$98:K$102, $A$98:$A$102, $A103 ) )</f>
        <v>0.29218099999999991</v>
      </c>
      <c r="L103" s="149">
        <f t="shared" si="2"/>
        <v>0.279418</v>
      </c>
      <c r="N103" s="149">
        <f t="shared" ref="N103:O120" si="3" xml:space="preserve"> MIN( 1, TREND( N$98:N$102, $A$98:$A$102, $A103 ) )</f>
        <v>0.29218099999999991</v>
      </c>
      <c r="O103" s="149">
        <f t="shared" si="3"/>
        <v>0.279418</v>
      </c>
      <c r="Q103" s="149">
        <f t="shared" ref="Q103:R120" si="4" xml:space="preserve"> MIN( 1, TREND( Q$98:Q$102, $A$98:$A$102, $A103 ) )</f>
        <v>0.29218099999999991</v>
      </c>
      <c r="R103" s="149">
        <f t="shared" si="4"/>
        <v>0.279418</v>
      </c>
      <c r="T103" s="149">
        <f t="shared" ref="T103:U120" si="5" xml:space="preserve"> MIN( 1, TREND( T$98:T$102, $A$98:$A$102, $A103 ) )</f>
        <v>0.29218099999999991</v>
      </c>
      <c r="U103" s="149">
        <f t="shared" si="5"/>
        <v>0.279418</v>
      </c>
      <c r="W103" s="148"/>
      <c r="X103" s="148"/>
      <c r="Y103" s="148"/>
      <c r="Z103" s="148"/>
      <c r="AA103" s="148"/>
      <c r="AB103" s="148"/>
      <c r="AC103" s="148"/>
      <c r="AD103" s="148"/>
      <c r="AE103" s="148"/>
      <c r="AF103" s="148"/>
      <c r="AG103" s="148"/>
      <c r="AH103" s="148"/>
    </row>
    <row r="104" spans="1:48" x14ac:dyDescent="0.2">
      <c r="A104" s="4">
        <f xml:space="preserve"> Basis!A104</f>
        <v>104</v>
      </c>
      <c r="C104" s="147">
        <v>0</v>
      </c>
      <c r="D104" s="147">
        <v>0</v>
      </c>
      <c r="H104" s="149">
        <f t="shared" si="1"/>
        <v>0.29872999999999994</v>
      </c>
      <c r="I104" s="149">
        <f t="shared" si="1"/>
        <v>0.28511399999999992</v>
      </c>
      <c r="K104" s="149">
        <f t="shared" si="2"/>
        <v>0.29872999999999994</v>
      </c>
      <c r="L104" s="149">
        <f t="shared" si="2"/>
        <v>0.28511399999999992</v>
      </c>
      <c r="N104" s="149">
        <f t="shared" si="3"/>
        <v>0.29872999999999994</v>
      </c>
      <c r="O104" s="149">
        <f t="shared" si="3"/>
        <v>0.28511399999999992</v>
      </c>
      <c r="Q104" s="149">
        <f t="shared" si="4"/>
        <v>0.29872999999999994</v>
      </c>
      <c r="R104" s="149">
        <f t="shared" si="4"/>
        <v>0.28511399999999992</v>
      </c>
      <c r="T104" s="149">
        <f t="shared" si="5"/>
        <v>0.29872999999999994</v>
      </c>
      <c r="U104" s="149">
        <f t="shared" si="5"/>
        <v>0.28511399999999992</v>
      </c>
      <c r="W104" s="148"/>
      <c r="X104" s="148"/>
      <c r="Y104" s="148"/>
      <c r="Z104" s="148"/>
      <c r="AA104" s="148"/>
      <c r="AB104" s="148"/>
      <c r="AC104" s="148"/>
      <c r="AD104" s="148"/>
      <c r="AE104" s="148"/>
      <c r="AF104" s="148"/>
      <c r="AG104" s="148"/>
      <c r="AH104" s="148"/>
    </row>
    <row r="105" spans="1:48" x14ac:dyDescent="0.2">
      <c r="A105" s="4">
        <f xml:space="preserve"> Basis!A105</f>
        <v>105</v>
      </c>
      <c r="C105" s="147">
        <v>0</v>
      </c>
      <c r="D105" s="147">
        <v>0</v>
      </c>
      <c r="H105" s="149">
        <f t="shared" si="1"/>
        <v>0.30527899999999986</v>
      </c>
      <c r="I105" s="149">
        <f t="shared" si="1"/>
        <v>0.29080999999999996</v>
      </c>
      <c r="K105" s="149">
        <f t="shared" si="2"/>
        <v>0.30527899999999986</v>
      </c>
      <c r="L105" s="149">
        <f t="shared" si="2"/>
        <v>0.29080999999999996</v>
      </c>
      <c r="N105" s="149">
        <f t="shared" si="3"/>
        <v>0.30527899999999986</v>
      </c>
      <c r="O105" s="149">
        <f t="shared" si="3"/>
        <v>0.29080999999999996</v>
      </c>
      <c r="Q105" s="149">
        <f t="shared" si="4"/>
        <v>0.30527899999999986</v>
      </c>
      <c r="R105" s="149">
        <f t="shared" si="4"/>
        <v>0.29080999999999996</v>
      </c>
      <c r="T105" s="149">
        <f t="shared" si="5"/>
        <v>0.30527899999999986</v>
      </c>
      <c r="U105" s="149">
        <f t="shared" si="5"/>
        <v>0.29080999999999996</v>
      </c>
      <c r="W105" s="148"/>
      <c r="X105" s="148"/>
      <c r="Y105" s="148"/>
      <c r="Z105" s="148"/>
      <c r="AA105" s="148"/>
      <c r="AB105" s="148"/>
      <c r="AC105" s="148"/>
      <c r="AD105" s="148"/>
      <c r="AE105" s="148"/>
      <c r="AF105" s="148"/>
      <c r="AG105" s="148"/>
      <c r="AH105" s="148"/>
    </row>
    <row r="106" spans="1:48" x14ac:dyDescent="0.2">
      <c r="A106" s="4">
        <f xml:space="preserve"> Basis!A106</f>
        <v>106</v>
      </c>
      <c r="C106" s="147">
        <v>0</v>
      </c>
      <c r="D106" s="147">
        <v>0</v>
      </c>
      <c r="H106" s="149">
        <f t="shared" si="1"/>
        <v>0.31182799999999988</v>
      </c>
      <c r="I106" s="149">
        <f t="shared" si="1"/>
        <v>0.29650599999999999</v>
      </c>
      <c r="K106" s="149">
        <f t="shared" si="2"/>
        <v>0.31182799999999988</v>
      </c>
      <c r="L106" s="149">
        <f t="shared" si="2"/>
        <v>0.29650599999999999</v>
      </c>
      <c r="N106" s="149">
        <f t="shared" si="3"/>
        <v>0.31182799999999988</v>
      </c>
      <c r="O106" s="149">
        <f t="shared" si="3"/>
        <v>0.29650599999999999</v>
      </c>
      <c r="Q106" s="149">
        <f t="shared" si="4"/>
        <v>0.31182799999999988</v>
      </c>
      <c r="R106" s="149">
        <f t="shared" si="4"/>
        <v>0.29650599999999999</v>
      </c>
      <c r="T106" s="149">
        <f t="shared" si="5"/>
        <v>0.31182799999999988</v>
      </c>
      <c r="U106" s="149">
        <f t="shared" si="5"/>
        <v>0.29650599999999999</v>
      </c>
      <c r="W106" s="148"/>
      <c r="X106" s="148"/>
      <c r="Y106" s="148"/>
      <c r="Z106" s="148"/>
      <c r="AA106" s="148"/>
      <c r="AB106" s="148"/>
      <c r="AC106" s="148"/>
      <c r="AD106" s="148"/>
      <c r="AE106" s="148"/>
      <c r="AF106" s="148"/>
      <c r="AG106" s="148"/>
      <c r="AH106" s="148"/>
    </row>
    <row r="107" spans="1:48" x14ac:dyDescent="0.2">
      <c r="A107" s="4">
        <f xml:space="preserve"> Basis!A107</f>
        <v>107</v>
      </c>
      <c r="C107" s="147">
        <v>0</v>
      </c>
      <c r="D107" s="147">
        <v>0</v>
      </c>
      <c r="H107" s="149">
        <f t="shared" si="1"/>
        <v>0.31837699999999991</v>
      </c>
      <c r="I107" s="149">
        <f t="shared" si="1"/>
        <v>0.30220199999999992</v>
      </c>
      <c r="K107" s="149">
        <f t="shared" si="2"/>
        <v>0.31837699999999991</v>
      </c>
      <c r="L107" s="149">
        <f t="shared" si="2"/>
        <v>0.30220199999999992</v>
      </c>
      <c r="N107" s="149">
        <f t="shared" si="3"/>
        <v>0.31837699999999991</v>
      </c>
      <c r="O107" s="149">
        <f t="shared" si="3"/>
        <v>0.30220199999999992</v>
      </c>
      <c r="Q107" s="149">
        <f t="shared" si="4"/>
        <v>0.31837699999999991</v>
      </c>
      <c r="R107" s="149">
        <f t="shared" si="4"/>
        <v>0.30220199999999992</v>
      </c>
      <c r="T107" s="149">
        <f t="shared" si="5"/>
        <v>0.31837699999999991</v>
      </c>
      <c r="U107" s="149">
        <f t="shared" si="5"/>
        <v>0.30220199999999992</v>
      </c>
      <c r="W107" s="148"/>
      <c r="X107" s="148"/>
      <c r="Y107" s="148"/>
      <c r="Z107" s="148"/>
      <c r="AA107" s="148"/>
      <c r="AB107" s="148"/>
      <c r="AC107" s="148"/>
      <c r="AD107" s="148"/>
      <c r="AE107" s="148"/>
      <c r="AF107" s="148"/>
      <c r="AG107" s="148"/>
      <c r="AH107" s="148"/>
    </row>
    <row r="108" spans="1:48" x14ac:dyDescent="0.2">
      <c r="A108" s="4">
        <f xml:space="preserve"> Basis!A108</f>
        <v>108</v>
      </c>
      <c r="C108" s="147">
        <v>0</v>
      </c>
      <c r="D108" s="147">
        <v>0</v>
      </c>
      <c r="H108" s="149">
        <f t="shared" si="1"/>
        <v>0.32492599999999983</v>
      </c>
      <c r="I108" s="149">
        <f t="shared" si="1"/>
        <v>0.30789799999999995</v>
      </c>
      <c r="K108" s="149">
        <f t="shared" si="2"/>
        <v>0.32492599999999983</v>
      </c>
      <c r="L108" s="149">
        <f t="shared" si="2"/>
        <v>0.30789799999999995</v>
      </c>
      <c r="N108" s="149">
        <f t="shared" si="3"/>
        <v>0.32492599999999983</v>
      </c>
      <c r="O108" s="149">
        <f t="shared" si="3"/>
        <v>0.30789799999999995</v>
      </c>
      <c r="Q108" s="149">
        <f t="shared" si="4"/>
        <v>0.32492599999999983</v>
      </c>
      <c r="R108" s="149">
        <f t="shared" si="4"/>
        <v>0.30789799999999995</v>
      </c>
      <c r="T108" s="149">
        <f t="shared" si="5"/>
        <v>0.32492599999999983</v>
      </c>
      <c r="U108" s="149">
        <f t="shared" si="5"/>
        <v>0.30789799999999995</v>
      </c>
    </row>
    <row r="109" spans="1:48" x14ac:dyDescent="0.2">
      <c r="A109" s="4">
        <f xml:space="preserve"> Basis!A109</f>
        <v>109</v>
      </c>
      <c r="C109" s="147">
        <v>0</v>
      </c>
      <c r="D109" s="147">
        <v>0</v>
      </c>
      <c r="H109" s="149">
        <f t="shared" si="1"/>
        <v>0.33147499999999985</v>
      </c>
      <c r="I109" s="149">
        <f t="shared" si="1"/>
        <v>0.31359399999999998</v>
      </c>
      <c r="K109" s="149">
        <f t="shared" si="2"/>
        <v>0.33147499999999985</v>
      </c>
      <c r="L109" s="149">
        <f t="shared" si="2"/>
        <v>0.31359399999999998</v>
      </c>
      <c r="N109" s="149">
        <f t="shared" si="3"/>
        <v>0.33147499999999985</v>
      </c>
      <c r="O109" s="149">
        <f t="shared" si="3"/>
        <v>0.31359399999999998</v>
      </c>
      <c r="Q109" s="149">
        <f t="shared" si="4"/>
        <v>0.33147499999999985</v>
      </c>
      <c r="R109" s="149">
        <f t="shared" si="4"/>
        <v>0.31359399999999998</v>
      </c>
      <c r="T109" s="149">
        <f t="shared" si="5"/>
        <v>0.33147499999999985</v>
      </c>
      <c r="U109" s="149">
        <f t="shared" si="5"/>
        <v>0.31359399999999998</v>
      </c>
    </row>
    <row r="110" spans="1:48" x14ac:dyDescent="0.2">
      <c r="A110" s="4">
        <f xml:space="preserve"> Basis!A110</f>
        <v>110</v>
      </c>
      <c r="C110" s="147">
        <v>0</v>
      </c>
      <c r="D110" s="147">
        <v>0</v>
      </c>
      <c r="H110" s="149">
        <f t="shared" si="1"/>
        <v>0.33802399999999988</v>
      </c>
      <c r="I110" s="149">
        <f t="shared" si="1"/>
        <v>0.31928999999999991</v>
      </c>
      <c r="K110" s="149">
        <f t="shared" si="2"/>
        <v>0.33802399999999988</v>
      </c>
      <c r="L110" s="149">
        <f t="shared" si="2"/>
        <v>0.31928999999999991</v>
      </c>
      <c r="N110" s="149">
        <f t="shared" si="3"/>
        <v>0.33802399999999988</v>
      </c>
      <c r="O110" s="149">
        <f t="shared" si="3"/>
        <v>0.31928999999999991</v>
      </c>
      <c r="Q110" s="149">
        <f t="shared" si="4"/>
        <v>0.33802399999999988</v>
      </c>
      <c r="R110" s="149">
        <f t="shared" si="4"/>
        <v>0.31928999999999991</v>
      </c>
      <c r="T110" s="149">
        <f t="shared" si="5"/>
        <v>0.33802399999999988</v>
      </c>
      <c r="U110" s="149">
        <f t="shared" si="5"/>
        <v>0.31928999999999991</v>
      </c>
    </row>
    <row r="111" spans="1:48" x14ac:dyDescent="0.2">
      <c r="A111" s="4">
        <f xml:space="preserve"> Basis!A111</f>
        <v>111</v>
      </c>
      <c r="C111" s="147">
        <v>0</v>
      </c>
      <c r="D111" s="147">
        <v>0</v>
      </c>
      <c r="H111" s="149">
        <f t="shared" si="1"/>
        <v>0.3445729999999998</v>
      </c>
      <c r="I111" s="149">
        <f t="shared" si="1"/>
        <v>0.32498599999999994</v>
      </c>
      <c r="K111" s="149">
        <f t="shared" si="2"/>
        <v>0.3445729999999998</v>
      </c>
      <c r="L111" s="149">
        <f t="shared" si="2"/>
        <v>0.32498599999999994</v>
      </c>
      <c r="N111" s="149">
        <f t="shared" si="3"/>
        <v>0.3445729999999998</v>
      </c>
      <c r="O111" s="149">
        <f t="shared" si="3"/>
        <v>0.32498599999999994</v>
      </c>
      <c r="Q111" s="149">
        <f t="shared" si="4"/>
        <v>0.3445729999999998</v>
      </c>
      <c r="R111" s="149">
        <f t="shared" si="4"/>
        <v>0.32498599999999994</v>
      </c>
      <c r="T111" s="149">
        <f t="shared" si="5"/>
        <v>0.3445729999999998</v>
      </c>
      <c r="U111" s="149">
        <f t="shared" si="5"/>
        <v>0.32498599999999994</v>
      </c>
    </row>
    <row r="112" spans="1:48" x14ac:dyDescent="0.2">
      <c r="A112" s="4">
        <f xml:space="preserve"> Basis!A112</f>
        <v>112</v>
      </c>
      <c r="C112" s="147">
        <v>0</v>
      </c>
      <c r="D112" s="147">
        <v>0</v>
      </c>
      <c r="H112" s="149">
        <f t="shared" si="1"/>
        <v>0.35112199999999982</v>
      </c>
      <c r="I112" s="149">
        <f t="shared" si="1"/>
        <v>0.33068199999999998</v>
      </c>
      <c r="K112" s="149">
        <f t="shared" si="2"/>
        <v>0.35112199999999982</v>
      </c>
      <c r="L112" s="149">
        <f t="shared" si="2"/>
        <v>0.33068199999999998</v>
      </c>
      <c r="N112" s="149">
        <f t="shared" si="3"/>
        <v>0.35112199999999982</v>
      </c>
      <c r="O112" s="149">
        <f t="shared" si="3"/>
        <v>0.33068199999999998</v>
      </c>
      <c r="Q112" s="149">
        <f t="shared" si="4"/>
        <v>0.35112199999999982</v>
      </c>
      <c r="R112" s="149">
        <f t="shared" si="4"/>
        <v>0.33068199999999998</v>
      </c>
      <c r="T112" s="149">
        <f t="shared" si="5"/>
        <v>0.35112199999999982</v>
      </c>
      <c r="U112" s="149">
        <f t="shared" si="5"/>
        <v>0.33068199999999998</v>
      </c>
    </row>
    <row r="113" spans="1:21" x14ac:dyDescent="0.2">
      <c r="A113" s="4">
        <f xml:space="preserve"> Basis!A113</f>
        <v>113</v>
      </c>
      <c r="C113" s="147">
        <v>0</v>
      </c>
      <c r="D113" s="147">
        <v>0</v>
      </c>
      <c r="H113" s="149">
        <f t="shared" si="1"/>
        <v>0.35767099999999985</v>
      </c>
      <c r="I113" s="149">
        <f t="shared" si="1"/>
        <v>0.33637800000000001</v>
      </c>
      <c r="K113" s="149">
        <f t="shared" si="2"/>
        <v>0.35767099999999985</v>
      </c>
      <c r="L113" s="149">
        <f t="shared" si="2"/>
        <v>0.33637800000000001</v>
      </c>
      <c r="N113" s="149">
        <f t="shared" si="3"/>
        <v>0.35767099999999985</v>
      </c>
      <c r="O113" s="149">
        <f t="shared" si="3"/>
        <v>0.33637800000000001</v>
      </c>
      <c r="Q113" s="149">
        <f t="shared" si="4"/>
        <v>0.35767099999999985</v>
      </c>
      <c r="R113" s="149">
        <f t="shared" si="4"/>
        <v>0.33637800000000001</v>
      </c>
      <c r="T113" s="149">
        <f t="shared" si="5"/>
        <v>0.35767099999999985</v>
      </c>
      <c r="U113" s="149">
        <f t="shared" si="5"/>
        <v>0.33637800000000001</v>
      </c>
    </row>
    <row r="114" spans="1:21" x14ac:dyDescent="0.2">
      <c r="A114" s="4">
        <f xml:space="preserve"> Basis!A114</f>
        <v>114</v>
      </c>
      <c r="C114" s="147">
        <v>0</v>
      </c>
      <c r="D114" s="147">
        <v>0</v>
      </c>
      <c r="H114" s="149">
        <f t="shared" si="1"/>
        <v>0.36421999999999977</v>
      </c>
      <c r="I114" s="149">
        <f t="shared" si="1"/>
        <v>0.34207399999999993</v>
      </c>
      <c r="K114" s="149">
        <f t="shared" si="2"/>
        <v>0.36421999999999977</v>
      </c>
      <c r="L114" s="149">
        <f t="shared" si="2"/>
        <v>0.34207399999999993</v>
      </c>
      <c r="N114" s="149">
        <f t="shared" si="3"/>
        <v>0.36421999999999977</v>
      </c>
      <c r="O114" s="149">
        <f t="shared" si="3"/>
        <v>0.34207399999999993</v>
      </c>
      <c r="Q114" s="149">
        <f t="shared" si="4"/>
        <v>0.36421999999999977</v>
      </c>
      <c r="R114" s="149">
        <f t="shared" si="4"/>
        <v>0.34207399999999993</v>
      </c>
      <c r="T114" s="149">
        <f t="shared" si="5"/>
        <v>0.36421999999999977</v>
      </c>
      <c r="U114" s="149">
        <f t="shared" si="5"/>
        <v>0.34207399999999993</v>
      </c>
    </row>
    <row r="115" spans="1:21" x14ac:dyDescent="0.2">
      <c r="A115" s="4">
        <f xml:space="preserve"> Basis!A115</f>
        <v>115</v>
      </c>
      <c r="C115" s="147">
        <v>0</v>
      </c>
      <c r="D115" s="147">
        <v>0</v>
      </c>
      <c r="H115" s="149">
        <f t="shared" si="1"/>
        <v>0.37076899999999979</v>
      </c>
      <c r="I115" s="149">
        <f t="shared" si="1"/>
        <v>0.34776999999999997</v>
      </c>
      <c r="K115" s="149">
        <f t="shared" si="2"/>
        <v>0.37076899999999979</v>
      </c>
      <c r="L115" s="149">
        <f t="shared" si="2"/>
        <v>0.34776999999999997</v>
      </c>
      <c r="N115" s="149">
        <f t="shared" si="3"/>
        <v>0.37076899999999979</v>
      </c>
      <c r="O115" s="149">
        <f t="shared" si="3"/>
        <v>0.34776999999999997</v>
      </c>
      <c r="Q115" s="149">
        <f t="shared" si="4"/>
        <v>0.37076899999999979</v>
      </c>
      <c r="R115" s="149">
        <f t="shared" si="4"/>
        <v>0.34776999999999997</v>
      </c>
      <c r="T115" s="149">
        <f t="shared" si="5"/>
        <v>0.37076899999999979</v>
      </c>
      <c r="U115" s="149">
        <f t="shared" si="5"/>
        <v>0.34776999999999997</v>
      </c>
    </row>
    <row r="116" spans="1:21" x14ac:dyDescent="0.2">
      <c r="A116" s="4">
        <f xml:space="preserve"> Basis!A116</f>
        <v>116</v>
      </c>
      <c r="C116" s="147">
        <v>0</v>
      </c>
      <c r="D116" s="147">
        <v>0</v>
      </c>
      <c r="H116" s="149">
        <f t="shared" si="1"/>
        <v>0.37731799999999982</v>
      </c>
      <c r="I116" s="149">
        <f t="shared" si="1"/>
        <v>0.353466</v>
      </c>
      <c r="K116" s="149">
        <f t="shared" si="2"/>
        <v>0.37731799999999982</v>
      </c>
      <c r="L116" s="149">
        <f t="shared" si="2"/>
        <v>0.353466</v>
      </c>
      <c r="N116" s="149">
        <f t="shared" si="3"/>
        <v>0.37731799999999982</v>
      </c>
      <c r="O116" s="149">
        <f t="shared" si="3"/>
        <v>0.353466</v>
      </c>
      <c r="Q116" s="149">
        <f t="shared" si="4"/>
        <v>0.37731799999999982</v>
      </c>
      <c r="R116" s="149">
        <f t="shared" si="4"/>
        <v>0.353466</v>
      </c>
      <c r="T116" s="149">
        <f t="shared" si="5"/>
        <v>0.37731799999999982</v>
      </c>
      <c r="U116" s="149">
        <f t="shared" si="5"/>
        <v>0.353466</v>
      </c>
    </row>
    <row r="117" spans="1:21" x14ac:dyDescent="0.2">
      <c r="A117" s="4">
        <f xml:space="preserve"> Basis!A117</f>
        <v>117</v>
      </c>
      <c r="C117" s="147">
        <v>0</v>
      </c>
      <c r="D117" s="147">
        <v>0</v>
      </c>
      <c r="H117" s="149">
        <f t="shared" si="1"/>
        <v>0.38386699999999974</v>
      </c>
      <c r="I117" s="149">
        <f t="shared" si="1"/>
        <v>0.35916199999999993</v>
      </c>
      <c r="K117" s="149">
        <f t="shared" si="2"/>
        <v>0.38386699999999974</v>
      </c>
      <c r="L117" s="149">
        <f t="shared" si="2"/>
        <v>0.35916199999999993</v>
      </c>
      <c r="N117" s="149">
        <f t="shared" si="3"/>
        <v>0.38386699999999974</v>
      </c>
      <c r="O117" s="149">
        <f t="shared" si="3"/>
        <v>0.35916199999999993</v>
      </c>
      <c r="Q117" s="149">
        <f t="shared" si="4"/>
        <v>0.38386699999999974</v>
      </c>
      <c r="R117" s="149">
        <f t="shared" si="4"/>
        <v>0.35916199999999993</v>
      </c>
      <c r="T117" s="149">
        <f t="shared" si="5"/>
        <v>0.38386699999999974</v>
      </c>
      <c r="U117" s="149">
        <f t="shared" si="5"/>
        <v>0.35916199999999993</v>
      </c>
    </row>
    <row r="118" spans="1:21" x14ac:dyDescent="0.2">
      <c r="A118" s="4">
        <f xml:space="preserve"> Basis!A118</f>
        <v>118</v>
      </c>
      <c r="C118" s="147">
        <v>0</v>
      </c>
      <c r="D118" s="147">
        <v>0</v>
      </c>
      <c r="H118" s="149">
        <f t="shared" si="1"/>
        <v>0.39041599999999976</v>
      </c>
      <c r="I118" s="149">
        <f t="shared" si="1"/>
        <v>0.36485799999999996</v>
      </c>
      <c r="K118" s="149">
        <f t="shared" si="2"/>
        <v>0.39041599999999976</v>
      </c>
      <c r="L118" s="149">
        <f t="shared" si="2"/>
        <v>0.36485799999999996</v>
      </c>
      <c r="N118" s="149">
        <f t="shared" si="3"/>
        <v>0.39041599999999976</v>
      </c>
      <c r="O118" s="149">
        <f t="shared" si="3"/>
        <v>0.36485799999999996</v>
      </c>
      <c r="Q118" s="149">
        <f t="shared" si="4"/>
        <v>0.39041599999999976</v>
      </c>
      <c r="R118" s="149">
        <f t="shared" si="4"/>
        <v>0.36485799999999996</v>
      </c>
      <c r="T118" s="149">
        <f t="shared" si="5"/>
        <v>0.39041599999999976</v>
      </c>
      <c r="U118" s="149">
        <f t="shared" si="5"/>
        <v>0.36485799999999996</v>
      </c>
    </row>
    <row r="119" spans="1:21" x14ac:dyDescent="0.2">
      <c r="A119" s="4">
        <f xml:space="preserve"> Basis!A119</f>
        <v>119</v>
      </c>
      <c r="C119" s="147">
        <v>0</v>
      </c>
      <c r="D119" s="147">
        <v>0</v>
      </c>
      <c r="H119" s="149">
        <f t="shared" si="1"/>
        <v>0.39696499999999979</v>
      </c>
      <c r="I119" s="149">
        <f t="shared" si="1"/>
        <v>0.37055399999999999</v>
      </c>
      <c r="K119" s="149">
        <f t="shared" si="2"/>
        <v>0.39696499999999979</v>
      </c>
      <c r="L119" s="149">
        <f t="shared" si="2"/>
        <v>0.37055399999999999</v>
      </c>
      <c r="N119" s="149">
        <f t="shared" si="3"/>
        <v>0.39696499999999979</v>
      </c>
      <c r="O119" s="149">
        <f t="shared" si="3"/>
        <v>0.37055399999999999</v>
      </c>
      <c r="Q119" s="149">
        <f t="shared" si="4"/>
        <v>0.39696499999999979</v>
      </c>
      <c r="R119" s="149">
        <f t="shared" si="4"/>
        <v>0.37055399999999999</v>
      </c>
      <c r="T119" s="149">
        <f t="shared" si="5"/>
        <v>0.39696499999999979</v>
      </c>
      <c r="U119" s="149">
        <f t="shared" si="5"/>
        <v>0.37055399999999999</v>
      </c>
    </row>
    <row r="120" spans="1:21" x14ac:dyDescent="0.2">
      <c r="A120" s="4">
        <f xml:space="preserve"> Basis!A120</f>
        <v>120</v>
      </c>
      <c r="C120" s="147">
        <v>0</v>
      </c>
      <c r="D120" s="147">
        <v>0</v>
      </c>
      <c r="H120" s="149">
        <f t="shared" si="1"/>
        <v>0.40351399999999971</v>
      </c>
      <c r="I120" s="149">
        <f t="shared" si="1"/>
        <v>0.37624999999999992</v>
      </c>
      <c r="K120" s="149">
        <f t="shared" si="2"/>
        <v>0.40351399999999971</v>
      </c>
      <c r="L120" s="149">
        <f t="shared" si="2"/>
        <v>0.37624999999999992</v>
      </c>
      <c r="N120" s="149">
        <f t="shared" si="3"/>
        <v>0.40351399999999971</v>
      </c>
      <c r="O120" s="149">
        <f t="shared" si="3"/>
        <v>0.37624999999999992</v>
      </c>
      <c r="Q120" s="149">
        <f t="shared" si="4"/>
        <v>0.40351399999999971</v>
      </c>
      <c r="R120" s="149">
        <f t="shared" si="4"/>
        <v>0.37624999999999992</v>
      </c>
      <c r="T120" s="149">
        <f t="shared" si="5"/>
        <v>0.40351399999999971</v>
      </c>
      <c r="U120" s="149">
        <f t="shared" si="5"/>
        <v>0.37624999999999992</v>
      </c>
    </row>
    <row r="121" spans="1:21" x14ac:dyDescent="0.2">
      <c r="H121" s="139"/>
    </row>
    <row r="122" spans="1:21" x14ac:dyDescent="0.2">
      <c r="H122" s="139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2">
    <tabColor indexed="11"/>
  </sheetPr>
  <dimension ref="A1:DN121"/>
  <sheetViews>
    <sheetView showGridLines="0" workbookViewId="0">
      <pane xSplit="1" ySplit="15" topLeftCell="V19" activePane="bottomRight" state="frozen"/>
      <selection activeCell="X30" sqref="X30"/>
      <selection pane="topRight" activeCell="X30" sqref="X30"/>
      <selection pane="bottomLeft" activeCell="X30" sqref="X30"/>
      <selection pane="bottomRight" activeCell="AG30" sqref="AG25:AH30"/>
    </sheetView>
  </sheetViews>
  <sheetFormatPr baseColWidth="10" defaultColWidth="8.77734375" defaultRowHeight="11.25" customHeight="1" x14ac:dyDescent="0.25"/>
  <cols>
    <col min="1" max="1" width="8.77734375" style="1"/>
    <col min="2" max="11" width="8.77734375" style="175"/>
    <col min="12" max="12" width="8.77734375" style="1"/>
    <col min="13" max="17" width="8.77734375" style="175"/>
    <col min="18" max="20" width="8.77734375" style="1"/>
    <col min="21" max="25" width="8.77734375" style="175"/>
    <col min="26" max="26" width="8.77734375" style="1"/>
    <col min="27" max="28" width="8.77734375" style="175"/>
    <col min="29" max="29" width="8.77734375" style="1"/>
    <col min="30" max="39" width="8.77734375" style="175"/>
    <col min="40" max="41" width="8.77734375" style="1"/>
    <col min="42" max="66" width="8.77734375" style="175"/>
    <col min="67" max="67" width="8.77734375" style="1"/>
    <col min="68" max="68" width="8.77734375" style="175"/>
    <col min="77" max="77" width="8.77734375" style="1"/>
    <col min="78" max="118" width="8.77734375" style="74"/>
    <col min="119" max="16384" width="8.77734375" style="175"/>
  </cols>
  <sheetData>
    <row r="1" spans="1:118" ht="11.25" customHeight="1" x14ac:dyDescent="0.2">
      <c r="BQ1" s="175"/>
      <c r="BR1" s="175"/>
      <c r="BS1" s="175"/>
      <c r="BT1" s="175"/>
      <c r="BU1" s="175"/>
      <c r="BV1" s="175"/>
      <c r="BW1" s="175"/>
      <c r="BX1" s="175"/>
    </row>
    <row r="2" spans="1:118" ht="11.25" customHeight="1" x14ac:dyDescent="0.2">
      <c r="BQ2" s="175"/>
      <c r="BR2" s="175"/>
      <c r="BS2" s="175"/>
      <c r="BT2" s="175"/>
      <c r="BU2" s="175"/>
      <c r="BV2" s="175"/>
      <c r="BW2" s="175"/>
      <c r="BX2" s="175"/>
    </row>
    <row r="3" spans="1:118" ht="11.25" customHeight="1" x14ac:dyDescent="0.2">
      <c r="BQ3" s="175"/>
      <c r="BR3" s="175"/>
      <c r="BS3" s="175"/>
      <c r="BT3" s="175"/>
      <c r="BU3" s="175"/>
      <c r="BV3" s="175"/>
      <c r="BW3" s="175"/>
      <c r="BX3" s="175"/>
    </row>
    <row r="4" spans="1:118" ht="11.25" customHeight="1" x14ac:dyDescent="0.2">
      <c r="BQ4" s="175"/>
      <c r="BR4" s="175"/>
      <c r="BS4" s="175"/>
      <c r="BT4" s="175"/>
      <c r="BU4" s="175"/>
      <c r="BV4" s="175"/>
      <c r="BW4" s="175"/>
      <c r="BX4" s="175"/>
    </row>
    <row r="5" spans="1:118" ht="11.25" customHeight="1" x14ac:dyDescent="0.2">
      <c r="BQ5" s="175"/>
      <c r="BR5" s="175"/>
      <c r="BS5" s="175"/>
      <c r="BT5" s="175"/>
      <c r="BU5" s="175"/>
      <c r="BV5" s="175"/>
      <c r="BW5" s="175"/>
      <c r="BX5" s="175"/>
    </row>
    <row r="6" spans="1:118" ht="11.25" customHeight="1" x14ac:dyDescent="0.2">
      <c r="BQ6" s="175"/>
      <c r="BR6" s="175"/>
      <c r="BS6" s="175"/>
      <c r="BT6" s="175"/>
      <c r="BU6" s="175"/>
      <c r="BV6" s="175"/>
      <c r="BW6" s="175"/>
      <c r="BX6" s="175"/>
    </row>
    <row r="7" spans="1:118" ht="11.25" customHeight="1" x14ac:dyDescent="0.2">
      <c r="BQ7" s="175"/>
      <c r="BR7" s="175"/>
      <c r="BS7" s="175"/>
      <c r="BT7" s="175"/>
      <c r="BU7" s="175"/>
      <c r="BV7" s="175"/>
      <c r="BW7" s="175"/>
      <c r="BX7" s="175"/>
    </row>
    <row r="8" spans="1:118" ht="11.25" customHeight="1" x14ac:dyDescent="0.2">
      <c r="BQ8" s="175"/>
      <c r="BR8" s="175"/>
      <c r="BS8" s="175"/>
      <c r="BT8" s="175"/>
      <c r="BU8" s="175"/>
      <c r="BV8" s="175"/>
      <c r="BW8" s="175"/>
      <c r="BX8" s="175"/>
    </row>
    <row r="9" spans="1:118" ht="11.25" customHeight="1" x14ac:dyDescent="0.2">
      <c r="BQ9" s="175"/>
      <c r="BR9" s="175"/>
      <c r="BS9" s="175"/>
      <c r="BT9" s="175"/>
      <c r="BU9" s="175"/>
      <c r="BV9" s="175"/>
      <c r="BW9" s="175"/>
      <c r="BX9" s="175"/>
    </row>
    <row r="10" spans="1:118" ht="11.25" customHeight="1" x14ac:dyDescent="0.2">
      <c r="BQ10" s="175"/>
      <c r="BR10" s="175"/>
      <c r="BS10" s="175"/>
      <c r="BT10" s="175"/>
      <c r="BU10" s="175"/>
      <c r="BV10" s="175"/>
      <c r="BW10" s="175"/>
      <c r="BX10" s="175"/>
    </row>
    <row r="11" spans="1:118" ht="11.25" customHeight="1" x14ac:dyDescent="0.2">
      <c r="BQ11" s="175"/>
      <c r="BR11" s="175"/>
      <c r="BS11" s="175"/>
      <c r="BT11" s="175"/>
      <c r="BU11" s="175"/>
      <c r="BV11" s="175"/>
      <c r="BW11" s="175"/>
      <c r="BX11" s="175"/>
    </row>
    <row r="12" spans="1:118" ht="11.25" customHeight="1" x14ac:dyDescent="0.2">
      <c r="AG12" s="175" t="s">
        <v>295</v>
      </c>
      <c r="BQ12" s="175"/>
      <c r="BR12" s="175"/>
      <c r="BS12" s="175"/>
      <c r="BT12" s="175"/>
      <c r="BU12" s="175"/>
      <c r="BV12" s="175"/>
      <c r="BW12" s="175"/>
      <c r="BX12" s="175"/>
    </row>
    <row r="13" spans="1:118" s="142" customFormat="1" ht="30.6" x14ac:dyDescent="0.25">
      <c r="C13" s="133" t="s">
        <v>71</v>
      </c>
      <c r="D13" s="46" t="str">
        <f xml:space="preserve"> C13</f>
        <v>Sto 0</v>
      </c>
      <c r="G13" s="133" t="s">
        <v>181</v>
      </c>
      <c r="H13" s="46" t="str">
        <f xml:space="preserve"> G13</f>
        <v>Sto BaFin N 2012</v>
      </c>
      <c r="I13" s="101"/>
      <c r="J13" s="133" t="s">
        <v>182</v>
      </c>
      <c r="K13" s="46" t="str">
        <f xml:space="preserve"> J13</f>
        <v>Sto BaFin N 2013</v>
      </c>
      <c r="M13" s="133" t="s">
        <v>183</v>
      </c>
      <c r="N13" s="46" t="str">
        <f xml:space="preserve"> M13</f>
        <v>Sto BaFin N 2014</v>
      </c>
      <c r="O13" s="101"/>
      <c r="P13" s="133" t="s">
        <v>184</v>
      </c>
      <c r="Q13" s="46" t="str">
        <f xml:space="preserve"> P13</f>
        <v>Sto BaFin N 2015</v>
      </c>
      <c r="U13" s="133" t="s">
        <v>185</v>
      </c>
      <c r="V13" s="46" t="str">
        <f xml:space="preserve"> U13</f>
        <v>GKV-Sto BaFin N 2012</v>
      </c>
      <c r="X13" s="133" t="s">
        <v>186</v>
      </c>
      <c r="Y13" s="46" t="str">
        <f xml:space="preserve"> X13</f>
        <v>GKV-Sto BaFin N 2013</v>
      </c>
      <c r="AA13" s="133" t="s">
        <v>187</v>
      </c>
      <c r="AB13" s="46" t="str">
        <f xml:space="preserve"> AA13</f>
        <v>GKV-Sto BaFin N 2014</v>
      </c>
      <c r="AD13" s="133" t="s">
        <v>282</v>
      </c>
      <c r="AE13" s="46" t="str">
        <f xml:space="preserve"> AD13</f>
        <v>GKV-Sto BaFin N 2015</v>
      </c>
      <c r="AF13" s="46"/>
      <c r="AG13" s="133" t="s">
        <v>294</v>
      </c>
      <c r="AH13" s="46" t="str">
        <f xml:space="preserve"> AG13</f>
        <v>kappa_x</v>
      </c>
      <c r="AI13" s="133" t="s">
        <v>296</v>
      </c>
      <c r="AJ13" s="46" t="str">
        <f xml:space="preserve"> AI13</f>
        <v>kappax-Sto BaFin N 2015</v>
      </c>
      <c r="AK13" s="46"/>
      <c r="AL13" s="46"/>
      <c r="AM13" s="46"/>
      <c r="AO13" s="133" t="s">
        <v>279</v>
      </c>
      <c r="AP13" s="133" t="s">
        <v>280</v>
      </c>
      <c r="AQ13" s="133" t="s">
        <v>281</v>
      </c>
      <c r="AR13" s="133" t="s">
        <v>279</v>
      </c>
      <c r="AS13" s="133" t="s">
        <v>280</v>
      </c>
      <c r="AT13" s="133" t="s">
        <v>281</v>
      </c>
      <c r="AU13" s="101"/>
      <c r="AV13" s="101"/>
      <c r="AW13" s="101"/>
      <c r="AX13" s="101"/>
      <c r="AY13" s="101"/>
      <c r="AZ13" s="101"/>
      <c r="BA13" s="101"/>
      <c r="BB13" s="101"/>
      <c r="BC13" s="101"/>
      <c r="BD13" s="101"/>
      <c r="BE13" s="101"/>
      <c r="BF13" s="101"/>
      <c r="BG13" s="101"/>
      <c r="BH13" s="101"/>
      <c r="BI13" s="101"/>
      <c r="BJ13" s="101"/>
      <c r="BK13" s="101"/>
      <c r="BL13" s="101"/>
      <c r="BM13" s="101"/>
      <c r="BN13" s="101"/>
      <c r="BP13" s="101"/>
      <c r="BZ13" s="182"/>
      <c r="CA13" s="182"/>
      <c r="CB13" s="182"/>
      <c r="CC13" s="182"/>
      <c r="CD13" s="182"/>
      <c r="CE13" s="182"/>
      <c r="CF13" s="182"/>
      <c r="CG13" s="182"/>
      <c r="CH13" s="182"/>
      <c r="CI13" s="182"/>
      <c r="CJ13" s="182"/>
      <c r="CK13" s="182"/>
      <c r="CL13" s="182"/>
      <c r="CM13" s="182"/>
      <c r="CN13" s="182"/>
      <c r="CO13" s="182"/>
      <c r="CP13" s="182"/>
      <c r="CQ13" s="182"/>
      <c r="CR13" s="182"/>
      <c r="CS13" s="182"/>
      <c r="CT13" s="182"/>
      <c r="CU13" s="182"/>
      <c r="CV13" s="182"/>
      <c r="CW13" s="182"/>
      <c r="CX13" s="182"/>
      <c r="CY13" s="182"/>
      <c r="CZ13" s="182"/>
      <c r="DA13" s="182"/>
      <c r="DB13" s="182"/>
      <c r="DC13" s="182"/>
      <c r="DD13" s="182"/>
      <c r="DE13" s="182"/>
      <c r="DF13" s="182"/>
      <c r="DG13" s="182"/>
      <c r="DH13" s="182"/>
      <c r="DI13" s="182"/>
      <c r="DJ13" s="182"/>
      <c r="DK13" s="182"/>
      <c r="DL13" s="182"/>
      <c r="DM13" s="182"/>
      <c r="DN13" s="182"/>
    </row>
    <row r="14" spans="1:118" ht="11.25" customHeight="1" x14ac:dyDescent="0.2">
      <c r="C14" s="98" t="str">
        <f xml:space="preserve"> M14</f>
        <v>M</v>
      </c>
      <c r="D14" s="98" t="str">
        <f xml:space="preserve"> N14</f>
        <v>F</v>
      </c>
      <c r="G14" s="178" t="s">
        <v>0</v>
      </c>
      <c r="H14" s="178" t="s">
        <v>1</v>
      </c>
      <c r="I14" s="96"/>
      <c r="J14" s="178" t="s">
        <v>0</v>
      </c>
      <c r="K14" s="178" t="s">
        <v>1</v>
      </c>
      <c r="M14" s="178" t="s">
        <v>0</v>
      </c>
      <c r="N14" s="178" t="s">
        <v>1</v>
      </c>
      <c r="O14" s="96"/>
      <c r="P14" s="178" t="s">
        <v>0</v>
      </c>
      <c r="Q14" s="178" t="s">
        <v>1</v>
      </c>
      <c r="U14" s="178" t="s">
        <v>0</v>
      </c>
      <c r="V14" s="178" t="s">
        <v>1</v>
      </c>
      <c r="X14" s="178" t="s">
        <v>0</v>
      </c>
      <c r="Y14" s="178" t="s">
        <v>1</v>
      </c>
      <c r="AA14" s="178" t="s">
        <v>0</v>
      </c>
      <c r="AB14" s="178" t="s">
        <v>1</v>
      </c>
      <c r="AD14" s="178" t="s">
        <v>0</v>
      </c>
      <c r="AE14" s="178" t="s">
        <v>1</v>
      </c>
      <c r="AF14" s="178"/>
      <c r="AG14" s="178" t="s">
        <v>0</v>
      </c>
      <c r="AH14" s="178" t="s">
        <v>1</v>
      </c>
      <c r="AI14" s="178" t="s">
        <v>0</v>
      </c>
      <c r="AJ14" s="178" t="s">
        <v>1</v>
      </c>
      <c r="AK14" s="178"/>
      <c r="AL14" s="178"/>
      <c r="AM14" s="178"/>
      <c r="AO14" s="178" t="s">
        <v>0</v>
      </c>
      <c r="AP14" s="178" t="s">
        <v>0</v>
      </c>
      <c r="AQ14" s="178" t="s">
        <v>0</v>
      </c>
      <c r="AR14" s="178" t="s">
        <v>1</v>
      </c>
      <c r="AS14" s="178" t="s">
        <v>1</v>
      </c>
      <c r="AT14" s="178" t="s">
        <v>1</v>
      </c>
      <c r="AU14" s="96"/>
      <c r="AV14" s="96"/>
      <c r="AW14" s="96"/>
      <c r="AX14" s="96"/>
      <c r="AY14" s="96"/>
      <c r="AZ14" s="96"/>
      <c r="BA14" s="96"/>
      <c r="BB14" s="96"/>
      <c r="BC14" s="96"/>
      <c r="BD14" s="96"/>
      <c r="BE14" s="96"/>
      <c r="BF14" s="96"/>
      <c r="BG14" s="96"/>
      <c r="BH14" s="96"/>
      <c r="BI14" s="96"/>
      <c r="BJ14" s="96"/>
      <c r="BK14" s="96"/>
      <c r="BL14" s="96"/>
      <c r="BM14" s="96"/>
      <c r="BN14" s="96"/>
      <c r="BP14" s="96"/>
      <c r="BQ14" s="175"/>
      <c r="BR14" s="175"/>
      <c r="BS14" s="175"/>
      <c r="BT14" s="175"/>
      <c r="BU14" s="175"/>
      <c r="BV14" s="175"/>
      <c r="BW14" s="175"/>
      <c r="BX14" s="175"/>
    </row>
    <row r="15" spans="1:118" s="177" customFormat="1" ht="11.25" customHeight="1" x14ac:dyDescent="0.2">
      <c r="A15" s="183" t="str">
        <f t="shared" ref="A15" si="0" xml:space="preserve"> A13 &amp; " # " &amp; A14</f>
        <v xml:space="preserve"> # </v>
      </c>
      <c r="B15" s="183" t="str">
        <f t="shared" ref="B15" si="1" xml:space="preserve"> B13 &amp; " # " &amp; B14</f>
        <v xml:space="preserve"> # </v>
      </c>
      <c r="C15" s="183" t="str">
        <f t="shared" ref="C15:AN15" si="2" xml:space="preserve"> C13 &amp; " # " &amp; C14</f>
        <v>Sto 0 # M</v>
      </c>
      <c r="D15" s="183" t="str">
        <f t="shared" ref="D15" si="3" xml:space="preserve"> D13 &amp; " # " &amp; D14</f>
        <v>Sto 0 # F</v>
      </c>
      <c r="E15" s="183" t="str">
        <f t="shared" ref="E15" si="4" xml:space="preserve"> E13 &amp; " # " &amp; E14</f>
        <v xml:space="preserve"> # </v>
      </c>
      <c r="F15" s="183" t="str">
        <f t="shared" ref="F15" si="5" xml:space="preserve"> F13 &amp; " # " &amp; F14</f>
        <v xml:space="preserve"> # </v>
      </c>
      <c r="G15" s="183" t="str">
        <f t="shared" ref="G15" si="6" xml:space="preserve"> G13 &amp; " # " &amp; G14</f>
        <v>Sto BaFin N 2012 # M</v>
      </c>
      <c r="H15" s="183" t="str">
        <f t="shared" ref="H15" si="7" xml:space="preserve"> H13 &amp; " # " &amp; H14</f>
        <v>Sto BaFin N 2012 # F</v>
      </c>
      <c r="I15" s="183" t="str">
        <f t="shared" ref="I15" si="8" xml:space="preserve"> I13 &amp; " # " &amp; I14</f>
        <v xml:space="preserve"> # </v>
      </c>
      <c r="J15" s="183" t="str">
        <f t="shared" ref="J15" si="9" xml:space="preserve"> J13 &amp; " # " &amp; J14</f>
        <v>Sto BaFin N 2013 # M</v>
      </c>
      <c r="K15" s="183" t="str">
        <f t="shared" ref="K15" si="10" xml:space="preserve"> K13 &amp; " # " &amp; K14</f>
        <v>Sto BaFin N 2013 # F</v>
      </c>
      <c r="L15" s="183" t="str">
        <f t="shared" ref="L15" si="11" xml:space="preserve"> L13 &amp; " # " &amp; L14</f>
        <v xml:space="preserve"> # </v>
      </c>
      <c r="M15" s="183" t="str">
        <f t="shared" ref="M15" si="12" xml:space="preserve"> M13 &amp; " # " &amp; M14</f>
        <v>Sto BaFin N 2014 # M</v>
      </c>
      <c r="N15" s="183" t="str">
        <f t="shared" ref="N15" si="13" xml:space="preserve"> N13 &amp; " # " &amp; N14</f>
        <v>Sto BaFin N 2014 # F</v>
      </c>
      <c r="O15" s="183" t="str">
        <f t="shared" ref="O15" si="14" xml:space="preserve"> O13 &amp; " # " &amp; O14</f>
        <v xml:space="preserve"> # </v>
      </c>
      <c r="P15" s="183" t="str">
        <f t="shared" ref="P15" si="15" xml:space="preserve"> P13 &amp; " # " &amp; P14</f>
        <v>Sto BaFin N 2015 # M</v>
      </c>
      <c r="Q15" s="183" t="str">
        <f t="shared" ref="Q15" si="16" xml:space="preserve"> Q13 &amp; " # " &amp; Q14</f>
        <v>Sto BaFin N 2015 # F</v>
      </c>
      <c r="R15" s="183" t="str">
        <f t="shared" ref="R15" si="17" xml:space="preserve"> R13 &amp; " # " &amp; R14</f>
        <v xml:space="preserve"> # </v>
      </c>
      <c r="S15" s="183" t="str">
        <f t="shared" ref="S15" si="18" xml:space="preserve"> S13 &amp; " # " &amp; S14</f>
        <v xml:space="preserve"> # </v>
      </c>
      <c r="T15" s="183" t="str">
        <f t="shared" ref="T15" si="19" xml:space="preserve"> T13 &amp; " # " &amp; T14</f>
        <v xml:space="preserve"> # </v>
      </c>
      <c r="U15" s="183" t="str">
        <f t="shared" ref="U15" si="20" xml:space="preserve"> U13 &amp; " # " &amp; U14</f>
        <v>GKV-Sto BaFin N 2012 # M</v>
      </c>
      <c r="V15" s="183" t="str">
        <f t="shared" ref="V15" si="21" xml:space="preserve"> V13 &amp; " # " &amp; V14</f>
        <v>GKV-Sto BaFin N 2012 # F</v>
      </c>
      <c r="W15" s="183" t="str">
        <f t="shared" ref="W15" si="22" xml:space="preserve"> W13 &amp; " # " &amp; W14</f>
        <v xml:space="preserve"> # </v>
      </c>
      <c r="X15" s="183" t="str">
        <f t="shared" ref="X15" si="23" xml:space="preserve"> X13 &amp; " # " &amp; X14</f>
        <v>GKV-Sto BaFin N 2013 # M</v>
      </c>
      <c r="Y15" s="183" t="str">
        <f t="shared" ref="Y15" si="24" xml:space="preserve"> Y13 &amp; " # " &amp; Y14</f>
        <v>GKV-Sto BaFin N 2013 # F</v>
      </c>
      <c r="Z15" s="183" t="str">
        <f t="shared" ref="Z15" si="25" xml:space="preserve"> Z13 &amp; " # " &amp; Z14</f>
        <v xml:space="preserve"> # </v>
      </c>
      <c r="AA15" s="183" t="str">
        <f t="shared" ref="AA15" si="26" xml:space="preserve"> AA13 &amp; " # " &amp; AA14</f>
        <v>GKV-Sto BaFin N 2014 # M</v>
      </c>
      <c r="AB15" s="183" t="str">
        <f t="shared" ref="AB15" si="27" xml:space="preserve"> AB13 &amp; " # " &amp; AB14</f>
        <v>GKV-Sto BaFin N 2014 # F</v>
      </c>
      <c r="AC15" s="183" t="str">
        <f t="shared" ref="AC15" si="28" xml:space="preserve"> AC13 &amp; " # " &amp; AC14</f>
        <v xml:space="preserve"> # </v>
      </c>
      <c r="AD15" s="183" t="str">
        <f t="shared" ref="AD15" si="29" xml:space="preserve"> AD13 &amp; " # " &amp; AD14</f>
        <v>GKV-Sto BaFin N 2015 # M</v>
      </c>
      <c r="AE15" s="183" t="str">
        <f t="shared" ref="AE15:AT15" si="30" xml:space="preserve"> AE13 &amp; " # " &amp; AE14</f>
        <v>GKV-Sto BaFin N 2015 # F</v>
      </c>
      <c r="AF15" s="183" t="str">
        <f t="shared" si="30"/>
        <v xml:space="preserve"> # </v>
      </c>
      <c r="AG15" s="183" t="str">
        <f t="shared" si="30"/>
        <v>kappa_x # M</v>
      </c>
      <c r="AH15" s="183" t="str">
        <f t="shared" si="30"/>
        <v>kappa_x # F</v>
      </c>
      <c r="AI15" s="183" t="str">
        <f t="shared" si="30"/>
        <v>kappax-Sto BaFin N 2015 # M</v>
      </c>
      <c r="AJ15" s="183" t="str">
        <f t="shared" si="30"/>
        <v>kappax-Sto BaFin N 2015 # F</v>
      </c>
      <c r="AK15" s="183"/>
      <c r="AL15" s="183"/>
      <c r="AM15" s="183"/>
      <c r="AN15" s="183" t="str">
        <f t="shared" si="2"/>
        <v xml:space="preserve"> # </v>
      </c>
      <c r="AO15" s="183" t="str">
        <f t="shared" si="30"/>
        <v>KHK VP alle VJ # M</v>
      </c>
      <c r="AP15" s="183" t="str">
        <f t="shared" si="30"/>
        <v>KHK VP oe 3 VJ # M</v>
      </c>
      <c r="AQ15" s="183" t="str">
        <f t="shared" si="30"/>
        <v>KHK AR # M</v>
      </c>
      <c r="AR15" s="183" t="str">
        <f t="shared" si="30"/>
        <v>KHK VP alle VJ # F</v>
      </c>
      <c r="AS15" s="183" t="str">
        <f t="shared" si="30"/>
        <v>KHK VP oe 3 VJ # F</v>
      </c>
      <c r="AT15" s="183" t="str">
        <f t="shared" si="30"/>
        <v>KHK AR # F</v>
      </c>
      <c r="AU15" s="183"/>
      <c r="AV15" s="183"/>
      <c r="AW15" s="183"/>
      <c r="AX15" s="183"/>
      <c r="AY15" s="183"/>
      <c r="AZ15" s="183"/>
      <c r="BA15" s="183"/>
      <c r="BB15" s="183"/>
      <c r="BC15" s="183"/>
      <c r="BD15" s="183"/>
      <c r="BE15" s="183"/>
      <c r="BF15" s="183"/>
      <c r="BG15" s="183"/>
      <c r="BH15" s="183"/>
      <c r="BI15" s="183"/>
      <c r="BJ15" s="183"/>
      <c r="BK15" s="183"/>
      <c r="BL15" s="183"/>
      <c r="BM15" s="183"/>
      <c r="BN15" s="183"/>
      <c r="BP15" s="183"/>
      <c r="BY15" s="183"/>
      <c r="BZ15" s="183"/>
      <c r="CA15" s="183"/>
      <c r="CB15" s="183"/>
      <c r="CC15" s="183"/>
      <c r="CD15" s="183"/>
      <c r="CE15" s="183"/>
      <c r="CF15" s="183"/>
      <c r="CG15" s="183"/>
      <c r="CH15" s="183"/>
      <c r="CI15" s="183"/>
      <c r="CJ15" s="183"/>
      <c r="CK15" s="183"/>
      <c r="CL15" s="183"/>
      <c r="CM15" s="183"/>
      <c r="CN15" s="183"/>
      <c r="CO15" s="183"/>
      <c r="CP15" s="183"/>
      <c r="CQ15" s="183"/>
      <c r="CR15" s="183"/>
      <c r="CS15" s="183"/>
      <c r="CT15" s="183"/>
      <c r="CU15" s="183"/>
      <c r="CV15" s="183"/>
      <c r="CW15" s="183"/>
      <c r="CX15" s="183"/>
      <c r="CY15" s="183"/>
      <c r="CZ15" s="183"/>
      <c r="DA15" s="183"/>
      <c r="DB15" s="183"/>
      <c r="DC15" s="183"/>
      <c r="DD15" s="183"/>
      <c r="DE15" s="183"/>
      <c r="DF15" s="183"/>
      <c r="DG15" s="183"/>
      <c r="DH15" s="183"/>
      <c r="DI15" s="183"/>
      <c r="DJ15" s="183"/>
      <c r="DK15" s="183"/>
      <c r="DL15" s="183"/>
      <c r="DM15" s="183"/>
      <c r="DN15" s="183"/>
    </row>
    <row r="16" spans="1:118" ht="11.25" customHeight="1" x14ac:dyDescent="0.2">
      <c r="C16" s="1"/>
      <c r="D16" s="1"/>
      <c r="J16" s="1"/>
      <c r="M16" s="1"/>
      <c r="P16" s="1"/>
      <c r="U16" s="1"/>
      <c r="X16" s="1"/>
      <c r="AA16" s="1"/>
      <c r="AD16" s="1"/>
      <c r="BQ16" s="175"/>
      <c r="BR16" s="175"/>
      <c r="BS16" s="175"/>
      <c r="BT16" s="175"/>
      <c r="BU16" s="175"/>
      <c r="BV16" s="175"/>
      <c r="BW16" s="175"/>
      <c r="BX16" s="175"/>
    </row>
    <row r="17" spans="1:76" ht="11.25" customHeight="1" x14ac:dyDescent="0.2">
      <c r="C17" s="1"/>
      <c r="D17" s="1"/>
      <c r="J17" s="1"/>
      <c r="M17" s="1"/>
      <c r="O17" s="96"/>
      <c r="P17" s="1"/>
      <c r="U17" s="1"/>
      <c r="X17" s="1"/>
      <c r="AA17" s="1"/>
      <c r="AD17" s="1"/>
      <c r="AP17" s="96"/>
      <c r="AQ17" s="96"/>
      <c r="AR17" s="96"/>
      <c r="AS17" s="96"/>
      <c r="AT17" s="96"/>
      <c r="AU17" s="96"/>
      <c r="AV17" s="96"/>
      <c r="AW17" s="96"/>
      <c r="AX17" s="96"/>
      <c r="AY17" s="96"/>
      <c r="AZ17" s="96"/>
      <c r="BA17" s="96"/>
      <c r="BB17" s="96"/>
      <c r="BC17" s="96"/>
      <c r="BD17" s="96"/>
      <c r="BE17" s="96"/>
      <c r="BF17" s="96"/>
      <c r="BG17" s="96"/>
      <c r="BH17" s="96"/>
      <c r="BI17" s="96"/>
      <c r="BJ17" s="96"/>
      <c r="BK17" s="96"/>
      <c r="BL17" s="96"/>
      <c r="BM17" s="96"/>
      <c r="BN17" s="96"/>
      <c r="BQ17" s="175"/>
      <c r="BR17" s="175"/>
      <c r="BS17" s="175"/>
      <c r="BT17" s="175"/>
      <c r="BU17" s="175"/>
      <c r="BV17" s="175"/>
      <c r="BW17" s="175"/>
      <c r="BX17" s="175"/>
    </row>
    <row r="18" spans="1:76" ht="11.25" customHeight="1" x14ac:dyDescent="0.2">
      <c r="J18" s="1"/>
      <c r="M18" s="1"/>
      <c r="P18" s="1"/>
      <c r="U18" s="1"/>
      <c r="X18" s="1"/>
      <c r="AA18" s="1"/>
      <c r="AD18" s="1"/>
      <c r="BQ18" s="175"/>
      <c r="BR18" s="175"/>
      <c r="BS18" s="175"/>
      <c r="BT18" s="175"/>
      <c r="BU18" s="175"/>
      <c r="BV18" s="175"/>
      <c r="BW18" s="175"/>
      <c r="BX18" s="175"/>
    </row>
    <row r="19" spans="1:76" ht="11.25" customHeight="1" x14ac:dyDescent="0.2">
      <c r="C19" s="1"/>
      <c r="D19" s="1"/>
      <c r="J19" s="1"/>
      <c r="M19" s="1"/>
      <c r="P19" s="1"/>
      <c r="U19" s="1"/>
      <c r="X19" s="1"/>
      <c r="AA19" s="1"/>
      <c r="AD19" s="1"/>
      <c r="BQ19" s="175"/>
      <c r="BR19" s="175"/>
      <c r="BS19" s="175"/>
      <c r="BT19" s="175"/>
      <c r="BU19" s="175"/>
      <c r="BV19" s="175"/>
      <c r="BW19" s="175"/>
      <c r="BX19" s="175"/>
    </row>
    <row r="20" spans="1:76" ht="10.199999999999999" x14ac:dyDescent="0.2">
      <c r="A20" s="4">
        <f xml:space="preserve"> Basis!A20</f>
        <v>20</v>
      </c>
      <c r="C20" s="179">
        <v>0</v>
      </c>
      <c r="D20" s="179">
        <v>0</v>
      </c>
      <c r="G20" s="176">
        <f xml:space="preserve"> ROUND(   MAX( 0, TREND( G21:G23, $A$21:$A$23, $A20 ) ),  4  )</f>
        <v>0.1666</v>
      </c>
      <c r="H20" s="176">
        <f xml:space="preserve"> ROUND(   MAX( 0, TREND( H21:H23, $A$21:$A$23, $A20 ) ),  4  )</f>
        <v>0.19489999999999999</v>
      </c>
      <c r="I20" s="180"/>
      <c r="J20" s="176">
        <f xml:space="preserve"> ROUND(   MAX( 0, TREND( J21:J23, $A$21:$A$23, $A20 ) ),  4  )</f>
        <v>0.19359999999999999</v>
      </c>
      <c r="K20" s="176">
        <f xml:space="preserve"> ROUND(   MAX( 0, TREND( K21:K23, $A$21:$A$23, $A20 ) ),  4  )</f>
        <v>0.21179999999999999</v>
      </c>
      <c r="M20" s="176">
        <f xml:space="preserve"> ROUND(   MAX( 0, TREND( M21:M23, $A$21:$A$23, $A20 ) ),  4  )</f>
        <v>0.18790000000000001</v>
      </c>
      <c r="N20" s="176">
        <f xml:space="preserve"> ROUND(   MAX( 0, TREND( N21:N23, $A$21:$A$23, $A20 ) ),  4  )</f>
        <v>0.2054</v>
      </c>
      <c r="O20" s="180"/>
      <c r="P20" s="176">
        <f xml:space="preserve"> ROUND(   MAX( 0, TREND( P21:P23, $A$21:$A$23, $A20 ) ),  4  )</f>
        <v>0.16550000000000001</v>
      </c>
      <c r="Q20" s="176">
        <f xml:space="preserve"> ROUND(   MAX( 0, TREND( Q21:Q23, $A$21:$A$23, $A20 ) ),  4  )</f>
        <v>0.1797</v>
      </c>
      <c r="U20" s="176">
        <f xml:space="preserve"> ROUND(   MAX( 0, TREND( U21:U23, $A$21:$A$23, $A20 ) ),  4  )</f>
        <v>0.1331</v>
      </c>
      <c r="V20" s="176">
        <f xml:space="preserve"> ROUND(   MAX( 0, TREND( V21:V23, $A$21:$A$23, $A20 ) ),  4  )</f>
        <v>0.13800000000000001</v>
      </c>
      <c r="X20" s="176">
        <f xml:space="preserve"> ROUND(   MAX( 0, TREND( X21:X23, $A$21:$A$23, $A20 ) ),  4  )</f>
        <v>0.13700000000000001</v>
      </c>
      <c r="Y20" s="176">
        <f xml:space="preserve"> ROUND(   MAX( 0, TREND( Y21:Y23, $A$21:$A$23, $A20 ) ),  4  )</f>
        <v>0.14369999999999999</v>
      </c>
      <c r="AA20" s="176">
        <f xml:space="preserve"> ROUND(   MAX( 0, TREND( AA21:AA23, $A$21:$A$23, $A20 ) ),  4  )</f>
        <v>0.13850000000000001</v>
      </c>
      <c r="AB20" s="176">
        <f xml:space="preserve"> ROUND(   MAX( 0, TREND( AB21:AB23, $A$21:$A$23, $A20 ) ),  4  )</f>
        <v>0.14680000000000001</v>
      </c>
      <c r="AD20" s="176">
        <f xml:space="preserve"> ROUND(   MAX( 0, TREND( AD21:AD23, $A$21:$A$23, $A20 ) ),  4  )</f>
        <v>0.13</v>
      </c>
      <c r="AE20" s="176">
        <f xml:space="preserve"> ROUND(   MAX( 0, TREND( AE21:AE23, $A$21:$A$23, $A20 ) ),  4  )</f>
        <v>0.13930000000000001</v>
      </c>
      <c r="AF20" s="176"/>
      <c r="AG20" s="381">
        <v>1</v>
      </c>
      <c r="AH20" s="381">
        <v>1</v>
      </c>
      <c r="AI20" s="176">
        <f xml:space="preserve"> MAX( 0, AD20 + ( 1 - AG20 ) * ( P20 - AD20 ) )</f>
        <v>0.13</v>
      </c>
      <c r="AJ20" s="176">
        <f xml:space="preserve"> MAX( 0, AE20 + ( 1 - AH20 ) * ( Q20 - AE20 ) )</f>
        <v>0.13930000000000001</v>
      </c>
      <c r="AK20" s="176"/>
      <c r="AL20" s="176"/>
      <c r="AM20" s="176"/>
      <c r="AO20" s="179">
        <v>0.14649999999999999</v>
      </c>
      <c r="AP20" s="179">
        <v>0.12530000000000002</v>
      </c>
      <c r="AQ20" s="179">
        <v>0.10999999999999999</v>
      </c>
      <c r="AR20" s="179">
        <v>0.16120000000000004</v>
      </c>
      <c r="AS20" s="179">
        <v>0.14130000000000001</v>
      </c>
      <c r="AT20" s="179">
        <v>0.12310000000000001</v>
      </c>
      <c r="AU20" s="180"/>
      <c r="AV20" s="180"/>
      <c r="AW20" s="180"/>
      <c r="AX20" s="180"/>
      <c r="AY20" s="180"/>
      <c r="AZ20" s="180"/>
      <c r="BA20" s="180"/>
      <c r="BB20" s="180"/>
      <c r="BC20" s="180"/>
      <c r="BD20" s="180"/>
      <c r="BE20" s="180"/>
      <c r="BF20" s="180"/>
      <c r="BG20" s="180"/>
      <c r="BH20" s="180"/>
      <c r="BI20" s="180"/>
      <c r="BJ20" s="180"/>
      <c r="BK20" s="180"/>
      <c r="BL20" s="180"/>
      <c r="BM20" s="180"/>
      <c r="BN20" s="180"/>
      <c r="BP20" s="180"/>
      <c r="BQ20" s="175"/>
      <c r="BR20" s="175"/>
      <c r="BS20" s="175"/>
      <c r="BT20" s="175"/>
      <c r="BU20" s="175"/>
      <c r="BV20" s="175"/>
      <c r="BW20" s="175"/>
      <c r="BX20" s="175"/>
    </row>
    <row r="21" spans="1:76" ht="11.25" customHeight="1" x14ac:dyDescent="0.2">
      <c r="A21" s="4">
        <f xml:space="preserve"> Basis!A21</f>
        <v>21</v>
      </c>
      <c r="C21" s="179">
        <v>0</v>
      </c>
      <c r="D21" s="179">
        <v>0</v>
      </c>
      <c r="G21" s="179">
        <v>0.14799999999999999</v>
      </c>
      <c r="H21" s="179">
        <v>0.17019999999999999</v>
      </c>
      <c r="I21" s="180"/>
      <c r="J21" s="179">
        <v>0.16880000000000001</v>
      </c>
      <c r="K21" s="179">
        <v>0.1862</v>
      </c>
      <c r="M21" s="179">
        <v>0.16189999999999999</v>
      </c>
      <c r="N21" s="179">
        <v>0.17960000000000001</v>
      </c>
      <c r="O21" s="180"/>
      <c r="P21" s="179">
        <v>0.1409</v>
      </c>
      <c r="Q21" s="179">
        <v>0.1578</v>
      </c>
      <c r="U21" s="179">
        <v>0.10970000000000001</v>
      </c>
      <c r="V21" s="179">
        <v>0.11799999999999999</v>
      </c>
      <c r="X21" s="179">
        <v>0.1125</v>
      </c>
      <c r="Y21" s="179">
        <v>0.1212</v>
      </c>
      <c r="AA21" s="179">
        <v>0.1134</v>
      </c>
      <c r="AB21" s="179">
        <v>0.12379999999999999</v>
      </c>
      <c r="AD21" s="179">
        <v>0.1079</v>
      </c>
      <c r="AE21" s="179">
        <v>0.1187</v>
      </c>
      <c r="AF21" s="179"/>
      <c r="AG21" s="381">
        <v>1</v>
      </c>
      <c r="AH21" s="381">
        <v>1</v>
      </c>
      <c r="AI21" s="176">
        <f t="shared" ref="AI21:AJ84" si="31" xml:space="preserve"> MAX( 0, AD21 + ( 1 - AG21 ) * ( P21 - AD21 ) )</f>
        <v>0.1079</v>
      </c>
      <c r="AJ21" s="176">
        <f t="shared" si="31"/>
        <v>0.1187</v>
      </c>
      <c r="AK21" s="179"/>
      <c r="AL21" s="179"/>
      <c r="AM21" s="179"/>
      <c r="AO21" s="179">
        <v>0.1389</v>
      </c>
      <c r="AP21" s="179">
        <v>0.11920000000000001</v>
      </c>
      <c r="AQ21" s="179">
        <v>0.10239999999999999</v>
      </c>
      <c r="AR21" s="179">
        <v>0.15710000000000002</v>
      </c>
      <c r="AS21" s="179">
        <v>0.13719999999999999</v>
      </c>
      <c r="AT21" s="179">
        <v>0.11900000000000001</v>
      </c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  <c r="BI21" s="152"/>
      <c r="BJ21" s="152"/>
      <c r="BK21" s="152"/>
      <c r="BL21" s="152"/>
      <c r="BM21" s="152"/>
      <c r="BN21" s="152"/>
      <c r="BP21" s="180"/>
      <c r="BQ21" s="175"/>
      <c r="BR21" s="175"/>
      <c r="BS21" s="175"/>
      <c r="BT21" s="175"/>
      <c r="BU21" s="175"/>
      <c r="BV21" s="175"/>
      <c r="BW21" s="175"/>
      <c r="BX21" s="175"/>
    </row>
    <row r="22" spans="1:76" ht="11.25" customHeight="1" x14ac:dyDescent="0.2">
      <c r="A22" s="4">
        <f xml:space="preserve"> Basis!A22</f>
        <v>22</v>
      </c>
      <c r="C22" s="179">
        <v>0</v>
      </c>
      <c r="D22" s="179">
        <v>0</v>
      </c>
      <c r="G22" s="179">
        <v>0.12330000000000001</v>
      </c>
      <c r="H22" s="179">
        <v>0.1333</v>
      </c>
      <c r="I22" s="180"/>
      <c r="J22" s="179">
        <v>0.13189999999999999</v>
      </c>
      <c r="K22" s="179">
        <v>0.14419999999999999</v>
      </c>
      <c r="M22" s="179">
        <v>0.1242</v>
      </c>
      <c r="N22" s="179">
        <v>0.13819999999999999</v>
      </c>
      <c r="O22" s="180"/>
      <c r="P22" s="179">
        <v>0.1038</v>
      </c>
      <c r="Q22" s="179">
        <v>0.12479999999999999</v>
      </c>
      <c r="U22" s="179">
        <v>7.7100000000000002E-2</v>
      </c>
      <c r="V22" s="179">
        <v>9.01E-2</v>
      </c>
      <c r="X22" s="179">
        <v>7.0800000000000002E-2</v>
      </c>
      <c r="Y22" s="179">
        <v>8.5500000000000007E-2</v>
      </c>
      <c r="AA22" s="179">
        <v>7.0999999999999994E-2</v>
      </c>
      <c r="AB22" s="179">
        <v>8.7999999999999995E-2</v>
      </c>
      <c r="AD22" s="179">
        <v>6.8500000000000005E-2</v>
      </c>
      <c r="AE22" s="179">
        <v>8.6099999999999996E-2</v>
      </c>
      <c r="AF22" s="179"/>
      <c r="AG22" s="381">
        <v>1</v>
      </c>
      <c r="AH22" s="381">
        <v>1</v>
      </c>
      <c r="AI22" s="176">
        <f t="shared" si="31"/>
        <v>6.8500000000000005E-2</v>
      </c>
      <c r="AJ22" s="176">
        <f t="shared" si="31"/>
        <v>8.6099999999999996E-2</v>
      </c>
      <c r="AK22" s="179"/>
      <c r="AL22" s="179"/>
      <c r="AM22" s="179"/>
      <c r="AO22" s="179">
        <v>0.1313</v>
      </c>
      <c r="AP22" s="179">
        <v>0.11310000000000001</v>
      </c>
      <c r="AQ22" s="179">
        <v>9.4799999999999995E-2</v>
      </c>
      <c r="AR22" s="179">
        <v>0.15300000000000002</v>
      </c>
      <c r="AS22" s="179">
        <v>0.1331</v>
      </c>
      <c r="AT22" s="179">
        <v>0.1149</v>
      </c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  <c r="BI22" s="152"/>
      <c r="BJ22" s="152"/>
      <c r="BK22" s="152"/>
      <c r="BL22" s="152"/>
      <c r="BM22" s="152"/>
      <c r="BN22" s="152"/>
      <c r="BP22" s="180"/>
      <c r="BQ22" s="175"/>
      <c r="BR22" s="175"/>
      <c r="BS22" s="175"/>
      <c r="BT22" s="175"/>
      <c r="BU22" s="175"/>
      <c r="BV22" s="175"/>
      <c r="BW22" s="175"/>
      <c r="BX22" s="175"/>
    </row>
    <row r="23" spans="1:76" ht="11.25" customHeight="1" x14ac:dyDescent="0.2">
      <c r="A23" s="4">
        <f xml:space="preserve"> Basis!A23</f>
        <v>23</v>
      </c>
      <c r="C23" s="179">
        <v>0</v>
      </c>
      <c r="D23" s="179">
        <v>0</v>
      </c>
      <c r="G23" s="179">
        <v>0.1077</v>
      </c>
      <c r="H23" s="179">
        <v>0.1147</v>
      </c>
      <c r="I23" s="180"/>
      <c r="J23" s="179">
        <v>0.11310000000000001</v>
      </c>
      <c r="K23" s="179">
        <v>0.1268</v>
      </c>
      <c r="M23" s="179">
        <v>0.1041</v>
      </c>
      <c r="N23" s="179">
        <v>0.1202</v>
      </c>
      <c r="O23" s="180"/>
      <c r="P23" s="179">
        <v>8.5500000000000007E-2</v>
      </c>
      <c r="Q23" s="179">
        <v>0.1085</v>
      </c>
      <c r="U23" s="179">
        <v>5.8299999999999998E-2</v>
      </c>
      <c r="V23" s="179">
        <v>7.3999999999999996E-2</v>
      </c>
      <c r="X23" s="179">
        <v>5.4899999999999997E-2</v>
      </c>
      <c r="Y23" s="179">
        <v>6.9599999999999995E-2</v>
      </c>
      <c r="AA23" s="179">
        <v>5.4600000000000003E-2</v>
      </c>
      <c r="AB23" s="179">
        <v>7.1400000000000005E-2</v>
      </c>
      <c r="AD23" s="179">
        <v>5.5E-2</v>
      </c>
      <c r="AE23" s="179">
        <v>7.1499999999999994E-2</v>
      </c>
      <c r="AF23" s="179"/>
      <c r="AG23" s="381">
        <v>1</v>
      </c>
      <c r="AH23" s="381">
        <v>1</v>
      </c>
      <c r="AI23" s="176">
        <f t="shared" si="31"/>
        <v>5.5E-2</v>
      </c>
      <c r="AJ23" s="176">
        <f t="shared" si="31"/>
        <v>7.1499999999999994E-2</v>
      </c>
      <c r="AK23" s="179"/>
      <c r="AL23" s="179"/>
      <c r="AM23" s="179"/>
      <c r="AO23" s="179">
        <v>0.12978000000000001</v>
      </c>
      <c r="AP23" s="179">
        <v>0.11188000000000001</v>
      </c>
      <c r="AQ23" s="179">
        <v>9.3280000000000002E-2</v>
      </c>
      <c r="AR23" s="179">
        <v>0.15218000000000001</v>
      </c>
      <c r="AS23" s="179">
        <v>0.13228000000000001</v>
      </c>
      <c r="AT23" s="179">
        <v>0.11408</v>
      </c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  <c r="BI23" s="152"/>
      <c r="BJ23" s="152"/>
      <c r="BK23" s="152"/>
      <c r="BL23" s="152"/>
      <c r="BM23" s="152"/>
      <c r="BN23" s="152"/>
      <c r="BP23" s="180"/>
      <c r="BQ23" s="175"/>
      <c r="BR23" s="175"/>
      <c r="BS23" s="175"/>
      <c r="BT23" s="175"/>
      <c r="BU23" s="175"/>
      <c r="BV23" s="175"/>
      <c r="BW23" s="175"/>
      <c r="BX23" s="175"/>
    </row>
    <row r="24" spans="1:76" ht="11.25" customHeight="1" x14ac:dyDescent="0.2">
      <c r="A24" s="4">
        <f xml:space="preserve"> Basis!A24</f>
        <v>24</v>
      </c>
      <c r="C24" s="179">
        <v>0</v>
      </c>
      <c r="D24" s="179">
        <v>0</v>
      </c>
      <c r="G24" s="179">
        <v>0.1042</v>
      </c>
      <c r="H24" s="179">
        <v>0.1133</v>
      </c>
      <c r="I24" s="180"/>
      <c r="J24" s="179">
        <v>0.10929999999999999</v>
      </c>
      <c r="K24" s="179">
        <v>0.128</v>
      </c>
      <c r="M24" s="179">
        <v>0.1009</v>
      </c>
      <c r="N24" s="179">
        <v>0.12280000000000001</v>
      </c>
      <c r="O24" s="180"/>
      <c r="P24" s="179">
        <v>8.4599999999999995E-2</v>
      </c>
      <c r="Q24" s="179">
        <v>0.1111</v>
      </c>
      <c r="U24" s="179">
        <v>5.7200000000000001E-2</v>
      </c>
      <c r="V24" s="179">
        <v>7.2400000000000006E-2</v>
      </c>
      <c r="X24" s="179">
        <v>5.5300000000000002E-2</v>
      </c>
      <c r="Y24" s="179">
        <v>7.1999999999999995E-2</v>
      </c>
      <c r="AA24" s="179">
        <v>5.6800000000000003E-2</v>
      </c>
      <c r="AB24" s="179">
        <v>7.3999999999999996E-2</v>
      </c>
      <c r="AD24" s="179">
        <v>5.79E-2</v>
      </c>
      <c r="AE24" s="179">
        <v>7.5399999999999995E-2</v>
      </c>
      <c r="AF24" s="179"/>
      <c r="AG24" s="381">
        <v>1</v>
      </c>
      <c r="AH24" s="381">
        <v>1</v>
      </c>
      <c r="AI24" s="176">
        <f t="shared" si="31"/>
        <v>5.79E-2</v>
      </c>
      <c r="AJ24" s="176">
        <f t="shared" si="31"/>
        <v>7.5399999999999995E-2</v>
      </c>
      <c r="AK24" s="179"/>
      <c r="AL24" s="179"/>
      <c r="AM24" s="179"/>
      <c r="AO24" s="179">
        <v>0.12826000000000001</v>
      </c>
      <c r="AP24" s="179">
        <v>0.11066000000000001</v>
      </c>
      <c r="AQ24" s="179">
        <v>9.1759999999999994E-2</v>
      </c>
      <c r="AR24" s="179">
        <v>0.15136000000000002</v>
      </c>
      <c r="AS24" s="179">
        <v>0.13145999999999999</v>
      </c>
      <c r="AT24" s="179">
        <v>0.11326</v>
      </c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  <c r="BI24" s="152"/>
      <c r="BJ24" s="152"/>
      <c r="BK24" s="152"/>
      <c r="BL24" s="152"/>
      <c r="BM24" s="152"/>
      <c r="BN24" s="152"/>
      <c r="BP24" s="180"/>
      <c r="BQ24" s="175"/>
      <c r="BR24" s="175"/>
      <c r="BS24" s="175"/>
      <c r="BT24" s="175"/>
      <c r="BU24" s="175"/>
      <c r="BV24" s="175"/>
      <c r="BW24" s="175"/>
      <c r="BX24" s="175"/>
    </row>
    <row r="25" spans="1:76" ht="11.25" customHeight="1" x14ac:dyDescent="0.2">
      <c r="A25" s="4">
        <f xml:space="preserve"> Basis!A25</f>
        <v>25</v>
      </c>
      <c r="C25" s="179">
        <v>0</v>
      </c>
      <c r="D25" s="179">
        <v>0</v>
      </c>
      <c r="G25" s="179">
        <v>0.10879999999999999</v>
      </c>
      <c r="H25" s="179">
        <v>0.1222</v>
      </c>
      <c r="I25" s="180"/>
      <c r="J25" s="179">
        <v>0.11559999999999999</v>
      </c>
      <c r="K25" s="179">
        <v>0.14019999999999999</v>
      </c>
      <c r="M25" s="179">
        <v>0.1077</v>
      </c>
      <c r="N25" s="179">
        <v>0.1368</v>
      </c>
      <c r="O25" s="180"/>
      <c r="P25" s="179">
        <v>9.2999999999999999E-2</v>
      </c>
      <c r="Q25" s="179">
        <v>0.12470000000000001</v>
      </c>
      <c r="U25" s="179">
        <v>6.3500000000000001E-2</v>
      </c>
      <c r="V25" s="179">
        <v>7.8899999999999998E-2</v>
      </c>
      <c r="X25" s="179">
        <v>6.25E-2</v>
      </c>
      <c r="Y25" s="179">
        <v>8.3199999999999996E-2</v>
      </c>
      <c r="AA25" s="179">
        <v>6.3500000000000001E-2</v>
      </c>
      <c r="AB25" s="179">
        <v>8.6099999999999996E-2</v>
      </c>
      <c r="AD25" s="179">
        <v>6.3500000000000001E-2</v>
      </c>
      <c r="AE25" s="179">
        <v>8.8800000000000004E-2</v>
      </c>
      <c r="AF25" s="179"/>
      <c r="AG25" s="382">
        <f t="shared" ref="AG25:AG29" si="32" xml:space="preserve"> MAX( 0.6, AG24 - 0.015 )</f>
        <v>0.98499999999999999</v>
      </c>
      <c r="AH25" s="382">
        <f t="shared" ref="AH25:AH29" si="33" xml:space="preserve"> MAX( 0.6, AH24 - 0.015 )</f>
        <v>0.98499999999999999</v>
      </c>
      <c r="AI25" s="176">
        <f t="shared" si="31"/>
        <v>6.3942499999999999E-2</v>
      </c>
      <c r="AJ25" s="176">
        <f t="shared" si="31"/>
        <v>8.9338500000000001E-2</v>
      </c>
      <c r="AK25" s="179"/>
      <c r="AL25" s="179"/>
      <c r="AM25" s="179"/>
      <c r="AO25" s="179">
        <v>0.12673999999999999</v>
      </c>
      <c r="AP25" s="179">
        <v>0.10944</v>
      </c>
      <c r="AQ25" s="179">
        <v>9.0240000000000001E-2</v>
      </c>
      <c r="AR25" s="179">
        <v>0.15054000000000001</v>
      </c>
      <c r="AS25" s="179">
        <v>0.13064000000000001</v>
      </c>
      <c r="AT25" s="179">
        <v>0.11244</v>
      </c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  <c r="BI25" s="152"/>
      <c r="BJ25" s="152"/>
      <c r="BK25" s="152"/>
      <c r="BL25" s="152"/>
      <c r="BM25" s="152"/>
      <c r="BN25" s="152"/>
      <c r="BP25" s="180"/>
      <c r="BQ25" s="175"/>
      <c r="BR25" s="175"/>
      <c r="BS25" s="175"/>
      <c r="BT25" s="175"/>
      <c r="BU25" s="175"/>
      <c r="BV25" s="175"/>
      <c r="BW25" s="175"/>
      <c r="BX25" s="175"/>
    </row>
    <row r="26" spans="1:76" ht="11.25" customHeight="1" x14ac:dyDescent="0.2">
      <c r="A26" s="4">
        <f xml:space="preserve"> Basis!A26</f>
        <v>26</v>
      </c>
      <c r="C26" s="179">
        <v>0</v>
      </c>
      <c r="D26" s="179">
        <v>0</v>
      </c>
      <c r="G26" s="179">
        <v>0.11559999999999999</v>
      </c>
      <c r="H26" s="179">
        <v>0.13139999999999999</v>
      </c>
      <c r="I26" s="180"/>
      <c r="J26" s="179">
        <v>0.12379999999999999</v>
      </c>
      <c r="K26" s="179">
        <v>0.15</v>
      </c>
      <c r="M26" s="179">
        <v>0.1158</v>
      </c>
      <c r="N26" s="179">
        <v>0.1477</v>
      </c>
      <c r="O26" s="180"/>
      <c r="P26" s="179">
        <v>0.10299999999999999</v>
      </c>
      <c r="Q26" s="179">
        <v>0.13619999999999999</v>
      </c>
      <c r="U26" s="179">
        <v>6.9699999999999998E-2</v>
      </c>
      <c r="V26" s="179">
        <v>8.43E-2</v>
      </c>
      <c r="X26" s="179">
        <v>7.1999999999999995E-2</v>
      </c>
      <c r="Y26" s="179">
        <v>9.1700000000000004E-2</v>
      </c>
      <c r="AA26" s="179">
        <v>7.1199999999999999E-2</v>
      </c>
      <c r="AB26" s="179">
        <v>9.4600000000000004E-2</v>
      </c>
      <c r="AD26" s="179">
        <v>7.2999999999999995E-2</v>
      </c>
      <c r="AE26" s="179">
        <v>9.7699999999999995E-2</v>
      </c>
      <c r="AF26" s="179"/>
      <c r="AG26" s="382">
        <f t="shared" si="32"/>
        <v>0.97</v>
      </c>
      <c r="AH26" s="382">
        <f t="shared" si="33"/>
        <v>0.97</v>
      </c>
      <c r="AI26" s="176">
        <f t="shared" si="31"/>
        <v>7.3899999999999993E-2</v>
      </c>
      <c r="AJ26" s="176">
        <f t="shared" si="31"/>
        <v>9.8854999999999998E-2</v>
      </c>
      <c r="AK26" s="179"/>
      <c r="AL26" s="179"/>
      <c r="AM26" s="179"/>
      <c r="AO26" s="179">
        <v>0.12522</v>
      </c>
      <c r="AP26" s="179">
        <v>0.10822</v>
      </c>
      <c r="AQ26" s="179">
        <v>8.8719999999999993E-2</v>
      </c>
      <c r="AR26" s="179">
        <v>0.14972000000000002</v>
      </c>
      <c r="AS26" s="179">
        <v>0.12981999999999999</v>
      </c>
      <c r="AT26" s="179">
        <v>0.11162</v>
      </c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  <c r="BI26" s="152"/>
      <c r="BJ26" s="152"/>
      <c r="BK26" s="152"/>
      <c r="BL26" s="152"/>
      <c r="BM26" s="152"/>
      <c r="BN26" s="152"/>
      <c r="BP26" s="180"/>
      <c r="BQ26" s="175"/>
      <c r="BR26" s="175"/>
      <c r="BS26" s="175"/>
      <c r="BT26" s="175"/>
      <c r="BU26" s="175"/>
      <c r="BV26" s="175"/>
      <c r="BW26" s="175"/>
      <c r="BX26" s="175"/>
    </row>
    <row r="27" spans="1:76" ht="11.25" customHeight="1" x14ac:dyDescent="0.2">
      <c r="A27" s="4">
        <f xml:space="preserve"> Basis!A27</f>
        <v>27</v>
      </c>
      <c r="C27" s="179">
        <v>0</v>
      </c>
      <c r="D27" s="179">
        <v>0</v>
      </c>
      <c r="G27" s="179">
        <v>0.1162</v>
      </c>
      <c r="H27" s="179">
        <v>0.1341</v>
      </c>
      <c r="I27" s="180"/>
      <c r="J27" s="179">
        <v>0.1235</v>
      </c>
      <c r="K27" s="179">
        <v>0.1474</v>
      </c>
      <c r="M27" s="179">
        <v>0.1159</v>
      </c>
      <c r="N27" s="179">
        <v>0.14380000000000001</v>
      </c>
      <c r="O27" s="180"/>
      <c r="P27" s="179">
        <v>0.1038</v>
      </c>
      <c r="Q27" s="179">
        <v>0.13320000000000001</v>
      </c>
      <c r="U27" s="179">
        <v>6.7699999999999996E-2</v>
      </c>
      <c r="V27" s="179">
        <v>8.3799999999999999E-2</v>
      </c>
      <c r="X27" s="179">
        <v>6.9699999999999998E-2</v>
      </c>
      <c r="Y27" s="179">
        <v>8.9200000000000002E-2</v>
      </c>
      <c r="AA27" s="179">
        <v>7.1099999999999997E-2</v>
      </c>
      <c r="AB27" s="179">
        <v>9.0899999999999995E-2</v>
      </c>
      <c r="AD27" s="179">
        <v>7.3400000000000007E-2</v>
      </c>
      <c r="AE27" s="179">
        <v>9.3600000000000003E-2</v>
      </c>
      <c r="AF27" s="179"/>
      <c r="AG27" s="382">
        <f t="shared" si="32"/>
        <v>0.95499999999999996</v>
      </c>
      <c r="AH27" s="382">
        <f t="shared" si="33"/>
        <v>0.95499999999999996</v>
      </c>
      <c r="AI27" s="176">
        <f t="shared" si="31"/>
        <v>7.4768000000000001E-2</v>
      </c>
      <c r="AJ27" s="176">
        <f t="shared" si="31"/>
        <v>9.5382000000000008E-2</v>
      </c>
      <c r="AK27" s="179"/>
      <c r="AL27" s="179"/>
      <c r="AM27" s="179"/>
      <c r="AO27" s="179">
        <v>0.1237</v>
      </c>
      <c r="AP27" s="179">
        <v>0.107</v>
      </c>
      <c r="AQ27" s="179">
        <v>8.72E-2</v>
      </c>
      <c r="AR27" s="179">
        <v>0.1489</v>
      </c>
      <c r="AS27" s="179">
        <v>0.129</v>
      </c>
      <c r="AT27" s="179">
        <v>0.1108</v>
      </c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  <c r="BI27" s="152"/>
      <c r="BJ27" s="152"/>
      <c r="BK27" s="152"/>
      <c r="BL27" s="152"/>
      <c r="BM27" s="152"/>
      <c r="BN27" s="152"/>
      <c r="BP27" s="180"/>
      <c r="BQ27" s="175"/>
      <c r="BR27" s="175"/>
      <c r="BS27" s="175"/>
      <c r="BT27" s="175"/>
      <c r="BU27" s="175"/>
      <c r="BV27" s="175"/>
      <c r="BW27" s="175"/>
      <c r="BX27" s="175"/>
    </row>
    <row r="28" spans="1:76" ht="11.25" customHeight="1" x14ac:dyDescent="0.2">
      <c r="A28" s="4">
        <f xml:space="preserve"> Basis!A28</f>
        <v>28</v>
      </c>
      <c r="C28" s="179">
        <v>0</v>
      </c>
      <c r="D28" s="179">
        <v>0</v>
      </c>
      <c r="G28" s="179">
        <v>0.1103</v>
      </c>
      <c r="H28" s="179">
        <v>0.1323</v>
      </c>
      <c r="I28" s="180"/>
      <c r="J28" s="179">
        <v>0.11600000000000001</v>
      </c>
      <c r="K28" s="179">
        <v>0.1381</v>
      </c>
      <c r="M28" s="179">
        <v>0.1077</v>
      </c>
      <c r="N28" s="179">
        <v>0.13289999999999999</v>
      </c>
      <c r="O28" s="180"/>
      <c r="P28" s="179">
        <v>9.4299999999999995E-2</v>
      </c>
      <c r="Q28" s="179">
        <v>0.1211</v>
      </c>
      <c r="U28" s="179">
        <v>6.1600000000000002E-2</v>
      </c>
      <c r="V28" s="179">
        <v>7.9399999999999998E-2</v>
      </c>
      <c r="X28" s="179">
        <v>6.3200000000000006E-2</v>
      </c>
      <c r="Y28" s="179">
        <v>8.09E-2</v>
      </c>
      <c r="AA28" s="179">
        <v>6.3799999999999996E-2</v>
      </c>
      <c r="AB28" s="179">
        <v>8.2299999999999998E-2</v>
      </c>
      <c r="AD28" s="179">
        <v>6.54E-2</v>
      </c>
      <c r="AE28" s="179">
        <v>8.4000000000000005E-2</v>
      </c>
      <c r="AF28" s="179"/>
      <c r="AG28" s="382">
        <f t="shared" si="32"/>
        <v>0.94</v>
      </c>
      <c r="AH28" s="382">
        <f t="shared" si="33"/>
        <v>0.94</v>
      </c>
      <c r="AI28" s="176">
        <f t="shared" si="31"/>
        <v>6.7133999999999999E-2</v>
      </c>
      <c r="AJ28" s="176">
        <f t="shared" si="31"/>
        <v>8.6226000000000011E-2</v>
      </c>
      <c r="AK28" s="179"/>
      <c r="AL28" s="179"/>
      <c r="AM28" s="179"/>
      <c r="AO28" s="179">
        <v>0.11332</v>
      </c>
      <c r="AP28" s="179">
        <v>9.7680000000000003E-2</v>
      </c>
      <c r="AQ28" s="179">
        <v>7.8600000000000003E-2</v>
      </c>
      <c r="AR28" s="179">
        <v>0.13919999999999999</v>
      </c>
      <c r="AS28" s="179">
        <v>0.1193</v>
      </c>
      <c r="AT28" s="179">
        <v>0.1011</v>
      </c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  <c r="BI28" s="152"/>
      <c r="BJ28" s="152"/>
      <c r="BK28" s="152"/>
      <c r="BL28" s="152"/>
      <c r="BM28" s="152"/>
      <c r="BN28" s="152"/>
      <c r="BP28" s="180"/>
      <c r="BQ28" s="175"/>
      <c r="BR28" s="175"/>
      <c r="BS28" s="175"/>
      <c r="BT28" s="175"/>
      <c r="BU28" s="175"/>
      <c r="BV28" s="175"/>
      <c r="BW28" s="175"/>
      <c r="BX28" s="175"/>
    </row>
    <row r="29" spans="1:76" ht="11.25" customHeight="1" x14ac:dyDescent="0.2">
      <c r="A29" s="4">
        <f xml:space="preserve"> Basis!A29</f>
        <v>29</v>
      </c>
      <c r="C29" s="179">
        <v>0</v>
      </c>
      <c r="D29" s="179">
        <v>0</v>
      </c>
      <c r="G29" s="179">
        <v>0.1003</v>
      </c>
      <c r="H29" s="179">
        <v>0.1236</v>
      </c>
      <c r="I29" s="180"/>
      <c r="J29" s="179">
        <v>0.1033</v>
      </c>
      <c r="K29" s="179">
        <v>0.12609999999999999</v>
      </c>
      <c r="M29" s="179">
        <v>9.5600000000000004E-2</v>
      </c>
      <c r="N29" s="179">
        <v>0.1196</v>
      </c>
      <c r="O29" s="180"/>
      <c r="P29" s="179">
        <v>8.0199999999999994E-2</v>
      </c>
      <c r="Q29" s="179">
        <v>0.1057</v>
      </c>
      <c r="U29" s="179">
        <v>5.21E-2</v>
      </c>
      <c r="V29" s="179">
        <v>7.1499999999999994E-2</v>
      </c>
      <c r="X29" s="179">
        <v>5.28E-2</v>
      </c>
      <c r="Y29" s="179">
        <v>7.1199999999999999E-2</v>
      </c>
      <c r="AA29" s="179">
        <v>5.3999999999999999E-2</v>
      </c>
      <c r="AB29" s="179">
        <v>7.0699999999999999E-2</v>
      </c>
      <c r="AD29" s="179">
        <v>5.5E-2</v>
      </c>
      <c r="AE29" s="179">
        <v>7.1199999999999999E-2</v>
      </c>
      <c r="AF29" s="179"/>
      <c r="AG29" s="382">
        <f t="shared" si="32"/>
        <v>0.92499999999999993</v>
      </c>
      <c r="AH29" s="382">
        <f t="shared" si="33"/>
        <v>0.92499999999999993</v>
      </c>
      <c r="AI29" s="176">
        <f t="shared" si="31"/>
        <v>5.6890000000000003E-2</v>
      </c>
      <c r="AJ29" s="176">
        <f t="shared" si="31"/>
        <v>7.3787500000000006E-2</v>
      </c>
      <c r="AK29" s="179"/>
      <c r="AL29" s="179"/>
      <c r="AM29" s="179"/>
      <c r="AO29" s="179">
        <v>0.10294</v>
      </c>
      <c r="AP29" s="179">
        <v>8.8359999999999994E-2</v>
      </c>
      <c r="AQ29" s="179">
        <v>7.0000000000000007E-2</v>
      </c>
      <c r="AR29" s="179">
        <v>0.1295</v>
      </c>
      <c r="AS29" s="179">
        <v>0.1096</v>
      </c>
      <c r="AT29" s="179">
        <v>9.1399999999999995E-2</v>
      </c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  <c r="BI29" s="152"/>
      <c r="BJ29" s="152"/>
      <c r="BK29" s="152"/>
      <c r="BL29" s="152"/>
      <c r="BM29" s="152"/>
      <c r="BN29" s="152"/>
      <c r="BP29" s="180"/>
      <c r="BQ29" s="175"/>
      <c r="BR29" s="175"/>
      <c r="BS29" s="175"/>
      <c r="BT29" s="175"/>
      <c r="BU29" s="175"/>
      <c r="BV29" s="175"/>
      <c r="BW29" s="175"/>
      <c r="BX29" s="175"/>
    </row>
    <row r="30" spans="1:76" ht="11.25" customHeight="1" x14ac:dyDescent="0.2">
      <c r="A30" s="4">
        <f xml:space="preserve"> Basis!A30</f>
        <v>30</v>
      </c>
      <c r="C30" s="179">
        <v>0</v>
      </c>
      <c r="D30" s="179">
        <v>0</v>
      </c>
      <c r="G30" s="179">
        <v>9.1800000000000007E-2</v>
      </c>
      <c r="H30" s="179">
        <v>0.1137</v>
      </c>
      <c r="I30" s="180"/>
      <c r="J30" s="179">
        <v>9.2399999999999996E-2</v>
      </c>
      <c r="K30" s="179">
        <v>0.1148</v>
      </c>
      <c r="M30" s="179">
        <v>8.4500000000000006E-2</v>
      </c>
      <c r="N30" s="179">
        <v>0.10780000000000001</v>
      </c>
      <c r="O30" s="180"/>
      <c r="P30" s="179">
        <v>7.0000000000000007E-2</v>
      </c>
      <c r="Q30" s="179">
        <v>9.3399999999999997E-2</v>
      </c>
      <c r="U30" s="179">
        <v>4.5400000000000003E-2</v>
      </c>
      <c r="V30" s="179">
        <v>6.3200000000000006E-2</v>
      </c>
      <c r="X30" s="179">
        <v>4.6300000000000001E-2</v>
      </c>
      <c r="Y30" s="179">
        <v>6.1199999999999997E-2</v>
      </c>
      <c r="AA30" s="179">
        <v>4.7199999999999999E-2</v>
      </c>
      <c r="AB30" s="179">
        <v>6.3100000000000003E-2</v>
      </c>
      <c r="AD30" s="179">
        <v>4.7800000000000002E-2</v>
      </c>
      <c r="AE30" s="179">
        <v>6.4799999999999996E-2</v>
      </c>
      <c r="AF30" s="179"/>
      <c r="AG30" s="382">
        <f xml:space="preserve"> MAX( 0.6, AG29 - 0.015 )</f>
        <v>0.90999999999999992</v>
      </c>
      <c r="AH30" s="382">
        <f t="shared" ref="AH30" si="34" xml:space="preserve"> MAX( 0.6, AH29 - 0.015 )</f>
        <v>0.90999999999999992</v>
      </c>
      <c r="AI30" s="176">
        <f t="shared" si="31"/>
        <v>4.9798000000000002E-2</v>
      </c>
      <c r="AJ30" s="176">
        <f t="shared" si="31"/>
        <v>6.7374000000000003E-2</v>
      </c>
      <c r="AK30" s="179"/>
      <c r="AL30" s="179"/>
      <c r="AM30" s="179"/>
      <c r="AO30" s="179">
        <v>9.2560000000000003E-2</v>
      </c>
      <c r="AP30" s="179">
        <v>7.9039999999999999E-2</v>
      </c>
      <c r="AQ30" s="179">
        <v>6.1400000000000003E-2</v>
      </c>
      <c r="AR30" s="179">
        <v>0.1198</v>
      </c>
      <c r="AS30" s="179">
        <v>9.9900000000000003E-2</v>
      </c>
      <c r="AT30" s="179">
        <v>8.1699999999999995E-2</v>
      </c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  <c r="BI30" s="152"/>
      <c r="BJ30" s="152"/>
      <c r="BK30" s="152"/>
      <c r="BL30" s="152"/>
      <c r="BM30" s="152"/>
      <c r="BN30" s="152"/>
      <c r="BP30" s="180"/>
      <c r="BQ30" s="175"/>
      <c r="BR30" s="175"/>
      <c r="BS30" s="175"/>
      <c r="BT30" s="175"/>
      <c r="BU30" s="175"/>
      <c r="BV30" s="175"/>
      <c r="BW30" s="175"/>
      <c r="BX30" s="175"/>
    </row>
    <row r="31" spans="1:76" ht="11.25" customHeight="1" x14ac:dyDescent="0.2">
      <c r="A31" s="4">
        <f xml:space="preserve"> Basis!A31</f>
        <v>31</v>
      </c>
      <c r="C31" s="179">
        <v>0</v>
      </c>
      <c r="D31" s="179">
        <v>0</v>
      </c>
      <c r="G31" s="179">
        <v>8.3699999999999997E-2</v>
      </c>
      <c r="H31" s="179">
        <v>0.1038</v>
      </c>
      <c r="I31" s="180"/>
      <c r="J31" s="179">
        <v>8.5099999999999995E-2</v>
      </c>
      <c r="K31" s="179">
        <v>0.1031</v>
      </c>
      <c r="M31" s="179">
        <v>7.7600000000000002E-2</v>
      </c>
      <c r="N31" s="179">
        <v>9.6699999999999994E-2</v>
      </c>
      <c r="O31" s="180"/>
      <c r="P31" s="179">
        <v>6.4399999999999999E-2</v>
      </c>
      <c r="Q31" s="179">
        <v>8.4599999999999995E-2</v>
      </c>
      <c r="U31" s="179">
        <v>3.9800000000000002E-2</v>
      </c>
      <c r="V31" s="179">
        <v>5.5899999999999998E-2</v>
      </c>
      <c r="X31" s="179">
        <v>4.1200000000000001E-2</v>
      </c>
      <c r="Y31" s="179">
        <v>5.6300000000000003E-2</v>
      </c>
      <c r="AA31" s="179">
        <v>4.2000000000000003E-2</v>
      </c>
      <c r="AB31" s="179">
        <v>5.8299999999999998E-2</v>
      </c>
      <c r="AD31" s="179">
        <v>4.3700000000000003E-2</v>
      </c>
      <c r="AE31" s="179">
        <v>6.0199999999999997E-2</v>
      </c>
      <c r="AF31" s="179"/>
      <c r="AG31" s="382">
        <f t="shared" ref="AG31:AG94" si="35" xml:space="preserve"> MAX( 0.6, AG30 - 0.015 )</f>
        <v>0.89499999999999991</v>
      </c>
      <c r="AH31" s="382">
        <f t="shared" ref="AH31:AH94" si="36" xml:space="preserve"> MAX( 0.6, AH30 - 0.015 )</f>
        <v>0.89499999999999991</v>
      </c>
      <c r="AI31" s="176">
        <f t="shared" si="31"/>
        <v>4.5873500000000005E-2</v>
      </c>
      <c r="AJ31" s="176">
        <f t="shared" si="31"/>
        <v>6.2761999999999998E-2</v>
      </c>
      <c r="AK31" s="179"/>
      <c r="AL31" s="179"/>
      <c r="AM31" s="179"/>
      <c r="AO31" s="179">
        <v>8.2180000000000003E-2</v>
      </c>
      <c r="AP31" s="179">
        <v>6.9720000000000004E-2</v>
      </c>
      <c r="AQ31" s="179">
        <v>5.28E-2</v>
      </c>
      <c r="AR31" s="179">
        <v>0.1101</v>
      </c>
      <c r="AS31" s="179">
        <v>9.0200000000000002E-2</v>
      </c>
      <c r="AT31" s="179">
        <v>7.1999999999999995E-2</v>
      </c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  <c r="BI31" s="152"/>
      <c r="BJ31" s="152"/>
      <c r="BK31" s="152"/>
      <c r="BL31" s="152"/>
      <c r="BM31" s="152"/>
      <c r="BN31" s="152"/>
      <c r="BP31" s="180"/>
      <c r="BQ31" s="175"/>
      <c r="BR31" s="175"/>
      <c r="BS31" s="175"/>
      <c r="BT31" s="175"/>
      <c r="BU31" s="175"/>
      <c r="BV31" s="175"/>
      <c r="BW31" s="175"/>
      <c r="BX31" s="175"/>
    </row>
    <row r="32" spans="1:76" ht="11.25" customHeight="1" x14ac:dyDescent="0.2">
      <c r="A32" s="4">
        <f xml:space="preserve"> Basis!A32</f>
        <v>32</v>
      </c>
      <c r="C32" s="179">
        <v>0</v>
      </c>
      <c r="D32" s="179">
        <v>0</v>
      </c>
      <c r="G32" s="179">
        <v>7.6100000000000001E-2</v>
      </c>
      <c r="H32" s="179">
        <v>9.3700000000000006E-2</v>
      </c>
      <c r="I32" s="180"/>
      <c r="J32" s="179">
        <v>7.8799999999999995E-2</v>
      </c>
      <c r="K32" s="179">
        <v>9.7900000000000001E-2</v>
      </c>
      <c r="M32" s="179">
        <v>7.17E-2</v>
      </c>
      <c r="N32" s="179">
        <v>9.3100000000000002E-2</v>
      </c>
      <c r="O32" s="180"/>
      <c r="P32" s="179">
        <v>5.8999999999999997E-2</v>
      </c>
      <c r="Q32" s="179">
        <v>7.9399999999999998E-2</v>
      </c>
      <c r="U32" s="179">
        <v>3.5499999999999997E-2</v>
      </c>
      <c r="V32" s="179">
        <v>5.0700000000000002E-2</v>
      </c>
      <c r="X32" s="179">
        <v>3.6999999999999998E-2</v>
      </c>
      <c r="Y32" s="179">
        <v>5.1499999999999997E-2</v>
      </c>
      <c r="AA32" s="179">
        <v>3.7900000000000003E-2</v>
      </c>
      <c r="AB32" s="179">
        <v>5.3600000000000002E-2</v>
      </c>
      <c r="AD32" s="179">
        <v>3.9800000000000002E-2</v>
      </c>
      <c r="AE32" s="179">
        <v>5.57E-2</v>
      </c>
      <c r="AF32" s="179"/>
      <c r="AG32" s="382">
        <f t="shared" si="35"/>
        <v>0.87999999999999989</v>
      </c>
      <c r="AH32" s="382">
        <f t="shared" si="36"/>
        <v>0.87999999999999989</v>
      </c>
      <c r="AI32" s="176">
        <f t="shared" si="31"/>
        <v>4.2104000000000003E-2</v>
      </c>
      <c r="AJ32" s="176">
        <f t="shared" si="31"/>
        <v>5.8543999999999999E-2</v>
      </c>
      <c r="AK32" s="179"/>
      <c r="AL32" s="179"/>
      <c r="AM32" s="179"/>
      <c r="AO32" s="179">
        <v>7.1800000000000003E-2</v>
      </c>
      <c r="AP32" s="179">
        <v>6.0400000000000002E-2</v>
      </c>
      <c r="AQ32" s="179">
        <v>4.4200000000000003E-2</v>
      </c>
      <c r="AR32" s="179">
        <v>0.1004</v>
      </c>
      <c r="AS32" s="179">
        <v>8.0500000000000002E-2</v>
      </c>
      <c r="AT32" s="179">
        <v>6.2300000000000001E-2</v>
      </c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  <c r="BI32" s="152"/>
      <c r="BJ32" s="152"/>
      <c r="BK32" s="152"/>
      <c r="BL32" s="152"/>
      <c r="BM32" s="152"/>
      <c r="BN32" s="152"/>
      <c r="BP32" s="180"/>
      <c r="BQ32" s="175"/>
      <c r="BR32" s="175"/>
      <c r="BS32" s="175"/>
      <c r="BT32" s="175"/>
      <c r="BU32" s="175"/>
      <c r="BV32" s="175"/>
      <c r="BW32" s="175"/>
      <c r="BX32" s="175"/>
    </row>
    <row r="33" spans="1:76" ht="11.25" customHeight="1" x14ac:dyDescent="0.2">
      <c r="A33" s="4">
        <f xml:space="preserve"> Basis!A33</f>
        <v>33</v>
      </c>
      <c r="C33" s="179">
        <v>0</v>
      </c>
      <c r="D33" s="179">
        <v>0</v>
      </c>
      <c r="G33" s="179">
        <v>6.83E-2</v>
      </c>
      <c r="H33" s="179">
        <v>8.4699999999999998E-2</v>
      </c>
      <c r="I33" s="180"/>
      <c r="J33" s="179">
        <v>7.2800000000000004E-2</v>
      </c>
      <c r="K33" s="179">
        <v>9.11E-2</v>
      </c>
      <c r="M33" s="179">
        <v>6.6000000000000003E-2</v>
      </c>
      <c r="N33" s="179">
        <v>8.6400000000000005E-2</v>
      </c>
      <c r="O33" s="180"/>
      <c r="P33" s="179">
        <v>5.3900000000000003E-2</v>
      </c>
      <c r="Q33" s="179">
        <v>7.3899999999999993E-2</v>
      </c>
      <c r="U33" s="179">
        <v>3.15E-2</v>
      </c>
      <c r="V33" s="179">
        <v>4.58E-2</v>
      </c>
      <c r="X33" s="179">
        <v>3.3099999999999997E-2</v>
      </c>
      <c r="Y33" s="179">
        <v>4.7E-2</v>
      </c>
      <c r="AA33" s="179">
        <v>3.4099999999999998E-2</v>
      </c>
      <c r="AB33" s="179">
        <v>4.9200000000000001E-2</v>
      </c>
      <c r="AD33" s="179">
        <v>3.61E-2</v>
      </c>
      <c r="AE33" s="179">
        <v>5.1499999999999997E-2</v>
      </c>
      <c r="AF33" s="179"/>
      <c r="AG33" s="382">
        <f t="shared" si="35"/>
        <v>0.86499999999999988</v>
      </c>
      <c r="AH33" s="382">
        <f t="shared" si="36"/>
        <v>0.86499999999999988</v>
      </c>
      <c r="AI33" s="176">
        <f t="shared" si="31"/>
        <v>3.8503000000000003E-2</v>
      </c>
      <c r="AJ33" s="176">
        <f t="shared" si="31"/>
        <v>5.4524000000000003E-2</v>
      </c>
      <c r="AK33" s="179"/>
      <c r="AL33" s="179"/>
      <c r="AM33" s="179"/>
      <c r="AO33" s="179">
        <v>6.6159999999999997E-2</v>
      </c>
      <c r="AP33" s="179">
        <v>5.4800000000000001E-2</v>
      </c>
      <c r="AQ33" s="179">
        <v>4.018E-2</v>
      </c>
      <c r="AR33" s="179">
        <v>9.2960000000000001E-2</v>
      </c>
      <c r="AS33" s="179">
        <v>7.374E-2</v>
      </c>
      <c r="AT33" s="179">
        <v>5.7279999999999998E-2</v>
      </c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  <c r="BI33" s="152"/>
      <c r="BJ33" s="152"/>
      <c r="BK33" s="152"/>
      <c r="BL33" s="152"/>
      <c r="BM33" s="152"/>
      <c r="BN33" s="152"/>
      <c r="BP33" s="180"/>
      <c r="BQ33" s="175"/>
      <c r="BR33" s="175"/>
      <c r="BS33" s="175"/>
      <c r="BT33" s="175"/>
      <c r="BU33" s="175"/>
      <c r="BV33" s="175"/>
      <c r="BW33" s="175"/>
      <c r="BX33" s="175"/>
    </row>
    <row r="34" spans="1:76" ht="11.25" customHeight="1" x14ac:dyDescent="0.2">
      <c r="A34" s="4">
        <f xml:space="preserve"> Basis!A34</f>
        <v>34</v>
      </c>
      <c r="C34" s="179">
        <v>0</v>
      </c>
      <c r="D34" s="179">
        <v>0</v>
      </c>
      <c r="G34" s="179">
        <v>6.2600000000000003E-2</v>
      </c>
      <c r="H34" s="179">
        <v>7.8799999999999995E-2</v>
      </c>
      <c r="I34" s="180"/>
      <c r="J34" s="179">
        <v>6.7199999999999996E-2</v>
      </c>
      <c r="K34" s="179">
        <v>8.4500000000000006E-2</v>
      </c>
      <c r="M34" s="179">
        <v>6.0699999999999997E-2</v>
      </c>
      <c r="N34" s="179">
        <v>8.0100000000000005E-2</v>
      </c>
      <c r="O34" s="180"/>
      <c r="P34" s="179">
        <v>4.9200000000000001E-2</v>
      </c>
      <c r="Q34" s="179">
        <v>6.9599999999999995E-2</v>
      </c>
      <c r="U34" s="179">
        <v>2.7900000000000001E-2</v>
      </c>
      <c r="V34" s="179">
        <v>4.1200000000000001E-2</v>
      </c>
      <c r="X34" s="179">
        <v>2.9600000000000001E-2</v>
      </c>
      <c r="Y34" s="179">
        <v>4.2799999999999998E-2</v>
      </c>
      <c r="AA34" s="179">
        <v>3.0599999999999999E-2</v>
      </c>
      <c r="AB34" s="179">
        <v>4.4999999999999998E-2</v>
      </c>
      <c r="AD34" s="179">
        <v>3.27E-2</v>
      </c>
      <c r="AE34" s="179">
        <v>4.7500000000000001E-2</v>
      </c>
      <c r="AF34" s="179"/>
      <c r="AG34" s="382">
        <f t="shared" si="35"/>
        <v>0.84999999999999987</v>
      </c>
      <c r="AH34" s="382">
        <f t="shared" si="36"/>
        <v>0.84999999999999987</v>
      </c>
      <c r="AI34" s="176">
        <f t="shared" si="31"/>
        <v>3.5175000000000005E-2</v>
      </c>
      <c r="AJ34" s="176">
        <f t="shared" si="31"/>
        <v>5.0814999999999999E-2</v>
      </c>
      <c r="AK34" s="179"/>
      <c r="AL34" s="179"/>
      <c r="AM34" s="179"/>
      <c r="AO34" s="179">
        <v>6.0520000000000004E-2</v>
      </c>
      <c r="AP34" s="179">
        <v>4.9200000000000001E-2</v>
      </c>
      <c r="AQ34" s="179">
        <v>3.6159999999999998E-2</v>
      </c>
      <c r="AR34" s="179">
        <v>8.5519999999999999E-2</v>
      </c>
      <c r="AS34" s="179">
        <v>6.6979999999999998E-2</v>
      </c>
      <c r="AT34" s="179">
        <v>5.2260000000000001E-2</v>
      </c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  <c r="BI34" s="152"/>
      <c r="BJ34" s="152"/>
      <c r="BK34" s="152"/>
      <c r="BL34" s="152"/>
      <c r="BM34" s="152"/>
      <c r="BN34" s="152"/>
      <c r="BP34" s="180"/>
      <c r="BQ34" s="175"/>
      <c r="BR34" s="175"/>
      <c r="BS34" s="175"/>
      <c r="BT34" s="175"/>
      <c r="BU34" s="175"/>
      <c r="BV34" s="175"/>
      <c r="BW34" s="175"/>
      <c r="BX34" s="175"/>
    </row>
    <row r="35" spans="1:76" ht="11.25" customHeight="1" x14ac:dyDescent="0.2">
      <c r="A35" s="4">
        <f xml:space="preserve"> Basis!A35</f>
        <v>35</v>
      </c>
      <c r="C35" s="179">
        <v>0</v>
      </c>
      <c r="D35" s="179">
        <v>0</v>
      </c>
      <c r="G35" s="179">
        <v>5.6500000000000002E-2</v>
      </c>
      <c r="H35" s="179">
        <v>7.1300000000000002E-2</v>
      </c>
      <c r="I35" s="180"/>
      <c r="J35" s="179">
        <v>6.1899999999999997E-2</v>
      </c>
      <c r="K35" s="179">
        <v>7.8200000000000006E-2</v>
      </c>
      <c r="M35" s="179">
        <v>5.5800000000000002E-2</v>
      </c>
      <c r="N35" s="179">
        <v>7.4099999999999999E-2</v>
      </c>
      <c r="O35" s="180"/>
      <c r="P35" s="179">
        <v>4.4900000000000002E-2</v>
      </c>
      <c r="Q35" s="179">
        <v>6.3700000000000007E-2</v>
      </c>
      <c r="U35" s="179">
        <v>2.46E-2</v>
      </c>
      <c r="V35" s="179">
        <v>3.6999999999999998E-2</v>
      </c>
      <c r="X35" s="179">
        <v>2.63E-2</v>
      </c>
      <c r="Y35" s="179">
        <v>3.8899999999999997E-2</v>
      </c>
      <c r="AA35" s="179">
        <v>2.7400000000000001E-2</v>
      </c>
      <c r="AB35" s="179">
        <v>4.1200000000000001E-2</v>
      </c>
      <c r="AD35" s="179">
        <v>2.9600000000000001E-2</v>
      </c>
      <c r="AE35" s="179">
        <v>4.3799999999999999E-2</v>
      </c>
      <c r="AF35" s="179"/>
      <c r="AG35" s="382">
        <f t="shared" si="35"/>
        <v>0.83499999999999985</v>
      </c>
      <c r="AH35" s="382">
        <f t="shared" si="36"/>
        <v>0.83499999999999985</v>
      </c>
      <c r="AI35" s="176">
        <f t="shared" si="31"/>
        <v>3.21245E-2</v>
      </c>
      <c r="AJ35" s="176">
        <f t="shared" si="31"/>
        <v>4.70835E-2</v>
      </c>
      <c r="AK35" s="179"/>
      <c r="AL35" s="179"/>
      <c r="AM35" s="179"/>
      <c r="AO35" s="179">
        <v>5.4879999999999998E-2</v>
      </c>
      <c r="AP35" s="179">
        <v>4.36E-2</v>
      </c>
      <c r="AQ35" s="179">
        <v>3.2140000000000002E-2</v>
      </c>
      <c r="AR35" s="179">
        <v>7.8080000000000011E-2</v>
      </c>
      <c r="AS35" s="179">
        <v>6.0219999999999996E-2</v>
      </c>
      <c r="AT35" s="179">
        <v>4.7239999999999997E-2</v>
      </c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  <c r="BI35" s="152"/>
      <c r="BJ35" s="152"/>
      <c r="BK35" s="152"/>
      <c r="BL35" s="152"/>
      <c r="BM35" s="152"/>
      <c r="BN35" s="152"/>
      <c r="BP35" s="180"/>
      <c r="BQ35" s="175"/>
      <c r="BR35" s="175"/>
      <c r="BS35" s="175"/>
      <c r="BT35" s="175"/>
      <c r="BU35" s="175"/>
      <c r="BV35" s="175"/>
      <c r="BW35" s="175"/>
      <c r="BX35" s="175"/>
    </row>
    <row r="36" spans="1:76" ht="11.25" customHeight="1" x14ac:dyDescent="0.2">
      <c r="A36" s="4">
        <f xml:space="preserve"> Basis!A36</f>
        <v>36</v>
      </c>
      <c r="C36" s="179">
        <v>0</v>
      </c>
      <c r="D36" s="179">
        <v>0</v>
      </c>
      <c r="G36" s="179">
        <v>5.1900000000000002E-2</v>
      </c>
      <c r="H36" s="179">
        <v>6.5299999999999997E-2</v>
      </c>
      <c r="I36" s="180"/>
      <c r="J36" s="179">
        <v>5.7000000000000002E-2</v>
      </c>
      <c r="K36" s="179">
        <v>7.2400000000000006E-2</v>
      </c>
      <c r="M36" s="179">
        <v>5.1299999999999998E-2</v>
      </c>
      <c r="N36" s="179">
        <v>6.8599999999999994E-2</v>
      </c>
      <c r="O36" s="180"/>
      <c r="P36" s="179">
        <v>4.1000000000000002E-2</v>
      </c>
      <c r="Q36" s="179">
        <v>6.0299999999999999E-2</v>
      </c>
      <c r="U36" s="179">
        <v>2.18E-2</v>
      </c>
      <c r="V36" s="179">
        <v>3.3399999999999999E-2</v>
      </c>
      <c r="X36" s="179">
        <v>2.35E-2</v>
      </c>
      <c r="Y36" s="179">
        <v>3.5400000000000001E-2</v>
      </c>
      <c r="AA36" s="179">
        <v>2.46E-2</v>
      </c>
      <c r="AB36" s="179">
        <v>3.7699999999999997E-2</v>
      </c>
      <c r="AD36" s="179">
        <v>2.6800000000000001E-2</v>
      </c>
      <c r="AE36" s="179">
        <v>4.0399999999999998E-2</v>
      </c>
      <c r="AF36" s="179"/>
      <c r="AG36" s="382">
        <f t="shared" si="35"/>
        <v>0.81999999999999984</v>
      </c>
      <c r="AH36" s="382">
        <f t="shared" si="36"/>
        <v>0.81999999999999984</v>
      </c>
      <c r="AI36" s="176">
        <f t="shared" si="31"/>
        <v>2.9356000000000004E-2</v>
      </c>
      <c r="AJ36" s="176">
        <f t="shared" si="31"/>
        <v>4.3982E-2</v>
      </c>
      <c r="AK36" s="179"/>
      <c r="AL36" s="179"/>
      <c r="AM36" s="179"/>
      <c r="AO36" s="179">
        <v>4.9239999999999999E-2</v>
      </c>
      <c r="AP36" s="179">
        <v>3.7999999999999999E-2</v>
      </c>
      <c r="AQ36" s="179">
        <v>2.8119999999999999E-2</v>
      </c>
      <c r="AR36" s="179">
        <v>7.0640000000000008E-2</v>
      </c>
      <c r="AS36" s="179">
        <v>5.3459999999999994E-2</v>
      </c>
      <c r="AT36" s="179">
        <v>4.2219999999999994E-2</v>
      </c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  <c r="BI36" s="152"/>
      <c r="BJ36" s="152"/>
      <c r="BK36" s="152"/>
      <c r="BL36" s="152"/>
      <c r="BM36" s="152"/>
      <c r="BN36" s="152"/>
      <c r="BP36" s="180"/>
      <c r="BQ36" s="175"/>
      <c r="BR36" s="175"/>
      <c r="BS36" s="175"/>
      <c r="BT36" s="175"/>
      <c r="BU36" s="175"/>
      <c r="BV36" s="175"/>
      <c r="BW36" s="175"/>
      <c r="BX36" s="175"/>
    </row>
    <row r="37" spans="1:76" ht="11.25" customHeight="1" x14ac:dyDescent="0.2">
      <c r="A37" s="4">
        <f xml:space="preserve"> Basis!A37</f>
        <v>37</v>
      </c>
      <c r="C37" s="179">
        <v>0</v>
      </c>
      <c r="D37" s="179">
        <v>0</v>
      </c>
      <c r="G37" s="179">
        <v>4.7399999999999998E-2</v>
      </c>
      <c r="H37" s="179">
        <v>5.96E-2</v>
      </c>
      <c r="I37" s="180"/>
      <c r="J37" s="179">
        <v>5.2699999999999997E-2</v>
      </c>
      <c r="K37" s="179">
        <v>6.7199999999999996E-2</v>
      </c>
      <c r="M37" s="179">
        <v>4.7300000000000002E-2</v>
      </c>
      <c r="N37" s="179">
        <v>6.3600000000000004E-2</v>
      </c>
      <c r="O37" s="180"/>
      <c r="P37" s="179">
        <v>3.7499999999999999E-2</v>
      </c>
      <c r="Q37" s="179">
        <v>5.5800000000000002E-2</v>
      </c>
      <c r="U37" s="179">
        <v>1.9400000000000001E-2</v>
      </c>
      <c r="V37" s="179">
        <v>3.04E-2</v>
      </c>
      <c r="X37" s="179">
        <v>2.1000000000000001E-2</v>
      </c>
      <c r="Y37" s="179">
        <v>3.2399999999999998E-2</v>
      </c>
      <c r="AA37" s="179">
        <v>2.2100000000000002E-2</v>
      </c>
      <c r="AB37" s="179">
        <v>3.4599999999999999E-2</v>
      </c>
      <c r="AD37" s="179">
        <v>2.4299999999999999E-2</v>
      </c>
      <c r="AE37" s="179">
        <v>3.73E-2</v>
      </c>
      <c r="AF37" s="179"/>
      <c r="AG37" s="382">
        <f t="shared" si="35"/>
        <v>0.80499999999999983</v>
      </c>
      <c r="AH37" s="382">
        <f t="shared" si="36"/>
        <v>0.80499999999999983</v>
      </c>
      <c r="AI37" s="176">
        <f t="shared" si="31"/>
        <v>2.6874000000000002E-2</v>
      </c>
      <c r="AJ37" s="176">
        <f t="shared" si="31"/>
        <v>4.0907500000000006E-2</v>
      </c>
      <c r="AK37" s="179"/>
      <c r="AL37" s="179"/>
      <c r="AM37" s="179"/>
      <c r="AO37" s="179">
        <v>4.36E-2</v>
      </c>
      <c r="AP37" s="179">
        <v>3.2399999999999998E-2</v>
      </c>
      <c r="AQ37" s="179">
        <v>2.41E-2</v>
      </c>
      <c r="AR37" s="179">
        <v>6.3200000000000006E-2</v>
      </c>
      <c r="AS37" s="179">
        <v>4.6699999999999998E-2</v>
      </c>
      <c r="AT37" s="179">
        <v>3.7199999999999997E-2</v>
      </c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  <c r="BI37" s="152"/>
      <c r="BJ37" s="152"/>
      <c r="BK37" s="152"/>
      <c r="BL37" s="152"/>
      <c r="BM37" s="152"/>
      <c r="BN37" s="152"/>
      <c r="BP37" s="180"/>
      <c r="BQ37" s="175"/>
      <c r="BR37" s="175"/>
      <c r="BS37" s="175"/>
      <c r="BT37" s="175"/>
      <c r="BU37" s="175"/>
      <c r="BV37" s="175"/>
      <c r="BW37" s="175"/>
      <c r="BX37" s="175"/>
    </row>
    <row r="38" spans="1:76" ht="11.25" customHeight="1" x14ac:dyDescent="0.2">
      <c r="A38" s="4">
        <f xml:space="preserve"> Basis!A38</f>
        <v>38</v>
      </c>
      <c r="C38" s="179">
        <v>0</v>
      </c>
      <c r="D38" s="179">
        <v>0</v>
      </c>
      <c r="G38" s="179">
        <v>4.36E-2</v>
      </c>
      <c r="H38" s="179">
        <v>5.4899999999999997E-2</v>
      </c>
      <c r="I38" s="180"/>
      <c r="J38" s="179">
        <v>4.8800000000000003E-2</v>
      </c>
      <c r="K38" s="179">
        <v>6.25E-2</v>
      </c>
      <c r="M38" s="179">
        <v>4.3799999999999999E-2</v>
      </c>
      <c r="N38" s="179">
        <v>5.91E-2</v>
      </c>
      <c r="O38" s="180"/>
      <c r="P38" s="179">
        <v>3.44E-2</v>
      </c>
      <c r="Q38" s="179">
        <v>5.1700000000000003E-2</v>
      </c>
      <c r="U38" s="179">
        <v>1.7399999999999999E-2</v>
      </c>
      <c r="V38" s="179">
        <v>2.8000000000000001E-2</v>
      </c>
      <c r="X38" s="179">
        <v>1.89E-2</v>
      </c>
      <c r="Y38" s="179">
        <v>2.98E-2</v>
      </c>
      <c r="AA38" s="179">
        <v>1.9900000000000001E-2</v>
      </c>
      <c r="AB38" s="179">
        <v>3.1899999999999998E-2</v>
      </c>
      <c r="AD38" s="179">
        <v>2.2100000000000002E-2</v>
      </c>
      <c r="AE38" s="179">
        <v>3.4500000000000003E-2</v>
      </c>
      <c r="AF38" s="179"/>
      <c r="AG38" s="382">
        <f t="shared" si="35"/>
        <v>0.78999999999999981</v>
      </c>
      <c r="AH38" s="382">
        <f t="shared" si="36"/>
        <v>0.78999999999999981</v>
      </c>
      <c r="AI38" s="176">
        <f t="shared" si="31"/>
        <v>2.4683000000000004E-2</v>
      </c>
      <c r="AJ38" s="176">
        <f t="shared" si="31"/>
        <v>3.8112000000000007E-2</v>
      </c>
      <c r="AK38" s="179"/>
      <c r="AL38" s="179"/>
      <c r="AM38" s="179"/>
      <c r="AO38" s="179">
        <v>4.0419999999999998E-2</v>
      </c>
      <c r="AP38" s="179">
        <v>2.9899999999999999E-2</v>
      </c>
      <c r="AQ38" s="179">
        <v>2.2460000000000001E-2</v>
      </c>
      <c r="AR38" s="179">
        <v>5.9000000000000004E-2</v>
      </c>
      <c r="AS38" s="179">
        <v>4.3779999999999999E-2</v>
      </c>
      <c r="AT38" s="179">
        <v>3.4879999999999994E-2</v>
      </c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  <c r="BI38" s="152"/>
      <c r="BJ38" s="152"/>
      <c r="BK38" s="152"/>
      <c r="BL38" s="152"/>
      <c r="BM38" s="152"/>
      <c r="BN38" s="152"/>
      <c r="BP38" s="180"/>
      <c r="BQ38" s="175"/>
      <c r="BR38" s="175"/>
      <c r="BS38" s="175"/>
      <c r="BT38" s="175"/>
      <c r="BU38" s="175"/>
      <c r="BV38" s="175"/>
      <c r="BW38" s="175"/>
      <c r="BX38" s="175"/>
    </row>
    <row r="39" spans="1:76" ht="11.25" customHeight="1" x14ac:dyDescent="0.2">
      <c r="A39" s="4">
        <f xml:space="preserve"> Basis!A39</f>
        <v>39</v>
      </c>
      <c r="C39" s="179">
        <v>0</v>
      </c>
      <c r="D39" s="179">
        <v>0</v>
      </c>
      <c r="G39" s="179">
        <v>4.0399999999999998E-2</v>
      </c>
      <c r="H39" s="179">
        <v>5.11E-2</v>
      </c>
      <c r="I39" s="180"/>
      <c r="J39" s="179">
        <v>4.5499999999999999E-2</v>
      </c>
      <c r="K39" s="179">
        <v>5.8400000000000001E-2</v>
      </c>
      <c r="M39" s="179">
        <v>4.07E-2</v>
      </c>
      <c r="N39" s="179">
        <v>5.5199999999999999E-2</v>
      </c>
      <c r="O39" s="180"/>
      <c r="P39" s="179">
        <v>3.1699999999999999E-2</v>
      </c>
      <c r="Q39" s="179">
        <v>4.8000000000000001E-2</v>
      </c>
      <c r="U39" s="179">
        <v>1.5800000000000002E-2</v>
      </c>
      <c r="V39" s="179">
        <v>2.5999999999999999E-2</v>
      </c>
      <c r="X39" s="179">
        <v>1.72E-2</v>
      </c>
      <c r="Y39" s="179">
        <v>2.76E-2</v>
      </c>
      <c r="AA39" s="179">
        <v>1.8200000000000001E-2</v>
      </c>
      <c r="AB39" s="179">
        <v>2.9600000000000001E-2</v>
      </c>
      <c r="AD39" s="179">
        <v>2.0199999999999999E-2</v>
      </c>
      <c r="AE39" s="179">
        <v>3.2000000000000001E-2</v>
      </c>
      <c r="AF39" s="179"/>
      <c r="AG39" s="382">
        <f t="shared" si="35"/>
        <v>0.7749999999999998</v>
      </c>
      <c r="AH39" s="382">
        <f t="shared" si="36"/>
        <v>0.7749999999999998</v>
      </c>
      <c r="AI39" s="176">
        <f t="shared" si="31"/>
        <v>2.2787500000000002E-2</v>
      </c>
      <c r="AJ39" s="176">
        <f t="shared" si="31"/>
        <v>3.5600000000000007E-2</v>
      </c>
      <c r="AK39" s="179"/>
      <c r="AL39" s="179"/>
      <c r="AM39" s="179"/>
      <c r="AO39" s="179">
        <v>3.7239999999999995E-2</v>
      </c>
      <c r="AP39" s="179">
        <v>2.7400000000000001E-2</v>
      </c>
      <c r="AQ39" s="179">
        <v>2.0819999999999998E-2</v>
      </c>
      <c r="AR39" s="179">
        <v>5.4800000000000001E-2</v>
      </c>
      <c r="AS39" s="179">
        <v>4.0859999999999994E-2</v>
      </c>
      <c r="AT39" s="179">
        <v>3.2559999999999999E-2</v>
      </c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  <c r="BI39" s="152"/>
      <c r="BJ39" s="152"/>
      <c r="BK39" s="152"/>
      <c r="BL39" s="152"/>
      <c r="BM39" s="152"/>
      <c r="BN39" s="152"/>
      <c r="BP39" s="180"/>
      <c r="BQ39" s="175"/>
      <c r="BR39" s="175"/>
      <c r="BS39" s="175"/>
      <c r="BT39" s="175"/>
      <c r="BU39" s="175"/>
      <c r="BV39" s="175"/>
      <c r="BW39" s="175"/>
      <c r="BX39" s="175"/>
    </row>
    <row r="40" spans="1:76" ht="11.25" customHeight="1" x14ac:dyDescent="0.2">
      <c r="A40" s="4">
        <f xml:space="preserve"> Basis!A40</f>
        <v>40</v>
      </c>
      <c r="C40" s="179">
        <v>0</v>
      </c>
      <c r="D40" s="179">
        <v>0</v>
      </c>
      <c r="G40" s="179">
        <v>3.78E-2</v>
      </c>
      <c r="H40" s="179">
        <v>4.7899999999999998E-2</v>
      </c>
      <c r="I40" s="180"/>
      <c r="J40" s="179">
        <v>4.2700000000000002E-2</v>
      </c>
      <c r="K40" s="179">
        <v>5.4800000000000001E-2</v>
      </c>
      <c r="M40" s="179">
        <v>3.8100000000000002E-2</v>
      </c>
      <c r="N40" s="179">
        <v>5.1799999999999999E-2</v>
      </c>
      <c r="O40" s="180"/>
      <c r="P40" s="179">
        <v>2.9399999999999999E-2</v>
      </c>
      <c r="Q40" s="179">
        <v>4.48E-2</v>
      </c>
      <c r="U40" s="179">
        <v>1.4500000000000001E-2</v>
      </c>
      <c r="V40" s="179">
        <v>2.4299999999999999E-2</v>
      </c>
      <c r="X40" s="179">
        <v>1.5800000000000002E-2</v>
      </c>
      <c r="Y40" s="179">
        <v>2.58E-2</v>
      </c>
      <c r="AA40" s="179">
        <v>1.67E-2</v>
      </c>
      <c r="AB40" s="179">
        <v>2.76E-2</v>
      </c>
      <c r="AD40" s="179">
        <v>1.8599999999999998E-2</v>
      </c>
      <c r="AE40" s="179">
        <v>2.98E-2</v>
      </c>
      <c r="AF40" s="179"/>
      <c r="AG40" s="382">
        <f t="shared" si="35"/>
        <v>0.75999999999999979</v>
      </c>
      <c r="AH40" s="382">
        <f t="shared" si="36"/>
        <v>0.75999999999999979</v>
      </c>
      <c r="AI40" s="176">
        <f t="shared" si="31"/>
        <v>2.1192000000000003E-2</v>
      </c>
      <c r="AJ40" s="176">
        <f t="shared" si="31"/>
        <v>3.3400000000000006E-2</v>
      </c>
      <c r="AK40" s="179"/>
      <c r="AL40" s="179"/>
      <c r="AM40" s="179"/>
      <c r="AO40" s="179">
        <v>3.406E-2</v>
      </c>
      <c r="AP40" s="179">
        <v>2.4899999999999999E-2</v>
      </c>
      <c r="AQ40" s="179">
        <v>1.9180000000000003E-2</v>
      </c>
      <c r="AR40" s="179">
        <v>5.0600000000000006E-2</v>
      </c>
      <c r="AS40" s="179">
        <v>3.7940000000000002E-2</v>
      </c>
      <c r="AT40" s="179">
        <v>3.024E-2</v>
      </c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  <c r="BI40" s="152"/>
      <c r="BJ40" s="152"/>
      <c r="BK40" s="152"/>
      <c r="BL40" s="152"/>
      <c r="BM40" s="152"/>
      <c r="BN40" s="152"/>
      <c r="BP40" s="180"/>
      <c r="BQ40" s="175"/>
      <c r="BR40" s="175"/>
      <c r="BS40" s="175"/>
      <c r="BT40" s="175"/>
      <c r="BU40" s="175"/>
      <c r="BV40" s="175"/>
      <c r="BW40" s="175"/>
      <c r="BX40" s="175"/>
    </row>
    <row r="41" spans="1:76" ht="11.25" customHeight="1" x14ac:dyDescent="0.2">
      <c r="A41" s="4">
        <f xml:space="preserve"> Basis!A41</f>
        <v>41</v>
      </c>
      <c r="C41" s="179">
        <v>0</v>
      </c>
      <c r="D41" s="179">
        <v>0</v>
      </c>
      <c r="G41" s="179">
        <v>3.56E-2</v>
      </c>
      <c r="H41" s="179">
        <v>4.5400000000000003E-2</v>
      </c>
      <c r="I41" s="180"/>
      <c r="J41" s="179">
        <v>4.0300000000000002E-2</v>
      </c>
      <c r="K41" s="179">
        <v>5.1799999999999999E-2</v>
      </c>
      <c r="M41" s="179">
        <v>3.5999999999999997E-2</v>
      </c>
      <c r="N41" s="179">
        <v>4.8899999999999999E-2</v>
      </c>
      <c r="O41" s="180"/>
      <c r="P41" s="179">
        <v>2.75E-2</v>
      </c>
      <c r="Q41" s="179">
        <v>4.2000000000000003E-2</v>
      </c>
      <c r="U41" s="179">
        <v>1.3599999999999999E-2</v>
      </c>
      <c r="V41" s="179">
        <v>2.29E-2</v>
      </c>
      <c r="X41" s="179">
        <v>1.47E-2</v>
      </c>
      <c r="Y41" s="179">
        <v>2.4299999999999999E-2</v>
      </c>
      <c r="AA41" s="179">
        <v>1.5599999999999999E-2</v>
      </c>
      <c r="AB41" s="179">
        <v>2.5899999999999999E-2</v>
      </c>
      <c r="AD41" s="179">
        <v>1.7299999999999999E-2</v>
      </c>
      <c r="AE41" s="179">
        <v>2.7900000000000001E-2</v>
      </c>
      <c r="AF41" s="179"/>
      <c r="AG41" s="382">
        <f t="shared" si="35"/>
        <v>0.74499999999999977</v>
      </c>
      <c r="AH41" s="382">
        <f t="shared" si="36"/>
        <v>0.74499999999999977</v>
      </c>
      <c r="AI41" s="176">
        <f t="shared" si="31"/>
        <v>1.9901000000000002E-2</v>
      </c>
      <c r="AJ41" s="176">
        <f t="shared" si="31"/>
        <v>3.1495500000000003E-2</v>
      </c>
      <c r="AK41" s="179"/>
      <c r="AL41" s="179"/>
      <c r="AM41" s="179"/>
      <c r="AO41" s="179">
        <v>3.0879999999999998E-2</v>
      </c>
      <c r="AP41" s="179">
        <v>2.24E-2</v>
      </c>
      <c r="AQ41" s="179">
        <v>1.754E-2</v>
      </c>
      <c r="AR41" s="179">
        <v>4.6399999999999997E-2</v>
      </c>
      <c r="AS41" s="179">
        <v>3.5019999999999996E-2</v>
      </c>
      <c r="AT41" s="179">
        <v>2.792E-2</v>
      </c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  <c r="BI41" s="152"/>
      <c r="BJ41" s="152"/>
      <c r="BK41" s="152"/>
      <c r="BL41" s="152"/>
      <c r="BM41" s="152"/>
      <c r="BN41" s="152"/>
      <c r="BP41" s="180"/>
      <c r="BQ41" s="175"/>
      <c r="BR41" s="175"/>
      <c r="BS41" s="175"/>
      <c r="BT41" s="175"/>
      <c r="BU41" s="175"/>
      <c r="BV41" s="175"/>
      <c r="BW41" s="175"/>
      <c r="BX41" s="175"/>
    </row>
    <row r="42" spans="1:76" ht="11.25" customHeight="1" x14ac:dyDescent="0.2">
      <c r="A42" s="4">
        <f xml:space="preserve"> Basis!A42</f>
        <v>42</v>
      </c>
      <c r="C42" s="179">
        <v>0</v>
      </c>
      <c r="D42" s="179">
        <v>0</v>
      </c>
      <c r="G42" s="179">
        <v>3.3799999999999997E-2</v>
      </c>
      <c r="H42" s="179">
        <v>4.3200000000000002E-2</v>
      </c>
      <c r="I42" s="180"/>
      <c r="J42" s="179">
        <v>3.8399999999999997E-2</v>
      </c>
      <c r="K42" s="179">
        <v>4.9299999999999997E-2</v>
      </c>
      <c r="M42" s="179">
        <v>3.4200000000000001E-2</v>
      </c>
      <c r="N42" s="179">
        <v>4.6399999999999997E-2</v>
      </c>
      <c r="O42" s="180"/>
      <c r="P42" s="179">
        <v>2.5899999999999999E-2</v>
      </c>
      <c r="Q42" s="179">
        <v>3.9600000000000003E-2</v>
      </c>
      <c r="U42" s="179">
        <v>1.2999999999999999E-2</v>
      </c>
      <c r="V42" s="179">
        <v>2.18E-2</v>
      </c>
      <c r="X42" s="179">
        <v>1.3899999999999999E-2</v>
      </c>
      <c r="Y42" s="179">
        <v>2.3099999999999999E-2</v>
      </c>
      <c r="AA42" s="179">
        <v>1.47E-2</v>
      </c>
      <c r="AB42" s="179">
        <v>2.4500000000000001E-2</v>
      </c>
      <c r="AD42" s="179">
        <v>1.6299999999999999E-2</v>
      </c>
      <c r="AE42" s="179">
        <v>2.63E-2</v>
      </c>
      <c r="AF42" s="179"/>
      <c r="AG42" s="382">
        <f t="shared" si="35"/>
        <v>0.72999999999999976</v>
      </c>
      <c r="AH42" s="382">
        <f t="shared" si="36"/>
        <v>0.72999999999999976</v>
      </c>
      <c r="AI42" s="176">
        <f t="shared" si="31"/>
        <v>1.8892000000000003E-2</v>
      </c>
      <c r="AJ42" s="176">
        <f t="shared" si="31"/>
        <v>2.9891000000000004E-2</v>
      </c>
      <c r="AK42" s="179"/>
      <c r="AL42" s="179"/>
      <c r="AM42" s="179"/>
      <c r="AO42" s="179">
        <v>2.7699999999999999E-2</v>
      </c>
      <c r="AP42" s="179">
        <v>1.9900000000000001E-2</v>
      </c>
      <c r="AQ42" s="179">
        <v>1.5900000000000001E-2</v>
      </c>
      <c r="AR42" s="179">
        <v>4.2200000000000001E-2</v>
      </c>
      <c r="AS42" s="179">
        <v>3.2099999999999997E-2</v>
      </c>
      <c r="AT42" s="179">
        <v>2.5600000000000001E-2</v>
      </c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  <c r="BI42" s="152"/>
      <c r="BJ42" s="152"/>
      <c r="BK42" s="152"/>
      <c r="BL42" s="152"/>
      <c r="BM42" s="152"/>
      <c r="BN42" s="152"/>
      <c r="BP42" s="180"/>
      <c r="BQ42" s="175"/>
      <c r="BR42" s="175"/>
      <c r="BS42" s="175"/>
      <c r="BT42" s="175"/>
      <c r="BU42" s="175"/>
      <c r="BV42" s="175"/>
      <c r="BW42" s="175"/>
      <c r="BX42" s="175"/>
    </row>
    <row r="43" spans="1:76" ht="11.25" customHeight="1" x14ac:dyDescent="0.2">
      <c r="A43" s="4">
        <f xml:space="preserve"> Basis!A43</f>
        <v>43</v>
      </c>
      <c r="C43" s="179">
        <v>0</v>
      </c>
      <c r="D43" s="179">
        <v>0</v>
      </c>
      <c r="G43" s="179">
        <v>3.2399999999999998E-2</v>
      </c>
      <c r="H43" s="179">
        <v>4.1399999999999999E-2</v>
      </c>
      <c r="I43" s="180"/>
      <c r="J43" s="179">
        <v>3.6900000000000002E-2</v>
      </c>
      <c r="K43" s="179">
        <v>4.7399999999999998E-2</v>
      </c>
      <c r="M43" s="179">
        <v>3.2800000000000003E-2</v>
      </c>
      <c r="N43" s="179">
        <v>4.4400000000000002E-2</v>
      </c>
      <c r="O43" s="180"/>
      <c r="P43" s="179">
        <v>2.47E-2</v>
      </c>
      <c r="Q43" s="179">
        <v>3.7600000000000001E-2</v>
      </c>
      <c r="U43" s="179">
        <v>1.26E-2</v>
      </c>
      <c r="V43" s="179">
        <v>2.0899999999999998E-2</v>
      </c>
      <c r="X43" s="179">
        <v>1.34E-2</v>
      </c>
      <c r="Y43" s="179">
        <v>2.2200000000000001E-2</v>
      </c>
      <c r="AA43" s="179">
        <v>1.41E-2</v>
      </c>
      <c r="AB43" s="179">
        <v>2.3400000000000001E-2</v>
      </c>
      <c r="AD43" s="179">
        <v>1.5599999999999999E-2</v>
      </c>
      <c r="AE43" s="179">
        <v>2.4899999999999999E-2</v>
      </c>
      <c r="AF43" s="179"/>
      <c r="AG43" s="382">
        <f t="shared" si="35"/>
        <v>0.71499999999999975</v>
      </c>
      <c r="AH43" s="382">
        <f t="shared" si="36"/>
        <v>0.71499999999999975</v>
      </c>
      <c r="AI43" s="176">
        <f t="shared" si="31"/>
        <v>1.8193500000000001E-2</v>
      </c>
      <c r="AJ43" s="176">
        <f t="shared" si="31"/>
        <v>2.8519500000000003E-2</v>
      </c>
      <c r="AK43" s="179"/>
      <c r="AL43" s="179"/>
      <c r="AM43" s="179"/>
      <c r="AO43" s="179">
        <v>2.682E-2</v>
      </c>
      <c r="AP43" s="179">
        <v>1.9620000000000002E-2</v>
      </c>
      <c r="AQ43" s="179">
        <v>1.554E-2</v>
      </c>
      <c r="AR43" s="179">
        <v>4.0559999999999999E-2</v>
      </c>
      <c r="AS43" s="179">
        <v>3.0959999999999998E-2</v>
      </c>
      <c r="AT43" s="179">
        <v>2.4400000000000002E-2</v>
      </c>
      <c r="AU43" s="180"/>
      <c r="AV43" s="180"/>
      <c r="AW43" s="180"/>
      <c r="AX43" s="180"/>
      <c r="AY43" s="180"/>
      <c r="AZ43" s="180"/>
      <c r="BA43" s="180"/>
      <c r="BB43" s="180"/>
      <c r="BC43" s="180"/>
      <c r="BD43" s="180"/>
      <c r="BE43" s="180"/>
      <c r="BF43" s="180"/>
      <c r="BG43" s="180"/>
      <c r="BH43" s="180"/>
      <c r="BI43" s="180"/>
      <c r="BJ43" s="180"/>
      <c r="BK43" s="180"/>
      <c r="BL43" s="180"/>
      <c r="BM43" s="180"/>
      <c r="BN43" s="180"/>
      <c r="BP43" s="180"/>
      <c r="BQ43" s="175"/>
      <c r="BR43" s="175"/>
      <c r="BS43" s="175"/>
      <c r="BT43" s="175"/>
      <c r="BU43" s="175"/>
      <c r="BV43" s="175"/>
      <c r="BW43" s="175"/>
      <c r="BX43" s="175"/>
    </row>
    <row r="44" spans="1:76" ht="11.25" customHeight="1" x14ac:dyDescent="0.2">
      <c r="A44" s="4">
        <f xml:space="preserve"> Basis!A44</f>
        <v>44</v>
      </c>
      <c r="C44" s="179">
        <v>0</v>
      </c>
      <c r="D44" s="179">
        <v>0</v>
      </c>
      <c r="G44" s="179">
        <v>3.1300000000000001E-2</v>
      </c>
      <c r="H44" s="179">
        <v>3.9899999999999998E-2</v>
      </c>
      <c r="I44" s="180"/>
      <c r="J44" s="179">
        <v>3.5799999999999998E-2</v>
      </c>
      <c r="K44" s="179">
        <v>4.58E-2</v>
      </c>
      <c r="M44" s="179">
        <v>3.1800000000000002E-2</v>
      </c>
      <c r="N44" s="179">
        <v>4.2700000000000002E-2</v>
      </c>
      <c r="O44" s="180"/>
      <c r="P44" s="179">
        <v>2.3800000000000002E-2</v>
      </c>
      <c r="Q44" s="179">
        <v>3.5900000000000001E-2</v>
      </c>
      <c r="U44" s="179">
        <v>1.24E-2</v>
      </c>
      <c r="V44" s="179">
        <v>2.0299999999999999E-2</v>
      </c>
      <c r="X44" s="179">
        <v>1.3100000000000001E-2</v>
      </c>
      <c r="Y44" s="179">
        <v>2.1600000000000001E-2</v>
      </c>
      <c r="AA44" s="179">
        <v>1.38E-2</v>
      </c>
      <c r="AB44" s="179">
        <v>2.2499999999999999E-2</v>
      </c>
      <c r="AD44" s="179">
        <v>1.52E-2</v>
      </c>
      <c r="AE44" s="179">
        <v>2.3900000000000001E-2</v>
      </c>
      <c r="AF44" s="179"/>
      <c r="AG44" s="382">
        <f t="shared" si="35"/>
        <v>0.69999999999999973</v>
      </c>
      <c r="AH44" s="382">
        <f t="shared" si="36"/>
        <v>0.69999999999999973</v>
      </c>
      <c r="AI44" s="176">
        <f t="shared" si="31"/>
        <v>1.7780000000000004E-2</v>
      </c>
      <c r="AJ44" s="176">
        <f t="shared" si="31"/>
        <v>2.7500000000000004E-2</v>
      </c>
      <c r="AK44" s="179"/>
      <c r="AL44" s="179"/>
      <c r="AM44" s="179"/>
      <c r="AO44" s="179">
        <v>2.5940000000000001E-2</v>
      </c>
      <c r="AP44" s="179">
        <v>1.934E-2</v>
      </c>
      <c r="AQ44" s="179">
        <v>1.5180000000000001E-2</v>
      </c>
      <c r="AR44" s="179">
        <v>3.8920000000000003E-2</v>
      </c>
      <c r="AS44" s="179">
        <v>2.9819999999999999E-2</v>
      </c>
      <c r="AT44" s="179">
        <v>2.3199999999999998E-2</v>
      </c>
      <c r="AU44" s="180"/>
      <c r="AV44" s="180"/>
      <c r="AW44" s="180"/>
      <c r="AX44" s="180"/>
      <c r="AY44" s="180"/>
      <c r="AZ44" s="180"/>
      <c r="BA44" s="180"/>
      <c r="BB44" s="180"/>
      <c r="BC44" s="180"/>
      <c r="BD44" s="180"/>
      <c r="BE44" s="180"/>
      <c r="BF44" s="180"/>
      <c r="BG44" s="180"/>
      <c r="BH44" s="180"/>
      <c r="BI44" s="180"/>
      <c r="BJ44" s="180"/>
      <c r="BK44" s="180"/>
      <c r="BL44" s="180"/>
      <c r="BM44" s="180"/>
      <c r="BN44" s="180"/>
      <c r="BP44" s="180"/>
      <c r="BQ44" s="175"/>
      <c r="BR44" s="175"/>
      <c r="BS44" s="175"/>
      <c r="BT44" s="175"/>
      <c r="BU44" s="175"/>
      <c r="BV44" s="175"/>
      <c r="BW44" s="175"/>
      <c r="BX44" s="175"/>
    </row>
    <row r="45" spans="1:76" ht="11.25" customHeight="1" x14ac:dyDescent="0.2">
      <c r="A45" s="4">
        <f xml:space="preserve"> Basis!A45</f>
        <v>45</v>
      </c>
      <c r="C45" s="179">
        <v>0</v>
      </c>
      <c r="D45" s="179">
        <v>0</v>
      </c>
      <c r="G45" s="179">
        <v>3.04E-2</v>
      </c>
      <c r="H45" s="179">
        <v>3.8600000000000002E-2</v>
      </c>
      <c r="I45" s="180"/>
      <c r="J45" s="179">
        <v>3.5099999999999999E-2</v>
      </c>
      <c r="K45" s="179">
        <v>4.4600000000000001E-2</v>
      </c>
      <c r="M45" s="179">
        <v>3.1099999999999999E-2</v>
      </c>
      <c r="N45" s="179">
        <v>4.1500000000000002E-2</v>
      </c>
      <c r="O45" s="180"/>
      <c r="P45" s="179">
        <v>2.3300000000000001E-2</v>
      </c>
      <c r="Q45" s="179">
        <v>3.4700000000000002E-2</v>
      </c>
      <c r="U45" s="179">
        <v>1.2500000000000001E-2</v>
      </c>
      <c r="V45" s="179">
        <v>1.9900000000000001E-2</v>
      </c>
      <c r="X45" s="179">
        <v>1.3100000000000001E-2</v>
      </c>
      <c r="Y45" s="179">
        <v>2.1100000000000001E-2</v>
      </c>
      <c r="AA45" s="179">
        <v>1.37E-2</v>
      </c>
      <c r="AB45" s="179">
        <v>2.1999999999999999E-2</v>
      </c>
      <c r="AD45" s="179">
        <v>1.49E-2</v>
      </c>
      <c r="AE45" s="179">
        <v>2.3199999999999998E-2</v>
      </c>
      <c r="AF45" s="179"/>
      <c r="AG45" s="382">
        <f t="shared" si="35"/>
        <v>0.68499999999999972</v>
      </c>
      <c r="AH45" s="382">
        <f t="shared" si="36"/>
        <v>0.68499999999999972</v>
      </c>
      <c r="AI45" s="176">
        <f t="shared" si="31"/>
        <v>1.7546000000000003E-2</v>
      </c>
      <c r="AJ45" s="176">
        <f t="shared" si="31"/>
        <v>2.6822500000000003E-2</v>
      </c>
      <c r="AK45" s="179"/>
      <c r="AL45" s="179"/>
      <c r="AM45" s="179"/>
      <c r="AO45" s="179">
        <v>2.5059999999999999E-2</v>
      </c>
      <c r="AP45" s="179">
        <v>1.9060000000000001E-2</v>
      </c>
      <c r="AQ45" s="179">
        <v>1.482E-2</v>
      </c>
      <c r="AR45" s="179">
        <v>3.7280000000000001E-2</v>
      </c>
      <c r="AS45" s="179">
        <v>2.8679999999999997E-2</v>
      </c>
      <c r="AT45" s="179">
        <v>2.1999999999999999E-2</v>
      </c>
      <c r="AU45" s="180"/>
      <c r="AV45" s="180"/>
      <c r="AW45" s="180"/>
      <c r="AX45" s="180"/>
      <c r="AY45" s="180"/>
      <c r="AZ45" s="180"/>
      <c r="BA45" s="180"/>
      <c r="BB45" s="180"/>
      <c r="BC45" s="180"/>
      <c r="BD45" s="180"/>
      <c r="BE45" s="180"/>
      <c r="BF45" s="180"/>
      <c r="BG45" s="180"/>
      <c r="BH45" s="180"/>
      <c r="BI45" s="180"/>
      <c r="BJ45" s="180"/>
      <c r="BK45" s="180"/>
      <c r="BL45" s="180"/>
      <c r="BM45" s="180"/>
      <c r="BN45" s="180"/>
      <c r="BP45" s="180"/>
      <c r="BQ45" s="175"/>
      <c r="BR45" s="175"/>
      <c r="BS45" s="175"/>
      <c r="BT45" s="175"/>
      <c r="BU45" s="175"/>
      <c r="BV45" s="175"/>
      <c r="BW45" s="175"/>
      <c r="BX45" s="175"/>
    </row>
    <row r="46" spans="1:76" ht="11.25" customHeight="1" x14ac:dyDescent="0.2">
      <c r="A46" s="4">
        <f xml:space="preserve"> Basis!A46</f>
        <v>46</v>
      </c>
      <c r="C46" s="179">
        <v>0</v>
      </c>
      <c r="D46" s="179">
        <v>0</v>
      </c>
      <c r="G46" s="179">
        <v>2.98E-2</v>
      </c>
      <c r="H46" s="179">
        <v>3.7900000000000003E-2</v>
      </c>
      <c r="I46" s="180"/>
      <c r="J46" s="179">
        <v>3.4299999999999997E-2</v>
      </c>
      <c r="K46" s="179">
        <v>4.2700000000000002E-2</v>
      </c>
      <c r="M46" s="179">
        <v>3.0300000000000001E-2</v>
      </c>
      <c r="N46" s="179">
        <v>3.9399999999999998E-2</v>
      </c>
      <c r="O46" s="180"/>
      <c r="P46" s="179">
        <v>2.2599999999999999E-2</v>
      </c>
      <c r="Q46" s="179">
        <v>3.32E-2</v>
      </c>
      <c r="U46" s="179">
        <v>1.26E-2</v>
      </c>
      <c r="V46" s="179">
        <v>1.9800000000000002E-2</v>
      </c>
      <c r="X46" s="179">
        <v>1.2699999999999999E-2</v>
      </c>
      <c r="Y46" s="179">
        <v>2.0400000000000001E-2</v>
      </c>
      <c r="AA46" s="179">
        <v>1.32E-2</v>
      </c>
      <c r="AB46" s="179">
        <v>2.1000000000000001E-2</v>
      </c>
      <c r="AD46" s="179">
        <v>1.43E-2</v>
      </c>
      <c r="AE46" s="179">
        <v>2.2200000000000001E-2</v>
      </c>
      <c r="AF46" s="179"/>
      <c r="AG46" s="382">
        <f t="shared" si="35"/>
        <v>0.66999999999999971</v>
      </c>
      <c r="AH46" s="382">
        <f t="shared" si="36"/>
        <v>0.66999999999999971</v>
      </c>
      <c r="AI46" s="176">
        <f t="shared" si="31"/>
        <v>1.7039000000000002E-2</v>
      </c>
      <c r="AJ46" s="176">
        <f t="shared" si="31"/>
        <v>2.5830000000000006E-2</v>
      </c>
      <c r="AK46" s="179"/>
      <c r="AL46" s="179"/>
      <c r="AM46" s="179"/>
      <c r="AO46" s="179">
        <v>2.418E-2</v>
      </c>
      <c r="AP46" s="179">
        <v>1.8779999999999998E-2</v>
      </c>
      <c r="AQ46" s="179">
        <v>1.4460000000000001E-2</v>
      </c>
      <c r="AR46" s="179">
        <v>3.5640000000000005E-2</v>
      </c>
      <c r="AS46" s="179">
        <v>2.7539999999999999E-2</v>
      </c>
      <c r="AT46" s="179">
        <v>2.0799999999999999E-2</v>
      </c>
      <c r="AU46" s="180"/>
      <c r="AV46" s="180"/>
      <c r="AW46" s="180"/>
      <c r="AX46" s="180"/>
      <c r="AY46" s="180"/>
      <c r="AZ46" s="180"/>
      <c r="BA46" s="180"/>
      <c r="BB46" s="180"/>
      <c r="BC46" s="180"/>
      <c r="BD46" s="180"/>
      <c r="BE46" s="180"/>
      <c r="BF46" s="180"/>
      <c r="BG46" s="180"/>
      <c r="BH46" s="180"/>
      <c r="BI46" s="180"/>
      <c r="BJ46" s="180"/>
      <c r="BK46" s="180"/>
      <c r="BL46" s="180"/>
      <c r="BM46" s="180"/>
      <c r="BN46" s="180"/>
      <c r="BP46" s="180"/>
      <c r="BQ46" s="175"/>
      <c r="BR46" s="175"/>
      <c r="BS46" s="175"/>
      <c r="BT46" s="175"/>
      <c r="BU46" s="175"/>
      <c r="BV46" s="175"/>
      <c r="BW46" s="175"/>
      <c r="BX46" s="175"/>
    </row>
    <row r="47" spans="1:76" ht="11.25" customHeight="1" x14ac:dyDescent="0.2">
      <c r="A47" s="4">
        <f xml:space="preserve"> Basis!A47</f>
        <v>47</v>
      </c>
      <c r="C47" s="179">
        <v>0</v>
      </c>
      <c r="D47" s="179">
        <v>0</v>
      </c>
      <c r="G47" s="179">
        <v>2.9600000000000001E-2</v>
      </c>
      <c r="H47" s="179">
        <v>3.7699999999999997E-2</v>
      </c>
      <c r="I47" s="180"/>
      <c r="J47" s="179">
        <v>3.4200000000000001E-2</v>
      </c>
      <c r="K47" s="179">
        <v>4.2200000000000001E-2</v>
      </c>
      <c r="M47" s="179">
        <v>3.0200000000000001E-2</v>
      </c>
      <c r="N47" s="179">
        <v>3.9E-2</v>
      </c>
      <c r="O47" s="180"/>
      <c r="P47" s="179">
        <v>2.2499999999999999E-2</v>
      </c>
      <c r="Q47" s="179">
        <v>3.2199999999999999E-2</v>
      </c>
      <c r="U47" s="179">
        <v>1.2999999999999999E-2</v>
      </c>
      <c r="V47" s="179">
        <v>1.9900000000000001E-2</v>
      </c>
      <c r="X47" s="179">
        <v>1.29E-2</v>
      </c>
      <c r="Y47" s="179">
        <v>2.01E-2</v>
      </c>
      <c r="AA47" s="179">
        <v>1.35E-2</v>
      </c>
      <c r="AB47" s="179">
        <v>2.0899999999999998E-2</v>
      </c>
      <c r="AD47" s="179">
        <v>1.43E-2</v>
      </c>
      <c r="AE47" s="179">
        <v>2.1700000000000001E-2</v>
      </c>
      <c r="AF47" s="179"/>
      <c r="AG47" s="382">
        <f t="shared" si="35"/>
        <v>0.65499999999999969</v>
      </c>
      <c r="AH47" s="382">
        <f t="shared" si="36"/>
        <v>0.65499999999999969</v>
      </c>
      <c r="AI47" s="176">
        <f t="shared" si="31"/>
        <v>1.7129000000000002E-2</v>
      </c>
      <c r="AJ47" s="176">
        <f t="shared" si="31"/>
        <v>2.5322500000000005E-2</v>
      </c>
      <c r="AK47" s="179"/>
      <c r="AL47" s="179"/>
      <c r="AM47" s="179"/>
      <c r="AO47" s="179">
        <v>2.3300000000000001E-2</v>
      </c>
      <c r="AP47" s="179">
        <v>1.8499999999999999E-2</v>
      </c>
      <c r="AQ47" s="179">
        <v>1.41E-2</v>
      </c>
      <c r="AR47" s="179">
        <v>3.4000000000000002E-2</v>
      </c>
      <c r="AS47" s="179">
        <v>2.64E-2</v>
      </c>
      <c r="AT47" s="179">
        <v>1.9599999999999999E-2</v>
      </c>
      <c r="AU47" s="180"/>
      <c r="AV47" s="180"/>
      <c r="AW47" s="180"/>
      <c r="AX47" s="180"/>
      <c r="AY47" s="180"/>
      <c r="AZ47" s="180"/>
      <c r="BA47" s="180"/>
      <c r="BB47" s="180"/>
      <c r="BC47" s="180"/>
      <c r="BD47" s="180"/>
      <c r="BE47" s="180"/>
      <c r="BF47" s="180"/>
      <c r="BG47" s="180"/>
      <c r="BH47" s="180"/>
      <c r="BI47" s="180"/>
      <c r="BJ47" s="180"/>
      <c r="BK47" s="180"/>
      <c r="BL47" s="180"/>
      <c r="BM47" s="180"/>
      <c r="BN47" s="180"/>
      <c r="BP47" s="180"/>
      <c r="BQ47" s="175"/>
      <c r="BR47" s="175"/>
      <c r="BS47" s="175"/>
      <c r="BT47" s="175"/>
      <c r="BU47" s="175"/>
      <c r="BV47" s="175"/>
      <c r="BW47" s="175"/>
      <c r="BX47" s="175"/>
    </row>
    <row r="48" spans="1:76" ht="11.25" customHeight="1" x14ac:dyDescent="0.2">
      <c r="A48" s="4">
        <f xml:space="preserve"> Basis!A48</f>
        <v>48</v>
      </c>
      <c r="C48" s="179">
        <v>0</v>
      </c>
      <c r="D48" s="179">
        <v>0</v>
      </c>
      <c r="G48" s="179">
        <v>2.9600000000000001E-2</v>
      </c>
      <c r="H48" s="179">
        <v>3.7699999999999997E-2</v>
      </c>
      <c r="I48" s="180"/>
      <c r="J48" s="179">
        <v>3.4200000000000001E-2</v>
      </c>
      <c r="K48" s="179">
        <v>4.1700000000000001E-2</v>
      </c>
      <c r="M48" s="179">
        <v>3.0200000000000001E-2</v>
      </c>
      <c r="N48" s="179">
        <v>3.85E-2</v>
      </c>
      <c r="O48" s="180"/>
      <c r="P48" s="179">
        <v>2.2499999999999999E-2</v>
      </c>
      <c r="Q48" s="179">
        <v>3.1300000000000001E-2</v>
      </c>
      <c r="U48" s="179">
        <v>1.34E-2</v>
      </c>
      <c r="V48" s="179">
        <v>2.0299999999999999E-2</v>
      </c>
      <c r="X48" s="179">
        <v>1.32E-2</v>
      </c>
      <c r="Y48" s="179">
        <v>1.9800000000000002E-2</v>
      </c>
      <c r="AA48" s="179">
        <v>1.38E-2</v>
      </c>
      <c r="AB48" s="179">
        <v>2.06E-2</v>
      </c>
      <c r="AD48" s="179">
        <v>1.46E-2</v>
      </c>
      <c r="AE48" s="179">
        <v>2.12E-2</v>
      </c>
      <c r="AF48" s="179"/>
      <c r="AG48" s="382">
        <f t="shared" si="35"/>
        <v>0.63999999999999968</v>
      </c>
      <c r="AH48" s="382">
        <f t="shared" si="36"/>
        <v>0.63999999999999968</v>
      </c>
      <c r="AI48" s="176">
        <f t="shared" si="31"/>
        <v>1.7444000000000001E-2</v>
      </c>
      <c r="AJ48" s="176">
        <f t="shared" si="31"/>
        <v>2.4836000000000004E-2</v>
      </c>
      <c r="AK48" s="179"/>
      <c r="AL48" s="179"/>
      <c r="AM48" s="179"/>
      <c r="AO48" s="179">
        <v>2.3599999999999999E-2</v>
      </c>
      <c r="AP48" s="179">
        <v>1.8959999999999998E-2</v>
      </c>
      <c r="AQ48" s="179">
        <v>1.43E-2</v>
      </c>
      <c r="AR48" s="179">
        <v>3.3940000000000005E-2</v>
      </c>
      <c r="AS48" s="179">
        <v>2.6759999999999999E-2</v>
      </c>
      <c r="AT48" s="179">
        <v>1.9539999999999998E-2</v>
      </c>
      <c r="AU48" s="180"/>
      <c r="AV48" s="180"/>
      <c r="AW48" s="180"/>
      <c r="AX48" s="180"/>
      <c r="AY48" s="180"/>
      <c r="AZ48" s="180"/>
      <c r="BA48" s="180"/>
      <c r="BB48" s="180"/>
      <c r="BC48" s="180"/>
      <c r="BD48" s="180"/>
      <c r="BE48" s="180"/>
      <c r="BF48" s="180"/>
      <c r="BG48" s="180"/>
      <c r="BH48" s="180"/>
      <c r="BI48" s="180"/>
      <c r="BJ48" s="180"/>
      <c r="BK48" s="180"/>
      <c r="BL48" s="180"/>
      <c r="BM48" s="180"/>
      <c r="BN48" s="180"/>
      <c r="BP48" s="180"/>
      <c r="BQ48" s="175"/>
      <c r="BR48" s="175"/>
      <c r="BS48" s="175"/>
      <c r="BT48" s="175"/>
      <c r="BU48" s="175"/>
      <c r="BV48" s="175"/>
      <c r="BW48" s="175"/>
      <c r="BX48" s="175"/>
    </row>
    <row r="49" spans="1:76" ht="11.25" customHeight="1" x14ac:dyDescent="0.2">
      <c r="A49" s="4">
        <f xml:space="preserve"> Basis!A49</f>
        <v>49</v>
      </c>
      <c r="C49" s="179">
        <v>0</v>
      </c>
      <c r="D49" s="179">
        <v>0</v>
      </c>
      <c r="G49" s="179">
        <v>2.9600000000000001E-2</v>
      </c>
      <c r="H49" s="179">
        <v>3.7699999999999997E-2</v>
      </c>
      <c r="I49" s="180"/>
      <c r="J49" s="179">
        <v>3.4200000000000001E-2</v>
      </c>
      <c r="K49" s="179">
        <v>4.1599999999999998E-2</v>
      </c>
      <c r="M49" s="179">
        <v>3.0200000000000001E-2</v>
      </c>
      <c r="N49" s="179">
        <v>3.8300000000000001E-2</v>
      </c>
      <c r="O49" s="180"/>
      <c r="P49" s="179">
        <v>2.2499999999999999E-2</v>
      </c>
      <c r="Q49" s="179">
        <v>3.09E-2</v>
      </c>
      <c r="U49" s="179">
        <v>1.38E-2</v>
      </c>
      <c r="V49" s="179">
        <v>2.0799999999999999E-2</v>
      </c>
      <c r="X49" s="179">
        <v>1.37E-2</v>
      </c>
      <c r="Y49" s="179">
        <v>1.9800000000000002E-2</v>
      </c>
      <c r="AA49" s="179">
        <v>1.43E-2</v>
      </c>
      <c r="AB49" s="179">
        <v>2.0500000000000001E-2</v>
      </c>
      <c r="AD49" s="179">
        <v>1.4999999999999999E-2</v>
      </c>
      <c r="AE49" s="179">
        <v>2.0899999999999998E-2</v>
      </c>
      <c r="AF49" s="179"/>
      <c r="AG49" s="382">
        <f t="shared" si="35"/>
        <v>0.62499999999999967</v>
      </c>
      <c r="AH49" s="382">
        <f t="shared" si="36"/>
        <v>0.62499999999999967</v>
      </c>
      <c r="AI49" s="176">
        <f t="shared" si="31"/>
        <v>1.7812500000000002E-2</v>
      </c>
      <c r="AJ49" s="176">
        <f t="shared" si="31"/>
        <v>2.4650000000000002E-2</v>
      </c>
      <c r="AK49" s="179"/>
      <c r="AL49" s="179"/>
      <c r="AM49" s="179"/>
      <c r="AO49" s="179">
        <v>2.3900000000000001E-2</v>
      </c>
      <c r="AP49" s="179">
        <v>1.942E-2</v>
      </c>
      <c r="AQ49" s="179">
        <v>1.4500000000000001E-2</v>
      </c>
      <c r="AR49" s="179">
        <v>3.388E-2</v>
      </c>
      <c r="AS49" s="179">
        <v>2.7119999999999998E-2</v>
      </c>
      <c r="AT49" s="179">
        <v>1.9480000000000001E-2</v>
      </c>
      <c r="AU49" s="180"/>
      <c r="AV49" s="180"/>
      <c r="AW49" s="180"/>
      <c r="AX49" s="180"/>
      <c r="AY49" s="180"/>
      <c r="AZ49" s="180"/>
      <c r="BA49" s="180"/>
      <c r="BB49" s="180"/>
      <c r="BC49" s="180"/>
      <c r="BD49" s="180"/>
      <c r="BE49" s="180"/>
      <c r="BF49" s="180"/>
      <c r="BG49" s="180"/>
      <c r="BH49" s="180"/>
      <c r="BI49" s="180"/>
      <c r="BJ49" s="180"/>
      <c r="BK49" s="180"/>
      <c r="BL49" s="180"/>
      <c r="BM49" s="180"/>
      <c r="BN49" s="180"/>
      <c r="BP49" s="180"/>
      <c r="BQ49" s="175"/>
      <c r="BR49" s="175"/>
      <c r="BS49" s="175"/>
      <c r="BT49" s="175"/>
      <c r="BU49" s="175"/>
      <c r="BV49" s="175"/>
      <c r="BW49" s="175"/>
      <c r="BX49" s="175"/>
    </row>
    <row r="50" spans="1:76" ht="11.25" customHeight="1" x14ac:dyDescent="0.2">
      <c r="A50" s="4">
        <f xml:space="preserve"> Basis!A50</f>
        <v>50</v>
      </c>
      <c r="C50" s="179">
        <v>0</v>
      </c>
      <c r="D50" s="179">
        <v>0</v>
      </c>
      <c r="G50" s="179">
        <v>2.9600000000000001E-2</v>
      </c>
      <c r="H50" s="179">
        <v>3.7699999999999997E-2</v>
      </c>
      <c r="I50" s="180"/>
      <c r="J50" s="179">
        <v>3.4200000000000001E-2</v>
      </c>
      <c r="K50" s="179">
        <v>4.19E-2</v>
      </c>
      <c r="M50" s="179">
        <v>3.0200000000000001E-2</v>
      </c>
      <c r="N50" s="179">
        <v>3.8300000000000001E-2</v>
      </c>
      <c r="O50" s="180"/>
      <c r="P50" s="179">
        <v>2.2499999999999999E-2</v>
      </c>
      <c r="Q50" s="179">
        <v>3.1099999999999999E-2</v>
      </c>
      <c r="U50" s="179">
        <v>1.41E-2</v>
      </c>
      <c r="V50" s="179">
        <v>2.1299999999999999E-2</v>
      </c>
      <c r="X50" s="179">
        <v>1.43E-2</v>
      </c>
      <c r="Y50" s="179">
        <v>2.0400000000000001E-2</v>
      </c>
      <c r="AA50" s="179">
        <v>1.49E-2</v>
      </c>
      <c r="AB50" s="179">
        <v>2.0899999999999998E-2</v>
      </c>
      <c r="AD50" s="179">
        <v>1.5699999999999999E-2</v>
      </c>
      <c r="AE50" s="179">
        <v>2.1399999999999999E-2</v>
      </c>
      <c r="AF50" s="179"/>
      <c r="AG50" s="382">
        <f t="shared" si="35"/>
        <v>0.60999999999999965</v>
      </c>
      <c r="AH50" s="382">
        <f t="shared" si="36"/>
        <v>0.60999999999999965</v>
      </c>
      <c r="AI50" s="176">
        <f t="shared" si="31"/>
        <v>1.8352E-2</v>
      </c>
      <c r="AJ50" s="176">
        <f t="shared" si="31"/>
        <v>2.5183000000000004E-2</v>
      </c>
      <c r="AK50" s="179"/>
      <c r="AL50" s="179"/>
      <c r="AM50" s="179"/>
      <c r="AO50" s="179">
        <v>2.4199999999999999E-2</v>
      </c>
      <c r="AP50" s="179">
        <v>1.9879999999999998E-2</v>
      </c>
      <c r="AQ50" s="179">
        <v>1.47E-2</v>
      </c>
      <c r="AR50" s="179">
        <v>3.3820000000000003E-2</v>
      </c>
      <c r="AS50" s="179">
        <v>2.7480000000000001E-2</v>
      </c>
      <c r="AT50" s="179">
        <v>1.942E-2</v>
      </c>
      <c r="AU50" s="180"/>
      <c r="AV50" s="180"/>
      <c r="AW50" s="180"/>
      <c r="AX50" s="180"/>
      <c r="AY50" s="180"/>
      <c r="AZ50" s="180"/>
      <c r="BA50" s="180"/>
      <c r="BB50" s="180"/>
      <c r="BC50" s="180"/>
      <c r="BD50" s="180"/>
      <c r="BE50" s="180"/>
      <c r="BF50" s="180"/>
      <c r="BG50" s="180"/>
      <c r="BH50" s="180"/>
      <c r="BI50" s="180"/>
      <c r="BJ50" s="180"/>
      <c r="BK50" s="180"/>
      <c r="BL50" s="180"/>
      <c r="BM50" s="180"/>
      <c r="BN50" s="180"/>
      <c r="BP50" s="180"/>
      <c r="BQ50" s="175"/>
      <c r="BR50" s="175"/>
      <c r="BS50" s="175"/>
      <c r="BT50" s="175"/>
      <c r="BU50" s="175"/>
      <c r="BV50" s="175"/>
      <c r="BW50" s="175"/>
      <c r="BX50" s="175"/>
    </row>
    <row r="51" spans="1:76" ht="11.25" customHeight="1" x14ac:dyDescent="0.2">
      <c r="A51" s="4">
        <f xml:space="preserve"> Basis!A51</f>
        <v>51</v>
      </c>
      <c r="C51" s="179">
        <v>0</v>
      </c>
      <c r="D51" s="179">
        <v>0</v>
      </c>
      <c r="G51" s="179">
        <v>2.9600000000000001E-2</v>
      </c>
      <c r="H51" s="179">
        <v>3.7699999999999997E-2</v>
      </c>
      <c r="I51" s="180"/>
      <c r="J51" s="179">
        <v>3.4200000000000001E-2</v>
      </c>
      <c r="K51" s="179">
        <v>4.3400000000000001E-2</v>
      </c>
      <c r="M51" s="179">
        <v>3.0200000000000001E-2</v>
      </c>
      <c r="N51" s="179">
        <v>3.95E-2</v>
      </c>
      <c r="O51" s="180"/>
      <c r="P51" s="179">
        <v>2.2499999999999999E-2</v>
      </c>
      <c r="Q51" s="179">
        <v>3.2399999999999998E-2</v>
      </c>
      <c r="U51" s="179">
        <v>1.4800000000000001E-2</v>
      </c>
      <c r="V51" s="179">
        <v>2.2200000000000001E-2</v>
      </c>
      <c r="X51" s="179">
        <v>1.54E-2</v>
      </c>
      <c r="Y51" s="179">
        <v>2.1999999999999999E-2</v>
      </c>
      <c r="AA51" s="179">
        <v>1.61E-2</v>
      </c>
      <c r="AB51" s="179">
        <v>2.2499999999999999E-2</v>
      </c>
      <c r="AD51" s="179">
        <v>1.7100000000000001E-2</v>
      </c>
      <c r="AE51" s="179">
        <v>2.3099999999999999E-2</v>
      </c>
      <c r="AF51" s="179"/>
      <c r="AG51" s="382">
        <f t="shared" si="35"/>
        <v>0.6</v>
      </c>
      <c r="AH51" s="382">
        <f t="shared" si="36"/>
        <v>0.6</v>
      </c>
      <c r="AI51" s="176">
        <f t="shared" si="31"/>
        <v>1.9259999999999999E-2</v>
      </c>
      <c r="AJ51" s="176">
        <f t="shared" si="31"/>
        <v>2.682E-2</v>
      </c>
      <c r="AK51" s="179"/>
      <c r="AL51" s="179"/>
      <c r="AM51" s="179"/>
      <c r="AO51" s="179">
        <v>2.4500000000000001E-2</v>
      </c>
      <c r="AP51" s="179">
        <v>2.034E-2</v>
      </c>
      <c r="AQ51" s="179">
        <v>1.49E-2</v>
      </c>
      <c r="AR51" s="179">
        <v>3.3759999999999998E-2</v>
      </c>
      <c r="AS51" s="179">
        <v>2.784E-2</v>
      </c>
      <c r="AT51" s="179">
        <v>1.9360000000000002E-2</v>
      </c>
      <c r="AU51" s="180"/>
      <c r="AV51" s="180"/>
      <c r="AW51" s="180"/>
      <c r="AX51" s="180"/>
      <c r="AY51" s="180"/>
      <c r="AZ51" s="180"/>
      <c r="BA51" s="180"/>
      <c r="BB51" s="180"/>
      <c r="BC51" s="180"/>
      <c r="BD51" s="180"/>
      <c r="BE51" s="180"/>
      <c r="BF51" s="180"/>
      <c r="BG51" s="180"/>
      <c r="BH51" s="180"/>
      <c r="BI51" s="180"/>
      <c r="BJ51" s="180"/>
      <c r="BK51" s="180"/>
      <c r="BL51" s="180"/>
      <c r="BM51" s="180"/>
      <c r="BN51" s="180"/>
      <c r="BP51" s="180"/>
      <c r="BQ51" s="175"/>
      <c r="BR51" s="175"/>
      <c r="BS51" s="175"/>
      <c r="BT51" s="175"/>
      <c r="BU51" s="175"/>
      <c r="BV51" s="175"/>
      <c r="BW51" s="175"/>
      <c r="BX51" s="175"/>
    </row>
    <row r="52" spans="1:76" ht="11.25" customHeight="1" x14ac:dyDescent="0.2">
      <c r="A52" s="4">
        <f xml:space="preserve"> Basis!A52</f>
        <v>52</v>
      </c>
      <c r="C52" s="179">
        <v>0</v>
      </c>
      <c r="D52" s="179">
        <v>0</v>
      </c>
      <c r="G52" s="179">
        <v>2.9600000000000001E-2</v>
      </c>
      <c r="H52" s="179">
        <v>3.7699999999999997E-2</v>
      </c>
      <c r="I52" s="180"/>
      <c r="J52" s="179">
        <v>3.4200000000000001E-2</v>
      </c>
      <c r="K52" s="179">
        <v>4.5699999999999998E-2</v>
      </c>
      <c r="M52" s="179">
        <v>3.0200000000000001E-2</v>
      </c>
      <c r="N52" s="179">
        <v>4.1599999999999998E-2</v>
      </c>
      <c r="O52" s="180"/>
      <c r="P52" s="179">
        <v>2.2499999999999999E-2</v>
      </c>
      <c r="Q52" s="179">
        <v>3.4700000000000002E-2</v>
      </c>
      <c r="U52" s="179">
        <v>1.6299999999999999E-2</v>
      </c>
      <c r="V52" s="179">
        <v>2.4199999999999999E-2</v>
      </c>
      <c r="X52" s="179">
        <v>1.72E-2</v>
      </c>
      <c r="Y52" s="179">
        <v>2.46E-2</v>
      </c>
      <c r="AA52" s="179">
        <v>1.8100000000000002E-2</v>
      </c>
      <c r="AB52" s="179">
        <v>2.5000000000000001E-2</v>
      </c>
      <c r="AD52" s="179">
        <v>1.9300000000000001E-2</v>
      </c>
      <c r="AE52" s="179">
        <v>2.5700000000000001E-2</v>
      </c>
      <c r="AF52" s="179"/>
      <c r="AG52" s="382">
        <f t="shared" si="35"/>
        <v>0.6</v>
      </c>
      <c r="AH52" s="382">
        <f t="shared" si="36"/>
        <v>0.6</v>
      </c>
      <c r="AI52" s="176">
        <f t="shared" si="31"/>
        <v>2.0580000000000001E-2</v>
      </c>
      <c r="AJ52" s="176">
        <f t="shared" si="31"/>
        <v>2.93E-2</v>
      </c>
      <c r="AK52" s="179"/>
      <c r="AL52" s="179"/>
      <c r="AM52" s="179"/>
      <c r="AO52" s="179">
        <v>2.4799999999999999E-2</v>
      </c>
      <c r="AP52" s="179">
        <v>2.0799999999999999E-2</v>
      </c>
      <c r="AQ52" s="179">
        <v>1.5100000000000001E-2</v>
      </c>
      <c r="AR52" s="179">
        <v>3.3700000000000001E-2</v>
      </c>
      <c r="AS52" s="179">
        <v>2.8199999999999999E-2</v>
      </c>
      <c r="AT52" s="179">
        <v>1.9300000000000001E-2</v>
      </c>
      <c r="AU52" s="180"/>
      <c r="AV52" s="180"/>
      <c r="AW52" s="180"/>
      <c r="AX52" s="180"/>
      <c r="AY52" s="180"/>
      <c r="AZ52" s="180"/>
      <c r="BA52" s="180"/>
      <c r="BB52" s="180"/>
      <c r="BC52" s="180"/>
      <c r="BD52" s="180"/>
      <c r="BE52" s="180"/>
      <c r="BF52" s="180"/>
      <c r="BG52" s="180"/>
      <c r="BH52" s="180"/>
      <c r="BI52" s="180"/>
      <c r="BJ52" s="180"/>
      <c r="BK52" s="180"/>
      <c r="BL52" s="180"/>
      <c r="BM52" s="180"/>
      <c r="BN52" s="180"/>
      <c r="BP52" s="180"/>
      <c r="BQ52" s="175"/>
      <c r="BR52" s="175"/>
      <c r="BS52" s="175"/>
      <c r="BT52" s="175"/>
      <c r="BU52" s="175"/>
      <c r="BV52" s="175"/>
      <c r="BW52" s="175"/>
      <c r="BX52" s="175"/>
    </row>
    <row r="53" spans="1:76" ht="11.25" customHeight="1" x14ac:dyDescent="0.2">
      <c r="A53" s="4">
        <f xml:space="preserve"> Basis!A53</f>
        <v>53</v>
      </c>
      <c r="C53" s="179">
        <v>0</v>
      </c>
      <c r="D53" s="179">
        <v>0</v>
      </c>
      <c r="G53" s="179">
        <v>2.9600000000000001E-2</v>
      </c>
      <c r="H53" s="179">
        <v>3.7699999999999997E-2</v>
      </c>
      <c r="I53" s="180"/>
      <c r="J53" s="179">
        <v>3.4000000000000002E-2</v>
      </c>
      <c r="K53" s="179">
        <v>4.7E-2</v>
      </c>
      <c r="M53" s="179">
        <v>3.0200000000000001E-2</v>
      </c>
      <c r="N53" s="179">
        <v>4.3099999999999999E-2</v>
      </c>
      <c r="O53" s="180"/>
      <c r="P53" s="179">
        <v>2.2499999999999999E-2</v>
      </c>
      <c r="Q53" s="179">
        <v>3.6700000000000003E-2</v>
      </c>
      <c r="U53" s="179">
        <v>1.7399999999999999E-2</v>
      </c>
      <c r="V53" s="179">
        <v>2.52E-2</v>
      </c>
      <c r="X53" s="179">
        <v>1.9E-2</v>
      </c>
      <c r="Y53" s="179">
        <v>2.6800000000000001E-2</v>
      </c>
      <c r="AA53" s="179">
        <v>2.01E-2</v>
      </c>
      <c r="AB53" s="179">
        <v>2.7099999999999999E-2</v>
      </c>
      <c r="AD53" s="179">
        <v>2.1600000000000001E-2</v>
      </c>
      <c r="AE53" s="179">
        <v>2.7900000000000001E-2</v>
      </c>
      <c r="AF53" s="179"/>
      <c r="AG53" s="382">
        <f t="shared" si="35"/>
        <v>0.6</v>
      </c>
      <c r="AH53" s="382">
        <f t="shared" si="36"/>
        <v>0.6</v>
      </c>
      <c r="AI53" s="176">
        <f t="shared" si="31"/>
        <v>2.196E-2</v>
      </c>
      <c r="AJ53" s="176">
        <f t="shared" si="31"/>
        <v>3.1420000000000003E-2</v>
      </c>
      <c r="AK53" s="179"/>
      <c r="AL53" s="179"/>
      <c r="AM53" s="179"/>
      <c r="AO53" s="179">
        <v>2.6099999999999998E-2</v>
      </c>
      <c r="AP53" s="179">
        <v>2.2533333333333332E-2</v>
      </c>
      <c r="AQ53" s="179">
        <v>1.6566666666666667E-2</v>
      </c>
      <c r="AR53" s="179">
        <v>3.6166666666666666E-2</v>
      </c>
      <c r="AS53" s="179">
        <v>3.0933333333333334E-2</v>
      </c>
      <c r="AT53" s="179">
        <v>2.1133333333333334E-2</v>
      </c>
      <c r="AU53" s="180"/>
      <c r="AV53" s="180"/>
      <c r="AW53" s="180"/>
      <c r="AX53" s="180"/>
      <c r="AY53" s="180"/>
      <c r="AZ53" s="180"/>
      <c r="BA53" s="180"/>
      <c r="BB53" s="180"/>
      <c r="BC53" s="180"/>
      <c r="BD53" s="180"/>
      <c r="BE53" s="180"/>
      <c r="BF53" s="180"/>
      <c r="BG53" s="180"/>
      <c r="BH53" s="180"/>
      <c r="BI53" s="180"/>
      <c r="BJ53" s="180"/>
      <c r="BK53" s="180"/>
      <c r="BL53" s="180"/>
      <c r="BM53" s="180"/>
      <c r="BN53" s="180"/>
      <c r="BP53" s="180"/>
      <c r="BQ53" s="175"/>
      <c r="BR53" s="175"/>
      <c r="BS53" s="175"/>
      <c r="BT53" s="175"/>
      <c r="BU53" s="175"/>
      <c r="BV53" s="175"/>
      <c r="BW53" s="175"/>
      <c r="BX53" s="175"/>
    </row>
    <row r="54" spans="1:76" ht="11.25" customHeight="1" x14ac:dyDescent="0.2">
      <c r="A54" s="4">
        <f xml:space="preserve"> Basis!A54</f>
        <v>54</v>
      </c>
      <c r="C54" s="179">
        <v>0</v>
      </c>
      <c r="D54" s="179">
        <v>0</v>
      </c>
      <c r="G54" s="179">
        <v>2.7799999999999998E-2</v>
      </c>
      <c r="H54" s="179">
        <v>3.49E-2</v>
      </c>
      <c r="I54" s="180"/>
      <c r="J54" s="179">
        <v>3.1899999999999998E-2</v>
      </c>
      <c r="K54" s="179">
        <v>4.4400000000000002E-2</v>
      </c>
      <c r="M54" s="179">
        <v>2.9100000000000001E-2</v>
      </c>
      <c r="N54" s="179">
        <v>4.1099999999999998E-2</v>
      </c>
      <c r="O54" s="180"/>
      <c r="P54" s="179">
        <v>2.2499999999999999E-2</v>
      </c>
      <c r="Q54" s="179">
        <v>3.5200000000000002E-2</v>
      </c>
      <c r="U54" s="179">
        <v>1.6899999999999998E-2</v>
      </c>
      <c r="V54" s="179">
        <v>2.35E-2</v>
      </c>
      <c r="X54" s="179">
        <v>1.8599999999999998E-2</v>
      </c>
      <c r="Y54" s="179">
        <v>2.5600000000000001E-2</v>
      </c>
      <c r="AA54" s="179">
        <v>1.9900000000000001E-2</v>
      </c>
      <c r="AB54" s="179">
        <v>2.5999999999999999E-2</v>
      </c>
      <c r="AD54" s="179">
        <v>2.1499999999999998E-2</v>
      </c>
      <c r="AE54" s="179">
        <v>2.6700000000000002E-2</v>
      </c>
      <c r="AF54" s="179"/>
      <c r="AG54" s="382">
        <f t="shared" si="35"/>
        <v>0.6</v>
      </c>
      <c r="AH54" s="382">
        <f t="shared" si="36"/>
        <v>0.6</v>
      </c>
      <c r="AI54" s="176">
        <f t="shared" si="31"/>
        <v>2.1899999999999999E-2</v>
      </c>
      <c r="AJ54" s="176">
        <f t="shared" si="31"/>
        <v>3.0100000000000002E-2</v>
      </c>
      <c r="AK54" s="179"/>
      <c r="AL54" s="179"/>
      <c r="AM54" s="179"/>
      <c r="AO54" s="179">
        <v>2.87E-2</v>
      </c>
      <c r="AP54" s="179">
        <v>2.5999999999999999E-2</v>
      </c>
      <c r="AQ54" s="179">
        <v>1.95E-2</v>
      </c>
      <c r="AR54" s="179">
        <v>4.1099999999999998E-2</v>
      </c>
      <c r="AS54" s="179">
        <v>3.6400000000000002E-2</v>
      </c>
      <c r="AT54" s="179">
        <v>2.4799999999999999E-2</v>
      </c>
      <c r="AU54" s="180"/>
      <c r="AV54" s="180"/>
      <c r="AW54" s="180"/>
      <c r="AX54" s="180"/>
      <c r="AY54" s="180"/>
      <c r="AZ54" s="180"/>
      <c r="BA54" s="180"/>
      <c r="BB54" s="180"/>
      <c r="BC54" s="180"/>
      <c r="BD54" s="180"/>
      <c r="BE54" s="180"/>
      <c r="BF54" s="180"/>
      <c r="BG54" s="180"/>
      <c r="BH54" s="180"/>
      <c r="BI54" s="180"/>
      <c r="BJ54" s="180"/>
      <c r="BK54" s="180"/>
      <c r="BL54" s="180"/>
      <c r="BM54" s="180"/>
      <c r="BN54" s="180"/>
      <c r="BP54" s="180"/>
      <c r="BQ54" s="175"/>
      <c r="BR54" s="175"/>
      <c r="BS54" s="175"/>
      <c r="BT54" s="175"/>
      <c r="BU54" s="175"/>
      <c r="BV54" s="175"/>
      <c r="BW54" s="175"/>
      <c r="BX54" s="175"/>
    </row>
    <row r="55" spans="1:76" ht="11.25" customHeight="1" x14ac:dyDescent="0.2">
      <c r="A55" s="4">
        <f xml:space="preserve"> Basis!A55</f>
        <v>55</v>
      </c>
      <c r="C55" s="179">
        <v>0</v>
      </c>
      <c r="D55" s="179">
        <v>0</v>
      </c>
      <c r="G55" s="179">
        <v>2.46E-2</v>
      </c>
      <c r="H55" s="179">
        <v>2.9899999999999999E-2</v>
      </c>
      <c r="I55" s="180"/>
      <c r="J55" s="179">
        <v>2.8799999999999999E-2</v>
      </c>
      <c r="K55" s="179">
        <v>3.5999999999999997E-2</v>
      </c>
      <c r="M55" s="179">
        <v>2.6100000000000002E-2</v>
      </c>
      <c r="N55" s="179">
        <v>3.3399999999999999E-2</v>
      </c>
      <c r="O55" s="180"/>
      <c r="P55" s="179">
        <v>2.0500000000000001E-2</v>
      </c>
      <c r="Q55" s="179">
        <v>2.8000000000000001E-2</v>
      </c>
      <c r="U55" s="179">
        <v>1.3599999999999999E-2</v>
      </c>
      <c r="V55" s="179">
        <v>1.8200000000000001E-2</v>
      </c>
      <c r="X55" s="179">
        <v>1.47E-2</v>
      </c>
      <c r="Y55" s="179">
        <v>1.95E-2</v>
      </c>
      <c r="AA55" s="179">
        <v>1.5800000000000002E-2</v>
      </c>
      <c r="AB55" s="179">
        <v>0.02</v>
      </c>
      <c r="AD55" s="179">
        <v>1.72E-2</v>
      </c>
      <c r="AE55" s="179">
        <v>2.0500000000000001E-2</v>
      </c>
      <c r="AF55" s="179"/>
      <c r="AG55" s="382">
        <f t="shared" si="35"/>
        <v>0.6</v>
      </c>
      <c r="AH55" s="382">
        <f t="shared" si="36"/>
        <v>0.6</v>
      </c>
      <c r="AI55" s="176">
        <f t="shared" si="31"/>
        <v>1.8520000000000002E-2</v>
      </c>
      <c r="AJ55" s="176">
        <f t="shared" si="31"/>
        <v>2.35E-2</v>
      </c>
      <c r="AK55" s="179"/>
      <c r="AL55" s="179"/>
      <c r="AM55" s="179"/>
      <c r="AO55" s="179">
        <v>2.87E-2</v>
      </c>
      <c r="AP55" s="179">
        <v>2.5999999999999999E-2</v>
      </c>
      <c r="AQ55" s="179">
        <v>1.95E-2</v>
      </c>
      <c r="AR55" s="179">
        <v>4.1099999999999998E-2</v>
      </c>
      <c r="AS55" s="179">
        <v>3.6400000000000002E-2</v>
      </c>
      <c r="AT55" s="179">
        <v>2.4799999999999999E-2</v>
      </c>
      <c r="AU55" s="180"/>
      <c r="AV55" s="180"/>
      <c r="AW55" s="180"/>
      <c r="AX55" s="180"/>
      <c r="AY55" s="180"/>
      <c r="AZ55" s="180"/>
      <c r="BA55" s="180"/>
      <c r="BB55" s="180"/>
      <c r="BC55" s="180"/>
      <c r="BD55" s="180"/>
      <c r="BE55" s="180"/>
      <c r="BF55" s="180"/>
      <c r="BG55" s="180"/>
      <c r="BH55" s="180"/>
      <c r="BI55" s="180"/>
      <c r="BJ55" s="180"/>
      <c r="BK55" s="180"/>
      <c r="BL55" s="180"/>
      <c r="BM55" s="180"/>
      <c r="BN55" s="180"/>
      <c r="BP55" s="180"/>
      <c r="BQ55" s="175"/>
      <c r="BR55" s="175"/>
      <c r="BS55" s="175"/>
      <c r="BT55" s="175"/>
      <c r="BU55" s="175"/>
      <c r="BV55" s="175"/>
      <c r="BW55" s="175"/>
      <c r="BX55" s="175"/>
    </row>
    <row r="56" spans="1:76" ht="11.25" customHeight="1" x14ac:dyDescent="0.2">
      <c r="A56" s="4">
        <f xml:space="preserve"> Basis!A56</f>
        <v>56</v>
      </c>
      <c r="C56" s="179">
        <v>0</v>
      </c>
      <c r="D56" s="179">
        <v>0</v>
      </c>
      <c r="G56" s="179">
        <v>2.06E-2</v>
      </c>
      <c r="H56" s="179">
        <v>2.41E-2</v>
      </c>
      <c r="I56" s="180"/>
      <c r="J56" s="179">
        <v>2.5100000000000001E-2</v>
      </c>
      <c r="K56" s="179">
        <v>2.53E-2</v>
      </c>
      <c r="M56" s="179">
        <v>2.2599999999999999E-2</v>
      </c>
      <c r="N56" s="179">
        <v>2.3E-2</v>
      </c>
      <c r="O56" s="180"/>
      <c r="P56" s="179">
        <v>1.7100000000000001E-2</v>
      </c>
      <c r="Q56" s="179">
        <v>1.7899999999999999E-2</v>
      </c>
      <c r="U56" s="179">
        <v>8.6999999999999994E-3</v>
      </c>
      <c r="V56" s="179">
        <v>1.15E-2</v>
      </c>
      <c r="X56" s="179">
        <v>8.6999999999999994E-3</v>
      </c>
      <c r="Y56" s="179">
        <v>1.12E-2</v>
      </c>
      <c r="AA56" s="179">
        <v>9.4000000000000004E-3</v>
      </c>
      <c r="AB56" s="179">
        <v>1.17E-2</v>
      </c>
      <c r="AD56" s="179">
        <v>1.03E-2</v>
      </c>
      <c r="AE56" s="179">
        <v>1.1900000000000001E-2</v>
      </c>
      <c r="AF56" s="179"/>
      <c r="AG56" s="382">
        <f t="shared" si="35"/>
        <v>0.6</v>
      </c>
      <c r="AH56" s="382">
        <f t="shared" si="36"/>
        <v>0.6</v>
      </c>
      <c r="AI56" s="176">
        <f t="shared" si="31"/>
        <v>1.302E-2</v>
      </c>
      <c r="AJ56" s="176">
        <f t="shared" si="31"/>
        <v>1.43E-2</v>
      </c>
      <c r="AK56" s="179"/>
      <c r="AL56" s="179"/>
      <c r="AM56" s="179"/>
      <c r="AO56" s="179">
        <v>1.6399999999999998E-2</v>
      </c>
      <c r="AP56" s="179">
        <v>1.44E-2</v>
      </c>
      <c r="AQ56" s="179">
        <v>8.8599999999999998E-3</v>
      </c>
      <c r="AR56" s="179">
        <v>2.1700000000000001E-2</v>
      </c>
      <c r="AS56" s="179">
        <v>1.8679999999999999E-2</v>
      </c>
      <c r="AT56" s="179">
        <v>1.0019999999999999E-2</v>
      </c>
      <c r="AU56" s="180"/>
      <c r="AV56" s="180"/>
      <c r="AW56" s="180"/>
      <c r="AX56" s="180"/>
      <c r="AY56" s="180"/>
      <c r="AZ56" s="180"/>
      <c r="BA56" s="180"/>
      <c r="BB56" s="180"/>
      <c r="BC56" s="180"/>
      <c r="BD56" s="180"/>
      <c r="BE56" s="180"/>
      <c r="BF56" s="180"/>
      <c r="BG56" s="180"/>
      <c r="BH56" s="180"/>
      <c r="BI56" s="180"/>
      <c r="BJ56" s="180"/>
      <c r="BK56" s="180"/>
      <c r="BL56" s="180"/>
      <c r="BM56" s="180"/>
      <c r="BN56" s="180"/>
      <c r="BP56" s="180"/>
      <c r="BQ56" s="175"/>
      <c r="BR56" s="175"/>
      <c r="BS56" s="175"/>
      <c r="BT56" s="175"/>
      <c r="BU56" s="175"/>
      <c r="BV56" s="175"/>
      <c r="BW56" s="175"/>
      <c r="BX56" s="175"/>
    </row>
    <row r="57" spans="1:76" ht="11.25" customHeight="1" x14ac:dyDescent="0.2">
      <c r="A57" s="4">
        <f xml:space="preserve"> Basis!A57</f>
        <v>57</v>
      </c>
      <c r="C57" s="179">
        <v>0</v>
      </c>
      <c r="D57" s="179">
        <v>0</v>
      </c>
      <c r="G57" s="179">
        <v>1.67E-2</v>
      </c>
      <c r="H57" s="179">
        <v>1.8700000000000001E-2</v>
      </c>
      <c r="I57" s="180"/>
      <c r="J57" s="179">
        <v>2.1600000000000001E-2</v>
      </c>
      <c r="K57" s="179">
        <v>1.7600000000000001E-2</v>
      </c>
      <c r="M57" s="179">
        <v>1.9199999999999998E-2</v>
      </c>
      <c r="N57" s="179">
        <v>1.54E-2</v>
      </c>
      <c r="O57" s="180"/>
      <c r="P57" s="179">
        <v>1.38E-2</v>
      </c>
      <c r="Q57" s="179">
        <v>1.0500000000000001E-2</v>
      </c>
      <c r="U57" s="179">
        <v>4.5999999999999999E-3</v>
      </c>
      <c r="V57" s="179">
        <v>6.1000000000000004E-3</v>
      </c>
      <c r="X57" s="179">
        <v>4.1999999999999997E-3</v>
      </c>
      <c r="Y57" s="179">
        <v>5.3E-3</v>
      </c>
      <c r="AA57" s="179">
        <v>4.5999999999999999E-3</v>
      </c>
      <c r="AB57" s="179">
        <v>5.5999999999999999E-3</v>
      </c>
      <c r="AD57" s="179">
        <v>4.8999999999999998E-3</v>
      </c>
      <c r="AE57" s="179">
        <v>5.5999999999999999E-3</v>
      </c>
      <c r="AF57" s="179"/>
      <c r="AG57" s="382">
        <f t="shared" si="35"/>
        <v>0.6</v>
      </c>
      <c r="AH57" s="382">
        <f t="shared" si="36"/>
        <v>0.6</v>
      </c>
      <c r="AI57" s="176">
        <f t="shared" si="31"/>
        <v>8.4600000000000005E-3</v>
      </c>
      <c r="AJ57" s="176">
        <f t="shared" si="31"/>
        <v>7.5600000000000007E-3</v>
      </c>
      <c r="AK57" s="179"/>
      <c r="AL57" s="179"/>
      <c r="AM57" s="179"/>
      <c r="AO57" s="179">
        <v>1.43E-2</v>
      </c>
      <c r="AP57" s="179">
        <v>1.2800000000000001E-2</v>
      </c>
      <c r="AQ57" s="179">
        <v>7.3000000000000001E-3</v>
      </c>
      <c r="AR57" s="179">
        <v>1.8700000000000001E-2</v>
      </c>
      <c r="AS57" s="179">
        <v>1.6299999999999999E-2</v>
      </c>
      <c r="AT57" s="179">
        <v>7.7000000000000002E-3</v>
      </c>
      <c r="AU57" s="180"/>
      <c r="AV57" s="180"/>
      <c r="AW57" s="180"/>
      <c r="AX57" s="180"/>
      <c r="AY57" s="180"/>
      <c r="AZ57" s="180"/>
      <c r="BA57" s="180"/>
      <c r="BB57" s="180"/>
      <c r="BC57" s="180"/>
      <c r="BD57" s="180"/>
      <c r="BE57" s="180"/>
      <c r="BF57" s="180"/>
      <c r="BG57" s="180"/>
      <c r="BH57" s="180"/>
      <c r="BI57" s="180"/>
      <c r="BJ57" s="180"/>
      <c r="BK57" s="180"/>
      <c r="BL57" s="180"/>
      <c r="BM57" s="180"/>
      <c r="BN57" s="180"/>
      <c r="BP57" s="180"/>
      <c r="BQ57" s="175"/>
      <c r="BR57" s="175"/>
      <c r="BS57" s="175"/>
      <c r="BT57" s="175"/>
      <c r="BU57" s="175"/>
      <c r="BV57" s="175"/>
      <c r="BW57" s="175"/>
      <c r="BX57" s="175"/>
    </row>
    <row r="58" spans="1:76" ht="11.25" customHeight="1" x14ac:dyDescent="0.2">
      <c r="A58" s="4">
        <f xml:space="preserve"> Basis!A58</f>
        <v>58</v>
      </c>
      <c r="C58" s="179">
        <v>0</v>
      </c>
      <c r="D58" s="179">
        <v>0</v>
      </c>
      <c r="G58" s="179">
        <v>1.34E-2</v>
      </c>
      <c r="H58" s="179">
        <v>1.4500000000000001E-2</v>
      </c>
      <c r="I58" s="180"/>
      <c r="J58" s="179">
        <v>1.89E-2</v>
      </c>
      <c r="K58" s="179">
        <v>1.44E-2</v>
      </c>
      <c r="M58" s="179">
        <v>1.6400000000000001E-2</v>
      </c>
      <c r="N58" s="179">
        <v>1.2200000000000001E-2</v>
      </c>
      <c r="O58" s="180"/>
      <c r="P58" s="179">
        <v>1.11E-2</v>
      </c>
      <c r="Q58" s="179">
        <v>7.3000000000000001E-3</v>
      </c>
      <c r="U58" s="179">
        <v>2.3999999999999998E-3</v>
      </c>
      <c r="V58" s="179">
        <v>3.5000000000000001E-3</v>
      </c>
      <c r="X58" s="179">
        <v>2.3E-3</v>
      </c>
      <c r="Y58" s="179">
        <v>3.0000000000000001E-3</v>
      </c>
      <c r="AA58" s="179">
        <v>2.5000000000000001E-3</v>
      </c>
      <c r="AB58" s="179">
        <v>3.0999999999999999E-3</v>
      </c>
      <c r="AD58" s="179">
        <v>2.5999999999999999E-3</v>
      </c>
      <c r="AE58" s="179">
        <v>3.0000000000000001E-3</v>
      </c>
      <c r="AF58" s="179"/>
      <c r="AG58" s="382">
        <f t="shared" si="35"/>
        <v>0.6</v>
      </c>
      <c r="AH58" s="382">
        <f t="shared" si="36"/>
        <v>0.6</v>
      </c>
      <c r="AI58" s="176">
        <f t="shared" si="31"/>
        <v>6.0000000000000001E-3</v>
      </c>
      <c r="AJ58" s="176">
        <f t="shared" si="31"/>
        <v>4.7200000000000002E-3</v>
      </c>
      <c r="AK58" s="179"/>
      <c r="AL58" s="179"/>
      <c r="AM58" s="179"/>
      <c r="AO58" s="179">
        <v>1.316E-2</v>
      </c>
      <c r="AP58" s="179">
        <v>1.184E-2</v>
      </c>
      <c r="AQ58" s="179">
        <v>6.5599999999999999E-3</v>
      </c>
      <c r="AR58" s="179">
        <v>1.728E-2</v>
      </c>
      <c r="AS58" s="179">
        <v>1.5219999999999999E-2</v>
      </c>
      <c r="AT58" s="179">
        <v>6.9800000000000001E-3</v>
      </c>
      <c r="AU58" s="180"/>
      <c r="AV58" s="180"/>
      <c r="AW58" s="180"/>
      <c r="AX58" s="180"/>
      <c r="AY58" s="180"/>
      <c r="AZ58" s="180"/>
      <c r="BA58" s="180"/>
      <c r="BB58" s="180"/>
      <c r="BC58" s="180"/>
      <c r="BD58" s="180"/>
      <c r="BE58" s="180"/>
      <c r="BF58" s="180"/>
      <c r="BG58" s="180"/>
      <c r="BH58" s="180"/>
      <c r="BI58" s="180"/>
      <c r="BJ58" s="180"/>
      <c r="BK58" s="180"/>
      <c r="BL58" s="180"/>
      <c r="BM58" s="180"/>
      <c r="BN58" s="180"/>
      <c r="BP58" s="180"/>
      <c r="BQ58" s="175"/>
      <c r="BR58" s="175"/>
      <c r="BS58" s="175"/>
      <c r="BT58" s="175"/>
      <c r="BU58" s="175"/>
      <c r="BV58" s="175"/>
      <c r="BW58" s="175"/>
      <c r="BX58" s="175"/>
    </row>
    <row r="59" spans="1:76" ht="11.25" customHeight="1" x14ac:dyDescent="0.2">
      <c r="A59" s="4">
        <f xml:space="preserve"> Basis!A59</f>
        <v>59</v>
      </c>
      <c r="C59" s="179">
        <v>0</v>
      </c>
      <c r="D59" s="179">
        <v>0</v>
      </c>
      <c r="G59" s="179">
        <v>1.09E-2</v>
      </c>
      <c r="H59" s="179">
        <v>1.1599999999999999E-2</v>
      </c>
      <c r="I59" s="180"/>
      <c r="J59" s="179">
        <v>1.6899999999999998E-2</v>
      </c>
      <c r="K59" s="179">
        <v>1.4200000000000001E-2</v>
      </c>
      <c r="M59" s="179">
        <v>1.44E-2</v>
      </c>
      <c r="N59" s="179">
        <v>1.1900000000000001E-2</v>
      </c>
      <c r="O59" s="180"/>
      <c r="P59" s="179">
        <v>9.1000000000000004E-3</v>
      </c>
      <c r="Q59" s="179">
        <v>7.0000000000000001E-3</v>
      </c>
      <c r="U59" s="179">
        <v>1.9E-3</v>
      </c>
      <c r="V59" s="179">
        <v>2.8999999999999998E-3</v>
      </c>
      <c r="X59" s="179">
        <v>2.0999999999999999E-3</v>
      </c>
      <c r="Y59" s="179">
        <v>3.0000000000000001E-3</v>
      </c>
      <c r="AA59" s="179">
        <v>2.3E-3</v>
      </c>
      <c r="AB59" s="179">
        <v>2.8999999999999998E-3</v>
      </c>
      <c r="AD59" s="179">
        <v>2.3999999999999998E-3</v>
      </c>
      <c r="AE59" s="179">
        <v>2.8E-3</v>
      </c>
      <c r="AF59" s="179"/>
      <c r="AG59" s="382">
        <f t="shared" si="35"/>
        <v>0.6</v>
      </c>
      <c r="AH59" s="382">
        <f t="shared" si="36"/>
        <v>0.6</v>
      </c>
      <c r="AI59" s="176">
        <f t="shared" si="31"/>
        <v>5.0800000000000003E-3</v>
      </c>
      <c r="AJ59" s="176">
        <f t="shared" si="31"/>
        <v>4.4800000000000005E-3</v>
      </c>
      <c r="AK59" s="179"/>
      <c r="AL59" s="179"/>
      <c r="AM59" s="179"/>
      <c r="AO59" s="179">
        <v>1.2019999999999999E-2</v>
      </c>
      <c r="AP59" s="179">
        <v>1.0880000000000001E-2</v>
      </c>
      <c r="AQ59" s="179">
        <v>5.8199999999999997E-3</v>
      </c>
      <c r="AR59" s="179">
        <v>1.5859999999999999E-2</v>
      </c>
      <c r="AS59" s="179">
        <v>1.414E-2</v>
      </c>
      <c r="AT59" s="179">
        <v>6.2599999999999999E-3</v>
      </c>
      <c r="AU59" s="180"/>
      <c r="AV59" s="180"/>
      <c r="AW59" s="180"/>
      <c r="AX59" s="180"/>
      <c r="AY59" s="180"/>
      <c r="AZ59" s="180"/>
      <c r="BA59" s="180"/>
      <c r="BB59" s="180"/>
      <c r="BC59" s="180"/>
      <c r="BD59" s="180"/>
      <c r="BE59" s="180"/>
      <c r="BF59" s="180"/>
      <c r="BG59" s="180"/>
      <c r="BH59" s="180"/>
      <c r="BI59" s="180"/>
      <c r="BJ59" s="180"/>
      <c r="BK59" s="180"/>
      <c r="BL59" s="180"/>
      <c r="BM59" s="180"/>
      <c r="BN59" s="180"/>
      <c r="BP59" s="180"/>
      <c r="BQ59" s="175"/>
      <c r="BR59" s="175"/>
      <c r="BS59" s="175"/>
      <c r="BT59" s="175"/>
      <c r="BU59" s="175"/>
      <c r="BV59" s="175"/>
      <c r="BW59" s="175"/>
      <c r="BX59" s="175"/>
    </row>
    <row r="60" spans="1:76" ht="11.25" customHeight="1" x14ac:dyDescent="0.2">
      <c r="A60" s="4">
        <f xml:space="preserve"> Basis!A60</f>
        <v>60</v>
      </c>
      <c r="C60" s="179">
        <v>0</v>
      </c>
      <c r="D60" s="179">
        <v>0</v>
      </c>
      <c r="G60" s="179">
        <v>9.4000000000000004E-3</v>
      </c>
      <c r="H60" s="179">
        <v>1.01E-2</v>
      </c>
      <c r="I60" s="180"/>
      <c r="J60" s="179">
        <v>1.5599999999999999E-2</v>
      </c>
      <c r="K60" s="179">
        <v>1.49E-2</v>
      </c>
      <c r="M60" s="179">
        <v>1.3100000000000001E-2</v>
      </c>
      <c r="N60" s="179">
        <v>1.2500000000000001E-2</v>
      </c>
      <c r="O60" s="180"/>
      <c r="P60" s="179">
        <v>7.7999999999999996E-3</v>
      </c>
      <c r="Q60" s="179">
        <v>7.4999999999999997E-3</v>
      </c>
      <c r="U60" s="179">
        <v>2.3E-3</v>
      </c>
      <c r="V60" s="179">
        <v>3.3999999999999998E-3</v>
      </c>
      <c r="X60" s="179">
        <v>2.7000000000000001E-3</v>
      </c>
      <c r="Y60" s="179">
        <v>3.8E-3</v>
      </c>
      <c r="AA60" s="179">
        <v>2.8999999999999998E-3</v>
      </c>
      <c r="AB60" s="179">
        <v>3.7000000000000002E-3</v>
      </c>
      <c r="AD60" s="179">
        <v>3.0000000000000001E-3</v>
      </c>
      <c r="AE60" s="179">
        <v>3.5000000000000001E-3</v>
      </c>
      <c r="AF60" s="179"/>
      <c r="AG60" s="382">
        <f t="shared" si="35"/>
        <v>0.6</v>
      </c>
      <c r="AH60" s="382">
        <f t="shared" si="36"/>
        <v>0.6</v>
      </c>
      <c r="AI60" s="176">
        <f t="shared" si="31"/>
        <v>4.9199999999999999E-3</v>
      </c>
      <c r="AJ60" s="176">
        <f t="shared" si="31"/>
        <v>5.1000000000000004E-3</v>
      </c>
      <c r="AK60" s="179"/>
      <c r="AL60" s="179"/>
      <c r="AM60" s="179"/>
      <c r="AO60" s="179">
        <v>1.0880000000000001E-2</v>
      </c>
      <c r="AP60" s="179">
        <v>9.92E-3</v>
      </c>
      <c r="AQ60" s="179">
        <v>5.0799999999999994E-3</v>
      </c>
      <c r="AR60" s="179">
        <v>1.4440000000000001E-2</v>
      </c>
      <c r="AS60" s="179">
        <v>1.3059999999999999E-2</v>
      </c>
      <c r="AT60" s="179">
        <v>5.5399999999999998E-3</v>
      </c>
      <c r="AU60" s="180"/>
      <c r="AV60" s="180"/>
      <c r="AW60" s="180"/>
      <c r="AX60" s="180"/>
      <c r="AY60" s="180"/>
      <c r="AZ60" s="180"/>
      <c r="BA60" s="180"/>
      <c r="BB60" s="180"/>
      <c r="BC60" s="180"/>
      <c r="BD60" s="180"/>
      <c r="BE60" s="180"/>
      <c r="BF60" s="180"/>
      <c r="BG60" s="180"/>
      <c r="BH60" s="180"/>
      <c r="BI60" s="180"/>
      <c r="BJ60" s="180"/>
      <c r="BK60" s="180"/>
      <c r="BL60" s="180"/>
      <c r="BM60" s="180"/>
      <c r="BN60" s="180"/>
      <c r="BP60" s="180"/>
      <c r="BQ60" s="175"/>
      <c r="BR60" s="175"/>
      <c r="BS60" s="175"/>
      <c r="BT60" s="175"/>
      <c r="BU60" s="175"/>
      <c r="BV60" s="175"/>
      <c r="BW60" s="175"/>
      <c r="BX60" s="175"/>
    </row>
    <row r="61" spans="1:76" ht="11.25" customHeight="1" x14ac:dyDescent="0.2">
      <c r="A61" s="4">
        <f xml:space="preserve"> Basis!A61</f>
        <v>61</v>
      </c>
      <c r="C61" s="179">
        <v>0</v>
      </c>
      <c r="D61" s="179">
        <v>0</v>
      </c>
      <c r="G61" s="179">
        <v>8.5000000000000006E-3</v>
      </c>
      <c r="H61" s="179">
        <v>9.5999999999999992E-3</v>
      </c>
      <c r="I61" s="180"/>
      <c r="J61" s="179">
        <v>1.4800000000000001E-2</v>
      </c>
      <c r="K61" s="179">
        <v>1.55E-2</v>
      </c>
      <c r="M61" s="179">
        <v>1.23E-2</v>
      </c>
      <c r="N61" s="179">
        <v>1.2999999999999999E-2</v>
      </c>
      <c r="O61" s="180"/>
      <c r="P61" s="179">
        <v>7.0000000000000001E-3</v>
      </c>
      <c r="Q61" s="179">
        <v>7.9000000000000008E-3</v>
      </c>
      <c r="U61" s="179">
        <v>3.2000000000000002E-3</v>
      </c>
      <c r="V61" s="179">
        <v>4.1000000000000003E-3</v>
      </c>
      <c r="X61" s="179">
        <v>3.0999999999999999E-3</v>
      </c>
      <c r="Y61" s="179">
        <v>4.1999999999999997E-3</v>
      </c>
      <c r="AA61" s="179">
        <v>3.3999999999999998E-3</v>
      </c>
      <c r="AB61" s="179">
        <v>4.1999999999999997E-3</v>
      </c>
      <c r="AD61" s="179">
        <v>3.5999999999999999E-3</v>
      </c>
      <c r="AE61" s="179">
        <v>4.0000000000000001E-3</v>
      </c>
      <c r="AF61" s="179"/>
      <c r="AG61" s="382">
        <f t="shared" si="35"/>
        <v>0.6</v>
      </c>
      <c r="AH61" s="382">
        <f t="shared" si="36"/>
        <v>0.6</v>
      </c>
      <c r="AI61" s="176">
        <f t="shared" si="31"/>
        <v>4.96E-3</v>
      </c>
      <c r="AJ61" s="176">
        <f t="shared" si="31"/>
        <v>5.5600000000000007E-3</v>
      </c>
      <c r="AK61" s="179"/>
      <c r="AL61" s="179"/>
      <c r="AM61" s="179"/>
      <c r="AO61" s="179">
        <v>9.7399999999999987E-3</v>
      </c>
      <c r="AP61" s="179">
        <v>8.9599999999999992E-3</v>
      </c>
      <c r="AQ61" s="179">
        <v>4.3400000000000001E-3</v>
      </c>
      <c r="AR61" s="179">
        <v>1.302E-2</v>
      </c>
      <c r="AS61" s="179">
        <v>1.1979999999999999E-2</v>
      </c>
      <c r="AT61" s="179">
        <v>4.8199999999999996E-3</v>
      </c>
      <c r="AU61" s="180"/>
      <c r="AV61" s="180"/>
      <c r="AW61" s="180"/>
      <c r="AX61" s="180"/>
      <c r="AY61" s="180"/>
      <c r="AZ61" s="180"/>
      <c r="BA61" s="180"/>
      <c r="BB61" s="180"/>
      <c r="BC61" s="180"/>
      <c r="BD61" s="180"/>
      <c r="BE61" s="180"/>
      <c r="BF61" s="180"/>
      <c r="BG61" s="180"/>
      <c r="BH61" s="180"/>
      <c r="BI61" s="180"/>
      <c r="BJ61" s="180"/>
      <c r="BK61" s="180"/>
      <c r="BL61" s="180"/>
      <c r="BM61" s="180"/>
      <c r="BN61" s="180"/>
      <c r="BP61" s="180"/>
      <c r="BQ61" s="175"/>
      <c r="BR61" s="175"/>
      <c r="BS61" s="175"/>
      <c r="BT61" s="175"/>
      <c r="BU61" s="175"/>
      <c r="BV61" s="175"/>
      <c r="BW61" s="175"/>
      <c r="BX61" s="175"/>
    </row>
    <row r="62" spans="1:76" ht="11.25" customHeight="1" x14ac:dyDescent="0.2">
      <c r="A62" s="4">
        <f xml:space="preserve"> Basis!A62</f>
        <v>62</v>
      </c>
      <c r="C62" s="179">
        <v>0</v>
      </c>
      <c r="D62" s="179">
        <v>0</v>
      </c>
      <c r="G62" s="179">
        <v>8.0999999999999996E-3</v>
      </c>
      <c r="H62" s="179">
        <v>9.5999999999999992E-3</v>
      </c>
      <c r="I62" s="180"/>
      <c r="J62" s="179">
        <v>1.4500000000000001E-2</v>
      </c>
      <c r="K62" s="179">
        <v>1.5599999999999999E-2</v>
      </c>
      <c r="M62" s="179">
        <v>1.18E-2</v>
      </c>
      <c r="N62" s="179">
        <v>1.2999999999999999E-2</v>
      </c>
      <c r="O62" s="180"/>
      <c r="P62" s="179">
        <v>6.4999999999999997E-3</v>
      </c>
      <c r="Q62" s="179">
        <v>7.6E-3</v>
      </c>
      <c r="U62" s="179">
        <v>2.5999999999999999E-3</v>
      </c>
      <c r="V62" s="179">
        <v>3.3E-3</v>
      </c>
      <c r="X62" s="179">
        <v>3.3E-3</v>
      </c>
      <c r="Y62" s="179">
        <v>4.1000000000000003E-3</v>
      </c>
      <c r="AA62" s="179">
        <v>3.5999999999999999E-3</v>
      </c>
      <c r="AB62" s="179">
        <v>4.4000000000000003E-3</v>
      </c>
      <c r="AD62" s="179">
        <v>3.8999999999999998E-3</v>
      </c>
      <c r="AE62" s="179">
        <v>4.1999999999999997E-3</v>
      </c>
      <c r="AF62" s="179"/>
      <c r="AG62" s="382">
        <f t="shared" si="35"/>
        <v>0.6</v>
      </c>
      <c r="AH62" s="382">
        <f t="shared" si="36"/>
        <v>0.6</v>
      </c>
      <c r="AI62" s="176">
        <f t="shared" si="31"/>
        <v>4.9399999999999999E-3</v>
      </c>
      <c r="AJ62" s="176">
        <f t="shared" si="31"/>
        <v>5.5599999999999998E-3</v>
      </c>
      <c r="AK62" s="179"/>
      <c r="AL62" s="179"/>
      <c r="AM62" s="179"/>
      <c r="AO62" s="179">
        <v>8.6E-3</v>
      </c>
      <c r="AP62" s="179">
        <v>8.0000000000000002E-3</v>
      </c>
      <c r="AQ62" s="179">
        <v>3.5999999999999999E-3</v>
      </c>
      <c r="AR62" s="179">
        <v>1.1599999999999999E-2</v>
      </c>
      <c r="AS62" s="179">
        <v>1.09E-2</v>
      </c>
      <c r="AT62" s="179">
        <v>4.1000000000000003E-3</v>
      </c>
      <c r="AU62" s="180"/>
      <c r="AV62" s="180"/>
      <c r="AW62" s="180"/>
      <c r="AX62" s="180"/>
      <c r="AY62" s="180"/>
      <c r="AZ62" s="180"/>
      <c r="BA62" s="180"/>
      <c r="BB62" s="180"/>
      <c r="BC62" s="180"/>
      <c r="BD62" s="180"/>
      <c r="BE62" s="180"/>
      <c r="BF62" s="180"/>
      <c r="BG62" s="180"/>
      <c r="BH62" s="180"/>
      <c r="BI62" s="180"/>
      <c r="BJ62" s="180"/>
      <c r="BK62" s="180"/>
      <c r="BL62" s="180"/>
      <c r="BM62" s="180"/>
      <c r="BN62" s="180"/>
      <c r="BP62" s="180"/>
      <c r="BQ62" s="175"/>
      <c r="BR62" s="175"/>
      <c r="BS62" s="175"/>
      <c r="BT62" s="175"/>
      <c r="BU62" s="175"/>
      <c r="BV62" s="175"/>
      <c r="BW62" s="175"/>
      <c r="BX62" s="175"/>
    </row>
    <row r="63" spans="1:76" ht="11.25" customHeight="1" x14ac:dyDescent="0.2">
      <c r="A63" s="4">
        <f xml:space="preserve"> Basis!A63</f>
        <v>63</v>
      </c>
      <c r="C63" s="179">
        <v>0</v>
      </c>
      <c r="D63" s="179">
        <v>0</v>
      </c>
      <c r="G63" s="179">
        <v>8.0000000000000002E-3</v>
      </c>
      <c r="H63" s="179">
        <v>9.5999999999999992E-3</v>
      </c>
      <c r="I63" s="180"/>
      <c r="J63" s="179">
        <v>1.43E-2</v>
      </c>
      <c r="K63" s="179">
        <v>1.54E-2</v>
      </c>
      <c r="M63" s="179">
        <v>1.1599999999999999E-2</v>
      </c>
      <c r="N63" s="179">
        <v>1.1900000000000001E-2</v>
      </c>
      <c r="O63" s="180"/>
      <c r="P63" s="179">
        <v>6.1999999999999998E-3</v>
      </c>
      <c r="Q63" s="179">
        <v>7.0000000000000001E-3</v>
      </c>
      <c r="U63" s="179">
        <v>2.0999999999999999E-3</v>
      </c>
      <c r="V63" s="179">
        <v>2.5999999999999999E-3</v>
      </c>
      <c r="X63" s="179">
        <v>3.2000000000000002E-3</v>
      </c>
      <c r="Y63" s="179">
        <v>3.5999999999999999E-3</v>
      </c>
      <c r="AA63" s="179">
        <v>3.5999999999999999E-3</v>
      </c>
      <c r="AB63" s="179">
        <v>4.1000000000000003E-3</v>
      </c>
      <c r="AD63" s="179">
        <v>3.8999999999999998E-3</v>
      </c>
      <c r="AE63" s="179">
        <v>4.0000000000000001E-3</v>
      </c>
      <c r="AF63" s="179"/>
      <c r="AG63" s="382">
        <f t="shared" si="35"/>
        <v>0.6</v>
      </c>
      <c r="AH63" s="382">
        <f t="shared" si="36"/>
        <v>0.6</v>
      </c>
      <c r="AI63" s="176">
        <f t="shared" si="31"/>
        <v>4.8199999999999996E-3</v>
      </c>
      <c r="AJ63" s="176">
        <f t="shared" si="31"/>
        <v>5.1999999999999998E-3</v>
      </c>
      <c r="AK63" s="179"/>
      <c r="AL63" s="179"/>
      <c r="AM63" s="179"/>
      <c r="AO63" s="179">
        <v>8.0999999999999996E-3</v>
      </c>
      <c r="AP63" s="179">
        <v>7.5399999999999998E-3</v>
      </c>
      <c r="AQ63" s="179">
        <v>3.32E-3</v>
      </c>
      <c r="AR63" s="179">
        <v>1.0579999999999999E-2</v>
      </c>
      <c r="AS63" s="179">
        <v>9.9400000000000009E-3</v>
      </c>
      <c r="AT63" s="179">
        <v>3.7400000000000003E-3</v>
      </c>
      <c r="AU63" s="180"/>
      <c r="AV63" s="180"/>
      <c r="AW63" s="180"/>
      <c r="AX63" s="180"/>
      <c r="AY63" s="180"/>
      <c r="AZ63" s="180"/>
      <c r="BA63" s="180"/>
      <c r="BB63" s="180"/>
      <c r="BC63" s="180"/>
      <c r="BD63" s="180"/>
      <c r="BE63" s="180"/>
      <c r="BF63" s="180"/>
      <c r="BG63" s="180"/>
      <c r="BH63" s="180"/>
      <c r="BI63" s="180"/>
      <c r="BJ63" s="180"/>
      <c r="BK63" s="180"/>
      <c r="BL63" s="180"/>
      <c r="BM63" s="180"/>
      <c r="BN63" s="180"/>
      <c r="BP63" s="180"/>
      <c r="BQ63" s="175"/>
      <c r="BR63" s="175"/>
      <c r="BS63" s="175"/>
      <c r="BT63" s="175"/>
      <c r="BU63" s="175"/>
      <c r="BV63" s="175"/>
      <c r="BW63" s="175"/>
      <c r="BX63" s="175"/>
    </row>
    <row r="64" spans="1:76" ht="11.25" customHeight="1" x14ac:dyDescent="0.2">
      <c r="A64" s="4">
        <f xml:space="preserve"> Basis!A64</f>
        <v>64</v>
      </c>
      <c r="C64" s="179">
        <v>0</v>
      </c>
      <c r="D64" s="179">
        <v>0</v>
      </c>
      <c r="G64" s="179">
        <v>7.7000000000000002E-3</v>
      </c>
      <c r="H64" s="179">
        <v>9.4999999999999998E-3</v>
      </c>
      <c r="I64" s="180"/>
      <c r="J64" s="179">
        <v>1.4200000000000001E-2</v>
      </c>
      <c r="K64" s="179">
        <v>1.46E-2</v>
      </c>
      <c r="M64" s="179">
        <v>1.1299999999999999E-2</v>
      </c>
      <c r="N64" s="179">
        <v>1.06E-2</v>
      </c>
      <c r="O64" s="180"/>
      <c r="P64" s="179">
        <v>5.8999999999999999E-3</v>
      </c>
      <c r="Q64" s="179">
        <v>5.7999999999999996E-3</v>
      </c>
      <c r="U64" s="179">
        <v>1.8E-3</v>
      </c>
      <c r="V64" s="179">
        <v>2.0999999999999999E-3</v>
      </c>
      <c r="X64" s="179">
        <v>2.8999999999999998E-3</v>
      </c>
      <c r="Y64" s="179">
        <v>3.0000000000000001E-3</v>
      </c>
      <c r="AA64" s="179">
        <v>3.3E-3</v>
      </c>
      <c r="AB64" s="179">
        <v>3.5000000000000001E-3</v>
      </c>
      <c r="AD64" s="179">
        <v>3.5999999999999999E-3</v>
      </c>
      <c r="AE64" s="179">
        <v>3.5999999999999999E-3</v>
      </c>
      <c r="AF64" s="179"/>
      <c r="AG64" s="382">
        <f t="shared" si="35"/>
        <v>0.6</v>
      </c>
      <c r="AH64" s="382">
        <f t="shared" si="36"/>
        <v>0.6</v>
      </c>
      <c r="AI64" s="176">
        <f t="shared" si="31"/>
        <v>4.5199999999999997E-3</v>
      </c>
      <c r="AJ64" s="176">
        <f t="shared" si="31"/>
        <v>4.4799999999999996E-3</v>
      </c>
      <c r="AK64" s="179"/>
      <c r="AL64" s="179"/>
      <c r="AM64" s="179"/>
      <c r="AO64" s="179">
        <v>7.6E-3</v>
      </c>
      <c r="AP64" s="179">
        <v>7.0800000000000004E-3</v>
      </c>
      <c r="AQ64" s="179">
        <v>3.0400000000000002E-3</v>
      </c>
      <c r="AR64" s="179">
        <v>9.5599999999999991E-3</v>
      </c>
      <c r="AS64" s="179">
        <v>8.9800000000000001E-3</v>
      </c>
      <c r="AT64" s="179">
        <v>3.3800000000000002E-3</v>
      </c>
      <c r="AU64" s="180"/>
      <c r="AV64" s="180"/>
      <c r="AW64" s="180"/>
      <c r="AX64" s="180"/>
      <c r="AY64" s="180"/>
      <c r="AZ64" s="180"/>
      <c r="BA64" s="180"/>
      <c r="BB64" s="180"/>
      <c r="BC64" s="180"/>
      <c r="BD64" s="180"/>
      <c r="BE64" s="180"/>
      <c r="BF64" s="180"/>
      <c r="BG64" s="180"/>
      <c r="BH64" s="180"/>
      <c r="BI64" s="180"/>
      <c r="BJ64" s="180"/>
      <c r="BK64" s="180"/>
      <c r="BL64" s="180"/>
      <c r="BM64" s="180"/>
      <c r="BN64" s="180"/>
      <c r="BP64" s="180"/>
      <c r="BQ64" s="175"/>
      <c r="BR64" s="175"/>
      <c r="BS64" s="175"/>
      <c r="BT64" s="175"/>
      <c r="BU64" s="175"/>
      <c r="BV64" s="175"/>
      <c r="BW64" s="175"/>
      <c r="BX64" s="175"/>
    </row>
    <row r="65" spans="1:76" ht="11.25" customHeight="1" x14ac:dyDescent="0.2">
      <c r="A65" s="4">
        <f xml:space="preserve"> Basis!A65</f>
        <v>65</v>
      </c>
      <c r="C65" s="179">
        <v>0</v>
      </c>
      <c r="D65" s="179">
        <v>0</v>
      </c>
      <c r="G65" s="179">
        <v>7.4000000000000003E-3</v>
      </c>
      <c r="H65" s="179">
        <v>9.1000000000000004E-3</v>
      </c>
      <c r="I65" s="180"/>
      <c r="J65" s="179">
        <v>1.38E-2</v>
      </c>
      <c r="K65" s="179">
        <v>1.2200000000000001E-2</v>
      </c>
      <c r="M65" s="179">
        <v>1.0999999999999999E-2</v>
      </c>
      <c r="N65" s="179">
        <v>9.4000000000000004E-3</v>
      </c>
      <c r="O65" s="180"/>
      <c r="P65" s="179">
        <v>5.5999999999999999E-3</v>
      </c>
      <c r="Q65" s="179">
        <v>4.7999999999999996E-3</v>
      </c>
      <c r="U65" s="179">
        <v>1.5E-3</v>
      </c>
      <c r="V65" s="179">
        <v>1.6999999999999999E-3</v>
      </c>
      <c r="X65" s="179">
        <v>2.3E-3</v>
      </c>
      <c r="Y65" s="179">
        <v>2.3999999999999998E-3</v>
      </c>
      <c r="AA65" s="179">
        <v>2.5999999999999999E-3</v>
      </c>
      <c r="AB65" s="179">
        <v>2.7000000000000001E-3</v>
      </c>
      <c r="AD65" s="179">
        <v>2.8999999999999998E-3</v>
      </c>
      <c r="AE65" s="179">
        <v>2.8E-3</v>
      </c>
      <c r="AF65" s="179"/>
      <c r="AG65" s="382">
        <f t="shared" si="35"/>
        <v>0.6</v>
      </c>
      <c r="AH65" s="382">
        <f t="shared" si="36"/>
        <v>0.6</v>
      </c>
      <c r="AI65" s="176">
        <f t="shared" si="31"/>
        <v>3.98E-3</v>
      </c>
      <c r="AJ65" s="176">
        <f t="shared" si="31"/>
        <v>3.5999999999999999E-3</v>
      </c>
      <c r="AK65" s="179"/>
      <c r="AL65" s="179"/>
      <c r="AM65" s="179"/>
      <c r="AO65" s="179">
        <v>7.1000000000000004E-3</v>
      </c>
      <c r="AP65" s="179">
        <v>6.62E-3</v>
      </c>
      <c r="AQ65" s="179">
        <v>2.7600000000000003E-3</v>
      </c>
      <c r="AR65" s="179">
        <v>8.539999999999999E-3</v>
      </c>
      <c r="AS65" s="179">
        <v>8.0199999999999994E-3</v>
      </c>
      <c r="AT65" s="179">
        <v>3.0200000000000001E-3</v>
      </c>
      <c r="AU65" s="180"/>
      <c r="AV65" s="180"/>
      <c r="AW65" s="180"/>
      <c r="AX65" s="180"/>
      <c r="AY65" s="180"/>
      <c r="AZ65" s="180"/>
      <c r="BA65" s="180"/>
      <c r="BB65" s="180"/>
      <c r="BC65" s="180"/>
      <c r="BD65" s="180"/>
      <c r="BE65" s="180"/>
      <c r="BF65" s="180"/>
      <c r="BG65" s="180"/>
      <c r="BH65" s="180"/>
      <c r="BI65" s="180"/>
      <c r="BJ65" s="180"/>
      <c r="BK65" s="180"/>
      <c r="BL65" s="180"/>
      <c r="BM65" s="180"/>
      <c r="BN65" s="180"/>
      <c r="BP65" s="180"/>
      <c r="BQ65" s="175"/>
      <c r="BR65" s="175"/>
      <c r="BS65" s="175"/>
      <c r="BT65" s="175"/>
      <c r="BU65" s="175"/>
      <c r="BV65" s="175"/>
      <c r="BW65" s="175"/>
      <c r="BX65" s="175"/>
    </row>
    <row r="66" spans="1:76" ht="11.25" customHeight="1" x14ac:dyDescent="0.2">
      <c r="A66" s="4">
        <f xml:space="preserve"> Basis!A66</f>
        <v>66</v>
      </c>
      <c r="C66" s="179">
        <v>0</v>
      </c>
      <c r="D66" s="179">
        <v>0</v>
      </c>
      <c r="G66" s="179">
        <v>6.8999999999999999E-3</v>
      </c>
      <c r="H66" s="179">
        <v>8.3999999999999995E-3</v>
      </c>
      <c r="I66" s="180"/>
      <c r="J66" s="179">
        <v>1.3100000000000001E-2</v>
      </c>
      <c r="K66" s="179">
        <v>1.11E-2</v>
      </c>
      <c r="M66" s="179">
        <v>1.03E-2</v>
      </c>
      <c r="N66" s="179">
        <v>8.5000000000000006E-3</v>
      </c>
      <c r="O66" s="180"/>
      <c r="P66" s="179">
        <v>5.1000000000000004E-3</v>
      </c>
      <c r="Q66" s="179">
        <v>4.0000000000000001E-3</v>
      </c>
      <c r="U66" s="179">
        <v>1.1999999999999999E-3</v>
      </c>
      <c r="V66" s="179">
        <v>1.4E-3</v>
      </c>
      <c r="X66" s="179">
        <v>1.1999999999999999E-3</v>
      </c>
      <c r="Y66" s="179">
        <v>1.8E-3</v>
      </c>
      <c r="AA66" s="179">
        <v>1.4E-3</v>
      </c>
      <c r="AB66" s="179">
        <v>1.6000000000000001E-3</v>
      </c>
      <c r="AD66" s="179">
        <v>1.6000000000000001E-3</v>
      </c>
      <c r="AE66" s="179">
        <v>1.6000000000000001E-3</v>
      </c>
      <c r="AF66" s="179"/>
      <c r="AG66" s="382">
        <f t="shared" si="35"/>
        <v>0.6</v>
      </c>
      <c r="AH66" s="382">
        <f t="shared" si="36"/>
        <v>0.6</v>
      </c>
      <c r="AI66" s="176">
        <f t="shared" si="31"/>
        <v>3.0000000000000001E-3</v>
      </c>
      <c r="AJ66" s="176">
        <f t="shared" si="31"/>
        <v>2.5600000000000002E-3</v>
      </c>
      <c r="AK66" s="179"/>
      <c r="AL66" s="179"/>
      <c r="AM66" s="179"/>
      <c r="AO66" s="179">
        <v>6.6E-3</v>
      </c>
      <c r="AP66" s="179">
        <v>6.1600000000000005E-3</v>
      </c>
      <c r="AQ66" s="179">
        <v>2.48E-3</v>
      </c>
      <c r="AR66" s="179">
        <v>7.5199999999999998E-3</v>
      </c>
      <c r="AS66" s="179">
        <v>7.0600000000000003E-3</v>
      </c>
      <c r="AT66" s="179">
        <v>2.66E-3</v>
      </c>
      <c r="AU66" s="180"/>
      <c r="AV66" s="180"/>
      <c r="AW66" s="180"/>
      <c r="AX66" s="180"/>
      <c r="AY66" s="180"/>
      <c r="AZ66" s="180"/>
      <c r="BA66" s="180"/>
      <c r="BB66" s="180"/>
      <c r="BC66" s="180"/>
      <c r="BD66" s="180"/>
      <c r="BE66" s="180"/>
      <c r="BF66" s="180"/>
      <c r="BG66" s="180"/>
      <c r="BH66" s="180"/>
      <c r="BI66" s="180"/>
      <c r="BJ66" s="180"/>
      <c r="BK66" s="180"/>
      <c r="BL66" s="180"/>
      <c r="BM66" s="180"/>
      <c r="BN66" s="180"/>
      <c r="BP66" s="180"/>
      <c r="BQ66" s="175"/>
      <c r="BR66" s="175"/>
      <c r="BS66" s="175"/>
      <c r="BT66" s="175"/>
      <c r="BU66" s="175"/>
      <c r="BV66" s="175"/>
      <c r="BW66" s="175"/>
      <c r="BX66" s="175"/>
    </row>
    <row r="67" spans="1:76" ht="11.25" customHeight="1" x14ac:dyDescent="0.2">
      <c r="A67" s="4">
        <f xml:space="preserve"> Basis!A67</f>
        <v>67</v>
      </c>
      <c r="C67" s="179">
        <v>0</v>
      </c>
      <c r="D67" s="179">
        <v>0</v>
      </c>
      <c r="G67" s="179">
        <v>6.3E-3</v>
      </c>
      <c r="H67" s="179">
        <v>7.4999999999999997E-3</v>
      </c>
      <c r="I67" s="180"/>
      <c r="J67" s="179">
        <v>1.32E-2</v>
      </c>
      <c r="K67" s="179">
        <v>1.03E-2</v>
      </c>
      <c r="M67" s="179">
        <v>1.0699999999999999E-2</v>
      </c>
      <c r="N67" s="179">
        <v>7.7999999999999996E-3</v>
      </c>
      <c r="O67" s="180"/>
      <c r="P67" s="179">
        <v>4.5999999999999999E-3</v>
      </c>
      <c r="Q67" s="179">
        <v>3.3E-3</v>
      </c>
      <c r="U67" s="179">
        <v>1E-3</v>
      </c>
      <c r="V67" s="179">
        <v>1.1000000000000001E-3</v>
      </c>
      <c r="X67" s="179">
        <v>1E-3</v>
      </c>
      <c r="Y67" s="179">
        <v>1.1999999999999999E-3</v>
      </c>
      <c r="AA67" s="179">
        <v>1.1999999999999999E-3</v>
      </c>
      <c r="AB67" s="179">
        <v>1.2999999999999999E-3</v>
      </c>
      <c r="AD67" s="179">
        <v>1.2999999999999999E-3</v>
      </c>
      <c r="AE67" s="179">
        <v>1.2999999999999999E-3</v>
      </c>
      <c r="AF67" s="179"/>
      <c r="AG67" s="382">
        <f t="shared" si="35"/>
        <v>0.6</v>
      </c>
      <c r="AH67" s="382">
        <f t="shared" si="36"/>
        <v>0.6</v>
      </c>
      <c r="AI67" s="176">
        <f t="shared" si="31"/>
        <v>2.6199999999999999E-3</v>
      </c>
      <c r="AJ67" s="176">
        <f t="shared" si="31"/>
        <v>2.0999999999999999E-3</v>
      </c>
      <c r="AK67" s="179"/>
      <c r="AL67" s="179"/>
      <c r="AM67" s="179"/>
      <c r="AO67" s="179">
        <v>6.1000000000000004E-3</v>
      </c>
      <c r="AP67" s="179">
        <v>5.7000000000000002E-3</v>
      </c>
      <c r="AQ67" s="179">
        <v>2.2000000000000001E-3</v>
      </c>
      <c r="AR67" s="179">
        <v>6.4999999999999997E-3</v>
      </c>
      <c r="AS67" s="179">
        <v>6.1000000000000004E-3</v>
      </c>
      <c r="AT67" s="179">
        <v>2.3E-3</v>
      </c>
      <c r="AU67" s="180"/>
      <c r="AV67" s="180"/>
      <c r="AW67" s="180"/>
      <c r="AX67" s="180"/>
      <c r="AY67" s="180"/>
      <c r="AZ67" s="180"/>
      <c r="BA67" s="180"/>
      <c r="BB67" s="180"/>
      <c r="BC67" s="180"/>
      <c r="BD67" s="180"/>
      <c r="BE67" s="180"/>
      <c r="BF67" s="180"/>
      <c r="BG67" s="180"/>
      <c r="BH67" s="180"/>
      <c r="BI67" s="180"/>
      <c r="BJ67" s="180"/>
      <c r="BK67" s="180"/>
      <c r="BL67" s="180"/>
      <c r="BM67" s="180"/>
      <c r="BN67" s="180"/>
      <c r="BP67" s="180"/>
      <c r="BQ67" s="175"/>
      <c r="BR67" s="175"/>
      <c r="BS67" s="175"/>
      <c r="BT67" s="175"/>
      <c r="BU67" s="175"/>
      <c r="BV67" s="175"/>
      <c r="BW67" s="175"/>
      <c r="BX67" s="175"/>
    </row>
    <row r="68" spans="1:76" ht="11.25" customHeight="1" x14ac:dyDescent="0.2">
      <c r="A68" s="4">
        <f xml:space="preserve"> Basis!A68</f>
        <v>68</v>
      </c>
      <c r="C68" s="179">
        <v>0</v>
      </c>
      <c r="D68" s="179">
        <v>0</v>
      </c>
      <c r="G68" s="179">
        <v>5.7000000000000002E-3</v>
      </c>
      <c r="H68" s="179">
        <v>6.6E-3</v>
      </c>
      <c r="I68" s="180"/>
      <c r="J68" s="179">
        <v>1.26E-2</v>
      </c>
      <c r="K68" s="179">
        <v>9.5999999999999992E-3</v>
      </c>
      <c r="M68" s="179">
        <v>1.01E-2</v>
      </c>
      <c r="N68" s="179">
        <v>7.1999999999999998E-3</v>
      </c>
      <c r="O68" s="180"/>
      <c r="P68" s="179">
        <v>4.1999999999999997E-3</v>
      </c>
      <c r="Q68" s="179">
        <v>2.8999999999999998E-3</v>
      </c>
      <c r="U68" s="179">
        <v>8.9999999999999998E-4</v>
      </c>
      <c r="V68" s="179">
        <v>1E-3</v>
      </c>
      <c r="X68" s="179">
        <v>8.9999999999999998E-4</v>
      </c>
      <c r="Y68" s="179">
        <v>1E-3</v>
      </c>
      <c r="AA68" s="179">
        <v>1E-3</v>
      </c>
      <c r="AB68" s="179">
        <v>1.1000000000000001E-3</v>
      </c>
      <c r="AD68" s="179">
        <v>1.1000000000000001E-3</v>
      </c>
      <c r="AE68" s="179">
        <v>1.1999999999999999E-3</v>
      </c>
      <c r="AF68" s="179"/>
      <c r="AG68" s="382">
        <f t="shared" si="35"/>
        <v>0.6</v>
      </c>
      <c r="AH68" s="382">
        <f t="shared" si="36"/>
        <v>0.6</v>
      </c>
      <c r="AI68" s="176">
        <f t="shared" si="31"/>
        <v>2.3400000000000001E-3</v>
      </c>
      <c r="AJ68" s="176">
        <f t="shared" si="31"/>
        <v>1.8799999999999999E-3</v>
      </c>
      <c r="AK68" s="179"/>
      <c r="AL68" s="179"/>
      <c r="AM68" s="179"/>
      <c r="AO68" s="179">
        <v>5.62E-3</v>
      </c>
      <c r="AP68" s="179">
        <v>5.2399999999999999E-3</v>
      </c>
      <c r="AQ68" s="179">
        <v>2.0200000000000001E-3</v>
      </c>
      <c r="AR68" s="179">
        <v>5.7599999999999995E-3</v>
      </c>
      <c r="AS68" s="179">
        <v>5.4200000000000003E-3</v>
      </c>
      <c r="AT68" s="179">
        <v>2.0799999999999998E-3</v>
      </c>
      <c r="AU68" s="180"/>
      <c r="AV68" s="180"/>
      <c r="AW68" s="180"/>
      <c r="AX68" s="180"/>
      <c r="AY68" s="180"/>
      <c r="AZ68" s="180"/>
      <c r="BA68" s="180"/>
      <c r="BB68" s="180"/>
      <c r="BC68" s="180"/>
      <c r="BD68" s="180"/>
      <c r="BE68" s="180"/>
      <c r="BF68" s="180"/>
      <c r="BG68" s="180"/>
      <c r="BH68" s="180"/>
      <c r="BI68" s="180"/>
      <c r="BJ68" s="180"/>
      <c r="BK68" s="180"/>
      <c r="BL68" s="180"/>
      <c r="BM68" s="180"/>
      <c r="BN68" s="180"/>
      <c r="BP68" s="180"/>
      <c r="BQ68" s="175"/>
      <c r="BR68" s="175"/>
      <c r="BS68" s="175"/>
      <c r="BT68" s="175"/>
      <c r="BU68" s="175"/>
      <c r="BV68" s="175"/>
      <c r="BW68" s="175"/>
      <c r="BX68" s="175"/>
    </row>
    <row r="69" spans="1:76" ht="11.25" customHeight="1" x14ac:dyDescent="0.2">
      <c r="A69" s="4">
        <f xml:space="preserve"> Basis!A69</f>
        <v>69</v>
      </c>
      <c r="C69" s="179">
        <v>0</v>
      </c>
      <c r="D69" s="179">
        <v>0</v>
      </c>
      <c r="G69" s="179">
        <v>5.1999999999999998E-3</v>
      </c>
      <c r="H69" s="179">
        <v>5.7999999999999996E-3</v>
      </c>
      <c r="I69" s="180"/>
      <c r="J69" s="179">
        <v>1.2E-2</v>
      </c>
      <c r="K69" s="179">
        <v>8.9999999999999993E-3</v>
      </c>
      <c r="M69" s="179">
        <v>9.5999999999999992E-3</v>
      </c>
      <c r="N69" s="179">
        <v>6.8999999999999999E-3</v>
      </c>
      <c r="O69" s="180"/>
      <c r="P69" s="179">
        <v>3.8E-3</v>
      </c>
      <c r="Q69" s="179">
        <v>2.5000000000000001E-3</v>
      </c>
      <c r="U69" s="179">
        <v>8.0000000000000004E-4</v>
      </c>
      <c r="V69" s="179">
        <v>8.0000000000000004E-4</v>
      </c>
      <c r="X69" s="179">
        <v>8.0000000000000004E-4</v>
      </c>
      <c r="Y69" s="179">
        <v>8.0000000000000004E-4</v>
      </c>
      <c r="AA69" s="179">
        <v>8.9999999999999998E-4</v>
      </c>
      <c r="AB69" s="179">
        <v>8.9999999999999998E-4</v>
      </c>
      <c r="AD69" s="179">
        <v>8.9999999999999998E-4</v>
      </c>
      <c r="AE69" s="179">
        <v>1E-3</v>
      </c>
      <c r="AF69" s="179"/>
      <c r="AG69" s="382">
        <f t="shared" si="35"/>
        <v>0.6</v>
      </c>
      <c r="AH69" s="382">
        <f t="shared" si="36"/>
        <v>0.6</v>
      </c>
      <c r="AI69" s="176">
        <f t="shared" si="31"/>
        <v>2.0600000000000002E-3</v>
      </c>
      <c r="AJ69" s="176">
        <f t="shared" si="31"/>
        <v>1.6000000000000001E-3</v>
      </c>
      <c r="AK69" s="179"/>
      <c r="AL69" s="179"/>
      <c r="AM69" s="179"/>
      <c r="AO69" s="179">
        <v>5.1400000000000005E-3</v>
      </c>
      <c r="AP69" s="179">
        <v>4.7799999999999995E-3</v>
      </c>
      <c r="AQ69" s="179">
        <v>1.8400000000000001E-3</v>
      </c>
      <c r="AR69" s="179">
        <v>5.0200000000000002E-3</v>
      </c>
      <c r="AS69" s="179">
        <v>4.7400000000000003E-3</v>
      </c>
      <c r="AT69" s="179">
        <v>1.8599999999999999E-3</v>
      </c>
      <c r="AU69" s="180"/>
      <c r="AV69" s="180"/>
      <c r="AW69" s="180"/>
      <c r="AX69" s="180"/>
      <c r="AY69" s="180"/>
      <c r="AZ69" s="180"/>
      <c r="BA69" s="180"/>
      <c r="BB69" s="180"/>
      <c r="BC69" s="180"/>
      <c r="BD69" s="180"/>
      <c r="BE69" s="180"/>
      <c r="BF69" s="180"/>
      <c r="BG69" s="180"/>
      <c r="BH69" s="180"/>
      <c r="BI69" s="180"/>
      <c r="BJ69" s="180"/>
      <c r="BK69" s="180"/>
      <c r="BL69" s="180"/>
      <c r="BM69" s="180"/>
      <c r="BN69" s="180"/>
      <c r="BP69" s="180"/>
      <c r="BQ69" s="175"/>
      <c r="BR69" s="175"/>
      <c r="BS69" s="175"/>
      <c r="BT69" s="175"/>
      <c r="BU69" s="175"/>
      <c r="BV69" s="175"/>
      <c r="BW69" s="175"/>
      <c r="BX69" s="175"/>
    </row>
    <row r="70" spans="1:76" ht="11.25" customHeight="1" x14ac:dyDescent="0.2">
      <c r="A70" s="4">
        <f xml:space="preserve"> Basis!A70</f>
        <v>70</v>
      </c>
      <c r="C70" s="179">
        <v>0</v>
      </c>
      <c r="D70" s="179">
        <v>0</v>
      </c>
      <c r="G70" s="179">
        <v>4.7999999999999996E-3</v>
      </c>
      <c r="H70" s="179">
        <v>5.1999999999999998E-3</v>
      </c>
      <c r="I70" s="180"/>
      <c r="J70" s="179">
        <v>1.15E-2</v>
      </c>
      <c r="K70" s="179">
        <v>8.6999999999999994E-3</v>
      </c>
      <c r="M70" s="179">
        <v>8.9999999999999993E-3</v>
      </c>
      <c r="N70" s="179">
        <v>6.6E-3</v>
      </c>
      <c r="O70" s="180"/>
      <c r="P70" s="179">
        <v>3.5000000000000001E-3</v>
      </c>
      <c r="Q70" s="179">
        <v>2.3E-3</v>
      </c>
      <c r="U70" s="179">
        <v>6.9999999999999999E-4</v>
      </c>
      <c r="V70" s="179">
        <v>6.9999999999999999E-4</v>
      </c>
      <c r="X70" s="179">
        <v>6.9999999999999999E-4</v>
      </c>
      <c r="Y70" s="179">
        <v>6.9999999999999999E-4</v>
      </c>
      <c r="AA70" s="179">
        <v>8.0000000000000004E-4</v>
      </c>
      <c r="AB70" s="179">
        <v>8.0000000000000004E-4</v>
      </c>
      <c r="AD70" s="179">
        <v>8.0000000000000004E-4</v>
      </c>
      <c r="AE70" s="179">
        <v>8.9999999999999998E-4</v>
      </c>
      <c r="AF70" s="179"/>
      <c r="AG70" s="382">
        <f t="shared" si="35"/>
        <v>0.6</v>
      </c>
      <c r="AH70" s="382">
        <f t="shared" si="36"/>
        <v>0.6</v>
      </c>
      <c r="AI70" s="176">
        <f t="shared" si="31"/>
        <v>1.8800000000000002E-3</v>
      </c>
      <c r="AJ70" s="176">
        <f t="shared" si="31"/>
        <v>1.4599999999999999E-3</v>
      </c>
      <c r="AK70" s="179"/>
      <c r="AL70" s="179"/>
      <c r="AM70" s="179"/>
      <c r="AO70" s="179">
        <v>4.6600000000000001E-3</v>
      </c>
      <c r="AP70" s="179">
        <v>4.3200000000000001E-3</v>
      </c>
      <c r="AQ70" s="179">
        <v>1.66E-3</v>
      </c>
      <c r="AR70" s="179">
        <v>4.28E-3</v>
      </c>
      <c r="AS70" s="179">
        <v>4.0600000000000002E-3</v>
      </c>
      <c r="AT70" s="179">
        <v>1.64E-3</v>
      </c>
      <c r="AU70" s="180"/>
      <c r="AV70" s="180"/>
      <c r="AW70" s="180"/>
      <c r="AX70" s="180"/>
      <c r="AY70" s="180"/>
      <c r="AZ70" s="180"/>
      <c r="BA70" s="180"/>
      <c r="BB70" s="180"/>
      <c r="BC70" s="180"/>
      <c r="BD70" s="180"/>
      <c r="BE70" s="180"/>
      <c r="BF70" s="180"/>
      <c r="BG70" s="180"/>
      <c r="BH70" s="180"/>
      <c r="BI70" s="180"/>
      <c r="BJ70" s="180"/>
      <c r="BK70" s="180"/>
      <c r="BL70" s="180"/>
      <c r="BM70" s="180"/>
      <c r="BN70" s="180"/>
      <c r="BP70" s="180"/>
      <c r="BQ70" s="175"/>
      <c r="BR70" s="175"/>
      <c r="BS70" s="175"/>
      <c r="BT70" s="175"/>
      <c r="BU70" s="175"/>
      <c r="BV70" s="175"/>
      <c r="BW70" s="175"/>
      <c r="BX70" s="175"/>
    </row>
    <row r="71" spans="1:76" ht="11.25" customHeight="1" x14ac:dyDescent="0.2">
      <c r="A71" s="4">
        <f xml:space="preserve"> Basis!A71</f>
        <v>71</v>
      </c>
      <c r="C71" s="179">
        <v>0</v>
      </c>
      <c r="D71" s="179">
        <v>0</v>
      </c>
      <c r="G71" s="179">
        <v>4.5999999999999999E-3</v>
      </c>
      <c r="H71" s="179">
        <v>4.7000000000000002E-3</v>
      </c>
      <c r="I71" s="180"/>
      <c r="J71" s="179">
        <v>1.0999999999999999E-2</v>
      </c>
      <c r="K71" s="179">
        <v>8.5000000000000006E-3</v>
      </c>
      <c r="M71" s="179">
        <v>8.5000000000000006E-3</v>
      </c>
      <c r="N71" s="179">
        <v>6.4999999999999997E-3</v>
      </c>
      <c r="O71" s="180"/>
      <c r="P71" s="179">
        <v>3.2000000000000002E-3</v>
      </c>
      <c r="Q71" s="179">
        <v>2.2000000000000001E-3</v>
      </c>
      <c r="U71" s="179">
        <v>5.9999999999999995E-4</v>
      </c>
      <c r="V71" s="179">
        <v>5.9999999999999995E-4</v>
      </c>
      <c r="X71" s="179">
        <v>5.9999999999999995E-4</v>
      </c>
      <c r="Y71" s="179">
        <v>6.9999999999999999E-4</v>
      </c>
      <c r="AA71" s="179">
        <v>6.9999999999999999E-4</v>
      </c>
      <c r="AB71" s="179">
        <v>6.9999999999999999E-4</v>
      </c>
      <c r="AD71" s="179">
        <v>6.9999999999999999E-4</v>
      </c>
      <c r="AE71" s="179">
        <v>8.0000000000000004E-4</v>
      </c>
      <c r="AF71" s="179"/>
      <c r="AG71" s="382">
        <f t="shared" si="35"/>
        <v>0.6</v>
      </c>
      <c r="AH71" s="382">
        <f t="shared" si="36"/>
        <v>0.6</v>
      </c>
      <c r="AI71" s="176">
        <f t="shared" si="31"/>
        <v>1.7000000000000001E-3</v>
      </c>
      <c r="AJ71" s="176">
        <f t="shared" si="31"/>
        <v>1.3600000000000001E-3</v>
      </c>
      <c r="AK71" s="179"/>
      <c r="AL71" s="179"/>
      <c r="AM71" s="179"/>
      <c r="AO71" s="179">
        <v>4.1799999999999997E-3</v>
      </c>
      <c r="AP71" s="179">
        <v>3.8599999999999997E-3</v>
      </c>
      <c r="AQ71" s="179">
        <v>1.48E-3</v>
      </c>
      <c r="AR71" s="179">
        <v>3.5399999999999997E-3</v>
      </c>
      <c r="AS71" s="179">
        <v>3.3800000000000002E-3</v>
      </c>
      <c r="AT71" s="179">
        <v>1.4199999999999998E-3</v>
      </c>
      <c r="AU71" s="180"/>
      <c r="AV71" s="180"/>
      <c r="AW71" s="180"/>
      <c r="AX71" s="180"/>
      <c r="AY71" s="180"/>
      <c r="AZ71" s="180"/>
      <c r="BA71" s="180"/>
      <c r="BB71" s="180"/>
      <c r="BC71" s="180"/>
      <c r="BD71" s="180"/>
      <c r="BE71" s="180"/>
      <c r="BF71" s="180"/>
      <c r="BG71" s="180"/>
      <c r="BH71" s="180"/>
      <c r="BI71" s="180"/>
      <c r="BJ71" s="180"/>
      <c r="BK71" s="180"/>
      <c r="BL71" s="180"/>
      <c r="BM71" s="180"/>
      <c r="BN71" s="180"/>
      <c r="BP71" s="180"/>
      <c r="BQ71" s="175"/>
      <c r="BR71" s="175"/>
      <c r="BS71" s="175"/>
      <c r="BT71" s="175"/>
      <c r="BU71" s="175"/>
      <c r="BV71" s="175"/>
      <c r="BW71" s="175"/>
      <c r="BX71" s="175"/>
    </row>
    <row r="72" spans="1:76" ht="11.25" customHeight="1" x14ac:dyDescent="0.2">
      <c r="A72" s="4">
        <f xml:space="preserve"> Basis!A72</f>
        <v>72</v>
      </c>
      <c r="C72" s="179">
        <v>0</v>
      </c>
      <c r="D72" s="179">
        <v>0</v>
      </c>
      <c r="G72" s="179">
        <v>4.4999999999999997E-3</v>
      </c>
      <c r="H72" s="179">
        <v>4.4000000000000003E-3</v>
      </c>
      <c r="I72" s="180"/>
      <c r="J72" s="179">
        <v>1.0500000000000001E-2</v>
      </c>
      <c r="K72" s="179">
        <v>8.5000000000000006E-3</v>
      </c>
      <c r="M72" s="179">
        <v>8.0999999999999996E-3</v>
      </c>
      <c r="N72" s="179">
        <v>6.4999999999999997E-3</v>
      </c>
      <c r="O72" s="180"/>
      <c r="P72" s="179">
        <v>3.0999999999999999E-3</v>
      </c>
      <c r="Q72" s="179">
        <v>2.0999999999999999E-3</v>
      </c>
      <c r="U72" s="179">
        <v>5.9999999999999995E-4</v>
      </c>
      <c r="V72" s="179">
        <v>5.9999999999999995E-4</v>
      </c>
      <c r="X72" s="179">
        <v>5.9999999999999995E-4</v>
      </c>
      <c r="Y72" s="179">
        <v>5.9999999999999995E-4</v>
      </c>
      <c r="AA72" s="179">
        <v>5.9999999999999995E-4</v>
      </c>
      <c r="AB72" s="179">
        <v>6.9999999999999999E-4</v>
      </c>
      <c r="AD72" s="179">
        <v>5.9999999999999995E-4</v>
      </c>
      <c r="AE72" s="179">
        <v>6.9999999999999999E-4</v>
      </c>
      <c r="AF72" s="179"/>
      <c r="AG72" s="382">
        <f t="shared" si="35"/>
        <v>0.6</v>
      </c>
      <c r="AH72" s="382">
        <f t="shared" si="36"/>
        <v>0.6</v>
      </c>
      <c r="AI72" s="176">
        <f t="shared" si="31"/>
        <v>1.5999999999999999E-3</v>
      </c>
      <c r="AJ72" s="176">
        <f t="shared" si="31"/>
        <v>1.2599999999999998E-3</v>
      </c>
      <c r="AK72" s="179"/>
      <c r="AL72" s="179"/>
      <c r="AM72" s="179"/>
      <c r="AO72" s="179">
        <v>3.7000000000000002E-3</v>
      </c>
      <c r="AP72" s="179">
        <v>3.3999999999999998E-3</v>
      </c>
      <c r="AQ72" s="179">
        <v>1.2999999999999999E-3</v>
      </c>
      <c r="AR72" s="179">
        <v>2.8E-3</v>
      </c>
      <c r="AS72" s="179">
        <v>2.7000000000000001E-3</v>
      </c>
      <c r="AT72" s="179">
        <v>1.1999999999999999E-3</v>
      </c>
      <c r="AU72" s="180"/>
      <c r="AV72" s="180"/>
      <c r="AW72" s="180"/>
      <c r="AX72" s="180"/>
      <c r="AY72" s="180"/>
      <c r="AZ72" s="180"/>
      <c r="BA72" s="180"/>
      <c r="BB72" s="180"/>
      <c r="BC72" s="180"/>
      <c r="BD72" s="180"/>
      <c r="BE72" s="180"/>
      <c r="BF72" s="180"/>
      <c r="BG72" s="180"/>
      <c r="BH72" s="180"/>
      <c r="BI72" s="180"/>
      <c r="BJ72" s="180"/>
      <c r="BK72" s="180"/>
      <c r="BL72" s="180"/>
      <c r="BM72" s="180"/>
      <c r="BN72" s="180"/>
      <c r="BP72" s="180"/>
      <c r="BQ72" s="175"/>
      <c r="BR72" s="175"/>
      <c r="BS72" s="175"/>
      <c r="BT72" s="175"/>
      <c r="BU72" s="175"/>
      <c r="BV72" s="175"/>
      <c r="BW72" s="175"/>
      <c r="BX72" s="175"/>
    </row>
    <row r="73" spans="1:76" ht="11.25" customHeight="1" x14ac:dyDescent="0.2">
      <c r="A73" s="4">
        <f xml:space="preserve"> Basis!A73</f>
        <v>73</v>
      </c>
      <c r="C73" s="179">
        <v>0</v>
      </c>
      <c r="D73" s="179">
        <v>0</v>
      </c>
      <c r="G73" s="179">
        <v>4.4000000000000003E-3</v>
      </c>
      <c r="H73" s="179">
        <v>4.1000000000000003E-3</v>
      </c>
      <c r="I73" s="180"/>
      <c r="J73" s="179">
        <v>1.01E-2</v>
      </c>
      <c r="K73" s="179">
        <v>8.5000000000000006E-3</v>
      </c>
      <c r="M73" s="179">
        <v>7.6E-3</v>
      </c>
      <c r="N73" s="179">
        <v>6.4999999999999997E-3</v>
      </c>
      <c r="O73" s="180"/>
      <c r="P73" s="179">
        <v>3.0000000000000001E-3</v>
      </c>
      <c r="Q73" s="179">
        <v>2.0999999999999999E-3</v>
      </c>
      <c r="U73" s="179">
        <v>5.9999999999999995E-4</v>
      </c>
      <c r="V73" s="179">
        <v>5.0000000000000001E-4</v>
      </c>
      <c r="X73" s="179">
        <v>5.0000000000000001E-4</v>
      </c>
      <c r="Y73" s="179">
        <v>5.0000000000000001E-4</v>
      </c>
      <c r="AA73" s="179">
        <v>5.9999999999999995E-4</v>
      </c>
      <c r="AB73" s="179">
        <v>5.9999999999999995E-4</v>
      </c>
      <c r="AD73" s="179">
        <v>5.9999999999999995E-4</v>
      </c>
      <c r="AE73" s="179">
        <v>6.9999999999999999E-4</v>
      </c>
      <c r="AF73" s="179"/>
      <c r="AG73" s="382">
        <f t="shared" si="35"/>
        <v>0.6</v>
      </c>
      <c r="AH73" s="382">
        <f t="shared" si="36"/>
        <v>0.6</v>
      </c>
      <c r="AI73" s="176">
        <f t="shared" si="31"/>
        <v>1.5600000000000002E-3</v>
      </c>
      <c r="AJ73" s="176">
        <f t="shared" si="31"/>
        <v>1.2599999999999998E-3</v>
      </c>
      <c r="AK73" s="179"/>
      <c r="AL73" s="179"/>
      <c r="AM73" s="179"/>
      <c r="AO73" s="179">
        <v>3.5000000000000001E-3</v>
      </c>
      <c r="AP73" s="179">
        <v>3.2399999999999998E-3</v>
      </c>
      <c r="AQ73" s="179">
        <v>1.2799999999999999E-3</v>
      </c>
      <c r="AR73" s="179">
        <v>2.7199999999999998E-3</v>
      </c>
      <c r="AS73" s="179">
        <v>2.64E-3</v>
      </c>
      <c r="AT73" s="179">
        <v>1.1799999999999998E-3</v>
      </c>
      <c r="AU73" s="180"/>
      <c r="AV73" s="180"/>
      <c r="AW73" s="180"/>
      <c r="AX73" s="180"/>
      <c r="AY73" s="180"/>
      <c r="AZ73" s="180"/>
      <c r="BA73" s="180"/>
      <c r="BB73" s="180"/>
      <c r="BC73" s="180"/>
      <c r="BD73" s="180"/>
      <c r="BE73" s="180"/>
      <c r="BF73" s="180"/>
      <c r="BG73" s="180"/>
      <c r="BH73" s="180"/>
      <c r="BI73" s="180"/>
      <c r="BJ73" s="180"/>
      <c r="BK73" s="180"/>
      <c r="BL73" s="180"/>
      <c r="BM73" s="180"/>
      <c r="BN73" s="180"/>
      <c r="BP73" s="180"/>
      <c r="BQ73" s="175"/>
      <c r="BR73" s="175"/>
      <c r="BS73" s="175"/>
      <c r="BT73" s="175"/>
      <c r="BU73" s="175"/>
      <c r="BV73" s="175"/>
      <c r="BW73" s="175"/>
      <c r="BX73" s="175"/>
    </row>
    <row r="74" spans="1:76" ht="11.25" customHeight="1" x14ac:dyDescent="0.2">
      <c r="A74" s="4">
        <f xml:space="preserve"> Basis!A74</f>
        <v>74</v>
      </c>
      <c r="C74" s="179">
        <v>0</v>
      </c>
      <c r="D74" s="179">
        <v>0</v>
      </c>
      <c r="G74" s="179">
        <v>4.4000000000000003E-3</v>
      </c>
      <c r="H74" s="179">
        <v>4.0000000000000001E-3</v>
      </c>
      <c r="I74" s="180"/>
      <c r="J74" s="179">
        <v>9.7000000000000003E-3</v>
      </c>
      <c r="K74" s="179">
        <v>8.5000000000000006E-3</v>
      </c>
      <c r="M74" s="179">
        <v>7.1999999999999998E-3</v>
      </c>
      <c r="N74" s="179">
        <v>6.4999999999999997E-3</v>
      </c>
      <c r="O74" s="180"/>
      <c r="P74" s="179">
        <v>2.7000000000000001E-3</v>
      </c>
      <c r="Q74" s="179">
        <v>2.0999999999999999E-3</v>
      </c>
      <c r="U74" s="179">
        <v>5.9999999999999995E-4</v>
      </c>
      <c r="V74" s="179">
        <v>5.0000000000000001E-4</v>
      </c>
      <c r="X74" s="179">
        <v>5.0000000000000001E-4</v>
      </c>
      <c r="Y74" s="179">
        <v>5.0000000000000001E-4</v>
      </c>
      <c r="AA74" s="179">
        <v>5.9999999999999995E-4</v>
      </c>
      <c r="AB74" s="179">
        <v>5.9999999999999995E-4</v>
      </c>
      <c r="AD74" s="179">
        <v>5.9999999999999995E-4</v>
      </c>
      <c r="AE74" s="179">
        <v>5.9999999999999995E-4</v>
      </c>
      <c r="AF74" s="179"/>
      <c r="AG74" s="382">
        <f t="shared" si="35"/>
        <v>0.6</v>
      </c>
      <c r="AH74" s="382">
        <f t="shared" si="36"/>
        <v>0.6</v>
      </c>
      <c r="AI74" s="176">
        <f t="shared" si="31"/>
        <v>1.4400000000000001E-3</v>
      </c>
      <c r="AJ74" s="176">
        <f t="shared" si="31"/>
        <v>1.2000000000000001E-3</v>
      </c>
      <c r="AK74" s="179"/>
      <c r="AL74" s="179"/>
      <c r="AM74" s="179"/>
      <c r="AO74" s="179">
        <v>3.3E-3</v>
      </c>
      <c r="AP74" s="179">
        <v>3.0799999999999998E-3</v>
      </c>
      <c r="AQ74" s="179">
        <v>1.2599999999999998E-3</v>
      </c>
      <c r="AR74" s="179">
        <v>2.64E-3</v>
      </c>
      <c r="AS74" s="179">
        <v>2.5799999999999998E-3</v>
      </c>
      <c r="AT74" s="179">
        <v>1.16E-3</v>
      </c>
      <c r="AU74" s="180"/>
      <c r="AV74" s="180"/>
      <c r="AW74" s="180"/>
      <c r="AX74" s="180"/>
      <c r="AY74" s="180"/>
      <c r="AZ74" s="180"/>
      <c r="BA74" s="180"/>
      <c r="BB74" s="180"/>
      <c r="BC74" s="180"/>
      <c r="BD74" s="180"/>
      <c r="BE74" s="180"/>
      <c r="BF74" s="180"/>
      <c r="BG74" s="180"/>
      <c r="BH74" s="180"/>
      <c r="BI74" s="180"/>
      <c r="BJ74" s="180"/>
      <c r="BK74" s="180"/>
      <c r="BL74" s="180"/>
      <c r="BM74" s="180"/>
      <c r="BN74" s="180"/>
      <c r="BP74" s="180"/>
      <c r="BQ74" s="175"/>
      <c r="BR74" s="175"/>
      <c r="BS74" s="175"/>
      <c r="BT74" s="175"/>
      <c r="BU74" s="175"/>
      <c r="BV74" s="175"/>
      <c r="BW74" s="175"/>
      <c r="BX74" s="175"/>
    </row>
    <row r="75" spans="1:76" ht="11.25" customHeight="1" x14ac:dyDescent="0.2">
      <c r="A75" s="4">
        <f xml:space="preserve"> Basis!A75</f>
        <v>75</v>
      </c>
      <c r="C75" s="179">
        <v>0</v>
      </c>
      <c r="D75" s="179">
        <v>0</v>
      </c>
      <c r="G75" s="179">
        <v>4.4000000000000003E-3</v>
      </c>
      <c r="H75" s="179">
        <v>3.8999999999999998E-3</v>
      </c>
      <c r="I75" s="180"/>
      <c r="J75" s="179">
        <v>9.2999999999999992E-3</v>
      </c>
      <c r="K75" s="179">
        <v>8.5000000000000006E-3</v>
      </c>
      <c r="M75" s="179">
        <v>6.8999999999999999E-3</v>
      </c>
      <c r="N75" s="179">
        <v>6.4999999999999997E-3</v>
      </c>
      <c r="O75" s="180"/>
      <c r="P75" s="179">
        <v>2.3999999999999998E-3</v>
      </c>
      <c r="Q75" s="179">
        <v>2.0999999999999999E-3</v>
      </c>
      <c r="U75" s="179">
        <v>5.9999999999999995E-4</v>
      </c>
      <c r="V75" s="179">
        <v>5.0000000000000001E-4</v>
      </c>
      <c r="X75" s="179">
        <v>5.0000000000000001E-4</v>
      </c>
      <c r="Y75" s="179">
        <v>5.0000000000000001E-4</v>
      </c>
      <c r="AA75" s="179">
        <v>5.0000000000000001E-4</v>
      </c>
      <c r="AB75" s="179">
        <v>5.0000000000000001E-4</v>
      </c>
      <c r="AD75" s="179">
        <v>5.9999999999999995E-4</v>
      </c>
      <c r="AE75" s="179">
        <v>5.9999999999999995E-4</v>
      </c>
      <c r="AF75" s="179"/>
      <c r="AG75" s="382">
        <f t="shared" si="35"/>
        <v>0.6</v>
      </c>
      <c r="AH75" s="382">
        <f t="shared" si="36"/>
        <v>0.6</v>
      </c>
      <c r="AI75" s="176">
        <f t="shared" si="31"/>
        <v>1.32E-3</v>
      </c>
      <c r="AJ75" s="176">
        <f t="shared" si="31"/>
        <v>1.2000000000000001E-3</v>
      </c>
      <c r="AK75" s="179"/>
      <c r="AL75" s="179"/>
      <c r="AM75" s="179"/>
      <c r="AO75" s="179">
        <v>3.1000000000000003E-3</v>
      </c>
      <c r="AP75" s="179">
        <v>2.9199999999999999E-3</v>
      </c>
      <c r="AQ75" s="179">
        <v>1.24E-3</v>
      </c>
      <c r="AR75" s="179">
        <v>2.5599999999999998E-3</v>
      </c>
      <c r="AS75" s="179">
        <v>2.5200000000000001E-3</v>
      </c>
      <c r="AT75" s="179">
        <v>1.14E-3</v>
      </c>
      <c r="AU75" s="180"/>
      <c r="AV75" s="180"/>
      <c r="AW75" s="180"/>
      <c r="AX75" s="180"/>
      <c r="AY75" s="180"/>
      <c r="AZ75" s="180"/>
      <c r="BA75" s="180"/>
      <c r="BB75" s="180"/>
      <c r="BC75" s="180"/>
      <c r="BD75" s="180"/>
      <c r="BE75" s="180"/>
      <c r="BF75" s="180"/>
      <c r="BG75" s="180"/>
      <c r="BH75" s="180"/>
      <c r="BI75" s="180"/>
      <c r="BJ75" s="180"/>
      <c r="BK75" s="180"/>
      <c r="BL75" s="180"/>
      <c r="BM75" s="180"/>
      <c r="BN75" s="180"/>
      <c r="BP75" s="180"/>
      <c r="BQ75" s="175"/>
      <c r="BR75" s="175"/>
      <c r="BS75" s="175"/>
      <c r="BT75" s="175"/>
      <c r="BU75" s="175"/>
      <c r="BV75" s="175"/>
      <c r="BW75" s="175"/>
      <c r="BX75" s="175"/>
    </row>
    <row r="76" spans="1:76" ht="11.25" customHeight="1" x14ac:dyDescent="0.2">
      <c r="A76" s="4">
        <f xml:space="preserve"> Basis!A76</f>
        <v>76</v>
      </c>
      <c r="C76" s="179">
        <v>0</v>
      </c>
      <c r="D76" s="179">
        <v>0</v>
      </c>
      <c r="G76" s="179">
        <v>4.4000000000000003E-3</v>
      </c>
      <c r="H76" s="179">
        <v>3.8E-3</v>
      </c>
      <c r="I76" s="180"/>
      <c r="J76" s="179">
        <v>8.9999999999999993E-3</v>
      </c>
      <c r="K76" s="179">
        <v>8.6999999999999994E-3</v>
      </c>
      <c r="M76" s="179">
        <v>6.4999999999999997E-3</v>
      </c>
      <c r="N76" s="179">
        <v>6.4999999999999997E-3</v>
      </c>
      <c r="O76" s="180"/>
      <c r="P76" s="179">
        <v>2.2000000000000001E-3</v>
      </c>
      <c r="Q76" s="179">
        <v>2.0999999999999999E-3</v>
      </c>
      <c r="U76" s="179">
        <v>5.9999999999999995E-4</v>
      </c>
      <c r="V76" s="179">
        <v>5.0000000000000001E-4</v>
      </c>
      <c r="X76" s="179">
        <v>5.0000000000000001E-4</v>
      </c>
      <c r="Y76" s="179">
        <v>4.0000000000000002E-4</v>
      </c>
      <c r="AA76" s="179">
        <v>5.0000000000000001E-4</v>
      </c>
      <c r="AB76" s="179">
        <v>5.0000000000000001E-4</v>
      </c>
      <c r="AD76" s="179">
        <v>5.0000000000000001E-4</v>
      </c>
      <c r="AE76" s="179">
        <v>5.0000000000000001E-4</v>
      </c>
      <c r="AF76" s="179"/>
      <c r="AG76" s="382">
        <f t="shared" si="35"/>
        <v>0.6</v>
      </c>
      <c r="AH76" s="382">
        <f t="shared" si="36"/>
        <v>0.6</v>
      </c>
      <c r="AI76" s="176">
        <f t="shared" si="31"/>
        <v>1.1800000000000001E-3</v>
      </c>
      <c r="AJ76" s="176">
        <f t="shared" si="31"/>
        <v>1.14E-3</v>
      </c>
      <c r="AK76" s="179"/>
      <c r="AL76" s="179"/>
      <c r="AM76" s="179"/>
      <c r="AO76" s="179">
        <v>2.9000000000000002E-3</v>
      </c>
      <c r="AP76" s="179">
        <v>2.7599999999999999E-3</v>
      </c>
      <c r="AQ76" s="179">
        <v>1.2199999999999999E-3</v>
      </c>
      <c r="AR76" s="179">
        <v>2.4799999999999996E-3</v>
      </c>
      <c r="AS76" s="179">
        <v>2.4599999999999999E-3</v>
      </c>
      <c r="AT76" s="179">
        <v>1.1200000000000001E-3</v>
      </c>
      <c r="AU76" s="180"/>
      <c r="AV76" s="180"/>
      <c r="AW76" s="180"/>
      <c r="AX76" s="180"/>
      <c r="AY76" s="180"/>
      <c r="AZ76" s="180"/>
      <c r="BA76" s="180"/>
      <c r="BB76" s="180"/>
      <c r="BC76" s="180"/>
      <c r="BD76" s="180"/>
      <c r="BE76" s="180"/>
      <c r="BF76" s="180"/>
      <c r="BG76" s="180"/>
      <c r="BH76" s="180"/>
      <c r="BI76" s="180"/>
      <c r="BJ76" s="180"/>
      <c r="BK76" s="180"/>
      <c r="BL76" s="180"/>
      <c r="BM76" s="180"/>
      <c r="BN76" s="180"/>
      <c r="BP76" s="180"/>
      <c r="BQ76" s="175"/>
      <c r="BR76" s="175"/>
      <c r="BS76" s="175"/>
      <c r="BT76" s="175"/>
      <c r="BU76" s="175"/>
      <c r="BV76" s="175"/>
      <c r="BW76" s="175"/>
      <c r="BX76" s="175"/>
    </row>
    <row r="77" spans="1:76" ht="11.25" customHeight="1" x14ac:dyDescent="0.2">
      <c r="A77" s="4">
        <f xml:space="preserve"> Basis!A77</f>
        <v>77</v>
      </c>
      <c r="C77" s="179">
        <v>0</v>
      </c>
      <c r="D77" s="179">
        <v>0</v>
      </c>
      <c r="G77" s="179">
        <v>4.4000000000000003E-3</v>
      </c>
      <c r="H77" s="179">
        <v>3.5999999999999999E-3</v>
      </c>
      <c r="I77" s="180"/>
      <c r="J77" s="179">
        <v>8.6E-3</v>
      </c>
      <c r="K77" s="179">
        <v>8.3999999999999995E-3</v>
      </c>
      <c r="M77" s="179">
        <v>6.1999999999999998E-3</v>
      </c>
      <c r="N77" s="179">
        <v>6.4999999999999997E-3</v>
      </c>
      <c r="O77" s="180"/>
      <c r="P77" s="179">
        <v>2E-3</v>
      </c>
      <c r="Q77" s="179">
        <v>2.0999999999999999E-3</v>
      </c>
      <c r="U77" s="179">
        <v>5.9999999999999995E-4</v>
      </c>
      <c r="V77" s="179">
        <v>4.0000000000000002E-4</v>
      </c>
      <c r="X77" s="179">
        <v>5.0000000000000001E-4</v>
      </c>
      <c r="Y77" s="179">
        <v>4.0000000000000002E-4</v>
      </c>
      <c r="AA77" s="179">
        <v>5.0000000000000001E-4</v>
      </c>
      <c r="AB77" s="179">
        <v>4.0000000000000002E-4</v>
      </c>
      <c r="AD77" s="179">
        <v>5.0000000000000001E-4</v>
      </c>
      <c r="AE77" s="179">
        <v>5.0000000000000001E-4</v>
      </c>
      <c r="AF77" s="179"/>
      <c r="AG77" s="382">
        <f t="shared" si="35"/>
        <v>0.6</v>
      </c>
      <c r="AH77" s="382">
        <f t="shared" si="36"/>
        <v>0.6</v>
      </c>
      <c r="AI77" s="176">
        <f t="shared" si="31"/>
        <v>1.1000000000000001E-3</v>
      </c>
      <c r="AJ77" s="176">
        <f t="shared" si="31"/>
        <v>1.14E-3</v>
      </c>
      <c r="AK77" s="179"/>
      <c r="AL77" s="179"/>
      <c r="AM77" s="179"/>
      <c r="AO77" s="179">
        <v>2.7000000000000001E-3</v>
      </c>
      <c r="AP77" s="179">
        <v>2.5999999999999999E-3</v>
      </c>
      <c r="AQ77" s="179">
        <v>1.1999999999999999E-3</v>
      </c>
      <c r="AR77" s="179">
        <v>2.3999999999999998E-3</v>
      </c>
      <c r="AS77" s="179">
        <v>2.3999999999999998E-3</v>
      </c>
      <c r="AT77" s="179">
        <v>1.1000000000000001E-3</v>
      </c>
      <c r="AU77" s="180"/>
      <c r="AV77" s="180"/>
      <c r="AW77" s="180"/>
      <c r="AX77" s="180"/>
      <c r="AY77" s="180"/>
      <c r="AZ77" s="180"/>
      <c r="BA77" s="180"/>
      <c r="BB77" s="180"/>
      <c r="BC77" s="180"/>
      <c r="BD77" s="180"/>
      <c r="BE77" s="180"/>
      <c r="BF77" s="180"/>
      <c r="BG77" s="180"/>
      <c r="BH77" s="180"/>
      <c r="BI77" s="180"/>
      <c r="BJ77" s="180"/>
      <c r="BK77" s="180"/>
      <c r="BL77" s="180"/>
      <c r="BM77" s="180"/>
      <c r="BN77" s="180"/>
      <c r="BP77" s="180"/>
      <c r="BQ77" s="175"/>
      <c r="BR77" s="175"/>
      <c r="BS77" s="175"/>
      <c r="BT77" s="175"/>
      <c r="BU77" s="175"/>
      <c r="BV77" s="175"/>
      <c r="BW77" s="175"/>
      <c r="BX77" s="175"/>
    </row>
    <row r="78" spans="1:76" ht="11.25" customHeight="1" x14ac:dyDescent="0.2">
      <c r="A78" s="4">
        <f xml:space="preserve"> Basis!A78</f>
        <v>78</v>
      </c>
      <c r="C78" s="179">
        <v>0</v>
      </c>
      <c r="D78" s="179">
        <v>0</v>
      </c>
      <c r="G78" s="179">
        <v>4.4000000000000003E-3</v>
      </c>
      <c r="H78" s="179">
        <v>3.5000000000000001E-3</v>
      </c>
      <c r="I78" s="180"/>
      <c r="J78" s="179">
        <v>8.3000000000000001E-3</v>
      </c>
      <c r="K78" s="179">
        <v>8.2000000000000007E-3</v>
      </c>
      <c r="M78" s="179">
        <v>5.7999999999999996E-3</v>
      </c>
      <c r="N78" s="179">
        <v>6.4999999999999997E-3</v>
      </c>
      <c r="O78" s="180"/>
      <c r="P78" s="179">
        <v>1.9E-3</v>
      </c>
      <c r="Q78" s="179">
        <v>2.0999999999999999E-3</v>
      </c>
      <c r="U78" s="179">
        <v>5.9999999999999995E-4</v>
      </c>
      <c r="V78" s="179">
        <v>4.0000000000000002E-4</v>
      </c>
      <c r="X78" s="179">
        <v>5.0000000000000001E-4</v>
      </c>
      <c r="Y78" s="179">
        <v>4.0000000000000002E-4</v>
      </c>
      <c r="AA78" s="179">
        <v>5.0000000000000001E-4</v>
      </c>
      <c r="AB78" s="179">
        <v>4.0000000000000002E-4</v>
      </c>
      <c r="AD78" s="179">
        <v>5.0000000000000001E-4</v>
      </c>
      <c r="AE78" s="179">
        <v>5.0000000000000001E-4</v>
      </c>
      <c r="AF78" s="179"/>
      <c r="AG78" s="382">
        <f t="shared" si="35"/>
        <v>0.6</v>
      </c>
      <c r="AH78" s="382">
        <f t="shared" si="36"/>
        <v>0.6</v>
      </c>
      <c r="AI78" s="176">
        <f t="shared" si="31"/>
        <v>1.0600000000000002E-3</v>
      </c>
      <c r="AJ78" s="176">
        <f t="shared" si="31"/>
        <v>1.14E-3</v>
      </c>
      <c r="AK78" s="179"/>
      <c r="AL78" s="179"/>
      <c r="AM78" s="179"/>
      <c r="AO78" s="179">
        <v>2.6199999999999999E-3</v>
      </c>
      <c r="AP78" s="179">
        <v>2.5399999999999997E-3</v>
      </c>
      <c r="AQ78" s="179">
        <v>1.1799999999999998E-3</v>
      </c>
      <c r="AR78" s="179">
        <v>2.32E-3</v>
      </c>
      <c r="AS78" s="179">
        <v>2.32E-3</v>
      </c>
      <c r="AT78" s="179">
        <v>1.1200000000000001E-3</v>
      </c>
      <c r="AU78" s="180"/>
      <c r="AV78" s="180"/>
      <c r="AW78" s="180"/>
      <c r="AX78" s="180"/>
      <c r="AY78" s="180"/>
      <c r="AZ78" s="180"/>
      <c r="BA78" s="180"/>
      <c r="BB78" s="180"/>
      <c r="BC78" s="180"/>
      <c r="BD78" s="180"/>
      <c r="BE78" s="180"/>
      <c r="BF78" s="180"/>
      <c r="BG78" s="180"/>
      <c r="BH78" s="180"/>
      <c r="BI78" s="180"/>
      <c r="BJ78" s="180"/>
      <c r="BK78" s="180"/>
      <c r="BL78" s="180"/>
      <c r="BM78" s="180"/>
      <c r="BN78" s="180"/>
      <c r="BP78" s="180"/>
      <c r="BQ78" s="175"/>
      <c r="BR78" s="175"/>
      <c r="BS78" s="175"/>
      <c r="BT78" s="175"/>
      <c r="BU78" s="175"/>
      <c r="BV78" s="175"/>
      <c r="BW78" s="175"/>
      <c r="BX78" s="175"/>
    </row>
    <row r="79" spans="1:76" ht="11.25" customHeight="1" x14ac:dyDescent="0.2">
      <c r="A79" s="4">
        <f xml:space="preserve"> Basis!A79</f>
        <v>79</v>
      </c>
      <c r="C79" s="179">
        <v>0</v>
      </c>
      <c r="D79" s="179">
        <v>0</v>
      </c>
      <c r="G79" s="179">
        <v>4.3E-3</v>
      </c>
      <c r="H79" s="179">
        <v>3.3999999999999998E-3</v>
      </c>
      <c r="I79" s="180"/>
      <c r="J79" s="179">
        <v>8.0000000000000002E-3</v>
      </c>
      <c r="K79" s="179">
        <v>8.0000000000000002E-3</v>
      </c>
      <c r="M79" s="179">
        <v>5.4999999999999997E-3</v>
      </c>
      <c r="N79" s="179">
        <v>6.4999999999999997E-3</v>
      </c>
      <c r="O79" s="180"/>
      <c r="P79" s="179">
        <v>1.6999999999999999E-3</v>
      </c>
      <c r="Q79" s="179">
        <v>2.0999999999999999E-3</v>
      </c>
      <c r="U79" s="179">
        <v>5.9999999999999995E-4</v>
      </c>
      <c r="V79" s="179">
        <v>4.0000000000000002E-4</v>
      </c>
      <c r="X79" s="179">
        <v>5.0000000000000001E-4</v>
      </c>
      <c r="Y79" s="179">
        <v>4.0000000000000002E-4</v>
      </c>
      <c r="AA79" s="179">
        <v>5.0000000000000001E-4</v>
      </c>
      <c r="AB79" s="179">
        <v>4.0000000000000002E-4</v>
      </c>
      <c r="AD79" s="179">
        <v>5.0000000000000001E-4</v>
      </c>
      <c r="AE79" s="179">
        <v>4.0000000000000002E-4</v>
      </c>
      <c r="AF79" s="179"/>
      <c r="AG79" s="382">
        <f t="shared" si="35"/>
        <v>0.6</v>
      </c>
      <c r="AH79" s="382">
        <f t="shared" si="36"/>
        <v>0.6</v>
      </c>
      <c r="AI79" s="176">
        <f t="shared" si="31"/>
        <v>9.7999999999999997E-4</v>
      </c>
      <c r="AJ79" s="176">
        <f t="shared" si="31"/>
        <v>1.08E-3</v>
      </c>
      <c r="AK79" s="179"/>
      <c r="AL79" s="179"/>
      <c r="AM79" s="179"/>
      <c r="AO79" s="179">
        <v>2.5400000000000002E-3</v>
      </c>
      <c r="AP79" s="179">
        <v>2.48E-3</v>
      </c>
      <c r="AQ79" s="179">
        <v>1.16E-3</v>
      </c>
      <c r="AR79" s="179">
        <v>2.2399999999999998E-3</v>
      </c>
      <c r="AS79" s="179">
        <v>2.2399999999999998E-3</v>
      </c>
      <c r="AT79" s="179">
        <v>1.14E-3</v>
      </c>
      <c r="AU79" s="180"/>
      <c r="AV79" s="180"/>
      <c r="AW79" s="180"/>
      <c r="AX79" s="180"/>
      <c r="AY79" s="180"/>
      <c r="AZ79" s="180"/>
      <c r="BA79" s="180"/>
      <c r="BB79" s="180"/>
      <c r="BC79" s="180"/>
      <c r="BD79" s="180"/>
      <c r="BE79" s="180"/>
      <c r="BF79" s="180"/>
      <c r="BG79" s="180"/>
      <c r="BH79" s="180"/>
      <c r="BI79" s="180"/>
      <c r="BJ79" s="180"/>
      <c r="BK79" s="180"/>
      <c r="BL79" s="180"/>
      <c r="BM79" s="180"/>
      <c r="BN79" s="180"/>
      <c r="BP79" s="180"/>
      <c r="BQ79" s="175"/>
      <c r="BR79" s="175"/>
      <c r="BS79" s="175"/>
      <c r="BT79" s="175"/>
      <c r="BU79" s="175"/>
      <c r="BV79" s="175"/>
      <c r="BW79" s="175"/>
      <c r="BX79" s="175"/>
    </row>
    <row r="80" spans="1:76" ht="11.25" customHeight="1" x14ac:dyDescent="0.2">
      <c r="A80" s="4">
        <f xml:space="preserve"> Basis!A80</f>
        <v>80</v>
      </c>
      <c r="C80" s="179">
        <v>0</v>
      </c>
      <c r="D80" s="179">
        <v>0</v>
      </c>
      <c r="G80" s="179">
        <v>4.1999999999999997E-3</v>
      </c>
      <c r="H80" s="179">
        <v>3.2000000000000002E-3</v>
      </c>
      <c r="I80" s="180"/>
      <c r="J80" s="179">
        <v>7.7999999999999996E-3</v>
      </c>
      <c r="K80" s="179">
        <v>7.7999999999999996E-3</v>
      </c>
      <c r="M80" s="179">
        <v>5.1999999999999998E-3</v>
      </c>
      <c r="N80" s="179">
        <v>6.4999999999999997E-3</v>
      </c>
      <c r="O80" s="180"/>
      <c r="P80" s="179">
        <v>1.6000000000000001E-3</v>
      </c>
      <c r="Q80" s="179">
        <v>2.0999999999999999E-3</v>
      </c>
      <c r="U80" s="179">
        <v>5.9999999999999995E-4</v>
      </c>
      <c r="V80" s="179">
        <v>4.0000000000000002E-4</v>
      </c>
      <c r="X80" s="179">
        <v>5.0000000000000001E-4</v>
      </c>
      <c r="Y80" s="179">
        <v>4.0000000000000002E-4</v>
      </c>
      <c r="AA80" s="179">
        <v>5.0000000000000001E-4</v>
      </c>
      <c r="AB80" s="179">
        <v>4.0000000000000002E-4</v>
      </c>
      <c r="AD80" s="179">
        <v>5.0000000000000001E-4</v>
      </c>
      <c r="AE80" s="179">
        <v>4.0000000000000002E-4</v>
      </c>
      <c r="AF80" s="179"/>
      <c r="AG80" s="382">
        <f t="shared" si="35"/>
        <v>0.6</v>
      </c>
      <c r="AH80" s="382">
        <f t="shared" si="36"/>
        <v>0.6</v>
      </c>
      <c r="AI80" s="176">
        <f t="shared" si="31"/>
        <v>9.4000000000000008E-4</v>
      </c>
      <c r="AJ80" s="176">
        <f t="shared" si="31"/>
        <v>1.08E-3</v>
      </c>
      <c r="AK80" s="179"/>
      <c r="AL80" s="179"/>
      <c r="AM80" s="179"/>
      <c r="AO80" s="179">
        <v>2.4599999999999999E-3</v>
      </c>
      <c r="AP80" s="179">
        <v>2.4199999999999998E-3</v>
      </c>
      <c r="AQ80" s="179">
        <v>1.14E-3</v>
      </c>
      <c r="AR80" s="179">
        <v>2.16E-3</v>
      </c>
      <c r="AS80" s="179">
        <v>2.16E-3</v>
      </c>
      <c r="AT80" s="179">
        <v>1.16E-3</v>
      </c>
      <c r="AU80" s="180"/>
      <c r="AV80" s="180"/>
      <c r="AW80" s="180"/>
      <c r="AX80" s="180"/>
      <c r="AY80" s="180"/>
      <c r="AZ80" s="180"/>
      <c r="BA80" s="180"/>
      <c r="BB80" s="180"/>
      <c r="BC80" s="180"/>
      <c r="BD80" s="180"/>
      <c r="BE80" s="180"/>
      <c r="BF80" s="180"/>
      <c r="BG80" s="180"/>
      <c r="BH80" s="180"/>
      <c r="BI80" s="180"/>
      <c r="BJ80" s="180"/>
      <c r="BK80" s="180"/>
      <c r="BL80" s="180"/>
      <c r="BM80" s="180"/>
      <c r="BN80" s="180"/>
      <c r="BP80" s="180"/>
      <c r="BQ80" s="175"/>
      <c r="BR80" s="175"/>
      <c r="BS80" s="175"/>
      <c r="BT80" s="175"/>
      <c r="BU80" s="175"/>
      <c r="BV80" s="175"/>
      <c r="BW80" s="175"/>
      <c r="BX80" s="175"/>
    </row>
    <row r="81" spans="1:76" ht="11.25" customHeight="1" x14ac:dyDescent="0.2">
      <c r="A81" s="4">
        <f xml:space="preserve"> Basis!A81</f>
        <v>81</v>
      </c>
      <c r="C81" s="179">
        <v>0</v>
      </c>
      <c r="D81" s="179">
        <v>0</v>
      </c>
      <c r="G81" s="179">
        <v>4.1000000000000003E-3</v>
      </c>
      <c r="H81" s="179">
        <v>3.0999999999999999E-3</v>
      </c>
      <c r="I81" s="180"/>
      <c r="J81" s="179">
        <v>7.4999999999999997E-3</v>
      </c>
      <c r="K81" s="179">
        <v>7.7000000000000002E-3</v>
      </c>
      <c r="M81" s="179">
        <v>5.0000000000000001E-3</v>
      </c>
      <c r="N81" s="179">
        <v>6.4999999999999997E-3</v>
      </c>
      <c r="O81" s="180"/>
      <c r="P81" s="179">
        <v>1.5E-3</v>
      </c>
      <c r="Q81" s="179">
        <v>2.0999999999999999E-3</v>
      </c>
      <c r="U81" s="179">
        <v>5.9999999999999995E-4</v>
      </c>
      <c r="V81" s="179">
        <v>4.0000000000000002E-4</v>
      </c>
      <c r="X81" s="179">
        <v>5.0000000000000001E-4</v>
      </c>
      <c r="Y81" s="179">
        <v>2.9999999999999997E-4</v>
      </c>
      <c r="AA81" s="179">
        <v>5.0000000000000001E-4</v>
      </c>
      <c r="AB81" s="179">
        <v>2.9999999999999997E-4</v>
      </c>
      <c r="AD81" s="179">
        <v>5.0000000000000001E-4</v>
      </c>
      <c r="AE81" s="179">
        <v>4.0000000000000002E-4</v>
      </c>
      <c r="AF81" s="179"/>
      <c r="AG81" s="382">
        <f t="shared" si="35"/>
        <v>0.6</v>
      </c>
      <c r="AH81" s="382">
        <f t="shared" si="36"/>
        <v>0.6</v>
      </c>
      <c r="AI81" s="176">
        <f t="shared" si="31"/>
        <v>8.9999999999999998E-4</v>
      </c>
      <c r="AJ81" s="176">
        <f t="shared" si="31"/>
        <v>1.08E-3</v>
      </c>
      <c r="AK81" s="179"/>
      <c r="AL81" s="179"/>
      <c r="AM81" s="179"/>
      <c r="AO81" s="179">
        <v>2.3800000000000002E-3</v>
      </c>
      <c r="AP81" s="179">
        <v>2.3600000000000001E-3</v>
      </c>
      <c r="AQ81" s="179">
        <v>1.1200000000000001E-3</v>
      </c>
      <c r="AR81" s="179">
        <v>2.0799999999999998E-3</v>
      </c>
      <c r="AS81" s="179">
        <v>2.0799999999999998E-3</v>
      </c>
      <c r="AT81" s="179">
        <v>1.1799999999999998E-3</v>
      </c>
      <c r="AU81" s="180"/>
      <c r="AV81" s="180"/>
      <c r="AW81" s="180"/>
      <c r="AX81" s="180"/>
      <c r="AY81" s="180"/>
      <c r="AZ81" s="180"/>
      <c r="BA81" s="180"/>
      <c r="BB81" s="180"/>
      <c r="BC81" s="180"/>
      <c r="BD81" s="180"/>
      <c r="BE81" s="180"/>
      <c r="BF81" s="180"/>
      <c r="BG81" s="180"/>
      <c r="BH81" s="180"/>
      <c r="BI81" s="180"/>
      <c r="BJ81" s="180"/>
      <c r="BK81" s="180"/>
      <c r="BL81" s="180"/>
      <c r="BM81" s="180"/>
      <c r="BN81" s="180"/>
      <c r="BP81" s="180"/>
      <c r="BQ81" s="175"/>
      <c r="BR81" s="175"/>
      <c r="BS81" s="175"/>
      <c r="BT81" s="175"/>
      <c r="BU81" s="175"/>
      <c r="BV81" s="175"/>
      <c r="BW81" s="175"/>
      <c r="BX81" s="175"/>
    </row>
    <row r="82" spans="1:76" ht="11.25" customHeight="1" x14ac:dyDescent="0.2">
      <c r="A82" s="4">
        <f xml:space="preserve"> Basis!A82</f>
        <v>82</v>
      </c>
      <c r="C82" s="179">
        <v>0</v>
      </c>
      <c r="D82" s="179">
        <v>0</v>
      </c>
      <c r="G82" s="179">
        <v>3.8999999999999998E-3</v>
      </c>
      <c r="H82" s="179">
        <v>3.0999999999999999E-3</v>
      </c>
      <c r="I82" s="180"/>
      <c r="J82" s="179">
        <v>7.3000000000000001E-3</v>
      </c>
      <c r="K82" s="179">
        <v>7.4999999999999997E-3</v>
      </c>
      <c r="M82" s="179">
        <v>4.7000000000000002E-3</v>
      </c>
      <c r="N82" s="179">
        <v>6.4999999999999997E-3</v>
      </c>
      <c r="O82" s="180"/>
      <c r="P82" s="179">
        <v>1.4E-3</v>
      </c>
      <c r="Q82" s="179">
        <v>2.0999999999999999E-3</v>
      </c>
      <c r="U82" s="179">
        <v>5.9999999999999995E-4</v>
      </c>
      <c r="V82" s="179">
        <v>4.0000000000000002E-4</v>
      </c>
      <c r="X82" s="179">
        <v>5.0000000000000001E-4</v>
      </c>
      <c r="Y82" s="179">
        <v>2.9999999999999997E-4</v>
      </c>
      <c r="AA82" s="179">
        <v>5.0000000000000001E-4</v>
      </c>
      <c r="AB82" s="179">
        <v>2.9999999999999997E-4</v>
      </c>
      <c r="AD82" s="179">
        <v>5.0000000000000001E-4</v>
      </c>
      <c r="AE82" s="179">
        <v>2.9999999999999997E-4</v>
      </c>
      <c r="AF82" s="179"/>
      <c r="AG82" s="382">
        <f t="shared" si="35"/>
        <v>0.6</v>
      </c>
      <c r="AH82" s="382">
        <f t="shared" si="36"/>
        <v>0.6</v>
      </c>
      <c r="AI82" s="176">
        <f t="shared" si="31"/>
        <v>8.6000000000000009E-4</v>
      </c>
      <c r="AJ82" s="176">
        <f t="shared" si="31"/>
        <v>1.0200000000000001E-3</v>
      </c>
      <c r="AK82" s="179"/>
      <c r="AL82" s="179"/>
      <c r="AM82" s="179"/>
      <c r="AO82" s="179">
        <v>2.3E-3</v>
      </c>
      <c r="AP82" s="179">
        <v>2.3E-3</v>
      </c>
      <c r="AQ82" s="179">
        <v>1.1000000000000001E-3</v>
      </c>
      <c r="AR82" s="179">
        <v>2E-3</v>
      </c>
      <c r="AS82" s="179">
        <v>2E-3</v>
      </c>
      <c r="AT82" s="179">
        <v>1.1999999999999999E-3</v>
      </c>
      <c r="AU82" s="180"/>
      <c r="AV82" s="180"/>
      <c r="AW82" s="180"/>
      <c r="AX82" s="180"/>
      <c r="AY82" s="180"/>
      <c r="AZ82" s="180"/>
      <c r="BA82" s="180"/>
      <c r="BB82" s="180"/>
      <c r="BC82" s="180"/>
      <c r="BD82" s="180"/>
      <c r="BE82" s="180"/>
      <c r="BF82" s="180"/>
      <c r="BG82" s="180"/>
      <c r="BH82" s="180"/>
      <c r="BI82" s="180"/>
      <c r="BJ82" s="180"/>
      <c r="BK82" s="180"/>
      <c r="BL82" s="180"/>
      <c r="BM82" s="180"/>
      <c r="BN82" s="180"/>
      <c r="BP82" s="180"/>
      <c r="BQ82" s="175"/>
      <c r="BR82" s="175"/>
      <c r="BS82" s="175"/>
      <c r="BT82" s="175"/>
      <c r="BU82" s="175"/>
      <c r="BV82" s="175"/>
      <c r="BW82" s="175"/>
      <c r="BX82" s="175"/>
    </row>
    <row r="83" spans="1:76" ht="11.25" customHeight="1" x14ac:dyDescent="0.2">
      <c r="A83" s="4">
        <f xml:space="preserve"> Basis!A83</f>
        <v>83</v>
      </c>
      <c r="C83" s="179">
        <v>0</v>
      </c>
      <c r="D83" s="179">
        <v>0</v>
      </c>
      <c r="G83" s="179">
        <v>3.8E-3</v>
      </c>
      <c r="H83" s="179">
        <v>3.0999999999999999E-3</v>
      </c>
      <c r="I83" s="180"/>
      <c r="J83" s="179">
        <v>7.0000000000000001E-3</v>
      </c>
      <c r="K83" s="179">
        <v>7.4000000000000003E-3</v>
      </c>
      <c r="M83" s="179">
        <v>4.4000000000000003E-3</v>
      </c>
      <c r="N83" s="179">
        <v>6.4999999999999997E-3</v>
      </c>
      <c r="O83" s="180"/>
      <c r="P83" s="179">
        <v>1.2999999999999999E-3</v>
      </c>
      <c r="Q83" s="179">
        <v>2.0999999999999999E-3</v>
      </c>
      <c r="U83" s="179">
        <v>5.9999999999999995E-4</v>
      </c>
      <c r="V83" s="179">
        <v>4.0000000000000002E-4</v>
      </c>
      <c r="X83" s="179">
        <v>5.0000000000000001E-4</v>
      </c>
      <c r="Y83" s="179">
        <v>2.9999999999999997E-4</v>
      </c>
      <c r="AA83" s="179">
        <v>5.0000000000000001E-4</v>
      </c>
      <c r="AB83" s="179">
        <v>2.9999999999999997E-4</v>
      </c>
      <c r="AD83" s="179">
        <v>5.0000000000000001E-4</v>
      </c>
      <c r="AE83" s="179">
        <v>2.9999999999999997E-4</v>
      </c>
      <c r="AF83" s="179"/>
      <c r="AG83" s="382">
        <f t="shared" si="35"/>
        <v>0.6</v>
      </c>
      <c r="AH83" s="382">
        <f t="shared" si="36"/>
        <v>0.6</v>
      </c>
      <c r="AI83" s="176">
        <f t="shared" si="31"/>
        <v>8.1999999999999998E-4</v>
      </c>
      <c r="AJ83" s="176">
        <f t="shared" si="31"/>
        <v>1.0200000000000001E-3</v>
      </c>
      <c r="AK83" s="179"/>
      <c r="AL83" s="179"/>
      <c r="AM83" s="179"/>
      <c r="AO83" s="179">
        <v>2.2799999999999999E-3</v>
      </c>
      <c r="AP83" s="179">
        <v>2.2799999999999999E-3</v>
      </c>
      <c r="AQ83" s="179">
        <v>1.1000000000000001E-3</v>
      </c>
      <c r="AR83" s="179">
        <v>1.9599999999999999E-3</v>
      </c>
      <c r="AS83" s="179">
        <v>1.9599999999999999E-3</v>
      </c>
      <c r="AT83" s="179">
        <v>1.14E-3</v>
      </c>
      <c r="AU83" s="180"/>
      <c r="AV83" s="180"/>
      <c r="AW83" s="180"/>
      <c r="AX83" s="180"/>
      <c r="AY83" s="180"/>
      <c r="AZ83" s="180"/>
      <c r="BA83" s="180"/>
      <c r="BB83" s="180"/>
      <c r="BC83" s="180"/>
      <c r="BD83" s="180"/>
      <c r="BE83" s="180"/>
      <c r="BF83" s="180"/>
      <c r="BG83" s="180"/>
      <c r="BH83" s="180"/>
      <c r="BI83" s="180"/>
      <c r="BJ83" s="180"/>
      <c r="BK83" s="180"/>
      <c r="BL83" s="180"/>
      <c r="BM83" s="180"/>
      <c r="BN83" s="180"/>
      <c r="BP83" s="180"/>
      <c r="BQ83" s="175"/>
      <c r="BR83" s="175"/>
      <c r="BS83" s="175"/>
      <c r="BT83" s="175"/>
      <c r="BU83" s="175"/>
      <c r="BV83" s="175"/>
      <c r="BW83" s="175"/>
      <c r="BX83" s="175"/>
    </row>
    <row r="84" spans="1:76" ht="11.25" customHeight="1" x14ac:dyDescent="0.2">
      <c r="A84" s="4">
        <f xml:space="preserve"> Basis!A84</f>
        <v>84</v>
      </c>
      <c r="C84" s="179">
        <v>0</v>
      </c>
      <c r="D84" s="179">
        <v>0</v>
      </c>
      <c r="G84" s="179">
        <v>3.5999999999999999E-3</v>
      </c>
      <c r="H84" s="179">
        <v>3.0999999999999999E-3</v>
      </c>
      <c r="I84" s="180"/>
      <c r="J84" s="179">
        <v>6.7999999999999996E-3</v>
      </c>
      <c r="K84" s="179">
        <v>7.3000000000000001E-3</v>
      </c>
      <c r="M84" s="179">
        <v>4.1999999999999997E-3</v>
      </c>
      <c r="N84" s="179">
        <v>6.4999999999999997E-3</v>
      </c>
      <c r="O84" s="180"/>
      <c r="P84" s="179">
        <v>1.1999999999999999E-3</v>
      </c>
      <c r="Q84" s="179">
        <v>2.0999999999999999E-3</v>
      </c>
      <c r="U84" s="179">
        <v>5.0000000000000001E-4</v>
      </c>
      <c r="V84" s="179">
        <v>4.0000000000000002E-4</v>
      </c>
      <c r="X84" s="179">
        <v>5.0000000000000001E-4</v>
      </c>
      <c r="Y84" s="179">
        <v>2.9999999999999997E-4</v>
      </c>
      <c r="AA84" s="179">
        <v>5.0000000000000001E-4</v>
      </c>
      <c r="AB84" s="179">
        <v>2.9999999999999997E-4</v>
      </c>
      <c r="AD84" s="179">
        <v>5.0000000000000001E-4</v>
      </c>
      <c r="AE84" s="179">
        <v>2.9999999999999997E-4</v>
      </c>
      <c r="AF84" s="179"/>
      <c r="AG84" s="382">
        <f t="shared" si="35"/>
        <v>0.6</v>
      </c>
      <c r="AH84" s="382">
        <f t="shared" si="36"/>
        <v>0.6</v>
      </c>
      <c r="AI84" s="176">
        <f t="shared" si="31"/>
        <v>7.7999999999999999E-4</v>
      </c>
      <c r="AJ84" s="176">
        <f t="shared" si="31"/>
        <v>1.0200000000000001E-3</v>
      </c>
      <c r="AK84" s="179"/>
      <c r="AL84" s="179"/>
      <c r="AM84" s="179"/>
      <c r="AO84" s="179">
        <v>2.2599999999999999E-3</v>
      </c>
      <c r="AP84" s="179">
        <v>2.2599999999999999E-3</v>
      </c>
      <c r="AQ84" s="179">
        <v>1.1000000000000001E-3</v>
      </c>
      <c r="AR84" s="179">
        <v>1.92E-3</v>
      </c>
      <c r="AS84" s="179">
        <v>1.92E-3</v>
      </c>
      <c r="AT84" s="179">
        <v>1.08E-3</v>
      </c>
      <c r="AU84" s="180"/>
      <c r="AV84" s="180"/>
      <c r="AW84" s="180"/>
      <c r="AX84" s="180"/>
      <c r="AY84" s="180"/>
      <c r="AZ84" s="180"/>
      <c r="BA84" s="180"/>
      <c r="BB84" s="180"/>
      <c r="BC84" s="180"/>
      <c r="BD84" s="180"/>
      <c r="BE84" s="180"/>
      <c r="BF84" s="180"/>
      <c r="BG84" s="180"/>
      <c r="BH84" s="180"/>
      <c r="BI84" s="180"/>
      <c r="BJ84" s="180"/>
      <c r="BK84" s="180"/>
      <c r="BL84" s="180"/>
      <c r="BM84" s="180"/>
      <c r="BN84" s="180"/>
      <c r="BP84" s="180"/>
      <c r="BQ84" s="175"/>
      <c r="BR84" s="175"/>
      <c r="BS84" s="175"/>
      <c r="BT84" s="175"/>
      <c r="BU84" s="175"/>
      <c r="BV84" s="175"/>
      <c r="BW84" s="175"/>
      <c r="BX84" s="175"/>
    </row>
    <row r="85" spans="1:76" ht="11.25" customHeight="1" x14ac:dyDescent="0.2">
      <c r="A85" s="4">
        <f xml:space="preserve"> Basis!A85</f>
        <v>85</v>
      </c>
      <c r="C85" s="179">
        <v>0</v>
      </c>
      <c r="D85" s="179">
        <v>0</v>
      </c>
      <c r="G85" s="179">
        <v>3.5000000000000001E-3</v>
      </c>
      <c r="H85" s="179">
        <v>3.0999999999999999E-3</v>
      </c>
      <c r="I85" s="180"/>
      <c r="J85" s="179">
        <v>6.4999999999999997E-3</v>
      </c>
      <c r="K85" s="179">
        <v>7.3000000000000001E-3</v>
      </c>
      <c r="M85" s="179">
        <v>3.8999999999999998E-3</v>
      </c>
      <c r="N85" s="179">
        <v>6.4999999999999997E-3</v>
      </c>
      <c r="O85" s="180"/>
      <c r="P85" s="179">
        <v>1.1000000000000001E-3</v>
      </c>
      <c r="Q85" s="179">
        <v>2.0999999999999999E-3</v>
      </c>
      <c r="U85" s="179">
        <v>5.0000000000000001E-4</v>
      </c>
      <c r="V85" s="179">
        <v>4.0000000000000002E-4</v>
      </c>
      <c r="X85" s="179">
        <v>5.0000000000000001E-4</v>
      </c>
      <c r="Y85" s="179">
        <v>2.9999999999999997E-4</v>
      </c>
      <c r="AA85" s="179">
        <v>5.0000000000000001E-4</v>
      </c>
      <c r="AB85" s="179">
        <v>2.9999999999999997E-4</v>
      </c>
      <c r="AD85" s="179">
        <v>5.0000000000000001E-4</v>
      </c>
      <c r="AE85" s="179">
        <v>2.9999999999999997E-4</v>
      </c>
      <c r="AF85" s="179"/>
      <c r="AG85" s="382">
        <f t="shared" si="35"/>
        <v>0.6</v>
      </c>
      <c r="AH85" s="382">
        <f t="shared" si="36"/>
        <v>0.6</v>
      </c>
      <c r="AI85" s="176">
        <f t="shared" ref="AI85:AJ120" si="37" xml:space="preserve"> MAX( 0, AD85 + ( 1 - AG85 ) * ( P85 - AD85 ) )</f>
        <v>7.3999999999999999E-4</v>
      </c>
      <c r="AJ85" s="176">
        <f t="shared" si="37"/>
        <v>1.0200000000000001E-3</v>
      </c>
      <c r="AK85" s="179"/>
      <c r="AL85" s="179"/>
      <c r="AM85" s="179"/>
      <c r="AO85" s="179">
        <v>2.2400000000000002E-3</v>
      </c>
      <c r="AP85" s="179">
        <v>2.2400000000000002E-3</v>
      </c>
      <c r="AQ85" s="179">
        <v>1.1000000000000001E-3</v>
      </c>
      <c r="AR85" s="179">
        <v>1.8799999999999999E-3</v>
      </c>
      <c r="AS85" s="179">
        <v>1.8799999999999999E-3</v>
      </c>
      <c r="AT85" s="179">
        <v>1.0199999999999999E-3</v>
      </c>
      <c r="AU85" s="180"/>
      <c r="AV85" s="180"/>
      <c r="AW85" s="180"/>
      <c r="AX85" s="180"/>
      <c r="AY85" s="180"/>
      <c r="AZ85" s="180"/>
      <c r="BA85" s="180"/>
      <c r="BB85" s="180"/>
      <c r="BC85" s="180"/>
      <c r="BD85" s="180"/>
      <c r="BE85" s="180"/>
      <c r="BF85" s="180"/>
      <c r="BG85" s="180"/>
      <c r="BH85" s="180"/>
      <c r="BI85" s="180"/>
      <c r="BJ85" s="180"/>
      <c r="BK85" s="180"/>
      <c r="BL85" s="180"/>
      <c r="BM85" s="180"/>
      <c r="BN85" s="180"/>
      <c r="BP85" s="180"/>
      <c r="BQ85" s="175"/>
      <c r="BR85" s="175"/>
      <c r="BS85" s="175"/>
      <c r="BT85" s="175"/>
      <c r="BU85" s="175"/>
      <c r="BV85" s="175"/>
      <c r="BW85" s="175"/>
      <c r="BX85" s="175"/>
    </row>
    <row r="86" spans="1:76" ht="11.25" customHeight="1" x14ac:dyDescent="0.2">
      <c r="A86" s="4">
        <f xml:space="preserve"> Basis!A86</f>
        <v>86</v>
      </c>
      <c r="C86" s="179">
        <v>0</v>
      </c>
      <c r="D86" s="179">
        <v>0</v>
      </c>
      <c r="G86" s="179">
        <v>3.3E-3</v>
      </c>
      <c r="H86" s="179">
        <v>3.0999999999999999E-3</v>
      </c>
      <c r="I86" s="180"/>
      <c r="J86" s="179">
        <v>6.3E-3</v>
      </c>
      <c r="K86" s="179">
        <v>7.1999999999999998E-3</v>
      </c>
      <c r="M86" s="179">
        <v>3.7000000000000002E-3</v>
      </c>
      <c r="N86" s="179">
        <v>6.4999999999999997E-3</v>
      </c>
      <c r="O86" s="180"/>
      <c r="P86" s="179">
        <v>1.1000000000000001E-3</v>
      </c>
      <c r="Q86" s="179">
        <v>2.0999999999999999E-3</v>
      </c>
      <c r="U86" s="179">
        <v>5.0000000000000001E-4</v>
      </c>
      <c r="V86" s="179">
        <v>4.0000000000000002E-4</v>
      </c>
      <c r="X86" s="179">
        <v>5.0000000000000001E-4</v>
      </c>
      <c r="Y86" s="179">
        <v>2.9999999999999997E-4</v>
      </c>
      <c r="AA86" s="179">
        <v>5.0000000000000001E-4</v>
      </c>
      <c r="AB86" s="179">
        <v>2.9999999999999997E-4</v>
      </c>
      <c r="AD86" s="179">
        <v>5.0000000000000001E-4</v>
      </c>
      <c r="AE86" s="179">
        <v>2.9999999999999997E-4</v>
      </c>
      <c r="AF86" s="179"/>
      <c r="AG86" s="382">
        <f t="shared" si="35"/>
        <v>0.6</v>
      </c>
      <c r="AH86" s="382">
        <f t="shared" si="36"/>
        <v>0.6</v>
      </c>
      <c r="AI86" s="176">
        <f t="shared" si="37"/>
        <v>7.3999999999999999E-4</v>
      </c>
      <c r="AJ86" s="176">
        <f t="shared" si="37"/>
        <v>1.0200000000000001E-3</v>
      </c>
      <c r="AK86" s="179"/>
      <c r="AL86" s="179"/>
      <c r="AM86" s="179"/>
      <c r="AO86" s="179">
        <v>2.2200000000000002E-3</v>
      </c>
      <c r="AP86" s="179">
        <v>2.2200000000000002E-3</v>
      </c>
      <c r="AQ86" s="179">
        <v>1.1000000000000001E-3</v>
      </c>
      <c r="AR86" s="179">
        <v>1.8400000000000001E-3</v>
      </c>
      <c r="AS86" s="179">
        <v>1.8400000000000001E-3</v>
      </c>
      <c r="AT86" s="179">
        <v>9.5999999999999992E-4</v>
      </c>
      <c r="AU86" s="180"/>
      <c r="AV86" s="180"/>
      <c r="AW86" s="180"/>
      <c r="AX86" s="180"/>
      <c r="AY86" s="180"/>
      <c r="AZ86" s="180"/>
      <c r="BA86" s="180"/>
      <c r="BB86" s="180"/>
      <c r="BC86" s="180"/>
      <c r="BD86" s="180"/>
      <c r="BE86" s="180"/>
      <c r="BF86" s="180"/>
      <c r="BG86" s="180"/>
      <c r="BH86" s="180"/>
      <c r="BI86" s="180"/>
      <c r="BJ86" s="180"/>
      <c r="BK86" s="180"/>
      <c r="BL86" s="180"/>
      <c r="BM86" s="180"/>
      <c r="BN86" s="180"/>
      <c r="BP86" s="180"/>
      <c r="BQ86" s="175"/>
      <c r="BR86" s="175"/>
      <c r="BS86" s="175"/>
      <c r="BT86" s="175"/>
      <c r="BU86" s="175"/>
      <c r="BV86" s="175"/>
      <c r="BW86" s="175"/>
      <c r="BX86" s="175"/>
    </row>
    <row r="87" spans="1:76" ht="11.25" customHeight="1" x14ac:dyDescent="0.2">
      <c r="A87" s="4">
        <f xml:space="preserve"> Basis!A87</f>
        <v>87</v>
      </c>
      <c r="C87" s="179">
        <v>0</v>
      </c>
      <c r="D87" s="179">
        <v>0</v>
      </c>
      <c r="G87" s="179">
        <v>3.2000000000000002E-3</v>
      </c>
      <c r="H87" s="179">
        <v>3.0999999999999999E-3</v>
      </c>
      <c r="I87" s="180"/>
      <c r="J87" s="179">
        <v>6.1000000000000004E-3</v>
      </c>
      <c r="K87" s="179">
        <v>7.1000000000000004E-3</v>
      </c>
      <c r="M87" s="179">
        <v>3.3999999999999998E-3</v>
      </c>
      <c r="N87" s="179">
        <v>6.4999999999999997E-3</v>
      </c>
      <c r="O87" s="180"/>
      <c r="P87" s="179">
        <v>1E-3</v>
      </c>
      <c r="Q87" s="179">
        <v>2.0999999999999999E-3</v>
      </c>
      <c r="U87" s="179">
        <v>5.0000000000000001E-4</v>
      </c>
      <c r="V87" s="179">
        <v>4.0000000000000002E-4</v>
      </c>
      <c r="X87" s="179">
        <v>5.0000000000000001E-4</v>
      </c>
      <c r="Y87" s="179">
        <v>2.9999999999999997E-4</v>
      </c>
      <c r="AA87" s="179">
        <v>5.0000000000000001E-4</v>
      </c>
      <c r="AB87" s="179">
        <v>2.9999999999999997E-4</v>
      </c>
      <c r="AD87" s="179">
        <v>5.0000000000000001E-4</v>
      </c>
      <c r="AE87" s="179">
        <v>2.9999999999999997E-4</v>
      </c>
      <c r="AF87" s="179"/>
      <c r="AG87" s="382">
        <f t="shared" si="35"/>
        <v>0.6</v>
      </c>
      <c r="AH87" s="382">
        <f t="shared" si="36"/>
        <v>0.6</v>
      </c>
      <c r="AI87" s="176">
        <f t="shared" si="37"/>
        <v>6.9999999999999999E-4</v>
      </c>
      <c r="AJ87" s="176">
        <f t="shared" si="37"/>
        <v>1.0200000000000001E-3</v>
      </c>
      <c r="AK87" s="179"/>
      <c r="AL87" s="179"/>
      <c r="AM87" s="179"/>
      <c r="AO87" s="179">
        <v>2.2000000000000001E-3</v>
      </c>
      <c r="AP87" s="179">
        <v>2.2000000000000001E-3</v>
      </c>
      <c r="AQ87" s="179">
        <v>1.1000000000000001E-3</v>
      </c>
      <c r="AR87" s="179">
        <v>1.8E-3</v>
      </c>
      <c r="AS87" s="179">
        <v>1.8E-3</v>
      </c>
      <c r="AT87" s="179">
        <v>8.9999999999999998E-4</v>
      </c>
      <c r="AU87" s="180"/>
      <c r="AV87" s="180"/>
      <c r="AW87" s="180"/>
      <c r="AX87" s="180"/>
      <c r="AY87" s="180"/>
      <c r="AZ87" s="180"/>
      <c r="BA87" s="180"/>
      <c r="BB87" s="180"/>
      <c r="BC87" s="180"/>
      <c r="BD87" s="180"/>
      <c r="BE87" s="180"/>
      <c r="BF87" s="180"/>
      <c r="BG87" s="180"/>
      <c r="BH87" s="180"/>
      <c r="BI87" s="180"/>
      <c r="BJ87" s="180"/>
      <c r="BK87" s="180"/>
      <c r="BL87" s="180"/>
      <c r="BM87" s="180"/>
      <c r="BN87" s="180"/>
      <c r="BP87" s="180"/>
      <c r="BQ87" s="175"/>
      <c r="BR87" s="175"/>
      <c r="BS87" s="175"/>
      <c r="BT87" s="175"/>
      <c r="BU87" s="175"/>
      <c r="BV87" s="175"/>
      <c r="BW87" s="175"/>
      <c r="BX87" s="175"/>
    </row>
    <row r="88" spans="1:76" ht="11.25" customHeight="1" x14ac:dyDescent="0.2">
      <c r="A88" s="4">
        <f xml:space="preserve"> Basis!A88</f>
        <v>88</v>
      </c>
      <c r="C88" s="179">
        <v>0</v>
      </c>
      <c r="D88" s="179">
        <v>0</v>
      </c>
      <c r="G88" s="179">
        <v>3.0000000000000001E-3</v>
      </c>
      <c r="H88" s="179">
        <v>3.0999999999999999E-3</v>
      </c>
      <c r="I88" s="180"/>
      <c r="J88" s="179">
        <v>5.7999999999999996E-3</v>
      </c>
      <c r="K88" s="179">
        <v>7.0000000000000001E-3</v>
      </c>
      <c r="M88" s="179">
        <v>3.2000000000000002E-3</v>
      </c>
      <c r="N88" s="179">
        <v>6.4999999999999997E-3</v>
      </c>
      <c r="O88" s="180"/>
      <c r="P88" s="179">
        <v>8.9999999999999998E-4</v>
      </c>
      <c r="Q88" s="179">
        <v>2.0999999999999999E-3</v>
      </c>
      <c r="U88" s="179">
        <v>5.0000000000000001E-4</v>
      </c>
      <c r="V88" s="179">
        <v>5.0000000000000001E-4</v>
      </c>
      <c r="X88" s="179">
        <v>5.0000000000000001E-4</v>
      </c>
      <c r="Y88" s="179">
        <v>2.9999999999999997E-4</v>
      </c>
      <c r="AA88" s="179">
        <v>5.0000000000000001E-4</v>
      </c>
      <c r="AB88" s="179">
        <v>2.9999999999999997E-4</v>
      </c>
      <c r="AD88" s="179">
        <v>5.0000000000000001E-4</v>
      </c>
      <c r="AE88" s="179">
        <v>2.0000000000000001E-4</v>
      </c>
      <c r="AF88" s="179"/>
      <c r="AG88" s="382">
        <f t="shared" si="35"/>
        <v>0.6</v>
      </c>
      <c r="AH88" s="382">
        <f t="shared" si="36"/>
        <v>0.6</v>
      </c>
      <c r="AI88" s="176">
        <f t="shared" si="37"/>
        <v>6.6E-4</v>
      </c>
      <c r="AJ88" s="176">
        <f t="shared" si="37"/>
        <v>9.5999999999999992E-4</v>
      </c>
      <c r="AK88" s="179"/>
      <c r="AL88" s="179"/>
      <c r="AM88" s="179"/>
      <c r="AO88" s="179">
        <v>2.0800000000000003E-3</v>
      </c>
      <c r="AP88" s="179">
        <v>2.0600000000000002E-3</v>
      </c>
      <c r="AQ88" s="179">
        <v>9.6000000000000002E-4</v>
      </c>
      <c r="AR88" s="179">
        <v>1.9399999999999999E-3</v>
      </c>
      <c r="AS88" s="179">
        <v>1.9399999999999999E-3</v>
      </c>
      <c r="AT88" s="179">
        <v>1.06E-3</v>
      </c>
      <c r="AU88" s="180"/>
      <c r="AV88" s="180"/>
      <c r="AW88" s="180"/>
      <c r="AX88" s="180"/>
      <c r="AY88" s="180"/>
      <c r="AZ88" s="180"/>
      <c r="BA88" s="180"/>
      <c r="BB88" s="180"/>
      <c r="BC88" s="180"/>
      <c r="BD88" s="180"/>
      <c r="BE88" s="180"/>
      <c r="BF88" s="180"/>
      <c r="BG88" s="180"/>
      <c r="BH88" s="180"/>
      <c r="BI88" s="180"/>
      <c r="BJ88" s="180"/>
      <c r="BK88" s="180"/>
      <c r="BL88" s="180"/>
      <c r="BM88" s="180"/>
      <c r="BN88" s="180"/>
      <c r="BP88" s="180"/>
      <c r="BQ88" s="175"/>
      <c r="BR88" s="175"/>
      <c r="BS88" s="175"/>
      <c r="BT88" s="175"/>
      <c r="BU88" s="175"/>
      <c r="BV88" s="175"/>
      <c r="BW88" s="175"/>
      <c r="BX88" s="175"/>
    </row>
    <row r="89" spans="1:76" ht="11.25" customHeight="1" x14ac:dyDescent="0.2">
      <c r="A89" s="4">
        <f xml:space="preserve"> Basis!A89</f>
        <v>89</v>
      </c>
      <c r="C89" s="179">
        <v>0</v>
      </c>
      <c r="D89" s="179">
        <v>0</v>
      </c>
      <c r="G89" s="179">
        <v>2.8999999999999998E-3</v>
      </c>
      <c r="H89" s="179">
        <v>3.0999999999999999E-3</v>
      </c>
      <c r="I89" s="180"/>
      <c r="J89" s="179">
        <v>5.5999999999999999E-3</v>
      </c>
      <c r="K89" s="179">
        <v>7.0000000000000001E-3</v>
      </c>
      <c r="M89" s="179">
        <v>2.8999999999999998E-3</v>
      </c>
      <c r="N89" s="179">
        <v>6.4999999999999997E-3</v>
      </c>
      <c r="O89" s="180"/>
      <c r="P89" s="179">
        <v>8.9999999999999998E-4</v>
      </c>
      <c r="Q89" s="179">
        <v>2.0999999999999999E-3</v>
      </c>
      <c r="U89" s="179">
        <v>5.0000000000000001E-4</v>
      </c>
      <c r="V89" s="179">
        <v>5.0000000000000001E-4</v>
      </c>
      <c r="X89" s="179">
        <v>5.0000000000000001E-4</v>
      </c>
      <c r="Y89" s="179">
        <v>2.9999999999999997E-4</v>
      </c>
      <c r="AA89" s="179">
        <v>5.0000000000000001E-4</v>
      </c>
      <c r="AB89" s="179">
        <v>2.9999999999999997E-4</v>
      </c>
      <c r="AD89" s="179">
        <v>5.0000000000000001E-4</v>
      </c>
      <c r="AE89" s="179">
        <v>2.0000000000000001E-4</v>
      </c>
      <c r="AF89" s="179"/>
      <c r="AG89" s="382">
        <f t="shared" si="35"/>
        <v>0.6</v>
      </c>
      <c r="AH89" s="382">
        <f t="shared" si="36"/>
        <v>0.6</v>
      </c>
      <c r="AI89" s="176">
        <f t="shared" si="37"/>
        <v>6.6E-4</v>
      </c>
      <c r="AJ89" s="176">
        <f t="shared" si="37"/>
        <v>9.5999999999999992E-4</v>
      </c>
      <c r="AK89" s="179"/>
      <c r="AL89" s="179"/>
      <c r="AM89" s="179"/>
      <c r="AO89" s="179">
        <v>1.9599999999999999E-3</v>
      </c>
      <c r="AP89" s="179">
        <v>1.92E-3</v>
      </c>
      <c r="AQ89" s="179">
        <v>8.1999999999999998E-4</v>
      </c>
      <c r="AR89" s="179">
        <v>2.0799999999999998E-3</v>
      </c>
      <c r="AS89" s="179">
        <v>2.0799999999999998E-3</v>
      </c>
      <c r="AT89" s="179">
        <v>1.2199999999999999E-3</v>
      </c>
      <c r="AU89" s="180"/>
      <c r="AV89" s="180"/>
      <c r="AW89" s="180"/>
      <c r="AX89" s="180"/>
      <c r="AY89" s="180"/>
      <c r="AZ89" s="180"/>
      <c r="BA89" s="180"/>
      <c r="BB89" s="180"/>
      <c r="BC89" s="180"/>
      <c r="BD89" s="180"/>
      <c r="BE89" s="180"/>
      <c r="BF89" s="180"/>
      <c r="BG89" s="180"/>
      <c r="BH89" s="180"/>
      <c r="BI89" s="180"/>
      <c r="BJ89" s="180"/>
      <c r="BK89" s="180"/>
      <c r="BL89" s="180"/>
      <c r="BM89" s="180"/>
      <c r="BN89" s="180"/>
      <c r="BP89" s="180"/>
      <c r="BQ89" s="175"/>
      <c r="BR89" s="175"/>
      <c r="BS89" s="175"/>
      <c r="BT89" s="175"/>
      <c r="BU89" s="175"/>
      <c r="BV89" s="175"/>
      <c r="BW89" s="175"/>
      <c r="BX89" s="175"/>
    </row>
    <row r="90" spans="1:76" ht="11.25" customHeight="1" x14ac:dyDescent="0.2">
      <c r="A90" s="4">
        <f xml:space="preserve"> Basis!A90</f>
        <v>90</v>
      </c>
      <c r="C90" s="179">
        <v>0</v>
      </c>
      <c r="D90" s="179">
        <v>0</v>
      </c>
      <c r="G90" s="179">
        <v>2.8E-3</v>
      </c>
      <c r="H90" s="179">
        <v>3.0999999999999999E-3</v>
      </c>
      <c r="I90" s="180"/>
      <c r="J90" s="179">
        <v>5.4000000000000003E-3</v>
      </c>
      <c r="K90" s="179">
        <v>6.8999999999999999E-3</v>
      </c>
      <c r="M90" s="179">
        <v>2.7000000000000001E-3</v>
      </c>
      <c r="N90" s="179">
        <v>6.4999999999999997E-3</v>
      </c>
      <c r="O90" s="180"/>
      <c r="P90" s="179">
        <v>8.0000000000000004E-4</v>
      </c>
      <c r="Q90" s="179">
        <v>2.0999999999999999E-3</v>
      </c>
      <c r="U90" s="179">
        <v>5.0000000000000001E-4</v>
      </c>
      <c r="V90" s="179">
        <v>5.0000000000000001E-4</v>
      </c>
      <c r="X90" s="179">
        <v>5.0000000000000001E-4</v>
      </c>
      <c r="Y90" s="179">
        <v>2.9999999999999997E-4</v>
      </c>
      <c r="AA90" s="179">
        <v>5.0000000000000001E-4</v>
      </c>
      <c r="AB90" s="179">
        <v>4.0000000000000002E-4</v>
      </c>
      <c r="AD90" s="179">
        <v>5.0000000000000001E-4</v>
      </c>
      <c r="AE90" s="179">
        <v>2.9999999999999997E-4</v>
      </c>
      <c r="AF90" s="179"/>
      <c r="AG90" s="382">
        <f t="shared" si="35"/>
        <v>0.6</v>
      </c>
      <c r="AH90" s="382">
        <f t="shared" si="36"/>
        <v>0.6</v>
      </c>
      <c r="AI90" s="176">
        <f t="shared" si="37"/>
        <v>6.2E-4</v>
      </c>
      <c r="AJ90" s="176">
        <f t="shared" si="37"/>
        <v>1.0200000000000001E-3</v>
      </c>
      <c r="AK90" s="179"/>
      <c r="AL90" s="179"/>
      <c r="AM90" s="179"/>
      <c r="AO90" s="179">
        <v>1.8400000000000001E-3</v>
      </c>
      <c r="AP90" s="179">
        <v>1.7800000000000001E-3</v>
      </c>
      <c r="AQ90" s="179">
        <v>6.8000000000000005E-4</v>
      </c>
      <c r="AR90" s="179">
        <v>2.2200000000000002E-3</v>
      </c>
      <c r="AS90" s="179">
        <v>2.2200000000000002E-3</v>
      </c>
      <c r="AT90" s="179">
        <v>1.3799999999999999E-3</v>
      </c>
      <c r="AU90" s="180"/>
      <c r="AV90" s="180"/>
      <c r="AW90" s="180"/>
      <c r="AX90" s="180"/>
      <c r="AY90" s="180"/>
      <c r="AZ90" s="180"/>
      <c r="BA90" s="180"/>
      <c r="BB90" s="180"/>
      <c r="BC90" s="180"/>
      <c r="BD90" s="180"/>
      <c r="BE90" s="180"/>
      <c r="BF90" s="180"/>
      <c r="BG90" s="180"/>
      <c r="BH90" s="180"/>
      <c r="BI90" s="180"/>
      <c r="BJ90" s="180"/>
      <c r="BK90" s="180"/>
      <c r="BL90" s="180"/>
      <c r="BM90" s="180"/>
      <c r="BN90" s="180"/>
      <c r="BP90" s="180"/>
      <c r="BQ90" s="175"/>
      <c r="BR90" s="175"/>
      <c r="BS90" s="175"/>
      <c r="BT90" s="175"/>
      <c r="BU90" s="175"/>
      <c r="BV90" s="175"/>
      <c r="BW90" s="175"/>
      <c r="BX90" s="175"/>
    </row>
    <row r="91" spans="1:76" ht="11.25" customHeight="1" x14ac:dyDescent="0.2">
      <c r="A91" s="4">
        <f xml:space="preserve"> Basis!A91</f>
        <v>91</v>
      </c>
      <c r="C91" s="179">
        <v>0</v>
      </c>
      <c r="D91" s="179">
        <v>0</v>
      </c>
      <c r="G91" s="179">
        <v>2.5999999999999999E-3</v>
      </c>
      <c r="H91" s="179">
        <v>3.0999999999999999E-3</v>
      </c>
      <c r="I91" s="180"/>
      <c r="J91" s="179">
        <v>5.1999999999999998E-3</v>
      </c>
      <c r="K91" s="179">
        <v>6.8999999999999999E-3</v>
      </c>
      <c r="M91" s="179">
        <v>2.5000000000000001E-3</v>
      </c>
      <c r="N91" s="179">
        <v>6.4999999999999997E-3</v>
      </c>
      <c r="O91" s="180"/>
      <c r="P91" s="179">
        <v>8.0000000000000004E-4</v>
      </c>
      <c r="Q91" s="179">
        <v>2.0999999999999999E-3</v>
      </c>
      <c r="U91" s="179">
        <v>4.0000000000000002E-4</v>
      </c>
      <c r="V91" s="179">
        <v>5.9999999999999995E-4</v>
      </c>
      <c r="X91" s="179">
        <v>5.0000000000000001E-4</v>
      </c>
      <c r="Y91" s="179">
        <v>2.9999999999999997E-4</v>
      </c>
      <c r="AA91" s="179">
        <v>5.0000000000000001E-4</v>
      </c>
      <c r="AB91" s="179">
        <v>4.0000000000000002E-4</v>
      </c>
      <c r="AD91" s="179">
        <v>5.9999999999999995E-4</v>
      </c>
      <c r="AE91" s="179">
        <v>2.9999999999999997E-4</v>
      </c>
      <c r="AF91" s="179"/>
      <c r="AG91" s="382">
        <f t="shared" si="35"/>
        <v>0.6</v>
      </c>
      <c r="AH91" s="382">
        <f t="shared" si="36"/>
        <v>0.6</v>
      </c>
      <c r="AI91" s="176">
        <f t="shared" si="37"/>
        <v>6.8000000000000005E-4</v>
      </c>
      <c r="AJ91" s="176">
        <f t="shared" si="37"/>
        <v>1.0200000000000001E-3</v>
      </c>
      <c r="AK91" s="179"/>
      <c r="AL91" s="179"/>
      <c r="AM91" s="179"/>
      <c r="AO91" s="179">
        <v>1.7200000000000002E-3</v>
      </c>
      <c r="AP91" s="179">
        <v>1.64E-3</v>
      </c>
      <c r="AQ91" s="179">
        <v>5.4000000000000001E-4</v>
      </c>
      <c r="AR91" s="179">
        <v>2.3600000000000001E-3</v>
      </c>
      <c r="AS91" s="179">
        <v>2.3600000000000001E-3</v>
      </c>
      <c r="AT91" s="179">
        <v>1.5399999999999999E-3</v>
      </c>
      <c r="AU91" s="180"/>
      <c r="AV91" s="180"/>
      <c r="AW91" s="180"/>
      <c r="AX91" s="180"/>
      <c r="AY91" s="180"/>
      <c r="AZ91" s="180"/>
      <c r="BA91" s="180"/>
      <c r="BB91" s="180"/>
      <c r="BC91" s="180"/>
      <c r="BD91" s="180"/>
      <c r="BE91" s="180"/>
      <c r="BF91" s="180"/>
      <c r="BG91" s="180"/>
      <c r="BH91" s="180"/>
      <c r="BI91" s="180"/>
      <c r="BJ91" s="180"/>
      <c r="BK91" s="180"/>
      <c r="BL91" s="180"/>
      <c r="BM91" s="180"/>
      <c r="BN91" s="180"/>
      <c r="BP91" s="180"/>
      <c r="BQ91" s="175"/>
      <c r="BR91" s="175"/>
      <c r="BS91" s="175"/>
      <c r="BT91" s="175"/>
      <c r="BU91" s="175"/>
      <c r="BV91" s="175"/>
      <c r="BW91" s="175"/>
      <c r="BX91" s="175"/>
    </row>
    <row r="92" spans="1:76" ht="11.25" customHeight="1" x14ac:dyDescent="0.2">
      <c r="A92" s="4">
        <f xml:space="preserve"> Basis!A92</f>
        <v>92</v>
      </c>
      <c r="C92" s="179">
        <v>0</v>
      </c>
      <c r="D92" s="179">
        <v>0</v>
      </c>
      <c r="G92" s="179">
        <v>2.5000000000000001E-3</v>
      </c>
      <c r="H92" s="179">
        <v>3.0999999999999999E-3</v>
      </c>
      <c r="I92" s="180"/>
      <c r="J92" s="179">
        <v>4.8999999999999998E-3</v>
      </c>
      <c r="K92" s="179">
        <v>6.7999999999999996E-3</v>
      </c>
      <c r="M92" s="179">
        <v>2.2000000000000001E-3</v>
      </c>
      <c r="N92" s="179">
        <v>6.4999999999999997E-3</v>
      </c>
      <c r="O92" s="180"/>
      <c r="P92" s="179">
        <v>6.9999999999999999E-4</v>
      </c>
      <c r="Q92" s="179">
        <v>2.0999999999999999E-3</v>
      </c>
      <c r="U92" s="179">
        <v>4.0000000000000002E-4</v>
      </c>
      <c r="V92" s="179">
        <v>5.9999999999999995E-4</v>
      </c>
      <c r="X92" s="179">
        <v>5.0000000000000001E-4</v>
      </c>
      <c r="Y92" s="179">
        <v>2.9999999999999997E-4</v>
      </c>
      <c r="AA92" s="179">
        <v>5.0000000000000001E-4</v>
      </c>
      <c r="AB92" s="179">
        <v>4.0000000000000002E-4</v>
      </c>
      <c r="AD92" s="179">
        <v>5.9999999999999995E-4</v>
      </c>
      <c r="AE92" s="179">
        <v>2.9999999999999997E-4</v>
      </c>
      <c r="AF92" s="179"/>
      <c r="AG92" s="382">
        <f t="shared" si="35"/>
        <v>0.6</v>
      </c>
      <c r="AH92" s="382">
        <f t="shared" si="36"/>
        <v>0.6</v>
      </c>
      <c r="AI92" s="176">
        <f t="shared" si="37"/>
        <v>6.3999999999999994E-4</v>
      </c>
      <c r="AJ92" s="176">
        <f t="shared" si="37"/>
        <v>1.0200000000000001E-3</v>
      </c>
      <c r="AK92" s="179"/>
      <c r="AL92" s="179"/>
      <c r="AM92" s="179"/>
      <c r="AO92" s="179">
        <v>1.6000000000000001E-3</v>
      </c>
      <c r="AP92" s="179">
        <v>1.5E-3</v>
      </c>
      <c r="AQ92" s="179">
        <v>4.0000000000000002E-4</v>
      </c>
      <c r="AR92" s="179">
        <v>2.5000000000000001E-3</v>
      </c>
      <c r="AS92" s="179">
        <v>2.5000000000000001E-3</v>
      </c>
      <c r="AT92" s="179">
        <v>1.6999999999999999E-3</v>
      </c>
      <c r="AU92" s="180"/>
      <c r="AV92" s="180"/>
      <c r="AW92" s="180"/>
      <c r="AX92" s="180"/>
      <c r="AY92" s="180"/>
      <c r="AZ92" s="180"/>
      <c r="BA92" s="180"/>
      <c r="BB92" s="180"/>
      <c r="BC92" s="180"/>
      <c r="BD92" s="180"/>
      <c r="BE92" s="180"/>
      <c r="BF92" s="180"/>
      <c r="BG92" s="180"/>
      <c r="BH92" s="180"/>
      <c r="BI92" s="180"/>
      <c r="BJ92" s="180"/>
      <c r="BK92" s="180"/>
      <c r="BL92" s="180"/>
      <c r="BM92" s="180"/>
      <c r="BN92" s="180"/>
      <c r="BP92" s="180"/>
      <c r="BQ92" s="175"/>
      <c r="BR92" s="175"/>
      <c r="BS92" s="175"/>
      <c r="BT92" s="175"/>
      <c r="BU92" s="175"/>
      <c r="BV92" s="175"/>
      <c r="BW92" s="175"/>
      <c r="BX92" s="175"/>
    </row>
    <row r="93" spans="1:76" ht="11.25" customHeight="1" x14ac:dyDescent="0.2">
      <c r="A93" s="4">
        <f xml:space="preserve"> Basis!A93</f>
        <v>93</v>
      </c>
      <c r="C93" s="179">
        <v>0</v>
      </c>
      <c r="D93" s="179">
        <v>0</v>
      </c>
      <c r="G93" s="179">
        <v>2.3999999999999998E-3</v>
      </c>
      <c r="H93" s="179">
        <v>3.0999999999999999E-3</v>
      </c>
      <c r="I93" s="180"/>
      <c r="J93" s="179">
        <v>4.7000000000000002E-3</v>
      </c>
      <c r="K93" s="179">
        <v>6.7999999999999996E-3</v>
      </c>
      <c r="M93" s="179">
        <v>2E-3</v>
      </c>
      <c r="N93" s="179">
        <v>6.4999999999999997E-3</v>
      </c>
      <c r="O93" s="180"/>
      <c r="P93" s="179">
        <v>5.9999999999999995E-4</v>
      </c>
      <c r="Q93" s="179">
        <v>2.0999999999999999E-3</v>
      </c>
      <c r="U93" s="179">
        <v>4.0000000000000002E-4</v>
      </c>
      <c r="V93" s="179">
        <v>5.9999999999999995E-4</v>
      </c>
      <c r="X93" s="179">
        <v>5.0000000000000001E-4</v>
      </c>
      <c r="Y93" s="179">
        <v>2.9999999999999997E-4</v>
      </c>
      <c r="AA93" s="179">
        <v>5.0000000000000001E-4</v>
      </c>
      <c r="AB93" s="179">
        <v>4.0000000000000002E-4</v>
      </c>
      <c r="AD93" s="179">
        <v>5.9999999999999995E-4</v>
      </c>
      <c r="AE93" s="179">
        <v>2.9999999999999997E-4</v>
      </c>
      <c r="AF93" s="179"/>
      <c r="AG93" s="382">
        <f t="shared" si="35"/>
        <v>0.6</v>
      </c>
      <c r="AH93" s="382">
        <f t="shared" si="36"/>
        <v>0.6</v>
      </c>
      <c r="AI93" s="176">
        <f t="shared" si="37"/>
        <v>5.9999999999999995E-4</v>
      </c>
      <c r="AJ93" s="176">
        <f t="shared" si="37"/>
        <v>1.0200000000000001E-3</v>
      </c>
      <c r="AK93" s="179"/>
      <c r="AL93" s="179"/>
      <c r="AM93" s="179"/>
      <c r="AO93" s="179">
        <v>1.4400000000000001E-3</v>
      </c>
      <c r="AP93" s="179">
        <v>1.3600000000000001E-3</v>
      </c>
      <c r="AQ93" s="179">
        <v>3.6000000000000002E-4</v>
      </c>
      <c r="AR93" s="179">
        <v>2.6199999999999999E-3</v>
      </c>
      <c r="AS93" s="179">
        <v>2.6199999999999999E-3</v>
      </c>
      <c r="AT93" s="179">
        <v>1.48E-3</v>
      </c>
      <c r="AU93" s="180"/>
      <c r="AV93" s="180"/>
      <c r="AW93" s="180"/>
      <c r="AX93" s="180"/>
      <c r="AY93" s="180"/>
      <c r="AZ93" s="180"/>
      <c r="BA93" s="180"/>
      <c r="BB93" s="180"/>
      <c r="BC93" s="180"/>
      <c r="BD93" s="180"/>
      <c r="BE93" s="180"/>
      <c r="BF93" s="180"/>
      <c r="BG93" s="180"/>
      <c r="BH93" s="180"/>
      <c r="BI93" s="180"/>
      <c r="BJ93" s="180"/>
      <c r="BK93" s="180"/>
      <c r="BL93" s="180"/>
      <c r="BM93" s="180"/>
      <c r="BN93" s="180"/>
      <c r="BP93" s="180"/>
      <c r="BQ93" s="175"/>
      <c r="BR93" s="175"/>
      <c r="BS93" s="175"/>
      <c r="BT93" s="175"/>
      <c r="BU93" s="175"/>
      <c r="BV93" s="175"/>
      <c r="BW93" s="175"/>
      <c r="BX93" s="175"/>
    </row>
    <row r="94" spans="1:76" ht="11.25" customHeight="1" x14ac:dyDescent="0.2">
      <c r="A94" s="4">
        <f xml:space="preserve"> Basis!A94</f>
        <v>94</v>
      </c>
      <c r="C94" s="179">
        <v>0</v>
      </c>
      <c r="D94" s="179">
        <v>0</v>
      </c>
      <c r="G94" s="179">
        <v>2.2000000000000001E-3</v>
      </c>
      <c r="H94" s="179">
        <v>3.0999999999999999E-3</v>
      </c>
      <c r="I94" s="180"/>
      <c r="J94" s="179">
        <v>4.4999999999999997E-3</v>
      </c>
      <c r="K94" s="179">
        <v>6.7000000000000002E-3</v>
      </c>
      <c r="M94" s="179">
        <v>1.6999999999999999E-3</v>
      </c>
      <c r="N94" s="179">
        <v>6.4999999999999997E-3</v>
      </c>
      <c r="O94" s="180"/>
      <c r="P94" s="179">
        <v>5.9999999999999995E-4</v>
      </c>
      <c r="Q94" s="179">
        <v>2.0999999999999999E-3</v>
      </c>
      <c r="U94" s="179">
        <v>4.0000000000000002E-4</v>
      </c>
      <c r="V94" s="179">
        <v>6.9999999999999999E-4</v>
      </c>
      <c r="X94" s="179">
        <v>5.9999999999999995E-4</v>
      </c>
      <c r="Y94" s="179">
        <v>2.9999999999999997E-4</v>
      </c>
      <c r="AA94" s="179">
        <v>5.0000000000000001E-4</v>
      </c>
      <c r="AB94" s="179">
        <v>5.0000000000000001E-4</v>
      </c>
      <c r="AD94" s="179">
        <v>5.9999999999999995E-4</v>
      </c>
      <c r="AE94" s="179">
        <v>2.9999999999999997E-4</v>
      </c>
      <c r="AF94" s="179"/>
      <c r="AG94" s="382">
        <f t="shared" si="35"/>
        <v>0.6</v>
      </c>
      <c r="AH94" s="382">
        <f t="shared" si="36"/>
        <v>0.6</v>
      </c>
      <c r="AI94" s="176">
        <f t="shared" si="37"/>
        <v>5.9999999999999995E-4</v>
      </c>
      <c r="AJ94" s="176">
        <f t="shared" si="37"/>
        <v>1.0200000000000001E-3</v>
      </c>
      <c r="AK94" s="179"/>
      <c r="AL94" s="179"/>
      <c r="AM94" s="179"/>
      <c r="AO94" s="179">
        <v>1.2800000000000001E-3</v>
      </c>
      <c r="AP94" s="179">
        <v>1.2199999999999999E-3</v>
      </c>
      <c r="AQ94" s="179">
        <v>3.2000000000000003E-4</v>
      </c>
      <c r="AR94" s="179">
        <v>2.7399999999999998E-3</v>
      </c>
      <c r="AS94" s="179">
        <v>2.7399999999999998E-3</v>
      </c>
      <c r="AT94" s="179">
        <v>1.2599999999999998E-3</v>
      </c>
      <c r="AU94" s="180"/>
      <c r="AV94" s="180"/>
      <c r="AW94" s="180"/>
      <c r="AX94" s="180"/>
      <c r="AY94" s="180"/>
      <c r="AZ94" s="180"/>
      <c r="BA94" s="180"/>
      <c r="BB94" s="180"/>
      <c r="BC94" s="180"/>
      <c r="BD94" s="180"/>
      <c r="BE94" s="180"/>
      <c r="BF94" s="180"/>
      <c r="BG94" s="180"/>
      <c r="BH94" s="180"/>
      <c r="BI94" s="180"/>
      <c r="BJ94" s="180"/>
      <c r="BK94" s="180"/>
      <c r="BL94" s="180"/>
      <c r="BM94" s="180"/>
      <c r="BN94" s="180"/>
      <c r="BP94" s="180"/>
      <c r="BQ94" s="175"/>
      <c r="BR94" s="175"/>
      <c r="BS94" s="175"/>
      <c r="BT94" s="175"/>
      <c r="BU94" s="175"/>
      <c r="BV94" s="175"/>
      <c r="BW94" s="175"/>
      <c r="BX94" s="175"/>
    </row>
    <row r="95" spans="1:76" ht="11.25" customHeight="1" x14ac:dyDescent="0.2">
      <c r="A95" s="4">
        <f xml:space="preserve"> Basis!A95</f>
        <v>95</v>
      </c>
      <c r="C95" s="179">
        <v>0</v>
      </c>
      <c r="D95" s="179">
        <v>0</v>
      </c>
      <c r="G95" s="179">
        <v>2E-3</v>
      </c>
      <c r="H95" s="179">
        <v>3.0999999999999999E-3</v>
      </c>
      <c r="I95" s="180"/>
      <c r="J95" s="179">
        <v>4.3E-3</v>
      </c>
      <c r="K95" s="179">
        <v>6.7000000000000002E-3</v>
      </c>
      <c r="M95" s="179">
        <v>1.5E-3</v>
      </c>
      <c r="N95" s="179">
        <v>6.4999999999999997E-3</v>
      </c>
      <c r="O95" s="180"/>
      <c r="P95" s="179">
        <v>5.0000000000000001E-4</v>
      </c>
      <c r="Q95" s="179">
        <v>2.0999999999999999E-3</v>
      </c>
      <c r="U95" s="179">
        <v>4.0000000000000002E-4</v>
      </c>
      <c r="V95" s="179">
        <v>6.9999999999999999E-4</v>
      </c>
      <c r="X95" s="179">
        <v>5.9999999999999995E-4</v>
      </c>
      <c r="Y95" s="179">
        <v>2.9999999999999997E-4</v>
      </c>
      <c r="AA95" s="179">
        <v>5.0000000000000001E-4</v>
      </c>
      <c r="AB95" s="179">
        <v>5.0000000000000001E-4</v>
      </c>
      <c r="AD95" s="179">
        <v>5.9999999999999995E-4</v>
      </c>
      <c r="AE95" s="179">
        <v>2.9999999999999997E-4</v>
      </c>
      <c r="AF95" s="179"/>
      <c r="AG95" s="382">
        <f t="shared" ref="AG95:AG120" si="38" xml:space="preserve"> MAX( 0.6, AG94 - 0.015 )</f>
        <v>0.6</v>
      </c>
      <c r="AH95" s="382">
        <f t="shared" ref="AH95:AH120" si="39" xml:space="preserve"> MAX( 0.6, AH94 - 0.015 )</f>
        <v>0.6</v>
      </c>
      <c r="AI95" s="176">
        <f t="shared" si="37"/>
        <v>5.5999999999999995E-4</v>
      </c>
      <c r="AJ95" s="176">
        <f t="shared" si="37"/>
        <v>1.0200000000000001E-3</v>
      </c>
      <c r="AK95" s="179"/>
      <c r="AL95" s="179"/>
      <c r="AM95" s="179"/>
      <c r="AO95" s="179">
        <v>1.1200000000000001E-3</v>
      </c>
      <c r="AP95" s="179">
        <v>1.08E-3</v>
      </c>
      <c r="AQ95" s="179">
        <v>2.8000000000000003E-4</v>
      </c>
      <c r="AR95" s="179">
        <v>2.8600000000000001E-3</v>
      </c>
      <c r="AS95" s="179">
        <v>2.8600000000000001E-3</v>
      </c>
      <c r="AT95" s="179">
        <v>1.0400000000000001E-3</v>
      </c>
      <c r="AU95" s="180"/>
      <c r="AV95" s="180"/>
      <c r="AW95" s="180"/>
      <c r="AX95" s="180"/>
      <c r="AY95" s="180"/>
      <c r="AZ95" s="180"/>
      <c r="BA95" s="180"/>
      <c r="BB95" s="180"/>
      <c r="BC95" s="180"/>
      <c r="BD95" s="180"/>
      <c r="BE95" s="180"/>
      <c r="BF95" s="180"/>
      <c r="BG95" s="180"/>
      <c r="BH95" s="180"/>
      <c r="BI95" s="180"/>
      <c r="BJ95" s="180"/>
      <c r="BK95" s="180"/>
      <c r="BL95" s="180"/>
      <c r="BM95" s="180"/>
      <c r="BN95" s="180"/>
      <c r="BP95" s="180"/>
      <c r="BQ95" s="175"/>
      <c r="BR95" s="175"/>
      <c r="BS95" s="175"/>
      <c r="BT95" s="175"/>
      <c r="BU95" s="175"/>
      <c r="BV95" s="175"/>
      <c r="BW95" s="175"/>
      <c r="BX95" s="175"/>
    </row>
    <row r="96" spans="1:76" ht="11.25" customHeight="1" x14ac:dyDescent="0.2">
      <c r="A96" s="4">
        <f xml:space="preserve"> Basis!A96</f>
        <v>96</v>
      </c>
      <c r="C96" s="179">
        <v>0</v>
      </c>
      <c r="D96" s="179">
        <v>0</v>
      </c>
      <c r="G96" s="179">
        <v>1.9E-3</v>
      </c>
      <c r="H96" s="179">
        <v>3.0999999999999999E-3</v>
      </c>
      <c r="I96" s="180"/>
      <c r="J96" s="179">
        <v>4.0000000000000001E-3</v>
      </c>
      <c r="K96" s="179">
        <v>6.6E-3</v>
      </c>
      <c r="M96" s="179">
        <v>1.2999999999999999E-3</v>
      </c>
      <c r="N96" s="179">
        <v>6.4999999999999997E-3</v>
      </c>
      <c r="O96" s="180"/>
      <c r="P96" s="179">
        <v>5.0000000000000001E-4</v>
      </c>
      <c r="Q96" s="179">
        <v>2.0999999999999999E-3</v>
      </c>
      <c r="U96" s="179">
        <v>2.9999999999999997E-4</v>
      </c>
      <c r="V96" s="179">
        <v>6.9999999999999999E-4</v>
      </c>
      <c r="X96" s="179">
        <v>5.9999999999999995E-4</v>
      </c>
      <c r="Y96" s="179">
        <v>2.9999999999999997E-4</v>
      </c>
      <c r="AA96" s="179">
        <v>5.0000000000000001E-4</v>
      </c>
      <c r="AB96" s="179">
        <v>5.0000000000000001E-4</v>
      </c>
      <c r="AD96" s="179">
        <v>5.9999999999999995E-4</v>
      </c>
      <c r="AE96" s="179">
        <v>2.9999999999999997E-4</v>
      </c>
      <c r="AF96" s="179"/>
      <c r="AG96" s="382">
        <f t="shared" si="38"/>
        <v>0.6</v>
      </c>
      <c r="AH96" s="382">
        <f t="shared" si="39"/>
        <v>0.6</v>
      </c>
      <c r="AI96" s="176">
        <f t="shared" si="37"/>
        <v>5.5999999999999995E-4</v>
      </c>
      <c r="AJ96" s="176">
        <f t="shared" si="37"/>
        <v>1.0200000000000001E-3</v>
      </c>
      <c r="AK96" s="179"/>
      <c r="AL96" s="179"/>
      <c r="AM96" s="179"/>
      <c r="AO96" s="179">
        <v>9.6000000000000002E-4</v>
      </c>
      <c r="AP96" s="179">
        <v>9.3999999999999997E-4</v>
      </c>
      <c r="AQ96" s="179">
        <v>2.4000000000000001E-4</v>
      </c>
      <c r="AR96" s="179">
        <v>2.98E-3</v>
      </c>
      <c r="AS96" s="179">
        <v>2.98E-3</v>
      </c>
      <c r="AT96" s="179">
        <v>8.1999999999999998E-4</v>
      </c>
      <c r="AU96" s="180"/>
      <c r="AV96" s="180"/>
      <c r="AW96" s="180"/>
      <c r="AX96" s="180"/>
      <c r="AY96" s="180"/>
      <c r="AZ96" s="180"/>
      <c r="BA96" s="180"/>
      <c r="BB96" s="180"/>
      <c r="BC96" s="180"/>
      <c r="BD96" s="180"/>
      <c r="BE96" s="180"/>
      <c r="BF96" s="180"/>
      <c r="BG96" s="180"/>
      <c r="BH96" s="180"/>
      <c r="BI96" s="180"/>
      <c r="BJ96" s="180"/>
      <c r="BK96" s="180"/>
      <c r="BL96" s="180"/>
      <c r="BM96" s="180"/>
      <c r="BN96" s="180"/>
      <c r="BP96" s="180"/>
      <c r="BQ96" s="175"/>
      <c r="BR96" s="175"/>
      <c r="BS96" s="175"/>
      <c r="BT96" s="175"/>
      <c r="BU96" s="175"/>
      <c r="BV96" s="175"/>
      <c r="BW96" s="175"/>
      <c r="BX96" s="175"/>
    </row>
    <row r="97" spans="1:76" ht="11.25" customHeight="1" x14ac:dyDescent="0.2">
      <c r="A97" s="4">
        <f xml:space="preserve"> Basis!A97</f>
        <v>97</v>
      </c>
      <c r="C97" s="179">
        <v>0</v>
      </c>
      <c r="D97" s="179">
        <v>0</v>
      </c>
      <c r="G97" s="179">
        <v>1.6999999999999999E-3</v>
      </c>
      <c r="H97" s="179">
        <v>3.0999999999999999E-3</v>
      </c>
      <c r="I97" s="180"/>
      <c r="J97" s="179">
        <v>3.8E-3</v>
      </c>
      <c r="K97" s="179">
        <v>6.4999999999999997E-3</v>
      </c>
      <c r="M97" s="179">
        <v>1E-3</v>
      </c>
      <c r="N97" s="179">
        <v>6.4999999999999997E-3</v>
      </c>
      <c r="O97" s="180"/>
      <c r="P97" s="179">
        <v>4.0000000000000002E-4</v>
      </c>
      <c r="Q97" s="179">
        <v>2.0999999999999999E-3</v>
      </c>
      <c r="U97" s="179">
        <v>2.9999999999999997E-4</v>
      </c>
      <c r="V97" s="179">
        <v>8.0000000000000004E-4</v>
      </c>
      <c r="X97" s="179">
        <v>5.9999999999999995E-4</v>
      </c>
      <c r="Y97" s="179">
        <v>2.9999999999999997E-4</v>
      </c>
      <c r="AA97" s="179">
        <v>5.0000000000000001E-4</v>
      </c>
      <c r="AB97" s="179">
        <v>5.0000000000000001E-4</v>
      </c>
      <c r="AD97" s="179">
        <v>5.9999999999999995E-4</v>
      </c>
      <c r="AE97" s="179">
        <v>2.9999999999999997E-4</v>
      </c>
      <c r="AF97" s="179"/>
      <c r="AG97" s="382">
        <f t="shared" si="38"/>
        <v>0.6</v>
      </c>
      <c r="AH97" s="382">
        <f t="shared" si="39"/>
        <v>0.6</v>
      </c>
      <c r="AI97" s="176">
        <f t="shared" si="37"/>
        <v>5.1999999999999995E-4</v>
      </c>
      <c r="AJ97" s="176">
        <f t="shared" si="37"/>
        <v>1.0200000000000001E-3</v>
      </c>
      <c r="AK97" s="179"/>
      <c r="AL97" s="179"/>
      <c r="AM97" s="179"/>
      <c r="AO97" s="179">
        <v>8.0000000000000004E-4</v>
      </c>
      <c r="AP97" s="179">
        <v>8.0000000000000004E-4</v>
      </c>
      <c r="AQ97" s="179">
        <v>2.0000000000000001E-4</v>
      </c>
      <c r="AR97" s="179">
        <v>3.0999999999999999E-3</v>
      </c>
      <c r="AS97" s="179">
        <v>3.0999999999999999E-3</v>
      </c>
      <c r="AT97" s="179">
        <v>5.9999999999999995E-4</v>
      </c>
      <c r="AU97" s="180"/>
      <c r="AV97" s="180"/>
      <c r="AW97" s="180"/>
      <c r="AX97" s="180"/>
      <c r="AY97" s="180"/>
      <c r="AZ97" s="180"/>
      <c r="BA97" s="180"/>
      <c r="BB97" s="180"/>
      <c r="BC97" s="180"/>
      <c r="BD97" s="180"/>
      <c r="BE97" s="180"/>
      <c r="BF97" s="180"/>
      <c r="BG97" s="180"/>
      <c r="BH97" s="180"/>
      <c r="BI97" s="180"/>
      <c r="BJ97" s="180"/>
      <c r="BK97" s="180"/>
      <c r="BL97" s="180"/>
      <c r="BM97" s="180"/>
      <c r="BN97" s="180"/>
      <c r="BP97" s="180"/>
      <c r="BQ97" s="175"/>
      <c r="BR97" s="175"/>
      <c r="BS97" s="175"/>
      <c r="BT97" s="175"/>
      <c r="BU97" s="175"/>
      <c r="BV97" s="175"/>
      <c r="BW97" s="175"/>
      <c r="BX97" s="175"/>
    </row>
    <row r="98" spans="1:76" ht="11.25" customHeight="1" x14ac:dyDescent="0.2">
      <c r="A98" s="4">
        <f xml:space="preserve"> Basis!A98</f>
        <v>98</v>
      </c>
      <c r="C98" s="179">
        <v>0</v>
      </c>
      <c r="D98" s="179">
        <v>0</v>
      </c>
      <c r="G98" s="179">
        <v>1.4E-3</v>
      </c>
      <c r="H98" s="179">
        <v>3.0999999999999999E-3</v>
      </c>
      <c r="I98" s="180"/>
      <c r="J98" s="179">
        <v>3.5999999999999999E-3</v>
      </c>
      <c r="K98" s="179">
        <v>6.4999999999999997E-3</v>
      </c>
      <c r="M98" s="179">
        <v>8.0000000000000004E-4</v>
      </c>
      <c r="N98" s="179">
        <v>6.4999999999999997E-3</v>
      </c>
      <c r="O98" s="180"/>
      <c r="P98" s="179">
        <v>2.9999999999999997E-4</v>
      </c>
      <c r="Q98" s="179">
        <v>2.0999999999999999E-3</v>
      </c>
      <c r="U98" s="179">
        <v>2.9999999999999997E-4</v>
      </c>
      <c r="V98" s="179">
        <v>8.0000000000000004E-4</v>
      </c>
      <c r="X98" s="179">
        <v>5.9999999999999995E-4</v>
      </c>
      <c r="Y98" s="179">
        <v>2.9999999999999997E-4</v>
      </c>
      <c r="AA98" s="179">
        <v>5.0000000000000001E-4</v>
      </c>
      <c r="AB98" s="179">
        <v>5.9999999999999995E-4</v>
      </c>
      <c r="AD98" s="179">
        <v>5.9999999999999995E-4</v>
      </c>
      <c r="AE98" s="179">
        <v>2.9999999999999997E-4</v>
      </c>
      <c r="AF98" s="179"/>
      <c r="AG98" s="382">
        <f t="shared" si="38"/>
        <v>0.6</v>
      </c>
      <c r="AH98" s="382">
        <f t="shared" si="39"/>
        <v>0.6</v>
      </c>
      <c r="AI98" s="176">
        <f t="shared" si="37"/>
        <v>4.7999999999999996E-4</v>
      </c>
      <c r="AJ98" s="176">
        <f t="shared" si="37"/>
        <v>1.0200000000000001E-3</v>
      </c>
      <c r="AK98" s="179"/>
      <c r="AL98" s="179"/>
      <c r="AM98" s="179"/>
      <c r="AO98" s="179">
        <v>6.4000000000000005E-4</v>
      </c>
      <c r="AP98" s="179">
        <v>6.4000000000000005E-4</v>
      </c>
      <c r="AQ98" s="179">
        <v>1.6000000000000001E-4</v>
      </c>
      <c r="AR98" s="179">
        <v>2.48E-3</v>
      </c>
      <c r="AS98" s="179">
        <v>2.48E-3</v>
      </c>
      <c r="AT98" s="179">
        <v>4.7999999999999996E-4</v>
      </c>
      <c r="AU98" s="180"/>
      <c r="AV98" s="180"/>
      <c r="AW98" s="180"/>
      <c r="AX98" s="180"/>
      <c r="AY98" s="180"/>
      <c r="AZ98" s="180"/>
      <c r="BA98" s="180"/>
      <c r="BB98" s="180"/>
      <c r="BC98" s="180"/>
      <c r="BD98" s="180"/>
      <c r="BE98" s="180"/>
      <c r="BF98" s="180"/>
      <c r="BG98" s="180"/>
      <c r="BH98" s="180"/>
      <c r="BI98" s="180"/>
      <c r="BJ98" s="180"/>
      <c r="BK98" s="180"/>
      <c r="BL98" s="180"/>
      <c r="BM98" s="180"/>
      <c r="BN98" s="180"/>
      <c r="BP98" s="180"/>
      <c r="BQ98" s="175"/>
      <c r="BR98" s="175"/>
      <c r="BS98" s="175"/>
      <c r="BT98" s="175"/>
      <c r="BU98" s="175"/>
      <c r="BV98" s="175"/>
      <c r="BW98" s="175"/>
      <c r="BX98" s="175"/>
    </row>
    <row r="99" spans="1:76" ht="11.25" customHeight="1" x14ac:dyDescent="0.2">
      <c r="A99" s="4">
        <f xml:space="preserve"> Basis!A99</f>
        <v>99</v>
      </c>
      <c r="C99" s="179">
        <v>0</v>
      </c>
      <c r="D99" s="179">
        <v>0</v>
      </c>
      <c r="G99" s="179">
        <v>1.1999999999999999E-3</v>
      </c>
      <c r="H99" s="179">
        <v>3.0999999999999999E-3</v>
      </c>
      <c r="I99" s="180"/>
      <c r="J99" s="179">
        <v>3.3999999999999998E-3</v>
      </c>
      <c r="K99" s="179">
        <v>6.4000000000000003E-3</v>
      </c>
      <c r="M99" s="179">
        <v>5.0000000000000001E-4</v>
      </c>
      <c r="N99" s="179">
        <v>6.4999999999999997E-3</v>
      </c>
      <c r="O99" s="180"/>
      <c r="P99" s="179">
        <v>2.9999999999999997E-4</v>
      </c>
      <c r="Q99" s="179">
        <v>2.0999999999999999E-3</v>
      </c>
      <c r="U99" s="179">
        <v>2.9999999999999997E-4</v>
      </c>
      <c r="V99" s="179">
        <v>8.0000000000000004E-4</v>
      </c>
      <c r="X99" s="179">
        <v>5.9999999999999995E-4</v>
      </c>
      <c r="Y99" s="179">
        <v>2.9999999999999997E-4</v>
      </c>
      <c r="AA99" s="179">
        <v>5.0000000000000001E-4</v>
      </c>
      <c r="AB99" s="179">
        <v>5.9999999999999995E-4</v>
      </c>
      <c r="AD99" s="179">
        <v>5.9999999999999995E-4</v>
      </c>
      <c r="AE99" s="179">
        <v>2.9999999999999997E-4</v>
      </c>
      <c r="AF99" s="179"/>
      <c r="AG99" s="382">
        <f t="shared" si="38"/>
        <v>0.6</v>
      </c>
      <c r="AH99" s="382">
        <f t="shared" si="39"/>
        <v>0.6</v>
      </c>
      <c r="AI99" s="176">
        <f t="shared" si="37"/>
        <v>4.7999999999999996E-4</v>
      </c>
      <c r="AJ99" s="176">
        <f t="shared" si="37"/>
        <v>1.0200000000000001E-3</v>
      </c>
      <c r="AK99" s="179"/>
      <c r="AL99" s="179"/>
      <c r="AM99" s="179"/>
      <c r="AO99" s="179">
        <v>4.8000000000000001E-4</v>
      </c>
      <c r="AP99" s="179">
        <v>4.8000000000000001E-4</v>
      </c>
      <c r="AQ99" s="179">
        <v>1.2E-4</v>
      </c>
      <c r="AR99" s="179">
        <v>1.8599999999999999E-3</v>
      </c>
      <c r="AS99" s="179">
        <v>1.8599999999999999E-3</v>
      </c>
      <c r="AT99" s="179">
        <v>3.5999999999999997E-4</v>
      </c>
      <c r="AU99" s="180"/>
      <c r="AV99" s="180"/>
      <c r="AW99" s="180"/>
      <c r="AX99" s="180"/>
      <c r="AY99" s="180"/>
      <c r="AZ99" s="180"/>
      <c r="BA99" s="180"/>
      <c r="BB99" s="180"/>
      <c r="BC99" s="180"/>
      <c r="BD99" s="180"/>
      <c r="BE99" s="180"/>
      <c r="BF99" s="180"/>
      <c r="BG99" s="180"/>
      <c r="BH99" s="180"/>
      <c r="BI99" s="180"/>
      <c r="BJ99" s="180"/>
      <c r="BK99" s="180"/>
      <c r="BL99" s="180"/>
      <c r="BM99" s="180"/>
      <c r="BN99" s="180"/>
      <c r="BP99" s="180"/>
      <c r="BQ99" s="175"/>
      <c r="BR99" s="175"/>
      <c r="BS99" s="175"/>
      <c r="BT99" s="175"/>
      <c r="BU99" s="175"/>
      <c r="BV99" s="175"/>
      <c r="BW99" s="175"/>
      <c r="BX99" s="175"/>
    </row>
    <row r="100" spans="1:76" ht="11.25" customHeight="1" x14ac:dyDescent="0.2">
      <c r="A100" s="4">
        <f xml:space="preserve"> Basis!A100</f>
        <v>100</v>
      </c>
      <c r="C100" s="179">
        <v>0</v>
      </c>
      <c r="D100" s="179">
        <v>0</v>
      </c>
      <c r="G100" s="179">
        <v>1E-3</v>
      </c>
      <c r="H100" s="179">
        <v>3.0999999999999999E-3</v>
      </c>
      <c r="I100" s="180"/>
      <c r="J100" s="179">
        <v>3.0999999999999999E-3</v>
      </c>
      <c r="K100" s="179">
        <v>6.4000000000000003E-3</v>
      </c>
      <c r="M100" s="179">
        <v>2.9999999999999997E-4</v>
      </c>
      <c r="N100" s="179">
        <v>6.4999999999999997E-3</v>
      </c>
      <c r="O100" s="180"/>
      <c r="P100" s="179">
        <v>2.0000000000000001E-4</v>
      </c>
      <c r="Q100" s="179">
        <v>2.0999999999999999E-3</v>
      </c>
      <c r="U100" s="179">
        <v>2.0000000000000001E-4</v>
      </c>
      <c r="V100" s="179">
        <v>8.9999999999999998E-4</v>
      </c>
      <c r="X100" s="179">
        <v>5.9999999999999995E-4</v>
      </c>
      <c r="Y100" s="179">
        <v>2.9999999999999997E-4</v>
      </c>
      <c r="AA100" s="179">
        <v>5.0000000000000001E-4</v>
      </c>
      <c r="AB100" s="179">
        <v>5.9999999999999995E-4</v>
      </c>
      <c r="AD100" s="179">
        <v>5.9999999999999995E-4</v>
      </c>
      <c r="AE100" s="179">
        <v>4.0000000000000002E-4</v>
      </c>
      <c r="AF100" s="179"/>
      <c r="AG100" s="382">
        <f t="shared" si="38"/>
        <v>0.6</v>
      </c>
      <c r="AH100" s="382">
        <f t="shared" si="39"/>
        <v>0.6</v>
      </c>
      <c r="AI100" s="176">
        <f t="shared" si="37"/>
        <v>4.3999999999999996E-4</v>
      </c>
      <c r="AJ100" s="176">
        <f t="shared" si="37"/>
        <v>1.08E-3</v>
      </c>
      <c r="AK100" s="179"/>
      <c r="AL100" s="179"/>
      <c r="AM100" s="179"/>
      <c r="AO100" s="179">
        <v>3.2000000000000003E-4</v>
      </c>
      <c r="AP100" s="179">
        <v>3.2000000000000003E-4</v>
      </c>
      <c r="AQ100" s="179">
        <v>8.0000000000000007E-5</v>
      </c>
      <c r="AR100" s="179">
        <v>1.24E-3</v>
      </c>
      <c r="AS100" s="179">
        <v>1.24E-3</v>
      </c>
      <c r="AT100" s="179">
        <v>2.3999999999999998E-4</v>
      </c>
      <c r="AU100" s="180"/>
      <c r="AV100" s="180"/>
      <c r="AW100" s="180"/>
      <c r="AX100" s="180"/>
      <c r="AY100" s="180"/>
      <c r="AZ100" s="180"/>
      <c r="BA100" s="180"/>
      <c r="BB100" s="180"/>
      <c r="BC100" s="180"/>
      <c r="BD100" s="180"/>
      <c r="BE100" s="180"/>
      <c r="BF100" s="180"/>
      <c r="BG100" s="180"/>
      <c r="BH100" s="180"/>
      <c r="BI100" s="180"/>
      <c r="BJ100" s="180"/>
      <c r="BK100" s="180"/>
      <c r="BL100" s="180"/>
      <c r="BM100" s="180"/>
      <c r="BN100" s="180"/>
      <c r="BP100" s="180"/>
      <c r="BQ100" s="175"/>
      <c r="BR100" s="175"/>
      <c r="BS100" s="175"/>
      <c r="BT100" s="175"/>
      <c r="BU100" s="175"/>
      <c r="BV100" s="175"/>
      <c r="BW100" s="175"/>
      <c r="BX100" s="175"/>
    </row>
    <row r="101" spans="1:76" ht="11.25" customHeight="1" x14ac:dyDescent="0.2">
      <c r="A101" s="4">
        <f xml:space="preserve"> Basis!A101</f>
        <v>101</v>
      </c>
      <c r="C101" s="181">
        <f t="shared" ref="C101:D120" si="40" xml:space="preserve"> ROUND( MAX( 0, TREND( C$96:C$100, $A$96:$A$100, $A101 ) ), 4 )</f>
        <v>0</v>
      </c>
      <c r="D101" s="181">
        <f t="shared" si="40"/>
        <v>0</v>
      </c>
      <c r="G101" s="181">
        <f t="shared" ref="G101:H120" si="41" xml:space="preserve"> ROUND( MAX( 0, TREND( G$96:G$100, $A$96:$A$100, $A101 ) ), 4 )</f>
        <v>8.0000000000000004E-4</v>
      </c>
      <c r="H101" s="181">
        <f t="shared" si="41"/>
        <v>3.0999999999999999E-3</v>
      </c>
      <c r="I101" s="180"/>
      <c r="J101" s="181">
        <f t="shared" ref="J101:K120" si="42" xml:space="preserve"> ROUND( MAX( 0, TREND( J$96:J$100, $A$96:$A$100, $A101 ) ), 4 )</f>
        <v>2.8999999999999998E-3</v>
      </c>
      <c r="K101" s="181">
        <f t="shared" si="42"/>
        <v>6.3E-3</v>
      </c>
      <c r="M101" s="181">
        <f t="shared" ref="M101:Q120" si="43" xml:space="preserve"> ROUND( MAX( 0, TREND( M$96:M$100, $A$96:$A$100, $A101 ) ), 4 )</f>
        <v>0</v>
      </c>
      <c r="N101" s="181">
        <f t="shared" si="43"/>
        <v>6.4999999999999997E-3</v>
      </c>
      <c r="O101" s="180"/>
      <c r="P101" s="181">
        <f t="shared" si="43"/>
        <v>1E-4</v>
      </c>
      <c r="Q101" s="181">
        <f t="shared" si="43"/>
        <v>2.0999999999999999E-3</v>
      </c>
      <c r="U101" s="181">
        <f t="shared" ref="U101:V120" si="44" xml:space="preserve"> ROUND( MAX( 0, TREND( U$96:U$100, $A$96:$A$100, $A101 ) ), 4 )</f>
        <v>2.0000000000000001E-4</v>
      </c>
      <c r="V101" s="181">
        <f t="shared" si="44"/>
        <v>8.9999999999999998E-4</v>
      </c>
      <c r="X101" s="181">
        <f t="shared" ref="X101:Y120" si="45" xml:space="preserve"> ROUND( MAX( 0, TREND( X$96:X$100, $A$96:$A$100, $A101 ) ), 4 )</f>
        <v>5.9999999999999995E-4</v>
      </c>
      <c r="Y101" s="181">
        <f t="shared" si="45"/>
        <v>2.9999999999999997E-4</v>
      </c>
      <c r="AA101" s="181">
        <f t="shared" ref="AA101:AB120" si="46" xml:space="preserve"> ROUND( MAX( 0, TREND( AA$96:AA$100, $A$96:$A$100, $A101 ) ), 4 )</f>
        <v>5.0000000000000001E-4</v>
      </c>
      <c r="AB101" s="181">
        <f t="shared" si="46"/>
        <v>6.9999999999999999E-4</v>
      </c>
      <c r="AD101" s="181">
        <f t="shared" ref="AD101:AT120" si="47" xml:space="preserve"> ROUND( MAX( 0, TREND( AD$96:AD$100, $A$96:$A$100, $A101 ) ), 4 )</f>
        <v>5.9999999999999995E-4</v>
      </c>
      <c r="AE101" s="181">
        <f t="shared" si="47"/>
        <v>4.0000000000000002E-4</v>
      </c>
      <c r="AF101" s="181"/>
      <c r="AG101" s="382">
        <f t="shared" si="38"/>
        <v>0.6</v>
      </c>
      <c r="AH101" s="382">
        <f t="shared" si="39"/>
        <v>0.6</v>
      </c>
      <c r="AI101" s="176">
        <f t="shared" si="37"/>
        <v>3.9999999999999996E-4</v>
      </c>
      <c r="AJ101" s="176">
        <f t="shared" si="37"/>
        <v>1.08E-3</v>
      </c>
      <c r="AK101" s="181"/>
      <c r="AL101" s="181"/>
      <c r="AM101" s="181"/>
      <c r="AO101" s="181">
        <f t="shared" si="47"/>
        <v>2.0000000000000001E-4</v>
      </c>
      <c r="AP101" s="181">
        <f t="shared" si="47"/>
        <v>2.0000000000000001E-4</v>
      </c>
      <c r="AQ101" s="181">
        <f t="shared" si="47"/>
        <v>0</v>
      </c>
      <c r="AR101" s="181">
        <f t="shared" si="47"/>
        <v>8.9999999999999998E-4</v>
      </c>
      <c r="AS101" s="181">
        <f t="shared" si="47"/>
        <v>8.9999999999999998E-4</v>
      </c>
      <c r="AT101" s="181">
        <f t="shared" si="47"/>
        <v>1E-4</v>
      </c>
      <c r="AU101" s="180"/>
      <c r="AV101" s="180"/>
      <c r="AW101" s="180"/>
      <c r="AX101" s="180"/>
      <c r="AY101" s="180"/>
      <c r="AZ101" s="180"/>
      <c r="BA101" s="180"/>
      <c r="BB101" s="180"/>
      <c r="BC101" s="180"/>
      <c r="BD101" s="180"/>
      <c r="BE101" s="180"/>
      <c r="BF101" s="180"/>
      <c r="BG101" s="180"/>
      <c r="BH101" s="180"/>
      <c r="BI101" s="180"/>
      <c r="BJ101" s="180"/>
      <c r="BK101" s="180"/>
      <c r="BL101" s="180"/>
      <c r="BM101" s="180"/>
      <c r="BN101" s="180"/>
      <c r="BP101" s="180"/>
      <c r="BQ101" s="175"/>
      <c r="BR101" s="175"/>
      <c r="BS101" s="175"/>
      <c r="BT101" s="175"/>
      <c r="BU101" s="175"/>
      <c r="BV101" s="175"/>
      <c r="BW101" s="175"/>
      <c r="BX101" s="175"/>
    </row>
    <row r="102" spans="1:76" ht="11.25" customHeight="1" x14ac:dyDescent="0.2">
      <c r="A102" s="4">
        <f xml:space="preserve"> Basis!A102</f>
        <v>102</v>
      </c>
      <c r="C102" s="181">
        <f t="shared" si="40"/>
        <v>0</v>
      </c>
      <c r="D102" s="181">
        <f t="shared" si="40"/>
        <v>0</v>
      </c>
      <c r="G102" s="181">
        <f t="shared" si="41"/>
        <v>5.0000000000000001E-4</v>
      </c>
      <c r="H102" s="181">
        <f t="shared" si="41"/>
        <v>3.0999999999999999E-3</v>
      </c>
      <c r="I102" s="180"/>
      <c r="J102" s="181">
        <f t="shared" si="42"/>
        <v>2.7000000000000001E-3</v>
      </c>
      <c r="K102" s="181">
        <f t="shared" si="42"/>
        <v>6.3E-3</v>
      </c>
      <c r="M102" s="181">
        <f t="shared" si="43"/>
        <v>0</v>
      </c>
      <c r="N102" s="181">
        <f t="shared" si="43"/>
        <v>6.4999999999999997E-3</v>
      </c>
      <c r="O102" s="180"/>
      <c r="P102" s="181">
        <f t="shared" si="43"/>
        <v>1E-4</v>
      </c>
      <c r="Q102" s="181">
        <f t="shared" si="43"/>
        <v>2.0999999999999999E-3</v>
      </c>
      <c r="U102" s="181">
        <f t="shared" si="44"/>
        <v>2.0000000000000001E-4</v>
      </c>
      <c r="V102" s="181">
        <f t="shared" si="44"/>
        <v>1E-3</v>
      </c>
      <c r="X102" s="181">
        <f t="shared" si="45"/>
        <v>5.9999999999999995E-4</v>
      </c>
      <c r="Y102" s="181">
        <f t="shared" si="45"/>
        <v>2.9999999999999997E-4</v>
      </c>
      <c r="AA102" s="181">
        <f t="shared" si="46"/>
        <v>5.0000000000000001E-4</v>
      </c>
      <c r="AB102" s="181">
        <f t="shared" si="46"/>
        <v>6.9999999999999999E-4</v>
      </c>
      <c r="AD102" s="181">
        <f t="shared" si="47"/>
        <v>5.9999999999999995E-4</v>
      </c>
      <c r="AE102" s="181">
        <f t="shared" si="47"/>
        <v>4.0000000000000002E-4</v>
      </c>
      <c r="AF102" s="181"/>
      <c r="AG102" s="382">
        <f t="shared" si="38"/>
        <v>0.6</v>
      </c>
      <c r="AH102" s="382">
        <f t="shared" si="39"/>
        <v>0.6</v>
      </c>
      <c r="AI102" s="176">
        <f t="shared" si="37"/>
        <v>3.9999999999999996E-4</v>
      </c>
      <c r="AJ102" s="176">
        <f t="shared" si="37"/>
        <v>1.08E-3</v>
      </c>
      <c r="AK102" s="181"/>
      <c r="AL102" s="181"/>
      <c r="AM102" s="181"/>
      <c r="AO102" s="181">
        <f t="shared" si="47"/>
        <v>0</v>
      </c>
      <c r="AP102" s="181">
        <f t="shared" si="47"/>
        <v>0</v>
      </c>
      <c r="AQ102" s="181">
        <f t="shared" si="47"/>
        <v>0</v>
      </c>
      <c r="AR102" s="181">
        <f t="shared" si="47"/>
        <v>4.0000000000000002E-4</v>
      </c>
      <c r="AS102" s="181">
        <f t="shared" si="47"/>
        <v>4.0000000000000002E-4</v>
      </c>
      <c r="AT102" s="181">
        <f t="shared" si="47"/>
        <v>0</v>
      </c>
      <c r="AU102" s="180"/>
      <c r="AV102" s="180"/>
      <c r="AW102" s="180"/>
      <c r="AX102" s="180"/>
      <c r="AY102" s="180"/>
      <c r="AZ102" s="180"/>
      <c r="BA102" s="180"/>
      <c r="BB102" s="180"/>
      <c r="BC102" s="180"/>
      <c r="BD102" s="180"/>
      <c r="BE102" s="180"/>
      <c r="BF102" s="180"/>
      <c r="BG102" s="180"/>
      <c r="BH102" s="180"/>
      <c r="BI102" s="180"/>
      <c r="BJ102" s="180"/>
      <c r="BK102" s="180"/>
      <c r="BL102" s="180"/>
      <c r="BM102" s="180"/>
      <c r="BN102" s="180"/>
      <c r="BP102" s="180"/>
      <c r="BQ102" s="175"/>
      <c r="BR102" s="175"/>
      <c r="BS102" s="175"/>
      <c r="BT102" s="175"/>
      <c r="BU102" s="175"/>
      <c r="BV102" s="175"/>
      <c r="BW102" s="175"/>
      <c r="BX102" s="175"/>
    </row>
    <row r="103" spans="1:76" ht="11.25" customHeight="1" x14ac:dyDescent="0.2">
      <c r="A103" s="4">
        <f xml:space="preserve"> Basis!A103</f>
        <v>103</v>
      </c>
      <c r="C103" s="181">
        <f t="shared" si="40"/>
        <v>0</v>
      </c>
      <c r="D103" s="181">
        <f t="shared" si="40"/>
        <v>0</v>
      </c>
      <c r="G103" s="181">
        <f t="shared" si="41"/>
        <v>2.9999999999999997E-4</v>
      </c>
      <c r="H103" s="181">
        <f t="shared" si="41"/>
        <v>3.0999999999999999E-3</v>
      </c>
      <c r="J103" s="181">
        <f t="shared" si="42"/>
        <v>2.5000000000000001E-3</v>
      </c>
      <c r="K103" s="181">
        <f t="shared" si="42"/>
        <v>6.1999999999999998E-3</v>
      </c>
      <c r="M103" s="181">
        <f t="shared" si="43"/>
        <v>0</v>
      </c>
      <c r="N103" s="181">
        <f t="shared" si="43"/>
        <v>6.4999999999999997E-3</v>
      </c>
      <c r="P103" s="181">
        <f t="shared" si="43"/>
        <v>0</v>
      </c>
      <c r="Q103" s="181">
        <f t="shared" si="43"/>
        <v>2.0999999999999999E-3</v>
      </c>
      <c r="U103" s="181">
        <f t="shared" si="44"/>
        <v>2.0000000000000001E-4</v>
      </c>
      <c r="V103" s="181">
        <f t="shared" si="44"/>
        <v>1E-3</v>
      </c>
      <c r="X103" s="181">
        <f t="shared" si="45"/>
        <v>5.9999999999999995E-4</v>
      </c>
      <c r="Y103" s="181">
        <f t="shared" si="45"/>
        <v>2.9999999999999997E-4</v>
      </c>
      <c r="AA103" s="181">
        <f t="shared" si="46"/>
        <v>5.0000000000000001E-4</v>
      </c>
      <c r="AB103" s="181">
        <f t="shared" si="46"/>
        <v>6.9999999999999999E-4</v>
      </c>
      <c r="AD103" s="181">
        <f t="shared" si="47"/>
        <v>5.9999999999999995E-4</v>
      </c>
      <c r="AE103" s="181">
        <f t="shared" si="47"/>
        <v>4.0000000000000002E-4</v>
      </c>
      <c r="AF103" s="181"/>
      <c r="AG103" s="382">
        <f t="shared" si="38"/>
        <v>0.6</v>
      </c>
      <c r="AH103" s="382">
        <f t="shared" si="39"/>
        <v>0.6</v>
      </c>
      <c r="AI103" s="176">
        <f t="shared" si="37"/>
        <v>3.5999999999999997E-4</v>
      </c>
      <c r="AJ103" s="176">
        <f t="shared" si="37"/>
        <v>1.08E-3</v>
      </c>
      <c r="AK103" s="181"/>
      <c r="AL103" s="181"/>
      <c r="AM103" s="181"/>
      <c r="AO103" s="181">
        <f t="shared" si="47"/>
        <v>0</v>
      </c>
      <c r="AP103" s="181">
        <f t="shared" si="47"/>
        <v>0</v>
      </c>
      <c r="AQ103" s="181">
        <f t="shared" si="47"/>
        <v>0</v>
      </c>
      <c r="AR103" s="181">
        <f t="shared" si="47"/>
        <v>0</v>
      </c>
      <c r="AS103" s="181">
        <f t="shared" si="47"/>
        <v>0</v>
      </c>
      <c r="AT103" s="181">
        <f t="shared" si="47"/>
        <v>0</v>
      </c>
      <c r="BQ103" s="175"/>
      <c r="BR103" s="175"/>
      <c r="BS103" s="175"/>
      <c r="BT103" s="175"/>
      <c r="BU103" s="175"/>
      <c r="BV103" s="175"/>
      <c r="BW103" s="175"/>
      <c r="BX103" s="175"/>
    </row>
    <row r="104" spans="1:76" ht="11.25" customHeight="1" x14ac:dyDescent="0.2">
      <c r="A104" s="4">
        <f xml:space="preserve"> Basis!A104</f>
        <v>104</v>
      </c>
      <c r="C104" s="181">
        <f t="shared" si="40"/>
        <v>0</v>
      </c>
      <c r="D104" s="181">
        <f t="shared" si="40"/>
        <v>0</v>
      </c>
      <c r="G104" s="181">
        <f t="shared" si="41"/>
        <v>1E-4</v>
      </c>
      <c r="H104" s="181">
        <f t="shared" si="41"/>
        <v>3.0999999999999999E-3</v>
      </c>
      <c r="J104" s="181">
        <f t="shared" si="42"/>
        <v>2.3E-3</v>
      </c>
      <c r="K104" s="181">
        <f t="shared" si="42"/>
        <v>6.1999999999999998E-3</v>
      </c>
      <c r="M104" s="181">
        <f t="shared" si="43"/>
        <v>0</v>
      </c>
      <c r="N104" s="181">
        <f t="shared" si="43"/>
        <v>6.4999999999999997E-3</v>
      </c>
      <c r="P104" s="181">
        <f t="shared" si="43"/>
        <v>0</v>
      </c>
      <c r="Q104" s="181">
        <f t="shared" si="43"/>
        <v>2.0999999999999999E-3</v>
      </c>
      <c r="U104" s="181">
        <f t="shared" si="44"/>
        <v>2.0000000000000001E-4</v>
      </c>
      <c r="V104" s="181">
        <f t="shared" si="44"/>
        <v>1E-3</v>
      </c>
      <c r="X104" s="181">
        <f t="shared" si="45"/>
        <v>5.9999999999999995E-4</v>
      </c>
      <c r="Y104" s="181">
        <f t="shared" si="45"/>
        <v>2.9999999999999997E-4</v>
      </c>
      <c r="AA104" s="181">
        <f t="shared" si="46"/>
        <v>5.0000000000000001E-4</v>
      </c>
      <c r="AB104" s="181">
        <f t="shared" si="46"/>
        <v>6.9999999999999999E-4</v>
      </c>
      <c r="AD104" s="181">
        <f t="shared" si="47"/>
        <v>5.9999999999999995E-4</v>
      </c>
      <c r="AE104" s="181">
        <f t="shared" si="47"/>
        <v>4.0000000000000002E-4</v>
      </c>
      <c r="AF104" s="181"/>
      <c r="AG104" s="382">
        <f t="shared" si="38"/>
        <v>0.6</v>
      </c>
      <c r="AH104" s="382">
        <f t="shared" si="39"/>
        <v>0.6</v>
      </c>
      <c r="AI104" s="176">
        <f t="shared" si="37"/>
        <v>3.5999999999999997E-4</v>
      </c>
      <c r="AJ104" s="176">
        <f t="shared" si="37"/>
        <v>1.08E-3</v>
      </c>
      <c r="AK104" s="181"/>
      <c r="AL104" s="181"/>
      <c r="AM104" s="181"/>
      <c r="AO104" s="181">
        <f t="shared" si="47"/>
        <v>0</v>
      </c>
      <c r="AP104" s="181">
        <f t="shared" si="47"/>
        <v>0</v>
      </c>
      <c r="AQ104" s="181">
        <f t="shared" si="47"/>
        <v>0</v>
      </c>
      <c r="AR104" s="181">
        <f t="shared" si="47"/>
        <v>0</v>
      </c>
      <c r="AS104" s="181">
        <f t="shared" si="47"/>
        <v>0</v>
      </c>
      <c r="AT104" s="181">
        <f t="shared" si="47"/>
        <v>0</v>
      </c>
      <c r="BQ104" s="175"/>
      <c r="BR104" s="175"/>
      <c r="BS104" s="175"/>
      <c r="BT104" s="175"/>
      <c r="BU104" s="175"/>
      <c r="BV104" s="175"/>
      <c r="BW104" s="175"/>
      <c r="BX104" s="175"/>
    </row>
    <row r="105" spans="1:76" ht="11.25" customHeight="1" x14ac:dyDescent="0.2">
      <c r="A105" s="4">
        <f xml:space="preserve"> Basis!A105</f>
        <v>105</v>
      </c>
      <c r="C105" s="181">
        <f t="shared" si="40"/>
        <v>0</v>
      </c>
      <c r="D105" s="181">
        <f t="shared" si="40"/>
        <v>0</v>
      </c>
      <c r="G105" s="181">
        <f t="shared" si="41"/>
        <v>0</v>
      </c>
      <c r="H105" s="181">
        <f t="shared" si="41"/>
        <v>3.0999999999999999E-3</v>
      </c>
      <c r="J105" s="181">
        <f t="shared" si="42"/>
        <v>2E-3</v>
      </c>
      <c r="K105" s="181">
        <f t="shared" si="42"/>
        <v>6.1000000000000004E-3</v>
      </c>
      <c r="M105" s="181">
        <f t="shared" si="43"/>
        <v>0</v>
      </c>
      <c r="N105" s="181">
        <f t="shared" si="43"/>
        <v>6.4999999999999997E-3</v>
      </c>
      <c r="P105" s="181">
        <f t="shared" si="43"/>
        <v>0</v>
      </c>
      <c r="Q105" s="181">
        <f t="shared" si="43"/>
        <v>2.0999999999999999E-3</v>
      </c>
      <c r="U105" s="181">
        <f t="shared" si="44"/>
        <v>1E-4</v>
      </c>
      <c r="V105" s="181">
        <f t="shared" si="44"/>
        <v>1.1000000000000001E-3</v>
      </c>
      <c r="X105" s="181">
        <f t="shared" si="45"/>
        <v>5.9999999999999995E-4</v>
      </c>
      <c r="Y105" s="181">
        <f t="shared" si="45"/>
        <v>2.9999999999999997E-4</v>
      </c>
      <c r="AA105" s="181">
        <f t="shared" si="46"/>
        <v>5.0000000000000001E-4</v>
      </c>
      <c r="AB105" s="181">
        <f t="shared" si="46"/>
        <v>8.0000000000000004E-4</v>
      </c>
      <c r="AD105" s="181">
        <f t="shared" si="47"/>
        <v>5.9999999999999995E-4</v>
      </c>
      <c r="AE105" s="181">
        <f t="shared" si="47"/>
        <v>5.0000000000000001E-4</v>
      </c>
      <c r="AF105" s="181"/>
      <c r="AG105" s="382">
        <f t="shared" si="38"/>
        <v>0.6</v>
      </c>
      <c r="AH105" s="382">
        <f t="shared" si="39"/>
        <v>0.6</v>
      </c>
      <c r="AI105" s="176">
        <f t="shared" si="37"/>
        <v>3.5999999999999997E-4</v>
      </c>
      <c r="AJ105" s="176">
        <f t="shared" si="37"/>
        <v>1.14E-3</v>
      </c>
      <c r="AK105" s="181"/>
      <c r="AL105" s="181"/>
      <c r="AM105" s="181"/>
      <c r="AO105" s="181">
        <f t="shared" si="47"/>
        <v>0</v>
      </c>
      <c r="AP105" s="181">
        <f t="shared" si="47"/>
        <v>0</v>
      </c>
      <c r="AQ105" s="181">
        <f t="shared" si="47"/>
        <v>0</v>
      </c>
      <c r="AR105" s="181">
        <f t="shared" si="47"/>
        <v>0</v>
      </c>
      <c r="AS105" s="181">
        <f t="shared" si="47"/>
        <v>0</v>
      </c>
      <c r="AT105" s="181">
        <f t="shared" si="47"/>
        <v>0</v>
      </c>
      <c r="BQ105" s="175"/>
      <c r="BR105" s="175"/>
      <c r="BS105" s="175"/>
      <c r="BT105" s="175"/>
      <c r="BU105" s="175"/>
      <c r="BV105" s="175"/>
      <c r="BW105" s="175"/>
      <c r="BX105" s="175"/>
    </row>
    <row r="106" spans="1:76" ht="11.25" customHeight="1" x14ac:dyDescent="0.2">
      <c r="A106" s="4">
        <f xml:space="preserve"> Basis!A106</f>
        <v>106</v>
      </c>
      <c r="C106" s="181">
        <f t="shared" si="40"/>
        <v>0</v>
      </c>
      <c r="D106" s="181">
        <f t="shared" si="40"/>
        <v>0</v>
      </c>
      <c r="G106" s="181">
        <f t="shared" si="41"/>
        <v>0</v>
      </c>
      <c r="H106" s="181">
        <f t="shared" si="41"/>
        <v>3.0999999999999999E-3</v>
      </c>
      <c r="J106" s="181">
        <f t="shared" si="42"/>
        <v>1.8E-3</v>
      </c>
      <c r="K106" s="181">
        <f t="shared" si="42"/>
        <v>6.1000000000000004E-3</v>
      </c>
      <c r="M106" s="181">
        <f t="shared" si="43"/>
        <v>0</v>
      </c>
      <c r="N106" s="181">
        <f t="shared" si="43"/>
        <v>6.4999999999999997E-3</v>
      </c>
      <c r="P106" s="181">
        <f t="shared" si="43"/>
        <v>0</v>
      </c>
      <c r="Q106" s="181">
        <f t="shared" si="43"/>
        <v>2.0999999999999999E-3</v>
      </c>
      <c r="U106" s="181">
        <f t="shared" si="44"/>
        <v>1E-4</v>
      </c>
      <c r="V106" s="181">
        <f t="shared" si="44"/>
        <v>1.1000000000000001E-3</v>
      </c>
      <c r="X106" s="181">
        <f t="shared" si="45"/>
        <v>5.9999999999999995E-4</v>
      </c>
      <c r="Y106" s="181">
        <f t="shared" si="45"/>
        <v>2.9999999999999997E-4</v>
      </c>
      <c r="AA106" s="181">
        <f t="shared" si="46"/>
        <v>5.0000000000000001E-4</v>
      </c>
      <c r="AB106" s="181">
        <f t="shared" si="46"/>
        <v>8.0000000000000004E-4</v>
      </c>
      <c r="AD106" s="181">
        <f t="shared" si="47"/>
        <v>5.9999999999999995E-4</v>
      </c>
      <c r="AE106" s="181">
        <f t="shared" si="47"/>
        <v>5.0000000000000001E-4</v>
      </c>
      <c r="AF106" s="181"/>
      <c r="AG106" s="382">
        <f t="shared" si="38"/>
        <v>0.6</v>
      </c>
      <c r="AH106" s="382">
        <f t="shared" si="39"/>
        <v>0.6</v>
      </c>
      <c r="AI106" s="176">
        <f t="shared" si="37"/>
        <v>3.5999999999999997E-4</v>
      </c>
      <c r="AJ106" s="176">
        <f t="shared" si="37"/>
        <v>1.14E-3</v>
      </c>
      <c r="AK106" s="181"/>
      <c r="AL106" s="181"/>
      <c r="AM106" s="181"/>
      <c r="AO106" s="181">
        <f t="shared" si="47"/>
        <v>0</v>
      </c>
      <c r="AP106" s="181">
        <f t="shared" si="47"/>
        <v>0</v>
      </c>
      <c r="AQ106" s="181">
        <f t="shared" si="47"/>
        <v>0</v>
      </c>
      <c r="AR106" s="181">
        <f t="shared" si="47"/>
        <v>0</v>
      </c>
      <c r="AS106" s="181">
        <f t="shared" si="47"/>
        <v>0</v>
      </c>
      <c r="AT106" s="181">
        <f t="shared" si="47"/>
        <v>0</v>
      </c>
      <c r="BQ106" s="175"/>
      <c r="BR106" s="175"/>
      <c r="BS106" s="175"/>
      <c r="BT106" s="175"/>
      <c r="BU106" s="175"/>
      <c r="BV106" s="175"/>
      <c r="BW106" s="175"/>
      <c r="BX106" s="175"/>
    </row>
    <row r="107" spans="1:76" ht="11.25" customHeight="1" x14ac:dyDescent="0.2">
      <c r="A107" s="4">
        <f xml:space="preserve"> Basis!A107</f>
        <v>107</v>
      </c>
      <c r="C107" s="181">
        <f t="shared" si="40"/>
        <v>0</v>
      </c>
      <c r="D107" s="181">
        <f t="shared" si="40"/>
        <v>0</v>
      </c>
      <c r="G107" s="181">
        <f t="shared" si="41"/>
        <v>0</v>
      </c>
      <c r="H107" s="181">
        <f t="shared" si="41"/>
        <v>3.0999999999999999E-3</v>
      </c>
      <c r="J107" s="181">
        <f t="shared" si="42"/>
        <v>1.6000000000000001E-3</v>
      </c>
      <c r="K107" s="181">
        <f t="shared" si="42"/>
        <v>6.0000000000000001E-3</v>
      </c>
      <c r="M107" s="181">
        <f t="shared" si="43"/>
        <v>0</v>
      </c>
      <c r="N107" s="181">
        <f t="shared" si="43"/>
        <v>6.4999999999999997E-3</v>
      </c>
      <c r="P107" s="181">
        <f t="shared" si="43"/>
        <v>0</v>
      </c>
      <c r="Q107" s="181">
        <f t="shared" si="43"/>
        <v>2.0999999999999999E-3</v>
      </c>
      <c r="U107" s="181">
        <f t="shared" si="44"/>
        <v>1E-4</v>
      </c>
      <c r="V107" s="181">
        <f t="shared" si="44"/>
        <v>1.1999999999999999E-3</v>
      </c>
      <c r="X107" s="181">
        <f t="shared" si="45"/>
        <v>5.9999999999999995E-4</v>
      </c>
      <c r="Y107" s="181">
        <f t="shared" si="45"/>
        <v>2.9999999999999997E-4</v>
      </c>
      <c r="AA107" s="181">
        <f t="shared" si="46"/>
        <v>5.0000000000000001E-4</v>
      </c>
      <c r="AB107" s="181">
        <f t="shared" si="46"/>
        <v>8.0000000000000004E-4</v>
      </c>
      <c r="AD107" s="181">
        <f t="shared" si="47"/>
        <v>5.9999999999999995E-4</v>
      </c>
      <c r="AE107" s="181">
        <f t="shared" si="47"/>
        <v>5.0000000000000001E-4</v>
      </c>
      <c r="AF107" s="181"/>
      <c r="AG107" s="382">
        <f t="shared" si="38"/>
        <v>0.6</v>
      </c>
      <c r="AH107" s="382">
        <f t="shared" si="39"/>
        <v>0.6</v>
      </c>
      <c r="AI107" s="176">
        <f t="shared" si="37"/>
        <v>3.5999999999999997E-4</v>
      </c>
      <c r="AJ107" s="176">
        <f t="shared" si="37"/>
        <v>1.14E-3</v>
      </c>
      <c r="AK107" s="181"/>
      <c r="AL107" s="181"/>
      <c r="AM107" s="181"/>
      <c r="AO107" s="181">
        <f t="shared" si="47"/>
        <v>0</v>
      </c>
      <c r="AP107" s="181">
        <f t="shared" si="47"/>
        <v>0</v>
      </c>
      <c r="AQ107" s="181">
        <f t="shared" si="47"/>
        <v>0</v>
      </c>
      <c r="AR107" s="181">
        <f t="shared" si="47"/>
        <v>0</v>
      </c>
      <c r="AS107" s="181">
        <f t="shared" si="47"/>
        <v>0</v>
      </c>
      <c r="AT107" s="181">
        <f t="shared" si="47"/>
        <v>0</v>
      </c>
      <c r="BQ107" s="175"/>
      <c r="BR107" s="175"/>
      <c r="BS107" s="175"/>
      <c r="BT107" s="175"/>
      <c r="BU107" s="175"/>
      <c r="BV107" s="175"/>
      <c r="BW107" s="175"/>
      <c r="BX107" s="175"/>
    </row>
    <row r="108" spans="1:76" ht="11.25" customHeight="1" x14ac:dyDescent="0.2">
      <c r="A108" s="4">
        <f xml:space="preserve"> Basis!A108</f>
        <v>108</v>
      </c>
      <c r="C108" s="181">
        <f t="shared" si="40"/>
        <v>0</v>
      </c>
      <c r="D108" s="181">
        <f t="shared" si="40"/>
        <v>0</v>
      </c>
      <c r="G108" s="181">
        <f t="shared" si="41"/>
        <v>0</v>
      </c>
      <c r="H108" s="181">
        <f t="shared" si="41"/>
        <v>3.0999999999999999E-3</v>
      </c>
      <c r="J108" s="181">
        <f t="shared" si="42"/>
        <v>1.4E-3</v>
      </c>
      <c r="K108" s="181">
        <f t="shared" si="42"/>
        <v>6.0000000000000001E-3</v>
      </c>
      <c r="M108" s="181">
        <f t="shared" si="43"/>
        <v>0</v>
      </c>
      <c r="N108" s="181">
        <f t="shared" si="43"/>
        <v>6.4999999999999997E-3</v>
      </c>
      <c r="P108" s="181">
        <f t="shared" si="43"/>
        <v>0</v>
      </c>
      <c r="Q108" s="181">
        <f t="shared" si="43"/>
        <v>2.0999999999999999E-3</v>
      </c>
      <c r="U108" s="181">
        <f t="shared" si="44"/>
        <v>1E-4</v>
      </c>
      <c r="V108" s="181">
        <f t="shared" si="44"/>
        <v>1.1999999999999999E-3</v>
      </c>
      <c r="X108" s="181">
        <f t="shared" si="45"/>
        <v>5.9999999999999995E-4</v>
      </c>
      <c r="Y108" s="181">
        <f t="shared" si="45"/>
        <v>2.9999999999999997E-4</v>
      </c>
      <c r="AA108" s="181">
        <f t="shared" si="46"/>
        <v>5.0000000000000001E-4</v>
      </c>
      <c r="AB108" s="181">
        <f t="shared" si="46"/>
        <v>8.9999999999999998E-4</v>
      </c>
      <c r="AD108" s="181">
        <f t="shared" si="47"/>
        <v>5.9999999999999995E-4</v>
      </c>
      <c r="AE108" s="181">
        <f t="shared" si="47"/>
        <v>5.0000000000000001E-4</v>
      </c>
      <c r="AF108" s="181"/>
      <c r="AG108" s="382">
        <f t="shared" si="38"/>
        <v>0.6</v>
      </c>
      <c r="AH108" s="382">
        <f t="shared" si="39"/>
        <v>0.6</v>
      </c>
      <c r="AI108" s="176">
        <f t="shared" si="37"/>
        <v>3.5999999999999997E-4</v>
      </c>
      <c r="AJ108" s="176">
        <f t="shared" si="37"/>
        <v>1.14E-3</v>
      </c>
      <c r="AK108" s="181"/>
      <c r="AL108" s="181"/>
      <c r="AM108" s="181"/>
      <c r="AO108" s="181">
        <f t="shared" si="47"/>
        <v>0</v>
      </c>
      <c r="AP108" s="181">
        <f t="shared" si="47"/>
        <v>0</v>
      </c>
      <c r="AQ108" s="181">
        <f t="shared" si="47"/>
        <v>0</v>
      </c>
      <c r="AR108" s="181">
        <f t="shared" si="47"/>
        <v>0</v>
      </c>
      <c r="AS108" s="181">
        <f t="shared" si="47"/>
        <v>0</v>
      </c>
      <c r="AT108" s="181">
        <f t="shared" si="47"/>
        <v>0</v>
      </c>
      <c r="BQ108" s="175"/>
      <c r="BR108" s="175"/>
      <c r="BS108" s="175"/>
      <c r="BT108" s="175"/>
      <c r="BU108" s="175"/>
      <c r="BV108" s="175"/>
      <c r="BW108" s="175"/>
      <c r="BX108" s="175"/>
    </row>
    <row r="109" spans="1:76" ht="11.25" customHeight="1" x14ac:dyDescent="0.2">
      <c r="A109" s="4">
        <f xml:space="preserve"> Basis!A109</f>
        <v>109</v>
      </c>
      <c r="C109" s="181">
        <f t="shared" si="40"/>
        <v>0</v>
      </c>
      <c r="D109" s="181">
        <f t="shared" si="40"/>
        <v>0</v>
      </c>
      <c r="G109" s="181">
        <f t="shared" si="41"/>
        <v>0</v>
      </c>
      <c r="H109" s="181">
        <f t="shared" si="41"/>
        <v>3.0999999999999999E-3</v>
      </c>
      <c r="J109" s="181">
        <f t="shared" si="42"/>
        <v>1.1999999999999999E-3</v>
      </c>
      <c r="K109" s="181">
        <f t="shared" si="42"/>
        <v>5.8999999999999999E-3</v>
      </c>
      <c r="M109" s="181">
        <f t="shared" si="43"/>
        <v>0</v>
      </c>
      <c r="N109" s="181">
        <f t="shared" si="43"/>
        <v>6.4999999999999997E-3</v>
      </c>
      <c r="P109" s="181">
        <f t="shared" si="43"/>
        <v>0</v>
      </c>
      <c r="Q109" s="181">
        <f t="shared" si="43"/>
        <v>2.0999999999999999E-3</v>
      </c>
      <c r="U109" s="181">
        <f t="shared" si="44"/>
        <v>1E-4</v>
      </c>
      <c r="V109" s="181">
        <f t="shared" si="44"/>
        <v>1.1999999999999999E-3</v>
      </c>
      <c r="X109" s="181">
        <f t="shared" si="45"/>
        <v>5.9999999999999995E-4</v>
      </c>
      <c r="Y109" s="181">
        <f t="shared" si="45"/>
        <v>2.9999999999999997E-4</v>
      </c>
      <c r="AA109" s="181">
        <f t="shared" si="46"/>
        <v>5.0000000000000001E-4</v>
      </c>
      <c r="AB109" s="181">
        <f t="shared" si="46"/>
        <v>8.9999999999999998E-4</v>
      </c>
      <c r="AD109" s="181">
        <f t="shared" si="47"/>
        <v>5.9999999999999995E-4</v>
      </c>
      <c r="AE109" s="181">
        <f t="shared" si="47"/>
        <v>5.0000000000000001E-4</v>
      </c>
      <c r="AF109" s="181"/>
      <c r="AG109" s="382">
        <f t="shared" si="38"/>
        <v>0.6</v>
      </c>
      <c r="AH109" s="382">
        <f t="shared" si="39"/>
        <v>0.6</v>
      </c>
      <c r="AI109" s="176">
        <f t="shared" si="37"/>
        <v>3.5999999999999997E-4</v>
      </c>
      <c r="AJ109" s="176">
        <f t="shared" si="37"/>
        <v>1.14E-3</v>
      </c>
      <c r="AK109" s="181"/>
      <c r="AL109" s="181"/>
      <c r="AM109" s="181"/>
      <c r="AO109" s="181">
        <f t="shared" si="47"/>
        <v>0</v>
      </c>
      <c r="AP109" s="181">
        <f t="shared" si="47"/>
        <v>0</v>
      </c>
      <c r="AQ109" s="181">
        <f t="shared" si="47"/>
        <v>0</v>
      </c>
      <c r="AR109" s="181">
        <f t="shared" si="47"/>
        <v>0</v>
      </c>
      <c r="AS109" s="181">
        <f t="shared" si="47"/>
        <v>0</v>
      </c>
      <c r="AT109" s="181">
        <f t="shared" si="47"/>
        <v>0</v>
      </c>
      <c r="BQ109" s="175"/>
      <c r="BR109" s="175"/>
      <c r="BS109" s="175"/>
      <c r="BT109" s="175"/>
      <c r="BU109" s="175"/>
      <c r="BV109" s="175"/>
      <c r="BW109" s="175"/>
      <c r="BX109" s="175"/>
    </row>
    <row r="110" spans="1:76" ht="11.25" customHeight="1" x14ac:dyDescent="0.2">
      <c r="A110" s="4">
        <f xml:space="preserve"> Basis!A110</f>
        <v>110</v>
      </c>
      <c r="C110" s="181">
        <f t="shared" si="40"/>
        <v>0</v>
      </c>
      <c r="D110" s="181">
        <f t="shared" si="40"/>
        <v>0</v>
      </c>
      <c r="G110" s="181">
        <f t="shared" si="41"/>
        <v>0</v>
      </c>
      <c r="H110" s="181">
        <f t="shared" si="41"/>
        <v>3.0999999999999999E-3</v>
      </c>
      <c r="J110" s="181">
        <f t="shared" si="42"/>
        <v>8.9999999999999998E-4</v>
      </c>
      <c r="K110" s="181">
        <f t="shared" si="42"/>
        <v>5.8999999999999999E-3</v>
      </c>
      <c r="M110" s="181">
        <f t="shared" si="43"/>
        <v>0</v>
      </c>
      <c r="N110" s="181">
        <f t="shared" si="43"/>
        <v>6.4999999999999997E-3</v>
      </c>
      <c r="P110" s="181">
        <f t="shared" si="43"/>
        <v>0</v>
      </c>
      <c r="Q110" s="181">
        <f t="shared" si="43"/>
        <v>2.0999999999999999E-3</v>
      </c>
      <c r="U110" s="181">
        <f t="shared" si="44"/>
        <v>0</v>
      </c>
      <c r="V110" s="181">
        <f t="shared" si="44"/>
        <v>1.2999999999999999E-3</v>
      </c>
      <c r="X110" s="181">
        <f t="shared" si="45"/>
        <v>5.9999999999999995E-4</v>
      </c>
      <c r="Y110" s="181">
        <f t="shared" si="45"/>
        <v>2.9999999999999997E-4</v>
      </c>
      <c r="AA110" s="181">
        <f t="shared" si="46"/>
        <v>5.0000000000000001E-4</v>
      </c>
      <c r="AB110" s="181">
        <f t="shared" si="46"/>
        <v>8.9999999999999998E-4</v>
      </c>
      <c r="AD110" s="181">
        <f t="shared" si="47"/>
        <v>5.9999999999999995E-4</v>
      </c>
      <c r="AE110" s="181">
        <f t="shared" si="47"/>
        <v>5.9999999999999995E-4</v>
      </c>
      <c r="AF110" s="181"/>
      <c r="AG110" s="382">
        <f t="shared" si="38"/>
        <v>0.6</v>
      </c>
      <c r="AH110" s="382">
        <f t="shared" si="39"/>
        <v>0.6</v>
      </c>
      <c r="AI110" s="176">
        <f t="shared" si="37"/>
        <v>3.5999999999999997E-4</v>
      </c>
      <c r="AJ110" s="176">
        <f t="shared" si="37"/>
        <v>1.2000000000000001E-3</v>
      </c>
      <c r="AK110" s="181"/>
      <c r="AL110" s="181"/>
      <c r="AM110" s="181"/>
      <c r="AO110" s="181">
        <f t="shared" si="47"/>
        <v>0</v>
      </c>
      <c r="AP110" s="181">
        <f t="shared" si="47"/>
        <v>0</v>
      </c>
      <c r="AQ110" s="181">
        <f t="shared" si="47"/>
        <v>0</v>
      </c>
      <c r="AR110" s="181">
        <f t="shared" si="47"/>
        <v>0</v>
      </c>
      <c r="AS110" s="181">
        <f t="shared" si="47"/>
        <v>0</v>
      </c>
      <c r="AT110" s="181">
        <f t="shared" si="47"/>
        <v>0</v>
      </c>
      <c r="BQ110" s="175"/>
      <c r="BR110" s="175"/>
      <c r="BS110" s="175"/>
      <c r="BT110" s="175"/>
      <c r="BU110" s="175"/>
      <c r="BV110" s="175"/>
      <c r="BW110" s="175"/>
      <c r="BX110" s="175"/>
    </row>
    <row r="111" spans="1:76" ht="11.25" customHeight="1" x14ac:dyDescent="0.2">
      <c r="A111" s="4">
        <f xml:space="preserve"> Basis!A111</f>
        <v>111</v>
      </c>
      <c r="C111" s="181">
        <f t="shared" si="40"/>
        <v>0</v>
      </c>
      <c r="D111" s="181">
        <f t="shared" si="40"/>
        <v>0</v>
      </c>
      <c r="G111" s="181">
        <f t="shared" si="41"/>
        <v>0</v>
      </c>
      <c r="H111" s="181">
        <f t="shared" si="41"/>
        <v>3.0999999999999999E-3</v>
      </c>
      <c r="J111" s="181">
        <f t="shared" si="42"/>
        <v>6.9999999999999999E-4</v>
      </c>
      <c r="K111" s="181">
        <f t="shared" si="42"/>
        <v>5.7999999999999996E-3</v>
      </c>
      <c r="M111" s="181">
        <f t="shared" si="43"/>
        <v>0</v>
      </c>
      <c r="N111" s="181">
        <f t="shared" si="43"/>
        <v>6.4999999999999997E-3</v>
      </c>
      <c r="P111" s="181">
        <f t="shared" si="43"/>
        <v>0</v>
      </c>
      <c r="Q111" s="181">
        <f t="shared" si="43"/>
        <v>2.0999999999999999E-3</v>
      </c>
      <c r="U111" s="181">
        <f t="shared" si="44"/>
        <v>0</v>
      </c>
      <c r="V111" s="181">
        <f t="shared" si="44"/>
        <v>1.2999999999999999E-3</v>
      </c>
      <c r="X111" s="181">
        <f t="shared" si="45"/>
        <v>5.9999999999999995E-4</v>
      </c>
      <c r="Y111" s="181">
        <f t="shared" si="45"/>
        <v>2.9999999999999997E-4</v>
      </c>
      <c r="AA111" s="181">
        <f t="shared" si="46"/>
        <v>5.0000000000000001E-4</v>
      </c>
      <c r="AB111" s="181">
        <f t="shared" si="46"/>
        <v>8.9999999999999998E-4</v>
      </c>
      <c r="AD111" s="181">
        <f t="shared" si="47"/>
        <v>5.9999999999999995E-4</v>
      </c>
      <c r="AE111" s="181">
        <f t="shared" si="47"/>
        <v>5.9999999999999995E-4</v>
      </c>
      <c r="AF111" s="181"/>
      <c r="AG111" s="382">
        <f t="shared" si="38"/>
        <v>0.6</v>
      </c>
      <c r="AH111" s="382">
        <f t="shared" si="39"/>
        <v>0.6</v>
      </c>
      <c r="AI111" s="176">
        <f t="shared" si="37"/>
        <v>3.5999999999999997E-4</v>
      </c>
      <c r="AJ111" s="176">
        <f t="shared" si="37"/>
        <v>1.2000000000000001E-3</v>
      </c>
      <c r="AK111" s="181"/>
      <c r="AL111" s="181"/>
      <c r="AM111" s="181"/>
      <c r="AO111" s="181">
        <f t="shared" si="47"/>
        <v>0</v>
      </c>
      <c r="AP111" s="181">
        <f t="shared" si="47"/>
        <v>0</v>
      </c>
      <c r="AQ111" s="181">
        <f t="shared" si="47"/>
        <v>0</v>
      </c>
      <c r="AR111" s="181">
        <f t="shared" si="47"/>
        <v>0</v>
      </c>
      <c r="AS111" s="181">
        <f t="shared" si="47"/>
        <v>0</v>
      </c>
      <c r="AT111" s="181">
        <f t="shared" si="47"/>
        <v>0</v>
      </c>
      <c r="BQ111" s="175"/>
      <c r="BR111" s="175"/>
      <c r="BS111" s="175"/>
      <c r="BT111" s="175"/>
      <c r="BU111" s="175"/>
      <c r="BV111" s="175"/>
      <c r="BW111" s="175"/>
      <c r="BX111" s="175"/>
    </row>
    <row r="112" spans="1:76" ht="11.25" customHeight="1" x14ac:dyDescent="0.2">
      <c r="A112" s="4">
        <f xml:space="preserve"> Basis!A112</f>
        <v>112</v>
      </c>
      <c r="C112" s="181">
        <f t="shared" si="40"/>
        <v>0</v>
      </c>
      <c r="D112" s="181">
        <f t="shared" si="40"/>
        <v>0</v>
      </c>
      <c r="G112" s="181">
        <f t="shared" si="41"/>
        <v>0</v>
      </c>
      <c r="H112" s="181">
        <f t="shared" si="41"/>
        <v>3.0999999999999999E-3</v>
      </c>
      <c r="J112" s="181">
        <f t="shared" si="42"/>
        <v>5.0000000000000001E-4</v>
      </c>
      <c r="K112" s="181">
        <f t="shared" si="42"/>
        <v>5.7999999999999996E-3</v>
      </c>
      <c r="M112" s="181">
        <f t="shared" si="43"/>
        <v>0</v>
      </c>
      <c r="N112" s="181">
        <f t="shared" si="43"/>
        <v>6.4999999999999997E-3</v>
      </c>
      <c r="P112" s="181">
        <f t="shared" si="43"/>
        <v>0</v>
      </c>
      <c r="Q112" s="181">
        <f t="shared" si="43"/>
        <v>2.0999999999999999E-3</v>
      </c>
      <c r="U112" s="181">
        <f t="shared" si="44"/>
        <v>0</v>
      </c>
      <c r="V112" s="181">
        <f t="shared" si="44"/>
        <v>1.4E-3</v>
      </c>
      <c r="X112" s="181">
        <f t="shared" si="45"/>
        <v>5.9999999999999995E-4</v>
      </c>
      <c r="Y112" s="181">
        <f t="shared" si="45"/>
        <v>2.9999999999999997E-4</v>
      </c>
      <c r="AA112" s="181">
        <f t="shared" si="46"/>
        <v>5.0000000000000001E-4</v>
      </c>
      <c r="AB112" s="181">
        <f t="shared" si="46"/>
        <v>1E-3</v>
      </c>
      <c r="AD112" s="181">
        <f t="shared" si="47"/>
        <v>5.9999999999999995E-4</v>
      </c>
      <c r="AE112" s="181">
        <f t="shared" si="47"/>
        <v>5.9999999999999995E-4</v>
      </c>
      <c r="AF112" s="181"/>
      <c r="AG112" s="382">
        <f t="shared" si="38"/>
        <v>0.6</v>
      </c>
      <c r="AH112" s="382">
        <f t="shared" si="39"/>
        <v>0.6</v>
      </c>
      <c r="AI112" s="176">
        <f t="shared" si="37"/>
        <v>3.5999999999999997E-4</v>
      </c>
      <c r="AJ112" s="176">
        <f t="shared" si="37"/>
        <v>1.2000000000000001E-3</v>
      </c>
      <c r="AK112" s="181"/>
      <c r="AL112" s="181"/>
      <c r="AM112" s="181"/>
      <c r="AO112" s="181">
        <f t="shared" si="47"/>
        <v>0</v>
      </c>
      <c r="AP112" s="181">
        <f t="shared" si="47"/>
        <v>0</v>
      </c>
      <c r="AQ112" s="181">
        <f t="shared" si="47"/>
        <v>0</v>
      </c>
      <c r="AR112" s="181">
        <f t="shared" si="47"/>
        <v>0</v>
      </c>
      <c r="AS112" s="181">
        <f t="shared" si="47"/>
        <v>0</v>
      </c>
      <c r="AT112" s="181">
        <f t="shared" si="47"/>
        <v>0</v>
      </c>
      <c r="BQ112" s="175"/>
      <c r="BR112" s="175"/>
      <c r="BS112" s="175"/>
      <c r="BT112" s="175"/>
      <c r="BU112" s="175"/>
      <c r="BV112" s="175"/>
      <c r="BW112" s="175"/>
      <c r="BX112" s="175"/>
    </row>
    <row r="113" spans="1:76" ht="11.25" customHeight="1" x14ac:dyDescent="0.2">
      <c r="A113" s="4">
        <f xml:space="preserve"> Basis!A113</f>
        <v>113</v>
      </c>
      <c r="C113" s="181">
        <f t="shared" si="40"/>
        <v>0</v>
      </c>
      <c r="D113" s="181">
        <f t="shared" si="40"/>
        <v>0</v>
      </c>
      <c r="G113" s="181">
        <f t="shared" si="41"/>
        <v>0</v>
      </c>
      <c r="H113" s="181">
        <f t="shared" si="41"/>
        <v>3.0999999999999999E-3</v>
      </c>
      <c r="J113" s="181">
        <f t="shared" si="42"/>
        <v>2.9999999999999997E-4</v>
      </c>
      <c r="K113" s="181">
        <f t="shared" si="42"/>
        <v>5.7000000000000002E-3</v>
      </c>
      <c r="M113" s="181">
        <f t="shared" si="43"/>
        <v>0</v>
      </c>
      <c r="N113" s="181">
        <f t="shared" si="43"/>
        <v>6.4999999999999997E-3</v>
      </c>
      <c r="P113" s="181">
        <f t="shared" si="43"/>
        <v>0</v>
      </c>
      <c r="Q113" s="181">
        <f t="shared" si="43"/>
        <v>2.0999999999999999E-3</v>
      </c>
      <c r="U113" s="181">
        <f t="shared" si="44"/>
        <v>0</v>
      </c>
      <c r="V113" s="181">
        <f t="shared" si="44"/>
        <v>1.4E-3</v>
      </c>
      <c r="X113" s="181">
        <f t="shared" si="45"/>
        <v>5.9999999999999995E-4</v>
      </c>
      <c r="Y113" s="181">
        <f t="shared" si="45"/>
        <v>2.9999999999999997E-4</v>
      </c>
      <c r="AA113" s="181">
        <f t="shared" si="46"/>
        <v>5.0000000000000001E-4</v>
      </c>
      <c r="AB113" s="181">
        <f t="shared" si="46"/>
        <v>1E-3</v>
      </c>
      <c r="AD113" s="181">
        <f t="shared" si="47"/>
        <v>5.9999999999999995E-4</v>
      </c>
      <c r="AE113" s="181">
        <f t="shared" si="47"/>
        <v>5.9999999999999995E-4</v>
      </c>
      <c r="AF113" s="181"/>
      <c r="AG113" s="382">
        <f t="shared" si="38"/>
        <v>0.6</v>
      </c>
      <c r="AH113" s="382">
        <f t="shared" si="39"/>
        <v>0.6</v>
      </c>
      <c r="AI113" s="176">
        <f t="shared" si="37"/>
        <v>3.5999999999999997E-4</v>
      </c>
      <c r="AJ113" s="176">
        <f t="shared" si="37"/>
        <v>1.2000000000000001E-3</v>
      </c>
      <c r="AK113" s="181"/>
      <c r="AL113" s="181"/>
      <c r="AM113" s="181"/>
      <c r="AO113" s="181">
        <f t="shared" si="47"/>
        <v>0</v>
      </c>
      <c r="AP113" s="181">
        <f t="shared" si="47"/>
        <v>0</v>
      </c>
      <c r="AQ113" s="181">
        <f t="shared" si="47"/>
        <v>0</v>
      </c>
      <c r="AR113" s="181">
        <f t="shared" si="47"/>
        <v>0</v>
      </c>
      <c r="AS113" s="181">
        <f t="shared" si="47"/>
        <v>0</v>
      </c>
      <c r="AT113" s="181">
        <f t="shared" si="47"/>
        <v>0</v>
      </c>
      <c r="BQ113" s="175"/>
      <c r="BR113" s="175"/>
      <c r="BS113" s="175"/>
      <c r="BT113" s="175"/>
      <c r="BU113" s="175"/>
      <c r="BV113" s="175"/>
      <c r="BW113" s="175"/>
      <c r="BX113" s="175"/>
    </row>
    <row r="114" spans="1:76" ht="11.25" customHeight="1" x14ac:dyDescent="0.2">
      <c r="A114" s="4">
        <f xml:space="preserve"> Basis!A114</f>
        <v>114</v>
      </c>
      <c r="C114" s="181">
        <f t="shared" si="40"/>
        <v>0</v>
      </c>
      <c r="D114" s="181">
        <f t="shared" si="40"/>
        <v>0</v>
      </c>
      <c r="G114" s="181">
        <f t="shared" si="41"/>
        <v>0</v>
      </c>
      <c r="H114" s="181">
        <f t="shared" si="41"/>
        <v>3.0999999999999999E-3</v>
      </c>
      <c r="J114" s="181">
        <f t="shared" si="42"/>
        <v>1E-4</v>
      </c>
      <c r="K114" s="181">
        <f t="shared" si="42"/>
        <v>5.7000000000000002E-3</v>
      </c>
      <c r="M114" s="181">
        <f t="shared" si="43"/>
        <v>0</v>
      </c>
      <c r="N114" s="181">
        <f t="shared" si="43"/>
        <v>6.4999999999999997E-3</v>
      </c>
      <c r="P114" s="181">
        <f t="shared" si="43"/>
        <v>0</v>
      </c>
      <c r="Q114" s="181">
        <f t="shared" si="43"/>
        <v>2.0999999999999999E-3</v>
      </c>
      <c r="U114" s="181">
        <f t="shared" si="44"/>
        <v>0</v>
      </c>
      <c r="V114" s="181">
        <f t="shared" si="44"/>
        <v>1.4E-3</v>
      </c>
      <c r="X114" s="181">
        <f t="shared" si="45"/>
        <v>5.9999999999999995E-4</v>
      </c>
      <c r="Y114" s="181">
        <f t="shared" si="45"/>
        <v>2.9999999999999997E-4</v>
      </c>
      <c r="AA114" s="181">
        <f t="shared" si="46"/>
        <v>5.0000000000000001E-4</v>
      </c>
      <c r="AB114" s="181">
        <f t="shared" si="46"/>
        <v>1E-3</v>
      </c>
      <c r="AD114" s="181">
        <f t="shared" si="47"/>
        <v>5.9999999999999995E-4</v>
      </c>
      <c r="AE114" s="181">
        <f t="shared" si="47"/>
        <v>5.9999999999999995E-4</v>
      </c>
      <c r="AF114" s="181"/>
      <c r="AG114" s="382">
        <f t="shared" si="38"/>
        <v>0.6</v>
      </c>
      <c r="AH114" s="382">
        <f t="shared" si="39"/>
        <v>0.6</v>
      </c>
      <c r="AI114" s="176">
        <f t="shared" si="37"/>
        <v>3.5999999999999997E-4</v>
      </c>
      <c r="AJ114" s="176">
        <f t="shared" si="37"/>
        <v>1.2000000000000001E-3</v>
      </c>
      <c r="AK114" s="181"/>
      <c r="AL114" s="181"/>
      <c r="AM114" s="181"/>
      <c r="AO114" s="181">
        <f t="shared" si="47"/>
        <v>0</v>
      </c>
      <c r="AP114" s="181">
        <f t="shared" si="47"/>
        <v>0</v>
      </c>
      <c r="AQ114" s="181">
        <f t="shared" si="47"/>
        <v>0</v>
      </c>
      <c r="AR114" s="181">
        <f t="shared" si="47"/>
        <v>0</v>
      </c>
      <c r="AS114" s="181">
        <f t="shared" si="47"/>
        <v>0</v>
      </c>
      <c r="AT114" s="181">
        <f t="shared" si="47"/>
        <v>0</v>
      </c>
      <c r="BQ114" s="175"/>
      <c r="BR114" s="175"/>
      <c r="BS114" s="175"/>
      <c r="BT114" s="175"/>
      <c r="BU114" s="175"/>
      <c r="BV114" s="175"/>
      <c r="BW114" s="175"/>
      <c r="BX114" s="175"/>
    </row>
    <row r="115" spans="1:76" ht="11.25" customHeight="1" x14ac:dyDescent="0.2">
      <c r="A115" s="4">
        <f xml:space="preserve"> Basis!A115</f>
        <v>115</v>
      </c>
      <c r="C115" s="181">
        <f t="shared" si="40"/>
        <v>0</v>
      </c>
      <c r="D115" s="181">
        <f t="shared" si="40"/>
        <v>0</v>
      </c>
      <c r="G115" s="181">
        <f t="shared" si="41"/>
        <v>0</v>
      </c>
      <c r="H115" s="181">
        <f t="shared" si="41"/>
        <v>3.0999999999999999E-3</v>
      </c>
      <c r="J115" s="181">
        <f t="shared" si="42"/>
        <v>0</v>
      </c>
      <c r="K115" s="181">
        <f t="shared" si="42"/>
        <v>5.5999999999999999E-3</v>
      </c>
      <c r="M115" s="181">
        <f t="shared" si="43"/>
        <v>0</v>
      </c>
      <c r="N115" s="181">
        <f t="shared" si="43"/>
        <v>6.4999999999999997E-3</v>
      </c>
      <c r="P115" s="181">
        <f t="shared" si="43"/>
        <v>0</v>
      </c>
      <c r="Q115" s="181">
        <f t="shared" si="43"/>
        <v>2.0999999999999999E-3</v>
      </c>
      <c r="U115" s="181">
        <f t="shared" si="44"/>
        <v>0</v>
      </c>
      <c r="V115" s="181">
        <f t="shared" si="44"/>
        <v>1.5E-3</v>
      </c>
      <c r="X115" s="181">
        <f t="shared" si="45"/>
        <v>5.9999999999999995E-4</v>
      </c>
      <c r="Y115" s="181">
        <f t="shared" si="45"/>
        <v>2.9999999999999997E-4</v>
      </c>
      <c r="AA115" s="181">
        <f t="shared" si="46"/>
        <v>5.0000000000000001E-4</v>
      </c>
      <c r="AB115" s="181">
        <f t="shared" si="46"/>
        <v>1.1000000000000001E-3</v>
      </c>
      <c r="AD115" s="181">
        <f t="shared" si="47"/>
        <v>5.9999999999999995E-4</v>
      </c>
      <c r="AE115" s="181">
        <f t="shared" si="47"/>
        <v>6.9999999999999999E-4</v>
      </c>
      <c r="AF115" s="181"/>
      <c r="AG115" s="382">
        <f t="shared" si="38"/>
        <v>0.6</v>
      </c>
      <c r="AH115" s="382">
        <f t="shared" si="39"/>
        <v>0.6</v>
      </c>
      <c r="AI115" s="176">
        <f t="shared" si="37"/>
        <v>3.5999999999999997E-4</v>
      </c>
      <c r="AJ115" s="176">
        <f t="shared" si="37"/>
        <v>1.2599999999999998E-3</v>
      </c>
      <c r="AK115" s="181"/>
      <c r="AL115" s="181"/>
      <c r="AM115" s="181"/>
      <c r="AO115" s="181">
        <f t="shared" si="47"/>
        <v>0</v>
      </c>
      <c r="AP115" s="181">
        <f t="shared" si="47"/>
        <v>0</v>
      </c>
      <c r="AQ115" s="181">
        <f t="shared" si="47"/>
        <v>0</v>
      </c>
      <c r="AR115" s="181">
        <f t="shared" si="47"/>
        <v>0</v>
      </c>
      <c r="AS115" s="181">
        <f t="shared" si="47"/>
        <v>0</v>
      </c>
      <c r="AT115" s="181">
        <f t="shared" si="47"/>
        <v>0</v>
      </c>
      <c r="BQ115" s="175"/>
      <c r="BR115" s="175"/>
      <c r="BS115" s="175"/>
      <c r="BT115" s="175"/>
      <c r="BU115" s="175"/>
      <c r="BV115" s="175"/>
      <c r="BW115" s="175"/>
      <c r="BX115" s="175"/>
    </row>
    <row r="116" spans="1:76" ht="11.25" customHeight="1" x14ac:dyDescent="0.2">
      <c r="A116" s="4">
        <f xml:space="preserve"> Basis!A116</f>
        <v>116</v>
      </c>
      <c r="C116" s="181">
        <f t="shared" si="40"/>
        <v>0</v>
      </c>
      <c r="D116" s="181">
        <f t="shared" si="40"/>
        <v>0</v>
      </c>
      <c r="G116" s="181">
        <f t="shared" si="41"/>
        <v>0</v>
      </c>
      <c r="H116" s="181">
        <f t="shared" si="41"/>
        <v>3.0999999999999999E-3</v>
      </c>
      <c r="J116" s="181">
        <f t="shared" si="42"/>
        <v>0</v>
      </c>
      <c r="K116" s="181">
        <f t="shared" si="42"/>
        <v>5.5999999999999999E-3</v>
      </c>
      <c r="M116" s="181">
        <f t="shared" si="43"/>
        <v>0</v>
      </c>
      <c r="N116" s="181">
        <f t="shared" si="43"/>
        <v>6.4999999999999997E-3</v>
      </c>
      <c r="P116" s="181">
        <f t="shared" si="43"/>
        <v>0</v>
      </c>
      <c r="Q116" s="181">
        <f t="shared" si="43"/>
        <v>2.0999999999999999E-3</v>
      </c>
      <c r="U116" s="181">
        <f t="shared" si="44"/>
        <v>0</v>
      </c>
      <c r="V116" s="181">
        <f t="shared" si="44"/>
        <v>1.5E-3</v>
      </c>
      <c r="X116" s="181">
        <f t="shared" si="45"/>
        <v>5.9999999999999995E-4</v>
      </c>
      <c r="Y116" s="181">
        <f t="shared" si="45"/>
        <v>2.9999999999999997E-4</v>
      </c>
      <c r="AA116" s="181">
        <f t="shared" si="46"/>
        <v>5.0000000000000001E-4</v>
      </c>
      <c r="AB116" s="181">
        <f t="shared" si="46"/>
        <v>1.1000000000000001E-3</v>
      </c>
      <c r="AD116" s="181">
        <f t="shared" si="47"/>
        <v>5.9999999999999995E-4</v>
      </c>
      <c r="AE116" s="181">
        <f t="shared" si="47"/>
        <v>6.9999999999999999E-4</v>
      </c>
      <c r="AF116" s="181"/>
      <c r="AG116" s="382">
        <f t="shared" si="38"/>
        <v>0.6</v>
      </c>
      <c r="AH116" s="382">
        <f t="shared" si="39"/>
        <v>0.6</v>
      </c>
      <c r="AI116" s="176">
        <f t="shared" si="37"/>
        <v>3.5999999999999997E-4</v>
      </c>
      <c r="AJ116" s="176">
        <f t="shared" si="37"/>
        <v>1.2599999999999998E-3</v>
      </c>
      <c r="AK116" s="181"/>
      <c r="AL116" s="181"/>
      <c r="AM116" s="181"/>
      <c r="AO116" s="181">
        <f t="shared" si="47"/>
        <v>0</v>
      </c>
      <c r="AP116" s="181">
        <f t="shared" si="47"/>
        <v>0</v>
      </c>
      <c r="AQ116" s="181">
        <f t="shared" si="47"/>
        <v>0</v>
      </c>
      <c r="AR116" s="181">
        <f t="shared" si="47"/>
        <v>0</v>
      </c>
      <c r="AS116" s="181">
        <f t="shared" si="47"/>
        <v>0</v>
      </c>
      <c r="AT116" s="181">
        <f t="shared" si="47"/>
        <v>0</v>
      </c>
      <c r="BQ116" s="175"/>
      <c r="BR116" s="175"/>
      <c r="BS116" s="175"/>
      <c r="BT116" s="175"/>
      <c r="BU116" s="175"/>
      <c r="BV116" s="175"/>
      <c r="BW116" s="175"/>
      <c r="BX116" s="175"/>
    </row>
    <row r="117" spans="1:76" ht="11.25" customHeight="1" x14ac:dyDescent="0.2">
      <c r="A117" s="4">
        <f xml:space="preserve"> Basis!A117</f>
        <v>117</v>
      </c>
      <c r="C117" s="181">
        <f t="shared" si="40"/>
        <v>0</v>
      </c>
      <c r="D117" s="181">
        <f t="shared" si="40"/>
        <v>0</v>
      </c>
      <c r="G117" s="181">
        <f t="shared" si="41"/>
        <v>0</v>
      </c>
      <c r="H117" s="181">
        <f t="shared" si="41"/>
        <v>3.0999999999999999E-3</v>
      </c>
      <c r="J117" s="181">
        <f t="shared" si="42"/>
        <v>0</v>
      </c>
      <c r="K117" s="181">
        <f t="shared" si="42"/>
        <v>5.4999999999999997E-3</v>
      </c>
      <c r="M117" s="181">
        <f t="shared" si="43"/>
        <v>0</v>
      </c>
      <c r="N117" s="181">
        <f t="shared" si="43"/>
        <v>6.4999999999999997E-3</v>
      </c>
      <c r="P117" s="181">
        <f t="shared" si="43"/>
        <v>0</v>
      </c>
      <c r="Q117" s="181">
        <f t="shared" si="43"/>
        <v>2.0999999999999999E-3</v>
      </c>
      <c r="U117" s="181">
        <f t="shared" si="44"/>
        <v>0</v>
      </c>
      <c r="V117" s="181">
        <f t="shared" si="44"/>
        <v>1.6000000000000001E-3</v>
      </c>
      <c r="X117" s="181">
        <f t="shared" si="45"/>
        <v>5.9999999999999995E-4</v>
      </c>
      <c r="Y117" s="181">
        <f t="shared" si="45"/>
        <v>2.9999999999999997E-4</v>
      </c>
      <c r="AA117" s="181">
        <f t="shared" si="46"/>
        <v>5.0000000000000001E-4</v>
      </c>
      <c r="AB117" s="181">
        <f t="shared" si="46"/>
        <v>1.1000000000000001E-3</v>
      </c>
      <c r="AD117" s="181">
        <f t="shared" si="47"/>
        <v>5.9999999999999995E-4</v>
      </c>
      <c r="AE117" s="181">
        <f t="shared" si="47"/>
        <v>6.9999999999999999E-4</v>
      </c>
      <c r="AF117" s="181"/>
      <c r="AG117" s="382">
        <f t="shared" si="38"/>
        <v>0.6</v>
      </c>
      <c r="AH117" s="382">
        <f t="shared" si="39"/>
        <v>0.6</v>
      </c>
      <c r="AI117" s="176">
        <f t="shared" si="37"/>
        <v>3.5999999999999997E-4</v>
      </c>
      <c r="AJ117" s="176">
        <f t="shared" si="37"/>
        <v>1.2599999999999998E-3</v>
      </c>
      <c r="AK117" s="181"/>
      <c r="AL117" s="181"/>
      <c r="AM117" s="181"/>
      <c r="AO117" s="181">
        <f t="shared" si="47"/>
        <v>0</v>
      </c>
      <c r="AP117" s="181">
        <f t="shared" si="47"/>
        <v>0</v>
      </c>
      <c r="AQ117" s="181">
        <f t="shared" si="47"/>
        <v>0</v>
      </c>
      <c r="AR117" s="181">
        <f t="shared" si="47"/>
        <v>0</v>
      </c>
      <c r="AS117" s="181">
        <f t="shared" si="47"/>
        <v>0</v>
      </c>
      <c r="AT117" s="181">
        <f t="shared" si="47"/>
        <v>0</v>
      </c>
      <c r="BQ117" s="175"/>
      <c r="BR117" s="175"/>
      <c r="BS117" s="175"/>
      <c r="BT117" s="175"/>
      <c r="BU117" s="175"/>
      <c r="BV117" s="175"/>
      <c r="BW117" s="175"/>
      <c r="BX117" s="175"/>
    </row>
    <row r="118" spans="1:76" ht="11.25" customHeight="1" x14ac:dyDescent="0.2">
      <c r="A118" s="4">
        <f xml:space="preserve"> Basis!A118</f>
        <v>118</v>
      </c>
      <c r="C118" s="181">
        <f t="shared" si="40"/>
        <v>0</v>
      </c>
      <c r="D118" s="181">
        <f t="shared" si="40"/>
        <v>0</v>
      </c>
      <c r="G118" s="181">
        <f t="shared" si="41"/>
        <v>0</v>
      </c>
      <c r="H118" s="181">
        <f t="shared" si="41"/>
        <v>3.0999999999999999E-3</v>
      </c>
      <c r="J118" s="181">
        <f t="shared" si="42"/>
        <v>0</v>
      </c>
      <c r="K118" s="181">
        <f t="shared" si="42"/>
        <v>5.4999999999999997E-3</v>
      </c>
      <c r="M118" s="181">
        <f t="shared" si="43"/>
        <v>0</v>
      </c>
      <c r="N118" s="181">
        <f t="shared" si="43"/>
        <v>6.4999999999999997E-3</v>
      </c>
      <c r="P118" s="181">
        <f t="shared" si="43"/>
        <v>0</v>
      </c>
      <c r="Q118" s="181">
        <f t="shared" si="43"/>
        <v>2.0999999999999999E-3</v>
      </c>
      <c r="U118" s="181">
        <f t="shared" si="44"/>
        <v>0</v>
      </c>
      <c r="V118" s="181">
        <f t="shared" si="44"/>
        <v>1.6000000000000001E-3</v>
      </c>
      <c r="X118" s="181">
        <f t="shared" si="45"/>
        <v>5.9999999999999995E-4</v>
      </c>
      <c r="Y118" s="181">
        <f t="shared" si="45"/>
        <v>2.9999999999999997E-4</v>
      </c>
      <c r="AA118" s="181">
        <f t="shared" si="46"/>
        <v>5.0000000000000001E-4</v>
      </c>
      <c r="AB118" s="181">
        <f t="shared" si="46"/>
        <v>1.1999999999999999E-3</v>
      </c>
      <c r="AD118" s="181">
        <f t="shared" si="47"/>
        <v>5.9999999999999995E-4</v>
      </c>
      <c r="AE118" s="181">
        <f t="shared" si="47"/>
        <v>6.9999999999999999E-4</v>
      </c>
      <c r="AF118" s="181"/>
      <c r="AG118" s="382">
        <f t="shared" si="38"/>
        <v>0.6</v>
      </c>
      <c r="AH118" s="382">
        <f t="shared" si="39"/>
        <v>0.6</v>
      </c>
      <c r="AI118" s="176">
        <f t="shared" si="37"/>
        <v>3.5999999999999997E-4</v>
      </c>
      <c r="AJ118" s="176">
        <f t="shared" si="37"/>
        <v>1.2599999999999998E-3</v>
      </c>
      <c r="AK118" s="181"/>
      <c r="AL118" s="181"/>
      <c r="AM118" s="181"/>
      <c r="AO118" s="181">
        <f t="shared" si="47"/>
        <v>0</v>
      </c>
      <c r="AP118" s="181">
        <f t="shared" si="47"/>
        <v>0</v>
      </c>
      <c r="AQ118" s="181">
        <f t="shared" si="47"/>
        <v>0</v>
      </c>
      <c r="AR118" s="181">
        <f t="shared" si="47"/>
        <v>0</v>
      </c>
      <c r="AS118" s="181">
        <f t="shared" si="47"/>
        <v>0</v>
      </c>
      <c r="AT118" s="181">
        <f t="shared" si="47"/>
        <v>0</v>
      </c>
      <c r="BQ118" s="175"/>
      <c r="BR118" s="175"/>
      <c r="BS118" s="175"/>
      <c r="BT118" s="175"/>
      <c r="BU118" s="175"/>
      <c r="BV118" s="175"/>
      <c r="BW118" s="175"/>
      <c r="BX118" s="175"/>
    </row>
    <row r="119" spans="1:76" ht="11.25" customHeight="1" x14ac:dyDescent="0.2">
      <c r="A119" s="4">
        <f xml:space="preserve"> Basis!A119</f>
        <v>119</v>
      </c>
      <c r="C119" s="181">
        <f t="shared" si="40"/>
        <v>0</v>
      </c>
      <c r="D119" s="181">
        <f t="shared" si="40"/>
        <v>0</v>
      </c>
      <c r="G119" s="181">
        <f t="shared" si="41"/>
        <v>0</v>
      </c>
      <c r="H119" s="181">
        <f t="shared" si="41"/>
        <v>3.0999999999999999E-3</v>
      </c>
      <c r="J119" s="181">
        <f t="shared" si="42"/>
        <v>0</v>
      </c>
      <c r="K119" s="181">
        <f t="shared" si="42"/>
        <v>5.4000000000000003E-3</v>
      </c>
      <c r="M119" s="181">
        <f t="shared" si="43"/>
        <v>0</v>
      </c>
      <c r="N119" s="181">
        <f t="shared" si="43"/>
        <v>6.4999999999999997E-3</v>
      </c>
      <c r="P119" s="181">
        <f t="shared" si="43"/>
        <v>0</v>
      </c>
      <c r="Q119" s="181">
        <f t="shared" si="43"/>
        <v>2.0999999999999999E-3</v>
      </c>
      <c r="U119" s="181">
        <f t="shared" si="44"/>
        <v>0</v>
      </c>
      <c r="V119" s="181">
        <f t="shared" si="44"/>
        <v>1.6000000000000001E-3</v>
      </c>
      <c r="X119" s="181">
        <f t="shared" si="45"/>
        <v>5.9999999999999995E-4</v>
      </c>
      <c r="Y119" s="181">
        <f t="shared" si="45"/>
        <v>2.9999999999999997E-4</v>
      </c>
      <c r="AA119" s="181">
        <f t="shared" si="46"/>
        <v>5.0000000000000001E-4</v>
      </c>
      <c r="AB119" s="181">
        <f t="shared" si="46"/>
        <v>1.1999999999999999E-3</v>
      </c>
      <c r="AD119" s="181">
        <f t="shared" si="47"/>
        <v>5.9999999999999995E-4</v>
      </c>
      <c r="AE119" s="181">
        <f t="shared" si="47"/>
        <v>6.9999999999999999E-4</v>
      </c>
      <c r="AF119" s="181"/>
      <c r="AG119" s="382">
        <f t="shared" si="38"/>
        <v>0.6</v>
      </c>
      <c r="AH119" s="382">
        <f t="shared" si="39"/>
        <v>0.6</v>
      </c>
      <c r="AI119" s="176">
        <f t="shared" si="37"/>
        <v>3.5999999999999997E-4</v>
      </c>
      <c r="AJ119" s="176">
        <f t="shared" si="37"/>
        <v>1.2599999999999998E-3</v>
      </c>
      <c r="AK119" s="181"/>
      <c r="AL119" s="181"/>
      <c r="AM119" s="181"/>
      <c r="AO119" s="181">
        <f t="shared" si="47"/>
        <v>0</v>
      </c>
      <c r="AP119" s="181">
        <f t="shared" si="47"/>
        <v>0</v>
      </c>
      <c r="AQ119" s="181">
        <f t="shared" si="47"/>
        <v>0</v>
      </c>
      <c r="AR119" s="181">
        <f t="shared" si="47"/>
        <v>0</v>
      </c>
      <c r="AS119" s="181">
        <f t="shared" si="47"/>
        <v>0</v>
      </c>
      <c r="AT119" s="181">
        <f t="shared" si="47"/>
        <v>0</v>
      </c>
      <c r="BQ119" s="175"/>
      <c r="BR119" s="175"/>
      <c r="BS119" s="175"/>
      <c r="BT119" s="175"/>
      <c r="BU119" s="175"/>
      <c r="BV119" s="175"/>
      <c r="BW119" s="175"/>
      <c r="BX119" s="175"/>
    </row>
    <row r="120" spans="1:76" ht="11.25" customHeight="1" x14ac:dyDescent="0.2">
      <c r="A120" s="4">
        <f xml:space="preserve"> Basis!A120</f>
        <v>120</v>
      </c>
      <c r="C120" s="181">
        <f t="shared" si="40"/>
        <v>0</v>
      </c>
      <c r="D120" s="181">
        <f t="shared" si="40"/>
        <v>0</v>
      </c>
      <c r="G120" s="181">
        <f t="shared" si="41"/>
        <v>0</v>
      </c>
      <c r="H120" s="181">
        <f t="shared" si="41"/>
        <v>3.0999999999999999E-3</v>
      </c>
      <c r="J120" s="181">
        <f t="shared" si="42"/>
        <v>0</v>
      </c>
      <c r="K120" s="181">
        <f t="shared" si="42"/>
        <v>5.4000000000000003E-3</v>
      </c>
      <c r="M120" s="181">
        <f t="shared" si="43"/>
        <v>0</v>
      </c>
      <c r="N120" s="181">
        <f t="shared" si="43"/>
        <v>6.4999999999999997E-3</v>
      </c>
      <c r="P120" s="181">
        <f t="shared" si="43"/>
        <v>0</v>
      </c>
      <c r="Q120" s="181">
        <f t="shared" si="43"/>
        <v>2.0999999999999999E-3</v>
      </c>
      <c r="U120" s="181">
        <f t="shared" si="44"/>
        <v>0</v>
      </c>
      <c r="V120" s="181">
        <f t="shared" si="44"/>
        <v>1.6999999999999999E-3</v>
      </c>
      <c r="X120" s="181">
        <f t="shared" si="45"/>
        <v>5.9999999999999995E-4</v>
      </c>
      <c r="Y120" s="181">
        <f t="shared" si="45"/>
        <v>2.9999999999999997E-4</v>
      </c>
      <c r="AA120" s="181">
        <f t="shared" si="46"/>
        <v>5.0000000000000001E-4</v>
      </c>
      <c r="AB120" s="181">
        <f t="shared" si="46"/>
        <v>1.1999999999999999E-3</v>
      </c>
      <c r="AD120" s="181">
        <f t="shared" si="47"/>
        <v>5.9999999999999995E-4</v>
      </c>
      <c r="AE120" s="181">
        <f t="shared" si="47"/>
        <v>8.0000000000000004E-4</v>
      </c>
      <c r="AF120" s="181"/>
      <c r="AG120" s="382">
        <f t="shared" si="38"/>
        <v>0.6</v>
      </c>
      <c r="AH120" s="382">
        <f t="shared" si="39"/>
        <v>0.6</v>
      </c>
      <c r="AI120" s="176">
        <f t="shared" si="37"/>
        <v>3.5999999999999997E-4</v>
      </c>
      <c r="AJ120" s="176">
        <f t="shared" si="37"/>
        <v>1.32E-3</v>
      </c>
      <c r="AK120" s="181"/>
      <c r="AL120" s="181"/>
      <c r="AM120" s="181"/>
      <c r="AO120" s="181">
        <f t="shared" si="47"/>
        <v>0</v>
      </c>
      <c r="AP120" s="181">
        <f t="shared" si="47"/>
        <v>0</v>
      </c>
      <c r="AQ120" s="181">
        <f t="shared" si="47"/>
        <v>0</v>
      </c>
      <c r="AR120" s="181">
        <f t="shared" si="47"/>
        <v>0</v>
      </c>
      <c r="AS120" s="181">
        <f t="shared" si="47"/>
        <v>0</v>
      </c>
      <c r="AT120" s="181">
        <f t="shared" si="47"/>
        <v>0</v>
      </c>
      <c r="BQ120" s="175"/>
      <c r="BR120" s="175"/>
      <c r="BS120" s="175"/>
      <c r="BT120" s="175"/>
      <c r="BU120" s="175"/>
      <c r="BV120" s="175"/>
      <c r="BW120" s="175"/>
      <c r="BX120" s="175"/>
    </row>
    <row r="121" spans="1:76" ht="11.25" customHeight="1" x14ac:dyDescent="0.2">
      <c r="BQ121" s="175"/>
      <c r="BR121" s="175"/>
      <c r="BS121" s="175"/>
      <c r="BT121" s="175"/>
      <c r="BU121" s="175"/>
      <c r="BV121" s="175"/>
      <c r="BW121" s="175"/>
      <c r="BX121" s="175"/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3">
    <tabColor indexed="11"/>
  </sheetPr>
  <dimension ref="A1:GQ151"/>
  <sheetViews>
    <sheetView showGridLines="0" topLeftCell="FV73" workbookViewId="0">
      <selection activeCell="GG22" sqref="GG22"/>
    </sheetView>
  </sheetViews>
  <sheetFormatPr baseColWidth="10" defaultColWidth="8.77734375" defaultRowHeight="10.199999999999999" x14ac:dyDescent="0.2"/>
  <cols>
    <col min="1" max="106" width="8.77734375" style="1"/>
    <col min="107" max="173" width="8.77734375" style="251"/>
    <col min="174" max="174" width="8.77734375" style="1"/>
    <col min="175" max="16384" width="8.77734375" style="251"/>
  </cols>
  <sheetData>
    <row r="1" spans="1:199" s="237" customFormat="1" ht="11.25" customHeight="1" x14ac:dyDescent="0.2">
      <c r="A1" s="236"/>
      <c r="H1" s="576" t="str">
        <f xml:space="preserve"> 'WK2012'!EG3</f>
        <v>M mSML + M mSML + M mSML + 0,8 * M mSML</v>
      </c>
      <c r="I1" s="576" t="str">
        <f xml:space="preserve"> 'WK2012'!EH3</f>
        <v>F mSML + F mSML + F mSML + 0,8 * F mSML</v>
      </c>
      <c r="J1" s="576" t="str">
        <f xml:space="preserve"> 'WK2012'!EK3</f>
        <v>M vSML + M vSML + M vSML + 0,8 * M vSML</v>
      </c>
      <c r="K1" s="576" t="str">
        <f xml:space="preserve"> 'WK2012'!EL3</f>
        <v>F vSML + F vSML + F vSML + 0,8 * F vSML</v>
      </c>
      <c r="L1" s="576" t="str">
        <f xml:space="preserve"> 'WK2012'!EM3</f>
        <v>M vSML/glvert + M vSML/glvert + M vSML/glvert + 0,8 * M vSML/glvert</v>
      </c>
      <c r="M1" s="576" t="str">
        <f xml:space="preserve"> 'WK2012'!EN3</f>
        <v>F vSML/glvert + F vSML/glvert + F vSML/glvert + 0,8 * F vSML/glvert</v>
      </c>
      <c r="N1" s="576" t="str">
        <f xml:space="preserve"> 'WK2012'!EI3</f>
        <v>λ_x</v>
      </c>
      <c r="O1" s="236"/>
      <c r="P1" s="576" t="str">
        <f xml:space="preserve"> 'WK2012'!EU3</f>
        <v>M mSML + M mSML + M mSML + 0,7 * M mSML</v>
      </c>
      <c r="Q1" s="576" t="str">
        <f xml:space="preserve"> 'WK2012'!EV3</f>
        <v>F mSML + F mSML + F mSML + 0,7 * F mSML</v>
      </c>
      <c r="R1" s="576" t="str">
        <f xml:space="preserve"> 'WK2012'!EY3</f>
        <v>M vSML + M vSML + M vSML + 0,7 * M vSML</v>
      </c>
      <c r="S1" s="576" t="str">
        <f xml:space="preserve"> 'WK2012'!EZ3</f>
        <v>F vSML + F vSML + F vSML + 0,7 * F vSML</v>
      </c>
      <c r="T1" s="576" t="str">
        <f xml:space="preserve"> 'WK2012'!FA3</f>
        <v>M vSML/glvert + M vSML/glvert + M vSML/glvert + 0,7 * M vSML/glvert</v>
      </c>
      <c r="U1" s="576" t="str">
        <f xml:space="preserve"> 'WK2012'!FB3</f>
        <v>F vSML/glvert + F vSML/glvert + F vSML/glvert + 0,7 * F vSML/glvert</v>
      </c>
      <c r="V1" s="576" t="str">
        <f xml:space="preserve"> 'WK2012'!EW3</f>
        <v>λ_x</v>
      </c>
      <c r="W1" s="236"/>
      <c r="X1" s="576" t="str">
        <f xml:space="preserve"> 'WK2012'!FI3</f>
        <v>M mSML + M mSML + M mSML + 0,6 * M mSML</v>
      </c>
      <c r="Y1" s="576" t="str">
        <f xml:space="preserve"> 'WK2012'!FJ3</f>
        <v>F mSML + F mSML + F mSML + 0,6 * F mSML</v>
      </c>
      <c r="Z1" s="576" t="str">
        <f xml:space="preserve"> 'WK2012'!FM3</f>
        <v>M vSML + M vSML + M vSML + 0,6 * M vSML</v>
      </c>
      <c r="AA1" s="576" t="str">
        <f xml:space="preserve"> 'WK2012'!FN3</f>
        <v>F vSML + F vSML + F vSML + 0,6 * F vSML</v>
      </c>
      <c r="AB1" s="576" t="str">
        <f xml:space="preserve"> 'WK2012'!FO3</f>
        <v>M vSML/glvert + M vSML/glvert + M vSML/glvert + 0,6 * M vSML/glvert</v>
      </c>
      <c r="AC1" s="576" t="str">
        <f xml:space="preserve"> 'WK2012'!FP3</f>
        <v>F vSML/glvert + F vSML/glvert + F vSML/glvert + 0,6 * F vSML/glvert</v>
      </c>
      <c r="AD1" s="576" t="str">
        <f xml:space="preserve"> 'WK2012'!FK3</f>
        <v>λ_x</v>
      </c>
      <c r="AE1" s="236"/>
      <c r="AF1" s="576" t="str">
        <f xml:space="preserve"> 'WK2012'!FW3</f>
        <v>M mSML - M mSML / * 0,9</v>
      </c>
      <c r="AG1" s="576" t="str">
        <f xml:space="preserve"> 'WK2012'!FX3</f>
        <v>F mSML - F mSML / * 0,9</v>
      </c>
      <c r="AH1" s="576" t="str">
        <f xml:space="preserve"> 'WK2012'!GA3</f>
        <v>M vSML - M vSML / * 0,9</v>
      </c>
      <c r="AI1" s="576" t="str">
        <f xml:space="preserve"> 'WK2012'!GB3</f>
        <v>F vSML - F vSML / * 0,9</v>
      </c>
      <c r="AJ1" s="576" t="str">
        <f xml:space="preserve"> 'WK2012'!GC3</f>
        <v>M vSML/glvert - M vSML/glvert / * 0,9</v>
      </c>
      <c r="AK1" s="576" t="str">
        <f xml:space="preserve"> 'WK2012'!GD3</f>
        <v>F vSML/glvert - F vSML/glvert / * 0,9</v>
      </c>
      <c r="AL1" s="576" t="str">
        <f xml:space="preserve"> 'WK2012'!FY3</f>
        <v>λ_x</v>
      </c>
      <c r="AM1" s="236"/>
      <c r="AN1" s="576" t="str">
        <f xml:space="preserve"> 'WK2012'!GK3</f>
        <v>M mSML + 0,8 * M mSML</v>
      </c>
      <c r="AO1" s="576" t="str">
        <f xml:space="preserve"> 'WK2012'!GL3</f>
        <v>F mSML + 0,8 * F mSML</v>
      </c>
      <c r="AP1" s="576" t="str">
        <f xml:space="preserve"> 'WK2012'!GO3</f>
        <v>M vSML + 0,8 * M vSML</v>
      </c>
      <c r="AQ1" s="576" t="str">
        <f xml:space="preserve"> 'WK2012'!GP3</f>
        <v>F vSML + 0,8 * F vSML</v>
      </c>
      <c r="AR1" s="576" t="str">
        <f xml:space="preserve"> 'WK2012'!GQ3</f>
        <v>M vSML/glvert + 0,8 * M vSML/glvert</v>
      </c>
      <c r="AS1" s="576" t="str">
        <f xml:space="preserve"> 'WK2012'!GR3</f>
        <v>F vSML/glvert + 0,8 * F vSML/glvert</v>
      </c>
      <c r="AT1" s="576"/>
      <c r="AU1" s="236"/>
      <c r="AX1" s="576" t="str">
        <f xml:space="preserve"> 'WK2013'!EG3</f>
        <v>M mSML + M mSML + M mSML + 0,8 * M mSML</v>
      </c>
      <c r="AY1" s="576" t="str">
        <f xml:space="preserve"> 'WK2013'!EH3</f>
        <v>F mSML + F mSML + F mSML + 0,8 * F mSML</v>
      </c>
      <c r="AZ1" s="576" t="str">
        <f xml:space="preserve"> 'WK2013'!EK3</f>
        <v>M vSML + M vSML + M vSML + 0,8 * M vSML</v>
      </c>
      <c r="BA1" s="576" t="str">
        <f xml:space="preserve"> 'WK2013'!EL3</f>
        <v>F vSML + F vSML + F vSML + 0,8 * F vSML</v>
      </c>
      <c r="BB1" s="576" t="str">
        <f xml:space="preserve"> 'WK2013'!EM3</f>
        <v>M vSML/glvert + M vSML/glvert + M vSML/glvert + 0,8 * M vSML/glvert</v>
      </c>
      <c r="BC1" s="576" t="str">
        <f xml:space="preserve"> 'WK2013'!EN3</f>
        <v>F vSML/glvert + F vSML/glvert + F vSML/glvert + 0,8 * F vSML/glvert</v>
      </c>
      <c r="BD1" s="576" t="str">
        <f xml:space="preserve"> 'WK2013'!EI3</f>
        <v>λ_x</v>
      </c>
      <c r="BF1" s="576" t="str">
        <f xml:space="preserve"> 'WK2013'!EU3</f>
        <v>M mSML + M mSML + M mSML + 0,7 * M mSML</v>
      </c>
      <c r="BG1" s="576" t="str">
        <f xml:space="preserve"> 'WK2013'!EV3</f>
        <v>F mSML + F mSML + F mSML + 0,7 * F mSML</v>
      </c>
      <c r="BH1" s="576" t="str">
        <f xml:space="preserve"> 'WK2013'!EY3</f>
        <v>M vSML + M vSML + M vSML + 0,7 * M vSML</v>
      </c>
      <c r="BI1" s="576" t="str">
        <f xml:space="preserve"> 'WK2013'!EZ3</f>
        <v>F vSML + F vSML + F vSML + 0,7 * F vSML</v>
      </c>
      <c r="BJ1" s="576" t="str">
        <f xml:space="preserve"> 'WK2013'!FA3</f>
        <v>M vSML/glvert + M vSML/glvert + M vSML/glvert + 0,7 * M vSML/glvert</v>
      </c>
      <c r="BK1" s="576" t="str">
        <f xml:space="preserve"> 'WK2013'!FB3</f>
        <v>F vSML/glvert + F vSML/glvert + F vSML/glvert + 0,7 * F vSML/glvert</v>
      </c>
      <c r="BL1" s="576" t="str">
        <f xml:space="preserve"> 'WK2013'!EW3</f>
        <v>λ_x</v>
      </c>
      <c r="BN1" s="576" t="str">
        <f xml:space="preserve"> 'WK2013'!FI3</f>
        <v>M mSML + M mSML + M mSML + 0,6 * M mSML</v>
      </c>
      <c r="BO1" s="576" t="str">
        <f xml:space="preserve"> 'WK2013'!FJ3</f>
        <v>F mSML + F mSML + F mSML + 0,6 * F mSML</v>
      </c>
      <c r="BP1" s="576" t="str">
        <f xml:space="preserve"> 'WK2013'!FM3</f>
        <v>M vSML + M vSML + M vSML + 0,6 * M vSML</v>
      </c>
      <c r="BQ1" s="576" t="str">
        <f xml:space="preserve"> 'WK2013'!FN3</f>
        <v>F vSML + F vSML + F vSML + 0,6 * F vSML</v>
      </c>
      <c r="BR1" s="576" t="str">
        <f xml:space="preserve"> 'WK2013'!FO3</f>
        <v>M vSML/glvert + M vSML/glvert + M vSML/glvert + 0,6 * M vSML/glvert</v>
      </c>
      <c r="BS1" s="576" t="str">
        <f xml:space="preserve"> 'WK2013'!FP3</f>
        <v>F vSML/glvert + F vSML/glvert + F vSML/glvert + 0,6 * F vSML/glvert</v>
      </c>
      <c r="BT1" s="576" t="str">
        <f xml:space="preserve"> 'WK2013'!FK3</f>
        <v>λ_x</v>
      </c>
      <c r="BV1" s="576" t="str">
        <f xml:space="preserve"> 'WK2013'!FW3</f>
        <v>M mSML + 0,8 * M mSML</v>
      </c>
      <c r="BW1" s="576" t="str">
        <f xml:space="preserve"> 'WK2013'!FX3</f>
        <v>F mSML + 0,8 * F mSML</v>
      </c>
      <c r="BX1" s="576" t="str">
        <f xml:space="preserve"> 'WK2013'!GA3</f>
        <v>M vSML + 0,8 * M vSML</v>
      </c>
      <c r="BY1" s="576" t="str">
        <f xml:space="preserve"> 'WK2013'!GB3</f>
        <v>F vSML + 0,8 * F vSML</v>
      </c>
      <c r="BZ1" s="576" t="str">
        <f xml:space="preserve"> 'WK2013'!GC3</f>
        <v>M vSML/glvert + 0,8 * M vSML/glvert</v>
      </c>
      <c r="CA1" s="576" t="str">
        <f xml:space="preserve"> 'WK2013'!GD3</f>
        <v>F vSML/glvert + 0,8 * F vSML/glvert</v>
      </c>
      <c r="CB1" s="576" t="str">
        <f xml:space="preserve"> 'WK2013'!FY3</f>
        <v>λ_x</v>
      </c>
      <c r="CD1" s="576" t="str">
        <f xml:space="preserve"> 'WK2013'!GK3</f>
        <v>M mSML - M mSML / * 0,75</v>
      </c>
      <c r="CE1" s="576" t="str">
        <f xml:space="preserve"> 'WK2013'!GL3</f>
        <v>F mSML - F mSML / * 0,75</v>
      </c>
      <c r="CF1" s="576" t="str">
        <f xml:space="preserve"> 'WK2013'!GO3</f>
        <v>M vSML - M vSML / * 0,75</v>
      </c>
      <c r="CG1" s="576" t="str">
        <f xml:space="preserve"> 'WK2013'!GP3</f>
        <v>F vSML - F vSML / * 0,75</v>
      </c>
      <c r="CH1" s="576" t="str">
        <f xml:space="preserve"> 'WK2013'!GQ3</f>
        <v>M vSML/glvert - M vSML/glvert / * 0,75</v>
      </c>
      <c r="CI1" s="576" t="str">
        <f xml:space="preserve"> 'WK2013'!GR3</f>
        <v>F vSML/glvert - F vSML/glvert / * 0,75</v>
      </c>
      <c r="CJ1" s="576" t="str">
        <f xml:space="preserve"> 'WK2013'!GM3</f>
        <v>λ_x</v>
      </c>
      <c r="CN1" s="576" t="str">
        <f xml:space="preserve"> 'WK2014'!EG3</f>
        <v>M mSML + M mSML + M mSML + 0,8 * M mSML</v>
      </c>
      <c r="CO1" s="576" t="str">
        <f xml:space="preserve"> 'WK2014'!EH3</f>
        <v>F mSML + F mSML + F mSML + 0,8 * F mSML</v>
      </c>
      <c r="CP1" s="576" t="str">
        <f xml:space="preserve"> 'WK2014'!EK3</f>
        <v>M vSML + M vSML + M vSML + 0,8 * M vSML</v>
      </c>
      <c r="CQ1" s="576" t="str">
        <f xml:space="preserve"> 'WK2014'!EL3</f>
        <v>F vSML + F vSML + F vSML + 0,8 * F vSML</v>
      </c>
      <c r="CR1" s="576" t="str">
        <f xml:space="preserve"> 'WK2014'!EM3</f>
        <v>M vSML/glvert + M vSML/glvert + M vSML/glvert + 0,8 * M vSML/glvert</v>
      </c>
      <c r="CS1" s="576" t="str">
        <f xml:space="preserve"> 'WK2014'!EN3</f>
        <v>F vSML/glvert + F vSML/glvert + F vSML/glvert + 0,8 * F vSML/glvert</v>
      </c>
      <c r="CT1" s="576" t="str">
        <f xml:space="preserve"> 'WK2014'!EI3</f>
        <v>λ_x</v>
      </c>
      <c r="CU1" s="236"/>
      <c r="CV1" s="576" t="str">
        <f xml:space="preserve"> 'WK2014'!EU3</f>
        <v>M mSML + M mSML + M mSML + 0,7 * M mSML</v>
      </c>
      <c r="CW1" s="576" t="str">
        <f xml:space="preserve"> 'WK2014'!EV3</f>
        <v>F mSML + F mSML + F mSML + 0,7 * F mSML</v>
      </c>
      <c r="CX1" s="576" t="str">
        <f xml:space="preserve"> 'WK2014'!EY3</f>
        <v>M vSML + M vSML + M vSML + 0,7 * M vSML</v>
      </c>
      <c r="CY1" s="576" t="str">
        <f xml:space="preserve"> 'WK2014'!EZ3</f>
        <v>F vSML + F vSML + F vSML + 0,7 * F vSML</v>
      </c>
      <c r="CZ1" s="576" t="str">
        <f xml:space="preserve"> 'WK2014'!FA3</f>
        <v>M vSML/glvert + M vSML/glvert + M vSML/glvert + 0,7 * M vSML/glvert</v>
      </c>
      <c r="DA1" s="576" t="str">
        <f xml:space="preserve"> 'WK2014'!FB3</f>
        <v>F vSML/glvert + F vSML/glvert + F vSML/glvert + 0,7 * F vSML/glvert</v>
      </c>
      <c r="DB1" s="576" t="str">
        <f xml:space="preserve"> 'WK2014'!EW3</f>
        <v>λ_x</v>
      </c>
      <c r="DC1" s="236"/>
      <c r="DD1" s="576" t="str">
        <f xml:space="preserve"> 'WK2014'!FI3</f>
        <v>M mSML + M mSML + M mSML + 0,6 * M mSML</v>
      </c>
      <c r="DE1" s="576" t="str">
        <f xml:space="preserve"> 'WK2014'!FJ3</f>
        <v>F mSML + F mSML + F mSML + 0,6 * F mSML</v>
      </c>
      <c r="DF1" s="576" t="str">
        <f xml:space="preserve"> 'WK2014'!FM3</f>
        <v>M vSML + M vSML + M vSML + 0,6 * M vSML</v>
      </c>
      <c r="DG1" s="576" t="str">
        <f xml:space="preserve"> 'WK2014'!FN3</f>
        <v>F vSML + F vSML + F vSML + 0,6 * F vSML</v>
      </c>
      <c r="DH1" s="576" t="str">
        <f xml:space="preserve"> 'WK2014'!FO3</f>
        <v>M vSML/glvert + M vSML/glvert + M vSML/glvert + 0,6 * M vSML/glvert</v>
      </c>
      <c r="DI1" s="576" t="str">
        <f xml:space="preserve"> 'WK2014'!FP3</f>
        <v>F vSML/glvert + F vSML/glvert + F vSML/glvert + 0,6 * F vSML/glvert</v>
      </c>
      <c r="DJ1" s="576" t="str">
        <f xml:space="preserve"> 'WK2014'!FK3</f>
        <v>λ_x</v>
      </c>
      <c r="DK1" s="236"/>
      <c r="DL1" s="576" t="str">
        <f xml:space="preserve"> 'WK2014'!FW3</f>
        <v>M mSML + 0,8 * M mSML</v>
      </c>
      <c r="DM1" s="576" t="str">
        <f xml:space="preserve"> 'WK2014'!FX3</f>
        <v>F mSML + 0,8 * F mSML</v>
      </c>
      <c r="DN1" s="576" t="str">
        <f xml:space="preserve"> 'WK2014'!GA3</f>
        <v>M vSML + 0,8 * M vSML</v>
      </c>
      <c r="DO1" s="576" t="str">
        <f xml:space="preserve"> 'WK2014'!GB3</f>
        <v>F vSML + 0,8 * F vSML</v>
      </c>
      <c r="DP1" s="576" t="str">
        <f xml:space="preserve"> 'WK2014'!GC3</f>
        <v>M vSML/glvert + 0,8 * M vSML/glvert</v>
      </c>
      <c r="DQ1" s="576" t="str">
        <f xml:space="preserve"> 'WK2014'!GD3</f>
        <v>F vSML/glvert + 0,8 * F vSML/glvert</v>
      </c>
      <c r="DR1" s="576" t="str">
        <f xml:space="preserve"> 'WK2014'!FY3</f>
        <v>λ_x</v>
      </c>
      <c r="DS1" s="236"/>
      <c r="DT1" s="576" t="str">
        <f xml:space="preserve"> 'WK2014'!GK3</f>
        <v>M mSML - M mSML / * 0,75</v>
      </c>
      <c r="DU1" s="576" t="str">
        <f xml:space="preserve"> 'WK2014'!GL3</f>
        <v>F mSML - F mSML / * 0,75</v>
      </c>
      <c r="DV1" s="576" t="str">
        <f xml:space="preserve"> 'WK2014'!GO3</f>
        <v>M vSML - M vSML / * 0,75</v>
      </c>
      <c r="DW1" s="576" t="str">
        <f xml:space="preserve"> 'WK2014'!GP3</f>
        <v>F vSML - F vSML / * 0,75</v>
      </c>
      <c r="DX1" s="576" t="str">
        <f xml:space="preserve"> 'WK2014'!GQ3</f>
        <v>M vSML/glvert - M vSML/glvert / * 0,75</v>
      </c>
      <c r="DY1" s="576" t="str">
        <f xml:space="preserve"> 'WK2014'!GR3</f>
        <v>F vSML/glvert - F vSML/glvert / * 0,75</v>
      </c>
      <c r="DZ1" s="576" t="str">
        <f xml:space="preserve"> 'WK2014'!GM3</f>
        <v>λ_x</v>
      </c>
      <c r="EA1" s="238"/>
      <c r="EB1" s="238"/>
      <c r="EC1" s="238"/>
      <c r="ED1" s="576" t="str">
        <f xml:space="preserve"> 'WK2015'!EG3</f>
        <v>M mSML + M mSML + M mSML + 0,8 * M mSML</v>
      </c>
      <c r="EE1" s="576" t="str">
        <f xml:space="preserve"> 'WK2015'!EH3</f>
        <v>F mSML + F mSML + F mSML + 0,8 * F mSML</v>
      </c>
      <c r="EF1" s="576" t="str">
        <f xml:space="preserve"> 'WK2015'!EK3</f>
        <v>M vSML + M vSML + M vSML + 0,8 * M vSML</v>
      </c>
      <c r="EG1" s="576" t="str">
        <f xml:space="preserve"> 'WK2015'!EL3</f>
        <v>F vSML + F vSML + F vSML + 0,8 * F vSML</v>
      </c>
      <c r="EH1" s="576" t="str">
        <f xml:space="preserve"> 'WK2015'!EM3</f>
        <v>M vSML/glvert + M vSML/glvert + M vSML/glvert + 0,8 * M vSML/glvert</v>
      </c>
      <c r="EI1" s="576" t="str">
        <f xml:space="preserve"> 'WK2015'!EN3</f>
        <v>F vSML/glvert + F vSML/glvert + F vSML/glvert + 0,8 * F vSML/glvert</v>
      </c>
      <c r="EJ1" s="576" t="str">
        <f xml:space="preserve"> 'WK2015'!EI3</f>
        <v>λ_x</v>
      </c>
      <c r="EK1" s="1"/>
      <c r="EL1" s="576" t="str">
        <f xml:space="preserve"> 'WK2015'!EU3</f>
        <v>M mSML + M mSML + M mSML + 0,7 * M mSML</v>
      </c>
      <c r="EM1" s="576" t="str">
        <f xml:space="preserve"> 'WK2015'!EV3</f>
        <v>F mSML + F mSML + F mSML + 0,7 * F mSML</v>
      </c>
      <c r="EN1" s="576" t="str">
        <f xml:space="preserve"> 'WK2015'!EY3</f>
        <v>M vSML + M vSML + M vSML + 0,7 * M vSML</v>
      </c>
      <c r="EO1" s="576" t="str">
        <f xml:space="preserve"> 'WK2015'!EZ3</f>
        <v>F vSML + F vSML + F vSML + 0,7 * F vSML</v>
      </c>
      <c r="EP1" s="576" t="str">
        <f xml:space="preserve"> 'WK2015'!FA3</f>
        <v>M vSML/glvert + M vSML/glvert + M vSML/glvert + 0,7 * M vSML/glvert</v>
      </c>
      <c r="EQ1" s="576" t="str">
        <f xml:space="preserve"> 'WK2015'!FB3</f>
        <v>F vSML/glvert + F vSML/glvert + F vSML/glvert + 0,7 * F vSML/glvert</v>
      </c>
      <c r="ER1" s="576" t="str">
        <f xml:space="preserve"> 'WK2015'!EW3</f>
        <v>λ_x</v>
      </c>
      <c r="ES1" s="1"/>
      <c r="ET1" s="576" t="str">
        <f xml:space="preserve"> 'WK2015'!FI3</f>
        <v>M mSML + M mSML + M mSML + 0,6 * M mSML</v>
      </c>
      <c r="EU1" s="576" t="str">
        <f xml:space="preserve"> 'WK2015'!FJ3</f>
        <v>F mSML + F mSML + F mSML + 0,6 * F mSML</v>
      </c>
      <c r="EV1" s="576" t="str">
        <f xml:space="preserve"> 'WK2015'!FM3</f>
        <v>M vSML + M vSML + M vSML + 0,6 * M vSML</v>
      </c>
      <c r="EW1" s="576" t="str">
        <f xml:space="preserve"> 'WK2015'!FN3</f>
        <v>F vSML + F vSML + F vSML + 0,6 * F vSML</v>
      </c>
      <c r="EX1" s="576" t="str">
        <f xml:space="preserve"> 'WK2015'!FO3</f>
        <v>M vSML/glvert + M vSML/glvert + M vSML/glvert + 0,6 * M vSML/glvert</v>
      </c>
      <c r="EY1" s="576" t="str">
        <f xml:space="preserve"> 'WK2015'!FP3</f>
        <v>F vSML/glvert + F vSML/glvert + F vSML/glvert + 0,6 * F vSML/glvert</v>
      </c>
      <c r="EZ1" s="576" t="str">
        <f xml:space="preserve"> 'WK2015'!FK3</f>
        <v>λ_x</v>
      </c>
      <c r="FA1" s="1"/>
      <c r="FB1" s="576" t="str">
        <f xml:space="preserve"> 'WK2015'!FW3</f>
        <v>M mSML + 0,8 * M mSML</v>
      </c>
      <c r="FC1" s="576" t="str">
        <f xml:space="preserve"> 'WK2015'!FX3</f>
        <v>F mSML + 0,8 * F mSML</v>
      </c>
      <c r="FD1" s="576" t="str">
        <f xml:space="preserve"> 'WK2015'!GA3</f>
        <v>M vSML + 0,8 * M vSML</v>
      </c>
      <c r="FE1" s="576" t="str">
        <f xml:space="preserve"> 'WK2015'!GB3</f>
        <v>F vSML + 0,8 * F vSML</v>
      </c>
      <c r="FF1" s="576" t="str">
        <f xml:space="preserve"> 'WK2015'!GC3</f>
        <v>M vSML/glvert + 0,8 * M vSML/glvert</v>
      </c>
      <c r="FG1" s="576" t="str">
        <f xml:space="preserve"> 'WK2015'!GD3</f>
        <v>F vSML/glvert + 0,8 * F vSML/glvert</v>
      </c>
      <c r="FH1" s="576" t="str">
        <f xml:space="preserve"> 'WK2015'!FY3</f>
        <v>λ_x</v>
      </c>
      <c r="FI1" s="1"/>
      <c r="FJ1" s="576" t="str">
        <f xml:space="preserve"> 'WK2015'!GK3</f>
        <v>M mSML - M mSML / * 0,75</v>
      </c>
      <c r="FK1" s="576" t="str">
        <f xml:space="preserve"> 'WK2015'!GL3</f>
        <v>F mSML - F mSML / * 0,75</v>
      </c>
      <c r="FL1" s="576" t="str">
        <f xml:space="preserve"> 'WK2015'!GO3</f>
        <v>M vSML - M vSML / * 0,75</v>
      </c>
      <c r="FM1" s="576" t="str">
        <f xml:space="preserve"> 'WK2015'!GP3</f>
        <v>F vSML - F vSML / * 0,75</v>
      </c>
      <c r="FN1" s="576" t="str">
        <f xml:space="preserve"> 'WK2015'!GQ3</f>
        <v>M vSML/glvert - M vSML/glvert / * 0,75</v>
      </c>
      <c r="FO1" s="576" t="str">
        <f xml:space="preserve"> 'WK2015'!GR3</f>
        <v>F vSML/glvert - F vSML/glvert / * 0,75</v>
      </c>
      <c r="FP1" s="576" t="str">
        <f xml:space="preserve"> 'WK2015'!GM3</f>
        <v>λ_x</v>
      </c>
      <c r="FQ1" s="251"/>
      <c r="FT1" s="251"/>
      <c r="FU1" s="251"/>
      <c r="GO1" s="296">
        <v>0.1</v>
      </c>
    </row>
    <row r="2" spans="1:199" s="237" customFormat="1" ht="11.25" customHeight="1" x14ac:dyDescent="0.25">
      <c r="A2" s="236"/>
      <c r="H2" s="576"/>
      <c r="I2" s="576"/>
      <c r="J2" s="576"/>
      <c r="K2" s="576"/>
      <c r="L2" s="576"/>
      <c r="M2" s="576"/>
      <c r="N2" s="576"/>
      <c r="O2" s="236"/>
      <c r="P2" s="576"/>
      <c r="Q2" s="576"/>
      <c r="R2" s="576"/>
      <c r="S2" s="576"/>
      <c r="T2" s="576"/>
      <c r="U2" s="576"/>
      <c r="V2" s="576"/>
      <c r="W2" s="236"/>
      <c r="X2" s="576"/>
      <c r="Y2" s="576"/>
      <c r="Z2" s="576"/>
      <c r="AA2" s="576"/>
      <c r="AB2" s="576"/>
      <c r="AC2" s="576"/>
      <c r="AD2" s="576"/>
      <c r="AE2" s="236"/>
      <c r="AF2" s="576"/>
      <c r="AG2" s="576"/>
      <c r="AH2" s="576"/>
      <c r="AI2" s="576"/>
      <c r="AJ2" s="576"/>
      <c r="AK2" s="576"/>
      <c r="AL2" s="576"/>
      <c r="AM2" s="236"/>
      <c r="AN2" s="576"/>
      <c r="AO2" s="576"/>
      <c r="AP2" s="576"/>
      <c r="AQ2" s="576"/>
      <c r="AR2" s="576"/>
      <c r="AS2" s="576"/>
      <c r="AT2" s="576"/>
      <c r="AU2" s="236"/>
      <c r="AX2" s="576"/>
      <c r="AY2" s="576"/>
      <c r="AZ2" s="576"/>
      <c r="BA2" s="576"/>
      <c r="BB2" s="576"/>
      <c r="BC2" s="576"/>
      <c r="BD2" s="576"/>
      <c r="BF2" s="576"/>
      <c r="BG2" s="576"/>
      <c r="BH2" s="576"/>
      <c r="BI2" s="576"/>
      <c r="BJ2" s="576"/>
      <c r="BK2" s="576"/>
      <c r="BL2" s="576"/>
      <c r="BN2" s="576"/>
      <c r="BO2" s="576"/>
      <c r="BP2" s="576"/>
      <c r="BQ2" s="576"/>
      <c r="BR2" s="576"/>
      <c r="BS2" s="576"/>
      <c r="BT2" s="576"/>
      <c r="BV2" s="576"/>
      <c r="BW2" s="576"/>
      <c r="BX2" s="576"/>
      <c r="BY2" s="576"/>
      <c r="BZ2" s="576"/>
      <c r="CA2" s="576"/>
      <c r="CB2" s="576"/>
      <c r="CD2" s="576"/>
      <c r="CE2" s="576"/>
      <c r="CF2" s="576"/>
      <c r="CG2" s="576"/>
      <c r="CH2" s="576"/>
      <c r="CI2" s="576"/>
      <c r="CJ2" s="576"/>
      <c r="CN2" s="576"/>
      <c r="CO2" s="576"/>
      <c r="CP2" s="576"/>
      <c r="CQ2" s="576"/>
      <c r="CR2" s="576"/>
      <c r="CS2" s="576"/>
      <c r="CT2" s="576"/>
      <c r="CV2" s="576"/>
      <c r="CW2" s="576"/>
      <c r="CX2" s="576"/>
      <c r="CY2" s="576"/>
      <c r="CZ2" s="576"/>
      <c r="DA2" s="576"/>
      <c r="DB2" s="576"/>
      <c r="DC2" s="236"/>
      <c r="DD2" s="576"/>
      <c r="DE2" s="576"/>
      <c r="DF2" s="576"/>
      <c r="DG2" s="576"/>
      <c r="DH2" s="576"/>
      <c r="DI2" s="576"/>
      <c r="DJ2" s="576"/>
      <c r="DK2" s="236"/>
      <c r="DL2" s="576"/>
      <c r="DM2" s="576"/>
      <c r="DN2" s="576"/>
      <c r="DO2" s="576"/>
      <c r="DP2" s="576"/>
      <c r="DQ2" s="576"/>
      <c r="DR2" s="576"/>
      <c r="DT2" s="576"/>
      <c r="DU2" s="576"/>
      <c r="DV2" s="576"/>
      <c r="DW2" s="576"/>
      <c r="DX2" s="576"/>
      <c r="DY2" s="576"/>
      <c r="DZ2" s="576"/>
      <c r="ED2" s="576"/>
      <c r="EE2" s="576"/>
      <c r="EF2" s="576"/>
      <c r="EG2" s="576"/>
      <c r="EH2" s="576"/>
      <c r="EI2" s="576"/>
      <c r="EJ2" s="576"/>
      <c r="EL2" s="576"/>
      <c r="EM2" s="576"/>
      <c r="EN2" s="576"/>
      <c r="EO2" s="576"/>
      <c r="EP2" s="576"/>
      <c r="EQ2" s="576"/>
      <c r="ER2" s="576"/>
      <c r="ET2" s="576"/>
      <c r="EU2" s="576"/>
      <c r="EV2" s="576"/>
      <c r="EW2" s="576"/>
      <c r="EX2" s="576"/>
      <c r="EY2" s="576"/>
      <c r="EZ2" s="576"/>
      <c r="FB2" s="576"/>
      <c r="FC2" s="576"/>
      <c r="FD2" s="576"/>
      <c r="FE2" s="576"/>
      <c r="FF2" s="576"/>
      <c r="FG2" s="576"/>
      <c r="FH2" s="576"/>
      <c r="FJ2" s="576"/>
      <c r="FK2" s="576"/>
      <c r="FL2" s="576"/>
      <c r="FM2" s="576"/>
      <c r="FN2" s="576"/>
      <c r="FO2" s="576"/>
      <c r="FP2" s="576"/>
      <c r="GO2" s="296">
        <v>0.9</v>
      </c>
    </row>
    <row r="3" spans="1:199" s="237" customFormat="1" ht="11.25" customHeight="1" x14ac:dyDescent="0.25">
      <c r="A3" s="236"/>
      <c r="H3" s="576"/>
      <c r="I3" s="576"/>
      <c r="J3" s="576"/>
      <c r="K3" s="576"/>
      <c r="L3" s="576"/>
      <c r="M3" s="576"/>
      <c r="N3" s="576"/>
      <c r="O3" s="236"/>
      <c r="P3" s="576"/>
      <c r="Q3" s="576"/>
      <c r="R3" s="576"/>
      <c r="S3" s="576"/>
      <c r="T3" s="576"/>
      <c r="U3" s="576"/>
      <c r="V3" s="576"/>
      <c r="W3" s="236"/>
      <c r="X3" s="576"/>
      <c r="Y3" s="576"/>
      <c r="Z3" s="576"/>
      <c r="AA3" s="576"/>
      <c r="AB3" s="576"/>
      <c r="AC3" s="576"/>
      <c r="AD3" s="576"/>
      <c r="AE3" s="236"/>
      <c r="AF3" s="576"/>
      <c r="AG3" s="576"/>
      <c r="AH3" s="576"/>
      <c r="AI3" s="576"/>
      <c r="AJ3" s="576"/>
      <c r="AK3" s="576"/>
      <c r="AL3" s="576"/>
      <c r="AM3" s="236"/>
      <c r="AN3" s="576"/>
      <c r="AO3" s="576"/>
      <c r="AP3" s="576"/>
      <c r="AQ3" s="576"/>
      <c r="AR3" s="576"/>
      <c r="AS3" s="576"/>
      <c r="AT3" s="576"/>
      <c r="AU3" s="236"/>
      <c r="AX3" s="576"/>
      <c r="AY3" s="576"/>
      <c r="AZ3" s="576"/>
      <c r="BA3" s="576"/>
      <c r="BB3" s="576"/>
      <c r="BC3" s="576"/>
      <c r="BD3" s="576"/>
      <c r="BF3" s="576"/>
      <c r="BG3" s="576"/>
      <c r="BH3" s="576"/>
      <c r="BI3" s="576"/>
      <c r="BJ3" s="576"/>
      <c r="BK3" s="576"/>
      <c r="BL3" s="576"/>
      <c r="BN3" s="576"/>
      <c r="BO3" s="576"/>
      <c r="BP3" s="576"/>
      <c r="BQ3" s="576"/>
      <c r="BR3" s="576"/>
      <c r="BS3" s="576"/>
      <c r="BT3" s="576"/>
      <c r="BV3" s="576"/>
      <c r="BW3" s="576"/>
      <c r="BX3" s="576"/>
      <c r="BY3" s="576"/>
      <c r="BZ3" s="576"/>
      <c r="CA3" s="576"/>
      <c r="CB3" s="576"/>
      <c r="CD3" s="576"/>
      <c r="CE3" s="576"/>
      <c r="CF3" s="576"/>
      <c r="CG3" s="576"/>
      <c r="CH3" s="576"/>
      <c r="CI3" s="576"/>
      <c r="CJ3" s="576"/>
      <c r="CN3" s="576"/>
      <c r="CO3" s="576"/>
      <c r="CP3" s="576"/>
      <c r="CQ3" s="576"/>
      <c r="CR3" s="576"/>
      <c r="CS3" s="576"/>
      <c r="CT3" s="576"/>
      <c r="CV3" s="576"/>
      <c r="CW3" s="576"/>
      <c r="CX3" s="576"/>
      <c r="CY3" s="576"/>
      <c r="CZ3" s="576"/>
      <c r="DA3" s="576"/>
      <c r="DB3" s="576"/>
      <c r="DC3" s="236"/>
      <c r="DD3" s="576"/>
      <c r="DE3" s="576"/>
      <c r="DF3" s="576"/>
      <c r="DG3" s="576"/>
      <c r="DH3" s="576"/>
      <c r="DI3" s="576"/>
      <c r="DJ3" s="576"/>
      <c r="DK3" s="236"/>
      <c r="DL3" s="576"/>
      <c r="DM3" s="576"/>
      <c r="DN3" s="576"/>
      <c r="DO3" s="576"/>
      <c r="DP3" s="576"/>
      <c r="DQ3" s="576"/>
      <c r="DR3" s="576"/>
      <c r="DT3" s="576"/>
      <c r="DU3" s="576"/>
      <c r="DV3" s="576"/>
      <c r="DW3" s="576"/>
      <c r="DX3" s="576"/>
      <c r="DY3" s="576"/>
      <c r="DZ3" s="576"/>
      <c r="ED3" s="576"/>
      <c r="EE3" s="576"/>
      <c r="EF3" s="576"/>
      <c r="EG3" s="576"/>
      <c r="EH3" s="576"/>
      <c r="EI3" s="576"/>
      <c r="EJ3" s="576"/>
      <c r="EL3" s="576"/>
      <c r="EM3" s="576"/>
      <c r="EN3" s="576"/>
      <c r="EO3" s="576"/>
      <c r="EP3" s="576"/>
      <c r="EQ3" s="576"/>
      <c r="ER3" s="576"/>
      <c r="ET3" s="576"/>
      <c r="EU3" s="576"/>
      <c r="EV3" s="576"/>
      <c r="EW3" s="576"/>
      <c r="EX3" s="576"/>
      <c r="EY3" s="576"/>
      <c r="EZ3" s="576"/>
      <c r="FB3" s="576"/>
      <c r="FC3" s="576"/>
      <c r="FD3" s="576"/>
      <c r="FE3" s="576"/>
      <c r="FF3" s="576"/>
      <c r="FG3" s="576"/>
      <c r="FH3" s="576"/>
      <c r="FJ3" s="576"/>
      <c r="FK3" s="576"/>
      <c r="FL3" s="576"/>
      <c r="FM3" s="576"/>
      <c r="FN3" s="576"/>
      <c r="FO3" s="576"/>
      <c r="FP3" s="576"/>
    </row>
    <row r="4" spans="1:199" s="237" customFormat="1" ht="11.25" customHeight="1" x14ac:dyDescent="0.25">
      <c r="A4" s="236"/>
      <c r="H4" s="577"/>
      <c r="I4" s="577"/>
      <c r="J4" s="577"/>
      <c r="K4" s="577"/>
      <c r="L4" s="577"/>
      <c r="M4" s="577"/>
      <c r="N4" s="577"/>
      <c r="O4" s="236"/>
      <c r="P4" s="577"/>
      <c r="Q4" s="577"/>
      <c r="R4" s="577"/>
      <c r="S4" s="577"/>
      <c r="T4" s="577"/>
      <c r="U4" s="577"/>
      <c r="V4" s="577"/>
      <c r="W4" s="236"/>
      <c r="X4" s="577"/>
      <c r="Y4" s="577"/>
      <c r="Z4" s="577"/>
      <c r="AA4" s="577"/>
      <c r="AB4" s="577"/>
      <c r="AC4" s="577"/>
      <c r="AD4" s="577"/>
      <c r="AE4" s="236"/>
      <c r="AF4" s="577"/>
      <c r="AG4" s="577"/>
      <c r="AH4" s="577"/>
      <c r="AI4" s="577"/>
      <c r="AJ4" s="577"/>
      <c r="AK4" s="577"/>
      <c r="AL4" s="577"/>
      <c r="AM4" s="236"/>
      <c r="AN4" s="577"/>
      <c r="AO4" s="577"/>
      <c r="AP4" s="577"/>
      <c r="AQ4" s="577"/>
      <c r="AR4" s="577"/>
      <c r="AS4" s="577"/>
      <c r="AT4" s="577"/>
      <c r="AU4" s="236"/>
      <c r="AX4" s="577"/>
      <c r="AY4" s="577"/>
      <c r="AZ4" s="577"/>
      <c r="BA4" s="577"/>
      <c r="BB4" s="577"/>
      <c r="BC4" s="577"/>
      <c r="BD4" s="577"/>
      <c r="BF4" s="577"/>
      <c r="BG4" s="577"/>
      <c r="BH4" s="577"/>
      <c r="BI4" s="577"/>
      <c r="BJ4" s="577"/>
      <c r="BK4" s="577"/>
      <c r="BL4" s="577"/>
      <c r="BN4" s="577"/>
      <c r="BO4" s="577"/>
      <c r="BP4" s="577"/>
      <c r="BQ4" s="577"/>
      <c r="BR4" s="577"/>
      <c r="BS4" s="577"/>
      <c r="BT4" s="577"/>
      <c r="BV4" s="577"/>
      <c r="BW4" s="577"/>
      <c r="BX4" s="577"/>
      <c r="BY4" s="577"/>
      <c r="BZ4" s="577"/>
      <c r="CA4" s="577"/>
      <c r="CB4" s="577"/>
      <c r="CD4" s="577"/>
      <c r="CE4" s="577"/>
      <c r="CF4" s="577"/>
      <c r="CG4" s="577"/>
      <c r="CH4" s="577"/>
      <c r="CI4" s="577"/>
      <c r="CJ4" s="577"/>
      <c r="CN4" s="577"/>
      <c r="CO4" s="577"/>
      <c r="CP4" s="577"/>
      <c r="CQ4" s="577"/>
      <c r="CR4" s="577"/>
      <c r="CS4" s="577"/>
      <c r="CT4" s="577"/>
      <c r="CV4" s="577"/>
      <c r="CW4" s="577"/>
      <c r="CX4" s="577"/>
      <c r="CY4" s="577"/>
      <c r="CZ4" s="577"/>
      <c r="DA4" s="577"/>
      <c r="DB4" s="577"/>
      <c r="DC4" s="236"/>
      <c r="DD4" s="577"/>
      <c r="DE4" s="577"/>
      <c r="DF4" s="577"/>
      <c r="DG4" s="577"/>
      <c r="DH4" s="577"/>
      <c r="DI4" s="577"/>
      <c r="DJ4" s="577"/>
      <c r="DK4" s="236"/>
      <c r="DL4" s="577"/>
      <c r="DM4" s="577"/>
      <c r="DN4" s="577"/>
      <c r="DO4" s="577"/>
      <c r="DP4" s="577"/>
      <c r="DQ4" s="577"/>
      <c r="DR4" s="577"/>
      <c r="DT4" s="577"/>
      <c r="DU4" s="577"/>
      <c r="DV4" s="577"/>
      <c r="DW4" s="577"/>
      <c r="DX4" s="577"/>
      <c r="DY4" s="577"/>
      <c r="DZ4" s="577"/>
      <c r="ED4" s="577"/>
      <c r="EE4" s="577"/>
      <c r="EF4" s="577"/>
      <c r="EG4" s="577"/>
      <c r="EH4" s="577"/>
      <c r="EI4" s="577"/>
      <c r="EJ4" s="577"/>
      <c r="EL4" s="577"/>
      <c r="EM4" s="577"/>
      <c r="EN4" s="577"/>
      <c r="EO4" s="577"/>
      <c r="EP4" s="577"/>
      <c r="EQ4" s="577"/>
      <c r="ER4" s="577"/>
      <c r="ET4" s="577"/>
      <c r="EU4" s="577"/>
      <c r="EV4" s="577"/>
      <c r="EW4" s="577"/>
      <c r="EX4" s="577"/>
      <c r="EY4" s="577"/>
      <c r="EZ4" s="577"/>
      <c r="FB4" s="577"/>
      <c r="FC4" s="577"/>
      <c r="FD4" s="577"/>
      <c r="FE4" s="577"/>
      <c r="FF4" s="577"/>
      <c r="FG4" s="577"/>
      <c r="FH4" s="577"/>
      <c r="FJ4" s="577"/>
      <c r="FK4" s="577"/>
      <c r="FL4" s="577"/>
      <c r="FM4" s="577"/>
      <c r="FN4" s="577"/>
      <c r="FO4" s="577"/>
      <c r="FP4" s="577"/>
    </row>
    <row r="5" spans="1:199" s="237" customFormat="1" x14ac:dyDescent="0.25">
      <c r="A5" s="236"/>
      <c r="DC5" s="236"/>
      <c r="DK5" s="236"/>
    </row>
    <row r="6" spans="1:199" s="240" customFormat="1" ht="11.25" customHeight="1" x14ac:dyDescent="0.2">
      <c r="A6" s="239"/>
      <c r="F6" s="241"/>
      <c r="H6" s="578" t="str">
        <f xml:space="preserve"> 'WK2012'!EG6</f>
        <v>AmbSo_0-100_12.xls + Stat_EB_12.xls + Zahnbeh_12.xls + 0,8 * ZaErs70-80_12.xls</v>
      </c>
      <c r="I6" s="579"/>
      <c r="J6" s="579"/>
      <c r="K6" s="579"/>
      <c r="L6" s="579"/>
      <c r="M6" s="579"/>
      <c r="N6" s="579"/>
      <c r="O6" s="239"/>
      <c r="P6" s="578" t="str">
        <f xml:space="preserve"> 'WK2012'!EU6</f>
        <v>AmbSo_251-400_12.xls + Stat_ZB_12.xls + Zahnbeh_12.xls + 0,7 * ZaErs70-80_12.xls</v>
      </c>
      <c r="Q6" s="579"/>
      <c r="R6" s="579"/>
      <c r="S6" s="579"/>
      <c r="T6" s="579"/>
      <c r="U6" s="579"/>
      <c r="V6" s="579"/>
      <c r="W6" s="239"/>
      <c r="X6" s="578" t="str">
        <f xml:space="preserve"> 'WK2012'!FI6</f>
        <v>AmbSo_901-1100_12.xls + Stat_MB_12.xls + Zahnbeh_12.xls + 0,6 * ZaErs50-65_12.xls</v>
      </c>
      <c r="Y6" s="579"/>
      <c r="Z6" s="579"/>
      <c r="AA6" s="579"/>
      <c r="AB6" s="579"/>
      <c r="AC6" s="579"/>
      <c r="AD6" s="579"/>
      <c r="AE6" s="239"/>
      <c r="AF6" s="578" t="str">
        <f xml:space="preserve"> 'WK2012'!FW6</f>
        <v>Stat_EB_12.xls - Stat_MB_12.xls / * 0,9</v>
      </c>
      <c r="AG6" s="579"/>
      <c r="AH6" s="579"/>
      <c r="AI6" s="579"/>
      <c r="AJ6" s="579"/>
      <c r="AK6" s="579"/>
      <c r="AL6" s="579"/>
      <c r="AM6" s="239"/>
      <c r="AN6" s="578" t="str">
        <f xml:space="preserve"> 'WK2012'!GK6</f>
        <v>Zahnbeh_12.xls + 0,8 * ZaErs70-80_12.xls</v>
      </c>
      <c r="AO6" s="579"/>
      <c r="AP6" s="579"/>
      <c r="AQ6" s="579"/>
      <c r="AR6" s="579"/>
      <c r="AS6" s="579"/>
      <c r="AT6" s="579"/>
      <c r="AU6" s="239"/>
      <c r="AX6" s="578" t="str">
        <f xml:space="preserve"> 'WK2013'!EG6</f>
        <v>1_Amb_N_0-100 + 2_Stat_N_EB + 3_Zahn_N_Beh + 0,8 * 3_Zahn_N_Ers_70-80</v>
      </c>
      <c r="AY6" s="579"/>
      <c r="AZ6" s="579"/>
      <c r="BA6" s="579"/>
      <c r="BB6" s="579"/>
      <c r="BC6" s="579"/>
      <c r="BD6" s="579"/>
      <c r="BF6" s="578" t="str">
        <f xml:space="preserve"> 'WK2013'!EU6</f>
        <v>1_Amb_N_251-400 + 2_Stat_N_ZB + 3_Zahn_N_Beh + 0,7 * 3_Zahn_N_Ers_70-80</v>
      </c>
      <c r="BG6" s="579"/>
      <c r="BH6" s="579"/>
      <c r="BI6" s="579"/>
      <c r="BJ6" s="579"/>
      <c r="BK6" s="579"/>
      <c r="BL6" s="579"/>
      <c r="BN6" s="578" t="str">
        <f xml:space="preserve"> 'WK2013'!FI6</f>
        <v>1_Amb_N_901-1100 + 2_Stat_N_MB + 3_Zahn_N_Beh + 0,6 * 3_Zahn_N_Ers_50-65</v>
      </c>
      <c r="BO6" s="579"/>
      <c r="BP6" s="579"/>
      <c r="BQ6" s="579"/>
      <c r="BR6" s="579"/>
      <c r="BS6" s="579"/>
      <c r="BT6" s="579"/>
      <c r="BV6" s="578" t="str">
        <f xml:space="preserve"> 'WK2013'!FW6</f>
        <v>3_Zahn_N_Beh + 0,8 * 3_Zahn_N_Ers_70-80</v>
      </c>
      <c r="BW6" s="579"/>
      <c r="BX6" s="579"/>
      <c r="BY6" s="579"/>
      <c r="BZ6" s="579"/>
      <c r="CA6" s="579"/>
      <c r="CB6" s="579"/>
      <c r="CD6" s="578" t="str">
        <f xml:space="preserve"> 'WK2013'!GK6</f>
        <v>2_Stat_N_EB - 2_Stat_N_MB / * 0,75</v>
      </c>
      <c r="CE6" s="579"/>
      <c r="CF6" s="579"/>
      <c r="CG6" s="579"/>
      <c r="CH6" s="579"/>
      <c r="CI6" s="579"/>
      <c r="CJ6" s="579"/>
      <c r="CN6" s="578" t="str">
        <f xml:space="preserve"> 'WK2014'!EG6</f>
        <v>1_Amb_N_0-100 + 2_Stat_N_EB + 3_Zahn_N_Beh + 0,8 * 3_Zahn_N_Ers_70-80</v>
      </c>
      <c r="CO6" s="579" t="str">
        <f xml:space="preserve"> 'WK2013'!EH6</f>
        <v>1_Amb_N_0-100 + 2_Stat_N_EB + 3_Zahn_N_Beh + 0,8 * 3_Zahn_N_Ers_70-80</v>
      </c>
      <c r="CP6" s="579" t="str">
        <f xml:space="preserve"> 'WK2013'!EK6</f>
        <v>1_Amb_N_0-100 + 2_Stat_N_EB + 3_Zahn_N_Beh + 0,8 * 3_Zahn_N_Ers_70-80</v>
      </c>
      <c r="CQ6" s="579" t="str">
        <f xml:space="preserve"> 'WK2013'!EL6</f>
        <v>1_Amb_N_0-100 + 2_Stat_N_EB + 3_Zahn_N_Beh + 0,8 * 3_Zahn_N_Ers_70-80</v>
      </c>
      <c r="CR6" s="579" t="str">
        <f xml:space="preserve"> 'WK2013'!EM6</f>
        <v>1_Amb_N_0-100 + 2_Stat_N_EB + 3_Zahn_N_Beh + 0,8 * 3_Zahn_N_Ers_70-80</v>
      </c>
      <c r="CS6" s="579" t="str">
        <f xml:space="preserve"> 'WK2013'!EN6</f>
        <v>1_Amb_N_0-100 + 2_Stat_N_EB + 3_Zahn_N_Beh + 0,8 * 3_Zahn_N_Ers_70-80</v>
      </c>
      <c r="CT6" s="579" t="str">
        <f xml:space="preserve"> 'WK2013'!EI6</f>
        <v>1_Amb_N_0-100 + 2_Stat_N_EB + 3_Zahn_N_Beh + 0,8 * 3_Zahn_N_Ers_70-80</v>
      </c>
      <c r="CU6" s="239"/>
      <c r="CV6" s="578" t="str">
        <f xml:space="preserve"> 'WK2014'!EU6</f>
        <v>1_Amb_N_251-400 + 2_Stat_N_ZB + 3_Zahn_N_Beh + 0,7 * 3_Zahn_N_Ers_70-80</v>
      </c>
      <c r="CW6" s="579" t="str">
        <f xml:space="preserve"> 'WK2013'!EV6</f>
        <v>1_Amb_N_251-400 + 2_Stat_N_ZB + 3_Zahn_N_Beh + 0,7 * 3_Zahn_N_Ers_70-80</v>
      </c>
      <c r="CX6" s="579" t="str">
        <f xml:space="preserve"> 'WK2013'!EY6</f>
        <v>1_Amb_N_251-400 + 2_Stat_N_ZB + 3_Zahn_N_Beh + 0,7 * 3_Zahn_N_Ers_70-80</v>
      </c>
      <c r="CY6" s="579" t="str">
        <f xml:space="preserve"> 'WK2013'!EZ6</f>
        <v>1_Amb_N_251-400 + 2_Stat_N_ZB + 3_Zahn_N_Beh + 0,7 * 3_Zahn_N_Ers_70-80</v>
      </c>
      <c r="CZ6" s="579" t="str">
        <f xml:space="preserve"> 'WK2013'!FA6</f>
        <v>1_Amb_N_251-400 + 2_Stat_N_ZB + 3_Zahn_N_Beh + 0,7 * 3_Zahn_N_Ers_70-80</v>
      </c>
      <c r="DA6" s="579" t="str">
        <f xml:space="preserve"> 'WK2013'!FB6</f>
        <v>1_Amb_N_251-400 + 2_Stat_N_ZB + 3_Zahn_N_Beh + 0,7 * 3_Zahn_N_Ers_70-80</v>
      </c>
      <c r="DB6" s="579" t="str">
        <f xml:space="preserve"> 'WK2013'!EW6</f>
        <v>1_Amb_N_251-400 + 2_Stat_N_ZB + 3_Zahn_N_Ers_70-80 + 0,7 * 3_Zahn_N_Ers_50-65</v>
      </c>
      <c r="DC6" s="239"/>
      <c r="DD6" s="578" t="str">
        <f xml:space="preserve"> 'WK2014'!FI6</f>
        <v>1_Amb_N_901-1100 + 2_Stat_N_MB + 3_Zahn_N_Beh + 0,6 * 3_Zahn_N_Ers_50-65</v>
      </c>
      <c r="DE6" s="579" t="str">
        <f xml:space="preserve"> 'WK2013'!FJ6</f>
        <v>1_Amb_N_901-1100 + 2_Stat_N_MB + 3_Zahn_N_Beh + 0,6 * 3_Zahn_N_Ers_50-65</v>
      </c>
      <c r="DF6" s="579" t="str">
        <f xml:space="preserve"> 'WK2013'!FM6</f>
        <v>1_Amb_N_901-1100 + 2_Stat_N_MB + 3_Zahn_N_Beh + 0,6 * 3_Zahn_N_Ers_50-65</v>
      </c>
      <c r="DG6" s="579" t="str">
        <f xml:space="preserve"> 'WK2013'!FN6</f>
        <v>1_Amb_N_901-1100 + 2_Stat_N_MB + 3_Zahn_N_Beh + 0,6 * 3_Zahn_N_Ers_50-65</v>
      </c>
      <c r="DH6" s="579" t="str">
        <f xml:space="preserve"> 'WK2013'!FO6</f>
        <v>1_Amb_N_901-1100 + 2_Stat_N_MB + 3_Zahn_N_Beh + 0,6 * 3_Zahn_N_Ers_50-65</v>
      </c>
      <c r="DI6" s="579" t="str">
        <f xml:space="preserve"> 'WK2013'!FP6</f>
        <v>1_Amb_N_901-1100 + 2_Stat_N_MB + 3_Zahn_N_Beh + 0,6 * 3_Zahn_N_Ers_50-65</v>
      </c>
      <c r="DJ6" s="579" t="str">
        <f xml:space="preserve"> 'WK2013'!FK6</f>
        <v>1_Amb_N_901-1100 + 2_Stat_N_MB + 3_Zahn_N_Ers_50-65 + 0,6 * 1_Amb_N_0-100 + 2_Stat_N_EB + 3_Zahn_N_Beh + 0,8 * 3_Zahn_N_Ers_70-80</v>
      </c>
      <c r="DK6" s="239"/>
      <c r="DL6" s="578" t="str">
        <f xml:space="preserve"> 'WK2014'!FW6</f>
        <v>3_Zahn_N_Beh + 0,8 * 3_Zahn_N_Ers_70-80</v>
      </c>
      <c r="DM6" s="579" t="str">
        <f xml:space="preserve"> 'WK2013'!FX6</f>
        <v>3_Zahn_N_Beh + 0,8 * 3_Zahn_N_Ers_70-80</v>
      </c>
      <c r="DN6" s="579" t="str">
        <f xml:space="preserve"> 'WK2013'!GA6</f>
        <v>3_Zahn_N_Beh + 0,8 * 3_Zahn_N_Ers_70-80</v>
      </c>
      <c r="DO6" s="579" t="str">
        <f xml:space="preserve"> 'WK2013'!GB6</f>
        <v>3_Zahn_N_Beh + 0,8 * 3_Zahn_N_Ers_70-80</v>
      </c>
      <c r="DP6" s="579" t="str">
        <f xml:space="preserve"> 'WK2013'!GC6</f>
        <v>3_Zahn_N_Beh + 0,8 * 3_Zahn_N_Ers_70-80</v>
      </c>
      <c r="DQ6" s="579" t="str">
        <f xml:space="preserve"> 'WK2013'!GD6</f>
        <v>3_Zahn_N_Beh + 0,8 * 3_Zahn_N_Ers_70-80</v>
      </c>
      <c r="DR6" s="579" t="str">
        <f xml:space="preserve"> 'WK2013'!FY6</f>
        <v>3_Zahn_N_Beh + 0,8 * 3_Zahn_N_Ers_70-80</v>
      </c>
      <c r="DS6" s="239"/>
      <c r="DT6" s="578" t="str">
        <f xml:space="preserve"> 'WK2014'!GK6</f>
        <v>2_Stat_N_EB - 2_Stat_N_MB / * 0,75</v>
      </c>
      <c r="DU6" s="579" t="str">
        <f xml:space="preserve"> 'WK2013'!GL6</f>
        <v>2_Stat_N_EB - 2_Stat_N_MB / * 0,75</v>
      </c>
      <c r="DV6" s="579" t="str">
        <f xml:space="preserve"> 'WK2013'!GO6</f>
        <v>2_Stat_N_EB - 2_Stat_N_MB / * 0,75</v>
      </c>
      <c r="DW6" s="579" t="str">
        <f xml:space="preserve"> 'WK2013'!GP6</f>
        <v>2_Stat_N_EB - 2_Stat_N_MB / * 0,75</v>
      </c>
      <c r="DX6" s="579" t="str">
        <f xml:space="preserve"> 'WK2013'!GQ6</f>
        <v>2_Stat_N_EB - 2_Stat_N_MB / * 0,75</v>
      </c>
      <c r="DY6" s="579" t="str">
        <f xml:space="preserve"> 'WK2013'!GR6</f>
        <v>2_Stat_N_EB - 2_Stat_N_MB / * 0,75</v>
      </c>
      <c r="DZ6" s="579" t="str">
        <f xml:space="preserve"> 'WK2013'!GM6</f>
        <v>2_Stat_N_EB - 2_Stat_N_MB / * 0,75</v>
      </c>
      <c r="EA6" s="242"/>
      <c r="EB6" s="242"/>
      <c r="EC6" s="242"/>
      <c r="ED6" s="578" t="str">
        <f xml:space="preserve"> 'WK2015'!EG6</f>
        <v>1_Amb_N_0-100 + 2_Stat_N_EB + 3_Zahn_N_Beh + 0,8 * 3_Zahn_N_Ers_70-80</v>
      </c>
      <c r="EE6" s="579" t="str">
        <f xml:space="preserve"> 'WK2014'!EH6</f>
        <v>1_Amb_N_0-100 + 2_Stat_N_EB + 3_Zahn_N_Beh + 0,8 * 3_Zahn_N_Ers_70-80</v>
      </c>
      <c r="EF6" s="579" t="str">
        <f xml:space="preserve"> 'WK2014'!EK6</f>
        <v>1_Amb_N_0-100 + 2_Stat_N_EB + 3_Zahn_N_Beh + 0,8 * 3_Zahn_N_Ers_70-80</v>
      </c>
      <c r="EG6" s="579" t="str">
        <f xml:space="preserve"> 'WK2014'!EL6</f>
        <v>1_Amb_N_0-100 + 2_Stat_N_EB + 3_Zahn_N_Beh + 0,8 * 3_Zahn_N_Ers_70-80</v>
      </c>
      <c r="EH6" s="579" t="str">
        <f xml:space="preserve"> 'WK2014'!EM6</f>
        <v>1_Amb_N_0-100 + 2_Stat_N_EB + 3_Zahn_N_Beh + 0,8 * 3_Zahn_N_Ers_70-80</v>
      </c>
      <c r="EI6" s="579" t="str">
        <f xml:space="preserve"> 'WK2014'!EN6</f>
        <v>1_Amb_N_0-100 + 2_Stat_N_EB + 3_Zahn_N_Beh + 0,8 * 3_Zahn_N_Ers_70-80</v>
      </c>
      <c r="EJ6" s="579" t="str">
        <f xml:space="preserve"> 'WK2014'!EI6</f>
        <v>1_Amb_N_0-100 + 2_Stat_N_EB + 3_Zahn_N_Beh + 0,8 * 3_Zahn_N_Ers_70-80</v>
      </c>
      <c r="EK6" s="1"/>
      <c r="EL6" s="578" t="str">
        <f xml:space="preserve"> 'WK2015'!EU6</f>
        <v>1_Amb_N_251-400 + 2_Stat_N_ZB + 3_Zahn_N_Beh + 0,7 * 3_Zahn_N_Ers_70-80</v>
      </c>
      <c r="EM6" s="579" t="str">
        <f xml:space="preserve"> 'WK2014'!EV6</f>
        <v>1_Amb_N_251-400 + 2_Stat_N_ZB + 3_Zahn_N_Beh + 0,7 * 3_Zahn_N_Ers_70-80</v>
      </c>
      <c r="EN6" s="579" t="str">
        <f xml:space="preserve"> 'WK2014'!EY6</f>
        <v>1_Amb_N_251-400 + 2_Stat_N_ZB + 3_Zahn_N_Beh + 0,7 * 3_Zahn_N_Ers_70-80</v>
      </c>
      <c r="EO6" s="579" t="str">
        <f xml:space="preserve"> 'WK2014'!EZ6</f>
        <v>1_Amb_N_251-400 + 2_Stat_N_ZB + 3_Zahn_N_Beh + 0,7 * 3_Zahn_N_Ers_70-80</v>
      </c>
      <c r="EP6" s="579" t="str">
        <f xml:space="preserve"> 'WK2014'!FA6</f>
        <v>1_Amb_N_251-400 + 2_Stat_N_ZB + 3_Zahn_N_Beh + 0,7 * 3_Zahn_N_Ers_70-80</v>
      </c>
      <c r="EQ6" s="579" t="str">
        <f xml:space="preserve"> 'WK2014'!FB6</f>
        <v>1_Amb_N_251-400 + 2_Stat_N_ZB + 3_Zahn_N_Beh + 0,7 * 3_Zahn_N_Ers_70-80</v>
      </c>
      <c r="ER6" s="579" t="str">
        <f xml:space="preserve"> 'WK2014'!EW6</f>
        <v>1_Amb_N_251-400 + 2_Stat_N_ZB + 3_Zahn_N_Ers_70-80 + 0,7 * 3_Zahn_N_Ers_50-65</v>
      </c>
      <c r="ES6" s="1"/>
      <c r="ET6" s="578" t="str">
        <f xml:space="preserve"> 'WK2015'!FI6</f>
        <v>1_Amb_N_901-1100 + 2_Stat_N_MB + 3_Zahn_N_Beh + 0,6 * 3_Zahn_N_Ers_50-65</v>
      </c>
      <c r="EU6" s="579" t="str">
        <f xml:space="preserve"> 'WK2014'!FJ6</f>
        <v>1_Amb_N_901-1100 + 2_Stat_N_MB + 3_Zahn_N_Beh + 0,6 * 3_Zahn_N_Ers_50-65</v>
      </c>
      <c r="EV6" s="579" t="str">
        <f xml:space="preserve"> 'WK2014'!FM6</f>
        <v>1_Amb_N_901-1100 + 2_Stat_N_MB + 3_Zahn_N_Beh + 0,6 * 3_Zahn_N_Ers_50-65</v>
      </c>
      <c r="EW6" s="579" t="str">
        <f xml:space="preserve"> 'WK2014'!FN6</f>
        <v>1_Amb_N_901-1100 + 2_Stat_N_MB + 3_Zahn_N_Beh + 0,6 * 3_Zahn_N_Ers_50-65</v>
      </c>
      <c r="EX6" s="579" t="str">
        <f xml:space="preserve"> 'WK2014'!FO6</f>
        <v>1_Amb_N_901-1100 + 2_Stat_N_MB + 3_Zahn_N_Beh + 0,6 * 3_Zahn_N_Ers_50-65</v>
      </c>
      <c r="EY6" s="579" t="str">
        <f xml:space="preserve"> 'WK2014'!FP6</f>
        <v>1_Amb_N_901-1100 + 2_Stat_N_MB + 3_Zahn_N_Beh + 0,6 * 3_Zahn_N_Ers_50-65</v>
      </c>
      <c r="EZ6" s="579" t="str">
        <f xml:space="preserve"> 'WK2014'!FK6</f>
        <v>1_Amb_N_901-1100 + 2_Stat_N_MB + 3_Zahn_N_Ers_50-65 + 0,6 * 1_Amb_N_0-100 + 2_Stat_N_EB + 3_Zahn_N_Beh + 0,8 * 3_Zahn_N_Ers_70-80</v>
      </c>
      <c r="FA6" s="1"/>
      <c r="FB6" s="578" t="str">
        <f xml:space="preserve"> 'WK2015'!FW6</f>
        <v>3_Zahn_N_Beh + 0,8 * 3_Zahn_N_Ers_70-80</v>
      </c>
      <c r="FC6" s="579" t="str">
        <f xml:space="preserve"> 'WK2014'!FX6</f>
        <v>3_Zahn_N_Beh + 0,8 * 3_Zahn_N_Ers_70-80</v>
      </c>
      <c r="FD6" s="579" t="str">
        <f xml:space="preserve"> 'WK2014'!GA6</f>
        <v>3_Zahn_N_Beh + 0,8 * 3_Zahn_N_Ers_70-80</v>
      </c>
      <c r="FE6" s="579" t="str">
        <f xml:space="preserve"> 'WK2014'!GB6</f>
        <v>3_Zahn_N_Beh + 0,8 * 3_Zahn_N_Ers_70-80</v>
      </c>
      <c r="FF6" s="579" t="str">
        <f xml:space="preserve"> 'WK2014'!GC6</f>
        <v>3_Zahn_N_Beh + 0,8 * 3_Zahn_N_Ers_70-80</v>
      </c>
      <c r="FG6" s="579" t="str">
        <f xml:space="preserve"> 'WK2014'!GD6</f>
        <v>3_Zahn_N_Beh + 0,8 * 3_Zahn_N_Ers_70-80</v>
      </c>
      <c r="FH6" s="579" t="str">
        <f xml:space="preserve"> 'WK2014'!FY6</f>
        <v>3_Zahn_N_Beh + 0,8 * 3_Zahn_N_Ers_70-80</v>
      </c>
      <c r="FI6" s="1"/>
      <c r="FJ6" s="578" t="str">
        <f xml:space="preserve"> 'WK2015'!GK6</f>
        <v>2_Stat_N_EB - 2_Stat_N_MB / * 0,75</v>
      </c>
      <c r="FK6" s="579" t="str">
        <f xml:space="preserve"> 'WK2014'!GL6</f>
        <v>2_Stat_N_EB - 2_Stat_N_MB / * 0,75</v>
      </c>
      <c r="FL6" s="579" t="str">
        <f xml:space="preserve"> 'WK2014'!GO6</f>
        <v>2_Stat_N_EB - 2_Stat_N_MB / * 0,75</v>
      </c>
      <c r="FM6" s="579" t="str">
        <f xml:space="preserve"> 'WK2014'!GP6</f>
        <v>2_Stat_N_EB - 2_Stat_N_MB / * 0,75</v>
      </c>
      <c r="FN6" s="579" t="str">
        <f xml:space="preserve"> 'WK2014'!GQ6</f>
        <v>2_Stat_N_EB - 2_Stat_N_MB / * 0,75</v>
      </c>
      <c r="FO6" s="579" t="str">
        <f xml:space="preserve"> 'WK2014'!GR6</f>
        <v>2_Stat_N_EB - 2_Stat_N_MB / * 0,75</v>
      </c>
      <c r="FP6" s="579" t="str">
        <f xml:space="preserve"> 'WK2014'!GM6</f>
        <v>2_Stat_N_EB - 2_Stat_N_MB / * 0,75</v>
      </c>
      <c r="FQ6" s="251"/>
      <c r="FS6" s="237"/>
      <c r="FT6" s="251"/>
      <c r="FU6" s="251"/>
    </row>
    <row r="7" spans="1:199" s="240" customFormat="1" ht="11.25" customHeight="1" x14ac:dyDescent="0.25">
      <c r="A7" s="239"/>
      <c r="H7" s="579"/>
      <c r="I7" s="579"/>
      <c r="J7" s="579"/>
      <c r="K7" s="579"/>
      <c r="L7" s="579"/>
      <c r="M7" s="579"/>
      <c r="N7" s="579"/>
      <c r="O7" s="239"/>
      <c r="P7" s="579"/>
      <c r="Q7" s="579"/>
      <c r="R7" s="579"/>
      <c r="S7" s="579"/>
      <c r="T7" s="579"/>
      <c r="U7" s="579"/>
      <c r="V7" s="579"/>
      <c r="W7" s="239"/>
      <c r="X7" s="579"/>
      <c r="Y7" s="579"/>
      <c r="Z7" s="579"/>
      <c r="AA7" s="579"/>
      <c r="AB7" s="579"/>
      <c r="AC7" s="579"/>
      <c r="AD7" s="579"/>
      <c r="AE7" s="239"/>
      <c r="AF7" s="579"/>
      <c r="AG7" s="579"/>
      <c r="AH7" s="579"/>
      <c r="AI7" s="579"/>
      <c r="AJ7" s="579"/>
      <c r="AK7" s="579"/>
      <c r="AL7" s="579"/>
      <c r="AM7" s="239"/>
      <c r="AN7" s="579"/>
      <c r="AO7" s="579"/>
      <c r="AP7" s="579"/>
      <c r="AQ7" s="579"/>
      <c r="AR7" s="579"/>
      <c r="AS7" s="579"/>
      <c r="AT7" s="579"/>
      <c r="AU7" s="239"/>
      <c r="AX7" s="579"/>
      <c r="AY7" s="579"/>
      <c r="AZ7" s="579"/>
      <c r="BA7" s="579"/>
      <c r="BB7" s="579"/>
      <c r="BC7" s="579"/>
      <c r="BD7" s="579"/>
      <c r="BF7" s="579"/>
      <c r="BG7" s="579"/>
      <c r="BH7" s="579"/>
      <c r="BI7" s="579"/>
      <c r="BJ7" s="579"/>
      <c r="BK7" s="579"/>
      <c r="BL7" s="579"/>
      <c r="BN7" s="579"/>
      <c r="BO7" s="579"/>
      <c r="BP7" s="579"/>
      <c r="BQ7" s="579"/>
      <c r="BR7" s="579"/>
      <c r="BS7" s="579"/>
      <c r="BT7" s="579"/>
      <c r="BV7" s="579"/>
      <c r="BW7" s="579"/>
      <c r="BX7" s="579"/>
      <c r="BY7" s="579"/>
      <c r="BZ7" s="579"/>
      <c r="CA7" s="579"/>
      <c r="CB7" s="579"/>
      <c r="CD7" s="579"/>
      <c r="CE7" s="579"/>
      <c r="CF7" s="579"/>
      <c r="CG7" s="579"/>
      <c r="CH7" s="579"/>
      <c r="CI7" s="579"/>
      <c r="CJ7" s="579"/>
      <c r="CN7" s="579"/>
      <c r="CO7" s="579"/>
      <c r="CP7" s="579"/>
      <c r="CQ7" s="579"/>
      <c r="CR7" s="579"/>
      <c r="CS7" s="579"/>
      <c r="CT7" s="579"/>
      <c r="CV7" s="579"/>
      <c r="CW7" s="579"/>
      <c r="CX7" s="579"/>
      <c r="CY7" s="579"/>
      <c r="CZ7" s="579"/>
      <c r="DA7" s="579"/>
      <c r="DB7" s="579"/>
      <c r="DC7" s="239"/>
      <c r="DD7" s="579"/>
      <c r="DE7" s="579"/>
      <c r="DF7" s="579"/>
      <c r="DG7" s="579"/>
      <c r="DH7" s="579"/>
      <c r="DI7" s="579"/>
      <c r="DJ7" s="579"/>
      <c r="DK7" s="239"/>
      <c r="DL7" s="579"/>
      <c r="DM7" s="579"/>
      <c r="DN7" s="579"/>
      <c r="DO7" s="579"/>
      <c r="DP7" s="579"/>
      <c r="DQ7" s="579"/>
      <c r="DR7" s="579"/>
      <c r="DT7" s="579"/>
      <c r="DU7" s="579"/>
      <c r="DV7" s="579"/>
      <c r="DW7" s="579"/>
      <c r="DX7" s="579"/>
      <c r="DY7" s="579"/>
      <c r="DZ7" s="579"/>
      <c r="ED7" s="579"/>
      <c r="EE7" s="579"/>
      <c r="EF7" s="579"/>
      <c r="EG7" s="579"/>
      <c r="EH7" s="579"/>
      <c r="EI7" s="579"/>
      <c r="EJ7" s="579"/>
      <c r="EL7" s="579"/>
      <c r="EM7" s="579"/>
      <c r="EN7" s="579"/>
      <c r="EO7" s="579"/>
      <c r="EP7" s="579"/>
      <c r="EQ7" s="579"/>
      <c r="ER7" s="579"/>
      <c r="ET7" s="579"/>
      <c r="EU7" s="579"/>
      <c r="EV7" s="579"/>
      <c r="EW7" s="579"/>
      <c r="EX7" s="579"/>
      <c r="EY7" s="579"/>
      <c r="EZ7" s="579"/>
      <c r="FB7" s="579"/>
      <c r="FC7" s="579"/>
      <c r="FD7" s="579"/>
      <c r="FE7" s="579"/>
      <c r="FF7" s="579"/>
      <c r="FG7" s="579"/>
      <c r="FH7" s="579"/>
      <c r="FJ7" s="579"/>
      <c r="FK7" s="579"/>
      <c r="FL7" s="579"/>
      <c r="FM7" s="579"/>
      <c r="FN7" s="579"/>
      <c r="FO7" s="579"/>
      <c r="FP7" s="579"/>
    </row>
    <row r="8" spans="1:199" s="244" customFormat="1" ht="11.25" customHeight="1" x14ac:dyDescent="0.25">
      <c r="A8" s="243"/>
      <c r="DC8" s="243"/>
      <c r="DD8" s="243"/>
      <c r="DE8" s="243"/>
      <c r="DF8" s="243"/>
      <c r="DG8" s="243"/>
      <c r="DH8" s="243"/>
      <c r="DI8" s="243"/>
      <c r="DJ8" s="243"/>
      <c r="DK8" s="243"/>
    </row>
    <row r="9" spans="1:199" s="244" customFormat="1" ht="11.25" customHeight="1" x14ac:dyDescent="0.25">
      <c r="A9" s="243"/>
      <c r="AX9" s="157" t="s">
        <v>176</v>
      </c>
      <c r="AY9" s="244" t="str">
        <f t="shared" ref="AY9:BD9" si="0" xml:space="preserve"> AX9</f>
        <v>ambulanter Selbstbehalt 30 Euro, stationäre allgemeine Krankenhausleistungen mit Einbettzimmer, Zahnbehandlung und 80 Prozent Erstattung Zahnersatz</v>
      </c>
      <c r="AZ9" s="244" t="str">
        <f t="shared" si="0"/>
        <v>ambulanter Selbstbehalt 30 Euro, stationäre allgemeine Krankenhausleistungen mit Einbettzimmer, Zahnbehandlung und 80 Prozent Erstattung Zahnersatz</v>
      </c>
      <c r="BA9" s="244" t="str">
        <f t="shared" si="0"/>
        <v>ambulanter Selbstbehalt 30 Euro, stationäre allgemeine Krankenhausleistungen mit Einbettzimmer, Zahnbehandlung und 80 Prozent Erstattung Zahnersatz</v>
      </c>
      <c r="BB9" s="244" t="str">
        <f t="shared" si="0"/>
        <v>ambulanter Selbstbehalt 30 Euro, stationäre allgemeine Krankenhausleistungen mit Einbettzimmer, Zahnbehandlung und 80 Prozent Erstattung Zahnersatz</v>
      </c>
      <c r="BC9" s="244" t="str">
        <f t="shared" si="0"/>
        <v>ambulanter Selbstbehalt 30 Euro, stationäre allgemeine Krankenhausleistungen mit Einbettzimmer, Zahnbehandlung und 80 Prozent Erstattung Zahnersatz</v>
      </c>
      <c r="BD9" s="244" t="str">
        <f t="shared" si="0"/>
        <v>ambulanter Selbstbehalt 30 Euro, stationäre allgemeine Krankenhausleistungen mit Einbettzimmer, Zahnbehandlung und 80 Prozent Erstattung Zahnersatz</v>
      </c>
      <c r="CN9" s="157" t="s">
        <v>176</v>
      </c>
      <c r="CO9" s="244" t="str">
        <f t="shared" ref="CO9:CT9" si="1" xml:space="preserve"> CN9</f>
        <v>ambulanter Selbstbehalt 30 Euro, stationäre allgemeine Krankenhausleistungen mit Einbettzimmer, Zahnbehandlung und 80 Prozent Erstattung Zahnersatz</v>
      </c>
      <c r="CP9" s="244" t="str">
        <f t="shared" si="1"/>
        <v>ambulanter Selbstbehalt 30 Euro, stationäre allgemeine Krankenhausleistungen mit Einbettzimmer, Zahnbehandlung und 80 Prozent Erstattung Zahnersatz</v>
      </c>
      <c r="CQ9" s="244" t="str">
        <f t="shared" si="1"/>
        <v>ambulanter Selbstbehalt 30 Euro, stationäre allgemeine Krankenhausleistungen mit Einbettzimmer, Zahnbehandlung und 80 Prozent Erstattung Zahnersatz</v>
      </c>
      <c r="CR9" s="244" t="str">
        <f t="shared" si="1"/>
        <v>ambulanter Selbstbehalt 30 Euro, stationäre allgemeine Krankenhausleistungen mit Einbettzimmer, Zahnbehandlung und 80 Prozent Erstattung Zahnersatz</v>
      </c>
      <c r="CS9" s="244" t="str">
        <f t="shared" si="1"/>
        <v>ambulanter Selbstbehalt 30 Euro, stationäre allgemeine Krankenhausleistungen mit Einbettzimmer, Zahnbehandlung und 80 Prozent Erstattung Zahnersatz</v>
      </c>
      <c r="CT9" s="244" t="str">
        <f t="shared" si="1"/>
        <v>ambulanter Selbstbehalt 30 Euro, stationäre allgemeine Krankenhausleistungen mit Einbettzimmer, Zahnbehandlung und 80 Prozent Erstattung Zahnersatz</v>
      </c>
      <c r="DC9" s="243"/>
      <c r="DD9" s="243"/>
      <c r="DE9" s="243"/>
      <c r="DF9" s="243"/>
      <c r="DG9" s="243"/>
      <c r="DH9" s="243"/>
      <c r="DI9" s="243"/>
      <c r="DJ9" s="243"/>
      <c r="DK9" s="243"/>
    </row>
    <row r="10" spans="1:199" s="244" customFormat="1" ht="11.25" customHeight="1" x14ac:dyDescent="0.25">
      <c r="A10" s="243"/>
      <c r="AX10" s="157"/>
      <c r="DC10" s="243"/>
      <c r="DD10" s="243"/>
      <c r="DE10" s="243"/>
      <c r="DF10" s="243"/>
      <c r="DG10" s="243"/>
      <c r="DH10" s="243"/>
      <c r="DI10" s="243"/>
      <c r="DJ10" s="243"/>
      <c r="DK10" s="243"/>
    </row>
    <row r="11" spans="1:199" s="244" customFormat="1" x14ac:dyDescent="0.25">
      <c r="A11" s="243"/>
      <c r="DC11" s="243"/>
      <c r="DD11" s="243"/>
      <c r="DE11" s="243"/>
      <c r="DF11" s="243"/>
      <c r="DG11" s="243"/>
      <c r="DH11" s="243"/>
      <c r="DI11" s="243"/>
      <c r="DJ11" s="243"/>
      <c r="DK11" s="243"/>
    </row>
    <row r="12" spans="1:199" s="244" customFormat="1" x14ac:dyDescent="0.25">
      <c r="A12" s="243"/>
      <c r="DC12" s="243"/>
      <c r="DD12" s="243"/>
      <c r="DE12" s="243"/>
      <c r="DF12" s="243"/>
      <c r="DG12" s="243"/>
      <c r="DH12" s="243"/>
      <c r="DI12" s="243"/>
      <c r="DJ12" s="243"/>
      <c r="DK12" s="243"/>
    </row>
    <row r="13" spans="1:199" s="245" customFormat="1" ht="40.799999999999997" x14ac:dyDescent="0.2">
      <c r="D13" s="150" t="s">
        <v>143</v>
      </c>
      <c r="E13" s="246" t="str">
        <f xml:space="preserve"> D13</f>
        <v>Nix</v>
      </c>
      <c r="H13" s="150" t="s">
        <v>118</v>
      </c>
      <c r="I13" s="246" t="str">
        <f xml:space="preserve"> H13</f>
        <v>Primo kompakt 2012</v>
      </c>
      <c r="J13" s="246" t="str">
        <f xml:space="preserve"> I13</f>
        <v>Primo kompakt 2012</v>
      </c>
      <c r="K13" s="246" t="str">
        <f xml:space="preserve"> J13</f>
        <v>Primo kompakt 2012</v>
      </c>
      <c r="L13" s="246" t="str">
        <f xml:space="preserve"> K13</f>
        <v>Primo kompakt 2012</v>
      </c>
      <c r="M13" s="246" t="str">
        <f xml:space="preserve"> L13</f>
        <v>Primo kompakt 2012</v>
      </c>
      <c r="N13" s="246" t="str">
        <f xml:space="preserve"> J13</f>
        <v>Primo kompakt 2012</v>
      </c>
      <c r="P13" s="150" t="s">
        <v>119</v>
      </c>
      <c r="Q13" s="246" t="str">
        <f xml:space="preserve"> P13</f>
        <v>Secundo kompakt 2012</v>
      </c>
      <c r="R13" s="246" t="str">
        <f xml:space="preserve"> Q13</f>
        <v>Secundo kompakt 2012</v>
      </c>
      <c r="S13" s="246" t="str">
        <f xml:space="preserve"> R13</f>
        <v>Secundo kompakt 2012</v>
      </c>
      <c r="T13" s="246" t="str">
        <f xml:space="preserve"> S13</f>
        <v>Secundo kompakt 2012</v>
      </c>
      <c r="U13" s="246" t="str">
        <f xml:space="preserve"> T13</f>
        <v>Secundo kompakt 2012</v>
      </c>
      <c r="V13" s="246" t="str">
        <f xml:space="preserve"> S13</f>
        <v>Secundo kompakt 2012</v>
      </c>
      <c r="X13" s="150" t="s">
        <v>120</v>
      </c>
      <c r="Y13" s="246" t="str">
        <f xml:space="preserve"> X13</f>
        <v>Tertio kompakt 2012</v>
      </c>
      <c r="Z13" s="246" t="str">
        <f xml:space="preserve"> Y13</f>
        <v>Tertio kompakt 2012</v>
      </c>
      <c r="AA13" s="246" t="str">
        <f xml:space="preserve"> Z13</f>
        <v>Tertio kompakt 2012</v>
      </c>
      <c r="AB13" s="246" t="str">
        <f xml:space="preserve"> AA13</f>
        <v>Tertio kompakt 2012</v>
      </c>
      <c r="AC13" s="246" t="str">
        <f xml:space="preserve"> AB13</f>
        <v>Tertio kompakt 2012</v>
      </c>
      <c r="AD13" s="246" t="str">
        <f xml:space="preserve"> AA13</f>
        <v>Tertio kompakt 2012</v>
      </c>
      <c r="AF13" s="150" t="s">
        <v>133</v>
      </c>
      <c r="AG13" s="246" t="str">
        <f xml:space="preserve"> AF13</f>
        <v>GKV-Erg Primo stationär 2012</v>
      </c>
      <c r="AH13" s="246" t="str">
        <f xml:space="preserve"> AG13</f>
        <v>GKV-Erg Primo stationär 2012</v>
      </c>
      <c r="AI13" s="246" t="str">
        <f xml:space="preserve"> AH13</f>
        <v>GKV-Erg Primo stationär 2012</v>
      </c>
      <c r="AJ13" s="246" t="str">
        <f xml:space="preserve"> AI13</f>
        <v>GKV-Erg Primo stationär 2012</v>
      </c>
      <c r="AK13" s="246" t="str">
        <f xml:space="preserve"> AJ13</f>
        <v>GKV-Erg Primo stationär 2012</v>
      </c>
      <c r="AL13" s="246" t="str">
        <f xml:space="preserve"> AI13</f>
        <v>GKV-Erg Primo stationär 2012</v>
      </c>
      <c r="AN13" s="150" t="s">
        <v>173</v>
      </c>
      <c r="AO13" s="246" t="str">
        <f t="shared" ref="AO13:AT13" si="2" xml:space="preserve"> AN13</f>
        <v>Primo zahn 2012</v>
      </c>
      <c r="AP13" s="246" t="str">
        <f t="shared" si="2"/>
        <v>Primo zahn 2012</v>
      </c>
      <c r="AQ13" s="246" t="str">
        <f t="shared" si="2"/>
        <v>Primo zahn 2012</v>
      </c>
      <c r="AR13" s="246" t="str">
        <f t="shared" si="2"/>
        <v>Primo zahn 2012</v>
      </c>
      <c r="AS13" s="246" t="str">
        <f t="shared" si="2"/>
        <v>Primo zahn 2012</v>
      </c>
      <c r="AT13" s="246" t="str">
        <f t="shared" si="2"/>
        <v>Primo zahn 2012</v>
      </c>
      <c r="AX13" s="137" t="str">
        <f xml:space="preserve"> 'WK2013'!EG1</f>
        <v>Primo kompakt 2013</v>
      </c>
      <c r="AY13" s="137" t="str">
        <f xml:space="preserve"> 'WK2013'!EH1</f>
        <v>Primo kompakt 2013</v>
      </c>
      <c r="AZ13" s="137" t="str">
        <f xml:space="preserve"> 'WK2013'!EK1</f>
        <v>Primo kompakt 2013</v>
      </c>
      <c r="BA13" s="137" t="str">
        <f xml:space="preserve"> 'WK2013'!EL1</f>
        <v>Primo kompakt 2013</v>
      </c>
      <c r="BB13" s="137" t="str">
        <f xml:space="preserve"> 'WK2013'!EM1</f>
        <v>Primo kompakt 2013</v>
      </c>
      <c r="BC13" s="137" t="str">
        <f xml:space="preserve"> 'WK2013'!EN1</f>
        <v>Primo kompakt 2013</v>
      </c>
      <c r="BD13" s="137" t="str">
        <f xml:space="preserve"> 'WK2013'!EI1</f>
        <v>Primo kompakt 2013</v>
      </c>
      <c r="BF13" s="137" t="str">
        <f xml:space="preserve"> 'WK2013'!EU1</f>
        <v>Secundo kompakt 2013</v>
      </c>
      <c r="BG13" s="137" t="str">
        <f xml:space="preserve"> 'WK2013'!EV1</f>
        <v>Secundo kompakt 2013</v>
      </c>
      <c r="BH13" s="137" t="str">
        <f xml:space="preserve"> 'WK2013'!EY1</f>
        <v>Secundo kompakt 2013</v>
      </c>
      <c r="BI13" s="137" t="str">
        <f xml:space="preserve"> 'WK2013'!EZ1</f>
        <v>Secundo kompakt 2013</v>
      </c>
      <c r="BJ13" s="137" t="str">
        <f xml:space="preserve"> 'WK2013'!FA1</f>
        <v>Secundo kompakt 2013</v>
      </c>
      <c r="BK13" s="137" t="str">
        <f xml:space="preserve"> 'WK2013'!FB1</f>
        <v>Secundo kompakt 2013</v>
      </c>
      <c r="BL13" s="137" t="str">
        <f xml:space="preserve"> 'WK2013'!EW1</f>
        <v>Secundo kompakt 2013</v>
      </c>
      <c r="BN13" s="137" t="str">
        <f xml:space="preserve"> 'WK2013'!FI1</f>
        <v>Tertio kompakt 2013</v>
      </c>
      <c r="BO13" s="137" t="str">
        <f xml:space="preserve"> 'WK2013'!FJ1</f>
        <v>Tertio kompakt 2013</v>
      </c>
      <c r="BP13" s="137" t="str">
        <f xml:space="preserve"> 'WK2013'!FM1</f>
        <v>Tertio kompakt 2013</v>
      </c>
      <c r="BQ13" s="137" t="str">
        <f xml:space="preserve"> 'WK2013'!FN1</f>
        <v>Tertio kompakt 2013</v>
      </c>
      <c r="BR13" s="137" t="str">
        <f xml:space="preserve"> 'WK2013'!FO1</f>
        <v>Tertio kompakt 2013</v>
      </c>
      <c r="BS13" s="137" t="str">
        <f xml:space="preserve"> 'WK2013'!FP1</f>
        <v>Tertio kompakt 2013</v>
      </c>
      <c r="BT13" s="137" t="str">
        <f xml:space="preserve"> 'WK2013'!FK1</f>
        <v>Tertio kompakt 2013</v>
      </c>
      <c r="BV13" s="137" t="str">
        <f xml:space="preserve"> 'WK2013'!FW1</f>
        <v>Primo zahn 2013</v>
      </c>
      <c r="BW13" s="137" t="str">
        <f xml:space="preserve"> 'WK2013'!FX1</f>
        <v>Primo zahn 2013</v>
      </c>
      <c r="BX13" s="137" t="str">
        <f xml:space="preserve"> 'WK2013'!GA1</f>
        <v>Primo zahn 2013</v>
      </c>
      <c r="BY13" s="137" t="str">
        <f xml:space="preserve"> 'WK2013'!GB1</f>
        <v>Primo zahn 2013</v>
      </c>
      <c r="BZ13" s="137" t="str">
        <f xml:space="preserve"> 'WK2013'!GC1</f>
        <v>Primo zahn 2013</v>
      </c>
      <c r="CA13" s="137" t="str">
        <f xml:space="preserve"> 'WK2013'!GD1</f>
        <v>Primo zahn 2013</v>
      </c>
      <c r="CB13" s="137" t="str">
        <f xml:space="preserve"> 'WK2013'!FY1</f>
        <v>Primo zahn 2013</v>
      </c>
      <c r="CD13" s="137" t="str">
        <f xml:space="preserve"> 'WK2013'!GK1</f>
        <v>GKV-Erg Primo stationär 2013</v>
      </c>
      <c r="CE13" s="137" t="str">
        <f xml:space="preserve"> 'WK2013'!GL1</f>
        <v>GKV-Erg Primo stationär 2013</v>
      </c>
      <c r="CF13" s="137" t="str">
        <f xml:space="preserve"> 'WK2013'!GO1</f>
        <v>GKV-Erg Primo stationär 2013</v>
      </c>
      <c r="CG13" s="137" t="str">
        <f xml:space="preserve"> 'WK2013'!GP1</f>
        <v>GKV-Erg Primo stationär 2013</v>
      </c>
      <c r="CH13" s="137" t="str">
        <f xml:space="preserve"> 'WK2013'!GQ1</f>
        <v>GKV-Erg Primo stationär 2013</v>
      </c>
      <c r="CI13" s="137" t="str">
        <f xml:space="preserve"> 'WK2013'!GR1</f>
        <v>GKV-Erg Primo stationär 2013</v>
      </c>
      <c r="CJ13" s="137" t="str">
        <f xml:space="preserve"> 'WK2013'!GM1</f>
        <v>GKV-Erg Primo stationär 2013</v>
      </c>
      <c r="CN13" s="216" t="str">
        <f xml:space="preserve"> 'WK2014'!EG1</f>
        <v>Primo kompakt 2014</v>
      </c>
      <c r="CO13" s="216" t="str">
        <f xml:space="preserve"> 'WK2014'!EH1</f>
        <v>Primo kompakt 2014</v>
      </c>
      <c r="CP13" s="216" t="str">
        <f xml:space="preserve"> 'WK2014'!EK1</f>
        <v>Primo kompakt 2014</v>
      </c>
      <c r="CQ13" s="216" t="str">
        <f xml:space="preserve"> 'WK2014'!EL1</f>
        <v>Primo kompakt 2014</v>
      </c>
      <c r="CR13" s="216" t="str">
        <f xml:space="preserve"> 'WK2014'!EM1</f>
        <v>Primo kompakt 2014</v>
      </c>
      <c r="CS13" s="216" t="str">
        <f xml:space="preserve"> 'WK2014'!EN1</f>
        <v>Primo kompakt 2014</v>
      </c>
      <c r="CT13" s="138" t="str">
        <f xml:space="preserve"> 'WK2014'!EI1</f>
        <v>Primo kompakt 2014</v>
      </c>
      <c r="CV13" s="216" t="str">
        <f xml:space="preserve"> 'WK2014'!EU1</f>
        <v>Secundo kompakt 2014</v>
      </c>
      <c r="CW13" s="216" t="str">
        <f xml:space="preserve"> 'WK2014'!EV1</f>
        <v>Secundo kompakt 2014</v>
      </c>
      <c r="CX13" s="216" t="str">
        <f xml:space="preserve"> 'WK2014'!EY1</f>
        <v>Secundo kompakt 2014</v>
      </c>
      <c r="CY13" s="216" t="str">
        <f xml:space="preserve"> 'WK2014'!EZ1</f>
        <v>Secundo kompakt 2014</v>
      </c>
      <c r="CZ13" s="216" t="str">
        <f xml:space="preserve"> 'WK2014'!FA1</f>
        <v>Secundo kompakt 2014</v>
      </c>
      <c r="DA13" s="216" t="str">
        <f xml:space="preserve"> 'WK2014'!FB1</f>
        <v>Secundo kompakt 2014</v>
      </c>
      <c r="DB13" s="138" t="str">
        <f xml:space="preserve"> 'WK2014'!EW1</f>
        <v>Secundo kompakt 2014</v>
      </c>
      <c r="DD13" s="216" t="str">
        <f xml:space="preserve"> 'WK2014'!FI1</f>
        <v>Tertio kompakt 2014</v>
      </c>
      <c r="DE13" s="216" t="str">
        <f xml:space="preserve"> 'WK2014'!FJ1</f>
        <v>Tertio kompakt 2014</v>
      </c>
      <c r="DF13" s="216" t="str">
        <f xml:space="preserve"> 'WK2014'!FM1</f>
        <v>Tertio kompakt 2014</v>
      </c>
      <c r="DG13" s="216" t="str">
        <f xml:space="preserve"> 'WK2014'!FN1</f>
        <v>Tertio kompakt 2014</v>
      </c>
      <c r="DH13" s="216" t="str">
        <f xml:space="preserve"> 'WK2014'!FO1</f>
        <v>Tertio kompakt 2014</v>
      </c>
      <c r="DI13" s="216" t="str">
        <f xml:space="preserve"> 'WK2014'!FP1</f>
        <v>Tertio kompakt 2014</v>
      </c>
      <c r="DJ13" s="138" t="str">
        <f xml:space="preserve"> 'WK2014'!FK1</f>
        <v>Tertio kompakt 2014</v>
      </c>
      <c r="DL13" s="216" t="str">
        <f xml:space="preserve"> 'WK2014'!FW1</f>
        <v>Primo zahn 2014</v>
      </c>
      <c r="DM13" s="216" t="str">
        <f xml:space="preserve"> 'WK2014'!FX1</f>
        <v>Primo zahn 2014</v>
      </c>
      <c r="DN13" s="216" t="str">
        <f xml:space="preserve"> 'WK2014'!GA1</f>
        <v>Primo zahn 2014</v>
      </c>
      <c r="DO13" s="216" t="str">
        <f xml:space="preserve"> 'WK2014'!GB1</f>
        <v>Primo zahn 2014</v>
      </c>
      <c r="DP13" s="216" t="str">
        <f xml:space="preserve"> 'WK2014'!GC1</f>
        <v>Primo zahn 2014</v>
      </c>
      <c r="DQ13" s="216" t="str">
        <f xml:space="preserve"> 'WK2014'!GD1</f>
        <v>Primo zahn 2014</v>
      </c>
      <c r="DR13" s="138" t="str">
        <f xml:space="preserve"> 'WK2014'!FY1</f>
        <v>Primo zahn 2014</v>
      </c>
      <c r="DT13" s="216" t="str">
        <f xml:space="preserve"> 'WK2014'!GK1</f>
        <v>GKV-Erg Primo stationär 2014</v>
      </c>
      <c r="DU13" s="216" t="str">
        <f xml:space="preserve"> 'WK2014'!GL1</f>
        <v>GKV-Erg Primo stationär 2014</v>
      </c>
      <c r="DV13" s="216" t="str">
        <f xml:space="preserve"> 'WK2014'!GO1</f>
        <v>GKV-Erg Primo stationär 2014</v>
      </c>
      <c r="DW13" s="216" t="str">
        <f xml:space="preserve"> 'WK2014'!GP1</f>
        <v>GKV-Erg Primo stationär 2014</v>
      </c>
      <c r="DX13" s="216" t="str">
        <f xml:space="preserve"> 'WK2014'!GQ1</f>
        <v>GKV-Erg Primo stationär 2014</v>
      </c>
      <c r="DY13" s="216" t="str">
        <f xml:space="preserve"> 'WK2014'!GR1</f>
        <v>GKV-Erg Primo stationär 2014</v>
      </c>
      <c r="DZ13" s="138" t="str">
        <f xml:space="preserve"> 'WK2014'!GM1</f>
        <v>GKV-Erg Primo stationär 2014</v>
      </c>
      <c r="EA13" s="247"/>
      <c r="EB13" s="247"/>
      <c r="EC13" s="247"/>
      <c r="ED13" s="283" t="str">
        <f xml:space="preserve"> 'WK2015'!EG1</f>
        <v>Primo kompakt 2015</v>
      </c>
      <c r="EE13" s="283" t="str">
        <f xml:space="preserve"> 'WK2015'!EH1</f>
        <v>Primo kompakt 2015</v>
      </c>
      <c r="EF13" s="283" t="str">
        <f xml:space="preserve"> 'WK2015'!EK1</f>
        <v>Primo kompakt 2015</v>
      </c>
      <c r="EG13" s="283" t="str">
        <f xml:space="preserve"> 'WK2015'!EL1</f>
        <v>Primo kompakt 2015</v>
      </c>
      <c r="EH13" s="283" t="str">
        <f xml:space="preserve"> 'WK2015'!EM1</f>
        <v>Primo kompakt 2015</v>
      </c>
      <c r="EI13" s="283" t="str">
        <f xml:space="preserve"> 'WK2015'!EN1</f>
        <v>Primo kompakt 2015</v>
      </c>
      <c r="EJ13" s="284" t="str">
        <f xml:space="preserve"> 'WK2015'!EI1</f>
        <v>Primo kompakt 2015</v>
      </c>
      <c r="EK13" s="285"/>
      <c r="EL13" s="283" t="str">
        <f xml:space="preserve"> 'WK2015'!EU1</f>
        <v>Secundo kompakt 2015</v>
      </c>
      <c r="EM13" s="283" t="str">
        <f xml:space="preserve"> 'WK2015'!EV1</f>
        <v>Secundo kompakt 2015</v>
      </c>
      <c r="EN13" s="283" t="str">
        <f xml:space="preserve"> 'WK2015'!EY1</f>
        <v>Secundo kompakt 2015</v>
      </c>
      <c r="EO13" s="283" t="str">
        <f xml:space="preserve"> 'WK2015'!EZ1</f>
        <v>Secundo kompakt 2015</v>
      </c>
      <c r="EP13" s="283" t="str">
        <f xml:space="preserve"> 'WK2015'!FA1</f>
        <v>Secundo kompakt 2015</v>
      </c>
      <c r="EQ13" s="283" t="str">
        <f xml:space="preserve"> 'WK2015'!FB1</f>
        <v>Secundo kompakt 2015</v>
      </c>
      <c r="ER13" s="284" t="str">
        <f xml:space="preserve"> 'WK2015'!EW1</f>
        <v>Secundo kompakt 2015</v>
      </c>
      <c r="ES13" s="285"/>
      <c r="ET13" s="283" t="str">
        <f xml:space="preserve"> 'WK2015'!FI1</f>
        <v>Tertio kompakt 2015</v>
      </c>
      <c r="EU13" s="283" t="str">
        <f xml:space="preserve"> 'WK2015'!FJ1</f>
        <v>Tertio kompakt 2015</v>
      </c>
      <c r="EV13" s="283" t="str">
        <f xml:space="preserve"> 'WK2015'!FM1</f>
        <v>Tertio kompakt 2015</v>
      </c>
      <c r="EW13" s="283" t="str">
        <f xml:space="preserve"> 'WK2015'!FN1</f>
        <v>Tertio kompakt 2015</v>
      </c>
      <c r="EX13" s="283" t="str">
        <f xml:space="preserve"> 'WK2015'!FO1</f>
        <v>Tertio kompakt 2015</v>
      </c>
      <c r="EY13" s="283" t="str">
        <f xml:space="preserve"> 'WK2015'!FP1</f>
        <v>Tertio kompakt 2015</v>
      </c>
      <c r="EZ13" s="284" t="str">
        <f xml:space="preserve"> 'WK2015'!FK1</f>
        <v>Tertio kompakt 2015</v>
      </c>
      <c r="FA13" s="285"/>
      <c r="FB13" s="283" t="str">
        <f xml:space="preserve"> 'WK2015'!FW1</f>
        <v>Primo zahn 2015</v>
      </c>
      <c r="FC13" s="283" t="str">
        <f xml:space="preserve"> 'WK2015'!FX1</f>
        <v>Primo zahn 2015</v>
      </c>
      <c r="FD13" s="283" t="str">
        <f xml:space="preserve"> 'WK2015'!GA1</f>
        <v>Primo zahn 2015</v>
      </c>
      <c r="FE13" s="283" t="str">
        <f xml:space="preserve"> 'WK2015'!GB1</f>
        <v>Primo zahn 2015</v>
      </c>
      <c r="FF13" s="283" t="str">
        <f xml:space="preserve"> 'WK2015'!GC1</f>
        <v>Primo zahn 2015</v>
      </c>
      <c r="FG13" s="283" t="str">
        <f xml:space="preserve"> 'WK2015'!GD1</f>
        <v>Primo zahn 2015</v>
      </c>
      <c r="FH13" s="284" t="str">
        <f xml:space="preserve"> 'WK2015'!FY1</f>
        <v>Primo zahn 2015</v>
      </c>
      <c r="FI13" s="285"/>
      <c r="FJ13" s="283" t="str">
        <f xml:space="preserve"> 'WK2015'!GK1</f>
        <v>GKV-Erg Primo stationär 2015</v>
      </c>
      <c r="FK13" s="283" t="str">
        <f xml:space="preserve"> 'WK2015'!GL1</f>
        <v>GKV-Erg Primo stationär 2015</v>
      </c>
      <c r="FL13" s="283" t="str">
        <f xml:space="preserve"> 'WK2015'!GO1</f>
        <v>GKV-Erg Primo stationär 2015</v>
      </c>
      <c r="FM13" s="283" t="str">
        <f xml:space="preserve"> 'WK2015'!GP1</f>
        <v>GKV-Erg Primo stationär 2015</v>
      </c>
      <c r="FN13" s="283" t="str">
        <f xml:space="preserve"> 'WK2015'!GQ1</f>
        <v>GKV-Erg Primo stationär 2015</v>
      </c>
      <c r="FO13" s="283" t="str">
        <f xml:space="preserve"> 'WK2015'!GR1</f>
        <v>GKV-Erg Primo stationär 2015</v>
      </c>
      <c r="FP13" s="284" t="str">
        <f xml:space="preserve"> 'WK2015'!GM1</f>
        <v>GKV-Erg Primo stationär 2015</v>
      </c>
      <c r="FQ13" s="286"/>
      <c r="FS13" s="283" t="str">
        <f xml:space="preserve"> 'WK2015'!H1</f>
        <v>Ambulant SB 30 2015</v>
      </c>
      <c r="FT13" s="283" t="str">
        <f xml:space="preserve"> 'WK2015'!I1</f>
        <v>Ambulant SB 30 2015</v>
      </c>
      <c r="FU13" s="283" t="str">
        <f xml:space="preserve"> 'WK2015'!L1</f>
        <v>Ambulant SB 30 2015</v>
      </c>
      <c r="FV13" s="283" t="str">
        <f xml:space="preserve"> 'WK2015'!M1</f>
        <v>Ambulant SB 30 2015</v>
      </c>
      <c r="FW13" s="283" t="str">
        <f xml:space="preserve"> 'WK2015'!N1</f>
        <v>Ambulant SB 30 2015</v>
      </c>
      <c r="FX13" s="283" t="str">
        <f xml:space="preserve"> 'WK2015'!O1</f>
        <v>Ambulant SB 30 2015</v>
      </c>
      <c r="FY13" s="295" t="str">
        <f xml:space="preserve"> FX13</f>
        <v>Ambulant SB 30 2015</v>
      </c>
      <c r="FZ13" s="244"/>
      <c r="GA13" s="283" t="str">
        <f xml:space="preserve"> 'WK2015'!HB1</f>
        <v>Ambulant SB 600 2015</v>
      </c>
      <c r="GB13" s="283" t="str">
        <f xml:space="preserve"> 'WK2015'!HC1</f>
        <v>Ambulant SB 600 2015</v>
      </c>
      <c r="GC13" s="283" t="str">
        <f xml:space="preserve"> 'WK2015'!HF1</f>
        <v>Ambulant SB 600 2015</v>
      </c>
      <c r="GD13" s="283" t="str">
        <f xml:space="preserve"> 'WK2015'!HG1</f>
        <v>Ambulant SB 600 2015</v>
      </c>
      <c r="GE13" s="283" t="str">
        <f xml:space="preserve"> 'WK2015'!HH1</f>
        <v>Ambulant SB 600 2015</v>
      </c>
      <c r="GF13" s="283" t="str">
        <f xml:space="preserve"> 'WK2015'!HI1</f>
        <v>Ambulant SB 600 2015</v>
      </c>
      <c r="GG13" s="295" t="str">
        <f xml:space="preserve"> GF13</f>
        <v>Ambulant SB 600 2015</v>
      </c>
      <c r="GI13" s="283" t="str">
        <f xml:space="preserve"> 'WK2015'!HQ1</f>
        <v>Ambulant SB 1600 2015</v>
      </c>
      <c r="GJ13" s="283" t="str">
        <f xml:space="preserve"> 'WK2015'!HR1</f>
        <v>Ambulant SB 1600 2015</v>
      </c>
      <c r="GK13" s="283" t="str">
        <f xml:space="preserve"> 'WK2015'!HU1</f>
        <v>Ambulant SB 1600 2015</v>
      </c>
      <c r="GL13" s="283" t="str">
        <f xml:space="preserve"> 'WK2015'!HV1</f>
        <v>Ambulant SB 1600 2015</v>
      </c>
      <c r="GM13" s="283" t="str">
        <f xml:space="preserve"> 'WK2015'!HW1</f>
        <v>Ambulant SB 1600 2015</v>
      </c>
      <c r="GN13" s="283" t="str">
        <f xml:space="preserve"> 'WK2015'!HX1</f>
        <v>Ambulant SB 1600 2015</v>
      </c>
      <c r="GO13" s="295" t="str">
        <f xml:space="preserve"> GN13</f>
        <v>Ambulant SB 1600 2015</v>
      </c>
      <c r="GP13" s="244"/>
      <c r="GQ13" s="244"/>
    </row>
    <row r="14" spans="1:199" s="248" customFormat="1" ht="20.399999999999999" x14ac:dyDescent="0.2">
      <c r="D14" s="137" t="str">
        <f xml:space="preserve"> BE_M_</f>
        <v>M</v>
      </c>
      <c r="E14" s="137" t="str">
        <f xml:space="preserve"> BE_F_</f>
        <v>F</v>
      </c>
      <c r="H14" s="137" t="str">
        <f xml:space="preserve"> BE_M_</f>
        <v>M</v>
      </c>
      <c r="I14" s="137" t="str">
        <f xml:space="preserve"> BE_F_</f>
        <v>F</v>
      </c>
      <c r="J14" s="137" t="str">
        <f xml:space="preserve"> BE_M_ &amp; " " &amp; SML</f>
        <v>M SML</v>
      </c>
      <c r="K14" s="137" t="str">
        <f xml:space="preserve"> BE_F_ &amp; " " &amp; SML</f>
        <v>F SML</v>
      </c>
      <c r="L14" s="137" t="str">
        <f xml:space="preserve"> BE_M_ &amp; " " &amp; SML &amp; " " &amp; SML_vSML_glvert</f>
        <v>M SML glvert</v>
      </c>
      <c r="M14" s="137" t="str">
        <f xml:space="preserve"> BE_F_ &amp; " " &amp; SML &amp; " " &amp; SML_vSML_glvert</f>
        <v>F SML glvert</v>
      </c>
      <c r="N14" s="249" t="str">
        <f xml:space="preserve"> N1</f>
        <v>λ_x</v>
      </c>
      <c r="P14" s="137" t="str">
        <f xml:space="preserve"> BE_M_</f>
        <v>M</v>
      </c>
      <c r="Q14" s="137" t="str">
        <f xml:space="preserve"> BE_F_</f>
        <v>F</v>
      </c>
      <c r="R14" s="137" t="str">
        <f xml:space="preserve"> BE_M_ &amp; " " &amp; SML</f>
        <v>M SML</v>
      </c>
      <c r="S14" s="137" t="str">
        <f xml:space="preserve"> BE_F_ &amp; " " &amp; SML</f>
        <v>F SML</v>
      </c>
      <c r="T14" s="137" t="str">
        <f xml:space="preserve"> BE_M_ &amp; " " &amp; SML &amp; " " &amp; SML_vSML_glvert</f>
        <v>M SML glvert</v>
      </c>
      <c r="U14" s="137" t="str">
        <f xml:space="preserve"> BE_F_ &amp; " " &amp; SML &amp; " " &amp; SML_vSML_glvert</f>
        <v>F SML glvert</v>
      </c>
      <c r="V14" s="249" t="str">
        <f xml:space="preserve"> V1</f>
        <v>λ_x</v>
      </c>
      <c r="X14" s="137" t="str">
        <f xml:space="preserve"> BE_M_</f>
        <v>M</v>
      </c>
      <c r="Y14" s="137" t="str">
        <f xml:space="preserve"> BE_F_</f>
        <v>F</v>
      </c>
      <c r="Z14" s="137" t="str">
        <f xml:space="preserve"> BE_M_ &amp; " " &amp; SML</f>
        <v>M SML</v>
      </c>
      <c r="AA14" s="137" t="str">
        <f xml:space="preserve"> BE_F_ &amp; " " &amp; SML</f>
        <v>F SML</v>
      </c>
      <c r="AB14" s="137" t="str">
        <f xml:space="preserve"> BE_M_ &amp; " " &amp; SML &amp; " " &amp; SML_vSML_glvert</f>
        <v>M SML glvert</v>
      </c>
      <c r="AC14" s="137" t="str">
        <f xml:space="preserve"> BE_F_ &amp; " " &amp; SML &amp; " " &amp; SML_vSML_glvert</f>
        <v>F SML glvert</v>
      </c>
      <c r="AD14" s="249" t="str">
        <f xml:space="preserve"> AD1</f>
        <v>λ_x</v>
      </c>
      <c r="AF14" s="137" t="str">
        <f xml:space="preserve"> BE_M_</f>
        <v>M</v>
      </c>
      <c r="AG14" s="137" t="str">
        <f xml:space="preserve"> BE_F_</f>
        <v>F</v>
      </c>
      <c r="AH14" s="137" t="str">
        <f xml:space="preserve"> BE_M_ &amp; " " &amp; SML</f>
        <v>M SML</v>
      </c>
      <c r="AI14" s="137" t="str">
        <f xml:space="preserve"> BE_F_ &amp; " " &amp; SML</f>
        <v>F SML</v>
      </c>
      <c r="AJ14" s="137" t="str">
        <f xml:space="preserve"> BE_M_ &amp; " " &amp; SML &amp; " " &amp; SML_vSML_glvert</f>
        <v>M SML glvert</v>
      </c>
      <c r="AK14" s="137" t="str">
        <f xml:space="preserve"> BE_F_ &amp; " " &amp; SML &amp; " " &amp; SML_vSML_glvert</f>
        <v>F SML glvert</v>
      </c>
      <c r="AL14" s="249" t="str">
        <f xml:space="preserve"> AL1</f>
        <v>λ_x</v>
      </c>
      <c r="AN14" s="137" t="str">
        <f xml:space="preserve"> 'WK2012'!GK4</f>
        <v>M mSML</v>
      </c>
      <c r="AO14" s="137" t="str">
        <f xml:space="preserve"> 'WK2012'!GL4</f>
        <v>F mSML</v>
      </c>
      <c r="AP14" s="137" t="str">
        <f xml:space="preserve"> 'WK2012'!GO4</f>
        <v>M vSML</v>
      </c>
      <c r="AQ14" s="137" t="str">
        <f xml:space="preserve"> 'WK2012'!GP4</f>
        <v>F vSML</v>
      </c>
      <c r="AR14" s="137" t="str">
        <f xml:space="preserve"> 'WK2012'!GQ4</f>
        <v>M vSML/glvert</v>
      </c>
      <c r="AS14" s="137" t="str">
        <f xml:space="preserve"> 'WK2012'!GR4</f>
        <v>F vSML/glvert</v>
      </c>
      <c r="AT14" s="249" t="str">
        <f xml:space="preserve"> 'WK2012'!GM4</f>
        <v>λ_x</v>
      </c>
      <c r="AX14" s="137" t="str">
        <f xml:space="preserve"> 'WK2013'!EG2</f>
        <v>M mSML</v>
      </c>
      <c r="AY14" s="137" t="str">
        <f xml:space="preserve"> 'WK2013'!EH2</f>
        <v>F mSML</v>
      </c>
      <c r="AZ14" s="137" t="str">
        <f xml:space="preserve"> 'WK2013'!EK2</f>
        <v>M vSML</v>
      </c>
      <c r="BA14" s="137" t="str">
        <f xml:space="preserve"> 'WK2013'!EL2</f>
        <v>F vSML</v>
      </c>
      <c r="BB14" s="137" t="str">
        <f xml:space="preserve"> 'WK2013'!EM2</f>
        <v>M vSML/glvert</v>
      </c>
      <c r="BC14" s="137" t="str">
        <f xml:space="preserve"> 'WK2013'!EN2</f>
        <v>F vSML/glvert</v>
      </c>
      <c r="BD14" s="137" t="str">
        <f xml:space="preserve"> 'WK2013'!EI2</f>
        <v>λ_x</v>
      </c>
      <c r="BE14" s="245"/>
      <c r="BF14" s="137" t="str">
        <f xml:space="preserve"> 'WK2013'!EU2</f>
        <v>M mSML</v>
      </c>
      <c r="BG14" s="137" t="str">
        <f xml:space="preserve"> 'WK2013'!EV2</f>
        <v>F mSML</v>
      </c>
      <c r="BH14" s="137" t="str">
        <f xml:space="preserve"> 'WK2013'!EY2</f>
        <v>M vSML</v>
      </c>
      <c r="BI14" s="137" t="str">
        <f xml:space="preserve"> 'WK2013'!EZ2</f>
        <v>F vSML</v>
      </c>
      <c r="BJ14" s="137" t="str">
        <f xml:space="preserve"> 'WK2013'!FA2</f>
        <v>M vSML/glvert</v>
      </c>
      <c r="BK14" s="137" t="str">
        <f xml:space="preserve"> 'WK2013'!FB2</f>
        <v>F vSML/glvert</v>
      </c>
      <c r="BL14" s="137" t="str">
        <f xml:space="preserve"> 'WK2013'!EW2</f>
        <v>λ_x</v>
      </c>
      <c r="BM14" s="245"/>
      <c r="BN14" s="137" t="str">
        <f xml:space="preserve"> 'WK2013'!FI2</f>
        <v>M mSML</v>
      </c>
      <c r="BO14" s="137" t="str">
        <f xml:space="preserve"> 'WK2013'!FJ2</f>
        <v>F mSML</v>
      </c>
      <c r="BP14" s="137" t="str">
        <f xml:space="preserve"> 'WK2013'!FM2</f>
        <v>M vSML</v>
      </c>
      <c r="BQ14" s="137" t="str">
        <f xml:space="preserve"> 'WK2013'!FN2</f>
        <v>F vSML</v>
      </c>
      <c r="BR14" s="137" t="str">
        <f xml:space="preserve"> 'WK2013'!FO2</f>
        <v>M vSML/glvert</v>
      </c>
      <c r="BS14" s="137" t="str">
        <f xml:space="preserve"> 'WK2013'!FP2</f>
        <v>F vSML/glvert</v>
      </c>
      <c r="BT14" s="137" t="str">
        <f xml:space="preserve"> 'WK2013'!FK2</f>
        <v>λ_x</v>
      </c>
      <c r="BU14" s="245"/>
      <c r="BV14" s="137" t="str">
        <f xml:space="preserve"> 'WK2013'!FW2</f>
        <v>M mSML</v>
      </c>
      <c r="BW14" s="137" t="str">
        <f xml:space="preserve"> 'WK2013'!FX2</f>
        <v>F mSML</v>
      </c>
      <c r="BX14" s="137" t="str">
        <f xml:space="preserve"> 'WK2013'!GA2</f>
        <v>M vSML</v>
      </c>
      <c r="BY14" s="137" t="str">
        <f xml:space="preserve"> 'WK2013'!GB2</f>
        <v>F vSML</v>
      </c>
      <c r="BZ14" s="137" t="str">
        <f xml:space="preserve"> 'WK2013'!GC2</f>
        <v>M vSML/glvert</v>
      </c>
      <c r="CA14" s="137" t="str">
        <f xml:space="preserve"> 'WK2013'!GD2</f>
        <v>F vSML/glvert</v>
      </c>
      <c r="CB14" s="137" t="str">
        <f xml:space="preserve"> 'WK2013'!FY2</f>
        <v>λ_x</v>
      </c>
      <c r="CC14" s="245"/>
      <c r="CD14" s="137" t="str">
        <f xml:space="preserve"> 'WK2013'!GK2</f>
        <v>M mSML</v>
      </c>
      <c r="CE14" s="137" t="str">
        <f xml:space="preserve"> 'WK2013'!GL2</f>
        <v>F mSML</v>
      </c>
      <c r="CF14" s="137" t="str">
        <f xml:space="preserve"> 'WK2013'!GO2</f>
        <v>M vSML</v>
      </c>
      <c r="CG14" s="137" t="str">
        <f xml:space="preserve"> 'WK2013'!GP2</f>
        <v>F vSML</v>
      </c>
      <c r="CH14" s="137" t="str">
        <f xml:space="preserve"> 'WK2013'!GQ2</f>
        <v>M vSML/glvert</v>
      </c>
      <c r="CI14" s="137" t="str">
        <f xml:space="preserve"> 'WK2013'!GR2</f>
        <v>F vSML/glvert</v>
      </c>
      <c r="CJ14" s="137" t="str">
        <f xml:space="preserve"> 'WK2013'!GM2</f>
        <v>λ_x</v>
      </c>
      <c r="CN14" s="216" t="str">
        <f xml:space="preserve"> 'WK2014'!EG2</f>
        <v>M mSML</v>
      </c>
      <c r="CO14" s="216" t="str">
        <f xml:space="preserve"> 'WK2014'!EH2</f>
        <v>F mSML</v>
      </c>
      <c r="CP14" s="216" t="str">
        <f xml:space="preserve"> 'WK2014'!EK2</f>
        <v>M vSML</v>
      </c>
      <c r="CQ14" s="216" t="str">
        <f xml:space="preserve"> 'WK2014'!EL2</f>
        <v>F vSML</v>
      </c>
      <c r="CR14" s="216" t="str">
        <f xml:space="preserve"> 'WK2014'!EM2</f>
        <v>M vSML/glvert</v>
      </c>
      <c r="CS14" s="216" t="str">
        <f xml:space="preserve"> 'WK2014'!EN2</f>
        <v>F vSML/glvert</v>
      </c>
      <c r="CT14" s="138" t="str">
        <f xml:space="preserve"> 'WK2014'!EI2</f>
        <v>λ_x</v>
      </c>
      <c r="CU14" s="245"/>
      <c r="CV14" s="216" t="str">
        <f xml:space="preserve"> 'WK2014'!EU2</f>
        <v>M mSML</v>
      </c>
      <c r="CW14" s="216" t="str">
        <f xml:space="preserve"> 'WK2014'!EV2</f>
        <v>F mSML</v>
      </c>
      <c r="CX14" s="216" t="str">
        <f xml:space="preserve"> 'WK2014'!EY2</f>
        <v>M vSML</v>
      </c>
      <c r="CY14" s="216" t="str">
        <f xml:space="preserve"> 'WK2014'!EZ2</f>
        <v>F vSML</v>
      </c>
      <c r="CZ14" s="216" t="str">
        <f xml:space="preserve"> 'WK2014'!FA2</f>
        <v>M vSML/glvert</v>
      </c>
      <c r="DA14" s="216" t="str">
        <f xml:space="preserve"> 'WK2014'!FB2</f>
        <v>F vSML/glvert</v>
      </c>
      <c r="DB14" s="138" t="str">
        <f xml:space="preserve"> 'WK2014'!EW2</f>
        <v>λ_x</v>
      </c>
      <c r="DC14" s="245"/>
      <c r="DD14" s="216" t="str">
        <f xml:space="preserve"> 'WK2014'!FI2</f>
        <v>M mSML</v>
      </c>
      <c r="DE14" s="216" t="str">
        <f xml:space="preserve"> 'WK2014'!FJ2</f>
        <v>F mSML</v>
      </c>
      <c r="DF14" s="216" t="str">
        <f xml:space="preserve"> 'WK2014'!FM2</f>
        <v>M vSML</v>
      </c>
      <c r="DG14" s="216" t="str">
        <f xml:space="preserve"> 'WK2014'!FN2</f>
        <v>F vSML</v>
      </c>
      <c r="DH14" s="216" t="str">
        <f xml:space="preserve"> 'WK2014'!FO2</f>
        <v>M vSML/glvert</v>
      </c>
      <c r="DI14" s="216" t="str">
        <f xml:space="preserve"> 'WK2014'!FP2</f>
        <v>F vSML/glvert</v>
      </c>
      <c r="DJ14" s="138" t="str">
        <f xml:space="preserve"> 'WK2014'!FK2</f>
        <v>λ_x</v>
      </c>
      <c r="DK14" s="245"/>
      <c r="DL14" s="216" t="str">
        <f xml:space="preserve"> 'WK2014'!FW2</f>
        <v>M mSML</v>
      </c>
      <c r="DM14" s="216" t="str">
        <f xml:space="preserve"> 'WK2014'!FX2</f>
        <v>F mSML</v>
      </c>
      <c r="DN14" s="216" t="str">
        <f xml:space="preserve"> 'WK2014'!GA2</f>
        <v>M vSML</v>
      </c>
      <c r="DO14" s="216" t="str">
        <f xml:space="preserve"> 'WK2014'!GB2</f>
        <v>F vSML</v>
      </c>
      <c r="DP14" s="216" t="str">
        <f xml:space="preserve"> 'WK2014'!GC2</f>
        <v>M vSML/glvert</v>
      </c>
      <c r="DQ14" s="216" t="str">
        <f xml:space="preserve"> 'WK2014'!GD2</f>
        <v>F vSML/glvert</v>
      </c>
      <c r="DR14" s="138" t="str">
        <f xml:space="preserve"> 'WK2014'!FY2</f>
        <v>λ_x</v>
      </c>
      <c r="DS14" s="245"/>
      <c r="DT14" s="216" t="str">
        <f xml:space="preserve"> 'WK2014'!GK2</f>
        <v>M mSML</v>
      </c>
      <c r="DU14" s="216" t="str">
        <f xml:space="preserve"> 'WK2014'!GL2</f>
        <v>F mSML</v>
      </c>
      <c r="DV14" s="216" t="str">
        <f xml:space="preserve"> 'WK2014'!GO2</f>
        <v>M vSML</v>
      </c>
      <c r="DW14" s="216" t="str">
        <f xml:space="preserve"> 'WK2014'!GP2</f>
        <v>F vSML</v>
      </c>
      <c r="DX14" s="216" t="str">
        <f xml:space="preserve"> 'WK2014'!GQ2</f>
        <v>M vSML/glvert</v>
      </c>
      <c r="DY14" s="216" t="str">
        <f xml:space="preserve"> 'WK2014'!GR2</f>
        <v>F vSML/glvert</v>
      </c>
      <c r="DZ14" s="138" t="str">
        <f xml:space="preserve"> 'WK2014'!GM2</f>
        <v>λ_x</v>
      </c>
      <c r="EA14" s="247"/>
      <c r="EB14" s="247"/>
      <c r="EC14" s="247"/>
      <c r="ED14" s="283" t="str">
        <f xml:space="preserve"> 'WK2015'!EG2</f>
        <v>M mSML</v>
      </c>
      <c r="EE14" s="283" t="str">
        <f xml:space="preserve"> 'WK2015'!EH2</f>
        <v>F mSML</v>
      </c>
      <c r="EF14" s="283" t="str">
        <f xml:space="preserve"> 'WK2015'!EK2</f>
        <v>M vSML</v>
      </c>
      <c r="EG14" s="283" t="str">
        <f xml:space="preserve"> 'WK2015'!EL2</f>
        <v>F vSML</v>
      </c>
      <c r="EH14" s="283" t="str">
        <f xml:space="preserve"> 'WK2015'!EM2</f>
        <v>M vSML/glvert</v>
      </c>
      <c r="EI14" s="283" t="str">
        <f xml:space="preserve"> 'WK2015'!EN2</f>
        <v>F vSML/glvert</v>
      </c>
      <c r="EJ14" s="284" t="str">
        <f xml:space="preserve"> 'WK2015'!EI2</f>
        <v>λ_x</v>
      </c>
      <c r="EK14" s="285"/>
      <c r="EL14" s="283" t="str">
        <f xml:space="preserve"> 'WK2015'!EU2</f>
        <v>M mSML</v>
      </c>
      <c r="EM14" s="283" t="str">
        <f xml:space="preserve"> 'WK2015'!EV2</f>
        <v>F mSML</v>
      </c>
      <c r="EN14" s="283" t="str">
        <f xml:space="preserve"> 'WK2015'!EY2</f>
        <v>M vSML</v>
      </c>
      <c r="EO14" s="283" t="str">
        <f xml:space="preserve"> 'WK2015'!EZ2</f>
        <v>F vSML</v>
      </c>
      <c r="EP14" s="283" t="str">
        <f xml:space="preserve"> 'WK2015'!FA2</f>
        <v>M vSML/glvert</v>
      </c>
      <c r="EQ14" s="283" t="str">
        <f xml:space="preserve"> 'WK2015'!FB2</f>
        <v>F vSML/glvert</v>
      </c>
      <c r="ER14" s="284" t="str">
        <f xml:space="preserve"> 'WK2015'!EW2</f>
        <v>λ_x</v>
      </c>
      <c r="ES14" s="285"/>
      <c r="ET14" s="283" t="str">
        <f xml:space="preserve"> 'WK2015'!FI2</f>
        <v>M mSML</v>
      </c>
      <c r="EU14" s="283" t="str">
        <f xml:space="preserve"> 'WK2015'!FJ2</f>
        <v>F mSML</v>
      </c>
      <c r="EV14" s="283" t="str">
        <f xml:space="preserve"> 'WK2015'!FM2</f>
        <v>M vSML</v>
      </c>
      <c r="EW14" s="283" t="str">
        <f xml:space="preserve"> 'WK2015'!FN2</f>
        <v>F vSML</v>
      </c>
      <c r="EX14" s="283" t="str">
        <f xml:space="preserve"> 'WK2015'!FO2</f>
        <v>M vSML/glvert</v>
      </c>
      <c r="EY14" s="283" t="str">
        <f xml:space="preserve"> 'WK2015'!FP2</f>
        <v>F vSML/glvert</v>
      </c>
      <c r="EZ14" s="284" t="str">
        <f xml:space="preserve"> 'WK2015'!FK2</f>
        <v>λ_x</v>
      </c>
      <c r="FA14" s="285"/>
      <c r="FB14" s="283" t="str">
        <f xml:space="preserve"> 'WK2015'!FW2</f>
        <v>M mSML</v>
      </c>
      <c r="FC14" s="283" t="str">
        <f xml:space="preserve"> 'WK2015'!FX2</f>
        <v>F mSML</v>
      </c>
      <c r="FD14" s="283" t="str">
        <f xml:space="preserve"> 'WK2015'!GA2</f>
        <v>M vSML</v>
      </c>
      <c r="FE14" s="283" t="str">
        <f xml:space="preserve"> 'WK2015'!GB2</f>
        <v>F vSML</v>
      </c>
      <c r="FF14" s="283" t="str">
        <f xml:space="preserve"> 'WK2015'!GC2</f>
        <v>M vSML/glvert</v>
      </c>
      <c r="FG14" s="283" t="str">
        <f xml:space="preserve"> 'WK2015'!GD2</f>
        <v>F vSML/glvert</v>
      </c>
      <c r="FH14" s="284" t="str">
        <f xml:space="preserve"> 'WK2015'!FY2</f>
        <v>λ_x</v>
      </c>
      <c r="FI14" s="285"/>
      <c r="FJ14" s="283" t="str">
        <f xml:space="preserve"> 'WK2015'!GK2</f>
        <v>M mSML</v>
      </c>
      <c r="FK14" s="283" t="str">
        <f xml:space="preserve"> 'WK2015'!GL2</f>
        <v>F mSML</v>
      </c>
      <c r="FL14" s="283" t="str">
        <f xml:space="preserve"> 'WK2015'!GO2</f>
        <v>M vSML</v>
      </c>
      <c r="FM14" s="283" t="str">
        <f xml:space="preserve"> 'WK2015'!GP2</f>
        <v>F vSML</v>
      </c>
      <c r="FN14" s="283" t="str">
        <f xml:space="preserve"> 'WK2015'!GQ2</f>
        <v>M vSML/glvert</v>
      </c>
      <c r="FO14" s="283" t="str">
        <f xml:space="preserve"> 'WK2015'!GR2</f>
        <v>F vSML/glvert</v>
      </c>
      <c r="FP14" s="284" t="str">
        <f xml:space="preserve"> 'WK2015'!GM2</f>
        <v>λ_x</v>
      </c>
      <c r="FQ14" s="286"/>
      <c r="FS14" s="283" t="str">
        <f xml:space="preserve"> 'WK2015'!H2</f>
        <v>M mSML</v>
      </c>
      <c r="FT14" s="283" t="str">
        <f xml:space="preserve"> 'WK2015'!I2</f>
        <v>F mSML</v>
      </c>
      <c r="FU14" s="283" t="str">
        <f xml:space="preserve"> 'WK2015'!L2</f>
        <v>M vSML</v>
      </c>
      <c r="FV14" s="283" t="str">
        <f xml:space="preserve"> 'WK2015'!M2</f>
        <v>F vSML</v>
      </c>
      <c r="FW14" s="283" t="str">
        <f xml:space="preserve"> 'WK2015'!N2</f>
        <v>M vSML/glvert</v>
      </c>
      <c r="FX14" s="283" t="str">
        <f xml:space="preserve"> 'WK2015'!O2</f>
        <v>F vSML/glvert</v>
      </c>
      <c r="FY14" s="294" t="str">
        <f xml:space="preserve"> lambdax</f>
        <v>λ_x</v>
      </c>
      <c r="FZ14" s="244"/>
      <c r="GA14" s="283" t="str">
        <f xml:space="preserve"> 'WK2015'!HB2</f>
        <v>M mSML</v>
      </c>
      <c r="GB14" s="283" t="str">
        <f xml:space="preserve"> 'WK2015'!HC2</f>
        <v>F mSML</v>
      </c>
      <c r="GC14" s="283" t="str">
        <f xml:space="preserve"> 'WK2015'!HF2</f>
        <v>M vSML</v>
      </c>
      <c r="GD14" s="283" t="str">
        <f xml:space="preserve"> 'WK2015'!HG2</f>
        <v>F vSML</v>
      </c>
      <c r="GE14" s="283" t="str">
        <f xml:space="preserve"> 'WK2015'!HH2</f>
        <v>M vSML/glvert</v>
      </c>
      <c r="GF14" s="283" t="str">
        <f xml:space="preserve"> 'WK2015'!HI2</f>
        <v>F vSML/glvert</v>
      </c>
      <c r="GG14" s="294" t="str">
        <f xml:space="preserve"> lambdax</f>
        <v>λ_x</v>
      </c>
      <c r="GI14" s="283" t="str">
        <f xml:space="preserve"> 'WK2015'!HQ2</f>
        <v>M mSML</v>
      </c>
      <c r="GJ14" s="283" t="str">
        <f xml:space="preserve"> 'WK2015'!HR2</f>
        <v>F mSML</v>
      </c>
      <c r="GK14" s="283" t="str">
        <f xml:space="preserve"> 'WK2015'!HU2</f>
        <v>M vSML</v>
      </c>
      <c r="GL14" s="283" t="str">
        <f xml:space="preserve"> 'WK2015'!HV2</f>
        <v>F vSML</v>
      </c>
      <c r="GM14" s="283" t="str">
        <f xml:space="preserve"> 'WK2015'!HW2</f>
        <v>M vSML/glvert</v>
      </c>
      <c r="GN14" s="283" t="str">
        <f xml:space="preserve"> 'WK2015'!HX2</f>
        <v>F vSML/glvert</v>
      </c>
      <c r="GO14" s="294" t="str">
        <f xml:space="preserve"> lambdax</f>
        <v>λ_x</v>
      </c>
      <c r="GP14" s="244"/>
      <c r="GQ14" s="244"/>
    </row>
    <row r="15" spans="1:199" s="145" customFormat="1" x14ac:dyDescent="0.2">
      <c r="A15" s="146" t="str">
        <f t="shared" ref="A15:BM15" si="3" xml:space="preserve"> A13 &amp; " # " &amp; A14</f>
        <v xml:space="preserve"> # </v>
      </c>
      <c r="B15" s="146" t="str">
        <f t="shared" si="3"/>
        <v xml:space="preserve"> # </v>
      </c>
      <c r="C15" s="146" t="str">
        <f t="shared" si="3"/>
        <v xml:space="preserve"> # </v>
      </c>
      <c r="D15" s="146" t="str">
        <f t="shared" si="3"/>
        <v>Nix # M</v>
      </c>
      <c r="E15" s="146" t="str">
        <f t="shared" si="3"/>
        <v>Nix # F</v>
      </c>
      <c r="F15" s="146" t="str">
        <f t="shared" si="3"/>
        <v xml:space="preserve"> # </v>
      </c>
      <c r="G15" s="146" t="str">
        <f t="shared" si="3"/>
        <v xml:space="preserve"> # </v>
      </c>
      <c r="H15" s="146" t="str">
        <f t="shared" si="3"/>
        <v>Primo kompakt 2012 # M</v>
      </c>
      <c r="I15" s="146" t="str">
        <f t="shared" si="3"/>
        <v>Primo kompakt 2012 # F</v>
      </c>
      <c r="J15" s="146" t="str">
        <f t="shared" si="3"/>
        <v>Primo kompakt 2012 # M SML</v>
      </c>
      <c r="K15" s="146" t="str">
        <f t="shared" si="3"/>
        <v>Primo kompakt 2012 # F SML</v>
      </c>
      <c r="L15" s="146" t="str">
        <f t="shared" si="3"/>
        <v>Primo kompakt 2012 # M SML glvert</v>
      </c>
      <c r="M15" s="146" t="str">
        <f t="shared" si="3"/>
        <v>Primo kompakt 2012 # F SML glvert</v>
      </c>
      <c r="N15" s="146" t="str">
        <f t="shared" si="3"/>
        <v>Primo kompakt 2012 # λ_x</v>
      </c>
      <c r="O15" s="146" t="str">
        <f t="shared" si="3"/>
        <v xml:space="preserve"> # </v>
      </c>
      <c r="P15" s="146" t="str">
        <f t="shared" si="3"/>
        <v>Secundo kompakt 2012 # M</v>
      </c>
      <c r="Q15" s="146" t="str">
        <f t="shared" si="3"/>
        <v>Secundo kompakt 2012 # F</v>
      </c>
      <c r="R15" s="146" t="str">
        <f t="shared" si="3"/>
        <v>Secundo kompakt 2012 # M SML</v>
      </c>
      <c r="S15" s="146" t="str">
        <f t="shared" si="3"/>
        <v>Secundo kompakt 2012 # F SML</v>
      </c>
      <c r="T15" s="146" t="str">
        <f t="shared" si="3"/>
        <v>Secundo kompakt 2012 # M SML glvert</v>
      </c>
      <c r="U15" s="146" t="str">
        <f t="shared" si="3"/>
        <v>Secundo kompakt 2012 # F SML glvert</v>
      </c>
      <c r="V15" s="146" t="str">
        <f t="shared" si="3"/>
        <v>Secundo kompakt 2012 # λ_x</v>
      </c>
      <c r="W15" s="146" t="str">
        <f t="shared" si="3"/>
        <v xml:space="preserve"> # </v>
      </c>
      <c r="X15" s="146" t="str">
        <f t="shared" si="3"/>
        <v>Tertio kompakt 2012 # M</v>
      </c>
      <c r="Y15" s="146" t="str">
        <f t="shared" si="3"/>
        <v>Tertio kompakt 2012 # F</v>
      </c>
      <c r="Z15" s="146" t="str">
        <f t="shared" si="3"/>
        <v>Tertio kompakt 2012 # M SML</v>
      </c>
      <c r="AA15" s="146" t="str">
        <f t="shared" si="3"/>
        <v>Tertio kompakt 2012 # F SML</v>
      </c>
      <c r="AB15" s="146" t="str">
        <f t="shared" si="3"/>
        <v>Tertio kompakt 2012 # M SML glvert</v>
      </c>
      <c r="AC15" s="146" t="str">
        <f t="shared" si="3"/>
        <v>Tertio kompakt 2012 # F SML glvert</v>
      </c>
      <c r="AD15" s="146" t="str">
        <f t="shared" si="3"/>
        <v>Tertio kompakt 2012 # λ_x</v>
      </c>
      <c r="AE15" s="146" t="str">
        <f t="shared" si="3"/>
        <v xml:space="preserve"> # </v>
      </c>
      <c r="AF15" s="146" t="str">
        <f t="shared" si="3"/>
        <v>GKV-Erg Primo stationär 2012 # M</v>
      </c>
      <c r="AG15" s="146" t="str">
        <f t="shared" si="3"/>
        <v>GKV-Erg Primo stationär 2012 # F</v>
      </c>
      <c r="AH15" s="146" t="str">
        <f t="shared" si="3"/>
        <v>GKV-Erg Primo stationär 2012 # M SML</v>
      </c>
      <c r="AI15" s="146" t="str">
        <f t="shared" si="3"/>
        <v>GKV-Erg Primo stationär 2012 # F SML</v>
      </c>
      <c r="AJ15" s="146" t="str">
        <f t="shared" si="3"/>
        <v>GKV-Erg Primo stationär 2012 # M SML glvert</v>
      </c>
      <c r="AK15" s="146" t="str">
        <f t="shared" si="3"/>
        <v>GKV-Erg Primo stationär 2012 # F SML glvert</v>
      </c>
      <c r="AL15" s="146" t="str">
        <f t="shared" si="3"/>
        <v>GKV-Erg Primo stationär 2012 # λ_x</v>
      </c>
      <c r="AM15" s="146" t="str">
        <f t="shared" si="3"/>
        <v xml:space="preserve"> # </v>
      </c>
      <c r="AN15" s="146" t="str">
        <f t="shared" si="3"/>
        <v>Primo zahn 2012 # M mSML</v>
      </c>
      <c r="AO15" s="146" t="str">
        <f t="shared" si="3"/>
        <v>Primo zahn 2012 # F mSML</v>
      </c>
      <c r="AP15" s="146" t="str">
        <f t="shared" si="3"/>
        <v>Primo zahn 2012 # M vSML</v>
      </c>
      <c r="AQ15" s="146" t="str">
        <f t="shared" si="3"/>
        <v>Primo zahn 2012 # F vSML</v>
      </c>
      <c r="AR15" s="146" t="str">
        <f t="shared" si="3"/>
        <v>Primo zahn 2012 # M vSML/glvert</v>
      </c>
      <c r="AS15" s="146" t="str">
        <f t="shared" si="3"/>
        <v>Primo zahn 2012 # F vSML/glvert</v>
      </c>
      <c r="AT15" s="146" t="str">
        <f t="shared" si="3"/>
        <v>Primo zahn 2012 # λ_x</v>
      </c>
      <c r="AU15" s="146" t="str">
        <f t="shared" si="3"/>
        <v xml:space="preserve"> # </v>
      </c>
      <c r="AV15" s="146" t="str">
        <f xml:space="preserve"> AV13 &amp; " # " &amp; AV14</f>
        <v xml:space="preserve"> # </v>
      </c>
      <c r="AW15" s="146" t="str">
        <f t="shared" si="3"/>
        <v xml:space="preserve"> # </v>
      </c>
      <c r="AX15" s="146" t="str">
        <f t="shared" si="3"/>
        <v>Primo kompakt 2013 # M mSML</v>
      </c>
      <c r="AY15" s="146" t="str">
        <f t="shared" si="3"/>
        <v>Primo kompakt 2013 # F mSML</v>
      </c>
      <c r="AZ15" s="146" t="str">
        <f t="shared" si="3"/>
        <v>Primo kompakt 2013 # M vSML</v>
      </c>
      <c r="BA15" s="146" t="str">
        <f t="shared" si="3"/>
        <v>Primo kompakt 2013 # F vSML</v>
      </c>
      <c r="BB15" s="146" t="str">
        <f t="shared" si="3"/>
        <v>Primo kompakt 2013 # M vSML/glvert</v>
      </c>
      <c r="BC15" s="146" t="str">
        <f t="shared" si="3"/>
        <v>Primo kompakt 2013 # F vSML/glvert</v>
      </c>
      <c r="BD15" s="146" t="str">
        <f t="shared" si="3"/>
        <v>Primo kompakt 2013 # λ_x</v>
      </c>
      <c r="BE15" s="146" t="str">
        <f t="shared" si="3"/>
        <v xml:space="preserve"> # </v>
      </c>
      <c r="BF15" s="146" t="str">
        <f t="shared" si="3"/>
        <v>Secundo kompakt 2013 # M mSML</v>
      </c>
      <c r="BG15" s="146" t="str">
        <f t="shared" si="3"/>
        <v>Secundo kompakt 2013 # F mSML</v>
      </c>
      <c r="BH15" s="146" t="str">
        <f t="shared" si="3"/>
        <v>Secundo kompakt 2013 # M vSML</v>
      </c>
      <c r="BI15" s="146" t="str">
        <f t="shared" si="3"/>
        <v>Secundo kompakt 2013 # F vSML</v>
      </c>
      <c r="BJ15" s="146" t="str">
        <f t="shared" si="3"/>
        <v>Secundo kompakt 2013 # M vSML/glvert</v>
      </c>
      <c r="BK15" s="146" t="str">
        <f t="shared" si="3"/>
        <v>Secundo kompakt 2013 # F vSML/glvert</v>
      </c>
      <c r="BL15" s="146" t="str">
        <f t="shared" si="3"/>
        <v>Secundo kompakt 2013 # λ_x</v>
      </c>
      <c r="BM15" s="146" t="str">
        <f t="shared" si="3"/>
        <v xml:space="preserve"> # </v>
      </c>
      <c r="BN15" s="146" t="str">
        <f t="shared" ref="BN15:DX15" si="4" xml:space="preserve"> BN13 &amp; " # " &amp; BN14</f>
        <v>Tertio kompakt 2013 # M mSML</v>
      </c>
      <c r="BO15" s="146" t="str">
        <f t="shared" si="4"/>
        <v>Tertio kompakt 2013 # F mSML</v>
      </c>
      <c r="BP15" s="146" t="str">
        <f t="shared" si="4"/>
        <v>Tertio kompakt 2013 # M vSML</v>
      </c>
      <c r="BQ15" s="146" t="str">
        <f t="shared" si="4"/>
        <v>Tertio kompakt 2013 # F vSML</v>
      </c>
      <c r="BR15" s="146" t="str">
        <f t="shared" si="4"/>
        <v>Tertio kompakt 2013 # M vSML/glvert</v>
      </c>
      <c r="BS15" s="146" t="str">
        <f t="shared" si="4"/>
        <v>Tertio kompakt 2013 # F vSML/glvert</v>
      </c>
      <c r="BT15" s="146" t="str">
        <f t="shared" si="4"/>
        <v>Tertio kompakt 2013 # λ_x</v>
      </c>
      <c r="BU15" s="146" t="str">
        <f t="shared" si="4"/>
        <v xml:space="preserve"> # </v>
      </c>
      <c r="BV15" s="146" t="str">
        <f t="shared" si="4"/>
        <v>Primo zahn 2013 # M mSML</v>
      </c>
      <c r="BW15" s="146" t="str">
        <f t="shared" si="4"/>
        <v>Primo zahn 2013 # F mSML</v>
      </c>
      <c r="BX15" s="146" t="str">
        <f t="shared" si="4"/>
        <v>Primo zahn 2013 # M vSML</v>
      </c>
      <c r="BY15" s="146" t="str">
        <f t="shared" si="4"/>
        <v>Primo zahn 2013 # F vSML</v>
      </c>
      <c r="BZ15" s="146" t="str">
        <f t="shared" si="4"/>
        <v>Primo zahn 2013 # M vSML/glvert</v>
      </c>
      <c r="CA15" s="146" t="str">
        <f t="shared" si="4"/>
        <v>Primo zahn 2013 # F vSML/glvert</v>
      </c>
      <c r="CB15" s="146" t="str">
        <f t="shared" si="4"/>
        <v>Primo zahn 2013 # λ_x</v>
      </c>
      <c r="CC15" s="146" t="str">
        <f t="shared" si="4"/>
        <v xml:space="preserve"> # </v>
      </c>
      <c r="CD15" s="146" t="str">
        <f t="shared" si="4"/>
        <v>GKV-Erg Primo stationär 2013 # M mSML</v>
      </c>
      <c r="CE15" s="146" t="str">
        <f t="shared" si="4"/>
        <v>GKV-Erg Primo stationär 2013 # F mSML</v>
      </c>
      <c r="CF15" s="146" t="str">
        <f t="shared" si="4"/>
        <v>GKV-Erg Primo stationär 2013 # M vSML</v>
      </c>
      <c r="CG15" s="146" t="str">
        <f t="shared" si="4"/>
        <v>GKV-Erg Primo stationär 2013 # F vSML</v>
      </c>
      <c r="CH15" s="146" t="str">
        <f t="shared" si="4"/>
        <v>GKV-Erg Primo stationär 2013 # M vSML/glvert</v>
      </c>
      <c r="CI15" s="146" t="str">
        <f t="shared" si="4"/>
        <v>GKV-Erg Primo stationär 2013 # F vSML/glvert</v>
      </c>
      <c r="CJ15" s="146" t="str">
        <f t="shared" si="4"/>
        <v>GKV-Erg Primo stationär 2013 # λ_x</v>
      </c>
      <c r="CK15" s="146" t="str">
        <f t="shared" si="4"/>
        <v xml:space="preserve"> # </v>
      </c>
      <c r="CL15" s="146" t="str">
        <f xml:space="preserve"> CL13 &amp; " # " &amp; CL14</f>
        <v xml:space="preserve"> # </v>
      </c>
      <c r="CM15" s="146" t="str">
        <f t="shared" si="4"/>
        <v xml:space="preserve"> # </v>
      </c>
      <c r="CN15" s="146" t="str">
        <f t="shared" si="4"/>
        <v>Primo kompakt 2014 # M mSML</v>
      </c>
      <c r="CO15" s="146" t="str">
        <f t="shared" si="4"/>
        <v>Primo kompakt 2014 # F mSML</v>
      </c>
      <c r="CP15" s="146" t="str">
        <f t="shared" si="4"/>
        <v>Primo kompakt 2014 # M vSML</v>
      </c>
      <c r="CQ15" s="146" t="str">
        <f t="shared" si="4"/>
        <v>Primo kompakt 2014 # F vSML</v>
      </c>
      <c r="CR15" s="146" t="str">
        <f t="shared" si="4"/>
        <v>Primo kompakt 2014 # M vSML/glvert</v>
      </c>
      <c r="CS15" s="146" t="str">
        <f t="shared" si="4"/>
        <v>Primo kompakt 2014 # F vSML/glvert</v>
      </c>
      <c r="CT15" s="146" t="str">
        <f t="shared" si="4"/>
        <v>Primo kompakt 2014 # λ_x</v>
      </c>
      <c r="CU15" s="146" t="str">
        <f t="shared" si="4"/>
        <v xml:space="preserve"> # </v>
      </c>
      <c r="CV15" s="146" t="str">
        <f t="shared" si="4"/>
        <v>Secundo kompakt 2014 # M mSML</v>
      </c>
      <c r="CW15" s="146" t="str">
        <f t="shared" si="4"/>
        <v>Secundo kompakt 2014 # F mSML</v>
      </c>
      <c r="CX15" s="146" t="str">
        <f t="shared" si="4"/>
        <v>Secundo kompakt 2014 # M vSML</v>
      </c>
      <c r="CY15" s="146" t="str">
        <f t="shared" si="4"/>
        <v>Secundo kompakt 2014 # F vSML</v>
      </c>
      <c r="CZ15" s="146" t="str">
        <f t="shared" si="4"/>
        <v>Secundo kompakt 2014 # M vSML/glvert</v>
      </c>
      <c r="DA15" s="146" t="str">
        <f t="shared" si="4"/>
        <v>Secundo kompakt 2014 # F vSML/glvert</v>
      </c>
      <c r="DB15" s="146" t="str">
        <f t="shared" si="4"/>
        <v>Secundo kompakt 2014 # λ_x</v>
      </c>
      <c r="DC15" s="146" t="str">
        <f t="shared" si="4"/>
        <v xml:space="preserve"> # </v>
      </c>
      <c r="DD15" s="146" t="str">
        <f t="shared" si="4"/>
        <v>Tertio kompakt 2014 # M mSML</v>
      </c>
      <c r="DE15" s="146" t="str">
        <f t="shared" si="4"/>
        <v>Tertio kompakt 2014 # F mSML</v>
      </c>
      <c r="DF15" s="146" t="str">
        <f t="shared" si="4"/>
        <v>Tertio kompakt 2014 # M vSML</v>
      </c>
      <c r="DG15" s="146" t="str">
        <f t="shared" si="4"/>
        <v>Tertio kompakt 2014 # F vSML</v>
      </c>
      <c r="DH15" s="146" t="str">
        <f t="shared" si="4"/>
        <v>Tertio kompakt 2014 # M vSML/glvert</v>
      </c>
      <c r="DI15" s="146" t="str">
        <f t="shared" si="4"/>
        <v>Tertio kompakt 2014 # F vSML/glvert</v>
      </c>
      <c r="DJ15" s="146" t="str">
        <f t="shared" si="4"/>
        <v>Tertio kompakt 2014 # λ_x</v>
      </c>
      <c r="DK15" s="146" t="str">
        <f t="shared" si="4"/>
        <v xml:space="preserve"> # </v>
      </c>
      <c r="DL15" s="146" t="str">
        <f t="shared" si="4"/>
        <v>Primo zahn 2014 # M mSML</v>
      </c>
      <c r="DM15" s="146" t="str">
        <f t="shared" si="4"/>
        <v>Primo zahn 2014 # F mSML</v>
      </c>
      <c r="DN15" s="146" t="str">
        <f t="shared" si="4"/>
        <v>Primo zahn 2014 # M vSML</v>
      </c>
      <c r="DO15" s="146" t="str">
        <f t="shared" si="4"/>
        <v>Primo zahn 2014 # F vSML</v>
      </c>
      <c r="DP15" s="146" t="str">
        <f t="shared" si="4"/>
        <v>Primo zahn 2014 # M vSML/glvert</v>
      </c>
      <c r="DQ15" s="146" t="str">
        <f t="shared" si="4"/>
        <v>Primo zahn 2014 # F vSML/glvert</v>
      </c>
      <c r="DR15" s="146" t="str">
        <f t="shared" si="4"/>
        <v>Primo zahn 2014 # λ_x</v>
      </c>
      <c r="DS15" s="146" t="str">
        <f t="shared" si="4"/>
        <v xml:space="preserve"> # </v>
      </c>
      <c r="DT15" s="146" t="str">
        <f t="shared" si="4"/>
        <v>GKV-Erg Primo stationär 2014 # M mSML</v>
      </c>
      <c r="DU15" s="146" t="str">
        <f t="shared" si="4"/>
        <v>GKV-Erg Primo stationär 2014 # F mSML</v>
      </c>
      <c r="DV15" s="146" t="str">
        <f t="shared" si="4"/>
        <v>GKV-Erg Primo stationär 2014 # M vSML</v>
      </c>
      <c r="DW15" s="146" t="str">
        <f t="shared" si="4"/>
        <v>GKV-Erg Primo stationär 2014 # F vSML</v>
      </c>
      <c r="DX15" s="146" t="str">
        <f t="shared" si="4"/>
        <v>GKV-Erg Primo stationär 2014 # M vSML/glvert</v>
      </c>
      <c r="DY15" s="146" t="str">
        <f xml:space="preserve"> DY13 &amp; " # " &amp; DY14</f>
        <v>GKV-Erg Primo stationär 2014 # F vSML/glvert</v>
      </c>
      <c r="DZ15" s="146" t="str">
        <f t="shared" ref="DZ15:FP15" si="5" xml:space="preserve"> DZ13 &amp; " # " &amp; DZ14</f>
        <v>GKV-Erg Primo stationär 2014 # λ_x</v>
      </c>
      <c r="EA15" s="146" t="str">
        <f t="shared" si="5"/>
        <v xml:space="preserve"> # </v>
      </c>
      <c r="EB15" s="146" t="str">
        <f t="shared" si="5"/>
        <v xml:space="preserve"> # </v>
      </c>
      <c r="EC15" s="146" t="str">
        <f t="shared" si="5"/>
        <v xml:space="preserve"> # </v>
      </c>
      <c r="ED15" s="146" t="str">
        <f t="shared" si="5"/>
        <v>Primo kompakt 2015 # M mSML</v>
      </c>
      <c r="EE15" s="146" t="str">
        <f t="shared" si="5"/>
        <v>Primo kompakt 2015 # F mSML</v>
      </c>
      <c r="EF15" s="146" t="str">
        <f t="shared" si="5"/>
        <v>Primo kompakt 2015 # M vSML</v>
      </c>
      <c r="EG15" s="146" t="str">
        <f t="shared" si="5"/>
        <v>Primo kompakt 2015 # F vSML</v>
      </c>
      <c r="EH15" s="146" t="str">
        <f t="shared" si="5"/>
        <v>Primo kompakt 2015 # M vSML/glvert</v>
      </c>
      <c r="EI15" s="146" t="str">
        <f t="shared" si="5"/>
        <v>Primo kompakt 2015 # F vSML/glvert</v>
      </c>
      <c r="EJ15" s="146" t="str">
        <f t="shared" si="5"/>
        <v>Primo kompakt 2015 # λ_x</v>
      </c>
      <c r="EK15" s="146" t="str">
        <f t="shared" si="5"/>
        <v xml:space="preserve"> # </v>
      </c>
      <c r="EL15" s="146" t="str">
        <f t="shared" si="5"/>
        <v>Secundo kompakt 2015 # M mSML</v>
      </c>
      <c r="EM15" s="146" t="str">
        <f t="shared" si="5"/>
        <v>Secundo kompakt 2015 # F mSML</v>
      </c>
      <c r="EN15" s="146" t="str">
        <f t="shared" si="5"/>
        <v>Secundo kompakt 2015 # M vSML</v>
      </c>
      <c r="EO15" s="146" t="str">
        <f t="shared" si="5"/>
        <v>Secundo kompakt 2015 # F vSML</v>
      </c>
      <c r="EP15" s="146" t="str">
        <f t="shared" si="5"/>
        <v>Secundo kompakt 2015 # M vSML/glvert</v>
      </c>
      <c r="EQ15" s="146" t="str">
        <f t="shared" si="5"/>
        <v>Secundo kompakt 2015 # F vSML/glvert</v>
      </c>
      <c r="ER15" s="146" t="str">
        <f t="shared" si="5"/>
        <v>Secundo kompakt 2015 # λ_x</v>
      </c>
      <c r="ES15" s="146" t="str">
        <f t="shared" si="5"/>
        <v xml:space="preserve"> # </v>
      </c>
      <c r="ET15" s="146" t="str">
        <f t="shared" si="5"/>
        <v>Tertio kompakt 2015 # M mSML</v>
      </c>
      <c r="EU15" s="146" t="str">
        <f t="shared" si="5"/>
        <v>Tertio kompakt 2015 # F mSML</v>
      </c>
      <c r="EV15" s="146" t="str">
        <f t="shared" si="5"/>
        <v>Tertio kompakt 2015 # M vSML</v>
      </c>
      <c r="EW15" s="146" t="str">
        <f t="shared" si="5"/>
        <v>Tertio kompakt 2015 # F vSML</v>
      </c>
      <c r="EX15" s="146" t="str">
        <f t="shared" si="5"/>
        <v>Tertio kompakt 2015 # M vSML/glvert</v>
      </c>
      <c r="EY15" s="146" t="str">
        <f t="shared" si="5"/>
        <v>Tertio kompakt 2015 # F vSML/glvert</v>
      </c>
      <c r="EZ15" s="146" t="str">
        <f t="shared" si="5"/>
        <v>Tertio kompakt 2015 # λ_x</v>
      </c>
      <c r="FA15" s="146" t="str">
        <f t="shared" si="5"/>
        <v xml:space="preserve"> # </v>
      </c>
      <c r="FB15" s="146" t="str">
        <f t="shared" si="5"/>
        <v>Primo zahn 2015 # M mSML</v>
      </c>
      <c r="FC15" s="146" t="str">
        <f t="shared" si="5"/>
        <v>Primo zahn 2015 # F mSML</v>
      </c>
      <c r="FD15" s="146" t="str">
        <f t="shared" si="5"/>
        <v>Primo zahn 2015 # M vSML</v>
      </c>
      <c r="FE15" s="146" t="str">
        <f t="shared" si="5"/>
        <v>Primo zahn 2015 # F vSML</v>
      </c>
      <c r="FF15" s="146" t="str">
        <f t="shared" si="5"/>
        <v>Primo zahn 2015 # M vSML/glvert</v>
      </c>
      <c r="FG15" s="146" t="str">
        <f t="shared" si="5"/>
        <v>Primo zahn 2015 # F vSML/glvert</v>
      </c>
      <c r="FH15" s="146" t="str">
        <f t="shared" si="5"/>
        <v>Primo zahn 2015 # λ_x</v>
      </c>
      <c r="FI15" s="146" t="str">
        <f t="shared" si="5"/>
        <v xml:space="preserve"> # </v>
      </c>
      <c r="FJ15" s="146" t="str">
        <f t="shared" si="5"/>
        <v>GKV-Erg Primo stationär 2015 # M mSML</v>
      </c>
      <c r="FK15" s="146" t="str">
        <f t="shared" si="5"/>
        <v>GKV-Erg Primo stationär 2015 # F mSML</v>
      </c>
      <c r="FL15" s="146" t="str">
        <f t="shared" si="5"/>
        <v>GKV-Erg Primo stationär 2015 # M vSML</v>
      </c>
      <c r="FM15" s="146" t="str">
        <f t="shared" si="5"/>
        <v>GKV-Erg Primo stationär 2015 # F vSML</v>
      </c>
      <c r="FN15" s="146" t="str">
        <f t="shared" si="5"/>
        <v>GKV-Erg Primo stationär 2015 # M vSML/glvert</v>
      </c>
      <c r="FO15" s="146" t="str">
        <f t="shared" si="5"/>
        <v>GKV-Erg Primo stationär 2015 # F vSML/glvert</v>
      </c>
      <c r="FP15" s="146" t="str">
        <f t="shared" si="5"/>
        <v>GKV-Erg Primo stationär 2015 # λ_x</v>
      </c>
      <c r="FS15" s="146" t="str">
        <f t="shared" ref="FS15:GO15" si="6" xml:space="preserve"> FS13 &amp; " # " &amp; FS14</f>
        <v>Ambulant SB 30 2015 # M mSML</v>
      </c>
      <c r="FT15" s="146" t="str">
        <f t="shared" si="6"/>
        <v>Ambulant SB 30 2015 # F mSML</v>
      </c>
      <c r="FU15" s="146" t="str">
        <f t="shared" si="6"/>
        <v>Ambulant SB 30 2015 # M vSML</v>
      </c>
      <c r="FV15" s="146" t="str">
        <f t="shared" si="6"/>
        <v>Ambulant SB 30 2015 # F vSML</v>
      </c>
      <c r="FW15" s="146" t="str">
        <f t="shared" si="6"/>
        <v>Ambulant SB 30 2015 # M vSML/glvert</v>
      </c>
      <c r="FX15" s="146" t="str">
        <f t="shared" si="6"/>
        <v>Ambulant SB 30 2015 # F vSML/glvert</v>
      </c>
      <c r="FY15" s="146" t="str">
        <f t="shared" si="6"/>
        <v>Ambulant SB 30 2015 # λ_x</v>
      </c>
      <c r="FZ15" s="146" t="str">
        <f t="shared" si="6"/>
        <v xml:space="preserve"> # </v>
      </c>
      <c r="GA15" s="146" t="str">
        <f t="shared" si="6"/>
        <v>Ambulant SB 600 2015 # M mSML</v>
      </c>
      <c r="GB15" s="146" t="str">
        <f t="shared" si="6"/>
        <v>Ambulant SB 600 2015 # F mSML</v>
      </c>
      <c r="GC15" s="146" t="str">
        <f t="shared" si="6"/>
        <v>Ambulant SB 600 2015 # M vSML</v>
      </c>
      <c r="GD15" s="146" t="str">
        <f t="shared" si="6"/>
        <v>Ambulant SB 600 2015 # F vSML</v>
      </c>
      <c r="GE15" s="146" t="str">
        <f t="shared" si="6"/>
        <v>Ambulant SB 600 2015 # M vSML/glvert</v>
      </c>
      <c r="GF15" s="146" t="str">
        <f t="shared" si="6"/>
        <v>Ambulant SB 600 2015 # F vSML/glvert</v>
      </c>
      <c r="GG15" s="146" t="str">
        <f t="shared" si="6"/>
        <v>Ambulant SB 600 2015 # λ_x</v>
      </c>
      <c r="GH15" s="146" t="str">
        <f t="shared" si="6"/>
        <v xml:space="preserve"> # </v>
      </c>
      <c r="GI15" s="146" t="str">
        <f t="shared" si="6"/>
        <v>Ambulant SB 1600 2015 # M mSML</v>
      </c>
      <c r="GJ15" s="146" t="str">
        <f t="shared" si="6"/>
        <v>Ambulant SB 1600 2015 # F mSML</v>
      </c>
      <c r="GK15" s="146" t="str">
        <f t="shared" si="6"/>
        <v>Ambulant SB 1600 2015 # M vSML</v>
      </c>
      <c r="GL15" s="146" t="str">
        <f t="shared" si="6"/>
        <v>Ambulant SB 1600 2015 # F vSML</v>
      </c>
      <c r="GM15" s="146" t="str">
        <f t="shared" si="6"/>
        <v>Ambulant SB 1600 2015 # M vSML/glvert</v>
      </c>
      <c r="GN15" s="146" t="str">
        <f t="shared" si="6"/>
        <v>Ambulant SB 1600 2015 # F vSML/glvert</v>
      </c>
      <c r="GO15" s="146" t="str">
        <f t="shared" si="6"/>
        <v>Ambulant SB 1600 2015 # λ_x</v>
      </c>
    </row>
    <row r="16" spans="1:199" s="139" customFormat="1" ht="11.25" customHeight="1" x14ac:dyDescent="0.2">
      <c r="A16" s="1"/>
      <c r="D16" s="85" t="str">
        <f xml:space="preserve"> VA_Voll</f>
        <v>Vollversicherung</v>
      </c>
      <c r="E16" s="100" t="str">
        <f xml:space="preserve"> D16</f>
        <v>Vollversicherung</v>
      </c>
      <c r="H16" s="85" t="str">
        <f xml:space="preserve"> VA_Voll</f>
        <v>Vollversicherung</v>
      </c>
      <c r="I16" s="100" t="str">
        <f xml:space="preserve"> H16</f>
        <v>Vollversicherung</v>
      </c>
      <c r="J16" s="100" t="str">
        <f xml:space="preserve"> I16</f>
        <v>Vollversicherung</v>
      </c>
      <c r="K16" s="100" t="str">
        <f xml:space="preserve"> J16</f>
        <v>Vollversicherung</v>
      </c>
      <c r="L16" s="100" t="str">
        <f xml:space="preserve"> K16</f>
        <v>Vollversicherung</v>
      </c>
      <c r="M16" s="100" t="str">
        <f xml:space="preserve"> L16</f>
        <v>Vollversicherung</v>
      </c>
      <c r="N16" s="100" t="str">
        <f xml:space="preserve"> J16</f>
        <v>Vollversicherung</v>
      </c>
      <c r="O16" s="250"/>
      <c r="P16" s="85" t="str">
        <f xml:space="preserve"> VA_Voll</f>
        <v>Vollversicherung</v>
      </c>
      <c r="Q16" s="100" t="str">
        <f xml:space="preserve"> P16</f>
        <v>Vollversicherung</v>
      </c>
      <c r="R16" s="100" t="str">
        <f xml:space="preserve"> Q16</f>
        <v>Vollversicherung</v>
      </c>
      <c r="S16" s="100" t="str">
        <f xml:space="preserve"> R16</f>
        <v>Vollversicherung</v>
      </c>
      <c r="T16" s="100" t="str">
        <f xml:space="preserve"> S16</f>
        <v>Vollversicherung</v>
      </c>
      <c r="U16" s="100" t="str">
        <f xml:space="preserve"> T16</f>
        <v>Vollversicherung</v>
      </c>
      <c r="V16" s="100" t="str">
        <f xml:space="preserve"> R16</f>
        <v>Vollversicherung</v>
      </c>
      <c r="W16" s="250"/>
      <c r="X16" s="85" t="str">
        <f xml:space="preserve"> VA_Voll</f>
        <v>Vollversicherung</v>
      </c>
      <c r="Y16" s="100" t="str">
        <f xml:space="preserve"> X16</f>
        <v>Vollversicherung</v>
      </c>
      <c r="Z16" s="100" t="str">
        <f xml:space="preserve"> Y16</f>
        <v>Vollversicherung</v>
      </c>
      <c r="AA16" s="100" t="str">
        <f xml:space="preserve"> Z16</f>
        <v>Vollversicherung</v>
      </c>
      <c r="AB16" s="100" t="str">
        <f xml:space="preserve"> AA16</f>
        <v>Vollversicherung</v>
      </c>
      <c r="AC16" s="100" t="str">
        <f xml:space="preserve"> AB16</f>
        <v>Vollversicherung</v>
      </c>
      <c r="AD16" s="100" t="str">
        <f xml:space="preserve"> Z16</f>
        <v>Vollversicherung</v>
      </c>
      <c r="AE16" s="250"/>
      <c r="AF16" s="85" t="str">
        <f xml:space="preserve"> VA_GKVErg</f>
        <v>GKV-Ergänzungs-Versicherung</v>
      </c>
      <c r="AG16" s="100" t="str">
        <f xml:space="preserve"> AF16</f>
        <v>GKV-Ergänzungs-Versicherung</v>
      </c>
      <c r="AH16" s="100" t="str">
        <f xml:space="preserve"> AG16</f>
        <v>GKV-Ergänzungs-Versicherung</v>
      </c>
      <c r="AI16" s="100" t="str">
        <f xml:space="preserve"> AH16</f>
        <v>GKV-Ergänzungs-Versicherung</v>
      </c>
      <c r="AJ16" s="100" t="str">
        <f xml:space="preserve"> AI16</f>
        <v>GKV-Ergänzungs-Versicherung</v>
      </c>
      <c r="AK16" s="100" t="str">
        <f xml:space="preserve"> AJ16</f>
        <v>GKV-Ergänzungs-Versicherung</v>
      </c>
      <c r="AL16" s="100" t="str">
        <f xml:space="preserve"> AH16</f>
        <v>GKV-Ergänzungs-Versicherung</v>
      </c>
      <c r="AM16" s="250"/>
      <c r="AN16" s="85" t="str">
        <f xml:space="preserve"> VA_Voll</f>
        <v>Vollversicherung</v>
      </c>
      <c r="AO16" s="100" t="str">
        <f t="shared" ref="AO16:AT16" si="7" xml:space="preserve"> AN16</f>
        <v>Vollversicherung</v>
      </c>
      <c r="AP16" s="100" t="str">
        <f t="shared" si="7"/>
        <v>Vollversicherung</v>
      </c>
      <c r="AQ16" s="100" t="str">
        <f t="shared" si="7"/>
        <v>Vollversicherung</v>
      </c>
      <c r="AR16" s="100" t="str">
        <f t="shared" si="7"/>
        <v>Vollversicherung</v>
      </c>
      <c r="AS16" s="100" t="str">
        <f t="shared" si="7"/>
        <v>Vollversicherung</v>
      </c>
      <c r="AT16" s="100" t="str">
        <f t="shared" si="7"/>
        <v>Vollversicherung</v>
      </c>
      <c r="AU16" s="250"/>
      <c r="AV16" s="250"/>
      <c r="AW16" s="250"/>
      <c r="AX16" s="85" t="str">
        <f xml:space="preserve"> VA_Voll</f>
        <v>Vollversicherung</v>
      </c>
      <c r="AY16" s="100" t="str">
        <f xml:space="preserve"> AX16</f>
        <v>Vollversicherung</v>
      </c>
      <c r="AZ16" s="100" t="str">
        <f xml:space="preserve"> AY16</f>
        <v>Vollversicherung</v>
      </c>
      <c r="BA16" s="100" t="str">
        <f xml:space="preserve"> AZ16</f>
        <v>Vollversicherung</v>
      </c>
      <c r="BB16" s="100" t="str">
        <f xml:space="preserve"> BA16</f>
        <v>Vollversicherung</v>
      </c>
      <c r="BC16" s="100" t="str">
        <f xml:space="preserve"> BB16</f>
        <v>Vollversicherung</v>
      </c>
      <c r="BD16" s="100" t="str">
        <f xml:space="preserve"> AZ16</f>
        <v>Vollversicherung</v>
      </c>
      <c r="BE16" s="250"/>
      <c r="BF16" s="85" t="str">
        <f xml:space="preserve"> VA_Voll</f>
        <v>Vollversicherung</v>
      </c>
      <c r="BG16" s="100" t="str">
        <f xml:space="preserve"> BF16</f>
        <v>Vollversicherung</v>
      </c>
      <c r="BH16" s="100" t="str">
        <f xml:space="preserve"> BG16</f>
        <v>Vollversicherung</v>
      </c>
      <c r="BI16" s="100" t="str">
        <f xml:space="preserve"> BH16</f>
        <v>Vollversicherung</v>
      </c>
      <c r="BJ16" s="100" t="str">
        <f xml:space="preserve"> BI16</f>
        <v>Vollversicherung</v>
      </c>
      <c r="BK16" s="100" t="str">
        <f xml:space="preserve"> BJ16</f>
        <v>Vollversicherung</v>
      </c>
      <c r="BL16" s="100" t="str">
        <f xml:space="preserve"> BH16</f>
        <v>Vollversicherung</v>
      </c>
      <c r="BM16" s="250"/>
      <c r="BN16" s="85" t="str">
        <f xml:space="preserve"> VA_Voll</f>
        <v>Vollversicherung</v>
      </c>
      <c r="BO16" s="100" t="str">
        <f xml:space="preserve"> BN16</f>
        <v>Vollversicherung</v>
      </c>
      <c r="BP16" s="100" t="str">
        <f xml:space="preserve"> BO16</f>
        <v>Vollversicherung</v>
      </c>
      <c r="BQ16" s="100" t="str">
        <f xml:space="preserve"> BP16</f>
        <v>Vollversicherung</v>
      </c>
      <c r="BR16" s="100" t="str">
        <f xml:space="preserve"> BQ16</f>
        <v>Vollversicherung</v>
      </c>
      <c r="BS16" s="100" t="str">
        <f xml:space="preserve"> BR16</f>
        <v>Vollversicherung</v>
      </c>
      <c r="BT16" s="100" t="str">
        <f xml:space="preserve"> BP16</f>
        <v>Vollversicherung</v>
      </c>
      <c r="BU16" s="250"/>
      <c r="BV16" s="85" t="str">
        <f xml:space="preserve"> VA_Voll</f>
        <v>Vollversicherung</v>
      </c>
      <c r="BW16" s="100" t="str">
        <f xml:space="preserve"> BV16</f>
        <v>Vollversicherung</v>
      </c>
      <c r="BX16" s="100" t="str">
        <f xml:space="preserve"> BW16</f>
        <v>Vollversicherung</v>
      </c>
      <c r="BY16" s="100" t="str">
        <f xml:space="preserve"> BX16</f>
        <v>Vollversicherung</v>
      </c>
      <c r="BZ16" s="100" t="str">
        <f xml:space="preserve"> BY16</f>
        <v>Vollversicherung</v>
      </c>
      <c r="CA16" s="100" t="str">
        <f xml:space="preserve"> BZ16</f>
        <v>Vollversicherung</v>
      </c>
      <c r="CB16" s="100" t="str">
        <f xml:space="preserve"> BX16</f>
        <v>Vollversicherung</v>
      </c>
      <c r="CD16" s="85" t="str">
        <f xml:space="preserve"> VA_GKVErg</f>
        <v>GKV-Ergänzungs-Versicherung</v>
      </c>
      <c r="CE16" s="100" t="str">
        <f xml:space="preserve"> CD16</f>
        <v>GKV-Ergänzungs-Versicherung</v>
      </c>
      <c r="CF16" s="100" t="str">
        <f xml:space="preserve"> CE16</f>
        <v>GKV-Ergänzungs-Versicherung</v>
      </c>
      <c r="CG16" s="100" t="str">
        <f xml:space="preserve"> CF16</f>
        <v>GKV-Ergänzungs-Versicherung</v>
      </c>
      <c r="CH16" s="100" t="str">
        <f xml:space="preserve"> CG16</f>
        <v>GKV-Ergänzungs-Versicherung</v>
      </c>
      <c r="CI16" s="100" t="str">
        <f xml:space="preserve"> CH16</f>
        <v>GKV-Ergänzungs-Versicherung</v>
      </c>
      <c r="CJ16" s="100" t="str">
        <f xml:space="preserve"> CF16</f>
        <v>GKV-Ergänzungs-Versicherung</v>
      </c>
      <c r="CN16" s="85" t="str">
        <f xml:space="preserve"> VA_Voll</f>
        <v>Vollversicherung</v>
      </c>
      <c r="CO16" s="100" t="str">
        <f xml:space="preserve"> CN16</f>
        <v>Vollversicherung</v>
      </c>
      <c r="CP16" s="100" t="str">
        <f xml:space="preserve"> CO16</f>
        <v>Vollversicherung</v>
      </c>
      <c r="CQ16" s="100" t="str">
        <f xml:space="preserve"> CP16</f>
        <v>Vollversicherung</v>
      </c>
      <c r="CR16" s="100" t="str">
        <f xml:space="preserve"> CQ16</f>
        <v>Vollversicherung</v>
      </c>
      <c r="CS16" s="100" t="str">
        <f xml:space="preserve"> CR16</f>
        <v>Vollversicherung</v>
      </c>
      <c r="CT16" s="100" t="str">
        <f xml:space="preserve"> CP16</f>
        <v>Vollversicherung</v>
      </c>
      <c r="CU16" s="250"/>
      <c r="CV16" s="85" t="str">
        <f xml:space="preserve"> VA_Voll</f>
        <v>Vollversicherung</v>
      </c>
      <c r="CW16" s="100" t="str">
        <f xml:space="preserve"> CV16</f>
        <v>Vollversicherung</v>
      </c>
      <c r="CX16" s="100" t="str">
        <f xml:space="preserve"> CW16</f>
        <v>Vollversicherung</v>
      </c>
      <c r="CY16" s="100" t="str">
        <f xml:space="preserve"> CX16</f>
        <v>Vollversicherung</v>
      </c>
      <c r="CZ16" s="100" t="str">
        <f xml:space="preserve"> CY16</f>
        <v>Vollversicherung</v>
      </c>
      <c r="DA16" s="100" t="str">
        <f xml:space="preserve"> CZ16</f>
        <v>Vollversicherung</v>
      </c>
      <c r="DB16" s="100" t="str">
        <f xml:space="preserve"> CX16</f>
        <v>Vollversicherung</v>
      </c>
      <c r="DC16" s="250"/>
      <c r="DD16" s="85" t="str">
        <f xml:space="preserve"> VA_Voll</f>
        <v>Vollversicherung</v>
      </c>
      <c r="DE16" s="100" t="str">
        <f xml:space="preserve"> DD16</f>
        <v>Vollversicherung</v>
      </c>
      <c r="DF16" s="100" t="str">
        <f xml:space="preserve"> DE16</f>
        <v>Vollversicherung</v>
      </c>
      <c r="DG16" s="100" t="str">
        <f xml:space="preserve"> DF16</f>
        <v>Vollversicherung</v>
      </c>
      <c r="DH16" s="100" t="str">
        <f xml:space="preserve"> DG16</f>
        <v>Vollversicherung</v>
      </c>
      <c r="DI16" s="100" t="str">
        <f xml:space="preserve"> DH16</f>
        <v>Vollversicherung</v>
      </c>
      <c r="DJ16" s="100" t="str">
        <f xml:space="preserve"> DF16</f>
        <v>Vollversicherung</v>
      </c>
      <c r="DK16" s="250"/>
      <c r="DL16" s="85" t="str">
        <f xml:space="preserve"> VA_Voll</f>
        <v>Vollversicherung</v>
      </c>
      <c r="DM16" s="100" t="str">
        <f xml:space="preserve"> DL16</f>
        <v>Vollversicherung</v>
      </c>
      <c r="DN16" s="100" t="str">
        <f xml:space="preserve"> DM16</f>
        <v>Vollversicherung</v>
      </c>
      <c r="DO16" s="100" t="str">
        <f xml:space="preserve"> DN16</f>
        <v>Vollversicherung</v>
      </c>
      <c r="DP16" s="100" t="str">
        <f xml:space="preserve"> DO16</f>
        <v>Vollversicherung</v>
      </c>
      <c r="DQ16" s="100" t="str">
        <f xml:space="preserve"> DP16</f>
        <v>Vollversicherung</v>
      </c>
      <c r="DR16" s="100" t="str">
        <f xml:space="preserve"> DN16</f>
        <v>Vollversicherung</v>
      </c>
      <c r="DT16" s="85" t="str">
        <f xml:space="preserve"> VA_GKVErg</f>
        <v>GKV-Ergänzungs-Versicherung</v>
      </c>
      <c r="DU16" s="100" t="str">
        <f xml:space="preserve"> DT16</f>
        <v>GKV-Ergänzungs-Versicherung</v>
      </c>
      <c r="DV16" s="100" t="str">
        <f xml:space="preserve"> DU16</f>
        <v>GKV-Ergänzungs-Versicherung</v>
      </c>
      <c r="DW16" s="100" t="str">
        <f xml:space="preserve"> DV16</f>
        <v>GKV-Ergänzungs-Versicherung</v>
      </c>
      <c r="DX16" s="100" t="str">
        <f xml:space="preserve"> DW16</f>
        <v>GKV-Ergänzungs-Versicherung</v>
      </c>
      <c r="DY16" s="100" t="str">
        <f xml:space="preserve"> DX16</f>
        <v>GKV-Ergänzungs-Versicherung</v>
      </c>
      <c r="DZ16" s="100" t="str">
        <f xml:space="preserve"> DV16</f>
        <v>GKV-Ergänzungs-Versicherung</v>
      </c>
      <c r="ED16" s="85" t="str">
        <f xml:space="preserve"> VA_Voll</f>
        <v>Vollversicherung</v>
      </c>
      <c r="EE16" s="100" t="str">
        <f xml:space="preserve"> ED16</f>
        <v>Vollversicherung</v>
      </c>
      <c r="EF16" s="100" t="str">
        <f xml:space="preserve"> EE16</f>
        <v>Vollversicherung</v>
      </c>
      <c r="EG16" s="100" t="str">
        <f xml:space="preserve"> EF16</f>
        <v>Vollversicherung</v>
      </c>
      <c r="EH16" s="100" t="str">
        <f xml:space="preserve"> EG16</f>
        <v>Vollversicherung</v>
      </c>
      <c r="EI16" s="100" t="str">
        <f xml:space="preserve"> EH16</f>
        <v>Vollversicherung</v>
      </c>
      <c r="EJ16" s="100" t="str">
        <f xml:space="preserve"> EF16</f>
        <v>Vollversicherung</v>
      </c>
      <c r="EL16" s="85" t="str">
        <f xml:space="preserve"> VA_Voll</f>
        <v>Vollversicherung</v>
      </c>
      <c r="EM16" s="100" t="str">
        <f xml:space="preserve"> EL16</f>
        <v>Vollversicherung</v>
      </c>
      <c r="EN16" s="100" t="str">
        <f xml:space="preserve"> EM16</f>
        <v>Vollversicherung</v>
      </c>
      <c r="EO16" s="100" t="str">
        <f xml:space="preserve"> EN16</f>
        <v>Vollversicherung</v>
      </c>
      <c r="EP16" s="100" t="str">
        <f xml:space="preserve"> EO16</f>
        <v>Vollversicherung</v>
      </c>
      <c r="EQ16" s="100" t="str">
        <f xml:space="preserve"> EP16</f>
        <v>Vollversicherung</v>
      </c>
      <c r="ER16" s="100" t="str">
        <f xml:space="preserve"> EN16</f>
        <v>Vollversicherung</v>
      </c>
      <c r="ET16" s="85" t="str">
        <f xml:space="preserve"> VA_Voll</f>
        <v>Vollversicherung</v>
      </c>
      <c r="EU16" s="100" t="str">
        <f xml:space="preserve"> ET16</f>
        <v>Vollversicherung</v>
      </c>
      <c r="EV16" s="100" t="str">
        <f xml:space="preserve"> EU16</f>
        <v>Vollversicherung</v>
      </c>
      <c r="EW16" s="100" t="str">
        <f xml:space="preserve"> EV16</f>
        <v>Vollversicherung</v>
      </c>
      <c r="EX16" s="100" t="str">
        <f xml:space="preserve"> EW16</f>
        <v>Vollversicherung</v>
      </c>
      <c r="EY16" s="100" t="str">
        <f xml:space="preserve"> EX16</f>
        <v>Vollversicherung</v>
      </c>
      <c r="EZ16" s="100" t="str">
        <f xml:space="preserve"> EV16</f>
        <v>Vollversicherung</v>
      </c>
      <c r="FB16" s="85" t="str">
        <f xml:space="preserve"> VA_Voll</f>
        <v>Vollversicherung</v>
      </c>
      <c r="FC16" s="100" t="str">
        <f xml:space="preserve"> FB16</f>
        <v>Vollversicherung</v>
      </c>
      <c r="FD16" s="100" t="str">
        <f xml:space="preserve"> FC16</f>
        <v>Vollversicherung</v>
      </c>
      <c r="FE16" s="100" t="str">
        <f xml:space="preserve"> FD16</f>
        <v>Vollversicherung</v>
      </c>
      <c r="FF16" s="100" t="str">
        <f xml:space="preserve"> FE16</f>
        <v>Vollversicherung</v>
      </c>
      <c r="FG16" s="100" t="str">
        <f xml:space="preserve"> FF16</f>
        <v>Vollversicherung</v>
      </c>
      <c r="FH16" s="100" t="str">
        <f xml:space="preserve"> FD16</f>
        <v>Vollversicherung</v>
      </c>
      <c r="FJ16" s="85" t="str">
        <f xml:space="preserve"> VA_GKVErg</f>
        <v>GKV-Ergänzungs-Versicherung</v>
      </c>
      <c r="FK16" s="100" t="str">
        <f xml:space="preserve"> FJ16</f>
        <v>GKV-Ergänzungs-Versicherung</v>
      </c>
      <c r="FL16" s="100" t="str">
        <f xml:space="preserve"> FK16</f>
        <v>GKV-Ergänzungs-Versicherung</v>
      </c>
      <c r="FM16" s="100" t="str">
        <f xml:space="preserve"> FL16</f>
        <v>GKV-Ergänzungs-Versicherung</v>
      </c>
      <c r="FN16" s="100" t="str">
        <f xml:space="preserve"> FM16</f>
        <v>GKV-Ergänzungs-Versicherung</v>
      </c>
      <c r="FO16" s="100" t="str">
        <f xml:space="preserve"> FN16</f>
        <v>GKV-Ergänzungs-Versicherung</v>
      </c>
      <c r="FP16" s="100" t="str">
        <f xml:space="preserve"> FL16</f>
        <v>GKV-Ergänzungs-Versicherung</v>
      </c>
      <c r="FS16" s="85" t="str">
        <f xml:space="preserve"> VA_Voll</f>
        <v>Vollversicherung</v>
      </c>
      <c r="FT16" s="100" t="str">
        <f xml:space="preserve"> FS16</f>
        <v>Vollversicherung</v>
      </c>
      <c r="FU16" s="100" t="str">
        <f xml:space="preserve"> FT16</f>
        <v>Vollversicherung</v>
      </c>
      <c r="FV16" s="100" t="str">
        <f xml:space="preserve"> FU16</f>
        <v>Vollversicherung</v>
      </c>
      <c r="FW16" s="100" t="str">
        <f xml:space="preserve"> FV16</f>
        <v>Vollversicherung</v>
      </c>
      <c r="FX16" s="100" t="str">
        <f xml:space="preserve"> FW16</f>
        <v>Vollversicherung</v>
      </c>
      <c r="FY16" s="100" t="str">
        <f xml:space="preserve"> FU16</f>
        <v>Vollversicherung</v>
      </c>
      <c r="GA16" s="85" t="str">
        <f xml:space="preserve"> VA_Voll</f>
        <v>Vollversicherung</v>
      </c>
      <c r="GB16" s="100" t="str">
        <f xml:space="preserve"> GA16</f>
        <v>Vollversicherung</v>
      </c>
      <c r="GC16" s="100" t="str">
        <f xml:space="preserve"> GB16</f>
        <v>Vollversicherung</v>
      </c>
      <c r="GD16" s="100" t="str">
        <f xml:space="preserve"> GC16</f>
        <v>Vollversicherung</v>
      </c>
      <c r="GE16" s="100" t="str">
        <f xml:space="preserve"> GD16</f>
        <v>Vollversicherung</v>
      </c>
      <c r="GF16" s="100" t="str">
        <f xml:space="preserve"> GE16</f>
        <v>Vollversicherung</v>
      </c>
      <c r="GG16" s="100" t="str">
        <f xml:space="preserve"> GC16</f>
        <v>Vollversicherung</v>
      </c>
      <c r="GI16" s="85" t="str">
        <f xml:space="preserve"> VA_Voll</f>
        <v>Vollversicherung</v>
      </c>
      <c r="GJ16" s="100" t="str">
        <f xml:space="preserve"> GI16</f>
        <v>Vollversicherung</v>
      </c>
      <c r="GK16" s="100" t="str">
        <f xml:space="preserve"> GJ16</f>
        <v>Vollversicherung</v>
      </c>
      <c r="GL16" s="100" t="str">
        <f xml:space="preserve"> GK16</f>
        <v>Vollversicherung</v>
      </c>
      <c r="GM16" s="100" t="str">
        <f xml:space="preserve"> GL16</f>
        <v>Vollversicherung</v>
      </c>
      <c r="GN16" s="100" t="str">
        <f xml:space="preserve"> GM16</f>
        <v>Vollversicherung</v>
      </c>
      <c r="GO16" s="100" t="str">
        <f xml:space="preserve"> GK16</f>
        <v>Vollversicherung</v>
      </c>
    </row>
    <row r="17" spans="1:197" s="139" customFormat="1" ht="11.25" customHeight="1" x14ac:dyDescent="0.2">
      <c r="A17" s="1"/>
    </row>
    <row r="18" spans="1:197" s="139" customFormat="1" ht="11.25" customHeight="1" x14ac:dyDescent="0.2">
      <c r="A18" s="1"/>
    </row>
    <row r="19" spans="1:197" s="139" customFormat="1" x14ac:dyDescent="0.2">
      <c r="A19" s="1"/>
      <c r="L19" s="95">
        <f xml:space="preserve"> 'WK2012'!EM9</f>
        <v>45.080631116594795</v>
      </c>
      <c r="M19" s="95">
        <f xml:space="preserve"> 'WK2012'!EN9</f>
        <v>45.080631116594795</v>
      </c>
      <c r="T19" s="95">
        <f xml:space="preserve"> 'WK2012'!FA9</f>
        <v>36.068675863609869</v>
      </c>
      <c r="U19" s="95">
        <f xml:space="preserve"> 'WK2012'!FB9</f>
        <v>36.068675863609869</v>
      </c>
      <c r="AB19" s="95">
        <f xml:space="preserve"> 'WK2012'!FO9</f>
        <v>23.338405789915122</v>
      </c>
      <c r="AC19" s="95">
        <f xml:space="preserve"> 'WK2012'!FP9</f>
        <v>23.338405789915122</v>
      </c>
      <c r="AJ19" s="95">
        <f xml:space="preserve"> 'WK2012'!GC9</f>
        <v>3.9222649014685569</v>
      </c>
      <c r="AK19" s="95">
        <f xml:space="preserve"> 'WK2012'!GD9</f>
        <v>3.9222649014685569</v>
      </c>
      <c r="AR19" s="95"/>
      <c r="AS19" s="95"/>
      <c r="BB19" s="95">
        <f xml:space="preserve"> 'WK2013'!EM9</f>
        <v>43.200314295843171</v>
      </c>
      <c r="BC19" s="95">
        <f xml:space="preserve"> 'WK2013'!EN9</f>
        <v>43.200314295843171</v>
      </c>
      <c r="BJ19" s="95">
        <f xml:space="preserve"> 'WK2013'!FA9</f>
        <v>35.586685862323527</v>
      </c>
      <c r="BK19" s="95">
        <f xml:space="preserve"> 'WK2013'!FB9</f>
        <v>35.586685862323527</v>
      </c>
      <c r="BR19" s="95">
        <f xml:space="preserve"> 'WK2013'!FO9</f>
        <v>27.82383223008712</v>
      </c>
      <c r="BS19" s="95">
        <f xml:space="preserve"> 'WK2013'!FP9</f>
        <v>27.82383223008712</v>
      </c>
      <c r="BZ19" s="95">
        <f xml:space="preserve"> 'WK2013'!GC9</f>
        <v>5.3245114799797849E-2</v>
      </c>
      <c r="CA19" s="95">
        <f xml:space="preserve"> 'WK2013'!GD9</f>
        <v>5.3245114799797849E-2</v>
      </c>
      <c r="CH19" s="95">
        <f xml:space="preserve"> 'WK2013'!GQ9</f>
        <v>4.3155971969186702</v>
      </c>
      <c r="CI19" s="95">
        <f xml:space="preserve"> 'WK2013'!GR9</f>
        <v>4.3155971969186702</v>
      </c>
      <c r="CR19" s="95">
        <f xml:space="preserve"> 'WK2014'!EM9</f>
        <v>33.737916198342681</v>
      </c>
      <c r="CS19" s="95">
        <f xml:space="preserve"> 'WK2014'!EN9</f>
        <v>33.737916198342681</v>
      </c>
      <c r="CU19" s="1"/>
      <c r="CZ19" s="95">
        <f xml:space="preserve"> 'WK2014'!FA9</f>
        <v>36.048033871950004</v>
      </c>
      <c r="DA19" s="95">
        <f xml:space="preserve"> 'WK2014'!FB9</f>
        <v>36.048033871950004</v>
      </c>
      <c r="DC19" s="1"/>
      <c r="DH19" s="95">
        <f xml:space="preserve"> 'WK2014'!FO9</f>
        <v>23.883715178559822</v>
      </c>
      <c r="DI19" s="95">
        <f xml:space="preserve"> 'WK2014'!FP9</f>
        <v>23.883715178559822</v>
      </c>
      <c r="DK19" s="1"/>
      <c r="DP19" s="95">
        <f xml:space="preserve"> 'WK2014'!GC9</f>
        <v>5.1538705813756393E-2</v>
      </c>
      <c r="DQ19" s="95">
        <f xml:space="preserve"> 'WK2014'!GD9</f>
        <v>5.1538705813756393E-2</v>
      </c>
      <c r="DS19" s="1"/>
      <c r="DX19" s="95">
        <f xml:space="preserve"> 'WK2014'!GQ9</f>
        <v>4.9672335431038146</v>
      </c>
      <c r="DY19" s="95">
        <f xml:space="preserve"> 'WK2014'!GR9</f>
        <v>4.9672335431038146</v>
      </c>
      <c r="EA19" s="251"/>
      <c r="EB19" s="251"/>
    </row>
    <row r="20" spans="1:197" x14ac:dyDescent="0.2">
      <c r="A20" s="3">
        <f>Basis!A20</f>
        <v>20</v>
      </c>
      <c r="D20" s="252" t="e">
        <v>#N/A</v>
      </c>
      <c r="E20" s="252" t="e">
        <v>#N/A</v>
      </c>
      <c r="H20" s="50">
        <f xml:space="preserve"> 'WK2012'!EG30</f>
        <v>1488.1002088845491</v>
      </c>
      <c r="I20" s="50">
        <f xml:space="preserve"> 'WK2012'!EH30</f>
        <v>2001.6132035895205</v>
      </c>
      <c r="J20" s="50">
        <f xml:space="preserve"> 'WK2012'!EK30</f>
        <v>1501.0324825907301</v>
      </c>
      <c r="K20" s="50">
        <f xml:space="preserve"> 'WK2012'!EL30</f>
        <v>1991.9003635295144</v>
      </c>
      <c r="L20" s="50">
        <f xml:space="preserve"> 'WK2012'!EM30</f>
        <v>1533.1808400011439</v>
      </c>
      <c r="M20" s="50">
        <f xml:space="preserve"> 'WK2012'!EN30</f>
        <v>2024.0487209399284</v>
      </c>
      <c r="N20" s="61">
        <f xml:space="preserve"> 'WK2012'!EI30</f>
        <v>0.55014438010154387</v>
      </c>
      <c r="P20" s="50">
        <f xml:space="preserve"> 'WK2012'!EU30</f>
        <v>1017.1966378341381</v>
      </c>
      <c r="Q20" s="50">
        <f xml:space="preserve"> 'WK2012'!EV30</f>
        <v>1464.0872815175426</v>
      </c>
      <c r="R20" s="50">
        <f xml:space="preserve"> 'WK2012'!EY30</f>
        <v>1035.9124080631004</v>
      </c>
      <c r="S20" s="50">
        <f xml:space="preserve"> 'WK2012'!EZ30</f>
        <v>1451.2011966709567</v>
      </c>
      <c r="T20" s="50">
        <f xml:space="preserve"> 'WK2012'!FA30</f>
        <v>1053.2653136977478</v>
      </c>
      <c r="U20" s="50">
        <f xml:space="preserve"> 'WK2012'!FB30</f>
        <v>1468.5541023056039</v>
      </c>
      <c r="V20" s="61">
        <f xml:space="preserve"> 'WK2012'!EW30</f>
        <v>0.55988581373348234</v>
      </c>
      <c r="X20" s="50">
        <f xml:space="preserve"> 'WK2012'!FI30</f>
        <v>617.22571805018731</v>
      </c>
      <c r="Y20" s="50">
        <f xml:space="preserve"> 'WK2012'!FJ30</f>
        <v>809.27312941824277</v>
      </c>
      <c r="Z20" s="50">
        <f xml:space="preserve"> 'WK2012'!FM30</f>
        <v>634.6660866034448</v>
      </c>
      <c r="AA20" s="50">
        <f xml:space="preserve"> 'WK2012'!FN30</f>
        <v>796.1957700539042</v>
      </c>
      <c r="AB20" s="50">
        <f xml:space="preserve"> 'WK2012'!FO30</f>
        <v>640.5641238401023</v>
      </c>
      <c r="AC20" s="50">
        <f xml:space="preserve"> 'WK2012'!FP30</f>
        <v>802.09380729056181</v>
      </c>
      <c r="AD20" s="61">
        <f xml:space="preserve"> 'WK2012'!FK30</f>
        <v>0.56547856320164136</v>
      </c>
      <c r="AF20" s="50">
        <f xml:space="preserve"> 'WK2012'!FW30</f>
        <v>82.26012870354721</v>
      </c>
      <c r="AG20" s="50">
        <f xml:space="preserve"> 'WK2012'!FX30</f>
        <v>48.095196850183576</v>
      </c>
      <c r="AH20" s="50">
        <f xml:space="preserve"> 'WK2012'!GA30</f>
        <v>79.475690555765013</v>
      </c>
      <c r="AI20" s="50">
        <f xml:space="preserve"> 'WK2012'!GB30</f>
        <v>49.580199196634929</v>
      </c>
      <c r="AJ20" s="50">
        <f xml:space="preserve"> 'WK2012'!GC30</f>
        <v>86.182393605015761</v>
      </c>
      <c r="AK20" s="50">
        <f xml:space="preserve"> 'WK2012'!GD30</f>
        <v>56.286902245885678</v>
      </c>
      <c r="AL20" s="61">
        <f xml:space="preserve"> 'WK2012'!FY30</f>
        <v>0.52233258381428171</v>
      </c>
      <c r="AN20" s="50">
        <f xml:space="preserve"> 'WK2012'!GK30</f>
        <v>189.16027707327646</v>
      </c>
      <c r="AO20" s="50">
        <f xml:space="preserve"> 'WK2012'!GL30</f>
        <v>218.67342736232808</v>
      </c>
      <c r="AP20" s="50">
        <f xml:space="preserve"> 'WK2012'!GO30</f>
        <v>189.29730127106612</v>
      </c>
      <c r="AQ20" s="50">
        <f xml:space="preserve"> 'WK2012'!GP30</f>
        <v>218.54786107037839</v>
      </c>
      <c r="AR20" s="50">
        <f xml:space="preserve"> 'WK2012'!GQ30</f>
        <v>189.79502497957921</v>
      </c>
      <c r="AS20" s="50">
        <f xml:space="preserve"> 'WK2012'!GR30</f>
        <v>219.04558477889148</v>
      </c>
      <c r="AT20" s="61">
        <f xml:space="preserve"> 'WK2012'!GM30</f>
        <v>0.58232341512664332</v>
      </c>
      <c r="AX20" s="50">
        <f xml:space="preserve"> 'WK2013'!EG30</f>
        <v>1380.281923</v>
      </c>
      <c r="AY20" s="50">
        <f xml:space="preserve"> 'WK2013'!EH30</f>
        <v>1939.1663628000001</v>
      </c>
      <c r="AZ20" s="50">
        <f xml:space="preserve"> 'WK2013'!EK30</f>
        <v>1401.9662916670334</v>
      </c>
      <c r="BA20" s="50">
        <f xml:space="preserve"> 'WK2013'!EL30</f>
        <v>1925.5333334670336</v>
      </c>
      <c r="BB20" s="50">
        <f xml:space="preserve"> 'WK2013'!EM30</f>
        <v>1423.4822372958431</v>
      </c>
      <c r="BC20" s="50">
        <f xml:space="preserve"> 'WK2013'!EN30</f>
        <v>1947.0492790958433</v>
      </c>
      <c r="BD20" s="61">
        <f xml:space="preserve"> 'WK2013'!EI30</f>
        <v>0.47186273763529413</v>
      </c>
      <c r="BF20" s="50">
        <f xml:space="preserve"> 'WK2013'!EU30</f>
        <v>1119.1353029999998</v>
      </c>
      <c r="BG20" s="50">
        <f xml:space="preserve"> 'WK2013'!EV30</f>
        <v>1496.1859462000002</v>
      </c>
      <c r="BH20" s="50">
        <f xml:space="preserve"> 'WK2013'!EY30</f>
        <v>1132.8226220030579</v>
      </c>
      <c r="BI20" s="50">
        <f xml:space="preserve"> 'WK2013'!EZ30</f>
        <v>1485.8339377030582</v>
      </c>
      <c r="BJ20" s="50">
        <f xml:space="preserve"> 'WK2013'!FA30</f>
        <v>1154.7219888623235</v>
      </c>
      <c r="BK20" s="50">
        <f xml:space="preserve"> 'WK2013'!FB30</f>
        <v>1507.7333045623238</v>
      </c>
      <c r="BL20" s="61">
        <f xml:space="preserve"> 'WK2013'!EW30</f>
        <v>0.50263776970747209</v>
      </c>
      <c r="BN20" s="50">
        <f xml:space="preserve"> 'WK2013'!FI30</f>
        <v>721.740048</v>
      </c>
      <c r="BO20" s="50">
        <f xml:space="preserve"> 'WK2013'!FJ30</f>
        <v>1014.8353281999998</v>
      </c>
      <c r="BP20" s="50">
        <f xml:space="preserve"> 'WK2013'!FM30</f>
        <v>761.0275835548448</v>
      </c>
      <c r="BQ20" s="50">
        <f xml:space="preserve"> 'WK2013'!FN30</f>
        <v>987.88462795484475</v>
      </c>
      <c r="BR20" s="50">
        <f xml:space="preserve"> 'WK2013'!FO30</f>
        <v>749.56388023008719</v>
      </c>
      <c r="BS20" s="50">
        <f xml:space="preserve"> 'WK2013'!FP30</f>
        <v>976.42092463008714</v>
      </c>
      <c r="BT20" s="61">
        <f xml:space="preserve"> 'WK2013'!FK30</f>
        <v>0.50679046369876657</v>
      </c>
      <c r="BV20" s="50">
        <f xml:space="preserve"> 'WK2013'!FW30</f>
        <v>252.624663</v>
      </c>
      <c r="BW20" s="50">
        <f xml:space="preserve"> 'WK2013'!FX30</f>
        <v>300.19956579999996</v>
      </c>
      <c r="BX20" s="50">
        <f xml:space="preserve"> 'WK2013'!GA30</f>
        <v>252.65984991726705</v>
      </c>
      <c r="BY20" s="50">
        <f xml:space="preserve"> 'WK2013'!GB30</f>
        <v>300.16953271726703</v>
      </c>
      <c r="BZ20" s="50">
        <f xml:space="preserve"> 'WK2013'!GC30</f>
        <v>252.67790811479978</v>
      </c>
      <c r="CA20" s="50">
        <f xml:space="preserve"> 'WK2013'!GD30</f>
        <v>300.18759091479978</v>
      </c>
      <c r="CB20" s="61">
        <f xml:space="preserve"> 'WK2013'!FY30</f>
        <v>0.50326771262780146</v>
      </c>
      <c r="CD20" s="50">
        <f xml:space="preserve"> 'WK2013'!GK30</f>
        <v>140.47095300000001</v>
      </c>
      <c r="CE20" s="50">
        <f xml:space="preserve"> 'WK2013'!GL30</f>
        <v>113.41812300000002</v>
      </c>
      <c r="CF20" s="50">
        <f xml:space="preserve"> 'WK2013'!GO30</f>
        <v>134.83300988458024</v>
      </c>
      <c r="CG20" s="50">
        <f xml:space="preserve"> 'WK2013'!GP30</f>
        <v>116.25585638458018</v>
      </c>
      <c r="CH20" s="50">
        <f xml:space="preserve"> 'WK2013'!GQ30</f>
        <v>144.78655019691868</v>
      </c>
      <c r="CI20" s="50">
        <f xml:space="preserve"> 'WK2013'!GR30</f>
        <v>126.20939669691867</v>
      </c>
      <c r="CJ20" s="61">
        <f xml:space="preserve"> 'WK2013'!GM30</f>
        <v>0.5052274046226094</v>
      </c>
      <c r="CN20" s="50">
        <f xml:space="preserve"> 'WK2014'!EG30</f>
        <v>1408.5295072000001</v>
      </c>
      <c r="CO20" s="50">
        <f xml:space="preserve"> 'WK2014'!EH30</f>
        <v>2009.1042212000002</v>
      </c>
      <c r="CP20" s="50">
        <f xml:space="preserve"> 'WK2014'!EK30</f>
        <v>1425.7523427831329</v>
      </c>
      <c r="CQ20" s="50">
        <f xml:space="preserve"> 'WK2014'!EL30</f>
        <v>1991.7850373831334</v>
      </c>
      <c r="CR20" s="50">
        <f xml:space="preserve"> 'WK2014'!EM30</f>
        <v>1442.2674233983428</v>
      </c>
      <c r="CS20" s="50">
        <f xml:space="preserve"> 'WK2014'!EN30</f>
        <v>2008.3001179983428</v>
      </c>
      <c r="CT20" s="61">
        <f xml:space="preserve"> 'WK2014'!EI30</f>
        <v>0.52040914575737018</v>
      </c>
      <c r="CV20" s="50">
        <f xml:space="preserve"> 'WK2014'!EU30</f>
        <v>1090.9452658</v>
      </c>
      <c r="CW20" s="50">
        <f xml:space="preserve"> 'WK2014'!EV30</f>
        <v>1551.4899697999999</v>
      </c>
      <c r="CX20" s="50">
        <f xml:space="preserve"> 'WK2014'!EY30</f>
        <v>1102.6167250537371</v>
      </c>
      <c r="CY20" s="50">
        <f xml:space="preserve"> 'WK2014'!EZ30</f>
        <v>1543.7938834537372</v>
      </c>
      <c r="CZ20" s="50">
        <f xml:space="preserve"> 'WK2014'!FA30</f>
        <v>1126.9932996719499</v>
      </c>
      <c r="DA20" s="50">
        <f xml:space="preserve"> 'WK2014'!FB30</f>
        <v>1568.1704580719502</v>
      </c>
      <c r="DB20" s="61">
        <f xml:space="preserve"> 'WK2014'!EW30</f>
        <v>0.51977821428701065</v>
      </c>
      <c r="DC20" s="1"/>
      <c r="DD20" s="50">
        <f xml:space="preserve"> 'WK2014'!FI30</f>
        <v>730.66895920000002</v>
      </c>
      <c r="DE20" s="50">
        <f xml:space="preserve"> 'WK2014'!FJ30</f>
        <v>1036.3128515999999</v>
      </c>
      <c r="DF20" s="50">
        <f xml:space="preserve"> 'WK2014'!FM30</f>
        <v>755.65101361641985</v>
      </c>
      <c r="DG20" s="50">
        <f xml:space="preserve"> 'WK2014'!FN30</f>
        <v>1019.3169330164197</v>
      </c>
      <c r="DH20" s="50">
        <f xml:space="preserve"> 'WK2014'!FO30</f>
        <v>754.55267437855991</v>
      </c>
      <c r="DI20" s="50">
        <f xml:space="preserve"> 'WK2014'!FP30</f>
        <v>1018.2185937785599</v>
      </c>
      <c r="DJ20" s="61">
        <f xml:space="preserve"> 'WK2014'!FK30</f>
        <v>0.51792558895950214</v>
      </c>
      <c r="DK20" s="1"/>
      <c r="DL20" s="50">
        <f xml:space="preserve"> 'WK2014'!FW30</f>
        <v>253.26729120000002</v>
      </c>
      <c r="DM20" s="50">
        <f xml:space="preserve"> 'WK2014'!FX30</f>
        <v>300.70579120000002</v>
      </c>
      <c r="DN20" s="50">
        <f xml:space="preserve"> 'WK2014'!GA30</f>
        <v>253.30346656216454</v>
      </c>
      <c r="DO20" s="50">
        <f xml:space="preserve"> 'WK2014'!GB30</f>
        <v>300.67474316216453</v>
      </c>
      <c r="DP20" s="50">
        <f xml:space="preserve"> 'WK2014'!GC30</f>
        <v>253.3188299058138</v>
      </c>
      <c r="DQ20" s="50">
        <f xml:space="preserve"> 'WK2014'!GD30</f>
        <v>300.69010650581379</v>
      </c>
      <c r="DR20" s="61">
        <f xml:space="preserve"> 'WK2014'!FY30</f>
        <v>0.51938637652219077</v>
      </c>
      <c r="DS20" s="1"/>
      <c r="DT20" s="50">
        <f xml:space="preserve"> 'WK2014'!GK30</f>
        <v>173.21131500000001</v>
      </c>
      <c r="DU20" s="50">
        <f xml:space="preserve"> 'WK2014'!GL30</f>
        <v>184.92925349999996</v>
      </c>
      <c r="DV20" s="50">
        <f xml:space="preserve"> 'WK2014'!GO30</f>
        <v>170.99219252394522</v>
      </c>
      <c r="DW20" s="50">
        <f xml:space="preserve"> 'WK2014'!GP30</f>
        <v>185.74985177394512</v>
      </c>
      <c r="DX20" s="50">
        <f xml:space="preserve"> 'WK2014'!GQ30</f>
        <v>178.17854854310383</v>
      </c>
      <c r="DY20" s="50">
        <f xml:space="preserve"> 'WK2014'!GR30</f>
        <v>192.93620779310379</v>
      </c>
      <c r="DZ20" s="61">
        <f xml:space="preserve"> 'WK2014'!GM30</f>
        <v>0.51809365270424923</v>
      </c>
      <c r="ED20" s="50">
        <f xml:space="preserve"> 'WK2015'!EG30</f>
        <v>1405.8019668000002</v>
      </c>
      <c r="EE20" s="50">
        <f xml:space="preserve"> 'WK2015'!EH30</f>
        <v>1923.069454</v>
      </c>
      <c r="EF20" s="50">
        <f xml:space="preserve"> 'WK2015'!EK30</f>
        <v>1414.3584042889222</v>
      </c>
      <c r="EG20" s="50">
        <f xml:space="preserve"> 'WK2015'!EL30</f>
        <v>1915.229868488922</v>
      </c>
      <c r="EH20" s="50">
        <f xml:space="preserve"> 'WK2015'!EM30</f>
        <v>1446.5803922114151</v>
      </c>
      <c r="EI20" s="50">
        <f xml:space="preserve"> 'WK2015'!EN30</f>
        <v>1947.4518564114146</v>
      </c>
      <c r="EJ20" s="61">
        <f xml:space="preserve"> 'WK2015'!EI30</f>
        <v>0.5176796781182289</v>
      </c>
      <c r="EK20" s="1"/>
      <c r="EL20" s="50">
        <f xml:space="preserve"> 'WK2015'!EU30</f>
        <v>1155.7471402000001</v>
      </c>
      <c r="EM20" s="50">
        <f xml:space="preserve"> 'WK2015'!EV30</f>
        <v>1639.7833424999999</v>
      </c>
      <c r="EN20" s="50">
        <f xml:space="preserve"> 'WK2015'!EY30</f>
        <v>1171.0221763041172</v>
      </c>
      <c r="EO20" s="50">
        <f xml:space="preserve"> 'WK2015'!EZ30</f>
        <v>1629.424300604117</v>
      </c>
      <c r="EP20" s="50">
        <f xml:space="preserve"> 'WK2015'!FA30</f>
        <v>1192.6211530840253</v>
      </c>
      <c r="EQ20" s="50">
        <f xml:space="preserve"> 'WK2015'!FB30</f>
        <v>1651.0232773840253</v>
      </c>
      <c r="ER20" s="61">
        <f xml:space="preserve"> 'WK2015'!EW30</f>
        <v>0.51625661645133669</v>
      </c>
      <c r="ES20" s="1"/>
      <c r="ET20" s="50">
        <f xml:space="preserve"> 'WK2015'!FI30</f>
        <v>801.67302180000001</v>
      </c>
      <c r="EU20" s="50">
        <f xml:space="preserve"> 'WK2015'!FJ30</f>
        <v>1106.2835231999998</v>
      </c>
      <c r="EV20" s="50">
        <f xml:space="preserve"> 'WK2015'!FM30</f>
        <v>821.35835831499992</v>
      </c>
      <c r="EW20" s="50">
        <f xml:space="preserve"> 'WK2015'!FN30</f>
        <v>1092.6539635149998</v>
      </c>
      <c r="EX20" s="50">
        <f xml:space="preserve"> 'WK2015'!FO30</f>
        <v>826.19062690375324</v>
      </c>
      <c r="EY20" s="50">
        <f xml:space="preserve"> 'WK2015'!FP30</f>
        <v>1097.4862321037531</v>
      </c>
      <c r="EZ20" s="61">
        <f xml:space="preserve"> 'WK2015'!FK30</f>
        <v>0.51680700361716214</v>
      </c>
      <c r="FA20" s="1"/>
      <c r="FB20" s="50">
        <f xml:space="preserve"> 'WK2015'!FW30</f>
        <v>256.38699680000002</v>
      </c>
      <c r="FC20" s="50">
        <f xml:space="preserve"> 'WK2015'!FX30</f>
        <v>298.79114000000004</v>
      </c>
      <c r="FD20" s="50">
        <f xml:space="preserve"> 'WK2015'!GA30</f>
        <v>256.41865557000443</v>
      </c>
      <c r="FE20" s="50">
        <f xml:space="preserve"> 'WK2015'!GB30</f>
        <v>298.76358077000441</v>
      </c>
      <c r="FF20" s="50">
        <f xml:space="preserve"> 'WK2015'!GC30</f>
        <v>256.43978347007709</v>
      </c>
      <c r="FG20" s="50">
        <f xml:space="preserve"> 'WK2015'!GD30</f>
        <v>298.78470867007707</v>
      </c>
      <c r="FH20" s="61">
        <f xml:space="preserve"> 'WK2015'!FY30</f>
        <v>0.51724659525919592</v>
      </c>
      <c r="FI20" s="1"/>
      <c r="FJ20" s="50">
        <f xml:space="preserve"> 'WK2015'!GK30</f>
        <v>176.70059999999998</v>
      </c>
      <c r="FK20" s="50">
        <f xml:space="preserve"> 'WK2015'!GL30</f>
        <v>209.14062299999998</v>
      </c>
      <c r="FL20" s="50">
        <f xml:space="preserve"> 'WK2015'!GO30</f>
        <v>177.8041004923769</v>
      </c>
      <c r="FM20" s="50">
        <f xml:space="preserve"> 'WK2015'!GP30</f>
        <v>208.1403779923769</v>
      </c>
      <c r="FN20" s="50">
        <f xml:space="preserve"> 'WK2015'!GQ30</f>
        <v>182.00024597259954</v>
      </c>
      <c r="FO20" s="50">
        <f xml:space="preserve"> 'WK2015'!GR30</f>
        <v>212.33652347259948</v>
      </c>
      <c r="FP20" s="61">
        <f xml:space="preserve"> 'WK2015'!GM30</f>
        <v>0.51824750216961946</v>
      </c>
      <c r="FS20" s="283">
        <f xml:space="preserve"> 'WK2015'!H30</f>
        <v>702.42331000000001</v>
      </c>
      <c r="FT20" s="283">
        <f xml:space="preserve"> 'WK2015'!I30</f>
        <v>1036.94741</v>
      </c>
      <c r="FU20" s="283">
        <f xml:space="preserve"> 'WK2015'!L30</f>
        <v>706.65430739999204</v>
      </c>
      <c r="FV20" s="283">
        <f xml:space="preserve"> 'WK2015'!M30</f>
        <v>1032.403191399992</v>
      </c>
      <c r="FW20" s="283">
        <f xml:space="preserve"> 'WK2015'!N30</f>
        <v>724.71970316561851</v>
      </c>
      <c r="FX20" s="283">
        <f xml:space="preserve"> 'WK2015'!O30</f>
        <v>1050.4685871656184</v>
      </c>
      <c r="FY20" s="284">
        <f xml:space="preserve"> 'WK2015'!P30</f>
        <v>0.51784692251541531</v>
      </c>
      <c r="GA20" s="283">
        <f xml:space="preserve"> 'WK2015'!HB30</f>
        <v>462.97127099999994</v>
      </c>
      <c r="GB20" s="283">
        <f xml:space="preserve"> 'WK2015'!HC30</f>
        <v>807.761169</v>
      </c>
      <c r="GC20" s="283">
        <f xml:space="preserve"> 'WK2015'!HF30</f>
        <v>462.98241540729225</v>
      </c>
      <c r="GD20" s="283">
        <f xml:space="preserve"> 'WK2015'!HG30</f>
        <v>807.74798140729229</v>
      </c>
      <c r="GE20" s="283">
        <f xml:space="preserve"> 'WK2015'!HH30</f>
        <v>477.79666454956987</v>
      </c>
      <c r="GF20" s="283">
        <f xml:space="preserve"> 'WK2015'!HI30</f>
        <v>822.5622305495699</v>
      </c>
      <c r="GG20" s="284">
        <f xml:space="preserve"> 'WK2015'!HJ30</f>
        <v>0.54198556253945596</v>
      </c>
      <c r="GI20" s="283">
        <f xml:space="preserve"> 'WK2015'!HQ30</f>
        <v>127.91499</v>
      </c>
      <c r="GJ20" s="283">
        <f xml:space="preserve"> 'WK2015'!HR30</f>
        <v>379.85459400000002</v>
      </c>
      <c r="GK20" s="283">
        <f xml:space="preserve"> 'WK2015'!HU30</f>
        <v>144.55421721144364</v>
      </c>
      <c r="GL20" s="283">
        <f xml:space="preserve"> 'WK2015'!HV30</f>
        <v>363.08587521144369</v>
      </c>
      <c r="GM20" s="283">
        <f xml:space="preserve"> 'WK2015'!HW30</f>
        <v>130.92003852670294</v>
      </c>
      <c r="GN20" s="283">
        <f xml:space="preserve"> 'WK2015'!HX30</f>
        <v>349.45169652670296</v>
      </c>
      <c r="GO20" s="284">
        <f xml:space="preserve"> 'WK2015'!HY30</f>
        <v>0.50193803559657224</v>
      </c>
    </row>
    <row r="21" spans="1:197" x14ac:dyDescent="0.2">
      <c r="A21" s="3">
        <f>Basis!A21</f>
        <v>21</v>
      </c>
      <c r="D21" s="252" t="e">
        <v>#N/A</v>
      </c>
      <c r="E21" s="252" t="e">
        <v>#N/A</v>
      </c>
      <c r="H21" s="50">
        <f xml:space="preserve"> 'WK2012'!EG31</f>
        <v>1502.420806120394</v>
      </c>
      <c r="I21" s="50">
        <f xml:space="preserve"> 'WK2012'!EH31</f>
        <v>2105.0095732664231</v>
      </c>
      <c r="J21" s="50">
        <f xml:space="preserve"> 'WK2012'!EK31</f>
        <v>1525.5631931964269</v>
      </c>
      <c r="K21" s="50">
        <f xml:space="preserve"> 'WK2012'!EL31</f>
        <v>2088.1802091269669</v>
      </c>
      <c r="L21" s="50">
        <f xml:space="preserve"> 'WK2012'!EM31</f>
        <v>1547.5014372369885</v>
      </c>
      <c r="M21" s="50">
        <f xml:space="preserve"> 'WK2012'!EN31</f>
        <v>2110.118453167529</v>
      </c>
      <c r="N21" s="61">
        <f xml:space="preserve"> 'WK2012'!EI31</f>
        <v>0.61032646960942283</v>
      </c>
      <c r="P21" s="50">
        <f xml:space="preserve"> 'WK2012'!EU31</f>
        <v>1020.3108288954444</v>
      </c>
      <c r="Q21" s="50">
        <f xml:space="preserve"> 'WK2012'!EV31</f>
        <v>1550.3229820104186</v>
      </c>
      <c r="R21" s="50">
        <f xml:space="preserve"> 'WK2012'!EY31</f>
        <v>1049.2646844871729</v>
      </c>
      <c r="S21" s="50">
        <f xml:space="preserve"> 'WK2012'!EZ31</f>
        <v>1531.5596164161061</v>
      </c>
      <c r="T21" s="50">
        <f xml:space="preserve"> 'WK2012'!FA31</f>
        <v>1056.379504759054</v>
      </c>
      <c r="U21" s="50">
        <f xml:space="preserve"> 'WK2012'!FB31</f>
        <v>1538.6744366879875</v>
      </c>
      <c r="V21" s="61">
        <f xml:space="preserve"> 'WK2012'!EW31</f>
        <v>0.6241589533432228</v>
      </c>
      <c r="X21" s="50">
        <f xml:space="preserve"> 'WK2012'!FI31</f>
        <v>617.9048697680621</v>
      </c>
      <c r="Y21" s="50">
        <f xml:space="preserve"> 'WK2012'!FJ31</f>
        <v>846.00251158291655</v>
      </c>
      <c r="Z21" s="50">
        <f xml:space="preserve"> 'WK2012'!FM31</f>
        <v>648.88853307028921</v>
      </c>
      <c r="AA21" s="50">
        <f xml:space="preserve"> 'WK2012'!FN31</f>
        <v>824.04126460615964</v>
      </c>
      <c r="AB21" s="50">
        <f xml:space="preserve"> 'WK2012'!FO31</f>
        <v>641.24327555797709</v>
      </c>
      <c r="AC21" s="50">
        <f xml:space="preserve"> 'WK2012'!FP31</f>
        <v>816.39600709384763</v>
      </c>
      <c r="AD21" s="61">
        <f xml:space="preserve"> 'WK2012'!FK31</f>
        <v>0.62333062507689641</v>
      </c>
      <c r="AF21" s="50">
        <f xml:space="preserve"> 'WK2012'!FW31</f>
        <v>101.76137379411429</v>
      </c>
      <c r="AG21" s="50">
        <f xml:space="preserve"> 'WK2012'!FX31</f>
        <v>57.232642858469582</v>
      </c>
      <c r="AH21" s="50">
        <f xml:space="preserve"> 'WK2012'!GA31</f>
        <v>96.395024637982843</v>
      </c>
      <c r="AI21" s="50">
        <f xml:space="preserve"> 'WK2012'!GB31</f>
        <v>59.806530959984237</v>
      </c>
      <c r="AJ21" s="50">
        <f xml:space="preserve"> 'WK2012'!GC31</f>
        <v>105.68363869558284</v>
      </c>
      <c r="AK21" s="50">
        <f xml:space="preserve"> 'WK2012'!GD31</f>
        <v>69.095145017584244</v>
      </c>
      <c r="AL21" s="61">
        <f xml:space="preserve"> 'WK2012'!FY31</f>
        <v>0.57566666258240529</v>
      </c>
      <c r="AN21" s="50">
        <f xml:space="preserve"> 'WK2012'!GK31</f>
        <v>174.32569118450104</v>
      </c>
      <c r="AO21" s="50">
        <f xml:space="preserve"> 'WK2012'!GL31</f>
        <v>218.69679493136971</v>
      </c>
      <c r="AP21" s="50">
        <f xml:space="preserve"> 'WK2012'!GO31</f>
        <v>174.62994064928495</v>
      </c>
      <c r="AQ21" s="50">
        <f xml:space="preserve"> 'WK2012'!GP31</f>
        <v>218.48399904036694</v>
      </c>
      <c r="AR21" s="50">
        <f xml:space="preserve"> 'WK2012'!GQ31</f>
        <v>174.96043909080379</v>
      </c>
      <c r="AS21" s="50">
        <f xml:space="preserve"> 'WK2012'!GR31</f>
        <v>218.81449748188578</v>
      </c>
      <c r="AT21" s="61">
        <f xml:space="preserve"> 'WK2012'!GM31</f>
        <v>0.6409988697594412</v>
      </c>
      <c r="AX21" s="50">
        <f xml:space="preserve"> 'WK2013'!EG31</f>
        <v>1360.8080360000001</v>
      </c>
      <c r="AY21" s="50">
        <f xml:space="preserve"> 'WK2013'!EH31</f>
        <v>1994.2868626000002</v>
      </c>
      <c r="AZ21" s="50">
        <f xml:space="preserve"> 'WK2013'!EK31</f>
        <v>1394.824833277893</v>
      </c>
      <c r="BA21" s="50">
        <f xml:space="preserve"> 'WK2013'!EL31</f>
        <v>1970.9850318778936</v>
      </c>
      <c r="BB21" s="50">
        <f xml:space="preserve"> 'WK2013'!EM31</f>
        <v>1404.0083502958432</v>
      </c>
      <c r="BC21" s="50">
        <f xml:space="preserve"> 'WK2013'!EN31</f>
        <v>1980.1685488958431</v>
      </c>
      <c r="BD21" s="61">
        <f xml:space="preserve"> 'WK2013'!EI31</f>
        <v>0.51162630397896225</v>
      </c>
      <c r="BF21" s="50">
        <f xml:space="preserve"> 'WK2013'!EU31</f>
        <v>1083.4483300000002</v>
      </c>
      <c r="BG21" s="50">
        <f xml:space="preserve"> 'WK2013'!EV31</f>
        <v>1531.2447193999999</v>
      </c>
      <c r="BH21" s="50">
        <f xml:space="preserve"> 'WK2013'!EY31</f>
        <v>1106.2216149959659</v>
      </c>
      <c r="BI21" s="50">
        <f xml:space="preserve"> 'WK2013'!EZ31</f>
        <v>1514.7567323959656</v>
      </c>
      <c r="BJ21" s="50">
        <f xml:space="preserve"> 'WK2013'!FA31</f>
        <v>1119.0350158623237</v>
      </c>
      <c r="BK21" s="50">
        <f xml:space="preserve"> 'WK2013'!FB31</f>
        <v>1527.5701332623235</v>
      </c>
      <c r="BL21" s="61">
        <f xml:space="preserve"> 'WK2013'!EW31</f>
        <v>0.54076353072350869</v>
      </c>
      <c r="BN21" s="50">
        <f xml:space="preserve"> 'WK2013'!FI31</f>
        <v>701.57499099999995</v>
      </c>
      <c r="BO21" s="50">
        <f xml:space="preserve"> 'WK2013'!FJ31</f>
        <v>1036.7754895999999</v>
      </c>
      <c r="BP21" s="50">
        <f xml:space="preserve"> 'WK2013'!FM31</f>
        <v>759.04245935801828</v>
      </c>
      <c r="BQ21" s="50">
        <f xml:space="preserve"> 'WK2013'!FN31</f>
        <v>999.85348755801829</v>
      </c>
      <c r="BR21" s="50">
        <f xml:space="preserve"> 'WK2013'!FO31</f>
        <v>729.39882323008715</v>
      </c>
      <c r="BS21" s="50">
        <f xml:space="preserve"> 'WK2013'!FP31</f>
        <v>970.20985143008704</v>
      </c>
      <c r="BT21" s="61">
        <f xml:space="preserve"> 'WK2013'!FK31</f>
        <v>0.5334023200657656</v>
      </c>
      <c r="BV21" s="50">
        <f xml:space="preserve"> 'WK2013'!FW31</f>
        <v>223.32857300000001</v>
      </c>
      <c r="BW21" s="50">
        <f xml:space="preserve"> 'WK2013'!FX31</f>
        <v>273.94475060000002</v>
      </c>
      <c r="BX21" s="50">
        <f xml:space="preserve"> 'WK2013'!GA31</f>
        <v>223.37648366670433</v>
      </c>
      <c r="BY21" s="50">
        <f xml:space="preserve"> 'WK2013'!GB31</f>
        <v>273.9053812667043</v>
      </c>
      <c r="BZ21" s="50">
        <f xml:space="preserve"> 'WK2013'!GC31</f>
        <v>223.38181811479981</v>
      </c>
      <c r="CA21" s="50">
        <f xml:space="preserve"> 'WK2013'!GD31</f>
        <v>273.91071571479978</v>
      </c>
      <c r="CB21" s="61">
        <f xml:space="preserve"> 'WK2013'!FY31</f>
        <v>0.5396930616900536</v>
      </c>
      <c r="CD21" s="50">
        <f xml:space="preserve"> 'WK2013'!GK31</f>
        <v>151.82831924999999</v>
      </c>
      <c r="CE21" s="50">
        <f xml:space="preserve"> 'WK2013'!GL31</f>
        <v>137.16238124999995</v>
      </c>
      <c r="CF21" s="50">
        <f xml:space="preserve"> 'WK2013'!GO31</f>
        <v>143.07725901849295</v>
      </c>
      <c r="CG21" s="50">
        <f xml:space="preserve"> 'WK2013'!GP31</f>
        <v>141.75474801849285</v>
      </c>
      <c r="CH21" s="50">
        <f xml:space="preserve"> 'WK2013'!GQ31</f>
        <v>156.14391644691867</v>
      </c>
      <c r="CI21" s="50">
        <f xml:space="preserve"> 'WK2013'!GR31</f>
        <v>154.82140544691862</v>
      </c>
      <c r="CJ21" s="61">
        <f xml:space="preserve"> 'WK2013'!GM31</f>
        <v>0.54170398383712459</v>
      </c>
      <c r="CN21" s="50">
        <f xml:space="preserve"> 'WK2014'!EG31</f>
        <v>1392.9970544</v>
      </c>
      <c r="CO21" s="50">
        <f xml:space="preserve"> 'WK2014'!EH31</f>
        <v>2067.8607963999998</v>
      </c>
      <c r="CP21" s="50">
        <f xml:space="preserve"> 'WK2014'!EK31</f>
        <v>1419.7578722577853</v>
      </c>
      <c r="CQ21" s="50">
        <f xml:space="preserve"> 'WK2014'!EL31</f>
        <v>2039.439472657785</v>
      </c>
      <c r="CR21" s="50">
        <f xml:space="preserve"> 'WK2014'!EM31</f>
        <v>1426.7349705983427</v>
      </c>
      <c r="CS21" s="50">
        <f xml:space="preserve"> 'WK2014'!EN31</f>
        <v>2046.4165709983426</v>
      </c>
      <c r="CT21" s="61">
        <f xml:space="preserve"> 'WK2014'!EI31</f>
        <v>0.5287756638516159</v>
      </c>
      <c r="CV21" s="50">
        <f xml:space="preserve"> 'WK2014'!EU31</f>
        <v>1052.4240120999998</v>
      </c>
      <c r="CW21" s="50">
        <f xml:space="preserve"> 'WK2014'!EV31</f>
        <v>1583.2768796</v>
      </c>
      <c r="CX21" s="50">
        <f xml:space="preserve"> 'WK2014'!EY31</f>
        <v>1070.9414203123706</v>
      </c>
      <c r="CY21" s="50">
        <f xml:space="preserve"> 'WK2014'!EZ31</f>
        <v>1571.7199019123707</v>
      </c>
      <c r="CZ21" s="50">
        <f xml:space="preserve"> 'WK2014'!FA31</f>
        <v>1088.4720459719499</v>
      </c>
      <c r="DA21" s="50">
        <f xml:space="preserve"> 'WK2014'!FB31</f>
        <v>1589.25052757195</v>
      </c>
      <c r="DB21" s="61">
        <f xml:space="preserve"> 'WK2014'!EW31</f>
        <v>0.5260518412339964</v>
      </c>
      <c r="DC21" s="1"/>
      <c r="DD21" s="50">
        <f xml:space="preserve"> 'WK2014'!FI31</f>
        <v>701.18357600000002</v>
      </c>
      <c r="DE21" s="50">
        <f xml:space="preserve"> 'WK2014'!FJ31</f>
        <v>1056.0229632</v>
      </c>
      <c r="DF21" s="50">
        <f xml:space="preserve"> 'WK2014'!FM31</f>
        <v>738.05305271720033</v>
      </c>
      <c r="DG21" s="50">
        <f xml:space="preserve"> 'WK2014'!FN31</f>
        <v>1032.9498939172004</v>
      </c>
      <c r="DH21" s="50">
        <f xml:space="preserve"> 'WK2014'!FO31</f>
        <v>725.06729117855991</v>
      </c>
      <c r="DI21" s="50">
        <f xml:space="preserve"> 'WK2014'!FP31</f>
        <v>1019.9641323785598</v>
      </c>
      <c r="DJ21" s="61">
        <f xml:space="preserve"> 'WK2014'!FK31</f>
        <v>0.53206250660049803</v>
      </c>
      <c r="DK21" s="1"/>
      <c r="DL21" s="50">
        <f xml:space="preserve"> 'WK2014'!FW31</f>
        <v>223.67779440000001</v>
      </c>
      <c r="DM21" s="50">
        <f xml:space="preserve"> 'WK2014'!FX31</f>
        <v>274.73057440000002</v>
      </c>
      <c r="DN21" s="50">
        <f xml:space="preserve"> 'WK2014'!GA31</f>
        <v>223.72651730821039</v>
      </c>
      <c r="DO21" s="50">
        <f xml:space="preserve"> 'WK2014'!GB31</f>
        <v>274.69067970821038</v>
      </c>
      <c r="DP21" s="50">
        <f xml:space="preserve"> 'WK2014'!GC31</f>
        <v>223.72933310581379</v>
      </c>
      <c r="DQ21" s="50">
        <f xml:space="preserve"> 'WK2014'!GD31</f>
        <v>274.69349550581381</v>
      </c>
      <c r="DR21" s="61">
        <f xml:space="preserve"> 'WK2014'!FY31</f>
        <v>0.5269355301176909</v>
      </c>
      <c r="DS21" s="1"/>
      <c r="DT21" s="50">
        <f xml:space="preserve"> 'WK2014'!GK31</f>
        <v>188.23638899999997</v>
      </c>
      <c r="DU21" s="50">
        <f xml:space="preserve"> 'WK2014'!GL31</f>
        <v>199.95222150000001</v>
      </c>
      <c r="DV21" s="50">
        <f xml:space="preserve"> 'WK2014'!GO31</f>
        <v>183.7672997829186</v>
      </c>
      <c r="DW21" s="50">
        <f xml:space="preserve"> 'WK2014'!GP31</f>
        <v>201.63394303291864</v>
      </c>
      <c r="DX21" s="50">
        <f xml:space="preserve"> 'WK2014'!GQ31</f>
        <v>193.20362254310379</v>
      </c>
      <c r="DY21" s="50">
        <f xml:space="preserve"> 'WK2014'!GR31</f>
        <v>211.07026579310389</v>
      </c>
      <c r="DZ21" s="61">
        <f xml:space="preserve"> 'WK2014'!GM31</f>
        <v>0.5307570897221412</v>
      </c>
      <c r="ED21" s="50">
        <f xml:space="preserve"> 'WK2015'!EG31</f>
        <v>1395.6135099999999</v>
      </c>
      <c r="EE21" s="50">
        <f xml:space="preserve"> 'WK2015'!EH31</f>
        <v>1983.5983342</v>
      </c>
      <c r="EF21" s="50">
        <f xml:space="preserve"> 'WK2015'!EK31</f>
        <v>1409.7513335491274</v>
      </c>
      <c r="EG21" s="50">
        <f xml:space="preserve"> 'WK2015'!EL31</f>
        <v>1969.7943305491269</v>
      </c>
      <c r="EH21" s="50">
        <f xml:space="preserve"> 'WK2015'!EM31</f>
        <v>1436.391935411415</v>
      </c>
      <c r="EI21" s="50">
        <f xml:space="preserve"> 'WK2015'!EN31</f>
        <v>1996.4349324114148</v>
      </c>
      <c r="EJ21" s="61">
        <f xml:space="preserve"> 'WK2015'!EI31</f>
        <v>0.53779355383946159</v>
      </c>
      <c r="EK21" s="1"/>
      <c r="EL21" s="50">
        <f xml:space="preserve"> 'WK2015'!EU31</f>
        <v>1124.4753095000001</v>
      </c>
      <c r="EM21" s="50">
        <f xml:space="preserve"> 'WK2015'!EV31</f>
        <v>1683.4771868</v>
      </c>
      <c r="EN21" s="50">
        <f xml:space="preserve"> 'WK2015'!EY31</f>
        <v>1149.5485774513513</v>
      </c>
      <c r="EO21" s="50">
        <f xml:space="preserve"> 'WK2015'!EZ31</f>
        <v>1667.1493619513512</v>
      </c>
      <c r="EP21" s="50">
        <f xml:space="preserve"> 'WK2015'!FA31</f>
        <v>1161.3493223840251</v>
      </c>
      <c r="EQ21" s="50">
        <f xml:space="preserve"> 'WK2015'!FB31</f>
        <v>1678.9501068840252</v>
      </c>
      <c r="ER21" s="61">
        <f xml:space="preserve"> 'WK2015'!EW31</f>
        <v>0.54004639878408556</v>
      </c>
      <c r="ES21" s="1"/>
      <c r="ET21" s="50">
        <f xml:space="preserve"> 'WK2015'!FI31</f>
        <v>774.13541759999998</v>
      </c>
      <c r="EU21" s="50">
        <f xml:space="preserve"> 'WK2015'!FJ31</f>
        <v>1122.9965982000001</v>
      </c>
      <c r="EV21" s="50">
        <f xml:space="preserve"> 'WK2015'!FM31</f>
        <v>804.37026949433493</v>
      </c>
      <c r="EW21" s="50">
        <f xml:space="preserve"> 'WK2015'!FN31</f>
        <v>1103.4966588943348</v>
      </c>
      <c r="EX21" s="50">
        <f xml:space="preserve"> 'WK2015'!FO31</f>
        <v>798.65302270375332</v>
      </c>
      <c r="EY21" s="50">
        <f xml:space="preserve"> 'WK2015'!FP31</f>
        <v>1097.7794121037532</v>
      </c>
      <c r="EZ21" s="61">
        <f xml:space="preserve"> 'WK2015'!FK31</f>
        <v>0.53464597484387633</v>
      </c>
      <c r="FA21" s="1"/>
      <c r="FB21" s="50">
        <f xml:space="preserve"> 'WK2015'!FW31</f>
        <v>226.48966000000001</v>
      </c>
      <c r="FC21" s="50">
        <f xml:space="preserve"> 'WK2015'!FX31</f>
        <v>275.96775719999999</v>
      </c>
      <c r="FD21" s="50">
        <f xml:space="preserve"> 'WK2015'!GA31</f>
        <v>226.5357930844404</v>
      </c>
      <c r="FE21" s="50">
        <f xml:space="preserve"> 'WK2015'!GB31</f>
        <v>275.92988308444035</v>
      </c>
      <c r="FF21" s="50">
        <f xml:space="preserve"> 'WK2015'!GC31</f>
        <v>226.54244667007708</v>
      </c>
      <c r="FG21" s="50">
        <f xml:space="preserve"> 'WK2015'!GD31</f>
        <v>275.93653667007703</v>
      </c>
      <c r="FH21" s="61">
        <f xml:space="preserve"> 'WK2015'!FY31</f>
        <v>0.53940695779668402</v>
      </c>
      <c r="FI21" s="1"/>
      <c r="FJ21" s="50">
        <f xml:space="preserve"> 'WK2015'!GK31</f>
        <v>193.0352805</v>
      </c>
      <c r="FK21" s="50">
        <f xml:space="preserve"> 'WK2015'!GL31</f>
        <v>230.71940700000005</v>
      </c>
      <c r="FL21" s="50">
        <f xml:space="preserve"> 'WK2015'!GO31</f>
        <v>193.24260722006613</v>
      </c>
      <c r="FM21" s="50">
        <f xml:space="preserve"> 'WK2015'!GP31</f>
        <v>230.18617622006622</v>
      </c>
      <c r="FN21" s="50">
        <f xml:space="preserve"> 'WK2015'!GQ31</f>
        <v>198.33492647259959</v>
      </c>
      <c r="FO21" s="50">
        <f xml:space="preserve"> 'WK2015'!GR31</f>
        <v>235.27849547259967</v>
      </c>
      <c r="FP21" s="61">
        <f xml:space="preserve"> 'WK2015'!GM31</f>
        <v>0.53397298675801019</v>
      </c>
      <c r="FS21" s="283">
        <f xml:space="preserve"> 'WK2015'!H31</f>
        <v>701.43425999999999</v>
      </c>
      <c r="FT21" s="283">
        <f xml:space="preserve"> 'WK2015'!I31</f>
        <v>1085.2361859999999</v>
      </c>
      <c r="FU21" s="283">
        <f xml:space="preserve"> 'WK2015'!L31</f>
        <v>709.20785513597082</v>
      </c>
      <c r="FV21" s="283">
        <f xml:space="preserve"> 'WK2015'!M31</f>
        <v>1076.2177011359706</v>
      </c>
      <c r="FW21" s="283">
        <f xml:space="preserve"> 'WK2015'!N31</f>
        <v>723.73065316561838</v>
      </c>
      <c r="FX21" s="283">
        <f xml:space="preserve"> 'WK2015'!O31</f>
        <v>1090.7404991656183</v>
      </c>
      <c r="FY21" s="284">
        <f xml:space="preserve"> 'WK2015'!P31</f>
        <v>0.53706776432873216</v>
      </c>
      <c r="GA21" s="283">
        <f xml:space="preserve"> 'WK2015'!HB31</f>
        <v>459.42460499999999</v>
      </c>
      <c r="GB21" s="283">
        <f xml:space="preserve"> 'WK2015'!HC31</f>
        <v>867.50480900000002</v>
      </c>
      <c r="GC21" s="283">
        <f xml:space="preserve"> 'WK2015'!HF31</f>
        <v>463.15874660672785</v>
      </c>
      <c r="GD21" s="283">
        <f xml:space="preserve"> 'WK2015'!HG31</f>
        <v>863.20939060672799</v>
      </c>
      <c r="GE21" s="283">
        <f xml:space="preserve"> 'WK2015'!HH31</f>
        <v>474.24999854956991</v>
      </c>
      <c r="GF21" s="283">
        <f xml:space="preserve"> 'WK2015'!HI31</f>
        <v>874.30064254956994</v>
      </c>
      <c r="GG21" s="284">
        <f xml:space="preserve"> 'WK2015'!HJ31</f>
        <v>0.53495065648330897</v>
      </c>
      <c r="GI21" s="283">
        <f xml:space="preserve"> 'WK2015'!HQ31</f>
        <v>145.51260499999998</v>
      </c>
      <c r="GJ21" s="283">
        <f xml:space="preserve"> 'WK2015'!HR31</f>
        <v>404.43889499999995</v>
      </c>
      <c r="GK21" s="283">
        <f xml:space="preserve"> 'WK2015'!HU31</f>
        <v>168.91296897227039</v>
      </c>
      <c r="GL21" s="283">
        <f xml:space="preserve"> 'WK2015'!HV31</f>
        <v>380.6995309722704</v>
      </c>
      <c r="GM21" s="283">
        <f xml:space="preserve"> 'WK2015'!HW31</f>
        <v>148.5176535267029</v>
      </c>
      <c r="GN21" s="283">
        <f xml:space="preserve"> 'WK2015'!HX31</f>
        <v>360.30421552670288</v>
      </c>
      <c r="GO21" s="284">
        <f xml:space="preserve"> 'WK2015'!HY31</f>
        <v>0.50359569380055769</v>
      </c>
    </row>
    <row r="22" spans="1:197" x14ac:dyDescent="0.2">
      <c r="A22" s="3">
        <f>Basis!A22</f>
        <v>22</v>
      </c>
      <c r="D22" s="252" t="e">
        <v>#N/A</v>
      </c>
      <c r="E22" s="252" t="e">
        <v>#N/A</v>
      </c>
      <c r="H22" s="50">
        <f xml:space="preserve"> 'WK2012'!EG32</f>
        <v>1516.6409147476438</v>
      </c>
      <c r="I22" s="50">
        <f xml:space="preserve"> 'WK2012'!EH32</f>
        <v>2218.5336434456121</v>
      </c>
      <c r="J22" s="50">
        <f xml:space="preserve"> 'WK2012'!EK32</f>
        <v>1554.1427413296194</v>
      </c>
      <c r="K22" s="50">
        <f xml:space="preserve"> 'WK2012'!EL32</f>
        <v>2192.2361757551375</v>
      </c>
      <c r="L22" s="50">
        <f xml:space="preserve"> 'WK2012'!EM32</f>
        <v>1561.7215458642388</v>
      </c>
      <c r="M22" s="50">
        <f xml:space="preserve"> 'WK2012'!EN32</f>
        <v>2199.8149802897565</v>
      </c>
      <c r="N22" s="61">
        <f xml:space="preserve"> 'WK2012'!EI32</f>
        <v>0.64308859667545548</v>
      </c>
      <c r="P22" s="50">
        <f xml:space="preserve"> 'WK2012'!EU32</f>
        <v>1025.6973769721274</v>
      </c>
      <c r="Q22" s="50">
        <f xml:space="preserve"> 'WK2012'!EV32</f>
        <v>1643.4885756955996</v>
      </c>
      <c r="R22" s="50">
        <f xml:space="preserve"> 'WK2012'!EY32</f>
        <v>1071.3102395704459</v>
      </c>
      <c r="S22" s="50">
        <f xml:space="preserve"> 'WK2012'!EZ32</f>
        <v>1615.3243562836383</v>
      </c>
      <c r="T22" s="50">
        <f xml:space="preserve"> 'WK2012'!FA32</f>
        <v>1061.7660528357371</v>
      </c>
      <c r="U22" s="50">
        <f xml:space="preserve"> 'WK2012'!FB32</f>
        <v>1605.7801695489297</v>
      </c>
      <c r="V22" s="61">
        <f xml:space="preserve"> 'WK2012'!EW32</f>
        <v>0.65768362746566045</v>
      </c>
      <c r="X22" s="50">
        <f xml:space="preserve"> 'WK2012'!FI32</f>
        <v>604.55091211472893</v>
      </c>
      <c r="Y22" s="50">
        <f xml:space="preserve"> 'WK2012'!FJ32</f>
        <v>887.20972088140786</v>
      </c>
      <c r="Z22" s="50">
        <f xml:space="preserve"> 'WK2012'!FM32</f>
        <v>655.42905008752587</v>
      </c>
      <c r="AA22" s="50">
        <f xml:space="preserve"> 'WK2012'!FN32</f>
        <v>854.22947822778133</v>
      </c>
      <c r="AB22" s="50">
        <f xml:space="preserve"> 'WK2012'!FO32</f>
        <v>627.88931790464403</v>
      </c>
      <c r="AC22" s="50">
        <f xml:space="preserve"> 'WK2012'!FP32</f>
        <v>826.68974604489927</v>
      </c>
      <c r="AD22" s="61">
        <f xml:space="preserve"> 'WK2012'!FK32</f>
        <v>0.6653687118243683</v>
      </c>
      <c r="AF22" s="50">
        <f xml:space="preserve"> 'WK2012'!FW32</f>
        <v>124.6003562238491</v>
      </c>
      <c r="AG22" s="50">
        <f xml:space="preserve"> 'WK2012'!FX32</f>
        <v>70.011195171904049</v>
      </c>
      <c r="AH22" s="50">
        <f xml:space="preserve"> 'WK2012'!GA32</f>
        <v>115.73502186661041</v>
      </c>
      <c r="AI22" s="50">
        <f xml:space="preserve"> 'WK2012'!GB32</f>
        <v>73.399507837974454</v>
      </c>
      <c r="AJ22" s="50">
        <f xml:space="preserve"> 'WK2012'!GC32</f>
        <v>128.52262112531764</v>
      </c>
      <c r="AK22" s="50">
        <f xml:space="preserve"> 'WK2012'!GD32</f>
        <v>86.1871070966817</v>
      </c>
      <c r="AL22" s="61">
        <f xml:space="preserve"> 'WK2012'!FY32</f>
        <v>0.62600344640757777</v>
      </c>
      <c r="AN22" s="50">
        <f xml:space="preserve"> 'WK2012'!GK32</f>
        <v>169.347407193474</v>
      </c>
      <c r="AO22" s="50">
        <f xml:space="preserve"> 'WK2012'!GL32</f>
        <v>224.39271740729563</v>
      </c>
      <c r="AP22" s="50">
        <f xml:space="preserve"> 'WK2012'!GO32</f>
        <v>169.92750320258475</v>
      </c>
      <c r="AQ22" s="50">
        <f xml:space="preserve"> 'WK2012'!GP32</f>
        <v>224.04416849009687</v>
      </c>
      <c r="AR22" s="50">
        <f xml:space="preserve"> 'WK2012'!GQ32</f>
        <v>169.98215509977672</v>
      </c>
      <c r="AS22" s="50">
        <f xml:space="preserve"> 'WK2012'!GR32</f>
        <v>224.09882038728884</v>
      </c>
      <c r="AT22" s="61">
        <f xml:space="preserve"> 'WK2012'!GM32</f>
        <v>0.6755102444341855</v>
      </c>
      <c r="AX22" s="50">
        <f xml:space="preserve"> 'WK2013'!EG32</f>
        <v>1346.9455508000001</v>
      </c>
      <c r="AY22" s="50">
        <f xml:space="preserve"> 'WK2013'!EH32</f>
        <v>2059.7571637999999</v>
      </c>
      <c r="AZ22" s="50">
        <f xml:space="preserve"> 'WK2013'!EK32</f>
        <v>1397.326160737573</v>
      </c>
      <c r="BA22" s="50">
        <f xml:space="preserve"> 'WK2013'!EL32</f>
        <v>2022.6549427375728</v>
      </c>
      <c r="BB22" s="50">
        <f xml:space="preserve"> 'WK2013'!EM32</f>
        <v>1390.1458650958434</v>
      </c>
      <c r="BC22" s="50">
        <f xml:space="preserve"> 'WK2013'!EN32</f>
        <v>2015.4746470958428</v>
      </c>
      <c r="BD22" s="61">
        <f xml:space="preserve"> 'WK2013'!EI32</f>
        <v>0.53920884936872693</v>
      </c>
      <c r="BF22" s="50">
        <f xml:space="preserve"> 'WK2013'!EU32</f>
        <v>1052.5782916999999</v>
      </c>
      <c r="BG22" s="50">
        <f xml:space="preserve"> 'WK2013'!EV32</f>
        <v>1576.0255411999999</v>
      </c>
      <c r="BH22" s="50">
        <f xml:space="preserve"> 'WK2013'!EY32</f>
        <v>1089.1500102629252</v>
      </c>
      <c r="BI22" s="50">
        <f xml:space="preserve"> 'WK2013'!EZ32</f>
        <v>1550.9260462629252</v>
      </c>
      <c r="BJ22" s="50">
        <f xml:space="preserve"> 'WK2013'!FA32</f>
        <v>1088.1649775623237</v>
      </c>
      <c r="BK22" s="50">
        <f xml:space="preserve"> 'WK2013'!FB32</f>
        <v>1549.9410135623236</v>
      </c>
      <c r="BL22" s="61">
        <f xml:space="preserve"> 'WK2013'!EW32</f>
        <v>0.56928220581140199</v>
      </c>
      <c r="BN22" s="50">
        <f xml:space="preserve"> 'WK2013'!FI32</f>
        <v>686.43927139999994</v>
      </c>
      <c r="BO22" s="50">
        <f xml:space="preserve"> 'WK2013'!FJ32</f>
        <v>1077.6059712000001</v>
      </c>
      <c r="BP22" s="50">
        <f xml:space="preserve"> 'WK2013'!FM32</f>
        <v>766.94016888319163</v>
      </c>
      <c r="BQ22" s="50">
        <f xml:space="preserve"> 'WK2013'!FN32</f>
        <v>1029.4462044831917</v>
      </c>
      <c r="BR22" s="50">
        <f xml:space="preserve"> 'WK2013'!FO32</f>
        <v>714.26310363008702</v>
      </c>
      <c r="BS22" s="50">
        <f xml:space="preserve"> 'WK2013'!FP32</f>
        <v>976.76913923008703</v>
      </c>
      <c r="BT22" s="61">
        <f xml:space="preserve"> 'WK2013'!FK32</f>
        <v>0.5634748243062222</v>
      </c>
      <c r="BV22" s="50">
        <f xml:space="preserve"> 'WK2013'!FW32</f>
        <v>206.7769298</v>
      </c>
      <c r="BW22" s="50">
        <f xml:space="preserve"> 'WK2013'!FX32</f>
        <v>260.22503080000001</v>
      </c>
      <c r="BX22" s="50">
        <f xml:space="preserve"> 'WK2013'!GA32</f>
        <v>206.84257320450709</v>
      </c>
      <c r="BY22" s="50">
        <f xml:space="preserve"> 'WK2013'!GB32</f>
        <v>260.17317420450712</v>
      </c>
      <c r="BZ22" s="50">
        <f xml:space="preserve"> 'WK2013'!GC32</f>
        <v>206.83017491479978</v>
      </c>
      <c r="CA22" s="50">
        <f xml:space="preserve"> 'WK2013'!GD32</f>
        <v>260.16077591479984</v>
      </c>
      <c r="CB22" s="61">
        <f xml:space="preserve"> 'WK2013'!FY32</f>
        <v>0.56650104881364372</v>
      </c>
      <c r="CD22" s="50">
        <f xml:space="preserve"> 'WK2013'!GK32</f>
        <v>160.21156575000003</v>
      </c>
      <c r="CE22" s="50">
        <f xml:space="preserve"> 'WK2013'!GL32</f>
        <v>151.59091949999998</v>
      </c>
      <c r="CF22" s="50">
        <f xml:space="preserve"> 'WK2013'!GO32</f>
        <v>148.20912559665962</v>
      </c>
      <c r="CG22" s="50">
        <f xml:space="preserve"> 'WK2013'!GP32</f>
        <v>157.45415809665965</v>
      </c>
      <c r="CH22" s="50">
        <f xml:space="preserve"> 'WK2013'!GQ32</f>
        <v>164.52716294691868</v>
      </c>
      <c r="CI22" s="50">
        <f xml:space="preserve"> 'WK2013'!GR32</f>
        <v>173.77219544691872</v>
      </c>
      <c r="CJ22" s="61">
        <f xml:space="preserve"> 'WK2013'!GM32</f>
        <v>0.56651499646652459</v>
      </c>
      <c r="CN22" s="50">
        <f xml:space="preserve"> 'WK2014'!EG32</f>
        <v>1383.1057740000001</v>
      </c>
      <c r="CO22" s="50">
        <f xml:space="preserve"> 'WK2014'!EH32</f>
        <v>2137.2485784</v>
      </c>
      <c r="CP22" s="50">
        <f xml:space="preserve"> 'WK2014'!EK32</f>
        <v>1420.5948516278668</v>
      </c>
      <c r="CQ22" s="50">
        <f xml:space="preserve"> 'WK2014'!EL32</f>
        <v>2091.0929194278669</v>
      </c>
      <c r="CR22" s="50">
        <f xml:space="preserve"> 'WK2014'!EM32</f>
        <v>1416.8436901983428</v>
      </c>
      <c r="CS22" s="50">
        <f xml:space="preserve"> 'WK2014'!EN32</f>
        <v>2087.3417579983429</v>
      </c>
      <c r="CT22" s="61">
        <f xml:space="preserve"> 'WK2014'!EI32</f>
        <v>0.56272543991916801</v>
      </c>
      <c r="CV22" s="50">
        <f xml:space="preserve"> 'WK2014'!EU32</f>
        <v>1021.3505095</v>
      </c>
      <c r="CW22" s="50">
        <f xml:space="preserve"> 'WK2014'!EV32</f>
        <v>1624.1582425999998</v>
      </c>
      <c r="CX22" s="50">
        <f xml:space="preserve"> 'WK2014'!EY32</f>
        <v>1051.6846784799343</v>
      </c>
      <c r="CY22" s="50">
        <f xml:space="preserve"> 'WK2014'!EZ32</f>
        <v>1606.1711531799342</v>
      </c>
      <c r="CZ22" s="50">
        <f xml:space="preserve"> 'WK2014'!FA32</f>
        <v>1057.3985433719502</v>
      </c>
      <c r="DA22" s="50">
        <f xml:space="preserve"> 'WK2014'!FB32</f>
        <v>1611.8850180719498</v>
      </c>
      <c r="DB22" s="61">
        <f xml:space="preserve"> 'WK2014'!EW32</f>
        <v>0.56144067182248669</v>
      </c>
      <c r="DC22" s="1"/>
      <c r="DD22" s="50">
        <f xml:space="preserve"> 'WK2014'!FI32</f>
        <v>680.16769679999993</v>
      </c>
      <c r="DE22" s="50">
        <f xml:space="preserve"> 'WK2014'!FJ32</f>
        <v>1084.3174278000001</v>
      </c>
      <c r="DF22" s="50">
        <f xml:space="preserve"> 'WK2014'!FM32</f>
        <v>732.56626531540758</v>
      </c>
      <c r="DG22" s="50">
        <f xml:space="preserve"> 'WK2014'!FN32</f>
        <v>1053.8362109154077</v>
      </c>
      <c r="DH22" s="50">
        <f xml:space="preserve"> 'WK2014'!FO32</f>
        <v>704.05141197855983</v>
      </c>
      <c r="DI22" s="50">
        <f xml:space="preserve"> 'WK2014'!FP32</f>
        <v>1025.3213575785599</v>
      </c>
      <c r="DJ22" s="61">
        <f xml:space="preserve"> 'WK2014'!FK32</f>
        <v>0.54848102770676155</v>
      </c>
      <c r="DK22" s="1"/>
      <c r="DL22" s="50">
        <f xml:space="preserve"> 'WK2014'!FW32</f>
        <v>207.15741600000001</v>
      </c>
      <c r="DM22" s="50">
        <f xml:space="preserve"> 'WK2014'!FX32</f>
        <v>261.77765040000003</v>
      </c>
      <c r="DN22" s="50">
        <f xml:space="preserve"> 'WK2014'!GA32</f>
        <v>207.22352353188987</v>
      </c>
      <c r="DO22" s="50">
        <f xml:space="preserve"> 'WK2014'!GB32</f>
        <v>261.72626533188986</v>
      </c>
      <c r="DP22" s="50">
        <f xml:space="preserve"> 'WK2014'!GC32</f>
        <v>207.2089547058138</v>
      </c>
      <c r="DQ22" s="50">
        <f xml:space="preserve"> 'WK2014'!GD32</f>
        <v>261.71169650581379</v>
      </c>
      <c r="DR22" s="61">
        <f xml:space="preserve"> 'WK2014'!FY32</f>
        <v>0.55741054412140345</v>
      </c>
      <c r="DS22" s="1"/>
      <c r="DT22" s="50">
        <f xml:space="preserve"> 'WK2014'!GK32</f>
        <v>198.162081</v>
      </c>
      <c r="DU22" s="50">
        <f xml:space="preserve"> 'WK2014'!GL32</f>
        <v>215.15063700000002</v>
      </c>
      <c r="DV22" s="50">
        <f xml:space="preserve"> 'WK2014'!GO32</f>
        <v>191.22538785217597</v>
      </c>
      <c r="DW22" s="50">
        <f xml:space="preserve"> 'WK2014'!GP32</f>
        <v>217.51010685217602</v>
      </c>
      <c r="DX22" s="50">
        <f xml:space="preserve"> 'WK2014'!GQ32</f>
        <v>203.12931454310379</v>
      </c>
      <c r="DY22" s="50">
        <f xml:space="preserve"> 'WK2014'!GR32</f>
        <v>229.41403354310393</v>
      </c>
      <c r="DZ22" s="61">
        <f xml:space="preserve"> 'WK2014'!GM32</f>
        <v>0.55487066815186514</v>
      </c>
      <c r="ED22" s="50">
        <f xml:space="preserve"> 'WK2015'!EG32</f>
        <v>1392.6121179999998</v>
      </c>
      <c r="EE22" s="50">
        <f xml:space="preserve"> 'WK2015'!EH32</f>
        <v>2058.1846729999997</v>
      </c>
      <c r="EF22" s="50">
        <f xml:space="preserve"> 'WK2015'!EK32</f>
        <v>1416.7803713522169</v>
      </c>
      <c r="EG22" s="50">
        <f xml:space="preserve"> 'WK2015'!EL32</f>
        <v>2034.1399467522167</v>
      </c>
      <c r="EH22" s="50">
        <f xml:space="preserve"> 'WK2015'!EM32</f>
        <v>1433.3905434114149</v>
      </c>
      <c r="EI22" s="50">
        <f xml:space="preserve"> 'WK2015'!EN32</f>
        <v>2050.7501188114147</v>
      </c>
      <c r="EJ22" s="61">
        <f xml:space="preserve"> 'WK2015'!EI32</f>
        <v>0.54528991718466457</v>
      </c>
      <c r="EK22" s="1"/>
      <c r="EL22" s="50">
        <f xml:space="preserve"> 'WK2015'!EU32</f>
        <v>1099.4625045</v>
      </c>
      <c r="EM22" s="50">
        <f xml:space="preserve"> 'WK2015'!EV32</f>
        <v>1737.7745184999999</v>
      </c>
      <c r="EN22" s="50">
        <f xml:space="preserve"> 'WK2015'!EY32</f>
        <v>1141.7383398770403</v>
      </c>
      <c r="EO22" s="50">
        <f xml:space="preserve"> 'WK2015'!EZ32</f>
        <v>1711.59369897704</v>
      </c>
      <c r="EP22" s="50">
        <f xml:space="preserve"> 'WK2015'!FA32</f>
        <v>1136.3365173840252</v>
      </c>
      <c r="EQ22" s="50">
        <f xml:space="preserve"> 'WK2015'!FB32</f>
        <v>1706.191876484025</v>
      </c>
      <c r="ER22" s="61">
        <f xml:space="preserve"> 'WK2015'!EW32</f>
        <v>0.54550923198290413</v>
      </c>
      <c r="ES22" s="1"/>
      <c r="ET22" s="50">
        <f xml:space="preserve"> 'WK2015'!FI32</f>
        <v>754.60804199999995</v>
      </c>
      <c r="EU22" s="50">
        <f xml:space="preserve"> 'WK2015'!FJ32</f>
        <v>1154.4942354</v>
      </c>
      <c r="EV22" s="50">
        <f xml:space="preserve"> 'WK2015'!FM32</f>
        <v>799.94048689188287</v>
      </c>
      <c r="EW22" s="50">
        <f xml:space="preserve"> 'WK2015'!FN32</f>
        <v>1127.1759690918825</v>
      </c>
      <c r="EX22" s="50">
        <f xml:space="preserve"> 'WK2015'!FO32</f>
        <v>779.12564710375329</v>
      </c>
      <c r="EY22" s="50">
        <f xml:space="preserve"> 'WK2015'!FP32</f>
        <v>1106.3611293037532</v>
      </c>
      <c r="EZ22" s="61">
        <f xml:space="preserve"> 'WK2015'!FK32</f>
        <v>0.54513269706602552</v>
      </c>
      <c r="FA22" s="1"/>
      <c r="FB22" s="50">
        <f xml:space="preserve"> 'WK2015'!FW32</f>
        <v>210.394308</v>
      </c>
      <c r="FC22" s="50">
        <f xml:space="preserve"> 'WK2015'!FX32</f>
        <v>267.21075400000001</v>
      </c>
      <c r="FD22" s="50">
        <f xml:space="preserve"> 'WK2015'!GA32</f>
        <v>210.4614362705469</v>
      </c>
      <c r="FE22" s="50">
        <f xml:space="preserve"> 'WK2015'!GB32</f>
        <v>267.15888667054691</v>
      </c>
      <c r="FF22" s="50">
        <f xml:space="preserve"> 'WK2015'!GC32</f>
        <v>210.44709467007706</v>
      </c>
      <c r="FG22" s="50">
        <f xml:space="preserve"> 'WK2015'!GD32</f>
        <v>267.14454507007702</v>
      </c>
      <c r="FH22" s="61">
        <f xml:space="preserve"> 'WK2015'!FY32</f>
        <v>0.54722385115245764</v>
      </c>
      <c r="FI22" s="1"/>
      <c r="FJ22" s="50">
        <f xml:space="preserve"> 'WK2015'!GK32</f>
        <v>204.21841725000004</v>
      </c>
      <c r="FK22" s="50">
        <f xml:space="preserve"> 'WK2015'!GL32</f>
        <v>253.71906825000002</v>
      </c>
      <c r="FL22" s="50">
        <f xml:space="preserve"> 'WK2015'!GO32</f>
        <v>203.7724205719403</v>
      </c>
      <c r="FM22" s="50">
        <f xml:space="preserve"> 'WK2015'!GP32</f>
        <v>253.40425032194031</v>
      </c>
      <c r="FN22" s="50">
        <f xml:space="preserve"> 'WK2015'!GQ32</f>
        <v>209.51806322259958</v>
      </c>
      <c r="FO22" s="50">
        <f xml:space="preserve"> 'WK2015'!GR32</f>
        <v>259.14989297259956</v>
      </c>
      <c r="FP22" s="61">
        <f xml:space="preserve"> 'WK2015'!GM32</f>
        <v>0.54153174313322316</v>
      </c>
      <c r="FS22" s="283">
        <f xml:space="preserve"> 'WK2015'!H32</f>
        <v>700.34630499999992</v>
      </c>
      <c r="FT22" s="283">
        <f xml:space="preserve"> 'WK2015'!I32</f>
        <v>1134.425872</v>
      </c>
      <c r="FU22" s="283">
        <f xml:space="preserve"> 'WK2015'!L32</f>
        <v>713.68950298383072</v>
      </c>
      <c r="FV22" s="283">
        <f xml:space="preserve"> 'WK2015'!M32</f>
        <v>1118.3287619838309</v>
      </c>
      <c r="FW22" s="283">
        <f xml:space="preserve"> 'WK2015'!N32</f>
        <v>722.64269816561841</v>
      </c>
      <c r="FX22" s="283">
        <f xml:space="preserve"> 'WK2015'!O32</f>
        <v>1127.2819571656185</v>
      </c>
      <c r="FY22" s="284">
        <f xml:space="preserve"> 'WK2015'!P32</f>
        <v>0.54677111449272797</v>
      </c>
      <c r="GA22" s="283">
        <f xml:space="preserve"> 'WK2015'!HB32</f>
        <v>456.27201299999996</v>
      </c>
      <c r="GB22" s="283">
        <f xml:space="preserve"> 'WK2015'!HC32</f>
        <v>928.33469699999989</v>
      </c>
      <c r="GC22" s="283">
        <f xml:space="preserve"> 'WK2015'!HF32</f>
        <v>468.6892960062799</v>
      </c>
      <c r="GD22" s="283">
        <f xml:space="preserve"> 'WK2015'!HG32</f>
        <v>918.14755200627985</v>
      </c>
      <c r="GE22" s="283">
        <f xml:space="preserve"> 'WK2015'!HH32</f>
        <v>471.09740654956988</v>
      </c>
      <c r="GF22" s="283">
        <f xml:space="preserve"> 'WK2015'!HI32</f>
        <v>920.55566254956977</v>
      </c>
      <c r="GG22" s="284">
        <f xml:space="preserve"> 'WK2015'!HJ32</f>
        <v>0.45067032856217593</v>
      </c>
      <c r="GI22" s="283">
        <f xml:space="preserve"> 'WK2015'!HQ32</f>
        <v>163.26971499999999</v>
      </c>
      <c r="GJ22" s="283">
        <f xml:space="preserve"> 'WK2015'!HR32</f>
        <v>429.255855</v>
      </c>
      <c r="GK22" s="283">
        <f xml:space="preserve"> 'WK2015'!HU32</f>
        <v>182.4800955641939</v>
      </c>
      <c r="GL22" s="283">
        <f xml:space="preserve"> 'WK2015'!HV32</f>
        <v>387.68557856419392</v>
      </c>
      <c r="GM22" s="283">
        <f xml:space="preserve"> 'WK2015'!HW32</f>
        <v>166.27476352670291</v>
      </c>
      <c r="GN22" s="283">
        <f xml:space="preserve"> 'WK2015'!HX32</f>
        <v>371.4802465267029</v>
      </c>
      <c r="GO22" s="284">
        <f xml:space="preserve"> 'WK2015'!HY32</f>
        <v>0.6839392413248524</v>
      </c>
    </row>
    <row r="23" spans="1:197" x14ac:dyDescent="0.2">
      <c r="A23" s="3">
        <f>Basis!A23</f>
        <v>23</v>
      </c>
      <c r="D23" s="252" t="e">
        <v>#N/A</v>
      </c>
      <c r="E23" s="252" t="e">
        <v>#N/A</v>
      </c>
      <c r="H23" s="50">
        <f xml:space="preserve"> 'WK2012'!EG33</f>
        <v>1527.7304045742458</v>
      </c>
      <c r="I23" s="50">
        <f xml:space="preserve"> 'WK2012'!EH33</f>
        <v>2338.4552118483389</v>
      </c>
      <c r="J23" s="50">
        <f xml:space="preserve"> 'WK2012'!EK33</f>
        <v>1585.310971182613</v>
      </c>
      <c r="K23" s="50">
        <f xml:space="preserve"> 'WK2012'!EL33</f>
        <v>2299.629521554265</v>
      </c>
      <c r="L23" s="50">
        <f xml:space="preserve"> 'WK2012'!EM33</f>
        <v>1572.8110356908408</v>
      </c>
      <c r="M23" s="50">
        <f xml:space="preserve"> 'WK2012'!EN33</f>
        <v>2287.1295860624928</v>
      </c>
      <c r="N23" s="61">
        <f xml:space="preserve"> 'WK2012'!EI33</f>
        <v>0.68439393898019174</v>
      </c>
      <c r="P23" s="50">
        <f xml:space="preserve"> 'WK2012'!EU33</f>
        <v>1030.2023784522482</v>
      </c>
      <c r="Q23" s="50">
        <f xml:space="preserve"> 'WK2012'!EV33</f>
        <v>1739.8771296558227</v>
      </c>
      <c r="R23" s="50">
        <f xml:space="preserve"> 'WK2012'!EY33</f>
        <v>1099.5748177483906</v>
      </c>
      <c r="S23" s="50">
        <f xml:space="preserve"> 'WK2012'!EZ33</f>
        <v>1698.9329286669249</v>
      </c>
      <c r="T23" s="50">
        <f xml:space="preserve"> 'WK2012'!FA33</f>
        <v>1066.271054315858</v>
      </c>
      <c r="U23" s="50">
        <f xml:space="preserve"> 'WK2012'!FB33</f>
        <v>1665.6291652343923</v>
      </c>
      <c r="V23" s="61">
        <f xml:space="preserve"> 'WK2012'!EW33</f>
        <v>0.69770149444392826</v>
      </c>
      <c r="X23" s="50">
        <f xml:space="preserve"> 'WK2012'!FI33</f>
        <v>599.36674975038534</v>
      </c>
      <c r="Y23" s="50">
        <f xml:space="preserve"> 'WK2012'!FJ33</f>
        <v>932.85009316244805</v>
      </c>
      <c r="Z23" s="50">
        <f xml:space="preserve"> 'WK2012'!FM33</f>
        <v>675.77205416238394</v>
      </c>
      <c r="AA23" s="50">
        <f xml:space="preserve"> 'WK2012'!FN33</f>
        <v>886.99396185892408</v>
      </c>
      <c r="AB23" s="50">
        <f xml:space="preserve"> 'WK2012'!FO33</f>
        <v>622.70515554030055</v>
      </c>
      <c r="AC23" s="50">
        <f xml:space="preserve"> 'WK2012'!FP33</f>
        <v>833.9270632368407</v>
      </c>
      <c r="AD23" s="61">
        <f xml:space="preserve"> 'WK2012'!FK33</f>
        <v>0.69522957025499776</v>
      </c>
      <c r="AF23" s="50">
        <f xml:space="preserve"> 'WK2012'!FW33</f>
        <v>138.59346157730656</v>
      </c>
      <c r="AG23" s="50">
        <f xml:space="preserve"> 'WK2012'!FX33</f>
        <v>85.199180419341502</v>
      </c>
      <c r="AH23" s="50">
        <f xml:space="preserve"> 'WK2012'!GA33</f>
        <v>126.99306418849336</v>
      </c>
      <c r="AI23" s="50">
        <f xml:space="preserve"> 'WK2012'!GB33</f>
        <v>88.328225772173283</v>
      </c>
      <c r="AJ23" s="50">
        <f xml:space="preserve"> 'WK2012'!GC33</f>
        <v>142.51572647877509</v>
      </c>
      <c r="AK23" s="50">
        <f xml:space="preserve"> 'WK2012'!GD33</f>
        <v>103.85088806245504</v>
      </c>
      <c r="AL23" s="61">
        <f xml:space="preserve"> 'WK2012'!FY33</f>
        <v>0.66234942831336041</v>
      </c>
      <c r="AN23" s="50">
        <f xml:space="preserve"> 'WK2012'!GK33</f>
        <v>170.91232094062426</v>
      </c>
      <c r="AO23" s="50">
        <f xml:space="preserve"> 'WK2012'!GL33</f>
        <v>232.09158797584203</v>
      </c>
      <c r="AP23" s="50">
        <f xml:space="preserve"> 'WK2012'!GO33</f>
        <v>171.87533569317441</v>
      </c>
      <c r="AQ23" s="50">
        <f xml:space="preserve"> 'WK2012'!GP33</f>
        <v>231.5261449192588</v>
      </c>
      <c r="AR23" s="50">
        <f xml:space="preserve"> 'WK2012'!GQ33</f>
        <v>171.547068846927</v>
      </c>
      <c r="AS23" s="50">
        <f xml:space="preserve"> 'WK2012'!GR33</f>
        <v>231.19787807301137</v>
      </c>
      <c r="AT23" s="61">
        <f xml:space="preserve"> 'WK2012'!GM33</f>
        <v>0.70875788637395587</v>
      </c>
      <c r="AX23" s="50">
        <f xml:space="preserve"> 'WK2013'!EG33</f>
        <v>1334.7596692</v>
      </c>
      <c r="AY23" s="50">
        <f xml:space="preserve"> 'WK2013'!EH33</f>
        <v>2133.3603635999993</v>
      </c>
      <c r="AZ23" s="50">
        <f xml:space="preserve"> 'WK2013'!EK33</f>
        <v>1404.9911041322428</v>
      </c>
      <c r="BA23" s="50">
        <f xml:space="preserve"> 'WK2013'!EL33</f>
        <v>2076.4551335322426</v>
      </c>
      <c r="BB23" s="50">
        <f xml:space="preserve"> 'WK2013'!EM33</f>
        <v>1377.9599834958433</v>
      </c>
      <c r="BC23" s="50">
        <f xml:space="preserve"> 'WK2013'!EN33</f>
        <v>2049.4240128958431</v>
      </c>
      <c r="BD23" s="61">
        <f xml:space="preserve"> 'WK2013'!EI33</f>
        <v>0.55812224663678034</v>
      </c>
      <c r="BF23" s="50">
        <f xml:space="preserve"> 'WK2013'!EU33</f>
        <v>1024.1869663</v>
      </c>
      <c r="BG23" s="50">
        <f xml:space="preserve"> 'WK2013'!EV33</f>
        <v>1628.1978483999999</v>
      </c>
      <c r="BH23" s="50">
        <f xml:space="preserve"> 'WK2013'!EY33</f>
        <v>1081.3277386104369</v>
      </c>
      <c r="BI23" s="50">
        <f xml:space="preserve"> 'WK2013'!EZ33</f>
        <v>1591.408972210437</v>
      </c>
      <c r="BJ23" s="50">
        <f xml:space="preserve"> 'WK2013'!FA33</f>
        <v>1059.7736521623233</v>
      </c>
      <c r="BK23" s="50">
        <f xml:space="preserve"> 'WK2013'!FB33</f>
        <v>1569.8548857623236</v>
      </c>
      <c r="BL23" s="61">
        <f xml:space="preserve"> 'WK2013'!EW33</f>
        <v>0.5817412467845815</v>
      </c>
      <c r="BN23" s="50">
        <f xml:space="preserve"> 'WK2013'!FI33</f>
        <v>675.12874899999997</v>
      </c>
      <c r="BO23" s="50">
        <f xml:space="preserve"> 'WK2013'!FJ33</f>
        <v>1121.898629</v>
      </c>
      <c r="BP23" s="50">
        <f xml:space="preserve"> 'WK2013'!FM33</f>
        <v>783.23330339547772</v>
      </c>
      <c r="BQ23" s="50">
        <f xml:space="preserve"> 'WK2013'!FN33</f>
        <v>1061.3299061954776</v>
      </c>
      <c r="BR23" s="50">
        <f xml:space="preserve"> 'WK2013'!FO33</f>
        <v>702.95258123008716</v>
      </c>
      <c r="BS23" s="50">
        <f xml:space="preserve"> 'WK2013'!FP33</f>
        <v>981.04918403008719</v>
      </c>
      <c r="BT23" s="61">
        <f xml:space="preserve"> 'WK2013'!FK33</f>
        <v>0.58692206584444095</v>
      </c>
      <c r="BV23" s="50">
        <f xml:space="preserve"> 'WK2013'!FW33</f>
        <v>198.89673719999999</v>
      </c>
      <c r="BW23" s="50">
        <f xml:space="preserve"> 'WK2013'!FX33</f>
        <v>255.69172259999999</v>
      </c>
      <c r="BX23" s="50">
        <f xml:space="preserve"> 'WK2013'!GA33</f>
        <v>198.98625801611882</v>
      </c>
      <c r="BY23" s="50">
        <f xml:space="preserve"> 'WK2013'!GB33</f>
        <v>255.62334341611881</v>
      </c>
      <c r="BZ23" s="50">
        <f xml:space="preserve"> 'WK2013'!GC33</f>
        <v>198.9499823147998</v>
      </c>
      <c r="CA23" s="50">
        <f xml:space="preserve"> 'WK2013'!GD33</f>
        <v>255.58706771479979</v>
      </c>
      <c r="CB23" s="61">
        <f xml:space="preserve"> 'WK2013'!FY33</f>
        <v>0.58104692906285971</v>
      </c>
      <c r="CD23" s="50">
        <f xml:space="preserve"> 'WK2013'!GK33</f>
        <v>165.05520750000005</v>
      </c>
      <c r="CE23" s="50">
        <f xml:space="preserve"> 'WK2013'!GL33</f>
        <v>168.17033850000001</v>
      </c>
      <c r="CF23" s="50">
        <f xml:space="preserve"> 'WK2013'!GO33</f>
        <v>150.50713260586096</v>
      </c>
      <c r="CG23" s="50">
        <f xml:space="preserve"> 'WK2013'!GP33</f>
        <v>174.61572435586083</v>
      </c>
      <c r="CH23" s="50">
        <f xml:space="preserve"> 'WK2013'!GQ33</f>
        <v>169.3708046969187</v>
      </c>
      <c r="CI23" s="50">
        <f xml:space="preserve"> 'WK2013'!GR33</f>
        <v>193.47939644691866</v>
      </c>
      <c r="CJ23" s="61">
        <f xml:space="preserve"> 'WK2013'!GM33</f>
        <v>0.58750740676390278</v>
      </c>
      <c r="CN23" s="50">
        <f xml:space="preserve"> 'WK2014'!EG33</f>
        <v>1375.5963263999997</v>
      </c>
      <c r="CO23" s="50">
        <f xml:space="preserve"> 'WK2014'!EH33</f>
        <v>2214.0462336000001</v>
      </c>
      <c r="CP23" s="50">
        <f xml:space="preserve"> 'WK2014'!EK33</f>
        <v>1427.8611381248247</v>
      </c>
      <c r="CQ23" s="50">
        <f xml:space="preserve"> 'WK2014'!EL33</f>
        <v>2145.1011409248249</v>
      </c>
      <c r="CR23" s="50">
        <f xml:space="preserve"> 'WK2014'!EM33</f>
        <v>1409.3342425983426</v>
      </c>
      <c r="CS23" s="50">
        <f xml:space="preserve"> 'WK2014'!EN33</f>
        <v>2126.5742453983426</v>
      </c>
      <c r="CT23" s="61">
        <f xml:space="preserve"> 'WK2014'!EI33</f>
        <v>0.5828943010036185</v>
      </c>
      <c r="CV23" s="50">
        <f xml:space="preserve"> 'WK2014'!EU33</f>
        <v>995.65839559999995</v>
      </c>
      <c r="CW23" s="50">
        <f xml:space="preserve"> 'WK2014'!EV33</f>
        <v>1672.2177263999999</v>
      </c>
      <c r="CX23" s="50">
        <f xml:space="preserve"> 'WK2014'!EY33</f>
        <v>1045.2729421617901</v>
      </c>
      <c r="CY23" s="50">
        <f xml:space="preserve"> 'WK2014'!EZ33</f>
        <v>1644.29982736179</v>
      </c>
      <c r="CZ23" s="50">
        <f xml:space="preserve"> 'WK2014'!FA33</f>
        <v>1031.7064294719501</v>
      </c>
      <c r="DA23" s="50">
        <f xml:space="preserve"> 'WK2014'!FB33</f>
        <v>1630.73331467195</v>
      </c>
      <c r="DB23" s="61">
        <f xml:space="preserve"> 'WK2014'!EW33</f>
        <v>0.58562298784406608</v>
      </c>
      <c r="DC23" s="1"/>
      <c r="DD23" s="50">
        <f xml:space="preserve"> 'WK2014'!FI33</f>
        <v>666.9392848</v>
      </c>
      <c r="DE23" s="50">
        <f xml:space="preserve"> 'WK2014'!FJ33</f>
        <v>1120.6681348</v>
      </c>
      <c r="DF23" s="50">
        <f xml:space="preserve"> 'WK2014'!FM33</f>
        <v>739.00807806187788</v>
      </c>
      <c r="DG23" s="50">
        <f xml:space="preserve"> 'WK2014'!FN33</f>
        <v>1081.2669472618779</v>
      </c>
      <c r="DH23" s="50">
        <f xml:space="preserve"> 'WK2014'!FO33</f>
        <v>690.82299997855989</v>
      </c>
      <c r="DI23" s="50">
        <f xml:space="preserve"> 'WK2014'!FP33</f>
        <v>1033.0818691785598</v>
      </c>
      <c r="DJ23" s="61">
        <f xml:space="preserve"> 'WK2014'!FK33</f>
        <v>0.58404991827891783</v>
      </c>
      <c r="DK23" s="1"/>
      <c r="DL23" s="50">
        <f xml:space="preserve"> 'WK2014'!FW33</f>
        <v>199.99127040000002</v>
      </c>
      <c r="DM23" s="50">
        <f xml:space="preserve"> 'WK2014'!FX33</f>
        <v>257.96417360000004</v>
      </c>
      <c r="DN23" s="50">
        <f xml:space="preserve"> 'WK2014'!GA33</f>
        <v>200.0801078779383</v>
      </c>
      <c r="DO23" s="50">
        <f xml:space="preserve"> 'WK2014'!GB33</f>
        <v>257.89765067793826</v>
      </c>
      <c r="DP23" s="50">
        <f xml:space="preserve"> 'WK2014'!GC33</f>
        <v>200.04280910581377</v>
      </c>
      <c r="DQ23" s="50">
        <f xml:space="preserve"> 'WK2014'!GD33</f>
        <v>257.86035190581379</v>
      </c>
      <c r="DR23" s="61">
        <f xml:space="preserve"> 'WK2014'!FY33</f>
        <v>0.58176809157895037</v>
      </c>
      <c r="DS23" s="1"/>
      <c r="DT23" s="50">
        <f xml:space="preserve"> 'WK2014'!GK33</f>
        <v>201.93094500000001</v>
      </c>
      <c r="DU23" s="50">
        <f xml:space="preserve"> 'WK2014'!GL33</f>
        <v>229.76610599999998</v>
      </c>
      <c r="DV23" s="50">
        <f xml:space="preserve"> 'WK2014'!GO33</f>
        <v>192.73443678644784</v>
      </c>
      <c r="DW23" s="50">
        <f xml:space="preserve"> 'WK2014'!GP33</f>
        <v>232.45690503644778</v>
      </c>
      <c r="DX23" s="50">
        <f xml:space="preserve"> 'WK2014'!GQ33</f>
        <v>206.89817854310377</v>
      </c>
      <c r="DY23" s="50">
        <f xml:space="preserve"> 'WK2014'!GR33</f>
        <v>246.62064679310384</v>
      </c>
      <c r="DZ23" s="61">
        <f xml:space="preserve"> 'WK2014'!GM33</f>
        <v>0.57823146134292225</v>
      </c>
      <c r="ED23" s="50">
        <f xml:space="preserve"> 'WK2015'!EG33</f>
        <v>1392.7391076000001</v>
      </c>
      <c r="EE23" s="50">
        <f xml:space="preserve"> 'WK2015'!EH33</f>
        <v>2142.9263604000002</v>
      </c>
      <c r="EF23" s="50">
        <f xml:space="preserve"> 'WK2015'!EK33</f>
        <v>1431.8075378048184</v>
      </c>
      <c r="EG23" s="50">
        <f xml:space="preserve"> 'WK2015'!EL33</f>
        <v>2101.4594662048185</v>
      </c>
      <c r="EH23" s="50">
        <f xml:space="preserve"> 'WK2015'!EM33</f>
        <v>1433.5175330114148</v>
      </c>
      <c r="EI23" s="50">
        <f xml:space="preserve"> 'WK2015'!EN33</f>
        <v>2103.1694614114149</v>
      </c>
      <c r="EJ23" s="61">
        <f xml:space="preserve"> 'WK2015'!EI33</f>
        <v>0.57995965533769944</v>
      </c>
      <c r="EK23" s="1"/>
      <c r="EL23" s="50">
        <f xml:space="preserve"> 'WK2015'!EU33</f>
        <v>1077.6335559000001</v>
      </c>
      <c r="EM23" s="50">
        <f xml:space="preserve"> 'WK2015'!EV33</f>
        <v>1799.0441161000001</v>
      </c>
      <c r="EN23" s="50">
        <f xml:space="preserve"> 'WK2015'!EY33</f>
        <v>1145.819196364158</v>
      </c>
      <c r="EO23" s="50">
        <f xml:space="preserve"> 'WK2015'!EZ33</f>
        <v>1759.2110099641579</v>
      </c>
      <c r="EP23" s="50">
        <f xml:space="preserve"> 'WK2015'!FA33</f>
        <v>1114.5075687840251</v>
      </c>
      <c r="EQ23" s="50">
        <f xml:space="preserve"> 'WK2015'!FB33</f>
        <v>1727.8993823840253</v>
      </c>
      <c r="ER23" s="61">
        <f xml:space="preserve"> 'WK2015'!EW33</f>
        <v>0.58421946039101236</v>
      </c>
      <c r="ES23" s="1"/>
      <c r="ET23" s="50">
        <f xml:space="preserve"> 'WK2015'!FI33</f>
        <v>741.31063680000011</v>
      </c>
      <c r="EU23" s="50">
        <f xml:space="preserve"> 'WK2015'!FJ33</f>
        <v>1193.1292008</v>
      </c>
      <c r="EV23" s="50">
        <f xml:space="preserve"> 'WK2015'!FM33</f>
        <v>807.20267794767722</v>
      </c>
      <c r="EW23" s="50">
        <f xml:space="preserve"> 'WK2015'!FN33</f>
        <v>1155.5924657476771</v>
      </c>
      <c r="EX23" s="50">
        <f xml:space="preserve"> 'WK2015'!FO33</f>
        <v>765.82824190375334</v>
      </c>
      <c r="EY23" s="50">
        <f xml:space="preserve"> 'WK2015'!FP33</f>
        <v>1114.2180297037532</v>
      </c>
      <c r="EZ23" s="61">
        <f xml:space="preserve"> 'WK2015'!FK33</f>
        <v>0.5788272265539246</v>
      </c>
      <c r="FA23" s="1"/>
      <c r="FB23" s="50">
        <f xml:space="preserve"> 'WK2015'!FW33</f>
        <v>204.05351760000002</v>
      </c>
      <c r="FC23" s="50">
        <f xml:space="preserve"> 'WK2015'!FX33</f>
        <v>267.89729239999997</v>
      </c>
      <c r="FD23" s="50">
        <f xml:space="preserve"> 'WK2015'!GA33</f>
        <v>204.14873227744417</v>
      </c>
      <c r="FE23" s="50">
        <f xml:space="preserve"> 'WK2015'!GB33</f>
        <v>267.82680867744415</v>
      </c>
      <c r="FF23" s="50">
        <f xml:space="preserve"> 'WK2015'!GC33</f>
        <v>204.10630427007709</v>
      </c>
      <c r="FG23" s="50">
        <f xml:space="preserve"> 'WK2015'!GD33</f>
        <v>267.7843806700771</v>
      </c>
      <c r="FH23" s="61">
        <f xml:space="preserve"> 'WK2015'!FY33</f>
        <v>0.58200263174925038</v>
      </c>
      <c r="FI23" s="1"/>
      <c r="FJ23" s="50">
        <f xml:space="preserve"> 'WK2015'!GK33</f>
        <v>209.98739475000002</v>
      </c>
      <c r="FK23" s="50">
        <f xml:space="preserve"> 'WK2015'!GL33</f>
        <v>276.95315775000006</v>
      </c>
      <c r="FL23" s="50">
        <f xml:space="preserve"> 'WK2015'!GO33</f>
        <v>209.92838655230875</v>
      </c>
      <c r="FM23" s="50">
        <f xml:space="preserve"> 'WK2015'!GP33</f>
        <v>276.18936705230868</v>
      </c>
      <c r="FN23" s="50">
        <f xml:space="preserve"> 'WK2015'!GQ33</f>
        <v>215.28704072259961</v>
      </c>
      <c r="FO23" s="50">
        <f xml:space="preserve"> 'WK2015'!GR33</f>
        <v>281.54802122259957</v>
      </c>
      <c r="FP23" s="61">
        <f xml:space="preserve"> 'WK2015'!GM33</f>
        <v>0.5709940009763329</v>
      </c>
      <c r="FS23" s="283">
        <f xml:space="preserve"> 'WK2015'!H33</f>
        <v>699.3572549999999</v>
      </c>
      <c r="FT23" s="283">
        <f xml:space="preserve"> 'WK2015'!I33</f>
        <v>1185.237196</v>
      </c>
      <c r="FU23" s="283">
        <f xml:space="preserve"> 'WK2015'!L33</f>
        <v>719.31065406751202</v>
      </c>
      <c r="FV23" s="283">
        <f xml:space="preserve"> 'WK2015'!M33</f>
        <v>1157.333167067512</v>
      </c>
      <c r="FW23" s="283">
        <f xml:space="preserve"> 'WK2015'!N33</f>
        <v>721.65364816561828</v>
      </c>
      <c r="FX23" s="283">
        <f xml:space="preserve"> 'WK2015'!O33</f>
        <v>1159.6761611656184</v>
      </c>
      <c r="FY23" s="284">
        <f xml:space="preserve"> 'WK2015'!P33</f>
        <v>0.58306578724807123</v>
      </c>
      <c r="GA23" s="283">
        <f xml:space="preserve"> 'WK2015'!HB33</f>
        <v>453.57917399999997</v>
      </c>
      <c r="GB23" s="283">
        <f xml:space="preserve"> 'WK2015'!HC33</f>
        <v>990.11505199999988</v>
      </c>
      <c r="GC23" s="283">
        <f xml:space="preserve"> 'WK2015'!HF33</f>
        <v>476.33424017819817</v>
      </c>
      <c r="GD23" s="283">
        <f xml:space="preserve"> 'WK2015'!HG33</f>
        <v>967.563934178198</v>
      </c>
      <c r="GE23" s="283">
        <f xml:space="preserve"> 'WK2015'!HH33</f>
        <v>468.40456754956983</v>
      </c>
      <c r="GF23" s="283">
        <f xml:space="preserve"> 'WK2015'!HI33</f>
        <v>959.63426154956971</v>
      </c>
      <c r="GG23" s="284">
        <f xml:space="preserve"> 'WK2015'!HJ33</f>
        <v>0.49774922164713348</v>
      </c>
      <c r="GI23" s="283">
        <f xml:space="preserve"> 'WK2015'!HQ33</f>
        <v>181.18631999999999</v>
      </c>
      <c r="GJ23" s="283">
        <f xml:space="preserve"> 'WK2015'!HR33</f>
        <v>454.07281499999999</v>
      </c>
      <c r="GK23" s="283">
        <f xml:space="preserve"> 'WK2015'!HU33</f>
        <v>197.97244895751427</v>
      </c>
      <c r="GL23" s="283">
        <f xml:space="preserve"> 'WK2015'!HV33</f>
        <v>396.64502195751425</v>
      </c>
      <c r="GM23" s="283">
        <f xml:space="preserve"> 'WK2015'!HW33</f>
        <v>184.19136852670292</v>
      </c>
      <c r="GN23" s="283">
        <f xml:space="preserve"> 'WK2015'!HX33</f>
        <v>382.86394152670289</v>
      </c>
      <c r="GO23" s="284">
        <f xml:space="preserve"> 'WK2015'!HY33</f>
        <v>0.77381428571428568</v>
      </c>
    </row>
    <row r="24" spans="1:197" x14ac:dyDescent="0.2">
      <c r="A24" s="3">
        <f>Basis!A24</f>
        <v>24</v>
      </c>
      <c r="D24" s="252" t="e">
        <v>#N/A</v>
      </c>
      <c r="E24" s="252" t="e">
        <v>#N/A</v>
      </c>
      <c r="H24" s="50">
        <f xml:space="preserve"> 'WK2012'!EG34</f>
        <v>1533.3601516121021</v>
      </c>
      <c r="I24" s="50">
        <f xml:space="preserve"> 'WK2012'!EH34</f>
        <v>2462.6782248317268</v>
      </c>
      <c r="J24" s="50">
        <f xml:space="preserve"> 'WK2012'!EK34</f>
        <v>1619.4320138433484</v>
      </c>
      <c r="K24" s="50">
        <f xml:space="preserve"> 'WK2012'!EL34</f>
        <v>2407.0480041935816</v>
      </c>
      <c r="L24" s="50">
        <f xml:space="preserve"> 'WK2012'!EM34</f>
        <v>1578.4407827286968</v>
      </c>
      <c r="M24" s="50">
        <f xml:space="preserve"> 'WK2012'!EN34</f>
        <v>2366.0567730789294</v>
      </c>
      <c r="N24" s="61">
        <f xml:space="preserve"> 'WK2012'!EI34</f>
        <v>0.71149768808340885</v>
      </c>
      <c r="P24" s="50">
        <f xml:space="preserve"> 'WK2012'!EU34</f>
        <v>1033.8889428110194</v>
      </c>
      <c r="Q24" s="50">
        <f xml:space="preserve"> 'WK2012'!EV34</f>
        <v>1836.5635107803821</v>
      </c>
      <c r="R24" s="50">
        <f xml:space="preserve"> 'WK2012'!EY34</f>
        <v>1134.5512892540714</v>
      </c>
      <c r="S24" s="50">
        <f xml:space="preserve"> 'WK2012'!EZ34</f>
        <v>1779.6010612419873</v>
      </c>
      <c r="T24" s="50">
        <f xml:space="preserve"> 'WK2012'!FA34</f>
        <v>1069.9576186746294</v>
      </c>
      <c r="U24" s="50">
        <f xml:space="preserve"> 'WK2012'!FB34</f>
        <v>1715.0073906625455</v>
      </c>
      <c r="V24" s="61">
        <f xml:space="preserve"> 'WK2012'!EW34</f>
        <v>0.72402867043716246</v>
      </c>
      <c r="X24" s="50">
        <f xml:space="preserve"> 'WK2012'!FI34</f>
        <v>593.66050678875604</v>
      </c>
      <c r="Y24" s="50">
        <f xml:space="preserve"> 'WK2012'!FJ34</f>
        <v>983.47490377266479</v>
      </c>
      <c r="Z24" s="50">
        <f xml:space="preserve"> 'WK2012'!FM34</f>
        <v>701.31053457284713</v>
      </c>
      <c r="AA24" s="50">
        <f xml:space="preserve"> 'WK2012'!FN34</f>
        <v>923.82214093260484</v>
      </c>
      <c r="AB24" s="50">
        <f xml:space="preserve"> 'WK2012'!FO34</f>
        <v>616.99891257867102</v>
      </c>
      <c r="AC24" s="50">
        <f xml:space="preserve"> 'WK2012'!FP34</f>
        <v>839.51051893842873</v>
      </c>
      <c r="AD24" s="61">
        <f xml:space="preserve"> 'WK2012'!FK34</f>
        <v>0.71711611303027345</v>
      </c>
      <c r="AF24" s="50">
        <f xml:space="preserve"> 'WK2012'!FW34</f>
        <v>148.82656095928169</v>
      </c>
      <c r="AG24" s="50">
        <f xml:space="preserve"> 'WK2012'!FX34</f>
        <v>102.44739043134743</v>
      </c>
      <c r="AH24" s="50">
        <f xml:space="preserve"> 'WK2012'!GA34</f>
        <v>137.24890504249734</v>
      </c>
      <c r="AI24" s="50">
        <f xml:space="preserve"> 'WK2012'!GB34</f>
        <v>102.56553803873852</v>
      </c>
      <c r="AJ24" s="50">
        <f xml:space="preserve"> 'WK2012'!GC34</f>
        <v>152.74882586075023</v>
      </c>
      <c r="AK24" s="50">
        <f xml:space="preserve"> 'WK2012'!GD34</f>
        <v>118.06545885699143</v>
      </c>
      <c r="AL24" s="61">
        <f xml:space="preserve"> 'WK2012'!FY34</f>
        <v>0.69482333195057411</v>
      </c>
      <c r="AN24" s="50">
        <f xml:space="preserve"> 'WK2012'!GK34</f>
        <v>176.93217937345722</v>
      </c>
      <c r="AO24" s="50">
        <f xml:space="preserve"> 'WK2012'!GL34</f>
        <v>240.40486788722072</v>
      </c>
      <c r="AP24" s="50">
        <f xml:space="preserve"> 'WK2012'!GO34</f>
        <v>178.37552450741958</v>
      </c>
      <c r="AQ24" s="50">
        <f xml:space="preserve"> 'WK2012'!GP34</f>
        <v>239.51584140096082</v>
      </c>
      <c r="AR24" s="50">
        <f xml:space="preserve"> 'WK2012'!GQ34</f>
        <v>177.56692727975997</v>
      </c>
      <c r="AS24" s="50">
        <f xml:space="preserve"> 'WK2012'!GR34</f>
        <v>238.70724417330115</v>
      </c>
      <c r="AT24" s="61">
        <f xml:space="preserve"> 'WK2012'!GM34</f>
        <v>0.73516549745571091</v>
      </c>
      <c r="AX24" s="50">
        <f xml:space="preserve"> 'WK2013'!EG34</f>
        <v>1321.8958812000001</v>
      </c>
      <c r="AY24" s="50">
        <f xml:space="preserve"> 'WK2013'!EH34</f>
        <v>2212.7728296</v>
      </c>
      <c r="AZ24" s="50">
        <f xml:space="preserve"> 'WK2013'!EK34</f>
        <v>1417.2895290981337</v>
      </c>
      <c r="BA24" s="50">
        <f xml:space="preserve"> 'WK2013'!EL34</f>
        <v>2131.7431774981342</v>
      </c>
      <c r="BB24" s="50">
        <f xml:space="preserve"> 'WK2013'!EM34</f>
        <v>1365.0961954958434</v>
      </c>
      <c r="BC24" s="50">
        <f xml:space="preserve"> 'WK2013'!EN34</f>
        <v>2079.549843895843</v>
      </c>
      <c r="BD24" s="61">
        <f xml:space="preserve"> 'WK2013'!EI34</f>
        <v>0.59326236656267572</v>
      </c>
      <c r="BF24" s="50">
        <f xml:space="preserve"> 'WK2013'!EU34</f>
        <v>997.4696707999999</v>
      </c>
      <c r="BG24" s="50">
        <f xml:space="preserve"> 'WK2013'!EV34</f>
        <v>1686.1764293999997</v>
      </c>
      <c r="BH24" s="50">
        <f xml:space="preserve"> 'WK2013'!EY34</f>
        <v>1083.3062005553954</v>
      </c>
      <c r="BI24" s="50">
        <f xml:space="preserve"> 'WK2013'!EZ34</f>
        <v>1634.7261356553954</v>
      </c>
      <c r="BJ24" s="50">
        <f xml:space="preserve"> 'WK2013'!FA34</f>
        <v>1033.0563566623234</v>
      </c>
      <c r="BK24" s="50">
        <f xml:space="preserve"> 'WK2013'!FB34</f>
        <v>1584.4762917623236</v>
      </c>
      <c r="BL24" s="61">
        <f xml:space="preserve"> 'WK2013'!EW34</f>
        <v>0.6245491190282898</v>
      </c>
      <c r="BN24" s="50">
        <f xml:space="preserve"> 'WK2013'!FI34</f>
        <v>667.03976420000004</v>
      </c>
      <c r="BO24" s="50">
        <f xml:space="preserve"> 'WK2013'!FJ34</f>
        <v>1167.708879</v>
      </c>
      <c r="BP24" s="50">
        <f xml:space="preserve"> 'WK2013'!FM34</f>
        <v>807.32837510686613</v>
      </c>
      <c r="BQ24" s="50">
        <f xml:space="preserve"> 'WK2013'!FN34</f>
        <v>1093.8048757068659</v>
      </c>
      <c r="BR24" s="50">
        <f xml:space="preserve"> 'WK2013'!FO34</f>
        <v>694.86359643008711</v>
      </c>
      <c r="BS24" s="50">
        <f xml:space="preserve"> 'WK2013'!FP34</f>
        <v>981.34009703008712</v>
      </c>
      <c r="BT24" s="61">
        <f xml:space="preserve"> 'WK2013'!FK34</f>
        <v>0.61863329531773936</v>
      </c>
      <c r="BV24" s="50">
        <f xml:space="preserve"> 'WK2013'!FW34</f>
        <v>197.30667020000001</v>
      </c>
      <c r="BW24" s="50">
        <f xml:space="preserve"> 'WK2013'!FX34</f>
        <v>257.87495860000001</v>
      </c>
      <c r="BX24" s="50">
        <f xml:space="preserve"> 'WK2013'!GA34</f>
        <v>197.42696833861538</v>
      </c>
      <c r="BY24" s="50">
        <f xml:space="preserve"> 'WK2013'!GB34</f>
        <v>257.78487673861537</v>
      </c>
      <c r="BZ24" s="50">
        <f xml:space="preserve"> 'WK2013'!GC34</f>
        <v>197.35991531479982</v>
      </c>
      <c r="CA24" s="50">
        <f xml:space="preserve"> 'WK2013'!GD34</f>
        <v>257.71782371479981</v>
      </c>
      <c r="CB24" s="61">
        <f xml:space="preserve"> 'WK2013'!FY34</f>
        <v>0.61886168535084507</v>
      </c>
      <c r="CD24" s="50">
        <f xml:space="preserve"> 'WK2013'!GK34</f>
        <v>165.52898925</v>
      </c>
      <c r="CE24" s="50">
        <f xml:space="preserve"> 'WK2013'!GL34</f>
        <v>185.76266700000002</v>
      </c>
      <c r="CF24" s="50">
        <f xml:space="preserve"> 'WK2013'!GO34</f>
        <v>149.81142259032561</v>
      </c>
      <c r="CG24" s="50">
        <f xml:space="preserve"> 'WK2013'!GP34</f>
        <v>191.87435209032566</v>
      </c>
      <c r="CH24" s="50">
        <f xml:space="preserve"> 'WK2013'!GQ34</f>
        <v>169.84458644691867</v>
      </c>
      <c r="CI24" s="50">
        <f xml:space="preserve"> 'WK2013'!GR34</f>
        <v>211.90751594691869</v>
      </c>
      <c r="CJ24" s="61">
        <f xml:space="preserve"> 'WK2013'!GM34</f>
        <v>0.62895654712365112</v>
      </c>
      <c r="CN24" s="50">
        <f xml:space="preserve"> 'WK2014'!EG34</f>
        <v>1368.3613919999998</v>
      </c>
      <c r="CO24" s="50">
        <f xml:space="preserve"> 'WK2014'!EH34</f>
        <v>2296.1688347999998</v>
      </c>
      <c r="CP24" s="50">
        <f xml:space="preserve"> 'WK2014'!EK34</f>
        <v>1440.4750717035377</v>
      </c>
      <c r="CQ24" s="50">
        <f xml:space="preserve"> 'WK2014'!EL34</f>
        <v>2199.6211169035378</v>
      </c>
      <c r="CR24" s="50">
        <f xml:space="preserve"> 'WK2014'!EM34</f>
        <v>1402.0993081983427</v>
      </c>
      <c r="CS24" s="50">
        <f xml:space="preserve"> 'WK2014'!EN34</f>
        <v>2161.2453533983426</v>
      </c>
      <c r="CT24" s="61">
        <f xml:space="preserve"> 'WK2014'!EI34</f>
        <v>0.61437508502445171</v>
      </c>
      <c r="CV24" s="50">
        <f xml:space="preserve"> 'WK2014'!EU34</f>
        <v>974.46755900000005</v>
      </c>
      <c r="CW24" s="50">
        <f xml:space="preserve"> 'WK2014'!EV34</f>
        <v>1725.6436331999998</v>
      </c>
      <c r="CX24" s="50">
        <f xml:space="preserve"> 'WK2014'!EY34</f>
        <v>1053.1304341835128</v>
      </c>
      <c r="CY24" s="50">
        <f xml:space="preserve"> 'WK2014'!EZ34</f>
        <v>1683.7802559835129</v>
      </c>
      <c r="CZ24" s="50">
        <f xml:space="preserve"> 'WK2014'!FA34</f>
        <v>1010.51559287195</v>
      </c>
      <c r="DA24" s="50">
        <f xml:space="preserve"> 'WK2014'!FB34</f>
        <v>1641.16541467195</v>
      </c>
      <c r="DB24" s="61">
        <f xml:space="preserve"> 'WK2014'!EW34</f>
        <v>0.61334193866975739</v>
      </c>
      <c r="DC24" s="1"/>
      <c r="DD24" s="50">
        <f xml:space="preserve"> 'WK2014'!FI34</f>
        <v>660.23657119999996</v>
      </c>
      <c r="DE24" s="50">
        <f xml:space="preserve"> 'WK2014'!FJ34</f>
        <v>1164.9091760000001</v>
      </c>
      <c r="DF24" s="50">
        <f xml:space="preserve"> 'WK2014'!FM34</f>
        <v>756.88154200853751</v>
      </c>
      <c r="DG24" s="50">
        <f xml:space="preserve"> 'WK2014'!FN34</f>
        <v>1114.7055192085377</v>
      </c>
      <c r="DH24" s="50">
        <f xml:space="preserve"> 'WK2014'!FO34</f>
        <v>684.12028637855985</v>
      </c>
      <c r="DI24" s="50">
        <f xml:space="preserve"> 'WK2014'!FP34</f>
        <v>1041.9442635785599</v>
      </c>
      <c r="DJ24" s="61">
        <f xml:space="preserve"> 'WK2014'!FK34</f>
        <v>0.61650169784816056</v>
      </c>
      <c r="DK24" s="1"/>
      <c r="DL24" s="50">
        <f xml:space="preserve"> 'WK2014'!FW34</f>
        <v>199.88690400000002</v>
      </c>
      <c r="DM24" s="50">
        <f xml:space="preserve"> 'WK2014'!FX34</f>
        <v>260.59246880000001</v>
      </c>
      <c r="DN24" s="50">
        <f xml:space="preserve"> 'WK2014'!GA34</f>
        <v>200.00439900731521</v>
      </c>
      <c r="DO24" s="50">
        <f xml:space="preserve"> 'WK2014'!GB34</f>
        <v>260.50549820731521</v>
      </c>
      <c r="DP24" s="50">
        <f xml:space="preserve"> 'WK2014'!GC34</f>
        <v>199.93844270581377</v>
      </c>
      <c r="DQ24" s="50">
        <f xml:space="preserve"> 'WK2014'!GD34</f>
        <v>260.43954190581383</v>
      </c>
      <c r="DR24" s="61">
        <f xml:space="preserve"> 'WK2014'!FY34</f>
        <v>0.61172418403571638</v>
      </c>
      <c r="DS24" s="1"/>
      <c r="DT24" s="50">
        <f xml:space="preserve"> 'WK2014'!GK34</f>
        <v>198.76044899999999</v>
      </c>
      <c r="DU24" s="50">
        <f xml:space="preserve"> 'WK2014'!GL34</f>
        <v>243.44907149999997</v>
      </c>
      <c r="DV24" s="50">
        <f xml:space="preserve"> 'WK2014'!GO34</f>
        <v>188.28704827157654</v>
      </c>
      <c r="DW24" s="50">
        <f xml:space="preserve"> 'WK2014'!GP34</f>
        <v>245.96686327157653</v>
      </c>
      <c r="DX24" s="50">
        <f xml:space="preserve"> 'WK2014'!GQ34</f>
        <v>203.72768254310378</v>
      </c>
      <c r="DY24" s="50">
        <f xml:space="preserve"> 'WK2014'!GR34</f>
        <v>261.40749754310383</v>
      </c>
      <c r="DZ24" s="61">
        <f xml:space="preserve"> 'WK2014'!GM34</f>
        <v>0.61371752594671103</v>
      </c>
      <c r="ED24" s="50">
        <f xml:space="preserve"> 'WK2015'!EG34</f>
        <v>1393.7627864000001</v>
      </c>
      <c r="EE24" s="50">
        <f xml:space="preserve"> 'WK2015'!EH34</f>
        <v>2235.0697872000001</v>
      </c>
      <c r="EF24" s="50">
        <f xml:space="preserve"> 'WK2015'!EK34</f>
        <v>1456.4106295832748</v>
      </c>
      <c r="EG24" s="50">
        <f xml:space="preserve"> 'WK2015'!EL34</f>
        <v>2169.4094191832751</v>
      </c>
      <c r="EH24" s="50">
        <f xml:space="preserve"> 'WK2015'!EM34</f>
        <v>1434.5412118114145</v>
      </c>
      <c r="EI24" s="50">
        <f xml:space="preserve"> 'WK2015'!EN34</f>
        <v>2147.5400014114148</v>
      </c>
      <c r="EJ24" s="61">
        <f xml:space="preserve"> 'WK2015'!EI34</f>
        <v>0.60408081308641626</v>
      </c>
      <c r="EK24" s="1"/>
      <c r="EL24" s="50">
        <f xml:space="preserve"> 'WK2015'!EU34</f>
        <v>1058.0105626</v>
      </c>
      <c r="EM24" s="50">
        <f xml:space="preserve"> 'WK2015'!EV34</f>
        <v>1864.3948338</v>
      </c>
      <c r="EN24" s="50">
        <f xml:space="preserve"> 'WK2015'!EY34</f>
        <v>1161.8743570378665</v>
      </c>
      <c r="EO24" s="50">
        <f xml:space="preserve"> 'WK2015'!EZ34</f>
        <v>1807.4354234378666</v>
      </c>
      <c r="EP24" s="50">
        <f xml:space="preserve"> 'WK2015'!FA34</f>
        <v>1094.8845754840249</v>
      </c>
      <c r="EQ24" s="50">
        <f xml:space="preserve"> 'WK2015'!FB34</f>
        <v>1740.445641884025</v>
      </c>
      <c r="ER24" s="61">
        <f xml:space="preserve"> 'WK2015'!EW34</f>
        <v>0.62406461136012925</v>
      </c>
      <c r="ES24" s="1"/>
      <c r="ET24" s="50">
        <f xml:space="preserve"> 'WK2015'!FI34</f>
        <v>732.93727019999994</v>
      </c>
      <c r="EU24" s="50">
        <f xml:space="preserve"> 'WK2015'!FJ34</f>
        <v>1237.9371025999999</v>
      </c>
      <c r="EV24" s="50">
        <f xml:space="preserve"> 'WK2015'!FM34</f>
        <v>825.43182609288601</v>
      </c>
      <c r="EW24" s="50">
        <f xml:space="preserve"> 'WK2015'!FN34</f>
        <v>1187.7137288928861</v>
      </c>
      <c r="EX24" s="50">
        <f xml:space="preserve"> 'WK2015'!FO34</f>
        <v>757.45487530375328</v>
      </c>
      <c r="EY24" s="50">
        <f xml:space="preserve"> 'WK2015'!FP34</f>
        <v>1119.7367781037533</v>
      </c>
      <c r="EZ24" s="61">
        <f xml:space="preserve"> 'WK2015'!FK34</f>
        <v>0.61375387705263018</v>
      </c>
      <c r="FA24" s="1"/>
      <c r="FB24" s="50">
        <f xml:space="preserve"> 'WK2015'!FW34</f>
        <v>204.92092640000001</v>
      </c>
      <c r="FC24" s="50">
        <f xml:space="preserve"> 'WK2015'!FX34</f>
        <v>274.77342520000002</v>
      </c>
      <c r="FD24" s="50">
        <f xml:space="preserve"> 'WK2015'!GA34</f>
        <v>205.05176125216369</v>
      </c>
      <c r="FE24" s="50">
        <f xml:space="preserve"> 'WK2015'!GB34</f>
        <v>274.67826885216368</v>
      </c>
      <c r="FF24" s="50">
        <f xml:space="preserve"> 'WK2015'!GC34</f>
        <v>204.97371307007705</v>
      </c>
      <c r="FG24" s="50">
        <f xml:space="preserve"> 'WK2015'!GD34</f>
        <v>274.60022067007708</v>
      </c>
      <c r="FH24" s="61">
        <f xml:space="preserve"> 'WK2015'!FY34</f>
        <v>0.61866383270141578</v>
      </c>
      <c r="FI24" s="1"/>
      <c r="FJ24" s="50">
        <f xml:space="preserve"> 'WK2015'!GK34</f>
        <v>210.02732999999998</v>
      </c>
      <c r="FK24" s="50">
        <f xml:space="preserve"> 'WK2015'!GL34</f>
        <v>299.47503075000009</v>
      </c>
      <c r="FL24" s="50">
        <f xml:space="preserve"> 'WK2015'!GO34</f>
        <v>212.52746122679289</v>
      </c>
      <c r="FM24" s="50">
        <f xml:space="preserve"> 'WK2015'!GP34</f>
        <v>297.144762976793</v>
      </c>
      <c r="FN24" s="50">
        <f xml:space="preserve"> 'WK2015'!GQ34</f>
        <v>215.32697597259954</v>
      </c>
      <c r="FO24" s="50">
        <f xml:space="preserve"> 'WK2015'!GR34</f>
        <v>299.94427772259957</v>
      </c>
      <c r="FP24" s="61">
        <f xml:space="preserve"> 'WK2015'!GM34</f>
        <v>0.58811560547872699</v>
      </c>
      <c r="FS24" s="283">
        <f xml:space="preserve"> 'WK2015'!H34</f>
        <v>699.06053999999995</v>
      </c>
      <c r="FT24" s="283">
        <f xml:space="preserve"> 'WK2015'!I34</f>
        <v>1238.030522</v>
      </c>
      <c r="FU24" s="283">
        <f xml:space="preserve"> 'WK2015'!L34</f>
        <v>728.73246194279272</v>
      </c>
      <c r="FV24" s="283">
        <f xml:space="preserve"> 'WK2015'!M34</f>
        <v>1194.7381479427927</v>
      </c>
      <c r="FW24" s="283">
        <f xml:space="preserve"> 'WK2015'!N34</f>
        <v>721.35693316561833</v>
      </c>
      <c r="FX24" s="283">
        <f xml:space="preserve"> 'WK2015'!O34</f>
        <v>1187.3626191656183</v>
      </c>
      <c r="FY24" s="284">
        <f xml:space="preserve"> 'WK2015'!P34</f>
        <v>0.59333641836559603</v>
      </c>
      <c r="GA24" s="283">
        <f xml:space="preserve"> 'WK2015'!HB34</f>
        <v>451.14905099999993</v>
      </c>
      <c r="GB24" s="283">
        <f xml:space="preserve"> 'WK2015'!HC34</f>
        <v>1052.438531</v>
      </c>
      <c r="GC24" s="283">
        <f xml:space="preserve"> 'WK2015'!HF34</f>
        <v>480.42237183374414</v>
      </c>
      <c r="GD24" s="283">
        <f xml:space="preserve"> 'WK2015'!HG34</f>
        <v>1004.5794118337442</v>
      </c>
      <c r="GE24" s="283">
        <f xml:space="preserve"> 'WK2015'!HH34</f>
        <v>465.97444454956985</v>
      </c>
      <c r="GF24" s="283">
        <f xml:space="preserve"> 'WK2015'!HI34</f>
        <v>990.1314845495699</v>
      </c>
      <c r="GG24" s="284">
        <f xml:space="preserve"> 'WK2015'!HJ34</f>
        <v>0.62047977694282463</v>
      </c>
      <c r="GI24" s="283">
        <f xml:space="preserve"> 'WK2015'!HQ34</f>
        <v>199.315585</v>
      </c>
      <c r="GJ24" s="283">
        <f xml:space="preserve"> 'WK2015'!HR34</f>
        <v>478.88977500000004</v>
      </c>
      <c r="GK24" s="283">
        <f xml:space="preserve"> 'WK2015'!HU34</f>
        <v>223.11671118181818</v>
      </c>
      <c r="GL24" s="283">
        <f xml:space="preserve"> 'WK2015'!HV34</f>
        <v>415.42010518181826</v>
      </c>
      <c r="GM24" s="283">
        <f xml:space="preserve"> 'WK2015'!HW34</f>
        <v>202.32063352670292</v>
      </c>
      <c r="GN24" s="283">
        <f xml:space="preserve"> 'WK2015'!HX34</f>
        <v>394.624027526703</v>
      </c>
      <c r="GO24" s="284">
        <f xml:space="preserve"> 'WK2015'!HY34</f>
        <v>0.72727272727272729</v>
      </c>
    </row>
    <row r="25" spans="1:197" x14ac:dyDescent="0.2">
      <c r="A25" s="3">
        <f>Basis!A25</f>
        <v>25</v>
      </c>
      <c r="D25" s="252" t="e">
        <v>#N/A</v>
      </c>
      <c r="E25" s="252" t="e">
        <v>#N/A</v>
      </c>
      <c r="H25" s="50">
        <f xml:space="preserve"> 'WK2012'!EG35</f>
        <v>1533.7062056427253</v>
      </c>
      <c r="I25" s="50">
        <f xml:space="preserve"> 'WK2012'!EH35</f>
        <v>2589.8971356984357</v>
      </c>
      <c r="J25" s="50">
        <f xml:space="preserve"> 'WK2012'!EK35</f>
        <v>1658.9342151144722</v>
      </c>
      <c r="K25" s="50">
        <f xml:space="preserve"> 'WK2012'!EL35</f>
        <v>2512.829683090968</v>
      </c>
      <c r="L25" s="50">
        <f xml:space="preserve"> 'WK2012'!EM35</f>
        <v>1578.7868367593198</v>
      </c>
      <c r="M25" s="50">
        <f xml:space="preserve"> 'WK2012'!EN35</f>
        <v>2432.6823047358157</v>
      </c>
      <c r="N25" s="61">
        <f xml:space="preserve"> 'WK2012'!EI35</f>
        <v>0.72589146652869929</v>
      </c>
      <c r="P25" s="50">
        <f xml:space="preserve"> 'WK2012'!EU35</f>
        <v>1037.5254457037156</v>
      </c>
      <c r="Q25" s="50">
        <f xml:space="preserve"> 'WK2012'!EV35</f>
        <v>1930.9948350604323</v>
      </c>
      <c r="R25" s="50">
        <f xml:space="preserve"> 'WK2012'!EY35</f>
        <v>1180.3315151655538</v>
      </c>
      <c r="S25" s="50">
        <f xml:space="preserve"> 'WK2012'!EZ35</f>
        <v>1853.8972321588174</v>
      </c>
      <c r="T25" s="50">
        <f xml:space="preserve"> 'WK2012'!FA35</f>
        <v>1073.5941215673254</v>
      </c>
      <c r="U25" s="50">
        <f xml:space="preserve"> 'WK2012'!FB35</f>
        <v>1747.1598385605892</v>
      </c>
      <c r="V25" s="61">
        <f xml:space="preserve"> 'WK2012'!EW35</f>
        <v>0.73991982103574916</v>
      </c>
      <c r="X25" s="50">
        <f xml:space="preserve"> 'WK2012'!FI35</f>
        <v>589.63150158026485</v>
      </c>
      <c r="Y25" s="50">
        <f xml:space="preserve"> 'WK2012'!FJ35</f>
        <v>1038.2226561433824</v>
      </c>
      <c r="Z25" s="50">
        <f xml:space="preserve"> 'WK2012'!FM35</f>
        <v>733.26145416835789</v>
      </c>
      <c r="AA25" s="50">
        <f xml:space="preserve"> 'WK2012'!FN35</f>
        <v>964.55584152439462</v>
      </c>
      <c r="AB25" s="50">
        <f xml:space="preserve"> 'WK2012'!FO35</f>
        <v>612.96990737017995</v>
      </c>
      <c r="AC25" s="50">
        <f xml:space="preserve"> 'WK2012'!FP35</f>
        <v>844.26429472621669</v>
      </c>
      <c r="AD25" s="61">
        <f xml:space="preserve"> 'WK2012'!FK35</f>
        <v>0.72741518036980535</v>
      </c>
      <c r="AF25" s="50">
        <f xml:space="preserve"> 'WK2012'!FW35</f>
        <v>155.19119385261564</v>
      </c>
      <c r="AG25" s="50">
        <f xml:space="preserve"> 'WK2012'!FX35</f>
        <v>123.52458501383403</v>
      </c>
      <c r="AH25" s="50">
        <f xml:space="preserve"> 'WK2012'!GA35</f>
        <v>148.75074274401962</v>
      </c>
      <c r="AI25" s="50">
        <f xml:space="preserve"> 'WK2012'!GB35</f>
        <v>117.21554733846577</v>
      </c>
      <c r="AJ25" s="50">
        <f xml:space="preserve"> 'WK2012'!GC35</f>
        <v>159.11345875408421</v>
      </c>
      <c r="AK25" s="50">
        <f xml:space="preserve"> 'WK2012'!GD35</f>
        <v>127.57826334853034</v>
      </c>
      <c r="AL25" s="61">
        <f xml:space="preserve"> 'WK2012'!FY35</f>
        <v>0.71054470826914229</v>
      </c>
      <c r="AN25" s="50">
        <f xml:space="preserve"> 'WK2012'!GK35</f>
        <v>185.58876352734063</v>
      </c>
      <c r="AO25" s="50">
        <f xml:space="preserve"> 'WK2012'!GL35</f>
        <v>249.11434756116432</v>
      </c>
      <c r="AP25" s="50">
        <f xml:space="preserve"> 'WK2012'!GO35</f>
        <v>187.60932597556456</v>
      </c>
      <c r="AQ25" s="50">
        <f xml:space="preserve"> 'WK2012'!GP35</f>
        <v>247.78672192030396</v>
      </c>
      <c r="AR25" s="50">
        <f xml:space="preserve"> 'WK2012'!GQ35</f>
        <v>186.22351143364338</v>
      </c>
      <c r="AS25" s="50">
        <f xml:space="preserve"> 'WK2012'!GR35</f>
        <v>246.40090737838278</v>
      </c>
      <c r="AT25" s="61">
        <f xml:space="preserve"> 'WK2012'!GM35</f>
        <v>0.7454280908029669</v>
      </c>
      <c r="AX25" s="50">
        <f xml:space="preserve"> 'WK2013'!EG35</f>
        <v>1308.5183847999999</v>
      </c>
      <c r="AY25" s="50">
        <f xml:space="preserve"> 'WK2013'!EH35</f>
        <v>2296.6555700000004</v>
      </c>
      <c r="AZ25" s="50">
        <f xml:space="preserve"> 'WK2013'!EK35</f>
        <v>1428.214323641552</v>
      </c>
      <c r="BA25" s="50">
        <f xml:space="preserve"> 'WK2013'!EL35</f>
        <v>2180.4833048415517</v>
      </c>
      <c r="BB25" s="50">
        <f xml:space="preserve"> 'WK2013'!EM35</f>
        <v>1351.7186990958432</v>
      </c>
      <c r="BC25" s="50">
        <f xml:space="preserve"> 'WK2013'!EN35</f>
        <v>2103.9876802958429</v>
      </c>
      <c r="BD25" s="61">
        <f xml:space="preserve"> 'WK2013'!EI35</f>
        <v>0.60297420748745312</v>
      </c>
      <c r="BF25" s="50">
        <f xml:space="preserve"> 'WK2013'!EU35</f>
        <v>973.10690270000009</v>
      </c>
      <c r="BG25" s="50">
        <f xml:space="preserve"> 'WK2013'!EV35</f>
        <v>1749.6112869999999</v>
      </c>
      <c r="BH25" s="50">
        <f xml:space="preserve"> 'WK2013'!EY35</f>
        <v>1100.5409708248512</v>
      </c>
      <c r="BI25" s="50">
        <f xml:space="preserve"> 'WK2013'!EZ35</f>
        <v>1679.1872156248508</v>
      </c>
      <c r="BJ25" s="50">
        <f xml:space="preserve"> 'WK2013'!FA35</f>
        <v>1008.6935885623235</v>
      </c>
      <c r="BK25" s="50">
        <f xml:space="preserve"> 'WK2013'!FB35</f>
        <v>1587.3398333623234</v>
      </c>
      <c r="BL25" s="61">
        <f xml:space="preserve"> 'WK2013'!EW35</f>
        <v>0.62445496185301075</v>
      </c>
      <c r="BN25" s="50">
        <f xml:space="preserve"> 'WK2013'!FI35</f>
        <v>660.87302220000004</v>
      </c>
      <c r="BO25" s="50">
        <f xml:space="preserve"> 'WK2013'!FJ35</f>
        <v>1216.7272564</v>
      </c>
      <c r="BP25" s="50">
        <f xml:space="preserve"> 'WK2013'!FM35</f>
        <v>837.5928560394774</v>
      </c>
      <c r="BQ25" s="50">
        <f xml:space="preserve"> 'WK2013'!FN35</f>
        <v>1129.0185628394772</v>
      </c>
      <c r="BR25" s="50">
        <f xml:space="preserve"> 'WK2013'!FO35</f>
        <v>688.69685443008711</v>
      </c>
      <c r="BS25" s="50">
        <f xml:space="preserve"> 'WK2013'!FP35</f>
        <v>980.12256123008706</v>
      </c>
      <c r="BT25" s="61">
        <f xml:space="preserve"> 'WK2013'!FK35</f>
        <v>0.62694669604835207</v>
      </c>
      <c r="BV25" s="50">
        <f xml:space="preserve"> 'WK2013'!FW35</f>
        <v>200.95635780000001</v>
      </c>
      <c r="BW25" s="50">
        <f xml:space="preserve"> 'WK2013'!FX35</f>
        <v>264.85046199999999</v>
      </c>
      <c r="BX25" s="50">
        <f xml:space="preserve"> 'WK2013'!GA35</f>
        <v>201.11471762401297</v>
      </c>
      <c r="BY25" s="50">
        <f xml:space="preserve"> 'WK2013'!GB35</f>
        <v>264.73208182401299</v>
      </c>
      <c r="BZ25" s="50">
        <f xml:space="preserve"> 'WK2013'!GC35</f>
        <v>201.00960291479981</v>
      </c>
      <c r="CA25" s="50">
        <f xml:space="preserve"> 'WK2013'!GD35</f>
        <v>264.62696711479981</v>
      </c>
      <c r="CB25" s="61">
        <f xml:space="preserve"> 'WK2013'!FY35</f>
        <v>0.62261620048201172</v>
      </c>
      <c r="CD25" s="50">
        <f xml:space="preserve"> 'WK2013'!GK35</f>
        <v>161.63767274999998</v>
      </c>
      <c r="CE25" s="50">
        <f xml:space="preserve"> 'WK2013'!GL35</f>
        <v>203.25252750000001</v>
      </c>
      <c r="CF25" s="50">
        <f xml:space="preserve"> 'WK2013'!GO35</f>
        <v>147.35304875900655</v>
      </c>
      <c r="CG25" s="50">
        <f xml:space="preserve"> 'WK2013'!GP35</f>
        <v>207.6628310090066</v>
      </c>
      <c r="CH25" s="50">
        <f xml:space="preserve"> 'WK2013'!GQ35</f>
        <v>165.95326994691865</v>
      </c>
      <c r="CI25" s="50">
        <f xml:space="preserve"> 'WK2013'!GR35</f>
        <v>226.26305219691872</v>
      </c>
      <c r="CJ25" s="61">
        <f xml:space="preserve"> 'WK2013'!GM35</f>
        <v>0.62344227826911269</v>
      </c>
      <c r="CN25" s="50">
        <f xml:space="preserve"> 'WK2014'!EG35</f>
        <v>1360.1922608</v>
      </c>
      <c r="CO25" s="50">
        <f xml:space="preserve"> 'WK2014'!EH35</f>
        <v>2382.2190768</v>
      </c>
      <c r="CP25" s="50">
        <f xml:space="preserve"> 'WK2014'!EK35</f>
        <v>1455.1967439761534</v>
      </c>
      <c r="CQ25" s="50">
        <f xml:space="preserve"> 'WK2014'!EL35</f>
        <v>2250.3449823761534</v>
      </c>
      <c r="CR25" s="50">
        <f xml:space="preserve"> 'WK2014'!EM35</f>
        <v>1393.9301769983426</v>
      </c>
      <c r="CS25" s="50">
        <f xml:space="preserve"> 'WK2014'!EN35</f>
        <v>2189.0784153983427</v>
      </c>
      <c r="CT25" s="61">
        <f xml:space="preserve"> 'WK2014'!EI35</f>
        <v>0.63114342131454715</v>
      </c>
      <c r="CV25" s="50">
        <f xml:space="preserve"> 'WK2014'!EU35</f>
        <v>957.21460919999993</v>
      </c>
      <c r="CW25" s="50">
        <f xml:space="preserve"> 'WK2014'!EV35</f>
        <v>1783.1010752000002</v>
      </c>
      <c r="CX25" s="50">
        <f xml:space="preserve"> 'WK2014'!EY35</f>
        <v>1078.8811803664776</v>
      </c>
      <c r="CY25" s="50">
        <f xml:space="preserve"> 'WK2014'!EZ35</f>
        <v>1722.0632079664779</v>
      </c>
      <c r="CZ25" s="50">
        <f xml:space="preserve"> 'WK2014'!FA35</f>
        <v>993.26264307194992</v>
      </c>
      <c r="DA25" s="50">
        <f xml:space="preserve"> 'WK2014'!FB35</f>
        <v>1636.44467067195</v>
      </c>
      <c r="DB25" s="61">
        <f xml:space="preserve"> 'WK2014'!EW35</f>
        <v>0.63621692728417445</v>
      </c>
      <c r="DC25" s="1"/>
      <c r="DD25" s="50">
        <f xml:space="preserve"> 'WK2014'!FI35</f>
        <v>659.34539599999994</v>
      </c>
      <c r="DE25" s="50">
        <f xml:space="preserve"> 'WK2014'!FJ35</f>
        <v>1216.499233</v>
      </c>
      <c r="DF25" s="50">
        <f xml:space="preserve"> 'WK2014'!FM35</f>
        <v>786.00796868586644</v>
      </c>
      <c r="DG25" s="50">
        <f xml:space="preserve"> 'WK2014'!FN35</f>
        <v>1153.3588312858662</v>
      </c>
      <c r="DH25" s="50">
        <f xml:space="preserve"> 'WK2014'!FO35</f>
        <v>683.22911117855983</v>
      </c>
      <c r="DI25" s="50">
        <f xml:space="preserve"> 'WK2014'!FP35</f>
        <v>1050.5799737785599</v>
      </c>
      <c r="DJ25" s="61">
        <f xml:space="preserve"> 'WK2014'!FK35</f>
        <v>0.62819789554465932</v>
      </c>
      <c r="DK25" s="1"/>
      <c r="DL25" s="50">
        <f xml:space="preserve"> 'WK2014'!FW35</f>
        <v>204.9346128</v>
      </c>
      <c r="DM25" s="50">
        <f xml:space="preserve"> 'WK2014'!FX35</f>
        <v>267.57668880000006</v>
      </c>
      <c r="DN25" s="50">
        <f xml:space="preserve"> 'WK2014'!GA35</f>
        <v>205.08716069341992</v>
      </c>
      <c r="DO25" s="50">
        <f xml:space="preserve"> 'WK2014'!GB35</f>
        <v>267.46280309341995</v>
      </c>
      <c r="DP25" s="50">
        <f xml:space="preserve"> 'WK2014'!GC35</f>
        <v>204.98615150581378</v>
      </c>
      <c r="DQ25" s="50">
        <f xml:space="preserve"> 'WK2014'!GD35</f>
        <v>267.36179390581378</v>
      </c>
      <c r="DR25" s="61">
        <f xml:space="preserve"> 'WK2014'!FY35</f>
        <v>0.6332611677105513</v>
      </c>
      <c r="DS25" s="1"/>
      <c r="DT25" s="50">
        <f xml:space="preserve"> 'WK2014'!GK35</f>
        <v>188.41405799999998</v>
      </c>
      <c r="DU25" s="50">
        <f xml:space="preserve"> 'WK2014'!GL35</f>
        <v>255.66171600000001</v>
      </c>
      <c r="DV25" s="50">
        <f xml:space="preserve"> 'WK2014'!GO35</f>
        <v>179.02088672057175</v>
      </c>
      <c r="DW25" s="50">
        <f xml:space="preserve"> 'WK2014'!GP35</f>
        <v>257.25113297057175</v>
      </c>
      <c r="DX25" s="50">
        <f xml:space="preserve"> 'WK2014'!GQ35</f>
        <v>193.38129154310377</v>
      </c>
      <c r="DY25" s="50">
        <f xml:space="preserve"> 'WK2014'!GR35</f>
        <v>271.61153779310388</v>
      </c>
      <c r="DZ25" s="61">
        <f xml:space="preserve"> 'WK2014'!GM35</f>
        <v>0.61680931491753688</v>
      </c>
      <c r="ED25" s="50">
        <f xml:space="preserve"> 'WK2015'!EG35</f>
        <v>1393.1367158</v>
      </c>
      <c r="EE25" s="50">
        <f xml:space="preserve"> 'WK2015'!EH35</f>
        <v>2331.5363284</v>
      </c>
      <c r="EF25" s="50">
        <f xml:space="preserve"> 'WK2015'!EK35</f>
        <v>1492.9145520155319</v>
      </c>
      <c r="EG25" s="50">
        <f xml:space="preserve"> 'WK2015'!EL35</f>
        <v>2236.5181146155319</v>
      </c>
      <c r="EH25" s="50">
        <f xml:space="preserve"> 'WK2015'!EM35</f>
        <v>1433.9151412114149</v>
      </c>
      <c r="EI25" s="50">
        <f xml:space="preserve"> 'WK2015'!EN35</f>
        <v>2177.5187038114145</v>
      </c>
      <c r="EJ25" s="61">
        <f xml:space="preserve"> 'WK2015'!EI35</f>
        <v>0.59484240297264579</v>
      </c>
      <c r="EK25" s="1"/>
      <c r="EL25" s="50">
        <f xml:space="preserve"> 'WK2015'!EU35</f>
        <v>1039.9107072000002</v>
      </c>
      <c r="EM25" s="50">
        <f xml:space="preserve"> 'WK2015'!EV35</f>
        <v>1931.1684471000003</v>
      </c>
      <c r="EN25" s="50">
        <f xml:space="preserve"> 'WK2015'!EY35</f>
        <v>1193.0810665788113</v>
      </c>
      <c r="EO25" s="50">
        <f xml:space="preserve"> 'WK2015'!EZ35</f>
        <v>1852.5439519788113</v>
      </c>
      <c r="EP25" s="50">
        <f xml:space="preserve"> 'WK2015'!FA35</f>
        <v>1076.7847200840251</v>
      </c>
      <c r="EQ25" s="50">
        <f xml:space="preserve"> 'WK2015'!FB35</f>
        <v>1736.2476054840254</v>
      </c>
      <c r="ER25" s="61">
        <f xml:space="preserve"> 'WK2015'!EW35</f>
        <v>0.622988443587837</v>
      </c>
      <c r="ES25" s="1"/>
      <c r="ET25" s="50">
        <f xml:space="preserve"> 'WK2015'!FI35</f>
        <v>728.85897299999999</v>
      </c>
      <c r="EU25" s="50">
        <f xml:space="preserve"> 'WK2015'!FJ35</f>
        <v>1287.6647743999999</v>
      </c>
      <c r="EV25" s="50">
        <f xml:space="preserve"> 'WK2015'!FM35</f>
        <v>854.41152361195407</v>
      </c>
      <c r="EW25" s="50">
        <f xml:space="preserve"> 'WK2015'!FN35</f>
        <v>1222.3881136119542</v>
      </c>
      <c r="EX25" s="50">
        <f xml:space="preserve"> 'WK2015'!FO35</f>
        <v>753.37657810375322</v>
      </c>
      <c r="EY25" s="50">
        <f xml:space="preserve"> 'WK2015'!FP35</f>
        <v>1121.3531681037532</v>
      </c>
      <c r="EZ25" s="61">
        <f xml:space="preserve"> 'WK2015'!FK35</f>
        <v>0.61784941693331774</v>
      </c>
      <c r="FA25" s="1"/>
      <c r="FB25" s="50">
        <f xml:space="preserve"> 'WK2015'!FW35</f>
        <v>210.56026080000001</v>
      </c>
      <c r="FC25" s="50">
        <f xml:space="preserve"> 'WK2015'!FX35</f>
        <v>284.97048840000002</v>
      </c>
      <c r="FD25" s="50">
        <f xml:space="preserve"> 'WK2015'!GA35</f>
        <v>210.73438285892271</v>
      </c>
      <c r="FE25" s="50">
        <f xml:space="preserve"> 'WK2015'!GB35</f>
        <v>284.84385445892269</v>
      </c>
      <c r="FF25" s="50">
        <f xml:space="preserve"> 'WK2015'!GC35</f>
        <v>210.61304747007708</v>
      </c>
      <c r="FG25" s="50">
        <f xml:space="preserve"> 'WK2015'!GD35</f>
        <v>284.72251907007706</v>
      </c>
      <c r="FH25" s="61">
        <f xml:space="preserve"> 'WK2015'!FY35</f>
        <v>0.61906404612558297</v>
      </c>
      <c r="FI25" s="1"/>
      <c r="FJ25" s="50">
        <f xml:space="preserve"> 'WK2015'!GK35</f>
        <v>204.07560750000002</v>
      </c>
      <c r="FK25" s="50">
        <f xml:space="preserve"> 'WK2015'!GL35</f>
        <v>320.04862650000001</v>
      </c>
      <c r="FL25" s="50">
        <f xml:space="preserve"> 'WK2015'!GO35</f>
        <v>212.8048074381785</v>
      </c>
      <c r="FM25" s="50">
        <f xml:space="preserve"> 'WK2015'!GP35</f>
        <v>314.58705618817856</v>
      </c>
      <c r="FN25" s="50">
        <f xml:space="preserve"> 'WK2015'!GQ35</f>
        <v>209.37525347259955</v>
      </c>
      <c r="FO25" s="50">
        <f xml:space="preserve"> 'WK2015'!GR35</f>
        <v>311.15750222259959</v>
      </c>
      <c r="FP25" s="61">
        <f xml:space="preserve"> 'WK2015'!GM35</f>
        <v>0.59028749018793136</v>
      </c>
      <c r="FS25" s="283">
        <f xml:space="preserve"> 'WK2015'!H35</f>
        <v>699.55506500000001</v>
      </c>
      <c r="FT25" s="283">
        <f xml:space="preserve"> 'WK2015'!I35</f>
        <v>1292.80585</v>
      </c>
      <c r="FU25" s="283">
        <f xml:space="preserve"> 'WK2015'!L35</f>
        <v>744.98159953547645</v>
      </c>
      <c r="FV25" s="283">
        <f xml:space="preserve"> 'WK2015'!M35</f>
        <v>1232.6318685354765</v>
      </c>
      <c r="FW25" s="283">
        <f xml:space="preserve"> 'WK2015'!N35</f>
        <v>721.8514581656184</v>
      </c>
      <c r="FX25" s="283">
        <f xml:space="preserve"> 'WK2015'!O35</f>
        <v>1209.5017271656184</v>
      </c>
      <c r="FY25" s="284">
        <f xml:space="preserve"> 'WK2015'!P35</f>
        <v>0.56982658554929355</v>
      </c>
      <c r="GA25" s="283">
        <f xml:space="preserve"> 'WK2015'!HB35</f>
        <v>449.17868099999993</v>
      </c>
      <c r="GB25" s="283">
        <f xml:space="preserve"> 'WK2015'!HC35</f>
        <v>1114.490448</v>
      </c>
      <c r="GC25" s="283">
        <f xml:space="preserve"> 'WK2015'!HF35</f>
        <v>492.73401126764981</v>
      </c>
      <c r="GD25" s="283">
        <f xml:space="preserve"> 'WK2015'!HG35</f>
        <v>1039.8409222676501</v>
      </c>
      <c r="GE25" s="283">
        <f xml:space="preserve"> 'WK2015'!HH35</f>
        <v>464.00407454956985</v>
      </c>
      <c r="GF25" s="283">
        <f xml:space="preserve"> 'WK2015'!HI35</f>
        <v>1011.1109855495699</v>
      </c>
      <c r="GG25" s="284">
        <f xml:space="preserve"> 'WK2015'!HJ35</f>
        <v>0.63152672621461614</v>
      </c>
      <c r="GI25" s="283">
        <f xml:space="preserve"> 'WK2015'!HQ35</f>
        <v>217.65750999999997</v>
      </c>
      <c r="GJ25" s="283">
        <f xml:space="preserve"> 'WK2015'!HR35</f>
        <v>503.47407599999997</v>
      </c>
      <c r="GK25" s="283">
        <f xml:space="preserve"> 'WK2015'!HU35</f>
        <v>260.40477357142856</v>
      </c>
      <c r="GL25" s="283">
        <f xml:space="preserve"> 'WK2015'!HV35</f>
        <v>446.47772457142855</v>
      </c>
      <c r="GM25" s="283">
        <f xml:space="preserve"> 'WK2015'!HW35</f>
        <v>220.6625585267029</v>
      </c>
      <c r="GN25" s="283">
        <f xml:space="preserve"> 'WK2015'!HX35</f>
        <v>406.73550952670291</v>
      </c>
      <c r="GO25" s="284">
        <f xml:space="preserve"> 'WK2015'!HY35</f>
        <v>0.5714285714285714</v>
      </c>
    </row>
    <row r="26" spans="1:197" x14ac:dyDescent="0.2">
      <c r="A26" s="3">
        <f>Basis!A26</f>
        <v>26</v>
      </c>
      <c r="D26" s="252" t="e">
        <v>#N/A</v>
      </c>
      <c r="E26" s="252" t="e">
        <v>#N/A</v>
      </c>
      <c r="H26" s="50">
        <f xml:space="preserve"> 'WK2012'!EG36</f>
        <v>1525.0575518307774</v>
      </c>
      <c r="I26" s="50">
        <f xml:space="preserve"> 'WK2012'!EH36</f>
        <v>2715.0606147059598</v>
      </c>
      <c r="J26" s="50">
        <f xml:space="preserve"> 'WK2012'!EK36</f>
        <v>1700.6496566179101</v>
      </c>
      <c r="K26" s="50">
        <f xml:space="preserve"> 'WK2012'!EL36</f>
        <v>2613.4582622884086</v>
      </c>
      <c r="L26" s="50">
        <f xml:space="preserve"> 'WK2012'!EM36</f>
        <v>1570.1381829473721</v>
      </c>
      <c r="M26" s="50">
        <f xml:space="preserve"> 'WK2012'!EN36</f>
        <v>2482.9467886178709</v>
      </c>
      <c r="N26" s="61">
        <f xml:space="preserve"> 'WK2012'!EI36</f>
        <v>0.73150057739559049</v>
      </c>
      <c r="P26" s="50">
        <f xml:space="preserve"> 'WK2012'!EU36</f>
        <v>1041.0364771984309</v>
      </c>
      <c r="Q26" s="50">
        <f xml:space="preserve"> 'WK2012'!EV36</f>
        <v>2021.335250718405</v>
      </c>
      <c r="R26" s="50">
        <f xml:space="preserve"> 'WK2012'!EY36</f>
        <v>1232.7869731387775</v>
      </c>
      <c r="S26" s="50">
        <f xml:space="preserve"> 'WK2012'!EZ36</f>
        <v>1922.9497708632427</v>
      </c>
      <c r="T26" s="50">
        <f xml:space="preserve"> 'WK2012'!FA36</f>
        <v>1077.1051530620409</v>
      </c>
      <c r="U26" s="50">
        <f xml:space="preserve"> 'WK2012'!FB36</f>
        <v>1767.2679507865057</v>
      </c>
      <c r="V26" s="61">
        <f xml:space="preserve"> 'WK2012'!EW36</f>
        <v>0.74353342150252166</v>
      </c>
      <c r="X26" s="50">
        <f xml:space="preserve"> 'WK2012'!FI36</f>
        <v>586.52003274394804</v>
      </c>
      <c r="Y26" s="50">
        <f xml:space="preserve"> 'WK2012'!FJ36</f>
        <v>1093.8800840249608</v>
      </c>
      <c r="Z26" s="50">
        <f xml:space="preserve"> 'WK2012'!FM36</f>
        <v>769.98684228496029</v>
      </c>
      <c r="AA26" s="50">
        <f xml:space="preserve"> 'WK2012'!FN36</f>
        <v>1006.1514994237773</v>
      </c>
      <c r="AB26" s="50">
        <f xml:space="preserve"> 'WK2012'!FO36</f>
        <v>609.85843853386325</v>
      </c>
      <c r="AC26" s="50">
        <f xml:space="preserve"> 'WK2012'!FP36</f>
        <v>846.02309567268014</v>
      </c>
      <c r="AD26" s="61">
        <f xml:space="preserve"> 'WK2012'!FK36</f>
        <v>0.73019762573345182</v>
      </c>
      <c r="AF26" s="50">
        <f xml:space="preserve"> 'WK2012'!FW36</f>
        <v>154.92815967228782</v>
      </c>
      <c r="AG26" s="50">
        <f xml:space="preserve"> 'WK2012'!FX36</f>
        <v>146.29707709065937</v>
      </c>
      <c r="AH26" s="50">
        <f xml:space="preserve"> 'WK2012'!GA36</f>
        <v>159.58401083495983</v>
      </c>
      <c r="AI26" s="50">
        <f xml:space="preserve"> 'WK2012'!GB36</f>
        <v>131.24150743621064</v>
      </c>
      <c r="AJ26" s="50">
        <f xml:space="preserve"> 'WK2012'!GC36</f>
        <v>158.85042457375638</v>
      </c>
      <c r="AK26" s="50">
        <f xml:space="preserve"> 'WK2012'!GD36</f>
        <v>130.50792117500723</v>
      </c>
      <c r="AL26" s="61">
        <f xml:space="preserve"> 'WK2012'!FY36</f>
        <v>0.72104926437625461</v>
      </c>
      <c r="AN26" s="50">
        <f xml:space="preserve"> 'WK2012'!GK36</f>
        <v>195.95406048046937</v>
      </c>
      <c r="AO26" s="50">
        <f xml:space="preserve"> 'WK2012'!GL36</f>
        <v>256.83434746804426</v>
      </c>
      <c r="AP26" s="50">
        <f xml:space="preserve"> 'WK2012'!GO36</f>
        <v>198.62394740416272</v>
      </c>
      <c r="AQ26" s="50">
        <f xml:space="preserve"> 'WK2012'!GP36</f>
        <v>254.95340358199223</v>
      </c>
      <c r="AR26" s="50">
        <f xml:space="preserve"> 'WK2012'!GQ36</f>
        <v>196.58880838677211</v>
      </c>
      <c r="AS26" s="50">
        <f xml:space="preserve"> 'WK2012'!GR36</f>
        <v>252.91826456460163</v>
      </c>
      <c r="AT26" s="61">
        <f xml:space="preserve"> 'WK2012'!GM36</f>
        <v>0.7439010169521113</v>
      </c>
      <c r="AX26" s="50">
        <f xml:space="preserve"> 'WK2013'!EG36</f>
        <v>1294.0836602000002</v>
      </c>
      <c r="AY26" s="50">
        <f xml:space="preserve"> 'WK2013'!EH36</f>
        <v>2383.9314787999997</v>
      </c>
      <c r="AZ26" s="50">
        <f xml:space="preserve"> 'WK2013'!EK36</f>
        <v>1452.7180997726948</v>
      </c>
      <c r="BA26" s="50">
        <f xml:space="preserve"> 'WK2013'!EL36</f>
        <v>2236.3801193726949</v>
      </c>
      <c r="BB26" s="50">
        <f xml:space="preserve"> 'WK2013'!EM36</f>
        <v>1337.2839744958435</v>
      </c>
      <c r="BC26" s="50">
        <f xml:space="preserve"> 'WK2013'!EN36</f>
        <v>2120.9459940958432</v>
      </c>
      <c r="BD26" s="61">
        <f xml:space="preserve"> 'WK2013'!EI36</f>
        <v>0.65034514206904492</v>
      </c>
      <c r="BF26" s="50">
        <f xml:space="preserve"> 'WK2013'!EU36</f>
        <v>951.32605679999995</v>
      </c>
      <c r="BG26" s="50">
        <f xml:space="preserve"> 'WK2013'!EV36</f>
        <v>1818.0848322000004</v>
      </c>
      <c r="BH26" s="50">
        <f xml:space="preserve"> 'WK2013'!EY36</f>
        <v>1138.6816697233685</v>
      </c>
      <c r="BI26" s="50">
        <f xml:space="preserve"> 'WK2013'!EZ36</f>
        <v>1723.3139601233684</v>
      </c>
      <c r="BJ26" s="50">
        <f xml:space="preserve"> 'WK2013'!FA36</f>
        <v>986.91274266232358</v>
      </c>
      <c r="BK26" s="50">
        <f xml:space="preserve"> 'WK2013'!FB36</f>
        <v>1571.5450330623239</v>
      </c>
      <c r="BL26" s="61">
        <f xml:space="preserve"> 'WK2013'!EW36</f>
        <v>0.67717938921111487</v>
      </c>
      <c r="BN26" s="50">
        <f xml:space="preserve"> 'WK2013'!FI36</f>
        <v>656.9714383999999</v>
      </c>
      <c r="BO26" s="50">
        <f xml:space="preserve"> 'WK2013'!FJ36</f>
        <v>1269.361232</v>
      </c>
      <c r="BP26" s="50">
        <f xml:space="preserve"> 'WK2013'!FM36</f>
        <v>873.44523263856934</v>
      </c>
      <c r="BQ26" s="50">
        <f xml:space="preserve"> 'WK2013'!FN36</f>
        <v>1168.0128394385695</v>
      </c>
      <c r="BR26" s="50">
        <f xml:space="preserve"> 'WK2013'!FO36</f>
        <v>684.79527063008709</v>
      </c>
      <c r="BS26" s="50">
        <f xml:space="preserve"> 'WK2013'!FP36</f>
        <v>979.36287743008711</v>
      </c>
      <c r="BT26" s="61">
        <f xml:space="preserve"> 'WK2013'!FK36</f>
        <v>0.66817652173785669</v>
      </c>
      <c r="BV26" s="50">
        <f xml:space="preserve"> 'WK2013'!FW36</f>
        <v>208.35106519999999</v>
      </c>
      <c r="BW26" s="50">
        <f xml:space="preserve"> 'WK2013'!FX36</f>
        <v>275.27783479999999</v>
      </c>
      <c r="BX26" s="50">
        <f xml:space="preserve"> 'WK2013'!GA36</f>
        <v>208.55467434089093</v>
      </c>
      <c r="BY26" s="50">
        <f xml:space="preserve"> 'WK2013'!GB36</f>
        <v>275.12444394089096</v>
      </c>
      <c r="BZ26" s="50">
        <f xml:space="preserve"> 'WK2013'!GC36</f>
        <v>208.40431031479977</v>
      </c>
      <c r="CA26" s="50">
        <f xml:space="preserve"> 'WK2013'!GD36</f>
        <v>274.9740799147998</v>
      </c>
      <c r="CB26" s="61">
        <f xml:space="preserve"> 'WK2013'!FY36</f>
        <v>0.67379489013882987</v>
      </c>
      <c r="CD26" s="50">
        <f xml:space="preserve"> 'WK2013'!GK36</f>
        <v>153.38714625</v>
      </c>
      <c r="CE26" s="50">
        <f xml:space="preserve"> 'WK2013'!GL36</f>
        <v>219.88031849999999</v>
      </c>
      <c r="CF26" s="50">
        <f xml:space="preserve"> 'WK2013'!GO36</f>
        <v>145.035345287648</v>
      </c>
      <c r="CG26" s="50">
        <f xml:space="preserve"> 'WK2013'!GP36</f>
        <v>220.653634787648</v>
      </c>
      <c r="CH26" s="50">
        <f xml:space="preserve"> 'WK2013'!GQ36</f>
        <v>157.70274344691867</v>
      </c>
      <c r="CI26" s="50">
        <f xml:space="preserve"> 'WK2013'!GR36</f>
        <v>233.32103294691865</v>
      </c>
      <c r="CJ26" s="61">
        <f xml:space="preserve"> 'WK2013'!GM36</f>
        <v>0.68220973718652211</v>
      </c>
      <c r="CN26" s="50">
        <f xml:space="preserve"> 'WK2014'!EG36</f>
        <v>1351.1599620000002</v>
      </c>
      <c r="CO26" s="50">
        <f xml:space="preserve"> 'WK2014'!EH36</f>
        <v>2471.5065048000001</v>
      </c>
      <c r="CP26" s="50">
        <f xml:space="preserve"> 'WK2014'!EK36</f>
        <v>1473.8229514386251</v>
      </c>
      <c r="CQ26" s="50">
        <f xml:space="preserve"> 'WK2014'!EL36</f>
        <v>2297.1215644386252</v>
      </c>
      <c r="CR26" s="50">
        <f xml:space="preserve"> 'WK2014'!EM36</f>
        <v>1384.8978781983426</v>
      </c>
      <c r="CS26" s="50">
        <f xml:space="preserve"> 'WK2014'!EN36</f>
        <v>2208.1964911983428</v>
      </c>
      <c r="CT26" s="61">
        <f xml:space="preserve"> 'WK2014'!EI36</f>
        <v>0.64812659560828856</v>
      </c>
      <c r="CV26" s="50">
        <f xml:space="preserve"> 'WK2014'!EU36</f>
        <v>943.53427350000004</v>
      </c>
      <c r="CW26" s="50">
        <f xml:space="preserve"> 'WK2014'!EV36</f>
        <v>1844.0594932000004</v>
      </c>
      <c r="CX26" s="50">
        <f xml:space="preserve"> 'WK2014'!EY36</f>
        <v>1125.906591307981</v>
      </c>
      <c r="CY26" s="50">
        <f xml:space="preserve"> 'WK2014'!EZ36</f>
        <v>1758.0044623079809</v>
      </c>
      <c r="CZ26" s="50">
        <f xml:space="preserve"> 'WK2014'!FA36</f>
        <v>979.58230737195004</v>
      </c>
      <c r="DA26" s="50">
        <f xml:space="preserve"> 'WK2014'!FB36</f>
        <v>1611.6801783719502</v>
      </c>
      <c r="DB26" s="61">
        <f xml:space="preserve"> 'WK2014'!EW36</f>
        <v>0.64942608958793602</v>
      </c>
      <c r="DC26" s="1"/>
      <c r="DD26" s="50">
        <f xml:space="preserve"> 'WK2014'!FI36</f>
        <v>667.10609199999988</v>
      </c>
      <c r="DE26" s="50">
        <f xml:space="preserve"> 'WK2014'!FJ36</f>
        <v>1275.2730550000001</v>
      </c>
      <c r="DF26" s="50">
        <f xml:space="preserve"> 'WK2014'!FM36</f>
        <v>828.54674795654114</v>
      </c>
      <c r="DG26" s="50">
        <f xml:space="preserve"> 'WK2014'!FN36</f>
        <v>1196.839443556541</v>
      </c>
      <c r="DH26" s="50">
        <f xml:space="preserve"> 'WK2014'!FO36</f>
        <v>690.98980717855977</v>
      </c>
      <c r="DI26" s="50">
        <f xml:space="preserve"> 'WK2014'!FP36</f>
        <v>1059.2825027785598</v>
      </c>
      <c r="DJ26" s="61">
        <f xml:space="preserve"> 'WK2014'!FK36</f>
        <v>0.65328370207069142</v>
      </c>
      <c r="DK26" s="1"/>
      <c r="DL26" s="50">
        <f xml:space="preserve"> 'WK2014'!FW36</f>
        <v>213.53274000000002</v>
      </c>
      <c r="DM26" s="50">
        <f xml:space="preserve"> 'WK2014'!FX36</f>
        <v>277.86859279999999</v>
      </c>
      <c r="DN26" s="50">
        <f xml:space="preserve"> 'WK2014'!GA36</f>
        <v>213.72681311668271</v>
      </c>
      <c r="DO26" s="50">
        <f xml:space="preserve"> 'WK2014'!GB36</f>
        <v>277.7213661166827</v>
      </c>
      <c r="DP26" s="50">
        <f xml:space="preserve"> 'WK2014'!GC36</f>
        <v>213.58427870581377</v>
      </c>
      <c r="DQ26" s="50">
        <f xml:space="preserve"> 'WK2014'!GD36</f>
        <v>277.5788317058138</v>
      </c>
      <c r="DR26" s="61">
        <f xml:space="preserve"> 'WK2014'!FY36</f>
        <v>0.64836172818957083</v>
      </c>
      <c r="DS26" s="1"/>
      <c r="DT26" s="50">
        <f xml:space="preserve"> 'WK2014'!GK36</f>
        <v>169.39609799999999</v>
      </c>
      <c r="DU26" s="50">
        <f xml:space="preserve"> 'WK2014'!GL36</f>
        <v>266.154492</v>
      </c>
      <c r="DV26" s="50">
        <f xml:space="preserve"> 'WK2014'!GO36</f>
        <v>165.95645904005937</v>
      </c>
      <c r="DW26" s="50">
        <f xml:space="preserve"> 'WK2014'!GP36</f>
        <v>265.89095904005933</v>
      </c>
      <c r="DX26" s="50">
        <f xml:space="preserve"> 'WK2014'!GQ36</f>
        <v>174.36333154310378</v>
      </c>
      <c r="DY26" s="50">
        <f xml:space="preserve"> 'WK2014'!GR36</f>
        <v>274.29783154310388</v>
      </c>
      <c r="DZ26" s="61">
        <f xml:space="preserve"> 'WK2014'!GM36</f>
        <v>0.63720791288492107</v>
      </c>
      <c r="ED26" s="50">
        <f xml:space="preserve"> 'WK2015'!EG36</f>
        <v>1390.144315</v>
      </c>
      <c r="EE26" s="50">
        <f xml:space="preserve"> 'WK2015'!EH36</f>
        <v>2430.1658857999996</v>
      </c>
      <c r="EF26" s="50">
        <f xml:space="preserve"> 'WK2015'!EK36</f>
        <v>1536.6810701093398</v>
      </c>
      <c r="EG26" s="50">
        <f xml:space="preserve"> 'WK2015'!EL36</f>
        <v>2294.3491063093402</v>
      </c>
      <c r="EH26" s="50">
        <f xml:space="preserve"> 'WK2015'!EM36</f>
        <v>1430.9227404114147</v>
      </c>
      <c r="EI26" s="50">
        <f xml:space="preserve"> 'WK2015'!EN36</f>
        <v>2188.5907766114146</v>
      </c>
      <c r="EJ26" s="61">
        <f xml:space="preserve"> 'WK2015'!EI36</f>
        <v>0.61962010993282979</v>
      </c>
      <c r="EK26" s="1"/>
      <c r="EL26" s="50">
        <f xml:space="preserve"> 'WK2015'!EU36</f>
        <v>1022.6184715000001</v>
      </c>
      <c r="EM26" s="50">
        <f xml:space="preserve"> 'WK2015'!EV36</f>
        <v>1997.9057981999999</v>
      </c>
      <c r="EN26" s="50">
        <f xml:space="preserve"> 'WK2015'!EY36</f>
        <v>1241.6222170719727</v>
      </c>
      <c r="EO26" s="50">
        <f xml:space="preserve"> 'WK2015'!EZ36</f>
        <v>1892.8755183719725</v>
      </c>
      <c r="EP26" s="50">
        <f xml:space="preserve"> 'WK2015'!FA36</f>
        <v>1059.4924843840251</v>
      </c>
      <c r="EQ26" s="50">
        <f xml:space="preserve"> 'WK2015'!FB36</f>
        <v>1710.7457856840251</v>
      </c>
      <c r="ER26" s="61">
        <f xml:space="preserve"> 'WK2015'!EW36</f>
        <v>0.65935747913246212</v>
      </c>
      <c r="ES26" s="1"/>
      <c r="ET26" s="50">
        <f xml:space="preserve"> 'WK2015'!FI36</f>
        <v>718.15078799999992</v>
      </c>
      <c r="EU26" s="50">
        <f xml:space="preserve"> 'WK2015'!FJ36</f>
        <v>1343.2447867999999</v>
      </c>
      <c r="EV26" s="50">
        <f xml:space="preserve"> 'WK2015'!FM36</f>
        <v>884.05479028337174</v>
      </c>
      <c r="EW26" s="50">
        <f xml:space="preserve"> 'WK2015'!FN36</f>
        <v>1262.2918042833717</v>
      </c>
      <c r="EX26" s="50">
        <f xml:space="preserve"> 'WK2015'!FO36</f>
        <v>742.66839310375326</v>
      </c>
      <c r="EY26" s="50">
        <f xml:space="preserve"> 'WK2015'!FP36</f>
        <v>1120.9054071037533</v>
      </c>
      <c r="EZ26" s="61">
        <f xml:space="preserve"> 'WK2015'!FK36</f>
        <v>0.64499073932444884</v>
      </c>
      <c r="FA26" s="1"/>
      <c r="FB26" s="50">
        <f xml:space="preserve"> 'WK2015'!FW36</f>
        <v>219.51650000000004</v>
      </c>
      <c r="FC26" s="50">
        <f xml:space="preserve"> 'WK2015'!FX36</f>
        <v>297.13844879999999</v>
      </c>
      <c r="FD26" s="50">
        <f xml:space="preserve"> 'WK2015'!GA36</f>
        <v>219.7411175333103</v>
      </c>
      <c r="FE26" s="50">
        <f xml:space="preserve"> 'WK2015'!GB36</f>
        <v>296.97358073331026</v>
      </c>
      <c r="FF26" s="50">
        <f xml:space="preserve"> 'WK2015'!GC36</f>
        <v>219.56928667007708</v>
      </c>
      <c r="FG26" s="50">
        <f xml:space="preserve"> 'WK2015'!GD36</f>
        <v>296.80174987007706</v>
      </c>
      <c r="FH26" s="61">
        <f xml:space="preserve"> 'WK2015'!FY36</f>
        <v>0.65512431860893405</v>
      </c>
      <c r="FI26" s="1"/>
      <c r="FJ26" s="50">
        <f xml:space="preserve"> 'WK2015'!GK36</f>
        <v>200.0395125</v>
      </c>
      <c r="FK26" s="50">
        <f xml:space="preserve"> 'WK2015'!GL36</f>
        <v>336.52971824999997</v>
      </c>
      <c r="FL26" s="50">
        <f xml:space="preserve"> 'WK2015'!GO36</f>
        <v>219.47539512518489</v>
      </c>
      <c r="FM26" s="50">
        <f xml:space="preserve"> 'WK2015'!GP36</f>
        <v>325.15373862518493</v>
      </c>
      <c r="FN26" s="50">
        <f xml:space="preserve"> 'WK2015'!GQ36</f>
        <v>205.33915847259959</v>
      </c>
      <c r="FO26" s="50">
        <f xml:space="preserve"> 'WK2015'!GR36</f>
        <v>311.01750197259963</v>
      </c>
      <c r="FP26" s="61">
        <f xml:space="preserve"> 'WK2015'!GM36</f>
        <v>0.61519711997351967</v>
      </c>
      <c r="FS26" s="283">
        <f xml:space="preserve"> 'WK2015'!H36</f>
        <v>701.33535499999994</v>
      </c>
      <c r="FT26" s="283">
        <f xml:space="preserve"> 'WK2015'!I36</f>
        <v>1349.382998</v>
      </c>
      <c r="FU26" s="283">
        <f xml:space="preserve"> 'WK2015'!L36</f>
        <v>762.70016948104069</v>
      </c>
      <c r="FV26" s="283">
        <f xml:space="preserve"> 'WK2015'!M36</f>
        <v>1264.6025484810409</v>
      </c>
      <c r="FW26" s="283">
        <f xml:space="preserve"> 'WK2015'!N36</f>
        <v>723.63174816561832</v>
      </c>
      <c r="FX26" s="283">
        <f xml:space="preserve"> 'WK2015'!O36</f>
        <v>1225.5341271656184</v>
      </c>
      <c r="FY26" s="284">
        <f xml:space="preserve"> 'WK2015'!P36</f>
        <v>0.58011082397414671</v>
      </c>
      <c r="GA26" s="283">
        <f xml:space="preserve"> 'WK2015'!HB36</f>
        <v>447.99645900000002</v>
      </c>
      <c r="GB26" s="283">
        <f xml:space="preserve"> 'WK2015'!HC36</f>
        <v>1175.999241</v>
      </c>
      <c r="GC26" s="283">
        <f xml:space="preserve"> 'WK2015'!HF36</f>
        <v>505.22146287174689</v>
      </c>
      <c r="GD26" s="283">
        <f xml:space="preserve"> 'WK2015'!HG36</f>
        <v>1065.4064408717468</v>
      </c>
      <c r="GE26" s="283">
        <f xml:space="preserve"> 'WK2015'!HH36</f>
        <v>462.82185254956994</v>
      </c>
      <c r="GF26" s="283">
        <f xml:space="preserve"> 'WK2015'!HI36</f>
        <v>1023.0068305495698</v>
      </c>
      <c r="GG26" s="284">
        <f xml:space="preserve"> 'WK2015'!HJ36</f>
        <v>0.65900516805864706</v>
      </c>
      <c r="GI26" s="283">
        <f xml:space="preserve"> 'WK2015'!HQ36</f>
        <v>236.21209499999998</v>
      </c>
      <c r="GJ26" s="283">
        <f xml:space="preserve"> 'WK2015'!HR36</f>
        <v>527.74816499999997</v>
      </c>
      <c r="GK26" s="283">
        <f xml:space="preserve"> 'WK2015'!HU36</f>
        <v>252.32349118604245</v>
      </c>
      <c r="GL26" s="283">
        <f xml:space="preserve"> 'WK2015'!HV36</f>
        <v>432.4218671860425</v>
      </c>
      <c r="GM26" s="283">
        <f xml:space="preserve"> 'WK2015'!HW36</f>
        <v>239.2171435267029</v>
      </c>
      <c r="GN26" s="283">
        <f xml:space="preserve"> 'WK2015'!HX36</f>
        <v>419.31551952670293</v>
      </c>
      <c r="GO26" s="284">
        <f xml:space="preserve"> 'WK2015'!HY36</f>
        <v>0.85</v>
      </c>
    </row>
    <row r="27" spans="1:197" x14ac:dyDescent="0.2">
      <c r="A27" s="3">
        <f>Basis!A27</f>
        <v>27</v>
      </c>
      <c r="D27" s="252" t="e">
        <v>#N/A</v>
      </c>
      <c r="E27" s="252" t="e">
        <v>#N/A</v>
      </c>
      <c r="H27" s="50">
        <f xml:space="preserve"> 'WK2012'!EG37</f>
        <v>1502.4070039591916</v>
      </c>
      <c r="I27" s="50">
        <f xml:space="preserve"> 'WK2012'!EH37</f>
        <v>2837.542099367864</v>
      </c>
      <c r="J27" s="50">
        <f xml:space="preserve"> 'WK2012'!EK37</f>
        <v>1738.712937589743</v>
      </c>
      <c r="K27" s="50">
        <f xml:space="preserve"> 'WK2012'!EL37</f>
        <v>2711.5860153188169</v>
      </c>
      <c r="L27" s="50">
        <f xml:space="preserve"> 'WK2012'!EM37</f>
        <v>1547.4876350757863</v>
      </c>
      <c r="M27" s="50">
        <f xml:space="preserve"> 'WK2012'!EN37</f>
        <v>2520.3607128048593</v>
      </c>
      <c r="N27" s="61">
        <f xml:space="preserve"> 'WK2012'!EI37</f>
        <v>0.74558443514106276</v>
      </c>
      <c r="P27" s="50">
        <f xml:space="preserve"> 'WK2012'!EU37</f>
        <v>1044.1813715080912</v>
      </c>
      <c r="Q27" s="50">
        <f xml:space="preserve"> 'WK2012'!EV37</f>
        <v>2110.5961185285914</v>
      </c>
      <c r="R27" s="50">
        <f xml:space="preserve"> 'WK2012'!EY37</f>
        <v>1286.1819343220061</v>
      </c>
      <c r="S27" s="50">
        <f xml:space="preserve"> 'WK2012'!EZ37</f>
        <v>1992.4042903194747</v>
      </c>
      <c r="T27" s="50">
        <f xml:space="preserve"> 'WK2012'!FA37</f>
        <v>1080.2500473717009</v>
      </c>
      <c r="U27" s="50">
        <f xml:space="preserve"> 'WK2012'!FB37</f>
        <v>1786.4724033691696</v>
      </c>
      <c r="V27" s="61">
        <f xml:space="preserve"> 'WK2012'!EW37</f>
        <v>0.7563339733258666</v>
      </c>
      <c r="X27" s="50">
        <f xml:space="preserve"> 'WK2012'!FI37</f>
        <v>588.17619723847565</v>
      </c>
      <c r="Y27" s="50">
        <f xml:space="preserve"> 'WK2012'!FJ37</f>
        <v>1151.3942732173873</v>
      </c>
      <c r="Z27" s="50">
        <f xml:space="preserve"> 'WK2012'!FM37</f>
        <v>813.47802502876061</v>
      </c>
      <c r="AA27" s="50">
        <f xml:space="preserve"> 'WK2012'!FN37</f>
        <v>1050.1507323249923</v>
      </c>
      <c r="AB27" s="50">
        <f xml:space="preserve"> 'WK2012'!FO37</f>
        <v>611.51460302839075</v>
      </c>
      <c r="AC27" s="50">
        <f xml:space="preserve"> 'WK2012'!FP37</f>
        <v>848.18731032462256</v>
      </c>
      <c r="AD27" s="61">
        <f xml:space="preserve"> 'WK2012'!FK37</f>
        <v>0.74054276037937961</v>
      </c>
      <c r="AF27" s="50">
        <f xml:space="preserve"> 'WK2012'!FW37</f>
        <v>143.50331014728937</v>
      </c>
      <c r="AG27" s="50">
        <f xml:space="preserve"> 'WK2012'!FX37</f>
        <v>169.33299845085185</v>
      </c>
      <c r="AH27" s="50">
        <f xml:space="preserve"> 'WK2012'!GA37</f>
        <v>164.89480414537326</v>
      </c>
      <c r="AI27" s="50">
        <f xml:space="preserve"> 'WK2012'!GB37</f>
        <v>145.98469042665386</v>
      </c>
      <c r="AJ27" s="50">
        <f xml:space="preserve"> 'WK2012'!GC37</f>
        <v>147.42557504875791</v>
      </c>
      <c r="AK27" s="50">
        <f xml:space="preserve"> 'WK2012'!GD37</f>
        <v>128.51546133003851</v>
      </c>
      <c r="AL27" s="61">
        <f xml:space="preserve"> 'WK2012'!FY37</f>
        <v>0.73065378015119664</v>
      </c>
      <c r="AN27" s="50">
        <f xml:space="preserve"> 'WK2012'!GK37</f>
        <v>207.81999803155415</v>
      </c>
      <c r="AO27" s="50">
        <f xml:space="preserve"> 'WK2012'!GL37</f>
        <v>265.69803260292724</v>
      </c>
      <c r="AP27" s="50">
        <f xml:space="preserve"> 'WK2012'!GO37</f>
        <v>211.2230185839052</v>
      </c>
      <c r="AQ27" s="50">
        <f xml:space="preserve"> 'WK2012'!GP37</f>
        <v>263.1521898745425</v>
      </c>
      <c r="AR27" s="50">
        <f xml:space="preserve"> 'WK2012'!GQ37</f>
        <v>208.4547459378569</v>
      </c>
      <c r="AS27" s="50">
        <f xml:space="preserve"> 'WK2012'!GR37</f>
        <v>260.38391722849417</v>
      </c>
      <c r="AT27" s="61">
        <f xml:space="preserve"> 'WK2012'!GM37</f>
        <v>0.76000267451798253</v>
      </c>
      <c r="AX27" s="50">
        <f xml:space="preserve"> 'WK2013'!EG37</f>
        <v>1281.2485065999999</v>
      </c>
      <c r="AY27" s="50">
        <f xml:space="preserve"> 'WK2013'!EH37</f>
        <v>2475.0371734</v>
      </c>
      <c r="AZ27" s="50">
        <f xml:space="preserve"> 'WK2013'!EK37</f>
        <v>1483.7736264040586</v>
      </c>
      <c r="BA27" s="50">
        <f xml:space="preserve"> 'WK2013'!EL37</f>
        <v>2289.2948622040585</v>
      </c>
      <c r="BB27" s="50">
        <f xml:space="preserve"> 'WK2013'!EM37</f>
        <v>1324.4488208958433</v>
      </c>
      <c r="BC27" s="50">
        <f xml:space="preserve"> 'WK2013'!EN37</f>
        <v>2129.9700566958431</v>
      </c>
      <c r="BD27" s="61">
        <f xml:space="preserve"> 'WK2013'!EI37</f>
        <v>0.68006240598285672</v>
      </c>
      <c r="BF27" s="50">
        <f xml:space="preserve"> 'WK2013'!EU37</f>
        <v>933.67497839999999</v>
      </c>
      <c r="BG27" s="50">
        <f xml:space="preserve"> 'WK2013'!EV37</f>
        <v>1890.9949076</v>
      </c>
      <c r="BH27" s="50">
        <f xml:space="preserve"> 'WK2013'!EY37</f>
        <v>1196.3409469700675</v>
      </c>
      <c r="BI27" s="50">
        <f xml:space="preserve"> 'WK2013'!EZ37</f>
        <v>1769.2173901700678</v>
      </c>
      <c r="BJ27" s="50">
        <f xml:space="preserve"> 'WK2013'!FA37</f>
        <v>969.26166426232339</v>
      </c>
      <c r="BK27" s="50">
        <f xml:space="preserve"> 'WK2013'!FB37</f>
        <v>1542.1381074623237</v>
      </c>
      <c r="BL27" s="61">
        <f xml:space="preserve"> 'WK2013'!EW37</f>
        <v>0.70807978389330206</v>
      </c>
      <c r="BN27" s="50">
        <f xml:space="preserve"> 'WK2013'!FI37</f>
        <v>655.05819659999997</v>
      </c>
      <c r="BO27" s="50">
        <f xml:space="preserve"> 'WK2013'!FJ37</f>
        <v>1325.3137675999999</v>
      </c>
      <c r="BP27" s="50">
        <f xml:space="preserve"> 'WK2013'!FM37</f>
        <v>913.25310116926721</v>
      </c>
      <c r="BQ27" s="50">
        <f xml:space="preserve"> 'WK2013'!FN37</f>
        <v>1211.0928207692673</v>
      </c>
      <c r="BR27" s="50">
        <f xml:space="preserve"> 'WK2013'!FO37</f>
        <v>682.88202883008705</v>
      </c>
      <c r="BS27" s="50">
        <f xml:space="preserve"> 'WK2013'!FP37</f>
        <v>980.72174843008713</v>
      </c>
      <c r="BT27" s="61">
        <f xml:space="preserve"> 'WK2013'!FK37</f>
        <v>0.6895887670626335</v>
      </c>
      <c r="BV27" s="50">
        <f xml:space="preserve"> 'WK2013'!FW37</f>
        <v>218.79139259999999</v>
      </c>
      <c r="BW27" s="50">
        <f xml:space="preserve"> 'WK2013'!FX37</f>
        <v>288.53022540000001</v>
      </c>
      <c r="BX27" s="50">
        <f xml:space="preserve"> 'WK2013'!GA37</f>
        <v>219.04617622223307</v>
      </c>
      <c r="BY27" s="50">
        <f xml:space="preserve"> 'WK2013'!GB37</f>
        <v>288.33620902223311</v>
      </c>
      <c r="BZ27" s="50">
        <f xml:space="preserve"> 'WK2013'!GC37</f>
        <v>218.84463771479983</v>
      </c>
      <c r="CA27" s="50">
        <f xml:space="preserve"> 'WK2013'!GD37</f>
        <v>288.13467051479984</v>
      </c>
      <c r="CB27" s="61">
        <f xml:space="preserve"> 'WK2013'!FY37</f>
        <v>0.70346405918012089</v>
      </c>
      <c r="CD27" s="50">
        <f xml:space="preserve"> 'WK2013'!GK37</f>
        <v>142.31518649999998</v>
      </c>
      <c r="CE27" s="50">
        <f xml:space="preserve"> 'WK2013'!GL37</f>
        <v>235.77714824999993</v>
      </c>
      <c r="CF27" s="50">
        <f xml:space="preserve"> 'WK2013'!GO37</f>
        <v>145.87127388625703</v>
      </c>
      <c r="CG27" s="50">
        <f xml:space="preserve"> 'WK2013'!GP37</f>
        <v>230.91922038625694</v>
      </c>
      <c r="CH27" s="50">
        <f xml:space="preserve"> 'WK2013'!GQ37</f>
        <v>146.63078369691866</v>
      </c>
      <c r="CI27" s="50">
        <f xml:space="preserve"> 'WK2013'!GR37</f>
        <v>231.67873019691856</v>
      </c>
      <c r="CJ27" s="61">
        <f xml:space="preserve"> 'WK2013'!GM37</f>
        <v>0.70425978472032802</v>
      </c>
      <c r="CN27" s="50">
        <f xml:space="preserve"> 'WK2014'!EG37</f>
        <v>1342.0847003999997</v>
      </c>
      <c r="CO27" s="50">
        <f xml:space="preserve"> 'WK2014'!EH37</f>
        <v>2564.0682620000002</v>
      </c>
      <c r="CP27" s="50">
        <f xml:space="preserve"> 'WK2014'!EK37</f>
        <v>1509.8874140718303</v>
      </c>
      <c r="CQ27" s="50">
        <f xml:space="preserve"> 'WK2014'!EL37</f>
        <v>2351.5541588718302</v>
      </c>
      <c r="CR27" s="50">
        <f xml:space="preserve"> 'WK2014'!EM37</f>
        <v>1375.8226165983426</v>
      </c>
      <c r="CS27" s="50">
        <f xml:space="preserve"> 'WK2014'!EN37</f>
        <v>2217.4893613983422</v>
      </c>
      <c r="CT27" s="61">
        <f xml:space="preserve"> 'WK2014'!EI37</f>
        <v>0.71146229325254851</v>
      </c>
      <c r="CV27" s="50">
        <f xml:space="preserve"> 'WK2014'!EU37</f>
        <v>933.41507460000003</v>
      </c>
      <c r="CW27" s="50">
        <f xml:space="preserve"> 'WK2014'!EV37</f>
        <v>1907.9829869999996</v>
      </c>
      <c r="CX27" s="50">
        <f xml:space="preserve"> 'WK2014'!EY37</f>
        <v>1190.9918040218754</v>
      </c>
      <c r="CY27" s="50">
        <f xml:space="preserve"> 'WK2014'!EZ37</f>
        <v>1793.5595882218754</v>
      </c>
      <c r="CZ27" s="50">
        <f xml:space="preserve"> 'WK2014'!FA37</f>
        <v>969.46310847195002</v>
      </c>
      <c r="DA27" s="50">
        <f xml:space="preserve"> 'WK2014'!FB37</f>
        <v>1572.0308926719499</v>
      </c>
      <c r="DB27" s="61">
        <f xml:space="preserve"> 'WK2014'!EW37</f>
        <v>0.70604542149039939</v>
      </c>
      <c r="DC27" s="1"/>
      <c r="DD27" s="50">
        <f xml:space="preserve"> 'WK2014'!FI37</f>
        <v>665.39405680000004</v>
      </c>
      <c r="DE27" s="50">
        <f xml:space="preserve"> 'WK2014'!FJ37</f>
        <v>1342.5494378000001</v>
      </c>
      <c r="DF27" s="50">
        <f xml:space="preserve"> 'WK2014'!FM37</f>
        <v>867.80450391034515</v>
      </c>
      <c r="DG27" s="50">
        <f xml:space="preserve"> 'WK2014'!FN37</f>
        <v>1249.7809135103453</v>
      </c>
      <c r="DH27" s="50">
        <f xml:space="preserve"> 'WK2014'!FO37</f>
        <v>689.27777197855983</v>
      </c>
      <c r="DI27" s="50">
        <f xml:space="preserve"> 'WK2014'!FP37</f>
        <v>1071.2541815785601</v>
      </c>
      <c r="DJ27" s="61">
        <f xml:space="preserve"> 'WK2014'!FK37</f>
        <v>0.69698286357415073</v>
      </c>
      <c r="DK27" s="1"/>
      <c r="DL27" s="50">
        <f xml:space="preserve"> 'WK2014'!FW37</f>
        <v>224.28769440000002</v>
      </c>
      <c r="DM27" s="50">
        <f xml:space="preserve"> 'WK2014'!FX37</f>
        <v>291.07704000000001</v>
      </c>
      <c r="DN27" s="50">
        <f xml:space="preserve"> 'WK2014'!GA37</f>
        <v>224.52932229601731</v>
      </c>
      <c r="DO27" s="50">
        <f xml:space="preserve"> 'WK2014'!GB37</f>
        <v>290.89130109601729</v>
      </c>
      <c r="DP27" s="50">
        <f xml:space="preserve"> 'WK2014'!GC37</f>
        <v>224.33923310581378</v>
      </c>
      <c r="DQ27" s="50">
        <f xml:space="preserve"> 'WK2014'!GD37</f>
        <v>290.70121190581375</v>
      </c>
      <c r="DR27" s="61">
        <f xml:space="preserve"> 'WK2014'!FY37</f>
        <v>0.70808217395264572</v>
      </c>
      <c r="DS27" s="1"/>
      <c r="DT27" s="50">
        <f xml:space="preserve"> 'WK2014'!GK37</f>
        <v>156.27140699999995</v>
      </c>
      <c r="DU27" s="50">
        <f xml:space="preserve"> 'WK2014'!GL37</f>
        <v>275.24597850000009</v>
      </c>
      <c r="DV27" s="50">
        <f xml:space="preserve"> 'WK2014'!GO37</f>
        <v>163.54176706691737</v>
      </c>
      <c r="DW27" s="50">
        <f xml:space="preserve"> 'WK2014'!GP37</f>
        <v>270.05249581691749</v>
      </c>
      <c r="DX27" s="50">
        <f xml:space="preserve"> 'WK2014'!GQ37</f>
        <v>161.23864054310374</v>
      </c>
      <c r="DY27" s="50">
        <f xml:space="preserve"> 'WK2014'!GR37</f>
        <v>267.74936929310394</v>
      </c>
      <c r="DZ27" s="61">
        <f xml:space="preserve"> 'WK2014'!GM37</f>
        <v>0.70974495153053996</v>
      </c>
      <c r="ED27" s="50">
        <f xml:space="preserve"> 'WK2015'!EG37</f>
        <v>1383.5768413999999</v>
      </c>
      <c r="EE27" s="50">
        <f xml:space="preserve"> 'WK2015'!EH37</f>
        <v>2529.5195991999999</v>
      </c>
      <c r="EF27" s="50">
        <f xml:space="preserve"> 'WK2015'!EK37</f>
        <v>1578.7488456313893</v>
      </c>
      <c r="EG27" s="50">
        <f xml:space="preserve"> 'WK2015'!EL37</f>
        <v>2333.880204031389</v>
      </c>
      <c r="EH27" s="50">
        <f xml:space="preserve"> 'WK2015'!EM37</f>
        <v>1424.3552668114148</v>
      </c>
      <c r="EI27" s="50">
        <f xml:space="preserve"> 'WK2015'!EN37</f>
        <v>2179.4866252114143</v>
      </c>
      <c r="EJ27" s="61">
        <f xml:space="preserve"> 'WK2015'!EI37</f>
        <v>0.67348518149863212</v>
      </c>
      <c r="EK27" s="1"/>
      <c r="EL27" s="50">
        <f xml:space="preserve"> 'WK2015'!EU37</f>
        <v>1005.2126641</v>
      </c>
      <c r="EM27" s="50">
        <f xml:space="preserve"> 'WK2015'!EV37</f>
        <v>2062.8077687999998</v>
      </c>
      <c r="EN27" s="50">
        <f xml:space="preserve"> 'WK2015'!EY37</f>
        <v>1305.1000135814895</v>
      </c>
      <c r="EO27" s="50">
        <f xml:space="preserve"> 'WK2015'!EZ37</f>
        <v>1928.3544046814893</v>
      </c>
      <c r="EP27" s="50">
        <f xml:space="preserve"> 'WK2015'!FA37</f>
        <v>1042.0866769840252</v>
      </c>
      <c r="EQ27" s="50">
        <f xml:space="preserve"> 'WK2015'!FB37</f>
        <v>1665.3410680840252</v>
      </c>
      <c r="ER27" s="61">
        <f xml:space="preserve"> 'WK2015'!EW37</f>
        <v>0.69939364937530779</v>
      </c>
      <c r="ES27" s="1"/>
      <c r="ET27" s="50">
        <f xml:space="preserve"> 'WK2015'!FI37</f>
        <v>719.49803940000004</v>
      </c>
      <c r="EU27" s="50">
        <f xml:space="preserve"> 'WK2015'!FJ37</f>
        <v>1408.1195176000001</v>
      </c>
      <c r="EV27" s="50">
        <f xml:space="preserve"> 'WK2015'!FM37</f>
        <v>930.78183122468965</v>
      </c>
      <c r="EW27" s="50">
        <f xml:space="preserve"> 'WK2015'!FN37</f>
        <v>1309.6866514246894</v>
      </c>
      <c r="EX27" s="50">
        <f xml:space="preserve"> 'WK2015'!FO37</f>
        <v>744.01564450375326</v>
      </c>
      <c r="EY27" s="50">
        <f xml:space="preserve"> 'WK2015'!FP37</f>
        <v>1122.9204647037532</v>
      </c>
      <c r="EZ27" s="61">
        <f xml:space="preserve"> 'WK2015'!FK37</f>
        <v>0.68434177343838221</v>
      </c>
      <c r="FA27" s="1"/>
      <c r="FB27" s="50">
        <f xml:space="preserve"> 'WK2015'!FW37</f>
        <v>229.50070640000001</v>
      </c>
      <c r="FC27" s="50">
        <f xml:space="preserve"> 'WK2015'!FX37</f>
        <v>310.68871919999998</v>
      </c>
      <c r="FD27" s="50">
        <f xml:space="preserve"> 'WK2015'!GA37</f>
        <v>229.78240166620139</v>
      </c>
      <c r="FE27" s="50">
        <f xml:space="preserve"> 'WK2015'!GB37</f>
        <v>310.48057406620137</v>
      </c>
      <c r="FF27" s="50">
        <f xml:space="preserve"> 'WK2015'!GC37</f>
        <v>229.55349307007708</v>
      </c>
      <c r="FG27" s="50">
        <f xml:space="preserve"> 'WK2015'!GD37</f>
        <v>310.25166547007706</v>
      </c>
      <c r="FH27" s="61">
        <f xml:space="preserve"> 'WK2015'!FY37</f>
        <v>0.69648701685450742</v>
      </c>
      <c r="FI27" s="1"/>
      <c r="FJ27" s="50">
        <f xml:space="preserve"> 'WK2015'!GK37</f>
        <v>184.05645524999997</v>
      </c>
      <c r="FK27" s="50">
        <f xml:space="preserve"> 'WK2015'!GL37</f>
        <v>348.14640299999996</v>
      </c>
      <c r="FL27" s="50">
        <f xml:space="preserve"> 'WK2015'!GO37</f>
        <v>220.8068606928386</v>
      </c>
      <c r="FM27" s="50">
        <f xml:space="preserve"> 'WK2015'!GP37</f>
        <v>329.75255219283861</v>
      </c>
      <c r="FN27" s="50">
        <f xml:space="preserve"> 'WK2015'!GQ37</f>
        <v>189.35610122259953</v>
      </c>
      <c r="FO27" s="50">
        <f xml:space="preserve"> 'WK2015'!GR37</f>
        <v>298.30179272259943</v>
      </c>
      <c r="FP27" s="61">
        <f xml:space="preserve"> 'WK2015'!GM37</f>
        <v>0.66217087544162989</v>
      </c>
      <c r="FS27" s="283">
        <f xml:space="preserve"> 'WK2015'!H37</f>
        <v>704.40141000000006</v>
      </c>
      <c r="FT27" s="283">
        <f xml:space="preserve"> 'WK2015'!I37</f>
        <v>1407.4016019999999</v>
      </c>
      <c r="FU27" s="283">
        <f xml:space="preserve"> 'WK2015'!L37</f>
        <v>773.14898321658472</v>
      </c>
      <c r="FV27" s="283">
        <f xml:space="preserve"> 'WK2015'!M37</f>
        <v>1281.8756432165846</v>
      </c>
      <c r="FW27" s="283">
        <f xml:space="preserve"> 'WK2015'!N37</f>
        <v>726.69780316561855</v>
      </c>
      <c r="FX27" s="283">
        <f xml:space="preserve"> 'WK2015'!O37</f>
        <v>1235.4244631656184</v>
      </c>
      <c r="FY27" s="284">
        <f xml:space="preserve"> 'WK2015'!P37</f>
        <v>0.64613000799005071</v>
      </c>
      <c r="GA27" s="283">
        <f xml:space="preserve"> 'WK2015'!HB37</f>
        <v>448.12781699999999</v>
      </c>
      <c r="GB27" s="283">
        <f xml:space="preserve"> 'WK2015'!HC37</f>
        <v>1236.150224</v>
      </c>
      <c r="GC27" s="283">
        <f xml:space="preserve"> 'WK2015'!HF37</f>
        <v>509.26913042547528</v>
      </c>
      <c r="GD27" s="283">
        <f xml:space="preserve"> 'WK2015'!HG37</f>
        <v>1073.0964894254753</v>
      </c>
      <c r="GE27" s="283">
        <f xml:space="preserve"> 'WK2015'!HH37</f>
        <v>462.95321054956992</v>
      </c>
      <c r="GF27" s="283">
        <f xml:space="preserve"> 'WK2015'!HI37</f>
        <v>1026.7805695495699</v>
      </c>
      <c r="GG27" s="284">
        <f xml:space="preserve"> 'WK2015'!HJ37</f>
        <v>0.72728517435641449</v>
      </c>
      <c r="GI27" s="283">
        <f xml:space="preserve"> 'WK2015'!HQ37</f>
        <v>255.03250499999999</v>
      </c>
      <c r="GJ27" s="283">
        <f xml:space="preserve"> 'WK2015'!HR37</f>
        <v>551.712042</v>
      </c>
      <c r="GK27" s="283">
        <f xml:space="preserve"> 'WK2015'!HU37</f>
        <v>289.91264042857142</v>
      </c>
      <c r="GL27" s="283">
        <f xml:space="preserve"> 'WK2015'!HV37</f>
        <v>464.51170342857142</v>
      </c>
      <c r="GM27" s="283">
        <f xml:space="preserve"> 'WK2015'!HW37</f>
        <v>258.03755352670294</v>
      </c>
      <c r="GN27" s="283">
        <f xml:space="preserve"> 'WK2015'!HX37</f>
        <v>432.63661652670294</v>
      </c>
      <c r="GO27" s="284">
        <f xml:space="preserve"> 'WK2015'!HY37</f>
        <v>0.7142857142857143</v>
      </c>
    </row>
    <row r="28" spans="1:197" x14ac:dyDescent="0.2">
      <c r="A28" s="3">
        <f>Basis!A28</f>
        <v>28</v>
      </c>
      <c r="D28" s="252" t="e">
        <v>#N/A</v>
      </c>
      <c r="E28" s="252" t="e">
        <v>#N/A</v>
      </c>
      <c r="H28" s="50">
        <f xml:space="preserve"> 'WK2012'!EG38</f>
        <v>1471.1742530715637</v>
      </c>
      <c r="I28" s="50">
        <f xml:space="preserve"> 'WK2012'!EH38</f>
        <v>2955.296370641629</v>
      </c>
      <c r="J28" s="50">
        <f xml:space="preserve"> 'WK2012'!EK38</f>
        <v>1774.5833863265707</v>
      </c>
      <c r="K28" s="50">
        <f xml:space="preserve"> 'WK2012'!EL38</f>
        <v>2808.1966051508234</v>
      </c>
      <c r="L28" s="50">
        <f xml:space="preserve"> 'WK2012'!EM38</f>
        <v>1516.2548841881587</v>
      </c>
      <c r="M28" s="50">
        <f xml:space="preserve"> 'WK2012'!EN38</f>
        <v>2549.8681030124112</v>
      </c>
      <c r="N28" s="61">
        <f xml:space="preserve"> 'WK2012'!EI38</f>
        <v>0.74584456258436649</v>
      </c>
      <c r="P28" s="50">
        <f xml:space="preserve"> 'WK2012'!EU38</f>
        <v>1047.4684525057244</v>
      </c>
      <c r="Q28" s="50">
        <f xml:space="preserve"> 'WK2012'!EV38</f>
        <v>2200.7426203761925</v>
      </c>
      <c r="R28" s="50">
        <f xml:space="preserve"> 'WK2012'!EY38</f>
        <v>1344.6481895335548</v>
      </c>
      <c r="S28" s="50">
        <f xml:space="preserve"> 'WK2012'!EZ38</f>
        <v>2063.3987198632844</v>
      </c>
      <c r="T28" s="50">
        <f xml:space="preserve"> 'WK2012'!FA38</f>
        <v>1083.5371283693339</v>
      </c>
      <c r="U28" s="50">
        <f xml:space="preserve"> 'WK2012'!FB38</f>
        <v>1802.287658699064</v>
      </c>
      <c r="V28" s="61">
        <f xml:space="preserve"> 'WK2012'!EW38</f>
        <v>0.75144657409509319</v>
      </c>
      <c r="X28" s="50">
        <f xml:space="preserve"> 'WK2012'!FI38</f>
        <v>593.94477370034701</v>
      </c>
      <c r="Y28" s="50">
        <f xml:space="preserve"> 'WK2012'!FJ38</f>
        <v>1207.5266928786948</v>
      </c>
      <c r="Z28" s="50">
        <f xml:space="preserve"> 'WK2012'!FM38</f>
        <v>859.95270029659798</v>
      </c>
      <c r="AA28" s="50">
        <f xml:space="preserve"> 'WK2012'!FN38</f>
        <v>1094.1435716272731</v>
      </c>
      <c r="AB28" s="50">
        <f xml:space="preserve"> 'WK2012'!FO38</f>
        <v>617.28317949026223</v>
      </c>
      <c r="AC28" s="50">
        <f xml:space="preserve"> 'WK2012'!FP38</f>
        <v>851.47405082093712</v>
      </c>
      <c r="AD28" s="61">
        <f xml:space="preserve"> 'WK2012'!FK38</f>
        <v>0.74330323864862169</v>
      </c>
      <c r="AF28" s="50">
        <f xml:space="preserve"> 'WK2012'!FW38</f>
        <v>125.20825960064002</v>
      </c>
      <c r="AG28" s="50">
        <f xml:space="preserve"> 'WK2012'!FX38</f>
        <v>190.107314613141</v>
      </c>
      <c r="AH28" s="50">
        <f xml:space="preserve"> 'WK2012'!GA38</f>
        <v>166.56752992644789</v>
      </c>
      <c r="AI28" s="50">
        <f xml:space="preserve"> 'WK2012'!GB38</f>
        <v>161.13052479584135</v>
      </c>
      <c r="AJ28" s="50">
        <f xml:space="preserve"> 'WK2012'!GC38</f>
        <v>129.13052450210859</v>
      </c>
      <c r="AK28" s="50">
        <f xml:space="preserve"> 'WK2012'!GD38</f>
        <v>123.69351937150202</v>
      </c>
      <c r="AL28" s="61">
        <f xml:space="preserve"> 'WK2012'!FY38</f>
        <v>0.74251126337375706</v>
      </c>
      <c r="AN28" s="50">
        <f xml:space="preserve"> 'WK2012'!GK38</f>
        <v>221.17448630613643</v>
      </c>
      <c r="AO28" s="50">
        <f xml:space="preserve"> 'WK2012'!GL38</f>
        <v>276.84451702938782</v>
      </c>
      <c r="AP28" s="50">
        <f xml:space="preserve"> 'WK2012'!GO38</f>
        <v>225.37214573137717</v>
      </c>
      <c r="AQ28" s="50">
        <f xml:space="preserve"> 'WK2012'!GP38</f>
        <v>273.55933422242447</v>
      </c>
      <c r="AR28" s="50">
        <f xml:space="preserve"> 'WK2012'!GQ38</f>
        <v>221.80923421243918</v>
      </c>
      <c r="AS28" s="50">
        <f xml:space="preserve"> 'WK2012'!GR38</f>
        <v>269.99642270348647</v>
      </c>
      <c r="AT28" s="61">
        <f xml:space="preserve"> 'WK2012'!GM38</f>
        <v>0.75128259082317328</v>
      </c>
      <c r="AX28" s="50">
        <f xml:space="preserve"> 'WK2013'!EG38</f>
        <v>1273.2447751999998</v>
      </c>
      <c r="AY28" s="50">
        <f xml:space="preserve"> 'WK2013'!EH38</f>
        <v>2570.9971673999999</v>
      </c>
      <c r="AZ28" s="50">
        <f xml:space="preserve"> 'WK2013'!EK38</f>
        <v>1528.5201959293311</v>
      </c>
      <c r="BA28" s="50">
        <f xml:space="preserve"> 'WK2013'!EL38</f>
        <v>2344.9051641293313</v>
      </c>
      <c r="BB28" s="50">
        <f xml:space="preserve"> 'WK2013'!EM38</f>
        <v>1316.4450894958431</v>
      </c>
      <c r="BC28" s="50">
        <f xml:space="preserve"> 'WK2013'!EN38</f>
        <v>2132.8300576958432</v>
      </c>
      <c r="BD28" s="61">
        <f xml:space="preserve"> 'WK2013'!EI38</f>
        <v>0.69289045437061025</v>
      </c>
      <c r="BF28" s="50">
        <f xml:space="preserve"> 'WK2013'!EU38</f>
        <v>922.30423729999995</v>
      </c>
      <c r="BG28" s="50">
        <f xml:space="preserve"> 'WK2013'!EV38</f>
        <v>1967.6673455999999</v>
      </c>
      <c r="BH28" s="50">
        <f xml:space="preserve"> 'WK2013'!EY38</f>
        <v>1269.3474463656246</v>
      </c>
      <c r="BI28" s="50">
        <f xml:space="preserve"> 'WK2013'!EZ38</f>
        <v>1819.1518996656248</v>
      </c>
      <c r="BJ28" s="50">
        <f xml:space="preserve"> 'WK2013'!FA38</f>
        <v>957.89092316232347</v>
      </c>
      <c r="BK28" s="50">
        <f xml:space="preserve"> 'WK2013'!FB38</f>
        <v>1507.6953764623236</v>
      </c>
      <c r="BL28" s="61">
        <f xml:space="preserve"> 'WK2013'!EW38</f>
        <v>0.71344664211672937</v>
      </c>
      <c r="BN28" s="50">
        <f xml:space="preserve"> 'WK2013'!FI38</f>
        <v>656.24281860000008</v>
      </c>
      <c r="BO28" s="50">
        <f xml:space="preserve"> 'WK2013'!FJ38</f>
        <v>1384.2311479999998</v>
      </c>
      <c r="BP28" s="50">
        <f xml:space="preserve"> 'WK2013'!FM38</f>
        <v>956.39317041335153</v>
      </c>
      <c r="BQ28" s="50">
        <f xml:space="preserve"> 'WK2013'!FN38</f>
        <v>1258.4587740133516</v>
      </c>
      <c r="BR28" s="50">
        <f xml:space="preserve"> 'WK2013'!FO38</f>
        <v>684.06665083008704</v>
      </c>
      <c r="BS28" s="50">
        <f xml:space="preserve"> 'WK2013'!FP38</f>
        <v>986.13225443008719</v>
      </c>
      <c r="BT28" s="61">
        <f xml:space="preserve"> 'WK2013'!FK38</f>
        <v>0.70282169396802019</v>
      </c>
      <c r="BV28" s="50">
        <f xml:space="preserve"> 'WK2013'!FW38</f>
        <v>232.36391520000001</v>
      </c>
      <c r="BW28" s="50">
        <f xml:space="preserve"> 'WK2013'!FX38</f>
        <v>305.05647340000002</v>
      </c>
      <c r="BX28" s="50">
        <f xml:space="preserve"> 'WK2013'!GA38</f>
        <v>232.67427778980195</v>
      </c>
      <c r="BY28" s="50">
        <f xml:space="preserve"> 'WK2013'!GB38</f>
        <v>304.81783598980195</v>
      </c>
      <c r="BZ28" s="50">
        <f xml:space="preserve"> 'WK2013'!GC38</f>
        <v>232.41716031479982</v>
      </c>
      <c r="CA28" s="50">
        <f xml:space="preserve"> 'WK2013'!GD38</f>
        <v>304.56071851479982</v>
      </c>
      <c r="CB28" s="61">
        <f xml:space="preserve"> 'WK2013'!FY38</f>
        <v>0.71318179351161759</v>
      </c>
      <c r="CD28" s="50">
        <f xml:space="preserve"> 'WK2013'!GK38</f>
        <v>130.136169</v>
      </c>
      <c r="CE28" s="50">
        <f xml:space="preserve"> 'WK2013'!GL38</f>
        <v>250.86759675000002</v>
      </c>
      <c r="CF28" s="50">
        <f xml:space="preserve"> 'WK2013'!GO38</f>
        <v>151.99240456039402</v>
      </c>
      <c r="CG28" s="50">
        <f xml:space="preserve"> 'WK2013'!GP38</f>
        <v>238.88496106039406</v>
      </c>
      <c r="CH28" s="50">
        <f xml:space="preserve"> 'WK2013'!GQ38</f>
        <v>134.45176619691867</v>
      </c>
      <c r="CI28" s="50">
        <f xml:space="preserve"> 'WK2013'!GR38</f>
        <v>221.34432269691877</v>
      </c>
      <c r="CJ28" s="61">
        <f xml:space="preserve"> 'WK2013'!GM38</f>
        <v>0.7200366915220493</v>
      </c>
      <c r="CN28" s="50">
        <f xml:space="preserve"> 'WK2014'!EG38</f>
        <v>1335.6391507999999</v>
      </c>
      <c r="CO28" s="50">
        <f xml:space="preserve"> 'WK2014'!EH38</f>
        <v>2660.6160796000004</v>
      </c>
      <c r="CP28" s="50">
        <f xml:space="preserve"> 'WK2014'!EK38</f>
        <v>1553.7559161302202</v>
      </c>
      <c r="CQ28" s="50">
        <f xml:space="preserve"> 'WK2014'!EL38</f>
        <v>2402.6968321302202</v>
      </c>
      <c r="CR28" s="50">
        <f xml:space="preserve"> 'WK2014'!EM38</f>
        <v>1369.3770669983426</v>
      </c>
      <c r="CS28" s="50">
        <f xml:space="preserve"> 'WK2014'!EN38</f>
        <v>2218.3179829983424</v>
      </c>
      <c r="CT28" s="61">
        <f xml:space="preserve"> 'WK2014'!EI38</f>
        <v>0.72940028203931284</v>
      </c>
      <c r="CV28" s="50">
        <f xml:space="preserve"> 'WK2014'!EU38</f>
        <v>928.32819469999993</v>
      </c>
      <c r="CW28" s="50">
        <f xml:space="preserve"> 'WK2014'!EV38</f>
        <v>1974.5310213999999</v>
      </c>
      <c r="CX28" s="50">
        <f xml:space="preserve"> 'WK2014'!EY38</f>
        <v>1269.5583332540139</v>
      </c>
      <c r="CY28" s="50">
        <f xml:space="preserve"> 'WK2014'!EZ38</f>
        <v>1831.168931754014</v>
      </c>
      <c r="CZ28" s="50">
        <f xml:space="preserve"> 'WK2014'!FA38</f>
        <v>964.37622857195004</v>
      </c>
      <c r="DA28" s="50">
        <f xml:space="preserve"> 'WK2014'!FB38</f>
        <v>1525.9868270719498</v>
      </c>
      <c r="DB28" s="61">
        <f xml:space="preserve"> 'WK2014'!EW38</f>
        <v>0.72418770870733906</v>
      </c>
      <c r="DC28" s="1"/>
      <c r="DD28" s="50">
        <f xml:space="preserve"> 'WK2014'!FI38</f>
        <v>666.73189599999989</v>
      </c>
      <c r="DE28" s="50">
        <f xml:space="preserve"> 'WK2014'!FJ38</f>
        <v>1412.5796697999999</v>
      </c>
      <c r="DF28" s="50">
        <f xml:space="preserve"> 'WK2014'!FM38</f>
        <v>912.91381050741677</v>
      </c>
      <c r="DG28" s="50">
        <f xml:space="preserve"> 'WK2014'!FN38</f>
        <v>1306.1309685074166</v>
      </c>
      <c r="DH28" s="50">
        <f xml:space="preserve"> 'WK2014'!FO38</f>
        <v>690.61561117855979</v>
      </c>
      <c r="DI28" s="50">
        <f xml:space="preserve"> 'WK2014'!FP38</f>
        <v>1083.8327691785596</v>
      </c>
      <c r="DJ28" s="61">
        <f xml:space="preserve"> 'WK2014'!FK38</f>
        <v>0.70710258715867769</v>
      </c>
      <c r="DK28" s="1"/>
      <c r="DL28" s="50">
        <f xml:space="preserve"> 'WK2014'!FW38</f>
        <v>237.0072888</v>
      </c>
      <c r="DM28" s="50">
        <f xml:space="preserve"> 'WK2014'!FX38</f>
        <v>307.3932456</v>
      </c>
      <c r="DN28" s="50">
        <f xml:space="preserve"> 'WK2014'!GA38</f>
        <v>237.30099119581553</v>
      </c>
      <c r="DO28" s="50">
        <f xml:space="preserve"> 'WK2014'!GB38</f>
        <v>307.16573519581556</v>
      </c>
      <c r="DP28" s="50">
        <f xml:space="preserve"> 'WK2014'!GC38</f>
        <v>237.05882750581378</v>
      </c>
      <c r="DQ28" s="50">
        <f xml:space="preserve"> 'WK2014'!GD38</f>
        <v>306.92357150581381</v>
      </c>
      <c r="DR28" s="61">
        <f xml:space="preserve"> 'WK2014'!FY38</f>
        <v>0.72525075540700423</v>
      </c>
      <c r="DS28" s="1"/>
      <c r="DT28" s="50">
        <f xml:space="preserve"> 'WK2014'!GK38</f>
        <v>142.03380300000003</v>
      </c>
      <c r="DU28" s="50">
        <f xml:space="preserve"> 'WK2014'!GL38</f>
        <v>283.49655750000011</v>
      </c>
      <c r="DV28" s="50">
        <f xml:space="preserve"> 'WK2014'!GO38</f>
        <v>166.55770561242832</v>
      </c>
      <c r="DW28" s="50">
        <f xml:space="preserve"> 'WK2014'!GP38</f>
        <v>271.57304236242828</v>
      </c>
      <c r="DX28" s="50">
        <f xml:space="preserve"> 'WK2014'!GQ38</f>
        <v>147.00103654310382</v>
      </c>
      <c r="DY28" s="50">
        <f xml:space="preserve"> 'WK2014'!GR38</f>
        <v>252.01637329310392</v>
      </c>
      <c r="DZ28" s="61">
        <f xml:space="preserve"> 'WK2014'!GM38</f>
        <v>0.71746068233166216</v>
      </c>
      <c r="ED28" s="50">
        <f xml:space="preserve"> 'WK2015'!EG38</f>
        <v>1375.8146204</v>
      </c>
      <c r="EE28" s="50">
        <f xml:space="preserve"> 'WK2015'!EH38</f>
        <v>2628.8907884</v>
      </c>
      <c r="EF28" s="50">
        <f xml:space="preserve"> 'WK2015'!EK38</f>
        <v>1629.164366554131</v>
      </c>
      <c r="EG28" s="50">
        <f xml:space="preserve"> 'WK2015'!EL38</f>
        <v>2366.0684971541309</v>
      </c>
      <c r="EH28" s="50">
        <f xml:space="preserve"> 'WK2015'!EM38</f>
        <v>1416.5930458114149</v>
      </c>
      <c r="EI28" s="50">
        <f xml:space="preserve"> 'WK2015'!EN38</f>
        <v>2153.4971764114148</v>
      </c>
      <c r="EJ28" s="61">
        <f xml:space="preserve"> 'WK2015'!EI38</f>
        <v>0.72462525138776712</v>
      </c>
      <c r="EK28" s="1"/>
      <c r="EL28" s="50">
        <f xml:space="preserve"> 'WK2015'!EU38</f>
        <v>989.31429760000015</v>
      </c>
      <c r="EM28" s="50">
        <f xml:space="preserve"> 'WK2015'!EV38</f>
        <v>2125.3201081000002</v>
      </c>
      <c r="EN28" s="50">
        <f xml:space="preserve"> 'WK2015'!EY38</f>
        <v>1376.8006228600957</v>
      </c>
      <c r="EO28" s="50">
        <f xml:space="preserve"> 'WK2015'!EZ38</f>
        <v>1962.3917422600957</v>
      </c>
      <c r="EP28" s="50">
        <f xml:space="preserve"> 'WK2015'!FA38</f>
        <v>1026.1883104840251</v>
      </c>
      <c r="EQ28" s="50">
        <f xml:space="preserve"> 'WK2015'!FB38</f>
        <v>1611.7794298840251</v>
      </c>
      <c r="ER28" s="61">
        <f xml:space="preserve"> 'WK2015'!EW38</f>
        <v>0.7417696832352102</v>
      </c>
      <c r="ES28" s="1"/>
      <c r="ET28" s="50">
        <f xml:space="preserve"> 'WK2015'!FI38</f>
        <v>722.4143297999999</v>
      </c>
      <c r="EU28" s="50">
        <f xml:space="preserve"> 'WK2015'!FJ38</f>
        <v>1474.4143989999998</v>
      </c>
      <c r="EV28" s="50">
        <f xml:space="preserve"> 'WK2015'!FM38</f>
        <v>982.69297668492266</v>
      </c>
      <c r="EW28" s="50">
        <f xml:space="preserve"> 'WK2015'!FN38</f>
        <v>1358.8510700849226</v>
      </c>
      <c r="EX28" s="50">
        <f xml:space="preserve"> 'WK2015'!FO38</f>
        <v>746.93193490375324</v>
      </c>
      <c r="EY28" s="50">
        <f xml:space="preserve"> 'WK2015'!FP38</f>
        <v>1123.0900283037529</v>
      </c>
      <c r="EZ28" s="61">
        <f xml:space="preserve"> 'WK2015'!FK38</f>
        <v>0.72127715851890672</v>
      </c>
      <c r="FA28" s="1"/>
      <c r="FB28" s="50">
        <f xml:space="preserve"> 'WK2015'!FW38</f>
        <v>240.52831040000001</v>
      </c>
      <c r="FC28" s="50">
        <f xml:space="preserve"> 'WK2015'!FX38</f>
        <v>325.66512639999996</v>
      </c>
      <c r="FD28" s="50">
        <f xml:space="preserve"> 'WK2015'!GA38</f>
        <v>240.87082329698205</v>
      </c>
      <c r="FE28" s="50">
        <f xml:space="preserve"> 'WK2015'!GB38</f>
        <v>325.41084089698211</v>
      </c>
      <c r="FF28" s="50">
        <f xml:space="preserve"> 'WK2015'!GC38</f>
        <v>240.58109707007705</v>
      </c>
      <c r="FG28" s="50">
        <f xml:space="preserve"> 'WK2015'!GD38</f>
        <v>325.12111467007708</v>
      </c>
      <c r="FH28" s="61">
        <f xml:space="preserve"> 'WK2015'!FY38</f>
        <v>0.73993380888462446</v>
      </c>
      <c r="FI28" s="1"/>
      <c r="FJ28" s="50">
        <f xml:space="preserve"> 'WK2015'!GK38</f>
        <v>165.47555025</v>
      </c>
      <c r="FK28" s="50">
        <f xml:space="preserve"> 'WK2015'!GL38</f>
        <v>355.22657550000002</v>
      </c>
      <c r="FL28" s="50">
        <f xml:space="preserve"> 'WK2015'!GO38</f>
        <v>225.42864973986431</v>
      </c>
      <c r="FM28" s="50">
        <f xml:space="preserve"> 'WK2015'!GP38</f>
        <v>328.80224473986425</v>
      </c>
      <c r="FN28" s="50">
        <f xml:space="preserve"> 'WK2015'!GQ38</f>
        <v>170.77519622259956</v>
      </c>
      <c r="FO28" s="50">
        <f xml:space="preserve"> 'WK2015'!GR38</f>
        <v>274.14879122259958</v>
      </c>
      <c r="FP28" s="61">
        <f xml:space="preserve"> 'WK2015'!GM38</f>
        <v>0.70993015370947476</v>
      </c>
      <c r="FS28" s="283">
        <f xml:space="preserve"> 'WK2015'!H38</f>
        <v>709.44556499999999</v>
      </c>
      <c r="FT28" s="283">
        <f xml:space="preserve"> 'WK2015'!I38</f>
        <v>1466.3211159999998</v>
      </c>
      <c r="FU28" s="283">
        <f xml:space="preserve"> 'WK2015'!L38</f>
        <v>785.44158156460992</v>
      </c>
      <c r="FV28" s="283">
        <f xml:space="preserve"> 'WK2015'!M38</f>
        <v>1293.8214325646099</v>
      </c>
      <c r="FW28" s="283">
        <f xml:space="preserve"> 'WK2015'!N38</f>
        <v>731.74195816561837</v>
      </c>
      <c r="FX28" s="283">
        <f xml:space="preserve"> 'WK2015'!O38</f>
        <v>1240.1218091656183</v>
      </c>
      <c r="FY28" s="284">
        <f xml:space="preserve"> 'WK2015'!P38</f>
        <v>0.69417572793167071</v>
      </c>
      <c r="GA28" s="283">
        <f xml:space="preserve"> 'WK2015'!HB38</f>
        <v>449.83547099999993</v>
      </c>
      <c r="GB28" s="283">
        <f xml:space="preserve"> 'WK2015'!HC38</f>
        <v>1293.721368</v>
      </c>
      <c r="GC28" s="283">
        <f xml:space="preserve"> 'WK2015'!HF38</f>
        <v>529.38100389374711</v>
      </c>
      <c r="GD28" s="283">
        <f xml:space="preserve"> 'WK2015'!HG38</f>
        <v>1088.6554968937471</v>
      </c>
      <c r="GE28" s="283">
        <f xml:space="preserve"> 'WK2015'!HH38</f>
        <v>464.66086454956985</v>
      </c>
      <c r="GF28" s="283">
        <f xml:space="preserve"> 'WK2015'!HI38</f>
        <v>1023.9353575495699</v>
      </c>
      <c r="GG28" s="284">
        <f xml:space="preserve"> 'WK2015'!HJ38</f>
        <v>0.72051178633113655</v>
      </c>
      <c r="GI28" s="283">
        <f xml:space="preserve"> 'WK2015'!HQ38</f>
        <v>274.06557499999997</v>
      </c>
      <c r="GJ28" s="283">
        <f xml:space="preserve"> 'WK2015'!HR38</f>
        <v>575.05549500000006</v>
      </c>
      <c r="GK28" s="283">
        <f xml:space="preserve"> 'WK2015'!HU38</f>
        <v>330.35735214285711</v>
      </c>
      <c r="GL28" s="283">
        <f xml:space="preserve"> 'WK2015'!HV38</f>
        <v>499.99979214285719</v>
      </c>
      <c r="GM28" s="283">
        <f xml:space="preserve"> 'WK2015'!HW38</f>
        <v>277.07062352670289</v>
      </c>
      <c r="GN28" s="283">
        <f xml:space="preserve"> 'WK2015'!HX38</f>
        <v>446.71306352670297</v>
      </c>
      <c r="GO28" s="284">
        <f xml:space="preserve"> 'WK2015'!HY38</f>
        <v>0.5714285714285714</v>
      </c>
    </row>
    <row r="29" spans="1:197" x14ac:dyDescent="0.2">
      <c r="A29" s="3">
        <f>Basis!A29</f>
        <v>29</v>
      </c>
      <c r="D29" s="252" t="e">
        <v>#N/A</v>
      </c>
      <c r="E29" s="252" t="e">
        <v>#N/A</v>
      </c>
      <c r="H29" s="50">
        <f xml:space="preserve"> 'WK2012'!EG39</f>
        <v>1434.1803286053789</v>
      </c>
      <c r="I29" s="50">
        <f xml:space="preserve"> 'WK2012'!EH39</f>
        <v>3067.1262525497277</v>
      </c>
      <c r="J29" s="50">
        <f xml:space="preserve"> 'WK2012'!EK39</f>
        <v>1805.8629413513827</v>
      </c>
      <c r="K29" s="50">
        <f xml:space="preserve"> 'WK2012'!EL39</f>
        <v>2904.3433097962343</v>
      </c>
      <c r="L29" s="50">
        <f xml:space="preserve"> 'WK2012'!EM39</f>
        <v>1479.2609597219737</v>
      </c>
      <c r="M29" s="50">
        <f xml:space="preserve"> 'WK2012'!EN39</f>
        <v>2577.7413281668255</v>
      </c>
      <c r="N29" s="61">
        <f xml:space="preserve"> 'WK2012'!EI39</f>
        <v>0.75199184032429578</v>
      </c>
      <c r="P29" s="50">
        <f xml:space="preserve"> 'WK2012'!EU39</f>
        <v>1051.0190310822609</v>
      </c>
      <c r="Q29" s="50">
        <f xml:space="preserve"> 'WK2012'!EV39</f>
        <v>2293.0477813525745</v>
      </c>
      <c r="R29" s="50">
        <f xml:space="preserve"> 'WK2012'!EY39</f>
        <v>1418.6518543203717</v>
      </c>
      <c r="S29" s="50">
        <f xml:space="preserve"> 'WK2012'!EZ39</f>
        <v>2133.2713576934671</v>
      </c>
      <c r="T29" s="50">
        <f xml:space="preserve"> 'WK2012'!FA39</f>
        <v>1087.0877069458707</v>
      </c>
      <c r="U29" s="50">
        <f xml:space="preserve"> 'WK2012'!FB39</f>
        <v>1801.7072103189664</v>
      </c>
      <c r="V29" s="61">
        <f xml:space="preserve"> 'WK2012'!EW39</f>
        <v>0.75992873637758351</v>
      </c>
      <c r="X29" s="50">
        <f xml:space="preserve"> 'WK2012'!FI39</f>
        <v>600.74474300847692</v>
      </c>
      <c r="Y29" s="50">
        <f xml:space="preserve"> 'WK2012'!FJ39</f>
        <v>1259.6744263729781</v>
      </c>
      <c r="Z29" s="50">
        <f xml:space="preserve"> 'WK2012'!FM39</f>
        <v>903.56498892717218</v>
      </c>
      <c r="AA29" s="50">
        <f xml:space="preserve"> 'WK2012'!FN39</f>
        <v>1136.1912018593282</v>
      </c>
      <c r="AB29" s="50">
        <f xml:space="preserve"> 'WK2012'!FO39</f>
        <v>624.0831487983919</v>
      </c>
      <c r="AC29" s="50">
        <f xml:space="preserve"> 'WK2012'!FP39</f>
        <v>856.70936173054815</v>
      </c>
      <c r="AD29" s="61">
        <f xml:space="preserve"> 'WK2012'!FK39</f>
        <v>0.74706408726697238</v>
      </c>
      <c r="AF29" s="50">
        <f xml:space="preserve"> 'WK2012'!FW39</f>
        <v>102.39757630387423</v>
      </c>
      <c r="AG29" s="50">
        <f xml:space="preserve"> 'WK2012'!FX39</f>
        <v>207.51195470321724</v>
      </c>
      <c r="AH29" s="50">
        <f xml:space="preserve"> 'WK2012'!GA39</f>
        <v>164.93160789135518</v>
      </c>
      <c r="AI29" s="50">
        <f xml:space="preserve"> 'WK2012'!GB39</f>
        <v>176.61024071618669</v>
      </c>
      <c r="AJ29" s="50">
        <f xml:space="preserve"> 'WK2012'!GC39</f>
        <v>106.31984120534278</v>
      </c>
      <c r="AK29" s="50">
        <f xml:space="preserve"> 'WK2012'!GD39</f>
        <v>117.99847403017432</v>
      </c>
      <c r="AL29" s="61">
        <f xml:space="preserve"> 'WK2012'!FY39</f>
        <v>0.73859947701103468</v>
      </c>
      <c r="AN29" s="50">
        <f xml:space="preserve"> 'WK2012'!GK39</f>
        <v>234.9033657678045</v>
      </c>
      <c r="AO29" s="50">
        <f xml:space="preserve"> 'WK2012'!GL39</f>
        <v>291.35718765350896</v>
      </c>
      <c r="AP29" s="50">
        <f xml:space="preserve"> 'WK2012'!GO39</f>
        <v>239.91442558992748</v>
      </c>
      <c r="AQ29" s="50">
        <f xml:space="preserve"> 'WK2012'!GP39</f>
        <v>287.35812266633576</v>
      </c>
      <c r="AR29" s="50">
        <f xml:space="preserve"> 'WK2012'!GQ39</f>
        <v>235.53811367410725</v>
      </c>
      <c r="AS29" s="50">
        <f xml:space="preserve"> 'WK2012'!GR39</f>
        <v>282.98181075051554</v>
      </c>
      <c r="AT29" s="61">
        <f xml:space="preserve"> 'WK2012'!GM39</f>
        <v>0.76084095228534931</v>
      </c>
      <c r="AX29" s="50">
        <f xml:space="preserve"> 'WK2013'!EG39</f>
        <v>1272.1906567999999</v>
      </c>
      <c r="AY29" s="50">
        <f xml:space="preserve"> 'WK2013'!EH39</f>
        <v>2670.6501784000002</v>
      </c>
      <c r="AZ29" s="50">
        <f xml:space="preserve"> 'WK2013'!EK39</f>
        <v>1589.8522681573963</v>
      </c>
      <c r="BA29" s="50">
        <f xml:space="preserve"> 'WK2013'!EL39</f>
        <v>2406.6674887573972</v>
      </c>
      <c r="BB29" s="50">
        <f xml:space="preserve"> 'WK2013'!EM39</f>
        <v>1315.3909710958433</v>
      </c>
      <c r="BC29" s="50">
        <f xml:space="preserve"> 'WK2013'!EN39</f>
        <v>2132.2061916958437</v>
      </c>
      <c r="BD29" s="61">
        <f xml:space="preserve"> 'WK2013'!EI39</f>
        <v>0.71010495643751725</v>
      </c>
      <c r="BF29" s="50">
        <f xml:space="preserve"> 'WK2013'!EU39</f>
        <v>918.47318419999999</v>
      </c>
      <c r="BG29" s="50">
        <f xml:space="preserve"> 'WK2013'!EV39</f>
        <v>2046.0218285999999</v>
      </c>
      <c r="BH29" s="50">
        <f xml:space="preserve"> 'WK2013'!EY39</f>
        <v>1335.8014175579444</v>
      </c>
      <c r="BI29" s="50">
        <f xml:space="preserve"> 'WK2013'!EZ39</f>
        <v>1878.9807974579444</v>
      </c>
      <c r="BJ29" s="50">
        <f xml:space="preserve"> 'WK2013'!FA39</f>
        <v>954.05987006232363</v>
      </c>
      <c r="BK29" s="50">
        <f xml:space="preserve"> 'WK2013'!FB39</f>
        <v>1497.2392499623236</v>
      </c>
      <c r="BL29" s="61">
        <f xml:space="preserve"> 'WK2013'!EW39</f>
        <v>0.73624477274397016</v>
      </c>
      <c r="BN29" s="50">
        <f xml:space="preserve"> 'WK2013'!FI39</f>
        <v>660.65525020000007</v>
      </c>
      <c r="BO29" s="50">
        <f xml:space="preserve"> 'WK2013'!FJ39</f>
        <v>1445.0068530000001</v>
      </c>
      <c r="BP29" s="50">
        <f xml:space="preserve"> 'WK2013'!FM39</f>
        <v>1000.7488008798091</v>
      </c>
      <c r="BQ29" s="50">
        <f xml:space="preserve"> 'WK2013'!FN39</f>
        <v>1309.5202070798089</v>
      </c>
      <c r="BR29" s="50">
        <f xml:space="preserve"> 'WK2013'!FO39</f>
        <v>688.47908243008715</v>
      </c>
      <c r="BS29" s="50">
        <f xml:space="preserve"> 'WK2013'!FP39</f>
        <v>997.25048863008692</v>
      </c>
      <c r="BT29" s="61">
        <f xml:space="preserve"> 'WK2013'!FK39</f>
        <v>0.72120654755827895</v>
      </c>
      <c r="BV29" s="50">
        <f xml:space="preserve"> 'WK2013'!FW39</f>
        <v>248.27349580000003</v>
      </c>
      <c r="BW29" s="50">
        <f xml:space="preserve"> 'WK2013'!FX39</f>
        <v>324.3392824</v>
      </c>
      <c r="BX29" s="50">
        <f xml:space="preserve"> 'WK2013'!GA39</f>
        <v>248.64168964259636</v>
      </c>
      <c r="BY29" s="50">
        <f xml:space="preserve"> 'WK2013'!GB39</f>
        <v>324.05453624259633</v>
      </c>
      <c r="BZ29" s="50">
        <f xml:space="preserve"> 'WK2013'!GC39</f>
        <v>248.32674091479981</v>
      </c>
      <c r="CA29" s="50">
        <f xml:space="preserve"> 'WK2013'!GD39</f>
        <v>323.73958751479984</v>
      </c>
      <c r="CB29" s="61">
        <f xml:space="preserve"> 'WK2013'!FY39</f>
        <v>0.73694463693875467</v>
      </c>
      <c r="CD29" s="50">
        <f xml:space="preserve"> 'WK2013'!GK39</f>
        <v>117.88162724999999</v>
      </c>
      <c r="CE29" s="50">
        <f xml:space="preserve"> 'WK2013'!GL39</f>
        <v>265.14720975000006</v>
      </c>
      <c r="CF29" s="50">
        <f xml:space="preserve"> 'WK2013'!GO39</f>
        <v>164.17322339950783</v>
      </c>
      <c r="CG29" s="50">
        <f xml:space="preserve"> 'WK2013'!GP39</f>
        <v>245.23196489950794</v>
      </c>
      <c r="CH29" s="50">
        <f xml:space="preserve"> 'WK2013'!GQ39</f>
        <v>122.19722444691865</v>
      </c>
      <c r="CI29" s="50">
        <f xml:space="preserve"> 'WK2013'!GR39</f>
        <v>203.25596594691874</v>
      </c>
      <c r="CJ29" s="61">
        <f xml:space="preserve"> 'WK2013'!GM39</f>
        <v>0.73377538655679131</v>
      </c>
      <c r="CN29" s="50">
        <f xml:space="preserve"> 'WK2014'!EG39</f>
        <v>1332.9599911999999</v>
      </c>
      <c r="CO29" s="50">
        <f xml:space="preserve"> 'WK2014'!EH39</f>
        <v>2760.0694152000001</v>
      </c>
      <c r="CP29" s="50">
        <f xml:space="preserve"> 'WK2014'!EK39</f>
        <v>1610.1926448638235</v>
      </c>
      <c r="CQ29" s="50">
        <f xml:space="preserve"> 'WK2014'!EL39</f>
        <v>2457.0184420638238</v>
      </c>
      <c r="CR29" s="50">
        <f xml:space="preserve"> 'WK2014'!EM39</f>
        <v>1366.6979073983427</v>
      </c>
      <c r="CS29" s="50">
        <f xml:space="preserve"> 'WK2014'!EN39</f>
        <v>2213.5237045983426</v>
      </c>
      <c r="CT29" s="61">
        <f xml:space="preserve"> 'WK2014'!EI39</f>
        <v>0.73806728935744637</v>
      </c>
      <c r="CV29" s="50">
        <f xml:space="preserve"> 'WK2014'!EU39</f>
        <v>928.62017479999997</v>
      </c>
      <c r="CW29" s="50">
        <f xml:space="preserve"> 'WK2014'!EV39</f>
        <v>2042.2728308000001</v>
      </c>
      <c r="CX29" s="50">
        <f xml:space="preserve"> 'WK2014'!EY39</f>
        <v>1341.8263479152845</v>
      </c>
      <c r="CY29" s="50">
        <f xml:space="preserve"> 'WK2014'!EZ39</f>
        <v>1876.6704747152846</v>
      </c>
      <c r="CZ29" s="50">
        <f xml:space="preserve"> 'WK2014'!FA39</f>
        <v>964.66820867194997</v>
      </c>
      <c r="DA29" s="50">
        <f xml:space="preserve"> 'WK2014'!FB39</f>
        <v>1499.5123354719501</v>
      </c>
      <c r="DB29" s="61">
        <f xml:space="preserve"> 'WK2014'!EW39</f>
        <v>0.73011634928774793</v>
      </c>
      <c r="DC29" s="1"/>
      <c r="DD29" s="50">
        <f xml:space="preserve"> 'WK2014'!FI39</f>
        <v>672.20293760000004</v>
      </c>
      <c r="DE29" s="50">
        <f xml:space="preserve"> 'WK2014'!FJ39</f>
        <v>1485.3467181999999</v>
      </c>
      <c r="DF29" s="50">
        <f xml:space="preserve"> 'WK2014'!FM39</f>
        <v>962.49310250094356</v>
      </c>
      <c r="DG29" s="50">
        <f xml:space="preserve"> 'WK2014'!FN39</f>
        <v>1366.7300179009435</v>
      </c>
      <c r="DH29" s="50">
        <f xml:space="preserve"> 'WK2014'!FO39</f>
        <v>696.08665277855982</v>
      </c>
      <c r="DI29" s="50">
        <f xml:space="preserve"> 'WK2014'!FP39</f>
        <v>1100.32356817856</v>
      </c>
      <c r="DJ29" s="61">
        <f xml:space="preserve"> 'WK2014'!FK39</f>
        <v>0.72119813067412375</v>
      </c>
      <c r="DK29" s="1"/>
      <c r="DL29" s="50">
        <f xml:space="preserve"> 'WK2014'!FW39</f>
        <v>250.51426320000002</v>
      </c>
      <c r="DM29" s="50">
        <f xml:space="preserve"> 'WK2014'!FX39</f>
        <v>326.20841920000004</v>
      </c>
      <c r="DN29" s="50">
        <f xml:space="preserve"> 'WK2014'!GA39</f>
        <v>250.86314651727878</v>
      </c>
      <c r="DO29" s="50">
        <f xml:space="preserve"> 'WK2014'!GB39</f>
        <v>325.93830171727882</v>
      </c>
      <c r="DP29" s="50">
        <f xml:space="preserve"> 'WK2014'!GC39</f>
        <v>250.56580190581377</v>
      </c>
      <c r="DQ29" s="50">
        <f xml:space="preserve"> 'WK2014'!GD39</f>
        <v>325.64095710581381</v>
      </c>
      <c r="DR29" s="61">
        <f xml:space="preserve"> 'WK2014'!FY39</f>
        <v>0.73304430246459185</v>
      </c>
      <c r="DS29" s="1"/>
      <c r="DT29" s="50">
        <f xml:space="preserve"> 'WK2014'!GK39</f>
        <v>127.96577399999997</v>
      </c>
      <c r="DU29" s="50">
        <f xml:space="preserve"> 'WK2014'!GL39</f>
        <v>291.42215099999999</v>
      </c>
      <c r="DV29" s="50">
        <f xml:space="preserve"> 'WK2014'!GO39</f>
        <v>176.45816322756505</v>
      </c>
      <c r="DW29" s="50">
        <f xml:space="preserve"> 'WK2014'!GP39</f>
        <v>271.44830172756502</v>
      </c>
      <c r="DX29" s="50">
        <f xml:space="preserve"> 'WK2014'!GQ39</f>
        <v>132.93300754310377</v>
      </c>
      <c r="DY29" s="50">
        <f xml:space="preserve"> 'WK2014'!GR39</f>
        <v>227.9231460431038</v>
      </c>
      <c r="DZ29" s="61">
        <f xml:space="preserve"> 'WK2014'!GM39</f>
        <v>0.73172319202266933</v>
      </c>
      <c r="ED29" s="50">
        <f xml:space="preserve"> 'WK2015'!EG39</f>
        <v>1367.9851584</v>
      </c>
      <c r="EE29" s="50">
        <f xml:space="preserve"> 'WK2015'!EH39</f>
        <v>2726.7096052000002</v>
      </c>
      <c r="EF29" s="50">
        <f xml:space="preserve"> 'WK2015'!EK39</f>
        <v>1691.2614734410963</v>
      </c>
      <c r="EG29" s="50">
        <f xml:space="preserve"> 'WK2015'!EL39</f>
        <v>2398.5104798410962</v>
      </c>
      <c r="EH29" s="50">
        <f xml:space="preserve"> 'WK2015'!EM39</f>
        <v>1408.7635838114152</v>
      </c>
      <c r="EI29" s="50">
        <f xml:space="preserve"> 'WK2015'!EN39</f>
        <v>2116.012590211415</v>
      </c>
      <c r="EJ29" s="61">
        <f xml:space="preserve"> 'WK2015'!EI39</f>
        <v>0.73872839955858505</v>
      </c>
      <c r="EK29" s="1"/>
      <c r="EL29" s="50">
        <f xml:space="preserve"> 'WK2015'!EU39</f>
        <v>976.65947760000006</v>
      </c>
      <c r="EM29" s="50">
        <f xml:space="preserve"> 'WK2015'!EV39</f>
        <v>2184.1376723000003</v>
      </c>
      <c r="EN29" s="50">
        <f xml:space="preserve"> 'WK2015'!EY39</f>
        <v>1461.0576908700059</v>
      </c>
      <c r="EO29" s="50">
        <f xml:space="preserve"> 'WK2015'!EZ39</f>
        <v>1991.871753970006</v>
      </c>
      <c r="EP29" s="50">
        <f xml:space="preserve"> 'WK2015'!FA39</f>
        <v>1013.5334904840252</v>
      </c>
      <c r="EQ29" s="50">
        <f xml:space="preserve"> 'WK2015'!FB39</f>
        <v>1544.3475535840253</v>
      </c>
      <c r="ER29" s="61">
        <f xml:space="preserve"> 'WK2015'!EW39</f>
        <v>0.7504284220358034</v>
      </c>
      <c r="ES29" s="1"/>
      <c r="ET29" s="50">
        <f xml:space="preserve"> 'WK2015'!FI39</f>
        <v>726.00356340000008</v>
      </c>
      <c r="EU29" s="50">
        <f xml:space="preserve"> 'WK2015'!FJ39</f>
        <v>1543.0310913999999</v>
      </c>
      <c r="EV29" s="50">
        <f xml:space="preserve"> 'WK2015'!FM39</f>
        <v>1035.5529571579179</v>
      </c>
      <c r="EW29" s="50">
        <f xml:space="preserve"> 'WK2015'!FN39</f>
        <v>1412.0135761579177</v>
      </c>
      <c r="EX29" s="50">
        <f xml:space="preserve"> 'WK2015'!FO39</f>
        <v>750.52116850375342</v>
      </c>
      <c r="EY29" s="50">
        <f xml:space="preserve"> 'WK2015'!FP39</f>
        <v>1126.9817875037534</v>
      </c>
      <c r="EZ29" s="61">
        <f xml:space="preserve"> 'WK2015'!FK39</f>
        <v>0.72387547539784636</v>
      </c>
      <c r="FA29" s="1"/>
      <c r="FB29" s="50">
        <f xml:space="preserve"> 'WK2015'!FW39</f>
        <v>251.6586384</v>
      </c>
      <c r="FC29" s="50">
        <f xml:space="preserve"> 'WK2015'!FX39</f>
        <v>341.32874519999996</v>
      </c>
      <c r="FD29" s="50">
        <f xml:space="preserve"> 'WK2015'!GA39</f>
        <v>252.06310596478929</v>
      </c>
      <c r="FE29" s="50">
        <f xml:space="preserve"> 'WK2015'!GB39</f>
        <v>341.02817236478927</v>
      </c>
      <c r="FF29" s="50">
        <f xml:space="preserve"> 'WK2015'!GC39</f>
        <v>251.71142507007707</v>
      </c>
      <c r="FG29" s="50">
        <f xml:space="preserve"> 'WK2015'!GD39</f>
        <v>340.67649147007705</v>
      </c>
      <c r="FH29" s="61">
        <f xml:space="preserve"> 'WK2015'!FY39</f>
        <v>0.74953015538796319</v>
      </c>
      <c r="FI29" s="1"/>
      <c r="FJ29" s="50">
        <f xml:space="preserve"> 'WK2015'!GK39</f>
        <v>145.498311</v>
      </c>
      <c r="FK29" s="50">
        <f xml:space="preserve"> 'WK2015'!GL39</f>
        <v>358.76649225000006</v>
      </c>
      <c r="FL29" s="50">
        <f xml:space="preserve"> 'WK2015'!GO39</f>
        <v>234.09397628540421</v>
      </c>
      <c r="FM29" s="50">
        <f xml:space="preserve"> 'WK2015'!GP39</f>
        <v>324.11222828540423</v>
      </c>
      <c r="FN29" s="50">
        <f xml:space="preserve"> 'WK2015'!GQ39</f>
        <v>150.79795697259956</v>
      </c>
      <c r="FO29" s="50">
        <f xml:space="preserve"> 'WK2015'!GR39</f>
        <v>240.81620897259961</v>
      </c>
      <c r="FP29" s="61">
        <f xml:space="preserve"> 'WK2015'!GM39</f>
        <v>0.71462534693988455</v>
      </c>
      <c r="FS29" s="283">
        <f xml:space="preserve"> 'WK2015'!H39</f>
        <v>716.86343999999997</v>
      </c>
      <c r="FT29" s="283">
        <f xml:space="preserve"> 'WK2015'!I39</f>
        <v>1525.24063</v>
      </c>
      <c r="FU29" s="283">
        <f xml:space="preserve"> 'WK2015'!L39</f>
        <v>804.26293356050689</v>
      </c>
      <c r="FV29" s="283">
        <f xml:space="preserve"> 'WK2015'!M39</f>
        <v>1306.699259560507</v>
      </c>
      <c r="FW29" s="283">
        <f xml:space="preserve"> 'WK2015'!N39</f>
        <v>739.15983316561847</v>
      </c>
      <c r="FX29" s="283">
        <f xml:space="preserve"> 'WK2015'!O39</f>
        <v>1241.5961591656185</v>
      </c>
      <c r="FY29" s="284">
        <f xml:space="preserve"> 'WK2015'!P39</f>
        <v>0.71432553200703874</v>
      </c>
      <c r="GA29" s="283">
        <f xml:space="preserve"> 'WK2015'!HB39</f>
        <v>453.51349499999998</v>
      </c>
      <c r="GB29" s="283">
        <f xml:space="preserve"> 'WK2015'!HC39</f>
        <v>1346.811739</v>
      </c>
      <c r="GC29" s="283">
        <f xml:space="preserve"> 'WK2015'!HF39</f>
        <v>564.1354138825775</v>
      </c>
      <c r="GD29" s="283">
        <f xml:space="preserve"> 'WK2015'!HG39</f>
        <v>1111.7246018825774</v>
      </c>
      <c r="GE29" s="283">
        <f xml:space="preserve"> 'WK2015'!HH39</f>
        <v>468.3388885495699</v>
      </c>
      <c r="GF29" s="283">
        <f xml:space="preserve"> 'WK2015'!HI39</f>
        <v>1015.9280765495698</v>
      </c>
      <c r="GG29" s="284">
        <f xml:space="preserve"> 'WK2015'!HJ39</f>
        <v>0.68001440239223143</v>
      </c>
      <c r="GI29" s="283">
        <f xml:space="preserve"> 'WK2015'!HQ39</f>
        <v>293.4708</v>
      </c>
      <c r="GJ29" s="283">
        <f xml:space="preserve"> 'WK2015'!HR39</f>
        <v>597.77852400000006</v>
      </c>
      <c r="GK29" s="283">
        <f xml:space="preserve"> 'WK2015'!HU39</f>
        <v>328.19286975</v>
      </c>
      <c r="GL29" s="283">
        <f xml:space="preserve"> 'WK2015'!HV39</f>
        <v>493.61231475000005</v>
      </c>
      <c r="GM29" s="283">
        <f xml:space="preserve"> 'WK2015'!HW39</f>
        <v>296.47584852670292</v>
      </c>
      <c r="GN29" s="283">
        <f xml:space="preserve"> 'WK2015'!HX39</f>
        <v>461.89529352670297</v>
      </c>
      <c r="GO29" s="284">
        <f xml:space="preserve"> 'WK2015'!HY39</f>
        <v>0.75</v>
      </c>
    </row>
    <row r="30" spans="1:197" x14ac:dyDescent="0.2">
      <c r="A30" s="3">
        <f>Basis!A30</f>
        <v>30</v>
      </c>
      <c r="D30" s="252" t="e">
        <v>#N/A</v>
      </c>
      <c r="E30" s="252" t="e">
        <v>#N/A</v>
      </c>
      <c r="H30" s="50">
        <f xml:space="preserve"> 'WK2012'!EG40</f>
        <v>1398.5256031267031</v>
      </c>
      <c r="I30" s="50">
        <f xml:space="preserve"> 'WK2012'!EH40</f>
        <v>3171.9829189589668</v>
      </c>
      <c r="J30" s="50">
        <f xml:space="preserve"> 'WK2012'!EK40</f>
        <v>1852.3002015475552</v>
      </c>
      <c r="K30" s="50">
        <f xml:space="preserve"> 'WK2012'!EL40</f>
        <v>2991.6081368622145</v>
      </c>
      <c r="L30" s="50">
        <f xml:space="preserve"> 'WK2012'!EM40</f>
        <v>1443.6062342432979</v>
      </c>
      <c r="M30" s="50">
        <f xml:space="preserve"> 'WK2012'!EN40</f>
        <v>2582.9141695579569</v>
      </c>
      <c r="N30" s="61">
        <f xml:space="preserve"> 'WK2012'!EI40</f>
        <v>0.75663357257629427</v>
      </c>
      <c r="P30" s="50">
        <f xml:space="preserve"> 'WK2012'!EU40</f>
        <v>1055.1043782778177</v>
      </c>
      <c r="Q30" s="50">
        <f xml:space="preserve"> 'WK2012'!EV40</f>
        <v>2385.3314774685928</v>
      </c>
      <c r="R30" s="50">
        <f xml:space="preserve"> 'WK2012'!EY40</f>
        <v>1501.5842648877572</v>
      </c>
      <c r="S30" s="50">
        <f xml:space="preserve"> 'WK2012'!EZ40</f>
        <v>2203.0904738087988</v>
      </c>
      <c r="T30" s="50">
        <f xml:space="preserve"> 'WK2012'!FA40</f>
        <v>1091.1730541414277</v>
      </c>
      <c r="U30" s="50">
        <f xml:space="preserve"> 'WK2012'!FB40</f>
        <v>1792.6792630624695</v>
      </c>
      <c r="V30" s="61">
        <f xml:space="preserve"> 'WK2012'!EW40</f>
        <v>0.76164455669505038</v>
      </c>
      <c r="X30" s="50">
        <f xml:space="preserve"> 'WK2012'!FI40</f>
        <v>608.18470401112859</v>
      </c>
      <c r="Y30" s="50">
        <f xml:space="preserve"> 'WK2012'!FJ40</f>
        <v>1307.793268936143</v>
      </c>
      <c r="Z30" s="50">
        <f xml:space="preserve"> 'WK2012'!FM40</f>
        <v>941.12169263720216</v>
      </c>
      <c r="AA30" s="50">
        <f xml:space="preserve"> 'WK2012'!FN40</f>
        <v>1176.9231479577261</v>
      </c>
      <c r="AB30" s="50">
        <f xml:space="preserve"> 'WK2012'!FO40</f>
        <v>631.5231098010438</v>
      </c>
      <c r="AC30" s="50">
        <f xml:space="preserve"> 'WK2012'!FP40</f>
        <v>867.32456512156796</v>
      </c>
      <c r="AD30" s="61">
        <f xml:space="preserve"> 'WK2012'!FK40</f>
        <v>0.75263431395778879</v>
      </c>
      <c r="AF30" s="50">
        <f xml:space="preserve"> 'WK2012'!FW40</f>
        <v>79.562234993141402</v>
      </c>
      <c r="AG30" s="50">
        <f xml:space="preserve"> 'WK2012'!FX40</f>
        <v>220.78874820231832</v>
      </c>
      <c r="AH30" s="50">
        <f xml:space="preserve"> 'WK2012'!GA40</f>
        <v>165.70783416727488</v>
      </c>
      <c r="AI30" s="50">
        <f xml:space="preserve"> 'WK2012'!GB40</f>
        <v>189.5171308598936</v>
      </c>
      <c r="AJ30" s="50">
        <f xml:space="preserve"> 'WK2012'!GC40</f>
        <v>83.484499894609954</v>
      </c>
      <c r="AK30" s="50">
        <f xml:space="preserve"> 'WK2012'!GD40</f>
        <v>107.29379658722867</v>
      </c>
      <c r="AL30" s="61">
        <f xml:space="preserve"> 'WK2012'!FY40</f>
        <v>0.75211095814552242</v>
      </c>
      <c r="AN30" s="50">
        <f xml:space="preserve"> 'WK2012'!GK40</f>
        <v>248.84319468698871</v>
      </c>
      <c r="AO30" s="50">
        <f xml:space="preserve"> 'WK2012'!GL40</f>
        <v>309.23791691475935</v>
      </c>
      <c r="AP30" s="50">
        <f xml:space="preserve"> 'WK2012'!GO40</f>
        <v>254.69698321408896</v>
      </c>
      <c r="AQ30" s="50">
        <f xml:space="preserve"> 'WK2012'!GP40</f>
        <v>304.55738336434842</v>
      </c>
      <c r="AR30" s="50">
        <f xml:space="preserve"> 'WK2012'!GQ40</f>
        <v>249.47794259329146</v>
      </c>
      <c r="AS30" s="50">
        <f xml:space="preserve"> 'WK2012'!GR40</f>
        <v>299.33834274355092</v>
      </c>
      <c r="AT30" s="61">
        <f xml:space="preserve"> 'WK2012'!GM40</f>
        <v>0.76097091616197976</v>
      </c>
      <c r="AX30" s="50">
        <f xml:space="preserve"> 'WK2013'!EG40</f>
        <v>1276.5760962000002</v>
      </c>
      <c r="AY30" s="50">
        <f xml:space="preserve"> 'WK2013'!EH40</f>
        <v>2777.9229213999997</v>
      </c>
      <c r="AZ30" s="50">
        <f xml:space="preserve"> 'WK2013'!EK40</f>
        <v>1659.382840091434</v>
      </c>
      <c r="BA30" s="50">
        <f xml:space="preserve"> 'WK2013'!EL40</f>
        <v>2478.6925172914343</v>
      </c>
      <c r="BB30" s="50">
        <f xml:space="preserve"> 'WK2013'!EM40</f>
        <v>1319.776410495843</v>
      </c>
      <c r="BC30" s="50">
        <f xml:space="preserve"> 'WK2013'!EN40</f>
        <v>2139.0860876958432</v>
      </c>
      <c r="BD30" s="61">
        <f xml:space="preserve"> 'WK2013'!EI40</f>
        <v>0.70876052408923562</v>
      </c>
      <c r="BF30" s="50">
        <f xml:space="preserve"> 'WK2013'!EU40</f>
        <v>920.72566429999995</v>
      </c>
      <c r="BG30" s="50">
        <f xml:space="preserve"> 'WK2013'!EV40</f>
        <v>2129.7919246000001</v>
      </c>
      <c r="BH30" s="50">
        <f xml:space="preserve"> 'WK2013'!EY40</f>
        <v>1403.234870322493</v>
      </c>
      <c r="BI30" s="50">
        <f xml:space="preserve"> 'WK2013'!EZ40</f>
        <v>1947.1121336224928</v>
      </c>
      <c r="BJ30" s="50">
        <f xml:space="preserve"> 'WK2013'!FA40</f>
        <v>956.31235016232347</v>
      </c>
      <c r="BK30" s="50">
        <f xml:space="preserve"> 'WK2013'!FB40</f>
        <v>1500.1896134623235</v>
      </c>
      <c r="BL30" s="61">
        <f xml:space="preserve"> 'WK2013'!EW40</f>
        <v>0.72967415123694979</v>
      </c>
      <c r="BN30" s="50">
        <f xml:space="preserve"> 'WK2013'!FI40</f>
        <v>665.36978859999999</v>
      </c>
      <c r="BO30" s="50">
        <f xml:space="preserve"> 'WK2013'!FJ40</f>
        <v>1505.8907564000001</v>
      </c>
      <c r="BP30" s="50">
        <f xml:space="preserve"> 'WK2013'!FM40</f>
        <v>1040.1910603985102</v>
      </c>
      <c r="BQ30" s="50">
        <f xml:space="preserve"> 'WK2013'!FN40</f>
        <v>1363.0202483985101</v>
      </c>
      <c r="BR30" s="50">
        <f xml:space="preserve"> 'WK2013'!FO40</f>
        <v>693.19362083008707</v>
      </c>
      <c r="BS30" s="50">
        <f xml:space="preserve"> 'WK2013'!FP40</f>
        <v>1016.0228088300871</v>
      </c>
      <c r="BT30" s="61">
        <f xml:space="preserve"> 'WK2013'!FK40</f>
        <v>0.72169427882648629</v>
      </c>
      <c r="BV30" s="50">
        <f xml:space="preserve"> 'WK2013'!FW40</f>
        <v>263.21830119999998</v>
      </c>
      <c r="BW30" s="50">
        <f xml:space="preserve"> 'WK2013'!FX40</f>
        <v>351.9740334</v>
      </c>
      <c r="BX30" s="50">
        <f xml:space="preserve"> 'WK2013'!GA40</f>
        <v>263.64680849409331</v>
      </c>
      <c r="BY30" s="50">
        <f xml:space="preserve"> 'WK2013'!GB40</f>
        <v>351.64870069409324</v>
      </c>
      <c r="BZ30" s="50">
        <f xml:space="preserve"> 'WK2013'!GC40</f>
        <v>263.27154631479982</v>
      </c>
      <c r="CA30" s="50">
        <f xml:space="preserve"> 'WK2013'!GD40</f>
        <v>351.27343851479981</v>
      </c>
      <c r="CB30" s="61">
        <f xml:space="preserve"> 'WK2013'!FY40</f>
        <v>0.73116831839114405</v>
      </c>
      <c r="CD30" s="50">
        <f xml:space="preserve"> 'WK2013'!GK40</f>
        <v>106.17091125000002</v>
      </c>
      <c r="CE30" s="50">
        <f xml:space="preserve"> 'WK2013'!GL40</f>
        <v>278.55902925000004</v>
      </c>
      <c r="CF30" s="50">
        <f xml:space="preserve"> 'WK2013'!GO40</f>
        <v>182.27483090995582</v>
      </c>
      <c r="CG30" s="50">
        <f xml:space="preserve"> 'WK2013'!GP40</f>
        <v>250.48620740995585</v>
      </c>
      <c r="CH30" s="50">
        <f xml:space="preserve"> 'WK2013'!GQ40</f>
        <v>110.48650844691869</v>
      </c>
      <c r="CI30" s="50">
        <f xml:space="preserve"> 'WK2013'!GR40</f>
        <v>178.69788494691869</v>
      </c>
      <c r="CJ30" s="61">
        <f xml:space="preserve"> 'WK2013'!GM40</f>
        <v>0.7308087775705786</v>
      </c>
      <c r="CN30" s="50">
        <f xml:space="preserve"> 'WK2014'!EG40</f>
        <v>1334.1152312000002</v>
      </c>
      <c r="CO30" s="50">
        <f xml:space="preserve"> 'WK2014'!EH40</f>
        <v>2863.5321400000003</v>
      </c>
      <c r="CP30" s="50">
        <f xml:space="preserve"> 'WK2014'!EK40</f>
        <v>1672.0967101547521</v>
      </c>
      <c r="CQ30" s="50">
        <f xml:space="preserve"> 'WK2014'!EL40</f>
        <v>2515.6754939547523</v>
      </c>
      <c r="CR30" s="50">
        <f xml:space="preserve"> 'WK2014'!EM40</f>
        <v>1367.8531473983428</v>
      </c>
      <c r="CS30" s="50">
        <f xml:space="preserve"> 'WK2014'!EN40</f>
        <v>2211.4319311983427</v>
      </c>
      <c r="CT30" s="61">
        <f xml:space="preserve"> 'WK2014'!EI40</f>
        <v>0.75357138995073014</v>
      </c>
      <c r="CV30" s="50">
        <f xml:space="preserve"> 'WK2014'!EU40</f>
        <v>933.3396808</v>
      </c>
      <c r="CW30" s="50">
        <f xml:space="preserve"> 'WK2014'!EV40</f>
        <v>2112.4248729999999</v>
      </c>
      <c r="CX30" s="50">
        <f xml:space="preserve"> 'WK2014'!EY40</f>
        <v>1412.1802616921293</v>
      </c>
      <c r="CY30" s="50">
        <f xml:space="preserve"> 'WK2014'!EZ40</f>
        <v>1927.5967883921294</v>
      </c>
      <c r="CZ30" s="50">
        <f xml:space="preserve"> 'WK2014'!FA40</f>
        <v>969.38771467194999</v>
      </c>
      <c r="DA30" s="50">
        <f xml:space="preserve"> 'WK2014'!FB40</f>
        <v>1484.8042413719502</v>
      </c>
      <c r="DB30" s="61">
        <f xml:space="preserve"> 'WK2014'!EW40</f>
        <v>0.74456449226590926</v>
      </c>
      <c r="DC30" s="1"/>
      <c r="DD30" s="50">
        <f xml:space="preserve"> 'WK2014'!FI40</f>
        <v>678.81004319999988</v>
      </c>
      <c r="DE30" s="50">
        <f xml:space="preserve"> 'WK2014'!FJ40</f>
        <v>1558.9616886000001</v>
      </c>
      <c r="DF30" s="50">
        <f xml:space="preserve"> 'WK2014'!FM40</f>
        <v>1010.795827989201</v>
      </c>
      <c r="DG30" s="50">
        <f xml:space="preserve"> 'WK2014'!FN40</f>
        <v>1430.2676287892009</v>
      </c>
      <c r="DH30" s="50">
        <f xml:space="preserve"> 'WK2014'!FO40</f>
        <v>702.69375837855989</v>
      </c>
      <c r="DI30" s="50">
        <f xml:space="preserve"> 'WK2014'!FP40</f>
        <v>1122.16555917856</v>
      </c>
      <c r="DJ30" s="61">
        <f xml:space="preserve"> 'WK2014'!FK40</f>
        <v>0.73496615335630622</v>
      </c>
      <c r="DK30" s="1"/>
      <c r="DL30" s="50">
        <f xml:space="preserve"> 'WK2014'!FW40</f>
        <v>262.61290320000001</v>
      </c>
      <c r="DM30" s="50">
        <f xml:space="preserve"> 'WK2014'!FX40</f>
        <v>350.51344000000006</v>
      </c>
      <c r="DN30" s="50">
        <f xml:space="preserve"> 'WK2014'!GA40</f>
        <v>263.01987487836959</v>
      </c>
      <c r="DO30" s="50">
        <f xml:space="preserve"> 'WK2014'!GB40</f>
        <v>350.20470467836964</v>
      </c>
      <c r="DP30" s="50">
        <f xml:space="preserve"> 'WK2014'!GC40</f>
        <v>262.66444190581376</v>
      </c>
      <c r="DQ30" s="50">
        <f xml:space="preserve"> 'WK2014'!GD40</f>
        <v>349.84927170581381</v>
      </c>
      <c r="DR30" s="61">
        <f xml:space="preserve"> 'WK2014'!FY40</f>
        <v>0.74956549608367651</v>
      </c>
      <c r="DS30" s="1"/>
      <c r="DT30" s="50">
        <f xml:space="preserve"> 'WK2014'!GK40</f>
        <v>114.77751299999997</v>
      </c>
      <c r="DU30" s="50">
        <f xml:space="preserve"> 'WK2014'!GL40</f>
        <v>299.32852500000001</v>
      </c>
      <c r="DV30" s="50">
        <f xml:space="preserve"> 'WK2014'!GO40</f>
        <v>193.35147367705423</v>
      </c>
      <c r="DW30" s="50">
        <f xml:space="preserve"> 'WK2014'!GP40</f>
        <v>270.58142317705432</v>
      </c>
      <c r="DX30" s="50">
        <f xml:space="preserve"> 'WK2014'!GQ40</f>
        <v>119.74474654310376</v>
      </c>
      <c r="DY30" s="50">
        <f xml:space="preserve"> 'WK2014'!GR40</f>
        <v>196.97469604310382</v>
      </c>
      <c r="DZ30" s="61">
        <f xml:space="preserve"> 'WK2014'!GM40</f>
        <v>0.74687667400635627</v>
      </c>
      <c r="ED30" s="50">
        <f xml:space="preserve"> 'WK2015'!EG40</f>
        <v>1362.0514105999998</v>
      </c>
      <c r="EE30" s="50">
        <f xml:space="preserve"> 'WK2015'!EH40</f>
        <v>2819.9260272000001</v>
      </c>
      <c r="EF30" s="50">
        <f xml:space="preserve"> 'WK2015'!EK40</f>
        <v>1759.3429192265914</v>
      </c>
      <c r="EG30" s="50">
        <f xml:space="preserve"> 'WK2015'!EL40</f>
        <v>2430.9611336265912</v>
      </c>
      <c r="EH30" s="50">
        <f xml:space="preserve"> 'WK2015'!EM40</f>
        <v>1402.829836011415</v>
      </c>
      <c r="EI30" s="50">
        <f xml:space="preserve"> 'WK2015'!EN40</f>
        <v>2074.4480504114149</v>
      </c>
      <c r="EJ30" s="61">
        <f xml:space="preserve"> 'WK2015'!EI40</f>
        <v>0.74467620700392134</v>
      </c>
      <c r="EK30" s="1"/>
      <c r="EL30" s="50">
        <f xml:space="preserve"> 'WK2015'!EU40</f>
        <v>968.34802739999998</v>
      </c>
      <c r="EM30" s="50">
        <f xml:space="preserve"> 'WK2015'!EV40</f>
        <v>2237.1371062999997</v>
      </c>
      <c r="EN30" s="50">
        <f xml:space="preserve"> 'WK2015'!EY40</f>
        <v>1526.7867271084567</v>
      </c>
      <c r="EO30" s="50">
        <f xml:space="preserve"> 'WK2015'!EZ40</f>
        <v>2025.6806112084571</v>
      </c>
      <c r="EP30" s="50">
        <f xml:space="preserve"> 'WK2015'!FA40</f>
        <v>1005.2220402840251</v>
      </c>
      <c r="EQ30" s="50">
        <f xml:space="preserve"> 'WK2015'!FB40</f>
        <v>1504.1159243840252</v>
      </c>
      <c r="ER30" s="61">
        <f xml:space="preserve"> 'WK2015'!EW40</f>
        <v>0.75045999276985331</v>
      </c>
      <c r="ES30" s="1"/>
      <c r="ET30" s="50">
        <f xml:space="preserve"> 'WK2015'!FI40</f>
        <v>731.48356860000001</v>
      </c>
      <c r="EU30" s="50">
        <f xml:space="preserve"> 'WK2015'!FJ40</f>
        <v>1611.5625964000001</v>
      </c>
      <c r="EV30" s="50">
        <f xml:space="preserve"> 'WK2015'!FM40</f>
        <v>1087.4110361008848</v>
      </c>
      <c r="EW30" s="50">
        <f xml:space="preserve"> 'WK2015'!FN40</f>
        <v>1467.4909513008849</v>
      </c>
      <c r="EX30" s="50">
        <f xml:space="preserve"> 'WK2015'!FO40</f>
        <v>756.00117370375335</v>
      </c>
      <c r="EY30" s="50">
        <f xml:space="preserve"> 'WK2015'!FP40</f>
        <v>1136.0810889037534</v>
      </c>
      <c r="EZ30" s="61">
        <f xml:space="preserve"> 'WK2015'!FK40</f>
        <v>0.73298100606573768</v>
      </c>
      <c r="FA30" s="1"/>
      <c r="FB30" s="50">
        <f xml:space="preserve"> 'WK2015'!FW40</f>
        <v>261.7467456</v>
      </c>
      <c r="FC30" s="50">
        <f xml:space="preserve"> 'WK2015'!FX40</f>
        <v>356.55048920000002</v>
      </c>
      <c r="FD30" s="50">
        <f xml:space="preserve"> 'WK2015'!GA40</f>
        <v>262.21120918585916</v>
      </c>
      <c r="FE30" s="50">
        <f xml:space="preserve"> 'WK2015'!GB40</f>
        <v>356.20656758585915</v>
      </c>
      <c r="FF30" s="50">
        <f xml:space="preserve"> 'WK2015'!GC40</f>
        <v>261.79953227007707</v>
      </c>
      <c r="FG30" s="50">
        <f xml:space="preserve"> 'WK2015'!GD40</f>
        <v>355.79489067007705</v>
      </c>
      <c r="FH30" s="61">
        <f xml:space="preserve"> 'WK2015'!FY40</f>
        <v>0.75143827599036939</v>
      </c>
      <c r="FI30" s="1"/>
      <c r="FJ30" s="50">
        <f xml:space="preserve"> 'WK2015'!GK40</f>
        <v>125.90841374999999</v>
      </c>
      <c r="FK30" s="50">
        <f xml:space="preserve"> 'WK2015'!GL40</f>
        <v>359.70022575000007</v>
      </c>
      <c r="FL30" s="50">
        <f xml:space="preserve"> 'WK2015'!GO40</f>
        <v>246.47626679633473</v>
      </c>
      <c r="FM30" s="50">
        <f xml:space="preserve"> 'WK2015'!GP40</f>
        <v>317.6153147963347</v>
      </c>
      <c r="FN30" s="50">
        <f xml:space="preserve"> 'WK2015'!GQ40</f>
        <v>131.20805972259956</v>
      </c>
      <c r="FO30" s="50">
        <f xml:space="preserve"> 'WK2015'!GR40</f>
        <v>202.34710772259956</v>
      </c>
      <c r="FP30" s="61">
        <f xml:space="preserve"> 'WK2015'!GM40</f>
        <v>0.72832649854179288</v>
      </c>
      <c r="FS30" s="283">
        <f xml:space="preserve"> 'WK2015'!H40</f>
        <v>727.14955999999995</v>
      </c>
      <c r="FT30" s="283">
        <f xml:space="preserve"> 'WK2015'!I40</f>
        <v>1583.079052</v>
      </c>
      <c r="FU30" s="283">
        <f xml:space="preserve"> 'WK2015'!L40</f>
        <v>827.1258504418754</v>
      </c>
      <c r="FV30" s="283">
        <f xml:space="preserve"> 'WK2015'!M40</f>
        <v>1320.2922464418755</v>
      </c>
      <c r="FW30" s="283">
        <f xml:space="preserve"> 'WK2015'!N40</f>
        <v>749.44595316561845</v>
      </c>
      <c r="FX30" s="283">
        <f xml:space="preserve"> 'WK2015'!O40</f>
        <v>1242.6123491656185</v>
      </c>
      <c r="FY30" s="284">
        <f xml:space="preserve"> 'WK2015'!P40</f>
        <v>0.7244033598117835</v>
      </c>
      <c r="GA30" s="283">
        <f xml:space="preserve"> 'WK2015'!HB40</f>
        <v>459.22756800000002</v>
      </c>
      <c r="GB30" s="283">
        <f xml:space="preserve"> 'WK2015'!HC40</f>
        <v>1392.705717</v>
      </c>
      <c r="GC30" s="283">
        <f xml:space="preserve"> 'WK2015'!HF40</f>
        <v>580.97230586245155</v>
      </c>
      <c r="GD30" s="283">
        <f xml:space="preserve"> 'WK2015'!HG40</f>
        <v>1110.6609148624516</v>
      </c>
      <c r="GE30" s="283">
        <f xml:space="preserve"> 'WK2015'!HH40</f>
        <v>474.05296154956989</v>
      </c>
      <c r="GF30" s="283">
        <f xml:space="preserve"> 'WK2015'!HI40</f>
        <v>1003.7415705495699</v>
      </c>
      <c r="GG30" s="284">
        <f xml:space="preserve"> 'WK2015'!HJ40</f>
        <v>0.69849457253783387</v>
      </c>
      <c r="GI30" s="283">
        <f xml:space="preserve"> 'WK2015'!HQ40</f>
        <v>313.14184999999998</v>
      </c>
      <c r="GJ30" s="283">
        <f xml:space="preserve"> 'WK2015'!HR40</f>
        <v>619.72602300000005</v>
      </c>
      <c r="GK30" s="283">
        <f xml:space="preserve"> 'WK2015'!HU40</f>
        <v>361.45834066666663</v>
      </c>
      <c r="GL30" s="283">
        <f xml:space="preserve"> 'WK2015'!HV40</f>
        <v>523.09304166666675</v>
      </c>
      <c r="GM30" s="283">
        <f xml:space="preserve"> 'WK2015'!HW40</f>
        <v>316.1468985267029</v>
      </c>
      <c r="GN30" s="283">
        <f xml:space="preserve"> 'WK2015'!HX40</f>
        <v>477.78159952670296</v>
      </c>
      <c r="GO30" s="284">
        <f xml:space="preserve"> 'WK2015'!HY40</f>
        <v>0.66666666666666663</v>
      </c>
    </row>
    <row r="31" spans="1:197" x14ac:dyDescent="0.2">
      <c r="A31" s="3">
        <f>Basis!A31</f>
        <v>31</v>
      </c>
      <c r="D31" s="252" t="e">
        <v>#N/A</v>
      </c>
      <c r="E31" s="252" t="e">
        <v>#N/A</v>
      </c>
      <c r="H31" s="50">
        <f xml:space="preserve"> 'WK2012'!EG41</f>
        <v>1372.8940449564593</v>
      </c>
      <c r="I31" s="50">
        <f xml:space="preserve"> 'WK2012'!EH41</f>
        <v>3268.2634783423782</v>
      </c>
      <c r="J31" s="50">
        <f xml:space="preserve"> 'WK2012'!EK41</f>
        <v>1915.8106632233673</v>
      </c>
      <c r="K31" s="50">
        <f xml:space="preserve"> 'WK2012'!EL41</f>
        <v>3068.5834046562436</v>
      </c>
      <c r="L31" s="50">
        <f xml:space="preserve"> 'WK2012'!EM41</f>
        <v>1417.9746760730541</v>
      </c>
      <c r="M31" s="50">
        <f xml:space="preserve"> 'WK2012'!EN41</f>
        <v>2570.7474175059301</v>
      </c>
      <c r="N31" s="61">
        <f xml:space="preserve"> 'WK2012'!EI41</f>
        <v>0.76024173118086846</v>
      </c>
      <c r="P31" s="50">
        <f xml:space="preserve"> 'WK2012'!EU41</f>
        <v>1059.415055117792</v>
      </c>
      <c r="Q31" s="50">
        <f xml:space="preserve"> 'WK2012'!EV41</f>
        <v>2474.7769994108376</v>
      </c>
      <c r="R31" s="50">
        <f xml:space="preserve"> 'WK2012'!EY41</f>
        <v>1586.0605168680793</v>
      </c>
      <c r="S31" s="50">
        <f xml:space="preserve"> 'WK2012'!EZ41</f>
        <v>2272.6445701807247</v>
      </c>
      <c r="T31" s="50">
        <f xml:space="preserve"> 'WK2012'!FA41</f>
        <v>1095.4837309814018</v>
      </c>
      <c r="U31" s="50">
        <f xml:space="preserve"> 'WK2012'!FB41</f>
        <v>1782.0677842940477</v>
      </c>
      <c r="V31" s="61">
        <f xml:space="preserve"> 'WK2012'!EW41</f>
        <v>0.76660775948664084</v>
      </c>
      <c r="X31" s="50">
        <f xml:space="preserve"> 'WK2012'!FI41</f>
        <v>616.50015286546659</v>
      </c>
      <c r="Y31" s="50">
        <f xml:space="preserve"> 'WK2012'!FJ41</f>
        <v>1350.3720867722589</v>
      </c>
      <c r="Z31" s="50">
        <f xml:space="preserve"> 'WK2012'!FM41</f>
        <v>972.19625910538105</v>
      </c>
      <c r="AA31" s="50">
        <f xml:space="preserve"> 'WK2012'!FN41</f>
        <v>1214.6692565929391</v>
      </c>
      <c r="AB31" s="50">
        <f xml:space="preserve"> 'WK2012'!FO41</f>
        <v>639.8385586553818</v>
      </c>
      <c r="AC31" s="50">
        <f xml:space="preserve"> 'WK2012'!FP41</f>
        <v>882.31155614293971</v>
      </c>
      <c r="AD31" s="61">
        <f xml:space="preserve"> 'WK2012'!FK41</f>
        <v>0.7567742729556024</v>
      </c>
      <c r="AF31" s="50">
        <f xml:space="preserve"> 'WK2012'!FW41</f>
        <v>62.081178242649592</v>
      </c>
      <c r="AG31" s="50">
        <f xml:space="preserve"> 'WK2012'!FX41</f>
        <v>232.41421128788588</v>
      </c>
      <c r="AH31" s="50">
        <f xml:space="preserve"> 'WK2012'!GA41</f>
        <v>173.11599701536164</v>
      </c>
      <c r="AI31" s="50">
        <f xml:space="preserve"> 'WK2012'!GB41</f>
        <v>200.51155387777837</v>
      </c>
      <c r="AJ31" s="50">
        <f xml:space="preserve"> 'WK2012'!GC41</f>
        <v>66.003443144118151</v>
      </c>
      <c r="AK31" s="50">
        <f xml:space="preserve"> 'WK2012'!GD41</f>
        <v>93.399000006534862</v>
      </c>
      <c r="AL31" s="61">
        <f xml:space="preserve"> 'WK2012'!FY41</f>
        <v>0.75508924717416737</v>
      </c>
      <c r="AN31" s="50">
        <f xml:space="preserve"> 'WK2012'!GK41</f>
        <v>262.23452208031341</v>
      </c>
      <c r="AO31" s="50">
        <f xml:space="preserve"> 'WK2012'!GL41</f>
        <v>330.11487821505699</v>
      </c>
      <c r="AP31" s="50">
        <f xml:space="preserve"> 'WK2012'!GO41</f>
        <v>268.80584635967188</v>
      </c>
      <c r="AQ31" s="50">
        <f xml:space="preserve"> 'WK2012'!GP41</f>
        <v>324.92250501769786</v>
      </c>
      <c r="AR31" s="50">
        <f xml:space="preserve"> 'WK2012'!GQ41</f>
        <v>262.86926998661613</v>
      </c>
      <c r="AS31" s="50">
        <f xml:space="preserve"> 'WK2012'!GR41</f>
        <v>318.98592864464212</v>
      </c>
      <c r="AT31" s="61">
        <f xml:space="preserve"> 'WK2012'!GM41</f>
        <v>0.76595565029814072</v>
      </c>
      <c r="AX31" s="50">
        <f xml:space="preserve"> 'WK2013'!EG41</f>
        <v>1290.2175027999999</v>
      </c>
      <c r="AY31" s="50">
        <f xml:space="preserve"> 'WK2013'!EH41</f>
        <v>2877.1841365999999</v>
      </c>
      <c r="AZ31" s="50">
        <f xml:space="preserve"> 'WK2013'!EK41</f>
        <v>1733.3052989759744</v>
      </c>
      <c r="BA31" s="50">
        <f xml:space="preserve"> 'WK2013'!EL41</f>
        <v>2544.2470167759739</v>
      </c>
      <c r="BB31" s="50">
        <f xml:space="preserve"> 'WK2013'!EM41</f>
        <v>1333.4178170958432</v>
      </c>
      <c r="BC31" s="50">
        <f xml:space="preserve"> 'WK2013'!EN41</f>
        <v>2144.3595348958434</v>
      </c>
      <c r="BD31" s="61">
        <f xml:space="preserve"> 'WK2013'!EI41</f>
        <v>0.72266470580579267</v>
      </c>
      <c r="BF31" s="50">
        <f xml:space="preserve"> 'WK2013'!EU41</f>
        <v>936.80250670000009</v>
      </c>
      <c r="BG31" s="50">
        <f xml:space="preserve"> 'WK2013'!EV41</f>
        <v>2205.5736764000003</v>
      </c>
      <c r="BH31" s="50">
        <f xml:space="preserve"> 'WK2013'!EY41</f>
        <v>1473.4427077247797</v>
      </c>
      <c r="BI31" s="50">
        <f xml:space="preserve"> 'WK2013'!EZ41</f>
        <v>2008.3286219247798</v>
      </c>
      <c r="BJ31" s="50">
        <f xml:space="preserve"> 'WK2013'!FA41</f>
        <v>972.38919256232339</v>
      </c>
      <c r="BK31" s="50">
        <f xml:space="preserve"> 'WK2013'!FB41</f>
        <v>1507.2751067623235</v>
      </c>
      <c r="BL31" s="61">
        <f xml:space="preserve"> 'WK2013'!EW41</f>
        <v>0.74540537420492126</v>
      </c>
      <c r="BN31" s="50">
        <f xml:space="preserve"> 'WK2013'!FI41</f>
        <v>674.23304480000002</v>
      </c>
      <c r="BO31" s="50">
        <f xml:space="preserve"> 'WK2013'!FJ41</f>
        <v>1565.0946999999999</v>
      </c>
      <c r="BP31" s="50">
        <f xml:space="preserve"> 'WK2013'!FM41</f>
        <v>1075.9934200558023</v>
      </c>
      <c r="BQ31" s="50">
        <f xml:space="preserve"> 'WK2013'!FN41</f>
        <v>1417.1947790558022</v>
      </c>
      <c r="BR31" s="50">
        <f xml:space="preserve"> 'WK2013'!FO41</f>
        <v>702.05687703008709</v>
      </c>
      <c r="BS31" s="50">
        <f xml:space="preserve"> 'WK2013'!FP41</f>
        <v>1043.2582360300869</v>
      </c>
      <c r="BT31" s="61">
        <f xml:space="preserve"> 'WK2013'!FK41</f>
        <v>0.73259860103451191</v>
      </c>
      <c r="BV31" s="50">
        <f xml:space="preserve"> 'WK2013'!FW41</f>
        <v>278.57568979999996</v>
      </c>
      <c r="BW31" s="50">
        <f xml:space="preserve"> 'WK2013'!FX41</f>
        <v>374.96411160000002</v>
      </c>
      <c r="BX31" s="50">
        <f xml:space="preserve"> 'WK2013'!GA41</f>
        <v>279.05855628745542</v>
      </c>
      <c r="BY31" s="50">
        <f xml:space="preserve"> 'WK2013'!GB41</f>
        <v>374.60055808745551</v>
      </c>
      <c r="BZ31" s="50">
        <f xml:space="preserve"> 'WK2013'!GC41</f>
        <v>278.6289349147998</v>
      </c>
      <c r="CA31" s="50">
        <f xml:space="preserve"> 'WK2013'!GD41</f>
        <v>374.17093671479984</v>
      </c>
      <c r="CB31" s="61">
        <f xml:space="preserve"> 'WK2013'!FY41</f>
        <v>0.74677445318851066</v>
      </c>
      <c r="CD31" s="50">
        <f xml:space="preserve"> 'WK2013'!GK41</f>
        <v>96.213279750000012</v>
      </c>
      <c r="CE31" s="50">
        <f xml:space="preserve"> 'WK2013'!GL41</f>
        <v>290.65277249999991</v>
      </c>
      <c r="CF31" s="50">
        <f xml:space="preserve"> 'WK2013'!GO41</f>
        <v>204.53383136909244</v>
      </c>
      <c r="CG31" s="50">
        <f xml:space="preserve"> 'WK2013'!GP41</f>
        <v>254.84570336909226</v>
      </c>
      <c r="CH31" s="50">
        <f xml:space="preserve"> 'WK2013'!GQ41</f>
        <v>100.52887694691867</v>
      </c>
      <c r="CI31" s="50">
        <f xml:space="preserve"> 'WK2013'!GR41</f>
        <v>150.84074894691861</v>
      </c>
      <c r="CJ31" s="61">
        <f xml:space="preserve"> 'WK2013'!GM41</f>
        <v>0.74150227954438142</v>
      </c>
      <c r="CN31" s="50">
        <f xml:space="preserve"> 'WK2014'!EG41</f>
        <v>1343.0969456</v>
      </c>
      <c r="CO31" s="50">
        <f xml:space="preserve"> 'WK2014'!EH41</f>
        <v>2960.2393352000004</v>
      </c>
      <c r="CP31" s="50">
        <f xml:space="preserve"> 'WK2014'!EK41</f>
        <v>1746.3407392733584</v>
      </c>
      <c r="CQ31" s="50">
        <f xml:space="preserve"> 'WK2014'!EL41</f>
        <v>2578.5099018733586</v>
      </c>
      <c r="CR31" s="50">
        <f xml:space="preserve"> 'WK2014'!EM41</f>
        <v>1376.8348617983424</v>
      </c>
      <c r="CS31" s="50">
        <f xml:space="preserve"> 'WK2014'!EN41</f>
        <v>2209.0040243983431</v>
      </c>
      <c r="CT31" s="61">
        <f xml:space="preserve"> 'WK2014'!EI41</f>
        <v>0.74955263679935902</v>
      </c>
      <c r="CV31" s="50">
        <f xml:space="preserve"> 'WK2014'!EU41</f>
        <v>945.25089089999994</v>
      </c>
      <c r="CW31" s="50">
        <f xml:space="preserve"> 'WK2014'!EV41</f>
        <v>2176.6446738</v>
      </c>
      <c r="CX31" s="50">
        <f xml:space="preserve"> 'WK2014'!EY41</f>
        <v>1480.6056067410245</v>
      </c>
      <c r="CY31" s="50">
        <f xml:space="preserve"> 'WK2014'!EZ41</f>
        <v>1975.3792071410244</v>
      </c>
      <c r="CZ31" s="50">
        <f xml:space="preserve"> 'WK2014'!FA41</f>
        <v>981.29892477194983</v>
      </c>
      <c r="DA31" s="50">
        <f xml:space="preserve"> 'WK2014'!FB41</f>
        <v>1476.07252517195</v>
      </c>
      <c r="DB31" s="61">
        <f xml:space="preserve"> 'WK2014'!EW41</f>
        <v>0.74282993788609497</v>
      </c>
      <c r="DC31" s="1"/>
      <c r="DD31" s="50">
        <f xml:space="preserve"> 'WK2014'!FI41</f>
        <v>688.57142880000004</v>
      </c>
      <c r="DE31" s="50">
        <f xml:space="preserve"> 'WK2014'!FJ41</f>
        <v>1631.4388242</v>
      </c>
      <c r="DF31" s="50">
        <f xml:space="preserve"> 'WK2014'!FM41</f>
        <v>1066.1103451595088</v>
      </c>
      <c r="DG31" s="50">
        <f xml:space="preserve"> 'WK2014'!FN41</f>
        <v>1492.2561289595092</v>
      </c>
      <c r="DH31" s="50">
        <f xml:space="preserve"> 'WK2014'!FO41</f>
        <v>712.45514397855982</v>
      </c>
      <c r="DI31" s="50">
        <f xml:space="preserve"> 'WK2014'!FP41</f>
        <v>1138.6009277785599</v>
      </c>
      <c r="DJ31" s="61">
        <f xml:space="preserve"> 'WK2014'!FK41</f>
        <v>0.73560008230559326</v>
      </c>
      <c r="DK31" s="1"/>
      <c r="DL31" s="50">
        <f xml:space="preserve"> 'WK2014'!FW41</f>
        <v>275.66242560000001</v>
      </c>
      <c r="DM31" s="50">
        <f xml:space="preserve"> 'WK2014'!FX41</f>
        <v>372.06487920000006</v>
      </c>
      <c r="DN31" s="50">
        <f xml:space="preserve"> 'WK2014'!GA41</f>
        <v>276.1226974889517</v>
      </c>
      <c r="DO31" s="50">
        <f xml:space="preserve"> 'WK2014'!GB41</f>
        <v>371.71958208895177</v>
      </c>
      <c r="DP31" s="50">
        <f xml:space="preserve"> 'WK2014'!GC41</f>
        <v>275.71396430581376</v>
      </c>
      <c r="DQ31" s="50">
        <f xml:space="preserve"> 'WK2014'!GD41</f>
        <v>371.31084890581383</v>
      </c>
      <c r="DR31" s="61">
        <f xml:space="preserve"> 'WK2014'!FY41</f>
        <v>0.7455489752661687</v>
      </c>
      <c r="DS31" s="1"/>
      <c r="DT31" s="50">
        <f xml:space="preserve"> 'WK2014'!GK41</f>
        <v>103.17722400000001</v>
      </c>
      <c r="DU31" s="50">
        <f xml:space="preserve"> 'WK2014'!GL41</f>
        <v>306.83342100000004</v>
      </c>
      <c r="DV31" s="50">
        <f xml:space="preserve"> 'WK2014'!GO41</f>
        <v>214.87566765023234</v>
      </c>
      <c r="DW31" s="50">
        <f xml:space="preserve"> 'WK2014'!GP41</f>
        <v>269.60047665023228</v>
      </c>
      <c r="DX31" s="50">
        <f xml:space="preserve"> 'WK2014'!GQ41</f>
        <v>108.14445754310381</v>
      </c>
      <c r="DY31" s="50">
        <f xml:space="preserve"> 'WK2014'!GR41</f>
        <v>162.86926654310381</v>
      </c>
      <c r="DZ31" s="61">
        <f xml:space="preserve"> 'WK2014'!GM41</f>
        <v>0.74187680339541462</v>
      </c>
      <c r="ED31" s="50">
        <f xml:space="preserve"> 'WK2015'!EG41</f>
        <v>1361.7424461999999</v>
      </c>
      <c r="EE31" s="50">
        <f xml:space="preserve"> 'WK2015'!EH41</f>
        <v>2906.9623721999997</v>
      </c>
      <c r="EF31" s="50">
        <f xml:space="preserve"> 'WK2015'!EK41</f>
        <v>1820.7787664023303</v>
      </c>
      <c r="EG31" s="50">
        <f xml:space="preserve"> 'WK2015'!EL41</f>
        <v>2455.8053396023302</v>
      </c>
      <c r="EH31" s="50">
        <f xml:space="preserve"> 'WK2015'!EM41</f>
        <v>1402.520871611415</v>
      </c>
      <c r="EI31" s="50">
        <f xml:space="preserve"> 'WK2015'!EN41</f>
        <v>2037.5474448114148</v>
      </c>
      <c r="EJ31" s="61">
        <f xml:space="preserve"> 'WK2015'!EI41</f>
        <v>0.76056238971964896</v>
      </c>
      <c r="EK31" s="1"/>
      <c r="EL31" s="50">
        <f xml:space="preserve"> 'WK2015'!EU41</f>
        <v>966.48130530000014</v>
      </c>
      <c r="EM31" s="50">
        <f xml:space="preserve"> 'WK2015'!EV41</f>
        <v>2284.6498308</v>
      </c>
      <c r="EN31" s="50">
        <f xml:space="preserve"> 'WK2015'!EY41</f>
        <v>1586.9897841847917</v>
      </c>
      <c r="EO31" s="50">
        <f xml:space="preserve"> 'WK2015'!EZ41</f>
        <v>2057.7721614847919</v>
      </c>
      <c r="EP31" s="50">
        <f xml:space="preserve"> 'WK2015'!FA41</f>
        <v>1003.3553181840251</v>
      </c>
      <c r="EQ31" s="50">
        <f xml:space="preserve"> 'WK2015'!FB41</f>
        <v>1474.1376954840252</v>
      </c>
      <c r="ER31" s="61">
        <f xml:space="preserve"> 'WK2015'!EW41</f>
        <v>0.76052031173711165</v>
      </c>
      <c r="ES31" s="1"/>
      <c r="ET31" s="50">
        <f xml:space="preserve"> 'WK2015'!FI41</f>
        <v>739.01211540000008</v>
      </c>
      <c r="EU31" s="50">
        <f xml:space="preserve"> 'WK2015'!FJ41</f>
        <v>1676.6971875999998</v>
      </c>
      <c r="EV31" s="50">
        <f xml:space="preserve"> 'WK2015'!FM41</f>
        <v>1132.7256525631949</v>
      </c>
      <c r="EW31" s="50">
        <f xml:space="preserve"> 'WK2015'!FN41</f>
        <v>1523.1093077631947</v>
      </c>
      <c r="EX31" s="50">
        <f xml:space="preserve"> 'WK2015'!FO41</f>
        <v>763.52972050375331</v>
      </c>
      <c r="EY31" s="50">
        <f xml:space="preserve"> 'WK2015'!FP41</f>
        <v>1153.9133757037532</v>
      </c>
      <c r="EZ31" s="61">
        <f xml:space="preserve"> 'WK2015'!FK41</f>
        <v>0.74694891026068344</v>
      </c>
      <c r="FA31" s="1"/>
      <c r="FB31" s="50">
        <f xml:space="preserve"> 'WK2015'!FW41</f>
        <v>271.82631120000002</v>
      </c>
      <c r="FC31" s="50">
        <f xml:space="preserve"> 'WK2015'!FX41</f>
        <v>372.92445720000001</v>
      </c>
      <c r="FD31" s="50">
        <f xml:space="preserve"> 'WK2015'!GA41</f>
        <v>272.34346286315849</v>
      </c>
      <c r="FE31" s="50">
        <f xml:space="preserve"> 'WK2015'!GB41</f>
        <v>372.54416606315851</v>
      </c>
      <c r="FF31" s="50">
        <f xml:space="preserve"> 'WK2015'!GC41</f>
        <v>271.87909787007709</v>
      </c>
      <c r="FG31" s="50">
        <f xml:space="preserve"> 'WK2015'!GD41</f>
        <v>372.07980107007705</v>
      </c>
      <c r="FH31" s="61">
        <f xml:space="preserve"> 'WK2015'!FY41</f>
        <v>0.76403073257019671</v>
      </c>
      <c r="FI31" s="1"/>
      <c r="FJ31" s="50">
        <f xml:space="preserve"> 'WK2015'!GK41</f>
        <v>108.27196650000002</v>
      </c>
      <c r="FK31" s="50">
        <f xml:space="preserve"> 'WK2015'!GL41</f>
        <v>358.94208000000003</v>
      </c>
      <c r="FL31" s="50">
        <f xml:space="preserve"> 'WK2015'!GO41</f>
        <v>260.18376191732511</v>
      </c>
      <c r="FM31" s="50">
        <f xml:space="preserve"> 'WK2015'!GP41</f>
        <v>311.19210641732508</v>
      </c>
      <c r="FN31" s="50">
        <f xml:space="preserve"> 'WK2015'!GQ41</f>
        <v>113.57161247259957</v>
      </c>
      <c r="FO31" s="50">
        <f xml:space="preserve"> 'WK2015'!GR41</f>
        <v>164.57995697259952</v>
      </c>
      <c r="FP31" s="61">
        <f xml:space="preserve"> 'WK2015'!GM41</f>
        <v>0.74809925393345678</v>
      </c>
      <c r="FS31" s="283">
        <f xml:space="preserve"> 'WK2015'!H41</f>
        <v>740.69954499999994</v>
      </c>
      <c r="FT31" s="283">
        <f xml:space="preserve"> 'WK2015'!I41</f>
        <v>1637.85438</v>
      </c>
      <c r="FU31" s="283">
        <f xml:space="preserve"> 'WK2015'!L41</f>
        <v>845.40275929025984</v>
      </c>
      <c r="FV31" s="283">
        <f xml:space="preserve"> 'WK2015'!M41</f>
        <v>1324.94939829026</v>
      </c>
      <c r="FW31" s="283">
        <f xml:space="preserve"> 'WK2015'!N41</f>
        <v>762.99593816561833</v>
      </c>
      <c r="FX31" s="283">
        <f xml:space="preserve"> 'WK2015'!O41</f>
        <v>1242.5425771656185</v>
      </c>
      <c r="FY31" s="284">
        <f xml:space="preserve"> 'WK2015'!P41</f>
        <v>0.74927883290331798</v>
      </c>
      <c r="GA31" s="283">
        <f xml:space="preserve"> 'WK2015'!HB41</f>
        <v>467.24040600000001</v>
      </c>
      <c r="GB31" s="283">
        <f xml:space="preserve"> 'WK2015'!HC41</f>
        <v>1427.8729960000001</v>
      </c>
      <c r="GC31" s="283">
        <f xml:space="preserve"> 'WK2015'!HF41</f>
        <v>572.22598276361782</v>
      </c>
      <c r="GD31" s="283">
        <f xml:space="preserve"> 'WK2015'!HG41</f>
        <v>1077.9475007636179</v>
      </c>
      <c r="GE31" s="283">
        <f xml:space="preserve"> 'WK2015'!HH41</f>
        <v>482.06579954956987</v>
      </c>
      <c r="GF31" s="283">
        <f xml:space="preserve"> 'WK2015'!HI41</f>
        <v>987.78731754956993</v>
      </c>
      <c r="GG31" s="284">
        <f xml:space="preserve"> 'WK2015'!HJ41</f>
        <v>0.76921736307262756</v>
      </c>
      <c r="GI31" s="283">
        <f xml:space="preserve"> 'WK2015'!HQ41</f>
        <v>333.13189</v>
      </c>
      <c r="GJ31" s="283">
        <f xml:space="preserve"> 'WK2015'!HR41</f>
        <v>640.82043899999996</v>
      </c>
      <c r="GK31" s="283">
        <f xml:space="preserve"> 'WK2015'!HU41</f>
        <v>375.56292956232932</v>
      </c>
      <c r="GL31" s="283">
        <f xml:space="preserve"> 'WK2015'!HV41</f>
        <v>533.56467156232929</v>
      </c>
      <c r="GM31" s="283">
        <f xml:space="preserve"> 'WK2015'!HW41</f>
        <v>336.13693852670292</v>
      </c>
      <c r="GN31" s="283">
        <f xml:space="preserve"> 'WK2015'!HX41</f>
        <v>494.1386805267029</v>
      </c>
      <c r="GO31" s="284">
        <f xml:space="preserve"> 'WK2015'!HY41</f>
        <v>0.7165345402662685</v>
      </c>
    </row>
    <row r="32" spans="1:197" x14ac:dyDescent="0.2">
      <c r="A32" s="3">
        <f>Basis!A32</f>
        <v>32</v>
      </c>
      <c r="D32" s="252" t="e">
        <v>#N/A</v>
      </c>
      <c r="E32" s="252" t="e">
        <v>#N/A</v>
      </c>
      <c r="H32" s="50">
        <f xml:space="preserve"> 'WK2012'!EG42</f>
        <v>1364.1678821616897</v>
      </c>
      <c r="I32" s="50">
        <f xml:space="preserve"> 'WK2012'!EH42</f>
        <v>3351.0714949360054</v>
      </c>
      <c r="J32" s="50">
        <f xml:space="preserve"> 'WK2012'!EK42</f>
        <v>2009.5141115086656</v>
      </c>
      <c r="K32" s="50">
        <f xml:space="preserve"> 'WK2012'!EL42</f>
        <v>3125.0215785016535</v>
      </c>
      <c r="L32" s="50">
        <f xml:space="preserve"> 'WK2012'!EM42</f>
        <v>1409.2485132782845</v>
      </c>
      <c r="M32" s="50">
        <f xml:space="preserve"> 'WK2012'!EN42</f>
        <v>2524.7559802712726</v>
      </c>
      <c r="N32" s="61">
        <f xml:space="preserve"> 'WK2012'!EI42</f>
        <v>0.76951244615978776</v>
      </c>
      <c r="P32" s="50">
        <f xml:space="preserve"> 'WK2012'!EU42</f>
        <v>1065.8178359471135</v>
      </c>
      <c r="Q32" s="50">
        <f xml:space="preserve"> 'WK2012'!EV42</f>
        <v>2556.6816612416692</v>
      </c>
      <c r="R32" s="50">
        <f xml:space="preserve"> 'WK2012'!EY42</f>
        <v>1673.0832032875421</v>
      </c>
      <c r="S32" s="50">
        <f xml:space="preserve"> 'WK2012'!EZ42</f>
        <v>2335.975019089733</v>
      </c>
      <c r="T32" s="50">
        <f xml:space="preserve"> 'WK2012'!FA42</f>
        <v>1101.8865118107233</v>
      </c>
      <c r="U32" s="50">
        <f xml:space="preserve"> 'WK2012'!FB42</f>
        <v>1764.7783276129142</v>
      </c>
      <c r="V32" s="61">
        <f xml:space="preserve"> 'WK2012'!EW42</f>
        <v>0.77251883592216086</v>
      </c>
      <c r="X32" s="50">
        <f xml:space="preserve"> 'WK2012'!FI42</f>
        <v>623.69966073775242</v>
      </c>
      <c r="Y32" s="50">
        <f xml:space="preserve"> 'WK2012'!FJ42</f>
        <v>1385.5181581252536</v>
      </c>
      <c r="Z32" s="50">
        <f xml:space="preserve"> 'WK2012'!FM42</f>
        <v>989.23274918242862</v>
      </c>
      <c r="AA32" s="50">
        <f xml:space="preserve"> 'WK2012'!FN42</f>
        <v>1248.777800344111</v>
      </c>
      <c r="AB32" s="50">
        <f xml:space="preserve"> 'WK2012'!FO42</f>
        <v>647.03806652766752</v>
      </c>
      <c r="AC32" s="50">
        <f xml:space="preserve"> 'WK2012'!FP42</f>
        <v>906.58311768934971</v>
      </c>
      <c r="AD32" s="61">
        <f xml:space="preserve"> 'WK2012'!FK42</f>
        <v>0.76298825262199976</v>
      </c>
      <c r="AF32" s="50">
        <f xml:space="preserve"> 'WK2012'!FW42</f>
        <v>51.614304810260009</v>
      </c>
      <c r="AG32" s="50">
        <f xml:space="preserve"> 'WK2012'!FX42</f>
        <v>244.42831232564157</v>
      </c>
      <c r="AH32" s="50">
        <f xml:space="preserve"> 'WK2012'!GA42</f>
        <v>190.06537044937221</v>
      </c>
      <c r="AI32" s="50">
        <f xml:space="preserve"> 'WK2012'!GB42</f>
        <v>209.75778191475351</v>
      </c>
      <c r="AJ32" s="50">
        <f xml:space="preserve"> 'WK2012'!GC42</f>
        <v>55.536569711728554</v>
      </c>
      <c r="AK32" s="50">
        <f xml:space="preserve"> 'WK2012'!GD42</f>
        <v>75.228981177109929</v>
      </c>
      <c r="AL32" s="61">
        <f xml:space="preserve"> 'WK2012'!FY42</f>
        <v>0.76020525554861673</v>
      </c>
      <c r="AN32" s="50">
        <f xml:space="preserve"> 'WK2012'!GK42</f>
        <v>275.19361359309323</v>
      </c>
      <c r="AO32" s="50">
        <f xml:space="preserve"> 'WK2012'!GL42</f>
        <v>350.52271578882039</v>
      </c>
      <c r="AP32" s="50">
        <f xml:space="preserve"> 'WK2012'!GO42</f>
        <v>282.27799037467628</v>
      </c>
      <c r="AQ32" s="50">
        <f xml:space="preserve"> 'WK2012'!GP42</f>
        <v>344.97695583109044</v>
      </c>
      <c r="AR32" s="50">
        <f xml:space="preserve"> 'WK2012'!GQ42</f>
        <v>275.82836149939595</v>
      </c>
      <c r="AS32" s="50">
        <f xml:space="preserve"> 'WK2012'!GR42</f>
        <v>338.52732695581011</v>
      </c>
      <c r="AT32" s="61">
        <f xml:space="preserve"> 'WK2012'!GM42</f>
        <v>0.77314564163022581</v>
      </c>
      <c r="AX32" s="50">
        <f xml:space="preserve"> 'WK2013'!EG42</f>
        <v>1313.7261958000001</v>
      </c>
      <c r="AY32" s="50">
        <f xml:space="preserve"> 'WK2013'!EH42</f>
        <v>2970.290958</v>
      </c>
      <c r="AZ32" s="50">
        <f xml:space="preserve"> 'WK2013'!EK42</f>
        <v>1806.9527745852668</v>
      </c>
      <c r="BA32" s="50">
        <f xml:space="preserve"> 'WK2013'!EL42</f>
        <v>2607.4688707852674</v>
      </c>
      <c r="BB32" s="50">
        <f xml:space="preserve"> 'WK2013'!EM42</f>
        <v>1356.9265100958432</v>
      </c>
      <c r="BC32" s="50">
        <f xml:space="preserve"> 'WK2013'!EN42</f>
        <v>2157.4426062958432</v>
      </c>
      <c r="BD32" s="61">
        <f xml:space="preserve"> 'WK2013'!EI42</f>
        <v>0.72269785275730269</v>
      </c>
      <c r="BF32" s="50">
        <f xml:space="preserve"> 'WK2013'!EU42</f>
        <v>958.14734870000007</v>
      </c>
      <c r="BG32" s="50">
        <f xml:space="preserve"> 'WK2013'!EV42</f>
        <v>2274.4797120000003</v>
      </c>
      <c r="BH32" s="50">
        <f xml:space="preserve"> 'WK2013'!EY42</f>
        <v>1536.0808496686052</v>
      </c>
      <c r="BI32" s="50">
        <f xml:space="preserve"> 'WK2013'!EZ42</f>
        <v>2066.0254454686051</v>
      </c>
      <c r="BJ32" s="50">
        <f xml:space="preserve"> 'WK2013'!FA42</f>
        <v>993.73403456232359</v>
      </c>
      <c r="BK32" s="50">
        <f xml:space="preserve"> 'WK2013'!FB42</f>
        <v>1523.6786303623235</v>
      </c>
      <c r="BL32" s="61">
        <f xml:space="preserve"> 'WK2013'!EW42</f>
        <v>0.74123536215893493</v>
      </c>
      <c r="BN32" s="50">
        <f xml:space="preserve"> 'WK2013'!FI42</f>
        <v>687.23355879999997</v>
      </c>
      <c r="BO32" s="50">
        <f xml:space="preserve"> 'WK2013'!FJ42</f>
        <v>1620.9803953999999</v>
      </c>
      <c r="BP32" s="50">
        <f xml:space="preserve"> 'WK2013'!FM42</f>
        <v>1112.3869354971373</v>
      </c>
      <c r="BQ32" s="50">
        <f xml:space="preserve"> 'WK2013'!FN42</f>
        <v>1468.3693860971373</v>
      </c>
      <c r="BR32" s="50">
        <f xml:space="preserve"> 'WK2013'!FO42</f>
        <v>715.05739103008705</v>
      </c>
      <c r="BS32" s="50">
        <f xml:space="preserve"> 'WK2013'!FP42</f>
        <v>1071.039841630087</v>
      </c>
      <c r="BT32" s="61">
        <f xml:space="preserve"> 'WK2013'!FK42</f>
        <v>0.72918226400511066</v>
      </c>
      <c r="BV32" s="50">
        <f xml:space="preserve"> 'WK2013'!FW42</f>
        <v>293.82817880000005</v>
      </c>
      <c r="BW32" s="50">
        <f xml:space="preserve"> 'WK2013'!FX42</f>
        <v>397.77211799999998</v>
      </c>
      <c r="BX32" s="50">
        <f xml:space="preserve"> 'WK2013'!GA42</f>
        <v>294.35832073816175</v>
      </c>
      <c r="BY32" s="50">
        <f xml:space="preserve"> 'WK2013'!GB42</f>
        <v>397.37635993816173</v>
      </c>
      <c r="BZ32" s="50">
        <f xml:space="preserve"> 'WK2013'!GC42</f>
        <v>293.88142391479983</v>
      </c>
      <c r="CA32" s="50">
        <f xml:space="preserve"> 'WK2013'!GD42</f>
        <v>396.8994631147998</v>
      </c>
      <c r="CB32" s="61">
        <f xml:space="preserve"> 'WK2013'!FY42</f>
        <v>0.74230579219454718</v>
      </c>
      <c r="CD32" s="50">
        <f xml:space="preserve"> 'WK2013'!GK42</f>
        <v>88.545543750000007</v>
      </c>
      <c r="CE32" s="50">
        <f xml:space="preserve"> 'WK2013'!GL42</f>
        <v>300.20646225000007</v>
      </c>
      <c r="CF32" s="50">
        <f xml:space="preserve"> 'WK2013'!GO42</f>
        <v>228.59587862025697</v>
      </c>
      <c r="CG32" s="50">
        <f xml:space="preserve"> 'WK2013'!GP42</f>
        <v>257.08932587025708</v>
      </c>
      <c r="CH32" s="50">
        <f xml:space="preserve"> 'WK2013'!GQ42</f>
        <v>92.861140946918681</v>
      </c>
      <c r="CI32" s="50">
        <f xml:space="preserve"> 'WK2013'!GR42</f>
        <v>121.35458819691877</v>
      </c>
      <c r="CJ32" s="61">
        <f xml:space="preserve"> 'WK2013'!GM42</f>
        <v>0.73964225956279572</v>
      </c>
      <c r="CN32" s="50">
        <f xml:space="preserve"> 'WK2014'!EG42</f>
        <v>1361.0595624000002</v>
      </c>
      <c r="CO32" s="50">
        <f xml:space="preserve"> 'WK2014'!EH42</f>
        <v>3049.5020799999998</v>
      </c>
      <c r="CP32" s="50">
        <f xml:space="preserve"> 'WK2014'!EK42</f>
        <v>1814.5542868327448</v>
      </c>
      <c r="CQ32" s="50">
        <f xml:space="preserve"> 'WK2014'!EL42</f>
        <v>2633.8781804327446</v>
      </c>
      <c r="CR32" s="50">
        <f xml:space="preserve"> 'WK2014'!EM42</f>
        <v>1394.7974785983429</v>
      </c>
      <c r="CS32" s="50">
        <f xml:space="preserve"> 'WK2014'!EN42</f>
        <v>2214.1213721983427</v>
      </c>
      <c r="CT32" s="61">
        <f xml:space="preserve"> 'WK2014'!EI42</f>
        <v>0.76249527024277308</v>
      </c>
      <c r="CV32" s="50">
        <f xml:space="preserve"> 'WK2014'!EU42</f>
        <v>964.86334160000001</v>
      </c>
      <c r="CW32" s="50">
        <f xml:space="preserve"> 'WK2014'!EV42</f>
        <v>2235.6934109999997</v>
      </c>
      <c r="CX32" s="50">
        <f xml:space="preserve"> 'WK2014'!EY42</f>
        <v>1543.3242659517673</v>
      </c>
      <c r="CY32" s="50">
        <f xml:space="preserve"> 'WK2014'!EZ42</f>
        <v>2021.1579353517673</v>
      </c>
      <c r="CZ32" s="50">
        <f xml:space="preserve"> 'WK2014'!FA42</f>
        <v>1000.9113754719501</v>
      </c>
      <c r="DA32" s="50">
        <f xml:space="preserve"> 'WK2014'!FB42</f>
        <v>1478.7450448719499</v>
      </c>
      <c r="DB32" s="61">
        <f xml:space="preserve"> 'WK2014'!EW42</f>
        <v>0.75550113723491785</v>
      </c>
      <c r="DC32" s="1"/>
      <c r="DD32" s="50">
        <f xml:space="preserve"> 'WK2014'!FI42</f>
        <v>701.80781519999994</v>
      </c>
      <c r="DE32" s="50">
        <f xml:space="preserve"> 'WK2014'!FJ42</f>
        <v>1699.8535420000001</v>
      </c>
      <c r="DF32" s="50">
        <f xml:space="preserve"> 'WK2014'!FM42</f>
        <v>1103.2910803481118</v>
      </c>
      <c r="DG32" s="50">
        <f xml:space="preserve"> 'WK2014'!FN42</f>
        <v>1556.5915907481119</v>
      </c>
      <c r="DH32" s="50">
        <f xml:space="preserve"> 'WK2014'!FO42</f>
        <v>725.69153037855972</v>
      </c>
      <c r="DI32" s="50">
        <f xml:space="preserve"> 'WK2014'!FP42</f>
        <v>1178.9920407785598</v>
      </c>
      <c r="DJ32" s="61">
        <f xml:space="preserve"> 'WK2014'!FK42</f>
        <v>0.74646885719525069</v>
      </c>
      <c r="DK32" s="1"/>
      <c r="DL32" s="50">
        <f xml:space="preserve"> 'WK2014'!FW42</f>
        <v>289.60011840000004</v>
      </c>
      <c r="DM32" s="50">
        <f xml:space="preserve"> 'WK2014'!FX42</f>
        <v>393.56831200000005</v>
      </c>
      <c r="DN32" s="50">
        <f xml:space="preserve"> 'WK2014'!GA42</f>
        <v>290.10940251025602</v>
      </c>
      <c r="DO32" s="50">
        <f xml:space="preserve"> 'WK2014'!GB42</f>
        <v>393.18960811025607</v>
      </c>
      <c r="DP32" s="50">
        <f xml:space="preserve"> 'WK2014'!GC42</f>
        <v>289.6516571058138</v>
      </c>
      <c r="DQ32" s="50">
        <f xml:space="preserve"> 'WK2014'!GD42</f>
        <v>392.7318627058138</v>
      </c>
      <c r="DR32" s="61">
        <f xml:space="preserve"> 'WK2014'!FY42</f>
        <v>0.75866494496886994</v>
      </c>
      <c r="DS32" s="1"/>
      <c r="DT32" s="50">
        <f xml:space="preserve"> 'WK2014'!GK42</f>
        <v>93.563648999999998</v>
      </c>
      <c r="DU32" s="50">
        <f xml:space="preserve"> 'WK2014'!GL42</f>
        <v>312.97230300000001</v>
      </c>
      <c r="DV32" s="50">
        <f xml:space="preserve"> 'WK2014'!GO42</f>
        <v>238.2100082279664</v>
      </c>
      <c r="DW32" s="50">
        <f xml:space="preserve"> 'WK2014'!GP42</f>
        <v>267.94730497796633</v>
      </c>
      <c r="DX32" s="50">
        <f xml:space="preserve"> 'WK2014'!GQ42</f>
        <v>98.530882543103786</v>
      </c>
      <c r="DY32" s="50">
        <f xml:space="preserve"> 'WK2014'!GR42</f>
        <v>128.26817929310374</v>
      </c>
      <c r="DZ32" s="61">
        <f xml:space="preserve"> 'WK2014'!GM42</f>
        <v>0.75296504301704081</v>
      </c>
      <c r="ED32" s="50">
        <f xml:space="preserve"> 'WK2015'!EG42</f>
        <v>1369.9324151999999</v>
      </c>
      <c r="EE32" s="50">
        <f xml:space="preserve"> 'WK2015'!EH42</f>
        <v>2983.4831157999997</v>
      </c>
      <c r="EF32" s="50">
        <f xml:space="preserve"> 'WK2015'!EK42</f>
        <v>1890.1197534903022</v>
      </c>
      <c r="EG32" s="50">
        <f xml:space="preserve"> 'WK2015'!EL42</f>
        <v>2494.4062166903018</v>
      </c>
      <c r="EH32" s="50">
        <f xml:space="preserve"> 'WK2015'!EM42</f>
        <v>1410.7108406114148</v>
      </c>
      <c r="EI32" s="50">
        <f xml:space="preserve"> 'WK2015'!EN42</f>
        <v>2014.9973038114147</v>
      </c>
      <c r="EJ32" s="61">
        <f xml:space="preserve"> 'WK2015'!EI42</f>
        <v>0.75481537484271555</v>
      </c>
      <c r="EK32" s="1"/>
      <c r="EL32" s="50">
        <f xml:space="preserve"> 'WK2015'!EU42</f>
        <v>972.80996230000005</v>
      </c>
      <c r="EM32" s="50">
        <f xml:space="preserve"> 'WK2015'!EV42</f>
        <v>2324.0723887000004</v>
      </c>
      <c r="EN32" s="50">
        <f xml:space="preserve"> 'WK2015'!EY42</f>
        <v>1637.4023326039326</v>
      </c>
      <c r="EO32" s="50">
        <f xml:space="preserve"> 'WK2015'!EZ42</f>
        <v>2085.971908403933</v>
      </c>
      <c r="EP32" s="50">
        <f xml:space="preserve"> 'WK2015'!FA42</f>
        <v>1009.6839751840251</v>
      </c>
      <c r="EQ32" s="50">
        <f xml:space="preserve"> 'WK2015'!FB42</f>
        <v>1458.2535509840254</v>
      </c>
      <c r="ER32" s="61">
        <f xml:space="preserve"> 'WK2015'!EW42</f>
        <v>0.75675125853136793</v>
      </c>
      <c r="ES32" s="1"/>
      <c r="ET32" s="50">
        <f xml:space="preserve"> 'WK2015'!FI42</f>
        <v>749.22167760000002</v>
      </c>
      <c r="EU32" s="50">
        <f xml:space="preserve"> 'WK2015'!FJ42</f>
        <v>1734.7170318000001</v>
      </c>
      <c r="EV32" s="50">
        <f xml:space="preserve"> 'WK2015'!FM42</f>
        <v>1169.2007047607992</v>
      </c>
      <c r="EW32" s="50">
        <f xml:space="preserve"> 'WK2015'!FN42</f>
        <v>1575.2048379607991</v>
      </c>
      <c r="EX32" s="50">
        <f xml:space="preserve"> 'WK2015'!FO42</f>
        <v>773.73928270375336</v>
      </c>
      <c r="EY32" s="50">
        <f xml:space="preserve"> 'WK2015'!FP42</f>
        <v>1179.7434159037532</v>
      </c>
      <c r="EZ32" s="61">
        <f xml:space="preserve"> 'WK2015'!FK42</f>
        <v>0.74465050309179204</v>
      </c>
      <c r="FA32" s="1"/>
      <c r="FB32" s="50">
        <f xml:space="preserve"> 'WK2015'!FW42</f>
        <v>282.68641520000006</v>
      </c>
      <c r="FC32" s="50">
        <f xml:space="preserve"> 'WK2015'!FX42</f>
        <v>389.31668480000002</v>
      </c>
      <c r="FD32" s="50">
        <f xml:space="preserve"> 'WK2015'!GA42</f>
        <v>283.24898640549486</v>
      </c>
      <c r="FE32" s="50">
        <f xml:space="preserve"> 'WK2015'!GB42</f>
        <v>388.90511760549481</v>
      </c>
      <c r="FF32" s="50">
        <f xml:space="preserve"> 'WK2015'!GC42</f>
        <v>282.73920187007707</v>
      </c>
      <c r="FG32" s="50">
        <f xml:space="preserve"> 'WK2015'!GD42</f>
        <v>388.39533307007707</v>
      </c>
      <c r="FH32" s="61">
        <f xml:space="preserve"> 'WK2015'!FY42</f>
        <v>0.7595341270791548</v>
      </c>
      <c r="FI32" s="1"/>
      <c r="FJ32" s="50">
        <f xml:space="preserve"> 'WK2015'!GK42</f>
        <v>93.831695999999994</v>
      </c>
      <c r="FK32" s="50">
        <f xml:space="preserve"> 'WK2015'!GL42</f>
        <v>357.49157099999996</v>
      </c>
      <c r="FL32" s="50">
        <f xml:space="preserve"> 'WK2015'!GO42</f>
        <v>273.99883601816975</v>
      </c>
      <c r="FM32" s="50">
        <f xml:space="preserve"> 'WK2015'!GP42</f>
        <v>305.44287326816959</v>
      </c>
      <c r="FN32" s="50">
        <f xml:space="preserve"> 'WK2015'!GQ42</f>
        <v>99.131341972599557</v>
      </c>
      <c r="FO32" s="50">
        <f xml:space="preserve"> 'WK2015'!GR42</f>
        <v>130.57537922259948</v>
      </c>
      <c r="FP32" s="61">
        <f xml:space="preserve"> 'WK2015'!GM42</f>
        <v>0.74343424517534373</v>
      </c>
      <c r="FS32" s="283">
        <f xml:space="preserve"> 'WK2015'!H42</f>
        <v>757.6123</v>
      </c>
      <c r="FT32" s="283">
        <f xml:space="preserve"> 'WK2015'!I42</f>
        <v>1687.7647939999999</v>
      </c>
      <c r="FU32" s="283">
        <f xml:space="preserve"> 'WK2015'!L42</f>
        <v>876.97186840576819</v>
      </c>
      <c r="FV32" s="283">
        <f xml:space="preserve"> 'WK2015'!M42</f>
        <v>1344.6650624057681</v>
      </c>
      <c r="FW32" s="283">
        <f xml:space="preserve"> 'WK2015'!N42</f>
        <v>779.90869316561839</v>
      </c>
      <c r="FX32" s="283">
        <f xml:space="preserve"> 'WK2015'!O42</f>
        <v>1247.6018871656183</v>
      </c>
      <c r="FY32" s="284">
        <f xml:space="preserve"> 'WK2015'!P42</f>
        <v>0.7419025449249953</v>
      </c>
      <c r="GA32" s="283">
        <f xml:space="preserve"> 'WK2015'!HB42</f>
        <v>477.880404</v>
      </c>
      <c r="GB32" s="283">
        <f xml:space="preserve"> 'WK2015'!HC42</f>
        <v>1450.6842039999999</v>
      </c>
      <c r="GC32" s="283">
        <f xml:space="preserve"> 'WK2015'!HF42</f>
        <v>588.11746995020439</v>
      </c>
      <c r="GD32" s="283">
        <f xml:space="preserve"> 'WK2015'!HG42</f>
        <v>1065.5947459502045</v>
      </c>
      <c r="GE32" s="283">
        <f xml:space="preserve"> 'WK2015'!HH42</f>
        <v>492.70579754956987</v>
      </c>
      <c r="GF32" s="283">
        <f xml:space="preserve"> 'WK2015'!HI42</f>
        <v>970.18307354956983</v>
      </c>
      <c r="GG32" s="284">
        <f xml:space="preserve"> 'WK2015'!HJ42</f>
        <v>0.77744566339798016</v>
      </c>
      <c r="GI32" s="283">
        <f xml:space="preserve"> 'WK2015'!HQ42</f>
        <v>353.54725000000002</v>
      </c>
      <c r="GJ32" s="283">
        <f xml:space="preserve"> 'WK2015'!HR42</f>
        <v>660.82911300000001</v>
      </c>
      <c r="GK32" s="283">
        <f xml:space="preserve"> 'WK2015'!HU42</f>
        <v>407.20503180000003</v>
      </c>
      <c r="GL32" s="283">
        <f xml:space="preserve"> 'WK2015'!HV42</f>
        <v>561.17894679999995</v>
      </c>
      <c r="GM32" s="283">
        <f xml:space="preserve"> 'WK2015'!HW42</f>
        <v>356.55229852670294</v>
      </c>
      <c r="GN32" s="283">
        <f xml:space="preserve"> 'WK2015'!HX42</f>
        <v>510.52621352670292</v>
      </c>
      <c r="GO32" s="284">
        <f xml:space="preserve"> 'WK2015'!HY42</f>
        <v>0.65</v>
      </c>
    </row>
    <row r="33" spans="1:197" x14ac:dyDescent="0.2">
      <c r="A33" s="3">
        <f>Basis!A33</f>
        <v>33</v>
      </c>
      <c r="D33" s="252" t="e">
        <v>#N/A</v>
      </c>
      <c r="E33" s="252" t="e">
        <v>#N/A</v>
      </c>
      <c r="H33" s="50">
        <f xml:space="preserve"> 'WK2012'!EG43</f>
        <v>1377.2861081151282</v>
      </c>
      <c r="I33" s="50">
        <f xml:space="preserve"> 'WK2012'!EH43</f>
        <v>3409.0418032156676</v>
      </c>
      <c r="J33" s="50">
        <f xml:space="preserve"> 'WK2012'!EK43</f>
        <v>2101.1669568692118</v>
      </c>
      <c r="K33" s="50">
        <f xml:space="preserve"> 'WK2012'!EL43</f>
        <v>3159.650210971553</v>
      </c>
      <c r="L33" s="50">
        <f xml:space="preserve"> 'WK2012'!EM43</f>
        <v>1422.3667392317229</v>
      </c>
      <c r="M33" s="50">
        <f xml:space="preserve"> 'WK2012'!EN43</f>
        <v>2480.8499933340636</v>
      </c>
      <c r="N33" s="61">
        <f xml:space="preserve"> 'WK2012'!EI43</f>
        <v>0.77407181364097222</v>
      </c>
      <c r="P33" s="50">
        <f xml:space="preserve"> 'WK2012'!EU43</f>
        <v>1075.8045038847126</v>
      </c>
      <c r="Q33" s="50">
        <f xml:space="preserve"> 'WK2012'!EV43</f>
        <v>2617.9354314987918</v>
      </c>
      <c r="R33" s="50">
        <f xml:space="preserve"> 'WK2012'!EY43</f>
        <v>1742.6641699768729</v>
      </c>
      <c r="S33" s="50">
        <f xml:space="preserve"> 'WK2012'!EZ43</f>
        <v>2385.5230498820147</v>
      </c>
      <c r="T33" s="50">
        <f xml:space="preserve"> 'WK2012'!FA43</f>
        <v>1111.8731797483224</v>
      </c>
      <c r="U33" s="50">
        <f xml:space="preserve"> 'WK2012'!FB43</f>
        <v>1754.7320596534641</v>
      </c>
      <c r="V33" s="61">
        <f xml:space="preserve"> 'WK2012'!EW43</f>
        <v>0.77837257792919878</v>
      </c>
      <c r="X33" s="50">
        <f xml:space="preserve"> 'WK2012'!FI43</f>
        <v>628.40753768288812</v>
      </c>
      <c r="Y33" s="50">
        <f xml:space="preserve"> 'WK2012'!FJ43</f>
        <v>1410.5725854689736</v>
      </c>
      <c r="Z33" s="50">
        <f xml:space="preserve"> 'WK2012'!FM43</f>
        <v>990.83769597730668</v>
      </c>
      <c r="AA33" s="50">
        <f xml:space="preserve"> 'WK2012'!FN43</f>
        <v>1275.9613820403411</v>
      </c>
      <c r="AB33" s="50">
        <f xml:space="preserve"> 'WK2012'!FO43</f>
        <v>651.74594347280322</v>
      </c>
      <c r="AC33" s="50">
        <f xml:space="preserve"> 'WK2012'!FP43</f>
        <v>936.86962953583736</v>
      </c>
      <c r="AD33" s="61">
        <f xml:space="preserve"> 'WK2012'!FK43</f>
        <v>0.77073234438757077</v>
      </c>
      <c r="AF33" s="50">
        <f xml:space="preserve"> 'WK2012'!FW43</f>
        <v>49.731887724944968</v>
      </c>
      <c r="AG33" s="50">
        <f xml:space="preserve"> 'WK2012'!FX43</f>
        <v>256.73384647817585</v>
      </c>
      <c r="AH33" s="50">
        <f xml:space="preserve"> 'WK2012'!GA43</f>
        <v>209.85732173841879</v>
      </c>
      <c r="AI33" s="50">
        <f xml:space="preserve"> 'WK2012'!GB43</f>
        <v>218.01229703260236</v>
      </c>
      <c r="AJ33" s="50">
        <f xml:space="preserve"> 'WK2012'!GC43</f>
        <v>53.654152626413513</v>
      </c>
      <c r="AK33" s="50">
        <f xml:space="preserve"> 'WK2012'!GD43</f>
        <v>61.809127920597106</v>
      </c>
      <c r="AL33" s="61">
        <f xml:space="preserve"> 'WK2012'!FY43</f>
        <v>0.76628579865581237</v>
      </c>
      <c r="AN33" s="50">
        <f xml:space="preserve"> 'WK2012'!GK43</f>
        <v>288.2319363219471</v>
      </c>
      <c r="AO33" s="50">
        <f xml:space="preserve"> 'WK2012'!GL43</f>
        <v>360.79577891976942</v>
      </c>
      <c r="AP33" s="50">
        <f xml:space="preserve"> 'WK2012'!GO43</f>
        <v>295.39879666618384</v>
      </c>
      <c r="AQ33" s="50">
        <f xml:space="preserve"> 'WK2012'!GP43</f>
        <v>355.07240794078677</v>
      </c>
      <c r="AR33" s="50">
        <f xml:space="preserve"> 'WK2012'!GQ43</f>
        <v>288.86668422824982</v>
      </c>
      <c r="AS33" s="50">
        <f xml:space="preserve"> 'WK2012'!GR43</f>
        <v>348.54029550285276</v>
      </c>
      <c r="AT33" s="61">
        <f xml:space="preserve"> 'WK2012'!GM43</f>
        <v>0.77970933355673355</v>
      </c>
      <c r="AX33" s="50">
        <f xml:space="preserve"> 'WK2013'!EG43</f>
        <v>1347.7945651999999</v>
      </c>
      <c r="AY33" s="50">
        <f xml:space="preserve"> 'WK2013'!EH43</f>
        <v>3053.5582534</v>
      </c>
      <c r="AZ33" s="50">
        <f xml:space="preserve"> 'WK2013'!EK43</f>
        <v>1875.3655253722691</v>
      </c>
      <c r="BA33" s="50">
        <f xml:space="preserve"> 'WK2013'!EL43</f>
        <v>2668.080333572269</v>
      </c>
      <c r="BB33" s="50">
        <f xml:space="preserve"> 'WK2013'!EM43</f>
        <v>1390.9948794958432</v>
      </c>
      <c r="BC33" s="50">
        <f xml:space="preserve"> 'WK2013'!EN43</f>
        <v>2183.7096876958435</v>
      </c>
      <c r="BD33" s="61">
        <f xml:space="preserve"> 'WK2013'!EI43</f>
        <v>0.73119747832371529</v>
      </c>
      <c r="BF33" s="50">
        <f xml:space="preserve"> 'WK2013'!EU43</f>
        <v>988.17220929999996</v>
      </c>
      <c r="BG33" s="50">
        <f xml:space="preserve"> 'WK2013'!EV43</f>
        <v>2330.2304085999999</v>
      </c>
      <c r="BH33" s="50">
        <f xml:space="preserve"> 'WK2013'!EY43</f>
        <v>1590.6480468598854</v>
      </c>
      <c r="BI33" s="50">
        <f xml:space="preserve"> 'WK2013'!EZ43</f>
        <v>2112.9388446598855</v>
      </c>
      <c r="BJ33" s="50">
        <f xml:space="preserve"> 'WK2013'!FA43</f>
        <v>1023.7588951623235</v>
      </c>
      <c r="BK33" s="50">
        <f xml:space="preserve"> 'WK2013'!FB43</f>
        <v>1546.0496929623239</v>
      </c>
      <c r="BL33" s="61">
        <f xml:space="preserve"> 'WK2013'!EW43</f>
        <v>0.74696818715627777</v>
      </c>
      <c r="BN33" s="50">
        <f xml:space="preserve"> 'WK2013'!FI43</f>
        <v>704.4194516</v>
      </c>
      <c r="BO33" s="50">
        <f xml:space="preserve"> 'WK2013'!FJ43</f>
        <v>1671.6393781999998</v>
      </c>
      <c r="BP33" s="50">
        <f xml:space="preserve"> 'WK2013'!FM43</f>
        <v>1147.3166298503822</v>
      </c>
      <c r="BQ33" s="50">
        <f xml:space="preserve"> 'WK2013'!FN43</f>
        <v>1514.7425182503825</v>
      </c>
      <c r="BR33" s="50">
        <f xml:space="preserve"> 'WK2013'!FO43</f>
        <v>732.24328383008708</v>
      </c>
      <c r="BS33" s="50">
        <f xml:space="preserve"> 'WK2013'!FP43</f>
        <v>1099.669172230087</v>
      </c>
      <c r="BT33" s="61">
        <f xml:space="preserve"> 'WK2013'!FK43</f>
        <v>0.7382581926105809</v>
      </c>
      <c r="BV33" s="50">
        <f xml:space="preserve"> 'WK2013'!FW43</f>
        <v>309.44080120000001</v>
      </c>
      <c r="BW33" s="50">
        <f xml:space="preserve"> 'WK2013'!FX43</f>
        <v>419.60124640000004</v>
      </c>
      <c r="BX33" s="50">
        <f xml:space="preserve"> 'WK2013'!GA43</f>
        <v>310.00539912181699</v>
      </c>
      <c r="BY33" s="50">
        <f xml:space="preserve"> 'WK2013'!GB43</f>
        <v>419.18194432181701</v>
      </c>
      <c r="BZ33" s="50">
        <f xml:space="preserve"> 'WK2013'!GC43</f>
        <v>309.49404631479979</v>
      </c>
      <c r="CA33" s="50">
        <f xml:space="preserve"> 'WK2013'!GD43</f>
        <v>418.67059151479981</v>
      </c>
      <c r="CB33" s="61">
        <f xml:space="preserve"> 'WK2013'!FY43</f>
        <v>0.74984799857928774</v>
      </c>
      <c r="CD33" s="50">
        <f xml:space="preserve"> 'WK2013'!GK43</f>
        <v>83.564986500000032</v>
      </c>
      <c r="CE33" s="50">
        <f xml:space="preserve"> 'WK2013'!GL43</f>
        <v>306.1457767500001</v>
      </c>
      <c r="CF33" s="50">
        <f xml:space="preserve"> 'WK2013'!GO43</f>
        <v>249.44424351799739</v>
      </c>
      <c r="CG33" s="50">
        <f xml:space="preserve"> 'WK2013'!GP43</f>
        <v>256.84637526799736</v>
      </c>
      <c r="CH33" s="50">
        <f xml:space="preserve"> 'WK2013'!GQ43</f>
        <v>87.880583696918691</v>
      </c>
      <c r="CI33" s="50">
        <f xml:space="preserve"> 'WK2013'!GR43</f>
        <v>95.282715446918758</v>
      </c>
      <c r="CJ33" s="61">
        <f xml:space="preserve"> 'WK2013'!GM43</f>
        <v>0.74645472529780488</v>
      </c>
      <c r="CN33" s="50">
        <f xml:space="preserve"> 'WK2014'!EG43</f>
        <v>1388.1387371999999</v>
      </c>
      <c r="CO33" s="50">
        <f xml:space="preserve"> 'WK2014'!EH43</f>
        <v>3127.1318068</v>
      </c>
      <c r="CP33" s="50">
        <f xml:space="preserve"> 'WK2014'!EK43</f>
        <v>1880.1489540728419</v>
      </c>
      <c r="CQ33" s="50">
        <f xml:space="preserve"> 'WK2014'!EL43</f>
        <v>2691.8864922728417</v>
      </c>
      <c r="CR33" s="50">
        <f xml:space="preserve"> 'WK2014'!EM43</f>
        <v>1421.876653398343</v>
      </c>
      <c r="CS33" s="50">
        <f xml:space="preserve"> 'WK2014'!EN43</f>
        <v>2233.6141915983426</v>
      </c>
      <c r="CT33" s="61">
        <f xml:space="preserve"> 'WK2014'!EI43</f>
        <v>0.76250974362397417</v>
      </c>
      <c r="CV33" s="50">
        <f xml:space="preserve"> 'WK2014'!EU43</f>
        <v>991.78387780000003</v>
      </c>
      <c r="CW33" s="50">
        <f xml:space="preserve"> 'WK2014'!EV43</f>
        <v>2285.5862811999996</v>
      </c>
      <c r="CX33" s="50">
        <f xml:space="preserve"> 'WK2014'!EY43</f>
        <v>1597.7721848887963</v>
      </c>
      <c r="CY33" s="50">
        <f xml:space="preserve"> 'WK2014'!EZ43</f>
        <v>2060.6213581887964</v>
      </c>
      <c r="CZ33" s="50">
        <f xml:space="preserve"> 'WK2014'!FA43</f>
        <v>1027.8319116719499</v>
      </c>
      <c r="DA33" s="50">
        <f xml:space="preserve"> 'WK2014'!FB43</f>
        <v>1490.68108497195</v>
      </c>
      <c r="DB33" s="61">
        <f xml:space="preserve"> 'WK2014'!EW43</f>
        <v>0.75300600012280505</v>
      </c>
      <c r="DC33" s="1"/>
      <c r="DD33" s="50">
        <f xml:space="preserve"> 'WK2014'!FI43</f>
        <v>718.93473919999997</v>
      </c>
      <c r="DE33" s="50">
        <f xml:space="preserve"> 'WK2014'!FJ43</f>
        <v>1761.5182106</v>
      </c>
      <c r="DF33" s="50">
        <f xml:space="preserve"> 'WK2014'!FM43</f>
        <v>1132.3561429696222</v>
      </c>
      <c r="DG33" s="50">
        <f xml:space="preserve"> 'WK2014'!FN43</f>
        <v>1616.8140513696221</v>
      </c>
      <c r="DH33" s="50">
        <f xml:space="preserve"> 'WK2014'!FO43</f>
        <v>742.81845437855986</v>
      </c>
      <c r="DI33" s="50">
        <f xml:space="preserve"> 'WK2014'!FP43</f>
        <v>1227.2763627785598</v>
      </c>
      <c r="DJ33" s="61">
        <f xml:space="preserve"> 'WK2014'!FK43</f>
        <v>0.74564071440603008</v>
      </c>
      <c r="DK33" s="1"/>
      <c r="DL33" s="50">
        <f xml:space="preserve"> 'WK2014'!FW43</f>
        <v>303.64492319999999</v>
      </c>
      <c r="DM33" s="50">
        <f xml:space="preserve"> 'WK2014'!FX43</f>
        <v>414.20793280000004</v>
      </c>
      <c r="DN33" s="50">
        <f xml:space="preserve"> 'WK2014'!GA43</f>
        <v>304.19159092832194</v>
      </c>
      <c r="DO33" s="50">
        <f xml:space="preserve"> 'WK2014'!GB43</f>
        <v>413.80379912832194</v>
      </c>
      <c r="DP33" s="50">
        <f xml:space="preserve"> 'WK2014'!GC43</f>
        <v>303.69646190581375</v>
      </c>
      <c r="DQ33" s="50">
        <f xml:space="preserve"> 'WK2014'!GD43</f>
        <v>413.3086701058138</v>
      </c>
      <c r="DR33" s="61">
        <f xml:space="preserve"> 'WK2014'!FY43</f>
        <v>0.75668626362941627</v>
      </c>
      <c r="DS33" s="1"/>
      <c r="DT33" s="50">
        <f xml:space="preserve"> 'WK2014'!GK43</f>
        <v>86.40831</v>
      </c>
      <c r="DU33" s="50">
        <f xml:space="preserve"> 'WK2014'!GL43</f>
        <v>316.57554750000008</v>
      </c>
      <c r="DV33" s="50">
        <f xml:space="preserve"> 'WK2014'!GO43</f>
        <v>257.71256508162503</v>
      </c>
      <c r="DW33" s="50">
        <f xml:space="preserve"> 'WK2014'!GP43</f>
        <v>265.46137533162516</v>
      </c>
      <c r="DX33" s="50">
        <f xml:space="preserve"> 'WK2014'!GQ43</f>
        <v>91.375543543103802</v>
      </c>
      <c r="DY33" s="50">
        <f xml:space="preserve"> 'WK2014'!GR43</f>
        <v>99.124353793103865</v>
      </c>
      <c r="DZ33" s="61">
        <f xml:space="preserve"> 'WK2014'!GM43</f>
        <v>0.75657107793025258</v>
      </c>
      <c r="ED33" s="50">
        <f xml:space="preserve"> 'WK2015'!EG43</f>
        <v>1386.4708951999996</v>
      </c>
      <c r="EE33" s="50">
        <f xml:space="preserve"> 'WK2015'!EH43</f>
        <v>3045.277572</v>
      </c>
      <c r="EF33" s="50">
        <f xml:space="preserve"> 'WK2015'!EK43</f>
        <v>1935.6817268527686</v>
      </c>
      <c r="EG33" s="50">
        <f xml:space="preserve"> 'WK2015'!EL43</f>
        <v>2523.6141282527688</v>
      </c>
      <c r="EH33" s="50">
        <f xml:space="preserve"> 'WK2015'!EM43</f>
        <v>1427.249320611415</v>
      </c>
      <c r="EI33" s="50">
        <f xml:space="preserve"> 'WK2015'!EN43</f>
        <v>2015.1817220114149</v>
      </c>
      <c r="EJ33" s="61">
        <f xml:space="preserve"> 'WK2015'!EI43</f>
        <v>0.76604317876469841</v>
      </c>
      <c r="EK33" s="1"/>
      <c r="EL33" s="50">
        <f xml:space="preserve"> 'WK2015'!EU43</f>
        <v>986.79436329999999</v>
      </c>
      <c r="EM33" s="50">
        <f xml:space="preserve"> 'WK2015'!EV43</f>
        <v>2352.9893580000003</v>
      </c>
      <c r="EN33" s="50">
        <f xml:space="preserve"> 'WK2015'!EY43</f>
        <v>1674.9593978919895</v>
      </c>
      <c r="EO33" s="50">
        <f xml:space="preserve"> 'WK2015'!EZ43</f>
        <v>2107.4278309919896</v>
      </c>
      <c r="EP33" s="50">
        <f xml:space="preserve"> 'WK2015'!FA43</f>
        <v>1023.6683761840251</v>
      </c>
      <c r="EQ33" s="50">
        <f xml:space="preserve"> 'WK2015'!FB43</f>
        <v>1456.136809284025</v>
      </c>
      <c r="ER33" s="61">
        <f xml:space="preserve"> 'WK2015'!EW43</f>
        <v>0.76670078135505215</v>
      </c>
      <c r="ES33" s="1"/>
      <c r="ET33" s="50">
        <f xml:space="preserve"> 'WK2015'!FI43</f>
        <v>762.88765080000007</v>
      </c>
      <c r="EU33" s="50">
        <f xml:space="preserve"> 'WK2015'!FJ43</f>
        <v>1783.5549824</v>
      </c>
      <c r="EV33" s="50">
        <f xml:space="preserve"> 'WK2015'!FM43</f>
        <v>1200.4747027110341</v>
      </c>
      <c r="EW33" s="50">
        <f xml:space="preserve"> 'WK2015'!FN43</f>
        <v>1620.0516319110338</v>
      </c>
      <c r="EX33" s="50">
        <f xml:space="preserve"> 'WK2015'!FO43</f>
        <v>787.40525590375341</v>
      </c>
      <c r="EY33" s="50">
        <f xml:space="preserve"> 'WK2015'!FP43</f>
        <v>1206.982185103753</v>
      </c>
      <c r="EZ33" s="61">
        <f xml:space="preserve"> 'WK2015'!FK43</f>
        <v>0.75341489408851015</v>
      </c>
      <c r="FA33" s="1"/>
      <c r="FB33" s="50">
        <f xml:space="preserve"> 'WK2015'!FW43</f>
        <v>293.27629519999999</v>
      </c>
      <c r="FC33" s="50">
        <f xml:space="preserve"> 'WK2015'!FX43</f>
        <v>405.137968</v>
      </c>
      <c r="FD33" s="50">
        <f xml:space="preserve"> 'WK2015'!GA43</f>
        <v>293.87077280017644</v>
      </c>
      <c r="FE33" s="50">
        <f xml:space="preserve"> 'WK2015'!GB43</f>
        <v>404.70483320017644</v>
      </c>
      <c r="FF33" s="50">
        <f xml:space="preserve"> 'WK2015'!GC43</f>
        <v>293.32908187007706</v>
      </c>
      <c r="FG33" s="50">
        <f xml:space="preserve"> 'WK2015'!GD43</f>
        <v>404.16314227007706</v>
      </c>
      <c r="FH33" s="61">
        <f xml:space="preserve"> 'WK2015'!FY43</f>
        <v>0.76921392944404232</v>
      </c>
      <c r="FI33" s="1"/>
      <c r="FJ33" s="50">
        <f xml:space="preserve"> 'WK2015'!GK43</f>
        <v>82.959416999999988</v>
      </c>
      <c r="FK33" s="50">
        <f xml:space="preserve"> 'WK2015'!GL43</f>
        <v>354.73896524999998</v>
      </c>
      <c r="FL33" s="50">
        <f xml:space="preserve"> 'WK2015'!GO43</f>
        <v>283.80831091386875</v>
      </c>
      <c r="FM33" s="50">
        <f xml:space="preserve"> 'WK2015'!GP43</f>
        <v>299.91442741386868</v>
      </c>
      <c r="FN33" s="50">
        <f xml:space="preserve"> 'WK2015'!GQ43</f>
        <v>88.259062972599537</v>
      </c>
      <c r="FO33" s="50">
        <f xml:space="preserve"> 'WK2015'!GR43</f>
        <v>104.36517947259941</v>
      </c>
      <c r="FP33" s="61">
        <f xml:space="preserve"> 'WK2015'!GM43</f>
        <v>0.75268153706994567</v>
      </c>
      <c r="FS33" s="283">
        <f xml:space="preserve"> 'WK2015'!H43</f>
        <v>777.98672999999997</v>
      </c>
      <c r="FT33" s="283">
        <f xml:space="preserve"> 'WK2015'!I43</f>
        <v>1731.008474</v>
      </c>
      <c r="FU33" s="283">
        <f xml:space="preserve"> 'WK2015'!L43</f>
        <v>897.42923424477988</v>
      </c>
      <c r="FV33" s="283">
        <f xml:space="preserve"> 'WK2015'!M43</f>
        <v>1358.57845424478</v>
      </c>
      <c r="FW33" s="283">
        <f xml:space="preserve"> 'WK2015'!N43</f>
        <v>800.28312316561846</v>
      </c>
      <c r="FX33" s="283">
        <f xml:space="preserve"> 'WK2015'!O43</f>
        <v>1261.4323431656185</v>
      </c>
      <c r="FY33" s="284">
        <f xml:space="preserve"> 'WK2015'!P43</f>
        <v>0.75716776518954354</v>
      </c>
      <c r="GA33" s="283">
        <f xml:space="preserve"> 'WK2015'!HB43</f>
        <v>491.41027799999995</v>
      </c>
      <c r="GB33" s="283">
        <f xml:space="preserve"> 'WK2015'!HC43</f>
        <v>1460.4604359999998</v>
      </c>
      <c r="GC33" s="283">
        <f xml:space="preserve"> 'WK2015'!HF43</f>
        <v>617.08874426547993</v>
      </c>
      <c r="GD33" s="283">
        <f xml:space="preserve"> 'WK2015'!HG43</f>
        <v>1064.9961262654799</v>
      </c>
      <c r="GE33" s="283">
        <f xml:space="preserve"> 'WK2015'!HH43</f>
        <v>506.23567154956982</v>
      </c>
      <c r="GF33" s="283">
        <f xml:space="preserve"> 'WK2015'!HI43</f>
        <v>954.1430535495698</v>
      </c>
      <c r="GG33" s="284">
        <f xml:space="preserve"> 'WK2015'!HJ43</f>
        <v>0.75884062477059067</v>
      </c>
      <c r="GI33" s="283">
        <f xml:space="preserve"> 'WK2015'!HQ43</f>
        <v>374.33476499999995</v>
      </c>
      <c r="GJ33" s="283">
        <f xml:space="preserve"> 'WK2015'!HR43</f>
        <v>679.75204499999995</v>
      </c>
      <c r="GK33" s="283">
        <f xml:space="preserve"> 'WK2015'!HU43</f>
        <v>407.3334517699297</v>
      </c>
      <c r="GL33" s="283">
        <f xml:space="preserve"> 'WK2015'!HV43</f>
        <v>556.88592076992961</v>
      </c>
      <c r="GM33" s="283">
        <f xml:space="preserve"> 'WK2015'!HW43</f>
        <v>377.33981352670287</v>
      </c>
      <c r="GN33" s="283">
        <f xml:space="preserve"> 'WK2015'!HX43</f>
        <v>526.89228252670284</v>
      </c>
      <c r="GO33" s="284">
        <f xml:space="preserve"> 'WK2015'!HY43</f>
        <v>0.78828648648648647</v>
      </c>
    </row>
    <row r="34" spans="1:197" x14ac:dyDescent="0.2">
      <c r="A34" s="3">
        <f>Basis!A34</f>
        <v>34</v>
      </c>
      <c r="D34" s="252" t="e">
        <v>#N/A</v>
      </c>
      <c r="E34" s="252" t="e">
        <v>#N/A</v>
      </c>
      <c r="H34" s="50">
        <f xml:space="preserve"> 'WK2012'!EG44</f>
        <v>1407.4071339183638</v>
      </c>
      <c r="I34" s="50">
        <f xml:space="preserve"> 'WK2012'!EH44</f>
        <v>3453.675481750116</v>
      </c>
      <c r="J34" s="50">
        <f xml:space="preserve"> 'WK2012'!EK44</f>
        <v>2148.0450515515013</v>
      </c>
      <c r="K34" s="50">
        <f xml:space="preserve"> 'WK2012'!EL44</f>
        <v>3195.4157405903998</v>
      </c>
      <c r="L34" s="50">
        <f xml:space="preserve"> 'WK2012'!EM44</f>
        <v>1452.4877650349586</v>
      </c>
      <c r="M34" s="50">
        <f xml:space="preserve"> 'WK2012'!EN44</f>
        <v>2499.858454073857</v>
      </c>
      <c r="N34" s="61">
        <f xml:space="preserve"> 'WK2012'!EI44</f>
        <v>0.77815872625721139</v>
      </c>
      <c r="P34" s="50">
        <f xml:space="preserve"> 'WK2012'!EU44</f>
        <v>1088.1182630538412</v>
      </c>
      <c r="Q34" s="50">
        <f xml:space="preserve"> 'WK2012'!EV44</f>
        <v>2668.398635555051</v>
      </c>
      <c r="R34" s="50">
        <f xml:space="preserve"> 'WK2012'!EY44</f>
        <v>1781.1890054017456</v>
      </c>
      <c r="S34" s="50">
        <f xml:space="preserve"> 'WK2012'!EZ44</f>
        <v>2432.6955388687397</v>
      </c>
      <c r="T34" s="50">
        <f xml:space="preserve"> 'WK2012'!FA44</f>
        <v>1124.186938917451</v>
      </c>
      <c r="U34" s="50">
        <f xml:space="preserve"> 'WK2012'!FB44</f>
        <v>1775.6934723844447</v>
      </c>
      <c r="V34" s="61">
        <f xml:space="preserve"> 'WK2012'!EW44</f>
        <v>0.78092732772589568</v>
      </c>
      <c r="X34" s="50">
        <f xml:space="preserve"> 'WK2012'!FI44</f>
        <v>640.2335614136199</v>
      </c>
      <c r="Y34" s="50">
        <f xml:space="preserve"> 'WK2012'!FJ44</f>
        <v>1426.1631544997754</v>
      </c>
      <c r="Z34" s="50">
        <f xml:space="preserve"> 'WK2012'!FM44</f>
        <v>985.0146813931633</v>
      </c>
      <c r="AA34" s="50">
        <f xml:space="preserve"> 'WK2012'!FN44</f>
        <v>1296.699811562288</v>
      </c>
      <c r="AB34" s="50">
        <f xml:space="preserve"> 'WK2012'!FO44</f>
        <v>663.57196720353511</v>
      </c>
      <c r="AC34" s="50">
        <f xml:space="preserve"> 'WK2012'!FP44</f>
        <v>975.25709737265981</v>
      </c>
      <c r="AD34" s="61">
        <f xml:space="preserve"> 'WK2012'!FK44</f>
        <v>0.77417330620584068</v>
      </c>
      <c r="AF34" s="50">
        <f xml:space="preserve"> 'WK2012'!FW44</f>
        <v>55.326602566723629</v>
      </c>
      <c r="AG34" s="50">
        <f xml:space="preserve"> 'WK2012'!FX44</f>
        <v>265.15702407699729</v>
      </c>
      <c r="AH34" s="50">
        <f xml:space="preserve"> 'WK2012'!GA44</f>
        <v>224.59136218370671</v>
      </c>
      <c r="AI34" s="50">
        <f xml:space="preserve"> 'WK2012'!GB44</f>
        <v>221.91612633466235</v>
      </c>
      <c r="AJ34" s="50">
        <f xml:space="preserve"> 'WK2012'!GC44</f>
        <v>59.248867468192181</v>
      </c>
      <c r="AK34" s="50">
        <f xml:space="preserve"> 'WK2012'!GD44</f>
        <v>56.57363161914779</v>
      </c>
      <c r="AL34" s="61">
        <f xml:space="preserve"> 'WK2012'!FY44</f>
        <v>0.77461389265728919</v>
      </c>
      <c r="AN34" s="50">
        <f xml:space="preserve"> 'WK2012'!GK44</f>
        <v>298.21034824255503</v>
      </c>
      <c r="AO34" s="50">
        <f xml:space="preserve"> 'WK2012'!GL44</f>
        <v>376.06946223770234</v>
      </c>
      <c r="AP34" s="50">
        <f xml:space="preserve"> 'WK2012'!GO44</f>
        <v>305.13358032465624</v>
      </c>
      <c r="AQ34" s="50">
        <f xml:space="preserve"> 'WK2012'!GP44</f>
        <v>370.57727082644664</v>
      </c>
      <c r="AR34" s="50">
        <f xml:space="preserve"> 'WK2012'!GQ44</f>
        <v>298.84509614885781</v>
      </c>
      <c r="AS34" s="50">
        <f xml:space="preserve"> 'WK2012'!GR44</f>
        <v>364.28878665064815</v>
      </c>
      <c r="AT34" s="61">
        <f xml:space="preserve"> 'WK2012'!GM44</f>
        <v>0.78142287864622628</v>
      </c>
      <c r="AX34" s="50">
        <f xml:space="preserve"> 'WK2013'!EG44</f>
        <v>1391.0141658</v>
      </c>
      <c r="AY34" s="50">
        <f xml:space="preserve"> 'WK2013'!EH44</f>
        <v>3121.6059186000002</v>
      </c>
      <c r="AZ34" s="50">
        <f xml:space="preserve"> 'WK2013'!EK44</f>
        <v>1928.8939517565932</v>
      </c>
      <c r="BA34" s="50">
        <f xml:space="preserve"> 'WK2013'!EL44</f>
        <v>2723.940853556594</v>
      </c>
      <c r="BB34" s="50">
        <f xml:space="preserve"> 'WK2013'!EM44</f>
        <v>1434.2144800958431</v>
      </c>
      <c r="BC34" s="50">
        <f xml:space="preserve"> 'WK2013'!EN44</f>
        <v>2229.2613818958434</v>
      </c>
      <c r="BD34" s="61">
        <f xml:space="preserve"> 'WK2013'!EI44</f>
        <v>0.7371912994001375</v>
      </c>
      <c r="BF34" s="50">
        <f xml:space="preserve"> 'WK2013'!EU44</f>
        <v>1026.7324182</v>
      </c>
      <c r="BG34" s="50">
        <f xml:space="preserve"> 'WK2013'!EV44</f>
        <v>2367.2665093999999</v>
      </c>
      <c r="BH34" s="50">
        <f xml:space="preserve"> 'WK2013'!EY44</f>
        <v>1633.5419053124549</v>
      </c>
      <c r="BI34" s="50">
        <f xml:space="preserve"> 'WK2013'!EZ44</f>
        <v>2143.7528190124549</v>
      </c>
      <c r="BJ34" s="50">
        <f xml:space="preserve"> 'WK2013'!FA44</f>
        <v>1062.3191040623235</v>
      </c>
      <c r="BK34" s="50">
        <f xml:space="preserve"> 'WK2013'!FB44</f>
        <v>1572.5300177623237</v>
      </c>
      <c r="BL34" s="61">
        <f xml:space="preserve"> 'WK2013'!EW44</f>
        <v>0.75433222509874942</v>
      </c>
      <c r="BN34" s="50">
        <f xml:space="preserve"> 'WK2013'!FI44</f>
        <v>726.28020179999999</v>
      </c>
      <c r="BO34" s="50">
        <f xml:space="preserve"> 'WK2013'!FJ44</f>
        <v>1713.6866037999998</v>
      </c>
      <c r="BP34" s="50">
        <f xml:space="preserve"> 'WK2013'!FM44</f>
        <v>1172.6749609767583</v>
      </c>
      <c r="BQ34" s="50">
        <f xml:space="preserve"> 'WK2013'!FN44</f>
        <v>1555.0621783767581</v>
      </c>
      <c r="BR34" s="50">
        <f xml:space="preserve"> 'WK2013'!FO44</f>
        <v>754.10403403008718</v>
      </c>
      <c r="BS34" s="50">
        <f xml:space="preserve"> 'WK2013'!FP44</f>
        <v>1136.4912514300872</v>
      </c>
      <c r="BT34" s="61">
        <f xml:space="preserve"> 'WK2013'!FK44</f>
        <v>0.74570267061870554</v>
      </c>
      <c r="BV34" s="50">
        <f xml:space="preserve"> 'WK2013'!FW44</f>
        <v>324.71785779999999</v>
      </c>
      <c r="BW34" s="50">
        <f xml:space="preserve"> 'WK2013'!FX44</f>
        <v>439.69635160000001</v>
      </c>
      <c r="BX34" s="50">
        <f xml:space="preserve"> 'WK2013'!GA44</f>
        <v>325.29916732315132</v>
      </c>
      <c r="BY34" s="50">
        <f xml:space="preserve"> 'WK2013'!GB44</f>
        <v>439.26520112315131</v>
      </c>
      <c r="BZ34" s="50">
        <f xml:space="preserve"> 'WK2013'!GC44</f>
        <v>324.77110291479983</v>
      </c>
      <c r="CA34" s="50">
        <f xml:space="preserve"> 'WK2013'!GD44</f>
        <v>438.73713671479982</v>
      </c>
      <c r="CB34" s="61">
        <f xml:space="preserve"> 'WK2013'!FY44</f>
        <v>0.7561435310756518</v>
      </c>
      <c r="CD34" s="50">
        <f xml:space="preserve"> 'WK2013'!GK44</f>
        <v>81.357526499999992</v>
      </c>
      <c r="CE34" s="50">
        <f xml:space="preserve"> 'WK2013'!GL44</f>
        <v>307.74612374999998</v>
      </c>
      <c r="CF34" s="50">
        <f xml:space="preserve"> 'WK2013'!GO44</f>
        <v>261.62011117107227</v>
      </c>
      <c r="CG34" s="50">
        <f xml:space="preserve"> 'WK2013'!GP44</f>
        <v>254.31082642107228</v>
      </c>
      <c r="CH34" s="50">
        <f xml:space="preserve"> 'WK2013'!GQ44</f>
        <v>85.673123696918651</v>
      </c>
      <c r="CI34" s="50">
        <f xml:space="preserve"> 'WK2013'!GR44</f>
        <v>78.363838946918577</v>
      </c>
      <c r="CJ34" s="61">
        <f xml:space="preserve"> 'WK2013'!GM44</f>
        <v>0.75143686608400773</v>
      </c>
      <c r="CN34" s="50">
        <f xml:space="preserve"> 'WK2014'!EG44</f>
        <v>1424.4535991999999</v>
      </c>
      <c r="CO34" s="50">
        <f xml:space="preserve"> 'WK2014'!EH44</f>
        <v>3189.246232</v>
      </c>
      <c r="CP34" s="50">
        <f xml:space="preserve"> 'WK2014'!EK44</f>
        <v>1927.4224527176166</v>
      </c>
      <c r="CQ34" s="50">
        <f xml:space="preserve"> 'WK2014'!EL44</f>
        <v>2743.0509733176168</v>
      </c>
      <c r="CR34" s="50">
        <f xml:space="preserve"> 'WK2014'!EM44</f>
        <v>1458.1915153983427</v>
      </c>
      <c r="CS34" s="50">
        <f xml:space="preserve"> 'WK2014'!EN44</f>
        <v>2273.820035998343</v>
      </c>
      <c r="CT34" s="61">
        <f xml:space="preserve"> 'WK2014'!EI44</f>
        <v>0.76958552254383872</v>
      </c>
      <c r="CV34" s="50">
        <f xml:space="preserve"> 'WK2014'!EU44</f>
        <v>1026.7653593</v>
      </c>
      <c r="CW34" s="50">
        <f xml:space="preserve"> 'WK2014'!EV44</f>
        <v>2322.0307469999998</v>
      </c>
      <c r="CX34" s="50">
        <f xml:space="preserve"> 'WK2014'!EY44</f>
        <v>1640.5134378549374</v>
      </c>
      <c r="CY34" s="50">
        <f xml:space="preserve"> 'WK2014'!EZ44</f>
        <v>2090.2033982549369</v>
      </c>
      <c r="CZ34" s="50">
        <f xml:space="preserve"> 'WK2014'!FA44</f>
        <v>1062.8133931719499</v>
      </c>
      <c r="DA34" s="50">
        <f xml:space="preserve"> 'WK2014'!FB44</f>
        <v>1512.5033535719499</v>
      </c>
      <c r="DB34" s="61">
        <f xml:space="preserve"> 'WK2014'!EW44</f>
        <v>0.75942003983777351</v>
      </c>
      <c r="DC34" s="1"/>
      <c r="DD34" s="50">
        <f xml:space="preserve"> 'WK2014'!FI44</f>
        <v>740.64000160000012</v>
      </c>
      <c r="DE34" s="50">
        <f xml:space="preserve"> 'WK2014'!FJ44</f>
        <v>1812.2727496</v>
      </c>
      <c r="DF34" s="50">
        <f xml:space="preserve"> 'WK2014'!FM44</f>
        <v>1153.0674420784303</v>
      </c>
      <c r="DG34" s="50">
        <f xml:space="preserve"> 'WK2014'!FN44</f>
        <v>1668.3686686784301</v>
      </c>
      <c r="DH34" s="50">
        <f xml:space="preserve"> 'WK2014'!FO44</f>
        <v>764.5237167785599</v>
      </c>
      <c r="DI34" s="50">
        <f xml:space="preserve"> 'WK2014'!FP44</f>
        <v>1279.8249433785597</v>
      </c>
      <c r="DJ34" s="61">
        <f xml:space="preserve"> 'WK2014'!FK44</f>
        <v>0.75337639350396191</v>
      </c>
      <c r="DK34" s="1"/>
      <c r="DL34" s="50">
        <f xml:space="preserve"> 'WK2014'!FW44</f>
        <v>318.33645120000006</v>
      </c>
      <c r="DM34" s="50">
        <f xml:space="preserve"> 'WK2014'!FX44</f>
        <v>433.33322400000003</v>
      </c>
      <c r="DN34" s="50">
        <f xml:space="preserve"> 'WK2014'!GA44</f>
        <v>318.9029843932824</v>
      </c>
      <c r="DO34" s="50">
        <f xml:space="preserve"> 'WK2014'!GB44</f>
        <v>432.91440899328245</v>
      </c>
      <c r="DP34" s="50">
        <f xml:space="preserve"> 'WK2014'!GC44</f>
        <v>318.38798990581381</v>
      </c>
      <c r="DQ34" s="50">
        <f xml:space="preserve"> 'WK2014'!GD44</f>
        <v>432.39941450581381</v>
      </c>
      <c r="DR34" s="61">
        <f xml:space="preserve"> 'WK2014'!FY44</f>
        <v>0.76385695261420228</v>
      </c>
      <c r="DS34" s="1"/>
      <c r="DT34" s="50">
        <f xml:space="preserve"> 'WK2014'!GK44</f>
        <v>81.721445999999986</v>
      </c>
      <c r="DU34" s="50">
        <f xml:space="preserve"> 'WK2014'!GL44</f>
        <v>316.397424</v>
      </c>
      <c r="DV34" s="50">
        <f xml:space="preserve"> 'WK2014'!GO44</f>
        <v>268.47847837527809</v>
      </c>
      <c r="DW34" s="50">
        <f xml:space="preserve"> 'WK2014'!GP44</f>
        <v>261.51179737527821</v>
      </c>
      <c r="DX34" s="50">
        <f xml:space="preserve"> 'WK2014'!GQ44</f>
        <v>86.688679543103774</v>
      </c>
      <c r="DY34" s="50">
        <f xml:space="preserve"> 'WK2014'!GR44</f>
        <v>79.721998543103865</v>
      </c>
      <c r="DZ34" s="61">
        <f xml:space="preserve"> 'WK2014'!GM44</f>
        <v>0.76212967496886841</v>
      </c>
      <c r="ED34" s="50">
        <f xml:space="preserve"> 'WK2015'!EG44</f>
        <v>1412.7091101999999</v>
      </c>
      <c r="EE34" s="50">
        <f xml:space="preserve"> 'WK2015'!EH44</f>
        <v>3090.1393675999998</v>
      </c>
      <c r="EF34" s="50">
        <f xml:space="preserve"> 'WK2015'!EK44</f>
        <v>1972.8767746154053</v>
      </c>
      <c r="EG34" s="50">
        <f xml:space="preserve"> 'WK2015'!EL44</f>
        <v>2561.0640436154054</v>
      </c>
      <c r="EH34" s="50">
        <f xml:space="preserve"> 'WK2015'!EM44</f>
        <v>1453.4875356114151</v>
      </c>
      <c r="EI34" s="50">
        <f xml:space="preserve"> 'WK2015'!EN44</f>
        <v>2041.6748046114151</v>
      </c>
      <c r="EJ34" s="61">
        <f xml:space="preserve"> 'WK2015'!EI44</f>
        <v>0.76692591262615684</v>
      </c>
      <c r="EK34" s="1"/>
      <c r="EL34" s="50">
        <f xml:space="preserve"> 'WK2015'!EU44</f>
        <v>1010.4093378</v>
      </c>
      <c r="EM34" s="50">
        <f xml:space="preserve"> 'WK2015'!EV44</f>
        <v>2369.2533123999997</v>
      </c>
      <c r="EN34" s="50">
        <f xml:space="preserve"> 'WK2015'!EY44</f>
        <v>1698.8517270329187</v>
      </c>
      <c r="EO34" s="50">
        <f xml:space="preserve"> 'WK2015'!EZ44</f>
        <v>2119.7680965329191</v>
      </c>
      <c r="EP34" s="50">
        <f xml:space="preserve"> 'WK2015'!FA44</f>
        <v>1047.2833506840252</v>
      </c>
      <c r="EQ34" s="50">
        <f xml:space="preserve"> 'WK2015'!FB44</f>
        <v>1468.1997201840254</v>
      </c>
      <c r="ER34" s="61">
        <f xml:space="preserve"> 'WK2015'!EW44</f>
        <v>0.76667304741213682</v>
      </c>
      <c r="ES34" s="1"/>
      <c r="ET34" s="50">
        <f xml:space="preserve"> 'WK2015'!FI44</f>
        <v>780.67584479999994</v>
      </c>
      <c r="EU34" s="50">
        <f xml:space="preserve"> 'WK2015'!FJ44</f>
        <v>1823.1683196000001</v>
      </c>
      <c r="EV34" s="50">
        <f xml:space="preserve"> 'WK2015'!FM44</f>
        <v>1220.2991157505055</v>
      </c>
      <c r="EW34" s="50">
        <f xml:space="preserve"> 'WK2015'!FN44</f>
        <v>1659.5091197505058</v>
      </c>
      <c r="EX34" s="50">
        <f xml:space="preserve"> 'WK2015'!FO44</f>
        <v>805.19344990375328</v>
      </c>
      <c r="EY34" s="50">
        <f xml:space="preserve"> 'WK2015'!FP44</f>
        <v>1244.4034539037532</v>
      </c>
      <c r="EZ34" s="61">
        <f xml:space="preserve"> 'WK2015'!FK44</f>
        <v>0.75454201088659145</v>
      </c>
      <c r="FA34" s="1"/>
      <c r="FB34" s="50">
        <f xml:space="preserve"> 'WK2015'!FW44</f>
        <v>304.52903520000001</v>
      </c>
      <c r="FC34" s="50">
        <f xml:space="preserve"> 'WK2015'!FX44</f>
        <v>420.06266160000001</v>
      </c>
      <c r="FD34" s="50">
        <f xml:space="preserve"> 'WK2015'!GA44</f>
        <v>305.13800960638736</v>
      </c>
      <c r="FE34" s="50">
        <f xml:space="preserve"> 'WK2015'!GB44</f>
        <v>419.61872760638732</v>
      </c>
      <c r="FF34" s="50">
        <f xml:space="preserve"> 'WK2015'!GC44</f>
        <v>304.58182187007708</v>
      </c>
      <c r="FG34" s="50">
        <f xml:space="preserve"> 'WK2015'!GD44</f>
        <v>419.06253987007705</v>
      </c>
      <c r="FH34" s="61">
        <f xml:space="preserve"> 'WK2015'!FY44</f>
        <v>0.76902049816275686</v>
      </c>
      <c r="FI34" s="1"/>
      <c r="FJ34" s="50">
        <f xml:space="preserve"> 'WK2015'!GK44</f>
        <v>75.757108500000001</v>
      </c>
      <c r="FK34" s="50">
        <f xml:space="preserve"> 'WK2015'!GL44</f>
        <v>349.35617475000004</v>
      </c>
      <c r="FL34" s="50">
        <f xml:space="preserve"> 'WK2015'!GO44</f>
        <v>286.38924228577503</v>
      </c>
      <c r="FM34" s="50">
        <f xml:space="preserve"> 'WK2015'!GP44</f>
        <v>293.11865553577496</v>
      </c>
      <c r="FN34" s="50">
        <f xml:space="preserve"> 'WK2015'!GQ44</f>
        <v>81.05675447259955</v>
      </c>
      <c r="FO34" s="50">
        <f xml:space="preserve"> 'WK2015'!GR44</f>
        <v>87.786167722599572</v>
      </c>
      <c r="FP34" s="61">
        <f xml:space="preserve"> 'WK2015'!GM44</f>
        <v>0.75721492224880538</v>
      </c>
      <c r="FS34" s="283">
        <f xml:space="preserve"> 'WK2015'!H44</f>
        <v>801.82283499999994</v>
      </c>
      <c r="FT34" s="283">
        <f xml:space="preserve"> 'WK2015'!I44</f>
        <v>1766.68451</v>
      </c>
      <c r="FU34" s="283">
        <f xml:space="preserve"> 'WK2015'!L44</f>
        <v>924.91400167399718</v>
      </c>
      <c r="FV34" s="283">
        <f xml:space="preserve"> 'WK2015'!M44</f>
        <v>1386.0674446739974</v>
      </c>
      <c r="FW34" s="283">
        <f xml:space="preserve"> 'WK2015'!N44</f>
        <v>824.11922816561832</v>
      </c>
      <c r="FX34" s="283">
        <f xml:space="preserve"> 'WK2015'!O44</f>
        <v>1285.2726711656185</v>
      </c>
      <c r="FY34" s="284">
        <f xml:space="preserve"> 'WK2015'!P44</f>
        <v>0.75563002775385013</v>
      </c>
      <c r="GA34" s="283">
        <f xml:space="preserve"> 'WK2015'!HB44</f>
        <v>508.02706499999994</v>
      </c>
      <c r="GB34" s="283">
        <f xml:space="preserve"> 'WK2015'!HC44</f>
        <v>1459.9173119999998</v>
      </c>
      <c r="GC34" s="283">
        <f xml:space="preserve"> 'WK2015'!HF44</f>
        <v>649.75737144672576</v>
      </c>
      <c r="GD34" s="283">
        <f xml:space="preserve"> 'WK2015'!HG44</f>
        <v>1072.5482784467256</v>
      </c>
      <c r="GE34" s="283">
        <f xml:space="preserve"> 'WK2015'!HH44</f>
        <v>522.85245854956986</v>
      </c>
      <c r="GF34" s="283">
        <f xml:space="preserve"> 'WK2015'!HI44</f>
        <v>945.64336554956969</v>
      </c>
      <c r="GG34" s="284">
        <f xml:space="preserve"> 'WK2015'!HJ44</f>
        <v>0.73212911880266984</v>
      </c>
      <c r="GI34" s="283">
        <f xml:space="preserve"> 'WK2015'!HQ44</f>
        <v>395.54759999999999</v>
      </c>
      <c r="GJ34" s="283">
        <f xml:space="preserve"> 'WK2015'!HR44</f>
        <v>697.35657600000002</v>
      </c>
      <c r="GK34" s="283">
        <f xml:space="preserve"> 'WK2015'!HU44</f>
        <v>451.43835130952027</v>
      </c>
      <c r="GL34" s="283">
        <f xml:space="preserve"> 'WK2015'!HV44</f>
        <v>595.90291030952028</v>
      </c>
      <c r="GM34" s="283">
        <f xml:space="preserve"> 'WK2015'!HW44</f>
        <v>398.55264852670291</v>
      </c>
      <c r="GN34" s="283">
        <f xml:space="preserve"> 'WK2015'!HX44</f>
        <v>543.01720752670292</v>
      </c>
      <c r="GO34" s="284">
        <f xml:space="preserve"> 'WK2015'!HY44</f>
        <v>0.64478719756850167</v>
      </c>
    </row>
    <row r="35" spans="1:197" x14ac:dyDescent="0.2">
      <c r="A35" s="3">
        <f>Basis!A35</f>
        <v>35</v>
      </c>
      <c r="D35" s="252" t="e">
        <v>#N/A</v>
      </c>
      <c r="E35" s="252" t="e">
        <v>#N/A</v>
      </c>
      <c r="H35" s="50">
        <f xml:space="preserve"> 'WK2012'!EG45</f>
        <v>1446.6420762205501</v>
      </c>
      <c r="I35" s="50">
        <f xml:space="preserve"> 'WK2012'!EH45</f>
        <v>3476.9864995798744</v>
      </c>
      <c r="J35" s="50">
        <f xml:space="preserve"> 'WK2012'!EK45</f>
        <v>2169.443100852126</v>
      </c>
      <c r="K35" s="50">
        <f xml:space="preserve"> 'WK2012'!EL45</f>
        <v>3216.3942266163517</v>
      </c>
      <c r="L35" s="50">
        <f xml:space="preserve"> 'WK2012'!EM45</f>
        <v>1491.722707337145</v>
      </c>
      <c r="M35" s="50">
        <f xml:space="preserve"> 'WK2012'!EN45</f>
        <v>2538.6738331013698</v>
      </c>
      <c r="N35" s="61">
        <f xml:space="preserve"> 'WK2012'!EI45</f>
        <v>0.78098851914821343</v>
      </c>
      <c r="P35" s="50">
        <f xml:space="preserve"> 'WK2012'!EU45</f>
        <v>1105.4305090112332</v>
      </c>
      <c r="Q35" s="50">
        <f xml:space="preserve"> 'WK2012'!EV45</f>
        <v>2700.1568839289107</v>
      </c>
      <c r="R35" s="50">
        <f xml:space="preserve"> 'WK2012'!EY45</f>
        <v>1785.7642788620974</v>
      </c>
      <c r="S35" s="50">
        <f xml:space="preserve"> 'WK2012'!EZ45</f>
        <v>2469.4303665380444</v>
      </c>
      <c r="T35" s="50">
        <f xml:space="preserve"> 'WK2012'!FA45</f>
        <v>1141.499184874843</v>
      </c>
      <c r="U35" s="50">
        <f xml:space="preserve"> 'WK2012'!FB45</f>
        <v>1825.16527255079</v>
      </c>
      <c r="V35" s="61">
        <f xml:space="preserve"> 'WK2012'!EW45</f>
        <v>0.78220847543802752</v>
      </c>
      <c r="X35" s="50">
        <f xml:space="preserve"> 'WK2012'!FI45</f>
        <v>657.67314138197435</v>
      </c>
      <c r="Y35" s="50">
        <f xml:space="preserve"> 'WK2012'!FJ45</f>
        <v>1437.2214954880217</v>
      </c>
      <c r="Z35" s="50">
        <f xml:space="preserve"> 'WK2012'!FM45</f>
        <v>979.42275041951632</v>
      </c>
      <c r="AA35" s="50">
        <f xml:space="preserve"> 'WK2012'!FN45</f>
        <v>1313.0999926048512</v>
      </c>
      <c r="AB35" s="50">
        <f xml:space="preserve"> 'WK2012'!FO45</f>
        <v>681.01154717188945</v>
      </c>
      <c r="AC35" s="50">
        <f xml:space="preserve"> 'WK2012'!FP45</f>
        <v>1014.6887893572244</v>
      </c>
      <c r="AD35" s="61">
        <f xml:space="preserve"> 'WK2012'!FK45</f>
        <v>0.77572179681726861</v>
      </c>
      <c r="AF35" s="50">
        <f xml:space="preserve"> 'WK2012'!FW45</f>
        <v>62.791401160874585</v>
      </c>
      <c r="AG35" s="50">
        <f xml:space="preserve"> 'WK2012'!FX45</f>
        <v>263.32021291978879</v>
      </c>
      <c r="AH35" s="50">
        <f xml:space="preserve"> 'WK2012'!GA45</f>
        <v>225.12658250172132</v>
      </c>
      <c r="AI35" s="50">
        <f xml:space="preserve"> 'WK2012'!GB45</f>
        <v>217.82232838642295</v>
      </c>
      <c r="AJ35" s="50">
        <f xml:space="preserve"> 'WK2012'!GC45</f>
        <v>66.713666062343137</v>
      </c>
      <c r="AK35" s="50">
        <f xml:space="preserve"> 'WK2012'!GD45</f>
        <v>59.409411947044639</v>
      </c>
      <c r="AL35" s="61">
        <f xml:space="preserve"> 'WK2012'!FY45</f>
        <v>0.77627895280842873</v>
      </c>
      <c r="AN35" s="50">
        <f xml:space="preserve"> 'WK2012'!GK45</f>
        <v>306.53671111745899</v>
      </c>
      <c r="AO35" s="50">
        <f xml:space="preserve"> 'WK2012'!GL45</f>
        <v>390.08261728101161</v>
      </c>
      <c r="AP35" s="50">
        <f xml:space="preserve"> 'WK2012'!GO45</f>
        <v>312.9720078465956</v>
      </c>
      <c r="AQ35" s="50">
        <f xml:space="preserve"> 'WK2012'!GP45</f>
        <v>385.01814253085195</v>
      </c>
      <c r="AR35" s="50">
        <f xml:space="preserve"> 'WK2012'!GQ45</f>
        <v>307.17145902376171</v>
      </c>
      <c r="AS35" s="50">
        <f xml:space="preserve"> 'WK2012'!GR45</f>
        <v>379.21759370801806</v>
      </c>
      <c r="AT35" s="61">
        <f xml:space="preserve"> 'WK2012'!GM45</f>
        <v>0.78265891865986426</v>
      </c>
      <c r="AX35" s="50">
        <f xml:space="preserve"> 'WK2013'!EG45</f>
        <v>1440.9509554000001</v>
      </c>
      <c r="AY35" s="50">
        <f xml:space="preserve"> 'WK2013'!EH45</f>
        <v>3169.6571054000001</v>
      </c>
      <c r="AZ35" s="50">
        <f xml:space="preserve"> 'WK2013'!EK45</f>
        <v>1964.0725247370244</v>
      </c>
      <c r="BA35" s="50">
        <f xml:space="preserve"> 'WK2013'!EL45</f>
        <v>2776.8644217370238</v>
      </c>
      <c r="BB35" s="50">
        <f xml:space="preserve"> 'WK2013'!EM45</f>
        <v>1484.1512696958432</v>
      </c>
      <c r="BC35" s="50">
        <f xml:space="preserve"> 'WK2013'!EN45</f>
        <v>2296.943166695843</v>
      </c>
      <c r="BD35" s="61">
        <f xml:space="preserve"> 'WK2013'!EI45</f>
        <v>0.74827728345836719</v>
      </c>
      <c r="BF35" s="50">
        <f xml:space="preserve"> 'WK2013'!EU45</f>
        <v>1072.7768691000001</v>
      </c>
      <c r="BG35" s="50">
        <f xml:space="preserve"> 'WK2013'!EV45</f>
        <v>2384.5767656000003</v>
      </c>
      <c r="BH35" s="50">
        <f xml:space="preserve"> 'WK2013'!EY45</f>
        <v>1661.9700067880506</v>
      </c>
      <c r="BI35" s="50">
        <f xml:space="preserve"> 'WK2013'!EZ45</f>
        <v>2158.4340727880503</v>
      </c>
      <c r="BJ35" s="50">
        <f xml:space="preserve"> 'WK2013'!FA45</f>
        <v>1108.3635549623236</v>
      </c>
      <c r="BK35" s="50">
        <f xml:space="preserve"> 'WK2013'!FB45</f>
        <v>1604.8276209623234</v>
      </c>
      <c r="BL35" s="61">
        <f xml:space="preserve"> 'WK2013'!EW45</f>
        <v>0.76341250743968825</v>
      </c>
      <c r="BN35" s="50">
        <f xml:space="preserve"> 'WK2013'!FI45</f>
        <v>753.01751259999992</v>
      </c>
      <c r="BO35" s="50">
        <f xml:space="preserve"> 'WK2013'!FJ45</f>
        <v>1744.483925</v>
      </c>
      <c r="BP35" s="50">
        <f xml:space="preserve"> 'WK2013'!FM45</f>
        <v>1185.0674675885448</v>
      </c>
      <c r="BQ35" s="50">
        <f xml:space="preserve"> 'WK2013'!FN45</f>
        <v>1587.7344185885447</v>
      </c>
      <c r="BR35" s="50">
        <f xml:space="preserve"> 'WK2013'!FO45</f>
        <v>780.84134483008722</v>
      </c>
      <c r="BS35" s="50">
        <f xml:space="preserve"> 'WK2013'!FP45</f>
        <v>1183.508295830087</v>
      </c>
      <c r="BT35" s="61">
        <f xml:space="preserve"> 'WK2013'!FK45</f>
        <v>0.75543545271204782</v>
      </c>
      <c r="BV35" s="50">
        <f xml:space="preserve"> 'WK2013'!FW45</f>
        <v>339.17364640000005</v>
      </c>
      <c r="BW35" s="50">
        <f xml:space="preserve"> 'WK2013'!FX45</f>
        <v>457.79809839999996</v>
      </c>
      <c r="BX35" s="50">
        <f xml:space="preserve"> 'WK2013'!GA45</f>
        <v>339.75075294063174</v>
      </c>
      <c r="BY35" s="50">
        <f xml:space="preserve"> 'WK2013'!GB45</f>
        <v>457.36918494063173</v>
      </c>
      <c r="BZ35" s="50">
        <f xml:space="preserve"> 'WK2013'!GC45</f>
        <v>339.22689151479983</v>
      </c>
      <c r="CA35" s="50">
        <f xml:space="preserve"> 'WK2013'!GD45</f>
        <v>456.84532351479982</v>
      </c>
      <c r="CB35" s="61">
        <f xml:space="preserve"> 'WK2013'!FY45</f>
        <v>0.76760322878796405</v>
      </c>
      <c r="CD35" s="50">
        <f xml:space="preserve"> 'WK2013'!GK45</f>
        <v>81.092652750000013</v>
      </c>
      <c r="CE35" s="50">
        <f xml:space="preserve"> 'WK2013'!GL45</f>
        <v>305.07115274999995</v>
      </c>
      <c r="CF35" s="50">
        <f xml:space="preserve"> 'WK2013'!GO45</f>
        <v>262.09547564852107</v>
      </c>
      <c r="CG35" s="50">
        <f xml:space="preserve"> 'WK2013'!GP45</f>
        <v>250.24478339852095</v>
      </c>
      <c r="CH35" s="50">
        <f xml:space="preserve"> 'WK2013'!GQ45</f>
        <v>85.408249946918687</v>
      </c>
      <c r="CI35" s="50">
        <f xml:space="preserve"> 'WK2013'!GR45</f>
        <v>73.557557696918636</v>
      </c>
      <c r="CJ35" s="61">
        <f xml:space="preserve"> 'WK2013'!GM45</f>
        <v>0.76545904373490015</v>
      </c>
      <c r="CN35" s="50">
        <f xml:space="preserve"> 'WK2014'!EG45</f>
        <v>1467.6314551999999</v>
      </c>
      <c r="CO35" s="50">
        <f xml:space="preserve"> 'WK2014'!EH45</f>
        <v>3231.1253235999998</v>
      </c>
      <c r="CP35" s="50">
        <f xml:space="preserve"> 'WK2014'!EK45</f>
        <v>1958.109848207707</v>
      </c>
      <c r="CQ35" s="50">
        <f xml:space="preserve"> 'WK2014'!EL45</f>
        <v>2792.917588807707</v>
      </c>
      <c r="CR35" s="50">
        <f xml:space="preserve"> 'WK2014'!EM45</f>
        <v>1501.3693713983425</v>
      </c>
      <c r="CS35" s="50">
        <f xml:space="preserve"> 'WK2014'!EN45</f>
        <v>2336.1771119983423</v>
      </c>
      <c r="CT35" s="61">
        <f xml:space="preserve"> 'WK2014'!EI45</f>
        <v>0.77044727608640362</v>
      </c>
      <c r="CV35" s="50">
        <f xml:space="preserve"> 'WK2014'!EU45</f>
        <v>1068.1697237999999</v>
      </c>
      <c r="CW35" s="50">
        <f xml:space="preserve"> 'WK2014'!EV45</f>
        <v>2343.6510734000003</v>
      </c>
      <c r="CX35" s="50">
        <f xml:space="preserve"> 'WK2014'!EY45</f>
        <v>1669.0445377865401</v>
      </c>
      <c r="CY35" s="50">
        <f xml:space="preserve"> 'WK2014'!EZ45</f>
        <v>2108.9525716865405</v>
      </c>
      <c r="CZ35" s="50">
        <f xml:space="preserve"> 'WK2014'!FA45</f>
        <v>1104.21775767195</v>
      </c>
      <c r="DA35" s="50">
        <f xml:space="preserve"> 'WK2014'!FB45</f>
        <v>1544.1257915719502</v>
      </c>
      <c r="DB35" s="61">
        <f xml:space="preserve"> 'WK2014'!EW45</f>
        <v>0.76202583441632188</v>
      </c>
      <c r="DC35" s="1"/>
      <c r="DD35" s="50">
        <f xml:space="preserve"> 'WK2014'!FI45</f>
        <v>767.57334000000003</v>
      </c>
      <c r="DE35" s="50">
        <f xml:space="preserve"> 'WK2014'!FJ45</f>
        <v>1848.7312904</v>
      </c>
      <c r="DF35" s="50">
        <f xml:space="preserve"> 'WK2014'!FM45</f>
        <v>1165.7225652535169</v>
      </c>
      <c r="DG35" s="50">
        <f xml:space="preserve"> 'WK2014'!FN45</f>
        <v>1707.6332800535167</v>
      </c>
      <c r="DH35" s="50">
        <f xml:space="preserve"> 'WK2014'!FO45</f>
        <v>791.45705517855993</v>
      </c>
      <c r="DI35" s="50">
        <f xml:space="preserve"> 'WK2014'!FP45</f>
        <v>1333.3677699785599</v>
      </c>
      <c r="DJ35" s="61">
        <f xml:space="preserve"> 'WK2014'!FK45</f>
        <v>0.75693208661093692</v>
      </c>
      <c r="DK35" s="1"/>
      <c r="DL35" s="50">
        <f xml:space="preserve"> 'WK2014'!FW45</f>
        <v>332.18842319999999</v>
      </c>
      <c r="DM35" s="50">
        <f xml:space="preserve"> 'WK2014'!FX45</f>
        <v>450.62150960000008</v>
      </c>
      <c r="DN35" s="50">
        <f xml:space="preserve"> 'WK2014'!GA45</f>
        <v>332.75498231472983</v>
      </c>
      <c r="DO35" s="50">
        <f xml:space="preserve"> 'WK2014'!GB45</f>
        <v>450.20160091472985</v>
      </c>
      <c r="DP35" s="50">
        <f xml:space="preserve"> 'WK2014'!GC45</f>
        <v>332.2399619058138</v>
      </c>
      <c r="DQ35" s="50">
        <f xml:space="preserve"> 'WK2014'!GD45</f>
        <v>449.68658050581382</v>
      </c>
      <c r="DR35" s="61">
        <f xml:space="preserve"> 'WK2014'!FY45</f>
        <v>0.76582900060004588</v>
      </c>
      <c r="DS35" s="1"/>
      <c r="DT35" s="50">
        <f xml:space="preserve"> 'WK2014'!GK45</f>
        <v>79.104608999999954</v>
      </c>
      <c r="DU35" s="50">
        <f xml:space="preserve"> 'WK2014'!GL45</f>
        <v>311.72935049999995</v>
      </c>
      <c r="DV35" s="50">
        <f xml:space="preserve"> 'WK2014'!GO45</f>
        <v>267.81088865175684</v>
      </c>
      <c r="DW35" s="50">
        <f xml:space="preserve"> 'WK2014'!GP45</f>
        <v>255.70075265175686</v>
      </c>
      <c r="DX35" s="50">
        <f xml:space="preserve"> 'WK2014'!GQ45</f>
        <v>84.071842543103756</v>
      </c>
      <c r="DY35" s="50">
        <f xml:space="preserve"> 'WK2014'!GR45</f>
        <v>71.96170654310373</v>
      </c>
      <c r="DZ35" s="61">
        <f xml:space="preserve"> 'WK2014'!GM45</f>
        <v>0.76306371260449013</v>
      </c>
      <c r="ED35" s="50">
        <f xml:space="preserve"> 'WK2015'!EG45</f>
        <v>1447.5953926</v>
      </c>
      <c r="EE35" s="50">
        <f xml:space="preserve"> 'WK2015'!EH45</f>
        <v>3115.8992497999998</v>
      </c>
      <c r="EF35" s="50">
        <f xml:space="preserve"> 'WK2015'!EK45</f>
        <v>1985.3903134081261</v>
      </c>
      <c r="EG35" s="50">
        <f xml:space="preserve"> 'WK2015'!EL45</f>
        <v>2588.0518900081265</v>
      </c>
      <c r="EH35" s="50">
        <f xml:space="preserve"> 'WK2015'!EM45</f>
        <v>1488.3738180114149</v>
      </c>
      <c r="EI35" s="50">
        <f xml:space="preserve"> 'WK2015'!EN45</f>
        <v>2091.0353946114146</v>
      </c>
      <c r="EJ35" s="61">
        <f xml:space="preserve"> 'WK2015'!EI45</f>
        <v>0.773931795484607</v>
      </c>
      <c r="EK35" s="1"/>
      <c r="EL35" s="50">
        <f xml:space="preserve"> 'WK2015'!EU45</f>
        <v>1043.3108989</v>
      </c>
      <c r="EM35" s="50">
        <f xml:space="preserve"> 'WK2015'!EV45</f>
        <v>2371.3165357000003</v>
      </c>
      <c r="EN35" s="50">
        <f xml:space="preserve"> 'WK2015'!EY45</f>
        <v>1708.2632321255364</v>
      </c>
      <c r="EO35" s="50">
        <f xml:space="preserve"> 'WK2015'!EZ45</f>
        <v>2121.6320265255367</v>
      </c>
      <c r="EP35" s="50">
        <f xml:space="preserve"> 'WK2015'!FA45</f>
        <v>1080.1849117840252</v>
      </c>
      <c r="EQ35" s="50">
        <f xml:space="preserve"> 'WK2015'!FB45</f>
        <v>1493.553706184025</v>
      </c>
      <c r="ER35" s="61">
        <f xml:space="preserve"> 'WK2015'!EW45</f>
        <v>0.77113326018014672</v>
      </c>
      <c r="ES35" s="1"/>
      <c r="ET35" s="50">
        <f xml:space="preserve"> 'WK2015'!FI45</f>
        <v>803.128917</v>
      </c>
      <c r="EU35" s="50">
        <f xml:space="preserve"> 'WK2015'!FJ45</f>
        <v>1853.2842907999998</v>
      </c>
      <c r="EV35" s="50">
        <f xml:space="preserve"> 'WK2015'!FM45</f>
        <v>1229.4276695504798</v>
      </c>
      <c r="EW35" s="50">
        <f xml:space="preserve"> 'WK2015'!FN45</f>
        <v>1693.0416617504795</v>
      </c>
      <c r="EX35" s="50">
        <f xml:space="preserve"> 'WK2015'!FO45</f>
        <v>827.64652210375334</v>
      </c>
      <c r="EY35" s="50">
        <f xml:space="preserve"> 'WK2015'!FP45</f>
        <v>1291.2605143037531</v>
      </c>
      <c r="EZ35" s="61">
        <f xml:space="preserve"> 'WK2015'!FK45</f>
        <v>0.76016042046660348</v>
      </c>
      <c r="FA35" s="1"/>
      <c r="FB35" s="50">
        <f xml:space="preserve"> 'WK2015'!FW45</f>
        <v>316.06171760000001</v>
      </c>
      <c r="FC35" s="50">
        <f xml:space="preserve"> 'WK2015'!FX45</f>
        <v>433.98242279999999</v>
      </c>
      <c r="FD35" s="50">
        <f xml:space="preserve"> 'WK2015'!GA45</f>
        <v>316.66574996206293</v>
      </c>
      <c r="FE35" s="50">
        <f xml:space="preserve"> 'WK2015'!GB45</f>
        <v>433.54023556206289</v>
      </c>
      <c r="FF35" s="50">
        <f xml:space="preserve"> 'WK2015'!GC45</f>
        <v>316.11450427007708</v>
      </c>
      <c r="FG35" s="50">
        <f xml:space="preserve"> 'WK2015'!GD45</f>
        <v>432.98898987007703</v>
      </c>
      <c r="FH35" s="61">
        <f xml:space="preserve"> 'WK2015'!FY45</f>
        <v>0.77404095231518366</v>
      </c>
      <c r="FI35" s="1"/>
      <c r="FJ35" s="50">
        <f xml:space="preserve"> 'WK2015'!GK45</f>
        <v>72.02355974999999</v>
      </c>
      <c r="FK35" s="50">
        <f xml:space="preserve"> 'WK2015'!GL45</f>
        <v>340.23082949999991</v>
      </c>
      <c r="FL35" s="50">
        <f xml:space="preserve"> 'WK2015'!GO45</f>
        <v>280.32349122377997</v>
      </c>
      <c r="FM35" s="50">
        <f xml:space="preserve"> 'WK2015'!GP45</f>
        <v>283.8261052237799</v>
      </c>
      <c r="FN35" s="50">
        <f xml:space="preserve"> 'WK2015'!GQ45</f>
        <v>77.323205722599539</v>
      </c>
      <c r="FO35" s="50">
        <f xml:space="preserve"> 'WK2015'!GR45</f>
        <v>80.825819722599448</v>
      </c>
      <c r="FP35" s="61">
        <f xml:space="preserve"> 'WK2015'!GM45</f>
        <v>0.76201041913472378</v>
      </c>
      <c r="FS35" s="283">
        <f xml:space="preserve"> 'WK2015'!H45</f>
        <v>828.62608999999998</v>
      </c>
      <c r="FT35" s="283">
        <f xml:space="preserve"> 'WK2015'!I45</f>
        <v>1793.71181</v>
      </c>
      <c r="FU35" s="283">
        <f xml:space="preserve"> 'WK2015'!L45</f>
        <v>943.58784297253715</v>
      </c>
      <c r="FV35" s="283">
        <f xml:space="preserve"> 'WK2015'!M45</f>
        <v>1410.3008789725372</v>
      </c>
      <c r="FW35" s="283">
        <f xml:space="preserve"> 'WK2015'!N45</f>
        <v>850.92248316561836</v>
      </c>
      <c r="FX35" s="283">
        <f xml:space="preserve"> 'WK2015'!O45</f>
        <v>1317.6355191656185</v>
      </c>
      <c r="FY35" s="284">
        <f xml:space="preserve"> 'WK2015'!P45</f>
        <v>0.76932573420790196</v>
      </c>
      <c r="GA35" s="283">
        <f xml:space="preserve"> 'WK2015'!HB45</f>
        <v>527.533728</v>
      </c>
      <c r="GB35" s="283">
        <f xml:space="preserve"> 'WK2015'!HC45</f>
        <v>1451.7704519999998</v>
      </c>
      <c r="GC35" s="283">
        <f xml:space="preserve"> 'WK2015'!HF45</f>
        <v>654.12577775753141</v>
      </c>
      <c r="GD35" s="283">
        <f xml:space="preserve"> 'WK2015'!HG45</f>
        <v>1060.7478657575311</v>
      </c>
      <c r="GE35" s="283">
        <f xml:space="preserve"> 'WK2015'!HH45</f>
        <v>542.35912154956986</v>
      </c>
      <c r="GF35" s="283">
        <f xml:space="preserve"> 'WK2015'!HI45</f>
        <v>948.9812095495696</v>
      </c>
      <c r="GG35" s="284">
        <f xml:space="preserve"> 'WK2015'!HJ45</f>
        <v>0.75543185807919966</v>
      </c>
      <c r="GI35" s="283">
        <f xml:space="preserve"> 'WK2015'!HQ45</f>
        <v>417.18575499999997</v>
      </c>
      <c r="GJ35" s="283">
        <f xml:space="preserve"> 'WK2015'!HR45</f>
        <v>713.56515300000001</v>
      </c>
      <c r="GK35" s="283">
        <f xml:space="preserve"> 'WK2015'!HU45</f>
        <v>472.68063637599994</v>
      </c>
      <c r="GL35" s="283">
        <f xml:space="preserve"> 'WK2015'!HV45</f>
        <v>611.40412137600003</v>
      </c>
      <c r="GM35" s="283">
        <f xml:space="preserve"> 'WK2015'!HW45</f>
        <v>420.19080352670289</v>
      </c>
      <c r="GN35" s="283">
        <f xml:space="preserve"> 'WK2015'!HX45</f>
        <v>558.91428852670299</v>
      </c>
      <c r="GO35" s="284">
        <f xml:space="preserve"> 'WK2015'!HY45</f>
        <v>0.64800000000000002</v>
      </c>
    </row>
    <row r="36" spans="1:197" x14ac:dyDescent="0.2">
      <c r="A36" s="3">
        <f>Basis!A36</f>
        <v>36</v>
      </c>
      <c r="D36" s="252" t="e">
        <v>#N/A</v>
      </c>
      <c r="E36" s="252" t="e">
        <v>#N/A</v>
      </c>
      <c r="H36" s="50">
        <f xml:space="preserve"> 'WK2012'!EG46</f>
        <v>1485.2897255261594</v>
      </c>
      <c r="I36" s="50">
        <f xml:space="preserve"> 'WK2012'!EH46</f>
        <v>3478.3182863244751</v>
      </c>
      <c r="J36" s="50">
        <f xml:space="preserve"> 'WK2012'!EK46</f>
        <v>2151.6440491470562</v>
      </c>
      <c r="K36" s="50">
        <f xml:space="preserve"> 'WK2012'!EL46</f>
        <v>3228.1685998682938</v>
      </c>
      <c r="L36" s="50">
        <f xml:space="preserve"> 'WK2012'!EM46</f>
        <v>1530.3703566427541</v>
      </c>
      <c r="M36" s="50">
        <f xml:space="preserve"> 'WK2012'!EN46</f>
        <v>2606.8949073639919</v>
      </c>
      <c r="N36" s="61">
        <f xml:space="preserve"> 'WK2012'!EI46</f>
        <v>0.78427344619707129</v>
      </c>
      <c r="P36" s="50">
        <f xml:space="preserve"> 'WK2012'!EU46</f>
        <v>1127.6596007382741</v>
      </c>
      <c r="Q36" s="50">
        <f xml:space="preserve"> 'WK2012'!EV46</f>
        <v>2708.9551978293334</v>
      </c>
      <c r="R36" s="50">
        <f xml:space="preserve"> 'WK2012'!EY46</f>
        <v>1767.6361726600346</v>
      </c>
      <c r="S36" s="50">
        <f xml:space="preserve"> 'WK2012'!EZ46</f>
        <v>2486.5670771793484</v>
      </c>
      <c r="T36" s="50">
        <f xml:space="preserve"> 'WK2012'!FA46</f>
        <v>1163.7282766018836</v>
      </c>
      <c r="U36" s="50">
        <f xml:space="preserve"> 'WK2012'!FB46</f>
        <v>1882.6591811211977</v>
      </c>
      <c r="V36" s="61">
        <f xml:space="preserve"> 'WK2012'!EW46</f>
        <v>0.78551162644702122</v>
      </c>
      <c r="X36" s="50">
        <f xml:space="preserve"> 'WK2012'!FI46</f>
        <v>678.98186480764093</v>
      </c>
      <c r="Y36" s="50">
        <f xml:space="preserve"> 'WK2012'!FJ46</f>
        <v>1443.5865936114942</v>
      </c>
      <c r="Z36" s="50">
        <f xml:space="preserve"> 'WK2012'!FM46</f>
        <v>971.86721602784633</v>
      </c>
      <c r="AA36" s="50">
        <f xml:space="preserve"> 'WK2012'!FN46</f>
        <v>1325.9418898384015</v>
      </c>
      <c r="AB36" s="50">
        <f xml:space="preserve"> 'WK2012'!FO46</f>
        <v>702.32027059755592</v>
      </c>
      <c r="AC36" s="50">
        <f xml:space="preserve"> 'WK2012'!FP46</f>
        <v>1056.3949444081109</v>
      </c>
      <c r="AD36" s="61">
        <f xml:space="preserve"> 'WK2012'!FK46</f>
        <v>0.77698878625660583</v>
      </c>
      <c r="AF36" s="50">
        <f xml:space="preserve"> 'WK2012'!FW46</f>
        <v>66.755452785997903</v>
      </c>
      <c r="AG36" s="50">
        <f xml:space="preserve"> 'WK2012'!FX46</f>
        <v>250.66192125845086</v>
      </c>
      <c r="AH36" s="50">
        <f xml:space="preserve"> 'WK2012'!GA46</f>
        <v>210.08069004205623</v>
      </c>
      <c r="AI36" s="50">
        <f xml:space="preserve"> 'WK2012'!GB46</f>
        <v>206.77229970735613</v>
      </c>
      <c r="AJ36" s="50">
        <f xml:space="preserve"> 'WK2012'!GC46</f>
        <v>70.677717687466455</v>
      </c>
      <c r="AK36" s="50">
        <f xml:space="preserve"> 'WK2012'!GD46</f>
        <v>67.369327352766263</v>
      </c>
      <c r="AL36" s="61">
        <f xml:space="preserve"> 'WK2012'!FY46</f>
        <v>0.77686756356408959</v>
      </c>
      <c r="AN36" s="50">
        <f xml:space="preserve"> 'WK2012'!GK46</f>
        <v>313.74177496148042</v>
      </c>
      <c r="AO36" s="50">
        <f xml:space="preserve"> 'WK2012'!GL46</f>
        <v>403.10259053396805</v>
      </c>
      <c r="AP36" s="50">
        <f xml:space="preserve"> 'WK2012'!GO46</f>
        <v>319.56733722245946</v>
      </c>
      <c r="AQ36" s="50">
        <f xml:space="preserve"> 'WK2012'!GP46</f>
        <v>398.55530997752749</v>
      </c>
      <c r="AR36" s="50">
        <f xml:space="preserve"> 'WK2012'!GQ46</f>
        <v>314.37652286778314</v>
      </c>
      <c r="AS36" s="50">
        <f xml:space="preserve"> 'WK2012'!GR46</f>
        <v>393.36449562285117</v>
      </c>
      <c r="AT36" s="61">
        <f xml:space="preserve"> 'WK2012'!GM46</f>
        <v>0.7857075203270697</v>
      </c>
      <c r="AX36" s="50">
        <f xml:space="preserve"> 'WK2013'!EG46</f>
        <v>1493.4240126</v>
      </c>
      <c r="AY36" s="50">
        <f xml:space="preserve"> 'WK2013'!EH46</f>
        <v>3194.3367306000005</v>
      </c>
      <c r="AZ36" s="50">
        <f xml:space="preserve"> 'WK2013'!EK46</f>
        <v>1975.0070955679471</v>
      </c>
      <c r="BA36" s="50">
        <f xml:space="preserve"> 'WK2013'!EL46</f>
        <v>2818.7046495679479</v>
      </c>
      <c r="BB36" s="50">
        <f xml:space="preserve"> 'WK2013'!EM46</f>
        <v>1536.6243268958433</v>
      </c>
      <c r="BC36" s="50">
        <f xml:space="preserve"> 'WK2013'!EN46</f>
        <v>2380.3218808958436</v>
      </c>
      <c r="BD36" s="61">
        <f xml:space="preserve"> 'WK2013'!EI46</f>
        <v>0.75365800106420866</v>
      </c>
      <c r="BF36" s="50">
        <f xml:space="preserve"> 'WK2013'!EU46</f>
        <v>1123.6185514000001</v>
      </c>
      <c r="BG36" s="50">
        <f xml:space="preserve"> 'WK2013'!EV46</f>
        <v>2384.0700853999997</v>
      </c>
      <c r="BH36" s="50">
        <f xml:space="preserve"> 'WK2013'!EY46</f>
        <v>1674.7849587969224</v>
      </c>
      <c r="BI36" s="50">
        <f xml:space="preserve"> 'WK2013'!EZ46</f>
        <v>2159.8830257969225</v>
      </c>
      <c r="BJ36" s="50">
        <f xml:space="preserve"> 'WK2013'!FA46</f>
        <v>1159.2052372623236</v>
      </c>
      <c r="BK36" s="50">
        <f xml:space="preserve"> 'WK2013'!FB46</f>
        <v>1644.3033042623238</v>
      </c>
      <c r="BL36" s="61">
        <f xml:space="preserve"> 'WK2013'!EW46</f>
        <v>0.76767085750558461</v>
      </c>
      <c r="BN36" s="50">
        <f xml:space="preserve"> 'WK2013'!FI46</f>
        <v>784.54737220000004</v>
      </c>
      <c r="BO36" s="50">
        <f xml:space="preserve"> 'WK2013'!FJ46</f>
        <v>1764.8399643999999</v>
      </c>
      <c r="BP36" s="50">
        <f xml:space="preserve"> 'WK2013'!FM46</f>
        <v>1187.879296072121</v>
      </c>
      <c r="BQ36" s="50">
        <f xml:space="preserve"> 'WK2013'!FN46</f>
        <v>1613.0838360721209</v>
      </c>
      <c r="BR36" s="50">
        <f xml:space="preserve"> 'WK2013'!FO46</f>
        <v>812.37120443008712</v>
      </c>
      <c r="BS36" s="50">
        <f xml:space="preserve"> 'WK2013'!FP46</f>
        <v>1237.5757444300871</v>
      </c>
      <c r="BT36" s="61">
        <f xml:space="preserve"> 'WK2013'!FK46</f>
        <v>0.75995326673874952</v>
      </c>
      <c r="BV36" s="50">
        <f xml:space="preserve"> 'WK2013'!FW46</f>
        <v>351.63359260000004</v>
      </c>
      <c r="BW36" s="50">
        <f xml:space="preserve"> 'WK2013'!FX46</f>
        <v>474.50242060000005</v>
      </c>
      <c r="BX36" s="50">
        <f xml:space="preserve"> 'WK2013'!GA46</f>
        <v>352.18964304394058</v>
      </c>
      <c r="BY36" s="50">
        <f xml:space="preserve"> 'WK2013'!GB46</f>
        <v>474.08851104394063</v>
      </c>
      <c r="BZ36" s="50">
        <f xml:space="preserve"> 'WK2013'!GC46</f>
        <v>351.68683771479982</v>
      </c>
      <c r="CA36" s="50">
        <f xml:space="preserve"> 'WK2013'!GD46</f>
        <v>473.58570571479987</v>
      </c>
      <c r="CB36" s="61">
        <f xml:space="preserve"> 'WK2013'!FY46</f>
        <v>0.77103885270923933</v>
      </c>
      <c r="CD36" s="50">
        <f xml:space="preserve"> 'WK2013'!GK46</f>
        <v>81.606574500000036</v>
      </c>
      <c r="CE36" s="50">
        <f xml:space="preserve"> 'WK2013'!GL46</f>
        <v>297.7351777500001</v>
      </c>
      <c r="CF36" s="50">
        <f xml:space="preserve"> 'WK2013'!GO46</f>
        <v>251.48870283979755</v>
      </c>
      <c r="CG36" s="50">
        <f xml:space="preserve"> 'WK2013'!GP46</f>
        <v>244.21220058979773</v>
      </c>
      <c r="CH36" s="50">
        <f xml:space="preserve"> 'WK2013'!GQ46</f>
        <v>85.922171696918696</v>
      </c>
      <c r="CI36" s="50">
        <f xml:space="preserve"> 'WK2013'!GR46</f>
        <v>78.645669446918816</v>
      </c>
      <c r="CJ36" s="61">
        <f xml:space="preserve"> 'WK2013'!GM46</f>
        <v>0.76826065676298905</v>
      </c>
      <c r="CN36" s="50">
        <f xml:space="preserve"> 'WK2014'!EG46</f>
        <v>1515.5051451999998</v>
      </c>
      <c r="CO36" s="50">
        <f xml:space="preserve"> 'WK2014'!EH46</f>
        <v>3250.5235791999999</v>
      </c>
      <c r="CP36" s="50">
        <f xml:space="preserve"> 'WK2014'!EK46</f>
        <v>1969.7728222283536</v>
      </c>
      <c r="CQ36" s="50">
        <f xml:space="preserve"> 'WK2014'!EL46</f>
        <v>2836.0405534283541</v>
      </c>
      <c r="CR36" s="50">
        <f xml:space="preserve"> 'WK2014'!EM46</f>
        <v>1549.2430613983427</v>
      </c>
      <c r="CS36" s="50">
        <f xml:space="preserve"> 'WK2014'!EN46</f>
        <v>2415.510792598343</v>
      </c>
      <c r="CT36" s="61">
        <f xml:space="preserve"> 'WK2014'!EI46</f>
        <v>0.78003776464147778</v>
      </c>
      <c r="CV36" s="50">
        <f xml:space="preserve"> 'WK2014'!EU46</f>
        <v>1114.9653982999998</v>
      </c>
      <c r="CW36" s="50">
        <f xml:space="preserve"> 'WK2014'!EV46</f>
        <v>2351.0694867999996</v>
      </c>
      <c r="CX36" s="50">
        <f xml:space="preserve"> 'WK2014'!EY46</f>
        <v>1682.4446478755954</v>
      </c>
      <c r="CY36" s="50">
        <f xml:space="preserve"> 'WK2014'!EZ46</f>
        <v>2118.4776671755953</v>
      </c>
      <c r="CZ36" s="50">
        <f xml:space="preserve"> 'WK2014'!FA46</f>
        <v>1151.0134321719499</v>
      </c>
      <c r="DA36" s="50">
        <f xml:space="preserve"> 'WK2014'!FB46</f>
        <v>1587.0464514719501</v>
      </c>
      <c r="DB36" s="61">
        <f xml:space="preserve"> 'WK2014'!EW46</f>
        <v>0.77091087914886036</v>
      </c>
      <c r="DC36" s="1"/>
      <c r="DD36" s="50">
        <f xml:space="preserve"> 'WK2014'!FI46</f>
        <v>800.12508240000011</v>
      </c>
      <c r="DE36" s="50">
        <f xml:space="preserve"> 'WK2014'!FJ46</f>
        <v>1870.6961724</v>
      </c>
      <c r="DF36" s="50">
        <f xml:space="preserve"> 'WK2014'!FM46</f>
        <v>1171.7069773041808</v>
      </c>
      <c r="DG36" s="50">
        <f xml:space="preserve"> 'WK2014'!FN46</f>
        <v>1734.3435585041807</v>
      </c>
      <c r="DH36" s="50">
        <f xml:space="preserve"> 'WK2014'!FO46</f>
        <v>824.00879757855989</v>
      </c>
      <c r="DI36" s="50">
        <f xml:space="preserve"> 'WK2014'!FP46</f>
        <v>1386.6453787785599</v>
      </c>
      <c r="DJ36" s="61">
        <f xml:space="preserve"> 'WK2014'!FK46</f>
        <v>0.76509010358376428</v>
      </c>
      <c r="DK36" s="1"/>
      <c r="DL36" s="50">
        <f xml:space="preserve"> 'WK2014'!FW46</f>
        <v>344.66625119999998</v>
      </c>
      <c r="DM36" s="50">
        <f xml:space="preserve"> 'WK2014'!FX46</f>
        <v>466.33763520000002</v>
      </c>
      <c r="DN36" s="50">
        <f xml:space="preserve"> 'WK2014'!GA46</f>
        <v>345.21536200739899</v>
      </c>
      <c r="DO36" s="50">
        <f xml:space="preserve"> 'WK2014'!GB46</f>
        <v>465.92944120739907</v>
      </c>
      <c r="DP36" s="50">
        <f xml:space="preserve"> 'WK2014'!GC46</f>
        <v>344.71778990581379</v>
      </c>
      <c r="DQ36" s="50">
        <f xml:space="preserve"> 'WK2014'!GD46</f>
        <v>465.4318691058138</v>
      </c>
      <c r="DR36" s="61">
        <f xml:space="preserve"> 'WK2014'!FY46</f>
        <v>0.77587671456886698</v>
      </c>
      <c r="DS36" s="1"/>
      <c r="DT36" s="50">
        <f xml:space="preserve"> 'WK2014'!GK46</f>
        <v>77.993460000000013</v>
      </c>
      <c r="DU36" s="50">
        <f xml:space="preserve"> 'WK2014'!GL46</f>
        <v>302.34501299999999</v>
      </c>
      <c r="DV36" s="50">
        <f xml:space="preserve"> 'WK2014'!GO46</f>
        <v>255.76008476458401</v>
      </c>
      <c r="DW36" s="50">
        <f xml:space="preserve"> 'WK2014'!GP46</f>
        <v>247.81693376458404</v>
      </c>
      <c r="DX36" s="50">
        <f xml:space="preserve"> 'WK2014'!GQ46</f>
        <v>82.960693543103815</v>
      </c>
      <c r="DY36" s="50">
        <f xml:space="preserve"> 'WK2014'!GR46</f>
        <v>75.017542543103787</v>
      </c>
      <c r="DZ36" s="61">
        <f xml:space="preserve"> 'WK2014'!GM46</f>
        <v>0.7735881444476731</v>
      </c>
      <c r="ED36" s="50">
        <f xml:space="preserve"> 'WK2015'!EG46</f>
        <v>1490.6884210000001</v>
      </c>
      <c r="EE36" s="50">
        <f xml:space="preserve"> 'WK2015'!EH46</f>
        <v>3122.6648984000003</v>
      </c>
      <c r="EF36" s="50">
        <f xml:space="preserve"> 'WK2015'!EK46</f>
        <v>1990.1011516367707</v>
      </c>
      <c r="EG36" s="50">
        <f xml:space="preserve"> 'WK2015'!EL46</f>
        <v>2616.8064756367712</v>
      </c>
      <c r="EH36" s="50">
        <f xml:space="preserve"> 'WK2015'!EM46</f>
        <v>1531.4668464114152</v>
      </c>
      <c r="EI36" s="50">
        <f xml:space="preserve"> 'WK2015'!EN46</f>
        <v>2158.1721704114148</v>
      </c>
      <c r="EJ36" s="61">
        <f xml:space="preserve"> 'WK2015'!EI46</f>
        <v>0.77416050952761328</v>
      </c>
      <c r="EK36" s="1"/>
      <c r="EL36" s="50">
        <f xml:space="preserve"> 'WK2015'!EU46</f>
        <v>1084.5451600000001</v>
      </c>
      <c r="EM36" s="50">
        <f xml:space="preserve"> 'WK2015'!EV46</f>
        <v>2360.0613351000002</v>
      </c>
      <c r="EN36" s="50">
        <f xml:space="preserve"> 'WK2015'!EY46</f>
        <v>1703.5671935086395</v>
      </c>
      <c r="EO36" s="50">
        <f xml:space="preserve"> 'WK2015'!EZ46</f>
        <v>2114.8996735086394</v>
      </c>
      <c r="EP36" s="50">
        <f xml:space="preserve"> 'WK2015'!FA46</f>
        <v>1121.4191728840251</v>
      </c>
      <c r="EQ36" s="50">
        <f xml:space="preserve"> 'WK2015'!FB46</f>
        <v>1532.7516528840251</v>
      </c>
      <c r="ER36" s="61">
        <f xml:space="preserve"> 'WK2015'!EW46</f>
        <v>0.77192533364899796</v>
      </c>
      <c r="ES36" s="1"/>
      <c r="ET36" s="50">
        <f xml:space="preserve"> 'WK2015'!FI46</f>
        <v>830.72074859999998</v>
      </c>
      <c r="EU36" s="50">
        <f xml:space="preserve"> 'WK2015'!FJ46</f>
        <v>1875.2622173999998</v>
      </c>
      <c r="EV36" s="50">
        <f xml:space="preserve"> 'WK2015'!FM46</f>
        <v>1229.7752381950179</v>
      </c>
      <c r="EW36" s="50">
        <f xml:space="preserve"> 'WK2015'!FN46</f>
        <v>1721.7891525950176</v>
      </c>
      <c r="EX36" s="50">
        <f xml:space="preserve"> 'WK2015'!FO46</f>
        <v>855.23835370375332</v>
      </c>
      <c r="EY36" s="50">
        <f xml:space="preserve"> 'WK2015'!FP46</f>
        <v>1347.2522681037531</v>
      </c>
      <c r="EZ36" s="61">
        <f xml:space="preserve"> 'WK2015'!FK46</f>
        <v>0.76351244878670688</v>
      </c>
      <c r="FA36" s="1"/>
      <c r="FB36" s="50">
        <f xml:space="preserve"> 'WK2015'!FW46</f>
        <v>327.65441599999997</v>
      </c>
      <c r="FC36" s="50">
        <f xml:space="preserve"> 'WK2015'!FX46</f>
        <v>447.15533440000002</v>
      </c>
      <c r="FD36" s="50">
        <f xml:space="preserve"> 'WK2015'!GA46</f>
        <v>328.23732168481121</v>
      </c>
      <c r="FE36" s="50">
        <f xml:space="preserve"> 'WK2015'!GB46</f>
        <v>446.72592168481117</v>
      </c>
      <c r="FF36" s="50">
        <f xml:space="preserve"> 'WK2015'!GC46</f>
        <v>327.70720267007709</v>
      </c>
      <c r="FG36" s="50">
        <f xml:space="preserve"> 'WK2015'!GD46</f>
        <v>446.195802670077</v>
      </c>
      <c r="FH36" s="61">
        <f xml:space="preserve"> 'WK2015'!FY46</f>
        <v>0.775173191498294</v>
      </c>
      <c r="FI36" s="1"/>
      <c r="FJ36" s="50">
        <f xml:space="preserve"> 'WK2015'!GK46</f>
        <v>71.607271499999996</v>
      </c>
      <c r="FK36" s="50">
        <f xml:space="preserve"> 'WK2015'!GL46</f>
        <v>326.63056349999999</v>
      </c>
      <c r="FL36" s="50">
        <f xml:space="preserve"> 'WK2015'!GO46</f>
        <v>266.52048493384387</v>
      </c>
      <c r="FM36" s="50">
        <f xml:space="preserve"> 'WK2015'!GP46</f>
        <v>271.0544321838438</v>
      </c>
      <c r="FN36" s="50">
        <f xml:space="preserve"> 'WK2015'!GQ46</f>
        <v>76.906917472599559</v>
      </c>
      <c r="FO36" s="50">
        <f xml:space="preserve"> 'WK2015'!GR46</f>
        <v>81.440864722599457</v>
      </c>
      <c r="FP36" s="61">
        <f xml:space="preserve"> 'WK2015'!GM46</f>
        <v>0.76471598598147061</v>
      </c>
      <c r="FS36" s="283">
        <f xml:space="preserve"> 'WK2015'!H46</f>
        <v>858.00087500000006</v>
      </c>
      <c r="FT36" s="283">
        <f xml:space="preserve"> 'WK2015'!I46</f>
        <v>1811.73001</v>
      </c>
      <c r="FU36" s="283">
        <f xml:space="preserve"> 'WK2015'!L46</f>
        <v>967.15675269046653</v>
      </c>
      <c r="FV36" s="283">
        <f xml:space="preserve"> 'WK2015'!M46</f>
        <v>1443.9095636904665</v>
      </c>
      <c r="FW36" s="283">
        <f xml:space="preserve"> 'WK2015'!N46</f>
        <v>880.29726816561856</v>
      </c>
      <c r="FX36" s="283">
        <f xml:space="preserve"> 'WK2015'!O46</f>
        <v>1357.0500791656184</v>
      </c>
      <c r="FY36" s="284">
        <f xml:space="preserve"> 'WK2015'!P46</f>
        <v>0.77115032298654196</v>
      </c>
      <c r="GA36" s="283">
        <f xml:space="preserve"> 'WK2015'!HB46</f>
        <v>549.339156</v>
      </c>
      <c r="GB36" s="283">
        <f xml:space="preserve"> 'WK2015'!HC46</f>
        <v>1438.0565709999998</v>
      </c>
      <c r="GC36" s="283">
        <f xml:space="preserve"> 'WK2015'!HF46</f>
        <v>673.13026558390357</v>
      </c>
      <c r="GD36" s="283">
        <f xml:space="preserve"> 'WK2015'!HG46</f>
        <v>1074.7697045839034</v>
      </c>
      <c r="GE36" s="283">
        <f xml:space="preserve"> 'WK2015'!HH46</f>
        <v>564.16454954956987</v>
      </c>
      <c r="GF36" s="283">
        <f xml:space="preserve"> 'WK2015'!HI46</f>
        <v>965.80398854956979</v>
      </c>
      <c r="GG36" s="284">
        <f xml:space="preserve"> 'WK2015'!HJ46</f>
        <v>0.74584950319350196</v>
      </c>
      <c r="GI36" s="283">
        <f xml:space="preserve"> 'WK2015'!HQ46</f>
        <v>439.24923000000001</v>
      </c>
      <c r="GJ36" s="283">
        <f xml:space="preserve"> 'WK2015'!HR46</f>
        <v>728.37777600000004</v>
      </c>
      <c r="GK36" s="283">
        <f xml:space="preserve"> 'WK2015'!HU46</f>
        <v>470.25924452830191</v>
      </c>
      <c r="GL36" s="283">
        <f xml:space="preserve"> 'WK2015'!HV46</f>
        <v>602.86105052830192</v>
      </c>
      <c r="GM36" s="283">
        <f xml:space="preserve"> 'WK2015'!HW46</f>
        <v>442.25427852670293</v>
      </c>
      <c r="GN36" s="283">
        <f xml:space="preserve"> 'WK2015'!HX46</f>
        <v>574.85608452670294</v>
      </c>
      <c r="GO36" s="284">
        <f xml:space="preserve"> 'WK2015'!HY46</f>
        <v>0.80188679245283023</v>
      </c>
    </row>
    <row r="37" spans="1:197" x14ac:dyDescent="0.2">
      <c r="A37" s="3">
        <f>Basis!A37</f>
        <v>37</v>
      </c>
      <c r="D37" s="252" t="e">
        <v>#N/A</v>
      </c>
      <c r="E37" s="252" t="e">
        <v>#N/A</v>
      </c>
      <c r="H37" s="50">
        <f xml:space="preserve"> 'WK2012'!EG47</f>
        <v>1520.0913393685546</v>
      </c>
      <c r="I37" s="50">
        <f xml:space="preserve"> 'WK2012'!EH47</f>
        <v>3459.537774415624</v>
      </c>
      <c r="J37" s="50">
        <f xml:space="preserve"> 'WK2012'!EK47</f>
        <v>2099.9549761112694</v>
      </c>
      <c r="K37" s="50">
        <f xml:space="preserve"> 'WK2012'!EL47</f>
        <v>3232.1265202458812</v>
      </c>
      <c r="L37" s="50">
        <f xml:space="preserve"> 'WK2012'!EM47</f>
        <v>1565.1719704851494</v>
      </c>
      <c r="M37" s="50">
        <f xml:space="preserve"> 'WK2012'!EN47</f>
        <v>2697.3435146197617</v>
      </c>
      <c r="N37" s="61">
        <f xml:space="preserve"> 'WK2012'!EI47</f>
        <v>0.78701456092793931</v>
      </c>
      <c r="P37" s="50">
        <f xml:space="preserve"> 'WK2012'!EU47</f>
        <v>1153.7735560463652</v>
      </c>
      <c r="Q37" s="50">
        <f xml:space="preserve"> 'WK2012'!EV47</f>
        <v>2696.0641479379942</v>
      </c>
      <c r="R37" s="50">
        <f xml:space="preserve"> 'WK2012'!EY47</f>
        <v>1713.6241397910017</v>
      </c>
      <c r="S37" s="50">
        <f xml:space="preserve"> 'WK2012'!EZ47</f>
        <v>2492.9451976314408</v>
      </c>
      <c r="T37" s="50">
        <f xml:space="preserve"> 'WK2012'!FA47</f>
        <v>1189.8422319099748</v>
      </c>
      <c r="U37" s="50">
        <f xml:space="preserve"> 'WK2012'!FB47</f>
        <v>1969.1632897504139</v>
      </c>
      <c r="V37" s="61">
        <f xml:space="preserve"> 'WK2012'!EW47</f>
        <v>0.78645748775533297</v>
      </c>
      <c r="X37" s="50">
        <f xml:space="preserve"> 'WK2012'!FI47</f>
        <v>702.43687424089421</v>
      </c>
      <c r="Y37" s="50">
        <f xml:space="preserve"> 'WK2012'!FJ47</f>
        <v>1443.3845218378742</v>
      </c>
      <c r="Z37" s="50">
        <f xml:space="preserve"> 'WK2012'!FM47</f>
        <v>961.11968734837262</v>
      </c>
      <c r="AA37" s="50">
        <f xml:space="preserve"> 'WK2012'!FN47</f>
        <v>1334.1299684432686</v>
      </c>
      <c r="AB37" s="50">
        <f xml:space="preserve"> 'WK2012'!FO47</f>
        <v>725.77528003080943</v>
      </c>
      <c r="AC37" s="50">
        <f xml:space="preserve"> 'WK2012'!FP47</f>
        <v>1098.7855611257053</v>
      </c>
      <c r="AD37" s="61">
        <f xml:space="preserve"> 'WK2012'!FK47</f>
        <v>0.77911883387967729</v>
      </c>
      <c r="AF37" s="50">
        <f xml:space="preserve"> 'WK2012'!FW47</f>
        <v>68.418823101247028</v>
      </c>
      <c r="AG37" s="50">
        <f xml:space="preserve"> 'WK2012'!FX47</f>
        <v>231.62616842928608</v>
      </c>
      <c r="AH37" s="50">
        <f xml:space="preserve"> 'WK2012'!GA47</f>
        <v>190.3521404279002</v>
      </c>
      <c r="AI37" s="50">
        <f xml:space="preserve"> 'WK2012'!GB47</f>
        <v>190.60390773795183</v>
      </c>
      <c r="AJ37" s="50">
        <f xml:space="preserve"> 'WK2012'!GC47</f>
        <v>72.34108800271558</v>
      </c>
      <c r="AK37" s="50">
        <f xml:space="preserve"> 'WK2012'!GD47</f>
        <v>72.592855312767185</v>
      </c>
      <c r="AL37" s="61">
        <f xml:space="preserve"> 'WK2012'!FY47</f>
        <v>0.78166306231576599</v>
      </c>
      <c r="AN37" s="50">
        <f xml:space="preserve"> 'WK2012'!GK47</f>
        <v>320.39860702860534</v>
      </c>
      <c r="AO37" s="50">
        <f xml:space="preserve"> 'WK2012'!GL47</f>
        <v>415.31855152452658</v>
      </c>
      <c r="AP37" s="50">
        <f xml:space="preserve"> 'WK2012'!GO47</f>
        <v>325.54338192950161</v>
      </c>
      <c r="AQ37" s="50">
        <f xml:space="preserve"> 'WK2012'!GP47</f>
        <v>411.33128362646073</v>
      </c>
      <c r="AR37" s="50">
        <f xml:space="preserve"> 'WK2012'!GQ47</f>
        <v>321.03335493490806</v>
      </c>
      <c r="AS37" s="50">
        <f xml:space="preserve"> 'WK2012'!GR47</f>
        <v>406.82125663186724</v>
      </c>
      <c r="AT37" s="61">
        <f xml:space="preserve"> 'WK2012'!GM47</f>
        <v>0.78652093618024721</v>
      </c>
      <c r="AX37" s="50">
        <f xml:space="preserve"> 'WK2013'!EG47</f>
        <v>1545.9166682</v>
      </c>
      <c r="AY37" s="50">
        <f xml:space="preserve"> 'WK2013'!EH47</f>
        <v>3193.3234564000004</v>
      </c>
      <c r="AZ37" s="50">
        <f xml:space="preserve"> 'WK2013'!EK47</f>
        <v>1968.3166224862011</v>
      </c>
      <c r="BA37" s="50">
        <f xml:space="preserve"> 'WK2013'!EL47</f>
        <v>2851.2500316862015</v>
      </c>
      <c r="BB37" s="50">
        <f xml:space="preserve"> 'WK2013'!EM47</f>
        <v>1589.1169824958433</v>
      </c>
      <c r="BC37" s="50">
        <f xml:space="preserve"> 'WK2013'!EN47</f>
        <v>2472.0503916958432</v>
      </c>
      <c r="BD37" s="61">
        <f xml:space="preserve"> 'WK2013'!EI47</f>
        <v>0.75533918958940882</v>
      </c>
      <c r="BF37" s="50">
        <f xml:space="preserve"> 'WK2013'!EU47</f>
        <v>1177.4742808000001</v>
      </c>
      <c r="BG37" s="50">
        <f xml:space="preserve"> 'WK2013'!EV47</f>
        <v>2368.5216335999999</v>
      </c>
      <c r="BH37" s="50">
        <f xml:space="preserve"> 'WK2013'!EY47</f>
        <v>1672.1429223078496</v>
      </c>
      <c r="BI37" s="50">
        <f xml:space="preserve"> 'WK2013'!EZ47</f>
        <v>2152.6990431078498</v>
      </c>
      <c r="BJ37" s="50">
        <f xml:space="preserve"> 'WK2013'!FA47</f>
        <v>1213.0609666623236</v>
      </c>
      <c r="BK37" s="50">
        <f xml:space="preserve"> 'WK2013'!FB47</f>
        <v>1693.617087462324</v>
      </c>
      <c r="BL37" s="61">
        <f xml:space="preserve"> 'WK2013'!EW47</f>
        <v>0.76588030706300891</v>
      </c>
      <c r="BN37" s="50">
        <f xml:space="preserve"> 'WK2013'!FI47</f>
        <v>820.72528079999995</v>
      </c>
      <c r="BO37" s="50">
        <f xml:space="preserve"> 'WK2013'!FJ47</f>
        <v>1775.0729466</v>
      </c>
      <c r="BP37" s="50">
        <f xml:space="preserve"> 'WK2013'!FM47</f>
        <v>1183.30776960716</v>
      </c>
      <c r="BQ37" s="50">
        <f xml:space="preserve"> 'WK2013'!FN47</f>
        <v>1631.53702140716</v>
      </c>
      <c r="BR37" s="50">
        <f xml:space="preserve"> 'WK2013'!FO47</f>
        <v>848.54911303008703</v>
      </c>
      <c r="BS37" s="50">
        <f xml:space="preserve"> 'WK2013'!FP47</f>
        <v>1296.778364830087</v>
      </c>
      <c r="BT37" s="61">
        <f xml:space="preserve"> 'WK2013'!FK47</f>
        <v>0.7604015495866997</v>
      </c>
      <c r="BV37" s="50">
        <f xml:space="preserve"> 'WK2013'!FW47</f>
        <v>362.67387220000001</v>
      </c>
      <c r="BW37" s="50">
        <f xml:space="preserve"> 'WK2013'!FX47</f>
        <v>489.75154240000006</v>
      </c>
      <c r="BX37" s="50">
        <f xml:space="preserve"> 'WK2013'!GA47</f>
        <v>363.19459529312837</v>
      </c>
      <c r="BY37" s="50">
        <f xml:space="preserve"> 'WK2013'!GB47</f>
        <v>489.36330549312839</v>
      </c>
      <c r="BZ37" s="50">
        <f xml:space="preserve"> 'WK2013'!GC47</f>
        <v>362.72711731479978</v>
      </c>
      <c r="CA37" s="50">
        <f xml:space="preserve"> 'WK2013'!GD47</f>
        <v>488.89582751479986</v>
      </c>
      <c r="CB37" s="61">
        <f xml:space="preserve"> 'WK2013'!FY47</f>
        <v>0.77024011163475148</v>
      </c>
      <c r="CD37" s="50">
        <f xml:space="preserve"> 'WK2013'!GK47</f>
        <v>81.186298500000007</v>
      </c>
      <c r="CE37" s="50">
        <f xml:space="preserve"> 'WK2013'!GL47</f>
        <v>285.60263624999999</v>
      </c>
      <c r="CF37" s="50">
        <f xml:space="preserve"> 'WK2013'!GO47</f>
        <v>230.56340530680669</v>
      </c>
      <c r="CG37" s="50">
        <f xml:space="preserve"> 'WK2013'!GP47</f>
        <v>236.28998980680677</v>
      </c>
      <c r="CH37" s="50">
        <f xml:space="preserve"> 'WK2013'!GQ47</f>
        <v>85.501895696918666</v>
      </c>
      <c r="CI37" s="50">
        <f xml:space="preserve"> 'WK2013'!GR47</f>
        <v>91.228480196918696</v>
      </c>
      <c r="CJ37" s="61">
        <f xml:space="preserve"> 'WK2013'!GM47</f>
        <v>0.76964015731631119</v>
      </c>
      <c r="CN37" s="50">
        <f xml:space="preserve"> 'WK2014'!EG47</f>
        <v>1566.8006788</v>
      </c>
      <c r="CO37" s="50">
        <f xml:space="preserve"> 'WK2014'!EH47</f>
        <v>3246.5736164</v>
      </c>
      <c r="CP37" s="50">
        <f xml:space="preserve"> 'WK2014'!EK47</f>
        <v>1964.60578577255</v>
      </c>
      <c r="CQ37" s="50">
        <f xml:space="preserve"> 'WK2014'!EL47</f>
        <v>2868.44892757255</v>
      </c>
      <c r="CR37" s="50">
        <f xml:space="preserve"> 'WK2014'!EM47</f>
        <v>1600.5385949983427</v>
      </c>
      <c r="CS37" s="50">
        <f xml:space="preserve"> 'WK2014'!EN47</f>
        <v>2504.3817367983424</v>
      </c>
      <c r="CT37" s="61">
        <f xml:space="preserve"> 'WK2014'!EI47</f>
        <v>0.7831968869781083</v>
      </c>
      <c r="CV37" s="50">
        <f xml:space="preserve"> 'WK2014'!EU47</f>
        <v>1165.7967121999998</v>
      </c>
      <c r="CW37" s="50">
        <f xml:space="preserve"> 'WK2014'!EV47</f>
        <v>2345.5003735999999</v>
      </c>
      <c r="CX37" s="50">
        <f xml:space="preserve"> 'WK2014'!EY47</f>
        <v>1679.4093145961947</v>
      </c>
      <c r="CY37" s="50">
        <f xml:space="preserve"> 'WK2014'!EZ47</f>
        <v>2121.9596317961946</v>
      </c>
      <c r="CZ37" s="50">
        <f xml:space="preserve"> 'WK2014'!FA47</f>
        <v>1201.8447460719499</v>
      </c>
      <c r="DA37" s="50">
        <f xml:space="preserve"> 'WK2014'!FB47</f>
        <v>1644.3950632719498</v>
      </c>
      <c r="DB37" s="61">
        <f xml:space="preserve"> 'WK2014'!EW47</f>
        <v>0.77315072729994483</v>
      </c>
      <c r="DC37" s="1"/>
      <c r="DD37" s="50">
        <f xml:space="preserve"> 'WK2014'!FI47</f>
        <v>839.15597200000002</v>
      </c>
      <c r="DE37" s="50">
        <f xml:space="preserve"> 'WK2014'!FJ47</f>
        <v>1878.2552058000001</v>
      </c>
      <c r="DF37" s="50">
        <f xml:space="preserve"> 'WK2014'!FM47</f>
        <v>1172.5028453759035</v>
      </c>
      <c r="DG37" s="50">
        <f xml:space="preserve"> 'WK2014'!FN47</f>
        <v>1749.0570843759035</v>
      </c>
      <c r="DH37" s="50">
        <f xml:space="preserve"> 'WK2014'!FO47</f>
        <v>863.03968717855992</v>
      </c>
      <c r="DI37" s="50">
        <f xml:space="preserve"> 'WK2014'!FP47</f>
        <v>1439.59392617856</v>
      </c>
      <c r="DJ37" s="61">
        <f xml:space="preserve"> 'WK2014'!FK47</f>
        <v>0.7666154167536765</v>
      </c>
      <c r="DK37" s="1"/>
      <c r="DL37" s="50">
        <f xml:space="preserve"> 'WK2014'!FW47</f>
        <v>355.80817680000001</v>
      </c>
      <c r="DM37" s="50">
        <f xml:space="preserve"> 'WK2014'!FX47</f>
        <v>480.80154240000002</v>
      </c>
      <c r="DN37" s="50">
        <f xml:space="preserve"> 'WK2014'!GA47</f>
        <v>356.32477522256607</v>
      </c>
      <c r="DO37" s="50">
        <f xml:space="preserve"> 'WK2014'!GB47</f>
        <v>480.41660902256615</v>
      </c>
      <c r="DP37" s="50">
        <f xml:space="preserve"> 'WK2014'!GC47</f>
        <v>355.85971550581377</v>
      </c>
      <c r="DQ37" s="50">
        <f xml:space="preserve"> 'WK2014'!GD47</f>
        <v>479.95154930581378</v>
      </c>
      <c r="DR37" s="61">
        <f xml:space="preserve"> 'WK2014'!FY47</f>
        <v>0.7776921679315848</v>
      </c>
      <c r="DS37" s="1"/>
      <c r="DT37" s="50">
        <f xml:space="preserve"> 'WK2014'!GK47</f>
        <v>77.540495999999976</v>
      </c>
      <c r="DU37" s="50">
        <f xml:space="preserve"> 'WK2014'!GL47</f>
        <v>288.53201250000006</v>
      </c>
      <c r="DV37" s="50">
        <f xml:space="preserve"> 'WK2014'!GO47</f>
        <v>234.58004145855958</v>
      </c>
      <c r="DW37" s="50">
        <f xml:space="preserve"> 'WK2014'!GP47</f>
        <v>237.83004345855966</v>
      </c>
      <c r="DX37" s="50">
        <f xml:space="preserve"> 'WK2014'!GQ47</f>
        <v>82.507729543103778</v>
      </c>
      <c r="DY37" s="50">
        <f xml:space="preserve"> 'WK2014'!GR47</f>
        <v>85.757731543103901</v>
      </c>
      <c r="DZ37" s="61">
        <f xml:space="preserve"> 'WK2014'!GM47</f>
        <v>0.77408190418327782</v>
      </c>
      <c r="ED37" s="50">
        <f xml:space="preserve"> 'WK2015'!EG47</f>
        <v>1540.5807671999999</v>
      </c>
      <c r="EE37" s="50">
        <f xml:space="preserve"> 'WK2015'!EH47</f>
        <v>3110.9359884</v>
      </c>
      <c r="EF37" s="50">
        <f xml:space="preserve"> 'WK2015'!EK47</f>
        <v>1983.0891905470601</v>
      </c>
      <c r="EG37" s="50">
        <f xml:space="preserve"> 'WK2015'!EL47</f>
        <v>2640.6107755470598</v>
      </c>
      <c r="EH37" s="50">
        <f xml:space="preserve"> 'WK2015'!EM47</f>
        <v>1581.3591926114148</v>
      </c>
      <c r="EI37" s="50">
        <f xml:space="preserve"> 'WK2015'!EN47</f>
        <v>2238.8807776114145</v>
      </c>
      <c r="EJ37" s="61">
        <f xml:space="preserve"> 'WK2015'!EI47</f>
        <v>0.77922161547001334</v>
      </c>
      <c r="EK37" s="1"/>
      <c r="EL37" s="50">
        <f xml:space="preserve"> 'WK2015'!EU47</f>
        <v>1133.9886673000001</v>
      </c>
      <c r="EM37" s="50">
        <f xml:space="preserve"> 'WK2015'!EV47</f>
        <v>2336.5106976000002</v>
      </c>
      <c r="EN37" s="50">
        <f xml:space="preserve"> 'WK2015'!EY47</f>
        <v>1685.6249482153794</v>
      </c>
      <c r="EO37" s="50">
        <f xml:space="preserve"> 'WK2015'!EZ47</f>
        <v>2102.3957907153795</v>
      </c>
      <c r="EP37" s="50">
        <f xml:space="preserve"> 'WK2015'!FA47</f>
        <v>1170.8626801840251</v>
      </c>
      <c r="EQ37" s="50">
        <f xml:space="preserve"> 'WK2015'!FB47</f>
        <v>1587.6335226840254</v>
      </c>
      <c r="ER37" s="61">
        <f xml:space="preserve"> 'WK2015'!EW47</f>
        <v>0.77539799116184194</v>
      </c>
      <c r="ES37" s="1"/>
      <c r="ET37" s="50">
        <f xml:space="preserve"> 'WK2015'!FI47</f>
        <v>863.68812659999992</v>
      </c>
      <c r="EU37" s="50">
        <f xml:space="preserve"> 'WK2015'!FJ47</f>
        <v>1887.1874568000003</v>
      </c>
      <c r="EV37" s="50">
        <f xml:space="preserve"> 'WK2015'!FM47</f>
        <v>1222.6625344679658</v>
      </c>
      <c r="EW37" s="50">
        <f xml:space="preserve"> 'WK2015'!FN47</f>
        <v>1743.7954986679656</v>
      </c>
      <c r="EX37" s="50">
        <f xml:space="preserve"> 'WK2015'!FO47</f>
        <v>888.20573170375326</v>
      </c>
      <c r="EY37" s="50">
        <f xml:space="preserve"> 'WK2015'!FP47</f>
        <v>1409.3386959037534</v>
      </c>
      <c r="EZ37" s="61">
        <f xml:space="preserve"> 'WK2015'!FK47</f>
        <v>0.76547271039890752</v>
      </c>
      <c r="FA37" s="1"/>
      <c r="FB37" s="50">
        <f xml:space="preserve"> 'WK2015'!FW47</f>
        <v>339.85208720000003</v>
      </c>
      <c r="FC37" s="50">
        <f xml:space="preserve"> 'WK2015'!FX47</f>
        <v>459.73113640000003</v>
      </c>
      <c r="FD37" s="50">
        <f xml:space="preserve"> 'WK2015'!GA47</f>
        <v>340.39908312388741</v>
      </c>
      <c r="FE37" s="50">
        <f xml:space="preserve"> 'WK2015'!GB47</f>
        <v>459.32464112388743</v>
      </c>
      <c r="FF37" s="50">
        <f xml:space="preserve"> 'WK2015'!GC47</f>
        <v>339.90487387007704</v>
      </c>
      <c r="FG37" s="50">
        <f xml:space="preserve"> 'WK2015'!GD47</f>
        <v>458.83043187007706</v>
      </c>
      <c r="FH37" s="61">
        <f xml:space="preserve"> 'WK2015'!FY47</f>
        <v>0.77972067811283696</v>
      </c>
      <c r="FI37" s="1"/>
      <c r="FJ37" s="50">
        <f xml:space="preserve"> 'WK2015'!GK47</f>
        <v>73.3479435</v>
      </c>
      <c r="FK37" s="50">
        <f xml:space="preserve"> 'WK2015'!GL47</f>
        <v>310.57053675000009</v>
      </c>
      <c r="FL37" s="50">
        <f xml:space="preserve"> 'WK2015'!GO47</f>
        <v>246.22963208693636</v>
      </c>
      <c r="FM37" s="50">
        <f xml:space="preserve"> 'WK2015'!GP47</f>
        <v>257.34480683693641</v>
      </c>
      <c r="FN37" s="50">
        <f xml:space="preserve"> 'WK2015'!GQ47</f>
        <v>78.647589472599549</v>
      </c>
      <c r="FO37" s="50">
        <f xml:space="preserve"> 'WK2015'!GR47</f>
        <v>89.762764222599642</v>
      </c>
      <c r="FP37" s="61">
        <f xml:space="preserve"> 'WK2015'!GM47</f>
        <v>0.76904994217345191</v>
      </c>
      <c r="FS37" s="283">
        <f xml:space="preserve"> 'WK2015'!H47</f>
        <v>889.35375999999997</v>
      </c>
      <c r="FT37" s="283">
        <f xml:space="preserve"> 'WK2015'!I47</f>
        <v>1820.7391099999998</v>
      </c>
      <c r="FU37" s="283">
        <f xml:space="preserve"> 'WK2015'!L47</f>
        <v>988.78926924259133</v>
      </c>
      <c r="FV37" s="283">
        <f xml:space="preserve"> 'WK2015'!M47</f>
        <v>1479.247099242591</v>
      </c>
      <c r="FW37" s="283">
        <f xml:space="preserve"> 'WK2015'!N47</f>
        <v>911.65015316561835</v>
      </c>
      <c r="FX37" s="283">
        <f xml:space="preserve"> 'WK2015'!O47</f>
        <v>1402.1079831656182</v>
      </c>
      <c r="FY37" s="284">
        <f xml:space="preserve"> 'WK2015'!P47</f>
        <v>0.77448559064176492</v>
      </c>
      <c r="GA37" s="283">
        <f xml:space="preserve"> 'WK2015'!HB47</f>
        <v>573.11495400000001</v>
      </c>
      <c r="GB37" s="283">
        <f xml:space="preserve"> 'WK2015'!HC47</f>
        <v>1420.405041</v>
      </c>
      <c r="GC37" s="283">
        <f xml:space="preserve"> 'WK2015'!HF47</f>
        <v>674.65475433358426</v>
      </c>
      <c r="GD37" s="283">
        <f xml:space="preserve"> 'WK2015'!HG47</f>
        <v>1082.1926053335842</v>
      </c>
      <c r="GE37" s="283">
        <f xml:space="preserve"> 'WK2015'!HH47</f>
        <v>587.94034754956988</v>
      </c>
      <c r="GF37" s="283">
        <f xml:space="preserve"> 'WK2015'!HI47</f>
        <v>995.47819854956981</v>
      </c>
      <c r="GG37" s="284">
        <f xml:space="preserve"> 'WK2015'!HJ47</f>
        <v>0.76909770543251021</v>
      </c>
      <c r="GI37" s="283">
        <f xml:space="preserve"> 'WK2015'!HQ47</f>
        <v>461.73802499999999</v>
      </c>
      <c r="GJ37" s="283">
        <f xml:space="preserve"> 'WK2015'!HR47</f>
        <v>741.63933899999995</v>
      </c>
      <c r="GK37" s="283">
        <f xml:space="preserve"> 'WK2015'!HU47</f>
        <v>496.42921729032258</v>
      </c>
      <c r="GL37" s="283">
        <f xml:space="preserve"> 'WK2015'!HV47</f>
        <v>622.69810829032247</v>
      </c>
      <c r="GM37" s="283">
        <f xml:space="preserve"> 'WK2015'!HW47</f>
        <v>464.74307352670291</v>
      </c>
      <c r="GN37" s="283">
        <f xml:space="preserve"> 'WK2015'!HX47</f>
        <v>591.01196452670285</v>
      </c>
      <c r="GO37" s="284">
        <f xml:space="preserve"> 'WK2015'!HY47</f>
        <v>0.77419354838709675</v>
      </c>
    </row>
    <row r="38" spans="1:197" x14ac:dyDescent="0.2">
      <c r="A38" s="3">
        <f>Basis!A38</f>
        <v>38</v>
      </c>
      <c r="D38" s="252" t="e">
        <v>#N/A</v>
      </c>
      <c r="E38" s="252" t="e">
        <v>#N/A</v>
      </c>
      <c r="H38" s="50">
        <f xml:space="preserve"> 'WK2012'!EG48</f>
        <v>1554.0623344226874</v>
      </c>
      <c r="I38" s="50">
        <f xml:space="preserve"> 'WK2012'!EH48</f>
        <v>3422.7350431609652</v>
      </c>
      <c r="J38" s="50">
        <f xml:space="preserve"> 'WK2012'!EK48</f>
        <v>2030.5124368220177</v>
      </c>
      <c r="K38" s="50">
        <f xml:space="preserve"> 'WK2012'!EL48</f>
        <v>3225.6713542482048</v>
      </c>
      <c r="L38" s="50">
        <f xml:space="preserve"> 'WK2012'!EM48</f>
        <v>1599.1429655392822</v>
      </c>
      <c r="M38" s="50">
        <f xml:space="preserve"> 'WK2012'!EN48</f>
        <v>2794.3018829654688</v>
      </c>
      <c r="N38" s="61">
        <f xml:space="preserve"> 'WK2012'!EI48</f>
        <v>0.7855267531189889</v>
      </c>
      <c r="P38" s="50">
        <f xml:space="preserve"> 'WK2012'!EU48</f>
        <v>1184.9280800942197</v>
      </c>
      <c r="Q38" s="50">
        <f xml:space="preserve"> 'WK2012'!EV48</f>
        <v>2664.4903171531514</v>
      </c>
      <c r="R38" s="50">
        <f xml:space="preserve"> 'WK2012'!EY48</f>
        <v>1636.0091902529487</v>
      </c>
      <c r="S38" s="50">
        <f xml:space="preserve"> 'WK2012'!EZ48</f>
        <v>2490.1516178101638</v>
      </c>
      <c r="T38" s="50">
        <f xml:space="preserve"> 'WK2012'!FA48</f>
        <v>1220.9967559578295</v>
      </c>
      <c r="U38" s="50">
        <f xml:space="preserve"> 'WK2012'!FB48</f>
        <v>2075.1391835150448</v>
      </c>
      <c r="V38" s="61">
        <f xml:space="preserve"> 'WK2012'!EW48</f>
        <v>0.78543632428255927</v>
      </c>
      <c r="X38" s="50">
        <f xml:space="preserve"> 'WK2012'!FI48</f>
        <v>727.41338232060548</v>
      </c>
      <c r="Y38" s="50">
        <f xml:space="preserve"> 'WK2012'!FJ48</f>
        <v>1436.1670568159868</v>
      </c>
      <c r="Z38" s="50">
        <f xml:space="preserve"> 'WK2012'!FM48</f>
        <v>945.78753549850569</v>
      </c>
      <c r="AA38" s="50">
        <f xml:space="preserve"> 'WK2012'!FN48</f>
        <v>1338.3414760751918</v>
      </c>
      <c r="AB38" s="50">
        <f xml:space="preserve"> 'WK2012'!FO48</f>
        <v>750.75178811052069</v>
      </c>
      <c r="AC38" s="50">
        <f xml:space="preserve"> 'WK2012'!FP48</f>
        <v>1143.3057286872067</v>
      </c>
      <c r="AD38" s="61">
        <f xml:space="preserve"> 'WK2012'!FK48</f>
        <v>0.77671770761893777</v>
      </c>
      <c r="AF38" s="50">
        <f xml:space="preserve"> 'WK2012'!FW48</f>
        <v>70.417802738181948</v>
      </c>
      <c r="AG38" s="50">
        <f xml:space="preserve"> 'WK2012'!FX48</f>
        <v>209.43107911689756</v>
      </c>
      <c r="AH38" s="50">
        <f xml:space="preserve"> 'WK2012'!GA48</f>
        <v>167.97146645063472</v>
      </c>
      <c r="AI38" s="50">
        <f xml:space="preserve"> 'WK2012'!GB48</f>
        <v>172.56358417028969</v>
      </c>
      <c r="AJ38" s="50">
        <f xml:space="preserve"> 'WK2012'!GC48</f>
        <v>74.340067639650528</v>
      </c>
      <c r="AK38" s="50">
        <f xml:space="preserve"> 'WK2012'!GD48</f>
        <v>78.932185359305421</v>
      </c>
      <c r="AL38" s="61">
        <f xml:space="preserve"> 'WK2012'!FY48</f>
        <v>0.78039328337467939</v>
      </c>
      <c r="AN38" s="50">
        <f xml:space="preserve"> 'WK2012'!GK48</f>
        <v>326.95426387732346</v>
      </c>
      <c r="AO38" s="50">
        <f xml:space="preserve"> 'WK2012'!GL48</f>
        <v>426.47236511924331</v>
      </c>
      <c r="AP38" s="50">
        <f xml:space="preserve"> 'WK2012'!GO48</f>
        <v>331.38154183909751</v>
      </c>
      <c r="AQ38" s="50">
        <f xml:space="preserve"> 'WK2012'!GP48</f>
        <v>423.05544522566839</v>
      </c>
      <c r="AR38" s="50">
        <f xml:space="preserve"> 'WK2012'!GQ48</f>
        <v>327.58901178362618</v>
      </c>
      <c r="AS38" s="50">
        <f xml:space="preserve"> 'WK2012'!GR48</f>
        <v>419.26291517019706</v>
      </c>
      <c r="AT38" s="61">
        <f xml:space="preserve"> 'WK2012'!GM48</f>
        <v>0.78463231834893055</v>
      </c>
      <c r="AX38" s="50">
        <f xml:space="preserve"> 'WK2013'!EG48</f>
        <v>1599.4269402</v>
      </c>
      <c r="AY38" s="50">
        <f xml:space="preserve"> 'WK2013'!EH48</f>
        <v>3167.7048862000001</v>
      </c>
      <c r="AZ38" s="50">
        <f xml:space="preserve"> 'WK2013'!EK48</f>
        <v>1951.2028922709983</v>
      </c>
      <c r="BA38" s="50">
        <f xml:space="preserve"> 'WK2013'!EL48</f>
        <v>2867.9298842709982</v>
      </c>
      <c r="BB38" s="50">
        <f xml:space="preserve"> 'WK2013'!EM48</f>
        <v>1642.6272544958433</v>
      </c>
      <c r="BC38" s="50">
        <f xml:space="preserve"> 'WK2013'!EN48</f>
        <v>2559.3542464958432</v>
      </c>
      <c r="BD38" s="61">
        <f xml:space="preserve"> 'WK2013'!EI48</f>
        <v>0.76266681981610507</v>
      </c>
      <c r="BF38" s="50">
        <f xml:space="preserve"> 'WK2013'!EU48</f>
        <v>1233.5209387999998</v>
      </c>
      <c r="BG38" s="50">
        <f xml:space="preserve"> 'WK2013'!EV48</f>
        <v>2342.5526927999999</v>
      </c>
      <c r="BH38" s="50">
        <f xml:space="preserve"> 'WK2013'!EY48</f>
        <v>1656.6413919137881</v>
      </c>
      <c r="BI38" s="50">
        <f xml:space="preserve"> 'WK2013'!EZ48</f>
        <v>2143.0593409137882</v>
      </c>
      <c r="BJ38" s="50">
        <f xml:space="preserve"> 'WK2013'!FA48</f>
        <v>1269.1076246623236</v>
      </c>
      <c r="BK38" s="50">
        <f xml:space="preserve"> 'WK2013'!FB48</f>
        <v>1755.5255736623237</v>
      </c>
      <c r="BL38" s="61">
        <f xml:space="preserve"> 'WK2013'!EW48</f>
        <v>0.7731203612622477</v>
      </c>
      <c r="BN38" s="50">
        <f xml:space="preserve"> 'WK2013'!FI48</f>
        <v>861.11421660000008</v>
      </c>
      <c r="BO38" s="50">
        <f xml:space="preserve"> 'WK2013'!FJ48</f>
        <v>1777.4850490000001</v>
      </c>
      <c r="BP38" s="50">
        <f xml:space="preserve"> 'WK2013'!FM48</f>
        <v>1172.3416212751868</v>
      </c>
      <c r="BQ38" s="50">
        <f xml:space="preserve"> 'WK2013'!FN48</f>
        <v>1646.312644475187</v>
      </c>
      <c r="BR38" s="50">
        <f xml:space="preserve"> 'WK2013'!FO48</f>
        <v>888.93804883008715</v>
      </c>
      <c r="BS38" s="50">
        <f xml:space="preserve"> 'WK2013'!FP48</f>
        <v>1362.9090720300871</v>
      </c>
      <c r="BT38" s="61">
        <f xml:space="preserve"> 'WK2013'!FK48</f>
        <v>0.76503355710261411</v>
      </c>
      <c r="BV38" s="50">
        <f xml:space="preserve"> 'WK2013'!FW48</f>
        <v>373.33043020000002</v>
      </c>
      <c r="BW38" s="50">
        <f xml:space="preserve"> 'WK2013'!FX48</f>
        <v>503.30561620000003</v>
      </c>
      <c r="BX38" s="50">
        <f xml:space="preserve"> 'WK2013'!GA48</f>
        <v>373.80119604562606</v>
      </c>
      <c r="BY38" s="50">
        <f xml:space="preserve"> 'WK2013'!GB48</f>
        <v>502.95350204562612</v>
      </c>
      <c r="BZ38" s="50">
        <f xml:space="preserve"> 'WK2013'!GC48</f>
        <v>373.3836753147998</v>
      </c>
      <c r="CA38" s="50">
        <f xml:space="preserve"> 'WK2013'!GD48</f>
        <v>502.53598131479987</v>
      </c>
      <c r="CB38" s="61">
        <f xml:space="preserve"> 'WK2013'!FY48</f>
        <v>0.77747127904777236</v>
      </c>
      <c r="CD38" s="50">
        <f xml:space="preserve"> 'WK2013'!GK48</f>
        <v>80.706421499999976</v>
      </c>
      <c r="CE38" s="50">
        <f xml:space="preserve"> 'WK2013'!GL48</f>
        <v>268.78903649999995</v>
      </c>
      <c r="CF38" s="50">
        <f xml:space="preserve"> 'WK2013'!GO48</f>
        <v>205.00341927610017</v>
      </c>
      <c r="CG38" s="50">
        <f xml:space="preserve"> 'WK2013'!GP48</f>
        <v>225.00249927610017</v>
      </c>
      <c r="CH38" s="50">
        <f xml:space="preserve"> 'WK2013'!GQ48</f>
        <v>85.02201869691865</v>
      </c>
      <c r="CI38" s="50">
        <f xml:space="preserve"> 'WK2013'!GR48</f>
        <v>105.02109869691864</v>
      </c>
      <c r="CJ38" s="61">
        <f xml:space="preserve"> 'WK2013'!GM48</f>
        <v>0.77422242375842487</v>
      </c>
      <c r="CN38" s="50">
        <f xml:space="preserve"> 'WK2014'!EG48</f>
        <v>1620.4835344000001</v>
      </c>
      <c r="CO38" s="50">
        <f xml:space="preserve"> 'WK2014'!EH48</f>
        <v>3220.3624759999998</v>
      </c>
      <c r="CP38" s="50">
        <f xml:space="preserve"> 'WK2014'!EK48</f>
        <v>1955.0661602956397</v>
      </c>
      <c r="CQ38" s="50">
        <f xml:space="preserve"> 'WK2014'!EL48</f>
        <v>2890.6367382956396</v>
      </c>
      <c r="CR38" s="50">
        <f xml:space="preserve"> 'WK2014'!EM48</f>
        <v>1654.2214505983427</v>
      </c>
      <c r="CS38" s="50">
        <f xml:space="preserve"> 'WK2014'!EN48</f>
        <v>2589.7920285983428</v>
      </c>
      <c r="CT38" s="61">
        <f xml:space="preserve"> 'WK2014'!EI48</f>
        <v>0.78261134371320462</v>
      </c>
      <c r="CV38" s="50">
        <f xml:space="preserve"> 'WK2014'!EU48</f>
        <v>1218.8811321000001</v>
      </c>
      <c r="CW38" s="50">
        <f xml:space="preserve"> 'WK2014'!EV48</f>
        <v>2329.8678040000004</v>
      </c>
      <c r="CX38" s="50">
        <f xml:space="preserve"> 'WK2014'!EY48</f>
        <v>1663.2141070890102</v>
      </c>
      <c r="CY38" s="50">
        <f xml:space="preserve"> 'WK2014'!EZ48</f>
        <v>2122.8665960890103</v>
      </c>
      <c r="CZ38" s="50">
        <f xml:space="preserve"> 'WK2014'!FA48</f>
        <v>1254.9291659719499</v>
      </c>
      <c r="DA38" s="50">
        <f xml:space="preserve"> 'WK2014'!FB48</f>
        <v>1714.58165497195</v>
      </c>
      <c r="DB38" s="61">
        <f xml:space="preserve"> 'WK2014'!EW48</f>
        <v>0.77137548676538015</v>
      </c>
      <c r="DC38" s="1"/>
      <c r="DD38" s="50">
        <f xml:space="preserve"> 'WK2014'!FI48</f>
        <v>884.94927040000005</v>
      </c>
      <c r="DE38" s="50">
        <f xml:space="preserve"> 'WK2014'!FJ48</f>
        <v>1874.2912701999999</v>
      </c>
      <c r="DF38" s="50">
        <f xml:space="preserve"> 'WK2014'!FM48</f>
        <v>1171.1919822583952</v>
      </c>
      <c r="DG38" s="50">
        <f xml:space="preserve"> 'WK2014'!FN48</f>
        <v>1755.0487136583952</v>
      </c>
      <c r="DH38" s="50">
        <f xml:space="preserve"> 'WK2014'!FO48</f>
        <v>908.83298557855994</v>
      </c>
      <c r="DI38" s="50">
        <f xml:space="preserve"> 'WK2014'!FP48</f>
        <v>1492.6897169785598</v>
      </c>
      <c r="DJ38" s="61">
        <f xml:space="preserve"> 'WK2014'!FK48</f>
        <v>0.76680538055719816</v>
      </c>
      <c r="DK38" s="1"/>
      <c r="DL38" s="50">
        <f xml:space="preserve"> 'WK2014'!FW48</f>
        <v>365.73621839999998</v>
      </c>
      <c r="DM38" s="50">
        <f xml:space="preserve"> 'WK2014'!FX48</f>
        <v>493.93413199999998</v>
      </c>
      <c r="DN38" s="50">
        <f xml:space="preserve"> 'WK2014'!GA48</f>
        <v>366.2066035208959</v>
      </c>
      <c r="DO38" s="50">
        <f xml:space="preserve"> 'WK2014'!GB48</f>
        <v>493.58307152089588</v>
      </c>
      <c r="DP38" s="50">
        <f xml:space="preserve"> 'WK2014'!GC48</f>
        <v>365.7877571058138</v>
      </c>
      <c r="DQ38" s="50">
        <f xml:space="preserve"> 'WK2014'!GD48</f>
        <v>493.16422510581378</v>
      </c>
      <c r="DR38" s="61">
        <f xml:space="preserve"> 'WK2014'!FY48</f>
        <v>0.77630821976078923</v>
      </c>
      <c r="DS38" s="1"/>
      <c r="DT38" s="50">
        <f xml:space="preserve"> 'WK2014'!GK48</f>
        <v>77.675072999999998</v>
      </c>
      <c r="DU38" s="50">
        <f xml:space="preserve"> 'WK2014'!GL48</f>
        <v>270.391413</v>
      </c>
      <c r="DV38" s="50">
        <f xml:space="preserve"> 'WK2014'!GO48</f>
        <v>208.9565108512146</v>
      </c>
      <c r="DW38" s="50">
        <f xml:space="preserve"> 'WK2014'!GP48</f>
        <v>224.79609010121456</v>
      </c>
      <c r="DX38" s="50">
        <f xml:space="preserve"> 'WK2014'!GQ48</f>
        <v>82.6423065431038</v>
      </c>
      <c r="DY38" s="50">
        <f xml:space="preserve"> 'WK2014'!GR48</f>
        <v>98.4818857931038</v>
      </c>
      <c r="DZ38" s="61">
        <f xml:space="preserve"> 'WK2014'!GM48</f>
        <v>0.77478855968872107</v>
      </c>
      <c r="ED38" s="50">
        <f xml:space="preserve"> 'WK2015'!EG48</f>
        <v>1594.2421866</v>
      </c>
      <c r="EE38" s="50">
        <f xml:space="preserve"> 'WK2015'!EH48</f>
        <v>3083.1597595999997</v>
      </c>
      <c r="EF38" s="50">
        <f xml:space="preserve"> 'WK2015'!EK48</f>
        <v>1968.5161238805683</v>
      </c>
      <c r="EG38" s="50">
        <f xml:space="preserve"> 'WK2015'!EL48</f>
        <v>2658.075180280568</v>
      </c>
      <c r="EH38" s="50">
        <f xml:space="preserve"> 'WK2015'!EM48</f>
        <v>1635.0206120114151</v>
      </c>
      <c r="EI38" s="50">
        <f xml:space="preserve"> 'WK2015'!EN48</f>
        <v>2324.5796684114148</v>
      </c>
      <c r="EJ38" s="61">
        <f xml:space="preserve"> 'WK2015'!EI48</f>
        <v>0.78145935812588851</v>
      </c>
      <c r="EK38" s="1"/>
      <c r="EL38" s="50">
        <f xml:space="preserve"> 'WK2015'!EU48</f>
        <v>1188.0867059</v>
      </c>
      <c r="EM38" s="50">
        <f xml:space="preserve"> 'WK2015'!EV48</f>
        <v>2303.7577824</v>
      </c>
      <c r="EN38" s="50">
        <f xml:space="preserve"> 'WK2015'!EY48</f>
        <v>1657.1938145640217</v>
      </c>
      <c r="EO38" s="50">
        <f xml:space="preserve"> 'WK2015'!EZ48</f>
        <v>2088.1859541640215</v>
      </c>
      <c r="EP38" s="50">
        <f xml:space="preserve"> 'WK2015'!FA48</f>
        <v>1224.9607187840252</v>
      </c>
      <c r="EQ38" s="50">
        <f xml:space="preserve"> 'WK2015'!FB48</f>
        <v>1655.9528583840251</v>
      </c>
      <c r="ER38" s="61">
        <f xml:space="preserve"> 'WK2015'!EW48</f>
        <v>0.77637654964540814</v>
      </c>
      <c r="ES38" s="1"/>
      <c r="ET38" s="50">
        <f xml:space="preserve"> 'WK2015'!FI48</f>
        <v>901.84665840000002</v>
      </c>
      <c r="EU38" s="50">
        <f xml:space="preserve"> 'WK2015'!FJ48</f>
        <v>1890.8971878</v>
      </c>
      <c r="EV38" s="50">
        <f xml:space="preserve"> 'WK2015'!FM48</f>
        <v>1211.0848903991528</v>
      </c>
      <c r="EW38" s="50">
        <f xml:space="preserve"> 'WK2015'!FN48</f>
        <v>1760.8553657991527</v>
      </c>
      <c r="EX38" s="50">
        <f xml:space="preserve"> 'WK2015'!FO48</f>
        <v>926.36426350375325</v>
      </c>
      <c r="EY38" s="50">
        <f xml:space="preserve"> 'WK2015'!FP48</f>
        <v>1476.1347389037533</v>
      </c>
      <c r="EZ38" s="61">
        <f xml:space="preserve"> 'WK2015'!FK48</f>
        <v>0.76709729627807854</v>
      </c>
      <c r="FA38" s="1"/>
      <c r="FB38" s="50">
        <f xml:space="preserve"> 'WK2015'!FW48</f>
        <v>351.50718159999997</v>
      </c>
      <c r="FC38" s="50">
        <f xml:space="preserve"> 'WK2015'!FX48</f>
        <v>471.72687359999998</v>
      </c>
      <c r="FD38" s="50">
        <f xml:space="preserve"> 'WK2015'!GA48</f>
        <v>352.00596122530141</v>
      </c>
      <c r="FE38" s="50">
        <f xml:space="preserve"> 'WK2015'!GB48</f>
        <v>471.35325762530141</v>
      </c>
      <c r="FF38" s="50">
        <f xml:space="preserve"> 'WK2015'!GC48</f>
        <v>351.55996827007709</v>
      </c>
      <c r="FG38" s="50">
        <f xml:space="preserve"> 'WK2015'!GD48</f>
        <v>470.9072646700771</v>
      </c>
      <c r="FH38" s="61">
        <f xml:space="preserve"> 'WK2015'!FY48</f>
        <v>0.78069635668287374</v>
      </c>
      <c r="FI38" s="1"/>
      <c r="FJ38" s="50">
        <f xml:space="preserve"> 'WK2015'!GK48</f>
        <v>76.172814000000017</v>
      </c>
      <c r="FK38" s="50">
        <f xml:space="preserve"> 'WK2015'!GL48</f>
        <v>292.497255</v>
      </c>
      <c r="FL38" s="50">
        <f xml:space="preserve"> 'WK2015'!GO48</f>
        <v>222.5680885375242</v>
      </c>
      <c r="FM38" s="50">
        <f xml:space="preserve"> 'WK2015'!GP48</f>
        <v>242.95245178752415</v>
      </c>
      <c r="FN38" s="50">
        <f xml:space="preserve"> 'WK2015'!GQ48</f>
        <v>81.47245997259958</v>
      </c>
      <c r="FO38" s="50">
        <f xml:space="preserve"> 'WK2015'!GR48</f>
        <v>101.85682322259954</v>
      </c>
      <c r="FP38" s="61">
        <f xml:space="preserve"> 'WK2015'!GM48</f>
        <v>0.77065964996664149</v>
      </c>
      <c r="FS38" s="283">
        <f xml:space="preserve"> 'WK2015'!H48</f>
        <v>922.09131500000001</v>
      </c>
      <c r="FT38" s="283">
        <f xml:space="preserve"> 'WK2015'!I48</f>
        <v>1821.2796559999997</v>
      </c>
      <c r="FU38" s="283">
        <f xml:space="preserve"> 'WK2015'!L48</f>
        <v>1007.8635363431123</v>
      </c>
      <c r="FV38" s="283">
        <f xml:space="preserve"> 'WK2015'!M48</f>
        <v>1513.440105343112</v>
      </c>
      <c r="FW38" s="283">
        <f xml:space="preserve"> 'WK2015'!N48</f>
        <v>944.38770816561851</v>
      </c>
      <c r="FX38" s="283">
        <f xml:space="preserve"> 'WK2015'!O48</f>
        <v>1449.9642771656181</v>
      </c>
      <c r="FY38" s="284">
        <f xml:space="preserve"> 'WK2015'!P48</f>
        <v>0.78208928836835634</v>
      </c>
      <c r="GA38" s="283">
        <f xml:space="preserve"> 'WK2015'!HB48</f>
        <v>598.92680099999995</v>
      </c>
      <c r="GB38" s="283">
        <f xml:space="preserve"> 'WK2015'!HC48</f>
        <v>1400.3094530000001</v>
      </c>
      <c r="GC38" s="283">
        <f xml:space="preserve"> 'WK2015'!HF48</f>
        <v>693.51935785458261</v>
      </c>
      <c r="GD38" s="283">
        <f xml:space="preserve"> 'WK2015'!HG48</f>
        <v>1115.3228098545826</v>
      </c>
      <c r="GE38" s="283">
        <f xml:space="preserve"> 'WK2015'!HH48</f>
        <v>613.75219454956982</v>
      </c>
      <c r="GF38" s="283">
        <f xml:space="preserve"> 'WK2015'!HI48</f>
        <v>1035.5556465495699</v>
      </c>
      <c r="GG38" s="284">
        <f xml:space="preserve"> 'WK2015'!HJ48</f>
        <v>0.75079625844992925</v>
      </c>
      <c r="GI38" s="283">
        <f xml:space="preserve"> 'WK2015'!HQ48</f>
        <v>484.59897499999994</v>
      </c>
      <c r="GJ38" s="283">
        <f xml:space="preserve"> 'WK2015'!HR48</f>
        <v>753.73760699999991</v>
      </c>
      <c r="GK38" s="283">
        <f xml:space="preserve"> 'WK2015'!HU48</f>
        <v>525.17863894502398</v>
      </c>
      <c r="GL38" s="283">
        <f xml:space="preserve"> 'WK2015'!HV48</f>
        <v>645.86346894502401</v>
      </c>
      <c r="GM38" s="283">
        <f xml:space="preserve"> 'WK2015'!HW48</f>
        <v>487.60402352670286</v>
      </c>
      <c r="GN38" s="283">
        <f xml:space="preserve"> 'WK2015'!HX48</f>
        <v>608.28885352670284</v>
      </c>
      <c r="GO38" s="284">
        <f xml:space="preserve"> 'WK2015'!HY48</f>
        <v>0.72665123157287614</v>
      </c>
    </row>
    <row r="39" spans="1:197" x14ac:dyDescent="0.2">
      <c r="A39" s="3">
        <f>Basis!A39</f>
        <v>39</v>
      </c>
      <c r="D39" s="252" t="e">
        <v>#N/A</v>
      </c>
      <c r="E39" s="252" t="e">
        <v>#N/A</v>
      </c>
      <c r="H39" s="50">
        <f xml:space="preserve"> 'WK2012'!EG49</f>
        <v>1586.3044931357867</v>
      </c>
      <c r="I39" s="50">
        <f xml:space="preserve"> 'WK2012'!EH49</f>
        <v>3374.7858388733134</v>
      </c>
      <c r="J39" s="50">
        <f xml:space="preserve"> 'WK2012'!EK49</f>
        <v>1969.8189332869676</v>
      </c>
      <c r="K39" s="50">
        <f xml:space="preserve"> 'WK2012'!EL49</f>
        <v>3207.1279826410082</v>
      </c>
      <c r="L39" s="50">
        <f xml:space="preserve"> 'WK2012'!EM49</f>
        <v>1631.3851242523815</v>
      </c>
      <c r="M39" s="50">
        <f xml:space="preserve"> 'WK2012'!EN49</f>
        <v>2868.6941736064218</v>
      </c>
      <c r="N39" s="61">
        <f xml:space="preserve"> 'WK2012'!EI49</f>
        <v>0.78632018591111019</v>
      </c>
      <c r="P39" s="50">
        <f xml:space="preserve"> 'WK2012'!EU49</f>
        <v>1220.9099239389896</v>
      </c>
      <c r="Q39" s="50">
        <f xml:space="preserve"> 'WK2012'!EV49</f>
        <v>2621.4637771582129</v>
      </c>
      <c r="R39" s="50">
        <f xml:space="preserve"> 'WK2012'!EY49</f>
        <v>1574.2141968234396</v>
      </c>
      <c r="S39" s="50">
        <f xml:space="preserve"> 'WK2012'!EZ49</f>
        <v>2473.5665865471124</v>
      </c>
      <c r="T39" s="50">
        <f xml:space="preserve"> 'WK2012'!FA49</f>
        <v>1256.9785998025993</v>
      </c>
      <c r="U39" s="50">
        <f xml:space="preserve"> 'WK2012'!FB49</f>
        <v>2156.3309895262719</v>
      </c>
      <c r="V39" s="61">
        <f xml:space="preserve"> 'WK2012'!EW49</f>
        <v>0.78704575526359322</v>
      </c>
      <c r="X39" s="50">
        <f xml:space="preserve"> 'WK2012'!FI49</f>
        <v>752.7682618399117</v>
      </c>
      <c r="Y39" s="50">
        <f xml:space="preserve"> 'WK2012'!FJ49</f>
        <v>1423.4628090129418</v>
      </c>
      <c r="Z39" s="50">
        <f xml:space="preserve"> 'WK2012'!FM49</f>
        <v>924.52050944502719</v>
      </c>
      <c r="AA39" s="50">
        <f xml:space="preserve"> 'WK2012'!FN49</f>
        <v>1341.3380136237529</v>
      </c>
      <c r="AB39" s="50">
        <f xml:space="preserve"> 'WK2012'!FO49</f>
        <v>776.1066676298268</v>
      </c>
      <c r="AC39" s="50">
        <f xml:space="preserve"> 'WK2012'!FP49</f>
        <v>1192.9241718085525</v>
      </c>
      <c r="AD39" s="61">
        <f xml:space="preserve"> 'WK2012'!FK49</f>
        <v>0.77954545248871565</v>
      </c>
      <c r="AF39" s="50">
        <f xml:space="preserve"> 'WK2012'!FW49</f>
        <v>69.863163753281199</v>
      </c>
      <c r="AG39" s="50">
        <f xml:space="preserve"> 'WK2012'!FX49</f>
        <v>190.35389698722219</v>
      </c>
      <c r="AH39" s="50">
        <f xml:space="preserve"> 'WK2012'!GA49</f>
        <v>146.9304838695783</v>
      </c>
      <c r="AI39" s="50">
        <f xml:space="preserve"> 'WK2012'!GB49</f>
        <v>158.08318000891509</v>
      </c>
      <c r="AJ39" s="50">
        <f xml:space="preserve"> 'WK2012'!GC49</f>
        <v>73.785428654749779</v>
      </c>
      <c r="AK39" s="50">
        <f xml:space="preserve"> 'WK2012'!GD49</f>
        <v>84.938124794086548</v>
      </c>
      <c r="AL39" s="61">
        <f xml:space="preserve"> 'WK2012'!FY49</f>
        <v>0.77756756251264569</v>
      </c>
      <c r="AN39" s="50">
        <f xml:space="preserve"> 'WK2012'!GK49</f>
        <v>333.8</v>
      </c>
      <c r="AO39" s="50">
        <f xml:space="preserve"> 'WK2012'!GL49</f>
        <v>436.6</v>
      </c>
      <c r="AP39" s="50">
        <f xml:space="preserve"> 'WK2012'!GO49</f>
        <v>337.41356966627711</v>
      </c>
      <c r="AQ39" s="50">
        <f xml:space="preserve"> 'WK2012'!GP49</f>
        <v>433.81356966627709</v>
      </c>
      <c r="AR39" s="50">
        <f xml:space="preserve"> 'WK2012'!GQ49</f>
        <v>334.43474790630273</v>
      </c>
      <c r="AS39" s="50">
        <f xml:space="preserve"> 'WK2012'!GR49</f>
        <v>430.83474790630271</v>
      </c>
      <c r="AT39" s="61">
        <f xml:space="preserve"> 'WK2012'!GM49</f>
        <v>0.78835098266067483</v>
      </c>
      <c r="AX39" s="50">
        <f xml:space="preserve"> 'WK2013'!EG49</f>
        <v>1654.2918538000001</v>
      </c>
      <c r="AY39" s="50">
        <f xml:space="preserve"> 'WK2013'!EH49</f>
        <v>3120.9775576000002</v>
      </c>
      <c r="AZ39" s="50">
        <f xml:space="preserve"> 'WK2013'!EK49</f>
        <v>1935.0567912673548</v>
      </c>
      <c r="BA39" s="50">
        <f xml:space="preserve"> 'WK2013'!EL49</f>
        <v>2870.2619950673552</v>
      </c>
      <c r="BB39" s="50">
        <f xml:space="preserve"> 'WK2013'!EM49</f>
        <v>1697.4921680958432</v>
      </c>
      <c r="BC39" s="50">
        <f xml:space="preserve"> 'WK2013'!EN49</f>
        <v>2632.6973718958429</v>
      </c>
      <c r="BD39" s="61">
        <f xml:space="preserve"> 'WK2013'!EI49</f>
        <v>0.76518253840135919</v>
      </c>
      <c r="BF39" s="50">
        <f xml:space="preserve"> 'WK2013'!EU49</f>
        <v>1289.8155171999999</v>
      </c>
      <c r="BG39" s="50">
        <f xml:space="preserve"> 'WK2013'!EV49</f>
        <v>2311.6212504</v>
      </c>
      <c r="BH39" s="50">
        <f xml:space="preserve"> 'WK2013'!EY49</f>
        <v>1632.4418534009419</v>
      </c>
      <c r="BI39" s="50">
        <f xml:space="preserve"> 'WK2013'!EZ49</f>
        <v>2136.6052961009418</v>
      </c>
      <c r="BJ39" s="50">
        <f xml:space="preserve"> 'WK2013'!FA49</f>
        <v>1325.4022030623235</v>
      </c>
      <c r="BK39" s="50">
        <f xml:space="preserve"> 'WK2013'!FB49</f>
        <v>1829.5656457623236</v>
      </c>
      <c r="BL39" s="61">
        <f xml:space="preserve"> 'WK2013'!EW49</f>
        <v>0.77598144979434147</v>
      </c>
      <c r="BN39" s="50">
        <f xml:space="preserve"> 'WK2013'!FI49</f>
        <v>905.2418242</v>
      </c>
      <c r="BO39" s="50">
        <f xml:space="preserve"> 'WK2013'!FJ49</f>
        <v>1774.4289059999999</v>
      </c>
      <c r="BP39" s="50">
        <f xml:space="preserve"> 'WK2013'!FM49</f>
        <v>1155.9203660947435</v>
      </c>
      <c r="BQ39" s="50">
        <f xml:space="preserve"> 'WK2013'!FN49</f>
        <v>1660.8827978947436</v>
      </c>
      <c r="BR39" s="50">
        <f xml:space="preserve"> 'WK2013'!FO49</f>
        <v>933.06565643008707</v>
      </c>
      <c r="BS39" s="50">
        <f xml:space="preserve"> 'WK2013'!FP49</f>
        <v>1438.0280882300872</v>
      </c>
      <c r="BT39" s="61">
        <f xml:space="preserve"> 'WK2013'!FK49</f>
        <v>0.76590022420625836</v>
      </c>
      <c r="BV39" s="50">
        <f xml:space="preserve"> 'WK2013'!FW49</f>
        <v>383.33360679999998</v>
      </c>
      <c r="BW39" s="50">
        <f xml:space="preserve"> 'WK2013'!FX49</f>
        <v>514.72860659999992</v>
      </c>
      <c r="BX39" s="50">
        <f xml:space="preserve"> 'WK2013'!GA49</f>
        <v>383.74314937287295</v>
      </c>
      <c r="BY39" s="50">
        <f xml:space="preserve"> 'WK2013'!GB49</f>
        <v>514.42088917287288</v>
      </c>
      <c r="BZ39" s="50">
        <f xml:space="preserve"> 'WK2013'!GC49</f>
        <v>383.38685191479976</v>
      </c>
      <c r="CA39" s="50">
        <f xml:space="preserve"> 'WK2013'!GD49</f>
        <v>514.0645917147998</v>
      </c>
      <c r="CB39" s="61">
        <f xml:space="preserve"> 'WK2013'!FY49</f>
        <v>0.7796435594998713</v>
      </c>
      <c r="CD39" s="50">
        <f xml:space="preserve"> 'WK2013'!GK49</f>
        <v>80.869703250000015</v>
      </c>
      <c r="CE39" s="50">
        <f xml:space="preserve"> 'WK2013'!GL49</f>
        <v>248.43170475000005</v>
      </c>
      <c r="CF39" s="50">
        <f xml:space="preserve"> 'WK2013'!GO49</f>
        <v>179.93922987056789</v>
      </c>
      <c r="CG39" s="50">
        <f xml:space="preserve"> 'WK2013'!GP49</f>
        <v>210.18938187056784</v>
      </c>
      <c r="CH39" s="50">
        <f xml:space="preserve"> 'WK2013'!GQ49</f>
        <v>85.185300446918689</v>
      </c>
      <c r="CI39" s="50">
        <f xml:space="preserve"> 'WK2013'!GR49</f>
        <v>115.43545244691869</v>
      </c>
      <c r="CJ39" s="61">
        <f xml:space="preserve"> 'WK2013'!GM49</f>
        <v>0.77611656438398857</v>
      </c>
      <c r="CN39" s="50">
        <f xml:space="preserve"> 'WK2014'!EG49</f>
        <v>1676.5102223999997</v>
      </c>
      <c r="CO39" s="50">
        <f xml:space="preserve"> 'WK2014'!EH49</f>
        <v>3175.4322148000001</v>
      </c>
      <c r="CP39" s="50">
        <f xml:space="preserve"> 'WK2014'!EK49</f>
        <v>1943.5076381008676</v>
      </c>
      <c r="CQ39" s="50">
        <f xml:space="preserve"> 'WK2014'!EL49</f>
        <v>2891.5454589008677</v>
      </c>
      <c r="CR39" s="50">
        <f xml:space="preserve"> 'WK2014'!EM49</f>
        <v>1710.2481385983428</v>
      </c>
      <c r="CS39" s="50">
        <f xml:space="preserve"> 'WK2014'!EN49</f>
        <v>2658.2859593983421</v>
      </c>
      <c r="CT39" s="61">
        <f xml:space="preserve"> 'WK2014'!EI49</f>
        <v>0.78942662836271615</v>
      </c>
      <c r="CV39" s="50">
        <f xml:space="preserve"> 'WK2014'!EU49</f>
        <v>1272.9019751000001</v>
      </c>
      <c r="CW39" s="50">
        <f xml:space="preserve"> 'WK2014'!EV49</f>
        <v>2307.5110721999995</v>
      </c>
      <c r="CX39" s="50">
        <f xml:space="preserve"> 'WK2014'!EY49</f>
        <v>1637.2983920803633</v>
      </c>
      <c r="CY39" s="50">
        <f xml:space="preserve"> 'WK2014'!EZ49</f>
        <v>2124.9995732803636</v>
      </c>
      <c r="CZ39" s="50">
        <f xml:space="preserve"> 'WK2014'!FA49</f>
        <v>1308.95000897195</v>
      </c>
      <c r="DA39" s="50">
        <f xml:space="preserve"> 'WK2014'!FB49</f>
        <v>1796.65119017195</v>
      </c>
      <c r="DB39" s="61">
        <f xml:space="preserve"> 'WK2014'!EW49</f>
        <v>0.77696256882739001</v>
      </c>
      <c r="DC39" s="1"/>
      <c r="DD39" s="50">
        <f xml:space="preserve"> 'WK2014'!FI49</f>
        <v>936.94106639999995</v>
      </c>
      <c r="DE39" s="50">
        <f xml:space="preserve"> 'WK2014'!FJ49</f>
        <v>1862.2315302000002</v>
      </c>
      <c r="DF39" s="50">
        <f xml:space="preserve"> 'WK2014'!FM49</f>
        <v>1170.4693988387692</v>
      </c>
      <c r="DG39" s="50">
        <f xml:space="preserve"> 'WK2014'!FN49</f>
        <v>1756.3378648387691</v>
      </c>
      <c r="DH39" s="50">
        <f xml:space="preserve"> 'WK2014'!FO49</f>
        <v>960.82478157855974</v>
      </c>
      <c r="DI39" s="50">
        <f xml:space="preserve"> 'WK2014'!FP49</f>
        <v>1546.6932475785602</v>
      </c>
      <c r="DJ39" s="61">
        <f xml:space="preserve"> 'WK2014'!FK49</f>
        <v>0.77075713060078965</v>
      </c>
      <c r="DK39" s="1"/>
      <c r="DL39" s="50">
        <f xml:space="preserve"> 'WK2014'!FW49</f>
        <v>374.6119344</v>
      </c>
      <c r="DM39" s="50">
        <f xml:space="preserve"> 'WK2014'!FX49</f>
        <v>505.50874080000006</v>
      </c>
      <c r="DN39" s="50">
        <f xml:space="preserve"> 'WK2014'!GA49</f>
        <v>375.02401325770046</v>
      </c>
      <c r="DO39" s="50">
        <f xml:space="preserve"> 'WK2014'!GB49</f>
        <v>505.20079205770048</v>
      </c>
      <c r="DP39" s="50">
        <f xml:space="preserve"> 'WK2014'!GC49</f>
        <v>374.66347310581375</v>
      </c>
      <c r="DQ39" s="50">
        <f xml:space="preserve"> 'WK2014'!GD49</f>
        <v>504.84025190581383</v>
      </c>
      <c r="DR39" s="61">
        <f xml:space="preserve"> 'WK2014'!FY49</f>
        <v>0.78264188548286739</v>
      </c>
      <c r="DS39" s="1"/>
      <c r="DT39" s="50">
        <f xml:space="preserve"> 'WK2014'!GK49</f>
        <v>78.735086999999993</v>
      </c>
      <c r="DU39" s="50">
        <f xml:space="preserve"> 'WK2014'!GL49</f>
        <v>249.00764849999996</v>
      </c>
      <c r="DV39" s="50">
        <f xml:space="preserve"> 'WK2014'!GO49</f>
        <v>182.90975684965508</v>
      </c>
      <c r="DW39" s="50">
        <f xml:space="preserve"> 'WK2014'!GP49</f>
        <v>209.08691009965514</v>
      </c>
      <c r="DX39" s="50">
        <f xml:space="preserve"> 'WK2014'!GQ49</f>
        <v>83.702320543103781</v>
      </c>
      <c r="DY39" s="50">
        <f xml:space="preserve"> 'WK2014'!GR49</f>
        <v>109.87947379310378</v>
      </c>
      <c r="DZ39" s="61">
        <f xml:space="preserve"> 'WK2014'!GM49</f>
        <v>0.78010482442462914</v>
      </c>
      <c r="ED39" s="50">
        <f xml:space="preserve"> 'WK2015'!EG49</f>
        <v>1650.3752562</v>
      </c>
      <c r="EE39" s="50">
        <f xml:space="preserve"> 'WK2015'!EH49</f>
        <v>3042.9325410000001</v>
      </c>
      <c r="EF39" s="50">
        <f xml:space="preserve"> 'WK2015'!EK49</f>
        <v>1954.5466195100207</v>
      </c>
      <c r="EG39" s="50">
        <f xml:space="preserve"> 'WK2015'!EL49</f>
        <v>2675.8302285100203</v>
      </c>
      <c r="EH39" s="50">
        <f xml:space="preserve"> 'WK2015'!EM49</f>
        <v>1691.1536816114151</v>
      </c>
      <c r="EI39" s="50">
        <f xml:space="preserve"> 'WK2015'!EN49</f>
        <v>2412.4372906114145</v>
      </c>
      <c r="EJ39" s="61">
        <f xml:space="preserve"> 'WK2015'!EI49</f>
        <v>0.78284108730124835</v>
      </c>
      <c r="EK39" s="1"/>
      <c r="EL39" s="50">
        <f xml:space="preserve"> 'WK2015'!EU49</f>
        <v>1244.2214293000002</v>
      </c>
      <c r="EM39" s="50">
        <f xml:space="preserve"> 'WK2015'!EV49</f>
        <v>2265.2063055000003</v>
      </c>
      <c r="EN39" s="50">
        <f xml:space="preserve"> 'WK2015'!EY49</f>
        <v>1622.6767210685321</v>
      </c>
      <c r="EO39" s="50">
        <f xml:space="preserve"> 'WK2015'!EZ49</f>
        <v>2075.7491220685329</v>
      </c>
      <c r="EP39" s="50">
        <f xml:space="preserve"> 'WK2015'!FA49</f>
        <v>1281.0954421840252</v>
      </c>
      <c r="EQ39" s="50">
        <f xml:space="preserve"> 'WK2015'!FB49</f>
        <v>1734.1678431840251</v>
      </c>
      <c r="ER39" s="61">
        <f xml:space="preserve"> 'WK2015'!EW49</f>
        <v>0.7762323800718377</v>
      </c>
      <c r="ES39" s="1"/>
      <c r="ET39" s="50">
        <f xml:space="preserve"> 'WK2015'!FI49</f>
        <v>944.70742200000007</v>
      </c>
      <c r="EU39" s="50">
        <f xml:space="preserve"> 'WK2015'!FJ49</f>
        <v>1888.3315826</v>
      </c>
      <c r="EV39" s="50">
        <f xml:space="preserve"> 'WK2015'!FM49</f>
        <v>1199.2958981871693</v>
      </c>
      <c r="EW39" s="50">
        <f xml:space="preserve"> 'WK2015'!FN49</f>
        <v>1774.2108857871692</v>
      </c>
      <c r="EX39" s="50">
        <f xml:space="preserve"> 'WK2015'!FO49</f>
        <v>969.22502710375329</v>
      </c>
      <c r="EY39" s="50">
        <f xml:space="preserve"> 'WK2015'!FP49</f>
        <v>1544.140014703753</v>
      </c>
      <c r="EZ39" s="61">
        <f xml:space="preserve"> 'WK2015'!FK49</f>
        <v>0.77009124940284401</v>
      </c>
      <c r="FA39" s="1"/>
      <c r="FB39" s="50">
        <f xml:space="preserve"> 'WK2015'!FW49</f>
        <v>361.87523120000003</v>
      </c>
      <c r="FC39" s="50">
        <f xml:space="preserve"> 'WK2015'!FX49</f>
        <v>482.92829</v>
      </c>
      <c r="FD39" s="50">
        <f xml:space="preserve"> 'WK2015'!GA49</f>
        <v>362.3145806600628</v>
      </c>
      <c r="FE39" s="50">
        <f xml:space="preserve"> 'WK2015'!GB49</f>
        <v>482.59736866006278</v>
      </c>
      <c r="FF39" s="50">
        <f xml:space="preserve"> 'WK2015'!GC49</f>
        <v>361.92801787007704</v>
      </c>
      <c r="FG39" s="50">
        <f xml:space="preserve"> 'WK2015'!GD49</f>
        <v>482.21080587007708</v>
      </c>
      <c r="FH39" s="61">
        <f xml:space="preserve"> 'WK2015'!FY49</f>
        <v>0.78124275493074868</v>
      </c>
      <c r="FI39" s="1"/>
      <c r="FJ39" s="50">
        <f xml:space="preserve"> 'WK2015'!GK49</f>
        <v>80.08060500000002</v>
      </c>
      <c r="FK39" s="50">
        <f xml:space="preserve"> 'WK2015'!GL49</f>
        <v>273.7567545</v>
      </c>
      <c r="FL39" s="50">
        <f xml:space="preserve"> 'WK2015'!GO49</f>
        <v>197.82502126719919</v>
      </c>
      <c r="FM39" s="50">
        <f xml:space="preserve"> 'WK2015'!GP49</f>
        <v>229.40576401719903</v>
      </c>
      <c r="FN39" s="50">
        <f xml:space="preserve"> 'WK2015'!GQ49</f>
        <v>85.380250972599569</v>
      </c>
      <c r="FO39" s="50">
        <f xml:space="preserve"> 'WK2015'!GR49</f>
        <v>116.96099372259954</v>
      </c>
      <c r="FP39" s="61">
        <f xml:space="preserve"> 'WK2015'!GM49</f>
        <v>0.77326477998350884</v>
      </c>
      <c r="FS39" s="283">
        <f xml:space="preserve"> 'WK2015'!H49</f>
        <v>955.5212049999999</v>
      </c>
      <c r="FT39" s="283">
        <f xml:space="preserve"> 'WK2015'!I49</f>
        <v>1814.4327399999997</v>
      </c>
      <c r="FU39" s="283">
        <f xml:space="preserve"> 'WK2015'!L49</f>
        <v>1027.9670922024052</v>
      </c>
      <c r="FV39" s="283">
        <f xml:space="preserve"> 'WK2015'!M49</f>
        <v>1550.9557752024052</v>
      </c>
      <c r="FW39" s="283">
        <f xml:space="preserve"> 'WK2015'!N49</f>
        <v>977.81759816561839</v>
      </c>
      <c r="FX39" s="283">
        <f xml:space="preserve"> 'WK2015'!O49</f>
        <v>1500.8062811656182</v>
      </c>
      <c r="FY39" s="284">
        <f xml:space="preserve"> 'WK2015'!P49</f>
        <v>0.78433772286975778</v>
      </c>
      <c r="GA39" s="283">
        <f xml:space="preserve"> 'WK2015'!HB49</f>
        <v>626.97173399999997</v>
      </c>
      <c r="GB39" s="283">
        <f xml:space="preserve"> 'WK2015'!HC49</f>
        <v>1379.2633980000001</v>
      </c>
      <c r="GC39" s="283">
        <f xml:space="preserve"> 'WK2015'!HF49</f>
        <v>700.14920697502021</v>
      </c>
      <c r="GD39" s="283">
        <f xml:space="preserve"> 'WK2015'!HG49</f>
        <v>1140.2856429750202</v>
      </c>
      <c r="GE39" s="283">
        <f xml:space="preserve"> 'WK2015'!HH49</f>
        <v>641.79712754956984</v>
      </c>
      <c r="GF39" s="283">
        <f xml:space="preserve"> 'WK2015'!HI49</f>
        <v>1081.93356354957</v>
      </c>
      <c r="GG39" s="284">
        <f xml:space="preserve"> 'WK2015'!HJ49</f>
        <v>0.76557345060701598</v>
      </c>
      <c r="GI39" s="283">
        <f xml:space="preserve"> 'WK2015'!HQ49</f>
        <v>507.93840999999998</v>
      </c>
      <c r="GJ39" s="283">
        <f xml:space="preserve"> 'WK2015'!HR49</f>
        <v>764.98279200000002</v>
      </c>
      <c r="GK39" s="283">
        <f xml:space="preserve"> 'WK2015'!HU49</f>
        <v>555.59251000135964</v>
      </c>
      <c r="GL39" s="283">
        <f xml:space="preserve"> 'WK2015'!HV49</f>
        <v>672.13921700135973</v>
      </c>
      <c r="GM39" s="283">
        <f xml:space="preserve"> 'WK2015'!HW49</f>
        <v>510.9434585267029</v>
      </c>
      <c r="GN39" s="283">
        <f xml:space="preserve"> 'WK2015'!HX49</f>
        <v>627.49016552670298</v>
      </c>
      <c r="GO39" s="284">
        <f xml:space="preserve"> 'WK2015'!HY49</f>
        <v>0.66081929824561403</v>
      </c>
    </row>
    <row r="40" spans="1:197" x14ac:dyDescent="0.2">
      <c r="A40" s="3">
        <f>Basis!A40</f>
        <v>40</v>
      </c>
      <c r="D40" s="252" t="e">
        <v>#N/A</v>
      </c>
      <c r="E40" s="252" t="e">
        <v>#N/A</v>
      </c>
      <c r="H40" s="50">
        <f xml:space="preserve"> 'WK2012'!EG50</f>
        <v>1615.4586468707673</v>
      </c>
      <c r="I40" s="50">
        <f xml:space="preserve"> 'WK2012'!EH50</f>
        <v>3320.992334173653</v>
      </c>
      <c r="J40" s="50">
        <f xml:space="preserve"> 'WK2012'!EK50</f>
        <v>1903.3613741447007</v>
      </c>
      <c r="K40" s="50">
        <f xml:space="preserve"> 'WK2012'!EL50</f>
        <v>3188.1452140494762</v>
      </c>
      <c r="L40" s="50">
        <f xml:space="preserve"> 'WK2012'!EM50</f>
        <v>1660.5392779873619</v>
      </c>
      <c r="M40" s="50">
        <f xml:space="preserve"> 'WK2012'!EN50</f>
        <v>2945.3231178921378</v>
      </c>
      <c r="N40" s="61">
        <f xml:space="preserve"> 'WK2012'!EI50</f>
        <v>0.79080096717861537</v>
      </c>
      <c r="P40" s="50">
        <f xml:space="preserve"> 'WK2012'!EU50</f>
        <v>1258.7969146599073</v>
      </c>
      <c r="Q40" s="50">
        <f xml:space="preserve"> 'WK2012'!EV50</f>
        <v>2576.8912889151784</v>
      </c>
      <c r="R40" s="50">
        <f xml:space="preserve"> 'WK2012'!EY50</f>
        <v>1517.2777495150485</v>
      </c>
      <c r="S40" s="50">
        <f xml:space="preserve"> 'WK2012'!EZ50</f>
        <v>2458.84509733394</v>
      </c>
      <c r="T40" s="50">
        <f xml:space="preserve"> 'WK2012'!FA50</f>
        <v>1294.8655905235171</v>
      </c>
      <c r="U40" s="50">
        <f xml:space="preserve"> 'WK2012'!FB50</f>
        <v>2236.4329383424088</v>
      </c>
      <c r="V40" s="61">
        <f xml:space="preserve"> 'WK2012'!EW50</f>
        <v>0.7904659478274777</v>
      </c>
      <c r="X40" s="50">
        <f xml:space="preserve"> 'WK2012'!FI50</f>
        <v>779.14014918388727</v>
      </c>
      <c r="Y40" s="50">
        <f xml:space="preserve"> 'WK2012'!FJ50</f>
        <v>1410.7018121058566</v>
      </c>
      <c r="Z40" s="50">
        <f xml:space="preserve"> 'WK2012'!FM50</f>
        <v>904.73604998007659</v>
      </c>
      <c r="AA40" s="50">
        <f xml:space="preserve"> 'WK2012'!FN50</f>
        <v>1346.344794441419</v>
      </c>
      <c r="AB40" s="50">
        <f xml:space="preserve"> 'WK2012'!FO50</f>
        <v>802.47855497380237</v>
      </c>
      <c r="AC40" s="50">
        <f xml:space="preserve"> 'WK2012'!FP50</f>
        <v>1244.0872994351448</v>
      </c>
      <c r="AD40" s="61">
        <f xml:space="preserve"> 'WK2012'!FK50</f>
        <v>0.78188173155290253</v>
      </c>
      <c r="AF40" s="50">
        <f xml:space="preserve"> 'WK2012'!FW50</f>
        <v>63</v>
      </c>
      <c r="AG40" s="50">
        <f xml:space="preserve"> 'WK2012'!FX50</f>
        <v>174.6</v>
      </c>
      <c r="AH40" s="50">
        <f xml:space="preserve"> 'WK2012'!GA50</f>
        <v>121.55051450639161</v>
      </c>
      <c r="AI40" s="50">
        <f xml:space="preserve"> 'WK2012'!GB50</f>
        <v>148.55051450639164</v>
      </c>
      <c r="AJ40" s="50">
        <f xml:space="preserve"> 'WK2012'!GC50</f>
        <v>66.922264901468552</v>
      </c>
      <c r="AK40" s="50">
        <f xml:space="preserve"> 'WK2012'!GD50</f>
        <v>93.922264901468552</v>
      </c>
      <c r="AL40" s="61">
        <f xml:space="preserve"> 'WK2012'!FY50</f>
        <v>0.78221282990637275</v>
      </c>
      <c r="AN40" s="50">
        <f xml:space="preserve"> 'WK2012'!GK50</f>
        <v>337.45864687076732</v>
      </c>
      <c r="AO40" s="50">
        <f xml:space="preserve"> 'WK2012'!GL50</f>
        <v>443.99233417365326</v>
      </c>
      <c r="AP40" s="50">
        <f xml:space="preserve"> 'WK2012'!GO50</f>
        <v>340.14661413711178</v>
      </c>
      <c r="AQ40" s="50">
        <f xml:space="preserve"> 'WK2012'!GP50</f>
        <v>441.9304540418878</v>
      </c>
      <c r="AR40" s="50">
        <f xml:space="preserve"> 'WK2012'!GQ50</f>
        <v>338.0933947770701</v>
      </c>
      <c r="AS40" s="50">
        <f xml:space="preserve"> 'WK2012'!GR50</f>
        <v>439.87723468184606</v>
      </c>
      <c r="AT40" s="61">
        <f xml:space="preserve"> 'WK2012'!GM50</f>
        <v>0.79112305942969963</v>
      </c>
      <c r="AX40" s="50">
        <f xml:space="preserve"> 'WK2013'!EG50</f>
        <v>1708.684</v>
      </c>
      <c r="AY40" s="50">
        <f xml:space="preserve"> 'WK2013'!EH50</f>
        <v>3060.8519999999999</v>
      </c>
      <c r="AZ40" s="50">
        <f xml:space="preserve"> 'WK2013'!EK50</f>
        <v>1923.2772621685644</v>
      </c>
      <c r="BA40" s="50">
        <f xml:space="preserve"> 'WK2013'!EL50</f>
        <v>2860.6052621685649</v>
      </c>
      <c r="BB40" s="50">
        <f xml:space="preserve"> 'WK2013'!EM50</f>
        <v>1751.8843142958431</v>
      </c>
      <c r="BC40" s="50">
        <f xml:space="preserve"> 'WK2013'!EN50</f>
        <v>2689.2123142958435</v>
      </c>
      <c r="BD40" s="61">
        <f xml:space="preserve"> 'WK2013'!EI50</f>
        <v>0.76245208048160951</v>
      </c>
      <c r="BF40" s="50">
        <f xml:space="preserve"> 'WK2013'!EU50</f>
        <v>1343.6610000000001</v>
      </c>
      <c r="BG40" s="50">
        <f xml:space="preserve"> 'WK2013'!EV50</f>
        <v>2280.268</v>
      </c>
      <c r="BH40" s="50">
        <f xml:space="preserve"> 'WK2013'!EY50</f>
        <v>1605.4617736920172</v>
      </c>
      <c r="BI40" s="50">
        <f xml:space="preserve"> 'WK2013'!EZ50</f>
        <v>2135.7437736920174</v>
      </c>
      <c r="BJ40" s="50">
        <f xml:space="preserve"> 'WK2013'!FA50</f>
        <v>1379.2476858623236</v>
      </c>
      <c r="BK40" s="50">
        <f xml:space="preserve"> 'WK2013'!FB50</f>
        <v>1909.5296858623235</v>
      </c>
      <c r="BL40" s="61">
        <f xml:space="preserve"> 'WK2013'!EW50</f>
        <v>0.77405867121844185</v>
      </c>
      <c r="BN40" s="50">
        <f xml:space="preserve"> 'WK2013'!FI50</f>
        <v>952.29200000000003</v>
      </c>
      <c r="BO40" s="50">
        <f xml:space="preserve"> 'WK2013'!FJ50</f>
        <v>1769.616</v>
      </c>
      <c r="BP40" s="50">
        <f xml:space="preserve"> 'WK2013'!FM50</f>
        <v>1139.629221047511</v>
      </c>
      <c r="BQ40" s="50">
        <f xml:space="preserve"> 'WK2013'!FN50</f>
        <v>1677.859221047511</v>
      </c>
      <c r="BR40" s="50">
        <f xml:space="preserve"> 'WK2013'!FO50</f>
        <v>980.11583223008711</v>
      </c>
      <c r="BS40" s="50">
        <f xml:space="preserve"> 'WK2013'!FP50</f>
        <v>1518.3458322300871</v>
      </c>
      <c r="BT40" s="61">
        <f xml:space="preserve"> 'WK2013'!FK50</f>
        <v>0.76360679900066142</v>
      </c>
      <c r="BV40" s="50">
        <f xml:space="preserve"> 'WK2013'!FW50</f>
        <v>391.91399999999999</v>
      </c>
      <c r="BW40" s="50">
        <f xml:space="preserve"> 'WK2013'!FX50</f>
        <v>524.04200000000003</v>
      </c>
      <c r="BX40" s="50">
        <f xml:space="preserve"> 'WK2013'!GA50</f>
        <v>392.25595894237176</v>
      </c>
      <c r="BY40" s="50">
        <f xml:space="preserve"> 'WK2013'!GB50</f>
        <v>523.78395894237178</v>
      </c>
      <c r="BZ40" s="50">
        <f xml:space="preserve"> 'WK2013'!GC50</f>
        <v>391.96724511479977</v>
      </c>
      <c r="CA40" s="50">
        <f xml:space="preserve"> 'WK2013'!GD50</f>
        <v>523.4952451147999</v>
      </c>
      <c r="CB40" s="61">
        <f xml:space="preserve"> 'WK2013'!FY50</f>
        <v>0.77762907498356715</v>
      </c>
      <c r="CD40" s="50">
        <f xml:space="preserve"> 'WK2013'!GK50</f>
        <v>81.412500000000009</v>
      </c>
      <c r="CE40" s="50">
        <f xml:space="preserve"> 'WK2013'!GL50</f>
        <v>225.9375</v>
      </c>
      <c r="CF40" s="50">
        <f xml:space="preserve"> 'WK2013'!GO50</f>
        <v>156.58469435010051</v>
      </c>
      <c r="CG40" s="50">
        <f xml:space="preserve"> 'WK2013'!GP50</f>
        <v>193.49969435010058</v>
      </c>
      <c r="CH40" s="50">
        <f xml:space="preserve"> 'WK2013'!GQ50</f>
        <v>85.728097196918668</v>
      </c>
      <c r="CI40" s="50">
        <f xml:space="preserve"> 'WK2013'!GR50</f>
        <v>122.64309719691867</v>
      </c>
      <c r="CJ40" s="61">
        <f xml:space="preserve"> 'WK2013'!GM50</f>
        <v>0.77462440047924042</v>
      </c>
      <c r="CN40" s="50">
        <f xml:space="preserve"> 'WK2014'!EG50</f>
        <v>1736.1079999999999</v>
      </c>
      <c r="CO40" s="50">
        <f xml:space="preserve"> 'WK2014'!EH50</f>
        <v>3118.0920000000001</v>
      </c>
      <c r="CP40" s="50">
        <f xml:space="preserve"> 'WK2014'!EK50</f>
        <v>1939.0445538398922</v>
      </c>
      <c r="CQ40" s="50">
        <f xml:space="preserve"> 'WK2014'!EL50</f>
        <v>2885.6025538398922</v>
      </c>
      <c r="CR40" s="50">
        <f xml:space="preserve"> 'WK2014'!EM50</f>
        <v>1769.8459161983426</v>
      </c>
      <c r="CS40" s="50">
        <f xml:space="preserve"> 'WK2014'!EN50</f>
        <v>2716.4039161983428</v>
      </c>
      <c r="CT40" s="61">
        <f xml:space="preserve"> 'WK2014'!EI50</f>
        <v>0.79075810161961069</v>
      </c>
      <c r="CV40" s="50">
        <f xml:space="preserve"> 'WK2014'!EU50</f>
        <v>1327.4069999999999</v>
      </c>
      <c r="CW40" s="50">
        <f xml:space="preserve"> 'WK2014'!EV50</f>
        <v>2281.6779999999999</v>
      </c>
      <c r="CX40" s="50">
        <f xml:space="preserve"> 'WK2014'!EY50</f>
        <v>1609.8324532578069</v>
      </c>
      <c r="CY40" s="50">
        <f xml:space="preserve"> 'WK2014'!EZ50</f>
        <v>2129.5144532578065</v>
      </c>
      <c r="CZ40" s="50">
        <f xml:space="preserve"> 'WK2014'!FA50</f>
        <v>1363.45503387195</v>
      </c>
      <c r="DA40" s="50">
        <f xml:space="preserve"> 'WK2014'!FB50</f>
        <v>1883.1370338719498</v>
      </c>
      <c r="DB40" s="61">
        <f xml:space="preserve"> 'WK2014'!EW50</f>
        <v>0.77931983207883537</v>
      </c>
      <c r="DC40" s="1"/>
      <c r="DD40" s="50">
        <f xml:space="preserve"> 'WK2014'!FI50</f>
        <v>994.37599999999998</v>
      </c>
      <c r="DE40" s="50">
        <f xml:space="preserve"> 'WK2014'!FJ50</f>
        <v>1846.5079999999998</v>
      </c>
      <c r="DF40" s="50">
        <f xml:space="preserve"> 'WK2014'!FM50</f>
        <v>1174.3912224161647</v>
      </c>
      <c r="DG40" s="50">
        <f xml:space="preserve"> 'WK2014'!FN50</f>
        <v>1757.0392224161651</v>
      </c>
      <c r="DH40" s="50">
        <f xml:space="preserve"> 'WK2014'!FO50</f>
        <v>1018.2597151785599</v>
      </c>
      <c r="DI40" s="50">
        <f xml:space="preserve"> 'WK2014'!FP50</f>
        <v>1600.9077151785598</v>
      </c>
      <c r="DJ40" s="61">
        <f xml:space="preserve"> 'WK2014'!FK50</f>
        <v>0.77039919882817842</v>
      </c>
      <c r="DK40" s="1"/>
      <c r="DL40" s="50">
        <f xml:space="preserve"> 'WK2014'!FW50</f>
        <v>384.048</v>
      </c>
      <c r="DM40" s="50">
        <f xml:space="preserve"> 'WK2014'!FX50</f>
        <v>515.51200000000006</v>
      </c>
      <c r="DN40" s="50">
        <f xml:space="preserve"> 'WK2014'!GA50</f>
        <v>384.39416966196563</v>
      </c>
      <c r="DO40" s="50">
        <f xml:space="preserve"> 'WK2014'!GB50</f>
        <v>515.2521696619657</v>
      </c>
      <c r="DP40" s="50">
        <f xml:space="preserve"> 'WK2014'!GC50</f>
        <v>384.09953870581376</v>
      </c>
      <c r="DQ40" s="50">
        <f xml:space="preserve"> 'WK2014'!GD50</f>
        <v>514.95753870581382</v>
      </c>
      <c r="DR40" s="61">
        <f xml:space="preserve"> 'WK2014'!FY50</f>
        <v>0.78391342708773759</v>
      </c>
      <c r="DS40" s="1"/>
      <c r="DT40" s="50">
        <f xml:space="preserve"> 'WK2014'!GK50</f>
        <v>81.03</v>
      </c>
      <c r="DU40" s="50">
        <f xml:space="preserve"> 'WK2014'!GL50</f>
        <v>225.64500000000001</v>
      </c>
      <c r="DV40" s="50">
        <f xml:space="preserve"> 'WK2014'!GO50</f>
        <v>158.95592446924724</v>
      </c>
      <c r="DW40" s="50">
        <f xml:space="preserve"> 'WK2014'!GP50</f>
        <v>191.90342446924723</v>
      </c>
      <c r="DX40" s="50">
        <f xml:space="preserve"> 'WK2014'!GQ50</f>
        <v>85.997233543103789</v>
      </c>
      <c r="DY40" s="50">
        <f xml:space="preserve"> 'WK2014'!GR50</f>
        <v>118.94473354310384</v>
      </c>
      <c r="DZ40" s="61">
        <f xml:space="preserve"> 'WK2014'!GM50</f>
        <v>0.78037072446780409</v>
      </c>
      <c r="ED40" s="50">
        <f xml:space="preserve"> 'WK2015'!EG50</f>
        <v>1709.9720000000002</v>
      </c>
      <c r="EE40" s="50">
        <f xml:space="preserve"> 'WK2015'!EH50</f>
        <v>2994.7180000000003</v>
      </c>
      <c r="EF40" s="50">
        <f xml:space="preserve"> 'WK2015'!EK50</f>
        <v>1942.0822964222773</v>
      </c>
      <c r="EG40" s="50">
        <f xml:space="preserve"> 'WK2015'!EL50</f>
        <v>2691.8662964222772</v>
      </c>
      <c r="EH40" s="50">
        <f xml:space="preserve"> 'WK2015'!EM50</f>
        <v>1750.7504254114147</v>
      </c>
      <c r="EI40" s="50">
        <f xml:space="preserve"> 'WK2015'!EN50</f>
        <v>2500.5344254114148</v>
      </c>
      <c r="EJ40" s="61">
        <f xml:space="preserve"> 'WK2015'!EI50</f>
        <v>0.78898999069459508</v>
      </c>
      <c r="EK40" s="1"/>
      <c r="EL40" s="50">
        <f xml:space="preserve"> 'WK2015'!EU50</f>
        <v>1302.9230000000002</v>
      </c>
      <c r="EM40" s="50">
        <f xml:space="preserve"> 'WK2015'!EV50</f>
        <v>2223.9969999999998</v>
      </c>
      <c r="EN40" s="50">
        <f xml:space="preserve"> 'WK2015'!EY50</f>
        <v>1592.0534273542387</v>
      </c>
      <c r="EO40" s="50">
        <f xml:space="preserve"> 'WK2015'!EZ50</f>
        <v>2065.7644273542392</v>
      </c>
      <c r="EP40" s="50">
        <f xml:space="preserve"> 'WK2015'!FA50</f>
        <v>1339.797012884025</v>
      </c>
      <c r="EQ40" s="50">
        <f xml:space="preserve"> 'WK2015'!FB50</f>
        <v>1813.508012884025</v>
      </c>
      <c r="ER40" s="61">
        <f xml:space="preserve"> 'WK2015'!EW50</f>
        <v>0.78098352088070078</v>
      </c>
      <c r="ES40" s="1"/>
      <c r="ET40" s="50">
        <f xml:space="preserve"> 'WK2015'!FI50</f>
        <v>992.154</v>
      </c>
      <c r="EU40" s="50">
        <f xml:space="preserve"> 'WK2015'!FJ50</f>
        <v>1882.5159999999998</v>
      </c>
      <c r="EV40" s="50">
        <f xml:space="preserve"> 'WK2015'!FM50</f>
        <v>1190.9632964628399</v>
      </c>
      <c r="EW40" s="50">
        <f xml:space="preserve"> 'WK2015'!FN50</f>
        <v>1786.65329646284</v>
      </c>
      <c r="EX40" s="50">
        <f xml:space="preserve"> 'WK2015'!FO50</f>
        <v>1016.6716051037533</v>
      </c>
      <c r="EY40" s="50">
        <f xml:space="preserve"> 'WK2015'!FP50</f>
        <v>1612.3616051037534</v>
      </c>
      <c r="EZ40" s="61">
        <f xml:space="preserve"> 'WK2015'!FK50</f>
        <v>0.77262260779020331</v>
      </c>
      <c r="FA40" s="1"/>
      <c r="FB40" s="50">
        <f xml:space="preserve"> 'WK2015'!FW50</f>
        <v>372.47199999999998</v>
      </c>
      <c r="FC40" s="50">
        <f xml:space="preserve"> 'WK2015'!FX50</f>
        <v>493.02800000000002</v>
      </c>
      <c r="FD40" s="50">
        <f xml:space="preserve"> 'WK2015'!GA50</f>
        <v>372.8427303980277</v>
      </c>
      <c r="FE40" s="50">
        <f xml:space="preserve"> 'WK2015'!GB50</f>
        <v>492.74673039802769</v>
      </c>
      <c r="FF40" s="50">
        <f xml:space="preserve"> 'WK2015'!GC50</f>
        <v>372.52478667007711</v>
      </c>
      <c r="FG40" s="50">
        <f xml:space="preserve"> 'WK2015'!GD50</f>
        <v>492.4287866700771</v>
      </c>
      <c r="FH40" s="61">
        <f xml:space="preserve"> 'WK2015'!FY50</f>
        <v>0.78617814012003817</v>
      </c>
      <c r="FI40" s="1"/>
      <c r="FJ40" s="50">
        <f xml:space="preserve"> 'WK2015'!GK50</f>
        <v>84.982500000000002</v>
      </c>
      <c r="FK40" s="50">
        <f xml:space="preserve"> 'WK2015'!GL50</f>
        <v>255.25500000000002</v>
      </c>
      <c r="FL40" s="50">
        <f xml:space="preserve"> 'WK2015'!GO50</f>
        <v>174.19454281132622</v>
      </c>
      <c r="FM40" s="50">
        <f xml:space="preserve"> 'WK2015'!GP50</f>
        <v>217.50704281132619</v>
      </c>
      <c r="FN40" s="50">
        <f xml:space="preserve"> 'WK2015'!GQ50</f>
        <v>90.282145972599551</v>
      </c>
      <c r="FO40" s="50">
        <f xml:space="preserve"> 'WK2015'!GR50</f>
        <v>133.59464597259958</v>
      </c>
      <c r="FP40" s="61">
        <f xml:space="preserve"> 'WK2015'!GM50</f>
        <v>0.77750667885383151</v>
      </c>
      <c r="FS40" s="283">
        <f xml:space="preserve"> 'WK2015'!H50</f>
        <v>989.05</v>
      </c>
      <c r="FT40" s="283">
        <f xml:space="preserve"> 'WK2015'!I50</f>
        <v>1801.82</v>
      </c>
      <c r="FU40" s="283">
        <f xml:space="preserve"> 'WK2015'!L50</f>
        <v>1044.8940866858795</v>
      </c>
      <c r="FV40" s="283">
        <f xml:space="preserve"> 'WK2015'!M50</f>
        <v>1586.8240866858796</v>
      </c>
      <c r="FW40" s="283">
        <f xml:space="preserve"> 'WK2015'!N50</f>
        <v>1011.3463931656183</v>
      </c>
      <c r="FX40" s="283">
        <f xml:space="preserve"> 'WK2015'!O50</f>
        <v>1553.2763931656184</v>
      </c>
      <c r="FY40" s="284">
        <f xml:space="preserve"> 'WK2015'!P50</f>
        <v>0.79381152456845538</v>
      </c>
      <c r="GA40" s="283">
        <f xml:space="preserve"> 'WK2015'!HB50</f>
        <v>656.79</v>
      </c>
      <c r="GB40" s="283">
        <f xml:space="preserve"> 'WK2015'!HC50</f>
        <v>1357.81</v>
      </c>
      <c r="GC40" s="283">
        <f xml:space="preserve"> 'WK2015'!HF50</f>
        <v>720.94398664181494</v>
      </c>
      <c r="GD40" s="283">
        <f xml:space="preserve"> 'WK2015'!HG50</f>
        <v>1178.643986641815</v>
      </c>
      <c r="GE40" s="283">
        <f xml:space="preserve"> 'WK2015'!HH50</f>
        <v>671.61539354956983</v>
      </c>
      <c r="GF40" s="283">
        <f xml:space="preserve"> 'WK2015'!HI50</f>
        <v>1129.31539354957</v>
      </c>
      <c r="GG40" s="284">
        <f xml:space="preserve"> 'WK2015'!HJ50</f>
        <v>0.73633903237787701</v>
      </c>
      <c r="GI40" s="283">
        <f xml:space="preserve"> 'WK2015'!HQ50</f>
        <v>531.65</v>
      </c>
      <c r="GJ40" s="283">
        <f xml:space="preserve"> 'WK2015'!HR50</f>
        <v>775.53</v>
      </c>
      <c r="GK40" s="283">
        <f xml:space="preserve"> 'WK2015'!HU50</f>
        <v>566.69811839611259</v>
      </c>
      <c r="GL40" s="283">
        <f xml:space="preserve"> 'WK2015'!HV50</f>
        <v>680.78811839611262</v>
      </c>
      <c r="GM40" s="283">
        <f xml:space="preserve"> 'WK2015'!HW50</f>
        <v>534.6550485267029</v>
      </c>
      <c r="GN40" s="283">
        <f xml:space="preserve"> 'WK2015'!HX50</f>
        <v>648.74504852670293</v>
      </c>
      <c r="GO40" s="284">
        <f xml:space="preserve"> 'WK2015'!HY50</f>
        <v>0.72996287544408156</v>
      </c>
    </row>
    <row r="41" spans="1:197" x14ac:dyDescent="0.2">
      <c r="A41" s="3">
        <f>Basis!A41</f>
        <v>41</v>
      </c>
      <c r="D41" s="252" t="e">
        <v>#N/A</v>
      </c>
      <c r="E41" s="252" t="e">
        <v>#N/A</v>
      </c>
      <c r="H41" s="50">
        <f xml:space="preserve"> 'WK2012'!EG51</f>
        <v>1662.3617449211931</v>
      </c>
      <c r="I41" s="50">
        <f xml:space="preserve"> 'WK2012'!EH51</f>
        <v>3287.7190834397384</v>
      </c>
      <c r="J41" s="50">
        <f xml:space="preserve"> 'WK2012'!EK51</f>
        <v>1854.348000889689</v>
      </c>
      <c r="K41" s="50">
        <f xml:space="preserve"> 'WK2012'!EL51</f>
        <v>3192.6856896603572</v>
      </c>
      <c r="L41" s="50">
        <f xml:space="preserve"> 'WK2012'!EM51</f>
        <v>1707.4423760377879</v>
      </c>
      <c r="M41" s="50">
        <f xml:space="preserve"> 'WK2012'!EN51</f>
        <v>3045.7800648084558</v>
      </c>
      <c r="N41" s="61">
        <f xml:space="preserve"> 'WK2012'!EI51</f>
        <v>0.79346879753151744</v>
      </c>
      <c r="P41" s="50">
        <f xml:space="preserve"> 'WK2012'!EU51</f>
        <v>1309.393980658919</v>
      </c>
      <c r="Q41" s="50">
        <f xml:space="preserve"> 'WK2012'!EV51</f>
        <v>2556.9747448003077</v>
      </c>
      <c r="R41" s="50">
        <f xml:space="preserve"> 'WK2012'!EY51</f>
        <v>1476.9475819639322</v>
      </c>
      <c r="S41" s="50">
        <f xml:space="preserve"> 'WK2012'!EZ51</f>
        <v>2473.0738607089788</v>
      </c>
      <c r="T41" s="50">
        <f xml:space="preserve"> 'WK2012'!FA51</f>
        <v>1345.462656522529</v>
      </c>
      <c r="U41" s="50">
        <f xml:space="preserve"> 'WK2012'!FB51</f>
        <v>2341.5889352675754</v>
      </c>
      <c r="V41" s="61">
        <f xml:space="preserve"> 'WK2012'!EW51</f>
        <v>0.79392923879446564</v>
      </c>
      <c r="X41" s="50">
        <f xml:space="preserve"> 'WK2012'!FI51</f>
        <v>806.47529467169011</v>
      </c>
      <c r="Y41" s="50">
        <f xml:space="preserve"> 'WK2012'!FJ51</f>
        <v>1415.474660869744</v>
      </c>
      <c r="Z41" s="50">
        <f xml:space="preserve"> 'WK2012'!FM51</f>
        <v>894.14774023847428</v>
      </c>
      <c r="AA41" s="50">
        <f xml:space="preserve"> 'WK2012'!FN51</f>
        <v>1368.0485243868336</v>
      </c>
      <c r="AB41" s="50">
        <f xml:space="preserve"> 'WK2012'!FO51</f>
        <v>829.81370046160521</v>
      </c>
      <c r="AC41" s="50">
        <f xml:space="preserve"> 'WK2012'!FP51</f>
        <v>1303.714484609965</v>
      </c>
      <c r="AD41" s="61">
        <f xml:space="preserve"> 'WK2012'!FK51</f>
        <v>0.78633810185348529</v>
      </c>
      <c r="AF41" s="50">
        <f xml:space="preserve"> 'WK2012'!FW51</f>
        <v>63.772974928951633</v>
      </c>
      <c r="AG41" s="50">
        <f xml:space="preserve"> 'WK2012'!FX51</f>
        <v>156.62179089255073</v>
      </c>
      <c r="AH41" s="50">
        <f xml:space="preserve"> 'WK2012'!GA51</f>
        <v>101.54409021018499</v>
      </c>
      <c r="AI41" s="50">
        <f xml:space="preserve"> 'WK2012'!GB51</f>
        <v>137.52806248821958</v>
      </c>
      <c r="AJ41" s="50">
        <f xml:space="preserve"> 'WK2012'!GC51</f>
        <v>67.695239830420178</v>
      </c>
      <c r="AK41" s="50">
        <f xml:space="preserve"> 'WK2012'!GD51</f>
        <v>103.67921210845473</v>
      </c>
      <c r="AL41" s="61">
        <f xml:space="preserve"> 'WK2012'!FY51</f>
        <v>0.78378291281431312</v>
      </c>
      <c r="AN41" s="50">
        <f xml:space="preserve"> 'WK2012'!GK51</f>
        <v>341.93788473688761</v>
      </c>
      <c r="AO41" s="50">
        <f xml:space="preserve"> 'WK2012'!GL51</f>
        <v>451.62488282362722</v>
      </c>
      <c r="AP41" s="50">
        <f xml:space="preserve"> 'WK2012'!GO51</f>
        <v>343.69669839481548</v>
      </c>
      <c r="AQ41" s="50">
        <f xml:space="preserve"> 'WK2012'!GP51</f>
        <v>450.28332031826562</v>
      </c>
      <c r="AR41" s="50">
        <f xml:space="preserve"> 'WK2012'!GQ51</f>
        <v>342.57263264319033</v>
      </c>
      <c r="AS41" s="50">
        <f xml:space="preserve"> 'WK2012'!GR51</f>
        <v>449.15925456664047</v>
      </c>
      <c r="AT41" s="61">
        <f xml:space="preserve"> 'WK2012'!GM51</f>
        <v>0.79568828256909785</v>
      </c>
      <c r="AX41" s="50">
        <f xml:space="preserve"> 'WK2013'!EG51</f>
        <v>1764.9799910000002</v>
      </c>
      <c r="AY41" s="50">
        <f xml:space="preserve"> 'WK2013'!EH51</f>
        <v>2997.7220865999998</v>
      </c>
      <c r="AZ41" s="50">
        <f xml:space="preserve"> 'WK2013'!EK51</f>
        <v>1917.7630473531397</v>
      </c>
      <c r="BA41" s="50">
        <f xml:space="preserve"> 'WK2013'!EL51</f>
        <v>2845.8224389531397</v>
      </c>
      <c r="BB41" s="50">
        <f xml:space="preserve"> 'WK2013'!EM51</f>
        <v>1808.1803052958433</v>
      </c>
      <c r="BC41" s="50">
        <f xml:space="preserve"> 'WK2013'!EN51</f>
        <v>2736.2396968958433</v>
      </c>
      <c r="BD41" s="61">
        <f xml:space="preserve"> 'WK2013'!EI51</f>
        <v>0.76611643376830241</v>
      </c>
      <c r="BF41" s="50">
        <f xml:space="preserve"> 'WK2013'!EU51</f>
        <v>1395.6098729999999</v>
      </c>
      <c r="BG41" s="50">
        <f xml:space="preserve"> 'WK2013'!EV51</f>
        <v>2253.5151354</v>
      </c>
      <c r="BH41" s="50">
        <f xml:space="preserve"> 'WK2013'!EY51</f>
        <v>1581.993941239245</v>
      </c>
      <c r="BI41" s="50">
        <f xml:space="preserve"> 'WK2013'!EZ51</f>
        <v>2143.0677266392449</v>
      </c>
      <c r="BJ41" s="50">
        <f xml:space="preserve"> 'WK2013'!FA51</f>
        <v>1431.1965588623234</v>
      </c>
      <c r="BK41" s="50">
        <f xml:space="preserve"> 'WK2013'!FB51</f>
        <v>1992.2703442623235</v>
      </c>
      <c r="BL41" s="61">
        <f xml:space="preserve"> 'WK2013'!EW51</f>
        <v>0.7765942289814588</v>
      </c>
      <c r="BN41" s="50">
        <f xml:space="preserve"> 'WK2013'!FI51</f>
        <v>1002.4725188</v>
      </c>
      <c r="BO41" s="50">
        <f xml:space="preserve"> 'WK2013'!FJ51</f>
        <v>1767.9469925999999</v>
      </c>
      <c r="BP41" s="50">
        <f xml:space="preserve"> 'WK2013'!FM51</f>
        <v>1136.8478580552548</v>
      </c>
      <c r="BQ41" s="50">
        <f xml:space="preserve"> 'WK2013'!FN51</f>
        <v>1697.0658172552548</v>
      </c>
      <c r="BR41" s="50">
        <f xml:space="preserve"> 'WK2013'!FO51</f>
        <v>1030.2963510300872</v>
      </c>
      <c r="BS41" s="50">
        <f xml:space="preserve"> 'WK2013'!FP51</f>
        <v>1590.5143102300872</v>
      </c>
      <c r="BT41" s="61">
        <f xml:space="preserve"> 'WK2013'!FK51</f>
        <v>0.76700636133287792</v>
      </c>
      <c r="BV41" s="50">
        <f xml:space="preserve"> 'WK2013'!FW51</f>
        <v>401.56153500000005</v>
      </c>
      <c r="BW41" s="50">
        <f xml:space="preserve"> 'WK2013'!FX51</f>
        <v>531.95996760000003</v>
      </c>
      <c r="BX41" s="50">
        <f xml:space="preserve"> 'WK2013'!GA51</f>
        <v>401.83610063947276</v>
      </c>
      <c r="BY41" s="50">
        <f xml:space="preserve"> 'WK2013'!GB51</f>
        <v>531.75113323947278</v>
      </c>
      <c r="BZ41" s="50">
        <f xml:space="preserve"> 'WK2013'!GC51</f>
        <v>401.61478011479983</v>
      </c>
      <c r="CA41" s="50">
        <f xml:space="preserve"> 'WK2013'!GD51</f>
        <v>531.52981271479985</v>
      </c>
      <c r="CB41" s="61">
        <f xml:space="preserve"> 'WK2013'!FY51</f>
        <v>0.7806921661505507</v>
      </c>
      <c r="CD41" s="50">
        <f xml:space="preserve"> 'WK2013'!GK51</f>
        <v>81.832459499999999</v>
      </c>
      <c r="CE41" s="50">
        <f xml:space="preserve"> 'WK2013'!GL51</f>
        <v>203.96103675000001</v>
      </c>
      <c r="CF41" s="50">
        <f xml:space="preserve"> 'WK2013'!GO51</f>
        <v>135.7490227408972</v>
      </c>
      <c r="CG41" s="50">
        <f xml:space="preserve"> 'WK2013'!GP51</f>
        <v>177.69517724089718</v>
      </c>
      <c r="CH41" s="50">
        <f xml:space="preserve"> 'WK2013'!GQ51</f>
        <v>86.148056696918673</v>
      </c>
      <c r="CI41" s="50">
        <f xml:space="preserve"> 'WK2013'!GR51</f>
        <v>128.09421119691865</v>
      </c>
      <c r="CJ41" s="61">
        <f xml:space="preserve"> 'WK2013'!GM51</f>
        <v>0.77743603338509815</v>
      </c>
      <c r="CN41" s="50">
        <f xml:space="preserve"> 'WK2014'!EG51</f>
        <v>1797.0743931999998</v>
      </c>
      <c r="CO41" s="50">
        <f xml:space="preserve"> 'WK2014'!EH51</f>
        <v>3056.1894180000004</v>
      </c>
      <c r="CP41" s="50">
        <f xml:space="preserve"> 'WK2014'!EK51</f>
        <v>1942.5142442828924</v>
      </c>
      <c r="CQ41" s="50">
        <f xml:space="preserve"> 'WK2014'!EL51</f>
        <v>2877.1019800828931</v>
      </c>
      <c r="CR41" s="50">
        <f xml:space="preserve"> 'WK2014'!EM51</f>
        <v>1830.8123093983427</v>
      </c>
      <c r="CS41" s="50">
        <f xml:space="preserve"> 'WK2014'!EN51</f>
        <v>2765.4000451983425</v>
      </c>
      <c r="CT41" s="61">
        <f xml:space="preserve"> 'WK2014'!EI51</f>
        <v>0.78688964638203795</v>
      </c>
      <c r="CV41" s="50">
        <f xml:space="preserve"> 'WK2014'!EU51</f>
        <v>1380.3000193</v>
      </c>
      <c r="CW41" s="50">
        <f xml:space="preserve"> 'WK2014'!EV51</f>
        <v>2256.1758019999997</v>
      </c>
      <c r="CX41" s="50">
        <f xml:space="preserve"> 'WK2014'!EY51</f>
        <v>1583.7803024127866</v>
      </c>
      <c r="CY41" s="50">
        <f xml:space="preserve"> 'WK2014'!EZ51</f>
        <v>2138.5984466127866</v>
      </c>
      <c r="CZ41" s="50">
        <f xml:space="preserve"> 'WK2014'!FA51</f>
        <v>1416.3480531719499</v>
      </c>
      <c r="DA41" s="50">
        <f xml:space="preserve"> 'WK2014'!FB51</f>
        <v>1971.1661973719499</v>
      </c>
      <c r="DB41" s="61">
        <f xml:space="preserve"> 'WK2014'!EW51</f>
        <v>0.77659756804941382</v>
      </c>
      <c r="DC41" s="1"/>
      <c r="DD41" s="50">
        <f xml:space="preserve"> 'WK2014'!FI51</f>
        <v>1055.6697344000002</v>
      </c>
      <c r="DE41" s="50">
        <f xml:space="preserve"> 'WK2014'!FJ51</f>
        <v>1832.4032558000001</v>
      </c>
      <c r="DF41" s="50">
        <f xml:space="preserve"> 'WK2014'!FM51</f>
        <v>1185.6005216106832</v>
      </c>
      <c r="DG41" s="50">
        <f xml:space="preserve"> 'WK2014'!FN51</f>
        <v>1761.741139410683</v>
      </c>
      <c r="DH41" s="50">
        <f xml:space="preserve"> 'WK2014'!FO51</f>
        <v>1079.5534495785598</v>
      </c>
      <c r="DI41" s="50">
        <f xml:space="preserve"> 'WK2014'!FP51</f>
        <v>1655.69406737856</v>
      </c>
      <c r="DJ41" s="61">
        <f xml:space="preserve"> 'WK2014'!FK51</f>
        <v>0.76671940304042074</v>
      </c>
      <c r="DK41" s="1"/>
      <c r="DL41" s="50">
        <f xml:space="preserve"> 'WK2014'!FW51</f>
        <v>393.0938592</v>
      </c>
      <c r="DM41" s="50">
        <f xml:space="preserve"> 'WK2014'!FX51</f>
        <v>523.44095600000003</v>
      </c>
      <c r="DN41" s="50">
        <f xml:space="preserve"> 'WK2014'!GA51</f>
        <v>393.37151698451964</v>
      </c>
      <c r="DO41" s="50">
        <f xml:space="preserve"> 'WK2014'!GB51</f>
        <v>523.2310387845198</v>
      </c>
      <c r="DP41" s="50">
        <f xml:space="preserve"> 'WK2014'!GC51</f>
        <v>393.14539790581375</v>
      </c>
      <c r="DQ41" s="50">
        <f xml:space="preserve"> 'WK2014'!GD51</f>
        <v>523.00491970581379</v>
      </c>
      <c r="DR41" s="61">
        <f xml:space="preserve"> 'WK2014'!FY51</f>
        <v>0.78072468479554891</v>
      </c>
      <c r="DS41" s="1"/>
      <c r="DT41" s="50">
        <f xml:space="preserve"> 'WK2014'!GK51</f>
        <v>84.533367000000013</v>
      </c>
      <c r="DU41" s="50">
        <f xml:space="preserve"> 'WK2014'!GL51</f>
        <v>202.58008949999999</v>
      </c>
      <c r="DV41" s="50">
        <f xml:space="preserve"> 'WK2014'!GO51</f>
        <v>139.18843110570964</v>
      </c>
      <c r="DW41" s="50">
        <f xml:space="preserve"> 'WK2014'!GP51</f>
        <v>175.42080810570957</v>
      </c>
      <c r="DX41" s="50">
        <f xml:space="preserve"> 'WK2014'!GQ51</f>
        <v>89.500600543103829</v>
      </c>
      <c r="DY41" s="50">
        <f xml:space="preserve"> 'WK2014'!GR51</f>
        <v>125.7329775431038</v>
      </c>
      <c r="DZ41" s="61">
        <f xml:space="preserve"> 'WK2014'!GM51</f>
        <v>0.77644417399886467</v>
      </c>
      <c r="ED41" s="50">
        <f xml:space="preserve"> 'WK2015'!EG51</f>
        <v>1768.3573707999999</v>
      </c>
      <c r="EE41" s="50">
        <f xml:space="preserve"> 'WK2015'!EH51</f>
        <v>2943.2896601999996</v>
      </c>
      <c r="EF41" s="50">
        <f xml:space="preserve"> 'WK2015'!EK51</f>
        <v>1936.1744699570204</v>
      </c>
      <c r="EG41" s="50">
        <f xml:space="preserve"> 'WK2015'!EL51</f>
        <v>2712.42781835702</v>
      </c>
      <c r="EH41" s="50">
        <f xml:space="preserve"> 'WK2015'!EM51</f>
        <v>1809.1357962114148</v>
      </c>
      <c r="EI41" s="50">
        <f xml:space="preserve"> 'WK2015'!EN51</f>
        <v>2585.3891446114148</v>
      </c>
      <c r="EJ41" s="61">
        <f xml:space="preserve"> 'WK2015'!EI51</f>
        <v>0.78769689447469471</v>
      </c>
      <c r="EK41" s="1"/>
      <c r="EL41" s="50">
        <f xml:space="preserve"> 'WK2015'!EU51</f>
        <v>1359.5105462000001</v>
      </c>
      <c r="EM41" s="50">
        <f xml:space="preserve"> 'WK2015'!EV51</f>
        <v>2184.7082757999997</v>
      </c>
      <c r="EN41" s="50">
        <f xml:space="preserve"> 'WK2015'!EY51</f>
        <v>1564.408065296951</v>
      </c>
      <c r="EO41" s="50">
        <f xml:space="preserve"> 'WK2015'!EZ51</f>
        <v>2062.442970896951</v>
      </c>
      <c r="EP41" s="50">
        <f xml:space="preserve"> 'WK2015'!FA51</f>
        <v>1396.3845590840253</v>
      </c>
      <c r="EQ41" s="50">
        <f xml:space="preserve"> 'WK2015'!FB51</f>
        <v>1894.4194646840251</v>
      </c>
      <c r="ER41" s="61">
        <f xml:space="preserve"> 'WK2015'!EW51</f>
        <v>0.78066836248837879</v>
      </c>
      <c r="ES41" s="1"/>
      <c r="ET41" s="50">
        <f xml:space="preserve"> 'WK2015'!FI51</f>
        <v>1043.3854523999998</v>
      </c>
      <c r="EU41" s="50">
        <f xml:space="preserve"> 'WK2015'!FJ51</f>
        <v>1880.4511249999998</v>
      </c>
      <c r="EV41" s="50">
        <f xml:space="preserve"> 'WK2015'!FM51</f>
        <v>1193.1559357310841</v>
      </c>
      <c r="EW41" s="50">
        <f xml:space="preserve"> 'WK2015'!FN51</f>
        <v>1803.096436531084</v>
      </c>
      <c r="EX41" s="50">
        <f xml:space="preserve"> 'WK2015'!FO51</f>
        <v>1067.9030575037532</v>
      </c>
      <c r="EY41" s="50">
        <f xml:space="preserve"> 'WK2015'!FP51</f>
        <v>1677.8435583037531</v>
      </c>
      <c r="EZ41" s="61">
        <f xml:space="preserve"> 'WK2015'!FK51</f>
        <v>0.77056709632913878</v>
      </c>
      <c r="FA41" s="1"/>
      <c r="FB41" s="50">
        <f xml:space="preserve"> 'WK2015'!FW51</f>
        <v>381.22562080000006</v>
      </c>
      <c r="FC41" s="50">
        <f xml:space="preserve"> 'WK2015'!FX51</f>
        <v>500.73742119999997</v>
      </c>
      <c r="FD41" s="50">
        <f xml:space="preserve"> 'WK2015'!GA51</f>
        <v>381.52246063109487</v>
      </c>
      <c r="FE41" s="50">
        <f xml:space="preserve"> 'WK2015'!GB51</f>
        <v>500.51042103109467</v>
      </c>
      <c r="FF41" s="50">
        <f xml:space="preserve"> 'WK2015'!GC51</f>
        <v>381.27840747007713</v>
      </c>
      <c r="FG41" s="50">
        <f xml:space="preserve"> 'WK2015'!GD51</f>
        <v>500.26636787007703</v>
      </c>
      <c r="FH41" s="61">
        <f xml:space="preserve"> 'WK2015'!FY51</f>
        <v>0.7854019034124845</v>
      </c>
      <c r="FI41" s="1"/>
      <c r="FJ41" s="50">
        <f xml:space="preserve"> 'WK2015'!GK51</f>
        <v>89.784076500000012</v>
      </c>
      <c r="FK41" s="50">
        <f xml:space="preserve"> 'WK2015'!GL51</f>
        <v>234.49607999999998</v>
      </c>
      <c r="FL41" s="50">
        <f xml:space="preserve"> 'WK2015'!GO51</f>
        <v>152.03497733430254</v>
      </c>
      <c r="FM41" s="50">
        <f xml:space="preserve"> 'WK2015'!GP51</f>
        <v>204.77941658430248</v>
      </c>
      <c r="FN41" s="50">
        <f xml:space="preserve"> 'WK2015'!GQ51</f>
        <v>95.08372247259959</v>
      </c>
      <c r="FO41" s="50">
        <f xml:space="preserve"> 'WK2015'!GR51</f>
        <v>147.82816172259953</v>
      </c>
      <c r="FP41" s="61">
        <f xml:space="preserve"> 'WK2015'!GM51</f>
        <v>0.77589823501097044</v>
      </c>
      <c r="FS41" s="283">
        <f xml:space="preserve"> 'WK2015'!H51</f>
        <v>1021.8864599999998</v>
      </c>
      <c r="FT41" s="283">
        <f xml:space="preserve"> 'WK2015'!I51</f>
        <v>1786.1441659999998</v>
      </c>
      <c r="FU41" s="283">
        <f xml:space="preserve"> 'WK2015'!L51</f>
        <v>1064.8347531574191</v>
      </c>
      <c r="FV41" s="283">
        <f xml:space="preserve"> 'WK2015'!M51</f>
        <v>1624.8249311574191</v>
      </c>
      <c r="FW41" s="283">
        <f xml:space="preserve"> 'WK2015'!N51</f>
        <v>1044.1828531656183</v>
      </c>
      <c r="FX41" s="283">
        <f xml:space="preserve"> 'WK2015'!O51</f>
        <v>1604.1730311656181</v>
      </c>
      <c r="FY41" s="284">
        <f xml:space="preserve"> 'WK2015'!P51</f>
        <v>0.78974488222416173</v>
      </c>
      <c r="GA41" s="283">
        <f xml:space="preserve"> 'WK2015'!HB51</f>
        <v>687.46209299999998</v>
      </c>
      <c r="GB41" s="283">
        <f xml:space="preserve"> 'WK2015'!HC51</f>
        <v>1332.4189529999999</v>
      </c>
      <c r="GC41" s="283">
        <f xml:space="preserve"> 'WK2015'!HF51</f>
        <v>729.14379565847105</v>
      </c>
      <c r="GD41" s="283">
        <f xml:space="preserve"> 'WK2015'!HG51</f>
        <v>1195.576771658471</v>
      </c>
      <c r="GE41" s="283">
        <f xml:space="preserve"> 'WK2015'!HH51</f>
        <v>702.28748654956985</v>
      </c>
      <c r="GF41" s="283">
        <f xml:space="preserve"> 'WK2015'!HI51</f>
        <v>1168.7204625495699</v>
      </c>
      <c r="GG41" s="284">
        <f xml:space="preserve"> 'WK2015'!HJ51</f>
        <v>0.76652030123615833</v>
      </c>
      <c r="GI41" s="283">
        <f xml:space="preserve"> 'WK2015'!HQ51</f>
        <v>555.84007500000007</v>
      </c>
      <c r="GJ41" s="283">
        <f xml:space="preserve"> 'WK2015'!HR51</f>
        <v>795.38356799999997</v>
      </c>
      <c r="GK41" s="283">
        <f xml:space="preserve"> 'WK2015'!HU51</f>
        <v>584.44770716656956</v>
      </c>
      <c r="GL41" s="283">
        <f xml:space="preserve"> 'WK2015'!HV51</f>
        <v>707.67340216656942</v>
      </c>
      <c r="GM41" s="283">
        <f xml:space="preserve"> 'WK2015'!HW51</f>
        <v>558.84512352670299</v>
      </c>
      <c r="GN41" s="283">
        <f xml:space="preserve"> 'WK2015'!HX51</f>
        <v>682.07081852670285</v>
      </c>
      <c r="GO41" s="284">
        <f xml:space="preserve"> 'WK2015'!HY51</f>
        <v>0.75405627807217013</v>
      </c>
    </row>
    <row r="42" spans="1:197" x14ac:dyDescent="0.2">
      <c r="A42" s="3">
        <f>Basis!A42</f>
        <v>42</v>
      </c>
      <c r="D42" s="252" t="e">
        <v>#N/A</v>
      </c>
      <c r="E42" s="252" t="e">
        <v>#N/A</v>
      </c>
      <c r="H42" s="50">
        <f xml:space="preserve"> 'WK2012'!EG52</f>
        <v>1716.3947524958571</v>
      </c>
      <c r="I42" s="50">
        <f xml:space="preserve"> 'WK2012'!EH52</f>
        <v>3265.6599148379328</v>
      </c>
      <c r="J42" s="50">
        <f xml:space="preserve"> 'WK2012'!EK52</f>
        <v>1830.9922681909193</v>
      </c>
      <c r="K42" s="50">
        <f xml:space="preserve"> 'WK2012'!EL52</f>
        <v>3204.880345642071</v>
      </c>
      <c r="L42" s="50">
        <f xml:space="preserve"> 'WK2012'!EM52</f>
        <v>1761.4753836124517</v>
      </c>
      <c r="M42" s="50">
        <f xml:space="preserve"> 'WK2012'!EN52</f>
        <v>3135.3634610636041</v>
      </c>
      <c r="N42" s="61">
        <f xml:space="preserve"> 'WK2012'!EI52</f>
        <v>0.79309989507506373</v>
      </c>
      <c r="P42" s="50">
        <f xml:space="preserve"> 'WK2012'!EU52</f>
        <v>1365.6585245543463</v>
      </c>
      <c r="Q42" s="50">
        <f xml:space="preserve"> 'WK2012'!EV52</f>
        <v>2554.1884232414691</v>
      </c>
      <c r="R42" s="50">
        <f xml:space="preserve"> 'WK2012'!EY52</f>
        <v>1457.1982432258169</v>
      </c>
      <c r="S42" s="50">
        <f xml:space="preserve"> 'WK2012'!EZ52</f>
        <v>2503.6470867366334</v>
      </c>
      <c r="T42" s="50">
        <f xml:space="preserve"> 'WK2012'!FA52</f>
        <v>1401.7272004179563</v>
      </c>
      <c r="U42" s="50">
        <f xml:space="preserve"> 'WK2012'!FB52</f>
        <v>2448.1760439287732</v>
      </c>
      <c r="V42" s="61">
        <f xml:space="preserve"> 'WK2012'!EW52</f>
        <v>0.7912719002425993</v>
      </c>
      <c r="X42" s="50">
        <f xml:space="preserve"> 'WK2012'!FI52</f>
        <v>835.61991471242004</v>
      </c>
      <c r="Y42" s="50">
        <f xml:space="preserve"> 'WK2012'!FJ52</f>
        <v>1432.3208394466442</v>
      </c>
      <c r="Z42" s="50">
        <f xml:space="preserve"> 'WK2012'!FM52</f>
        <v>893.40513604739976</v>
      </c>
      <c r="AA42" s="50">
        <f xml:space="preserve"> 'WK2012'!FN52</f>
        <v>1399.8615134896816</v>
      </c>
      <c r="AB42" s="50">
        <f xml:space="preserve"> 'WK2012'!FO52</f>
        <v>858.95832050233525</v>
      </c>
      <c r="AC42" s="50">
        <f xml:space="preserve"> 'WK2012'!FP52</f>
        <v>1365.4146979446168</v>
      </c>
      <c r="AD42" s="61">
        <f xml:space="preserve"> 'WK2012'!FK52</f>
        <v>0.78373975263923923</v>
      </c>
      <c r="AF42" s="50">
        <f xml:space="preserve"> 'WK2012'!FW52</f>
        <v>66.115850201064859</v>
      </c>
      <c r="AG42" s="50">
        <f xml:space="preserve"> 'WK2012'!FX52</f>
        <v>137.23234877364723</v>
      </c>
      <c r="AH42" s="50">
        <f xml:space="preserve"> 'WK2012'!GA52</f>
        <v>86.87438402796333</v>
      </c>
      <c r="AI42" s="50">
        <f xml:space="preserve"> 'WK2012'!GB52</f>
        <v>125.18666927188211</v>
      </c>
      <c r="AJ42" s="50">
        <f xml:space="preserve"> 'WK2012'!GC52</f>
        <v>70.038115102533396</v>
      </c>
      <c r="AK42" s="50">
        <f xml:space="preserve"> 'WK2012'!GD52</f>
        <v>108.35040034645218</v>
      </c>
      <c r="AL42" s="61">
        <f xml:space="preserve"> 'WK2012'!FY52</f>
        <v>0.78782253935070867</v>
      </c>
      <c r="AN42" s="50">
        <f xml:space="preserve"> 'WK2012'!GK52</f>
        <v>347.60464495594238</v>
      </c>
      <c r="AO42" s="50">
        <f xml:space="preserve"> 'WK2012'!GL52</f>
        <v>459.18950221907505</v>
      </c>
      <c r="AP42" s="50">
        <f xml:space="preserve"> 'WK2012'!GO52</f>
        <v>348.65922362458286</v>
      </c>
      <c r="AQ42" s="50">
        <f xml:space="preserve"> 'WK2012'!GP52</f>
        <v>458.38693058973644</v>
      </c>
      <c r="AR42" s="50">
        <f xml:space="preserve"> 'WK2012'!GQ52</f>
        <v>348.23939286224504</v>
      </c>
      <c r="AS42" s="50">
        <f xml:space="preserve"> 'WK2012'!GR52</f>
        <v>457.96709982739867</v>
      </c>
      <c r="AT42" s="61">
        <f xml:space="preserve"> 'WK2012'!GM52</f>
        <v>0.79094699071090335</v>
      </c>
      <c r="AX42" s="50">
        <f xml:space="preserve"> 'WK2013'!EG52</f>
        <v>1825.1679703999998</v>
      </c>
      <c r="AY42" s="50">
        <f xml:space="preserve"> 'WK2013'!EH52</f>
        <v>2944.3049925999999</v>
      </c>
      <c r="AZ42" s="50">
        <f xml:space="preserve"> 'WK2013'!EK52</f>
        <v>1925.9864438147638</v>
      </c>
      <c r="BA42" s="50">
        <f xml:space="preserve"> 'WK2013'!EL52</f>
        <v>2836.7225490147644</v>
      </c>
      <c r="BB42" s="50">
        <f xml:space="preserve"> 'WK2013'!EM52</f>
        <v>1868.3682846958429</v>
      </c>
      <c r="BC42" s="50">
        <f xml:space="preserve"> 'WK2013'!EN52</f>
        <v>2779.1043898958433</v>
      </c>
      <c r="BD42" s="61">
        <f xml:space="preserve"> 'WK2013'!EI52</f>
        <v>0.77070662308799698</v>
      </c>
      <c r="BF42" s="50">
        <f xml:space="preserve"> 'WK2013'!EU52</f>
        <v>1444.7927200999998</v>
      </c>
      <c r="BG42" s="50">
        <f xml:space="preserve"> 'WK2013'!EV52</f>
        <v>2238.0995084000001</v>
      </c>
      <c r="BH42" s="50">
        <f xml:space="preserve"> 'WK2013'!EY52</f>
        <v>1567.9157119194022</v>
      </c>
      <c r="BI42" s="50">
        <f xml:space="preserve"> 'WK2013'!EZ52</f>
        <v>2160.5104002194025</v>
      </c>
      <c r="BJ42" s="50">
        <f xml:space="preserve"> 'WK2013'!FA52</f>
        <v>1480.3794059623235</v>
      </c>
      <c r="BK42" s="50">
        <f xml:space="preserve"> 'WK2013'!FB52</f>
        <v>2072.9740942623239</v>
      </c>
      <c r="BL42" s="61">
        <f xml:space="preserve"> 'WK2013'!EW52</f>
        <v>0.78004574342024047</v>
      </c>
      <c r="BN42" s="50">
        <f xml:space="preserve"> 'WK2013'!FI52</f>
        <v>1052.2180209999999</v>
      </c>
      <c r="BO42" s="50">
        <f xml:space="preserve"> 'WK2013'!FJ52</f>
        <v>1776.6451978</v>
      </c>
      <c r="BP42" s="50">
        <f xml:space="preserve"> 'WK2013'!FM52</f>
        <v>1141.8281439282966</v>
      </c>
      <c r="BQ42" s="50">
        <f xml:space="preserve"> 'WK2013'!FN52</f>
        <v>1726.2755597282967</v>
      </c>
      <c r="BR42" s="50">
        <f xml:space="preserve"> 'WK2013'!FO52</f>
        <v>1080.0418532300869</v>
      </c>
      <c r="BS42" s="50">
        <f xml:space="preserve"> 'WK2013'!FP52</f>
        <v>1664.4892690300871</v>
      </c>
      <c r="BT42" s="61">
        <f xml:space="preserve"> 'WK2013'!FK52</f>
        <v>0.7698202658571951</v>
      </c>
      <c r="BV42" s="50">
        <f xml:space="preserve"> 'WK2013'!FW52</f>
        <v>411.19639539999997</v>
      </c>
      <c r="BW42" s="50">
        <f xml:space="preserve"> 'WK2013'!FX52</f>
        <v>541.13963360000002</v>
      </c>
      <c r="BX42" s="50">
        <f xml:space="preserve"> 'WK2013'!GA52</f>
        <v>411.40845321170588</v>
      </c>
      <c r="BY42" s="50">
        <f xml:space="preserve"> 'WK2013'!GB52</f>
        <v>540.97761141170599</v>
      </c>
      <c r="BZ42" s="50">
        <f xml:space="preserve"> 'WK2013'!GC52</f>
        <v>411.24964051479975</v>
      </c>
      <c r="CA42" s="50">
        <f xml:space="preserve"> 'WK2013'!GD52</f>
        <v>540.81879871479987</v>
      </c>
      <c r="CB42" s="61">
        <f xml:space="preserve"> 'WK2013'!FY52</f>
        <v>0.78378154565914349</v>
      </c>
      <c r="CD42" s="50">
        <f xml:space="preserve"> 'WK2013'!GK52</f>
        <v>85.57195424999999</v>
      </c>
      <c r="CE42" s="50">
        <f xml:space="preserve"> 'WK2013'!GL52</f>
        <v>184.54657574999999</v>
      </c>
      <c r="CF42" s="50">
        <f xml:space="preserve"> 'WK2013'!GO52</f>
        <v>121.52509157669211</v>
      </c>
      <c r="CG42" s="50">
        <f xml:space="preserve"> 'WK2013'!GP52</f>
        <v>164.48452532669202</v>
      </c>
      <c r="CH42" s="50">
        <f xml:space="preserve"> 'WK2013'!GQ52</f>
        <v>89.887551446918636</v>
      </c>
      <c r="CI42" s="50">
        <f xml:space="preserve"> 'WK2013'!GR52</f>
        <v>132.84698519691858</v>
      </c>
      <c r="CJ42" s="61">
        <f xml:space="preserve"> 'WK2013'!GM52</f>
        <v>0.78031657864714132</v>
      </c>
      <c r="CN42" s="50">
        <f xml:space="preserve"> 'WK2014'!EG52</f>
        <v>1860.3519799999999</v>
      </c>
      <c r="CO42" s="50">
        <f xml:space="preserve"> 'WK2014'!EH52</f>
        <v>3003.1405688</v>
      </c>
      <c r="CP42" s="50">
        <f xml:space="preserve"> 'WK2014'!EK52</f>
        <v>1956.5304056845848</v>
      </c>
      <c r="CQ42" s="50">
        <f xml:space="preserve"> 'WK2014'!EL52</f>
        <v>2872.751526284585</v>
      </c>
      <c r="CR42" s="50">
        <f xml:space="preserve"> 'WK2014'!EM52</f>
        <v>1894.0898961983426</v>
      </c>
      <c r="CS42" s="50">
        <f xml:space="preserve"> 'WK2014'!EN52</f>
        <v>2810.3110167983427</v>
      </c>
      <c r="CT42" s="61">
        <f xml:space="preserve"> 'WK2014'!EI52</f>
        <v>0.79035147740070388</v>
      </c>
      <c r="CV42" s="50">
        <f xml:space="preserve"> 'WK2014'!EU52</f>
        <v>1431.7157989999998</v>
      </c>
      <c r="CW42" s="50">
        <f xml:space="preserve"> 'WK2014'!EV52</f>
        <v>2239.4343552</v>
      </c>
      <c r="CX42" s="50">
        <f xml:space="preserve"> 'WK2014'!EY52</f>
        <v>1567.5070796274456</v>
      </c>
      <c r="CY42" s="50">
        <f xml:space="preserve"> 'WK2014'!EZ52</f>
        <v>2155.7699020274454</v>
      </c>
      <c r="CZ42" s="50">
        <f xml:space="preserve"> 'WK2014'!FA52</f>
        <v>1467.7638328719499</v>
      </c>
      <c r="DA42" s="50">
        <f xml:space="preserve"> 'WK2014'!FB52</f>
        <v>2056.0266552719499</v>
      </c>
      <c r="DB42" s="61">
        <f xml:space="preserve"> 'WK2014'!EW52</f>
        <v>0.77850362786325467</v>
      </c>
      <c r="DC42" s="1"/>
      <c r="DD42" s="50">
        <f xml:space="preserve"> 'WK2014'!FI52</f>
        <v>1117.8883375999999</v>
      </c>
      <c r="DE42" s="50">
        <f xml:space="preserve"> 'WK2014'!FJ52</f>
        <v>1830.2697777999997</v>
      </c>
      <c r="DF42" s="50">
        <f xml:space="preserve"> 'WK2014'!FM52</f>
        <v>1205.2936765811037</v>
      </c>
      <c r="DG42" s="50">
        <f xml:space="preserve"> 'WK2014'!FN52</f>
        <v>1778.8229463811037</v>
      </c>
      <c r="DH42" s="50">
        <f xml:space="preserve"> 'WK2014'!FO52</f>
        <v>1141.7720527785596</v>
      </c>
      <c r="DI42" s="50">
        <f xml:space="preserve"> 'WK2014'!FP52</f>
        <v>1715.3013225785598</v>
      </c>
      <c r="DJ42" s="61">
        <f xml:space="preserve"> 'WK2014'!FK52</f>
        <v>0.77025053818496647</v>
      </c>
      <c r="DK42" s="1"/>
      <c r="DL42" s="50">
        <f xml:space="preserve"> 'WK2014'!FW52</f>
        <v>402.06598800000006</v>
      </c>
      <c r="DM42" s="50">
        <f xml:space="preserve"> 'WK2014'!FX52</f>
        <v>532.75085680000007</v>
      </c>
      <c r="DN42" s="50">
        <f xml:space="preserve"> 'WK2014'!GA52</f>
        <v>402.28474256803611</v>
      </c>
      <c r="DO42" s="50">
        <f xml:space="preserve"> 'WK2014'!GB52</f>
        <v>532.58507316803616</v>
      </c>
      <c r="DP42" s="50">
        <f xml:space="preserve"> 'WK2014'!GC52</f>
        <v>402.11752670581382</v>
      </c>
      <c r="DQ42" s="50">
        <f xml:space="preserve"> 'WK2014'!GD52</f>
        <v>532.41785730581375</v>
      </c>
      <c r="DR42" s="61">
        <f xml:space="preserve"> 'WK2014'!FY52</f>
        <v>0.78322883031880142</v>
      </c>
      <c r="DS42" s="1"/>
      <c r="DT42" s="50">
        <f xml:space="preserve"> 'WK2014'!GK52</f>
        <v>89.894387999999978</v>
      </c>
      <c r="DU42" s="50">
        <f xml:space="preserve"> 'WK2014'!GL52</f>
        <v>182.08887000000001</v>
      </c>
      <c r="DV42" s="50">
        <f xml:space="preserve"> 'WK2014'!GO52</f>
        <v>125.61163398700323</v>
      </c>
      <c r="DW42" s="50">
        <f xml:space="preserve"> 'WK2014'!GP52</f>
        <v>161.59747773700329</v>
      </c>
      <c r="DX42" s="50">
        <f xml:space="preserve"> 'WK2014'!GQ52</f>
        <v>94.861621543103794</v>
      </c>
      <c r="DY42" s="50">
        <f xml:space="preserve"> 'WK2014'!GR52</f>
        <v>130.84746529310385</v>
      </c>
      <c r="DZ42" s="61">
        <f xml:space="preserve"> 'WK2014'!GM52</f>
        <v>0.78025582575806851</v>
      </c>
      <c r="ED42" s="50">
        <f xml:space="preserve"> 'WK2015'!EG52</f>
        <v>1828.3590678</v>
      </c>
      <c r="EE42" s="50">
        <f xml:space="preserve"> 'WK2015'!EH52</f>
        <v>2899.5930067999993</v>
      </c>
      <c r="EF42" s="50">
        <f xml:space="preserve"> 'WK2015'!EK52</f>
        <v>1940.5939749995232</v>
      </c>
      <c r="EG42" s="50">
        <f xml:space="preserve"> 'WK2015'!EL52</f>
        <v>2736.7620595995236</v>
      </c>
      <c r="EH42" s="50">
        <f xml:space="preserve"> 'WK2015'!EM52</f>
        <v>1869.1374932114147</v>
      </c>
      <c r="EI42" s="50">
        <f xml:space="preserve"> 'WK2015'!EN52</f>
        <v>2665.3055778114149</v>
      </c>
      <c r="EJ42" s="61">
        <f xml:space="preserve"> 'WK2015'!EI52</f>
        <v>0.78419952556967132</v>
      </c>
      <c r="EK42" s="1"/>
      <c r="EL42" s="50">
        <f xml:space="preserve"> 'WK2015'!EU52</f>
        <v>1414.4324597000004</v>
      </c>
      <c r="EM42" s="50">
        <f xml:space="preserve"> 'WK2015'!EV52</f>
        <v>2158.0758691999999</v>
      </c>
      <c r="EN42" s="50">
        <f xml:space="preserve"> 'WK2015'!EY52</f>
        <v>1550.8270937446885</v>
      </c>
      <c r="EO42" s="50">
        <f xml:space="preserve"> 'WK2015'!EZ52</f>
        <v>2070.1952456446884</v>
      </c>
      <c r="EP42" s="50">
        <f xml:space="preserve"> 'WK2015'!FA52</f>
        <v>1451.3064725840252</v>
      </c>
      <c r="EQ42" s="50">
        <f xml:space="preserve"> 'WK2015'!FB52</f>
        <v>1970.6746244840253</v>
      </c>
      <c r="ER42" s="61">
        <f xml:space="preserve"> 'WK2015'!EW52</f>
        <v>0.77850660071683897</v>
      </c>
      <c r="ES42" s="1"/>
      <c r="ET42" s="50">
        <f xml:space="preserve"> 'WK2015'!FI52</f>
        <v>1099.6013627999998</v>
      </c>
      <c r="EU42" s="50">
        <f xml:space="preserve"> 'WK2015'!FJ52</f>
        <v>1885.4006104</v>
      </c>
      <c r="EV42" s="50">
        <f xml:space="preserve"> 'WK2015'!FM52</f>
        <v>1201.8170888158281</v>
      </c>
      <c r="EW42" s="50">
        <f xml:space="preserve"> 'WK2015'!FN52</f>
        <v>1828.6396586158282</v>
      </c>
      <c r="EX42" s="50">
        <f xml:space="preserve"> 'WK2015'!FO52</f>
        <v>1124.1189679037532</v>
      </c>
      <c r="EY42" s="50">
        <f xml:space="preserve"> 'WK2015'!FP52</f>
        <v>1750.9415377037533</v>
      </c>
      <c r="EZ42" s="61">
        <f xml:space="preserve"> 'WK2015'!FK52</f>
        <v>0.76710203830395041</v>
      </c>
      <c r="FA42" s="1"/>
      <c r="FB42" s="50">
        <f xml:space="preserve"> 'WK2015'!FW52</f>
        <v>390.53439280000003</v>
      </c>
      <c r="FC42" s="50">
        <f xml:space="preserve"> 'WK2015'!FX52</f>
        <v>510.01967279999997</v>
      </c>
      <c r="FD42" s="50">
        <f xml:space="preserve"> 'WK2015'!GA52</f>
        <v>390.76797029710588</v>
      </c>
      <c r="FE42" s="50">
        <f xml:space="preserve"> 'WK2015'!GB52</f>
        <v>509.84024189710584</v>
      </c>
      <c r="FF42" s="50">
        <f xml:space="preserve"> 'WK2015'!GC52</f>
        <v>390.5871794700771</v>
      </c>
      <c r="FG42" s="50">
        <f xml:space="preserve"> 'WK2015'!GD52</f>
        <v>509.65945107007713</v>
      </c>
      <c r="FH42" s="61">
        <f xml:space="preserve"> 'WK2015'!FY52</f>
        <v>0.78257394249333811</v>
      </c>
      <c r="FI42" s="1"/>
      <c r="FJ42" s="50">
        <f xml:space="preserve"> 'WK2015'!GK52</f>
        <v>94.14450900000007</v>
      </c>
      <c r="FK42" s="50">
        <f xml:space="preserve"> 'WK2015'!GL52</f>
        <v>216.01036875</v>
      </c>
      <c r="FL42" s="50">
        <f xml:space="preserve"> 'WK2015'!GO52</f>
        <v>133.85346589534359</v>
      </c>
      <c r="FM42" s="50">
        <f xml:space="preserve"> 'WK2015'!GP52</f>
        <v>194.80517914534352</v>
      </c>
      <c r="FN42" s="50">
        <f xml:space="preserve"> 'WK2015'!GQ52</f>
        <v>99.444154972599648</v>
      </c>
      <c r="FO42" s="50">
        <f xml:space="preserve"> 'WK2015'!GR52</f>
        <v>160.39586822259952</v>
      </c>
      <c r="FP42" s="61">
        <f xml:space="preserve"> 'WK2015'!GM52</f>
        <v>0.77279773425671439</v>
      </c>
      <c r="FS42" s="283">
        <f xml:space="preserve"> 'WK2015'!H52</f>
        <v>1053.8327749999999</v>
      </c>
      <c r="FT42" s="283">
        <f xml:space="preserve"> 'WK2015'!I52</f>
        <v>1770.4683319999999</v>
      </c>
      <c r="FU42" s="283">
        <f xml:space="preserve"> 'WK2015'!L52</f>
        <v>1084.4305367793293</v>
      </c>
      <c r="FV42" s="283">
        <f xml:space="preserve"> 'WK2015'!M52</f>
        <v>1658.3063297793294</v>
      </c>
      <c r="FW42" s="283">
        <f xml:space="preserve"> 'WK2015'!N52</f>
        <v>1076.1291681656182</v>
      </c>
      <c r="FX42" s="283">
        <f xml:space="preserve"> 'WK2015'!O52</f>
        <v>1650.0049611656184</v>
      </c>
      <c r="FY42" s="284">
        <f xml:space="preserve"> 'WK2015'!P52</f>
        <v>0.78566956877758998</v>
      </c>
      <c r="GA42" s="283">
        <f xml:space="preserve"> 'WK2015'!HB52</f>
        <v>717.41171699999995</v>
      </c>
      <c r="GB42" s="283">
        <f xml:space="preserve"> 'WK2015'!HC52</f>
        <v>1310.6939930000001</v>
      </c>
      <c r="GC42" s="283">
        <f xml:space="preserve"> 'WK2015'!HF52</f>
        <v>746.24963207250983</v>
      </c>
      <c r="GD42" s="283">
        <f xml:space="preserve"> 'WK2015'!HG52</f>
        <v>1217.3852680725099</v>
      </c>
      <c r="GE42" s="283">
        <f xml:space="preserve"> 'WK2015'!HH52</f>
        <v>732.23711054956982</v>
      </c>
      <c r="GF42" s="283">
        <f xml:space="preserve"> 'WK2015'!HI52</f>
        <v>1203.3727465495701</v>
      </c>
      <c r="GG42" s="284">
        <f xml:space="preserve"> 'WK2015'!HJ52</f>
        <v>0.76390742248407451</v>
      </c>
      <c r="GI42" s="283">
        <f xml:space="preserve"> 'WK2015'!HQ52</f>
        <v>580.45546999999999</v>
      </c>
      <c r="GJ42" s="283">
        <f xml:space="preserve"> 'WK2015'!HR52</f>
        <v>814.22894700000006</v>
      </c>
      <c r="GK42" s="283">
        <f xml:space="preserve"> 'WK2015'!HU52</f>
        <v>606.37206995829422</v>
      </c>
      <c r="GL42" s="283">
        <f xml:space="preserve"> 'WK2015'!HV52</f>
        <v>739.62319195829434</v>
      </c>
      <c r="GM42" s="283">
        <f xml:space="preserve"> 'WK2015'!HW52</f>
        <v>583.46051852670291</v>
      </c>
      <c r="GN42" s="283">
        <f xml:space="preserve"> 'WK2015'!HX52</f>
        <v>716.71164052670304</v>
      </c>
      <c r="GO42" s="284">
        <f xml:space="preserve"> 'WK2015'!HY52</f>
        <v>0.74218073225309733</v>
      </c>
    </row>
    <row r="43" spans="1:197" x14ac:dyDescent="0.2">
      <c r="A43" s="3">
        <f>Basis!A43</f>
        <v>43</v>
      </c>
      <c r="D43" s="252" t="e">
        <v>#N/A</v>
      </c>
      <c r="E43" s="252" t="e">
        <v>#N/A</v>
      </c>
      <c r="H43" s="50">
        <f xml:space="preserve"> 'WK2012'!EG53</f>
        <v>1773.6896620369876</v>
      </c>
      <c r="I43" s="50">
        <f xml:space="preserve"> 'WK2012'!EH53</f>
        <v>3263.6175325733921</v>
      </c>
      <c r="J43" s="50">
        <f xml:space="preserve"> 'WK2012'!EK53</f>
        <v>1836.2610993590679</v>
      </c>
      <c r="K43" s="50">
        <f xml:space="preserve"> 'WK2012'!EL53</f>
        <v>3228.4321077210552</v>
      </c>
      <c r="L43" s="50">
        <f xml:space="preserve"> 'WK2012'!EM53</f>
        <v>1818.7702931535823</v>
      </c>
      <c r="M43" s="50">
        <f xml:space="preserve"> 'WK2012'!EN53</f>
        <v>3210.9413015155692</v>
      </c>
      <c r="N43" s="61">
        <f xml:space="preserve"> 'WK2012'!EI53</f>
        <v>0.79080392853371384</v>
      </c>
      <c r="P43" s="50">
        <f xml:space="preserve"> 'WK2012'!EU53</f>
        <v>1431.0068610106534</v>
      </c>
      <c r="Q43" s="50">
        <f xml:space="preserve"> 'WK2012'!EV53</f>
        <v>2564.352009234683</v>
      </c>
      <c r="R43" s="50">
        <f xml:space="preserve"> 'WK2012'!EY53</f>
        <v>1481.8348006960557</v>
      </c>
      <c r="S43" s="50">
        <f xml:space="preserve"> 'WK2012'!EZ53</f>
        <v>2533.8208043347286</v>
      </c>
      <c r="T43" s="50">
        <f xml:space="preserve"> 'WK2012'!FA53</f>
        <v>1467.0755368742634</v>
      </c>
      <c r="U43" s="50">
        <f xml:space="preserve"> 'WK2012'!FB53</f>
        <v>2519.0615405129361</v>
      </c>
      <c r="V43" s="61">
        <f xml:space="preserve"> 'WK2012'!EW53</f>
        <v>0.78956134672588796</v>
      </c>
      <c r="X43" s="50">
        <f xml:space="preserve"> 'WK2012'!FI53</f>
        <v>864.16606282489022</v>
      </c>
      <c r="Y43" s="50">
        <f xml:space="preserve"> 'WK2012'!FJ53</f>
        <v>1459.3298168479432</v>
      </c>
      <c r="Z43" s="50">
        <f xml:space="preserve"> 'WK2012'!FM53</f>
        <v>898.87311866254322</v>
      </c>
      <c r="AA43" s="50">
        <f xml:space="preserve"> 'WK2012'!FN53</f>
        <v>1439.3335010298056</v>
      </c>
      <c r="AB43" s="50">
        <f xml:space="preserve"> 'WK2012'!FO53</f>
        <v>887.50446861480521</v>
      </c>
      <c r="AC43" s="50">
        <f xml:space="preserve"> 'WK2012'!FP53</f>
        <v>1427.9648509820677</v>
      </c>
      <c r="AD43" s="61">
        <f xml:space="preserve"> 'WK2012'!FK53</f>
        <v>0.78232573396884708</v>
      </c>
      <c r="AF43" s="50">
        <f xml:space="preserve"> 'WK2012'!FW53</f>
        <v>73.022462915853794</v>
      </c>
      <c r="AG43" s="50">
        <f xml:space="preserve"> 'WK2012'!FX53</f>
        <v>124.99762976725262</v>
      </c>
      <c r="AH43" s="50">
        <f xml:space="preserve"> 'WK2012'!GA53</f>
        <v>83.416053546734531</v>
      </c>
      <c r="AI43" s="50">
        <f xml:space="preserve"> 'WK2012'!GB53</f>
        <v>118.14570721974393</v>
      </c>
      <c r="AJ43" s="50">
        <f xml:space="preserve"> 'WK2012'!GC53</f>
        <v>76.944727817322345</v>
      </c>
      <c r="AK43" s="50">
        <f xml:space="preserve"> 'WK2012'!GD53</f>
        <v>111.67438149033175</v>
      </c>
      <c r="AL43" s="61">
        <f xml:space="preserve"> 'WK2012'!FY53</f>
        <v>0.78274727999961391</v>
      </c>
      <c r="AN43" s="50">
        <f xml:space="preserve"> 'WK2012'!GK53</f>
        <v>354.37644854101427</v>
      </c>
      <c r="AO43" s="50">
        <f xml:space="preserve"> 'WK2012'!GL53</f>
        <v>466.21827319206238</v>
      </c>
      <c r="AP43" s="50">
        <f xml:space="preserve"> 'WK2012'!GO53</f>
        <v>354.96037357406533</v>
      </c>
      <c r="AQ43" s="50">
        <f xml:space="preserve"> 'WK2012'!GP53</f>
        <v>465.77291816542493</v>
      </c>
      <c r="AR43" s="50">
        <f xml:space="preserve"> 'WK2012'!GQ53</f>
        <v>355.01119644731699</v>
      </c>
      <c r="AS43" s="50">
        <f xml:space="preserve"> 'WK2012'!GR53</f>
        <v>465.82374103867664</v>
      </c>
      <c r="AT43" s="61">
        <f xml:space="preserve"> 'WK2012'!GM53</f>
        <v>0.78993532586830806</v>
      </c>
      <c r="AX43" s="50">
        <f xml:space="preserve"> 'WK2013'!EG53</f>
        <v>1890.9955862000002</v>
      </c>
      <c r="AY43" s="50">
        <f xml:space="preserve"> 'WK2013'!EH53</f>
        <v>2908.7562432</v>
      </c>
      <c r="AZ43" s="50">
        <f xml:space="preserve"> 'WK2013'!EK53</f>
        <v>1952.8404740099691</v>
      </c>
      <c r="BA43" s="50">
        <f xml:space="preserve"> 'WK2013'!EL53</f>
        <v>2838.3494410099688</v>
      </c>
      <c r="BB43" s="50">
        <f xml:space="preserve"> 'WK2013'!EM53</f>
        <v>1934.195900495843</v>
      </c>
      <c r="BC43" s="50">
        <f xml:space="preserve"> 'WK2013'!EN53</f>
        <v>2819.7048674958428</v>
      </c>
      <c r="BD43" s="61">
        <f xml:space="preserve"> 'WK2013'!EI53</f>
        <v>0.77479400719837954</v>
      </c>
      <c r="BF43" s="50">
        <f xml:space="preserve"> 'WK2013'!EU53</f>
        <v>1494.8561112999998</v>
      </c>
      <c r="BG43" s="50">
        <f xml:space="preserve"> 'WK2013'!EV53</f>
        <v>2235.0752758000003</v>
      </c>
      <c r="BH43" s="50">
        <f xml:space="preserve"> 'WK2013'!EY53</f>
        <v>1570.9288126167926</v>
      </c>
      <c r="BI43" s="50">
        <f xml:space="preserve"> 'WK2013'!EZ53</f>
        <v>2184.5312061167929</v>
      </c>
      <c r="BJ43" s="50">
        <f xml:space="preserve"> 'WK2013'!FA53</f>
        <v>1530.4427971623236</v>
      </c>
      <c r="BK43" s="50">
        <f xml:space="preserve"> 'WK2013'!FB53</f>
        <v>2144.0451906623234</v>
      </c>
      <c r="BL43" s="61">
        <f xml:space="preserve"> 'WK2013'!EW53</f>
        <v>0.78479416481456632</v>
      </c>
      <c r="BN43" s="50">
        <f xml:space="preserve"> 'WK2013'!FI53</f>
        <v>1096.5985780000001</v>
      </c>
      <c r="BO43" s="50">
        <f xml:space="preserve"> 'WK2013'!FJ53</f>
        <v>1795.7771946</v>
      </c>
      <c r="BP43" s="50">
        <f xml:space="preserve"> 'WK2013'!FM53</f>
        <v>1151.9209199103434</v>
      </c>
      <c r="BQ43" s="50">
        <f xml:space="preserve"> 'WK2013'!FN53</f>
        <v>1763.1263755103432</v>
      </c>
      <c r="BR43" s="50">
        <f xml:space="preserve"> 'WK2013'!FO53</f>
        <v>1124.4224102300873</v>
      </c>
      <c r="BS43" s="50">
        <f xml:space="preserve"> 'WK2013'!FP53</f>
        <v>1735.6278658300869</v>
      </c>
      <c r="BT43" s="61">
        <f xml:space="preserve"> 'WK2013'!FK53</f>
        <v>0.77663600115978437</v>
      </c>
      <c r="BV43" s="50">
        <f xml:space="preserve"> 'WK2013'!FW53</f>
        <v>421.65174219999994</v>
      </c>
      <c r="BW43" s="50">
        <f xml:space="preserve"> 'WK2013'!FX53</f>
        <v>551.20885920000001</v>
      </c>
      <c r="BX43" s="50">
        <f xml:space="preserve"> 'WK2013'!GA53</f>
        <v>421.81160583069641</v>
      </c>
      <c r="BY43" s="50">
        <f xml:space="preserve"> 'WK2013'!GB53</f>
        <v>551.08616283069648</v>
      </c>
      <c r="BZ43" s="50">
        <f xml:space="preserve"> 'WK2013'!GC53</f>
        <v>421.70498731479978</v>
      </c>
      <c r="CA43" s="50">
        <f xml:space="preserve"> 'WK2013'!GD53</f>
        <v>550.9795443147998</v>
      </c>
      <c r="CB43" s="61">
        <f xml:space="preserve"> 'WK2013'!FY53</f>
        <v>0.78865038164195234</v>
      </c>
      <c r="CD43" s="50">
        <f xml:space="preserve"> 'WK2013'!GK53</f>
        <v>93.781975499999973</v>
      </c>
      <c r="CE43" s="50">
        <f xml:space="preserve"> 'WK2013'!GL53</f>
        <v>168.92500274999998</v>
      </c>
      <c r="CF43" s="50">
        <f xml:space="preserve"> 'WK2013'!GO53</f>
        <v>115.30326301271533</v>
      </c>
      <c r="CG43" s="50">
        <f xml:space="preserve"> 'WK2013'!GP53</f>
        <v>155.1706957627153</v>
      </c>
      <c r="CH43" s="50">
        <f xml:space="preserve"> 'WK2013'!GQ53</f>
        <v>98.097572696918618</v>
      </c>
      <c r="CI43" s="50">
        <f xml:space="preserve"> 'WK2013'!GR53</f>
        <v>137.96500544691861</v>
      </c>
      <c r="CJ43" s="61">
        <f xml:space="preserve"> 'WK2013'!GM53</f>
        <v>0.78517019808026789</v>
      </c>
      <c r="CN43" s="50">
        <f xml:space="preserve"> 'WK2014'!EG53</f>
        <v>1927.1737352</v>
      </c>
      <c r="CO43" s="50">
        <f xml:space="preserve"> 'WK2014'!EH53</f>
        <v>2965.7486771999993</v>
      </c>
      <c r="CP43" s="50">
        <f xml:space="preserve"> 'WK2014'!EK53</f>
        <v>1986.4103023002017</v>
      </c>
      <c r="CQ43" s="50">
        <f xml:space="preserve"> 'WK2014'!EL53</f>
        <v>2878.9951201002018</v>
      </c>
      <c r="CR43" s="50">
        <f xml:space="preserve"> 'WK2014'!EM53</f>
        <v>1960.9116513983427</v>
      </c>
      <c r="CS43" s="50">
        <f xml:space="preserve"> 'WK2014'!EN53</f>
        <v>2853.4964691983423</v>
      </c>
      <c r="CT43" s="61">
        <f xml:space="preserve"> 'WK2014'!EI53</f>
        <v>0.79011891988103422</v>
      </c>
      <c r="CV43" s="50">
        <f xml:space="preserve"> 'WK2014'!EU53</f>
        <v>1483.7762822999998</v>
      </c>
      <c r="CW43" s="50">
        <f xml:space="preserve"> 'WK2014'!EV53</f>
        <v>2234.4841468000004</v>
      </c>
      <c r="CX43" s="50">
        <f xml:space="preserve"> 'WK2014'!EY53</f>
        <v>1567.8896668813754</v>
      </c>
      <c r="CY43" s="50">
        <f xml:space="preserve"> 'WK2014'!EZ53</f>
        <v>2179.6311110813754</v>
      </c>
      <c r="CZ43" s="50">
        <f xml:space="preserve"> 'WK2014'!FA53</f>
        <v>1519.8243161719502</v>
      </c>
      <c r="DA43" s="50">
        <f xml:space="preserve"> 'WK2014'!FB53</f>
        <v>2131.5657603719501</v>
      </c>
      <c r="DB43" s="61">
        <f xml:space="preserve"> 'WK2014'!EW53</f>
        <v>0.78016436132262934</v>
      </c>
      <c r="DC43" s="1"/>
      <c r="DD43" s="50">
        <f xml:space="preserve"> 'WK2014'!FI53</f>
        <v>1176.1138704</v>
      </c>
      <c r="DE43" s="50">
        <f xml:space="preserve"> 'WK2014'!FJ53</f>
        <v>1842.9157696000002</v>
      </c>
      <c r="DF43" s="50">
        <f xml:space="preserve"> 'WK2014'!FM53</f>
        <v>1230.6649466173433</v>
      </c>
      <c r="DG43" s="50">
        <f xml:space="preserve"> 'WK2014'!FN53</f>
        <v>1808.7755882173435</v>
      </c>
      <c r="DH43" s="50">
        <f xml:space="preserve"> 'WK2014'!FO53</f>
        <v>1199.9975855785599</v>
      </c>
      <c r="DI43" s="50">
        <f xml:space="preserve"> 'WK2014'!FP53</f>
        <v>1778.1082271785599</v>
      </c>
      <c r="DJ43" s="61">
        <f xml:space="preserve"> 'WK2014'!FK53</f>
        <v>0.7700657945515621</v>
      </c>
      <c r="DK43" s="1"/>
      <c r="DL43" s="50">
        <f xml:space="preserve"> 'WK2014'!FW53</f>
        <v>412.03242719999997</v>
      </c>
      <c r="DM43" s="50">
        <f xml:space="preserve"> 'WK2014'!FX53</f>
        <v>542.54001120000009</v>
      </c>
      <c r="DN43" s="50">
        <f xml:space="preserve"> 'WK2014'!GA53</f>
        <v>412.19990620003784</v>
      </c>
      <c r="DO43" s="50">
        <f xml:space="preserve"> 'WK2014'!GB53</f>
        <v>542.41261000003794</v>
      </c>
      <c r="DP43" s="50">
        <f xml:space="preserve"> 'WK2014'!GC53</f>
        <v>412.08396590581378</v>
      </c>
      <c r="DQ43" s="50">
        <f xml:space="preserve"> 'WK2014'!GD53</f>
        <v>542.29666970581388</v>
      </c>
      <c r="DR43" s="61">
        <f xml:space="preserve"> 'WK2014'!FY53</f>
        <v>0.7845480007282829</v>
      </c>
      <c r="DS43" s="1"/>
      <c r="DT43" s="50">
        <f xml:space="preserve"> 'WK2014'!GK53</f>
        <v>96.797339999999977</v>
      </c>
      <c r="DU43" s="50">
        <f xml:space="preserve"> 'WK2014'!GL53</f>
        <v>165.45244949999997</v>
      </c>
      <c r="DV43" s="50">
        <f xml:space="preserve"> 'WK2014'!GO53</f>
        <v>117.76629223312237</v>
      </c>
      <c r="DW43" s="50">
        <f xml:space="preserve"> 'WK2014'!GP53</f>
        <v>151.71090148312243</v>
      </c>
      <c r="DX43" s="50">
        <f xml:space="preserve"> 'WK2014'!GQ53</f>
        <v>101.76457354310379</v>
      </c>
      <c r="DY43" s="50">
        <f xml:space="preserve"> 'WK2014'!GR53</f>
        <v>135.70918279310379</v>
      </c>
      <c r="DZ43" s="61">
        <f xml:space="preserve"> 'WK2014'!GM53</f>
        <v>0.77946100297292598</v>
      </c>
      <c r="ED43" s="50">
        <f xml:space="preserve"> 'WK2015'!EG53</f>
        <v>1890.1213272</v>
      </c>
      <c r="EE43" s="50">
        <f xml:space="preserve"> 'WK2015'!EH53</f>
        <v>2867.9525048</v>
      </c>
      <c r="EF43" s="50">
        <f xml:space="preserve"> 'WK2015'!EK53</f>
        <v>1958.1023799025911</v>
      </c>
      <c r="EG43" s="50">
        <f xml:space="preserve"> 'WK2015'!EL53</f>
        <v>2761.4195337025908</v>
      </c>
      <c r="EH43" s="50">
        <f xml:space="preserve"> 'WK2015'!EM53</f>
        <v>1930.8997526114149</v>
      </c>
      <c r="EI43" s="50">
        <f xml:space="preserve"> 'WK2015'!EN53</f>
        <v>2734.216906411415</v>
      </c>
      <c r="EJ43" s="61">
        <f xml:space="preserve"> 'WK2015'!EI53</f>
        <v>0.78760462175803614</v>
      </c>
      <c r="EK43" s="1"/>
      <c r="EL43" s="50">
        <f xml:space="preserve"> 'WK2015'!EU53</f>
        <v>1468.5092373000002</v>
      </c>
      <c r="EM43" s="50">
        <f xml:space="preserve"> 'WK2015'!EV53</f>
        <v>2148.3944212000001</v>
      </c>
      <c r="EN43" s="50">
        <f xml:space="preserve"> 'WK2015'!EY53</f>
        <v>1553.2100643902734</v>
      </c>
      <c r="EO43" s="50">
        <f xml:space="preserve"> 'WK2015'!EZ53</f>
        <v>2090.2551330902734</v>
      </c>
      <c r="EP43" s="50">
        <f xml:space="preserve"> 'WK2015'!FA53</f>
        <v>1505.3832501840252</v>
      </c>
      <c r="EQ43" s="50">
        <f xml:space="preserve"> 'WK2015'!FB53</f>
        <v>2042.428318884025</v>
      </c>
      <c r="ER43" s="61">
        <f xml:space="preserve"> 'WK2015'!EW53</f>
        <v>0.77952736559851876</v>
      </c>
      <c r="ES43" s="1"/>
      <c r="ET43" s="50">
        <f xml:space="preserve"> 'WK2015'!FI53</f>
        <v>1158.0809784</v>
      </c>
      <c r="EU43" s="50">
        <f xml:space="preserve"> 'WK2015'!FJ53</f>
        <v>1898.6272162</v>
      </c>
      <c r="EV43" s="50">
        <f xml:space="preserve"> 'WK2015'!FM53</f>
        <v>1222.8060084914632</v>
      </c>
      <c r="EW43" s="50">
        <f xml:space="preserve"> 'WK2015'!FN53</f>
        <v>1860.1873708914629</v>
      </c>
      <c r="EX43" s="50">
        <f xml:space="preserve"> 'WK2015'!FO53</f>
        <v>1182.5985835037534</v>
      </c>
      <c r="EY43" s="50">
        <f xml:space="preserve"> 'WK2015'!FP53</f>
        <v>1819.9799459037531</v>
      </c>
      <c r="EZ43" s="61">
        <f xml:space="preserve"> 'WK2015'!FK53</f>
        <v>0.77182893570017486</v>
      </c>
      <c r="FA43" s="1"/>
      <c r="FB43" s="50">
        <f xml:space="preserve"> 'WK2015'!FW53</f>
        <v>400.18740720000005</v>
      </c>
      <c r="FC43" s="50">
        <f xml:space="preserve"> 'WK2015'!FX53</f>
        <v>519.54660679999995</v>
      </c>
      <c r="FD43" s="50">
        <f xml:space="preserve"> 'WK2015'!GA53</f>
        <v>400.36444471508969</v>
      </c>
      <c r="FE43" s="50">
        <f xml:space="preserve"> 'WK2015'!GB53</f>
        <v>519.40997551508963</v>
      </c>
      <c r="FF43" s="50">
        <f xml:space="preserve"> 'WK2015'!GC53</f>
        <v>400.24019387007706</v>
      </c>
      <c r="FG43" s="50">
        <f xml:space="preserve"> 'WK2015'!GD53</f>
        <v>519.28572467007712</v>
      </c>
      <c r="FH43" s="61">
        <f xml:space="preserve"> 'WK2015'!FY53</f>
        <v>0.78438314737220483</v>
      </c>
      <c r="FI43" s="1"/>
      <c r="FJ43" s="50">
        <f xml:space="preserve"> 'WK2015'!GK53</f>
        <v>99.10557</v>
      </c>
      <c r="FK43" s="50">
        <f xml:space="preserve"> 'WK2015'!GL53</f>
        <v>200.98499249999998</v>
      </c>
      <c r="FL43" s="50">
        <f xml:space="preserve"> 'WK2015'!GO53</f>
        <v>122.04959862711283</v>
      </c>
      <c r="FM43" s="50">
        <f xml:space="preserve"> 'WK2015'!GP53</f>
        <v>187.4598563771128</v>
      </c>
      <c r="FN43" s="50">
        <f xml:space="preserve"> 'WK2015'!GQ53</f>
        <v>104.40521597259958</v>
      </c>
      <c r="FO43" s="50">
        <f xml:space="preserve"> 'WK2015'!GR53</f>
        <v>169.81547372259956</v>
      </c>
      <c r="FP43" s="61">
        <f xml:space="preserve"> 'WK2015'!GM53</f>
        <v>0.7771063844706253</v>
      </c>
      <c r="FS43" s="283">
        <f xml:space="preserve"> 'WK2015'!H53</f>
        <v>1085.38347</v>
      </c>
      <c r="FT43" s="283">
        <f xml:space="preserve"> 'WK2015'!I53</f>
        <v>1757.8555919999999</v>
      </c>
      <c r="FU43" s="283">
        <f xml:space="preserve"> 'WK2015'!L53</f>
        <v>1104.2629647581173</v>
      </c>
      <c r="FV43" s="283">
        <f xml:space="preserve"> 'WK2015'!M53</f>
        <v>1684.9744947581171</v>
      </c>
      <c r="FW43" s="283">
        <f xml:space="preserve"> 'WK2015'!N53</f>
        <v>1107.6798631656184</v>
      </c>
      <c r="FX43" s="283">
        <f xml:space="preserve"> 'WK2015'!O53</f>
        <v>1688.3913931656182</v>
      </c>
      <c r="FY43" s="284">
        <f xml:space="preserve"> 'WK2015'!P53</f>
        <v>0.79425269228736906</v>
      </c>
      <c r="GA43" s="283">
        <f xml:space="preserve"> 'WK2015'!HB53</f>
        <v>745.91640299999995</v>
      </c>
      <c r="GB43" s="283">
        <f xml:space="preserve"> 'WK2015'!HC53</f>
        <v>1298.881046</v>
      </c>
      <c r="GC43" s="283">
        <f xml:space="preserve"> 'WK2015'!HF53</f>
        <v>764.75172427146401</v>
      </c>
      <c r="GD43" s="283">
        <f xml:space="preserve"> 'WK2015'!HG53</f>
        <v>1240.608259271464</v>
      </c>
      <c r="GE43" s="283">
        <f xml:space="preserve"> 'WK2015'!HH53</f>
        <v>760.74179654956981</v>
      </c>
      <c r="GF43" s="283">
        <f xml:space="preserve"> 'WK2015'!HI53</f>
        <v>1236.59833154957</v>
      </c>
      <c r="GG43" s="284">
        <f xml:space="preserve"> 'WK2015'!HJ53</f>
        <v>0.75572839536584091</v>
      </c>
      <c r="GI43" s="283">
        <f xml:space="preserve"> 'WK2015'!HQ53</f>
        <v>605.54935</v>
      </c>
      <c r="GJ43" s="283">
        <f xml:space="preserve"> 'WK2015'!HR53</f>
        <v>834.62538600000005</v>
      </c>
      <c r="GK43" s="283">
        <f xml:space="preserve"> 'WK2015'!HU53</f>
        <v>628.87941482887697</v>
      </c>
      <c r="GL43" s="283">
        <f xml:space="preserve"> 'WK2015'!HV53</f>
        <v>774.59133382887705</v>
      </c>
      <c r="GM43" s="283">
        <f xml:space="preserve"> 'WK2015'!HW53</f>
        <v>608.55439852670293</v>
      </c>
      <c r="GN43" s="283">
        <f xml:space="preserve"> 'WK2015'!HX53</f>
        <v>754.26631752670301</v>
      </c>
      <c r="GO43" s="284">
        <f xml:space="preserve"> 'WK2015'!HY53</f>
        <v>0.72014260249554363</v>
      </c>
    </row>
    <row r="44" spans="1:197" x14ac:dyDescent="0.2">
      <c r="A44" s="3">
        <f>Basis!A44</f>
        <v>44</v>
      </c>
      <c r="D44" s="252" t="e">
        <v>#N/A</v>
      </c>
      <c r="E44" s="252" t="e">
        <v>#N/A</v>
      </c>
      <c r="H44" s="50">
        <f xml:space="preserve"> 'WK2012'!EG54</f>
        <v>1834.5305301475719</v>
      </c>
      <c r="I44" s="50">
        <f xml:space="preserve"> 'WK2012'!EH54</f>
        <v>3282.8091299093749</v>
      </c>
      <c r="J44" s="50">
        <f xml:space="preserve"> 'WK2012'!EK54</f>
        <v>1865.7577499865729</v>
      </c>
      <c r="K44" s="50">
        <f xml:space="preserve"> 'WK2012'!EL54</f>
        <v>3264.3214958289768</v>
      </c>
      <c r="L44" s="50">
        <f xml:space="preserve"> 'WK2012'!EM54</f>
        <v>1879.6111612641666</v>
      </c>
      <c r="M44" s="50">
        <f xml:space="preserve"> 'WK2012'!EN54</f>
        <v>3278.1749071065706</v>
      </c>
      <c r="N44" s="61">
        <f xml:space="preserve"> 'WK2012'!EI54</f>
        <v>0.7890457731216729</v>
      </c>
      <c r="P44" s="50">
        <f xml:space="preserve"> 'WK2012'!EU54</f>
        <v>1505.2668830258226</v>
      </c>
      <c r="Q44" s="50">
        <f xml:space="preserve"> 'WK2012'!EV54</f>
        <v>2589.1563435341586</v>
      </c>
      <c r="R44" s="50">
        <f xml:space="preserve"> 'WK2012'!EY54</f>
        <v>1534.4349805360489</v>
      </c>
      <c r="S44" s="50">
        <f xml:space="preserve"> 'WK2012'!EZ54</f>
        <v>2570.6218981800812</v>
      </c>
      <c r="T44" s="50">
        <f xml:space="preserve"> 'WK2012'!FA54</f>
        <v>1541.3355588894326</v>
      </c>
      <c r="U44" s="50">
        <f xml:space="preserve"> 'WK2012'!FB54</f>
        <v>2577.5224765334647</v>
      </c>
      <c r="V44" s="61">
        <f xml:space="preserve"> 'WK2012'!EW54</f>
        <v>0.78822025662521089</v>
      </c>
      <c r="X44" s="50">
        <f xml:space="preserve"> 'WK2012'!FI54</f>
        <v>892.79888913894706</v>
      </c>
      <c r="Y44" s="50">
        <f xml:space="preserve"> 'WK2012'!FJ54</f>
        <v>1495.0952211231424</v>
      </c>
      <c r="Z44" s="50">
        <f xml:space="preserve"> 'WK2012'!FM54</f>
        <v>911.17128748973641</v>
      </c>
      <c r="AA44" s="50">
        <f xml:space="preserve"> 'WK2012'!FN54</f>
        <v>1484.260733956889</v>
      </c>
      <c r="AB44" s="50">
        <f xml:space="preserve"> 'WK2012'!FO54</f>
        <v>916.13729492886205</v>
      </c>
      <c r="AC44" s="50">
        <f xml:space="preserve"> 'WK2012'!FP54</f>
        <v>1489.2267413960149</v>
      </c>
      <c r="AD44" s="61">
        <f xml:space="preserve"> 'WK2012'!FK54</f>
        <v>0.78173353371800491</v>
      </c>
      <c r="AF44" s="50">
        <f xml:space="preserve"> 'WK2012'!FW54</f>
        <v>83.047169388804548</v>
      </c>
      <c r="AG44" s="50">
        <f xml:space="preserve"> 'WK2012'!FX54</f>
        <v>121.71361923256094</v>
      </c>
      <c r="AH44" s="50">
        <f xml:space="preserve"> 'WK2012'!GA54</f>
        <v>88.141957253028792</v>
      </c>
      <c r="AI44" s="50">
        <f xml:space="preserve"> 'WK2012'!GB54</f>
        <v>117.99980019574384</v>
      </c>
      <c r="AJ44" s="50">
        <f xml:space="preserve"> 'WK2012'!GC54</f>
        <v>86.969434290273099</v>
      </c>
      <c r="AK44" s="50">
        <f xml:space="preserve"> 'WK2012'!GD54</f>
        <v>116.82727723298812</v>
      </c>
      <c r="AL44" s="61">
        <f xml:space="preserve"> 'WK2012'!FY54</f>
        <v>0.78247054869214538</v>
      </c>
      <c r="AN44" s="50">
        <f xml:space="preserve"> 'WK2012'!GK54</f>
        <v>361.31943841681505</v>
      </c>
      <c r="AO44" s="50">
        <f xml:space="preserve"> 'WK2012'!GL54</f>
        <v>472.3513755266913</v>
      </c>
      <c r="AP44" s="50">
        <f xml:space="preserve"> 'WK2012'!GO54</f>
        <v>361.64250334932393</v>
      </c>
      <c r="AQ44" s="50">
        <f xml:space="preserve"> 'WK2012'!GP54</f>
        <v>472.10313816259941</v>
      </c>
      <c r="AR44" s="50">
        <f xml:space="preserve"> 'WK2012'!GQ54</f>
        <v>361.95418632311782</v>
      </c>
      <c r="AS44" s="50">
        <f xml:space="preserve"> 'WK2012'!GR54</f>
        <v>472.4148211363933</v>
      </c>
      <c r="AT44" s="61">
        <f xml:space="preserve"> 'WK2012'!GM54</f>
        <v>0.78844127570716216</v>
      </c>
      <c r="AX44" s="50">
        <f xml:space="preserve"> 'WK2013'!EG54</f>
        <v>1962.5329130000002</v>
      </c>
      <c r="AY44" s="50">
        <f xml:space="preserve"> 'WK2013'!EH54</f>
        <v>2897.7592666</v>
      </c>
      <c r="AZ44" s="50">
        <f xml:space="preserve"> 'WK2013'!EK54</f>
        <v>1997.3242622210523</v>
      </c>
      <c r="BA44" s="50">
        <f xml:space="preserve"> 'WK2013'!EL54</f>
        <v>2855.3304228210527</v>
      </c>
      <c r="BB44" s="50">
        <f xml:space="preserve"> 'WK2013'!EM54</f>
        <v>2005.7332272958433</v>
      </c>
      <c r="BC44" s="50">
        <f xml:space="preserve"> 'WK2013'!EN54</f>
        <v>2863.7393878958433</v>
      </c>
      <c r="BD44" s="61">
        <f xml:space="preserve"> 'WK2013'!EI54</f>
        <v>0.77334569723007607</v>
      </c>
      <c r="BF44" s="50">
        <f xml:space="preserve"> 'WK2013'!EU54</f>
        <v>1547.6768274999999</v>
      </c>
      <c r="BG44" s="50">
        <f xml:space="preserve"> 'WK2013'!EV54</f>
        <v>2245.5405354</v>
      </c>
      <c r="BH44" s="50">
        <f xml:space="preserve"> 'WK2013'!EY54</f>
        <v>1592.1358840313603</v>
      </c>
      <c r="BI44" s="50">
        <f xml:space="preserve"> 'WK2013'!EZ54</f>
        <v>2214.6973859313603</v>
      </c>
      <c r="BJ44" s="50">
        <f xml:space="preserve"> 'WK2013'!FA54</f>
        <v>1583.2635133623237</v>
      </c>
      <c r="BK44" s="50">
        <f xml:space="preserve"> 'WK2013'!FB54</f>
        <v>2205.8250152623236</v>
      </c>
      <c r="BL44" s="61">
        <f xml:space="preserve"> 'WK2013'!EW54</f>
        <v>0.78229307993634267</v>
      </c>
      <c r="BN44" s="50">
        <f xml:space="preserve"> 'WK2013'!FI54</f>
        <v>1136.7700596</v>
      </c>
      <c r="BO44" s="50">
        <f xml:space="preserve"> 'WK2013'!FJ54</f>
        <v>1823.5281608000003</v>
      </c>
      <c r="BP44" s="50">
        <f xml:space="preserve"> 'WK2013'!FM54</f>
        <v>1167.8913535013326</v>
      </c>
      <c r="BQ44" s="50">
        <f xml:space="preserve"> 'WK2013'!FN54</f>
        <v>1804.3317109013328</v>
      </c>
      <c r="BR44" s="50">
        <f xml:space="preserve"> 'WK2013'!FO54</f>
        <v>1164.5938918300872</v>
      </c>
      <c r="BS44" s="50">
        <f xml:space="preserve"> 'WK2013'!FP54</f>
        <v>1801.0342492300874</v>
      </c>
      <c r="BT44" s="61">
        <f xml:space="preserve"> 'WK2013'!FK54</f>
        <v>0.77333219937153508</v>
      </c>
      <c r="BV44" s="50">
        <f xml:space="preserve"> 'WK2013'!FW54</f>
        <v>432.12834200000003</v>
      </c>
      <c r="BW44" s="50">
        <f xml:space="preserve"> 'WK2013'!FX54</f>
        <v>563.00679860000002</v>
      </c>
      <c r="BX44" s="50">
        <f xml:space="preserve"> 'WK2013'!GA54</f>
        <v>432.24710341420007</v>
      </c>
      <c r="BY44" s="50">
        <f xml:space="preserve"> 'WK2013'!GB54</f>
        <v>562.91552001419996</v>
      </c>
      <c r="BZ44" s="50">
        <f xml:space="preserve"> 'WK2013'!GC54</f>
        <v>432.18158711479987</v>
      </c>
      <c r="CA44" s="50">
        <f xml:space="preserve"> 'WK2013'!GD54</f>
        <v>562.85000371479987</v>
      </c>
      <c r="CB44" s="61">
        <f xml:space="preserve"> 'WK2013'!FY54</f>
        <v>0.78605149439860211</v>
      </c>
      <c r="CD44" s="50">
        <f xml:space="preserve"> 'WK2013'!GK54</f>
        <v>103.15819275000001</v>
      </c>
      <c r="CE44" s="50">
        <f xml:space="preserve"> 'WK2013'!GL54</f>
        <v>157.92210824999995</v>
      </c>
      <c r="CF44" s="50">
        <f xml:space="preserve"> 'WK2013'!GO54</f>
        <v>114.3908772430331</v>
      </c>
      <c r="CG44" s="50">
        <f xml:space="preserve"> 'WK2013'!GP54</f>
        <v>149.87090524303306</v>
      </c>
      <c r="CH44" s="50">
        <f xml:space="preserve"> 'WK2013'!GQ54</f>
        <v>107.47378994691866</v>
      </c>
      <c r="CI44" s="50">
        <f xml:space="preserve"> 'WK2013'!GR54</f>
        <v>142.95381794691866</v>
      </c>
      <c r="CJ44" s="61">
        <f xml:space="preserve"> 'WK2013'!GM54</f>
        <v>0.78219026286773252</v>
      </c>
      <c r="CN44" s="50">
        <f xml:space="preserve"> 'WK2014'!EG54</f>
        <v>1997.9985004</v>
      </c>
      <c r="CO44" s="50">
        <f xml:space="preserve"> 'WK2014'!EH54</f>
        <v>2951.5582048000001</v>
      </c>
      <c r="CP44" s="50">
        <f xml:space="preserve"> 'WK2014'!EK54</f>
        <v>2030.7313574826483</v>
      </c>
      <c r="CQ44" s="50">
        <f xml:space="preserve"> 'WK2014'!EL54</f>
        <v>2898.2793156826478</v>
      </c>
      <c r="CR44" s="50">
        <f xml:space="preserve"> 'WK2014'!EM54</f>
        <v>2031.7364165983427</v>
      </c>
      <c r="CS44" s="50">
        <f xml:space="preserve"> 'WK2014'!EN54</f>
        <v>2899.2843747983425</v>
      </c>
      <c r="CT44" s="61">
        <f xml:space="preserve"> 'WK2014'!EI54</f>
        <v>0.7957457558840878</v>
      </c>
      <c r="CV44" s="50">
        <f xml:space="preserve"> 'WK2014'!EU54</f>
        <v>1538.2954465999999</v>
      </c>
      <c r="CW44" s="50">
        <f xml:space="preserve"> 'WK2014'!EV54</f>
        <v>2243.5349641999996</v>
      </c>
      <c r="CX44" s="50">
        <f xml:space="preserve"> 'WK2014'!EY54</f>
        <v>1586.90245719834</v>
      </c>
      <c r="CY44" s="50">
        <f xml:space="preserve"> 'WK2014'!EZ54</f>
        <v>2210.2810884983396</v>
      </c>
      <c r="CZ44" s="50">
        <f xml:space="preserve"> 'WK2014'!FA54</f>
        <v>1574.34348047195</v>
      </c>
      <c r="DA44" s="50">
        <f xml:space="preserve"> 'WK2014'!FB54</f>
        <v>2197.72211177195</v>
      </c>
      <c r="DB44" s="61">
        <f xml:space="preserve"> 'WK2014'!EW54</f>
        <v>0.78527230896254097</v>
      </c>
      <c r="DC44" s="1"/>
      <c r="DD44" s="50">
        <f xml:space="preserve"> 'WK2014'!FI54</f>
        <v>1224.1294728</v>
      </c>
      <c r="DE44" s="50">
        <f xml:space="preserve"> 'WK2014'!FJ54</f>
        <v>1867.1285711999999</v>
      </c>
      <c r="DF44" s="50">
        <f xml:space="preserve"> 'WK2014'!FM54</f>
        <v>1255.2622005405665</v>
      </c>
      <c r="DG44" s="50">
        <f xml:space="preserve"> 'WK2014'!FN54</f>
        <v>1846.7831995405663</v>
      </c>
      <c r="DH44" s="50">
        <f xml:space="preserve"> 'WK2014'!FO54</f>
        <v>1248.0131879785597</v>
      </c>
      <c r="DI44" s="50">
        <f xml:space="preserve"> 'WK2014'!FP54</f>
        <v>1839.53418697856</v>
      </c>
      <c r="DJ44" s="61">
        <f xml:space="preserve"> 'WK2014'!FK54</f>
        <v>0.7785326260800659</v>
      </c>
      <c r="DK44" s="1"/>
      <c r="DL44" s="50">
        <f xml:space="preserve"> 'WK2014'!FW54</f>
        <v>422.49099839999997</v>
      </c>
      <c r="DM44" s="50">
        <f xml:space="preserve"> 'WK2014'!FX54</f>
        <v>553.58087680000017</v>
      </c>
      <c r="DN44" s="50">
        <f xml:space="preserve"> 'WK2014'!GA54</f>
        <v>422.61662403019005</v>
      </c>
      <c r="DO44" s="50">
        <f xml:space="preserve"> 'WK2014'!GB54</f>
        <v>553.48507423019021</v>
      </c>
      <c r="DP44" s="50">
        <f xml:space="preserve"> 'WK2014'!GC54</f>
        <v>422.54253710581378</v>
      </c>
      <c r="DQ44" s="50">
        <f xml:space="preserve"> 'WK2014'!GD54</f>
        <v>553.41098730581393</v>
      </c>
      <c r="DR44" s="61">
        <f xml:space="preserve"> 'WK2014'!FY54</f>
        <v>0.7898609464746813</v>
      </c>
      <c r="DS44" s="1"/>
      <c r="DT44" s="50">
        <f xml:space="preserve"> 'WK2014'!GK54</f>
        <v>104.62926599999997</v>
      </c>
      <c r="DU44" s="50">
        <f xml:space="preserve"> 'WK2014'!GL54</f>
        <v>153.50131499999998</v>
      </c>
      <c r="DV44" s="50">
        <f xml:space="preserve"> 'WK2014'!GO54</f>
        <v>115.42722449080735</v>
      </c>
      <c r="DW44" s="50">
        <f xml:space="preserve"> 'WK2014'!GP54</f>
        <v>145.58472149080725</v>
      </c>
      <c r="DX44" s="50">
        <f xml:space="preserve"> 'WK2014'!GQ54</f>
        <v>109.59649954310379</v>
      </c>
      <c r="DY44" s="50">
        <f xml:space="preserve"> 'WK2014'!GR54</f>
        <v>139.75399654310377</v>
      </c>
      <c r="DZ44" s="61">
        <f xml:space="preserve"> 'WK2014'!GM54</f>
        <v>0.78541939331327959</v>
      </c>
      <c r="ED44" s="50">
        <f xml:space="preserve"> 'WK2015'!EG54</f>
        <v>1956.9265802</v>
      </c>
      <c r="EE44" s="50">
        <f xml:space="preserve"> 'WK2015'!EH54</f>
        <v>2854.6977903999996</v>
      </c>
      <c r="EF44" s="50">
        <f xml:space="preserve"> 'WK2015'!EK54</f>
        <v>1995.3275900594797</v>
      </c>
      <c r="EG44" s="50">
        <f xml:space="preserve"> 'WK2015'!EL54</f>
        <v>2791.7834814594798</v>
      </c>
      <c r="EH44" s="50">
        <f xml:space="preserve"> 'WK2015'!EM54</f>
        <v>1997.7050056114147</v>
      </c>
      <c r="EI44" s="50">
        <f xml:space="preserve"> 'WK2015'!EN54</f>
        <v>2794.1608970114148</v>
      </c>
      <c r="EJ44" s="61">
        <f xml:space="preserve"> 'WK2015'!EI54</f>
        <v>0.78729182180917556</v>
      </c>
      <c r="EK44" s="1"/>
      <c r="EL44" s="50">
        <f xml:space="preserve"> 'WK2015'!EU54</f>
        <v>1523.9150807999999</v>
      </c>
      <c r="EM44" s="50">
        <f xml:space="preserve"> 'WK2015'!EV54</f>
        <v>2159.3974896</v>
      </c>
      <c r="EN44" s="50">
        <f xml:space="preserve"> 'WK2015'!EY54</f>
        <v>1573.4514062250628</v>
      </c>
      <c r="EO44" s="50">
        <f xml:space="preserve"> 'WK2015'!EZ54</f>
        <v>2123.7907953250633</v>
      </c>
      <c r="EP44" s="50">
        <f xml:space="preserve"> 'WK2015'!FA54</f>
        <v>1560.7890936840251</v>
      </c>
      <c r="EQ44" s="50">
        <f xml:space="preserve"> 'WK2015'!FB54</f>
        <v>2111.128482784025</v>
      </c>
      <c r="ER44" s="61">
        <f xml:space="preserve"> 'WK2015'!EW54</f>
        <v>0.78131516188851169</v>
      </c>
      <c r="ES44" s="1"/>
      <c r="ET44" s="50">
        <f xml:space="preserve"> 'WK2015'!FI54</f>
        <v>1217.2510607999998</v>
      </c>
      <c r="EU44" s="50">
        <f xml:space="preserve"> 'WK2015'!FJ54</f>
        <v>1921.9397614</v>
      </c>
      <c r="EV44" s="50">
        <f xml:space="preserve"> 'WK2015'!FM54</f>
        <v>1255.1743353468623</v>
      </c>
      <c r="EW44" s="50">
        <f xml:space="preserve"> 'WK2015'!FN54</f>
        <v>1898.0836303468623</v>
      </c>
      <c r="EX44" s="50">
        <f xml:space="preserve"> 'WK2015'!FO54</f>
        <v>1241.7686659037531</v>
      </c>
      <c r="EY44" s="50">
        <f xml:space="preserve"> 'WK2015'!FP54</f>
        <v>1884.6779609037533</v>
      </c>
      <c r="EZ44" s="61">
        <f xml:space="preserve"> 'WK2015'!FK54</f>
        <v>0.77125836800558989</v>
      </c>
      <c r="FA44" s="1"/>
      <c r="FB44" s="50">
        <f xml:space="preserve"> 'WK2015'!FW54</f>
        <v>410.20079520000002</v>
      </c>
      <c r="FC44" s="50">
        <f xml:space="preserve"> 'WK2015'!FX54</f>
        <v>529.79420640000012</v>
      </c>
      <c r="FD44" s="50">
        <f xml:space="preserve"> 'WK2015'!GA54</f>
        <v>410.33118816630702</v>
      </c>
      <c r="FE44" s="50">
        <f xml:space="preserve"> 'WK2015'!GB54</f>
        <v>529.69318056630709</v>
      </c>
      <c r="FF44" s="50">
        <f xml:space="preserve"> 'WK2015'!GC54</f>
        <v>410.25358187007708</v>
      </c>
      <c r="FG44" s="50">
        <f xml:space="preserve"> 'WK2015'!GD54</f>
        <v>529.6155742700771</v>
      </c>
      <c r="FH44" s="61">
        <f xml:space="preserve"> 'WK2015'!FY54</f>
        <v>0.78567989568086627</v>
      </c>
      <c r="FI44" s="1"/>
      <c r="FJ44" s="50">
        <f xml:space="preserve"> 'WK2015'!GK54</f>
        <v>106.21956599999994</v>
      </c>
      <c r="FK44" s="50">
        <f xml:space="preserve"> 'WK2015'!GL54</f>
        <v>190.40575200000001</v>
      </c>
      <c r="FL44" s="50">
        <f xml:space="preserve"> 'WK2015'!GO54</f>
        <v>118.21762768148309</v>
      </c>
      <c r="FM44" s="50">
        <f xml:space="preserve"> 'WK2015'!GP54</f>
        <v>182.67608068148314</v>
      </c>
      <c r="FN44" s="50">
        <f xml:space="preserve"> 'WK2015'!GQ54</f>
        <v>111.51921197259952</v>
      </c>
      <c r="FO44" s="50">
        <f xml:space="preserve"> 'WK2015'!GR54</f>
        <v>175.97766497259954</v>
      </c>
      <c r="FP44" s="61">
        <f xml:space="preserve"> 'WK2015'!GM54</f>
        <v>0.77605754466218779</v>
      </c>
      <c r="FS44" s="283">
        <f xml:space="preserve"> 'WK2015'!H54</f>
        <v>1117.923215</v>
      </c>
      <c r="FT44" s="283">
        <f xml:space="preserve"> 'WK2015'!I54</f>
        <v>1752.2699499999999</v>
      </c>
      <c r="FU44" s="283">
        <f xml:space="preserve"> 'WK2015'!L54</f>
        <v>1129.1963821263612</v>
      </c>
      <c r="FV44" s="283">
        <f xml:space="preserve"> 'WK2015'!M54</f>
        <v>1709.6730411263611</v>
      </c>
      <c r="FW44" s="283">
        <f xml:space="preserve"> 'WK2015'!N54</f>
        <v>1140.2196081656184</v>
      </c>
      <c r="FX44" s="283">
        <f xml:space="preserve"> 'WK2015'!O54</f>
        <v>1720.6962671656183</v>
      </c>
      <c r="FY44" s="284">
        <f xml:space="preserve"> 'WK2015'!P54</f>
        <v>0.79073415217826826</v>
      </c>
      <c r="GA44" s="283">
        <f xml:space="preserve"> 'WK2015'!HB54</f>
        <v>773.10750899999994</v>
      </c>
      <c r="GB44" s="283">
        <f xml:space="preserve"> 'WK2015'!HC54</f>
        <v>1300.5104179999998</v>
      </c>
      <c r="GC44" s="283">
        <f xml:space="preserve"> 'WK2015'!HF54</f>
        <v>784.18369048556121</v>
      </c>
      <c r="GD44" s="283">
        <f xml:space="preserve"> 'WK2015'!HG54</f>
        <v>1267.1077034855609</v>
      </c>
      <c r="GE44" s="283">
        <f xml:space="preserve"> 'WK2015'!HH54</f>
        <v>787.9329025495698</v>
      </c>
      <c r="GF44" s="283">
        <f xml:space="preserve"> 'WK2015'!HI54</f>
        <v>1270.8569155495697</v>
      </c>
      <c r="GG44" s="284">
        <f xml:space="preserve"> 'WK2015'!HJ54</f>
        <v>0.75097894773374674</v>
      </c>
      <c r="GI44" s="283">
        <f xml:space="preserve"> 'WK2015'!HQ54</f>
        <v>630.90905499999997</v>
      </c>
      <c r="GJ44" s="283">
        <f xml:space="preserve"> 'WK2015'!HR54</f>
        <v>849.90332699999999</v>
      </c>
      <c r="GK44" s="283">
        <f xml:space="preserve"> 'WK2015'!HU54</f>
        <v>642.75254083855987</v>
      </c>
      <c r="GL44" s="283">
        <f xml:space="preserve"> 'WK2015'!HV54</f>
        <v>795.59284983855991</v>
      </c>
      <c r="GM44" s="283">
        <f xml:space="preserve"> 'WK2015'!HW54</f>
        <v>633.91410352670289</v>
      </c>
      <c r="GN44" s="283">
        <f xml:space="preserve"> 'WK2015'!HX54</f>
        <v>786.75441252670294</v>
      </c>
      <c r="GO44" s="284">
        <f xml:space="preserve"> 'WK2015'!HY54</f>
        <v>0.82097087912087907</v>
      </c>
    </row>
    <row r="45" spans="1:197" x14ac:dyDescent="0.2">
      <c r="A45" s="3">
        <f>Basis!A45</f>
        <v>45</v>
      </c>
      <c r="D45" s="252" t="e">
        <v>#N/A</v>
      </c>
      <c r="E45" s="252" t="e">
        <v>#N/A</v>
      </c>
      <c r="H45" s="50">
        <f xml:space="preserve"> 'WK2012'!EG55</f>
        <v>1902.1177398883915</v>
      </c>
      <c r="I45" s="50">
        <f xml:space="preserve"> 'WK2012'!EH55</f>
        <v>3321.9631321445199</v>
      </c>
      <c r="J45" s="50">
        <f xml:space="preserve"> 'WK2012'!EK55</f>
        <v>1920.4819044598996</v>
      </c>
      <c r="K45" s="50">
        <f xml:space="preserve"> 'WK2012'!EL55</f>
        <v>3310.7614404841675</v>
      </c>
      <c r="L45" s="50">
        <f xml:space="preserve"> 'WK2012'!EM55</f>
        <v>1947.1983710049863</v>
      </c>
      <c r="M45" s="50">
        <f xml:space="preserve"> 'WK2012'!EN55</f>
        <v>3337.4779070292543</v>
      </c>
      <c r="N45" s="61">
        <f xml:space="preserve"> 'WK2012'!EI55</f>
        <v>0.78755624427327009</v>
      </c>
      <c r="P45" s="50">
        <f xml:space="preserve"> 'WK2012'!EU55</f>
        <v>1584.5619273926238</v>
      </c>
      <c r="Q45" s="50">
        <f xml:space="preserve"> 'WK2012'!EV55</f>
        <v>2632.6682105126247</v>
      </c>
      <c r="R45" s="50">
        <f xml:space="preserve"> 'WK2012'!EY55</f>
        <v>1602.2207168479786</v>
      </c>
      <c r="S45" s="50">
        <f xml:space="preserve"> 'WK2012'!EZ55</f>
        <v>2620.7614111579469</v>
      </c>
      <c r="T45" s="50">
        <f xml:space="preserve"> 'WK2012'!FA55</f>
        <v>1620.6306032562334</v>
      </c>
      <c r="U45" s="50">
        <f xml:space="preserve"> 'WK2012'!FB55</f>
        <v>2639.1712975662022</v>
      </c>
      <c r="V45" s="61">
        <f xml:space="preserve"> 'WK2012'!EW55</f>
        <v>0.78632338508496624</v>
      </c>
      <c r="X45" s="50">
        <f xml:space="preserve"> 'WK2012'!FI55</f>
        <v>924.8152907965424</v>
      </c>
      <c r="Y45" s="50">
        <f xml:space="preserve"> 'WK2012'!FJ55</f>
        <v>1539.6260322898479</v>
      </c>
      <c r="Z45" s="50">
        <f xml:space="preserve"> 'WK2012'!FM55</f>
        <v>933.16787860812519</v>
      </c>
      <c r="AA45" s="50">
        <f xml:space="preserve"> 'WK2012'!FN55</f>
        <v>1534.4926601845573</v>
      </c>
      <c r="AB45" s="50">
        <f xml:space="preserve"> 'WK2012'!FO55</f>
        <v>948.15369658645761</v>
      </c>
      <c r="AC45" s="50">
        <f xml:space="preserve"> 'WK2012'!FP55</f>
        <v>1549.4784781628894</v>
      </c>
      <c r="AD45" s="61">
        <f xml:space="preserve"> 'WK2012'!FK55</f>
        <v>0.78018455179593049</v>
      </c>
      <c r="AF45" s="50">
        <f xml:space="preserve"> 'WK2012'!FW55</f>
        <v>94.264437313899734</v>
      </c>
      <c r="AG45" s="50">
        <f xml:space="preserve"> 'WK2012'!FX55</f>
        <v>125.37973147853323</v>
      </c>
      <c r="AH45" s="50">
        <f xml:space="preserve"> 'WK2012'!GA55</f>
        <v>97.508245685889307</v>
      </c>
      <c r="AI45" s="50">
        <f xml:space="preserve"> 'WK2012'!GB55</f>
        <v>122.82910939141905</v>
      </c>
      <c r="AJ45" s="50">
        <f xml:space="preserve"> 'WK2012'!GC55</f>
        <v>98.186702215368285</v>
      </c>
      <c r="AK45" s="50">
        <f xml:space="preserve"> 'WK2012'!GD55</f>
        <v>123.50756592089803</v>
      </c>
      <c r="AL45" s="61">
        <f xml:space="preserve"> 'WK2012'!FY55</f>
        <v>0.78034501641118592</v>
      </c>
      <c r="AN45" s="50">
        <f xml:space="preserve"> 'WK2012'!GK55</f>
        <v>368.10597298230056</v>
      </c>
      <c r="AO45" s="50">
        <f xml:space="preserve"> 'WK2012'!GL55</f>
        <v>478.55717219339067</v>
      </c>
      <c r="AP45" s="50">
        <f xml:space="preserve"> 'WK2012'!GO55</f>
        <v>368.31364317163127</v>
      </c>
      <c r="AQ45" s="50">
        <f xml:space="preserve"> 'WK2012'!GP55</f>
        <v>478.3952830938847</v>
      </c>
      <c r="AR45" s="50">
        <f xml:space="preserve"> 'WK2012'!GQ55</f>
        <v>368.74072088860328</v>
      </c>
      <c r="AS45" s="50">
        <f xml:space="preserve"> 'WK2012'!GR55</f>
        <v>478.82236081085682</v>
      </c>
      <c r="AT45" s="61">
        <f xml:space="preserve"> 'WK2012'!GM55</f>
        <v>0.78651835847169382</v>
      </c>
      <c r="AX45" s="50">
        <f xml:space="preserve"> 'WK2013'!EG55</f>
        <v>2039.073885</v>
      </c>
      <c r="AY45" s="50">
        <f xml:space="preserve"> 'WK2013'!EH55</f>
        <v>2915.5797792000003</v>
      </c>
      <c r="AZ45" s="50">
        <f xml:space="preserve"> 'WK2013'!EK55</f>
        <v>2056.6193831056012</v>
      </c>
      <c r="BA45" s="50">
        <f xml:space="preserve"> 'WK2013'!EL55</f>
        <v>2892.8018863056013</v>
      </c>
      <c r="BB45" s="50">
        <f xml:space="preserve"> 'WK2013'!EM55</f>
        <v>2082.2741992958431</v>
      </c>
      <c r="BC45" s="50">
        <f xml:space="preserve"> 'WK2013'!EN55</f>
        <v>2918.4567024958433</v>
      </c>
      <c r="BD45" s="61">
        <f xml:space="preserve"> 'WK2013'!EI55</f>
        <v>0.77216687035090348</v>
      </c>
      <c r="BF45" s="50">
        <f xml:space="preserve"> 'WK2013'!EU55</f>
        <v>1604.563091</v>
      </c>
      <c r="BG45" s="50">
        <f xml:space="preserve"> 'WK2013'!EV55</f>
        <v>2273.6848667999998</v>
      </c>
      <c r="BH45" s="50">
        <f xml:space="preserve"> 'WK2013'!EY55</f>
        <v>1629.5764662182555</v>
      </c>
      <c r="BI45" s="50">
        <f xml:space="preserve"> 'WK2013'!EZ55</f>
        <v>2255.8993535182558</v>
      </c>
      <c r="BJ45" s="50">
        <f xml:space="preserve"> 'WK2013'!FA55</f>
        <v>1640.1497768623235</v>
      </c>
      <c r="BK45" s="50">
        <f xml:space="preserve"> 'WK2013'!FB55</f>
        <v>2266.4726641623238</v>
      </c>
      <c r="BL45" s="61">
        <f xml:space="preserve"> 'WK2013'!EW55</f>
        <v>0.78112915435348451</v>
      </c>
      <c r="BN45" s="50">
        <f xml:space="preserve"> 'WK2013'!FI55</f>
        <v>1173.8656243999999</v>
      </c>
      <c r="BO45" s="50">
        <f xml:space="preserve"> 'WK2013'!FJ55</f>
        <v>1860.3535584000001</v>
      </c>
      <c r="BP45" s="50">
        <f xml:space="preserve"> 'WK2013'!FM55</f>
        <v>1188.8558178823312</v>
      </c>
      <c r="BQ45" s="50">
        <f xml:space="preserve"> 'WK2013'!FN55</f>
        <v>1850.6741050823312</v>
      </c>
      <c r="BR45" s="50">
        <f xml:space="preserve"> 'WK2013'!FO55</f>
        <v>1201.6894566300871</v>
      </c>
      <c r="BS45" s="50">
        <f xml:space="preserve"> 'WK2013'!FP55</f>
        <v>1863.5077438300873</v>
      </c>
      <c r="BT45" s="61">
        <f xml:space="preserve"> 'WK2013'!FK55</f>
        <v>0.77407614359280952</v>
      </c>
      <c r="BV45" s="50">
        <f xml:space="preserve"> 'WK2013'!FW55</f>
        <v>443.01752500000003</v>
      </c>
      <c r="BW45" s="50">
        <f xml:space="preserve"> 'WK2013'!FX55</f>
        <v>576.88685220000002</v>
      </c>
      <c r="BX45" s="50">
        <f xml:space="preserve"> 'WK2013'!GA55</f>
        <v>443.1044881390734</v>
      </c>
      <c r="BY45" s="50">
        <f xml:space="preserve"> 'WK2013'!GB55</f>
        <v>576.82011533907348</v>
      </c>
      <c r="BZ45" s="50">
        <f xml:space="preserve"> 'WK2013'!GC55</f>
        <v>443.07077011479987</v>
      </c>
      <c r="CA45" s="50">
        <f xml:space="preserve"> 'WK2013'!GD55</f>
        <v>576.78639731479984</v>
      </c>
      <c r="CB45" s="61">
        <f xml:space="preserve"> 'WK2013'!FY55</f>
        <v>0.7847145145151817</v>
      </c>
      <c r="CD45" s="50">
        <f xml:space="preserve"> 'WK2013'!GK55</f>
        <v>112.65391649999999</v>
      </c>
      <c r="CE45" s="50">
        <f xml:space="preserve"> 'WK2013'!GL55</f>
        <v>152.49352125000001</v>
      </c>
      <c r="CF45" s="50">
        <f xml:space="preserve"> 'WK2013'!GO55</f>
        <v>117.74716787848111</v>
      </c>
      <c r="CG45" s="50">
        <f xml:space="preserve"> 'WK2013'!GP55</f>
        <v>148.50801437848116</v>
      </c>
      <c r="CH45" s="50">
        <f xml:space="preserve"> 'WK2013'!GQ55</f>
        <v>116.96951369691864</v>
      </c>
      <c r="CI45" s="50">
        <f xml:space="preserve"> 'WK2013'!GR55</f>
        <v>147.73036019691875</v>
      </c>
      <c r="CJ45" s="61">
        <f xml:space="preserve"> 'WK2013'!GM55</f>
        <v>0.78139276085347775</v>
      </c>
      <c r="CN45" s="50">
        <f xml:space="preserve"> 'WK2014'!EG55</f>
        <v>2073.9612723999999</v>
      </c>
      <c r="CO45" s="50">
        <f xml:space="preserve"> 'WK2014'!EH55</f>
        <v>2964.9243183999997</v>
      </c>
      <c r="CP45" s="50">
        <f xml:space="preserve"> 'WK2014'!EK55</f>
        <v>2090.8696700518549</v>
      </c>
      <c r="CQ45" s="50">
        <f xml:space="preserve"> 'WK2014'!EL55</f>
        <v>2935.4626214518548</v>
      </c>
      <c r="CR45" s="50">
        <f xml:space="preserve"> 'WK2014'!EM55</f>
        <v>2107.6991885983425</v>
      </c>
      <c r="CS45" s="50">
        <f xml:space="preserve"> 'WK2014'!EN55</f>
        <v>2952.2921399983425</v>
      </c>
      <c r="CT45" s="61">
        <f xml:space="preserve"> 'WK2014'!EI55</f>
        <v>0.79253588398458663</v>
      </c>
      <c r="CV45" s="50">
        <f xml:space="preserve"> 'WK2014'!EU55</f>
        <v>1597.3208130999999</v>
      </c>
      <c r="CW45" s="50">
        <f xml:space="preserve"> 'WK2014'!EV55</f>
        <v>2268.9480406000002</v>
      </c>
      <c r="CX45" s="50">
        <f xml:space="preserve"> 'WK2014'!EY55</f>
        <v>1623.7679102127729</v>
      </c>
      <c r="CY45" s="50">
        <f xml:space="preserve"> 'WK2014'!EZ55</f>
        <v>2250.2477368127729</v>
      </c>
      <c r="CZ45" s="50">
        <f xml:space="preserve"> 'WK2014'!FA55</f>
        <v>1633.36884697195</v>
      </c>
      <c r="DA45" s="50">
        <f xml:space="preserve"> 'WK2014'!FB55</f>
        <v>2259.8486735719498</v>
      </c>
      <c r="DB45" s="61">
        <f xml:space="preserve"> 'WK2014'!EW55</f>
        <v>0.78189494458130304</v>
      </c>
      <c r="DC45" s="1"/>
      <c r="DD45" s="50">
        <f xml:space="preserve"> 'WK2014'!FI55</f>
        <v>1261.0826568</v>
      </c>
      <c r="DE45" s="50">
        <f xml:space="preserve"> 'WK2014'!FJ55</f>
        <v>1902.8701262000002</v>
      </c>
      <c r="DF45" s="50">
        <f xml:space="preserve"> 'WK2014'!FM55</f>
        <v>1276.5234749640888</v>
      </c>
      <c r="DG45" s="50">
        <f xml:space="preserve"> 'WK2014'!FN55</f>
        <v>1892.4696171640887</v>
      </c>
      <c r="DH45" s="50">
        <f xml:space="preserve"> 'WK2014'!FO55</f>
        <v>1284.9663719785599</v>
      </c>
      <c r="DI45" s="50">
        <f xml:space="preserve"> 'WK2014'!FP55</f>
        <v>1900.9125141785598</v>
      </c>
      <c r="DJ45" s="61">
        <f xml:space="preserve"> 'WK2014'!FK55</f>
        <v>0.77448115061724077</v>
      </c>
      <c r="DK45" s="1"/>
      <c r="DL45" s="50">
        <f xml:space="preserve"> 'WK2014'!FW55</f>
        <v>433.82072640000001</v>
      </c>
      <c r="DM45" s="50">
        <f xml:space="preserve"> 'WK2014'!FX55</f>
        <v>566.22722240000007</v>
      </c>
      <c r="DN45" s="50">
        <f xml:space="preserve"> 'WK2014'!GA55</f>
        <v>433.91409752217947</v>
      </c>
      <c r="DO45" s="50">
        <f xml:space="preserve"> 'WK2014'!GB55</f>
        <v>566.15592292217957</v>
      </c>
      <c r="DP45" s="50">
        <f xml:space="preserve"> 'WK2014'!GC55</f>
        <v>433.87226510581377</v>
      </c>
      <c r="DQ45" s="50">
        <f xml:space="preserve"> 'WK2014'!GD55</f>
        <v>566.11409050581369</v>
      </c>
      <c r="DR45" s="61">
        <f xml:space="preserve"> 'WK2014'!FY55</f>
        <v>0.78670140863912308</v>
      </c>
      <c r="DS45" s="1"/>
      <c r="DT45" s="50">
        <f xml:space="preserve"> 'WK2014'!GK55</f>
        <v>113.22427499999998</v>
      </c>
      <c r="DU45" s="50">
        <f xml:space="preserve"> 'WK2014'!GL55</f>
        <v>147.21109200000004</v>
      </c>
      <c r="DV45" s="50">
        <f xml:space="preserve"> 'WK2014'!GO55</f>
        <v>118.3642679837541</v>
      </c>
      <c r="DW45" s="50">
        <f xml:space="preserve"> 'WK2014'!GP55</f>
        <v>143.08732048375413</v>
      </c>
      <c r="DX45" s="50">
        <f xml:space="preserve"> 'WK2014'!GQ55</f>
        <v>118.19150854310379</v>
      </c>
      <c r="DY45" s="50">
        <f xml:space="preserve"> 'WK2014'!GR55</f>
        <v>142.9145610431039</v>
      </c>
      <c r="DZ45" s="61">
        <f xml:space="preserve"> 'WK2014'!GM55</f>
        <v>0.78249978381093876</v>
      </c>
      <c r="ED45" s="50">
        <f xml:space="preserve"> 'WK2015'!EG55</f>
        <v>2029.3730327999999</v>
      </c>
      <c r="EE45" s="50">
        <f xml:space="preserve"> 'WK2015'!EH55</f>
        <v>2863.2033656000003</v>
      </c>
      <c r="EF45" s="50">
        <f xml:space="preserve"> 'WK2015'!EK55</f>
        <v>2049.2843274269112</v>
      </c>
      <c r="EG45" s="50">
        <f xml:space="preserve"> 'WK2015'!EL55</f>
        <v>2828.8865088269113</v>
      </c>
      <c r="EH45" s="50">
        <f xml:space="preserve"> 'WK2015'!EM55</f>
        <v>2070.1514582114146</v>
      </c>
      <c r="EI45" s="50">
        <f xml:space="preserve"> 'WK2015'!EN55</f>
        <v>2849.7536396114151</v>
      </c>
      <c r="EJ45" s="61">
        <f xml:space="preserve"> 'WK2015'!EI55</f>
        <v>0.79196932854756041</v>
      </c>
      <c r="EK45" s="1"/>
      <c r="EL45" s="50">
        <f xml:space="preserve"> 'WK2015'!EU55</f>
        <v>1583.3426276999999</v>
      </c>
      <c r="EM45" s="50">
        <f xml:space="preserve"> 'WK2015'!EV55</f>
        <v>2191.1558713999998</v>
      </c>
      <c r="EN45" s="50">
        <f xml:space="preserve"> 'WK2015'!EY55</f>
        <v>1611.2483490394802</v>
      </c>
      <c r="EO45" s="50">
        <f xml:space="preserve"> 'WK2015'!EZ55</f>
        <v>2170.6013171394807</v>
      </c>
      <c r="EP45" s="50">
        <f xml:space="preserve"> 'WK2015'!FA55</f>
        <v>1620.2166405840251</v>
      </c>
      <c r="EQ45" s="50">
        <f xml:space="preserve"> 'WK2015'!FB55</f>
        <v>2179.5696086840253</v>
      </c>
      <c r="ER45" s="61">
        <f xml:space="preserve"> 'WK2015'!EW55</f>
        <v>0.78452381132007964</v>
      </c>
      <c r="ES45" s="1"/>
      <c r="ET45" s="50">
        <f xml:space="preserve"> 'WK2015'!FI55</f>
        <v>1276.4402712000001</v>
      </c>
      <c r="EU45" s="50">
        <f xml:space="preserve"> 'WK2015'!FJ55</f>
        <v>1956.5599867999999</v>
      </c>
      <c r="EV45" s="50">
        <f xml:space="preserve"> 'WK2015'!FM55</f>
        <v>1296.9417868239668</v>
      </c>
      <c r="EW45" s="50">
        <f xml:space="preserve"> 'WK2015'!FN55</f>
        <v>1943.0535286239669</v>
      </c>
      <c r="EX45" s="50">
        <f xml:space="preserve"> 'WK2015'!FO55</f>
        <v>1300.9578763037532</v>
      </c>
      <c r="EY45" s="50">
        <f xml:space="preserve"> 'WK2015'!FP55</f>
        <v>1947.0696181037533</v>
      </c>
      <c r="EZ45" s="61">
        <f xml:space="preserve"> 'WK2015'!FK55</f>
        <v>0.77749351586144055</v>
      </c>
      <c r="FA45" s="1"/>
      <c r="FB45" s="50">
        <f xml:space="preserve"> 'WK2015'!FW55</f>
        <v>420.96719280000002</v>
      </c>
      <c r="FC45" s="50">
        <f xml:space="preserve"> 'WK2015'!FX55</f>
        <v>541.17515359999993</v>
      </c>
      <c r="FD45" s="50">
        <f xml:space="preserve"> 'WK2015'!GA55</f>
        <v>421.06262218422171</v>
      </c>
      <c r="FE45" s="50">
        <f xml:space="preserve"> 'WK2015'!GB55</f>
        <v>541.10097058422161</v>
      </c>
      <c r="FF45" s="50">
        <f xml:space="preserve"> 'WK2015'!GC55</f>
        <v>421.01997947007709</v>
      </c>
      <c r="FG45" s="50">
        <f xml:space="preserve"> 'WK2015'!GD55</f>
        <v>541.05832787007716</v>
      </c>
      <c r="FH45" s="61">
        <f xml:space="preserve"> 'WK2015'!FY55</f>
        <v>0.78959211248367855</v>
      </c>
      <c r="FI45" s="1"/>
      <c r="FJ45" s="50">
        <f xml:space="preserve"> 'WK2015'!GK55</f>
        <v>114.02383725000006</v>
      </c>
      <c r="FK45" s="50">
        <f xml:space="preserve"> 'WK2015'!GL55</f>
        <v>184.89965175000009</v>
      </c>
      <c r="FL45" s="50">
        <f xml:space="preserve"> 'WK2015'!GO55</f>
        <v>119.92984894948354</v>
      </c>
      <c r="FM45" s="50">
        <f xml:space="preserve"> 'WK2015'!GP55</f>
        <v>180.81018769948361</v>
      </c>
      <c r="FN45" s="50">
        <f xml:space="preserve"> 'WK2015'!GQ55</f>
        <v>119.32348322259963</v>
      </c>
      <c r="FO45" s="50">
        <f xml:space="preserve"> 'WK2015'!GR55</f>
        <v>180.20382197259966</v>
      </c>
      <c r="FP45" s="61">
        <f xml:space="preserve"> 'WK2015'!GM55</f>
        <v>0.78118817700442134</v>
      </c>
      <c r="FS45" s="283">
        <f xml:space="preserve"> 'WK2015'!H55</f>
        <v>1152.7377749999998</v>
      </c>
      <c r="FT45" s="283">
        <f xml:space="preserve"> 'WK2015'!I55</f>
        <v>1755.6934080000001</v>
      </c>
      <c r="FU45" s="283">
        <f xml:space="preserve"> 'WK2015'!L55</f>
        <v>1158.5814578529496</v>
      </c>
      <c r="FV45" s="283">
        <f xml:space="preserve"> 'WK2015'!M55</f>
        <v>1732.6926308529498</v>
      </c>
      <c r="FW45" s="283">
        <f xml:space="preserve"> 'WK2015'!N55</f>
        <v>1175.0341681656182</v>
      </c>
      <c r="FX45" s="283">
        <f xml:space="preserve"> 'WK2015'!O55</f>
        <v>1749.1453411656184</v>
      </c>
      <c r="FY45" s="284">
        <f xml:space="preserve"> 'WK2015'!P55</f>
        <v>0.79740709817588096</v>
      </c>
      <c r="GA45" s="283">
        <f xml:space="preserve"> 'WK2015'!HB55</f>
        <v>799.7731829999999</v>
      </c>
      <c r="GB45" s="283">
        <f xml:space="preserve"> 'WK2015'!HC55</f>
        <v>1314.6316419999998</v>
      </c>
      <c r="GC45" s="283">
        <f xml:space="preserve"> 'WK2015'!HF55</f>
        <v>805.60233852723763</v>
      </c>
      <c r="GD45" s="283">
        <f xml:space="preserve"> 'WK2015'!HG55</f>
        <v>1296.7370975272374</v>
      </c>
      <c r="GE45" s="283">
        <f xml:space="preserve"> 'WK2015'!HH55</f>
        <v>814.59857654956977</v>
      </c>
      <c r="GF45" s="283">
        <f xml:space="preserve"> 'WK2015'!HI55</f>
        <v>1305.7333355495698</v>
      </c>
      <c r="GG45" s="284">
        <f xml:space="preserve"> 'WK2015'!HJ55</f>
        <v>0.75428978079988662</v>
      </c>
      <c r="GI45" s="283">
        <f xml:space="preserve"> 'WK2015'!HQ55</f>
        <v>656.53458499999999</v>
      </c>
      <c r="GJ45" s="283">
        <f xml:space="preserve"> 'WK2015'!HR55</f>
        <v>861.22606499999995</v>
      </c>
      <c r="GK45" s="283">
        <f xml:space="preserve"> 'WK2015'!HU55</f>
        <v>666.1218852689708</v>
      </c>
      <c r="GL45" s="283">
        <f xml:space="preserve"> 'WK2015'!HV55</f>
        <v>820.94804726897075</v>
      </c>
      <c r="GM45" s="283">
        <f xml:space="preserve"> 'WK2015'!HW55</f>
        <v>659.53963352670291</v>
      </c>
      <c r="GN45" s="283">
        <f xml:space="preserve"> 'WK2015'!HX55</f>
        <v>814.36579552670287</v>
      </c>
      <c r="GO45" s="284">
        <f xml:space="preserve"> 'WK2015'!HY55</f>
        <v>0.80773610490219161</v>
      </c>
    </row>
    <row r="46" spans="1:197" x14ac:dyDescent="0.2">
      <c r="A46" s="3">
        <f>Basis!A46</f>
        <v>46</v>
      </c>
      <c r="D46" s="252" t="e">
        <v>#N/A</v>
      </c>
      <c r="E46" s="252" t="e">
        <v>#N/A</v>
      </c>
      <c r="H46" s="50">
        <f xml:space="preserve"> 'WK2012'!EG56</f>
        <v>1978.4719504306388</v>
      </c>
      <c r="I46" s="50">
        <f xml:space="preserve"> 'WK2012'!EH56</f>
        <v>3375.7429598775343</v>
      </c>
      <c r="J46" s="50">
        <f xml:space="preserve"> 'WK2012'!EK56</f>
        <v>1990.0169225880777</v>
      </c>
      <c r="K46" s="50">
        <f xml:space="preserve"> 'WK2012'!EL56</f>
        <v>3368.6962738262528</v>
      </c>
      <c r="L46" s="50">
        <f xml:space="preserve"> 'WK2012'!EM56</f>
        <v>2023.5525815472333</v>
      </c>
      <c r="M46" s="50">
        <f xml:space="preserve"> 'WK2012'!EN56</f>
        <v>3402.2319327854084</v>
      </c>
      <c r="N46" s="61">
        <f xml:space="preserve"> 'WK2012'!EI56</f>
        <v>0.78482881865175003</v>
      </c>
      <c r="P46" s="50">
        <f xml:space="preserve"> 'WK2012'!EU56</f>
        <v>1670.4652922715286</v>
      </c>
      <c r="Q46" s="50">
        <f xml:space="preserve"> 'WK2012'!EV56</f>
        <v>2694.5701937588888</v>
      </c>
      <c r="R46" s="50">
        <f xml:space="preserve"> 'WK2012'!EY56</f>
        <v>1682.6699030721843</v>
      </c>
      <c r="S46" s="50">
        <f xml:space="preserve"> 'WK2012'!EZ56</f>
        <v>2686.0302088783828</v>
      </c>
      <c r="T46" s="50">
        <f xml:space="preserve"> 'WK2012'!FA56</f>
        <v>1706.5339681351386</v>
      </c>
      <c r="U46" s="50">
        <f xml:space="preserve"> 'WK2012'!FB56</f>
        <v>2709.8942739413369</v>
      </c>
      <c r="V46" s="61">
        <f xml:space="preserve"> 'WK2012'!EW56</f>
        <v>0.78490000966108286</v>
      </c>
      <c r="X46" s="50">
        <f xml:space="preserve"> 'WK2012'!FI56</f>
        <v>963.03976072299315</v>
      </c>
      <c r="Y46" s="50">
        <f xml:space="preserve"> 'WK2012'!FJ56</f>
        <v>1590.7726874280581</v>
      </c>
      <c r="Z46" s="50">
        <f xml:space="preserve"> 'WK2012'!FM56</f>
        <v>966.14364200212708</v>
      </c>
      <c r="AA46" s="50">
        <f xml:space="preserve"> 'WK2012'!FN56</f>
        <v>1588.6559460217618</v>
      </c>
      <c r="AB46" s="50">
        <f xml:space="preserve"> 'WK2012'!FO56</f>
        <v>986.37816651290814</v>
      </c>
      <c r="AC46" s="50">
        <f xml:space="preserve"> 'WK2012'!FP56</f>
        <v>1608.8904705325428</v>
      </c>
      <c r="AD46" s="61">
        <f xml:space="preserve"> 'WK2012'!FK56</f>
        <v>0.7777260500221187</v>
      </c>
      <c r="AF46" s="50">
        <f xml:space="preserve"> 'WK2012'!FW56</f>
        <v>105.35023605867657</v>
      </c>
      <c r="AG46" s="50">
        <f xml:space="preserve"> 'WK2012'!FX56</f>
        <v>132.16606010776414</v>
      </c>
      <c r="AH46" s="50">
        <f xml:space="preserve"> 'WK2012'!GA56</f>
        <v>107.13693656382246</v>
      </c>
      <c r="AI46" s="50">
        <f xml:space="preserve"> 'WK2012'!GB56</f>
        <v>130.69866918676018</v>
      </c>
      <c r="AJ46" s="50">
        <f xml:space="preserve"> 'WK2012'!GC56</f>
        <v>109.27250096014512</v>
      </c>
      <c r="AK46" s="50">
        <f xml:space="preserve"> 'WK2012'!GD56</f>
        <v>132.83423358308283</v>
      </c>
      <c r="AL46" s="61">
        <f xml:space="preserve"> 'WK2012'!FY56</f>
        <v>0.77935037856413292</v>
      </c>
      <c r="AN46" s="50">
        <f xml:space="preserve"> 'WK2012'!GK56</f>
        <v>375.40940096946792</v>
      </c>
      <c r="AO46" s="50">
        <f xml:space="preserve"> 'WK2012'!GL56</f>
        <v>484.99555135245555</v>
      </c>
      <c r="AP46" s="50">
        <f xml:space="preserve"> 'WK2012'!GO56</f>
        <v>375.55458072172365</v>
      </c>
      <c r="AQ46" s="50">
        <f xml:space="preserve"> 'WK2012'!GP56</f>
        <v>484.88068651027464</v>
      </c>
      <c r="AR46" s="50">
        <f xml:space="preserve"> 'WK2012'!GQ56</f>
        <v>376.0441488757707</v>
      </c>
      <c r="AS46" s="50">
        <f xml:space="preserve"> 'WK2012'!GR56</f>
        <v>485.37025466432164</v>
      </c>
      <c r="AT46" s="61">
        <f xml:space="preserve"> 'WK2012'!GM56</f>
        <v>0.78438519314723976</v>
      </c>
      <c r="AX46" s="50">
        <f xml:space="preserve"> 'WK2013'!EG56</f>
        <v>2119.2474590000002</v>
      </c>
      <c r="AY46" s="50">
        <f xml:space="preserve"> 'WK2013'!EH56</f>
        <v>2961.0411050000002</v>
      </c>
      <c r="AZ46" s="50">
        <f xml:space="preserve"> 'WK2013'!EK56</f>
        <v>2127.2822685503515</v>
      </c>
      <c r="BA46" s="50">
        <f xml:space="preserve"> 'WK2013'!EL56</f>
        <v>2949.9646995503513</v>
      </c>
      <c r="BB46" s="50">
        <f xml:space="preserve"> 'WK2013'!EM56</f>
        <v>2162.4477732958435</v>
      </c>
      <c r="BC46" s="50">
        <f xml:space="preserve"> 'WK2013'!EN56</f>
        <v>2985.1302042958432</v>
      </c>
      <c r="BD46" s="61">
        <f xml:space="preserve"> 'WK2013'!EI56</f>
        <v>0.77196455724676405</v>
      </c>
      <c r="BF46" s="50">
        <f xml:space="preserve"> 'WK2013'!EU56</f>
        <v>1667.7203325</v>
      </c>
      <c r="BG46" s="50">
        <f xml:space="preserve"> 'WK2013'!EV56</f>
        <v>2322.3429470000001</v>
      </c>
      <c r="BH46" s="50">
        <f xml:space="preserve"> 'WK2013'!EY56</f>
        <v>1681.4338663692042</v>
      </c>
      <c r="BI46" s="50">
        <f xml:space="preserve"> 'WK2013'!EZ56</f>
        <v>2312.6146723692045</v>
      </c>
      <c r="BJ46" s="50">
        <f xml:space="preserve"> 'WK2013'!FA56</f>
        <v>1703.3070183623236</v>
      </c>
      <c r="BK46" s="50">
        <f xml:space="preserve"> 'WK2013'!FB56</f>
        <v>2334.4878243623239</v>
      </c>
      <c r="BL46" s="61">
        <f xml:space="preserve"> 'WK2013'!EW56</f>
        <v>0.78142699888131695</v>
      </c>
      <c r="BN46" s="50">
        <f xml:space="preserve"> 'WK2013'!FI56</f>
        <v>1214.9888455999999</v>
      </c>
      <c r="BO46" s="50">
        <f xml:space="preserve"> 'WK2013'!FJ56</f>
        <v>1905.5140159999999</v>
      </c>
      <c r="BP46" s="50">
        <f xml:space="preserve"> 'WK2013'!FM56</f>
        <v>1220.334769979039</v>
      </c>
      <c r="BQ46" s="50">
        <f xml:space="preserve"> 'WK2013'!FN56</f>
        <v>1901.7375287790389</v>
      </c>
      <c r="BR46" s="50">
        <f xml:space="preserve"> 'WK2013'!FO56</f>
        <v>1242.8126778300871</v>
      </c>
      <c r="BS46" s="50">
        <f xml:space="preserve"> 'WK2013'!FP56</f>
        <v>1924.2154366300872</v>
      </c>
      <c r="BT46" s="61">
        <f xml:space="preserve"> 'WK2013'!FK56</f>
        <v>0.7738003066276391</v>
      </c>
      <c r="BV46" s="50">
        <f xml:space="preserve"> 'WK2013'!FW56</f>
        <v>454.04105300000003</v>
      </c>
      <c r="BW46" s="50">
        <f xml:space="preserve"> 'WK2013'!FX56</f>
        <v>592.53122200000007</v>
      </c>
      <c r="BX46" s="50">
        <f xml:space="preserve"> 'WK2013'!GA56</f>
        <v>454.10435164855096</v>
      </c>
      <c r="BY46" s="50">
        <f xml:space="preserve"> 'WK2013'!GB56</f>
        <v>592.48286064855097</v>
      </c>
      <c r="BZ46" s="50">
        <f xml:space="preserve"> 'WK2013'!GC56</f>
        <v>454.09429811479981</v>
      </c>
      <c r="CA46" s="50">
        <f xml:space="preserve"> 'WK2013'!GD56</f>
        <v>592.47280711479993</v>
      </c>
      <c r="CB46" s="61">
        <f xml:space="preserve"> 'WK2013'!FY56</f>
        <v>0.78505186562285967</v>
      </c>
      <c r="CD46" s="50">
        <f xml:space="preserve"> 'WK2013'!GK56</f>
        <v>119.68007100000003</v>
      </c>
      <c r="CE46" s="50">
        <f xml:space="preserve"> 'WK2013'!GL56</f>
        <v>152.26119449999999</v>
      </c>
      <c r="CF46" s="50">
        <f xml:space="preserve"> 'WK2013'!GO56</f>
        <v>121.77915593130615</v>
      </c>
      <c r="CG46" s="50">
        <f xml:space="preserve"> 'WK2013'!GP56</f>
        <v>150.53091818130611</v>
      </c>
      <c r="CH46" s="50">
        <f xml:space="preserve"> 'WK2013'!GQ56</f>
        <v>123.99566819691867</v>
      </c>
      <c r="CI46" s="50">
        <f xml:space="preserve"> 'WK2013'!GR56</f>
        <v>152.74743044691871</v>
      </c>
      <c r="CJ46" s="61">
        <f xml:space="preserve"> 'WK2013'!GM56</f>
        <v>0.78180723492318083</v>
      </c>
      <c r="CN46" s="50">
        <f xml:space="preserve"> 'WK2014'!EG56</f>
        <v>2154.7144103999999</v>
      </c>
      <c r="CO46" s="50">
        <f xml:space="preserve"> 'WK2014'!EH56</f>
        <v>3005.8384308000004</v>
      </c>
      <c r="CP46" s="50">
        <f xml:space="preserve"> 'WK2014'!EK56</f>
        <v>2163.2079924248319</v>
      </c>
      <c r="CQ46" s="50">
        <f xml:space="preserve"> 'WK2014'!EL56</f>
        <v>2990.5295862248327</v>
      </c>
      <c r="CR46" s="50">
        <f xml:space="preserve"> 'WK2014'!EM56</f>
        <v>2188.4523265983426</v>
      </c>
      <c r="CS46" s="50">
        <f xml:space="preserve"> 'WK2014'!EN56</f>
        <v>3015.7739203983429</v>
      </c>
      <c r="CT46" s="61">
        <f xml:space="preserve"> 'WK2014'!EI56</f>
        <v>0.79127544942373063</v>
      </c>
      <c r="CV46" s="50">
        <f xml:space="preserve"> 'WK2014'!EU56</f>
        <v>1662.5316516</v>
      </c>
      <c r="CW46" s="50">
        <f xml:space="preserve"> 'WK2014'!EV56</f>
        <v>2313.7716122000002</v>
      </c>
      <c r="CX46" s="50">
        <f xml:space="preserve"> 'WK2014'!EY56</f>
        <v>1676.4904365214707</v>
      </c>
      <c r="CY46" s="50">
        <f xml:space="preserve"> 'WK2014'!EZ56</f>
        <v>2303.818304221471</v>
      </c>
      <c r="CZ46" s="50">
        <f xml:space="preserve"> 'WK2014'!FA56</f>
        <v>1698.5796854719499</v>
      </c>
      <c r="DA46" s="50">
        <f xml:space="preserve"> 'WK2014'!FB56</f>
        <v>2325.9075531719504</v>
      </c>
      <c r="DB46" s="61">
        <f xml:space="preserve"> 'WK2014'!EW56</f>
        <v>0.78097293980858995</v>
      </c>
      <c r="DC46" s="1"/>
      <c r="DD46" s="50">
        <f xml:space="preserve"> 'WK2014'!FI56</f>
        <v>1291.8012288000002</v>
      </c>
      <c r="DE46" s="50">
        <f xml:space="preserve"> 'WK2014'!FJ56</f>
        <v>1948.5941880000003</v>
      </c>
      <c r="DF46" s="50">
        <f xml:space="preserve"> 'WK2014'!FM56</f>
        <v>1297.8753205417966</v>
      </c>
      <c r="DG46" s="50">
        <f xml:space="preserve"> 'WK2014'!FN56</f>
        <v>1944.2750015417964</v>
      </c>
      <c r="DH46" s="50">
        <f xml:space="preserve"> 'WK2014'!FO56</f>
        <v>1315.6849439785599</v>
      </c>
      <c r="DI46" s="50">
        <f xml:space="preserve"> 'WK2014'!FP56</f>
        <v>1962.0846249785595</v>
      </c>
      <c r="DJ46" s="61">
        <f xml:space="preserve"> 'WK2014'!FK56</f>
        <v>0.77534672666665128</v>
      </c>
      <c r="DK46" s="1"/>
      <c r="DL46" s="50">
        <f xml:space="preserve"> 'WK2014'!FW56</f>
        <v>445.25853840000002</v>
      </c>
      <c r="DM46" s="50">
        <f xml:space="preserve"> 'WK2014'!FX56</f>
        <v>580.27010880000012</v>
      </c>
      <c r="DN46" s="50">
        <f xml:space="preserve"> 'WK2014'!GA56</f>
        <v>445.32799741920348</v>
      </c>
      <c r="DO46" s="50">
        <f xml:space="preserve"> 'WK2014'!GB56</f>
        <v>580.21713721920355</v>
      </c>
      <c r="DP46" s="50">
        <f xml:space="preserve"> 'WK2014'!GC56</f>
        <v>445.31007710581378</v>
      </c>
      <c r="DQ46" s="50">
        <f xml:space="preserve"> 'WK2014'!GD56</f>
        <v>580.19921690581384</v>
      </c>
      <c r="DR46" s="61">
        <f xml:space="preserve"> 'WK2014'!FY56</f>
        <v>0.78557022728889236</v>
      </c>
      <c r="DS46" s="1"/>
      <c r="DT46" s="50">
        <f xml:space="preserve"> 'WK2014'!GK56</f>
        <v>122.23850399999999</v>
      </c>
      <c r="DU46" s="50">
        <f xml:space="preserve"> 'WK2014'!GL56</f>
        <v>146.8572375</v>
      </c>
      <c r="DV46" s="50">
        <f xml:space="preserve"> 'WK2014'!GO56</f>
        <v>124.82255305947916</v>
      </c>
      <c r="DW46" s="50">
        <f xml:space="preserve"> 'WK2014'!GP56</f>
        <v>144.64544530947916</v>
      </c>
      <c r="DX46" s="50">
        <f xml:space="preserve"> 'WK2014'!GQ56</f>
        <v>127.20573754310385</v>
      </c>
      <c r="DY46" s="50">
        <f xml:space="preserve"> 'WK2014'!GR56</f>
        <v>147.02862979310385</v>
      </c>
      <c r="DZ46" s="61">
        <f xml:space="preserve"> 'WK2014'!GM56</f>
        <v>0.78207382818408466</v>
      </c>
      <c r="ED46" s="50">
        <f xml:space="preserve"> 'WK2015'!EG56</f>
        <v>2107.6518885999999</v>
      </c>
      <c r="EE46" s="50">
        <f xml:space="preserve"> 'WK2015'!EH56</f>
        <v>2894.1823015999998</v>
      </c>
      <c r="EF46" s="50">
        <f xml:space="preserve"> 'WK2015'!EK56</f>
        <v>2118.0183212258712</v>
      </c>
      <c r="EG46" s="50">
        <f xml:space="preserve"> 'WK2015'!EL56</f>
        <v>2876.4431690258716</v>
      </c>
      <c r="EH46" s="50">
        <f xml:space="preserve"> 'WK2015'!EM56</f>
        <v>2148.4303140114148</v>
      </c>
      <c r="EI46" s="50">
        <f xml:space="preserve"> 'WK2015'!EN56</f>
        <v>2906.8551618114147</v>
      </c>
      <c r="EJ46" s="61">
        <f xml:space="preserve"> 'WK2015'!EI56</f>
        <v>0.78809670946975818</v>
      </c>
      <c r="EK46" s="1"/>
      <c r="EL46" s="50">
        <f xml:space="preserve"> 'WK2015'!EU56</f>
        <v>1651.8795358999998</v>
      </c>
      <c r="EM46" s="50">
        <f xml:space="preserve"> 'WK2015'!EV56</f>
        <v>2243.7378889000001</v>
      </c>
      <c r="EN46" s="50">
        <f xml:space="preserve"> 'WK2015'!EY56</f>
        <v>1667.6632620822099</v>
      </c>
      <c r="EO46" s="50">
        <f xml:space="preserve"> 'WK2015'!EZ56</f>
        <v>2232.11255678221</v>
      </c>
      <c r="EP46" s="50">
        <f xml:space="preserve"> 'WK2015'!FA56</f>
        <v>1688.753548784025</v>
      </c>
      <c r="EQ46" s="50">
        <f xml:space="preserve"> 'WK2015'!FB56</f>
        <v>2253.2028434840249</v>
      </c>
      <c r="ER46" s="61">
        <f xml:space="preserve"> 'WK2015'!EW56</f>
        <v>0.78145489649969846</v>
      </c>
      <c r="ES46" s="1"/>
      <c r="ET46" s="50">
        <f xml:space="preserve"> 'WK2015'!FI56</f>
        <v>1335.5373042000001</v>
      </c>
      <c r="EU46" s="50">
        <f xml:space="preserve"> 'WK2015'!FJ56</f>
        <v>2003.1765420000004</v>
      </c>
      <c r="EV46" s="50">
        <f xml:space="preserve"> 'WK2015'!FM56</f>
        <v>1344.858518534523</v>
      </c>
      <c r="EW46" s="50">
        <f xml:space="preserve"> 'WK2015'!FN56</f>
        <v>1997.1172255345234</v>
      </c>
      <c r="EX46" s="50">
        <f xml:space="preserve"> 'WK2015'!FO56</f>
        <v>1360.0549093037532</v>
      </c>
      <c r="EY46" s="50">
        <f xml:space="preserve"> 'WK2015'!FP56</f>
        <v>2012.3136163037534</v>
      </c>
      <c r="EZ46" s="61">
        <f xml:space="preserve"> 'WK2015'!FK56</f>
        <v>0.77257878927310919</v>
      </c>
      <c r="FA46" s="1"/>
      <c r="FB46" s="50">
        <f xml:space="preserve"> 'WK2015'!FW56</f>
        <v>432.31033360000004</v>
      </c>
      <c r="FC46" s="50">
        <f xml:space="preserve"> 'WK2015'!FX56</f>
        <v>553.72049159999995</v>
      </c>
      <c r="FD46" s="50">
        <f xml:space="preserve"> 'WK2015'!GA56</f>
        <v>432.38030567374585</v>
      </c>
      <c r="FE46" s="50">
        <f xml:space="preserve"> 'WK2015'!GB56</f>
        <v>553.66597647374579</v>
      </c>
      <c r="FF46" s="50">
        <f xml:space="preserve"> 'WK2015'!GC56</f>
        <v>432.3631202700771</v>
      </c>
      <c r="FG46" s="50">
        <f xml:space="preserve"> 'WK2015'!GD56</f>
        <v>553.6487910700771</v>
      </c>
      <c r="FH46" s="61">
        <f xml:space="preserve"> 'WK2015'!FY56</f>
        <v>0.78622010242262774</v>
      </c>
      <c r="FI46" s="1"/>
      <c r="FJ46" s="50">
        <f xml:space="preserve"> 'WK2015'!GK56</f>
        <v>121.70312550000003</v>
      </c>
      <c r="FK46" s="50">
        <f xml:space="preserve"> 'WK2015'!GL56</f>
        <v>184.19310750000002</v>
      </c>
      <c r="FL46" s="50">
        <f xml:space="preserve"> 'WK2015'!GO56</f>
        <v>125.54224711485088</v>
      </c>
      <c r="FM46" s="50">
        <f xml:space="preserve"> 'WK2015'!GP56</f>
        <v>181.16167111485089</v>
      </c>
      <c r="FN46" s="50">
        <f xml:space="preserve"> 'WK2015'!GQ56</f>
        <v>127.0027714725996</v>
      </c>
      <c r="FO46" s="50">
        <f xml:space="preserve"> 'WK2015'!GR56</f>
        <v>182.62219547259969</v>
      </c>
      <c r="FP46" s="61">
        <f xml:space="preserve"> 'WK2015'!GM56</f>
        <v>0.77696885461785459</v>
      </c>
      <c r="FS46" s="283">
        <f xml:space="preserve"> 'WK2015'!H56</f>
        <v>1190.7172949999999</v>
      </c>
      <c r="FT46" s="283">
        <f xml:space="preserve"> 'WK2015'!I56</f>
        <v>1769.9277859999997</v>
      </c>
      <c r="FU46" s="283">
        <f xml:space="preserve"> 'WK2015'!L56</f>
        <v>1193.7482592936824</v>
      </c>
      <c r="FV46" s="283">
        <f xml:space="preserve"> 'WK2015'!M56</f>
        <v>1758.4146422936822</v>
      </c>
      <c r="FW46" s="283">
        <f xml:space="preserve"> 'WK2015'!N56</f>
        <v>1213.0136881656183</v>
      </c>
      <c r="FX46" s="283">
        <f xml:space="preserve"> 'WK2015'!O56</f>
        <v>1777.6800711656181</v>
      </c>
      <c r="FY46" s="284">
        <f xml:space="preserve"> 'WK2015'!P56</f>
        <v>0.79160191235635979</v>
      </c>
      <c r="GA46" s="283">
        <f xml:space="preserve"> 'WK2015'!HB56</f>
        <v>825.78206699999998</v>
      </c>
      <c r="GB46" s="283">
        <f xml:space="preserve"> 'WK2015'!HC56</f>
        <v>1337.7144119999998</v>
      </c>
      <c r="GC46" s="283">
        <f xml:space="preserve"> 'WK2015'!HF56</f>
        <v>829.01563183823896</v>
      </c>
      <c r="GD46" s="283">
        <f xml:space="preserve"> 'WK2015'!HG56</f>
        <v>1328.246672838239</v>
      </c>
      <c r="GE46" s="283">
        <f xml:space="preserve"> 'WK2015'!HH56</f>
        <v>840.60746054956985</v>
      </c>
      <c r="GF46" s="283">
        <f xml:space="preserve"> 'WK2015'!HI56</f>
        <v>1339.8385015495699</v>
      </c>
      <c r="GG46" s="284">
        <f xml:space="preserve"> 'WK2015'!HJ56</f>
        <v>0.74541473550754989</v>
      </c>
      <c r="GI46" s="283">
        <f xml:space="preserve"> 'WK2015'!HQ56</f>
        <v>682.58543499999996</v>
      </c>
      <c r="GJ46" s="283">
        <f xml:space="preserve"> 'WK2015'!HR56</f>
        <v>877.20198299999993</v>
      </c>
      <c r="GK46" s="283">
        <f xml:space="preserve"> 'WK2015'!HU56</f>
        <v>690.03869847298176</v>
      </c>
      <c r="GL46" s="283">
        <f xml:space="preserve"> 'WK2015'!HV56</f>
        <v>849.18363947298178</v>
      </c>
      <c r="GM46" s="283">
        <f xml:space="preserve"> 'WK2015'!HW56</f>
        <v>685.59048352670288</v>
      </c>
      <c r="GN46" s="283">
        <f xml:space="preserve"> 'WK2015'!HX56</f>
        <v>844.7354245267029</v>
      </c>
      <c r="GO46" s="284">
        <f xml:space="preserve"> 'WK2015'!HY56</f>
        <v>0.78988086237587651</v>
      </c>
    </row>
    <row r="47" spans="1:197" x14ac:dyDescent="0.2">
      <c r="A47" s="3">
        <f>Basis!A47</f>
        <v>47</v>
      </c>
      <c r="D47" s="252" t="e">
        <v>#N/A</v>
      </c>
      <c r="E47" s="252" t="e">
        <v>#N/A</v>
      </c>
      <c r="H47" s="50">
        <f xml:space="preserve"> 'WK2012'!EG57</f>
        <v>2065.223047590815</v>
      </c>
      <c r="I47" s="50">
        <f xml:space="preserve"> 'WK2012'!EH57</f>
        <v>3446.0155858111643</v>
      </c>
      <c r="J47" s="50">
        <f xml:space="preserve"> 'WK2012'!EK57</f>
        <v>2073.8161249017453</v>
      </c>
      <c r="K47" s="50">
        <f xml:space="preserve"> 'WK2012'!EL57</f>
        <v>3440.870298168561</v>
      </c>
      <c r="L47" s="50">
        <f xml:space="preserve"> 'WK2012'!EM57</f>
        <v>2110.3036787074097</v>
      </c>
      <c r="M47" s="50">
        <f xml:space="preserve"> 'WK2012'!EN57</f>
        <v>3477.3578519742255</v>
      </c>
      <c r="N47" s="61">
        <f xml:space="preserve"> 'WK2012'!EI57</f>
        <v>0.77871170755496633</v>
      </c>
      <c r="P47" s="50">
        <f xml:space="preserve"> 'WK2012'!EU57</f>
        <v>1762.3625756419433</v>
      </c>
      <c r="Q47" s="50">
        <f xml:space="preserve"> 'WK2012'!EV57</f>
        <v>2771.4418054301141</v>
      </c>
      <c r="R47" s="50">
        <f xml:space="preserve"> 'WK2012'!EY57</f>
        <v>1770.3939372684529</v>
      </c>
      <c r="S47" s="50">
        <f xml:space="preserve"> 'WK2012'!EZ57</f>
        <v>2765.5950707059887</v>
      </c>
      <c r="T47" s="50">
        <f xml:space="preserve"> 'WK2012'!FA57</f>
        <v>1798.4312515055531</v>
      </c>
      <c r="U47" s="50">
        <f xml:space="preserve"> 'WK2012'!FB57</f>
        <v>2793.6323849430892</v>
      </c>
      <c r="V47" s="61">
        <f xml:space="preserve"> 'WK2012'!EW57</f>
        <v>0.77832000817665259</v>
      </c>
      <c r="X47" s="50">
        <f xml:space="preserve"> 'WK2012'!FI57</f>
        <v>1012.3275418749439</v>
      </c>
      <c r="Y47" s="50">
        <f xml:space="preserve"> 'WK2012'!FJ57</f>
        <v>1651.1637457188792</v>
      </c>
      <c r="Z47" s="50">
        <f xml:space="preserve"> 'WK2012'!FM57</f>
        <v>1013.2055899563193</v>
      </c>
      <c r="AA47" s="50">
        <f xml:space="preserve"> 'WK2012'!FN57</f>
        <v>1650.3940042212953</v>
      </c>
      <c r="AB47" s="50">
        <f xml:space="preserve"> 'WK2012'!FO57</f>
        <v>1035.665947664859</v>
      </c>
      <c r="AC47" s="50">
        <f xml:space="preserve"> 'WK2012'!FP57</f>
        <v>1672.8543619298352</v>
      </c>
      <c r="AD47" s="61">
        <f xml:space="preserve"> 'WK2012'!FK57</f>
        <v>0.77150882221339989</v>
      </c>
      <c r="AF47" s="50">
        <f xml:space="preserve"> 'WK2012'!FW57</f>
        <v>113.12521100156123</v>
      </c>
      <c r="AG47" s="50">
        <f xml:space="preserve"> 'WK2012'!FX57</f>
        <v>140.33533733112955</v>
      </c>
      <c r="AH47" s="50">
        <f xml:space="preserve"> 'WK2012'!GA57</f>
        <v>114.17421879014583</v>
      </c>
      <c r="AI47" s="50">
        <f xml:space="preserve"> 'WK2012'!GB57</f>
        <v>139.4561692547752</v>
      </c>
      <c r="AJ47" s="50">
        <f xml:space="preserve"> 'WK2012'!GC57</f>
        <v>117.04747590302975</v>
      </c>
      <c r="AK47" s="50">
        <f xml:space="preserve"> 'WK2012'!GD57</f>
        <v>142.32942636765915</v>
      </c>
      <c r="AL47" s="61">
        <f xml:space="preserve"> 'WK2012'!FY57</f>
        <v>0.77612691086194552</v>
      </c>
      <c r="AN47" s="50">
        <f xml:space="preserve"> 'WK2012'!GK57</f>
        <v>384.0671567729803</v>
      </c>
      <c r="AO47" s="50">
        <f xml:space="preserve"> 'WK2012'!GL57</f>
        <v>492.6216958796856</v>
      </c>
      <c r="AP47" s="50">
        <f xml:space="preserve"> 'WK2012'!GO57</f>
        <v>384.1662993481483</v>
      </c>
      <c r="AQ47" s="50">
        <f xml:space="preserve"> 'WK2012'!GP57</f>
        <v>492.54256739756215</v>
      </c>
      <c r="AR47" s="50">
        <f xml:space="preserve"> 'WK2012'!GQ57</f>
        <v>384.70190467928307</v>
      </c>
      <c r="AS47" s="50">
        <f xml:space="preserve"> 'WK2012'!GR57</f>
        <v>493.07817272869693</v>
      </c>
      <c r="AT47" s="61">
        <f xml:space="preserve"> 'WK2012'!GM57</f>
        <v>0.7761570360208071</v>
      </c>
      <c r="AX47" s="50">
        <f xml:space="preserve"> 'WK2013'!EG57</f>
        <v>2205.9111869999997</v>
      </c>
      <c r="AY47" s="50">
        <f xml:space="preserve"> 'WK2013'!EH57</f>
        <v>3030.3651201999996</v>
      </c>
      <c r="AZ47" s="50">
        <f xml:space="preserve"> 'WK2013'!EK57</f>
        <v>2209.9471745086585</v>
      </c>
      <c r="BA47" s="50">
        <f xml:space="preserve"> 'WK2013'!EL57</f>
        <v>3024.4762337086586</v>
      </c>
      <c r="BB47" s="50">
        <f xml:space="preserve"> 'WK2013'!EM57</f>
        <v>2249.111501295843</v>
      </c>
      <c r="BC47" s="50">
        <f xml:space="preserve"> 'WK2013'!EN57</f>
        <v>3063.6405604958436</v>
      </c>
      <c r="BD47" s="61">
        <f xml:space="preserve"> 'WK2013'!EI57</f>
        <v>0.7686135017985829</v>
      </c>
      <c r="BF47" s="50">
        <f xml:space="preserve"> 'WK2013'!EU57</f>
        <v>1738.7855399999999</v>
      </c>
      <c r="BG47" s="50">
        <f xml:space="preserve"> 'WK2013'!EV57</f>
        <v>2391.2366217999997</v>
      </c>
      <c r="BH47" s="50">
        <f xml:space="preserve"> 'WK2013'!EY57</f>
        <v>1746.4868859954247</v>
      </c>
      <c r="BI47" s="50">
        <f xml:space="preserve"> 'WK2013'!EZ57</f>
        <v>2385.935923795425</v>
      </c>
      <c r="BJ47" s="50">
        <f xml:space="preserve"> 'WK2013'!FA57</f>
        <v>1774.3722258623234</v>
      </c>
      <c r="BK47" s="50">
        <f xml:space="preserve"> 'WK2013'!FB57</f>
        <v>2413.8212636623239</v>
      </c>
      <c r="BL47" s="61">
        <f xml:space="preserve"> 'WK2013'!EW57</f>
        <v>0.77766980863586699</v>
      </c>
      <c r="BN47" s="50">
        <f xml:space="preserve"> 'WK2013'!FI57</f>
        <v>1264.3078926000001</v>
      </c>
      <c r="BO47" s="50">
        <f xml:space="preserve"> 'WK2013'!FJ57</f>
        <v>1957.3501998000002</v>
      </c>
      <c r="BP47" s="50">
        <f xml:space="preserve"> 'WK2013'!FM57</f>
        <v>1265.3686338875787</v>
      </c>
      <c r="BQ47" s="50">
        <f xml:space="preserve"> 'WK2013'!FN57</f>
        <v>1956.3457402875788</v>
      </c>
      <c r="BR47" s="50">
        <f xml:space="preserve"> 'WK2013'!FO57</f>
        <v>1292.131724830087</v>
      </c>
      <c r="BS47" s="50">
        <f xml:space="preserve"> 'WK2013'!FP57</f>
        <v>1983.1088312300869</v>
      </c>
      <c r="BT47" s="61">
        <f xml:space="preserve"> 'WK2013'!FK57</f>
        <v>0.76997051775884096</v>
      </c>
      <c r="BV47" s="50">
        <f xml:space="preserve"> 'WK2013'!FW57</f>
        <v>466.004007</v>
      </c>
      <c r="BW47" s="50">
        <f xml:space="preserve"> 'WK2013'!FX57</f>
        <v>609.10881119999999</v>
      </c>
      <c r="BX47" s="50">
        <f xml:space="preserve"> 'WK2013'!GA57</f>
        <v>466.05110248762594</v>
      </c>
      <c r="BY47" s="50">
        <f xml:space="preserve"> 'WK2013'!GB57</f>
        <v>609.07294668762597</v>
      </c>
      <c r="BZ47" s="50">
        <f xml:space="preserve"> 'WK2013'!GC57</f>
        <v>466.05725211479978</v>
      </c>
      <c r="CA47" s="50">
        <f xml:space="preserve"> 'WK2013'!GD57</f>
        <v>609.07909631479993</v>
      </c>
      <c r="CB47" s="61">
        <f xml:space="preserve"> 'WK2013'!FY57</f>
        <v>0.7806331976960198</v>
      </c>
      <c r="CD47" s="50">
        <f xml:space="preserve"> 'WK2013'!GK57</f>
        <v>125.60771700000002</v>
      </c>
      <c r="CE47" s="50">
        <f xml:space="preserve"> 'WK2013'!GL57</f>
        <v>156.43434674999992</v>
      </c>
      <c r="CF47" s="50">
        <f xml:space="preserve"> 'WK2013'!GO57</f>
        <v>126.73043673041838</v>
      </c>
      <c r="CG47" s="50">
        <f xml:space="preserve"> 'WK2013'!GP57</f>
        <v>155.46690648041823</v>
      </c>
      <c r="CH47" s="50">
        <f xml:space="preserve"> 'WK2013'!GQ57</f>
        <v>129.92331419691871</v>
      </c>
      <c r="CI47" s="50">
        <f xml:space="preserve"> 'WK2013'!GR57</f>
        <v>158.65978394691859</v>
      </c>
      <c r="CJ47" s="61">
        <f xml:space="preserve"> 'WK2013'!GM57</f>
        <v>0.77815135940603963</v>
      </c>
      <c r="CN47" s="50">
        <f xml:space="preserve"> 'WK2014'!EG57</f>
        <v>2242.3673855999996</v>
      </c>
      <c r="CO47" s="50">
        <f xml:space="preserve"> 'WK2014'!EH57</f>
        <v>3071.3906488000002</v>
      </c>
      <c r="CP47" s="50">
        <f xml:space="preserve"> 'WK2014'!EK57</f>
        <v>2247.3278351434074</v>
      </c>
      <c r="CQ47" s="50">
        <f xml:space="preserve"> 'WK2014'!EL57</f>
        <v>3063.0689733434074</v>
      </c>
      <c r="CR47" s="50">
        <f xml:space="preserve"> 'WK2014'!EM57</f>
        <v>2276.1053017983427</v>
      </c>
      <c r="CS47" s="50">
        <f xml:space="preserve"> 'WK2014'!EN57</f>
        <v>3091.8464399983432</v>
      </c>
      <c r="CT47" s="61">
        <f xml:space="preserve"> 'WK2014'!EI57</f>
        <v>0.79048565101258794</v>
      </c>
      <c r="CV47" s="50">
        <f xml:space="preserve"> 'WK2014'!EU57</f>
        <v>1735.2664113999997</v>
      </c>
      <c r="CW47" s="50">
        <f xml:space="preserve"> 'WK2014'!EV57</f>
        <v>2378.4596682000001</v>
      </c>
      <c r="CX47" s="50">
        <f xml:space="preserve"> 'WK2014'!EY57</f>
        <v>1743.046283477008</v>
      </c>
      <c r="CY47" s="50">
        <f xml:space="preserve"> 'WK2014'!EZ57</f>
        <v>2373.0481117770082</v>
      </c>
      <c r="CZ47" s="50">
        <f xml:space="preserve"> 'WK2014'!FA57</f>
        <v>1771.3144452719498</v>
      </c>
      <c r="DA47" s="50">
        <f xml:space="preserve"> 'WK2014'!FB57</f>
        <v>2401.3162735719502</v>
      </c>
      <c r="DB47" s="61">
        <f xml:space="preserve"> 'WK2014'!EW57</f>
        <v>0.78105637325939814</v>
      </c>
      <c r="DC47" s="1"/>
      <c r="DD47" s="50">
        <f xml:space="preserve"> 'WK2014'!FI57</f>
        <v>1326.1648983999999</v>
      </c>
      <c r="DE47" s="50">
        <f xml:space="preserve"> 'WK2014'!FJ57</f>
        <v>2003.2262352</v>
      </c>
      <c r="DF47" s="50">
        <f xml:space="preserve"> 'WK2014'!FM57</f>
        <v>1327.2654791160217</v>
      </c>
      <c r="DG47" s="50">
        <f xml:space="preserve"> 'WK2014'!FN57</f>
        <v>2002.2163623160218</v>
      </c>
      <c r="DH47" s="50">
        <f xml:space="preserve"> 'WK2014'!FO57</f>
        <v>1350.0486135785598</v>
      </c>
      <c r="DI47" s="50">
        <f xml:space="preserve"> 'WK2014'!FP57</f>
        <v>2024.9994967785599</v>
      </c>
      <c r="DJ47" s="61">
        <f xml:space="preserve"> 'WK2014'!FK57</f>
        <v>0.77367239307914382</v>
      </c>
      <c r="DK47" s="1"/>
      <c r="DL47" s="50">
        <f xml:space="preserve"> 'WK2014'!FW57</f>
        <v>457.28133359999998</v>
      </c>
      <c r="DM47" s="50">
        <f xml:space="preserve"> 'WK2014'!FX57</f>
        <v>595.69535680000013</v>
      </c>
      <c r="DN47" s="50">
        <f xml:space="preserve"> 'WK2014'!GA57</f>
        <v>457.33426477546186</v>
      </c>
      <c r="DO47" s="50">
        <f xml:space="preserve"> 'WK2014'!GB57</f>
        <v>595.65506297546199</v>
      </c>
      <c r="DP47" s="50">
        <f xml:space="preserve"> 'WK2014'!GC57</f>
        <v>457.33287230581379</v>
      </c>
      <c r="DQ47" s="50">
        <f xml:space="preserve"> 'WK2014'!GD57</f>
        <v>595.65367050581381</v>
      </c>
      <c r="DR47" s="61">
        <f xml:space="preserve"> 'WK2014'!FY57</f>
        <v>0.78553652322073397</v>
      </c>
      <c r="DS47" s="1"/>
      <c r="DT47" s="50">
        <f xml:space="preserve"> 'WK2014'!GK57</f>
        <v>132.21809699999994</v>
      </c>
      <c r="DU47" s="50">
        <f xml:space="preserve"> 'WK2014'!GL57</f>
        <v>151.392033</v>
      </c>
      <c r="DV47" s="50">
        <f xml:space="preserve"> 'WK2014'!GO57</f>
        <v>134.27869186445838</v>
      </c>
      <c r="DW47" s="50">
        <f xml:space="preserve"> 'WK2014'!GP57</f>
        <v>149.53803886445843</v>
      </c>
      <c r="DX47" s="50">
        <f xml:space="preserve"> 'WK2014'!GQ57</f>
        <v>137.18533054310382</v>
      </c>
      <c r="DY47" s="50">
        <f xml:space="preserve"> 'WK2014'!GR57</f>
        <v>152.44467754310386</v>
      </c>
      <c r="DZ47" s="61">
        <f xml:space="preserve"> 'WK2014'!GM57</f>
        <v>0.78108776888752252</v>
      </c>
      <c r="ED47" s="50">
        <f xml:space="preserve"> 'WK2015'!EG57</f>
        <v>2191.1091281999998</v>
      </c>
      <c r="EE47" s="50">
        <f xml:space="preserve"> 'WK2015'!EH57</f>
        <v>2945.8320044000002</v>
      </c>
      <c r="EF47" s="50">
        <f xml:space="preserve"> 'WK2015'!EK57</f>
        <v>2197.3544079545286</v>
      </c>
      <c r="EG47" s="50">
        <f xml:space="preserve"> 'WK2015'!EL57</f>
        <v>2935.5128271545291</v>
      </c>
      <c r="EH47" s="50">
        <f xml:space="preserve"> 'WK2015'!EM57</f>
        <v>2231.8875536114151</v>
      </c>
      <c r="EI47" s="50">
        <f xml:space="preserve"> 'WK2015'!EN57</f>
        <v>2970.0459728114151</v>
      </c>
      <c r="EJ47" s="61">
        <f xml:space="preserve"> 'WK2015'!EI57</f>
        <v>0.78743350114807031</v>
      </c>
      <c r="EK47" s="1"/>
      <c r="EL47" s="50">
        <f xml:space="preserve"> 'WK2015'!EU57</f>
        <v>1729.9981363000002</v>
      </c>
      <c r="EM47" s="50">
        <f xml:space="preserve"> 'WK2015'!EV57</f>
        <v>2316.9696040999997</v>
      </c>
      <c r="EN47" s="50">
        <f xml:space="preserve"> 'WK2015'!EY57</f>
        <v>1739.5202814683994</v>
      </c>
      <c r="EO47" s="50">
        <f xml:space="preserve"> 'WK2015'!EZ57</f>
        <v>2310.1317632683995</v>
      </c>
      <c r="EP47" s="50">
        <f xml:space="preserve"> 'WK2015'!FA57</f>
        <v>1766.8721491840251</v>
      </c>
      <c r="EQ47" s="50">
        <f xml:space="preserve"> 'WK2015'!FB57</f>
        <v>2337.4836309840252</v>
      </c>
      <c r="ER47" s="61">
        <f xml:space="preserve"> 'WK2015'!EW57</f>
        <v>0.78157038851897842</v>
      </c>
      <c r="ES47" s="1"/>
      <c r="ET47" s="50">
        <f xml:space="preserve"> 'WK2015'!FI57</f>
        <v>1396.6185882</v>
      </c>
      <c r="EU47" s="50">
        <f xml:space="preserve"> 'WK2015'!FJ57</f>
        <v>2062.5365514</v>
      </c>
      <c r="EV47" s="50">
        <f xml:space="preserve"> 'WK2015'!FM57</f>
        <v>1401.9077862402264</v>
      </c>
      <c r="EW47" s="50">
        <f xml:space="preserve"> 'WK2015'!FN57</f>
        <v>2058.7120212402265</v>
      </c>
      <c r="EX47" s="50">
        <f xml:space="preserve"> 'WK2015'!FO57</f>
        <v>1421.1361933037533</v>
      </c>
      <c r="EY47" s="50">
        <f xml:space="preserve"> 'WK2015'!FP57</f>
        <v>2077.9404283037529</v>
      </c>
      <c r="EZ47" s="61">
        <f xml:space="preserve"> 'WK2015'!FK57</f>
        <v>0.77516813675899843</v>
      </c>
      <c r="FA47" s="1"/>
      <c r="FB47" s="50">
        <f xml:space="preserve"> 'WK2015'!FW57</f>
        <v>444.40578320000003</v>
      </c>
      <c r="FC47" s="50">
        <f xml:space="preserve"> 'WK2015'!FX57</f>
        <v>567.9074184000001</v>
      </c>
      <c r="FD47" s="50">
        <f xml:space="preserve"> 'WK2015'!GA57</f>
        <v>444.4581163157153</v>
      </c>
      <c r="FE47" s="50">
        <f xml:space="preserve"> 'WK2015'!GB57</f>
        <v>567.86659751571528</v>
      </c>
      <c r="FF47" s="50">
        <f xml:space="preserve"> 'WK2015'!GC57</f>
        <v>444.4585698700771</v>
      </c>
      <c r="FG47" s="50">
        <f xml:space="preserve"> 'WK2015'!GD57</f>
        <v>567.8670510700772</v>
      </c>
      <c r="FH47" s="61">
        <f xml:space="preserve"> 'WK2015'!FY57</f>
        <v>0.7859275232279912</v>
      </c>
      <c r="FI47" s="1"/>
      <c r="FJ47" s="50">
        <f xml:space="preserve"> 'WK2015'!GK57</f>
        <v>128.10562874999999</v>
      </c>
      <c r="FK47" s="50">
        <f xml:space="preserve"> 'WK2015'!GL57</f>
        <v>186.98105925000004</v>
      </c>
      <c r="FL47" s="50">
        <f xml:space="preserve"> 'WK2015'!GO57</f>
        <v>130.11489301277919</v>
      </c>
      <c r="FM47" s="50">
        <f xml:space="preserve"> 'WK2015'!GP57</f>
        <v>185.41513501277927</v>
      </c>
      <c r="FN47" s="50">
        <f xml:space="preserve"> 'WK2015'!GQ57</f>
        <v>133.40527472259961</v>
      </c>
      <c r="FO47" s="50">
        <f xml:space="preserve"> 'WK2015'!GR57</f>
        <v>188.7055167225997</v>
      </c>
      <c r="FP47" s="61">
        <f xml:space="preserve"> 'WK2015'!GM57</f>
        <v>0.77810532321085335</v>
      </c>
      <c r="FS47" s="283">
        <f xml:space="preserve"> 'WK2015'!H57</f>
        <v>1232.3562999999999</v>
      </c>
      <c r="FT47" s="283">
        <f xml:space="preserve"> 'WK2015'!I57</f>
        <v>1794.7929019999999</v>
      </c>
      <c r="FU47" s="283">
        <f xml:space="preserve"> 'WK2015'!L57</f>
        <v>1233.9995225543996</v>
      </c>
      <c r="FV47" s="283">
        <f xml:space="preserve"> 'WK2015'!M57</f>
        <v>1788.5275965543997</v>
      </c>
      <c r="FW47" s="283">
        <f xml:space="preserve"> 'WK2015'!N57</f>
        <v>1254.6526931656183</v>
      </c>
      <c r="FX47" s="283">
        <f xml:space="preserve"> 'WK2015'!O57</f>
        <v>1809.1807671656184</v>
      </c>
      <c r="FY47" s="284">
        <f xml:space="preserve"> 'WK2015'!P57</f>
        <v>0.79222144065246636</v>
      </c>
      <c r="GA47" s="283">
        <f xml:space="preserve"> 'WK2015'!HB57</f>
        <v>850.60872899999993</v>
      </c>
      <c r="GB47" s="283">
        <f xml:space="preserve"> 'WK2015'!HC57</f>
        <v>1370.0302899999997</v>
      </c>
      <c r="GC47" s="283">
        <f xml:space="preserve"> 'WK2015'!HF57</f>
        <v>852.31972782607795</v>
      </c>
      <c r="GD47" s="283">
        <f xml:space="preserve"> 'WK2015'!HG57</f>
        <v>1364.9283288260776</v>
      </c>
      <c r="GE47" s="283">
        <f xml:space="preserve"> 'WK2015'!HH57</f>
        <v>865.43412254956979</v>
      </c>
      <c r="GF47" s="283">
        <f xml:space="preserve"> 'WK2015'!HI57</f>
        <v>1378.0427235495697</v>
      </c>
      <c r="GG47" s="284">
        <f xml:space="preserve"> 'WK2015'!HJ57</f>
        <v>0.74886116664738966</v>
      </c>
      <c r="GI47" s="283">
        <f xml:space="preserve"> 'WK2015'!HQ57</f>
        <v>709.75274999999999</v>
      </c>
      <c r="GJ47" s="283">
        <f xml:space="preserve"> 'WK2015'!HR57</f>
        <v>898.68416400000001</v>
      </c>
      <c r="GK47" s="283">
        <f xml:space="preserve"> 'WK2015'!HU57</f>
        <v>714.11558115178582</v>
      </c>
      <c r="GL47" s="283">
        <f xml:space="preserve"> 'WK2015'!HV57</f>
        <v>879.59394215178588</v>
      </c>
      <c r="GM47" s="283">
        <f xml:space="preserve"> 'WK2015'!HW57</f>
        <v>712.75779852670291</v>
      </c>
      <c r="GN47" s="283">
        <f xml:space="preserve"> 'WK2015'!HX57</f>
        <v>878.23615952670298</v>
      </c>
      <c r="GO47" s="284">
        <f xml:space="preserve"> 'WK2015'!HY57</f>
        <v>0.81397598206997412</v>
      </c>
    </row>
    <row r="48" spans="1:197" x14ac:dyDescent="0.2">
      <c r="A48" s="3">
        <f>Basis!A48</f>
        <v>48</v>
      </c>
      <c r="D48" s="252" t="e">
        <v>#N/A</v>
      </c>
      <c r="E48" s="252" t="e">
        <v>#N/A</v>
      </c>
      <c r="H48" s="50">
        <f xml:space="preserve"> 'WK2012'!EG58</f>
        <v>2160.9061540713983</v>
      </c>
      <c r="I48" s="50">
        <f xml:space="preserve"> 'WK2012'!EH58</f>
        <v>3533.5203598662247</v>
      </c>
      <c r="J48" s="50">
        <f xml:space="preserve"> 'WK2012'!EK58</f>
        <v>2166.1826492282503</v>
      </c>
      <c r="K48" s="50">
        <f xml:space="preserve"> 'WK2012'!EL58</f>
        <v>3530.1821618978533</v>
      </c>
      <c r="L48" s="50">
        <f xml:space="preserve"> 'WK2012'!EM58</f>
        <v>2205.9867851879931</v>
      </c>
      <c r="M48" s="50">
        <f xml:space="preserve"> 'WK2012'!EN58</f>
        <v>3569.9862978575966</v>
      </c>
      <c r="N48" s="61">
        <f xml:space="preserve"> 'WK2012'!EI58</f>
        <v>0.77457223177007894</v>
      </c>
      <c r="P48" s="50">
        <f xml:space="preserve"> 'WK2012'!EU58</f>
        <v>1861.0470614979774</v>
      </c>
      <c r="Q48" s="50">
        <f xml:space="preserve"> 'WK2012'!EV58</f>
        <v>2854.4412324439832</v>
      </c>
      <c r="R48" s="50">
        <f xml:space="preserve"> 'WK2012'!EY58</f>
        <v>1865.4971864271206</v>
      </c>
      <c r="S48" s="50">
        <f xml:space="preserve"> 'WK2012'!EZ58</f>
        <v>2850.4502913252563</v>
      </c>
      <c r="T48" s="50">
        <f xml:space="preserve"> 'WK2012'!FA58</f>
        <v>1897.1157373615872</v>
      </c>
      <c r="U48" s="50">
        <f xml:space="preserve"> 'WK2012'!FB58</f>
        <v>2882.0688422597227</v>
      </c>
      <c r="V48" s="61">
        <f xml:space="preserve"> 'WK2012'!EW58</f>
        <v>0.77445399099507206</v>
      </c>
      <c r="X48" s="50">
        <f xml:space="preserve"> 'WK2012'!FI58</f>
        <v>1072.6013425889087</v>
      </c>
      <c r="Y48" s="50">
        <f xml:space="preserve"> 'WK2012'!FJ58</f>
        <v>1723.1381165062051</v>
      </c>
      <c r="Z48" s="50">
        <f xml:space="preserve"> 'WK2012'!FM58</f>
        <v>1072.9847930424642</v>
      </c>
      <c r="AA48" s="50">
        <f xml:space="preserve"> 'WK2012'!FN58</f>
        <v>1722.7963474913422</v>
      </c>
      <c r="AB48" s="50">
        <f xml:space="preserve"> 'WK2012'!FO58</f>
        <v>1095.9397483788239</v>
      </c>
      <c r="AC48" s="50">
        <f xml:space="preserve"> 'WK2012'!FP58</f>
        <v>1745.7513028277017</v>
      </c>
      <c r="AD48" s="61">
        <f xml:space="preserve"> 'WK2012'!FK58</f>
        <v>0.7682989412160447</v>
      </c>
      <c r="AF48" s="50">
        <f xml:space="preserve"> 'WK2012'!FW58</f>
        <v>116.90921303873647</v>
      </c>
      <c r="AG48" s="50">
        <f xml:space="preserve"> 'WK2012'!FX58</f>
        <v>148.19557721518629</v>
      </c>
      <c r="AH48" s="50">
        <f xml:space="preserve"> 'WK2012'!GA58</f>
        <v>118.00478485776331</v>
      </c>
      <c r="AI48" s="50">
        <f xml:space="preserve"> 'WK2012'!GB58</f>
        <v>147.2571181884868</v>
      </c>
      <c r="AJ48" s="50">
        <f xml:space="preserve"> 'WK2012'!GC58</f>
        <v>120.83147794020502</v>
      </c>
      <c r="AK48" s="50">
        <f xml:space="preserve"> 'WK2012'!GD58</f>
        <v>150.08381127092852</v>
      </c>
      <c r="AL48" s="61">
        <f xml:space="preserve"> 'WK2012'!FY58</f>
        <v>0.76883487480386103</v>
      </c>
      <c r="AN48" s="50">
        <f xml:space="preserve"> 'WK2012'!GK58</f>
        <v>393.99820277915524</v>
      </c>
      <c r="AO48" s="50">
        <f xml:space="preserve"> 'WK2012'!GL58</f>
        <v>501.9262820948918</v>
      </c>
      <c r="AP48" s="50">
        <f xml:space="preserve"> 'WK2012'!GO58</f>
        <v>394.08000684574949</v>
      </c>
      <c r="AQ48" s="50">
        <f xml:space="preserve"> 'WK2012'!GP58</f>
        <v>501.86087085437464</v>
      </c>
      <c r="AR48" s="50">
        <f xml:space="preserve"> 'WK2012'!GQ58</f>
        <v>394.63295068545801</v>
      </c>
      <c r="AS48" s="50">
        <f xml:space="preserve"> 'WK2012'!GR58</f>
        <v>502.41381469408304</v>
      </c>
      <c r="AT48" s="61">
        <f xml:space="preserve"> 'WK2012'!GM58</f>
        <v>0.77367585847664067</v>
      </c>
      <c r="AX48" s="50">
        <f xml:space="preserve"> 'WK2013'!EG58</f>
        <v>2304.0706220000002</v>
      </c>
      <c r="AY48" s="50">
        <f xml:space="preserve"> 'WK2013'!EH58</f>
        <v>3117.8742950000001</v>
      </c>
      <c r="AZ48" s="50">
        <f xml:space="preserve"> 'WK2013'!EK58</f>
        <v>2306.8751146802833</v>
      </c>
      <c r="BA48" s="50">
        <f xml:space="preserve"> 'WK2013'!EL58</f>
        <v>3113.7157386802837</v>
      </c>
      <c r="BB48" s="50">
        <f xml:space="preserve"> 'WK2013'!EM58</f>
        <v>2347.2709362958431</v>
      </c>
      <c r="BC48" s="50">
        <f xml:space="preserve"> 'WK2013'!EN58</f>
        <v>3154.1115602958434</v>
      </c>
      <c r="BD48" s="61">
        <f xml:space="preserve"> 'WK2013'!EI58</f>
        <v>0.76700507463515433</v>
      </c>
      <c r="BF48" s="50">
        <f xml:space="preserve"> 'WK2013'!EU58</f>
        <v>1820.7127205000002</v>
      </c>
      <c r="BG48" s="50">
        <f xml:space="preserve"> 'WK2013'!EV58</f>
        <v>2478.7632329999997</v>
      </c>
      <c r="BH48" s="50">
        <f xml:space="preserve"> 'WK2013'!EY58</f>
        <v>1825.6321193086817</v>
      </c>
      <c r="BI48" s="50">
        <f xml:space="preserve"> 'WK2013'!EZ58</f>
        <v>2475.4991773086822</v>
      </c>
      <c r="BJ48" s="50">
        <f xml:space="preserve"> 'WK2013'!FA58</f>
        <v>1856.2994063623235</v>
      </c>
      <c r="BK48" s="50">
        <f xml:space="preserve"> 'WK2013'!FB58</f>
        <v>2506.1664643623235</v>
      </c>
      <c r="BL48" s="61">
        <f xml:space="preserve"> 'WK2013'!EW58</f>
        <v>0.77710683934558744</v>
      </c>
      <c r="BN48" s="50">
        <f xml:space="preserve"> 'WK2013'!FI58</f>
        <v>1321.508658</v>
      </c>
      <c r="BO48" s="50">
        <f xml:space="preserve"> 'WK2013'!FJ58</f>
        <v>2016.9784232</v>
      </c>
      <c r="BP48" s="50">
        <f xml:space="preserve"> 'WK2013'!FM58</f>
        <v>1321.9541675850958</v>
      </c>
      <c r="BQ48" s="50">
        <f xml:space="preserve"> 'WK2013'!FN58</f>
        <v>2016.5456051850961</v>
      </c>
      <c r="BR48" s="50">
        <f xml:space="preserve"> 'WK2013'!FO58</f>
        <v>1349.3324902300872</v>
      </c>
      <c r="BS48" s="50">
        <f xml:space="preserve"> 'WK2013'!FP58</f>
        <v>2043.9239278300872</v>
      </c>
      <c r="BT48" s="61">
        <f xml:space="preserve"> 'WK2013'!FK58</f>
        <v>0.76808817976654831</v>
      </c>
      <c r="BV48" s="50">
        <f xml:space="preserve"> 'WK2013'!FW58</f>
        <v>480.110209</v>
      </c>
      <c r="BW48" s="50">
        <f xml:space="preserve"> 'WK2013'!FX58</f>
        <v>626.79631999999992</v>
      </c>
      <c r="BX48" s="50">
        <f xml:space="preserve"> 'WK2013'!GA58</f>
        <v>480.14648612000371</v>
      </c>
      <c r="BY48" s="50">
        <f xml:space="preserve"> 'WK2013'!GB58</f>
        <v>626.76865712000358</v>
      </c>
      <c r="BZ48" s="50">
        <f xml:space="preserve"> 'WK2013'!GC58</f>
        <v>480.16345411479983</v>
      </c>
      <c r="CA48" s="50">
        <f xml:space="preserve"> 'WK2013'!GD58</f>
        <v>626.78562511479981</v>
      </c>
      <c r="CB48" s="61">
        <f xml:space="preserve"> 'WK2013'!FY58</f>
        <v>0.78028778054316372</v>
      </c>
      <c r="CD48" s="50">
        <f xml:space="preserve"> 'WK2013'!GK58</f>
        <v>135.71469824999997</v>
      </c>
      <c r="CE48" s="50">
        <f xml:space="preserve"> 'WK2013'!GL58</f>
        <v>165.22746749999999</v>
      </c>
      <c r="CF48" s="50">
        <f xml:space="preserve"> 'WK2013'!GO58</f>
        <v>136.66071373826509</v>
      </c>
      <c r="CG48" s="50">
        <f xml:space="preserve"> 'WK2013'!GP58</f>
        <v>164.3703074882651</v>
      </c>
      <c r="CH48" s="50">
        <f xml:space="preserve"> 'WK2013'!GQ58</f>
        <v>140.03029544691867</v>
      </c>
      <c r="CI48" s="50">
        <f xml:space="preserve"> 'WK2013'!GR58</f>
        <v>167.73988919691868</v>
      </c>
      <c r="CJ48" s="61">
        <f xml:space="preserve"> 'WK2013'!GM58</f>
        <v>0.77664031868797601</v>
      </c>
      <c r="CN48" s="50">
        <f xml:space="preserve"> 'WK2014'!EG58</f>
        <v>2339.4427219999998</v>
      </c>
      <c r="CO48" s="50">
        <f xml:space="preserve"> 'WK2014'!EH58</f>
        <v>3154.9984568</v>
      </c>
      <c r="CP48" s="50">
        <f xml:space="preserve"> 'WK2014'!EK58</f>
        <v>2343.0013865805226</v>
      </c>
      <c r="CQ48" s="50">
        <f xml:space="preserve"> 'WK2014'!EL58</f>
        <v>3149.6601521805223</v>
      </c>
      <c r="CR48" s="50">
        <f xml:space="preserve"> 'WK2014'!EM58</f>
        <v>2373.1806381983429</v>
      </c>
      <c r="CS48" s="50">
        <f xml:space="preserve"> 'WK2014'!EN58</f>
        <v>3179.8394037983426</v>
      </c>
      <c r="CT48" s="61">
        <f xml:space="preserve"> 'WK2014'!EI58</f>
        <v>0.78658446040636976</v>
      </c>
      <c r="CV48" s="50">
        <f xml:space="preserve"> 'WK2014'!EU58</f>
        <v>1817.1406664999997</v>
      </c>
      <c r="CW48" s="50">
        <f xml:space="preserve"> 'WK2014'!EV58</f>
        <v>2461.1904172</v>
      </c>
      <c r="CX48" s="50">
        <f xml:space="preserve"> 'WK2014'!EY58</f>
        <v>1822.4236421094736</v>
      </c>
      <c r="CY48" s="50">
        <f xml:space="preserve"> 'WK2014'!EZ58</f>
        <v>2457.6718470094734</v>
      </c>
      <c r="CZ48" s="50">
        <f xml:space="preserve"> 'WK2014'!FA58</f>
        <v>1853.1887003719498</v>
      </c>
      <c r="DA48" s="50">
        <f xml:space="preserve"> 'WK2014'!FB58</f>
        <v>2488.4369052719503</v>
      </c>
      <c r="DB48" s="61">
        <f xml:space="preserve"> 'WK2014'!EW58</f>
        <v>0.77737381191327359</v>
      </c>
      <c r="DC48" s="1"/>
      <c r="DD48" s="50">
        <f xml:space="preserve"> 'WK2014'!FI58</f>
        <v>1369.9661135999997</v>
      </c>
      <c r="DE48" s="50">
        <f xml:space="preserve"> 'WK2014'!FJ58</f>
        <v>2069.4229624</v>
      </c>
      <c r="DF48" s="50">
        <f xml:space="preserve"> 'WK2014'!FM58</f>
        <v>1370.3339065747555</v>
      </c>
      <c r="DG48" s="50">
        <f xml:space="preserve"> 'WK2014'!FN58</f>
        <v>2069.0789921747555</v>
      </c>
      <c r="DH48" s="50">
        <f xml:space="preserve"> 'WK2014'!FO58</f>
        <v>1393.8498287785596</v>
      </c>
      <c r="DI48" s="50">
        <f xml:space="preserve"> 'WK2014'!FP58</f>
        <v>2092.5949143785597</v>
      </c>
      <c r="DJ48" s="61">
        <f xml:space="preserve"> 'WK2014'!FK58</f>
        <v>0.77116542864282489</v>
      </c>
      <c r="DK48" s="1"/>
      <c r="DL48" s="50">
        <f xml:space="preserve"> 'WK2014'!FW58</f>
        <v>470.49321600000002</v>
      </c>
      <c r="DM48" s="50">
        <f xml:space="preserve"> 'WK2014'!FX58</f>
        <v>612.60606880000012</v>
      </c>
      <c r="DN48" s="50">
        <f xml:space="preserve"> 'WK2014'!GA58</f>
        <v>470.53511062511552</v>
      </c>
      <c r="DO48" s="50">
        <f xml:space="preserve"> 'WK2014'!GB58</f>
        <v>612.5741682251155</v>
      </c>
      <c r="DP48" s="50">
        <f xml:space="preserve"> 'WK2014'!GC58</f>
        <v>470.54475470581383</v>
      </c>
      <c r="DQ48" s="50">
        <f xml:space="preserve"> 'WK2014'!GD58</f>
        <v>612.58381230581381</v>
      </c>
      <c r="DR48" s="61">
        <f xml:space="preserve"> 'WK2014'!FY58</f>
        <v>0.78131052500327125</v>
      </c>
      <c r="DS48" s="1"/>
      <c r="DT48" s="50">
        <f xml:space="preserve"> 'WK2014'!GK58</f>
        <v>144.34248600000006</v>
      </c>
      <c r="DU48" s="50">
        <f xml:space="preserve"> 'WK2014'!GL58</f>
        <v>160.10249699999997</v>
      </c>
      <c r="DV48" s="50">
        <f xml:space="preserve"> 'WK2014'!GO58</f>
        <v>146.27686861151631</v>
      </c>
      <c r="DW48" s="50">
        <f xml:space="preserve"> 'WK2014'!GP58</f>
        <v>158.29881436151624</v>
      </c>
      <c r="DX48" s="50">
        <f xml:space="preserve"> 'WK2014'!GQ58</f>
        <v>149.30971954310394</v>
      </c>
      <c r="DY48" s="50">
        <f xml:space="preserve"> 'WK2014'!GR58</f>
        <v>161.33166529310387</v>
      </c>
      <c r="DZ48" s="61">
        <f xml:space="preserve"> 'WK2014'!GM58</f>
        <v>0.77819038596982892</v>
      </c>
      <c r="ED48" s="50">
        <f xml:space="preserve"> 'WK2015'!EG58</f>
        <v>2283.7457238000002</v>
      </c>
      <c r="EE48" s="50">
        <f xml:space="preserve"> 'WK2015'!EH58</f>
        <v>3013.6418451999994</v>
      </c>
      <c r="EF48" s="50">
        <f xml:space="preserve"> 'WK2015'!EK58</f>
        <v>2288.1574320066711</v>
      </c>
      <c r="EG48" s="50">
        <f xml:space="preserve"> 'WK2015'!EL58</f>
        <v>3006.4825036066713</v>
      </c>
      <c r="EH48" s="50">
        <f xml:space="preserve"> 'WK2015'!EM58</f>
        <v>2324.5241492114151</v>
      </c>
      <c r="EI48" s="50">
        <f xml:space="preserve"> 'WK2015'!EN58</f>
        <v>3042.8492208114149</v>
      </c>
      <c r="EJ48" s="61">
        <f xml:space="preserve"> 'WK2015'!EI58</f>
        <v>0.78658406527766389</v>
      </c>
      <c r="EK48" s="1"/>
      <c r="EL48" s="50">
        <f xml:space="preserve"> 'WK2015'!EU58</f>
        <v>1816.9270207000002</v>
      </c>
      <c r="EM48" s="50">
        <f xml:space="preserve"> 'WK2015'!EV58</f>
        <v>2407.7541793</v>
      </c>
      <c r="EN48" s="50">
        <f xml:space="preserve"> 'WK2015'!EY58</f>
        <v>1823.5193528431157</v>
      </c>
      <c r="EO48" s="50">
        <f xml:space="preserve"> 'WK2015'!EZ58</f>
        <v>2403.1522082431161</v>
      </c>
      <c r="EP48" s="50">
        <f xml:space="preserve"> 'WK2015'!FA58</f>
        <v>1853.8010335840249</v>
      </c>
      <c r="EQ48" s="50">
        <f xml:space="preserve"> 'WK2015'!FB58</f>
        <v>2433.4338889840255</v>
      </c>
      <c r="ER48" s="61">
        <f xml:space="preserve"> 'WK2015'!EW58</f>
        <v>0.78093786895057149</v>
      </c>
      <c r="ES48" s="1"/>
      <c r="ET48" s="50">
        <f xml:space="preserve"> 'WK2015'!FI58</f>
        <v>1462.5325434000001</v>
      </c>
      <c r="EU48" s="50">
        <f xml:space="preserve"> 'WK2015'!FJ58</f>
        <v>2133.6465721999998</v>
      </c>
      <c r="EV48" s="50">
        <f xml:space="preserve"> 'WK2015'!FM58</f>
        <v>1465.3886379073435</v>
      </c>
      <c r="EW48" s="50">
        <f xml:space="preserve"> 'WK2015'!FN58</f>
        <v>2131.4759457073433</v>
      </c>
      <c r="EX48" s="50">
        <f xml:space="preserve"> 'WK2015'!FO58</f>
        <v>1487.0501485037535</v>
      </c>
      <c r="EY48" s="50">
        <f xml:space="preserve"> 'WK2015'!FP58</f>
        <v>2153.137456303753</v>
      </c>
      <c r="EZ48" s="61">
        <f xml:space="preserve"> 'WK2015'!FK58</f>
        <v>0.77295853796708547</v>
      </c>
      <c r="FA48" s="1"/>
      <c r="FB48" s="50">
        <f xml:space="preserve"> 'WK2015'!FW58</f>
        <v>457.47892880000001</v>
      </c>
      <c r="FC48" s="50">
        <f xml:space="preserve"> 'WK2015'!FX58</f>
        <v>583.68663119999997</v>
      </c>
      <c r="FD48" s="50">
        <f xml:space="preserve"> 'WK2015'!GA58</f>
        <v>457.51964177226233</v>
      </c>
      <c r="FE48" s="50">
        <f xml:space="preserve"> 'WK2015'!GB58</f>
        <v>583.65482937226238</v>
      </c>
      <c r="FF48" s="50">
        <f xml:space="preserve"> 'WK2015'!GC58</f>
        <v>457.53171547007707</v>
      </c>
      <c r="FG48" s="50">
        <f xml:space="preserve"> 'WK2015'!GD58</f>
        <v>583.66690307007707</v>
      </c>
      <c r="FH48" s="61">
        <f xml:space="preserve"> 'WK2015'!FY58</f>
        <v>0.78533907473901576</v>
      </c>
      <c r="FI48" s="1"/>
      <c r="FJ48" s="50">
        <f xml:space="preserve"> 'WK2015'!GK58</f>
        <v>135.74868524999994</v>
      </c>
      <c r="FK48" s="50">
        <f xml:space="preserve"> 'WK2015'!GL58</f>
        <v>192.18567900000005</v>
      </c>
      <c r="FL48" s="50">
        <f xml:space="preserve"> 'WK2015'!GO58</f>
        <v>137.35323688283054</v>
      </c>
      <c r="FM48" s="50">
        <f xml:space="preserve"> 'WK2015'!GP58</f>
        <v>190.85192113283065</v>
      </c>
      <c r="FN48" s="50">
        <f xml:space="preserve"> 'WK2015'!GQ58</f>
        <v>141.04833122259959</v>
      </c>
      <c r="FO48" s="50">
        <f xml:space="preserve"> 'WK2015'!GR58</f>
        <v>194.54701547259958</v>
      </c>
      <c r="FP48" s="61">
        <f xml:space="preserve"> 'WK2015'!GM58</f>
        <v>0.77667002577966271</v>
      </c>
      <c r="FS48" s="283">
        <f xml:space="preserve"> 'WK2015'!H58</f>
        <v>1278.0504100000001</v>
      </c>
      <c r="FT48" s="283">
        <f xml:space="preserve"> 'WK2015'!I58</f>
        <v>1828.4869359999998</v>
      </c>
      <c r="FU48" s="283">
        <f xml:space="preserve"> 'WK2015'!L58</f>
        <v>1279.1546732342183</v>
      </c>
      <c r="FV48" s="283">
        <f xml:space="preserve"> 'WK2015'!M58</f>
        <v>1824.336903234218</v>
      </c>
      <c r="FW48" s="283">
        <f xml:space="preserve"> 'WK2015'!N58</f>
        <v>1300.3468031656184</v>
      </c>
      <c r="FX48" s="283">
        <f xml:space="preserve"> 'WK2015'!O58</f>
        <v>1845.5290331656181</v>
      </c>
      <c r="FY48" s="284">
        <f xml:space="preserve"> 'WK2015'!P58</f>
        <v>0.78983611996388003</v>
      </c>
      <c r="GA48" s="283">
        <f xml:space="preserve"> 'WK2015'!HB58</f>
        <v>875.36971199999994</v>
      </c>
      <c r="GB48" s="283">
        <f xml:space="preserve"> 'WK2015'!HC58</f>
        <v>1411.307714</v>
      </c>
      <c r="GC48" s="283">
        <f xml:space="preserve"> 'WK2015'!HF58</f>
        <v>876.63574440734328</v>
      </c>
      <c r="GD48" s="283">
        <f xml:space="preserve"> 'WK2015'!HG58</f>
        <v>1407.2207064073434</v>
      </c>
      <c r="GE48" s="283">
        <f xml:space="preserve"> 'WK2015'!HH58</f>
        <v>890.1951055495698</v>
      </c>
      <c r="GF48" s="283">
        <f xml:space="preserve"> 'WK2015'!HI58</f>
        <v>1420.78006754957</v>
      </c>
      <c r="GG48" s="284">
        <f xml:space="preserve"> 'WK2015'!HJ58</f>
        <v>0.76349281766187016</v>
      </c>
      <c r="GI48" s="283">
        <f xml:space="preserve"> 'WK2015'!HQ58</f>
        <v>738.94033499999989</v>
      </c>
      <c r="GJ48" s="283">
        <f xml:space="preserve"> 'WK2015'!HR58</f>
        <v>926.37058499999989</v>
      </c>
      <c r="GK48" s="283">
        <f xml:space="preserve"> 'WK2015'!HU58</f>
        <v>741.49518875025467</v>
      </c>
      <c r="GL48" s="283">
        <f xml:space="preserve"> 'WK2015'!HV58</f>
        <v>914.93407675025469</v>
      </c>
      <c r="GM48" s="283">
        <f xml:space="preserve"> 'WK2015'!HW58</f>
        <v>741.94538352670281</v>
      </c>
      <c r="GN48" s="283">
        <f xml:space="preserve"> 'WK2015'!HX58</f>
        <v>915.38427152670283</v>
      </c>
      <c r="GO48" s="284">
        <f xml:space="preserve"> 'WK2015'!HY58</f>
        <v>0.81739778084115566</v>
      </c>
    </row>
    <row r="49" spans="1:197" x14ac:dyDescent="0.2">
      <c r="A49" s="3">
        <f>Basis!A49</f>
        <v>49</v>
      </c>
      <c r="D49" s="252" t="e">
        <v>#N/A</v>
      </c>
      <c r="E49" s="252" t="e">
        <v>#N/A</v>
      </c>
      <c r="H49" s="50">
        <f xml:space="preserve"> 'WK2012'!EG59</f>
        <v>2264.3919104031143</v>
      </c>
      <c r="I49" s="50">
        <f xml:space="preserve"> 'WK2012'!EH59</f>
        <v>3634.9540632265903</v>
      </c>
      <c r="J49" s="50">
        <f xml:space="preserve"> 'WK2012'!EK59</f>
        <v>2268.1315553834279</v>
      </c>
      <c r="K49" s="50">
        <f xml:space="preserve"> 'WK2012'!EL59</f>
        <v>3632.3941042249367</v>
      </c>
      <c r="L49" s="50">
        <f xml:space="preserve"> 'WK2012'!EM59</f>
        <v>2309.472541519709</v>
      </c>
      <c r="M49" s="50">
        <f xml:space="preserve"> 'WK2012'!EN59</f>
        <v>3673.7350903612178</v>
      </c>
      <c r="N49" s="61">
        <f xml:space="preserve"> 'WK2012'!EI59</f>
        <v>0.77088614538990663</v>
      </c>
      <c r="P49" s="50">
        <f xml:space="preserve"> 'WK2012'!EU59</f>
        <v>1961.2225879192333</v>
      </c>
      <c r="Q49" s="50">
        <f xml:space="preserve"> 'WK2012'!EV59</f>
        <v>2941.8952005678889</v>
      </c>
      <c r="R49" s="50">
        <f xml:space="preserve"> 'WK2012'!EY59</f>
        <v>1965.2752815277527</v>
      </c>
      <c r="S49" s="50">
        <f xml:space="preserve"> 'WK2012'!EZ59</f>
        <v>2938.2044982124071</v>
      </c>
      <c r="T49" s="50">
        <f xml:space="preserve"> 'WK2012'!FA59</f>
        <v>1997.2912637828433</v>
      </c>
      <c r="U49" s="50">
        <f xml:space="preserve"> 'WK2012'!FB59</f>
        <v>2970.2204804674975</v>
      </c>
      <c r="V49" s="61">
        <f xml:space="preserve"> 'WK2012'!EW59</f>
        <v>0.77192985100933031</v>
      </c>
      <c r="X49" s="50">
        <f xml:space="preserve"> 'WK2012'!FI59</f>
        <v>1143.6209922489527</v>
      </c>
      <c r="Y49" s="50">
        <f xml:space="preserve"> 'WK2012'!FJ59</f>
        <v>1802.5464900411662</v>
      </c>
      <c r="Z49" s="50">
        <f xml:space="preserve"> 'WK2012'!FM59</f>
        <v>1143.7849772817985</v>
      </c>
      <c r="AA49" s="50">
        <f xml:space="preserve"> 'WK2012'!FN59</f>
        <v>1802.3983404410762</v>
      </c>
      <c r="AB49" s="50">
        <f xml:space="preserve"> 'WK2012'!FO59</f>
        <v>1166.9593980388679</v>
      </c>
      <c r="AC49" s="50">
        <f xml:space="preserve"> 'WK2012'!FP59</f>
        <v>1825.5727611981456</v>
      </c>
      <c r="AD49" s="61">
        <f xml:space="preserve"> 'WK2012'!FK59</f>
        <v>0.76576323989933093</v>
      </c>
      <c r="AF49" s="50">
        <f xml:space="preserve"> 'WK2012'!FW59</f>
        <v>116.0875413215085</v>
      </c>
      <c r="AG49" s="50">
        <f xml:space="preserve"> 'WK2012'!FX59</f>
        <v>157.23914171525166</v>
      </c>
      <c r="AH49" s="50">
        <f xml:space="preserve"> 'WK2012'!GA59</f>
        <v>117.37378691048259</v>
      </c>
      <c r="AI49" s="50">
        <f xml:space="preserve"> 'WK2012'!GB59</f>
        <v>156.12082603664467</v>
      </c>
      <c r="AJ49" s="50">
        <f xml:space="preserve"> 'WK2012'!GC59</f>
        <v>120.00980622297705</v>
      </c>
      <c r="AK49" s="50">
        <f xml:space="preserve"> 'WK2012'!GD59</f>
        <v>158.75684534913913</v>
      </c>
      <c r="AL49" s="61">
        <f xml:space="preserve"> 'WK2012'!FY59</f>
        <v>0.76712829393561766</v>
      </c>
      <c r="AN49" s="50">
        <f xml:space="preserve"> 'WK2012'!GK59</f>
        <v>404.24013570749651</v>
      </c>
      <c r="AO49" s="50">
        <f xml:space="preserve"> 'WK2012'!GL59</f>
        <v>512.54434925259488</v>
      </c>
      <c r="AP49" s="50">
        <f xml:space="preserve"> 'WK2012'!GO59</f>
        <v>404.31079526618095</v>
      </c>
      <c r="AQ49" s="50">
        <f xml:space="preserve"> 'WK2012'!GP59</f>
        <v>512.48807337813037</v>
      </c>
      <c r="AR49" s="50">
        <f xml:space="preserve"> 'WK2012'!GQ59</f>
        <v>404.87488361379928</v>
      </c>
      <c r="AS49" s="50">
        <f xml:space="preserve"> 'WK2012'!GR59</f>
        <v>513.05216172574865</v>
      </c>
      <c r="AT49" s="61">
        <f xml:space="preserve"> 'WK2012'!GM59</f>
        <v>0.77064093707592196</v>
      </c>
      <c r="AX49" s="50">
        <f xml:space="preserve"> 'WK2013'!EG59</f>
        <v>2413.40841</v>
      </c>
      <c r="AY49" s="50">
        <f xml:space="preserve"> 'WK2013'!EH59</f>
        <v>3218.5702928000001</v>
      </c>
      <c r="AZ49" s="50">
        <f xml:space="preserve"> 'WK2013'!EK59</f>
        <v>2415.6693168665888</v>
      </c>
      <c r="BA49" s="50">
        <f xml:space="preserve"> 'WK2013'!EL59</f>
        <v>3215.253777666589</v>
      </c>
      <c r="BB49" s="50">
        <f xml:space="preserve"> 'WK2013'!EM59</f>
        <v>2456.6087242958429</v>
      </c>
      <c r="BC49" s="50">
        <f xml:space="preserve"> 'WK2013'!EN59</f>
        <v>3256.1931850958435</v>
      </c>
      <c r="BD49" s="61">
        <f xml:space="preserve"> 'WK2013'!EI59</f>
        <v>0.76202084670116632</v>
      </c>
      <c r="BF49" s="50">
        <f xml:space="preserve"> 'WK2013'!EU59</f>
        <v>1913.6704729999999</v>
      </c>
      <c r="BG49" s="50">
        <f xml:space="preserve"> 'WK2013'!EV59</f>
        <v>2582.9066751999999</v>
      </c>
      <c r="BH49" s="50">
        <f xml:space="preserve"> 'WK2013'!EY59</f>
        <v>1917.6613311225274</v>
      </c>
      <c r="BI49" s="50">
        <f xml:space="preserve"> 'WK2013'!EZ59</f>
        <v>2580.2760343225277</v>
      </c>
      <c r="BJ49" s="50">
        <f xml:space="preserve"> 'WK2013'!FA59</f>
        <v>1949.2571588623234</v>
      </c>
      <c r="BK49" s="50">
        <f xml:space="preserve"> 'WK2013'!FB59</f>
        <v>2611.8718620623235</v>
      </c>
      <c r="BL49" s="61">
        <f xml:space="preserve"> 'WK2013'!EW59</f>
        <v>0.77248124416497688</v>
      </c>
      <c r="BN49" s="50">
        <f xml:space="preserve"> 'WK2013'!FI59</f>
        <v>1388.6167222000001</v>
      </c>
      <c r="BO49" s="50">
        <f xml:space="preserve"> 'WK2013'!FJ59</f>
        <v>2083.5024571999998</v>
      </c>
      <c r="BP49" s="50">
        <f xml:space="preserve"> 'WK2013'!FM59</f>
        <v>1389.0312638153541</v>
      </c>
      <c r="BQ49" s="50">
        <f xml:space="preserve"> 'WK2013'!FN59</f>
        <v>2083.087577215354</v>
      </c>
      <c r="BR49" s="50">
        <f xml:space="preserve"> 'WK2013'!FO59</f>
        <v>1416.4405544300871</v>
      </c>
      <c r="BS49" s="50">
        <f xml:space="preserve"> 'WK2013'!FP59</f>
        <v>2110.496867830087</v>
      </c>
      <c r="BT49" s="61">
        <f xml:space="preserve"> 'WK2013'!FK59</f>
        <v>0.764485489666754</v>
      </c>
      <c r="BV49" s="50">
        <f xml:space="preserve"> 'WK2013'!FW59</f>
        <v>496.20152800000005</v>
      </c>
      <c r="BW49" s="50">
        <f xml:space="preserve"> 'WK2013'!FX59</f>
        <v>644.89837780000005</v>
      </c>
      <c r="BX49" s="50">
        <f xml:space="preserve"> 'WK2013'!GA59</f>
        <v>496.23144046580921</v>
      </c>
      <c r="BY49" s="50">
        <f xml:space="preserve"> 'WK2013'!GB59</f>
        <v>644.87541026580925</v>
      </c>
      <c r="BZ49" s="50">
        <f xml:space="preserve"> 'WK2013'!GC59</f>
        <v>496.25477311479983</v>
      </c>
      <c r="CA49" s="50">
        <f xml:space="preserve"> 'WK2013'!GD59</f>
        <v>644.89874291479987</v>
      </c>
      <c r="CB49" s="61">
        <f xml:space="preserve"> 'WK2013'!FY59</f>
        <v>0.77465273603287499</v>
      </c>
      <c r="CD49" s="50">
        <f xml:space="preserve"> 'WK2013'!GK59</f>
        <v>149.02810800000003</v>
      </c>
      <c r="CE49" s="50">
        <f xml:space="preserve"> 'WK2013'!GL59</f>
        <v>177.13058474999991</v>
      </c>
      <c r="CF49" s="50">
        <f xml:space="preserve"> 'WK2013'!GO59</f>
        <v>149.77265008349514</v>
      </c>
      <c r="CG49" s="50">
        <f xml:space="preserve"> 'WK2013'!GP59</f>
        <v>176.44259983349502</v>
      </c>
      <c r="CH49" s="50">
        <f xml:space="preserve"> 'WK2013'!GQ59</f>
        <v>153.34370519691873</v>
      </c>
      <c r="CI49" s="50">
        <f xml:space="preserve"> 'WK2013'!GR59</f>
        <v>180.01365494691859</v>
      </c>
      <c r="CJ49" s="61">
        <f xml:space="preserve"> 'WK2013'!GM59</f>
        <v>0.77206544072916117</v>
      </c>
      <c r="CN49" s="50">
        <f xml:space="preserve"> 'WK2014'!EG59</f>
        <v>2446.616348</v>
      </c>
      <c r="CO49" s="50">
        <f xml:space="preserve"> 'WK2014'!EH59</f>
        <v>3250.4658927999999</v>
      </c>
      <c r="CP49" s="50">
        <f xml:space="preserve"> 'WK2014'!EK59</f>
        <v>2449.5737275608608</v>
      </c>
      <c r="CQ49" s="50">
        <f xml:space="preserve"> 'WK2014'!EL59</f>
        <v>3246.348927160861</v>
      </c>
      <c r="CR49" s="50">
        <f xml:space="preserve"> 'WK2014'!EM59</f>
        <v>2480.3542641983422</v>
      </c>
      <c r="CS49" s="50">
        <f xml:space="preserve"> 'WK2014'!EN59</f>
        <v>3277.1294637983424</v>
      </c>
      <c r="CT49" s="61">
        <f xml:space="preserve"> 'WK2014'!EI59</f>
        <v>0.78523327576047197</v>
      </c>
      <c r="CV49" s="50">
        <f xml:space="preserve"> 'WK2014'!EU59</f>
        <v>1909.0338904999999</v>
      </c>
      <c r="CW49" s="50">
        <f xml:space="preserve"> 'WK2014'!EV59</f>
        <v>2560.8745641999994</v>
      </c>
      <c r="CX49" s="50">
        <f xml:space="preserve"> 'WK2014'!EY59</f>
        <v>1913.880330459232</v>
      </c>
      <c r="CY49" s="50">
        <f xml:space="preserve"> 'WK2014'!EZ59</f>
        <v>2557.6688813592318</v>
      </c>
      <c r="CZ49" s="50">
        <f xml:space="preserve"> 'WK2014'!FA59</f>
        <v>1945.0819243719502</v>
      </c>
      <c r="DA49" s="50">
        <f xml:space="preserve"> 'WK2014'!FB59</f>
        <v>2588.8704752719495</v>
      </c>
      <c r="DB49" s="61">
        <f xml:space="preserve"> 'WK2014'!EW59</f>
        <v>0.77638840109557261</v>
      </c>
      <c r="DC49" s="1"/>
      <c r="DD49" s="50">
        <f xml:space="preserve"> 'WK2014'!FI59</f>
        <v>1427.6338271999998</v>
      </c>
      <c r="DE49" s="50">
        <f xml:space="preserve"> 'WK2014'!FJ59</f>
        <v>2146.1216516</v>
      </c>
      <c r="DF49" s="50">
        <f xml:space="preserve"> 'WK2014'!FM59</f>
        <v>1427.9911711157374</v>
      </c>
      <c r="DG49" s="50">
        <f xml:space="preserve"> 'WK2014'!FN59</f>
        <v>2145.7761015157371</v>
      </c>
      <c r="DH49" s="50">
        <f xml:space="preserve"> 'WK2014'!FO59</f>
        <v>1451.5175423785597</v>
      </c>
      <c r="DI49" s="50">
        <f xml:space="preserve"> 'WK2014'!FP59</f>
        <v>2169.3024727785596</v>
      </c>
      <c r="DJ49" s="61">
        <f xml:space="preserve"> 'WK2014'!FK59</f>
        <v>0.76821697337995776</v>
      </c>
      <c r="DK49" s="1"/>
      <c r="DL49" s="50">
        <f xml:space="preserve"> 'WK2014'!FW59</f>
        <v>485.11456799999996</v>
      </c>
      <c r="DM49" s="50">
        <f xml:space="preserve"> 'WK2014'!FX59</f>
        <v>630.68939279999995</v>
      </c>
      <c r="DN49" s="50">
        <f xml:space="preserve"> 'WK2014'!GA59</f>
        <v>485.14969694606276</v>
      </c>
      <c r="DO49" s="50">
        <f xml:space="preserve"> 'WK2014'!GB59</f>
        <v>630.6625465460628</v>
      </c>
      <c r="DP49" s="50">
        <f xml:space="preserve"> 'WK2014'!GC59</f>
        <v>485.16610670581377</v>
      </c>
      <c r="DQ49" s="50">
        <f xml:space="preserve"> 'WK2014'!GD59</f>
        <v>630.6789563058137</v>
      </c>
      <c r="DR49" s="61">
        <f xml:space="preserve"> 'WK2014'!FY59</f>
        <v>0.78044189926667729</v>
      </c>
      <c r="DS49" s="1"/>
      <c r="DT49" s="50">
        <f xml:space="preserve"> 'WK2014'!GK59</f>
        <v>158.04549000000003</v>
      </c>
      <c r="DU49" s="50">
        <f xml:space="preserve"> 'WK2014'!GL59</f>
        <v>171.56238300000001</v>
      </c>
      <c r="DV49" s="50">
        <f xml:space="preserve"> 'WK2014'!GO59</f>
        <v>159.69309260010039</v>
      </c>
      <c r="DW49" s="50">
        <f xml:space="preserve"> 'WK2014'!GP59</f>
        <v>169.98400235010035</v>
      </c>
      <c r="DX49" s="50">
        <f xml:space="preserve"> 'WK2014'!GQ59</f>
        <v>163.01272354310387</v>
      </c>
      <c r="DY49" s="50">
        <f xml:space="preserve"> 'WK2014'!GR59</f>
        <v>173.30363329310387</v>
      </c>
      <c r="DZ49" s="61">
        <f xml:space="preserve"> 'WK2014'!GM59</f>
        <v>0.77561391166309512</v>
      </c>
      <c r="ED49" s="50">
        <f xml:space="preserve"> 'WK2015'!EG59</f>
        <v>2385.4135584000001</v>
      </c>
      <c r="EE49" s="50">
        <f xml:space="preserve"> 'WK2015'!EH59</f>
        <v>3093.0791429999999</v>
      </c>
      <c r="EF49" s="50">
        <f xml:space="preserve"> 'WK2015'!EK59</f>
        <v>2389.0541964916338</v>
      </c>
      <c r="EG49" s="50">
        <f xml:space="preserve"> 'WK2015'!EL59</f>
        <v>3087.0245244916341</v>
      </c>
      <c r="EH49" s="50">
        <f xml:space="preserve"> 'WK2015'!EM59</f>
        <v>2426.191983811415</v>
      </c>
      <c r="EI49" s="50">
        <f xml:space="preserve"> 'WK2015'!EN59</f>
        <v>3124.1623118114153</v>
      </c>
      <c r="EJ49" s="61">
        <f xml:space="preserve"> 'WK2015'!EI59</f>
        <v>0.78216813960710863</v>
      </c>
      <c r="EK49" s="1"/>
      <c r="EL49" s="50">
        <f xml:space="preserve"> 'WK2015'!EU59</f>
        <v>1912.3634125999999</v>
      </c>
      <c r="EM49" s="50">
        <f xml:space="preserve"> 'WK2015'!EV59</f>
        <v>2513.2741125000002</v>
      </c>
      <c r="EN49" s="50">
        <f xml:space="preserve"> 'WK2015'!EY59</f>
        <v>1917.9183070567487</v>
      </c>
      <c r="EO49" s="50">
        <f xml:space="preserve"> 'WK2015'!EZ59</f>
        <v>2509.4047250567487</v>
      </c>
      <c r="EP49" s="50">
        <f xml:space="preserve"> 'WK2015'!FA59</f>
        <v>1949.2374254840252</v>
      </c>
      <c r="EQ49" s="50">
        <f xml:space="preserve"> 'WK2015'!FB59</f>
        <v>2540.7238434840256</v>
      </c>
      <c r="ER49" s="61">
        <f xml:space="preserve"> 'WK2015'!EW59</f>
        <v>0.77762471867965677</v>
      </c>
      <c r="ES49" s="1"/>
      <c r="ET49" s="50">
        <f xml:space="preserve"> 'WK2015'!FI59</f>
        <v>1535.1384072000001</v>
      </c>
      <c r="EU49" s="50">
        <f xml:space="preserve"> 'WK2015'!FJ59</f>
        <v>2215.7825029999999</v>
      </c>
      <c r="EV49" s="50">
        <f xml:space="preserve"> 'WK2015'!FM59</f>
        <v>1536.6100563991345</v>
      </c>
      <c r="EW49" s="50">
        <f xml:space="preserve"> 'WK2015'!FN59</f>
        <v>2214.8002875991342</v>
      </c>
      <c r="EX49" s="50">
        <f xml:space="preserve"> 'WK2015'!FO59</f>
        <v>1559.6560123037534</v>
      </c>
      <c r="EY49" s="50">
        <f xml:space="preserve"> 'WK2015'!FP59</f>
        <v>2237.8462435037532</v>
      </c>
      <c r="EZ49" s="61">
        <f xml:space="preserve"> 'WK2015'!FK59</f>
        <v>0.76879000486429472</v>
      </c>
      <c r="FA49" s="1"/>
      <c r="FB49" s="50">
        <f xml:space="preserve"> 'WK2015'!FW59</f>
        <v>471.98527840000003</v>
      </c>
      <c r="FC49" s="50">
        <f xml:space="preserve"> 'WK2015'!FX59</f>
        <v>600.89743799999997</v>
      </c>
      <c r="FD49" s="50">
        <f xml:space="preserve"> 'WK2015'!GA59</f>
        <v>472.01901494526476</v>
      </c>
      <c r="FE49" s="50">
        <f xml:space="preserve"> 'WK2015'!GB59</f>
        <v>600.87100094526477</v>
      </c>
      <c r="FF49" s="50">
        <f xml:space="preserve"> 'WK2015'!GC59</f>
        <v>472.0380650700771</v>
      </c>
      <c r="FG49" s="50">
        <f xml:space="preserve"> 'WK2015'!GD59</f>
        <v>600.89005107007711</v>
      </c>
      <c r="FH49" s="61">
        <f xml:space="preserve"> 'WK2015'!FY59</f>
        <v>0.78123536662068871</v>
      </c>
      <c r="FI49" s="1"/>
      <c r="FJ49" s="50">
        <f xml:space="preserve"> 'WK2015'!GK59</f>
        <v>144.63082574999999</v>
      </c>
      <c r="FK49" s="50">
        <f xml:space="preserve"> 'WK2015'!GL59</f>
        <v>198.71618550000002</v>
      </c>
      <c r="FL49" s="50">
        <f xml:space="preserve"> 'WK2015'!GO59</f>
        <v>146.38868814541297</v>
      </c>
      <c r="FM49" s="50">
        <f xml:space="preserve"> 'WK2015'!GP59</f>
        <v>197.09830314541301</v>
      </c>
      <c r="FN49" s="50">
        <f xml:space="preserve"> 'WK2015'!GQ59</f>
        <v>149.93047172259952</v>
      </c>
      <c r="FO49" s="50">
        <f xml:space="preserve"> 'WK2015'!GR59</f>
        <v>200.64008672259965</v>
      </c>
      <c r="FP49" s="61">
        <f xml:space="preserve"> 'WK2015'!GM59</f>
        <v>0.77265166552374087</v>
      </c>
      <c r="FS49" s="283">
        <f xml:space="preserve"> 'WK2015'!H59</f>
        <v>1327.997435</v>
      </c>
      <c r="FT49" s="283">
        <f xml:space="preserve"> 'WK2015'!I59</f>
        <v>1868.6675219999997</v>
      </c>
      <c r="FU49" s="283">
        <f xml:space="preserve"> 'WK2015'!L59</f>
        <v>1328.981759452116</v>
      </c>
      <c r="FV49" s="283">
        <f xml:space="preserve"> 'WK2015'!M59</f>
        <v>1865.1017344521158</v>
      </c>
      <c r="FW49" s="283">
        <f xml:space="preserve"> 'WK2015'!N59</f>
        <v>1350.2938281656184</v>
      </c>
      <c r="FX49" s="283">
        <f xml:space="preserve"> 'WK2015'!O59</f>
        <v>1886.4138031656182</v>
      </c>
      <c r="FY49" s="284">
        <f xml:space="preserve"> 'WK2015'!P59</f>
        <v>0.78367028061814259</v>
      </c>
      <c r="GA49" s="283">
        <f xml:space="preserve"> 'WK2015'!HB59</f>
        <v>902.62649699999997</v>
      </c>
      <c r="GB49" s="283">
        <f xml:space="preserve"> 'WK2015'!HC59</f>
        <v>1461.5466839999999</v>
      </c>
      <c r="GC49" s="283">
        <f xml:space="preserve"> 'WK2015'!HF59</f>
        <v>904.21346666424336</v>
      </c>
      <c r="GD49" s="283">
        <f xml:space="preserve"> 'WK2015'!HG59</f>
        <v>1456.8559976642434</v>
      </c>
      <c r="GE49" s="283">
        <f xml:space="preserve"> 'WK2015'!HH59</f>
        <v>917.45189054956984</v>
      </c>
      <c r="GF49" s="283">
        <f xml:space="preserve"> 'WK2015'!HI59</f>
        <v>1470.0944215495699</v>
      </c>
      <c r="GG49" s="284">
        <f xml:space="preserve"> 'WK2015'!HJ59</f>
        <v>0.74720346826212958</v>
      </c>
      <c r="GI49" s="283">
        <f xml:space="preserve"> 'WK2015'!HQ59</f>
        <v>771.26465500000006</v>
      </c>
      <c r="GJ49" s="283">
        <f xml:space="preserve"> 'WK2015'!HR59</f>
        <v>960.8816700000001</v>
      </c>
      <c r="GK49" s="283">
        <f xml:space="preserve"> 'WK2015'!HU59</f>
        <v>772.69015955816553</v>
      </c>
      <c r="GL49" s="283">
        <f xml:space="preserve"> 'WK2015'!HV59</f>
        <v>955.33745155816553</v>
      </c>
      <c r="GM49" s="283">
        <f xml:space="preserve"> 'WK2015'!HW59</f>
        <v>774.26970352670298</v>
      </c>
      <c r="GN49" s="283">
        <f xml:space="preserve"> 'WK2015'!HX59</f>
        <v>956.91699552670298</v>
      </c>
      <c r="GO49" s="284">
        <f xml:space="preserve"> 'WK2015'!HY59</f>
        <v>0.79547184900095669</v>
      </c>
    </row>
    <row r="50" spans="1:197" x14ac:dyDescent="0.2">
      <c r="A50" s="3">
        <f>Basis!A50</f>
        <v>50</v>
      </c>
      <c r="D50" s="252" t="e">
        <v>#N/A</v>
      </c>
      <c r="E50" s="252" t="e">
        <v>#N/A</v>
      </c>
      <c r="H50" s="50">
        <f xml:space="preserve"> 'WK2012'!EG60</f>
        <v>2371.0130618806043</v>
      </c>
      <c r="I50" s="50">
        <f xml:space="preserve"> 'WK2012'!EH60</f>
        <v>3740.9708731108167</v>
      </c>
      <c r="J50" s="50">
        <f xml:space="preserve"> 'WK2012'!EK60</f>
        <v>2372.8223028606872</v>
      </c>
      <c r="K50" s="50">
        <f xml:space="preserve"> 'WK2012'!EL60</f>
        <v>3739.3555035167988</v>
      </c>
      <c r="L50" s="50">
        <f xml:space="preserve"> 'WK2012'!EM60</f>
        <v>2416.0936929971995</v>
      </c>
      <c r="M50" s="50">
        <f xml:space="preserve"> 'WK2012'!EN60</f>
        <v>3782.6268936533111</v>
      </c>
      <c r="N50" s="61">
        <f xml:space="preserve"> 'WK2012'!EI60</f>
        <v>0.76632235942611171</v>
      </c>
      <c r="P50" s="50">
        <f xml:space="preserve"> 'WK2012'!EU60</f>
        <v>2062.3884939934146</v>
      </c>
      <c r="Q50" s="50">
        <f xml:space="preserve"> 'WK2012'!EV60</f>
        <v>3034.9589506224797</v>
      </c>
      <c r="R50" s="50">
        <f xml:space="preserve"> 'WK2012'!EY60</f>
        <v>2065.3325240551435</v>
      </c>
      <c r="S50" s="50">
        <f xml:space="preserve"> 'WK2012'!EZ60</f>
        <v>3032.2546826841535</v>
      </c>
      <c r="T50" s="50">
        <f xml:space="preserve"> 'WK2012'!FA60</f>
        <v>2098.4571698570244</v>
      </c>
      <c r="U50" s="50">
        <f xml:space="preserve"> 'WK2012'!FB60</f>
        <v>3065.3793284860344</v>
      </c>
      <c r="V50" s="61">
        <f xml:space="preserve"> 'WK2012'!EW60</f>
        <v>0.76802066156280169</v>
      </c>
      <c r="X50" s="50">
        <f xml:space="preserve"> 'WK2012'!FI60</f>
        <v>1222.1635699910389</v>
      </c>
      <c r="Y50" s="50">
        <f xml:space="preserve"> 'WK2012'!FJ60</f>
        <v>1883.0429239308908</v>
      </c>
      <c r="Z50" s="50">
        <f xml:space="preserve"> 'WK2012'!FM60</f>
        <v>1222.2615731900753</v>
      </c>
      <c r="AA50" s="50">
        <f xml:space="preserve"> 'WK2012'!FN60</f>
        <v>1882.9447828630534</v>
      </c>
      <c r="AB50" s="50">
        <f xml:space="preserve"> 'WK2012'!FO60</f>
        <v>1245.5019757809541</v>
      </c>
      <c r="AC50" s="50">
        <f xml:space="preserve"> 'WK2012'!FP60</f>
        <v>1906.1851854539323</v>
      </c>
      <c r="AD50" s="61">
        <f xml:space="preserve"> 'WK2012'!FK60</f>
        <v>0.76105461717553946</v>
      </c>
      <c r="AF50" s="50">
        <f xml:space="preserve"> 'WK2012'!FW60</f>
        <v>114.76394669109365</v>
      </c>
      <c r="AG50" s="50">
        <f xml:space="preserve"> 'WK2012'!FX60</f>
        <v>165.73603622640221</v>
      </c>
      <c r="AH50" s="50">
        <f xml:space="preserve"> 'WK2012'!GA60</f>
        <v>116.30406069403506</v>
      </c>
      <c r="AI50" s="50">
        <f xml:space="preserve"> 'WK2012'!GB60</f>
        <v>164.37053055283968</v>
      </c>
      <c r="AJ50" s="50">
        <f xml:space="preserve"> 'WK2012'!GC60</f>
        <v>118.6862115925622</v>
      </c>
      <c r="AK50" s="50">
        <f xml:space="preserve"> 'WK2012'!GD60</f>
        <v>166.75268145136687</v>
      </c>
      <c r="AL50" s="61">
        <f xml:space="preserve"> 'WK2012'!FY60</f>
        <v>0.76462501320426346</v>
      </c>
      <c r="AN50" s="50">
        <f xml:space="preserve"> 'WK2012'!GK60</f>
        <v>414.5504643239118</v>
      </c>
      <c r="AO50" s="50">
        <f xml:space="preserve"> 'WK2012'!GL60</f>
        <v>523.45830453270094</v>
      </c>
      <c r="AP50" s="50">
        <f xml:space="preserve"> 'WK2012'!GO60</f>
        <v>414.5504643239118</v>
      </c>
      <c r="AQ50" s="50">
        <f xml:space="preserve"> 'WK2012'!GP60</f>
        <v>523.45830453270094</v>
      </c>
      <c r="AR50" s="50">
        <f xml:space="preserve"> 'WK2012'!GQ60</f>
        <v>415.18521223021457</v>
      </c>
      <c r="AS50" s="50">
        <f xml:space="preserve"> 'WK2012'!GR60</f>
        <v>524.09305243900371</v>
      </c>
      <c r="AT50" s="61">
        <f xml:space="preserve"> 'WK2012'!GM60</f>
        <v>0.76490697978304445</v>
      </c>
      <c r="AX50" s="50">
        <f xml:space="preserve"> 'WK2013'!EG60</f>
        <v>2531.0559927999998</v>
      </c>
      <c r="AY50" s="50">
        <f xml:space="preserve"> 'WK2013'!EH60</f>
        <v>3328.3711190000004</v>
      </c>
      <c r="AZ50" s="50">
        <f xml:space="preserve"> 'WK2013'!EK60</f>
        <v>2533.1849862487129</v>
      </c>
      <c r="BA50" s="50">
        <f xml:space="preserve"> 'WK2013'!EL60</f>
        <v>3325.3984834487133</v>
      </c>
      <c r="BB50" s="50">
        <f xml:space="preserve"> 'WK2013'!EM60</f>
        <v>2574.2563070958431</v>
      </c>
      <c r="BC50" s="50">
        <f xml:space="preserve"> 'WK2013'!EN60</f>
        <v>3366.4698042958435</v>
      </c>
      <c r="BD50" s="61">
        <f xml:space="preserve"> 'WK2013'!EI60</f>
        <v>0.75717857194298555</v>
      </c>
      <c r="BF50" s="50">
        <f xml:space="preserve"> 'WK2013'!EU60</f>
        <v>2019.2929066999998</v>
      </c>
      <c r="BG50" s="50">
        <f xml:space="preserve"> 'WK2013'!EV60</f>
        <v>2698.7192490000002</v>
      </c>
      <c r="BH50" s="50">
        <f xml:space="preserve"> 'WK2013'!EY60</f>
        <v>2023.0736979828616</v>
      </c>
      <c r="BI50" s="50">
        <f xml:space="preserve"> 'WK2013'!EZ60</f>
        <v>2696.205054282862</v>
      </c>
      <c r="BJ50" s="50">
        <f xml:space="preserve"> 'WK2013'!FA60</f>
        <v>2054.8795925623235</v>
      </c>
      <c r="BK50" s="50">
        <f xml:space="preserve"> 'WK2013'!FB60</f>
        <v>2728.0109488623234</v>
      </c>
      <c r="BL50" s="61">
        <f xml:space="preserve"> 'WK2013'!EW60</f>
        <v>0.76586205717864908</v>
      </c>
      <c r="BN50" s="50">
        <f xml:space="preserve"> 'WK2013'!FI60</f>
        <v>1468.4379104</v>
      </c>
      <c r="BO50" s="50">
        <f xml:space="preserve"> 'WK2013'!FJ60</f>
        <v>2153.9517737999995</v>
      </c>
      <c r="BP50" s="50">
        <f xml:space="preserve"> 'WK2013'!FM60</f>
        <v>1468.8436623725256</v>
      </c>
      <c r="BQ50" s="50">
        <f xml:space="preserve"> 'WK2013'!FN60</f>
        <v>2153.5331441725257</v>
      </c>
      <c r="BR50" s="50">
        <f xml:space="preserve"> 'WK2013'!FO60</f>
        <v>1496.2617426300872</v>
      </c>
      <c r="BS50" s="50">
        <f xml:space="preserve"> 'WK2013'!FP60</f>
        <v>2180.9512244300868</v>
      </c>
      <c r="BT50" s="61">
        <f xml:space="preserve"> 'WK2013'!FK60</f>
        <v>0.7584374699123948</v>
      </c>
      <c r="BV50" s="50">
        <f xml:space="preserve"> 'WK2013'!FW60</f>
        <v>513.65323680000006</v>
      </c>
      <c r="BW50" s="50">
        <f xml:space="preserve"> 'WK2013'!FX60</f>
        <v>663.45058700000004</v>
      </c>
      <c r="BX50" s="50">
        <f xml:space="preserve"> 'WK2013'!GA60</f>
        <v>513.67926541750251</v>
      </c>
      <c r="BY50" s="50">
        <f xml:space="preserve"> 'WK2013'!GB60</f>
        <v>663.43041561750238</v>
      </c>
      <c r="BZ50" s="50">
        <f xml:space="preserve"> 'WK2013'!GC60</f>
        <v>513.70648191479984</v>
      </c>
      <c r="CA50" s="50">
        <f xml:space="preserve"> 'WK2013'!GD60</f>
        <v>663.45763211479971</v>
      </c>
      <c r="CB50" s="61">
        <f xml:space="preserve"> 'WK2013'!FY60</f>
        <v>0.76847162649172696</v>
      </c>
      <c r="CD50" s="50">
        <f xml:space="preserve"> 'WK2013'!GK60</f>
        <v>162.56296950000001</v>
      </c>
      <c r="CE50" s="50">
        <f xml:space="preserve"> 'WK2013'!GL60</f>
        <v>191.32109250000002</v>
      </c>
      <c r="CF50" s="50">
        <f xml:space="preserve"> 'WK2013'!GO60</f>
        <v>163.3383934261073</v>
      </c>
      <c r="CG50" s="50">
        <f xml:space="preserve"> 'WK2013'!GP60</f>
        <v>190.59118842610729</v>
      </c>
      <c r="CH50" s="50">
        <f xml:space="preserve"> 'WK2013'!GQ60</f>
        <v>166.87856669691871</v>
      </c>
      <c r="CI50" s="50">
        <f xml:space="preserve"> 'WK2013'!GR60</f>
        <v>194.1313616969187</v>
      </c>
      <c r="CJ50" s="61">
        <f xml:space="preserve"> 'WK2013'!GM60</f>
        <v>0.76739265928807765</v>
      </c>
      <c r="CN50" s="50">
        <f xml:space="preserve"> 'WK2014'!EG60</f>
        <v>2563.5229276</v>
      </c>
      <c r="CO50" s="50">
        <f xml:space="preserve"> 'WK2014'!EH60</f>
        <v>3354.1978764</v>
      </c>
      <c r="CP50" s="50">
        <f xml:space="preserve"> 'WK2014'!EK60</f>
        <v>2566.1357153384374</v>
      </c>
      <c r="CQ50" s="50">
        <f xml:space="preserve"> 'WK2014'!EL60</f>
        <v>3350.624431138438</v>
      </c>
      <c r="CR50" s="50">
        <f xml:space="preserve"> 'WK2014'!EM60</f>
        <v>2597.2608437983426</v>
      </c>
      <c r="CS50" s="50">
        <f xml:space="preserve"> 'WK2014'!EN60</f>
        <v>3381.7495595983428</v>
      </c>
      <c r="CT50" s="61">
        <f xml:space="preserve"> 'WK2014'!EI60</f>
        <v>0.77899803912565768</v>
      </c>
      <c r="CV50" s="50">
        <f xml:space="preserve"> 'WK2014'!EU60</f>
        <v>2012.4658274000001</v>
      </c>
      <c r="CW50" s="50">
        <f xml:space="preserve"> 'WK2014'!EV60</f>
        <v>2674.0473696000004</v>
      </c>
      <c r="CX50" s="50">
        <f xml:space="preserve"> 'WK2014'!EY60</f>
        <v>2017.5808834224679</v>
      </c>
      <c r="CY50" s="50">
        <f xml:space="preserve"> 'WK2014'!EZ60</f>
        <v>2670.5987131224679</v>
      </c>
      <c r="CZ50" s="50">
        <f xml:space="preserve"> 'WK2014'!FA60</f>
        <v>2048.5138612719502</v>
      </c>
      <c r="DA50" s="50">
        <f xml:space="preserve"> 'WK2014'!FB60</f>
        <v>2701.5316909719495</v>
      </c>
      <c r="DB50" s="61">
        <f xml:space="preserve"> 'WK2014'!EW60</f>
        <v>0.77146316684427851</v>
      </c>
      <c r="DC50" s="1"/>
      <c r="DD50" s="50">
        <f xml:space="preserve"> 'WK2014'!FI60</f>
        <v>1501.5790192000002</v>
      </c>
      <c r="DE50" s="50">
        <f xml:space="preserve"> 'WK2014'!FJ60</f>
        <v>2229.3732243999998</v>
      </c>
      <c r="DF50" s="50">
        <f xml:space="preserve"> 'WK2014'!FM60</f>
        <v>1501.9274022382428</v>
      </c>
      <c r="DG50" s="50">
        <f xml:space="preserve"> 'WK2014'!FN60</f>
        <v>2229.0237180382428</v>
      </c>
      <c r="DH50" s="50">
        <f xml:space="preserve"> 'WK2014'!FO60</f>
        <v>1525.4627343785601</v>
      </c>
      <c r="DI50" s="50">
        <f xml:space="preserve"> 'WK2014'!FP60</f>
        <v>2252.5590501785596</v>
      </c>
      <c r="DJ50" s="61">
        <f xml:space="preserve"> 'WK2014'!FK60</f>
        <v>0.76410567396253204</v>
      </c>
      <c r="DK50" s="1"/>
      <c r="DL50" s="50">
        <f xml:space="preserve"> 'WK2014'!FW60</f>
        <v>501.63168959999996</v>
      </c>
      <c r="DM50" s="50">
        <f xml:space="preserve"> 'WK2014'!FX60</f>
        <v>649.6848384000001</v>
      </c>
      <c r="DN50" s="50">
        <f xml:space="preserve"> 'WK2014'!GA60</f>
        <v>501.66254800916681</v>
      </c>
      <c r="DO50" s="50">
        <f xml:space="preserve"> 'WK2014'!GB60</f>
        <v>649.66109380916691</v>
      </c>
      <c r="DP50" s="50">
        <f xml:space="preserve"> 'WK2014'!GC60</f>
        <v>501.68322830581377</v>
      </c>
      <c r="DQ50" s="50">
        <f xml:space="preserve"> 'WK2014'!GD60</f>
        <v>649.68177410581382</v>
      </c>
      <c r="DR50" s="61">
        <f xml:space="preserve"> 'WK2014'!FY60</f>
        <v>0.77440203238076988</v>
      </c>
      <c r="DS50" s="1"/>
      <c r="DT50" s="50">
        <f xml:space="preserve"> 'WK2014'!GK60</f>
        <v>172.04690399999998</v>
      </c>
      <c r="DU50" s="50">
        <f xml:space="preserve"> 'WK2014'!GL60</f>
        <v>185.40291450000007</v>
      </c>
      <c r="DV50" s="50">
        <f xml:space="preserve"> 'WK2014'!GO60</f>
        <v>173.49399464408299</v>
      </c>
      <c r="DW50" s="50">
        <f xml:space="preserve"> 'WK2014'!GP60</f>
        <v>183.98437589408309</v>
      </c>
      <c r="DX50" s="50">
        <f xml:space="preserve"> 'WK2014'!GQ60</f>
        <v>177.01413754310386</v>
      </c>
      <c r="DY50" s="50">
        <f xml:space="preserve"> 'WK2014'!GR60</f>
        <v>187.50451879310395</v>
      </c>
      <c r="DZ50" s="61">
        <f xml:space="preserve"> 'WK2014'!GM60</f>
        <v>0.77015559470818395</v>
      </c>
      <c r="ED50" s="50">
        <f xml:space="preserve"> 'WK2015'!EG60</f>
        <v>2495.4802027999999</v>
      </c>
      <c r="EE50" s="50">
        <f xml:space="preserve"> 'WK2015'!EH60</f>
        <v>3180.3172157999998</v>
      </c>
      <c r="EF50" s="50">
        <f xml:space="preserve"> 'WK2015'!EK60</f>
        <v>2497.6554691261704</v>
      </c>
      <c r="EG50" s="50">
        <f xml:space="preserve"> 'WK2015'!EL60</f>
        <v>3178.2238289261704</v>
      </c>
      <c r="EH50" s="50">
        <f xml:space="preserve"> 'WK2015'!EM60</f>
        <v>2536.2586282114148</v>
      </c>
      <c r="EI50" s="50">
        <f xml:space="preserve"> 'WK2015'!EN60</f>
        <v>3216.8269880114153</v>
      </c>
      <c r="EJ50" s="61">
        <f xml:space="preserve"> 'WK2015'!EI60</f>
        <v>0.78127452456805413</v>
      </c>
      <c r="EK50" s="1"/>
      <c r="EL50" s="50">
        <f xml:space="preserve"> 'WK2015'!EU60</f>
        <v>2014.7872286999998</v>
      </c>
      <c r="EM50" s="50">
        <f xml:space="preserve"> 'WK2015'!EV60</f>
        <v>2630.4408722000003</v>
      </c>
      <c r="EN50" s="50">
        <f xml:space="preserve"> 'WK2015'!EY60</f>
        <v>2020.3721544469413</v>
      </c>
      <c r="EO50" s="50">
        <f xml:space="preserve"> 'WK2015'!EZ60</f>
        <v>2626.444154646942</v>
      </c>
      <c r="EP50" s="50">
        <f xml:space="preserve"> 'WK2015'!FA60</f>
        <v>2051.661241584025</v>
      </c>
      <c r="EQ50" s="50">
        <f xml:space="preserve"> 'WK2015'!FB60</f>
        <v>2657.7332417840253</v>
      </c>
      <c r="ER50" s="61">
        <f xml:space="preserve"> 'WK2015'!EW60</f>
        <v>0.77713805744800235</v>
      </c>
      <c r="ES50" s="1"/>
      <c r="ET50" s="50">
        <f xml:space="preserve"> 'WK2015'!FI60</f>
        <v>1616.5458227999998</v>
      </c>
      <c r="EU50" s="50">
        <f xml:space="preserve"> 'WK2015'!FJ60</f>
        <v>2306.5294223999999</v>
      </c>
      <c r="EV50" s="50">
        <f xml:space="preserve"> 'WK2015'!FM60</f>
        <v>1617.9920573561062</v>
      </c>
      <c r="EW50" s="50">
        <f xml:space="preserve"> 'WK2015'!FN60</f>
        <v>2305.5557541561061</v>
      </c>
      <c r="EX50" s="50">
        <f xml:space="preserve"> 'WK2015'!FO60</f>
        <v>1641.0634279037531</v>
      </c>
      <c r="EY50" s="50">
        <f xml:space="preserve"> 'WK2015'!FP60</f>
        <v>2328.627124703753</v>
      </c>
      <c r="EZ50" s="61">
        <f xml:space="preserve"> 'WK2015'!FK60</f>
        <v>0.76673351745212859</v>
      </c>
      <c r="FA50" s="1"/>
      <c r="FB50" s="50">
        <f xml:space="preserve"> 'WK2015'!FW60</f>
        <v>488.13431279999998</v>
      </c>
      <c r="FC50" s="50">
        <f xml:space="preserve"> 'WK2015'!FX60</f>
        <v>619.09489880000001</v>
      </c>
      <c r="FD50" s="50">
        <f xml:space="preserve"> 'WK2015'!GA60</f>
        <v>488.1640326084771</v>
      </c>
      <c r="FE50" s="50">
        <f xml:space="preserve"> 'WK2015'!GB60</f>
        <v>619.0714854084772</v>
      </c>
      <c r="FF50" s="50">
        <f xml:space="preserve"> 'WK2015'!GC60</f>
        <v>488.18709947007699</v>
      </c>
      <c r="FG50" s="50">
        <f xml:space="preserve"> 'WK2015'!GD60</f>
        <v>619.09455227007709</v>
      </c>
      <c r="FH50" s="61">
        <f xml:space="preserve"> 'WK2015'!FY60</f>
        <v>0.78108449671799185</v>
      </c>
      <c r="FI50" s="1"/>
      <c r="FJ50" s="50">
        <f xml:space="preserve"> 'WK2015'!GK60</f>
        <v>154.29333600000004</v>
      </c>
      <c r="FK50" s="50">
        <f xml:space="preserve"> 'WK2015'!GL60</f>
        <v>206.33171625</v>
      </c>
      <c r="FL50" s="50">
        <f xml:space="preserve"> 'WK2015'!GO60</f>
        <v>155.70635148011985</v>
      </c>
      <c r="FM50" s="50">
        <f xml:space="preserve"> 'WK2015'!GP60</f>
        <v>204.99988248011982</v>
      </c>
      <c r="FN50" s="50">
        <f xml:space="preserve"> 'WK2015'!GQ60</f>
        <v>159.59298197259966</v>
      </c>
      <c r="FO50" s="50">
        <f xml:space="preserve"> 'WK2015'!GR60</f>
        <v>208.88651297259963</v>
      </c>
      <c r="FP50" s="61">
        <f xml:space="preserve"> 'WK2015'!GM60</f>
        <v>0.77046938887194105</v>
      </c>
      <c r="FS50" s="283">
        <f xml:space="preserve"> 'WK2015'!H60</f>
        <v>1382.2962799999998</v>
      </c>
      <c r="FT50" s="283">
        <f xml:space="preserve"> 'WK2015'!I60</f>
        <v>1913.352658</v>
      </c>
      <c r="FU50" s="283">
        <f xml:space="preserve"> 'WK2015'!L60</f>
        <v>1382.2962799999998</v>
      </c>
      <c r="FV50" s="283">
        <f xml:space="preserve"> 'WK2015'!M60</f>
        <v>1913.352658</v>
      </c>
      <c r="FW50" s="283">
        <f xml:space="preserve"> 'WK2015'!N60</f>
        <v>1404.5926731656182</v>
      </c>
      <c r="FX50" s="283">
        <f xml:space="preserve"> 'WK2015'!O60</f>
        <v>1935.6490511656184</v>
      </c>
      <c r="FY50" s="284">
        <f xml:space="preserve"> 'WK2015'!P60</f>
        <v>0.78096431226692309</v>
      </c>
      <c r="GA50" s="283">
        <f xml:space="preserve"> 'WK2015'!HB60</f>
        <v>934.02105899999992</v>
      </c>
      <c r="GB50" s="283">
        <f xml:space="preserve"> 'WK2015'!HC60</f>
        <v>1519.1178279999999</v>
      </c>
      <c r="GC50" s="283">
        <f xml:space="preserve"> 'WK2015'!HF60</f>
        <v>936.05497779547682</v>
      </c>
      <c r="GD50" s="283">
        <f xml:space="preserve"> 'WK2015'!HG60</f>
        <v>1513.2438467954769</v>
      </c>
      <c r="GE50" s="283">
        <f xml:space="preserve"> 'WK2015'!HH60</f>
        <v>948.84645254956979</v>
      </c>
      <c r="GF50" s="283">
        <f xml:space="preserve"> 'WK2015'!HI60</f>
        <v>1526.03532154957</v>
      </c>
      <c r="GG50" s="284">
        <f xml:space="preserve"> 'WK2015'!HJ60</f>
        <v>0.74279912549767402</v>
      </c>
      <c r="GI50" s="283">
        <f xml:space="preserve"> 'WK2015'!HQ60</f>
        <v>807.89534000000003</v>
      </c>
      <c r="GJ50" s="283">
        <f xml:space="preserve"> 'WK2015'!HR60</f>
        <v>1002.372525</v>
      </c>
      <c r="GK50" s="283">
        <f xml:space="preserve"> 'WK2015'!HU60</f>
        <v>808.26085147994115</v>
      </c>
      <c r="GL50" s="283">
        <f xml:space="preserve"> 'WK2015'!HV60</f>
        <v>1000.6224594799411</v>
      </c>
      <c r="GM50" s="283">
        <f xml:space="preserve"> 'WK2015'!HW60</f>
        <v>810.90038852670295</v>
      </c>
      <c r="GN50" s="283">
        <f xml:space="preserve"> 'WK2015'!HX60</f>
        <v>1003.2619965267029</v>
      </c>
      <c r="GO50" s="284">
        <f xml:space="preserve"> 'WK2015'!HY60</f>
        <v>0.82722846772243841</v>
      </c>
    </row>
    <row r="51" spans="1:197" x14ac:dyDescent="0.2">
      <c r="A51" s="3">
        <f>Basis!A51</f>
        <v>51</v>
      </c>
      <c r="D51" s="252" t="e">
        <v>#N/A</v>
      </c>
      <c r="E51" s="252" t="e">
        <v>#N/A</v>
      </c>
      <c r="H51" s="50">
        <f xml:space="preserve"> 'WK2012'!EG61</f>
        <v>2573.2991653658073</v>
      </c>
      <c r="I51" s="50">
        <f xml:space="preserve"> 'WK2012'!EH61</f>
        <v>3854.9858749264849</v>
      </c>
      <c r="J51" s="50">
        <f xml:space="preserve"> 'WK2012'!EK61</f>
        <v>2574.4655088398549</v>
      </c>
      <c r="K51" s="50">
        <f xml:space="preserve"> 'WK2012'!EL61</f>
        <v>3853.9224092027794</v>
      </c>
      <c r="L51" s="50">
        <f xml:space="preserve"> 'WK2012'!EM61</f>
        <v>2618.3797964824025</v>
      </c>
      <c r="M51" s="50">
        <f xml:space="preserve"> 'WK2012'!EN61</f>
        <v>3897.8366968453265</v>
      </c>
      <c r="N51" s="61">
        <f xml:space="preserve"> 'WK2012'!EI61</f>
        <v>0.7621436590676911</v>
      </c>
      <c r="P51" s="50">
        <f xml:space="preserve"> 'WK2012'!EU61</f>
        <v>2172.2846406739418</v>
      </c>
      <c r="Q51" s="50">
        <f xml:space="preserve"> 'WK2012'!EV61</f>
        <v>3169.9146826633478</v>
      </c>
      <c r="R51" s="50">
        <f xml:space="preserve"> 'WK2012'!EY61</f>
        <v>2175.305619166877</v>
      </c>
      <c r="S51" s="50">
        <f xml:space="preserve"> 'WK2012'!EZ61</f>
        <v>3167.2873631562279</v>
      </c>
      <c r="T51" s="50">
        <f xml:space="preserve"> 'WK2012'!FA61</f>
        <v>2208.3533165375516</v>
      </c>
      <c r="U51" s="50">
        <f xml:space="preserve"> 'WK2012'!FB61</f>
        <v>3200.3350605269029</v>
      </c>
      <c r="V51" s="61">
        <f xml:space="preserve"> 'WK2012'!EW61</f>
        <v>0.76618723645972076</v>
      </c>
      <c r="X51" s="50">
        <f xml:space="preserve"> 'WK2012'!FI61</f>
        <v>1307.1355996051934</v>
      </c>
      <c r="Y51" s="50">
        <f xml:space="preserve"> 'WK2012'!FJ61</f>
        <v>1967.7611044958937</v>
      </c>
      <c r="Z51" s="50">
        <f xml:space="preserve"> 'WK2012'!FM61</f>
        <v>1307.2345348843107</v>
      </c>
      <c r="AA51" s="50">
        <f xml:space="preserve"> 'WK2012'!FN61</f>
        <v>1967.6638955081371</v>
      </c>
      <c r="AB51" s="50">
        <f xml:space="preserve"> 'WK2012'!FO61</f>
        <v>1330.4740053951084</v>
      </c>
      <c r="AC51" s="50">
        <f xml:space="preserve"> 'WK2012'!FP61</f>
        <v>1990.903366018935</v>
      </c>
      <c r="AD51" s="61">
        <f xml:space="preserve"> 'WK2012'!FK61</f>
        <v>0.75829694479230791</v>
      </c>
      <c r="AF51" s="50">
        <f xml:space="preserve"> 'WK2012'!FW61</f>
        <v>136.41088425053627</v>
      </c>
      <c r="AG51" s="50">
        <f xml:space="preserve"> 'WK2012'!FX61</f>
        <v>174.54028364446961</v>
      </c>
      <c r="AH51" s="50">
        <f xml:space="preserve"> 'WK2012'!GA61</f>
        <v>137.37155162597332</v>
      </c>
      <c r="AI51" s="50">
        <f xml:space="preserve"> 'WK2012'!GB61</f>
        <v>173.67065258211565</v>
      </c>
      <c r="AJ51" s="50">
        <f xml:space="preserve"> 'WK2012'!GC61</f>
        <v>140.33314915200486</v>
      </c>
      <c r="AK51" s="50">
        <f xml:space="preserve"> 'WK2012'!GD61</f>
        <v>176.63225010814716</v>
      </c>
      <c r="AL51" s="61">
        <f xml:space="preserve"> 'WK2012'!FY61</f>
        <v>0.75962814631380582</v>
      </c>
      <c r="AN51" s="50">
        <f xml:space="preserve"> 'WK2012'!GK61</f>
        <v>424.89593482334556</v>
      </c>
      <c r="AO51" s="50">
        <f xml:space="preserve"> 'WK2012'!GL61</f>
        <v>534.11677458037468</v>
      </c>
      <c r="AP51" s="50">
        <f xml:space="preserve"> 'WK2012'!GO61</f>
        <v>424.89593482334556</v>
      </c>
      <c r="AQ51" s="50">
        <f xml:space="preserve"> 'WK2012'!GP61</f>
        <v>534.11677458037468</v>
      </c>
      <c r="AR51" s="50">
        <f xml:space="preserve"> 'WK2012'!GQ61</f>
        <v>425.53068272964833</v>
      </c>
      <c r="AS51" s="50">
        <f xml:space="preserve"> 'WK2012'!GR61</f>
        <v>534.75152248667746</v>
      </c>
      <c r="AT51" s="61">
        <f xml:space="preserve"> 'WK2012'!GM61</f>
        <v>0.76332776917794742</v>
      </c>
      <c r="AX51" s="50">
        <f xml:space="preserve"> 'WK2013'!EG61</f>
        <v>2657.6168950000001</v>
      </c>
      <c r="AY51" s="50">
        <f xml:space="preserve"> 'WK2013'!EH61</f>
        <v>3444.9974463999997</v>
      </c>
      <c r="AZ51" s="50">
        <f xml:space="preserve"> 'WK2013'!EK61</f>
        <v>2659.8007516803073</v>
      </c>
      <c r="BA51" s="50">
        <f xml:space="preserve"> 'WK2013'!EL61</f>
        <v>3442.0172670803076</v>
      </c>
      <c r="BB51" s="50">
        <f xml:space="preserve"> 'WK2013'!EM61</f>
        <v>2700.817209295843</v>
      </c>
      <c r="BC51" s="50">
        <f xml:space="preserve"> 'WK2013'!EN61</f>
        <v>3483.0337246958429</v>
      </c>
      <c r="BD51" s="61">
        <f xml:space="preserve"> 'WK2013'!EI61</f>
        <v>0.75461506762186126</v>
      </c>
      <c r="BF51" s="50">
        <f xml:space="preserve"> 'WK2013'!EU61</f>
        <v>2140.5563229999998</v>
      </c>
      <c r="BG51" s="50">
        <f xml:space="preserve"> 'WK2013'!EV61</f>
        <v>2818.7318186000002</v>
      </c>
      <c r="BH51" s="50">
        <f xml:space="preserve"> 'WK2013'!EY61</f>
        <v>2144.2669911814924</v>
      </c>
      <c r="BI51" s="50">
        <f xml:space="preserve"> 'WK2013'!EZ61</f>
        <v>2816.2317027814925</v>
      </c>
      <c r="BJ51" s="50">
        <f xml:space="preserve"> 'WK2013'!FA61</f>
        <v>2176.1430088623233</v>
      </c>
      <c r="BK51" s="50">
        <f xml:space="preserve"> 'WK2013'!FB61</f>
        <v>2848.1077204623234</v>
      </c>
      <c r="BL51" s="61">
        <f xml:space="preserve"> 'WK2013'!EW61</f>
        <v>0.76410472859937462</v>
      </c>
      <c r="BN51" s="50">
        <f xml:space="preserve"> 'WK2013'!FI61</f>
        <v>1560.6778502</v>
      </c>
      <c r="BO51" s="50">
        <f xml:space="preserve"> 'WK2013'!FJ61</f>
        <v>2225.2416516000003</v>
      </c>
      <c r="BP51" s="50">
        <f xml:space="preserve"> 'WK2013'!FM61</f>
        <v>1561.0753152441252</v>
      </c>
      <c r="BQ51" s="50">
        <f xml:space="preserve"> 'WK2013'!FN61</f>
        <v>2224.818880844125</v>
      </c>
      <c r="BR51" s="50">
        <f xml:space="preserve"> 'WK2013'!FO61</f>
        <v>1588.5016824300869</v>
      </c>
      <c r="BS51" s="50">
        <f xml:space="preserve"> 'WK2013'!FP61</f>
        <v>2252.2452480300872</v>
      </c>
      <c r="BT51" s="61">
        <f xml:space="preserve"> 'WK2013'!FK61</f>
        <v>0.75622017282582643</v>
      </c>
      <c r="BV51" s="50">
        <f xml:space="preserve"> 'WK2013'!FW61</f>
        <v>533.03020200000003</v>
      </c>
      <c r="BW51" s="50">
        <f xml:space="preserve"> 'WK2013'!FX61</f>
        <v>682.02765539999996</v>
      </c>
      <c r="BX51" s="50">
        <f xml:space="preserve"> 'WK2013'!GA61</f>
        <v>533.05357062832888</v>
      </c>
      <c r="BY51" s="50">
        <f xml:space="preserve"> 'WK2013'!GB61</f>
        <v>682.00934402832877</v>
      </c>
      <c r="BZ51" s="50">
        <f xml:space="preserve"> 'WK2013'!GC61</f>
        <v>533.08344711479981</v>
      </c>
      <c r="CA51" s="50">
        <f xml:space="preserve"> 'WK2013'!GD61</f>
        <v>682.03922051479981</v>
      </c>
      <c r="CB51" s="61">
        <f xml:space="preserve"> 'WK2013'!FY61</f>
        <v>0.76619243513750324</v>
      </c>
      <c r="CD51" s="50">
        <f xml:space="preserve"> 'WK2013'!GK61</f>
        <v>176.42148374999999</v>
      </c>
      <c r="CE51" s="50">
        <f xml:space="preserve"> 'WK2013'!GL61</f>
        <v>206.71098374999997</v>
      </c>
      <c r="CF51" s="50">
        <f xml:space="preserve"> 'WK2013'!GO61</f>
        <v>177.25567756777633</v>
      </c>
      <c r="CG51" s="50">
        <f xml:space="preserve"> 'WK2013'!GP61</f>
        <v>205.91244781777633</v>
      </c>
      <c r="CH51" s="50">
        <f xml:space="preserve"> 'WK2013'!GQ61</f>
        <v>180.73708094691867</v>
      </c>
      <c r="CI51" s="50">
        <f xml:space="preserve"> 'WK2013'!GR61</f>
        <v>209.39385119691866</v>
      </c>
      <c r="CJ51" s="61">
        <f xml:space="preserve"> 'WK2013'!GM61</f>
        <v>0.76569744358201519</v>
      </c>
      <c r="CN51" s="50">
        <f xml:space="preserve"> 'WK2014'!EG61</f>
        <v>2690.9299484000003</v>
      </c>
      <c r="CO51" s="50">
        <f xml:space="preserve"> 'WK2014'!EH61</f>
        <v>3455.1562483999996</v>
      </c>
      <c r="CP51" s="50">
        <f xml:space="preserve"> 'WK2014'!EK61</f>
        <v>2691.3126855041664</v>
      </c>
      <c r="CQ51" s="50">
        <f xml:space="preserve"> 'WK2014'!EL61</f>
        <v>3453.7430475041674</v>
      </c>
      <c r="CR51" s="50">
        <f xml:space="preserve"> 'WK2014'!EM61</f>
        <v>2724.6678645983425</v>
      </c>
      <c r="CS51" s="50">
        <f xml:space="preserve"> 'WK2014'!EN61</f>
        <v>3487.098226598343</v>
      </c>
      <c r="CT51" s="61">
        <f xml:space="preserve"> 'WK2014'!EI61</f>
        <v>0.77421375000383963</v>
      </c>
      <c r="CV51" s="50">
        <f xml:space="preserve"> 'WK2014'!EU61</f>
        <v>2130.0311440999999</v>
      </c>
      <c r="CW51" s="50">
        <f xml:space="preserve"> 'WK2014'!EV61</f>
        <v>2793.8257085999999</v>
      </c>
      <c r="CX51" s="50">
        <f xml:space="preserve"> 'WK2014'!EY61</f>
        <v>2135.0819408768989</v>
      </c>
      <c r="CY51" s="50">
        <f xml:space="preserve"> 'WK2014'!EZ61</f>
        <v>2790.4369613768986</v>
      </c>
      <c r="CZ51" s="50">
        <f xml:space="preserve"> 'WK2014'!FA61</f>
        <v>2166.0791779719498</v>
      </c>
      <c r="DA51" s="50">
        <f xml:space="preserve"> 'WK2014'!FB61</f>
        <v>2821.4341984719504</v>
      </c>
      <c r="DB51" s="61">
        <f xml:space="preserve"> 'WK2014'!EW61</f>
        <v>0.76582003827607914</v>
      </c>
      <c r="DC51" s="1"/>
      <c r="DD51" s="50">
        <f xml:space="preserve"> 'WK2014'!FI61</f>
        <v>1603.4147447999999</v>
      </c>
      <c r="DE51" s="50">
        <f xml:space="preserve"> 'WK2014'!FJ61</f>
        <v>2313.4393138</v>
      </c>
      <c r="DF51" s="50">
        <f xml:space="preserve"> 'WK2014'!FM61</f>
        <v>1603.7541705714214</v>
      </c>
      <c r="DG51" s="50">
        <f xml:space="preserve"> 'WK2014'!FN61</f>
        <v>2313.0846079714211</v>
      </c>
      <c r="DH51" s="50">
        <f xml:space="preserve"> 'WK2014'!FO61</f>
        <v>1627.2984599785598</v>
      </c>
      <c r="DI51" s="50">
        <f xml:space="preserve"> 'WK2014'!FP61</f>
        <v>2336.6288973785599</v>
      </c>
      <c r="DJ51" s="61">
        <f xml:space="preserve"> 'WK2014'!FK61</f>
        <v>0.75853859926130518</v>
      </c>
      <c r="DK51" s="1"/>
      <c r="DL51" s="50">
        <f xml:space="preserve"> 'WK2014'!FW61</f>
        <v>520.27095840000004</v>
      </c>
      <c r="DM51" s="50">
        <f xml:space="preserve"> 'WK2014'!FX61</f>
        <v>669.18080640000017</v>
      </c>
      <c r="DN51" s="50">
        <f xml:space="preserve"> 'WK2014'!GA61</f>
        <v>520.29871037806981</v>
      </c>
      <c r="DO51" s="50">
        <f xml:space="preserve"> 'WK2014'!GB61</f>
        <v>669.15924437806984</v>
      </c>
      <c r="DP51" s="50">
        <f xml:space="preserve"> 'WK2014'!GC61</f>
        <v>520.3224971058138</v>
      </c>
      <c r="DQ51" s="50">
        <f xml:space="preserve"> 'WK2014'!GD61</f>
        <v>669.18303110581382</v>
      </c>
      <c r="DR51" s="61">
        <f xml:space="preserve"> 'WK2014'!FY61</f>
        <v>0.76924036184160627</v>
      </c>
      <c r="DS51" s="1"/>
      <c r="DT51" s="50">
        <f xml:space="preserve"> 'WK2014'!GK61</f>
        <v>186.37744499999991</v>
      </c>
      <c r="DU51" s="50">
        <f xml:space="preserve"> 'WK2014'!GL61</f>
        <v>201.04822050000001</v>
      </c>
      <c r="DV51" s="50">
        <f xml:space="preserve"> 'WK2014'!GO61</f>
        <v>186.13938816994443</v>
      </c>
      <c r="DW51" s="50">
        <f xml:space="preserve"> 'WK2014'!GP61</f>
        <v>201.30151641994451</v>
      </c>
      <c r="DX51" s="50">
        <f xml:space="preserve"> 'WK2014'!GQ61</f>
        <v>191.34467854310378</v>
      </c>
      <c r="DY51" s="50">
        <f xml:space="preserve"> 'WK2014'!GR61</f>
        <v>206.50680679310389</v>
      </c>
      <c r="DZ51" s="61">
        <f xml:space="preserve"> 'WK2014'!GM61</f>
        <v>0.7658071790490022</v>
      </c>
      <c r="ED51" s="50">
        <f xml:space="preserve"> 'WK2015'!EG61</f>
        <v>2616.3788495999997</v>
      </c>
      <c r="EE51" s="50">
        <f xml:space="preserve"> 'WK2015'!EH61</f>
        <v>3273.1695534</v>
      </c>
      <c r="EF51" s="50">
        <f xml:space="preserve"> 'WK2015'!EK61</f>
        <v>2616.4063655042651</v>
      </c>
      <c r="EG51" s="50">
        <f xml:space="preserve"> 'WK2015'!EL61</f>
        <v>3273.1477113042652</v>
      </c>
      <c r="EH51" s="50">
        <f xml:space="preserve"> 'WK2015'!EM61</f>
        <v>2657.1572750114146</v>
      </c>
      <c r="EI51" s="50">
        <f xml:space="preserve"> 'WK2015'!EN61</f>
        <v>3313.8986208114152</v>
      </c>
      <c r="EJ51" s="61">
        <f xml:space="preserve"> 'WK2015'!EI61</f>
        <v>0.77587813709588505</v>
      </c>
      <c r="EK51" s="1"/>
      <c r="EL51" s="50">
        <f xml:space="preserve"> 'WK2015'!EU61</f>
        <v>2126.4087279</v>
      </c>
      <c r="EM51" s="50">
        <f xml:space="preserve"> 'WK2015'!EV61</f>
        <v>2754.8490081</v>
      </c>
      <c r="EN51" s="50">
        <f xml:space="preserve"> 'WK2015'!EY61</f>
        <v>2131.2385098878813</v>
      </c>
      <c r="EO51" s="50">
        <f xml:space="preserve"> 'WK2015'!EZ61</f>
        <v>2751.6083500878813</v>
      </c>
      <c r="EP51" s="50">
        <f xml:space="preserve"> 'WK2015'!FA61</f>
        <v>2163.2827407840255</v>
      </c>
      <c r="EQ51" s="50">
        <f xml:space="preserve"> 'WK2015'!FB61</f>
        <v>2783.6525809840255</v>
      </c>
      <c r="ER51" s="61">
        <f xml:space="preserve"> 'WK2015'!EW61</f>
        <v>0.77318665908198203</v>
      </c>
      <c r="ES51" s="1"/>
      <c r="ET51" s="50">
        <f xml:space="preserve"> 'WK2015'!FI61</f>
        <v>1710.5484408</v>
      </c>
      <c r="EU51" s="50">
        <f xml:space="preserve"> 'WK2015'!FJ61</f>
        <v>2404.2794840000001</v>
      </c>
      <c r="EV51" s="50">
        <f xml:space="preserve"> 'WK2015'!FM61</f>
        <v>1710.7161899164694</v>
      </c>
      <c r="EW51" s="50">
        <f xml:space="preserve"> 'WK2015'!FN61</f>
        <v>2404.0947445164688</v>
      </c>
      <c r="EX51" s="50">
        <f xml:space="preserve"> 'WK2015'!FO61</f>
        <v>1735.0660459037535</v>
      </c>
      <c r="EY51" s="50">
        <f xml:space="preserve"> 'WK2015'!FP61</f>
        <v>2428.444600503753</v>
      </c>
      <c r="EZ51" s="61">
        <f xml:space="preserve"> 'WK2015'!FK61</f>
        <v>0.76358279767478532</v>
      </c>
      <c r="FA51" s="1"/>
      <c r="FB51" s="50">
        <f xml:space="preserve"> 'WK2015'!FW61</f>
        <v>506.03586960000001</v>
      </c>
      <c r="FC51" s="50">
        <f xml:space="preserve"> 'WK2015'!FX61</f>
        <v>637.82433639999999</v>
      </c>
      <c r="FD51" s="50">
        <f xml:space="preserve"> 'WK2015'!GA61</f>
        <v>506.06338550426506</v>
      </c>
      <c r="FE51" s="50">
        <f xml:space="preserve"> 'WK2015'!GB61</f>
        <v>637.802494304265</v>
      </c>
      <c r="FF51" s="50">
        <f xml:space="preserve"> 'WK2015'!GC61</f>
        <v>506.08865627007708</v>
      </c>
      <c r="FG51" s="50">
        <f xml:space="preserve"> 'WK2015'!GD61</f>
        <v>637.82776507007702</v>
      </c>
      <c r="FH51" s="61">
        <f xml:space="preserve"> 'WK2015'!FY61</f>
        <v>0.77583711073855055</v>
      </c>
      <c r="FI51" s="1"/>
      <c r="FJ51" s="50">
        <f xml:space="preserve"> 'WK2015'!GK61</f>
        <v>165.97766475000003</v>
      </c>
      <c r="FK51" s="50">
        <f xml:space="preserve"> 'WK2015'!GL61</f>
        <v>215.03083200000003</v>
      </c>
      <c r="FL51" s="50">
        <f xml:space="preserve"> 'WK2015'!GO61</f>
        <v>165.86947195713708</v>
      </c>
      <c r="FM51" s="50">
        <f xml:space="preserve"> 'WK2015'!GP61</f>
        <v>215.15575945713709</v>
      </c>
      <c r="FN51" s="50">
        <f xml:space="preserve"> 'WK2015'!GQ61</f>
        <v>171.27731072259957</v>
      </c>
      <c r="FO51" s="50">
        <f xml:space="preserve"> 'WK2015'!GR61</f>
        <v>220.56359822259964</v>
      </c>
      <c r="FP51" s="61">
        <f xml:space="preserve"> 'WK2015'!GM61</f>
        <v>0.76627390008767504</v>
      </c>
      <c r="FS51" s="283">
        <f xml:space="preserve"> 'WK2015'!H61</f>
        <v>1441.144755</v>
      </c>
      <c r="FT51" s="283">
        <f xml:space="preserve"> 'WK2015'!I61</f>
        <v>1960.7405240000001</v>
      </c>
      <c r="FU51" s="283">
        <f xml:space="preserve"> 'WK2015'!L61</f>
        <v>1441.144755</v>
      </c>
      <c r="FV51" s="283">
        <f xml:space="preserve"> 'WK2015'!M61</f>
        <v>1960.7405240000001</v>
      </c>
      <c r="FW51" s="283">
        <f xml:space="preserve"> 'WK2015'!N61</f>
        <v>1463.4411481656184</v>
      </c>
      <c r="FX51" s="283">
        <f xml:space="preserve"> 'WK2015'!O61</f>
        <v>1983.0369171656184</v>
      </c>
      <c r="FY51" s="284">
        <f xml:space="preserve"> 'WK2015'!P61</f>
        <v>0.77593946276937065</v>
      </c>
      <c r="GA51" s="283">
        <f xml:space="preserve"> 'WK2015'!HB61</f>
        <v>963.18253499999992</v>
      </c>
      <c r="GB51" s="283">
        <f xml:space="preserve"> 'WK2015'!HC61</f>
        <v>1579.540373</v>
      </c>
      <c r="GC51" s="283">
        <f xml:space="preserve"> 'WK2015'!HF61</f>
        <v>965.54596862015796</v>
      </c>
      <c r="GD51" s="283">
        <f xml:space="preserve"> 'WK2015'!HG61</f>
        <v>1572.7306426201581</v>
      </c>
      <c r="GE51" s="283">
        <f xml:space="preserve"> 'WK2015'!HH61</f>
        <v>978.00792854956978</v>
      </c>
      <c r="GF51" s="283">
        <f xml:space="preserve"> 'WK2015'!HI61</f>
        <v>1585.19260254957</v>
      </c>
      <c r="GG51" s="284">
        <f xml:space="preserve"> 'WK2015'!HJ61</f>
        <v>0.74235349764181646</v>
      </c>
      <c r="GI51" s="283">
        <f xml:space="preserve"> 'WK2015'!HQ61</f>
        <v>849.78935999999999</v>
      </c>
      <c r="GJ51" s="283">
        <f xml:space="preserve"> 'WK2015'!HR61</f>
        <v>1050.920703</v>
      </c>
      <c r="GK51" s="283">
        <f xml:space="preserve"> 'WK2015'!HU61</f>
        <v>849.78935999999999</v>
      </c>
      <c r="GL51" s="283">
        <f xml:space="preserve"> 'WK2015'!HV61</f>
        <v>1050.920703</v>
      </c>
      <c r="GM51" s="283">
        <f xml:space="preserve"> 'WK2015'!HW61</f>
        <v>852.79440852670291</v>
      </c>
      <c r="GN51" s="283">
        <f xml:space="preserve"> 'WK2015'!HX61</f>
        <v>1053.9257515267029</v>
      </c>
      <c r="GO51" s="284">
        <f xml:space="preserve"> 'WK2015'!HY61</f>
        <v>0.79848531697933867</v>
      </c>
    </row>
    <row r="52" spans="1:197" x14ac:dyDescent="0.2">
      <c r="A52" s="3">
        <f>Basis!A52</f>
        <v>52</v>
      </c>
      <c r="D52" s="252" t="e">
        <v>#N/A</v>
      </c>
      <c r="E52" s="252" t="e">
        <v>#N/A</v>
      </c>
      <c r="H52" s="50">
        <f xml:space="preserve"> 'WK2012'!EG62</f>
        <v>2709.4800026052253</v>
      </c>
      <c r="I52" s="50">
        <f xml:space="preserve"> 'WK2012'!EH62</f>
        <v>3982.5618390835389</v>
      </c>
      <c r="J52" s="50">
        <f xml:space="preserve"> 'WK2012'!EK62</f>
        <v>2710.2965105324342</v>
      </c>
      <c r="K52" s="50">
        <f xml:space="preserve"> 'WK2012'!EL62</f>
        <v>3981.8086442635613</v>
      </c>
      <c r="L52" s="50">
        <f xml:space="preserve"> 'WK2012'!EM62</f>
        <v>2754.5606337218196</v>
      </c>
      <c r="M52" s="50">
        <f xml:space="preserve"> 'WK2012'!EN62</f>
        <v>4026.0727674529471</v>
      </c>
      <c r="N52" s="61">
        <f xml:space="preserve"> 'WK2012'!EI62</f>
        <v>0.7610481645482623</v>
      </c>
      <c r="P52" s="50">
        <f xml:space="preserve"> 'WK2012'!EU62</f>
        <v>2295.4307892672746</v>
      </c>
      <c r="Q52" s="50">
        <f xml:space="preserve"> 'WK2012'!EV62</f>
        <v>3286.4018587677906</v>
      </c>
      <c r="R52" s="50">
        <f xml:space="preserve"> 'WK2012'!EY62</f>
        <v>2298.4442147276991</v>
      </c>
      <c r="S52" s="50">
        <f xml:space="preserve"> 'WK2012'!EZ62</f>
        <v>3283.76698622816</v>
      </c>
      <c r="T52" s="50">
        <f xml:space="preserve"> 'WK2012'!FA62</f>
        <v>2331.4994651308843</v>
      </c>
      <c r="U52" s="50">
        <f xml:space="preserve"> 'WK2012'!FB62</f>
        <v>3316.8222366313457</v>
      </c>
      <c r="V52" s="61">
        <f xml:space="preserve"> 'WK2012'!EW62</f>
        <v>0.76428331392782556</v>
      </c>
      <c r="X52" s="50">
        <f xml:space="preserve"> 'WK2012'!FI62</f>
        <v>1393.7145587615232</v>
      </c>
      <c r="Y52" s="50">
        <f xml:space="preserve"> 'WK2012'!FJ62</f>
        <v>2053.6775795637918</v>
      </c>
      <c r="Z52" s="50">
        <f xml:space="preserve"> 'WK2012'!FM62</f>
        <v>1393.812472254946</v>
      </c>
      <c r="AA52" s="50">
        <f xml:space="preserve"> 'WK2012'!FN62</f>
        <v>2053.5793487903406</v>
      </c>
      <c r="AB52" s="50">
        <f xml:space="preserve"> 'WK2012'!FO62</f>
        <v>1417.0529645514384</v>
      </c>
      <c r="AC52" s="50">
        <f xml:space="preserve"> 'WK2012'!FP62</f>
        <v>2076.8198410868335</v>
      </c>
      <c r="AD52" s="61">
        <f xml:space="preserve"> 'WK2012'!FK62</f>
        <v>0.75769307524304474</v>
      </c>
      <c r="AF52" s="50">
        <f xml:space="preserve"> 'WK2012'!FW62</f>
        <v>149.87796560160677</v>
      </c>
      <c r="AG52" s="50">
        <f xml:space="preserve"> 'WK2012'!FX62</f>
        <v>191.84307630967049</v>
      </c>
      <c r="AH52" s="50">
        <f xml:space="preserve"> 'WK2012'!GA62</f>
        <v>150.52470059201468</v>
      </c>
      <c r="AI52" s="50">
        <f xml:space="preserve"> 'WK2012'!GB62</f>
        <v>191.25360866779715</v>
      </c>
      <c r="AJ52" s="50">
        <f xml:space="preserve"> 'WK2012'!GC62</f>
        <v>153.80023050307537</v>
      </c>
      <c r="AK52" s="50">
        <f xml:space="preserve"> 'WK2012'!GD62</f>
        <v>194.52913857885784</v>
      </c>
      <c r="AL52" s="61">
        <f xml:space="preserve"> 'WK2012'!FY62</f>
        <v>0.75862739630877507</v>
      </c>
      <c r="AN52" s="50">
        <f xml:space="preserve"> 'WK2012'!GK62</f>
        <v>435.18184261990234</v>
      </c>
      <c r="AO52" s="50">
        <f xml:space="preserve"> 'WK2012'!GL62</f>
        <v>544.38855517045522</v>
      </c>
      <c r="AP52" s="50">
        <f xml:space="preserve"> 'WK2012'!GO62</f>
        <v>435.18184261990234</v>
      </c>
      <c r="AQ52" s="50">
        <f xml:space="preserve"> 'WK2012'!GP62</f>
        <v>544.38855517045522</v>
      </c>
      <c r="AR52" s="50">
        <f xml:space="preserve"> 'WK2012'!GQ62</f>
        <v>435.81659052620512</v>
      </c>
      <c r="AS52" s="50">
        <f xml:space="preserve"> 'WK2012'!GR62</f>
        <v>545.023303076758</v>
      </c>
      <c r="AT52" s="61">
        <f xml:space="preserve"> 'WK2012'!GM62</f>
        <v>0.76139425556511597</v>
      </c>
      <c r="AX52" s="50">
        <f xml:space="preserve"> 'WK2013'!EG62</f>
        <v>2794.9160649999999</v>
      </c>
      <c r="AY52" s="50">
        <f xml:space="preserve"> 'WK2013'!EH62</f>
        <v>3565.7943088000002</v>
      </c>
      <c r="AZ52" s="50">
        <f xml:space="preserve"> 'WK2013'!EK62</f>
        <v>2796.9696058542499</v>
      </c>
      <c r="BA52" s="50">
        <f xml:space="preserve"> 'WK2013'!EL62</f>
        <v>3562.8427376542495</v>
      </c>
      <c r="BB52" s="50">
        <f xml:space="preserve"> 'WK2013'!EM62</f>
        <v>2838.1163792958432</v>
      </c>
      <c r="BC52" s="50">
        <f xml:space="preserve"> 'WK2013'!EN62</f>
        <v>3603.9895110958432</v>
      </c>
      <c r="BD52" s="61">
        <f xml:space="preserve"> 'WK2013'!EI62</f>
        <v>0.74987164689644892</v>
      </c>
      <c r="BF52" s="50">
        <f xml:space="preserve"> 'WK2013'!EU62</f>
        <v>2277.8210265000002</v>
      </c>
      <c r="BG52" s="50">
        <f xml:space="preserve"> 'WK2013'!EV62</f>
        <v>2936.7652042</v>
      </c>
      <c r="BH52" s="50">
        <f xml:space="preserve"> 'WK2013'!EY62</f>
        <v>2281.2860984165773</v>
      </c>
      <c r="BI52" s="50">
        <f xml:space="preserve"> 'WK2013'!EZ62</f>
        <v>2934.383628616577</v>
      </c>
      <c r="BJ52" s="50">
        <f xml:space="preserve"> 'WK2013'!FA62</f>
        <v>2313.4077123623238</v>
      </c>
      <c r="BK52" s="50">
        <f xml:space="preserve"> 'WK2013'!FB62</f>
        <v>2966.5052425623235</v>
      </c>
      <c r="BL52" s="61">
        <f xml:space="preserve"> 'WK2013'!EW62</f>
        <v>0.75880727979814699</v>
      </c>
      <c r="BN52" s="50">
        <f xml:space="preserve"> 'WK2013'!FI62</f>
        <v>1666.433137</v>
      </c>
      <c r="BO52" s="50">
        <f xml:space="preserve"> 'WK2013'!FJ62</f>
        <v>2296.6362869999998</v>
      </c>
      <c r="BP52" s="50">
        <f xml:space="preserve"> 'WK2013'!FM62</f>
        <v>1666.7974640563943</v>
      </c>
      <c r="BQ52" s="50">
        <f xml:space="preserve"> 'WK2013'!FN62</f>
        <v>2296.2341948563944</v>
      </c>
      <c r="BR52" s="50">
        <f xml:space="preserve"> 'WK2013'!FO62</f>
        <v>1694.2569692300872</v>
      </c>
      <c r="BS52" s="50">
        <f xml:space="preserve"> 'WK2013'!FP62</f>
        <v>2323.6937000300873</v>
      </c>
      <c r="BT52" s="61">
        <f xml:space="preserve"> 'WK2013'!FK62</f>
        <v>0.7517017692180521</v>
      </c>
      <c r="BV52" s="50">
        <f xml:space="preserve"> 'WK2013'!FW62</f>
        <v>553.79563699999994</v>
      </c>
      <c r="BW52" s="50">
        <f xml:space="preserve"> 'WK2013'!FX62</f>
        <v>699.48674679999999</v>
      </c>
      <c r="BX52" s="50">
        <f xml:space="preserve"> 'WK2013'!GA62</f>
        <v>553.8167867468394</v>
      </c>
      <c r="BY52" s="50">
        <f xml:space="preserve"> 'WK2013'!GB62</f>
        <v>699.46995654683951</v>
      </c>
      <c r="BZ52" s="50">
        <f xml:space="preserve"> 'WK2013'!GC62</f>
        <v>553.84888211479972</v>
      </c>
      <c r="CA52" s="50">
        <f xml:space="preserve"> 'WK2013'!GD62</f>
        <v>699.50205191479984</v>
      </c>
      <c r="CB52" s="61">
        <f xml:space="preserve"> 'WK2013'!FY62</f>
        <v>0.76085623780530742</v>
      </c>
      <c r="CD52" s="50">
        <f xml:space="preserve"> 'WK2013'!GK62</f>
        <v>188.99715750000001</v>
      </c>
      <c r="CE52" s="50">
        <f xml:space="preserve"> 'WK2013'!GL62</f>
        <v>223.18410525000007</v>
      </c>
      <c r="CF52" s="50">
        <f xml:space="preserve"> 'WK2013'!GO62</f>
        <v>189.68979358443676</v>
      </c>
      <c r="CG52" s="50">
        <f xml:space="preserve"> 'WK2013'!GP62</f>
        <v>222.51621958443681</v>
      </c>
      <c r="CH52" s="50">
        <f xml:space="preserve"> 'WK2013'!GQ62</f>
        <v>193.31275469691872</v>
      </c>
      <c r="CI52" s="50">
        <f xml:space="preserve"> 'WK2013'!GR62</f>
        <v>226.13918069691874</v>
      </c>
      <c r="CJ52" s="61">
        <f xml:space="preserve"> 'WK2013'!GM62</f>
        <v>0.76374770910956646</v>
      </c>
      <c r="CN52" s="50">
        <f xml:space="preserve"> 'WK2014'!EG62</f>
        <v>2829.4074347999995</v>
      </c>
      <c r="CO52" s="50">
        <f xml:space="preserve"> 'WK2014'!EH62</f>
        <v>3564.9815820000003</v>
      </c>
      <c r="CP52" s="50">
        <f xml:space="preserve"> 'WK2014'!EK62</f>
        <v>2829.8730789018309</v>
      </c>
      <c r="CQ52" s="50">
        <f xml:space="preserve"> 'WK2014'!EL62</f>
        <v>3563.2557535018314</v>
      </c>
      <c r="CR52" s="50">
        <f xml:space="preserve"> 'WK2014'!EM62</f>
        <v>2863.1453509983426</v>
      </c>
      <c r="CS52" s="50">
        <f xml:space="preserve"> 'WK2014'!EN62</f>
        <v>3596.5280255983425</v>
      </c>
      <c r="CT52" s="61">
        <f xml:space="preserve"> 'WK2014'!EI62</f>
        <v>0.7720383318330768</v>
      </c>
      <c r="CV52" s="50">
        <f xml:space="preserve"> 'WK2014'!EU62</f>
        <v>2261.6896201999998</v>
      </c>
      <c r="CW52" s="50">
        <f xml:space="preserve"> 'WK2014'!EV62</f>
        <v>2912.8959800000002</v>
      </c>
      <c r="CX52" s="50">
        <f xml:space="preserve"> 'WK2014'!EY62</f>
        <v>2266.6533658393887</v>
      </c>
      <c r="CY52" s="50">
        <f xml:space="preserve"> 'WK2014'!EZ62</f>
        <v>2909.5130332393887</v>
      </c>
      <c r="CZ52" s="50">
        <f xml:space="preserve"> 'WK2014'!FA62</f>
        <v>2297.7376540719501</v>
      </c>
      <c r="DA52" s="50">
        <f xml:space="preserve"> 'WK2014'!FB62</f>
        <v>2940.5973214719502</v>
      </c>
      <c r="DB52" s="61">
        <f xml:space="preserve"> 'WK2014'!EW62</f>
        <v>0.76312848752883911</v>
      </c>
      <c r="DC52" s="1"/>
      <c r="DD52" s="50">
        <f xml:space="preserve"> 'WK2014'!FI62</f>
        <v>1715.1958383999997</v>
      </c>
      <c r="DE52" s="50">
        <f xml:space="preserve"> 'WK2014'!FJ62</f>
        <v>2394.9545159999998</v>
      </c>
      <c r="DF52" s="50">
        <f xml:space="preserve"> 'WK2014'!FM62</f>
        <v>1715.4518809055844</v>
      </c>
      <c r="DG52" s="50">
        <f xml:space="preserve"> 'WK2014'!FN62</f>
        <v>2394.6761913055843</v>
      </c>
      <c r="DH52" s="50">
        <f xml:space="preserve"> 'WK2014'!FO62</f>
        <v>1739.0795535785596</v>
      </c>
      <c r="DI52" s="50">
        <f xml:space="preserve"> 'WK2014'!FP62</f>
        <v>2418.3038639785595</v>
      </c>
      <c r="DJ52" s="61">
        <f xml:space="preserve"> 'WK2014'!FK62</f>
        <v>0.75672884908557325</v>
      </c>
      <c r="DK52" s="1"/>
      <c r="DL52" s="50">
        <f xml:space="preserve"> 'WK2014'!FW62</f>
        <v>540.11989679999999</v>
      </c>
      <c r="DM52" s="50">
        <f xml:space="preserve"> 'WK2014'!FX62</f>
        <v>688.13098000000002</v>
      </c>
      <c r="DN52" s="50">
        <f xml:space="preserve"> 'WK2014'!GA62</f>
        <v>540.1448591032397</v>
      </c>
      <c r="DO52" s="50">
        <f xml:space="preserve"> 'WK2014'!GB62</f>
        <v>688.11136170323971</v>
      </c>
      <c r="DP52" s="50">
        <f xml:space="preserve"> 'WK2014'!GC62</f>
        <v>540.17143550581386</v>
      </c>
      <c r="DQ52" s="50">
        <f xml:space="preserve"> 'WK2014'!GD62</f>
        <v>688.13793810581387</v>
      </c>
      <c r="DR52" s="61">
        <f xml:space="preserve"> 'WK2014'!FY62</f>
        <v>0.76640245124348483</v>
      </c>
      <c r="DS52" s="1"/>
      <c r="DT52" s="50">
        <f xml:space="preserve"> 'WK2014'!GK62</f>
        <v>201.40955699999998</v>
      </c>
      <c r="DU52" s="50">
        <f xml:space="preserve"> 'WK2014'!GL62</f>
        <v>218.76266850000002</v>
      </c>
      <c r="DV52" s="50">
        <f xml:space="preserve"> 'WK2014'!GO62</f>
        <v>201.23233661385649</v>
      </c>
      <c r="DW52" s="50">
        <f xml:space="preserve"> 'WK2014'!GP62</f>
        <v>218.95981211385649</v>
      </c>
      <c r="DX52" s="50">
        <f xml:space="preserve"> 'WK2014'!GQ62</f>
        <v>206.37679054310382</v>
      </c>
      <c r="DY52" s="50">
        <f xml:space="preserve"> 'WK2014'!GR62</f>
        <v>224.10426604310385</v>
      </c>
      <c r="DZ52" s="61">
        <f xml:space="preserve"> 'WK2014'!GM62</f>
        <v>0.76426865745111616</v>
      </c>
      <c r="ED52" s="50">
        <f xml:space="preserve"> 'WK2015'!EG62</f>
        <v>2750.1870403999997</v>
      </c>
      <c r="EE52" s="50">
        <f xml:space="preserve"> 'WK2015'!EH62</f>
        <v>3370.357845</v>
      </c>
      <c r="EF52" s="50">
        <f xml:space="preserve"> 'WK2015'!EK62</f>
        <v>2750.2129719895065</v>
      </c>
      <c r="EG52" s="50">
        <f xml:space="preserve"> 'WK2015'!EL62</f>
        <v>3370.3370569895064</v>
      </c>
      <c r="EH52" s="50">
        <f xml:space="preserve"> 'WK2015'!EM62</f>
        <v>2790.9654658114155</v>
      </c>
      <c r="EI52" s="50">
        <f xml:space="preserve"> 'WK2015'!EN62</f>
        <v>3411.0895508114149</v>
      </c>
      <c r="EJ52" s="61">
        <f xml:space="preserve"> 'WK2015'!EI62</f>
        <v>0.77161374920435066</v>
      </c>
      <c r="EK52" s="1"/>
      <c r="EL52" s="50">
        <f xml:space="preserve"> 'WK2015'!EU62</f>
        <v>2249.8185186000001</v>
      </c>
      <c r="EM52" s="50">
        <f xml:space="preserve"> 'WK2015'!EV62</f>
        <v>2879.7468610000001</v>
      </c>
      <c r="EN52" s="50">
        <f xml:space="preserve"> 'WK2015'!EY62</f>
        <v>2254.8454218265297</v>
      </c>
      <c r="EO52" s="50">
        <f xml:space="preserve"> 'WK2015'!EZ62</f>
        <v>2876.3380028265301</v>
      </c>
      <c r="EP52" s="50">
        <f xml:space="preserve"> 'WK2015'!FA62</f>
        <v>2286.692531484025</v>
      </c>
      <c r="EQ52" s="50">
        <f xml:space="preserve"> 'WK2015'!FB62</f>
        <v>2908.1851124840255</v>
      </c>
      <c r="ER52" s="61">
        <f xml:space="preserve"> 'WK2015'!EW62</f>
        <v>0.76837365510265543</v>
      </c>
      <c r="ES52" s="1"/>
      <c r="ET52" s="50">
        <f xml:space="preserve"> 'WK2015'!FI62</f>
        <v>1821.5687928</v>
      </c>
      <c r="EU52" s="50">
        <f xml:space="preserve"> 'WK2015'!FJ62</f>
        <v>2506.1647668000001</v>
      </c>
      <c r="EV52" s="50">
        <f xml:space="preserve"> 'WK2015'!FM62</f>
        <v>1821.7327322075316</v>
      </c>
      <c r="EW52" s="50">
        <f xml:space="preserve"> 'WK2015'!FN62</f>
        <v>2505.9789128075313</v>
      </c>
      <c r="EX52" s="50">
        <f xml:space="preserve"> 'WK2015'!FO62</f>
        <v>1846.0863979037531</v>
      </c>
      <c r="EY52" s="50">
        <f xml:space="preserve"> 'WK2015'!FP62</f>
        <v>2530.3325785037532</v>
      </c>
      <c r="EZ52" s="61">
        <f xml:space="preserve"> 'WK2015'!FK62</f>
        <v>0.75938893440064414</v>
      </c>
      <c r="FA52" s="1"/>
      <c r="FB52" s="50">
        <f xml:space="preserve"> 'WK2015'!FW62</f>
        <v>525.34523039999999</v>
      </c>
      <c r="FC52" s="50">
        <f xml:space="preserve"> 'WK2015'!FX62</f>
        <v>656.24822000000006</v>
      </c>
      <c r="FD52" s="50">
        <f xml:space="preserve"> 'WK2015'!GA62</f>
        <v>525.37116198950639</v>
      </c>
      <c r="FE52" s="50">
        <f xml:space="preserve"> 'WK2015'!GB62</f>
        <v>656.22743198950639</v>
      </c>
      <c r="FF52" s="50">
        <f xml:space="preserve"> 'WK2015'!GC62</f>
        <v>525.39801707007712</v>
      </c>
      <c r="FG52" s="50">
        <f xml:space="preserve"> 'WK2015'!GD62</f>
        <v>656.25428707007723</v>
      </c>
      <c r="FH52" s="61">
        <f xml:space="preserve"> 'WK2015'!FY62</f>
        <v>0.77198739431648611</v>
      </c>
      <c r="FI52" s="1"/>
      <c r="FJ52" s="50">
        <f xml:space="preserve"> 'WK2015'!GK62</f>
        <v>180.41383125000002</v>
      </c>
      <c r="FK52" s="50">
        <f xml:space="preserve"> 'WK2015'!GL62</f>
        <v>225.13135275000005</v>
      </c>
      <c r="FL52" s="50">
        <f xml:space="preserve"> 'WK2015'!GO62</f>
        <v>180.30725105522811</v>
      </c>
      <c r="FM52" s="50">
        <f xml:space="preserve"> 'WK2015'!GP62</f>
        <v>225.25789280522815</v>
      </c>
      <c r="FN52" s="50">
        <f xml:space="preserve"> 'WK2015'!GQ62</f>
        <v>185.71347722259955</v>
      </c>
      <c r="FO52" s="50">
        <f xml:space="preserve"> 'WK2015'!GR62</f>
        <v>230.66411897259968</v>
      </c>
      <c r="FP52" s="61">
        <f xml:space="preserve"> 'WK2015'!GM62</f>
        <v>0.76286388911153413</v>
      </c>
      <c r="FS52" s="283">
        <f xml:space="preserve"> 'WK2015'!H62</f>
        <v>1504.839575</v>
      </c>
      <c r="FT52" s="283">
        <f xml:space="preserve"> 'WK2015'!I62</f>
        <v>2010.1103919999998</v>
      </c>
      <c r="FU52" s="283">
        <f xml:space="preserve"> 'WK2015'!L62</f>
        <v>1504.839575</v>
      </c>
      <c r="FV52" s="283">
        <f xml:space="preserve"> 'WK2015'!M62</f>
        <v>2010.1103919999998</v>
      </c>
      <c r="FW52" s="283">
        <f xml:space="preserve"> 'WK2015'!N62</f>
        <v>1527.1359681656184</v>
      </c>
      <c r="FX52" s="283">
        <f xml:space="preserve"> 'WK2015'!O62</f>
        <v>2032.4067851656182</v>
      </c>
      <c r="FY52" s="284">
        <f xml:space="preserve"> 'WK2015'!P62</f>
        <v>0.76898724975983601</v>
      </c>
      <c r="GA52" s="283">
        <f xml:space="preserve"> 'WK2015'!HB62</f>
        <v>1005.3484529999999</v>
      </c>
      <c r="GB52" s="283">
        <f xml:space="preserve"> 'WK2015'!HC62</f>
        <v>1636.704174</v>
      </c>
      <c r="GC52" s="283">
        <f xml:space="preserve"> 'WK2015'!HF62</f>
        <v>1007.8922835476477</v>
      </c>
      <c r="GD52" s="283">
        <f xml:space="preserve"> 'WK2015'!HG62</f>
        <v>1629.6368645476477</v>
      </c>
      <c r="GE52" s="283">
        <f xml:space="preserve"> 'WK2015'!HH62</f>
        <v>1020.1738465495698</v>
      </c>
      <c r="GF52" s="283">
        <f xml:space="preserve"> 'WK2015'!HI62</f>
        <v>1641.91842754957</v>
      </c>
      <c r="GG52" s="284">
        <f xml:space="preserve"> 'WK2015'!HJ62</f>
        <v>0.73532478481764196</v>
      </c>
      <c r="GI52" s="283">
        <f xml:space="preserve"> 'WK2015'!HQ62</f>
        <v>897.79735500000004</v>
      </c>
      <c r="GJ52" s="283">
        <f xml:space="preserve"> 'WK2015'!HR62</f>
        <v>1106.3710980000001</v>
      </c>
      <c r="GK52" s="283">
        <f xml:space="preserve"> 'WK2015'!HU62</f>
        <v>897.79735500000004</v>
      </c>
      <c r="GL52" s="283">
        <f xml:space="preserve"> 'WK2015'!HV62</f>
        <v>1106.3710980000001</v>
      </c>
      <c r="GM52" s="283">
        <f xml:space="preserve"> 'WK2015'!HW62</f>
        <v>900.80240352670296</v>
      </c>
      <c r="GN52" s="283">
        <f xml:space="preserve"> 'WK2015'!HX62</f>
        <v>1109.376146526703</v>
      </c>
      <c r="GO52" s="284">
        <f xml:space="preserve"> 'WK2015'!HY62</f>
        <v>0.79406886038098901</v>
      </c>
    </row>
    <row r="53" spans="1:197" x14ac:dyDescent="0.2">
      <c r="A53" s="3">
        <f>Basis!A53</f>
        <v>53</v>
      </c>
      <c r="D53" s="252" t="e">
        <v>#N/A</v>
      </c>
      <c r="E53" s="252" t="e">
        <v>#N/A</v>
      </c>
      <c r="H53" s="50">
        <f xml:space="preserve"> 'WK2012'!EG63</f>
        <v>2855.9266285818271</v>
      </c>
      <c r="I53" s="50">
        <f xml:space="preserve"> 'WK2012'!EH63</f>
        <v>4115.8373089519919</v>
      </c>
      <c r="J53" s="50">
        <f xml:space="preserve"> 'WK2012'!EK63</f>
        <v>2856.7370163395913</v>
      </c>
      <c r="K53" s="50">
        <f xml:space="preserve"> 'WK2012'!EL63</f>
        <v>4115.0779939625691</v>
      </c>
      <c r="L53" s="50">
        <f xml:space="preserve"> 'WK2012'!EM63</f>
        <v>2901.0072596984214</v>
      </c>
      <c r="M53" s="50">
        <f xml:space="preserve"> 'WK2012'!EN63</f>
        <v>4159.3482373214001</v>
      </c>
      <c r="N53" s="61">
        <f xml:space="preserve"> 'WK2012'!EI63</f>
        <v>0.75560504242412452</v>
      </c>
      <c r="P53" s="50">
        <f xml:space="preserve"> 'WK2012'!EU63</f>
        <v>2431.8162277010351</v>
      </c>
      <c r="Q53" s="50">
        <f xml:space="preserve"> 'WK2012'!EV63</f>
        <v>3399.0119085513975</v>
      </c>
      <c r="R53" s="50">
        <f xml:space="preserve"> 'WK2012'!EY63</f>
        <v>2433.5541885964972</v>
      </c>
      <c r="S53" s="50">
        <f xml:space="preserve"> 'WK2012'!EZ63</f>
        <v>3397.4448328285653</v>
      </c>
      <c r="T53" s="50">
        <f xml:space="preserve"> 'WK2012'!FA63</f>
        <v>2467.8849035646449</v>
      </c>
      <c r="U53" s="50">
        <f xml:space="preserve"> 'WK2012'!FB63</f>
        <v>3431.7755477967135</v>
      </c>
      <c r="V53" s="61">
        <f xml:space="preserve"> 'WK2012'!EW63</f>
        <v>0.75948743403952179</v>
      </c>
      <c r="X53" s="50">
        <f xml:space="preserve"> 'WK2012'!FI63</f>
        <v>1492.6043600217479</v>
      </c>
      <c r="Y53" s="50">
        <f xml:space="preserve"> 'WK2012'!FJ63</f>
        <v>2143.8459965775519</v>
      </c>
      <c r="Z53" s="50">
        <f xml:space="preserve"> 'WK2012'!FM63</f>
        <v>1492.7010167603701</v>
      </c>
      <c r="AA53" s="50">
        <f xml:space="preserve"> 'WK2012'!FN63</f>
        <v>2143.7465090493001</v>
      </c>
      <c r="AB53" s="50">
        <f xml:space="preserve"> 'WK2012'!FO63</f>
        <v>1515.9427658116629</v>
      </c>
      <c r="AC53" s="50">
        <f xml:space="preserve"> 'WK2012'!FP63</f>
        <v>2166.9882581005932</v>
      </c>
      <c r="AD53" s="61">
        <f xml:space="preserve"> 'WK2012'!FK63</f>
        <v>0.75276077772599748</v>
      </c>
      <c r="AF53" s="50">
        <f xml:space="preserve"> 'WK2012'!FW63</f>
        <v>162.50445092028309</v>
      </c>
      <c r="AG53" s="50">
        <f xml:space="preserve"> 'WK2012'!FX63</f>
        <v>208.08741618699926</v>
      </c>
      <c r="AH53" s="50">
        <f xml:space="preserve"> 'WK2012'!GA63</f>
        <v>163.14680883751095</v>
      </c>
      <c r="AI53" s="50">
        <f xml:space="preserve"> 'WK2012'!GB63</f>
        <v>207.49357147194587</v>
      </c>
      <c r="AJ53" s="50">
        <f xml:space="preserve"> 'WK2012'!GC63</f>
        <v>166.42671582175169</v>
      </c>
      <c r="AK53" s="50">
        <f xml:space="preserve"> 'WK2012'!GD63</f>
        <v>210.77347845618661</v>
      </c>
      <c r="AL53" s="61">
        <f xml:space="preserve"> 'WK2012'!FY63</f>
        <v>0.75650459013527738</v>
      </c>
      <c r="AN53" s="50">
        <f xml:space="preserve"> 'WK2012'!GK63</f>
        <v>445.24878470987665</v>
      </c>
      <c r="AO53" s="50">
        <f xml:space="preserve"> 'WK2012'!GL63</f>
        <v>553.71106185852204</v>
      </c>
      <c r="AP53" s="50">
        <f xml:space="preserve"> 'WK2012'!GO63</f>
        <v>445.24878470987665</v>
      </c>
      <c r="AQ53" s="50">
        <f xml:space="preserve"> 'WK2012'!GP63</f>
        <v>553.71106185852204</v>
      </c>
      <c r="AR53" s="50">
        <f xml:space="preserve"> 'WK2012'!GQ63</f>
        <v>445.88353261617937</v>
      </c>
      <c r="AS53" s="50">
        <f xml:space="preserve"> 'WK2012'!GR63</f>
        <v>554.34580976482471</v>
      </c>
      <c r="AT53" s="61">
        <f xml:space="preserve"> 'WK2012'!GM63</f>
        <v>0.75463307950484304</v>
      </c>
      <c r="AX53" s="50">
        <f xml:space="preserve"> 'WK2013'!EG63</f>
        <v>2942.6418685999997</v>
      </c>
      <c r="AY53" s="50">
        <f xml:space="preserve"> 'WK2013'!EH63</f>
        <v>3686.9363108000002</v>
      </c>
      <c r="AZ53" s="50">
        <f xml:space="preserve"> 'WK2013'!EK63</f>
        <v>2943.4904234200449</v>
      </c>
      <c r="BA53" s="50">
        <f xml:space="preserve"> 'WK2013'!EL63</f>
        <v>3685.142561620044</v>
      </c>
      <c r="BB53" s="50">
        <f xml:space="preserve"> 'WK2013'!EM63</f>
        <v>2985.8421828958431</v>
      </c>
      <c r="BC53" s="50">
        <f xml:space="preserve"> 'WK2013'!EN63</f>
        <v>3727.4943210958436</v>
      </c>
      <c r="BD53" s="61">
        <f xml:space="preserve"> 'WK2013'!EI63</f>
        <v>0.74632396998981165</v>
      </c>
      <c r="BF53" s="50">
        <f xml:space="preserve"> 'WK2013'!EU63</f>
        <v>2428.4820363999997</v>
      </c>
      <c r="BG53" s="50">
        <f xml:space="preserve"> 'WK2013'!EV63</f>
        <v>3053.4754261999997</v>
      </c>
      <c r="BH53" s="50">
        <f xml:space="preserve"> 'WK2013'!EY63</f>
        <v>2431.5105358914211</v>
      </c>
      <c r="BI53" s="50">
        <f xml:space="preserve"> 'WK2013'!EZ63</f>
        <v>3051.3419176914213</v>
      </c>
      <c r="BJ53" s="50">
        <f xml:space="preserve"> 'WK2013'!FA63</f>
        <v>2464.0687222623233</v>
      </c>
      <c r="BK53" s="50">
        <f xml:space="preserve"> 'WK2013'!FB63</f>
        <v>3083.9001040623234</v>
      </c>
      <c r="BL53" s="61">
        <f xml:space="preserve"> 'WK2013'!EW63</f>
        <v>0.75404118334463421</v>
      </c>
      <c r="BN53" s="50">
        <f xml:space="preserve"> 'WK2013'!FI63</f>
        <v>1784.5150289999999</v>
      </c>
      <c r="BO53" s="50">
        <f xml:space="preserve"> 'WK2013'!FJ63</f>
        <v>2371.0787046</v>
      </c>
      <c r="BP53" s="50">
        <f xml:space="preserve"> 'WK2013'!FM63</f>
        <v>1784.7589459965739</v>
      </c>
      <c r="BQ53" s="50">
        <f xml:space="preserve"> 'WK2013'!FN63</f>
        <v>2370.7993655965738</v>
      </c>
      <c r="BR53" s="50">
        <f xml:space="preserve"> 'WK2013'!FO63</f>
        <v>1812.3388612300871</v>
      </c>
      <c r="BS53" s="50">
        <f xml:space="preserve"> 'WK2013'!FP63</f>
        <v>2398.3792808300868</v>
      </c>
      <c r="BT53" s="61">
        <f xml:space="preserve"> 'WK2013'!FK63</f>
        <v>0.74841981987804196</v>
      </c>
      <c r="BV53" s="50">
        <f xml:space="preserve"> 'WK2013'!FW63</f>
        <v>574.97034059999999</v>
      </c>
      <c r="BW53" s="50">
        <f xml:space="preserve"> 'WK2013'!FX63</f>
        <v>715.21243980000008</v>
      </c>
      <c r="BX53" s="50">
        <f xml:space="preserve"> 'WK2013'!GA63</f>
        <v>574.98941797046496</v>
      </c>
      <c r="BY53" s="50">
        <f xml:space="preserve"> 'WK2013'!GB63</f>
        <v>715.19707717046504</v>
      </c>
      <c r="BZ53" s="50">
        <f xml:space="preserve"> 'WK2013'!GC63</f>
        <v>575.02358571479988</v>
      </c>
      <c r="CA53" s="50">
        <f xml:space="preserve"> 'WK2013'!GD63</f>
        <v>715.23124491479984</v>
      </c>
      <c r="CB53" s="61">
        <f xml:space="preserve"> 'WK2013'!FY63</f>
        <v>0.75634482649203072</v>
      </c>
      <c r="CD53" s="50">
        <f xml:space="preserve"> 'WK2013'!GK63</f>
        <v>199.21314150000001</v>
      </c>
      <c r="CE53" s="50">
        <f xml:space="preserve"> 'WK2013'!GL63</f>
        <v>238.84733850000001</v>
      </c>
      <c r="CF53" s="50">
        <f xml:space="preserve"> 'WK2013'!GO63</f>
        <v>199.04160096885516</v>
      </c>
      <c r="CG53" s="50">
        <f xml:space="preserve"> 'WK2013'!GP63</f>
        <v>239.04776046885516</v>
      </c>
      <c r="CH53" s="50">
        <f xml:space="preserve"> 'WK2013'!GQ63</f>
        <v>203.52873869691874</v>
      </c>
      <c r="CI53" s="50">
        <f xml:space="preserve"> 'WK2013'!GR63</f>
        <v>243.53489819691868</v>
      </c>
      <c r="CJ53" s="61">
        <f xml:space="preserve"> 'WK2013'!GM63</f>
        <v>0.76032973715689789</v>
      </c>
      <c r="CN53" s="50">
        <f xml:space="preserve"> 'WK2014'!EG63</f>
        <v>2978.5635279999997</v>
      </c>
      <c r="CO53" s="50">
        <f xml:space="preserve"> 'WK2014'!EH63</f>
        <v>3677.6007652000003</v>
      </c>
      <c r="CP53" s="50">
        <f xml:space="preserve"> 'WK2014'!EK63</f>
        <v>2979.1364980335838</v>
      </c>
      <c r="CQ53" s="50">
        <f xml:space="preserve"> 'WK2014'!EL63</f>
        <v>3675.5504420335833</v>
      </c>
      <c r="CR53" s="50">
        <f xml:space="preserve"> 'WK2014'!EM63</f>
        <v>3012.3014441983428</v>
      </c>
      <c r="CS53" s="50">
        <f xml:space="preserve"> 'WK2014'!EN63</f>
        <v>3708.7153881983431</v>
      </c>
      <c r="CT53" s="61">
        <f xml:space="preserve"> 'WK2014'!EI63</f>
        <v>0.76698657096229372</v>
      </c>
      <c r="CV53" s="50">
        <f xml:space="preserve"> 'WK2014'!EU63</f>
        <v>2405.1165384999995</v>
      </c>
      <c r="CW53" s="50">
        <f xml:space="preserve"> 'WK2014'!EV63</f>
        <v>3026.9779848000003</v>
      </c>
      <c r="CX53" s="50">
        <f xml:space="preserve"> 'WK2014'!EY63</f>
        <v>2409.7463463587378</v>
      </c>
      <c r="CY53" s="50">
        <f xml:space="preserve"> 'WK2014'!EZ63</f>
        <v>3023.7527943587374</v>
      </c>
      <c r="CZ53" s="50">
        <f xml:space="preserve"> 'WK2014'!FA63</f>
        <v>2441.1645723719498</v>
      </c>
      <c r="DA53" s="50">
        <f xml:space="preserve"> 'WK2014'!FB63</f>
        <v>3055.1710203719495</v>
      </c>
      <c r="DB53" s="61">
        <f xml:space="preserve"> 'WK2014'!EW63</f>
        <v>0.75805836785228209</v>
      </c>
      <c r="DC53" s="1"/>
      <c r="DD53" s="50">
        <f xml:space="preserve"> 'WK2014'!FI63</f>
        <v>1839.1598343999999</v>
      </c>
      <c r="DE53" s="50">
        <f xml:space="preserve"> 'WK2014'!FJ63</f>
        <v>2472.2271344000001</v>
      </c>
      <c r="DF53" s="50">
        <f xml:space="preserve"> 'WK2014'!FM63</f>
        <v>1839.2103939180142</v>
      </c>
      <c r="DG53" s="50">
        <f xml:space="preserve"> 'WK2014'!FN63</f>
        <v>2472.1744941180145</v>
      </c>
      <c r="DH53" s="50">
        <f xml:space="preserve"> 'WK2014'!FO63</f>
        <v>1863.04354957856</v>
      </c>
      <c r="DI53" s="50">
        <f xml:space="preserve"> 'WK2014'!FP63</f>
        <v>2496.0076497785599</v>
      </c>
      <c r="DJ53" s="61">
        <f xml:space="preserve"> 'WK2014'!FK63</f>
        <v>0.75114733280386714</v>
      </c>
      <c r="DK53" s="1"/>
      <c r="DL53" s="50">
        <f xml:space="preserve"> 'WK2014'!FW63</f>
        <v>560.13558000000012</v>
      </c>
      <c r="DM53" s="50">
        <f xml:space="preserve"> 'WK2014'!FX63</f>
        <v>705.15218720000007</v>
      </c>
      <c r="DN53" s="50">
        <f xml:space="preserve"> 'WK2014'!GA63</f>
        <v>560.15770891863599</v>
      </c>
      <c r="DO53" s="50">
        <f xml:space="preserve"> 'WK2014'!GB63</f>
        <v>705.13457091863597</v>
      </c>
      <c r="DP53" s="50">
        <f xml:space="preserve"> 'WK2014'!GC63</f>
        <v>560.18711870581376</v>
      </c>
      <c r="DQ53" s="50">
        <f xml:space="preserve"> 'WK2014'!GD63</f>
        <v>705.16398070581386</v>
      </c>
      <c r="DR53" s="61">
        <f xml:space="preserve"> 'WK2014'!FY63</f>
        <v>0.76138396011991349</v>
      </c>
      <c r="DS53" s="1"/>
      <c r="DT53" s="50">
        <f xml:space="preserve"> 'WK2014'!GK63</f>
        <v>217.35163500000004</v>
      </c>
      <c r="DU53" s="50">
        <f xml:space="preserve"> 'WK2014'!GL63</f>
        <v>237.56288849999999</v>
      </c>
      <c r="DV53" s="50">
        <f xml:space="preserve"> 'WK2014'!GO63</f>
        <v>217.32641777264112</v>
      </c>
      <c r="DW53" s="50">
        <f xml:space="preserve"> 'WK2014'!GP63</f>
        <v>237.59226602264107</v>
      </c>
      <c r="DX53" s="50">
        <f xml:space="preserve"> 'WK2014'!GQ63</f>
        <v>222.31886854310392</v>
      </c>
      <c r="DY53" s="50">
        <f xml:space="preserve"> 'WK2014'!GR63</f>
        <v>242.58471679310384</v>
      </c>
      <c r="DZ53" s="61">
        <f xml:space="preserve"> 'WK2014'!GM63</f>
        <v>0.76039714106658118</v>
      </c>
      <c r="ED53" s="50">
        <f xml:space="preserve"> 'WK2015'!EG63</f>
        <v>2895.4460411999999</v>
      </c>
      <c r="EE53" s="50">
        <f xml:space="preserve"> 'WK2015'!EH63</f>
        <v>3469.1782444000005</v>
      </c>
      <c r="EF53" s="50">
        <f xml:space="preserve"> 'WK2015'!EK63</f>
        <v>2895.4701117643576</v>
      </c>
      <c r="EG53" s="50">
        <f xml:space="preserve"> 'WK2015'!EL63</f>
        <v>3469.158722564358</v>
      </c>
      <c r="EH53" s="50">
        <f xml:space="preserve"> 'WK2015'!EM63</f>
        <v>2936.2244666114143</v>
      </c>
      <c r="EI53" s="50">
        <f xml:space="preserve"> 'WK2015'!EN63</f>
        <v>3509.9130774114155</v>
      </c>
      <c r="EJ53" s="61">
        <f xml:space="preserve"> 'WK2015'!EI63</f>
        <v>0.7696009823219665</v>
      </c>
      <c r="EK53" s="1"/>
      <c r="EL53" s="50">
        <f xml:space="preserve"> 'WK2015'!EU63</f>
        <v>2387.1162067999999</v>
      </c>
      <c r="EM53" s="50">
        <f xml:space="preserve"> 'WK2015'!EV63</f>
        <v>2998.3053806000003</v>
      </c>
      <c r="EN53" s="50">
        <f xml:space="preserve"> 'WK2015'!EY63</f>
        <v>2392.1823026450006</v>
      </c>
      <c r="EO53" s="50">
        <f xml:space="preserve"> 'WK2015'!EZ63</f>
        <v>2994.8088768450007</v>
      </c>
      <c r="EP53" s="50">
        <f xml:space="preserve"> 'WK2015'!FA63</f>
        <v>2423.9902196840249</v>
      </c>
      <c r="EQ53" s="50">
        <f xml:space="preserve"> 'WK2015'!FB63</f>
        <v>3026.6167938840254</v>
      </c>
      <c r="ER53" s="61">
        <f xml:space="preserve"> 'WK2015'!EW63</f>
        <v>0.76698454453140352</v>
      </c>
      <c r="ES53" s="1"/>
      <c r="ET53" s="50">
        <f xml:space="preserve"> 'WK2015'!FI63</f>
        <v>1948.0221930000002</v>
      </c>
      <c r="EU53" s="50">
        <f xml:space="preserve"> 'WK2015'!FJ63</f>
        <v>2610.0160215999999</v>
      </c>
      <c r="EV53" s="50">
        <f xml:space="preserve"> 'WK2015'!FM63</f>
        <v>1948.160187908635</v>
      </c>
      <c r="EW53" s="50">
        <f xml:space="preserve"> 'WK2015'!FN63</f>
        <v>2609.8553957086347</v>
      </c>
      <c r="EX53" s="50">
        <f xml:space="preserve"> 'WK2015'!FO63</f>
        <v>1972.5397981037534</v>
      </c>
      <c r="EY53" s="50">
        <f xml:space="preserve"> 'WK2015'!FP63</f>
        <v>2634.2350059037531</v>
      </c>
      <c r="EZ53" s="61">
        <f xml:space="preserve"> 'WK2015'!FK63</f>
        <v>0.75680266593821865</v>
      </c>
      <c r="FA53" s="1"/>
      <c r="FB53" s="50">
        <f xml:space="preserve"> 'WK2015'!FW63</f>
        <v>545.31745120000005</v>
      </c>
      <c r="FC53" s="50">
        <f xml:space="preserve"> 'WK2015'!FX63</f>
        <v>673.35432839999999</v>
      </c>
      <c r="FD53" s="50">
        <f xml:space="preserve"> 'WK2015'!GA63</f>
        <v>545.34152176435782</v>
      </c>
      <c r="FE53" s="50">
        <f xml:space="preserve"> 'WK2015'!GB63</f>
        <v>673.33480656435768</v>
      </c>
      <c r="FF53" s="50">
        <f xml:space="preserve"> 'WK2015'!GC63</f>
        <v>545.37023787007706</v>
      </c>
      <c r="FG53" s="50">
        <f xml:space="preserve"> 'WK2015'!GD63</f>
        <v>673.36352267007715</v>
      </c>
      <c r="FH53" s="61">
        <f xml:space="preserve"> 'WK2015'!FY63</f>
        <v>0.76979455272910335</v>
      </c>
      <c r="FI53" s="1"/>
      <c r="FJ53" s="50">
        <f xml:space="preserve"> 'WK2015'!GK63</f>
        <v>196.19144324999996</v>
      </c>
      <c r="FK53" s="50">
        <f xml:space="preserve"> 'WK2015'!GL63</f>
        <v>236.49989400000013</v>
      </c>
      <c r="FL53" s="50">
        <f xml:space="preserve"> 'WK2015'!GO63</f>
        <v>196.10250359785999</v>
      </c>
      <c r="FM53" s="50">
        <f xml:space="preserve"> 'WK2015'!GP63</f>
        <v>236.60875334786016</v>
      </c>
      <c r="FN53" s="50">
        <f xml:space="preserve"> 'WK2015'!GQ63</f>
        <v>201.4910892225995</v>
      </c>
      <c r="FO53" s="50">
        <f xml:space="preserve"> 'WK2015'!GR63</f>
        <v>241.99733897259975</v>
      </c>
      <c r="FP53" s="61">
        <f xml:space="preserve"> 'WK2015'!GM63</f>
        <v>0.76051110141181011</v>
      </c>
      <c r="FS53" s="283">
        <f xml:space="preserve"> 'WK2015'!H63</f>
        <v>1573.6774549999998</v>
      </c>
      <c r="FT53" s="283">
        <f xml:space="preserve"> 'WK2015'!I63</f>
        <v>2059.8406239999999</v>
      </c>
      <c r="FU53" s="283">
        <f xml:space="preserve"> 'WK2015'!L63</f>
        <v>1573.6774549999998</v>
      </c>
      <c r="FV53" s="283">
        <f xml:space="preserve"> 'WK2015'!M63</f>
        <v>2059.8406239999999</v>
      </c>
      <c r="FW53" s="283">
        <f xml:space="preserve"> 'WK2015'!N63</f>
        <v>1595.9738481656182</v>
      </c>
      <c r="FX53" s="283">
        <f xml:space="preserve"> 'WK2015'!O63</f>
        <v>2082.1370171656185</v>
      </c>
      <c r="FY53" s="284">
        <f xml:space="preserve"> 'WK2015'!P63</f>
        <v>0.7650003493557217</v>
      </c>
      <c r="GA53" s="283">
        <f xml:space="preserve"> 'WK2015'!HB63</f>
        <v>1059.40227</v>
      </c>
      <c r="GB53" s="283">
        <f xml:space="preserve"> 'WK2015'!HC63</f>
        <v>1690.2018879999998</v>
      </c>
      <c r="GC53" s="283">
        <f xml:space="preserve"> 'WK2015'!HF63</f>
        <v>1061.8487324060989</v>
      </c>
      <c r="GD53" s="283">
        <f xml:space="preserve"> 'WK2015'!HG63</f>
        <v>1683.4995184060986</v>
      </c>
      <c r="GE53" s="283">
        <f xml:space="preserve"> 'WK2015'!HH63</f>
        <v>1074.22766354957</v>
      </c>
      <c r="GF53" s="283">
        <f xml:space="preserve"> 'WK2015'!HI63</f>
        <v>1695.8784495495697</v>
      </c>
      <c r="GG53" s="284">
        <f xml:space="preserve"> 'WK2015'!HJ63</f>
        <v>0.73259292485655814</v>
      </c>
      <c r="GI53" s="283">
        <f xml:space="preserve"> 'WK2015'!HQ63</f>
        <v>952.663635</v>
      </c>
      <c r="GJ53" s="283">
        <f xml:space="preserve"> 'WK2015'!HR63</f>
        <v>1168.491051</v>
      </c>
      <c r="GK53" s="283">
        <f xml:space="preserve"> 'WK2015'!HU63</f>
        <v>952.663635</v>
      </c>
      <c r="GL53" s="283">
        <f xml:space="preserve"> 'WK2015'!HV63</f>
        <v>1168.491051</v>
      </c>
      <c r="GM53" s="283">
        <f xml:space="preserve"> 'WK2015'!HW63</f>
        <v>955.66868352670292</v>
      </c>
      <c r="GN53" s="283">
        <f xml:space="preserve"> 'WK2015'!HX63</f>
        <v>1171.4960995267029</v>
      </c>
      <c r="GO53" s="284">
        <f xml:space="preserve"> 'WK2015'!HY63</f>
        <v>0.79997440171996415</v>
      </c>
    </row>
    <row r="54" spans="1:197" x14ac:dyDescent="0.2">
      <c r="A54" s="3">
        <f>Basis!A54</f>
        <v>54</v>
      </c>
      <c r="D54" s="252" t="e">
        <v>#N/A</v>
      </c>
      <c r="E54" s="252" t="e">
        <v>#N/A</v>
      </c>
      <c r="H54" s="50">
        <f xml:space="preserve"> 'WK2012'!EG64</f>
        <v>3013.7656048671929</v>
      </c>
      <c r="I54" s="50">
        <f xml:space="preserve"> 'WK2012'!EH64</f>
        <v>4252.0905472520635</v>
      </c>
      <c r="J54" s="50">
        <f xml:space="preserve"> 'WK2012'!EK64</f>
        <v>3014.5666147749716</v>
      </c>
      <c r="K54" s="50">
        <f xml:space="preserve"> 'WK2012'!EL64</f>
        <v>4251.3218544126557</v>
      </c>
      <c r="L54" s="50">
        <f xml:space="preserve"> 'WK2012'!EM64</f>
        <v>3058.8462359837877</v>
      </c>
      <c r="M54" s="50">
        <f xml:space="preserve"> 'WK2012'!EN64</f>
        <v>4295.6014756214718</v>
      </c>
      <c r="N54" s="61">
        <f xml:space="preserve"> 'WK2012'!EI64</f>
        <v>0.75037906663689291</v>
      </c>
      <c r="P54" s="50">
        <f xml:space="preserve"> 'WK2012'!EU64</f>
        <v>2578.913124513123</v>
      </c>
      <c r="Q54" s="50">
        <f xml:space="preserve"> 'WK2012'!EV64</f>
        <v>3510.0438548827051</v>
      </c>
      <c r="R54" s="50">
        <f xml:space="preserve"> 'WK2012'!EY64</f>
        <v>2580.1147784436516</v>
      </c>
      <c r="S54" s="50">
        <f xml:space="preserve"> 'WK2012'!EZ64</f>
        <v>3508.9113135003845</v>
      </c>
      <c r="T54" s="50">
        <f xml:space="preserve"> 'WK2012'!FA64</f>
        <v>2614.9818003767327</v>
      </c>
      <c r="U54" s="50">
        <f xml:space="preserve"> 'WK2012'!FB64</f>
        <v>3543.7783354334656</v>
      </c>
      <c r="V54" s="61">
        <f xml:space="preserve"> 'WK2012'!EW64</f>
        <v>0.75405341984115348</v>
      </c>
      <c r="X54" s="50">
        <f xml:space="preserve"> 'WK2012'!FI64</f>
        <v>1600.9748976290887</v>
      </c>
      <c r="Y54" s="50">
        <f xml:space="preserve"> 'WK2012'!FJ64</f>
        <v>2239.9055620556242</v>
      </c>
      <c r="Z54" s="50">
        <f xml:space="preserve"> 'WK2012'!FM64</f>
        <v>1601.0706159942119</v>
      </c>
      <c r="AA54" s="50">
        <f xml:space="preserve"> 'WK2012'!FN64</f>
        <v>2239.8051361538733</v>
      </c>
      <c r="AB54" s="50">
        <f xml:space="preserve"> 'WK2012'!FO64</f>
        <v>1624.3133034190037</v>
      </c>
      <c r="AC54" s="50">
        <f xml:space="preserve"> 'WK2012'!FP64</f>
        <v>2263.047823578665</v>
      </c>
      <c r="AD54" s="61">
        <f xml:space="preserve"> 'WK2012'!FK64</f>
        <v>0.74896981527946682</v>
      </c>
      <c r="AF54" s="50">
        <f xml:space="preserve"> 'WK2012'!FW64</f>
        <v>177.25039422896816</v>
      </c>
      <c r="AG54" s="50">
        <f xml:space="preserve"> 'WK2012'!FX64</f>
        <v>219.41020198789508</v>
      </c>
      <c r="AH54" s="50">
        <f xml:space="preserve"> 'WK2012'!GA64</f>
        <v>177.88515661735818</v>
      </c>
      <c r="AI54" s="50">
        <f xml:space="preserve"> 'WK2012'!GB64</f>
        <v>218.80876174400385</v>
      </c>
      <c r="AJ54" s="50">
        <f xml:space="preserve"> 'WK2012'!GC64</f>
        <v>181.17265913043676</v>
      </c>
      <c r="AK54" s="50">
        <f xml:space="preserve"> 'WK2012'!GD64</f>
        <v>222.09626425708242</v>
      </c>
      <c r="AL54" s="61">
        <f xml:space="preserve"> 'WK2012'!FY64</f>
        <v>0.74915993263260661</v>
      </c>
      <c r="AN54" s="50">
        <f xml:space="preserve"> 'WK2012'!GK64</f>
        <v>455.23708821688001</v>
      </c>
      <c r="AO54" s="50">
        <f xml:space="preserve"> 'WK2012'!GL64</f>
        <v>562.61265007763529</v>
      </c>
      <c r="AP54" s="50">
        <f xml:space="preserve"> 'WK2012'!GO64</f>
        <v>455.23708821688001</v>
      </c>
      <c r="AQ54" s="50">
        <f xml:space="preserve"> 'WK2012'!GP64</f>
        <v>562.61265007763529</v>
      </c>
      <c r="AR54" s="50">
        <f xml:space="preserve"> 'WK2012'!GQ64</f>
        <v>455.87183612318273</v>
      </c>
      <c r="AS54" s="50">
        <f xml:space="preserve"> 'WK2012'!GR64</f>
        <v>563.24739798393807</v>
      </c>
      <c r="AT54" s="61">
        <f xml:space="preserve"> 'WK2012'!GM64</f>
        <v>0.7508640610032814</v>
      </c>
      <c r="AX54" s="50">
        <f xml:space="preserve"> 'WK2013'!EG64</f>
        <v>3102.7375993999999</v>
      </c>
      <c r="AY54" s="50">
        <f xml:space="preserve"> 'WK2013'!EH64</f>
        <v>3806.1254164000006</v>
      </c>
      <c r="AZ54" s="50">
        <f xml:space="preserve"> 'WK2013'!EK64</f>
        <v>3103.6101797665488</v>
      </c>
      <c r="BA54" s="50">
        <f xml:space="preserve"> 'WK2013'!EL64</f>
        <v>3804.256030766549</v>
      </c>
      <c r="BB54" s="50">
        <f xml:space="preserve"> 'WK2013'!EM64</f>
        <v>3145.9379136958432</v>
      </c>
      <c r="BC54" s="50">
        <f xml:space="preserve"> 'WK2013'!EN64</f>
        <v>3846.5837646958435</v>
      </c>
      <c r="BD54" s="61">
        <f xml:space="preserve"> 'WK2013'!EI64</f>
        <v>0.74713513587628322</v>
      </c>
      <c r="BF54" s="50">
        <f xml:space="preserve"> 'WK2013'!EU64</f>
        <v>2587.5933860999999</v>
      </c>
      <c r="BG54" s="50">
        <f xml:space="preserve"> 'WK2013'!EV64</f>
        <v>3169.6818146000001</v>
      </c>
      <c r="BH54" s="50">
        <f xml:space="preserve"> 'WK2013'!EY64</f>
        <v>2590.0884835350589</v>
      </c>
      <c r="BI54" s="50">
        <f xml:space="preserve"> 'WK2013'!EZ64</f>
        <v>3167.8797430350587</v>
      </c>
      <c r="BJ54" s="50">
        <f xml:space="preserve"> 'WK2013'!FA64</f>
        <v>2623.1800719623234</v>
      </c>
      <c r="BK54" s="50">
        <f xml:space="preserve"> 'WK2013'!FB64</f>
        <v>3200.9713314623241</v>
      </c>
      <c r="BL54" s="61">
        <f xml:space="preserve"> 'WK2013'!EW64</f>
        <v>0.75567800105529992</v>
      </c>
      <c r="BN54" s="50">
        <f xml:space="preserve"> 'WK2013'!FI64</f>
        <v>1912.1015193999999</v>
      </c>
      <c r="BO54" s="50">
        <f xml:space="preserve"> 'WK2013'!FJ64</f>
        <v>2449.8848871999999</v>
      </c>
      <c r="BP54" s="50">
        <f xml:space="preserve"> 'WK2013'!FM64</f>
        <v>1912.2656867614733</v>
      </c>
      <c r="BQ54" s="50">
        <f xml:space="preserve"> 'WK2013'!FN64</f>
        <v>2449.6897475614733</v>
      </c>
      <c r="BR54" s="50">
        <f xml:space="preserve"> 'WK2013'!FO64</f>
        <v>1939.9253516300869</v>
      </c>
      <c r="BS54" s="50">
        <f xml:space="preserve"> 'WK2013'!FP64</f>
        <v>2477.3494124300869</v>
      </c>
      <c r="BT54" s="61">
        <f xml:space="preserve"> 'WK2013'!FK64</f>
        <v>0.75029103483539006</v>
      </c>
      <c r="BV54" s="50">
        <f xml:space="preserve"> 'WK2013'!FW64</f>
        <v>594.58908339999994</v>
      </c>
      <c r="BW54" s="50">
        <f xml:space="preserve"> 'WK2013'!FX64</f>
        <v>729.3848074</v>
      </c>
      <c r="BX54" s="50">
        <f xml:space="preserve"> 'WK2013'!GA64</f>
        <v>594.6062431894959</v>
      </c>
      <c r="BY54" s="50">
        <f xml:space="preserve"> 'WK2013'!GB64</f>
        <v>729.37080718949596</v>
      </c>
      <c r="BZ54" s="50">
        <f xml:space="preserve"> 'WK2013'!GC64</f>
        <v>594.64232851479983</v>
      </c>
      <c r="CA54" s="50">
        <f xml:space="preserve"> 'WK2013'!GD64</f>
        <v>729.40689251479989</v>
      </c>
      <c r="CB54" s="61">
        <f xml:space="preserve"> 'WK2013'!FY64</f>
        <v>0.75684885690588122</v>
      </c>
      <c r="CD54" s="50">
        <f xml:space="preserve"> 'WK2013'!GK64</f>
        <v>210.75968100000003</v>
      </c>
      <c r="CE54" s="50">
        <f xml:space="preserve"> 'WK2013'!GL64</f>
        <v>253.62080925000004</v>
      </c>
      <c r="CF54" s="50">
        <f xml:space="preserve"> 'WK2013'!GO64</f>
        <v>210.64570994735348</v>
      </c>
      <c r="CG54" s="50">
        <f xml:space="preserve"> 'WK2013'!GP64</f>
        <v>253.75977269735353</v>
      </c>
      <c r="CH54" s="50">
        <f xml:space="preserve"> 'WK2013'!GQ64</f>
        <v>215.07527819691876</v>
      </c>
      <c r="CI54" s="50">
        <f xml:space="preserve"> 'WK2013'!GR64</f>
        <v>258.18934094691872</v>
      </c>
      <c r="CJ54" s="61">
        <f xml:space="preserve"> 'WK2013'!GM64</f>
        <v>0.76245480629975826</v>
      </c>
      <c r="CN54" s="50">
        <f xml:space="preserve"> 'WK2014'!EG64</f>
        <v>3139.0980672000001</v>
      </c>
      <c r="CO54" s="50">
        <f xml:space="preserve"> 'WK2014'!EH64</f>
        <v>3791.7882988000001</v>
      </c>
      <c r="CP54" s="50">
        <f xml:space="preserve"> 'WK2014'!EK64</f>
        <v>3139.734123025351</v>
      </c>
      <c r="CQ54" s="50">
        <f xml:space="preserve"> 'WK2014'!EL64</f>
        <v>3789.5149416253516</v>
      </c>
      <c r="CR54" s="50">
        <f xml:space="preserve"> 'WK2014'!EM64</f>
        <v>3172.8359833983423</v>
      </c>
      <c r="CS54" s="50">
        <f xml:space="preserve"> 'WK2014'!EN64</f>
        <v>3822.6168019983434</v>
      </c>
      <c r="CT54" s="61">
        <f xml:space="preserve"> 'WK2014'!EI64</f>
        <v>0.76419733351212904</v>
      </c>
      <c r="CV54" s="50">
        <f xml:space="preserve"> 'WK2014'!EU64</f>
        <v>2558.2679998000003</v>
      </c>
      <c r="CW54" s="50">
        <f xml:space="preserve"> 'WK2014'!EV64</f>
        <v>3136.1412672000001</v>
      </c>
      <c r="CX54" s="50">
        <f xml:space="preserve"> 'WK2014'!EY64</f>
        <v>2562.2265659927516</v>
      </c>
      <c r="CY54" s="50">
        <f xml:space="preserve"> 'WK2014'!EZ64</f>
        <v>3133.3125593927516</v>
      </c>
      <c r="CZ54" s="50">
        <f xml:space="preserve"> 'WK2014'!FA64</f>
        <v>2594.3160336719498</v>
      </c>
      <c r="DA54" s="50">
        <f xml:space="preserve"> 'WK2014'!FB64</f>
        <v>3165.4020270719502</v>
      </c>
      <c r="DB54" s="61">
        <f xml:space="preserve"> 'WK2014'!EW64</f>
        <v>0.75449788967079068</v>
      </c>
      <c r="DC54" s="1"/>
      <c r="DD54" s="50">
        <f xml:space="preserve"> 'WK2014'!FI64</f>
        <v>1972.352216</v>
      </c>
      <c r="DE54" s="50">
        <f xml:space="preserve"> 'WK2014'!FJ64</f>
        <v>2541.2906432</v>
      </c>
      <c r="DF54" s="50">
        <f xml:space="preserve"> 'WK2014'!FM64</f>
        <v>1972.3988862063034</v>
      </c>
      <c r="DG54" s="50">
        <f xml:space="preserve"> 'WK2014'!FN64</f>
        <v>2541.2393864063038</v>
      </c>
      <c r="DH54" s="50">
        <f xml:space="preserve"> 'WK2014'!FO64</f>
        <v>1996.2359311785599</v>
      </c>
      <c r="DI54" s="50">
        <f xml:space="preserve"> 'WK2014'!FP64</f>
        <v>2565.0764313785603</v>
      </c>
      <c r="DJ54" s="61">
        <f xml:space="preserve"> 'WK2014'!FK64</f>
        <v>0.74935631923235868</v>
      </c>
      <c r="DK54" s="1"/>
      <c r="DL54" s="50">
        <f xml:space="preserve"> 'WK2014'!FW64</f>
        <v>579.09942720000004</v>
      </c>
      <c r="DM54" s="50">
        <f xml:space="preserve"> 'WK2014'!FX64</f>
        <v>719.87020080000002</v>
      </c>
      <c r="DN54" s="50">
        <f xml:space="preserve"> 'WK2014'!GA64</f>
        <v>579.11867154657307</v>
      </c>
      <c r="DO54" s="50">
        <f xml:space="preserve"> 'WK2014'!GB64</f>
        <v>719.85468414657316</v>
      </c>
      <c r="DP54" s="50">
        <f xml:space="preserve"> 'WK2014'!GC64</f>
        <v>579.15096590581379</v>
      </c>
      <c r="DQ54" s="50">
        <f xml:space="preserve"> 'WK2014'!GD64</f>
        <v>719.88697850581366</v>
      </c>
      <c r="DR54" s="61">
        <f xml:space="preserve"> 'WK2014'!FY64</f>
        <v>0.7581123104785199</v>
      </c>
      <c r="DS54" s="1"/>
      <c r="DT54" s="50">
        <f xml:space="preserve"> 'WK2014'!GK64</f>
        <v>235.910766</v>
      </c>
      <c r="DU54" s="50">
        <f xml:space="preserve"> 'WK2014'!GL64</f>
        <v>257.60109450000004</v>
      </c>
      <c r="DV54" s="50">
        <f xml:space="preserve"> 'WK2014'!GO64</f>
        <v>235.8861871406576</v>
      </c>
      <c r="DW54" s="50">
        <f xml:space="preserve"> 'WK2014'!GP64</f>
        <v>257.63111039065768</v>
      </c>
      <c r="DX54" s="50">
        <f xml:space="preserve"> 'WK2014'!GQ64</f>
        <v>240.87799954310381</v>
      </c>
      <c r="DY54" s="50">
        <f xml:space="preserve"> 'WK2014'!GR64</f>
        <v>262.62292279310395</v>
      </c>
      <c r="DZ54" s="61">
        <f xml:space="preserve"> 'WK2014'!GM64</f>
        <v>0.75791595001312795</v>
      </c>
      <c r="ED54" s="50">
        <f xml:space="preserve"> 'WK2015'!EG64</f>
        <v>3053.5692375999997</v>
      </c>
      <c r="EE54" s="50">
        <f xml:space="preserve"> 'WK2015'!EH64</f>
        <v>3568.2478150000002</v>
      </c>
      <c r="EF54" s="50">
        <f xml:space="preserve"> 'WK2015'!EK64</f>
        <v>3053.5910279321865</v>
      </c>
      <c r="EG54" s="50">
        <f xml:space="preserve"> 'WK2015'!EL64</f>
        <v>3568.2299293321862</v>
      </c>
      <c r="EH54" s="50">
        <f xml:space="preserve"> 'WK2015'!EM64</f>
        <v>3094.3476630114151</v>
      </c>
      <c r="EI54" s="50">
        <f xml:space="preserve"> 'WK2015'!EN64</f>
        <v>3608.9865644114152</v>
      </c>
      <c r="EJ54" s="61">
        <f xml:space="preserve"> 'WK2015'!EI64</f>
        <v>0.76574093393985676</v>
      </c>
      <c r="EK54" s="1"/>
      <c r="EL54" s="50">
        <f xml:space="preserve"> 'WK2015'!EU64</f>
        <v>2535.7107979000002</v>
      </c>
      <c r="EM54" s="50">
        <f xml:space="preserve"> 'WK2015'!EV64</f>
        <v>3108.6212570000002</v>
      </c>
      <c r="EN54" s="50">
        <f xml:space="preserve"> 'WK2015'!EY64</f>
        <v>2540.3846455205612</v>
      </c>
      <c r="EO54" s="50">
        <f xml:space="preserve"> 'WK2015'!EZ64</f>
        <v>3105.3202246205606</v>
      </c>
      <c r="EP54" s="50">
        <f xml:space="preserve"> 'WK2015'!FA64</f>
        <v>2572.5848107840256</v>
      </c>
      <c r="EQ54" s="50">
        <f xml:space="preserve"> 'WK2015'!FB64</f>
        <v>3137.5203898840255</v>
      </c>
      <c r="ER54" s="61">
        <f xml:space="preserve"> 'WK2015'!EW64</f>
        <v>0.76359591246740743</v>
      </c>
      <c r="ES54" s="1"/>
      <c r="ET54" s="50">
        <f xml:space="preserve"> 'WK2015'!FI64</f>
        <v>2088.8232983999997</v>
      </c>
      <c r="EU54" s="50">
        <f xml:space="preserve"> 'WK2015'!FJ64</f>
        <v>2713.2458171999997</v>
      </c>
      <c r="EV54" s="50">
        <f xml:space="preserve"> 'WK2015'!FM64</f>
        <v>2088.9562788550074</v>
      </c>
      <c r="EW54" s="50">
        <f xml:space="preserve"> 'WK2015'!FN64</f>
        <v>2713.0851760550077</v>
      </c>
      <c r="EX54" s="50">
        <f xml:space="preserve"> 'WK2015'!FO64</f>
        <v>2113.340903503753</v>
      </c>
      <c r="EY54" s="50">
        <f xml:space="preserve"> 'WK2015'!FP64</f>
        <v>2737.4698007037528</v>
      </c>
      <c r="EZ54" s="61">
        <f xml:space="preserve"> 'WK2015'!FK64</f>
        <v>0.75445539364309211</v>
      </c>
      <c r="FA54" s="1"/>
      <c r="FB54" s="50">
        <f xml:space="preserve"> 'WK2015'!FW64</f>
        <v>564.67615760000001</v>
      </c>
      <c r="FC54" s="50">
        <f xml:space="preserve"> 'WK2015'!FX64</f>
        <v>688.69041399999992</v>
      </c>
      <c r="FD54" s="50">
        <f xml:space="preserve"> 'WK2015'!GA64</f>
        <v>564.69794793218637</v>
      </c>
      <c r="FE54" s="50">
        <f xml:space="preserve"> 'WK2015'!GB64</f>
        <v>688.67252833218629</v>
      </c>
      <c r="FF54" s="50">
        <f xml:space="preserve"> 'WK2015'!GC64</f>
        <v>564.72894427007714</v>
      </c>
      <c r="FG54" s="50">
        <f xml:space="preserve"> 'WK2015'!GD64</f>
        <v>688.70352467007706</v>
      </c>
      <c r="FH54" s="61">
        <f xml:space="preserve"> 'WK2015'!FY64</f>
        <v>0.76624145031189239</v>
      </c>
      <c r="FI54" s="1"/>
      <c r="FJ54" s="50">
        <f xml:space="preserve"> 'WK2015'!GK64</f>
        <v>214.93929149999994</v>
      </c>
      <c r="FK54" s="50">
        <f xml:space="preserve"> 'WK2015'!GL64</f>
        <v>249.00594974999998</v>
      </c>
      <c r="FL54" s="50">
        <f xml:space="preserve"> 'WK2015'!GO64</f>
        <v>214.85193272271158</v>
      </c>
      <c r="FM54" s="50">
        <f xml:space="preserve"> 'WK2015'!GP64</f>
        <v>249.1163899727116</v>
      </c>
      <c r="FN54" s="50">
        <f xml:space="preserve"> 'WK2015'!GQ64</f>
        <v>220.23893747259947</v>
      </c>
      <c r="FO54" s="50">
        <f xml:space="preserve"> 'WK2015'!GR64</f>
        <v>254.50339472259952</v>
      </c>
      <c r="FP54" s="61">
        <f xml:space="preserve"> 'WK2015'!GM64</f>
        <v>0.7585667237259498</v>
      </c>
      <c r="FS54" s="283">
        <f xml:space="preserve"> 'WK2015'!H64</f>
        <v>1648.15292</v>
      </c>
      <c r="FT54" s="283">
        <f xml:space="preserve"> 'WK2015'!I64</f>
        <v>2109.2104920000002</v>
      </c>
      <c r="FU54" s="283">
        <f xml:space="preserve"> 'WK2015'!L64</f>
        <v>1648.15292</v>
      </c>
      <c r="FV54" s="283">
        <f xml:space="preserve"> 'WK2015'!M64</f>
        <v>2109.2104920000002</v>
      </c>
      <c r="FW54" s="283">
        <f xml:space="preserve"> 'WK2015'!N64</f>
        <v>1670.4493131656184</v>
      </c>
      <c r="FX54" s="283">
        <f xml:space="preserve"> 'WK2015'!O64</f>
        <v>2131.5068851656188</v>
      </c>
      <c r="FY54" s="284">
        <f xml:space="preserve"> 'WK2015'!P64</f>
        <v>0.75999688316978309</v>
      </c>
      <c r="GA54" s="283">
        <f xml:space="preserve"> 'WK2015'!HB64</f>
        <v>1125.541023</v>
      </c>
      <c r="GB54" s="283">
        <f xml:space="preserve"> 'WK2015'!HC64</f>
        <v>1739.4903909999998</v>
      </c>
      <c r="GC54" s="283">
        <f xml:space="preserve"> 'WK2015'!HF64</f>
        <v>1127.7359860064239</v>
      </c>
      <c r="GD54" s="283">
        <f xml:space="preserve"> 'WK2015'!HG64</f>
        <v>1733.6557940064238</v>
      </c>
      <c r="GE54" s="283">
        <f xml:space="preserve"> 'WK2015'!HH64</f>
        <v>1140.36641654957</v>
      </c>
      <c r="GF54" s="283">
        <f xml:space="preserve"> 'WK2015'!HI64</f>
        <v>1746.2862245495699</v>
      </c>
      <c r="GG54" s="284">
        <f xml:space="preserve"> 'WK2015'!HJ64</f>
        <v>0.72663969054046196</v>
      </c>
      <c r="GI54" s="283">
        <f xml:space="preserve"> 'WK2015'!HQ64</f>
        <v>1014.81352</v>
      </c>
      <c r="GJ54" s="283">
        <f xml:space="preserve"> 'WK2015'!HR64</f>
        <v>1237.125456</v>
      </c>
      <c r="GK54" s="283">
        <f xml:space="preserve"> 'WK2015'!HU64</f>
        <v>1014.81352</v>
      </c>
      <c r="GL54" s="283">
        <f xml:space="preserve"> 'WK2015'!HV64</f>
        <v>1237.125456</v>
      </c>
      <c r="GM54" s="283">
        <f xml:space="preserve"> 'WK2015'!HW64</f>
        <v>1017.818568526703</v>
      </c>
      <c r="GN54" s="283">
        <f xml:space="preserve"> 'WK2015'!HX64</f>
        <v>1240.1305045267029</v>
      </c>
      <c r="GO54" s="284">
        <f xml:space="preserve"> 'WK2015'!HY64</f>
        <v>0.80438909243843937</v>
      </c>
    </row>
    <row r="55" spans="1:197" x14ac:dyDescent="0.2">
      <c r="A55" s="3">
        <f>Basis!A55</f>
        <v>55</v>
      </c>
      <c r="D55" s="252" t="e">
        <v>#N/A</v>
      </c>
      <c r="E55" s="252" t="e">
        <v>#N/A</v>
      </c>
      <c r="H55" s="50">
        <f xml:space="preserve"> 'WK2012'!EG65</f>
        <v>3183.1275233647975</v>
      </c>
      <c r="I55" s="50">
        <f xml:space="preserve"> 'WK2012'!EH65</f>
        <v>4392.0558503592074</v>
      </c>
      <c r="J55" s="50">
        <f xml:space="preserve"> 'WK2012'!EK65</f>
        <v>3183.7501494905141</v>
      </c>
      <c r="K55" s="50">
        <f xml:space="preserve"> 'WK2012'!EL65</f>
        <v>4391.4398841389575</v>
      </c>
      <c r="L55" s="50">
        <f xml:space="preserve"> 'WK2012'!EM65</f>
        <v>3228.2081544813923</v>
      </c>
      <c r="M55" s="50">
        <f xml:space="preserve"> 'WK2012'!EN65</f>
        <v>4435.8978891298357</v>
      </c>
      <c r="N55" s="61">
        <f xml:space="preserve"> 'WK2012'!EI65</f>
        <v>0.74354757248888592</v>
      </c>
      <c r="P55" s="50">
        <f xml:space="preserve"> 'WK2012'!EU65</f>
        <v>2734.9681589772213</v>
      </c>
      <c r="Q55" s="50">
        <f xml:space="preserve"> 'WK2012'!EV65</f>
        <v>3621.6357687346426</v>
      </c>
      <c r="R55" s="50">
        <f xml:space="preserve"> 'WK2012'!EY65</f>
        <v>2735.8345790208245</v>
      </c>
      <c r="S55" s="50">
        <f xml:space="preserve"> 'WK2012'!EZ65</f>
        <v>3620.777157009235</v>
      </c>
      <c r="T55" s="50">
        <f xml:space="preserve"> 'WK2012'!FA65</f>
        <v>2771.036834840831</v>
      </c>
      <c r="U55" s="50">
        <f xml:space="preserve"> 'WK2012'!FB65</f>
        <v>3655.9794128292419</v>
      </c>
      <c r="V55" s="61">
        <f xml:space="preserve"> 'WK2012'!EW65</f>
        <v>0.74793668048381534</v>
      </c>
      <c r="X55" s="50">
        <f xml:space="preserve"> 'WK2012'!FI65</f>
        <v>1716.7803965190076</v>
      </c>
      <c r="Y55" s="50">
        <f xml:space="preserve"> 'WK2012'!FJ65</f>
        <v>2341.6681903282897</v>
      </c>
      <c r="Z55" s="50">
        <f xml:space="preserve"> 'WK2012'!FM65</f>
        <v>1716.8755385173927</v>
      </c>
      <c r="AA55" s="50">
        <f xml:space="preserve"> 'WK2012'!FN65</f>
        <v>2341.5671880598006</v>
      </c>
      <c r="AB55" s="50">
        <f xml:space="preserve"> 'WK2012'!FO65</f>
        <v>1740.1188023089226</v>
      </c>
      <c r="AC55" s="50">
        <f xml:space="preserve"> 'WK2012'!FP65</f>
        <v>2364.8104518513305</v>
      </c>
      <c r="AD55" s="61">
        <f xml:space="preserve"> 'WK2012'!FK65</f>
        <v>0.74377407907277626</v>
      </c>
      <c r="AF55" s="50">
        <f xml:space="preserve"> 'WK2012'!FW65</f>
        <v>195.61565380706645</v>
      </c>
      <c r="AG55" s="50">
        <f xml:space="preserve"> 'WK2012'!FX65</f>
        <v>226.63980712395366</v>
      </c>
      <c r="AH55" s="50">
        <f xml:space="preserve"> 'WK2012'!GA65</f>
        <v>196.09038952166452</v>
      </c>
      <c r="AI55" s="50">
        <f xml:space="preserve"> 'WK2012'!GB65</f>
        <v>226.17633956736873</v>
      </c>
      <c r="AJ55" s="50">
        <f xml:space="preserve"> 'WK2012'!GC65</f>
        <v>199.53791870853505</v>
      </c>
      <c r="AK55" s="50">
        <f xml:space="preserve"> 'WK2012'!GD65</f>
        <v>229.62386875423923</v>
      </c>
      <c r="AL55" s="61">
        <f xml:space="preserve"> 'WK2012'!FY65</f>
        <v>0.74761479276255416</v>
      </c>
      <c r="AN55" s="50">
        <f xml:space="preserve"> 'WK2012'!GK65</f>
        <v>465.10281587904444</v>
      </c>
      <c r="AO55" s="50">
        <f xml:space="preserve"> 'WK2012'!GL65</f>
        <v>571.73436820842369</v>
      </c>
      <c r="AP55" s="50">
        <f xml:space="preserve"> 'WK2012'!GO65</f>
        <v>465.10281587904444</v>
      </c>
      <c r="AQ55" s="50">
        <f xml:space="preserve"> 'WK2012'!GP65</f>
        <v>571.73436820842369</v>
      </c>
      <c r="AR55" s="50">
        <f xml:space="preserve"> 'WK2012'!GQ65</f>
        <v>465.73756378534716</v>
      </c>
      <c r="AS55" s="50">
        <f xml:space="preserve"> 'WK2012'!GR65</f>
        <v>572.36911611472647</v>
      </c>
      <c r="AT55" s="61">
        <f xml:space="preserve"> 'WK2012'!GM65</f>
        <v>0.74201342016100069</v>
      </c>
      <c r="AX55" s="50">
        <f xml:space="preserve"> 'WK2013'!EG65</f>
        <v>3271.0336768000002</v>
      </c>
      <c r="AY55" s="50">
        <f xml:space="preserve"> 'WK2013'!EH65</f>
        <v>3925.5670178000005</v>
      </c>
      <c r="AZ55" s="50">
        <f xml:space="preserve"> 'WK2013'!EK65</f>
        <v>3271.8410146811375</v>
      </c>
      <c r="BA55" s="50">
        <f xml:space="preserve"> 'WK2013'!EL65</f>
        <v>3923.9269986811378</v>
      </c>
      <c r="BB55" s="50">
        <f xml:space="preserve"> 'WK2013'!EM65</f>
        <v>3314.2339910958435</v>
      </c>
      <c r="BC55" s="50">
        <f xml:space="preserve"> 'WK2013'!EN65</f>
        <v>3966.3199750958438</v>
      </c>
      <c r="BD55" s="61">
        <f xml:space="preserve"> 'WK2013'!EI65</f>
        <v>0.73899359213394467</v>
      </c>
      <c r="BF55" s="50">
        <f xml:space="preserve"> 'WK2013'!EU65</f>
        <v>2749.2804541999999</v>
      </c>
      <c r="BG55" s="50">
        <f xml:space="preserve"> 'WK2013'!EV65</f>
        <v>3287.2121901999999</v>
      </c>
      <c r="BH55" s="50">
        <f xml:space="preserve"> 'WK2013'!EY65</f>
        <v>2751.26680197416</v>
      </c>
      <c r="BI55" s="50">
        <f xml:space="preserve"> 'WK2013'!EZ65</f>
        <v>3285.7458524741601</v>
      </c>
      <c r="BJ55" s="50">
        <f xml:space="preserve"> 'WK2013'!FA65</f>
        <v>2784.8671400623234</v>
      </c>
      <c r="BK55" s="50">
        <f xml:space="preserve"> 'WK2013'!FB65</f>
        <v>3319.3461905623235</v>
      </c>
      <c r="BL55" s="61">
        <f xml:space="preserve"> 'WK2013'!EW65</f>
        <v>0.74910822906921481</v>
      </c>
      <c r="BN55" s="50">
        <f xml:space="preserve"> 'WK2013'!FI65</f>
        <v>2044.7827084</v>
      </c>
      <c r="BO55" s="50">
        <f xml:space="preserve"> 'WK2013'!FJ65</f>
        <v>2535.2574088000001</v>
      </c>
      <c r="BP55" s="50">
        <f xml:space="preserve"> 'WK2013'!FM65</f>
        <v>2044.893127731242</v>
      </c>
      <c r="BQ55" s="50">
        <f xml:space="preserve"> 'WK2013'!FN65</f>
        <v>2535.1223047312419</v>
      </c>
      <c r="BR55" s="50">
        <f xml:space="preserve"> 'WK2013'!FO65</f>
        <v>2072.6065406300868</v>
      </c>
      <c r="BS55" s="50">
        <f xml:space="preserve"> 'WK2013'!FP65</f>
        <v>2562.8357176300865</v>
      </c>
      <c r="BT55" s="61">
        <f xml:space="preserve"> 'WK2013'!FK65</f>
        <v>0.74398216723334776</v>
      </c>
      <c r="BV55" s="50">
        <f xml:space="preserve"> 'WK2013'!FW65</f>
        <v>611.83196279999993</v>
      </c>
      <c r="BW55" s="50">
        <f xml:space="preserve"> 'WK2013'!FX65</f>
        <v>742.04282480000006</v>
      </c>
      <c r="BX55" s="50">
        <f xml:space="preserve"> 'WK2013'!GA65</f>
        <v>611.84742772586117</v>
      </c>
      <c r="BY55" s="50">
        <f xml:space="preserve"> 'WK2013'!GB65</f>
        <v>742.03006972586127</v>
      </c>
      <c r="BZ55" s="50">
        <f xml:space="preserve"> 'WK2013'!GC65</f>
        <v>611.88520791479982</v>
      </c>
      <c r="CA55" s="50">
        <f xml:space="preserve"> 'WK2013'!GD65</f>
        <v>742.06784991480004</v>
      </c>
      <c r="CB55" s="61">
        <f xml:space="preserve"> 'WK2013'!FY65</f>
        <v>0.74986075185765555</v>
      </c>
      <c r="CD55" s="50">
        <f xml:space="preserve"> 'WK2013'!GK65</f>
        <v>224.58935700000004</v>
      </c>
      <c r="CE55" s="50">
        <f xml:space="preserve"> 'WK2013'!GL65</f>
        <v>268.64662049999998</v>
      </c>
      <c r="CF55" s="50">
        <f xml:space="preserve"> 'WK2013'!GO65</f>
        <v>224.51371024687259</v>
      </c>
      <c r="CG55" s="50">
        <f xml:space="preserve"> 'WK2013'!GP65</f>
        <v>268.74207649687253</v>
      </c>
      <c r="CH55" s="50">
        <f xml:space="preserve"> 'WK2013'!GQ65</f>
        <v>228.90495419691877</v>
      </c>
      <c r="CI55" s="50">
        <f xml:space="preserve"> 'WK2013'!GR65</f>
        <v>273.13332044691867</v>
      </c>
      <c r="CJ55" s="61">
        <f xml:space="preserve"> 'WK2013'!GM65</f>
        <v>0.75581445564247152</v>
      </c>
      <c r="CN55" s="50">
        <f xml:space="preserve"> 'WK2014'!EG65</f>
        <v>3308.4554832000003</v>
      </c>
      <c r="CO55" s="50">
        <f xml:space="preserve"> 'WK2014'!EH65</f>
        <v>3908.8171531999997</v>
      </c>
      <c r="CP55" s="50">
        <f xml:space="preserve"> 'WK2014'!EK65</f>
        <v>3309.0882016837595</v>
      </c>
      <c r="CQ55" s="50">
        <f xml:space="preserve"> 'WK2014'!EL65</f>
        <v>3906.5095450837593</v>
      </c>
      <c r="CR55" s="50">
        <f xml:space="preserve"> 'WK2014'!EM65</f>
        <v>3342.1933993983425</v>
      </c>
      <c r="CS55" s="50">
        <f xml:space="preserve"> 'WK2014'!EN65</f>
        <v>3939.6147427983428</v>
      </c>
      <c r="CT55" s="61">
        <f xml:space="preserve"> 'WK2014'!EI65</f>
        <v>0.76436161949046999</v>
      </c>
      <c r="CV55" s="50">
        <f xml:space="preserve"> 'WK2014'!EU65</f>
        <v>2716.2854483000006</v>
      </c>
      <c r="CW55" s="50">
        <f xml:space="preserve"> 'WK2014'!EV65</f>
        <v>3241.8179078000003</v>
      </c>
      <c r="CX55" s="50">
        <f xml:space="preserve"> 'WK2014'!EY65</f>
        <v>2719.3430109602846</v>
      </c>
      <c r="CY55" s="50">
        <f xml:space="preserve"> 'WK2014'!EZ65</f>
        <v>3239.5772255602847</v>
      </c>
      <c r="CZ55" s="50">
        <f xml:space="preserve"> 'WK2014'!FA65</f>
        <v>2752.3334821719495</v>
      </c>
      <c r="DA55" s="50">
        <f xml:space="preserve"> 'WK2014'!FB65</f>
        <v>3272.5676967719496</v>
      </c>
      <c r="DB55" s="61">
        <f xml:space="preserve"> 'WK2014'!EW65</f>
        <v>0.75521486887549161</v>
      </c>
      <c r="DC55" s="1"/>
      <c r="DD55" s="50">
        <f xml:space="preserve"> 'WK2014'!FI65</f>
        <v>2112.4586247999996</v>
      </c>
      <c r="DE55" s="50">
        <f xml:space="preserve"> 'WK2014'!FJ65</f>
        <v>2606.1819532</v>
      </c>
      <c r="DF55" s="50">
        <f xml:space="preserve"> 'WK2014'!FM65</f>
        <v>2112.5013312361525</v>
      </c>
      <c r="DG55" s="50">
        <f xml:space="preserve"> 'WK2014'!FN65</f>
        <v>2606.1322808361529</v>
      </c>
      <c r="DH55" s="50">
        <f xml:space="preserve"> 'WK2014'!FO65</f>
        <v>2136.3423399785597</v>
      </c>
      <c r="DI55" s="50">
        <f xml:space="preserve"> 'WK2014'!FP65</f>
        <v>2629.9732895785596</v>
      </c>
      <c r="DJ55" s="61">
        <f xml:space="preserve"> 'WK2014'!FK65</f>
        <v>0.74911752755801109</v>
      </c>
      <c r="DK55" s="1"/>
      <c r="DL55" s="50">
        <f xml:space="preserve"> 'WK2014'!FW65</f>
        <v>596.19391919999998</v>
      </c>
      <c r="DM55" s="50">
        <f xml:space="preserve"> 'WK2014'!FX65</f>
        <v>732.43531920000009</v>
      </c>
      <c r="DN55" s="50">
        <f xml:space="preserve"> 'WK2014'!GA65</f>
        <v>596.21005190916935</v>
      </c>
      <c r="DO55" s="50">
        <f xml:space="preserve"> 'WK2014'!GB65</f>
        <v>732.42216530916949</v>
      </c>
      <c r="DP55" s="50">
        <f xml:space="preserve"> 'WK2014'!GC65</f>
        <v>596.24545790581374</v>
      </c>
      <c r="DQ55" s="50">
        <f xml:space="preserve"> 'WK2014'!GD65</f>
        <v>732.45757130581387</v>
      </c>
      <c r="DR55" s="61">
        <f xml:space="preserve"> 'WK2014'!FY65</f>
        <v>0.75801438968785162</v>
      </c>
      <c r="DS55" s="1"/>
      <c r="DT55" s="50">
        <f xml:space="preserve"> 'WK2014'!GK65</f>
        <v>256.82750700000003</v>
      </c>
      <c r="DU55" s="50">
        <f xml:space="preserve"> 'WK2014'!GL65</f>
        <v>280.11594150000002</v>
      </c>
      <c r="DV55" s="50">
        <f xml:space="preserve"> 'WK2014'!GO65</f>
        <v>256.80354329429247</v>
      </c>
      <c r="DW55" s="50">
        <f xml:space="preserve"> 'WK2014'!GP65</f>
        <v>280.1465725442925</v>
      </c>
      <c r="DX55" s="50">
        <f xml:space="preserve"> 'WK2014'!GQ65</f>
        <v>261.79474054310384</v>
      </c>
      <c r="DY55" s="50">
        <f xml:space="preserve"> 'WK2014'!GR65</f>
        <v>285.13776979310387</v>
      </c>
      <c r="DZ55" s="61">
        <f xml:space="preserve"> 'WK2014'!GM65</f>
        <v>0.75768821527069752</v>
      </c>
      <c r="ED55" s="50">
        <f xml:space="preserve"> 'WK2015'!EG65</f>
        <v>3218.8660588000002</v>
      </c>
      <c r="EE55" s="50">
        <f xml:space="preserve"> 'WK2015'!EH65</f>
        <v>3667.5828786000002</v>
      </c>
      <c r="EF55" s="50">
        <f xml:space="preserve"> 'WK2015'!EK65</f>
        <v>3218.8849341594105</v>
      </c>
      <c r="EG55" s="50">
        <f xml:space="preserve"> 'WK2015'!EL65</f>
        <v>3667.5672243594108</v>
      </c>
      <c r="EH55" s="50">
        <f xml:space="preserve"> 'WK2015'!EM65</f>
        <v>3259.6444842114151</v>
      </c>
      <c r="EI55" s="50">
        <f xml:space="preserve"> 'WK2015'!EN65</f>
        <v>3708.3267744114155</v>
      </c>
      <c r="EJ55" s="61">
        <f xml:space="preserve"> 'WK2015'!EI65</f>
        <v>0.76251909164571496</v>
      </c>
      <c r="EK55" s="1"/>
      <c r="EL55" s="50">
        <f xml:space="preserve"> 'WK2015'!EU65</f>
        <v>2693.4112152000007</v>
      </c>
      <c r="EM55" s="50">
        <f xml:space="preserve"> 'WK2015'!EV65</f>
        <v>3211.8780333999998</v>
      </c>
      <c r="EN55" s="50">
        <f xml:space="preserve"> 'WK2015'!EY65</f>
        <v>2697.2154524085108</v>
      </c>
      <c r="EO55" s="50">
        <f xml:space="preserve"> 'WK2015'!EZ65</f>
        <v>3209.1181987085106</v>
      </c>
      <c r="EP55" s="50">
        <f xml:space="preserve"> 'WK2015'!FA65</f>
        <v>2730.2852280840252</v>
      </c>
      <c r="EQ55" s="50">
        <f xml:space="preserve"> 'WK2015'!FB65</f>
        <v>3242.187974384025</v>
      </c>
      <c r="ER55" s="61">
        <f xml:space="preserve"> 'WK2015'!EW65</f>
        <v>0.75934949533783613</v>
      </c>
      <c r="ES55" s="1"/>
      <c r="ET55" s="50">
        <f xml:space="preserve"> 'WK2015'!FI65</f>
        <v>2242.0774968000001</v>
      </c>
      <c r="EU55" s="50">
        <f xml:space="preserve"> 'WK2015'!FJ65</f>
        <v>2814.8966824000004</v>
      </c>
      <c r="EV55" s="50">
        <f xml:space="preserve"> 'WK2015'!FM65</f>
        <v>2242.2049239611692</v>
      </c>
      <c r="EW55" s="50">
        <f xml:space="preserve"> 'WK2015'!FN65</f>
        <v>2814.7362767611689</v>
      </c>
      <c r="EX55" s="50">
        <f xml:space="preserve"> 'WK2015'!FO65</f>
        <v>2266.5951019037529</v>
      </c>
      <c r="EY55" s="50">
        <f xml:space="preserve"> 'WK2015'!FP65</f>
        <v>2839.1264547037536</v>
      </c>
      <c r="EZ55" s="61">
        <f xml:space="preserve"> 'WK2015'!FK65</f>
        <v>0.75186544311502657</v>
      </c>
      <c r="FA55" s="1"/>
      <c r="FB55" s="50">
        <f xml:space="preserve"> 'WK2015'!FW65</f>
        <v>582.46406880000006</v>
      </c>
      <c r="FC55" s="50">
        <f xml:space="preserve"> 'WK2015'!FX65</f>
        <v>702.64359160000004</v>
      </c>
      <c r="FD55" s="50">
        <f xml:space="preserve"> 'WK2015'!GA65</f>
        <v>582.48294415941052</v>
      </c>
      <c r="FE55" s="50">
        <f xml:space="preserve"> 'WK2015'!GB65</f>
        <v>702.62793735941045</v>
      </c>
      <c r="FF55" s="50">
        <f xml:space="preserve"> 'WK2015'!GC65</f>
        <v>582.51685547007708</v>
      </c>
      <c r="FG55" s="50">
        <f xml:space="preserve"> 'WK2015'!GD65</f>
        <v>702.66184867007712</v>
      </c>
      <c r="FH55" s="61">
        <f xml:space="preserve"> 'WK2015'!FY65</f>
        <v>0.76266963266943544</v>
      </c>
      <c r="FI55" s="1"/>
      <c r="FJ55" s="50">
        <f xml:space="preserve"> 'WK2015'!GK65</f>
        <v>232.89941924999999</v>
      </c>
      <c r="FK55" s="50">
        <f xml:space="preserve"> 'WK2015'!GL65</f>
        <v>263.15465400000005</v>
      </c>
      <c r="FL55" s="50">
        <f xml:space="preserve"> 'WK2015'!GO65</f>
        <v>232.81375944100816</v>
      </c>
      <c r="FM55" s="50">
        <f xml:space="preserve"> 'WK2015'!GP65</f>
        <v>263.26679319100822</v>
      </c>
      <c r="FN55" s="50">
        <f xml:space="preserve"> 'WK2015'!GQ65</f>
        <v>238.19906522259961</v>
      </c>
      <c r="FO55" s="50">
        <f xml:space="preserve"> 'WK2015'!GR65</f>
        <v>268.65209897259956</v>
      </c>
      <c r="FP55" s="61">
        <f xml:space="preserve"> 'WK2015'!GM65</f>
        <v>0.75534404537949362</v>
      </c>
      <c r="FS55" s="283">
        <f xml:space="preserve"> 'WK2015'!H65</f>
        <v>1728.1670650000001</v>
      </c>
      <c r="FT55" s="283">
        <f xml:space="preserve"> 'WK2015'!I65</f>
        <v>2157.499268</v>
      </c>
      <c r="FU55" s="283">
        <f xml:space="preserve"> 'WK2015'!L65</f>
        <v>1728.1670650000001</v>
      </c>
      <c r="FV55" s="283">
        <f xml:space="preserve"> 'WK2015'!M65</f>
        <v>2157.499268</v>
      </c>
      <c r="FW55" s="283">
        <f xml:space="preserve"> 'WK2015'!N65</f>
        <v>1750.4634581656185</v>
      </c>
      <c r="FX55" s="283">
        <f xml:space="preserve"> 'WK2015'!O65</f>
        <v>2179.7956611656186</v>
      </c>
      <c r="FY55" s="284">
        <f xml:space="preserve"> 'WK2015'!P65</f>
        <v>0.75726882649313265</v>
      </c>
      <c r="GA55" s="283">
        <f xml:space="preserve"> 'WK2015'!HB65</f>
        <v>1201.26891</v>
      </c>
      <c r="GB55" s="283">
        <f xml:space="preserve"> 'WK2015'!HC65</f>
        <v>1783.0760919999998</v>
      </c>
      <c r="GC55" s="283">
        <f xml:space="preserve"> 'WK2015'!HF65</f>
        <v>1203.0928599033407</v>
      </c>
      <c r="GD55" s="283">
        <f xml:space="preserve"> 'WK2015'!HG65</f>
        <v>1778.3790659033405</v>
      </c>
      <c r="GE55" s="283">
        <f xml:space="preserve"> 'WK2015'!HH65</f>
        <v>1216.09430354957</v>
      </c>
      <c r="GF55" s="283">
        <f xml:space="preserve"> 'WK2015'!HI65</f>
        <v>1791.3805095495698</v>
      </c>
      <c r="GG55" s="284">
        <f xml:space="preserve"> 'WK2015'!HJ65</f>
        <v>0.72029495226776163</v>
      </c>
      <c r="GI55" s="283">
        <f xml:space="preserve"> 'WK2015'!HQ65</f>
        <v>1084.6191649999998</v>
      </c>
      <c r="GJ55" s="283">
        <f xml:space="preserve"> 'WK2015'!HR65</f>
        <v>1312.351866</v>
      </c>
      <c r="GK55" s="283">
        <f xml:space="preserve"> 'WK2015'!HU65</f>
        <v>1084.6191649999998</v>
      </c>
      <c r="GL55" s="283">
        <f xml:space="preserve"> 'WK2015'!HV65</f>
        <v>1312.351866</v>
      </c>
      <c r="GM55" s="283">
        <f xml:space="preserve"> 'WK2015'!HW65</f>
        <v>1087.6242135267028</v>
      </c>
      <c r="GN55" s="283">
        <f xml:space="preserve"> 'WK2015'!HX65</f>
        <v>1315.3569145267029</v>
      </c>
      <c r="GO55" s="284">
        <f xml:space="preserve"> 'WK2015'!HY65</f>
        <v>0.78614618061755492</v>
      </c>
    </row>
    <row r="56" spans="1:197" x14ac:dyDescent="0.2">
      <c r="A56" s="3">
        <f>Basis!A56</f>
        <v>56</v>
      </c>
      <c r="D56" s="252" t="e">
        <v>#N/A</v>
      </c>
      <c r="E56" s="252" t="e">
        <v>#N/A</v>
      </c>
      <c r="H56" s="50">
        <f xml:space="preserve"> 'WK2012'!EG66</f>
        <v>3364.5707081155383</v>
      </c>
      <c r="I56" s="50">
        <f xml:space="preserve"> 'WK2012'!EH66</f>
        <v>4534.7602750977512</v>
      </c>
      <c r="J56" s="50">
        <f xml:space="preserve"> 'WK2012'!EK66</f>
        <v>3365.0817152539939</v>
      </c>
      <c r="K56" s="50">
        <f xml:space="preserve"> 'WK2012'!EL66</f>
        <v>4534.2352131701773</v>
      </c>
      <c r="L56" s="50">
        <f xml:space="preserve"> 'WK2012'!EM66</f>
        <v>3409.6513392321331</v>
      </c>
      <c r="M56" s="50">
        <f xml:space="preserve"> 'WK2012'!EN66</f>
        <v>4578.8048371483164</v>
      </c>
      <c r="N56" s="61">
        <f xml:space="preserve"> 'WK2012'!EI66</f>
        <v>0.7405893338780376</v>
      </c>
      <c r="P56" s="50">
        <f xml:space="preserve"> 'WK2012'!EU66</f>
        <v>2902.3537369438659</v>
      </c>
      <c r="Q56" s="50">
        <f xml:space="preserve"> 'WK2012'!EV66</f>
        <v>3740.931503098338</v>
      </c>
      <c r="R56" s="50">
        <f xml:space="preserve"> 'WK2012'!EY66</f>
        <v>2903.2006826052771</v>
      </c>
      <c r="S56" s="50">
        <f xml:space="preserve"> 'WK2012'!EZ66</f>
        <v>3740.0534169907387</v>
      </c>
      <c r="T56" s="50">
        <f xml:space="preserve"> 'WK2012'!FA66</f>
        <v>2938.4224128074752</v>
      </c>
      <c r="U56" s="50">
        <f xml:space="preserve"> 'WK2012'!FB66</f>
        <v>3775.2751471929373</v>
      </c>
      <c r="V56" s="61">
        <f xml:space="preserve"> 'WK2012'!EW66</f>
        <v>0.74592642619064564</v>
      </c>
      <c r="X56" s="50">
        <f xml:space="preserve"> 'WK2012'!FI66</f>
        <v>1842.6267398086509</v>
      </c>
      <c r="Y56" s="50">
        <f xml:space="preserve"> 'WK2012'!FJ66</f>
        <v>2443.6289287360892</v>
      </c>
      <c r="Z56" s="50">
        <f xml:space="preserve"> 'WK2012'!FM66</f>
        <v>1842.7207117084497</v>
      </c>
      <c r="AA56" s="50">
        <f xml:space="preserve"> 'WK2012'!FN66</f>
        <v>2443.526756369014</v>
      </c>
      <c r="AB56" s="50">
        <f xml:space="preserve"> 'WK2012'!FO66</f>
        <v>1865.9651455985659</v>
      </c>
      <c r="AC56" s="50">
        <f xml:space="preserve"> 'WK2012'!FP66</f>
        <v>2466.7711902591304</v>
      </c>
      <c r="AD56" s="61">
        <f xml:space="preserve"> 'WK2012'!FK66</f>
        <v>0.74064509612582752</v>
      </c>
      <c r="AF56" s="50">
        <f xml:space="preserve"> 'WK2012'!FW66</f>
        <v>215.36205465557063</v>
      </c>
      <c r="AG56" s="50">
        <f xml:space="preserve"> 'WK2012'!FX66</f>
        <v>233.87432258941615</v>
      </c>
      <c r="AH56" s="50">
        <f xml:space="preserve"> 'WK2012'!GA66</f>
        <v>215.73738637036186</v>
      </c>
      <c r="AI56" s="50">
        <f xml:space="preserve"> 'WK2012'!GB66</f>
        <v>233.4937219849671</v>
      </c>
      <c r="AJ56" s="50">
        <f xml:space="preserve"> 'WK2012'!GC66</f>
        <v>219.28431955703923</v>
      </c>
      <c r="AK56" s="50">
        <f xml:space="preserve"> 'WK2012'!GD66</f>
        <v>237.04065517164446</v>
      </c>
      <c r="AL56" s="61">
        <f xml:space="preserve"> 'WK2012'!FY66</f>
        <v>0.73825685175621991</v>
      </c>
      <c r="AN56" s="50">
        <f xml:space="preserve"> 'WK2012'!GK66</f>
        <v>474.86468901349247</v>
      </c>
      <c r="AO56" s="50">
        <f xml:space="preserve"> 'WK2012'!GL66</f>
        <v>581.44928986508569</v>
      </c>
      <c r="AP56" s="50">
        <f xml:space="preserve"> 'WK2012'!GO66</f>
        <v>474.86468901349247</v>
      </c>
      <c r="AQ56" s="50">
        <f xml:space="preserve"> 'WK2012'!GP66</f>
        <v>581.44928986508569</v>
      </c>
      <c r="AR56" s="50">
        <f xml:space="preserve"> 'WK2012'!GQ66</f>
        <v>475.49943691979513</v>
      </c>
      <c r="AS56" s="50">
        <f xml:space="preserve"> 'WK2012'!GR66</f>
        <v>582.08403777138835</v>
      </c>
      <c r="AT56" s="61">
        <f xml:space="preserve"> 'WK2012'!GM66</f>
        <v>0.742989106968032</v>
      </c>
      <c r="AX56" s="50">
        <f xml:space="preserve"> 'WK2013'!EG66</f>
        <v>3455.2446596</v>
      </c>
      <c r="AY56" s="50">
        <f xml:space="preserve"> 'WK2013'!EH66</f>
        <v>4047.9888850000002</v>
      </c>
      <c r="AZ56" s="50">
        <f xml:space="preserve"> 'WK2013'!EK66</f>
        <v>3455.8999883968881</v>
      </c>
      <c r="BA56" s="50">
        <f xml:space="preserve"> 'WK2013'!EL66</f>
        <v>4046.6807527968886</v>
      </c>
      <c r="BB56" s="50">
        <f xml:space="preserve"> 'WK2013'!EM66</f>
        <v>3498.4449738958433</v>
      </c>
      <c r="BC56" s="50">
        <f xml:space="preserve"> 'WK2013'!EN66</f>
        <v>4089.2257382958442</v>
      </c>
      <c r="BD56" s="61">
        <f xml:space="preserve"> 'WK2013'!EI66</f>
        <v>0.73434442086521867</v>
      </c>
      <c r="BF56" s="50">
        <f xml:space="preserve"> 'WK2013'!EU66</f>
        <v>2913.9220553999994</v>
      </c>
      <c r="BG56" s="50">
        <f xml:space="preserve"> 'WK2013'!EV66</f>
        <v>3405.4033850000005</v>
      </c>
      <c r="BH56" s="50">
        <f xml:space="preserve"> 'WK2013'!EY66</f>
        <v>2915.4902319805906</v>
      </c>
      <c r="BI56" s="50">
        <f xml:space="preserve"> 'WK2013'!EZ66</f>
        <v>3404.2236235805908</v>
      </c>
      <c r="BJ56" s="50">
        <f xml:space="preserve"> 'WK2013'!FA66</f>
        <v>2949.5087412623234</v>
      </c>
      <c r="BK56" s="50">
        <f xml:space="preserve"> 'WK2013'!FB66</f>
        <v>3438.2421328623236</v>
      </c>
      <c r="BL56" s="61">
        <f xml:space="preserve"> 'WK2013'!EW66</f>
        <v>0.74347532440724606</v>
      </c>
      <c r="BN56" s="50">
        <f xml:space="preserve"> 'WK2013'!FI66</f>
        <v>2179.4364734000001</v>
      </c>
      <c r="BO56" s="50">
        <f xml:space="preserve"> 'WK2013'!FJ66</f>
        <v>2630.7906780000003</v>
      </c>
      <c r="BP56" s="50">
        <f xml:space="preserve"> 'WK2013'!FM66</f>
        <v>2179.4435095244107</v>
      </c>
      <c r="BQ56" s="50">
        <f xml:space="preserve"> 'WK2013'!FN66</f>
        <v>2630.7848321244105</v>
      </c>
      <c r="BR56" s="50">
        <f xml:space="preserve"> 'WK2013'!FO66</f>
        <v>2207.2603056300873</v>
      </c>
      <c r="BS56" s="50">
        <f xml:space="preserve"> 'WK2013'!FP66</f>
        <v>2658.601628230087</v>
      </c>
      <c r="BT56" s="61">
        <f xml:space="preserve"> 'WK2013'!FK66</f>
        <v>0.73796213120593046</v>
      </c>
      <c r="BV56" s="50">
        <f xml:space="preserve"> 'WK2013'!FW66</f>
        <v>629.02902159999996</v>
      </c>
      <c r="BW56" s="50">
        <f xml:space="preserve"> 'WK2013'!FX66</f>
        <v>753.90403600000013</v>
      </c>
      <c r="BX56" s="50">
        <f xml:space="preserve"> 'WK2013'!GA66</f>
        <v>629.04250267823761</v>
      </c>
      <c r="BY56" s="50">
        <f xml:space="preserve"> 'WK2013'!GB66</f>
        <v>753.89279707823766</v>
      </c>
      <c r="BZ56" s="50">
        <f xml:space="preserve"> 'WK2013'!GC66</f>
        <v>629.08226671479974</v>
      </c>
      <c r="CA56" s="50">
        <f xml:space="preserve"> 'WK2013'!GD66</f>
        <v>753.93256111479991</v>
      </c>
      <c r="CB56" s="61">
        <f xml:space="preserve"> 'WK2013'!FY66</f>
        <v>0.74400515462242189</v>
      </c>
      <c r="CD56" s="50">
        <f xml:space="preserve"> 'WK2013'!GK66</f>
        <v>246.02123100000003</v>
      </c>
      <c r="CE56" s="50">
        <f xml:space="preserve"> 'WK2013'!GL66</f>
        <v>284.83934550000004</v>
      </c>
      <c r="CF56" s="50">
        <f xml:space="preserve"> 'WK2013'!GO66</f>
        <v>246.02123100000003</v>
      </c>
      <c r="CG56" s="50">
        <f xml:space="preserve"> 'WK2013'!GP66</f>
        <v>284.83934550000004</v>
      </c>
      <c r="CH56" s="50">
        <f xml:space="preserve"> 'WK2013'!GQ66</f>
        <v>250.33682819691876</v>
      </c>
      <c r="CI56" s="50">
        <f xml:space="preserve"> 'WK2013'!GR66</f>
        <v>289.15494269691874</v>
      </c>
      <c r="CJ56" s="61">
        <f xml:space="preserve"> 'WK2013'!GM66</f>
        <v>0.75104616979759853</v>
      </c>
      <c r="CN56" s="50">
        <f xml:space="preserve"> 'WK2014'!EG66</f>
        <v>3490.8559151999998</v>
      </c>
      <c r="CO56" s="50">
        <f xml:space="preserve"> 'WK2014'!EH66</f>
        <v>4031.5378260000002</v>
      </c>
      <c r="CP56" s="50">
        <f xml:space="preserve"> 'WK2014'!EK66</f>
        <v>3491.4565685470966</v>
      </c>
      <c r="CQ56" s="50">
        <f xml:space="preserve"> 'WK2014'!EL66</f>
        <v>4029.4586293470966</v>
      </c>
      <c r="CR56" s="50">
        <f xml:space="preserve"> 'WK2014'!EM66</f>
        <v>3524.5938313983424</v>
      </c>
      <c r="CS56" s="50">
        <f xml:space="preserve"> 'WK2014'!EN66</f>
        <v>4062.5958921983429</v>
      </c>
      <c r="CT56" s="61">
        <f xml:space="preserve"> 'WK2014'!EI66</f>
        <v>0.75443588427801156</v>
      </c>
      <c r="CV56" s="50">
        <f xml:space="preserve"> 'WK2014'!EU66</f>
        <v>2878.6482062999994</v>
      </c>
      <c r="CW56" s="50">
        <f xml:space="preserve"> 'WK2014'!EV66</f>
        <v>3345.260045</v>
      </c>
      <c r="CX56" s="50">
        <f xml:space="preserve"> 'WK2014'!EY66</f>
        <v>2880.7858018193988</v>
      </c>
      <c r="CY56" s="50">
        <f xml:space="preserve"> 'WK2014'!EZ66</f>
        <v>3343.6551600193993</v>
      </c>
      <c r="CZ56" s="50">
        <f xml:space="preserve"> 'WK2014'!FA66</f>
        <v>2914.6962401719497</v>
      </c>
      <c r="DA56" s="50">
        <f xml:space="preserve"> 'WK2014'!FB66</f>
        <v>3377.5655983719498</v>
      </c>
      <c r="DB56" s="61">
        <f xml:space="preserve"> 'WK2014'!EW66</f>
        <v>0.74673442486104502</v>
      </c>
      <c r="DC56" s="1"/>
      <c r="DD56" s="50">
        <f xml:space="preserve"> 'WK2014'!FI66</f>
        <v>2255.1665400000002</v>
      </c>
      <c r="DE56" s="50">
        <f xml:space="preserve"> 'WK2014'!FJ66</f>
        <v>2672.7107716</v>
      </c>
      <c r="DF56" s="50">
        <f xml:space="preserve"> 'WK2014'!FM66</f>
        <v>2255.2054938013102</v>
      </c>
      <c r="DG56" s="50">
        <f xml:space="preserve"> 'WK2014'!FN66</f>
        <v>2672.6627670013099</v>
      </c>
      <c r="DH56" s="50">
        <f xml:space="preserve"> 'WK2014'!FO66</f>
        <v>2279.0502551785598</v>
      </c>
      <c r="DI56" s="50">
        <f xml:space="preserve"> 'WK2014'!FP66</f>
        <v>2696.50752837856</v>
      </c>
      <c r="DJ56" s="61">
        <f xml:space="preserve"> 'WK2014'!FK66</f>
        <v>0.74030176388603375</v>
      </c>
      <c r="DK56" s="1"/>
      <c r="DL56" s="50">
        <f xml:space="preserve"> 'WK2014'!FW66</f>
        <v>612.64865520000001</v>
      </c>
      <c r="DM56" s="50">
        <f xml:space="preserve"> 'WK2014'!FX66</f>
        <v>743.76756399999999</v>
      </c>
      <c r="DN56" s="50">
        <f xml:space="preserve"> 'WK2014'!GA66</f>
        <v>612.66155521717019</v>
      </c>
      <c r="DO56" s="50">
        <f xml:space="preserve"> 'WK2014'!GB66</f>
        <v>743.75693801717011</v>
      </c>
      <c r="DP56" s="50">
        <f xml:space="preserve"> 'WK2014'!GC66</f>
        <v>612.70019390581388</v>
      </c>
      <c r="DQ56" s="50">
        <f xml:space="preserve"> 'WK2014'!GD66</f>
        <v>743.7955767058138</v>
      </c>
      <c r="DR56" s="61">
        <f xml:space="preserve"> 'WK2014'!FY66</f>
        <v>0.74915473811953082</v>
      </c>
      <c r="DS56" s="1"/>
      <c r="DT56" s="50">
        <f xml:space="preserve"> 'WK2014'!GK66</f>
        <v>283.40472599999993</v>
      </c>
      <c r="DU56" s="50">
        <f xml:space="preserve"> 'WK2014'!GL66</f>
        <v>305.84632049999999</v>
      </c>
      <c r="DV56" s="50">
        <f xml:space="preserve"> 'WK2014'!GO66</f>
        <v>283.38131099216992</v>
      </c>
      <c r="DW56" s="50">
        <f xml:space="preserve"> 'WK2014'!GP66</f>
        <v>305.8775002421699</v>
      </c>
      <c r="DX56" s="50">
        <f xml:space="preserve"> 'WK2014'!GQ66</f>
        <v>288.37195954310374</v>
      </c>
      <c r="DY56" s="50">
        <f xml:space="preserve"> 'WK2014'!GR66</f>
        <v>310.86814879310384</v>
      </c>
      <c r="DZ56" s="61">
        <f xml:space="preserve"> 'WK2014'!GM66</f>
        <v>0.74728694532891971</v>
      </c>
      <c r="ED56" s="50">
        <f xml:space="preserve"> 'WK2015'!EG66</f>
        <v>3394.0093904</v>
      </c>
      <c r="EE56" s="50">
        <f xml:space="preserve"> 'WK2015'!EH66</f>
        <v>3769.5656485999998</v>
      </c>
      <c r="EF56" s="50">
        <f xml:space="preserve"> 'WK2015'!EK66</f>
        <v>3394.0248018170896</v>
      </c>
      <c r="EG56" s="50">
        <f xml:space="preserve"> 'WK2015'!EL66</f>
        <v>3769.5527476170896</v>
      </c>
      <c r="EH56" s="50">
        <f xml:space="preserve"> 'WK2015'!EM66</f>
        <v>3434.7878158114145</v>
      </c>
      <c r="EI56" s="50">
        <f xml:space="preserve"> 'WK2015'!EN66</f>
        <v>3810.3157616114149</v>
      </c>
      <c r="EJ56" s="61">
        <f xml:space="preserve"> 'WK2015'!EI66</f>
        <v>0.76420158601342159</v>
      </c>
      <c r="EK56" s="1"/>
      <c r="EL56" s="50">
        <f xml:space="preserve"> 'WK2015'!EU66</f>
        <v>2860.0219690999998</v>
      </c>
      <c r="EM56" s="50">
        <f xml:space="preserve"> 'WK2015'!EV66</f>
        <v>3311.3232868999999</v>
      </c>
      <c r="EN56" s="50">
        <f xml:space="preserve"> 'WK2015'!EY66</f>
        <v>2862.7117389045557</v>
      </c>
      <c r="EO56" s="50">
        <f xml:space="preserve"> 'WK2015'!EZ66</f>
        <v>3309.3150176045565</v>
      </c>
      <c r="EP56" s="50">
        <f xml:space="preserve"> 'WK2015'!FA66</f>
        <v>2896.8959819840252</v>
      </c>
      <c r="EQ56" s="50">
        <f xml:space="preserve"> 'WK2015'!FB66</f>
        <v>3343.4992606840251</v>
      </c>
      <c r="ER56" s="61">
        <f xml:space="preserve"> 'WK2015'!EW66</f>
        <v>0.76185728448099088</v>
      </c>
      <c r="ES56" s="1"/>
      <c r="ET56" s="50">
        <f xml:space="preserve"> 'WK2015'!FI66</f>
        <v>2405.0164685999998</v>
      </c>
      <c r="EU56" s="50">
        <f xml:space="preserve"> 'WK2015'!FJ66</f>
        <v>2916.4403268000001</v>
      </c>
      <c r="EV56" s="50">
        <f xml:space="preserve"> 'WK2015'!FM66</f>
        <v>2405.1381865028357</v>
      </c>
      <c r="EW56" s="50">
        <f xml:space="preserve"> 'WK2015'!FN66</f>
        <v>2916.2803535028356</v>
      </c>
      <c r="EX56" s="50">
        <f xml:space="preserve"> 'WK2015'!FO66</f>
        <v>2429.5340737037532</v>
      </c>
      <c r="EY56" s="50">
        <f xml:space="preserve"> 'WK2015'!FP66</f>
        <v>2940.6762407037531</v>
      </c>
      <c r="EZ56" s="61">
        <f xml:space="preserve"> 'WK2015'!FK66</f>
        <v>0.75308252757365823</v>
      </c>
      <c r="FA56" s="1"/>
      <c r="FB56" s="50">
        <f xml:space="preserve"> 'WK2015'!FW66</f>
        <v>599.51961039999992</v>
      </c>
      <c r="FC56" s="50">
        <f xml:space="preserve"> 'WK2015'!FX66</f>
        <v>715.86574960000007</v>
      </c>
      <c r="FD56" s="50">
        <f xml:space="preserve"> 'WK2015'!GA66</f>
        <v>599.53502181708984</v>
      </c>
      <c r="FE56" s="50">
        <f xml:space="preserve"> 'WK2015'!GB66</f>
        <v>715.85284861708988</v>
      </c>
      <c r="FF56" s="50">
        <f xml:space="preserve"> 'WK2015'!GC66</f>
        <v>599.57239707007705</v>
      </c>
      <c r="FG56" s="50">
        <f xml:space="preserve"> 'WK2015'!GD66</f>
        <v>715.89022387007708</v>
      </c>
      <c r="FH56" s="61">
        <f xml:space="preserve"> 'WK2015'!FY66</f>
        <v>0.7646139559418762</v>
      </c>
      <c r="FI56" s="1"/>
      <c r="FJ56" s="50">
        <f xml:space="preserve"> 'WK2015'!GK66</f>
        <v>252.15000299999994</v>
      </c>
      <c r="FK56" s="50">
        <f xml:space="preserve"> 'WK2015'!GL66</f>
        <v>279.70351725</v>
      </c>
      <c r="FL56" s="50">
        <f xml:space="preserve"> 'WK2015'!GO66</f>
        <v>252.06606015569088</v>
      </c>
      <c r="FM56" s="50">
        <f xml:space="preserve"> 'WK2015'!GP66</f>
        <v>279.817373405691</v>
      </c>
      <c r="FN56" s="50">
        <f xml:space="preserve"> 'WK2015'!GQ66</f>
        <v>257.44964897259945</v>
      </c>
      <c r="FO56" s="50">
        <f xml:space="preserve"> 'WK2015'!GR66</f>
        <v>285.20096222259963</v>
      </c>
      <c r="FP56" s="61">
        <f xml:space="preserve"> 'WK2015'!GM66</f>
        <v>0.75596704599575493</v>
      </c>
      <c r="FS56" s="283">
        <f xml:space="preserve"> 'WK2015'!H66</f>
        <v>1813.3242699999998</v>
      </c>
      <c r="FT56" s="283">
        <f xml:space="preserve"> 'WK2015'!I66</f>
        <v>2205.2474979999997</v>
      </c>
      <c r="FU56" s="283">
        <f xml:space="preserve"> 'WK2015'!L66</f>
        <v>1813.3242699999998</v>
      </c>
      <c r="FV56" s="283">
        <f xml:space="preserve"> 'WK2015'!M66</f>
        <v>2205.2474979999997</v>
      </c>
      <c r="FW56" s="283">
        <f xml:space="preserve"> 'WK2015'!N66</f>
        <v>1835.6206631656182</v>
      </c>
      <c r="FX56" s="283">
        <f xml:space="preserve"> 'WK2015'!O66</f>
        <v>2227.5438911656183</v>
      </c>
      <c r="FY56" s="284">
        <f xml:space="preserve"> 'WK2015'!P66</f>
        <v>0.75999443879577011</v>
      </c>
      <c r="GA56" s="283">
        <f xml:space="preserve"> 'WK2015'!HB66</f>
        <v>1282.842228</v>
      </c>
      <c r="GB56" s="283">
        <f xml:space="preserve"> 'WK2015'!HC66</f>
        <v>1823.8103919999999</v>
      </c>
      <c r="GC56" s="283">
        <f xml:space="preserve"> 'WK2015'!HF66</f>
        <v>1284.2334124057461</v>
      </c>
      <c r="GD56" s="283">
        <f xml:space="preserve"> 'WK2015'!HG66</f>
        <v>1820.3595084057461</v>
      </c>
      <c r="GE56" s="283">
        <f xml:space="preserve"> 'WK2015'!HH66</f>
        <v>1297.66762154957</v>
      </c>
      <c r="GF56" s="283">
        <f xml:space="preserve"> 'WK2015'!HI66</f>
        <v>1833.7937175495699</v>
      </c>
      <c r="GG56" s="284">
        <f xml:space="preserve"> 'WK2015'!HJ66</f>
        <v>0.71268796602067297</v>
      </c>
      <c r="GI56" s="283">
        <f xml:space="preserve"> 'WK2015'!HQ66</f>
        <v>1162.29323</v>
      </c>
      <c r="GJ56" s="283">
        <f xml:space="preserve"> 'WK2015'!HR66</f>
        <v>1394.5580459999999</v>
      </c>
      <c r="GK56" s="283">
        <f xml:space="preserve"> 'WK2015'!HU66</f>
        <v>1162.29323</v>
      </c>
      <c r="GL56" s="283">
        <f xml:space="preserve"> 'WK2015'!HV66</f>
        <v>1394.5580459999999</v>
      </c>
      <c r="GM56" s="283">
        <f xml:space="preserve"> 'WK2015'!HW66</f>
        <v>1165.2982785267029</v>
      </c>
      <c r="GN56" s="283">
        <f xml:space="preserve"> 'WK2015'!HX66</f>
        <v>1397.5630945267028</v>
      </c>
      <c r="GO56" s="284">
        <f xml:space="preserve"> 'WK2015'!HY66</f>
        <v>0.80164557554707083</v>
      </c>
    </row>
    <row r="57" spans="1:197" x14ac:dyDescent="0.2">
      <c r="A57" s="3">
        <f>Basis!A57</f>
        <v>57</v>
      </c>
      <c r="D57" s="252" t="e">
        <v>#N/A</v>
      </c>
      <c r="E57" s="252" t="e">
        <v>#N/A</v>
      </c>
      <c r="H57" s="50">
        <f xml:space="preserve"> 'WK2012'!EG67</f>
        <v>3558.3534801880569</v>
      </c>
      <c r="I57" s="50">
        <f xml:space="preserve"> 'WK2012'!EH67</f>
        <v>4685.833519892476</v>
      </c>
      <c r="J57" s="50">
        <f xml:space="preserve"> 'WK2012'!EK67</f>
        <v>3558.855402045594</v>
      </c>
      <c r="K57" s="50">
        <f xml:space="preserve"> 'WK2012'!EL67</f>
        <v>4685.2993726839832</v>
      </c>
      <c r="L57" s="50">
        <f xml:space="preserve"> 'WK2012'!EM67</f>
        <v>3603.4341113046517</v>
      </c>
      <c r="M57" s="50">
        <f xml:space="preserve"> 'WK2012'!EN67</f>
        <v>4729.8780819430403</v>
      </c>
      <c r="N57" s="61">
        <f xml:space="preserve"> 'WK2012'!EI67</f>
        <v>0.73701196887758091</v>
      </c>
      <c r="P57" s="50">
        <f xml:space="preserve"> 'WK2012'!EU67</f>
        <v>3087.6014559001733</v>
      </c>
      <c r="Q57" s="50">
        <f xml:space="preserve"> 'WK2012'!EV67</f>
        <v>3870.3188523308709</v>
      </c>
      <c r="R57" s="50">
        <f xml:space="preserve"> 'WK2012'!EY67</f>
        <v>3088.3273297660148</v>
      </c>
      <c r="S57" s="50">
        <f xml:space="preserve"> 'WK2012'!EZ67</f>
        <v>3869.5312507149238</v>
      </c>
      <c r="T57" s="50">
        <f xml:space="preserve"> 'WK2012'!FA67</f>
        <v>3123.6701317637826</v>
      </c>
      <c r="U57" s="50">
        <f xml:space="preserve"> 'WK2012'!FB67</f>
        <v>3904.874052712692</v>
      </c>
      <c r="V57" s="61">
        <f xml:space="preserve"> 'WK2012'!EW67</f>
        <v>0.74400489720821583</v>
      </c>
      <c r="X57" s="50">
        <f xml:space="preserve"> 'WK2012'!FI67</f>
        <v>1977.9148054052387</v>
      </c>
      <c r="Y57" s="50">
        <f xml:space="preserve"> 'WK2012'!FJ67</f>
        <v>2546.6949565396308</v>
      </c>
      <c r="Z57" s="50">
        <f xml:space="preserve"> 'WK2012'!FM67</f>
        <v>1978.0073861722478</v>
      </c>
      <c r="AA57" s="50">
        <f xml:space="preserve"> 'WK2012'!FN67</f>
        <v>2546.591393039766</v>
      </c>
      <c r="AB57" s="50">
        <f xml:space="preserve"> 'WK2012'!FO67</f>
        <v>2001.2532111951537</v>
      </c>
      <c r="AC57" s="50">
        <f xml:space="preserve"> 'WK2012'!FP67</f>
        <v>2569.8372180626725</v>
      </c>
      <c r="AD57" s="61">
        <f xml:space="preserve"> 'WK2012'!FK67</f>
        <v>0.73595991326904597</v>
      </c>
      <c r="AF57" s="50">
        <f xml:space="preserve"> 'WK2012'!FW67</f>
        <v>236.96186774888727</v>
      </c>
      <c r="AG57" s="50">
        <f xml:space="preserve"> 'WK2012'!FX67</f>
        <v>245.12358345180996</v>
      </c>
      <c r="AH57" s="50">
        <f xml:space="preserve"> 'WK2012'!GA67</f>
        <v>237.33027473036273</v>
      </c>
      <c r="AI57" s="50">
        <f xml:space="preserve"> 'WK2012'!GB67</f>
        <v>244.73605811404514</v>
      </c>
      <c r="AJ57" s="50">
        <f xml:space="preserve"> 'WK2012'!GC67</f>
        <v>240.88413265035587</v>
      </c>
      <c r="AK57" s="50">
        <f xml:space="preserve"> 'WK2012'!GD67</f>
        <v>248.28991603403827</v>
      </c>
      <c r="AL57" s="61">
        <f xml:space="preserve"> 'WK2012'!FY67</f>
        <v>0.73645894858691852</v>
      </c>
      <c r="AN57" s="50">
        <f xml:space="preserve"> 'WK2012'!GK67</f>
        <v>485.19099365012255</v>
      </c>
      <c r="AO57" s="50">
        <f xml:space="preserve"> 'WK2012'!GL67</f>
        <v>591.25091257426084</v>
      </c>
      <c r="AP57" s="50">
        <f xml:space="preserve"> 'WK2012'!GO67</f>
        <v>485.19099365012255</v>
      </c>
      <c r="AQ57" s="50">
        <f xml:space="preserve"> 'WK2012'!GP67</f>
        <v>591.25091257426084</v>
      </c>
      <c r="AR57" s="50">
        <f xml:space="preserve"> 'WK2012'!GQ67</f>
        <v>485.82574155642527</v>
      </c>
      <c r="AS57" s="50">
        <f xml:space="preserve"> 'WK2012'!GR67</f>
        <v>591.8856604805635</v>
      </c>
      <c r="AT57" s="61">
        <f xml:space="preserve"> 'WK2012'!GM67</f>
        <v>0.73914749138291769</v>
      </c>
      <c r="AX57" s="50">
        <f xml:space="preserve"> 'WK2013'!EG67</f>
        <v>3657.8924544000006</v>
      </c>
      <c r="AY57" s="50">
        <f xml:space="preserve"> 'WK2013'!EH67</f>
        <v>4175.0101414000001</v>
      </c>
      <c r="AZ57" s="50">
        <f xml:space="preserve"> 'WK2013'!EK67</f>
        <v>3658.4032556972975</v>
      </c>
      <c r="BA57" s="50">
        <f xml:space="preserve"> 'WK2013'!EL67</f>
        <v>4174.0069636972976</v>
      </c>
      <c r="BB57" s="50">
        <f xml:space="preserve"> 'WK2013'!EM67</f>
        <v>3701.092768695843</v>
      </c>
      <c r="BC57" s="50">
        <f xml:space="preserve"> 'WK2013'!EN67</f>
        <v>4216.6964766958426</v>
      </c>
      <c r="BD57" s="61">
        <f xml:space="preserve"> 'WK2013'!EI67</f>
        <v>0.72472221813551985</v>
      </c>
      <c r="BF57" s="50">
        <f xml:space="preserve"> 'WK2013'!EU67</f>
        <v>3084.4958911000003</v>
      </c>
      <c r="BG57" s="50">
        <f xml:space="preserve"> 'WK2013'!EV67</f>
        <v>3526.2829815999999</v>
      </c>
      <c r="BH57" s="50">
        <f xml:space="preserve"> 'WK2013'!EY67</f>
        <v>3085.7669316394454</v>
      </c>
      <c r="BI57" s="50">
        <f xml:space="preserve"> 'WK2013'!EZ67</f>
        <v>3525.3102991394453</v>
      </c>
      <c r="BJ57" s="50">
        <f xml:space="preserve"> 'WK2013'!FA67</f>
        <v>3120.0825769623239</v>
      </c>
      <c r="BK57" s="50">
        <f xml:space="preserve"> 'WK2013'!FB67</f>
        <v>3559.6259444623233</v>
      </c>
      <c r="BL57" s="61">
        <f xml:space="preserve"> 'WK2013'!EW67</f>
        <v>0.73374736212045455</v>
      </c>
      <c r="BN57" s="50">
        <f xml:space="preserve"> 'WK2013'!FI67</f>
        <v>2317.3282473999998</v>
      </c>
      <c r="BO57" s="50">
        <f xml:space="preserve"> 'WK2013'!FJ67</f>
        <v>2736.1848685999998</v>
      </c>
      <c r="BP57" s="50">
        <f xml:space="preserve"> 'WK2013'!FM67</f>
        <v>2317.3333144900976</v>
      </c>
      <c r="BQ57" s="50">
        <f xml:space="preserve"> 'WK2013'!FN67</f>
        <v>2736.1806048900976</v>
      </c>
      <c r="BR57" s="50">
        <f xml:space="preserve"> 'WK2013'!FO67</f>
        <v>2345.152079630087</v>
      </c>
      <c r="BS57" s="50">
        <f xml:space="preserve"> 'WK2013'!FP67</f>
        <v>2763.999370030087</v>
      </c>
      <c r="BT57" s="61">
        <f xml:space="preserve"> 'WK2013'!FK67</f>
        <v>0.73147225185470821</v>
      </c>
      <c r="BV57" s="50">
        <f xml:space="preserve"> 'WK2013'!FW67</f>
        <v>647.04013540000005</v>
      </c>
      <c r="BW57" s="50">
        <f xml:space="preserve"> 'WK2013'!FX67</f>
        <v>765.11422340000001</v>
      </c>
      <c r="BX57" s="50">
        <f xml:space="preserve"> 'WK2013'!GA67</f>
        <v>647.05169649565823</v>
      </c>
      <c r="BY57" s="50">
        <f xml:space="preserve"> 'WK2013'!GB67</f>
        <v>765.10446449565836</v>
      </c>
      <c r="BZ57" s="50">
        <f xml:space="preserve"> 'WK2013'!GC67</f>
        <v>647.09338051479972</v>
      </c>
      <c r="CA57" s="50">
        <f xml:space="preserve"> 'WK2013'!GD67</f>
        <v>765.14614851479985</v>
      </c>
      <c r="CB57" s="61">
        <f xml:space="preserve"> 'WK2013'!FY67</f>
        <v>0.73316439647589982</v>
      </c>
      <c r="CD57" s="50">
        <f xml:space="preserve"> 'WK2013'!GK67</f>
        <v>276.20004675000013</v>
      </c>
      <c r="CE57" s="50">
        <f xml:space="preserve"> 'WK2013'!GL67</f>
        <v>303.38214300000004</v>
      </c>
      <c r="CF57" s="50">
        <f xml:space="preserve"> 'WK2013'!GO67</f>
        <v>276.20004675000013</v>
      </c>
      <c r="CG57" s="50">
        <f xml:space="preserve"> 'WK2013'!GP67</f>
        <v>303.38214300000004</v>
      </c>
      <c r="CH57" s="50">
        <f xml:space="preserve"> 'WK2013'!GQ67</f>
        <v>280.51564394691877</v>
      </c>
      <c r="CI57" s="50">
        <f xml:space="preserve"> 'WK2013'!GR67</f>
        <v>307.69774019691874</v>
      </c>
      <c r="CJ57" s="61">
        <f xml:space="preserve"> 'WK2013'!GM67</f>
        <v>0.74290302618346316</v>
      </c>
      <c r="CN57" s="50">
        <f xml:space="preserve"> 'WK2014'!EG67</f>
        <v>3688.8949352</v>
      </c>
      <c r="CO57" s="50">
        <f xml:space="preserve"> 'WK2014'!EH67</f>
        <v>4160.998724</v>
      </c>
      <c r="CP57" s="50">
        <f xml:space="preserve"> 'WK2014'!EK67</f>
        <v>3689.4154602775734</v>
      </c>
      <c r="CQ57" s="50">
        <f xml:space="preserve"> 'WK2014'!EL67</f>
        <v>4159.2265796775737</v>
      </c>
      <c r="CR57" s="50">
        <f xml:space="preserve"> 'WK2014'!EM67</f>
        <v>3722.6328513983426</v>
      </c>
      <c r="CS57" s="50">
        <f xml:space="preserve"> 'WK2014'!EN67</f>
        <v>4192.4439707983429</v>
      </c>
      <c r="CT57" s="61">
        <f xml:space="preserve"> 'WK2014'!EI67</f>
        <v>0.7497602727749525</v>
      </c>
      <c r="CV57" s="50">
        <f xml:space="preserve"> 'WK2014'!EU67</f>
        <v>3049.2670877999999</v>
      </c>
      <c r="CW57" s="50">
        <f xml:space="preserve"> 'WK2014'!EV67</f>
        <v>3448.1342460000001</v>
      </c>
      <c r="CX57" s="50">
        <f xml:space="preserve"> 'WK2014'!EY67</f>
        <v>3050.6536327695003</v>
      </c>
      <c r="CY57" s="50">
        <f xml:space="preserve"> 'WK2014'!EZ67</f>
        <v>3447.0676703695008</v>
      </c>
      <c r="CZ57" s="50">
        <f xml:space="preserve"> 'WK2014'!FA67</f>
        <v>3085.3151216719498</v>
      </c>
      <c r="DA57" s="50">
        <f xml:space="preserve"> 'WK2014'!FB67</f>
        <v>3481.7291592719503</v>
      </c>
      <c r="DB57" s="61">
        <f xml:space="preserve"> 'WK2014'!EW67</f>
        <v>0.74025547505930844</v>
      </c>
      <c r="DC57" s="1"/>
      <c r="DD57" s="50">
        <f xml:space="preserve"> 'WK2014'!FI67</f>
        <v>2399.7658567999997</v>
      </c>
      <c r="DE57" s="50">
        <f xml:space="preserve"> 'WK2014'!FJ67</f>
        <v>2743.0564641999999</v>
      </c>
      <c r="DF57" s="50">
        <f xml:space="preserve"> 'WK2014'!FM67</f>
        <v>2399.7711593631593</v>
      </c>
      <c r="DG57" s="50">
        <f xml:space="preserve"> 'WK2014'!FN67</f>
        <v>2743.0520083631595</v>
      </c>
      <c r="DH57" s="50">
        <f xml:space="preserve"> 'WK2014'!FO67</f>
        <v>2423.6495719785598</v>
      </c>
      <c r="DI57" s="50">
        <f xml:space="preserve"> 'WK2014'!FP67</f>
        <v>2766.9304209785601</v>
      </c>
      <c r="DJ57" s="61">
        <f xml:space="preserve"> 'WK2014'!FK67</f>
        <v>0.73438041364821005</v>
      </c>
      <c r="DK57" s="1"/>
      <c r="DL57" s="50">
        <f xml:space="preserve"> 'WK2014'!FW67</f>
        <v>630.26817119999998</v>
      </c>
      <c r="DM57" s="50">
        <f xml:space="preserve"> 'WK2014'!FX67</f>
        <v>754.18333200000006</v>
      </c>
      <c r="DN57" s="50">
        <f xml:space="preserve"> 'WK2014'!GA67</f>
        <v>630.27821361692531</v>
      </c>
      <c r="DO57" s="50">
        <f xml:space="preserve"> 'WK2014'!GB67</f>
        <v>754.17495501692542</v>
      </c>
      <c r="DP57" s="50">
        <f xml:space="preserve"> 'WK2014'!GC67</f>
        <v>630.31970990581374</v>
      </c>
      <c r="DQ57" s="50">
        <f xml:space="preserve"> 'WK2014'!GD67</f>
        <v>754.21645130581373</v>
      </c>
      <c r="DR57" s="61">
        <f xml:space="preserve"> 'WK2014'!FY67</f>
        <v>0.74307925179963097</v>
      </c>
      <c r="DS57" s="1"/>
      <c r="DT57" s="50">
        <f xml:space="preserve"> 'WK2014'!GK67</f>
        <v>316.19424000000004</v>
      </c>
      <c r="DU57" s="50">
        <f xml:space="preserve"> 'WK2014'!GL67</f>
        <v>334.99598099999997</v>
      </c>
      <c r="DV57" s="50">
        <f xml:space="preserve"> 'WK2014'!GO67</f>
        <v>316.19424000000004</v>
      </c>
      <c r="DW57" s="50">
        <f xml:space="preserve"> 'WK2014'!GP67</f>
        <v>334.99598099999997</v>
      </c>
      <c r="DX57" s="50">
        <f xml:space="preserve"> 'WK2014'!GQ67</f>
        <v>321.16147354310385</v>
      </c>
      <c r="DY57" s="50">
        <f xml:space="preserve"> 'WK2014'!GR67</f>
        <v>339.96321454310385</v>
      </c>
      <c r="DZ57" s="61">
        <f xml:space="preserve"> 'WK2014'!GM67</f>
        <v>0.74311211258118737</v>
      </c>
      <c r="ED57" s="50">
        <f xml:space="preserve"> 'WK2015'!EG67</f>
        <v>3581.2805264000003</v>
      </c>
      <c r="EE57" s="50">
        <f xml:space="preserve"> 'WK2015'!EH67</f>
        <v>3875.9708986000001</v>
      </c>
      <c r="EF57" s="50">
        <f xml:space="preserve"> 'WK2015'!EK67</f>
        <v>3581.2926295123316</v>
      </c>
      <c r="EG57" s="50">
        <f xml:space="preserve"> 'WK2015'!EL67</f>
        <v>3875.9606577123313</v>
      </c>
      <c r="EH57" s="50">
        <f xml:space="preserve"> 'WK2015'!EM67</f>
        <v>3622.0589518114148</v>
      </c>
      <c r="EI57" s="50">
        <f xml:space="preserve"> 'WK2015'!EN67</f>
        <v>3916.726980011415</v>
      </c>
      <c r="EJ57" s="61">
        <f xml:space="preserve"> 'WK2015'!EI67</f>
        <v>0.75436579826010075</v>
      </c>
      <c r="EK57" s="1"/>
      <c r="EL57" s="50">
        <f xml:space="preserve"> 'WK2015'!EU67</f>
        <v>3037.3777776000006</v>
      </c>
      <c r="EM57" s="50">
        <f xml:space="preserve"> 'WK2015'!EV67</f>
        <v>3408.8984359000005</v>
      </c>
      <c r="EN57" s="50">
        <f xml:space="preserve"> 'WK2015'!EY67</f>
        <v>3039.0027598584256</v>
      </c>
      <c r="EO57" s="50">
        <f xml:space="preserve"> 'WK2015'!EZ67</f>
        <v>3407.6478731584248</v>
      </c>
      <c r="EP57" s="50">
        <f xml:space="preserve"> 'WK2015'!FA67</f>
        <v>3074.2517904840247</v>
      </c>
      <c r="EQ57" s="50">
        <f xml:space="preserve"> 'WK2015'!FB67</f>
        <v>3442.8969037840252</v>
      </c>
      <c r="ER57" s="61">
        <f xml:space="preserve"> 'WK2015'!EW67</f>
        <v>0.75311342690284278</v>
      </c>
      <c r="ES57" s="1"/>
      <c r="ET57" s="50">
        <f xml:space="preserve"> 'WK2015'!FI67</f>
        <v>2574.6835031999999</v>
      </c>
      <c r="EU57" s="50">
        <f xml:space="preserve"> 'WK2015'!FJ67</f>
        <v>3018.9751667999999</v>
      </c>
      <c r="EV57" s="50">
        <f xml:space="preserve"> 'WK2015'!FM67</f>
        <v>2574.7727074035638</v>
      </c>
      <c r="EW57" s="50">
        <f xml:space="preserve"> 'WK2015'!FN67</f>
        <v>3018.8538808035637</v>
      </c>
      <c r="EX57" s="50">
        <f xml:space="preserve"> 'WK2015'!FO67</f>
        <v>2599.2011083037528</v>
      </c>
      <c r="EY57" s="50">
        <f xml:space="preserve"> 'WK2015'!FP67</f>
        <v>3043.2822817037531</v>
      </c>
      <c r="EZ57" s="61">
        <f xml:space="preserve"> 'WK2015'!FK67</f>
        <v>0.74456613813763006</v>
      </c>
      <c r="FA57" s="1"/>
      <c r="FB57" s="50">
        <f xml:space="preserve"> 'WK2015'!FW67</f>
        <v>617.0259264</v>
      </c>
      <c r="FC57" s="50">
        <f xml:space="preserve"> 'WK2015'!FX67</f>
        <v>728.47132360000001</v>
      </c>
      <c r="FD57" s="50">
        <f xml:space="preserve"> 'WK2015'!GA67</f>
        <v>617.0380295123316</v>
      </c>
      <c r="FE57" s="50">
        <f xml:space="preserve"> 'WK2015'!GB67</f>
        <v>728.46108271233163</v>
      </c>
      <c r="FF57" s="50">
        <f xml:space="preserve"> 'WK2015'!GC67</f>
        <v>617.07871307007713</v>
      </c>
      <c r="FG57" s="50">
        <f xml:space="preserve"> 'WK2015'!GD67</f>
        <v>728.50176627007716</v>
      </c>
      <c r="FH57" s="61">
        <f xml:space="preserve"> 'WK2015'!FY67</f>
        <v>0.75567472311644801</v>
      </c>
      <c r="FI57" s="1"/>
      <c r="FJ57" s="50">
        <f xml:space="preserve"> 'WK2015'!GK67</f>
        <v>273.83881950000017</v>
      </c>
      <c r="FK57" s="50">
        <f xml:space="preserve"> 'WK2015'!GL67</f>
        <v>299.27666550000004</v>
      </c>
      <c r="FL57" s="50">
        <f xml:space="preserve"> 'WK2015'!GO67</f>
        <v>273.77708826148444</v>
      </c>
      <c r="FM57" s="50">
        <f xml:space="preserve"> 'WK2015'!GP67</f>
        <v>299.36328351148427</v>
      </c>
      <c r="FN57" s="50">
        <f xml:space="preserve"> 'WK2015'!GQ67</f>
        <v>279.13846547259982</v>
      </c>
      <c r="FO57" s="50">
        <f xml:space="preserve"> 'WK2015'!GR67</f>
        <v>304.72466072259954</v>
      </c>
      <c r="FP57" s="61">
        <f xml:space="preserve"> 'WK2015'!GM67</f>
        <v>0.74636640804850807</v>
      </c>
      <c r="FS57" s="283">
        <f xml:space="preserve"> 'WK2015'!H67</f>
        <v>1903.9212499999999</v>
      </c>
      <c r="FT57" s="283">
        <f xml:space="preserve"> 'WK2015'!I67</f>
        <v>2252.9957279999999</v>
      </c>
      <c r="FU57" s="283">
        <f xml:space="preserve"> 'WK2015'!L67</f>
        <v>1903.9212499999999</v>
      </c>
      <c r="FV57" s="283">
        <f xml:space="preserve"> 'WK2015'!M67</f>
        <v>2252.9957279999999</v>
      </c>
      <c r="FW57" s="283">
        <f xml:space="preserve"> 'WK2015'!N67</f>
        <v>1926.2176431656183</v>
      </c>
      <c r="FX57" s="283">
        <f xml:space="preserve"> 'WK2015'!O67</f>
        <v>2275.2921211656185</v>
      </c>
      <c r="FY57" s="284">
        <f xml:space="preserve"> 'WK2015'!P67</f>
        <v>0.75065162271750396</v>
      </c>
      <c r="GA57" s="283">
        <f xml:space="preserve"> 'WK2015'!HB67</f>
        <v>1368.356286</v>
      </c>
      <c r="GB57" s="283">
        <f xml:space="preserve"> 'WK2015'!HC67</f>
        <v>1865.2235969999999</v>
      </c>
      <c r="GC57" s="283">
        <f xml:space="preserve"> 'WK2015'!HF67</f>
        <v>1369.3292997631709</v>
      </c>
      <c r="GD57" s="283">
        <f xml:space="preserve"> 'WK2015'!HG67</f>
        <v>1862.9361227631709</v>
      </c>
      <c r="GE57" s="283">
        <f xml:space="preserve"> 'WK2015'!HH67</f>
        <v>1383.1816795495699</v>
      </c>
      <c r="GF57" s="283">
        <f xml:space="preserve"> 'WK2015'!HI67</f>
        <v>1876.78850254957</v>
      </c>
      <c r="GG57" s="284">
        <f xml:space="preserve"> 'WK2015'!HJ67</f>
        <v>0.70157419282911537</v>
      </c>
      <c r="GI57" s="283">
        <f xml:space="preserve"> 'WK2015'!HQ67</f>
        <v>1247.7293850000001</v>
      </c>
      <c r="GJ57" s="283">
        <f xml:space="preserve"> 'WK2015'!HR67</f>
        <v>1483.2786779999999</v>
      </c>
      <c r="GK57" s="283">
        <f xml:space="preserve"> 'WK2015'!HU67</f>
        <v>1247.7293850000001</v>
      </c>
      <c r="GL57" s="283">
        <f xml:space="preserve"> 'WK2015'!HV67</f>
        <v>1483.2786779999999</v>
      </c>
      <c r="GM57" s="283">
        <f xml:space="preserve"> 'WK2015'!HW67</f>
        <v>1250.734433526703</v>
      </c>
      <c r="GN57" s="283">
        <f xml:space="preserve"> 'WK2015'!HX67</f>
        <v>1486.2837265267028</v>
      </c>
      <c r="GO57" s="284">
        <f xml:space="preserve"> 'WK2015'!HY67</f>
        <v>0.78173475076408006</v>
      </c>
    </row>
    <row r="58" spans="1:197" x14ac:dyDescent="0.2">
      <c r="A58" s="3">
        <f>Basis!A58</f>
        <v>58</v>
      </c>
      <c r="D58" s="252" t="e">
        <v>#N/A</v>
      </c>
      <c r="E58" s="252" t="e">
        <v>#N/A</v>
      </c>
      <c r="H58" s="50">
        <f xml:space="preserve"> 'WK2012'!EG68</f>
        <v>3763.485399303353</v>
      </c>
      <c r="I58" s="50">
        <f xml:space="preserve"> 'WK2012'!EH68</f>
        <v>4850.1236859281153</v>
      </c>
      <c r="J58" s="50">
        <f xml:space="preserve"> 'WK2012'!EK68</f>
        <v>3763.976527956811</v>
      </c>
      <c r="K58" s="50">
        <f xml:space="preserve"> 'WK2012'!EL68</f>
        <v>4849.5881017166748</v>
      </c>
      <c r="L58" s="50">
        <f xml:space="preserve"> 'WK2012'!EM68</f>
        <v>3808.5660304199482</v>
      </c>
      <c r="M58" s="50">
        <f xml:space="preserve"> 'WK2012'!EN68</f>
        <v>4894.177604179813</v>
      </c>
      <c r="N58" s="61">
        <f xml:space="preserve"> 'WK2012'!EI68</f>
        <v>0.73637265112446915</v>
      </c>
      <c r="P58" s="50">
        <f xml:space="preserve"> 'WK2012'!EU68</f>
        <v>3290.505254021673</v>
      </c>
      <c r="Q58" s="50">
        <f xml:space="preserve"> 'WK2012'!EV68</f>
        <v>4010.1120640129607</v>
      </c>
      <c r="R58" s="50">
        <f xml:space="preserve"> 'WK2012'!EY68</f>
        <v>3291.0409366237718</v>
      </c>
      <c r="S58" s="50">
        <f xml:space="preserve"> 'WK2012'!EZ68</f>
        <v>4009.505584158805</v>
      </c>
      <c r="T58" s="50">
        <f xml:space="preserve"> 'WK2012'!FA68</f>
        <v>3326.5739298852832</v>
      </c>
      <c r="U58" s="50">
        <f xml:space="preserve"> 'WK2012'!FB68</f>
        <v>4045.0385774203164</v>
      </c>
      <c r="V58" s="61">
        <f xml:space="preserve"> 'WK2012'!EW68</f>
        <v>0.7432455066452327</v>
      </c>
      <c r="X58" s="50">
        <f xml:space="preserve"> 'WK2012'!FI68</f>
        <v>2120.6978594988477</v>
      </c>
      <c r="Y58" s="50">
        <f xml:space="preserve"> 'WK2012'!FJ68</f>
        <v>2656.3562524776207</v>
      </c>
      <c r="Z58" s="50">
        <f xml:space="preserve"> 'WK2012'!FM68</f>
        <v>2120.789631501631</v>
      </c>
      <c r="AA58" s="50">
        <f xml:space="preserve"> 'WK2012'!FN68</f>
        <v>2656.2518802135301</v>
      </c>
      <c r="AB58" s="50">
        <f xml:space="preserve"> 'WK2012'!FO68</f>
        <v>2144.0362652887629</v>
      </c>
      <c r="AC58" s="50">
        <f xml:space="preserve"> 'WK2012'!FP68</f>
        <v>2679.498514000662</v>
      </c>
      <c r="AD58" s="61">
        <f xml:space="preserve"> 'WK2012'!FK68</f>
        <v>0.73552521426578166</v>
      </c>
      <c r="AF58" s="50">
        <f xml:space="preserve"> 'WK2012'!FW68</f>
        <v>261.4954626747321</v>
      </c>
      <c r="AG58" s="50">
        <f xml:space="preserve"> 'WK2012'!FX68</f>
        <v>259.79890203853012</v>
      </c>
      <c r="AH58" s="50">
        <f xml:space="preserve"> 'WK2012'!GA68</f>
        <v>261.85488366033923</v>
      </c>
      <c r="AI58" s="50">
        <f xml:space="preserve"> 'WK2012'!GB68</f>
        <v>259.41081128591566</v>
      </c>
      <c r="AJ58" s="50">
        <f xml:space="preserve"> 'WK2012'!GC68</f>
        <v>265.41772757620066</v>
      </c>
      <c r="AK58" s="50">
        <f xml:space="preserve"> 'WK2012'!GD68</f>
        <v>262.97365520177715</v>
      </c>
      <c r="AL58" s="61">
        <f xml:space="preserve"> 'WK2012'!FY68</f>
        <v>0.73257727960138008</v>
      </c>
      <c r="AN58" s="50">
        <f xml:space="preserve"> 'WK2012'!GK68</f>
        <v>496.07985042159032</v>
      </c>
      <c r="AO58" s="50">
        <f xml:space="preserve"> 'WK2012'!GL68</f>
        <v>600.82657612309185</v>
      </c>
      <c r="AP58" s="50">
        <f xml:space="preserve"> 'WK2012'!GO68</f>
        <v>496.07985042159032</v>
      </c>
      <c r="AQ58" s="50">
        <f xml:space="preserve"> 'WK2012'!GP68</f>
        <v>600.82657612309185</v>
      </c>
      <c r="AR58" s="50">
        <f xml:space="preserve"> 'WK2012'!GQ68</f>
        <v>496.71459832789304</v>
      </c>
      <c r="AS58" s="50">
        <f xml:space="preserve"> 'WK2012'!GR68</f>
        <v>601.46132402939452</v>
      </c>
      <c r="AT58" s="61">
        <f xml:space="preserve"> 'WK2012'!GM68</f>
        <v>0.73995396652581658</v>
      </c>
      <c r="AX58" s="50">
        <f xml:space="preserve"> 'WK2013'!EG68</f>
        <v>3875.3801290000006</v>
      </c>
      <c r="AY58" s="50">
        <f xml:space="preserve"> 'WK2013'!EH68</f>
        <v>4308.0829308000002</v>
      </c>
      <c r="AZ58" s="50">
        <f xml:space="preserve"> 'WK2013'!EK68</f>
        <v>3875.7780203380926</v>
      </c>
      <c r="BA58" s="50">
        <f xml:space="preserve"> 'WK2013'!EL68</f>
        <v>4307.3133231380925</v>
      </c>
      <c r="BB58" s="50">
        <f xml:space="preserve"> 'WK2013'!EM68</f>
        <v>3918.5804432958439</v>
      </c>
      <c r="BC58" s="50">
        <f xml:space="preserve"> 'WK2013'!EN68</f>
        <v>4350.115746095843</v>
      </c>
      <c r="BD58" s="61">
        <f xml:space="preserve"> 'WK2013'!EI68</f>
        <v>0.7250221206603954</v>
      </c>
      <c r="BF58" s="50">
        <f xml:space="preserve"> 'WK2013'!EU68</f>
        <v>3263.6642189999998</v>
      </c>
      <c r="BG58" s="50">
        <f xml:space="preserve"> 'WK2013'!EV68</f>
        <v>3649.2793052000002</v>
      </c>
      <c r="BH58" s="50">
        <f xml:space="preserve"> 'WK2013'!EY68</f>
        <v>3264.6753935493743</v>
      </c>
      <c r="BI58" s="50">
        <f xml:space="preserve"> 'WK2013'!EZ68</f>
        <v>3648.490720249375</v>
      </c>
      <c r="BJ58" s="50">
        <f xml:space="preserve"> 'WK2013'!FA68</f>
        <v>3299.2509048623233</v>
      </c>
      <c r="BK58" s="50">
        <f xml:space="preserve"> 'WK2013'!FB68</f>
        <v>3683.066231562324</v>
      </c>
      <c r="BL58" s="61">
        <f xml:space="preserve"> 'WK2013'!EW68</f>
        <v>0.73503672721615376</v>
      </c>
      <c r="BN58" s="50">
        <f xml:space="preserve"> 'WK2013'!FI68</f>
        <v>2465.9523548000002</v>
      </c>
      <c r="BO58" s="50">
        <f xml:space="preserve"> 'WK2013'!FJ68</f>
        <v>2849.5632498</v>
      </c>
      <c r="BP58" s="50">
        <f xml:space="preserve"> 'WK2013'!FM68</f>
        <v>2465.9560538051401</v>
      </c>
      <c r="BQ58" s="50">
        <f xml:space="preserve"> 'WK2013'!FN68</f>
        <v>2849.5601016051405</v>
      </c>
      <c r="BR58" s="50">
        <f xml:space="preserve"> 'WK2013'!FO68</f>
        <v>2493.7761870300869</v>
      </c>
      <c r="BS58" s="50">
        <f xml:space="preserve"> 'WK2013'!FP68</f>
        <v>2877.3802348300874</v>
      </c>
      <c r="BT58" s="61">
        <f xml:space="preserve"> 'WK2013'!FK68</f>
        <v>0.72850588216797485</v>
      </c>
      <c r="BV58" s="50">
        <f xml:space="preserve"> 'WK2013'!FW68</f>
        <v>664.67142600000011</v>
      </c>
      <c r="BW58" s="50">
        <f xml:space="preserve"> 'WK2013'!FX68</f>
        <v>776.29686579999998</v>
      </c>
      <c r="BX58" s="50">
        <f xml:space="preserve"> 'WK2013'!GA68</f>
        <v>664.68112231970508</v>
      </c>
      <c r="BY58" s="50">
        <f xml:space="preserve"> 'WK2013'!GB68</f>
        <v>776.2885821197051</v>
      </c>
      <c r="BZ58" s="50">
        <f xml:space="preserve"> 'WK2013'!GC68</f>
        <v>664.72467111479978</v>
      </c>
      <c r="CA58" s="50">
        <f xml:space="preserve"> 'WK2013'!GD68</f>
        <v>776.3321309147999</v>
      </c>
      <c r="CB58" s="61">
        <f xml:space="preserve"> 'WK2013'!FY68</f>
        <v>0.73405055036260358</v>
      </c>
      <c r="CD58" s="50">
        <f xml:space="preserve"> 'WK2013'!GK68</f>
        <v>308.83511475000012</v>
      </c>
      <c r="CE58" s="50">
        <f xml:space="preserve"> 'WK2013'!GL68</f>
        <v>323.44954500000006</v>
      </c>
      <c r="CF58" s="50">
        <f xml:space="preserve"> 'WK2013'!GO68</f>
        <v>308.83511475000012</v>
      </c>
      <c r="CG58" s="50">
        <f xml:space="preserve"> 'WK2013'!GP68</f>
        <v>323.44954500000006</v>
      </c>
      <c r="CH58" s="50">
        <f xml:space="preserve"> 'WK2013'!GQ68</f>
        <v>313.15071194691876</v>
      </c>
      <c r="CI58" s="50">
        <f xml:space="preserve"> 'WK2013'!GR68</f>
        <v>327.76514219691876</v>
      </c>
      <c r="CJ58" s="61">
        <f xml:space="preserve"> 'WK2013'!GM68</f>
        <v>0.74195013106613994</v>
      </c>
      <c r="CN58" s="50">
        <f xml:space="preserve"> 'WK2014'!EG68</f>
        <v>3901.1653107999996</v>
      </c>
      <c r="CO58" s="50">
        <f xml:space="preserve"> 'WK2014'!EH68</f>
        <v>4297.366368</v>
      </c>
      <c r="CP58" s="50">
        <f xml:space="preserve"> 'WK2014'!EK68</f>
        <v>3901.6134086656889</v>
      </c>
      <c r="CQ58" s="50">
        <f xml:space="preserve"> 'WK2014'!EL68</f>
        <v>4295.9080284656893</v>
      </c>
      <c r="CR58" s="50">
        <f xml:space="preserve"> 'WK2014'!EM68</f>
        <v>3934.9032269983431</v>
      </c>
      <c r="CS58" s="50">
        <f xml:space="preserve"> 'WK2014'!EN68</f>
        <v>4329.1978467983436</v>
      </c>
      <c r="CT58" s="61">
        <f xml:space="preserve"> 'WK2014'!EI68</f>
        <v>0.7390140412806202</v>
      </c>
      <c r="CV58" s="50">
        <f xml:space="preserve"> 'WK2014'!EU68</f>
        <v>3229.5439387000001</v>
      </c>
      <c r="CW58" s="50">
        <f xml:space="preserve"> 'WK2014'!EV68</f>
        <v>3552.2514379999998</v>
      </c>
      <c r="CX58" s="50">
        <f xml:space="preserve"> 'WK2014'!EY68</f>
        <v>3230.4054911723156</v>
      </c>
      <c r="CY58" s="50">
        <f xml:space="preserve"> 'WK2014'!EZ68</f>
        <v>3551.5717983723152</v>
      </c>
      <c r="CZ58" s="50">
        <f xml:space="preserve"> 'WK2014'!FA68</f>
        <v>3265.5919725719496</v>
      </c>
      <c r="DA58" s="50">
        <f xml:space="preserve"> 'WK2014'!FB68</f>
        <v>3586.7582797719501</v>
      </c>
      <c r="DB58" s="61">
        <f xml:space="preserve"> 'WK2014'!EW68</f>
        <v>0.73098092419056016</v>
      </c>
      <c r="DC58" s="1"/>
      <c r="DD58" s="50">
        <f xml:space="preserve"> 'WK2014'!FI68</f>
        <v>2546.7791375999996</v>
      </c>
      <c r="DE58" s="50">
        <f xml:space="preserve"> 'WK2014'!FJ68</f>
        <v>2820.9027704000005</v>
      </c>
      <c r="DF58" s="50">
        <f xml:space="preserve"> 'WK2014'!FM68</f>
        <v>2546.7826986137879</v>
      </c>
      <c r="DG58" s="50">
        <f xml:space="preserve"> 'WK2014'!FN68</f>
        <v>2820.899750613788</v>
      </c>
      <c r="DH58" s="50">
        <f xml:space="preserve"> 'WK2014'!FO68</f>
        <v>2570.6628527785597</v>
      </c>
      <c r="DI58" s="50">
        <f xml:space="preserve"> 'WK2014'!FP68</f>
        <v>2844.7799047785597</v>
      </c>
      <c r="DJ58" s="61">
        <f xml:space="preserve"> 'WK2014'!FK68</f>
        <v>0.72742212449837829</v>
      </c>
      <c r="DK58" s="1"/>
      <c r="DL58" s="50">
        <f xml:space="preserve"> 'WK2014'!FW68</f>
        <v>648.16138079999996</v>
      </c>
      <c r="DM58" s="50">
        <f xml:space="preserve"> 'WK2014'!FX68</f>
        <v>764.35906800000009</v>
      </c>
      <c r="DN58" s="50">
        <f xml:space="preserve"> 'WK2014'!GA68</f>
        <v>648.16910853429022</v>
      </c>
      <c r="DO58" s="50">
        <f xml:space="preserve"> 'WK2014'!GB68</f>
        <v>764.35253433429034</v>
      </c>
      <c r="DP58" s="50">
        <f xml:space="preserve"> 'WK2014'!GC68</f>
        <v>648.21291950581372</v>
      </c>
      <c r="DQ58" s="50">
        <f xml:space="preserve"> 'WK2014'!GD68</f>
        <v>764.39634530581384</v>
      </c>
      <c r="DR58" s="61">
        <f xml:space="preserve"> 'WK2014'!FY68</f>
        <v>0.73238150087187193</v>
      </c>
      <c r="DS58" s="1"/>
      <c r="DT58" s="50">
        <f xml:space="preserve"> 'WK2014'!GK68</f>
        <v>354.63355200000001</v>
      </c>
      <c r="DU58" s="50">
        <f xml:space="preserve"> 'WK2014'!GL68</f>
        <v>366.37072799999999</v>
      </c>
      <c r="DV58" s="50">
        <f xml:space="preserve"> 'WK2014'!GO68</f>
        <v>354.63355200000001</v>
      </c>
      <c r="DW58" s="50">
        <f xml:space="preserve"> 'WK2014'!GP68</f>
        <v>366.37072799999999</v>
      </c>
      <c r="DX58" s="50">
        <f xml:space="preserve"> 'WK2014'!GQ68</f>
        <v>359.60078554310383</v>
      </c>
      <c r="DY58" s="50">
        <f xml:space="preserve"> 'WK2014'!GR68</f>
        <v>371.33796154310386</v>
      </c>
      <c r="DZ58" s="61">
        <f xml:space="preserve"> 'WK2014'!GM68</f>
        <v>0.73334588919073629</v>
      </c>
      <c r="ED58" s="50">
        <f xml:space="preserve"> 'WK2015'!EG68</f>
        <v>3785.6637775999998</v>
      </c>
      <c r="EE58" s="50">
        <f xml:space="preserve"> 'WK2015'!EH68</f>
        <v>3988.1772702000003</v>
      </c>
      <c r="EF58" s="50">
        <f xml:space="preserve"> 'WK2015'!EK68</f>
        <v>3785.6730240877669</v>
      </c>
      <c r="EG58" s="50">
        <f xml:space="preserve"> 'WK2015'!EL68</f>
        <v>3988.169347487767</v>
      </c>
      <c r="EH58" s="50">
        <f xml:space="preserve"> 'WK2015'!EM68</f>
        <v>3826.4422030114151</v>
      </c>
      <c r="EI58" s="50">
        <f xml:space="preserve"> 'WK2015'!EN68</f>
        <v>4028.9385264114158</v>
      </c>
      <c r="EJ58" s="61">
        <f xml:space="preserve"> 'WK2015'!EI68</f>
        <v>0.74912135382443579</v>
      </c>
      <c r="EK58" s="1"/>
      <c r="EL58" s="50">
        <f xml:space="preserve"> 'WK2015'!EU68</f>
        <v>3228.0191864000008</v>
      </c>
      <c r="EM58" s="50">
        <f xml:space="preserve"> 'WK2015'!EV68</f>
        <v>3507.3026643000003</v>
      </c>
      <c r="EN58" s="50">
        <f xml:space="preserve"> 'WK2015'!EY68</f>
        <v>3228.8472613969557</v>
      </c>
      <c r="EO58" s="50">
        <f xml:space="preserve"> 'WK2015'!EZ68</f>
        <v>3506.6443089969557</v>
      </c>
      <c r="EP58" s="50">
        <f xml:space="preserve"> 'WK2015'!FA68</f>
        <v>3264.8931992840253</v>
      </c>
      <c r="EQ58" s="50">
        <f xml:space="preserve"> 'WK2015'!FB68</f>
        <v>3542.6902468840253</v>
      </c>
      <c r="ER58" s="61">
        <f xml:space="preserve"> 'WK2015'!EW68</f>
        <v>0.74686728608299413</v>
      </c>
      <c r="ES58" s="1"/>
      <c r="ET58" s="50">
        <f xml:space="preserve"> 'WK2015'!FI68</f>
        <v>2750.7601854000004</v>
      </c>
      <c r="EU58" s="50">
        <f xml:space="preserve"> 'WK2015'!FJ68</f>
        <v>3124.3141212</v>
      </c>
      <c r="EV58" s="50">
        <f xml:space="preserve"> 'WK2015'!FM68</f>
        <v>2750.7648646258876</v>
      </c>
      <c r="EW58" s="50">
        <f xml:space="preserve"> 'WK2015'!FN68</f>
        <v>3124.3101676258875</v>
      </c>
      <c r="EX58" s="50">
        <f xml:space="preserve"> 'WK2015'!FO68</f>
        <v>2775.2777905037533</v>
      </c>
      <c r="EY58" s="50">
        <f xml:space="preserve"> 'WK2015'!FP68</f>
        <v>3148.8230935037536</v>
      </c>
      <c r="EZ58" s="61">
        <f xml:space="preserve"> 'WK2015'!FK68</f>
        <v>0.73807580945945839</v>
      </c>
      <c r="FA58" s="1"/>
      <c r="FB58" s="50">
        <f xml:space="preserve"> 'WK2015'!FW68</f>
        <v>635.19249760000002</v>
      </c>
      <c r="FC58" s="50">
        <f xml:space="preserve"> 'WK2015'!FX68</f>
        <v>740.69830519999994</v>
      </c>
      <c r="FD58" s="50">
        <f xml:space="preserve"> 'WK2015'!GA68</f>
        <v>635.20174408776688</v>
      </c>
      <c r="FE58" s="50">
        <f xml:space="preserve"> 'WK2015'!GB68</f>
        <v>740.69038248776678</v>
      </c>
      <c r="FF58" s="50">
        <f xml:space="preserve"> 'WK2015'!GC68</f>
        <v>635.24528427007704</v>
      </c>
      <c r="FG58" s="50">
        <f xml:space="preserve"> 'WK2015'!GD68</f>
        <v>740.73392267007694</v>
      </c>
      <c r="FH58" s="61">
        <f xml:space="preserve"> 'WK2015'!FY68</f>
        <v>0.74959024093970961</v>
      </c>
      <c r="FI58" s="1"/>
      <c r="FJ58" s="50">
        <f xml:space="preserve"> 'WK2015'!GK68</f>
        <v>300.83738624999995</v>
      </c>
      <c r="FK58" s="50">
        <f xml:space="preserve"> 'WK2015'!GL68</f>
        <v>321.35313300000007</v>
      </c>
      <c r="FL58" s="50">
        <f xml:space="preserve"> 'WK2015'!GO68</f>
        <v>300.83738624999995</v>
      </c>
      <c r="FM58" s="50">
        <f xml:space="preserve"> 'WK2015'!GP68</f>
        <v>321.35313300000007</v>
      </c>
      <c r="FN58" s="50">
        <f xml:space="preserve"> 'WK2015'!GQ68</f>
        <v>306.1370322225996</v>
      </c>
      <c r="FO58" s="50">
        <f xml:space="preserve"> 'WK2015'!GR68</f>
        <v>326.65277897259966</v>
      </c>
      <c r="FP58" s="61">
        <f xml:space="preserve"> 'WK2015'!GM68</f>
        <v>0.74139549862996423</v>
      </c>
      <c r="FS58" s="283">
        <f xml:space="preserve"> 'WK2015'!H68</f>
        <v>2000.5514349999999</v>
      </c>
      <c r="FT58" s="283">
        <f xml:space="preserve"> 'WK2015'!I68</f>
        <v>2301.4646860000003</v>
      </c>
      <c r="FU58" s="283">
        <f xml:space="preserve"> 'WK2015'!L68</f>
        <v>2000.5514349999999</v>
      </c>
      <c r="FV58" s="283">
        <f xml:space="preserve"> 'WK2015'!M68</f>
        <v>2301.4646860000003</v>
      </c>
      <c r="FW58" s="283">
        <f xml:space="preserve"> 'WK2015'!N68</f>
        <v>2022.8478281656182</v>
      </c>
      <c r="FX58" s="283">
        <f xml:space="preserve"> 'WK2015'!O68</f>
        <v>2323.7610791656189</v>
      </c>
      <c r="FY58" s="284">
        <f xml:space="preserve"> 'WK2015'!P68</f>
        <v>0.74354170785356777</v>
      </c>
      <c r="GA58" s="283">
        <f xml:space="preserve"> 'WK2015'!HB68</f>
        <v>1458.5335529999998</v>
      </c>
      <c r="GB58" s="283">
        <f xml:space="preserve"> 'WK2015'!HC68</f>
        <v>1909.4882030000001</v>
      </c>
      <c r="GC58" s="283">
        <f xml:space="preserve"> 'WK2015'!HF68</f>
        <v>1459.1178793772331</v>
      </c>
      <c r="GD58" s="283">
        <f xml:space="preserve"> 'WK2015'!HG68</f>
        <v>1908.1503013772335</v>
      </c>
      <c r="GE58" s="283">
        <f xml:space="preserve"> 'WK2015'!HH68</f>
        <v>1473.3589465495697</v>
      </c>
      <c r="GF58" s="283">
        <f xml:space="preserve"> 'WK2015'!HI68</f>
        <v>1922.3913685495702</v>
      </c>
      <c r="GG58" s="284">
        <f xml:space="preserve"> 'WK2015'!HJ68</f>
        <v>0.69601609318290514</v>
      </c>
      <c r="GI58" s="283">
        <f xml:space="preserve"> 'WK2015'!HQ68</f>
        <v>1340.9276300000001</v>
      </c>
      <c r="GJ58" s="283">
        <f xml:space="preserve"> 'WK2015'!HR68</f>
        <v>1577.8933380000001</v>
      </c>
      <c r="GK58" s="283">
        <f xml:space="preserve"> 'WK2015'!HU68</f>
        <v>1340.9276300000001</v>
      </c>
      <c r="GL58" s="283">
        <f xml:space="preserve"> 'WK2015'!HV68</f>
        <v>1577.8933380000001</v>
      </c>
      <c r="GM58" s="283">
        <f xml:space="preserve"> 'WK2015'!HW68</f>
        <v>1343.9326785267031</v>
      </c>
      <c r="GN58" s="283">
        <f xml:space="preserve"> 'WK2015'!HX68</f>
        <v>1580.898386526703</v>
      </c>
      <c r="GO58" s="284">
        <f xml:space="preserve"> 'WK2015'!HY68</f>
        <v>0.75890956805247001</v>
      </c>
    </row>
    <row r="59" spans="1:197" x14ac:dyDescent="0.2">
      <c r="A59" s="3">
        <f>Basis!A59</f>
        <v>59</v>
      </c>
      <c r="D59" s="252" t="e">
        <v>#N/A</v>
      </c>
      <c r="E59" s="252" t="e">
        <v>#N/A</v>
      </c>
      <c r="H59" s="50">
        <f xml:space="preserve"> 'WK2012'!EG69</f>
        <v>3979.7353321104638</v>
      </c>
      <c r="I59" s="50">
        <f xml:space="preserve"> 'WK2012'!EH69</f>
        <v>5022.7382799401075</v>
      </c>
      <c r="J59" s="50">
        <f xml:space="preserve"> 'WK2012'!EK69</f>
        <v>3980.1920006776581</v>
      </c>
      <c r="K59" s="50">
        <f xml:space="preserve"> 'WK2012'!EL69</f>
        <v>5022.230042028983</v>
      </c>
      <c r="L59" s="50">
        <f xml:space="preserve"> 'WK2012'!EM69</f>
        <v>4024.8159632270581</v>
      </c>
      <c r="M59" s="50">
        <f xml:space="preserve"> 'WK2012'!EN69</f>
        <v>5066.854004578383</v>
      </c>
      <c r="N59" s="61">
        <f xml:space="preserve"> 'WK2012'!EI69</f>
        <v>0.73593689614707702</v>
      </c>
      <c r="P59" s="50">
        <f xml:space="preserve"> 'WK2012'!EU69</f>
        <v>3504.4563087313386</v>
      </c>
      <c r="Q59" s="50">
        <f xml:space="preserve"> 'WK2012'!EV69</f>
        <v>4162.0212458707101</v>
      </c>
      <c r="R59" s="50">
        <f xml:space="preserve"> 'WK2012'!EY69</f>
        <v>3504.6456516788544</v>
      </c>
      <c r="S59" s="50">
        <f xml:space="preserve"> 'WK2012'!EZ69</f>
        <v>4161.8005309430837</v>
      </c>
      <c r="T59" s="50">
        <f xml:space="preserve"> 'WK2012'!FA69</f>
        <v>3540.5249845949484</v>
      </c>
      <c r="U59" s="50">
        <f xml:space="preserve"> 'WK2012'!FB69</f>
        <v>4197.6798638591781</v>
      </c>
      <c r="V59" s="61">
        <f xml:space="preserve"> 'WK2012'!EW69</f>
        <v>0.74334014114294078</v>
      </c>
      <c r="X59" s="50">
        <f xml:space="preserve"> 'WK2012'!FI69</f>
        <v>2275.2932971427767</v>
      </c>
      <c r="Y59" s="50">
        <f xml:space="preserve"> 'WK2012'!FJ69</f>
        <v>2772.9664980446246</v>
      </c>
      <c r="Z59" s="50">
        <f xml:space="preserve"> 'WK2012'!FM69</f>
        <v>2275.3844178486538</v>
      </c>
      <c r="AA59" s="50">
        <f xml:space="preserve"> 'WK2012'!FN69</f>
        <v>2772.8614744836273</v>
      </c>
      <c r="AB59" s="50">
        <f xml:space="preserve"> 'WK2012'!FO69</f>
        <v>2298.631702932692</v>
      </c>
      <c r="AC59" s="50">
        <f xml:space="preserve"> 'WK2012'!FP69</f>
        <v>2796.1087595676659</v>
      </c>
      <c r="AD59" s="61">
        <f xml:space="preserve"> 'WK2012'!FK69</f>
        <v>0.73401466798740556</v>
      </c>
      <c r="AF59" s="50">
        <f xml:space="preserve"> 'WK2012'!FW69</f>
        <v>285.30170527176625</v>
      </c>
      <c r="AG59" s="50">
        <f xml:space="preserve"> 'WK2012'!FX69</f>
        <v>274.13892567083212</v>
      </c>
      <c r="AH59" s="50">
        <f xml:space="preserve"> 'WK2012'!GA69</f>
        <v>285.63069834695222</v>
      </c>
      <c r="AI59" s="50">
        <f xml:space="preserve"> 'WK2012'!GB69</f>
        <v>273.77603275571846</v>
      </c>
      <c r="AJ59" s="50">
        <f xml:space="preserve"> 'WK2012'!GC69</f>
        <v>289.22397017323487</v>
      </c>
      <c r="AK59" s="50">
        <f xml:space="preserve"> 'WK2012'!GD69</f>
        <v>277.36930458200112</v>
      </c>
      <c r="AL59" s="61">
        <f xml:space="preserve"> 'WK2012'!FY69</f>
        <v>0.73213880404106058</v>
      </c>
      <c r="AN59" s="50">
        <f xml:space="preserve"> 'WK2012'!GK69</f>
        <v>507.41960080569743</v>
      </c>
      <c r="AO59" s="50">
        <f xml:space="preserve"> 'WK2012'!GL69</f>
        <v>610.11979843594793</v>
      </c>
      <c r="AP59" s="50">
        <f xml:space="preserve"> 'WK2012'!GO69</f>
        <v>507.41960080569743</v>
      </c>
      <c r="AQ59" s="50">
        <f xml:space="preserve"> 'WK2012'!GP69</f>
        <v>610.11979843594793</v>
      </c>
      <c r="AR59" s="50">
        <f xml:space="preserve"> 'WK2012'!GQ69</f>
        <v>508.05434871200021</v>
      </c>
      <c r="AS59" s="50">
        <f xml:space="preserve"> 'WK2012'!GR69</f>
        <v>610.75454634225071</v>
      </c>
      <c r="AT59" s="61">
        <f xml:space="preserve"> 'WK2012'!GM69</f>
        <v>0.73871317765364086</v>
      </c>
      <c r="AX59" s="50">
        <f xml:space="preserve"> 'WK2013'!EG69</f>
        <v>4106.8579185999997</v>
      </c>
      <c r="AY59" s="50">
        <f xml:space="preserve"> 'WK2013'!EH69</f>
        <v>4450.9461994000003</v>
      </c>
      <c r="AZ59" s="50">
        <f xml:space="preserve"> 'WK2013'!EK69</f>
        <v>4107.1545545934314</v>
      </c>
      <c r="BA59" s="50">
        <f xml:space="preserve"> 'WK2013'!EL69</f>
        <v>4450.3708053934315</v>
      </c>
      <c r="BB59" s="50">
        <f xml:space="preserve"> 'WK2013'!EM69</f>
        <v>4150.0582328958426</v>
      </c>
      <c r="BC59" s="50">
        <f xml:space="preserve"> 'WK2013'!EN69</f>
        <v>4493.2744836958436</v>
      </c>
      <c r="BD59" s="61">
        <f xml:space="preserve"> 'WK2013'!EI69</f>
        <v>0.72358208170691807</v>
      </c>
      <c r="BF59" s="50">
        <f xml:space="preserve"> 'WK2013'!EU69</f>
        <v>3455.1937288999993</v>
      </c>
      <c r="BG59" s="50">
        <f xml:space="preserve"> 'WK2013'!EV69</f>
        <v>3775.8279706000003</v>
      </c>
      <c r="BH59" s="50">
        <f xml:space="preserve"> 'WK2013'!EY69</f>
        <v>3455.9033779023489</v>
      </c>
      <c r="BI59" s="50">
        <f xml:space="preserve"> 'WK2013'!EZ69</f>
        <v>3775.2623481023493</v>
      </c>
      <c r="BJ59" s="50">
        <f xml:space="preserve"> 'WK2013'!FA69</f>
        <v>3490.7804147623233</v>
      </c>
      <c r="BK59" s="50">
        <f xml:space="preserve"> 'WK2013'!FB69</f>
        <v>3810.1393849623241</v>
      </c>
      <c r="BL59" s="61">
        <f xml:space="preserve"> 'WK2013'!EW69</f>
        <v>0.73194588929378701</v>
      </c>
      <c r="BN59" s="50">
        <f xml:space="preserve"> 'WK2013'!FI69</f>
        <v>2624.8036431999999</v>
      </c>
      <c r="BO59" s="50">
        <f xml:space="preserve"> 'WK2013'!FJ69</f>
        <v>2971.3025419999999</v>
      </c>
      <c r="BP59" s="50">
        <f xml:space="preserve"> 'WK2013'!FM69</f>
        <v>2624.8062527558818</v>
      </c>
      <c r="BQ59" s="50">
        <f xml:space="preserve"> 'WK2013'!FN69</f>
        <v>2971.3002971558817</v>
      </c>
      <c r="BR59" s="50">
        <f xml:space="preserve"> 'WK2013'!FO69</f>
        <v>2652.6274754300871</v>
      </c>
      <c r="BS59" s="50">
        <f xml:space="preserve"> 'WK2013'!FP69</f>
        <v>2999.121519830087</v>
      </c>
      <c r="BT59" s="61">
        <f xml:space="preserve"> 'WK2013'!FK69</f>
        <v>0.72717353780561678</v>
      </c>
      <c r="BV59" s="50">
        <f xml:space="preserve"> 'WK2013'!FW69</f>
        <v>681.93205560000001</v>
      </c>
      <c r="BW59" s="50">
        <f xml:space="preserve"> 'WK2013'!FX69</f>
        <v>787.7663884000001</v>
      </c>
      <c r="BX59" s="50">
        <f xml:space="preserve"> 'WK2013'!GA69</f>
        <v>681.93966429204761</v>
      </c>
      <c r="BY59" s="50">
        <f xml:space="preserve"> 'WK2013'!GB69</f>
        <v>787.7598170920478</v>
      </c>
      <c r="BZ59" s="50">
        <f xml:space="preserve"> 'WK2013'!GC69</f>
        <v>681.98530071479979</v>
      </c>
      <c r="CA59" s="50">
        <f xml:space="preserve"> 'WK2013'!GD69</f>
        <v>787.80545351479986</v>
      </c>
      <c r="CB59" s="61">
        <f xml:space="preserve"> 'WK2013'!FY69</f>
        <v>0.73189995910518979</v>
      </c>
      <c r="CD59" s="50">
        <f xml:space="preserve"> 'WK2013'!GK69</f>
        <v>343.38936825000008</v>
      </c>
      <c r="CE59" s="50">
        <f xml:space="preserve"> 'WK2013'!GL69</f>
        <v>345.36104850000004</v>
      </c>
      <c r="CF59" s="50">
        <f xml:space="preserve"> 'WK2013'!GO69</f>
        <v>343.38936825000008</v>
      </c>
      <c r="CG59" s="50">
        <f xml:space="preserve"> 'WK2013'!GP69</f>
        <v>345.36104850000004</v>
      </c>
      <c r="CH59" s="50">
        <f xml:space="preserve"> 'WK2013'!GQ69</f>
        <v>347.70496544691872</v>
      </c>
      <c r="CI59" s="50">
        <f xml:space="preserve"> 'WK2013'!GR69</f>
        <v>349.67664569691863</v>
      </c>
      <c r="CJ59" s="61">
        <f xml:space="preserve"> 'WK2013'!GM69</f>
        <v>0.7414354527434136</v>
      </c>
      <c r="CN59" s="50">
        <f xml:space="preserve"> 'WK2014'!EG69</f>
        <v>4128.8842699999996</v>
      </c>
      <c r="CO59" s="50">
        <f xml:space="preserve"> 'WK2014'!EH69</f>
        <v>4443.2271816000002</v>
      </c>
      <c r="CP59" s="50">
        <f xml:space="preserve"> 'WK2014'!EK69</f>
        <v>4129.2342899877349</v>
      </c>
      <c r="CQ59" s="50">
        <f xml:space="preserve"> 'WK2014'!EL69</f>
        <v>4442.0746615877342</v>
      </c>
      <c r="CR59" s="50">
        <f xml:space="preserve"> 'WK2014'!EM69</f>
        <v>4162.6221861983422</v>
      </c>
      <c r="CS59" s="50">
        <f xml:space="preserve"> 'WK2014'!EN69</f>
        <v>4475.4625577983425</v>
      </c>
      <c r="CT59" s="61">
        <f xml:space="preserve"> 'WK2014'!EI69</f>
        <v>0.74026604219121284</v>
      </c>
      <c r="CV59" s="50">
        <f xml:space="preserve"> 'WK2014'!EU69</f>
        <v>3422.5533324999997</v>
      </c>
      <c r="CW59" s="50">
        <f xml:space="preserve"> 'WK2014'!EV69</f>
        <v>3659.9616904</v>
      </c>
      <c r="CX59" s="50">
        <f xml:space="preserve"> 'WK2014'!EY69</f>
        <v>3423.0480200293032</v>
      </c>
      <c r="CY59" s="50">
        <f xml:space="preserve"> 'WK2014'!EZ69</f>
        <v>3659.5608244293026</v>
      </c>
      <c r="CZ59" s="50">
        <f xml:space="preserve"> 'WK2014'!FA69</f>
        <v>3458.6013663719496</v>
      </c>
      <c r="DA59" s="50">
        <f xml:space="preserve"> 'WK2014'!FB69</f>
        <v>3695.1141707719498</v>
      </c>
      <c r="DB59" s="61">
        <f xml:space="preserve"> 'WK2014'!EW69</f>
        <v>0.73197887421250596</v>
      </c>
      <c r="DC59" s="1"/>
      <c r="DD59" s="50">
        <f xml:space="preserve"> 'WK2014'!FI69</f>
        <v>2698.0125607999998</v>
      </c>
      <c r="DE59" s="50">
        <f xml:space="preserve"> 'WK2014'!FJ69</f>
        <v>2906.8570098</v>
      </c>
      <c r="DF59" s="50">
        <f xml:space="preserve"> 'WK2014'!FM69</f>
        <v>2698.0148207499833</v>
      </c>
      <c r="DG59" s="50">
        <f xml:space="preserve"> 'WK2014'!FN69</f>
        <v>2906.8550745499833</v>
      </c>
      <c r="DH59" s="50">
        <f xml:space="preserve"> 'WK2014'!FO69</f>
        <v>2721.89627597856</v>
      </c>
      <c r="DI59" s="50">
        <f xml:space="preserve"> 'WK2014'!FP69</f>
        <v>2930.73652977856</v>
      </c>
      <c r="DJ59" s="61">
        <f xml:space="preserve"> 'WK2014'!FK69</f>
        <v>0.72480175655919321</v>
      </c>
      <c r="DK59" s="1"/>
      <c r="DL59" s="50">
        <f xml:space="preserve"> 'WK2014'!FW69</f>
        <v>666.47396400000002</v>
      </c>
      <c r="DM59" s="50">
        <f xml:space="preserve"> 'WK2014'!FX69</f>
        <v>774.77210160000004</v>
      </c>
      <c r="DN59" s="50">
        <f xml:space="preserve"> 'WK2014'!GA69</f>
        <v>666.47968879558607</v>
      </c>
      <c r="DO59" s="50">
        <f xml:space="preserve"> 'WK2014'!GB69</f>
        <v>774.76719439558599</v>
      </c>
      <c r="DP59" s="50">
        <f xml:space="preserve"> 'WK2014'!GC69</f>
        <v>666.52550270581378</v>
      </c>
      <c r="DQ59" s="50">
        <f xml:space="preserve"> 'WK2014'!GD69</f>
        <v>774.81300830581381</v>
      </c>
      <c r="DR59" s="61">
        <f xml:space="preserve"> 'WK2014'!FY69</f>
        <v>0.73346213908897329</v>
      </c>
      <c r="DS59" s="1"/>
      <c r="DT59" s="50">
        <f xml:space="preserve"> 'WK2014'!GK69</f>
        <v>398.53872299999989</v>
      </c>
      <c r="DU59" s="50">
        <f xml:space="preserve"> 'WK2014'!GL69</f>
        <v>400.79597999999987</v>
      </c>
      <c r="DV59" s="50">
        <f xml:space="preserve"> 'WK2014'!GO69</f>
        <v>398.53872299999989</v>
      </c>
      <c r="DW59" s="50">
        <f xml:space="preserve"> 'WK2014'!GP69</f>
        <v>400.79597999999987</v>
      </c>
      <c r="DX59" s="50">
        <f xml:space="preserve"> 'WK2014'!GQ69</f>
        <v>403.50595654310371</v>
      </c>
      <c r="DY59" s="50">
        <f xml:space="preserve"> 'WK2014'!GR69</f>
        <v>405.76321354310369</v>
      </c>
      <c r="DZ59" s="61">
        <f xml:space="preserve"> 'WK2014'!GM69</f>
        <v>0.73256516388810877</v>
      </c>
      <c r="ED59" s="50">
        <f xml:space="preserve"> 'WK2015'!EG69</f>
        <v>4007.1863525999997</v>
      </c>
      <c r="EE59" s="50">
        <f xml:space="preserve"> 'WK2015'!EH69</f>
        <v>4108.5184357999997</v>
      </c>
      <c r="EF59" s="50">
        <f xml:space="preserve"> 'WK2015'!EK69</f>
        <v>4007.1931283183699</v>
      </c>
      <c r="EG59" s="50">
        <f xml:space="preserve"> 'WK2015'!EL69</f>
        <v>4108.5125451183703</v>
      </c>
      <c r="EH59" s="50">
        <f xml:space="preserve"> 'WK2015'!EM69</f>
        <v>4047.9647780114146</v>
      </c>
      <c r="EI59" s="50">
        <f xml:space="preserve"> 'WK2015'!EN69</f>
        <v>4149.2841948114146</v>
      </c>
      <c r="EJ59" s="61">
        <f xml:space="preserve"> 'WK2015'!EI69</f>
        <v>0.74023578242858645</v>
      </c>
      <c r="EK59" s="1"/>
      <c r="EL59" s="50">
        <f xml:space="preserve"> 'WK2015'!EU69</f>
        <v>3430.0803724000007</v>
      </c>
      <c r="EM59" s="50">
        <f xml:space="preserve"> 'WK2015'!EV69</f>
        <v>3613.0985027000002</v>
      </c>
      <c r="EN59" s="50">
        <f xml:space="preserve"> 'WK2015'!EY69</f>
        <v>3430.4191370742183</v>
      </c>
      <c r="EO59" s="50">
        <f xml:space="preserve"> 'WK2015'!EZ69</f>
        <v>3612.8201837742181</v>
      </c>
      <c r="EP59" s="50">
        <f xml:space="preserve"> 'WK2015'!FA69</f>
        <v>3466.9543852840252</v>
      </c>
      <c r="EQ59" s="50">
        <f xml:space="preserve"> 'WK2015'!FB69</f>
        <v>3649.3554319840255</v>
      </c>
      <c r="ER59" s="61">
        <f xml:space="preserve"> 'WK2015'!EW69</f>
        <v>0.73896843202265639</v>
      </c>
      <c r="ES59" s="1"/>
      <c r="ET59" s="50">
        <f xml:space="preserve"> 'WK2015'!FI69</f>
        <v>2934.7216410000001</v>
      </c>
      <c r="EU59" s="50">
        <f xml:space="preserve"> 'WK2015'!FJ69</f>
        <v>3233.4675217999998</v>
      </c>
      <c r="EV59" s="50">
        <f xml:space="preserve"> 'WK2015'!FM69</f>
        <v>2934.7246205268557</v>
      </c>
      <c r="EW59" s="50">
        <f xml:space="preserve"> 'WK2015'!FN69</f>
        <v>3233.4649909268551</v>
      </c>
      <c r="EX59" s="50">
        <f xml:space="preserve"> 'WK2015'!FO69</f>
        <v>2959.2392461037534</v>
      </c>
      <c r="EY59" s="50">
        <f xml:space="preserve"> 'WK2015'!FP69</f>
        <v>3257.9796165037533</v>
      </c>
      <c r="EZ59" s="61">
        <f xml:space="preserve"> 'WK2015'!FK69</f>
        <v>0.73357318109067748</v>
      </c>
      <c r="FA59" s="1"/>
      <c r="FB59" s="50">
        <f xml:space="preserve"> 'WK2015'!FW69</f>
        <v>654.58609760000013</v>
      </c>
      <c r="FC59" s="50">
        <f xml:space="preserve"> 'WK2015'!FX69</f>
        <v>753.05919680000011</v>
      </c>
      <c r="FD59" s="50">
        <f xml:space="preserve"> 'WK2015'!GA69</f>
        <v>654.59287331837049</v>
      </c>
      <c r="FE59" s="50">
        <f xml:space="preserve"> 'WK2015'!GB69</f>
        <v>753.05330611837053</v>
      </c>
      <c r="FF59" s="50">
        <f xml:space="preserve"> 'WK2015'!GC69</f>
        <v>654.63888427007714</v>
      </c>
      <c r="FG59" s="50">
        <f xml:space="preserve"> 'WK2015'!GD69</f>
        <v>753.09931707007718</v>
      </c>
      <c r="FH59" s="61">
        <f xml:space="preserve"> 'WK2015'!FY69</f>
        <v>0.74068868890328021</v>
      </c>
      <c r="FI59" s="1"/>
      <c r="FJ59" s="50">
        <f xml:space="preserve"> 'WK2015'!GK69</f>
        <v>331.58381175000011</v>
      </c>
      <c r="FK59" s="50">
        <f xml:space="preserve"> 'WK2015'!GL69</f>
        <v>346.59552450000001</v>
      </c>
      <c r="FL59" s="50">
        <f xml:space="preserve"> 'WK2015'!GO69</f>
        <v>331.58381175000011</v>
      </c>
      <c r="FM59" s="50">
        <f xml:space="preserve"> 'WK2015'!GP69</f>
        <v>346.59552450000001</v>
      </c>
      <c r="FN59" s="50">
        <f xml:space="preserve"> 'WK2015'!GQ69</f>
        <v>336.8834577225997</v>
      </c>
      <c r="FO59" s="50">
        <f xml:space="preserve"> 'WK2015'!GR69</f>
        <v>351.8951704725996</v>
      </c>
      <c r="FP59" s="61">
        <f xml:space="preserve"> 'WK2015'!GM69</f>
        <v>0.7342423865726837</v>
      </c>
      <c r="FS59" s="283">
        <f xml:space="preserve"> 'WK2015'!H69</f>
        <v>2103.5115399999995</v>
      </c>
      <c r="FT59" s="283">
        <f xml:space="preserve"> 'WK2015'!I69</f>
        <v>2351.9156459999999</v>
      </c>
      <c r="FU59" s="283">
        <f xml:space="preserve"> 'WK2015'!L69</f>
        <v>2103.5115399999995</v>
      </c>
      <c r="FV59" s="283">
        <f xml:space="preserve"> 'WK2015'!M69</f>
        <v>2351.9156459999999</v>
      </c>
      <c r="FW59" s="283">
        <f xml:space="preserve"> 'WK2015'!N69</f>
        <v>2125.8079331656181</v>
      </c>
      <c r="FX59" s="283">
        <f xml:space="preserve"> 'WK2015'!O69</f>
        <v>2374.2120391656185</v>
      </c>
      <c r="FY59" s="284">
        <f xml:space="preserve"> 'WK2015'!P69</f>
        <v>0.73868654733645678</v>
      </c>
      <c r="GA59" s="283">
        <f xml:space="preserve"> 'WK2015'!HB69</f>
        <v>1553.4397080000001</v>
      </c>
      <c r="GB59" s="283">
        <f xml:space="preserve"> 'WK2015'!HC69</f>
        <v>1959.591392</v>
      </c>
      <c r="GC59" s="283">
        <f xml:space="preserve"> 'WK2015'!HF69</f>
        <v>1553.7012881318035</v>
      </c>
      <c r="GD59" s="283">
        <f xml:space="preserve"> 'WK2015'!HG69</f>
        <v>1958.9770201318033</v>
      </c>
      <c r="GE59" s="283">
        <f xml:space="preserve"> 'WK2015'!HH69</f>
        <v>1568.2651015495701</v>
      </c>
      <c r="GF59" s="283">
        <f xml:space="preserve"> 'WK2015'!HI69</f>
        <v>1973.5408335495699</v>
      </c>
      <c r="GG59" s="284">
        <f xml:space="preserve"> 'WK2015'!HJ69</f>
        <v>0.70137618065433927</v>
      </c>
      <c r="GI59" s="283">
        <f xml:space="preserve"> 'WK2015'!HQ69</f>
        <v>1441.72847</v>
      </c>
      <c r="GJ59" s="283">
        <f xml:space="preserve"> 'WK2015'!HR69</f>
        <v>1677.781602</v>
      </c>
      <c r="GK59" s="283">
        <f xml:space="preserve"> 'WK2015'!HU69</f>
        <v>1441.72847</v>
      </c>
      <c r="GL59" s="283">
        <f xml:space="preserve"> 'WK2015'!HV69</f>
        <v>1677.781602</v>
      </c>
      <c r="GM59" s="283">
        <f xml:space="preserve"> 'WK2015'!HW69</f>
        <v>1444.7335185267029</v>
      </c>
      <c r="GN59" s="283">
        <f xml:space="preserve"> 'WK2015'!HX69</f>
        <v>1680.7866505267029</v>
      </c>
      <c r="GO59" s="284">
        <f xml:space="preserve"> 'WK2015'!HY69</f>
        <v>0.73974033608375245</v>
      </c>
    </row>
    <row r="60" spans="1:197" x14ac:dyDescent="0.2">
      <c r="A60" s="3">
        <f>Basis!A60</f>
        <v>60</v>
      </c>
      <c r="D60" s="252" t="e">
        <v>#N/A</v>
      </c>
      <c r="E60" s="252" t="e">
        <v>#N/A</v>
      </c>
      <c r="H60" s="50">
        <f xml:space="preserve"> 'WK2012'!EG70</f>
        <v>4207.1894139193701</v>
      </c>
      <c r="I60" s="50">
        <f xml:space="preserve"> 'WK2012'!EH70</f>
        <v>5198.4850901340806</v>
      </c>
      <c r="J60" s="50">
        <f xml:space="preserve"> 'WK2012'!EK70</f>
        <v>4207.5950043311686</v>
      </c>
      <c r="K60" s="50">
        <f xml:space="preserve"> 'WK2012'!EL70</f>
        <v>5198.0240918643312</v>
      </c>
      <c r="L60" s="50">
        <f xml:space="preserve"> 'WK2012'!EM70</f>
        <v>4252.2700450359653</v>
      </c>
      <c r="M60" s="50">
        <f xml:space="preserve"> 'WK2012'!EN70</f>
        <v>5242.699132569127</v>
      </c>
      <c r="N60" s="61">
        <f xml:space="preserve"> 'WK2012'!EI70</f>
        <v>0.73012322201184965</v>
      </c>
      <c r="P60" s="50">
        <f xml:space="preserve"> 'WK2012'!EU70</f>
        <v>3725.4371363224332</v>
      </c>
      <c r="Q60" s="50">
        <f xml:space="preserve"> 'WK2012'!EV70</f>
        <v>4333.4968882073927</v>
      </c>
      <c r="R60" s="50">
        <f xml:space="preserve"> 'WK2012'!EY70</f>
        <v>3725.4542809474992</v>
      </c>
      <c r="S60" s="50">
        <f xml:space="preserve"> 'WK2012'!EZ70</f>
        <v>4333.4768244396937</v>
      </c>
      <c r="T60" s="50">
        <f xml:space="preserve"> 'WK2012'!FA70</f>
        <v>3761.5058121860429</v>
      </c>
      <c r="U60" s="50">
        <f xml:space="preserve"> 'WK2012'!FB70</f>
        <v>4369.5283556782369</v>
      </c>
      <c r="V60" s="61">
        <f xml:space="preserve"> 'WK2012'!EW70</f>
        <v>0.73734685067371797</v>
      </c>
      <c r="X60" s="50">
        <f xml:space="preserve"> 'WK2012'!FI70</f>
        <v>2443.7443831611658</v>
      </c>
      <c r="Y60" s="50">
        <f xml:space="preserve"> 'WK2012'!FJ70</f>
        <v>2896.0599262700821</v>
      </c>
      <c r="Z60" s="50">
        <f xml:space="preserve"> 'WK2012'!FM70</f>
        <v>2443.7889137546867</v>
      </c>
      <c r="AA60" s="50">
        <f xml:space="preserve"> 'WK2012'!FN70</f>
        <v>2896.0078856348327</v>
      </c>
      <c r="AB60" s="50">
        <f xml:space="preserve"> 'WK2012'!FO70</f>
        <v>2467.0827889510811</v>
      </c>
      <c r="AC60" s="50">
        <f xml:space="preserve"> 'WK2012'!FP70</f>
        <v>2919.3017608312275</v>
      </c>
      <c r="AD60" s="61">
        <f xml:space="preserve"> 'WK2012'!FK70</f>
        <v>0.73095636427162591</v>
      </c>
      <c r="AF60" s="50">
        <f xml:space="preserve"> 'WK2012'!FW70</f>
        <v>307.03514287378749</v>
      </c>
      <c r="AG60" s="50">
        <f xml:space="preserve"> 'WK2012'!FX70</f>
        <v>285.26802801902738</v>
      </c>
      <c r="AH60" s="50">
        <f xml:space="preserve"> 'WK2012'!GA70</f>
        <v>307.36009671023731</v>
      </c>
      <c r="AI60" s="50">
        <f xml:space="preserve"> 'WK2012'!GB70</f>
        <v>284.89996614797684</v>
      </c>
      <c r="AJ60" s="50">
        <f xml:space="preserve"> 'WK2012'!GC70</f>
        <v>310.957407775256</v>
      </c>
      <c r="AK60" s="50">
        <f xml:space="preserve"> 'WK2012'!GD70</f>
        <v>288.49727721299564</v>
      </c>
      <c r="AL60" s="61">
        <f xml:space="preserve"> 'WK2012'!FY70</f>
        <v>0.73018190362665603</v>
      </c>
      <c r="AN60" s="50">
        <f xml:space="preserve"> 'WK2012'!GK70</f>
        <v>519.57937606038945</v>
      </c>
      <c r="AO60" s="50">
        <f xml:space="preserve"> 'WK2012'!GL70</f>
        <v>618.81818002020464</v>
      </c>
      <c r="AP60" s="50">
        <f xml:space="preserve"> 'WK2012'!GO70</f>
        <v>519.57937606038945</v>
      </c>
      <c r="AQ60" s="50">
        <f xml:space="preserve"> 'WK2012'!GP70</f>
        <v>618.81818002020464</v>
      </c>
      <c r="AR60" s="50">
        <f xml:space="preserve"> 'WK2012'!GQ70</f>
        <v>520.21412396669223</v>
      </c>
      <c r="AS60" s="50">
        <f xml:space="preserve"> 'WK2012'!GR70</f>
        <v>619.4529279265073</v>
      </c>
      <c r="AT60" s="61">
        <f xml:space="preserve"> 'WK2012'!GM70</f>
        <v>0.73168976922103857</v>
      </c>
      <c r="AX60" s="50">
        <f xml:space="preserve"> 'WK2013'!EG70</f>
        <v>4352.1589610000001</v>
      </c>
      <c r="AY60" s="50">
        <f xml:space="preserve"> 'WK2013'!EH70</f>
        <v>4606.4245020000008</v>
      </c>
      <c r="AZ60" s="50">
        <f xml:space="preserve"> 'WK2013'!EK70</f>
        <v>4352.3501987995305</v>
      </c>
      <c r="BA60" s="50">
        <f xml:space="preserve"> 'WK2013'!EL70</f>
        <v>4606.0568357995307</v>
      </c>
      <c r="BB60" s="50">
        <f xml:space="preserve"> 'WK2013'!EM70</f>
        <v>4395.3592752958439</v>
      </c>
      <c r="BC60" s="50">
        <f xml:space="preserve"> 'WK2013'!EN70</f>
        <v>4649.0659122958432</v>
      </c>
      <c r="BD60" s="61">
        <f xml:space="preserve"> 'WK2013'!EI70</f>
        <v>0.72220150306695174</v>
      </c>
      <c r="BF60" s="50">
        <f xml:space="preserve"> 'WK2013'!EU70</f>
        <v>3661.4948365</v>
      </c>
      <c r="BG60" s="50">
        <f xml:space="preserve"> 'WK2013'!EV70</f>
        <v>3907.786818</v>
      </c>
      <c r="BH60" s="50">
        <f xml:space="preserve"> 'WK2013'!EY70</f>
        <v>3661.8967732333267</v>
      </c>
      <c r="BI60" s="50">
        <f xml:space="preserve"> 'WK2013'!EZ70</f>
        <v>3907.4584617333271</v>
      </c>
      <c r="BJ60" s="50">
        <f xml:space="preserve"> 'WK2013'!FA70</f>
        <v>3697.0815223623231</v>
      </c>
      <c r="BK60" s="50">
        <f xml:space="preserve"> 'WK2013'!FB70</f>
        <v>3942.6432108623239</v>
      </c>
      <c r="BL60" s="61">
        <f xml:space="preserve"> 'WK2013'!EW70</f>
        <v>0.73272373678716962</v>
      </c>
      <c r="BN60" s="50">
        <f xml:space="preserve"> 'WK2013'!FI70</f>
        <v>2800.6545291999996</v>
      </c>
      <c r="BO60" s="50">
        <f xml:space="preserve"> 'WK2013'!FJ70</f>
        <v>3103.0439951999997</v>
      </c>
      <c r="BP60" s="50">
        <f xml:space="preserve"> 'WK2013'!FM70</f>
        <v>2800.6560697129457</v>
      </c>
      <c r="BQ60" s="50">
        <f xml:space="preserve"> 'WK2013'!FN70</f>
        <v>3103.0426573129462</v>
      </c>
      <c r="BR60" s="50">
        <f xml:space="preserve"> 'WK2013'!FO70</f>
        <v>2828.4783614300868</v>
      </c>
      <c r="BS60" s="50">
        <f xml:space="preserve"> 'WK2013'!FP70</f>
        <v>3130.8649490300872</v>
      </c>
      <c r="BT60" s="61">
        <f xml:space="preserve"> 'WK2013'!FK70</f>
        <v>0.72634525221221147</v>
      </c>
      <c r="BV60" s="50">
        <f xml:space="preserve"> 'WK2013'!FW70</f>
        <v>698.84386100000006</v>
      </c>
      <c r="BW60" s="50">
        <f xml:space="preserve"> 'WK2013'!FX70</f>
        <v>799.00074799999993</v>
      </c>
      <c r="BX60" s="50">
        <f xml:space="preserve"> 'WK2013'!GA70</f>
        <v>698.84913802500182</v>
      </c>
      <c r="BY60" s="50">
        <f xml:space="preserve"> 'WK2013'!GB70</f>
        <v>798.99614502500185</v>
      </c>
      <c r="BZ60" s="50">
        <f xml:space="preserve"> 'WK2013'!GC70</f>
        <v>698.89710611479984</v>
      </c>
      <c r="CA60" s="50">
        <f xml:space="preserve"> 'WK2013'!GD70</f>
        <v>799.04411311479987</v>
      </c>
      <c r="CB60" s="61">
        <f xml:space="preserve"> 'WK2013'!FY70</f>
        <v>0.73108366998779639</v>
      </c>
      <c r="CD60" s="50">
        <f xml:space="preserve"> 'WK2013'!GK70</f>
        <v>374.41466100000014</v>
      </c>
      <c r="CE60" s="50">
        <f xml:space="preserve"> 'WK2013'!GL70</f>
        <v>368.47733700000003</v>
      </c>
      <c r="CF60" s="50">
        <f xml:space="preserve"> 'WK2013'!GO70</f>
        <v>374.41466100000014</v>
      </c>
      <c r="CG60" s="50">
        <f xml:space="preserve"> 'WK2013'!GP70</f>
        <v>368.47733700000003</v>
      </c>
      <c r="CH60" s="50">
        <f xml:space="preserve"> 'WK2013'!GQ70</f>
        <v>378.73025819691873</v>
      </c>
      <c r="CI60" s="50">
        <f xml:space="preserve"> 'WK2013'!GR70</f>
        <v>372.79293419691868</v>
      </c>
      <c r="CJ60" s="61">
        <f xml:space="preserve"> 'WK2013'!GM70</f>
        <v>0.73936317579760114</v>
      </c>
      <c r="CN60" s="50">
        <f xml:space="preserve"> 'WK2014'!EG70</f>
        <v>4372.4640624000003</v>
      </c>
      <c r="CO60" s="50">
        <f xml:space="preserve"> 'WK2014'!EH70</f>
        <v>4600.4254624000005</v>
      </c>
      <c r="CP60" s="50">
        <f xml:space="preserve"> 'WK2014'!EK70</f>
        <v>4372.7124032616821</v>
      </c>
      <c r="CQ60" s="50">
        <f xml:space="preserve"> 'WK2014'!EL70</f>
        <v>4599.6112024616823</v>
      </c>
      <c r="CR60" s="50">
        <f xml:space="preserve"> 'WK2014'!EM70</f>
        <v>4406.201978598343</v>
      </c>
      <c r="CS60" s="50">
        <f xml:space="preserve"> 'WK2014'!EN70</f>
        <v>4633.1007777983432</v>
      </c>
      <c r="CT60" s="61">
        <f xml:space="preserve"> 'WK2014'!EI70</f>
        <v>0.73760524173409026</v>
      </c>
      <c r="CV60" s="50">
        <f xml:space="preserve"> 'WK2014'!EU70</f>
        <v>3628.8661301000006</v>
      </c>
      <c r="CW60" s="50">
        <f xml:space="preserve"> 'WK2014'!EV70</f>
        <v>3773.7981036000001</v>
      </c>
      <c r="CX60" s="50">
        <f xml:space="preserve"> 'WK2014'!EY70</f>
        <v>3629.0992787576242</v>
      </c>
      <c r="CY60" s="50">
        <f xml:space="preserve"> 'WK2014'!EZ70</f>
        <v>3773.6038340576238</v>
      </c>
      <c r="CZ60" s="50">
        <f xml:space="preserve"> 'WK2014'!FA70</f>
        <v>3664.9141639719496</v>
      </c>
      <c r="DA60" s="50">
        <f xml:space="preserve"> 'WK2014'!FB70</f>
        <v>3809.4187192719501</v>
      </c>
      <c r="DB60" s="61">
        <f xml:space="preserve"> 'WK2014'!EW70</f>
        <v>0.7282190305657007</v>
      </c>
      <c r="DC60" s="1"/>
      <c r="DD60" s="50">
        <f xml:space="preserve"> 'WK2014'!FI70</f>
        <v>2852.6463064000004</v>
      </c>
      <c r="DE60" s="50">
        <f xml:space="preserve"> 'WK2014'!FJ70</f>
        <v>3003.4949486</v>
      </c>
      <c r="DF60" s="50">
        <f xml:space="preserve"> 'WK2014'!FM70</f>
        <v>2852.6474791402097</v>
      </c>
      <c r="DG60" s="50">
        <f xml:space="preserve"> 'WK2014'!FN70</f>
        <v>3003.4939343402102</v>
      </c>
      <c r="DH60" s="50">
        <f xml:space="preserve"> 'WK2014'!FO70</f>
        <v>2876.5300215785596</v>
      </c>
      <c r="DI60" s="50">
        <f xml:space="preserve"> 'WK2014'!FP70</f>
        <v>3027.3764767785597</v>
      </c>
      <c r="DJ60" s="61">
        <f xml:space="preserve"> 'WK2014'!FK70</f>
        <v>0.72183214633064063</v>
      </c>
      <c r="DK60" s="1"/>
      <c r="DL60" s="50">
        <f xml:space="preserve"> 'WK2014'!FW70</f>
        <v>684.68154240000013</v>
      </c>
      <c r="DM60" s="50">
        <f xml:space="preserve"> 'WK2014'!FX70</f>
        <v>785.37442640000017</v>
      </c>
      <c r="DN60" s="50">
        <f xml:space="preserve"> 'WK2014'!GA70</f>
        <v>684.68547680632764</v>
      </c>
      <c r="DO60" s="50">
        <f xml:space="preserve"> 'WK2014'!GB70</f>
        <v>785.37101200632765</v>
      </c>
      <c r="DP60" s="50">
        <f xml:space="preserve"> 'WK2014'!GC70</f>
        <v>684.73308110581388</v>
      </c>
      <c r="DQ60" s="50">
        <f xml:space="preserve"> 'WK2014'!GD70</f>
        <v>785.41861630581388</v>
      </c>
      <c r="DR60" s="61">
        <f xml:space="preserve"> 'WK2014'!FY70</f>
        <v>0.7309224224723011</v>
      </c>
      <c r="DS60" s="1"/>
      <c r="DT60" s="50">
        <f xml:space="preserve"> 'WK2014'!GK70</f>
        <v>447.95255099999997</v>
      </c>
      <c r="DU60" s="50">
        <f xml:space="preserve"> 'WK2014'!GL70</f>
        <v>438.11885400000006</v>
      </c>
      <c r="DV60" s="50">
        <f xml:space="preserve"> 'WK2014'!GO70</f>
        <v>447.95255099999997</v>
      </c>
      <c r="DW60" s="50">
        <f xml:space="preserve"> 'WK2014'!GP70</f>
        <v>438.11885400000006</v>
      </c>
      <c r="DX60" s="50">
        <f xml:space="preserve"> 'WK2014'!GQ70</f>
        <v>452.91978454310379</v>
      </c>
      <c r="DY60" s="50">
        <f xml:space="preserve"> 'WK2014'!GR70</f>
        <v>443.08608754310387</v>
      </c>
      <c r="DZ60" s="61">
        <f xml:space="preserve"> 'WK2014'!GM70</f>
        <v>0.7297133353526849</v>
      </c>
      <c r="ED60" s="50">
        <f xml:space="preserve"> 'WK2015'!EG70</f>
        <v>4241.8432647999998</v>
      </c>
      <c r="EE60" s="50">
        <f xml:space="preserve"> 'WK2015'!EH70</f>
        <v>4238.7834499999999</v>
      </c>
      <c r="EF60" s="50">
        <f xml:space="preserve"> 'WK2015'!EK70</f>
        <v>4241.8470819714103</v>
      </c>
      <c r="EG60" s="50">
        <f xml:space="preserve"> 'WK2015'!EL70</f>
        <v>4238.7800751714103</v>
      </c>
      <c r="EH60" s="50">
        <f xml:space="preserve"> 'WK2015'!EM70</f>
        <v>4282.6216902114147</v>
      </c>
      <c r="EI60" s="50">
        <f xml:space="preserve"> 'WK2015'!EN70</f>
        <v>4279.5546834114148</v>
      </c>
      <c r="EJ60" s="61">
        <f xml:space="preserve"> 'WK2015'!EI70</f>
        <v>0.74005100070893104</v>
      </c>
      <c r="EK60" s="1"/>
      <c r="EL60" s="50">
        <f xml:space="preserve"> 'WK2015'!EU70</f>
        <v>3641.8105132000005</v>
      </c>
      <c r="EM60" s="50">
        <f xml:space="preserve"> 'WK2015'!EV70</f>
        <v>3730.9675015000007</v>
      </c>
      <c r="EN60" s="50">
        <f xml:space="preserve"> 'WK2015'!EY70</f>
        <v>3641.8958359506782</v>
      </c>
      <c r="EO60" s="50">
        <f xml:space="preserve"> 'WK2015'!EZ70</f>
        <v>3730.8951282506787</v>
      </c>
      <c r="EP60" s="50">
        <f xml:space="preserve"> 'WK2015'!FA70</f>
        <v>3678.6845260840246</v>
      </c>
      <c r="EQ60" s="50">
        <f xml:space="preserve"> 'WK2015'!FB70</f>
        <v>3767.6838183840259</v>
      </c>
      <c r="ER60" s="61">
        <f xml:space="preserve"> 'WK2015'!EW70</f>
        <v>0.74017633471868838</v>
      </c>
      <c r="ES60" s="1"/>
      <c r="ET60" s="50">
        <f xml:space="preserve"> 'WK2015'!FI70</f>
        <v>3127.2324995999998</v>
      </c>
      <c r="EU60" s="50">
        <f xml:space="preserve"> 'WK2015'!FJ70</f>
        <v>3347.7214137999999</v>
      </c>
      <c r="EV60" s="50">
        <f xml:space="preserve"> 'WK2015'!FM70</f>
        <v>3127.2333071376124</v>
      </c>
      <c r="EW60" s="50">
        <f xml:space="preserve"> 'WK2015'!FN70</f>
        <v>3347.7207429376126</v>
      </c>
      <c r="EX60" s="50">
        <f xml:space="preserve"> 'WK2015'!FO70</f>
        <v>3151.7501047037531</v>
      </c>
      <c r="EY60" s="50">
        <f xml:space="preserve"> 'WK2015'!FP70</f>
        <v>3372.2375405037537</v>
      </c>
      <c r="EZ60" s="61">
        <f xml:space="preserve"> 'WK2015'!FK70</f>
        <v>0.73119401004703022</v>
      </c>
      <c r="FA60" s="1"/>
      <c r="FB60" s="50">
        <f xml:space="preserve"> 'WK2015'!FW70</f>
        <v>674.72108479999997</v>
      </c>
      <c r="FC60" s="50">
        <f xml:space="preserve"> 'WK2015'!FX70</f>
        <v>765.931376</v>
      </c>
      <c r="FD60" s="50">
        <f xml:space="preserve"> 'WK2015'!GA70</f>
        <v>674.72490197141065</v>
      </c>
      <c r="FE60" s="50">
        <f xml:space="preserve"> 'WK2015'!GB70</f>
        <v>765.92800117141064</v>
      </c>
      <c r="FF60" s="50">
        <f xml:space="preserve"> 'WK2015'!GC70</f>
        <v>674.7738714700771</v>
      </c>
      <c r="FG60" s="50">
        <f xml:space="preserve"> 'WK2015'!GD70</f>
        <v>765.97697067007709</v>
      </c>
      <c r="FH60" s="61">
        <f xml:space="preserve"> 'WK2015'!FY70</f>
        <v>0.74133872799799294</v>
      </c>
      <c r="FI60" s="1"/>
      <c r="FJ60" s="50">
        <f xml:space="preserve"> 'WK2015'!GK70</f>
        <v>362.43336374999996</v>
      </c>
      <c r="FK60" s="50">
        <f xml:space="preserve"> 'WK2015'!GL70</f>
        <v>374.28010950000009</v>
      </c>
      <c r="FL60" s="50">
        <f xml:space="preserve"> 'WK2015'!GO70</f>
        <v>362.43336374999996</v>
      </c>
      <c r="FM60" s="50">
        <f xml:space="preserve"> 'WK2015'!GP70</f>
        <v>374.28010950000009</v>
      </c>
      <c r="FN60" s="50">
        <f xml:space="preserve"> 'WK2015'!GQ70</f>
        <v>367.7330097225996</v>
      </c>
      <c r="FO60" s="50">
        <f xml:space="preserve"> 'WK2015'!GR70</f>
        <v>379.57975547259974</v>
      </c>
      <c r="FP60" s="61">
        <f xml:space="preserve"> 'WK2015'!GM70</f>
        <v>0.73265051331035369</v>
      </c>
      <c r="FS60" s="283">
        <f xml:space="preserve"> 'WK2015'!H70</f>
        <v>2212.8015649999998</v>
      </c>
      <c r="FT60" s="283">
        <f xml:space="preserve"> 'WK2015'!I70</f>
        <v>2405.9702459999999</v>
      </c>
      <c r="FU60" s="283">
        <f xml:space="preserve"> 'WK2015'!L70</f>
        <v>2212.8015649999998</v>
      </c>
      <c r="FV60" s="283">
        <f xml:space="preserve"> 'WK2015'!M70</f>
        <v>2405.9702459999999</v>
      </c>
      <c r="FW60" s="283">
        <f xml:space="preserve"> 'WK2015'!N70</f>
        <v>2235.0979581656184</v>
      </c>
      <c r="FX60" s="283">
        <f xml:space="preserve"> 'WK2015'!O70</f>
        <v>2428.2666391656185</v>
      </c>
      <c r="FY60" s="284">
        <f xml:space="preserve"> 'WK2015'!P70</f>
        <v>0.73377179232429546</v>
      </c>
      <c r="GA60" s="283">
        <f xml:space="preserve"> 'WK2015'!HB70</f>
        <v>1653.206109</v>
      </c>
      <c r="GB60" s="283">
        <f xml:space="preserve"> 'WK2015'!HC70</f>
        <v>2014.175354</v>
      </c>
      <c r="GC60" s="283">
        <f xml:space="preserve"> 'WK2015'!HF70</f>
        <v>1653.206109</v>
      </c>
      <c r="GD60" s="283">
        <f xml:space="preserve"> 'WK2015'!HG70</f>
        <v>2014.175354</v>
      </c>
      <c r="GE60" s="283">
        <f xml:space="preserve"> 'WK2015'!HH70</f>
        <v>1668.03150254957</v>
      </c>
      <c r="GF60" s="283">
        <f xml:space="preserve"> 'WK2015'!HI70</f>
        <v>2029.00074754957</v>
      </c>
      <c r="GG60" s="284">
        <f xml:space="preserve"> 'WK2015'!HJ70</f>
        <v>0.69516078738999165</v>
      </c>
      <c r="GI60" s="283">
        <f xml:space="preserve"> 'WK2015'!HQ70</f>
        <v>1550.18507</v>
      </c>
      <c r="GJ60" s="283">
        <f xml:space="preserve"> 'WK2015'!HR70</f>
        <v>1783.0985759999999</v>
      </c>
      <c r="GK60" s="283">
        <f xml:space="preserve"> 'WK2015'!HU70</f>
        <v>1550.18507</v>
      </c>
      <c r="GL60" s="283">
        <f xml:space="preserve"> 'WK2015'!HV70</f>
        <v>1783.0985759999999</v>
      </c>
      <c r="GM60" s="283">
        <f xml:space="preserve"> 'WK2015'!HW70</f>
        <v>1553.1901185267029</v>
      </c>
      <c r="GN60" s="283">
        <f xml:space="preserve"> 'WK2015'!HX70</f>
        <v>1786.1036245267028</v>
      </c>
      <c r="GO60" s="284">
        <f xml:space="preserve"> 'WK2015'!HY70</f>
        <v>0.78737138824460717</v>
      </c>
    </row>
    <row r="61" spans="1:197" x14ac:dyDescent="0.2">
      <c r="A61" s="3">
        <f>Basis!A61</f>
        <v>61</v>
      </c>
      <c r="D61" s="252" t="e">
        <v>#N/A</v>
      </c>
      <c r="E61" s="252" t="e">
        <v>#N/A</v>
      </c>
      <c r="H61" s="50">
        <f xml:space="preserve"> 'WK2012'!EG71</f>
        <v>4445.3447764515977</v>
      </c>
      <c r="I61" s="50">
        <f xml:space="preserve"> 'WK2012'!EH71</f>
        <v>5380.4961000799267</v>
      </c>
      <c r="J61" s="50">
        <f xml:space="preserve"> 'WK2012'!EK71</f>
        <v>4445.7053676903015</v>
      </c>
      <c r="K61" s="50">
        <f xml:space="preserve"> 'WK2012'!EL71</f>
        <v>5380.0790757157547</v>
      </c>
      <c r="L61" s="50">
        <f xml:space="preserve"> 'WK2012'!EM71</f>
        <v>4490.425407568192</v>
      </c>
      <c r="M61" s="50">
        <f xml:space="preserve"> 'WK2012'!EN71</f>
        <v>5424.7991155936452</v>
      </c>
      <c r="N61" s="61">
        <f xml:space="preserve"> 'WK2012'!EI71</f>
        <v>0.72902069539325121</v>
      </c>
      <c r="P61" s="50">
        <f xml:space="preserve"> 'WK2012'!EU71</f>
        <v>3946.4288409750784</v>
      </c>
      <c r="Q61" s="50">
        <f xml:space="preserve"> 'WK2012'!EV71</f>
        <v>4569.4447015927153</v>
      </c>
      <c r="R61" s="50">
        <f xml:space="preserve"> 'WK2012'!EY71</f>
        <v>3946.4461116073476</v>
      </c>
      <c r="S61" s="50">
        <f xml:space="preserve"> 'WK2012'!EZ71</f>
        <v>4569.4247638322186</v>
      </c>
      <c r="T61" s="50">
        <f xml:space="preserve"> 'WK2012'!FA71</f>
        <v>3982.4975168386886</v>
      </c>
      <c r="U61" s="50">
        <f xml:space="preserve"> 'WK2012'!FB71</f>
        <v>4605.4761690635605</v>
      </c>
      <c r="V61" s="61">
        <f xml:space="preserve"> 'WK2012'!EW71</f>
        <v>0.73677855532649261</v>
      </c>
      <c r="X61" s="50">
        <f xml:space="preserve"> 'WK2012'!FI71</f>
        <v>2619.9743691939975</v>
      </c>
      <c r="Y61" s="50">
        <f xml:space="preserve"> 'WK2012'!FJ71</f>
        <v>3026.3287505451508</v>
      </c>
      <c r="Z61" s="50">
        <f xml:space="preserve"> 'WK2012'!FM71</f>
        <v>2619.9743691939975</v>
      </c>
      <c r="AA61" s="50">
        <f xml:space="preserve"> 'WK2012'!FN71</f>
        <v>3026.3287505451508</v>
      </c>
      <c r="AB61" s="50">
        <f xml:space="preserve"> 'WK2012'!FO71</f>
        <v>2643.3127749839127</v>
      </c>
      <c r="AC61" s="50">
        <f xml:space="preserve"> 'WK2012'!FP71</f>
        <v>3049.6671563350656</v>
      </c>
      <c r="AD61" s="61">
        <f xml:space="preserve"> 'WK2012'!FK71</f>
        <v>0.72960158859198132</v>
      </c>
      <c r="AF61" s="50">
        <f xml:space="preserve"> 'WK2012'!FW71</f>
        <v>332.19072055183932</v>
      </c>
      <c r="AG61" s="50">
        <f xml:space="preserve"> 'WK2012'!FX71</f>
        <v>296.39396025054577</v>
      </c>
      <c r="AH61" s="50">
        <f xml:space="preserve"> 'WK2012'!GA71</f>
        <v>332.51525266667255</v>
      </c>
      <c r="AI61" s="50">
        <f xml:space="preserve"> 'WK2012'!GB71</f>
        <v>296.01863832279105</v>
      </c>
      <c r="AJ61" s="50">
        <f xml:space="preserve"> 'WK2012'!GC71</f>
        <v>336.11298545330783</v>
      </c>
      <c r="AK61" s="50">
        <f xml:space="preserve"> 'WK2012'!GD71</f>
        <v>299.61637110942644</v>
      </c>
      <c r="AL61" s="61">
        <f xml:space="preserve"> 'WK2012'!FY71</f>
        <v>0.72734488607571646</v>
      </c>
      <c r="AN61" s="50">
        <f xml:space="preserve"> 'WK2012'!GK71</f>
        <v>532.57769789348504</v>
      </c>
      <c r="AO61" s="50">
        <f xml:space="preserve"> 'WK2012'!GL71</f>
        <v>626.78710212179067</v>
      </c>
      <c r="AP61" s="50">
        <f xml:space="preserve"> 'WK2012'!GO71</f>
        <v>532.57769789348504</v>
      </c>
      <c r="AQ61" s="50">
        <f xml:space="preserve"> 'WK2012'!GP71</f>
        <v>626.78710212179067</v>
      </c>
      <c r="AR61" s="50">
        <f xml:space="preserve"> 'WK2012'!GQ71</f>
        <v>533.2124457997877</v>
      </c>
      <c r="AS61" s="50">
        <f xml:space="preserve"> 'WK2012'!GR71</f>
        <v>627.42185002809344</v>
      </c>
      <c r="AT61" s="61">
        <f xml:space="preserve"> 'WK2012'!GM71</f>
        <v>0.73229486387355369</v>
      </c>
      <c r="AX61" s="50">
        <f xml:space="preserve"> 'WK2013'!EG71</f>
        <v>4607.6696751999998</v>
      </c>
      <c r="AY61" s="50">
        <f xml:space="preserve"> 'WK2013'!EH71</f>
        <v>4813.1203710000009</v>
      </c>
      <c r="AZ61" s="50">
        <f xml:space="preserve"> 'WK2013'!EK71</f>
        <v>4607.7734362677547</v>
      </c>
      <c r="BA61" s="50">
        <f xml:space="preserve"> 'WK2013'!EL71</f>
        <v>4812.9265030677543</v>
      </c>
      <c r="BB61" s="50">
        <f xml:space="preserve"> 'WK2013'!EM71</f>
        <v>4650.8699894958436</v>
      </c>
      <c r="BC61" s="50">
        <f xml:space="preserve"> 'WK2013'!EN71</f>
        <v>4856.0230562958432</v>
      </c>
      <c r="BD61" s="61">
        <f xml:space="preserve"> 'WK2013'!EI71</f>
        <v>0.71747921034634476</v>
      </c>
      <c r="BF61" s="50">
        <f xml:space="preserve"> 'WK2013'!EU71</f>
        <v>3882.3900282999998</v>
      </c>
      <c r="BG61" s="50">
        <f xml:space="preserve"> 'WK2013'!EV71</f>
        <v>4047.9971580000001</v>
      </c>
      <c r="BH61" s="50">
        <f xml:space="preserve"> 'WK2013'!EY71</f>
        <v>3882.3928745495973</v>
      </c>
      <c r="BI61" s="50">
        <f xml:space="preserve"> 'WK2013'!EZ71</f>
        <v>4047.9946542495977</v>
      </c>
      <c r="BJ61" s="50">
        <f xml:space="preserve"> 'WK2013'!FA71</f>
        <v>3917.9767141623233</v>
      </c>
      <c r="BK61" s="50">
        <f xml:space="preserve"> 'WK2013'!FB71</f>
        <v>4083.5784938623237</v>
      </c>
      <c r="BL61" s="61">
        <f xml:space="preserve"> 'WK2013'!EW71</f>
        <v>0.72791828698835415</v>
      </c>
      <c r="BN61" s="50">
        <f xml:space="preserve"> 'WK2013'!FI71</f>
        <v>2990.3042013999998</v>
      </c>
      <c r="BO61" s="50">
        <f xml:space="preserve"> 'WK2013'!FJ71</f>
        <v>3244.9685752</v>
      </c>
      <c r="BP61" s="50">
        <f xml:space="preserve"> 'WK2013'!FM71</f>
        <v>2990.304928407616</v>
      </c>
      <c r="BQ61" s="50">
        <f xml:space="preserve"> 'WK2013'!FN71</f>
        <v>3244.9679372076162</v>
      </c>
      <c r="BR61" s="50">
        <f xml:space="preserve"> 'WK2013'!FO71</f>
        <v>3018.128033630087</v>
      </c>
      <c r="BS61" s="50">
        <f xml:space="preserve"> 'WK2013'!FP71</f>
        <v>3272.7910424300871</v>
      </c>
      <c r="BT61" s="61">
        <f xml:space="preserve"> 'WK2013'!FK71</f>
        <v>0.71996379986610159</v>
      </c>
      <c r="BV61" s="50">
        <f xml:space="preserve"> 'WK2013'!FW71</f>
        <v>714.43212319999998</v>
      </c>
      <c r="BW61" s="50">
        <f xml:space="preserve"> 'WK2013'!FX71</f>
        <v>809.53836299999989</v>
      </c>
      <c r="BX61" s="50">
        <f xml:space="preserve"> 'WK2013'!GA71</f>
        <v>714.4352945581345</v>
      </c>
      <c r="BY61" s="50">
        <f xml:space="preserve"> 'WK2013'!GB71</f>
        <v>809.53557435813457</v>
      </c>
      <c r="BZ61" s="50">
        <f xml:space="preserve"> 'WK2013'!GC71</f>
        <v>714.48536831479987</v>
      </c>
      <c r="CA61" s="50">
        <f xml:space="preserve"> 'WK2013'!GD71</f>
        <v>809.58564811479982</v>
      </c>
      <c r="CB61" s="61">
        <f xml:space="preserve"> 'WK2013'!FY71</f>
        <v>0.7264010170464571</v>
      </c>
      <c r="CD61" s="50">
        <f xml:space="preserve"> 'WK2013'!GK71</f>
        <v>402.80120850000003</v>
      </c>
      <c r="CE61" s="50">
        <f xml:space="preserve"> 'WK2013'!GL71</f>
        <v>391.49750625000007</v>
      </c>
      <c r="CF61" s="50">
        <f xml:space="preserve"> 'WK2013'!GO71</f>
        <v>402.80120850000003</v>
      </c>
      <c r="CG61" s="50">
        <f xml:space="preserve"> 'WK2013'!GP71</f>
        <v>391.49750625000007</v>
      </c>
      <c r="CH61" s="50">
        <f xml:space="preserve"> 'WK2013'!GQ71</f>
        <v>407.11680569691873</v>
      </c>
      <c r="CI61" s="50">
        <f xml:space="preserve"> 'WK2013'!GR71</f>
        <v>395.81310344691872</v>
      </c>
      <c r="CJ61" s="61">
        <f xml:space="preserve"> 'WK2013'!GM71</f>
        <v>0.73300463807211502</v>
      </c>
      <c r="CN61" s="50">
        <f xml:space="preserve"> 'WK2014'!EG71</f>
        <v>4629.7771272</v>
      </c>
      <c r="CO61" s="50">
        <f xml:space="preserve"> 'WK2014'!EH71</f>
        <v>4769.3708403999999</v>
      </c>
      <c r="CP61" s="50">
        <f xml:space="preserve"> 'WK2014'!EK71</f>
        <v>4629.9365129199177</v>
      </c>
      <c r="CQ61" s="50">
        <f xml:space="preserve"> 'WK2014'!EL71</f>
        <v>4768.852276919918</v>
      </c>
      <c r="CR61" s="50">
        <f xml:space="preserve"> 'WK2014'!EM71</f>
        <v>4663.5150433983436</v>
      </c>
      <c r="CS61" s="50">
        <f xml:space="preserve"> 'WK2014'!EN71</f>
        <v>4802.4308073983429</v>
      </c>
      <c r="CT61" s="61">
        <f xml:space="preserve"> 'WK2014'!EI71</f>
        <v>0.73693302525838411</v>
      </c>
      <c r="CV61" s="50">
        <f xml:space="preserve"> 'WK2014'!EU71</f>
        <v>3848.6079467999998</v>
      </c>
      <c r="CW61" s="50">
        <f xml:space="preserve"> 'WK2014'!EV71</f>
        <v>3890.6165586000002</v>
      </c>
      <c r="CX61" s="50">
        <f xml:space="preserve"> 'WK2014'!EY71</f>
        <v>3848.6102126736441</v>
      </c>
      <c r="CY61" s="50">
        <f xml:space="preserve"> 'WK2014'!EZ71</f>
        <v>3890.6145716736441</v>
      </c>
      <c r="CZ61" s="50">
        <f xml:space="preserve"> 'WK2014'!FA71</f>
        <v>3884.6559806719497</v>
      </c>
      <c r="DA61" s="50">
        <f xml:space="preserve"> 'WK2014'!FB71</f>
        <v>3926.6603396719506</v>
      </c>
      <c r="DB61" s="61">
        <f xml:space="preserve"> 'WK2014'!EW71</f>
        <v>0.72945486048077224</v>
      </c>
      <c r="DC61" s="1"/>
      <c r="DD61" s="50">
        <f xml:space="preserve"> 'WK2014'!FI71</f>
        <v>3011.7218656</v>
      </c>
      <c r="DE61" s="50">
        <f xml:space="preserve"> 'WK2014'!FJ71</f>
        <v>3113.1728828</v>
      </c>
      <c r="DF61" s="50">
        <f xml:space="preserve"> 'WK2014'!FM71</f>
        <v>3011.7223075483989</v>
      </c>
      <c r="DG61" s="50">
        <f xml:space="preserve"> 'WK2014'!FN71</f>
        <v>3113.1724955483987</v>
      </c>
      <c r="DH61" s="50">
        <f xml:space="preserve"> 'WK2014'!FO71</f>
        <v>3035.6055807785597</v>
      </c>
      <c r="DI61" s="50">
        <f xml:space="preserve"> 'WK2014'!FP71</f>
        <v>3137.0557687785599</v>
      </c>
      <c r="DJ61" s="61">
        <f xml:space="preserve"> 'WK2014'!FK71</f>
        <v>0.72101972808152059</v>
      </c>
      <c r="DK61" s="1"/>
      <c r="DL61" s="50">
        <f xml:space="preserve"> 'WK2014'!FW71</f>
        <v>701.62824720000003</v>
      </c>
      <c r="DM61" s="50">
        <f xml:space="preserve"> 'WK2014'!FX71</f>
        <v>795.64860640000006</v>
      </c>
      <c r="DN61" s="50">
        <f xml:space="preserve"> 'WK2014'!GA71</f>
        <v>701.63078973645258</v>
      </c>
      <c r="DO61" s="50">
        <f xml:space="preserve"> 'WK2014'!GB71</f>
        <v>795.64637773645268</v>
      </c>
      <c r="DP61" s="50">
        <f xml:space="preserve"> 'WK2014'!GC71</f>
        <v>701.67978590581379</v>
      </c>
      <c r="DQ61" s="50">
        <f xml:space="preserve"> 'WK2014'!GD71</f>
        <v>795.69537390581377</v>
      </c>
      <c r="DR61" s="61">
        <f xml:space="preserve"> 'WK2014'!FY71</f>
        <v>0.73059671052227459</v>
      </c>
      <c r="DS61" s="1"/>
      <c r="DT61" s="50">
        <f xml:space="preserve"> 'WK2014'!GK71</f>
        <v>501.6596550000001</v>
      </c>
      <c r="DU61" s="50">
        <f xml:space="preserve"> 'WK2014'!GL71</f>
        <v>476.5440435000001</v>
      </c>
      <c r="DV61" s="50">
        <f xml:space="preserve"> 'WK2014'!GO71</f>
        <v>501.6596550000001</v>
      </c>
      <c r="DW61" s="50">
        <f xml:space="preserve"> 'WK2014'!GP71</f>
        <v>476.5440435000001</v>
      </c>
      <c r="DX61" s="50">
        <f xml:space="preserve"> 'WK2014'!GQ71</f>
        <v>506.62688854310392</v>
      </c>
      <c r="DY61" s="50">
        <f xml:space="preserve"> 'WK2014'!GR71</f>
        <v>481.51127704310392</v>
      </c>
      <c r="DZ61" s="61">
        <f xml:space="preserve"> 'WK2014'!GM71</f>
        <v>0.72692871680100801</v>
      </c>
      <c r="ED61" s="50">
        <f xml:space="preserve"> 'WK2015'!EG71</f>
        <v>4487.8581462000002</v>
      </c>
      <c r="EE61" s="50">
        <f xml:space="preserve"> 'WK2015'!EH71</f>
        <v>4380.8933838000003</v>
      </c>
      <c r="EF61" s="50">
        <f xml:space="preserve"> 'WK2015'!EK71</f>
        <v>4487.8608372228136</v>
      </c>
      <c r="EG61" s="50">
        <f xml:space="preserve"> 'WK2015'!EL71</f>
        <v>4380.890970822813</v>
      </c>
      <c r="EH61" s="50">
        <f xml:space="preserve"> 'WK2015'!EM71</f>
        <v>4528.636571611416</v>
      </c>
      <c r="EI61" s="50">
        <f xml:space="preserve"> 'WK2015'!EN71</f>
        <v>4421.6667052114153</v>
      </c>
      <c r="EJ61" s="61">
        <f xml:space="preserve"> 'WK2015'!EI71</f>
        <v>0.73856553082455323</v>
      </c>
      <c r="EK61" s="1"/>
      <c r="EL61" s="50">
        <f xml:space="preserve"> 'WK2015'!EU71</f>
        <v>3865.1166613</v>
      </c>
      <c r="EM61" s="50">
        <f xml:space="preserve"> 'WK2015'!EV71</f>
        <v>3867.0123192000001</v>
      </c>
      <c r="EN61" s="50">
        <f xml:space="preserve"> 'WK2015'!EY71</f>
        <v>3865.1190159449616</v>
      </c>
      <c r="EO61" s="50">
        <f xml:space="preserve"> 'WK2015'!EZ71</f>
        <v>3867.0102078449618</v>
      </c>
      <c r="EP61" s="50">
        <f xml:space="preserve"> 'WK2015'!FA71</f>
        <v>3901.9906741840255</v>
      </c>
      <c r="EQ61" s="50">
        <f xml:space="preserve"> 'WK2015'!FB71</f>
        <v>3903.8818660840252</v>
      </c>
      <c r="ER61" s="61">
        <f xml:space="preserve"> 'WK2015'!EW71</f>
        <v>0.73625716274728314</v>
      </c>
      <c r="ES61" s="1"/>
      <c r="ET61" s="50">
        <f xml:space="preserve"> 'WK2015'!FI71</f>
        <v>3326.9734650000005</v>
      </c>
      <c r="EU61" s="50">
        <f xml:space="preserve"> 'WK2015'!FJ71</f>
        <v>3470.0677788000003</v>
      </c>
      <c r="EV61" s="50">
        <f xml:space="preserve"> 'WK2015'!FM71</f>
        <v>3326.9738816143044</v>
      </c>
      <c r="EW61" s="50">
        <f xml:space="preserve"> 'WK2015'!FN71</f>
        <v>3470.0674298143044</v>
      </c>
      <c r="EX61" s="50">
        <f xml:space="preserve"> 'WK2015'!FO71</f>
        <v>3351.4910701037534</v>
      </c>
      <c r="EY61" s="50">
        <f xml:space="preserve"> 'WK2015'!FP71</f>
        <v>3494.5846183037534</v>
      </c>
      <c r="EZ61" s="61">
        <f xml:space="preserve"> 'WK2015'!FK71</f>
        <v>0.72723182708972967</v>
      </c>
      <c r="FA61" s="1"/>
      <c r="FB61" s="50">
        <f xml:space="preserve"> 'WK2015'!FW71</f>
        <v>694.5179912000001</v>
      </c>
      <c r="FC61" s="50">
        <f xml:space="preserve"> 'WK2015'!FX71</f>
        <v>779.08415880000007</v>
      </c>
      <c r="FD61" s="50">
        <f xml:space="preserve"> 'WK2015'!GA71</f>
        <v>694.52068222281332</v>
      </c>
      <c r="FE61" s="50">
        <f xml:space="preserve"> 'WK2015'!GB71</f>
        <v>779.08174582281322</v>
      </c>
      <c r="FF61" s="50">
        <f xml:space="preserve"> 'WK2015'!GC71</f>
        <v>694.57077787007711</v>
      </c>
      <c r="FG61" s="50">
        <f xml:space="preserve"> 'WK2015'!GD71</f>
        <v>779.13184147007712</v>
      </c>
      <c r="FH61" s="61">
        <f xml:space="preserve"> 'WK2015'!FY71</f>
        <v>0.73922495821683998</v>
      </c>
      <c r="FI61" s="1"/>
      <c r="FJ61" s="50">
        <f xml:space="preserve"> 'WK2015'!GK71</f>
        <v>392.70464775000022</v>
      </c>
      <c r="FK61" s="50">
        <f xml:space="preserve"> 'WK2015'!GL71</f>
        <v>403.15931325000008</v>
      </c>
      <c r="FL61" s="50">
        <f xml:space="preserve"> 'WK2015'!GO71</f>
        <v>392.70464775000022</v>
      </c>
      <c r="FM61" s="50">
        <f xml:space="preserve"> 'WK2015'!GP71</f>
        <v>403.15931325000008</v>
      </c>
      <c r="FN61" s="50">
        <f xml:space="preserve"> 'WK2015'!GQ71</f>
        <v>398.00429372259987</v>
      </c>
      <c r="FO61" s="50">
        <f xml:space="preserve"> 'WK2015'!GR71</f>
        <v>408.45895922259967</v>
      </c>
      <c r="FP61" s="61">
        <f xml:space="preserve"> 'WK2015'!GM71</f>
        <v>0.7294723910404296</v>
      </c>
      <c r="FS61" s="283">
        <f xml:space="preserve"> 'WK2015'!H71</f>
        <v>2328.4215100000001</v>
      </c>
      <c r="FT61" s="283">
        <f xml:space="preserve"> 'WK2015'!I71</f>
        <v>2465.4303060000002</v>
      </c>
      <c r="FU61" s="283">
        <f xml:space="preserve"> 'WK2015'!L71</f>
        <v>2328.4215100000001</v>
      </c>
      <c r="FV61" s="283">
        <f xml:space="preserve"> 'WK2015'!M71</f>
        <v>2465.4303060000002</v>
      </c>
      <c r="FW61" s="283">
        <f xml:space="preserve"> 'WK2015'!N71</f>
        <v>2350.7179031656187</v>
      </c>
      <c r="FX61" s="283">
        <f xml:space="preserve"> 'WK2015'!O71</f>
        <v>2487.7266991656188</v>
      </c>
      <c r="FY61" s="284">
        <f xml:space="preserve"> 'WK2015'!P71</f>
        <v>0.73520613057389639</v>
      </c>
      <c r="GA61" s="283">
        <f xml:space="preserve"> 'WK2015'!HB71</f>
        <v>1757.2416449999998</v>
      </c>
      <c r="GB61" s="283">
        <f xml:space="preserve"> 'WK2015'!HC71</f>
        <v>2069.7097829999998</v>
      </c>
      <c r="GC61" s="283">
        <f xml:space="preserve"> 'WK2015'!HF71</f>
        <v>1757.2416449999998</v>
      </c>
      <c r="GD61" s="283">
        <f xml:space="preserve"> 'WK2015'!HG71</f>
        <v>2069.7097829999998</v>
      </c>
      <c r="GE61" s="283">
        <f xml:space="preserve"> 'WK2015'!HH71</f>
        <v>1772.0670385495698</v>
      </c>
      <c r="GF61" s="283">
        <f xml:space="preserve"> 'WK2015'!HI71</f>
        <v>2084.5351765495698</v>
      </c>
      <c r="GG61" s="284">
        <f xml:space="preserve"> 'WK2015'!HJ71</f>
        <v>0.70491176584048321</v>
      </c>
      <c r="GI61" s="283">
        <f xml:space="preserve"> 'WK2015'!HQ71</f>
        <v>1666.2974299999998</v>
      </c>
      <c r="GJ61" s="283">
        <f xml:space="preserve"> 'WK2015'!HR71</f>
        <v>1870.190595</v>
      </c>
      <c r="GK61" s="283">
        <f xml:space="preserve"> 'WK2015'!HU71</f>
        <v>1666.2974299999998</v>
      </c>
      <c r="GL61" s="283">
        <f xml:space="preserve"> 'WK2015'!HV71</f>
        <v>1870.190595</v>
      </c>
      <c r="GM61" s="283">
        <f xml:space="preserve"> 'WK2015'!HW71</f>
        <v>1669.3024785267028</v>
      </c>
      <c r="GN61" s="283">
        <f xml:space="preserve"> 'WK2015'!HX71</f>
        <v>1873.195643526703</v>
      </c>
      <c r="GO61" s="284">
        <f xml:space="preserve"> 'WK2015'!HY71</f>
        <v>0.75677769171185127</v>
      </c>
    </row>
    <row r="62" spans="1:197" x14ac:dyDescent="0.2">
      <c r="A62" s="3">
        <f>Basis!A62</f>
        <v>62</v>
      </c>
      <c r="D62" s="252" t="e">
        <v>#N/A</v>
      </c>
      <c r="E62" s="252" t="e">
        <v>#N/A</v>
      </c>
      <c r="H62" s="50">
        <f xml:space="preserve"> 'WK2012'!EG72</f>
        <v>4694.8794033502872</v>
      </c>
      <c r="I62" s="50">
        <f xml:space="preserve"> 'WK2012'!EH72</f>
        <v>5568.6242831915106</v>
      </c>
      <c r="J62" s="50">
        <f xml:space="preserve"> 'WK2012'!EK72</f>
        <v>4695.2371290637311</v>
      </c>
      <c r="K62" s="50">
        <f xml:space="preserve"> 'WK2012'!EL72</f>
        <v>5568.2043933020796</v>
      </c>
      <c r="L62" s="50">
        <f xml:space="preserve"> 'WK2012'!EM72</f>
        <v>4739.9600344668816</v>
      </c>
      <c r="M62" s="50">
        <f xml:space="preserve"> 'WK2012'!EN72</f>
        <v>5612.9272987052291</v>
      </c>
      <c r="N62" s="61">
        <f xml:space="preserve"> 'WK2012'!EI72</f>
        <v>0.73188509769496002</v>
      </c>
      <c r="P62" s="50">
        <f xml:space="preserve"> 'WK2012'!EU72</f>
        <v>4185.3681938472164</v>
      </c>
      <c r="Q62" s="50">
        <f xml:space="preserve"> 'WK2012'!EV72</f>
        <v>4782.6647840697997</v>
      </c>
      <c r="R62" s="50">
        <f xml:space="preserve"> 'WK2012'!EY72</f>
        <v>4185.385630970015</v>
      </c>
      <c r="S62" s="50">
        <f xml:space="preserve"> 'WK2012'!EZ72</f>
        <v>4782.6450127998332</v>
      </c>
      <c r="T62" s="50">
        <f xml:space="preserve"> 'WK2012'!FA72</f>
        <v>4221.4368697108266</v>
      </c>
      <c r="U62" s="50">
        <f xml:space="preserve"> 'WK2012'!FB72</f>
        <v>4818.696251540644</v>
      </c>
      <c r="V62" s="61">
        <f xml:space="preserve"> 'WK2012'!EW72</f>
        <v>0.74211311879391084</v>
      </c>
      <c r="X62" s="50">
        <f xml:space="preserve"> 'WK2012'!FI72</f>
        <v>2806.8503826070801</v>
      </c>
      <c r="Y62" s="50">
        <f xml:space="preserve"> 'WK2012'!FJ72</f>
        <v>3156.9564324702428</v>
      </c>
      <c r="Z62" s="50">
        <f xml:space="preserve"> 'WK2012'!FM72</f>
        <v>2806.8503826070801</v>
      </c>
      <c r="AA62" s="50">
        <f xml:space="preserve"> 'WK2012'!FN72</f>
        <v>3156.9564324702428</v>
      </c>
      <c r="AB62" s="50">
        <f xml:space="preserve"> 'WK2012'!FO72</f>
        <v>2830.1887883969953</v>
      </c>
      <c r="AC62" s="50">
        <f xml:space="preserve"> 'WK2012'!FP72</f>
        <v>3180.294838260158</v>
      </c>
      <c r="AD62" s="61">
        <f xml:space="preserve"> 'WK2012'!FK72</f>
        <v>0.73330250914576067</v>
      </c>
      <c r="AF62" s="50">
        <f xml:space="preserve"> 'WK2012'!FW72</f>
        <v>359.3874792783642</v>
      </c>
      <c r="AG62" s="50">
        <f xml:space="preserve"> 'WK2012'!FX72</f>
        <v>313.96213954657031</v>
      </c>
      <c r="AH62" s="50">
        <f xml:space="preserve"> 'WK2012'!GA72</f>
        <v>359.70943242046388</v>
      </c>
      <c r="AI62" s="50">
        <f xml:space="preserve"> 'WK2012'!GB72</f>
        <v>313.58423864608216</v>
      </c>
      <c r="AJ62" s="50">
        <f xml:space="preserve"> 'WK2012'!GC72</f>
        <v>363.30974417983271</v>
      </c>
      <c r="AK62" s="50">
        <f xml:space="preserve"> 'WK2012'!GD72</f>
        <v>317.18455040545098</v>
      </c>
      <c r="AL62" s="61">
        <f xml:space="preserve"> 'WK2012'!FY72</f>
        <v>0.72669953120709363</v>
      </c>
      <c r="AN62" s="50">
        <f xml:space="preserve"> 'WK2012'!GK72</f>
        <v>546.65232287608842</v>
      </c>
      <c r="AO62" s="50">
        <f xml:space="preserve"> 'WK2012'!GL72</f>
        <v>634.21294305027482</v>
      </c>
      <c r="AP62" s="50">
        <f xml:space="preserve"> 'WK2012'!GO72</f>
        <v>546.65232287608842</v>
      </c>
      <c r="AQ62" s="50">
        <f xml:space="preserve"> 'WK2012'!GP72</f>
        <v>634.21294305027482</v>
      </c>
      <c r="AR62" s="50">
        <f xml:space="preserve"> 'WK2012'!GQ72</f>
        <v>547.28707078239108</v>
      </c>
      <c r="AS62" s="50">
        <f xml:space="preserve"> 'WK2012'!GR72</f>
        <v>634.84769095657759</v>
      </c>
      <c r="AT62" s="61">
        <f xml:space="preserve"> 'WK2012'!GM72</f>
        <v>0.73947492009302163</v>
      </c>
      <c r="AX62" s="50">
        <f xml:space="preserve"> 'WK2013'!EG72</f>
        <v>4879.6351442000005</v>
      </c>
      <c r="AY62" s="50">
        <f xml:space="preserve"> 'WK2013'!EH72</f>
        <v>5001.768462</v>
      </c>
      <c r="AZ62" s="50">
        <f xml:space="preserve"> 'WK2013'!EK72</f>
        <v>4879.678740338456</v>
      </c>
      <c r="BA62" s="50">
        <f xml:space="preserve"> 'WK2013'!EL72</f>
        <v>5001.6891391384552</v>
      </c>
      <c r="BB62" s="50">
        <f xml:space="preserve"> 'WK2013'!EM72</f>
        <v>4922.8354584958443</v>
      </c>
      <c r="BC62" s="50">
        <f xml:space="preserve"> 'WK2013'!EN72</f>
        <v>5044.8458572958434</v>
      </c>
      <c r="BD62" s="61">
        <f xml:space="preserve"> 'WK2013'!EI72</f>
        <v>0.71128496864632385</v>
      </c>
      <c r="BF62" s="50">
        <f xml:space="preserve"> 'WK2013'!EU72</f>
        <v>4118.7357683</v>
      </c>
      <c r="BG62" s="50">
        <f xml:space="preserve"> 'WK2013'!EV72</f>
        <v>4201.4481299999998</v>
      </c>
      <c r="BH62" s="50">
        <f xml:space="preserve"> 'WK2013'!EY72</f>
        <v>4118.7370975000968</v>
      </c>
      <c r="BI62" s="50">
        <f xml:space="preserve"> 'WK2013'!EZ72</f>
        <v>4201.4469517000962</v>
      </c>
      <c r="BJ62" s="50">
        <f xml:space="preserve"> 'WK2013'!FA72</f>
        <v>4154.3224541623231</v>
      </c>
      <c r="BK62" s="50">
        <f xml:space="preserve"> 'WK2013'!FB72</f>
        <v>4237.0323083623234</v>
      </c>
      <c r="BL62" s="61">
        <f xml:space="preserve"> 'WK2013'!EW72</f>
        <v>0.72029737679357986</v>
      </c>
      <c r="BN62" s="50">
        <f xml:space="preserve"> 'WK2013'!FI72</f>
        <v>3189.6711673999998</v>
      </c>
      <c r="BO62" s="50">
        <f xml:space="preserve"> 'WK2013'!FJ72</f>
        <v>3397.6697640000002</v>
      </c>
      <c r="BP62" s="50">
        <f xml:space="preserve"> 'WK2013'!FM72</f>
        <v>3189.6713667624481</v>
      </c>
      <c r="BQ62" s="50">
        <f xml:space="preserve"> 'WK2013'!FN72</f>
        <v>3397.6695863624482</v>
      </c>
      <c r="BR62" s="50">
        <f xml:space="preserve"> 'WK2013'!FO72</f>
        <v>3217.494999630087</v>
      </c>
      <c r="BS62" s="50">
        <f xml:space="preserve"> 'WK2013'!FP72</f>
        <v>3425.4932192300871</v>
      </c>
      <c r="BT62" s="61">
        <f xml:space="preserve"> 'WK2013'!FK72</f>
        <v>0.71747328299155122</v>
      </c>
      <c r="BV62" s="50">
        <f xml:space="preserve"> 'WK2013'!FW72</f>
        <v>729.5750422000001</v>
      </c>
      <c r="BW62" s="50">
        <f xml:space="preserve"> 'WK2013'!FX72</f>
        <v>818.91496600000005</v>
      </c>
      <c r="BX62" s="50">
        <f xml:space="preserve"> 'WK2013'!GA72</f>
        <v>729.57653725888872</v>
      </c>
      <c r="BY62" s="50">
        <f xml:space="preserve"> 'WK2013'!GB72</f>
        <v>818.91364105888874</v>
      </c>
      <c r="BZ62" s="50">
        <f xml:space="preserve"> 'WK2013'!GC72</f>
        <v>729.62828731479988</v>
      </c>
      <c r="CA62" s="50">
        <f xml:space="preserve"> 'WK2013'!GD72</f>
        <v>818.96539111480001</v>
      </c>
      <c r="CB62" s="61">
        <f xml:space="preserve"> 'WK2013'!FY72</f>
        <v>0.71959605075387489</v>
      </c>
      <c r="CD62" s="50">
        <f xml:space="preserve"> 'WK2013'!GK72</f>
        <v>435.11276399999991</v>
      </c>
      <c r="CE62" s="50">
        <f xml:space="preserve"> 'WK2013'!GL72</f>
        <v>413.56075650000014</v>
      </c>
      <c r="CF62" s="50">
        <f xml:space="preserve"> 'WK2013'!GO72</f>
        <v>435.11276399999991</v>
      </c>
      <c r="CG62" s="50">
        <f xml:space="preserve"> 'WK2013'!GP72</f>
        <v>413.56075650000014</v>
      </c>
      <c r="CH62" s="50">
        <f xml:space="preserve"> 'WK2013'!GQ72</f>
        <v>439.42836119691856</v>
      </c>
      <c r="CI62" s="50">
        <f xml:space="preserve"> 'WK2013'!GR72</f>
        <v>417.87635369691873</v>
      </c>
      <c r="CJ62" s="61">
        <f xml:space="preserve"> 'WK2013'!GM72</f>
        <v>0.73152320176129448</v>
      </c>
      <c r="CN62" s="50">
        <f xml:space="preserve"> 'WK2014'!EG72</f>
        <v>4902.1619455999999</v>
      </c>
      <c r="CO62" s="50">
        <f xml:space="preserve"> 'WK2014'!EH72</f>
        <v>4950.7079211999999</v>
      </c>
      <c r="CP62" s="50">
        <f xml:space="preserve"> 'WK2014'!EK72</f>
        <v>4902.2519725896682</v>
      </c>
      <c r="CQ62" s="50">
        <f xml:space="preserve"> 'WK2014'!EL72</f>
        <v>4950.4312253896678</v>
      </c>
      <c r="CR62" s="50">
        <f xml:space="preserve"> 'WK2014'!EM72</f>
        <v>4935.8998617983416</v>
      </c>
      <c r="CS62" s="50">
        <f xml:space="preserve"> 'WK2014'!EN72</f>
        <v>4984.079114598343</v>
      </c>
      <c r="CT62" s="61">
        <f xml:space="preserve"> 'WK2014'!EI72</f>
        <v>0.72996658425830097</v>
      </c>
      <c r="CV62" s="50">
        <f xml:space="preserve"> 'WK2014'!EU72</f>
        <v>4080.9852813999996</v>
      </c>
      <c r="CW62" s="50">
        <f xml:space="preserve"> 'WK2014'!EV72</f>
        <v>4026.6511697999999</v>
      </c>
      <c r="CX62" s="50">
        <f xml:space="preserve"> 'WK2014'!EY72</f>
        <v>4080.9866075287187</v>
      </c>
      <c r="CY62" s="50">
        <f xml:space="preserve"> 'WK2014'!EZ72</f>
        <v>4026.6499987287189</v>
      </c>
      <c r="CZ62" s="50">
        <f xml:space="preserve"> 'WK2014'!FA72</f>
        <v>4117.0333152719495</v>
      </c>
      <c r="DA62" s="50">
        <f xml:space="preserve"> 'WK2014'!FB72</f>
        <v>4062.6967064719502</v>
      </c>
      <c r="DB62" s="61">
        <f xml:space="preserve"> 'WK2014'!EW72</f>
        <v>0.72293286681201419</v>
      </c>
      <c r="DC62" s="1"/>
      <c r="DD62" s="50">
        <f xml:space="preserve"> 'WK2014'!FI72</f>
        <v>3176.8346743999996</v>
      </c>
      <c r="DE62" s="50">
        <f xml:space="preserve"> 'WK2014'!FJ72</f>
        <v>3238.1518894000001</v>
      </c>
      <c r="DF62" s="50">
        <f xml:space="preserve"> 'WK2014'!FM72</f>
        <v>3176.83471536965</v>
      </c>
      <c r="DG62" s="50">
        <f xml:space="preserve"> 'WK2014'!FN72</f>
        <v>3238.1518523696504</v>
      </c>
      <c r="DH62" s="50">
        <f xml:space="preserve"> 'WK2014'!FO72</f>
        <v>3200.7183895785597</v>
      </c>
      <c r="DI62" s="50">
        <f xml:space="preserve"> 'WK2014'!FP72</f>
        <v>3262.0355265785597</v>
      </c>
      <c r="DJ62" s="61">
        <f xml:space="preserve"> 'WK2014'!FK72</f>
        <v>0.71479359252415353</v>
      </c>
      <c r="DK62" s="1"/>
      <c r="DL62" s="50">
        <f xml:space="preserve"> 'WK2014'!FW72</f>
        <v>716.95433760000003</v>
      </c>
      <c r="DM62" s="50">
        <f xml:space="preserve"> 'WK2014'!FX72</f>
        <v>805.24168320000001</v>
      </c>
      <c r="DN62" s="50">
        <f xml:space="preserve"> 'WK2014'!GA72</f>
        <v>716.95584732287125</v>
      </c>
      <c r="DO62" s="50">
        <f xml:space="preserve"> 'WK2014'!GB72</f>
        <v>805.24035012287129</v>
      </c>
      <c r="DP62" s="50">
        <f xml:space="preserve"> 'WK2014'!GC72</f>
        <v>717.00587630581367</v>
      </c>
      <c r="DQ62" s="50">
        <f xml:space="preserve"> 'WK2014'!GD72</f>
        <v>805.29037910581383</v>
      </c>
      <c r="DR62" s="61">
        <f xml:space="preserve"> 'WK2014'!FY72</f>
        <v>0.72435279972907096</v>
      </c>
      <c r="DS62" s="1"/>
      <c r="DT62" s="50">
        <f xml:space="preserve"> 'WK2014'!GK72</f>
        <v>560.23107599999992</v>
      </c>
      <c r="DU62" s="50">
        <f xml:space="preserve"> 'WK2014'!GL72</f>
        <v>514.84436849999997</v>
      </c>
      <c r="DV62" s="50">
        <f xml:space="preserve"> 'WK2014'!GO72</f>
        <v>560.23107599999992</v>
      </c>
      <c r="DW62" s="50">
        <f xml:space="preserve"> 'WK2014'!GP72</f>
        <v>514.84436849999997</v>
      </c>
      <c r="DX62" s="50">
        <f xml:space="preserve"> 'WK2014'!GQ72</f>
        <v>565.19830954310373</v>
      </c>
      <c r="DY62" s="50">
        <f xml:space="preserve"> 'WK2014'!GR72</f>
        <v>519.81160204310368</v>
      </c>
      <c r="DZ62" s="61">
        <f xml:space="preserve"> 'WK2014'!GM72</f>
        <v>0.72212197089220376</v>
      </c>
      <c r="ED62" s="50">
        <f xml:space="preserve"> 'WK2015'!EG72</f>
        <v>4746.2459716000003</v>
      </c>
      <c r="EE62" s="50">
        <f xml:space="preserve"> 'WK2015'!EH72</f>
        <v>4535.6360020000002</v>
      </c>
      <c r="EF62" s="50">
        <f xml:space="preserve"> 'WK2015'!EK72</f>
        <v>4746.2477355789269</v>
      </c>
      <c r="EG62" s="50">
        <f xml:space="preserve"> 'WK2015'!EL72</f>
        <v>4535.6344019789267</v>
      </c>
      <c r="EH62" s="50">
        <f xml:space="preserve"> 'WK2015'!EM72</f>
        <v>4787.0243970114152</v>
      </c>
      <c r="EI62" s="50">
        <f xml:space="preserve"> 'WK2015'!EN72</f>
        <v>4576.4110634114149</v>
      </c>
      <c r="EJ62" s="61">
        <f xml:space="preserve"> 'WK2015'!EI72</f>
        <v>0.73859579962261646</v>
      </c>
      <c r="EK62" s="1"/>
      <c r="EL62" s="50">
        <f xml:space="preserve"> 'WK2015'!EU72</f>
        <v>4103.1977304000002</v>
      </c>
      <c r="EM62" s="50">
        <f xml:space="preserve"> 'WK2015'!EV72</f>
        <v>4026.1874790000006</v>
      </c>
      <c r="EN62" s="50">
        <f xml:space="preserve"> 'WK2015'!EY72</f>
        <v>4103.1992738815607</v>
      </c>
      <c r="EO62" s="50">
        <f xml:space="preserve"> 'WK2015'!EZ72</f>
        <v>4026.186078981561</v>
      </c>
      <c r="EP62" s="50">
        <f xml:space="preserve"> 'WK2015'!FA72</f>
        <v>4140.0717432840247</v>
      </c>
      <c r="EQ62" s="50">
        <f xml:space="preserve"> 'WK2015'!FB72</f>
        <v>4063.0585483840259</v>
      </c>
      <c r="ER62" s="61">
        <f xml:space="preserve"> 'WK2015'!EW72</f>
        <v>0.73991393527483029</v>
      </c>
      <c r="ES62" s="1"/>
      <c r="ET62" s="50">
        <f xml:space="preserve"> 'WK2015'!FI72</f>
        <v>3534.3237216000002</v>
      </c>
      <c r="EU62" s="50">
        <f xml:space="preserve"> 'WK2015'!FJ72</f>
        <v>3602.8530582000003</v>
      </c>
      <c r="EV62" s="50">
        <f xml:space="preserve"> 'WK2015'!FM72</f>
        <v>3534.3238647196713</v>
      </c>
      <c r="EW62" s="50">
        <f xml:space="preserve"> 'WK2015'!FN72</f>
        <v>3602.8529373196716</v>
      </c>
      <c r="EX62" s="50">
        <f xml:space="preserve"> 'WK2015'!FO72</f>
        <v>3558.841326703754</v>
      </c>
      <c r="EY62" s="50">
        <f xml:space="preserve"> 'WK2015'!FP72</f>
        <v>3627.3703993037534</v>
      </c>
      <c r="EZ62" s="61">
        <f xml:space="preserve"> 'WK2015'!FK72</f>
        <v>0.73018376168603161</v>
      </c>
      <c r="FA62" s="1"/>
      <c r="FB62" s="50">
        <f xml:space="preserve"> 'WK2015'!FW72</f>
        <v>713.11016160000008</v>
      </c>
      <c r="FC62" s="50">
        <f xml:space="preserve"> 'WK2015'!FX72</f>
        <v>792.00382800000011</v>
      </c>
      <c r="FD62" s="50">
        <f xml:space="preserve"> 'WK2015'!GA72</f>
        <v>713.11192557892628</v>
      </c>
      <c r="FE62" s="50">
        <f xml:space="preserve"> 'WK2015'!GB72</f>
        <v>792.00222797892638</v>
      </c>
      <c r="FF62" s="50">
        <f xml:space="preserve"> 'WK2015'!GC72</f>
        <v>713.1629482700771</v>
      </c>
      <c r="FG62" s="50">
        <f xml:space="preserve"> 'WK2015'!GD72</f>
        <v>792.0532506700772</v>
      </c>
      <c r="FH62" s="61">
        <f xml:space="preserve"> 'WK2015'!FY72</f>
        <v>0.74112497444757086</v>
      </c>
      <c r="FI62" s="1"/>
      <c r="FJ62" s="50">
        <f xml:space="preserve"> 'WK2015'!GK72</f>
        <v>423.77361525000015</v>
      </c>
      <c r="FK62" s="50">
        <f xml:space="preserve"> 'WK2015'!GL72</f>
        <v>431.86081200000001</v>
      </c>
      <c r="FL62" s="50">
        <f xml:space="preserve"> 'WK2015'!GO72</f>
        <v>423.77361525000015</v>
      </c>
      <c r="FM62" s="50">
        <f xml:space="preserve"> 'WK2015'!GP72</f>
        <v>431.86081200000001</v>
      </c>
      <c r="FN62" s="50">
        <f xml:space="preserve"> 'WK2015'!GQ72</f>
        <v>429.07326122259968</v>
      </c>
      <c r="FO62" s="50">
        <f xml:space="preserve"> 'WK2015'!GR72</f>
        <v>437.16045797259966</v>
      </c>
      <c r="FP62" s="61">
        <f xml:space="preserve"> 'WK2015'!GM72</f>
        <v>0.72853463496051063</v>
      </c>
      <c r="FS62" s="283">
        <f xml:space="preserve"> 'WK2015'!H72</f>
        <v>2450.3713749999997</v>
      </c>
      <c r="FT62" s="283">
        <f xml:space="preserve"> 'WK2015'!I72</f>
        <v>2531.7372820000001</v>
      </c>
      <c r="FU62" s="283">
        <f xml:space="preserve"> 'WK2015'!L72</f>
        <v>2450.3713749999997</v>
      </c>
      <c r="FV62" s="283">
        <f xml:space="preserve"> 'WK2015'!M72</f>
        <v>2531.7372820000001</v>
      </c>
      <c r="FW62" s="283">
        <f xml:space="preserve"> 'WK2015'!N72</f>
        <v>2472.6677681656183</v>
      </c>
      <c r="FX62" s="283">
        <f xml:space="preserve"> 'WK2015'!O72</f>
        <v>2554.0336751656187</v>
      </c>
      <c r="FY62" s="284">
        <f xml:space="preserve"> 'WK2015'!P72</f>
        <v>0.73231155586413732</v>
      </c>
      <c r="GA62" s="283">
        <f xml:space="preserve"> 'WK2015'!HB72</f>
        <v>1864.3640939999998</v>
      </c>
      <c r="GB62" s="283">
        <f xml:space="preserve"> 'WK2015'!HC72</f>
        <v>2126.1946790000002</v>
      </c>
      <c r="GC62" s="283">
        <f xml:space="preserve"> 'WK2015'!HF72</f>
        <v>1864.3640939999998</v>
      </c>
      <c r="GD62" s="283">
        <f xml:space="preserve"> 'WK2015'!HG72</f>
        <v>2126.1946790000002</v>
      </c>
      <c r="GE62" s="283">
        <f xml:space="preserve"> 'WK2015'!HH72</f>
        <v>1879.1894875495698</v>
      </c>
      <c r="GF62" s="283">
        <f xml:space="preserve"> 'WK2015'!HI72</f>
        <v>2141.0200725495702</v>
      </c>
      <c r="GG62" s="284">
        <f xml:space="preserve"> 'WK2015'!HJ72</f>
        <v>0.70639785680191391</v>
      </c>
      <c r="GI62" s="283">
        <f xml:space="preserve"> 'WK2015'!HQ72</f>
        <v>1790.2250449999999</v>
      </c>
      <c r="GJ62" s="283">
        <f xml:space="preserve"> 'WK2015'!HR72</f>
        <v>1982.3322329999999</v>
      </c>
      <c r="GK62" s="283">
        <f xml:space="preserve"> 'WK2015'!HU72</f>
        <v>1790.2250449999999</v>
      </c>
      <c r="GL62" s="283">
        <f xml:space="preserve"> 'WK2015'!HV72</f>
        <v>1982.3322329999999</v>
      </c>
      <c r="GM62" s="283">
        <f xml:space="preserve"> 'WK2015'!HW72</f>
        <v>1793.2300935267028</v>
      </c>
      <c r="GN62" s="283">
        <f xml:space="preserve"> 'WK2015'!HX72</f>
        <v>1985.3372815267028</v>
      </c>
      <c r="GO62" s="284">
        <f xml:space="preserve"> 'WK2015'!HY72</f>
        <v>0.76003887977644125</v>
      </c>
    </row>
    <row r="63" spans="1:197" x14ac:dyDescent="0.2">
      <c r="A63" s="3">
        <f>Basis!A63</f>
        <v>63</v>
      </c>
      <c r="D63" s="252" t="e">
        <v>#N/A</v>
      </c>
      <c r="E63" s="252" t="e">
        <v>#N/A</v>
      </c>
      <c r="H63" s="50">
        <f xml:space="preserve"> 'WK2012'!EG73</f>
        <v>4954.3305275875282</v>
      </c>
      <c r="I63" s="50">
        <f xml:space="preserve"> 'WK2012'!EH73</f>
        <v>5765.323943576379</v>
      </c>
      <c r="J63" s="50">
        <f xml:space="preserve"> 'WK2012'!EK73</f>
        <v>4954.6862949975621</v>
      </c>
      <c r="K63" s="50">
        <f xml:space="preserve"> 'WK2012'!EL73</f>
        <v>5764.902095383537</v>
      </c>
      <c r="L63" s="50">
        <f xml:space="preserve"> 'WK2012'!EM73</f>
        <v>4999.4111587041234</v>
      </c>
      <c r="M63" s="50">
        <f xml:space="preserve"> 'WK2012'!EN73</f>
        <v>5809.6269590900984</v>
      </c>
      <c r="N63" s="61">
        <f xml:space="preserve"> 'WK2012'!EI73</f>
        <v>0.73499101472583506</v>
      </c>
      <c r="P63" s="50">
        <f xml:space="preserve"> 'WK2012'!EU73</f>
        <v>4441.6272991516771</v>
      </c>
      <c r="Q63" s="50">
        <f xml:space="preserve"> 'WK2012'!EV73</f>
        <v>5008.0451750113189</v>
      </c>
      <c r="R63" s="50">
        <f xml:space="preserve"> 'WK2012'!EY73</f>
        <v>4441.6448936907127</v>
      </c>
      <c r="S63" s="50">
        <f xml:space="preserve"> 'WK2012'!EZ73</f>
        <v>5008.0255611575894</v>
      </c>
      <c r="T63" s="50">
        <f xml:space="preserve"> 'WK2012'!FA73</f>
        <v>4477.6959750152873</v>
      </c>
      <c r="U63" s="50">
        <f xml:space="preserve"> 'WK2012'!FB73</f>
        <v>5044.0766424821641</v>
      </c>
      <c r="V63" s="61">
        <f xml:space="preserve"> 'WK2012'!EW73</f>
        <v>0.74390746700912458</v>
      </c>
      <c r="X63" s="50">
        <f xml:space="preserve"> 'WK2012'!FI73</f>
        <v>3001.8166360990035</v>
      </c>
      <c r="Y63" s="50">
        <f xml:space="preserve"> 'WK2012'!FJ73</f>
        <v>3282.4501531349961</v>
      </c>
      <c r="Z63" s="50">
        <f xml:space="preserve"> 'WK2012'!FM73</f>
        <v>3001.8166360990035</v>
      </c>
      <c r="AA63" s="50">
        <f xml:space="preserve"> 'WK2012'!FN73</f>
        <v>3282.4501531349961</v>
      </c>
      <c r="AB63" s="50">
        <f xml:space="preserve"> 'WK2012'!FO73</f>
        <v>3025.1550418889187</v>
      </c>
      <c r="AC63" s="50">
        <f xml:space="preserve"> 'WK2012'!FP73</f>
        <v>3305.7885589249113</v>
      </c>
      <c r="AD63" s="61">
        <f xml:space="preserve"> 'WK2012'!FK73</f>
        <v>0.73802603028333669</v>
      </c>
      <c r="AF63" s="50">
        <f xml:space="preserve"> 'WK2012'!FW73</f>
        <v>390.85851845450486</v>
      </c>
      <c r="AG63" s="50">
        <f xml:space="preserve"> 'WK2012'!FX73</f>
        <v>345.68033876559815</v>
      </c>
      <c r="AH63" s="50">
        <f xml:space="preserve"> 'WK2012'!GA73</f>
        <v>391.17870912353499</v>
      </c>
      <c r="AI63" s="50">
        <f xml:space="preserve"> 'WK2012'!GB73</f>
        <v>345.30067539204043</v>
      </c>
      <c r="AJ63" s="50">
        <f xml:space="preserve"> 'WK2012'!GC73</f>
        <v>394.78078335597337</v>
      </c>
      <c r="AK63" s="50">
        <f xml:space="preserve"> 'WK2012'!GD73</f>
        <v>348.90274962447882</v>
      </c>
      <c r="AL63" s="61">
        <f xml:space="preserve"> 'WK2012'!FY73</f>
        <v>0.73264770151085068</v>
      </c>
      <c r="AN63" s="50">
        <f xml:space="preserve"> 'WK2012'!GK73</f>
        <v>560.61664756873813</v>
      </c>
      <c r="AO63" s="50">
        <f xml:space="preserve"> 'WK2012'!GL73</f>
        <v>641.14583919987501</v>
      </c>
      <c r="AP63" s="50">
        <f xml:space="preserve"> 'WK2012'!GO73</f>
        <v>560.61664756873813</v>
      </c>
      <c r="AQ63" s="50">
        <f xml:space="preserve"> 'WK2012'!GP73</f>
        <v>641.14583919987501</v>
      </c>
      <c r="AR63" s="50">
        <f xml:space="preserve"> 'WK2012'!GQ73</f>
        <v>561.25139547504091</v>
      </c>
      <c r="AS63" s="50">
        <f xml:space="preserve"> 'WK2012'!GR73</f>
        <v>641.78058710617779</v>
      </c>
      <c r="AT63" s="61">
        <f xml:space="preserve"> 'WK2012'!GM73</f>
        <v>0.74065471905836089</v>
      </c>
      <c r="AX63" s="50">
        <f xml:space="preserve"> 'WK2013'!EG73</f>
        <v>5170.5942785999996</v>
      </c>
      <c r="AY63" s="50">
        <f xml:space="preserve"> 'WK2013'!EH73</f>
        <v>5204.8683212000014</v>
      </c>
      <c r="AZ63" s="50">
        <f xml:space="preserve"> 'WK2013'!EK73</f>
        <v>5170.6007206010272</v>
      </c>
      <c r="BA63" s="50">
        <f xml:space="preserve"> 'WK2013'!EL73</f>
        <v>5204.8568862010279</v>
      </c>
      <c r="BB63" s="50">
        <f xml:space="preserve"> 'WK2013'!EM73</f>
        <v>5213.7945928958434</v>
      </c>
      <c r="BC63" s="50">
        <f xml:space="preserve"> 'WK2013'!EN73</f>
        <v>5248.0507584958432</v>
      </c>
      <c r="BD63" s="61">
        <f xml:space="preserve"> 'WK2013'!EI73</f>
        <v>0.71487678324714743</v>
      </c>
      <c r="BF63" s="50">
        <f xml:space="preserve"> 'WK2013'!EU73</f>
        <v>4371.2664178999994</v>
      </c>
      <c r="BG63" s="50">
        <f xml:space="preserve"> 'WK2013'!EV73</f>
        <v>4371.9990947999995</v>
      </c>
      <c r="BH63" s="50">
        <f xml:space="preserve"> 'WK2013'!EY73</f>
        <v>4371.2667506407734</v>
      </c>
      <c r="BI63" s="50">
        <f xml:space="preserve"> 'WK2013'!EZ73</f>
        <v>4371.998797540773</v>
      </c>
      <c r="BJ63" s="50">
        <f xml:space="preserve"> 'WK2013'!FA73</f>
        <v>4406.8531037623225</v>
      </c>
      <c r="BK63" s="50">
        <f xml:space="preserve"> 'WK2013'!FB73</f>
        <v>4407.5851506623239</v>
      </c>
      <c r="BL63" s="61">
        <f xml:space="preserve"> 'WK2013'!EW73</f>
        <v>0.72533483171173363</v>
      </c>
      <c r="BN63" s="50">
        <f xml:space="preserve"> 'WK2013'!FI73</f>
        <v>3400.7328210000001</v>
      </c>
      <c r="BO63" s="50">
        <f xml:space="preserve"> 'WK2013'!FJ73</f>
        <v>3558.6885331999997</v>
      </c>
      <c r="BP63" s="50">
        <f xml:space="preserve"> 'WK2013'!FM73</f>
        <v>3400.7328210000001</v>
      </c>
      <c r="BQ63" s="50">
        <f xml:space="preserve"> 'WK2013'!FN73</f>
        <v>3558.6885331999997</v>
      </c>
      <c r="BR63" s="50">
        <f xml:space="preserve"> 'WK2013'!FO73</f>
        <v>3428.5566532300868</v>
      </c>
      <c r="BS63" s="50">
        <f xml:space="preserve"> 'WK2013'!FP73</f>
        <v>3586.5123654300869</v>
      </c>
      <c r="BT63" s="61">
        <f xml:space="preserve"> 'WK2013'!FK73</f>
        <v>0.71754877383854776</v>
      </c>
      <c r="BV63" s="50">
        <f xml:space="preserve"> 'WK2013'!FW73</f>
        <v>744.9037765999999</v>
      </c>
      <c r="BW63" s="50">
        <f xml:space="preserve"> 'WK2013'!FX73</f>
        <v>827.07278120000001</v>
      </c>
      <c r="BX63" s="50">
        <f xml:space="preserve"> 'WK2013'!GA73</f>
        <v>744.90415687516997</v>
      </c>
      <c r="BY63" s="50">
        <f xml:space="preserve"> 'WK2013'!GB73</f>
        <v>827.07244147517008</v>
      </c>
      <c r="BZ63" s="50">
        <f xml:space="preserve"> 'WK2013'!GC73</f>
        <v>744.95702171479979</v>
      </c>
      <c r="CA63" s="50">
        <f xml:space="preserve"> 'WK2013'!GD73</f>
        <v>827.1253063147999</v>
      </c>
      <c r="CB63" s="61">
        <f xml:space="preserve"> 'WK2013'!FY73</f>
        <v>0.72374473489126079</v>
      </c>
      <c r="CD63" s="50">
        <f xml:space="preserve"> 'WK2013'!GK73</f>
        <v>469.47243150000003</v>
      </c>
      <c r="CE63" s="50">
        <f xml:space="preserve"> 'WK2013'!GL73</f>
        <v>436.53410550000012</v>
      </c>
      <c r="CF63" s="50">
        <f xml:space="preserve"> 'WK2013'!GO73</f>
        <v>469.47243150000003</v>
      </c>
      <c r="CG63" s="50">
        <f xml:space="preserve"> 'WK2013'!GP73</f>
        <v>436.53410550000012</v>
      </c>
      <c r="CH63" s="50">
        <f xml:space="preserve"> 'WK2013'!GQ73</f>
        <v>473.78802869691867</v>
      </c>
      <c r="CI63" s="50">
        <f xml:space="preserve"> 'WK2013'!GR73</f>
        <v>440.84970269691871</v>
      </c>
      <c r="CJ63" s="61">
        <f xml:space="preserve"> 'WK2013'!GM73</f>
        <v>0.73195490098766813</v>
      </c>
      <c r="CN63" s="50">
        <f xml:space="preserve"> 'WK2014'!EG73</f>
        <v>5192.1701640000001</v>
      </c>
      <c r="CO63" s="50">
        <f xml:space="preserve"> 'WK2014'!EH73</f>
        <v>5145.9323323999997</v>
      </c>
      <c r="CP63" s="50">
        <f xml:space="preserve"> 'WK2014'!EK73</f>
        <v>5192.2060769851669</v>
      </c>
      <c r="CQ63" s="50">
        <f xml:space="preserve"> 'WK2014'!EL73</f>
        <v>5145.8210517851658</v>
      </c>
      <c r="CR63" s="50">
        <f xml:space="preserve"> 'WK2014'!EM73</f>
        <v>5225.9080801983428</v>
      </c>
      <c r="CS63" s="50">
        <f xml:space="preserve"> 'WK2014'!EN73</f>
        <v>5179.5230549983435</v>
      </c>
      <c r="CT63" s="61">
        <f xml:space="preserve"> 'WK2014'!EI73</f>
        <v>0.72561078709999294</v>
      </c>
      <c r="CV63" s="50">
        <f xml:space="preserve"> 'WK2014'!EU73</f>
        <v>4325.7310659999994</v>
      </c>
      <c r="CW63" s="50">
        <f xml:space="preserve"> 'WK2014'!EV73</f>
        <v>4178.5402746</v>
      </c>
      <c r="CX63" s="50">
        <f xml:space="preserve"> 'WK2014'!EY73</f>
        <v>4325.7318257487186</v>
      </c>
      <c r="CY63" s="50">
        <f xml:space="preserve"> 'WK2014'!EZ73</f>
        <v>4178.5395979487184</v>
      </c>
      <c r="CZ63" s="50">
        <f xml:space="preserve"> 'WK2014'!FA73</f>
        <v>4361.7790998719502</v>
      </c>
      <c r="DA63" s="50">
        <f xml:space="preserve"> 'WK2014'!FB73</f>
        <v>4214.58687207195</v>
      </c>
      <c r="DB63" s="61">
        <f xml:space="preserve"> 'WK2014'!EW73</f>
        <v>0.71733586778552427</v>
      </c>
      <c r="DC63" s="1"/>
      <c r="DD63" s="50">
        <f xml:space="preserve"> 'WK2014'!FI73</f>
        <v>3347.9512975999996</v>
      </c>
      <c r="DE63" s="50">
        <f xml:space="preserve"> 'WK2014'!FJ73</f>
        <v>3376.3736684000005</v>
      </c>
      <c r="DF63" s="50">
        <f xml:space="preserve"> 'WK2014'!FM73</f>
        <v>3347.9512975999996</v>
      </c>
      <c r="DG63" s="50">
        <f xml:space="preserve"> 'WK2014'!FN73</f>
        <v>3376.3736684000005</v>
      </c>
      <c r="DH63" s="50">
        <f xml:space="preserve"> 'WK2014'!FO73</f>
        <v>3371.8350127785598</v>
      </c>
      <c r="DI63" s="50">
        <f xml:space="preserve"> 'WK2014'!FP73</f>
        <v>3400.2573835785606</v>
      </c>
      <c r="DJ63" s="61">
        <f xml:space="preserve"> 'WK2014'!FK73</f>
        <v>0.71370569530269323</v>
      </c>
      <c r="DK63" s="1"/>
      <c r="DL63" s="50">
        <f xml:space="preserve"> 'WK2014'!FW73</f>
        <v>731.24787600000013</v>
      </c>
      <c r="DM63" s="50">
        <f xml:space="preserve"> 'WK2014'!FX73</f>
        <v>813.83807039999999</v>
      </c>
      <c r="DN63" s="50">
        <f xml:space="preserve"> 'WK2014'!GA73</f>
        <v>731.24874428424982</v>
      </c>
      <c r="DO63" s="50">
        <f xml:space="preserve"> 'WK2014'!GB73</f>
        <v>813.83729708424971</v>
      </c>
      <c r="DP63" s="50">
        <f xml:space="preserve"> 'WK2014'!GC73</f>
        <v>731.29941470581389</v>
      </c>
      <c r="DQ63" s="50">
        <f xml:space="preserve"> 'WK2014'!GD73</f>
        <v>813.88796750581378</v>
      </c>
      <c r="DR63" s="61">
        <f xml:space="preserve"> 'WK2014'!FY73</f>
        <v>0.71963544597854368</v>
      </c>
      <c r="DS63" s="1"/>
      <c r="DT63" s="50">
        <f xml:space="preserve"> 'WK2014'!GK73</f>
        <v>623.79307199999994</v>
      </c>
      <c r="DU63" s="50">
        <f xml:space="preserve"> 'WK2014'!GL73</f>
        <v>554.35715549999998</v>
      </c>
      <c r="DV63" s="50">
        <f xml:space="preserve"> 'WK2014'!GO73</f>
        <v>623.79307199999994</v>
      </c>
      <c r="DW63" s="50">
        <f xml:space="preserve"> 'WK2014'!GP73</f>
        <v>554.35715549999998</v>
      </c>
      <c r="DX63" s="50">
        <f xml:space="preserve"> 'WK2014'!GQ73</f>
        <v>628.76030554310375</v>
      </c>
      <c r="DY63" s="50">
        <f xml:space="preserve"> 'WK2014'!GR73</f>
        <v>559.32438904310379</v>
      </c>
      <c r="DZ63" s="61">
        <f xml:space="preserve"> 'WK2014'!GM73</f>
        <v>0.72046942625611965</v>
      </c>
      <c r="ED63" s="50">
        <f xml:space="preserve"> 'WK2015'!EG73</f>
        <v>5018.3631340000002</v>
      </c>
      <c r="EE63" s="50">
        <f xml:space="preserve"> 'WK2015'!EH73</f>
        <v>4703.1585836000004</v>
      </c>
      <c r="EF63" s="50">
        <f xml:space="preserve"> 'WK2015'!EK73</f>
        <v>5018.36416360571</v>
      </c>
      <c r="EG63" s="50">
        <f xml:space="preserve"> 'WK2015'!EL73</f>
        <v>4703.1576412057102</v>
      </c>
      <c r="EH63" s="50">
        <f xml:space="preserve"> 'WK2015'!EM73</f>
        <v>5059.1415594114151</v>
      </c>
      <c r="EI63" s="50">
        <f xml:space="preserve"> 'WK2015'!EN73</f>
        <v>4743.9350370114144</v>
      </c>
      <c r="EJ63" s="61">
        <f xml:space="preserve"> 'WK2015'!EI73</f>
        <v>0.72981265964247</v>
      </c>
      <c r="EK63" s="1"/>
      <c r="EL63" s="50">
        <f xml:space="preserve"> 'WK2015'!EU73</f>
        <v>4354.2524100000001</v>
      </c>
      <c r="EM63" s="50">
        <f xml:space="preserve"> 'WK2015'!EV73</f>
        <v>4207.1389084000002</v>
      </c>
      <c r="EN63" s="50">
        <f xml:space="preserve"> 'WK2015'!EY73</f>
        <v>4354.2533109049964</v>
      </c>
      <c r="EO63" s="50">
        <f xml:space="preserve"> 'WK2015'!EZ73</f>
        <v>4207.1380838049972</v>
      </c>
      <c r="EP63" s="50">
        <f xml:space="preserve"> 'WK2015'!FA73</f>
        <v>4391.1264228840264</v>
      </c>
      <c r="EQ63" s="50">
        <f xml:space="preserve"> 'WK2015'!FB73</f>
        <v>4244.0111957840254</v>
      </c>
      <c r="ER63" s="61">
        <f xml:space="preserve"> 'WK2015'!EW73</f>
        <v>0.73221361048865574</v>
      </c>
      <c r="ES63" s="1"/>
      <c r="ET63" s="50">
        <f xml:space="preserve"> 'WK2015'!FI73</f>
        <v>3750.0645323999997</v>
      </c>
      <c r="EU63" s="50">
        <f xml:space="preserve"> 'WK2015'!FJ73</f>
        <v>3746.8386925999998</v>
      </c>
      <c r="EV63" s="50">
        <f xml:space="preserve"> 'WK2015'!FM73</f>
        <v>3750.0645323999997</v>
      </c>
      <c r="EW63" s="50">
        <f xml:space="preserve"> 'WK2015'!FN73</f>
        <v>3746.8386925999998</v>
      </c>
      <c r="EX63" s="50">
        <f xml:space="preserve"> 'WK2015'!FO73</f>
        <v>3774.5821375037535</v>
      </c>
      <c r="EY63" s="50">
        <f xml:space="preserve"> 'WK2015'!FP73</f>
        <v>3771.3562977037532</v>
      </c>
      <c r="EZ63" s="61">
        <f xml:space="preserve"> 'WK2015'!FK73</f>
        <v>0.72273682855403143</v>
      </c>
      <c r="FA63" s="1"/>
      <c r="FB63" s="50">
        <f xml:space="preserve"> 'WK2015'!FW73</f>
        <v>729.79250400000001</v>
      </c>
      <c r="FC63" s="50">
        <f xml:space="preserve"> 'WK2015'!FX73</f>
        <v>804.12736360000008</v>
      </c>
      <c r="FD63" s="50">
        <f xml:space="preserve"> 'WK2015'!GA73</f>
        <v>729.79353360571031</v>
      </c>
      <c r="FE63" s="50">
        <f xml:space="preserve"> 'WK2015'!GB73</f>
        <v>804.12642120571024</v>
      </c>
      <c r="FF63" s="50">
        <f xml:space="preserve"> 'WK2015'!GC73</f>
        <v>729.84529067007713</v>
      </c>
      <c r="FG63" s="50">
        <f xml:space="preserve"> 'WK2015'!GD73</f>
        <v>804.17817827007707</v>
      </c>
      <c r="FH63" s="61">
        <f xml:space="preserve"> 'WK2015'!FY73</f>
        <v>0.73299234957429704</v>
      </c>
      <c r="FI63" s="1"/>
      <c r="FJ63" s="50">
        <f xml:space="preserve"> 'WK2015'!GK73</f>
        <v>457.01366174999998</v>
      </c>
      <c r="FK63" s="50">
        <f xml:space="preserve"> 'WK2015'!GL73</f>
        <v>460.86277500000006</v>
      </c>
      <c r="FL63" s="50">
        <f xml:space="preserve"> 'WK2015'!GO73</f>
        <v>457.01366174999998</v>
      </c>
      <c r="FM63" s="50">
        <f xml:space="preserve"> 'WK2015'!GP73</f>
        <v>460.86277500000006</v>
      </c>
      <c r="FN63" s="50">
        <f xml:space="preserve"> 'WK2015'!GQ73</f>
        <v>462.31330772259952</v>
      </c>
      <c r="FO63" s="50">
        <f xml:space="preserve"> 'WK2015'!GR73</f>
        <v>466.1624209725997</v>
      </c>
      <c r="FP63" s="61">
        <f xml:space="preserve"> 'WK2015'!GM73</f>
        <v>0.72123462018880657</v>
      </c>
      <c r="FS63" s="283">
        <f xml:space="preserve"> 'WK2015'!H73</f>
        <v>2578.5522550000001</v>
      </c>
      <c r="FT63" s="283">
        <f xml:space="preserve"> 'WK2015'!I73</f>
        <v>2605.251538</v>
      </c>
      <c r="FU63" s="283">
        <f xml:space="preserve"> 'WK2015'!L73</f>
        <v>2578.5522550000001</v>
      </c>
      <c r="FV63" s="283">
        <f xml:space="preserve"> 'WK2015'!M73</f>
        <v>2605.251538</v>
      </c>
      <c r="FW63" s="283">
        <f xml:space="preserve"> 'WK2015'!N73</f>
        <v>2600.8486481656187</v>
      </c>
      <c r="FX63" s="283">
        <f xml:space="preserve"> 'WK2015'!O73</f>
        <v>2627.5479311656186</v>
      </c>
      <c r="FY63" s="284">
        <f xml:space="preserve"> 'WK2015'!P73</f>
        <v>0.72108556262350265</v>
      </c>
      <c r="GA63" s="283">
        <f xml:space="preserve"> 'WK2015'!HB73</f>
        <v>1973.5225919999998</v>
      </c>
      <c r="GB63" s="283">
        <f xml:space="preserve"> 'WK2015'!HC73</f>
        <v>2191.5053400000002</v>
      </c>
      <c r="GC63" s="283">
        <f xml:space="preserve"> 'WK2015'!HF73</f>
        <v>1973.5225919999998</v>
      </c>
      <c r="GD63" s="283">
        <f xml:space="preserve"> 'WK2015'!HG73</f>
        <v>2191.5053400000002</v>
      </c>
      <c r="GE63" s="283">
        <f xml:space="preserve"> 'WK2015'!HH73</f>
        <v>1988.3479855495698</v>
      </c>
      <c r="GF63" s="283">
        <f xml:space="preserve"> 'WK2015'!HI73</f>
        <v>2206.3307335495701</v>
      </c>
      <c r="GG63" s="284">
        <f xml:space="preserve"> 'WK2015'!HJ73</f>
        <v>0.70824421980577501</v>
      </c>
      <c r="GI63" s="283">
        <f xml:space="preserve"> 'WK2015'!HQ73</f>
        <v>1921.8084199999998</v>
      </c>
      <c r="GJ63" s="283">
        <f xml:space="preserve"> 'WK2015'!HR73</f>
        <v>2105.331291</v>
      </c>
      <c r="GK63" s="283">
        <f xml:space="preserve"> 'WK2015'!HU73</f>
        <v>1921.8084199999998</v>
      </c>
      <c r="GL63" s="283">
        <f xml:space="preserve"> 'WK2015'!HV73</f>
        <v>2105.331291</v>
      </c>
      <c r="GM63" s="283">
        <f xml:space="preserve"> 'WK2015'!HW73</f>
        <v>1924.8134685267028</v>
      </c>
      <c r="GN63" s="283">
        <f xml:space="preserve"> 'WK2015'!HX73</f>
        <v>2108.3363395267029</v>
      </c>
      <c r="GO63" s="284">
        <f xml:space="preserve"> 'WK2015'!HY73</f>
        <v>0.75293084267349397</v>
      </c>
    </row>
    <row r="64" spans="1:197" x14ac:dyDescent="0.2">
      <c r="A64" s="3">
        <f>Basis!A64</f>
        <v>64</v>
      </c>
      <c r="D64" s="252" t="e">
        <v>#N/A</v>
      </c>
      <c r="E64" s="252" t="e">
        <v>#N/A</v>
      </c>
      <c r="H64" s="50">
        <f xml:space="preserve"> 'WK2012'!EG74</f>
        <v>5220.4518596253656</v>
      </c>
      <c r="I64" s="50">
        <f xml:space="preserve"> 'WK2012'!EH74</f>
        <v>5963.620282470928</v>
      </c>
      <c r="J64" s="50">
        <f xml:space="preserve"> 'WK2012'!EK74</f>
        <v>5220.8056154754977</v>
      </c>
      <c r="K64" s="50">
        <f xml:space="preserve"> 'WK2012'!EL74</f>
        <v>5963.1964227181843</v>
      </c>
      <c r="L64" s="50">
        <f xml:space="preserve"> 'WK2012'!EM74</f>
        <v>5265.5324907419599</v>
      </c>
      <c r="M64" s="50">
        <f xml:space="preserve"> 'WK2012'!EN74</f>
        <v>6007.9232979846474</v>
      </c>
      <c r="N64" s="61">
        <f xml:space="preserve"> 'WK2012'!EI74</f>
        <v>0.73409315403911224</v>
      </c>
      <c r="P64" s="50">
        <f xml:space="preserve"> 'WK2012'!EU74</f>
        <v>4705.1509163316996</v>
      </c>
      <c r="Q64" s="50">
        <f xml:space="preserve"> 'WK2012'!EV74</f>
        <v>5237.4812352429608</v>
      </c>
      <c r="R64" s="50">
        <f xml:space="preserve"> 'WK2012'!EY74</f>
        <v>4705.1686562523819</v>
      </c>
      <c r="S64" s="50">
        <f xml:space="preserve"> 'WK2012'!EZ74</f>
        <v>5237.4617667708771</v>
      </c>
      <c r="T64" s="50">
        <f xml:space="preserve"> 'WK2012'!FA74</f>
        <v>4741.2195921953098</v>
      </c>
      <c r="U64" s="50">
        <f xml:space="preserve"> 'WK2012'!FB74</f>
        <v>5273.512702713806</v>
      </c>
      <c r="V64" s="61">
        <f xml:space="preserve"> 'WK2012'!EW74</f>
        <v>0.74364273604342646</v>
      </c>
      <c r="X64" s="50">
        <f xml:space="preserve"> 'WK2012'!FI74</f>
        <v>3200.5771811549071</v>
      </c>
      <c r="Y64" s="50">
        <f xml:space="preserve"> 'WK2012'!FJ74</f>
        <v>3408.9263164870181</v>
      </c>
      <c r="Z64" s="50">
        <f xml:space="preserve"> 'WK2012'!FM74</f>
        <v>3200.5771811549071</v>
      </c>
      <c r="AA64" s="50">
        <f xml:space="preserve"> 'WK2012'!FN74</f>
        <v>3408.9263164870181</v>
      </c>
      <c r="AB64" s="50">
        <f xml:space="preserve"> 'WK2012'!FO74</f>
        <v>3223.9155869448223</v>
      </c>
      <c r="AC64" s="50">
        <f xml:space="preserve"> 'WK2012'!FP74</f>
        <v>3432.2647222769333</v>
      </c>
      <c r="AD64" s="61">
        <f xml:space="preserve"> 'WK2012'!FK74</f>
        <v>0.73854788645022729</v>
      </c>
      <c r="AF64" s="50">
        <f xml:space="preserve"> 'WK2012'!FW74</f>
        <v>428.39294432159897</v>
      </c>
      <c r="AG64" s="50">
        <f xml:space="preserve"> 'WK2012'!FX74</f>
        <v>380.17173192101041</v>
      </c>
      <c r="AH64" s="50">
        <f xml:space="preserve"> 'WK2012'!GA74</f>
        <v>428.71132458671684</v>
      </c>
      <c r="AI64" s="50">
        <f xml:space="preserve"> 'WK2012'!GB74</f>
        <v>379.79025814354043</v>
      </c>
      <c r="AJ64" s="50">
        <f xml:space="preserve"> 'WK2012'!GC74</f>
        <v>432.31520922306748</v>
      </c>
      <c r="AK64" s="50">
        <f xml:space="preserve"> 'WK2012'!GD74</f>
        <v>383.39414277989107</v>
      </c>
      <c r="AL64" s="61">
        <f xml:space="preserve"> 'WK2012'!FY74</f>
        <v>0.73422855291660871</v>
      </c>
      <c r="AN64" s="50">
        <f xml:space="preserve"> 'WK2012'!GK74</f>
        <v>573.04347291757904</v>
      </c>
      <c r="AO64" s="50">
        <f xml:space="preserve"> 'WK2012'!GL74</f>
        <v>647.33855362527584</v>
      </c>
      <c r="AP64" s="50">
        <f xml:space="preserve"> 'WK2012'!GO74</f>
        <v>573.04347291757904</v>
      </c>
      <c r="AQ64" s="50">
        <f xml:space="preserve"> 'WK2012'!GP74</f>
        <v>647.33855362527584</v>
      </c>
      <c r="AR64" s="50">
        <f xml:space="preserve"> 'WK2012'!GQ74</f>
        <v>573.6782208238817</v>
      </c>
      <c r="AS64" s="50">
        <f xml:space="preserve"> 'WK2012'!GR74</f>
        <v>647.97330153157861</v>
      </c>
      <c r="AT64" s="61">
        <f xml:space="preserve"> 'WK2012'!GM74</f>
        <v>0.73945801327803684</v>
      </c>
      <c r="AX64" s="50">
        <f xml:space="preserve"> 'WK2013'!EG74</f>
        <v>5478.4404860000004</v>
      </c>
      <c r="AY64" s="50">
        <f xml:space="preserve"> 'WK2013'!EH74</f>
        <v>5424.9546040000005</v>
      </c>
      <c r="AZ64" s="50">
        <f xml:space="preserve"> 'WK2013'!EK74</f>
        <v>5478.4404860000004</v>
      </c>
      <c r="BA64" s="50">
        <f xml:space="preserve"> 'WK2013'!EL74</f>
        <v>5424.9546040000005</v>
      </c>
      <c r="BB64" s="50">
        <f xml:space="preserve"> 'WK2013'!EM74</f>
        <v>5521.6408002958433</v>
      </c>
      <c r="BC64" s="50">
        <f xml:space="preserve"> 'WK2013'!EN74</f>
        <v>5468.1549182958443</v>
      </c>
      <c r="BD64" s="61">
        <f xml:space="preserve"> 'WK2013'!EI74</f>
        <v>0.7192505721137592</v>
      </c>
      <c r="BF64" s="50">
        <f xml:space="preserve"> 'WK2013'!EU74</f>
        <v>4639.7925804999995</v>
      </c>
      <c r="BG64" s="50">
        <f xml:space="preserve"> 'WK2013'!EV74</f>
        <v>4566.6527839999999</v>
      </c>
      <c r="BH64" s="50">
        <f xml:space="preserve"> 'WK2013'!EY74</f>
        <v>4639.7925804999995</v>
      </c>
      <c r="BI64" s="50">
        <f xml:space="preserve"> 'WK2013'!EZ74</f>
        <v>4566.6527839999999</v>
      </c>
      <c r="BJ64" s="50">
        <f xml:space="preserve"> 'WK2013'!FA74</f>
        <v>4675.3792663623235</v>
      </c>
      <c r="BK64" s="50">
        <f xml:space="preserve"> 'WK2013'!FB74</f>
        <v>4602.2394698623239</v>
      </c>
      <c r="BL64" s="61">
        <f xml:space="preserve"> 'WK2013'!EW74</f>
        <v>0.72906357598690663</v>
      </c>
      <c r="BN64" s="50">
        <f xml:space="preserve"> 'WK2013'!FI74</f>
        <v>3624.8542269999998</v>
      </c>
      <c r="BO64" s="50">
        <f xml:space="preserve"> 'WK2013'!FJ74</f>
        <v>3725.0491092000002</v>
      </c>
      <c r="BP64" s="50">
        <f xml:space="preserve"> 'WK2013'!FM74</f>
        <v>3624.8542269999998</v>
      </c>
      <c r="BQ64" s="50">
        <f xml:space="preserve"> 'WK2013'!FN74</f>
        <v>3725.0491092000002</v>
      </c>
      <c r="BR64" s="50">
        <f xml:space="preserve"> 'WK2013'!FO74</f>
        <v>3652.678059230087</v>
      </c>
      <c r="BS64" s="50">
        <f xml:space="preserve"> 'WK2013'!FP74</f>
        <v>3752.8729414300869</v>
      </c>
      <c r="BT64" s="61">
        <f xml:space="preserve"> 'WK2013'!FK74</f>
        <v>0.72431762905560215</v>
      </c>
      <c r="BV64" s="50">
        <f xml:space="preserve"> 'WK2013'!FW74</f>
        <v>759.57873399999994</v>
      </c>
      <c r="BW64" s="50">
        <f xml:space="preserve"> 'WK2013'!FX74</f>
        <v>834.04809799999998</v>
      </c>
      <c r="BX64" s="50">
        <f xml:space="preserve"> 'WK2013'!GA74</f>
        <v>759.57873399999994</v>
      </c>
      <c r="BY64" s="50">
        <f xml:space="preserve"> 'WK2013'!GB74</f>
        <v>834.04809799999998</v>
      </c>
      <c r="BZ64" s="50">
        <f xml:space="preserve"> 'WK2013'!GC74</f>
        <v>759.63197911479983</v>
      </c>
      <c r="CA64" s="50">
        <f xml:space="preserve"> 'WK2013'!GD74</f>
        <v>834.10134311479987</v>
      </c>
      <c r="CB64" s="61">
        <f xml:space="preserve"> 'WK2013'!FY74</f>
        <v>0.72715238400068849</v>
      </c>
      <c r="CD64" s="50">
        <f xml:space="preserve"> 'WK2013'!GK74</f>
        <v>501.93963300000007</v>
      </c>
      <c r="CE64" s="50">
        <f xml:space="preserve"> 'WK2013'!GL74</f>
        <v>462.54074100000014</v>
      </c>
      <c r="CF64" s="50">
        <f xml:space="preserve"> 'WK2013'!GO74</f>
        <v>501.93963300000007</v>
      </c>
      <c r="CG64" s="50">
        <f xml:space="preserve"> 'WK2013'!GP74</f>
        <v>462.54074100000014</v>
      </c>
      <c r="CH64" s="50">
        <f xml:space="preserve"> 'WK2013'!GQ74</f>
        <v>506.25523019691872</v>
      </c>
      <c r="CI64" s="50">
        <f xml:space="preserve"> 'WK2013'!GR74</f>
        <v>466.85633819691873</v>
      </c>
      <c r="CJ64" s="61">
        <f xml:space="preserve"> 'WK2013'!GM74</f>
        <v>0.73721496564010935</v>
      </c>
      <c r="CN64" s="50">
        <f xml:space="preserve"> 'WK2014'!EG74</f>
        <v>5502.0004976</v>
      </c>
      <c r="CO64" s="50">
        <f xml:space="preserve"> 'WK2014'!EH74</f>
        <v>5357.9571667999999</v>
      </c>
      <c r="CP64" s="50">
        <f xml:space="preserve"> 'WK2014'!EK74</f>
        <v>5502.0009070300375</v>
      </c>
      <c r="CQ64" s="50">
        <f xml:space="preserve"> 'WK2014'!EL74</f>
        <v>5357.9567986300372</v>
      </c>
      <c r="CR64" s="50">
        <f xml:space="preserve"> 'WK2014'!EM74</f>
        <v>5535.7384137983427</v>
      </c>
      <c r="CS64" s="50">
        <f xml:space="preserve"> 'WK2014'!EN74</f>
        <v>5391.6943053983432</v>
      </c>
      <c r="CT64" s="61">
        <f xml:space="preserve"> 'WK2014'!EI74</f>
        <v>0.72967501562716075</v>
      </c>
      <c r="CV64" s="50">
        <f xml:space="preserve"> 'WK2014'!EU74</f>
        <v>4583.0700633999995</v>
      </c>
      <c r="CW64" s="50">
        <f xml:space="preserve"> 'WK2014'!EV74</f>
        <v>4348.8276202000006</v>
      </c>
      <c r="CX64" s="50">
        <f xml:space="preserve"> 'WK2014'!EY74</f>
        <v>4583.0704216512822</v>
      </c>
      <c r="CY64" s="50">
        <f xml:space="preserve"> 'WK2014'!EZ74</f>
        <v>4348.8272980512829</v>
      </c>
      <c r="CZ64" s="50">
        <f xml:space="preserve"> 'WK2014'!FA74</f>
        <v>4619.1180972719494</v>
      </c>
      <c r="DA64" s="50">
        <f xml:space="preserve"> 'WK2014'!FB74</f>
        <v>4384.8749736719501</v>
      </c>
      <c r="DB64" s="61">
        <f xml:space="preserve"> 'WK2014'!EW74</f>
        <v>0.72245512456968963</v>
      </c>
      <c r="DC64" s="1"/>
      <c r="DD64" s="50">
        <f xml:space="preserve"> 'WK2014'!FI74</f>
        <v>3524.1188776000004</v>
      </c>
      <c r="DE64" s="50">
        <f xml:space="preserve"> 'WK2014'!FJ74</f>
        <v>3523.1259604000002</v>
      </c>
      <c r="DF64" s="50">
        <f xml:space="preserve"> 'WK2014'!FM74</f>
        <v>3524.1188776000004</v>
      </c>
      <c r="DG64" s="50">
        <f xml:space="preserve"> 'WK2014'!FN74</f>
        <v>3523.1259604000002</v>
      </c>
      <c r="DH64" s="50">
        <f xml:space="preserve"> 'WK2014'!FO74</f>
        <v>3548.00259277856</v>
      </c>
      <c r="DI64" s="50">
        <f xml:space="preserve"> 'WK2014'!FP74</f>
        <v>3547.0096755785598</v>
      </c>
      <c r="DJ64" s="61">
        <f xml:space="preserve"> 'WK2014'!FK74</f>
        <v>0.71502816925006984</v>
      </c>
      <c r="DK64" s="1"/>
      <c r="DL64" s="50">
        <f xml:space="preserve"> 'WK2014'!FW74</f>
        <v>744.94427760000008</v>
      </c>
      <c r="DM64" s="50">
        <f xml:space="preserve"> 'WK2014'!FX74</f>
        <v>821.43341280000004</v>
      </c>
      <c r="DN64" s="50">
        <f xml:space="preserve"> 'WK2014'!GA74</f>
        <v>744.94468703003736</v>
      </c>
      <c r="DO64" s="50">
        <f xml:space="preserve"> 'WK2014'!GB74</f>
        <v>821.43304463003733</v>
      </c>
      <c r="DP64" s="50">
        <f xml:space="preserve"> 'WK2014'!GC74</f>
        <v>744.99581630581383</v>
      </c>
      <c r="DQ64" s="50">
        <f xml:space="preserve"> 'WK2014'!GD74</f>
        <v>821.48417390581369</v>
      </c>
      <c r="DR64" s="61">
        <f xml:space="preserve"> 'WK2014'!FY74</f>
        <v>0.72419452840677367</v>
      </c>
      <c r="DS64" s="1"/>
      <c r="DT64" s="50">
        <f xml:space="preserve"> 'WK2014'!GK74</f>
        <v>692.5082910000001</v>
      </c>
      <c r="DU64" s="50">
        <f xml:space="preserve"> 'WK2014'!GL74</f>
        <v>597.22832249999999</v>
      </c>
      <c r="DV64" s="50">
        <f xml:space="preserve"> 'WK2014'!GO74</f>
        <v>692.5082910000001</v>
      </c>
      <c r="DW64" s="50">
        <f xml:space="preserve"> 'WK2014'!GP74</f>
        <v>597.22832249999999</v>
      </c>
      <c r="DX64" s="50">
        <f xml:space="preserve"> 'WK2014'!GQ74</f>
        <v>697.47552454310392</v>
      </c>
      <c r="DY64" s="50">
        <f xml:space="preserve"> 'WK2014'!GR74</f>
        <v>602.19555604310381</v>
      </c>
      <c r="DZ64" s="61">
        <f xml:space="preserve"> 'WK2014'!GM74</f>
        <v>0.72361422709065459</v>
      </c>
      <c r="ED64" s="50">
        <f xml:space="preserve"> 'WK2015'!EG74</f>
        <v>5306.1339323999991</v>
      </c>
      <c r="EE64" s="50">
        <f xml:space="preserve"> 'WK2015'!EH74</f>
        <v>4886.3503062</v>
      </c>
      <c r="EF64" s="50">
        <f xml:space="preserve"> 'WK2015'!EK74</f>
        <v>5306.1344030699647</v>
      </c>
      <c r="EG64" s="50">
        <f xml:space="preserve"> 'WK2015'!EL74</f>
        <v>4886.3498720699654</v>
      </c>
      <c r="EH64" s="50">
        <f xml:space="preserve"> 'WK2015'!EM74</f>
        <v>5346.9123578114149</v>
      </c>
      <c r="EI64" s="50">
        <f xml:space="preserve"> 'WK2015'!EN74</f>
        <v>4927.1278268114147</v>
      </c>
      <c r="EJ64" s="61">
        <f xml:space="preserve"> 'WK2015'!EI74</f>
        <v>0.72732054675876756</v>
      </c>
      <c r="EK64" s="1"/>
      <c r="EL64" s="50">
        <f xml:space="preserve"> 'WK2015'!EU74</f>
        <v>4619.6167326000004</v>
      </c>
      <c r="EM64" s="50">
        <f xml:space="preserve"> 'WK2015'!EV74</f>
        <v>4407.1159282999997</v>
      </c>
      <c r="EN64" s="50">
        <f xml:space="preserve"> 'WK2015'!EY74</f>
        <v>4619.6171444362199</v>
      </c>
      <c r="EO64" s="50">
        <f xml:space="preserve"> 'WK2015'!EZ74</f>
        <v>4407.1155484362198</v>
      </c>
      <c r="EP64" s="50">
        <f xml:space="preserve"> 'WK2015'!FA74</f>
        <v>4656.4907454840259</v>
      </c>
      <c r="EQ64" s="50">
        <f xml:space="preserve"> 'WK2015'!FB74</f>
        <v>4443.9891494840258</v>
      </c>
      <c r="ER64" s="61">
        <f xml:space="preserve"> 'WK2015'!EW74</f>
        <v>0.72704152203647832</v>
      </c>
      <c r="ES64" s="1"/>
      <c r="ET64" s="50">
        <f xml:space="preserve"> 'WK2015'!FI74</f>
        <v>3974.7534797999997</v>
      </c>
      <c r="EU64" s="50">
        <f xml:space="preserve"> 'WK2015'!FJ74</f>
        <v>3902.3017266000002</v>
      </c>
      <c r="EV64" s="50">
        <f xml:space="preserve"> 'WK2015'!FM74</f>
        <v>3974.7534797999997</v>
      </c>
      <c r="EW64" s="50">
        <f xml:space="preserve"> 'WK2015'!FN74</f>
        <v>3902.3017266000002</v>
      </c>
      <c r="EX64" s="50">
        <f xml:space="preserve"> 'WK2015'!FO74</f>
        <v>3999.2710849037535</v>
      </c>
      <c r="EY64" s="50">
        <f xml:space="preserve"> 'WK2015'!FP74</f>
        <v>3926.8193317037535</v>
      </c>
      <c r="EZ64" s="61">
        <f xml:space="preserve"> 'WK2015'!FK74</f>
        <v>0.72229189453710552</v>
      </c>
      <c r="FA64" s="1"/>
      <c r="FB64" s="50">
        <f xml:space="preserve"> 'WK2015'!FW74</f>
        <v>744.35814240000002</v>
      </c>
      <c r="FC64" s="50">
        <f xml:space="preserve"> 'WK2015'!FX74</f>
        <v>814.80287720000001</v>
      </c>
      <c r="FD64" s="50">
        <f xml:space="preserve"> 'WK2015'!GA74</f>
        <v>744.35861306996526</v>
      </c>
      <c r="FE64" s="50">
        <f xml:space="preserve"> 'WK2015'!GB74</f>
        <v>814.80244306996519</v>
      </c>
      <c r="FF64" s="50">
        <f xml:space="preserve"> 'WK2015'!GC74</f>
        <v>744.41092907007715</v>
      </c>
      <c r="FG64" s="50">
        <f xml:space="preserve"> 'WK2015'!GD74</f>
        <v>814.85475907007708</v>
      </c>
      <c r="FH64" s="61">
        <f xml:space="preserve"> 'WK2015'!FY74</f>
        <v>0.7294814773924424</v>
      </c>
      <c r="FI64" s="1"/>
      <c r="FJ64" s="50">
        <f xml:space="preserve"> 'WK2015'!GK74</f>
        <v>493.93862775000008</v>
      </c>
      <c r="FK64" s="50">
        <f xml:space="preserve"> 'WK2015'!GL74</f>
        <v>491.65901550000001</v>
      </c>
      <c r="FL64" s="50">
        <f xml:space="preserve"> 'WK2015'!GO74</f>
        <v>493.93862775000008</v>
      </c>
      <c r="FM64" s="50">
        <f xml:space="preserve"> 'WK2015'!GP74</f>
        <v>491.65901550000001</v>
      </c>
      <c r="FN64" s="50">
        <f xml:space="preserve"> 'WK2015'!GQ74</f>
        <v>499.23827372259962</v>
      </c>
      <c r="FO64" s="50">
        <f xml:space="preserve"> 'WK2015'!GR74</f>
        <v>496.9586614725996</v>
      </c>
      <c r="FP64" s="61">
        <f xml:space="preserve"> 'WK2015'!GM74</f>
        <v>0.72149705063848146</v>
      </c>
      <c r="FS64" s="283">
        <f xml:space="preserve"> 'WK2015'!H74</f>
        <v>2712.865245</v>
      </c>
      <c r="FT64" s="283">
        <f xml:space="preserve"> 'WK2015'!I74</f>
        <v>2687.41453</v>
      </c>
      <c r="FU64" s="283">
        <f xml:space="preserve"> 'WK2015'!L74</f>
        <v>2712.865245</v>
      </c>
      <c r="FV64" s="283">
        <f xml:space="preserve"> 'WK2015'!M74</f>
        <v>2687.41453</v>
      </c>
      <c r="FW64" s="283">
        <f xml:space="preserve"> 'WK2015'!N74</f>
        <v>2735.1616381656186</v>
      </c>
      <c r="FX64" s="283">
        <f xml:space="preserve"> 'WK2015'!O74</f>
        <v>2709.7109231656186</v>
      </c>
      <c r="FY64" s="284">
        <f xml:space="preserve"> 'WK2015'!P74</f>
        <v>0.72309333219786354</v>
      </c>
      <c r="GA64" s="283">
        <f xml:space="preserve"> 'WK2015'!HB74</f>
        <v>2082.9438060000002</v>
      </c>
      <c r="GB64" s="283">
        <f xml:space="preserve"> 'WK2015'!HC74</f>
        <v>2272.9739399999999</v>
      </c>
      <c r="GC64" s="283">
        <f xml:space="preserve"> 'WK2015'!HF74</f>
        <v>2082.9438060000002</v>
      </c>
      <c r="GD64" s="283">
        <f xml:space="preserve"> 'WK2015'!HG74</f>
        <v>2272.9739399999999</v>
      </c>
      <c r="GE64" s="283">
        <f xml:space="preserve"> 'WK2015'!HH74</f>
        <v>2097.7691995495702</v>
      </c>
      <c r="GF64" s="283">
        <f xml:space="preserve"> 'WK2015'!HI74</f>
        <v>2287.7993335495698</v>
      </c>
      <c r="GG64" s="284">
        <f xml:space="preserve"> 'WK2015'!HJ74</f>
        <v>0.67765463593423925</v>
      </c>
      <c r="GI64" s="283">
        <f xml:space="preserve"> 'WK2015'!HQ74</f>
        <v>2060.8880599999998</v>
      </c>
      <c r="GJ64" s="283">
        <f xml:space="preserve"> 'WK2015'!HR74</f>
        <v>2242.5225479999999</v>
      </c>
      <c r="GK64" s="283">
        <f xml:space="preserve"> 'WK2015'!HU74</f>
        <v>2060.8880599999998</v>
      </c>
      <c r="GL64" s="283">
        <f xml:space="preserve"> 'WK2015'!HV74</f>
        <v>2242.5225479999999</v>
      </c>
      <c r="GM64" s="283">
        <f xml:space="preserve"> 'WK2015'!HW74</f>
        <v>2063.8931085267027</v>
      </c>
      <c r="GN64" s="283">
        <f xml:space="preserve"> 'WK2015'!HX74</f>
        <v>2245.5275965267028</v>
      </c>
      <c r="GO64" s="284">
        <f xml:space="preserve"> 'WK2015'!HY74</f>
        <v>0.73825984704097414</v>
      </c>
    </row>
    <row r="65" spans="1:197" x14ac:dyDescent="0.2">
      <c r="A65" s="3">
        <f>Basis!A65</f>
        <v>65</v>
      </c>
      <c r="D65" s="252" t="e">
        <v>#N/A</v>
      </c>
      <c r="E65" s="252" t="e">
        <v>#N/A</v>
      </c>
      <c r="H65" s="50">
        <f xml:space="preserve"> 'WK2012'!EG75</f>
        <v>5490.5567749408401</v>
      </c>
      <c r="I65" s="50">
        <f xml:space="preserve"> 'WK2012'!EH75</f>
        <v>6159.9669141630657</v>
      </c>
      <c r="J65" s="50">
        <f xml:space="preserve"> 'WK2012'!EK75</f>
        <v>5490.9082623389404</v>
      </c>
      <c r="K65" s="50">
        <f xml:space="preserve"> 'WK2012'!EL75</f>
        <v>6159.5407859582911</v>
      </c>
      <c r="L65" s="50">
        <f xml:space="preserve"> 'WK2012'!EM75</f>
        <v>5490.5567749408401</v>
      </c>
      <c r="M65" s="50">
        <f xml:space="preserve"> 'WK2012'!EN75</f>
        <v>6159.1892985601908</v>
      </c>
      <c r="N65" s="61">
        <f xml:space="preserve"> 'WK2012'!EI75</f>
        <v>0.72568026122670537</v>
      </c>
      <c r="P65" s="50">
        <f xml:space="preserve"> 'WK2012'!EU75</f>
        <v>4972.6282864673267</v>
      </c>
      <c r="Q65" s="50">
        <f xml:space="preserve"> 'WK2012'!EV75</f>
        <v>5464.9952492678476</v>
      </c>
      <c r="R65" s="50">
        <f xml:space="preserve"> 'WK2012'!EY75</f>
        <v>4972.6461374882947</v>
      </c>
      <c r="S65" s="50">
        <f xml:space="preserve"> 'WK2012'!EZ75</f>
        <v>5464.9758918960497</v>
      </c>
      <c r="T65" s="50">
        <f xml:space="preserve"> 'WK2012'!FA75</f>
        <v>4972.6282864673267</v>
      </c>
      <c r="U65" s="50">
        <f xml:space="preserve"> 'WK2012'!FB75</f>
        <v>5464.9580408750817</v>
      </c>
      <c r="V65" s="61">
        <f xml:space="preserve"> 'WK2012'!EW75</f>
        <v>0.73503317161677606</v>
      </c>
      <c r="X65" s="50">
        <f xml:space="preserve"> 'WK2012'!FI75</f>
        <v>3403.5351297626435</v>
      </c>
      <c r="Y65" s="50">
        <f xml:space="preserve"> 'WK2012'!FJ75</f>
        <v>3542.9594048759618</v>
      </c>
      <c r="Z65" s="50">
        <f xml:space="preserve"> 'WK2012'!FM75</f>
        <v>3403.5351297626435</v>
      </c>
      <c r="AA65" s="50">
        <f xml:space="preserve"> 'WK2012'!FN75</f>
        <v>3542.9594048759618</v>
      </c>
      <c r="AB65" s="50">
        <f xml:space="preserve"> 'WK2012'!FO75</f>
        <v>3403.5351297626435</v>
      </c>
      <c r="AC65" s="50">
        <f xml:space="preserve"> 'WK2012'!FP75</f>
        <v>3542.9594048759618</v>
      </c>
      <c r="AD65" s="61">
        <f xml:space="preserve"> 'WK2012'!FK75</f>
        <v>0.7342124479764629</v>
      </c>
      <c r="AF65" s="50">
        <f xml:space="preserve"> 'WK2012'!FW75</f>
        <v>469.86994134916654</v>
      </c>
      <c r="AG65" s="50">
        <f xml:space="preserve"> 'WK2012'!FX75</f>
        <v>408.5224006052905</v>
      </c>
      <c r="AH65" s="50">
        <f xml:space="preserve"> 'WK2012'!GA75</f>
        <v>470.18628000745701</v>
      </c>
      <c r="AI65" s="50">
        <f xml:space="preserve"> 'WK2012'!GB75</f>
        <v>408.13888522099313</v>
      </c>
      <c r="AJ65" s="50">
        <f xml:space="preserve"> 'WK2012'!GC75</f>
        <v>469.86994134916654</v>
      </c>
      <c r="AK65" s="50">
        <f xml:space="preserve"> 'WK2012'!GD75</f>
        <v>407.82254656270266</v>
      </c>
      <c r="AL65" s="61">
        <f xml:space="preserve"> 'WK2012'!FY75</f>
        <v>0.73378361132609327</v>
      </c>
      <c r="AN65" s="50">
        <f xml:space="preserve"> 'WK2012'!GK75</f>
        <v>583.11584983813964</v>
      </c>
      <c r="AO65" s="50">
        <f xml:space="preserve"> 'WK2012'!GL75</f>
        <v>652.32313034481331</v>
      </c>
      <c r="AP65" s="50">
        <f xml:space="preserve"> 'WK2012'!GO75</f>
        <v>583.11584983813964</v>
      </c>
      <c r="AQ65" s="50">
        <f xml:space="preserve"> 'WK2012'!GP75</f>
        <v>652.32313034481331</v>
      </c>
      <c r="AR65" s="50">
        <f xml:space="preserve"> 'WK2012'!GQ75</f>
        <v>583.11584983813964</v>
      </c>
      <c r="AS65" s="50">
        <f xml:space="preserve"> 'WK2012'!GR75</f>
        <v>652.32313034481331</v>
      </c>
      <c r="AT65" s="61">
        <f xml:space="preserve"> 'WK2012'!GM75</f>
        <v>0.72947301643728135</v>
      </c>
      <c r="AX65" s="50">
        <f xml:space="preserve"> 'WK2013'!EG75</f>
        <v>5797.1126761999994</v>
      </c>
      <c r="AY65" s="50">
        <f xml:space="preserve"> 'WK2013'!EH75</f>
        <v>5663.0009472000002</v>
      </c>
      <c r="AZ65" s="50">
        <f xml:space="preserve"> 'WK2013'!EK75</f>
        <v>5797.1126761999994</v>
      </c>
      <c r="BA65" s="50">
        <f xml:space="preserve"> 'WK2013'!EL75</f>
        <v>5663.0009472000002</v>
      </c>
      <c r="BB65" s="50">
        <f xml:space="preserve"> 'WK2013'!EM75</f>
        <v>5797.1126761999994</v>
      </c>
      <c r="BC65" s="50">
        <f xml:space="preserve"> 'WK2013'!EN75</f>
        <v>5663.0009472000002</v>
      </c>
      <c r="BD65" s="61">
        <f xml:space="preserve"> 'WK2013'!EI75</f>
        <v>0.71955178020459232</v>
      </c>
      <c r="BF65" s="50">
        <f xml:space="preserve"> 'WK2013'!EU75</f>
        <v>4920.617218299999</v>
      </c>
      <c r="BG65" s="50">
        <f xml:space="preserve"> 'WK2013'!EV75</f>
        <v>4784.6842598000003</v>
      </c>
      <c r="BH65" s="50">
        <f xml:space="preserve"> 'WK2013'!EY75</f>
        <v>4920.617218299999</v>
      </c>
      <c r="BI65" s="50">
        <f xml:space="preserve"> 'WK2013'!EZ75</f>
        <v>4784.6842598000003</v>
      </c>
      <c r="BJ65" s="50">
        <f xml:space="preserve"> 'WK2013'!FA75</f>
        <v>4920.617218299999</v>
      </c>
      <c r="BK65" s="50">
        <f xml:space="preserve"> 'WK2013'!FB75</f>
        <v>4784.6842598000003</v>
      </c>
      <c r="BL65" s="61">
        <f xml:space="preserve"> 'WK2013'!EW75</f>
        <v>0.72825757832044302</v>
      </c>
      <c r="BN65" s="50">
        <f xml:space="preserve"> 'WK2013'!FI75</f>
        <v>3855.5246050000001</v>
      </c>
      <c r="BO65" s="50">
        <f xml:space="preserve"> 'WK2013'!FJ75</f>
        <v>3897.1037878000002</v>
      </c>
      <c r="BP65" s="50">
        <f xml:space="preserve"> 'WK2013'!FM75</f>
        <v>3855.5246050000001</v>
      </c>
      <c r="BQ65" s="50">
        <f xml:space="preserve"> 'WK2013'!FN75</f>
        <v>3897.1037878000002</v>
      </c>
      <c r="BR65" s="50">
        <f xml:space="preserve"> 'WK2013'!FO75</f>
        <v>3855.5246050000001</v>
      </c>
      <c r="BS65" s="50">
        <f xml:space="preserve"> 'WK2013'!FP75</f>
        <v>3897.1037878000002</v>
      </c>
      <c r="BT65" s="61">
        <f xml:space="preserve"> 'WK2013'!FK75</f>
        <v>0.72555282392210552</v>
      </c>
      <c r="BV65" s="50">
        <f xml:space="preserve"> 'WK2013'!FW75</f>
        <v>772.14632019999999</v>
      </c>
      <c r="BW65" s="50">
        <f xml:space="preserve"> 'WK2013'!FX75</f>
        <v>841.15576820000001</v>
      </c>
      <c r="BX65" s="50">
        <f xml:space="preserve"> 'WK2013'!GA75</f>
        <v>772.14632019999999</v>
      </c>
      <c r="BY65" s="50">
        <f xml:space="preserve"> 'WK2013'!GB75</f>
        <v>841.15576820000001</v>
      </c>
      <c r="BZ65" s="50">
        <f xml:space="preserve"> 'WK2013'!GC75</f>
        <v>772.14632019999999</v>
      </c>
      <c r="CA65" s="50">
        <f xml:space="preserve"> 'WK2013'!GD75</f>
        <v>841.15576820000001</v>
      </c>
      <c r="CB65" s="61">
        <f xml:space="preserve"> 'WK2013'!FY75</f>
        <v>0.72687175536507265</v>
      </c>
      <c r="CD65" s="50">
        <f xml:space="preserve"> 'WK2013'!GK75</f>
        <v>533.54447100000016</v>
      </c>
      <c r="CE65" s="50">
        <f xml:space="preserve"> 'WK2013'!GL75</f>
        <v>491.72513399999991</v>
      </c>
      <c r="CF65" s="50">
        <f xml:space="preserve"> 'WK2013'!GO75</f>
        <v>533.54447100000016</v>
      </c>
      <c r="CG65" s="50">
        <f xml:space="preserve"> 'WK2013'!GP75</f>
        <v>491.72513399999991</v>
      </c>
      <c r="CH65" s="50">
        <f xml:space="preserve"> 'WK2013'!GQ75</f>
        <v>533.54447100000016</v>
      </c>
      <c r="CI65" s="50">
        <f xml:space="preserve"> 'WK2013'!GR75</f>
        <v>491.72513399999991</v>
      </c>
      <c r="CJ65" s="61">
        <f xml:space="preserve"> 'WK2013'!GM75</f>
        <v>0.73880714549465687</v>
      </c>
      <c r="CN65" s="50">
        <f xml:space="preserve"> 'WK2014'!EG75</f>
        <v>5826.7890984000005</v>
      </c>
      <c r="CO65" s="50">
        <f xml:space="preserve"> 'WK2014'!EH75</f>
        <v>5589.0334796000006</v>
      </c>
      <c r="CP65" s="50">
        <f xml:space="preserve"> 'WK2014'!EK75</f>
        <v>5826.7891664397439</v>
      </c>
      <c r="CQ65" s="50">
        <f xml:space="preserve"> 'WK2014'!EL75</f>
        <v>5589.033418039744</v>
      </c>
      <c r="CR65" s="50">
        <f xml:space="preserve"> 'WK2014'!EM75</f>
        <v>5826.7890984000005</v>
      </c>
      <c r="CS65" s="50">
        <f xml:space="preserve"> 'WK2014'!EN75</f>
        <v>5589.0333500000006</v>
      </c>
      <c r="CT65" s="61">
        <f xml:space="preserve"> 'WK2014'!EI75</f>
        <v>0.7293852712575748</v>
      </c>
      <c r="CV65" s="50">
        <f xml:space="preserve"> 'WK2014'!EU75</f>
        <v>4850.0908510999998</v>
      </c>
      <c r="CW65" s="50">
        <f xml:space="preserve"> 'WK2014'!EV75</f>
        <v>4537.3793073999996</v>
      </c>
      <c r="CX65" s="50">
        <f xml:space="preserve"> 'WK2014'!EY75</f>
        <v>4850.0909106347754</v>
      </c>
      <c r="CY65" s="50">
        <f xml:space="preserve"> 'WK2014'!EZ75</f>
        <v>4537.3792535347757</v>
      </c>
      <c r="CZ65" s="50">
        <f xml:space="preserve"> 'WK2014'!FA75</f>
        <v>4850.0908510999998</v>
      </c>
      <c r="DA65" s="50">
        <f xml:space="preserve"> 'WK2014'!FB75</f>
        <v>4537.3791940000001</v>
      </c>
      <c r="DB65" s="61">
        <f xml:space="preserve"> 'WK2014'!EW75</f>
        <v>0.72317669488995873</v>
      </c>
      <c r="DC65" s="1"/>
      <c r="DD65" s="50">
        <f xml:space="preserve"> 'WK2014'!FI75</f>
        <v>3703.5427776000006</v>
      </c>
      <c r="DE65" s="50">
        <f xml:space="preserve"> 'WK2014'!FJ75</f>
        <v>3677.7415946000006</v>
      </c>
      <c r="DF65" s="50">
        <f xml:space="preserve"> 'WK2014'!FM75</f>
        <v>3703.5427776000006</v>
      </c>
      <c r="DG65" s="50">
        <f xml:space="preserve"> 'WK2014'!FN75</f>
        <v>3677.7415946000006</v>
      </c>
      <c r="DH65" s="50">
        <f xml:space="preserve"> 'WK2014'!FO75</f>
        <v>3703.5427776000006</v>
      </c>
      <c r="DI65" s="50">
        <f xml:space="preserve"> 'WK2014'!FP75</f>
        <v>3677.7415946000006</v>
      </c>
      <c r="DJ65" s="61">
        <f xml:space="preserve"> 'WK2014'!FK75</f>
        <v>0.71937402836038444</v>
      </c>
      <c r="DK65" s="1"/>
      <c r="DL65" s="50">
        <f xml:space="preserve"> 'WK2014'!FW75</f>
        <v>757.05636240000001</v>
      </c>
      <c r="DM65" s="50">
        <f xml:space="preserve"> 'WK2014'!FX75</f>
        <v>828.87410160000013</v>
      </c>
      <c r="DN65" s="50">
        <f xml:space="preserve"> 'WK2014'!GA75</f>
        <v>757.05643043974351</v>
      </c>
      <c r="DO65" s="50">
        <f xml:space="preserve"> 'WK2014'!GB75</f>
        <v>828.87404003974359</v>
      </c>
      <c r="DP65" s="50">
        <f xml:space="preserve"> 'WK2014'!GC75</f>
        <v>757.05636240000001</v>
      </c>
      <c r="DQ65" s="50">
        <f xml:space="preserve"> 'WK2014'!GD75</f>
        <v>828.87397200000009</v>
      </c>
      <c r="DR65" s="61">
        <f xml:space="preserve"> 'WK2014'!FY75</f>
        <v>0.72483639656075993</v>
      </c>
      <c r="DS65" s="1"/>
      <c r="DT65" s="50">
        <f xml:space="preserve"> 'WK2014'!GK75</f>
        <v>763.41971699999999</v>
      </c>
      <c r="DU65" s="50">
        <f xml:space="preserve"> 'WK2014'!GL75</f>
        <v>644.75647349999997</v>
      </c>
      <c r="DV65" s="50">
        <f xml:space="preserve"> 'WK2014'!GO75</f>
        <v>763.41971699999999</v>
      </c>
      <c r="DW65" s="50">
        <f xml:space="preserve"> 'WK2014'!GP75</f>
        <v>644.75647349999997</v>
      </c>
      <c r="DX65" s="50">
        <f xml:space="preserve"> 'WK2014'!GQ75</f>
        <v>763.41971699999999</v>
      </c>
      <c r="DY65" s="50">
        <f xml:space="preserve"> 'WK2014'!GR75</f>
        <v>644.75647349999997</v>
      </c>
      <c r="DZ65" s="61">
        <f xml:space="preserve"> 'WK2014'!GM75</f>
        <v>0.72592690029193596</v>
      </c>
      <c r="ED65" s="50">
        <f xml:space="preserve"> 'WK2015'!EG75</f>
        <v>5608.6795463999997</v>
      </c>
      <c r="EE65" s="50">
        <f xml:space="preserve"> 'WK2015'!EH75</f>
        <v>5087.5276079999994</v>
      </c>
      <c r="EF65" s="50">
        <f xml:space="preserve"> 'WK2015'!EK75</f>
        <v>5608.6796065724729</v>
      </c>
      <c r="EG65" s="50">
        <f xml:space="preserve"> 'WK2015'!EL75</f>
        <v>5087.5275521724725</v>
      </c>
      <c r="EH65" s="50">
        <f xml:space="preserve"> 'WK2015'!EM75</f>
        <v>5608.6795463999997</v>
      </c>
      <c r="EI65" s="50">
        <f xml:space="preserve"> 'WK2015'!EN75</f>
        <v>5087.5274919999993</v>
      </c>
      <c r="EJ65" s="61">
        <f xml:space="preserve"> 'WK2015'!EI75</f>
        <v>0.72948029956648708</v>
      </c>
      <c r="EK65" s="1"/>
      <c r="EL65" s="50">
        <f xml:space="preserve"> 'WK2015'!EU75</f>
        <v>4897.2662436000001</v>
      </c>
      <c r="EM65" s="50">
        <f xml:space="preserve"> 'WK2015'!EV75</f>
        <v>4625.1670720000002</v>
      </c>
      <c r="EN65" s="50">
        <f xml:space="preserve"> 'WK2015'!EY75</f>
        <v>4897.2662962509148</v>
      </c>
      <c r="EO65" s="50">
        <f xml:space="preserve"> 'WK2015'!EZ75</f>
        <v>4625.1670231509142</v>
      </c>
      <c r="EP65" s="50">
        <f xml:space="preserve"> 'WK2015'!FA75</f>
        <v>4897.2662436000001</v>
      </c>
      <c r="EQ65" s="50">
        <f xml:space="preserve"> 'WK2015'!FB75</f>
        <v>4625.1669704999995</v>
      </c>
      <c r="ER65" s="61">
        <f xml:space="preserve"> 'WK2015'!EW75</f>
        <v>0.73092041027408172</v>
      </c>
      <c r="ES65" s="1"/>
      <c r="ET65" s="50">
        <f xml:space="preserve"> 'WK2015'!FI75</f>
        <v>4209.1609469999994</v>
      </c>
      <c r="EU65" s="50">
        <f xml:space="preserve"> 'WK2015'!FJ75</f>
        <v>4069.9901987999997</v>
      </c>
      <c r="EV65" s="50">
        <f xml:space="preserve"> 'WK2015'!FM75</f>
        <v>4209.1609469999994</v>
      </c>
      <c r="EW65" s="50">
        <f xml:space="preserve"> 'WK2015'!FN75</f>
        <v>4069.9901987999997</v>
      </c>
      <c r="EX65" s="50">
        <f xml:space="preserve"> 'WK2015'!FO75</f>
        <v>4209.1609469999994</v>
      </c>
      <c r="EY65" s="50">
        <f xml:space="preserve"> 'WK2015'!FP75</f>
        <v>4069.9901987999997</v>
      </c>
      <c r="EZ65" s="61">
        <f xml:space="preserve"> 'WK2015'!FK75</f>
        <v>0.72254952531152139</v>
      </c>
      <c r="FA65" s="1"/>
      <c r="FB65" s="50">
        <f xml:space="preserve"> 'WK2015'!FW75</f>
        <v>757.22984640000004</v>
      </c>
      <c r="FC65" s="50">
        <f xml:space="preserve"> 'WK2015'!FX75</f>
        <v>824.65669000000003</v>
      </c>
      <c r="FD65" s="50">
        <f xml:space="preserve"> 'WK2015'!GA75</f>
        <v>757.22990657247328</v>
      </c>
      <c r="FE65" s="50">
        <f xml:space="preserve"> 'WK2015'!GB75</f>
        <v>824.65663417247333</v>
      </c>
      <c r="FF65" s="50">
        <f xml:space="preserve"> 'WK2015'!GC75</f>
        <v>757.22984640000004</v>
      </c>
      <c r="FG65" s="50">
        <f xml:space="preserve"> 'WK2015'!GD75</f>
        <v>824.65657400000009</v>
      </c>
      <c r="FH65" s="61">
        <f xml:space="preserve"> 'WK2015'!FY75</f>
        <v>0.73179980268655254</v>
      </c>
      <c r="FI65" s="1"/>
      <c r="FJ65" s="50">
        <f xml:space="preserve"> 'WK2015'!GK75</f>
        <v>533.44578375000015</v>
      </c>
      <c r="FK65" s="50">
        <f xml:space="preserve"> 'WK2015'!GL75</f>
        <v>524.33004675000007</v>
      </c>
      <c r="FL65" s="50">
        <f xml:space="preserve"> 'WK2015'!GO75</f>
        <v>533.44578375000015</v>
      </c>
      <c r="FM65" s="50">
        <f xml:space="preserve"> 'WK2015'!GP75</f>
        <v>524.33004675000007</v>
      </c>
      <c r="FN65" s="50">
        <f xml:space="preserve"> 'WK2015'!GQ75</f>
        <v>533.44578375000015</v>
      </c>
      <c r="FO65" s="50">
        <f xml:space="preserve"> 'WK2015'!GR75</f>
        <v>524.33004675000007</v>
      </c>
      <c r="FP65" s="61">
        <f xml:space="preserve"> 'WK2015'!GM75</f>
        <v>0.72329657955637738</v>
      </c>
      <c r="FS65" s="283">
        <f xml:space="preserve"> 'WK2015'!H75</f>
        <v>2852.9147250000001</v>
      </c>
      <c r="FT65" s="283">
        <f xml:space="preserve"> 'WK2015'!I75</f>
        <v>2778.5866219999998</v>
      </c>
      <c r="FU65" s="283">
        <f xml:space="preserve"> 'WK2015'!L75</f>
        <v>2852.9147250000001</v>
      </c>
      <c r="FV65" s="283">
        <f xml:space="preserve"> 'WK2015'!M75</f>
        <v>2778.5866219999998</v>
      </c>
      <c r="FW65" s="283">
        <f xml:space="preserve"> 'WK2015'!N75</f>
        <v>2852.9147250000001</v>
      </c>
      <c r="FX65" s="283">
        <f xml:space="preserve"> 'WK2015'!O75</f>
        <v>2778.5866219999998</v>
      </c>
      <c r="FY65" s="284">
        <f xml:space="preserve"> 'WK2015'!P75</f>
        <v>0.72123711519749423</v>
      </c>
      <c r="GA65" s="283">
        <f xml:space="preserve"> 'WK2015'!HB75</f>
        <v>2191.5768720000001</v>
      </c>
      <c r="GB65" s="283">
        <f xml:space="preserve"> 'WK2015'!HC75</f>
        <v>2370.8720410000001</v>
      </c>
      <c r="GC65" s="283">
        <f xml:space="preserve"> 'WK2015'!HF75</f>
        <v>2191.5768720000001</v>
      </c>
      <c r="GD65" s="283">
        <f xml:space="preserve"> 'WK2015'!HG75</f>
        <v>2370.8720410000001</v>
      </c>
      <c r="GE65" s="283">
        <f xml:space="preserve"> 'WK2015'!HH75</f>
        <v>2191.5768720000001</v>
      </c>
      <c r="GF65" s="283">
        <f xml:space="preserve"> 'WK2015'!HI75</f>
        <v>2370.8720410000001</v>
      </c>
      <c r="GG65" s="284">
        <f xml:space="preserve"> 'WK2015'!HJ75</f>
        <v>0.69312024126119776</v>
      </c>
      <c r="GI65" s="283">
        <f xml:space="preserve"> 'WK2015'!HQ75</f>
        <v>2206.9854799999998</v>
      </c>
      <c r="GJ65" s="283">
        <f xml:space="preserve"> 'WK2015'!HR75</f>
        <v>2394.6815339999998</v>
      </c>
      <c r="GK65" s="283">
        <f xml:space="preserve"> 'WK2015'!HU75</f>
        <v>2206.9854799999998</v>
      </c>
      <c r="GL65" s="283">
        <f xml:space="preserve"> 'WK2015'!HV75</f>
        <v>2394.6815339999998</v>
      </c>
      <c r="GM65" s="283">
        <f xml:space="preserve"> 'WK2015'!HW75</f>
        <v>2206.9854799999998</v>
      </c>
      <c r="GN65" s="283">
        <f xml:space="preserve"> 'WK2015'!HX75</f>
        <v>2394.6815339999998</v>
      </c>
      <c r="GO65" s="284">
        <f xml:space="preserve"> 'WK2015'!HY75</f>
        <v>0.76715390852709786</v>
      </c>
    </row>
    <row r="66" spans="1:197" x14ac:dyDescent="0.2">
      <c r="A66" s="3">
        <f>Basis!A66</f>
        <v>66</v>
      </c>
      <c r="D66" s="252" t="e">
        <v>#N/A</v>
      </c>
      <c r="E66" s="252" t="e">
        <v>#N/A</v>
      </c>
      <c r="H66" s="50">
        <f xml:space="preserve"> 'WK2012'!EG76</f>
        <v>5762.6144876355238</v>
      </c>
      <c r="I66" s="50">
        <f xml:space="preserve"> 'WK2012'!EH76</f>
        <v>6353.9886079766939</v>
      </c>
      <c r="J66" s="50">
        <f xml:space="preserve"> 'WK2012'!EK76</f>
        <v>5762.887999943925</v>
      </c>
      <c r="K66" s="50">
        <f xml:space="preserve"> 'WK2012'!EL76</f>
        <v>6353.6532477192841</v>
      </c>
      <c r="L66" s="50">
        <f xml:space="preserve"> 'WK2012'!EM76</f>
        <v>5762.6144876355238</v>
      </c>
      <c r="M66" s="50">
        <f xml:space="preserve"> 'WK2012'!EN76</f>
        <v>6353.3797354108829</v>
      </c>
      <c r="N66" s="61">
        <f xml:space="preserve"> 'WK2012'!EI76</f>
        <v>0.71788294445093792</v>
      </c>
      <c r="P66" s="50">
        <f xml:space="preserve"> 'WK2012'!EU76</f>
        <v>5240.9482094600344</v>
      </c>
      <c r="Q66" s="50">
        <f xml:space="preserve"> 'WK2012'!EV76</f>
        <v>5688.2037395132902</v>
      </c>
      <c r="R66" s="50">
        <f xml:space="preserve"> 'WK2012'!EY76</f>
        <v>5240.9661488008269</v>
      </c>
      <c r="S66" s="50">
        <f xml:space="preserve"> 'WK2012'!EZ76</f>
        <v>5688.1844704613177</v>
      </c>
      <c r="T66" s="50">
        <f xml:space="preserve"> 'WK2012'!FA76</f>
        <v>5240.9482094600344</v>
      </c>
      <c r="U66" s="50">
        <f xml:space="preserve"> 'WK2012'!FB76</f>
        <v>5688.1665311205252</v>
      </c>
      <c r="V66" s="61">
        <f xml:space="preserve"> 'WK2012'!EW76</f>
        <v>0.72983631917603375</v>
      </c>
      <c r="X66" s="50">
        <f xml:space="preserve"> 'WK2012'!FI76</f>
        <v>3607.791330730658</v>
      </c>
      <c r="Y66" s="50">
        <f xml:space="preserve"> 'WK2012'!FJ76</f>
        <v>3683.0151071255932</v>
      </c>
      <c r="Z66" s="50">
        <f xml:space="preserve"> 'WK2012'!FM76</f>
        <v>3607.791330730658</v>
      </c>
      <c r="AA66" s="50">
        <f xml:space="preserve"> 'WK2012'!FN76</f>
        <v>3683.0151071255932</v>
      </c>
      <c r="AB66" s="50">
        <f xml:space="preserve"> 'WK2012'!FO76</f>
        <v>3607.791330730658</v>
      </c>
      <c r="AC66" s="50">
        <f xml:space="preserve"> 'WK2012'!FP76</f>
        <v>3683.0151071255932</v>
      </c>
      <c r="AD66" s="61">
        <f xml:space="preserve"> 'WK2012'!FK76</f>
        <v>0.72474102428323062</v>
      </c>
      <c r="AF66" s="50">
        <f xml:space="preserve"> 'WK2012'!FW76</f>
        <v>516.03656941689917</v>
      </c>
      <c r="AG66" s="50">
        <f xml:space="preserve"> 'WK2012'!FX76</f>
        <v>432.3943687446145</v>
      </c>
      <c r="AH66" s="50">
        <f xml:space="preserve"> 'WK2012'!GA76</f>
        <v>516.28273049446011</v>
      </c>
      <c r="AI66" s="50">
        <f xml:space="preserve"> 'WK2012'!GB76</f>
        <v>432.09254451294612</v>
      </c>
      <c r="AJ66" s="50">
        <f xml:space="preserve"> 'WK2012'!GC76</f>
        <v>516.03656941689917</v>
      </c>
      <c r="AK66" s="50">
        <f xml:space="preserve"> 'WK2012'!GD76</f>
        <v>431.84638343538523</v>
      </c>
      <c r="AL66" s="61">
        <f xml:space="preserve"> 'WK2012'!FY76</f>
        <v>0.72147933403131903</v>
      </c>
      <c r="AN66" s="50">
        <f xml:space="preserve"> 'WK2012'!GK76</f>
        <v>590.75259598329887</v>
      </c>
      <c r="AO66" s="50">
        <f xml:space="preserve"> 'WK2012'!GL76</f>
        <v>655.19944242814063</v>
      </c>
      <c r="AP66" s="50">
        <f xml:space="preserve"> 'WK2012'!GO76</f>
        <v>590.75259598329887</v>
      </c>
      <c r="AQ66" s="50">
        <f xml:space="preserve"> 'WK2012'!GP76</f>
        <v>655.19944242814063</v>
      </c>
      <c r="AR66" s="50">
        <f xml:space="preserve"> 'WK2012'!GQ76</f>
        <v>590.75259598329887</v>
      </c>
      <c r="AS66" s="50">
        <f xml:space="preserve"> 'WK2012'!GR76</f>
        <v>655.19944242814063</v>
      </c>
      <c r="AT66" s="61">
        <f xml:space="preserve"> 'WK2012'!GM76</f>
        <v>0.72397806534638343</v>
      </c>
      <c r="AX66" s="50">
        <f xml:space="preserve"> 'WK2013'!EG76</f>
        <v>6122.6795642000006</v>
      </c>
      <c r="AY66" s="50">
        <f xml:space="preserve"> 'WK2013'!EH76</f>
        <v>5914.3897695999995</v>
      </c>
      <c r="AZ66" s="50">
        <f xml:space="preserve"> 'WK2013'!EK76</f>
        <v>6122.6795642000006</v>
      </c>
      <c r="BA66" s="50">
        <f xml:space="preserve"> 'WK2013'!EL76</f>
        <v>5914.3897695999995</v>
      </c>
      <c r="BB66" s="50">
        <f xml:space="preserve"> 'WK2013'!EM76</f>
        <v>6122.6795642000006</v>
      </c>
      <c r="BC66" s="50">
        <f xml:space="preserve"> 'WK2013'!EN76</f>
        <v>5914.3897695999995</v>
      </c>
      <c r="BD66" s="61">
        <f xml:space="preserve"> 'WK2013'!EI76</f>
        <v>0.71638965712556335</v>
      </c>
      <c r="BF66" s="50">
        <f xml:space="preserve"> 'WK2013'!EU76</f>
        <v>5212.1594167999992</v>
      </c>
      <c r="BG66" s="50">
        <f xml:space="preserve"> 'WK2013'!EV76</f>
        <v>5017.1581064000002</v>
      </c>
      <c r="BH66" s="50">
        <f xml:space="preserve"> 'WK2013'!EY76</f>
        <v>5212.1594167999992</v>
      </c>
      <c r="BI66" s="50">
        <f xml:space="preserve"> 'WK2013'!EZ76</f>
        <v>5017.1581064000002</v>
      </c>
      <c r="BJ66" s="50">
        <f xml:space="preserve"> 'WK2013'!FA76</f>
        <v>5212.1594167999992</v>
      </c>
      <c r="BK66" s="50">
        <f xml:space="preserve"> 'WK2013'!FB76</f>
        <v>5017.1581064000002</v>
      </c>
      <c r="BL66" s="61">
        <f xml:space="preserve"> 'WK2013'!EW76</f>
        <v>0.72558071446309702</v>
      </c>
      <c r="BN66" s="50">
        <f xml:space="preserve"> 'WK2013'!FI76</f>
        <v>4087.3936995999998</v>
      </c>
      <c r="BO66" s="50">
        <f xml:space="preserve"> 'WK2013'!FJ76</f>
        <v>4073.3325897999998</v>
      </c>
      <c r="BP66" s="50">
        <f xml:space="preserve"> 'WK2013'!FM76</f>
        <v>4087.3936995999998</v>
      </c>
      <c r="BQ66" s="50">
        <f xml:space="preserve"> 'WK2013'!FN76</f>
        <v>4073.3325897999998</v>
      </c>
      <c r="BR66" s="50">
        <f xml:space="preserve"> 'WK2013'!FO76</f>
        <v>4087.3936995999998</v>
      </c>
      <c r="BS66" s="50">
        <f xml:space="preserve"> 'WK2013'!FP76</f>
        <v>4073.3325897999998</v>
      </c>
      <c r="BT66" s="61">
        <f xml:space="preserve"> 'WK2013'!FK76</f>
        <v>0.72390828389458894</v>
      </c>
      <c r="BV66" s="50">
        <f xml:space="preserve"> 'WK2013'!FW76</f>
        <v>783.12811420000003</v>
      </c>
      <c r="BW66" s="50">
        <f xml:space="preserve"> 'WK2013'!FX76</f>
        <v>848.24732360000007</v>
      </c>
      <c r="BX66" s="50">
        <f xml:space="preserve"> 'WK2013'!GA76</f>
        <v>783.12811420000003</v>
      </c>
      <c r="BY66" s="50">
        <f xml:space="preserve"> 'WK2013'!GB76</f>
        <v>848.24732360000007</v>
      </c>
      <c r="BZ66" s="50">
        <f xml:space="preserve"> 'WK2013'!GC76</f>
        <v>783.12811420000003</v>
      </c>
      <c r="CA66" s="50">
        <f xml:space="preserve"> 'WK2013'!GD76</f>
        <v>848.24732360000007</v>
      </c>
      <c r="CB66" s="61">
        <f xml:space="preserve"> 'WK2013'!FY76</f>
        <v>0.72449971610919273</v>
      </c>
      <c r="CD66" s="50">
        <f xml:space="preserve"> 'WK2013'!GK76</f>
        <v>566.42221200000006</v>
      </c>
      <c r="CE66" s="50">
        <f xml:space="preserve"> 'WK2013'!GL76</f>
        <v>522.35901374999992</v>
      </c>
      <c r="CF66" s="50">
        <f xml:space="preserve"> 'WK2013'!GO76</f>
        <v>566.42221200000006</v>
      </c>
      <c r="CG66" s="50">
        <f xml:space="preserve"> 'WK2013'!GP76</f>
        <v>522.35901374999992</v>
      </c>
      <c r="CH66" s="50">
        <f xml:space="preserve"> 'WK2013'!GQ76</f>
        <v>566.42221200000006</v>
      </c>
      <c r="CI66" s="50">
        <f xml:space="preserve"> 'WK2013'!GR76</f>
        <v>522.35901374999992</v>
      </c>
      <c r="CJ66" s="61">
        <f xml:space="preserve"> 'WK2013'!GM76</f>
        <v>0.73563347716791405</v>
      </c>
      <c r="CN66" s="50">
        <f xml:space="preserve"> 'WK2014'!EG76</f>
        <v>6161.296873199999</v>
      </c>
      <c r="CO66" s="50">
        <f xml:space="preserve"> 'WK2014'!EH76</f>
        <v>5832.5170063999994</v>
      </c>
      <c r="CP66" s="50">
        <f xml:space="preserve"> 'WK2014'!EK76</f>
        <v>6161.296873199999</v>
      </c>
      <c r="CQ66" s="50">
        <f xml:space="preserve"> 'WK2014'!EL76</f>
        <v>5832.5170063999994</v>
      </c>
      <c r="CR66" s="50">
        <f xml:space="preserve"> 'WK2014'!EM76</f>
        <v>6161.296873199999</v>
      </c>
      <c r="CS66" s="50">
        <f xml:space="preserve"> 'WK2014'!EN76</f>
        <v>5832.5170063999994</v>
      </c>
      <c r="CT66" s="61">
        <f xml:space="preserve"> 'WK2014'!EI76</f>
        <v>0.73026729468739882</v>
      </c>
      <c r="CV66" s="50">
        <f xml:space="preserve"> 'WK2014'!EU76</f>
        <v>5125.2990492999988</v>
      </c>
      <c r="CW66" s="50">
        <f xml:space="preserve"> 'WK2014'!EV76</f>
        <v>4737.5048755999997</v>
      </c>
      <c r="CX66" s="50">
        <f xml:space="preserve"> 'WK2014'!EY76</f>
        <v>5125.2990492999988</v>
      </c>
      <c r="CY66" s="50">
        <f xml:space="preserve"> 'WK2014'!EZ76</f>
        <v>4737.5048755999997</v>
      </c>
      <c r="CZ66" s="50">
        <f xml:space="preserve"> 'WK2014'!FA76</f>
        <v>5125.2990492999988</v>
      </c>
      <c r="DA66" s="50">
        <f xml:space="preserve"> 'WK2014'!FB76</f>
        <v>4737.5048755999997</v>
      </c>
      <c r="DB66" s="61">
        <f xml:space="preserve"> 'WK2014'!EW76</f>
        <v>0.72300676620761462</v>
      </c>
      <c r="DC66" s="1"/>
      <c r="DD66" s="50">
        <f xml:space="preserve"> 'WK2014'!FI76</f>
        <v>3886.8040735999998</v>
      </c>
      <c r="DE66" s="50">
        <f xml:space="preserve"> 'WK2014'!FJ76</f>
        <v>3835.7248301999998</v>
      </c>
      <c r="DF66" s="50">
        <f xml:space="preserve"> 'WK2014'!FM76</f>
        <v>3886.8040735999998</v>
      </c>
      <c r="DG66" s="50">
        <f xml:space="preserve"> 'WK2014'!FN76</f>
        <v>3835.7248301999998</v>
      </c>
      <c r="DH66" s="50">
        <f xml:space="preserve"> 'WK2014'!FO76</f>
        <v>3886.8040735999998</v>
      </c>
      <c r="DI66" s="50">
        <f xml:space="preserve"> 'WK2014'!FP76</f>
        <v>3835.7248301999998</v>
      </c>
      <c r="DJ66" s="61">
        <f xml:space="preserve"> 'WK2014'!FK76</f>
        <v>0.72242748802114864</v>
      </c>
      <c r="DK66" s="1"/>
      <c r="DL66" s="50">
        <f xml:space="preserve"> 'WK2014'!FW76</f>
        <v>768.16003920000003</v>
      </c>
      <c r="DM66" s="50">
        <f xml:space="preserve"> 'WK2014'!FX76</f>
        <v>836.0393104000002</v>
      </c>
      <c r="DN66" s="50">
        <f xml:space="preserve"> 'WK2014'!GA76</f>
        <v>768.16003920000003</v>
      </c>
      <c r="DO66" s="50">
        <f xml:space="preserve"> 'WK2014'!GB76</f>
        <v>836.0393104000002</v>
      </c>
      <c r="DP66" s="50">
        <f xml:space="preserve"> 'WK2014'!GC76</f>
        <v>768.16003920000003</v>
      </c>
      <c r="DQ66" s="50">
        <f xml:space="preserve"> 'WK2014'!GD76</f>
        <v>836.0393104000002</v>
      </c>
      <c r="DR66" s="61">
        <f xml:space="preserve"> 'WK2014'!FY76</f>
        <v>0.7251070585227839</v>
      </c>
      <c r="DS66" s="1"/>
      <c r="DT66" s="50">
        <f xml:space="preserve"> 'WK2014'!GK76</f>
        <v>833.01977099999999</v>
      </c>
      <c r="DU66" s="50">
        <f xml:space="preserve"> 'WK2014'!GL76</f>
        <v>693.82407899999987</v>
      </c>
      <c r="DV66" s="50">
        <f xml:space="preserve"> 'WK2014'!GO76</f>
        <v>833.01977099999999</v>
      </c>
      <c r="DW66" s="50">
        <f xml:space="preserve"> 'WK2014'!GP76</f>
        <v>693.82407899999987</v>
      </c>
      <c r="DX66" s="50">
        <f xml:space="preserve"> 'WK2014'!GQ76</f>
        <v>833.01977099999999</v>
      </c>
      <c r="DY66" s="50">
        <f xml:space="preserve"> 'WK2014'!GR76</f>
        <v>693.82407899999987</v>
      </c>
      <c r="DZ66" s="61">
        <f xml:space="preserve"> 'WK2014'!GM76</f>
        <v>0.72962705312740417</v>
      </c>
      <c r="ED66" s="50">
        <f xml:space="preserve"> 'WK2015'!EG76</f>
        <v>5922.3974969999999</v>
      </c>
      <c r="EE66" s="50">
        <f xml:space="preserve"> 'WK2015'!EH76</f>
        <v>5299.0508551999992</v>
      </c>
      <c r="EF66" s="50">
        <f xml:space="preserve"> 'WK2015'!EK76</f>
        <v>5922.3974969999999</v>
      </c>
      <c r="EG66" s="50">
        <f xml:space="preserve"> 'WK2015'!EL76</f>
        <v>5299.0508551999992</v>
      </c>
      <c r="EH66" s="50">
        <f xml:space="preserve"> 'WK2015'!EM76</f>
        <v>5922.3974969999999</v>
      </c>
      <c r="EI66" s="50">
        <f xml:space="preserve"> 'WK2015'!EN76</f>
        <v>5299.0508551999992</v>
      </c>
      <c r="EJ66" s="61">
        <f xml:space="preserve"> 'WK2015'!EI76</f>
        <v>0.72859354004585219</v>
      </c>
      <c r="EK66" s="1"/>
      <c r="EL66" s="50">
        <f xml:space="preserve"> 'WK2015'!EU76</f>
        <v>5185.8271549999999</v>
      </c>
      <c r="EM66" s="50">
        <f xml:space="preserve"> 'WK2015'!EV76</f>
        <v>4859.2808943</v>
      </c>
      <c r="EN66" s="50">
        <f xml:space="preserve"> 'WK2015'!EY76</f>
        <v>5185.8271549999999</v>
      </c>
      <c r="EO66" s="50">
        <f xml:space="preserve"> 'WK2015'!EZ76</f>
        <v>4859.2808943</v>
      </c>
      <c r="EP66" s="50">
        <f xml:space="preserve"> 'WK2015'!FA76</f>
        <v>5185.8271549999999</v>
      </c>
      <c r="EQ66" s="50">
        <f xml:space="preserve"> 'WK2015'!FB76</f>
        <v>4859.2808943</v>
      </c>
      <c r="ER66" s="61">
        <f xml:space="preserve"> 'WK2015'!EW76</f>
        <v>0.73293057744616119</v>
      </c>
      <c r="ES66" s="1"/>
      <c r="ET66" s="50">
        <f xml:space="preserve"> 'WK2015'!FI76</f>
        <v>4451.8448010000002</v>
      </c>
      <c r="EU66" s="50">
        <f xml:space="preserve"> 'WK2015'!FJ76</f>
        <v>4249.9091867999996</v>
      </c>
      <c r="EV66" s="50">
        <f xml:space="preserve"> 'WK2015'!FM76</f>
        <v>4451.8448010000002</v>
      </c>
      <c r="EW66" s="50">
        <f xml:space="preserve"> 'WK2015'!FN76</f>
        <v>4249.9091867999996</v>
      </c>
      <c r="EX66" s="50">
        <f xml:space="preserve"> 'WK2015'!FO76</f>
        <v>4451.8448010000002</v>
      </c>
      <c r="EY66" s="50">
        <f xml:space="preserve"> 'WK2015'!FP76</f>
        <v>4249.9091867999996</v>
      </c>
      <c r="EZ66" s="61">
        <f xml:space="preserve"> 'WK2015'!FK76</f>
        <v>0.72509854877510538</v>
      </c>
      <c r="FA66" s="1"/>
      <c r="FB66" s="50">
        <f xml:space="preserve"> 'WK2015'!FW76</f>
        <v>767.93099200000006</v>
      </c>
      <c r="FC66" s="50">
        <f xml:space="preserve"> 'WK2015'!FX76</f>
        <v>833.61819319999995</v>
      </c>
      <c r="FD66" s="50">
        <f xml:space="preserve"> 'WK2015'!GA76</f>
        <v>767.93099200000006</v>
      </c>
      <c r="FE66" s="50">
        <f xml:space="preserve"> 'WK2015'!GB76</f>
        <v>833.61819319999995</v>
      </c>
      <c r="FF66" s="50">
        <f xml:space="preserve"> 'WK2015'!GC76</f>
        <v>767.93099200000006</v>
      </c>
      <c r="FG66" s="50">
        <f xml:space="preserve"> 'WK2015'!GD76</f>
        <v>833.61819319999995</v>
      </c>
      <c r="FH66" s="61">
        <f xml:space="preserve"> 'WK2015'!FY76</f>
        <v>0.73134769405871847</v>
      </c>
      <c r="FI66" s="1"/>
      <c r="FJ66" s="50">
        <f xml:space="preserve"> 'WK2015'!GK76</f>
        <v>573.76653299999987</v>
      </c>
      <c r="FK66" s="50">
        <f xml:space="preserve"> 'WK2015'!GL76</f>
        <v>552.57953625000005</v>
      </c>
      <c r="FL66" s="50">
        <f xml:space="preserve"> 'WK2015'!GO76</f>
        <v>573.76653299999987</v>
      </c>
      <c r="FM66" s="50">
        <f xml:space="preserve"> 'WK2015'!GP76</f>
        <v>552.57953625000005</v>
      </c>
      <c r="FN66" s="50">
        <f xml:space="preserve"> 'WK2015'!GQ76</f>
        <v>573.76653299999987</v>
      </c>
      <c r="FO66" s="50">
        <f xml:space="preserve"> 'WK2015'!GR76</f>
        <v>552.57953625000005</v>
      </c>
      <c r="FP66" s="61">
        <f xml:space="preserve"> 'WK2015'!GM76</f>
        <v>0.72208218399777591</v>
      </c>
      <c r="FS66" s="283">
        <f xml:space="preserve"> 'WK2015'!H76</f>
        <v>2997.909455</v>
      </c>
      <c r="FT66" s="283">
        <f xml:space="preserve"> 'WK2015'!I76</f>
        <v>2878.4074499999997</v>
      </c>
      <c r="FU66" s="283">
        <f xml:space="preserve"> 'WK2015'!L76</f>
        <v>2997.909455</v>
      </c>
      <c r="FV66" s="283">
        <f xml:space="preserve"> 'WK2015'!M76</f>
        <v>2878.4074499999997</v>
      </c>
      <c r="FW66" s="283">
        <f xml:space="preserve"> 'WK2015'!N76</f>
        <v>2997.909455</v>
      </c>
      <c r="FX66" s="283">
        <f xml:space="preserve"> 'WK2015'!O76</f>
        <v>2878.4074499999997</v>
      </c>
      <c r="FY66" s="284">
        <f xml:space="preserve"> 'WK2015'!P76</f>
        <v>0.72440364766898946</v>
      </c>
      <c r="GA66" s="283">
        <f xml:space="preserve"> 'WK2015'!HB76</f>
        <v>2302.180308</v>
      </c>
      <c r="GB66" s="283">
        <f xml:space="preserve"> 'WK2015'!HC76</f>
        <v>2483.0271469999998</v>
      </c>
      <c r="GC66" s="283">
        <f xml:space="preserve"> 'WK2015'!HF76</f>
        <v>2302.180308</v>
      </c>
      <c r="GD66" s="283">
        <f xml:space="preserve"> 'WK2015'!HG76</f>
        <v>2483.0271469999998</v>
      </c>
      <c r="GE66" s="283">
        <f xml:space="preserve"> 'WK2015'!HH76</f>
        <v>2302.180308</v>
      </c>
      <c r="GF66" s="283">
        <f xml:space="preserve"> 'WK2015'!HI76</f>
        <v>2483.0271469999998</v>
      </c>
      <c r="GG66" s="284">
        <f xml:space="preserve"> 'WK2015'!HJ76</f>
        <v>0.70049492544793879</v>
      </c>
      <c r="GI66" s="283">
        <f xml:space="preserve"> 'WK2015'!HQ76</f>
        <v>2359.1968750000001</v>
      </c>
      <c r="GJ66" s="283">
        <f xml:space="preserve"> 'WK2015'!HR76</f>
        <v>2561.187825</v>
      </c>
      <c r="GK66" s="283">
        <f xml:space="preserve"> 'WK2015'!HU76</f>
        <v>2359.1968750000001</v>
      </c>
      <c r="GL66" s="283">
        <f xml:space="preserve"> 'WK2015'!HV76</f>
        <v>2561.187825</v>
      </c>
      <c r="GM66" s="283">
        <f xml:space="preserve"> 'WK2015'!HW76</f>
        <v>2359.1968750000001</v>
      </c>
      <c r="GN66" s="283">
        <f xml:space="preserve"> 'WK2015'!HX76</f>
        <v>2561.187825</v>
      </c>
      <c r="GO66" s="284">
        <f xml:space="preserve"> 'WK2015'!HY76</f>
        <v>0.77472117859630218</v>
      </c>
    </row>
    <row r="67" spans="1:197" x14ac:dyDescent="0.2">
      <c r="A67" s="3">
        <f>Basis!A67</f>
        <v>67</v>
      </c>
      <c r="D67" s="252" t="e">
        <v>#N/A</v>
      </c>
      <c r="E67" s="252" t="e">
        <v>#N/A</v>
      </c>
      <c r="H67" s="50">
        <f xml:space="preserve"> 'WK2012'!EG77</f>
        <v>6035.6795083986208</v>
      </c>
      <c r="I67" s="50">
        <f xml:space="preserve"> 'WK2012'!EH77</f>
        <v>6547.7895589551117</v>
      </c>
      <c r="J67" s="50">
        <f xml:space="preserve"> 'WK2012'!EK77</f>
        <v>6035.7766078939339</v>
      </c>
      <c r="K67" s="50">
        <f xml:space="preserve"> 'WK2012'!EL77</f>
        <v>6547.6695195264529</v>
      </c>
      <c r="L67" s="50">
        <f xml:space="preserve"> 'WK2012'!EM77</f>
        <v>6035.6795083986208</v>
      </c>
      <c r="M67" s="50">
        <f xml:space="preserve"> 'WK2012'!EN77</f>
        <v>6547.5724200311406</v>
      </c>
      <c r="N67" s="61">
        <f xml:space="preserve"> 'WK2012'!EI77</f>
        <v>0.71545380041376849</v>
      </c>
      <c r="P67" s="50">
        <f xml:space="preserve"> 'WK2012'!EU77</f>
        <v>5517.0225500338156</v>
      </c>
      <c r="Q67" s="50">
        <f xml:space="preserve"> 'WK2012'!EV77</f>
        <v>5908.0176057549124</v>
      </c>
      <c r="R67" s="50">
        <f xml:space="preserve"> 'WK2012'!EY77</f>
        <v>5517.0405286586765</v>
      </c>
      <c r="S67" s="50">
        <f xml:space="preserve"> 'WK2012'!EZ77</f>
        <v>5907.9983759870083</v>
      </c>
      <c r="T67" s="50">
        <f xml:space="preserve"> 'WK2012'!FA77</f>
        <v>5517.0225500338156</v>
      </c>
      <c r="U67" s="50">
        <f xml:space="preserve"> 'WK2012'!FB77</f>
        <v>5907.9803973621474</v>
      </c>
      <c r="V67" s="61">
        <f xml:space="preserve"> 'WK2012'!EW77</f>
        <v>0.72377548897878052</v>
      </c>
      <c r="X67" s="50">
        <f xml:space="preserve"> 'WK2012'!FI77</f>
        <v>3820.3633258325503</v>
      </c>
      <c r="Y67" s="50">
        <f xml:space="preserve"> 'WK2012'!FJ77</f>
        <v>3820.4406740249333</v>
      </c>
      <c r="Z67" s="50">
        <f xml:space="preserve"> 'WK2012'!FM77</f>
        <v>3820.3633258325503</v>
      </c>
      <c r="AA67" s="50">
        <f xml:space="preserve"> 'WK2012'!FN77</f>
        <v>3820.4406740249333</v>
      </c>
      <c r="AB67" s="50">
        <f xml:space="preserve"> 'WK2012'!FO77</f>
        <v>3820.3633258325503</v>
      </c>
      <c r="AC67" s="50">
        <f xml:space="preserve"> 'WK2012'!FP77</f>
        <v>3820.4406740249333</v>
      </c>
      <c r="AD67" s="61">
        <f xml:space="preserve"> 'WK2012'!FK77</f>
        <v>0.72330606216632876</v>
      </c>
      <c r="AF67" s="50">
        <f xml:space="preserve"> 'WK2012'!FW77</f>
        <v>559.20989981202615</v>
      </c>
      <c r="AG67" s="50">
        <f xml:space="preserve"> 'WK2012'!FX77</f>
        <v>461.90370537697009</v>
      </c>
      <c r="AH67" s="50">
        <f xml:space="preserve"> 'WK2012'!GA77</f>
        <v>559.29728935780736</v>
      </c>
      <c r="AI67" s="50">
        <f xml:space="preserve"> 'WK2012'!GB77</f>
        <v>461.79566989117751</v>
      </c>
      <c r="AJ67" s="50">
        <f xml:space="preserve"> 'WK2012'!GC77</f>
        <v>559.20989981202615</v>
      </c>
      <c r="AK67" s="50">
        <f xml:space="preserve"> 'WK2012'!GD77</f>
        <v>461.7082803453963</v>
      </c>
      <c r="AL67" s="61">
        <f xml:space="preserve"> 'WK2012'!FY77</f>
        <v>0.71773849532713319</v>
      </c>
      <c r="AN67" s="50">
        <f xml:space="preserve"> 'WK2012'!GK77</f>
        <v>596.51275113515794</v>
      </c>
      <c r="AO67" s="50">
        <f xml:space="preserve"> 'WK2012'!GL77</f>
        <v>655.53352459361133</v>
      </c>
      <c r="AP67" s="50">
        <f xml:space="preserve"> 'WK2012'!GO77</f>
        <v>596.51275113515794</v>
      </c>
      <c r="AQ67" s="50">
        <f xml:space="preserve"> 'WK2012'!GP77</f>
        <v>655.53352459361133</v>
      </c>
      <c r="AR67" s="50">
        <f xml:space="preserve"> 'WK2012'!GQ77</f>
        <v>596.51275113515794</v>
      </c>
      <c r="AS67" s="50">
        <f xml:space="preserve"> 'WK2012'!GR77</f>
        <v>655.53352459361133</v>
      </c>
      <c r="AT67" s="61">
        <f xml:space="preserve"> 'WK2012'!GM77</f>
        <v>0.72136848149762389</v>
      </c>
      <c r="AX67" s="50">
        <f xml:space="preserve"> 'WK2013'!EG77</f>
        <v>6451.6090486000003</v>
      </c>
      <c r="AY67" s="50">
        <f xml:space="preserve"> 'WK2013'!EH77</f>
        <v>6174.9324414000002</v>
      </c>
      <c r="AZ67" s="50">
        <f xml:space="preserve"> 'WK2013'!EK77</f>
        <v>6451.6090486000003</v>
      </c>
      <c r="BA67" s="50">
        <f xml:space="preserve"> 'WK2013'!EL77</f>
        <v>6174.9324414000002</v>
      </c>
      <c r="BB67" s="50">
        <f xml:space="preserve"> 'WK2013'!EM77</f>
        <v>6451.6090486000003</v>
      </c>
      <c r="BC67" s="50">
        <f xml:space="preserve"> 'WK2013'!EN77</f>
        <v>6174.9324414000002</v>
      </c>
      <c r="BD67" s="61">
        <f xml:space="preserve"> 'WK2013'!EI77</f>
        <v>0.7063313676997014</v>
      </c>
      <c r="BF67" s="50">
        <f xml:space="preserve"> 'WK2013'!EU77</f>
        <v>5515.3356793999992</v>
      </c>
      <c r="BG67" s="50">
        <f xml:space="preserve"> 'WK2013'!EV77</f>
        <v>5264.2772386000006</v>
      </c>
      <c r="BH67" s="50">
        <f xml:space="preserve"> 'WK2013'!EY77</f>
        <v>5515.3356793999992</v>
      </c>
      <c r="BI67" s="50">
        <f xml:space="preserve"> 'WK2013'!EZ77</f>
        <v>5264.2772386000006</v>
      </c>
      <c r="BJ67" s="50">
        <f xml:space="preserve"> 'WK2013'!FA77</f>
        <v>5515.3356793999992</v>
      </c>
      <c r="BK67" s="50">
        <f xml:space="preserve"> 'WK2013'!FB77</f>
        <v>5264.2772386000006</v>
      </c>
      <c r="BL67" s="61">
        <f xml:space="preserve"> 'WK2013'!EW77</f>
        <v>0.71867091656890869</v>
      </c>
      <c r="BN67" s="50">
        <f xml:space="preserve"> 'WK2013'!FI77</f>
        <v>4322.8828654000008</v>
      </c>
      <c r="BO67" s="50">
        <f xml:space="preserve"> 'WK2013'!FJ77</f>
        <v>4250.6128469999994</v>
      </c>
      <c r="BP67" s="50">
        <f xml:space="preserve"> 'WK2013'!FM77</f>
        <v>4322.8828654000008</v>
      </c>
      <c r="BQ67" s="50">
        <f xml:space="preserve"> 'WK2013'!FN77</f>
        <v>4250.6128469999994</v>
      </c>
      <c r="BR67" s="50">
        <f xml:space="preserve"> 'WK2013'!FO77</f>
        <v>4322.8828654000008</v>
      </c>
      <c r="BS67" s="50">
        <f xml:space="preserve"> 'WK2013'!FP77</f>
        <v>4250.6128469999994</v>
      </c>
      <c r="BT67" s="61">
        <f xml:space="preserve"> 'WK2013'!FK77</f>
        <v>0.71693003453101789</v>
      </c>
      <c r="BV67" s="50">
        <f xml:space="preserve"> 'WK2013'!FW77</f>
        <v>792.77272059999996</v>
      </c>
      <c r="BW67" s="50">
        <f xml:space="preserve"> 'WK2013'!FX77</f>
        <v>855.65199240000004</v>
      </c>
      <c r="BX67" s="50">
        <f xml:space="preserve"> 'WK2013'!GA77</f>
        <v>792.77272059999996</v>
      </c>
      <c r="BY67" s="50">
        <f xml:space="preserve"> 'WK2013'!GB77</f>
        <v>855.65199240000004</v>
      </c>
      <c r="BZ67" s="50">
        <f xml:space="preserve"> 'WK2013'!GC77</f>
        <v>792.77272059999996</v>
      </c>
      <c r="CA67" s="50">
        <f xml:space="preserve"> 'WK2013'!GD77</f>
        <v>855.65199240000004</v>
      </c>
      <c r="CB67" s="61">
        <f xml:space="preserve"> 'WK2013'!FY77</f>
        <v>0.71403790380273846</v>
      </c>
      <c r="CD67" s="50">
        <f xml:space="preserve"> 'WK2013'!GK77</f>
        <v>598.06944300000032</v>
      </c>
      <c r="CE67" s="50">
        <f xml:space="preserve"> 'WK2013'!GL77</f>
        <v>553.07433974999981</v>
      </c>
      <c r="CF67" s="50">
        <f xml:space="preserve"> 'WK2013'!GO77</f>
        <v>598.06944300000032</v>
      </c>
      <c r="CG67" s="50">
        <f xml:space="preserve"> 'WK2013'!GP77</f>
        <v>553.07433974999981</v>
      </c>
      <c r="CH67" s="50">
        <f xml:space="preserve"> 'WK2013'!GQ77</f>
        <v>598.06944300000032</v>
      </c>
      <c r="CI67" s="50">
        <f xml:space="preserve"> 'WK2013'!GR77</f>
        <v>553.07433974999981</v>
      </c>
      <c r="CJ67" s="61">
        <f xml:space="preserve"> 'WK2013'!GM77</f>
        <v>0.7262660558769688</v>
      </c>
      <c r="CN67" s="50">
        <f xml:space="preserve"> 'WK2014'!EG77</f>
        <v>6498.9834179999998</v>
      </c>
      <c r="CO67" s="50">
        <f xml:space="preserve"> 'WK2014'!EH77</f>
        <v>6095.2233079999996</v>
      </c>
      <c r="CP67" s="50">
        <f xml:space="preserve"> 'WK2014'!EK77</f>
        <v>6498.9834179999998</v>
      </c>
      <c r="CQ67" s="50">
        <f xml:space="preserve"> 'WK2014'!EL77</f>
        <v>6095.2233079999996</v>
      </c>
      <c r="CR67" s="50">
        <f xml:space="preserve"> 'WK2014'!EM77</f>
        <v>6498.9834179999998</v>
      </c>
      <c r="CS67" s="50">
        <f xml:space="preserve"> 'WK2014'!EN77</f>
        <v>6095.2233079999996</v>
      </c>
      <c r="CT67" s="61">
        <f xml:space="preserve"> 'WK2014'!EI77</f>
        <v>0.72621187433572032</v>
      </c>
      <c r="CV67" s="50">
        <f xml:space="preserve"> 'WK2014'!EU77</f>
        <v>5407.2873085000001</v>
      </c>
      <c r="CW67" s="50">
        <f xml:space="preserve"> 'WK2014'!EV77</f>
        <v>4947.6442779999998</v>
      </c>
      <c r="CX67" s="50">
        <f xml:space="preserve"> 'WK2014'!EY77</f>
        <v>5407.2873085000001</v>
      </c>
      <c r="CY67" s="50">
        <f xml:space="preserve"> 'WK2014'!EZ77</f>
        <v>4947.6442779999998</v>
      </c>
      <c r="CZ67" s="50">
        <f xml:space="preserve"> 'WK2014'!FA77</f>
        <v>5407.2873085000001</v>
      </c>
      <c r="DA67" s="50">
        <f xml:space="preserve"> 'WK2014'!FB77</f>
        <v>4947.6442779999998</v>
      </c>
      <c r="DB67" s="61">
        <f xml:space="preserve"> 'WK2014'!EW77</f>
        <v>0.71819665585128833</v>
      </c>
      <c r="DC67" s="1"/>
      <c r="DD67" s="50">
        <f xml:space="preserve"> 'WK2014'!FI77</f>
        <v>4076.2979743999999</v>
      </c>
      <c r="DE67" s="50">
        <f xml:space="preserve"> 'WK2014'!FJ77</f>
        <v>3991.2857629999999</v>
      </c>
      <c r="DF67" s="50">
        <f xml:space="preserve"> 'WK2014'!FM77</f>
        <v>4076.2979743999999</v>
      </c>
      <c r="DG67" s="50">
        <f xml:space="preserve"> 'WK2014'!FN77</f>
        <v>3991.2857629999999</v>
      </c>
      <c r="DH67" s="50">
        <f xml:space="preserve"> 'WK2014'!FO77</f>
        <v>4076.2979743999999</v>
      </c>
      <c r="DI67" s="50">
        <f xml:space="preserve"> 'WK2014'!FP77</f>
        <v>3991.2857629999999</v>
      </c>
      <c r="DJ67" s="61">
        <f xml:space="preserve"> 'WK2014'!FK77</f>
        <v>0.72065209377709127</v>
      </c>
      <c r="DK67" s="1"/>
      <c r="DL67" s="50">
        <f xml:space="preserve"> 'WK2014'!FW77</f>
        <v>777.31447200000002</v>
      </c>
      <c r="DM67" s="50">
        <f xml:space="preserve"> 'WK2014'!FX77</f>
        <v>843.18244000000004</v>
      </c>
      <c r="DN67" s="50">
        <f xml:space="preserve"> 'WK2014'!GA77</f>
        <v>777.31447200000002</v>
      </c>
      <c r="DO67" s="50">
        <f xml:space="preserve"> 'WK2014'!GB77</f>
        <v>843.18244000000004</v>
      </c>
      <c r="DP67" s="50">
        <f xml:space="preserve"> 'WK2014'!GC77</f>
        <v>777.31447200000002</v>
      </c>
      <c r="DQ67" s="50">
        <f xml:space="preserve"> 'WK2014'!GD77</f>
        <v>843.18244000000004</v>
      </c>
      <c r="DR67" s="61">
        <f xml:space="preserve"> 'WK2014'!FY77</f>
        <v>0.72166749649393402</v>
      </c>
      <c r="DS67" s="1"/>
      <c r="DT67" s="50">
        <f xml:space="preserve"> 'WK2014'!GK77</f>
        <v>898.54701599999999</v>
      </c>
      <c r="DU67" s="50">
        <f xml:space="preserve"> 'WK2014'!GL77</f>
        <v>751.23059400000011</v>
      </c>
      <c r="DV67" s="50">
        <f xml:space="preserve"> 'WK2014'!GO77</f>
        <v>898.54701599999999</v>
      </c>
      <c r="DW67" s="50">
        <f xml:space="preserve"> 'WK2014'!GP77</f>
        <v>751.23059400000011</v>
      </c>
      <c r="DX67" s="50">
        <f xml:space="preserve"> 'WK2014'!GQ77</f>
        <v>898.54701599999999</v>
      </c>
      <c r="DY67" s="50">
        <f xml:space="preserve"> 'WK2014'!GR77</f>
        <v>751.23059400000011</v>
      </c>
      <c r="DZ67" s="61">
        <f xml:space="preserve"> 'WK2014'!GM77</f>
        <v>0.72723609078984275</v>
      </c>
      <c r="ED67" s="50">
        <f xml:space="preserve"> 'WK2015'!EG77</f>
        <v>6242.1091144000002</v>
      </c>
      <c r="EE67" s="50">
        <f xml:space="preserve"> 'WK2015'!EH77</f>
        <v>5534.3225915999992</v>
      </c>
      <c r="EF67" s="50">
        <f xml:space="preserve"> 'WK2015'!EK77</f>
        <v>6242.1091144000002</v>
      </c>
      <c r="EG67" s="50">
        <f xml:space="preserve"> 'WK2015'!EL77</f>
        <v>5534.3225915999992</v>
      </c>
      <c r="EH67" s="50">
        <f xml:space="preserve"> 'WK2015'!EM77</f>
        <v>6242.1091144000002</v>
      </c>
      <c r="EI67" s="50">
        <f xml:space="preserve"> 'WK2015'!EN77</f>
        <v>5534.3225915999992</v>
      </c>
      <c r="EJ67" s="61">
        <f xml:space="preserve"> 'WK2015'!EI77</f>
        <v>0.72881622270661695</v>
      </c>
      <c r="EK67" s="1"/>
      <c r="EL67" s="50">
        <f xml:space="preserve"> 'WK2015'!EU77</f>
        <v>5483.3830226000009</v>
      </c>
      <c r="EM67" s="50">
        <f xml:space="preserve"> 'WK2015'!EV77</f>
        <v>5107.4625304000001</v>
      </c>
      <c r="EN67" s="50">
        <f xml:space="preserve"> 'WK2015'!EY77</f>
        <v>5483.3830226000009</v>
      </c>
      <c r="EO67" s="50">
        <f xml:space="preserve"> 'WK2015'!EZ77</f>
        <v>5107.4625304000001</v>
      </c>
      <c r="EP67" s="50">
        <f xml:space="preserve"> 'WK2015'!FA77</f>
        <v>5483.3830226000009</v>
      </c>
      <c r="EQ67" s="50">
        <f xml:space="preserve"> 'WK2015'!FB77</f>
        <v>5107.4625304000001</v>
      </c>
      <c r="ER67" s="61">
        <f xml:space="preserve"> 'WK2015'!EW77</f>
        <v>0.73140223838335194</v>
      </c>
      <c r="ES67" s="1"/>
      <c r="ET67" s="50">
        <f xml:space="preserve"> 'WK2015'!FI77</f>
        <v>4701.7683077999991</v>
      </c>
      <c r="EU67" s="50">
        <f xml:space="preserve"> 'WK2015'!FJ77</f>
        <v>4437.8109151999988</v>
      </c>
      <c r="EV67" s="50">
        <f xml:space="preserve"> 'WK2015'!FM77</f>
        <v>4701.7683077999991</v>
      </c>
      <c r="EW67" s="50">
        <f xml:space="preserve"> 'WK2015'!FN77</f>
        <v>4437.8109151999988</v>
      </c>
      <c r="EX67" s="50">
        <f xml:space="preserve"> 'WK2015'!FO77</f>
        <v>4701.7683077999991</v>
      </c>
      <c r="EY67" s="50">
        <f xml:space="preserve"> 'WK2015'!FP77</f>
        <v>4437.8109151999988</v>
      </c>
      <c r="EZ67" s="61">
        <f xml:space="preserve"> 'WK2015'!FK77</f>
        <v>0.72798326009334646</v>
      </c>
      <c r="FA67" s="1"/>
      <c r="FB67" s="50">
        <f xml:space="preserve"> 'WK2015'!FW77</f>
        <v>776.68601439999998</v>
      </c>
      <c r="FC67" s="50">
        <f xml:space="preserve"> 'WK2015'!FX77</f>
        <v>841.54373959999998</v>
      </c>
      <c r="FD67" s="50">
        <f xml:space="preserve"> 'WK2015'!GA77</f>
        <v>776.68601439999998</v>
      </c>
      <c r="FE67" s="50">
        <f xml:space="preserve"> 'WK2015'!GB77</f>
        <v>841.54373959999998</v>
      </c>
      <c r="FF67" s="50">
        <f xml:space="preserve"> 'WK2015'!GC77</f>
        <v>776.68601439999998</v>
      </c>
      <c r="FG67" s="50">
        <f xml:space="preserve"> 'WK2015'!GD77</f>
        <v>841.54373959999998</v>
      </c>
      <c r="FH67" s="61">
        <f xml:space="preserve"> 'WK2015'!FY77</f>
        <v>0.73066821326654385</v>
      </c>
      <c r="FI67" s="1"/>
      <c r="FJ67" s="50">
        <f xml:space="preserve"> 'WK2015'!GK77</f>
        <v>613.09662524999999</v>
      </c>
      <c r="FK67" s="50">
        <f xml:space="preserve"> 'WK2015'!GL77</f>
        <v>587.6745585000001</v>
      </c>
      <c r="FL67" s="50">
        <f xml:space="preserve"> 'WK2015'!GO77</f>
        <v>613.09662524999999</v>
      </c>
      <c r="FM67" s="50">
        <f xml:space="preserve"> 'WK2015'!GP77</f>
        <v>587.6745585000001</v>
      </c>
      <c r="FN67" s="50">
        <f xml:space="preserve"> 'WK2015'!GQ77</f>
        <v>613.09662524999999</v>
      </c>
      <c r="FO67" s="50">
        <f xml:space="preserve"> 'WK2015'!GR77</f>
        <v>587.6745585000001</v>
      </c>
      <c r="FP67" s="61">
        <f xml:space="preserve"> 'WK2015'!GM77</f>
        <v>0.72671724487986367</v>
      </c>
      <c r="FS67" s="283">
        <f xml:space="preserve"> 'WK2015'!H77</f>
        <v>3146.6625750000003</v>
      </c>
      <c r="FT67" s="283">
        <f xml:space="preserve"> 'WK2015'!I77</f>
        <v>2985.7959219999998</v>
      </c>
      <c r="FU67" s="283">
        <f xml:space="preserve"> 'WK2015'!L77</f>
        <v>3146.6625750000003</v>
      </c>
      <c r="FV67" s="283">
        <f xml:space="preserve"> 'WK2015'!M77</f>
        <v>2985.7959219999998</v>
      </c>
      <c r="FW67" s="283">
        <f xml:space="preserve"> 'WK2015'!N77</f>
        <v>3146.6625750000003</v>
      </c>
      <c r="FX67" s="283">
        <f xml:space="preserve"> 'WK2015'!O77</f>
        <v>2985.7959219999998</v>
      </c>
      <c r="FY67" s="284">
        <f xml:space="preserve"> 'WK2015'!P77</f>
        <v>0.72433961349626319</v>
      </c>
      <c r="GA67" s="283">
        <f xml:space="preserve"> 'WK2015'!HB77</f>
        <v>2419.0889279999997</v>
      </c>
      <c r="GB67" s="283">
        <f xml:space="preserve"> 'WK2015'!HC77</f>
        <v>2617.7218989999997</v>
      </c>
      <c r="GC67" s="283">
        <f xml:space="preserve"> 'WK2015'!HF77</f>
        <v>2419.0889279999997</v>
      </c>
      <c r="GD67" s="283">
        <f xml:space="preserve"> 'WK2015'!HG77</f>
        <v>2617.7218989999997</v>
      </c>
      <c r="GE67" s="283">
        <f xml:space="preserve"> 'WK2015'!HH77</f>
        <v>2419.0889279999997</v>
      </c>
      <c r="GF67" s="283">
        <f xml:space="preserve"> 'WK2015'!HI77</f>
        <v>2617.7218989999997</v>
      </c>
      <c r="GG67" s="284">
        <f xml:space="preserve"> 'WK2015'!HJ77</f>
        <v>0.7051693062604294</v>
      </c>
      <c r="GI67" s="283">
        <f xml:space="preserve"> 'WK2015'!HQ77</f>
        <v>2516.5652749999999</v>
      </c>
      <c r="GJ67" s="283">
        <f xml:space="preserve"> 'WK2015'!HR77</f>
        <v>2739.5597250000001</v>
      </c>
      <c r="GK67" s="283">
        <f xml:space="preserve"> 'WK2015'!HU77</f>
        <v>2516.5652749999999</v>
      </c>
      <c r="GL67" s="283">
        <f xml:space="preserve"> 'WK2015'!HV77</f>
        <v>2739.5597250000001</v>
      </c>
      <c r="GM67" s="283">
        <f xml:space="preserve"> 'WK2015'!HW77</f>
        <v>2516.5652749999999</v>
      </c>
      <c r="GN67" s="283">
        <f xml:space="preserve"> 'WK2015'!HX77</f>
        <v>2739.5597250000001</v>
      </c>
      <c r="GO67" s="284">
        <f xml:space="preserve"> 'WK2015'!HY77</f>
        <v>0.76715157578023063</v>
      </c>
    </row>
    <row r="68" spans="1:197" x14ac:dyDescent="0.2">
      <c r="A68" s="3">
        <f>Basis!A68</f>
        <v>68</v>
      </c>
      <c r="D68" s="252" t="e">
        <v>#N/A</v>
      </c>
      <c r="E68" s="252" t="e">
        <v>#N/A</v>
      </c>
      <c r="H68" s="50">
        <f xml:space="preserve"> 'WK2012'!EG78</f>
        <v>6309.0133170183872</v>
      </c>
      <c r="I68" s="50">
        <f xml:space="preserve"> 'WK2012'!EH78</f>
        <v>6742.3218971787783</v>
      </c>
      <c r="J68" s="50">
        <f xml:space="preserve"> 'WK2012'!EK78</f>
        <v>6309.0476004777738</v>
      </c>
      <c r="K68" s="50">
        <f xml:space="preserve"> 'WK2012'!EL78</f>
        <v>6742.2793147336843</v>
      </c>
      <c r="L68" s="50">
        <f xml:space="preserve"> 'WK2012'!EM78</f>
        <v>6309.0133170183872</v>
      </c>
      <c r="M68" s="50">
        <f xml:space="preserve"> 'WK2012'!EN78</f>
        <v>6742.2450312742967</v>
      </c>
      <c r="N68" s="61">
        <f xml:space="preserve"> 'WK2012'!EI78</f>
        <v>0.71183398894868266</v>
      </c>
      <c r="P68" s="50">
        <f xml:space="preserve"> 'WK2012'!EU78</f>
        <v>5803.6720552725837</v>
      </c>
      <c r="Q68" s="50">
        <f xml:space="preserve"> 'WK2012'!EV78</f>
        <v>6111.4690477693348</v>
      </c>
      <c r="R68" s="50">
        <f xml:space="preserve"> 'WK2012'!EY78</f>
        <v>5803.6720552725837</v>
      </c>
      <c r="S68" s="50">
        <f xml:space="preserve"> 'WK2012'!EZ78</f>
        <v>6111.4690477693348</v>
      </c>
      <c r="T68" s="50">
        <f xml:space="preserve"> 'WK2012'!FA78</f>
        <v>5803.6720552725837</v>
      </c>
      <c r="U68" s="50">
        <f xml:space="preserve"> 'WK2012'!FB78</f>
        <v>6111.4690477693348</v>
      </c>
      <c r="V68" s="61">
        <f xml:space="preserve"> 'WK2012'!EW78</f>
        <v>0.72172259476919676</v>
      </c>
      <c r="X68" s="50">
        <f xml:space="preserve"> 'WK2012'!FI78</f>
        <v>4045.4403892679206</v>
      </c>
      <c r="Y68" s="50">
        <f xml:space="preserve"> 'WK2012'!FJ78</f>
        <v>3957.3110841851367</v>
      </c>
      <c r="Z68" s="50">
        <f xml:space="preserve"> 'WK2012'!FM78</f>
        <v>4045.4403892679206</v>
      </c>
      <c r="AA68" s="50">
        <f xml:space="preserve"> 'WK2012'!FN78</f>
        <v>3957.3110841851367</v>
      </c>
      <c r="AB68" s="50">
        <f xml:space="preserve"> 'WK2012'!FO78</f>
        <v>4045.4403892679206</v>
      </c>
      <c r="AC68" s="50">
        <f xml:space="preserve"> 'WK2012'!FP78</f>
        <v>3957.3110841851367</v>
      </c>
      <c r="AD68" s="61">
        <f xml:space="preserve"> 'WK2012'!FK78</f>
        <v>0.7209275893184397</v>
      </c>
      <c r="AF68" s="50">
        <f xml:space="preserve"> 'WK2012'!FW78</f>
        <v>594.57120627793449</v>
      </c>
      <c r="AG68" s="50">
        <f xml:space="preserve"> 'WK2012'!FX78</f>
        <v>495.97734653023332</v>
      </c>
      <c r="AH68" s="50">
        <f xml:space="preserve"> 'WK2012'!GA78</f>
        <v>594.60206139138268</v>
      </c>
      <c r="AI68" s="50">
        <f xml:space="preserve"> 'WK2012'!GB78</f>
        <v>495.93902232964808</v>
      </c>
      <c r="AJ68" s="50">
        <f xml:space="preserve"> 'WK2012'!GC78</f>
        <v>594.57120627793449</v>
      </c>
      <c r="AK68" s="50">
        <f xml:space="preserve"> 'WK2012'!GD78</f>
        <v>495.9081672161999</v>
      </c>
      <c r="AL68" s="61">
        <f xml:space="preserve"> 'WK2012'!FY78</f>
        <v>0.72020306516028543</v>
      </c>
      <c r="AN68" s="50">
        <f xml:space="preserve"> 'WK2012'!GK78</f>
        <v>600.43429583940986</v>
      </c>
      <c r="AO68" s="50">
        <f xml:space="preserve"> 'WK2012'!GL78</f>
        <v>653.44237754580445</v>
      </c>
      <c r="AP68" s="50">
        <f xml:space="preserve"> 'WK2012'!GO78</f>
        <v>600.43429583940986</v>
      </c>
      <c r="AQ68" s="50">
        <f xml:space="preserve"> 'WK2012'!GP78</f>
        <v>653.44237754580445</v>
      </c>
      <c r="AR68" s="50">
        <f xml:space="preserve"> 'WK2012'!GQ78</f>
        <v>600.43429583940986</v>
      </c>
      <c r="AS68" s="50">
        <f xml:space="preserve"> 'WK2012'!GR78</f>
        <v>653.44237754580445</v>
      </c>
      <c r="AT68" s="61">
        <f xml:space="preserve"> 'WK2012'!GM78</f>
        <v>0.71756931484141173</v>
      </c>
      <c r="AX68" s="50">
        <f xml:space="preserve"> 'WK2013'!EG78</f>
        <v>6784.1216355999995</v>
      </c>
      <c r="AY68" s="50">
        <f xml:space="preserve"> 'WK2013'!EH78</f>
        <v>6443.5702518000007</v>
      </c>
      <c r="AZ68" s="50">
        <f xml:space="preserve"> 'WK2013'!EK78</f>
        <v>6784.1216355999995</v>
      </c>
      <c r="BA68" s="50">
        <f xml:space="preserve"> 'WK2013'!EL78</f>
        <v>6443.5702518000007</v>
      </c>
      <c r="BB68" s="50">
        <f xml:space="preserve"> 'WK2013'!EM78</f>
        <v>6784.1216355999995</v>
      </c>
      <c r="BC68" s="50">
        <f xml:space="preserve"> 'WK2013'!EN78</f>
        <v>6443.5702518000007</v>
      </c>
      <c r="BD68" s="61">
        <f xml:space="preserve"> 'WK2013'!EI78</f>
        <v>0.69324512478221623</v>
      </c>
      <c r="BF68" s="50">
        <f xml:space="preserve"> 'WK2013'!EU78</f>
        <v>5830.9200423999991</v>
      </c>
      <c r="BG68" s="50">
        <f xml:space="preserve"> 'WK2013'!EV78</f>
        <v>5525.2533251999994</v>
      </c>
      <c r="BH68" s="50">
        <f xml:space="preserve"> 'WK2013'!EY78</f>
        <v>5830.9200423999991</v>
      </c>
      <c r="BI68" s="50">
        <f xml:space="preserve"> 'WK2013'!EZ78</f>
        <v>5525.2533251999994</v>
      </c>
      <c r="BJ68" s="50">
        <f xml:space="preserve"> 'WK2013'!FA78</f>
        <v>5830.9200423999991</v>
      </c>
      <c r="BK68" s="50">
        <f xml:space="preserve"> 'WK2013'!FB78</f>
        <v>5525.2533251999994</v>
      </c>
      <c r="BL68" s="61">
        <f xml:space="preserve"> 'WK2013'!EW78</f>
        <v>0.70847378860354238</v>
      </c>
      <c r="BN68" s="50">
        <f xml:space="preserve"> 'WK2013'!FI78</f>
        <v>4555.9662953999996</v>
      </c>
      <c r="BO68" s="50">
        <f xml:space="preserve"> 'WK2013'!FJ78</f>
        <v>4425.8754553999997</v>
      </c>
      <c r="BP68" s="50">
        <f xml:space="preserve"> 'WK2013'!FM78</f>
        <v>4555.9662953999996</v>
      </c>
      <c r="BQ68" s="50">
        <f xml:space="preserve"> 'WK2013'!FN78</f>
        <v>4425.8754553999997</v>
      </c>
      <c r="BR68" s="50">
        <f xml:space="preserve"> 'WK2013'!FO78</f>
        <v>4555.9662953999996</v>
      </c>
      <c r="BS68" s="50">
        <f xml:space="preserve"> 'WK2013'!FP78</f>
        <v>4425.8754553999997</v>
      </c>
      <c r="BT68" s="61">
        <f xml:space="preserve"> 'WK2013'!FK78</f>
        <v>0.71064496490931373</v>
      </c>
      <c r="BV68" s="50">
        <f xml:space="preserve"> 'WK2013'!FW78</f>
        <v>801.19771360000004</v>
      </c>
      <c r="BW68" s="50">
        <f xml:space="preserve"> 'WK2013'!FX78</f>
        <v>862.75972479999996</v>
      </c>
      <c r="BX68" s="50">
        <f xml:space="preserve"> 'WK2013'!GA78</f>
        <v>801.19771360000004</v>
      </c>
      <c r="BY68" s="50">
        <f xml:space="preserve"> 'WK2013'!GB78</f>
        <v>862.75972479999996</v>
      </c>
      <c r="BZ68" s="50">
        <f xml:space="preserve"> 'WK2013'!GC78</f>
        <v>801.19771360000004</v>
      </c>
      <c r="CA68" s="50">
        <f xml:space="preserve"> 'WK2013'!GD78</f>
        <v>862.75972479999996</v>
      </c>
      <c r="CB68" s="61">
        <f xml:space="preserve"> 'WK2013'!FY78</f>
        <v>0.70736207069788992</v>
      </c>
      <c r="CD68" s="50">
        <f xml:space="preserve"> 'WK2013'!GK78</f>
        <v>634.84935750000011</v>
      </c>
      <c r="CE68" s="50">
        <f xml:space="preserve"> 'WK2013'!GL78</f>
        <v>585.06031725000003</v>
      </c>
      <c r="CF68" s="50">
        <f xml:space="preserve"> 'WK2013'!GO78</f>
        <v>634.84935750000011</v>
      </c>
      <c r="CG68" s="50">
        <f xml:space="preserve"> 'WK2013'!GP78</f>
        <v>585.06031725000003</v>
      </c>
      <c r="CH68" s="50">
        <f xml:space="preserve"> 'WK2013'!GQ78</f>
        <v>634.84935750000011</v>
      </c>
      <c r="CI68" s="50">
        <f xml:space="preserve"> 'WK2013'!GR78</f>
        <v>585.06031725000003</v>
      </c>
      <c r="CJ68" s="61">
        <f xml:space="preserve"> 'WK2013'!GM78</f>
        <v>0.7238459321317241</v>
      </c>
      <c r="CN68" s="50">
        <f xml:space="preserve"> 'WK2014'!EG78</f>
        <v>6837.2832959999996</v>
      </c>
      <c r="CO68" s="50">
        <f xml:space="preserve"> 'WK2014'!EH78</f>
        <v>6365.5050808000005</v>
      </c>
      <c r="CP68" s="50">
        <f xml:space="preserve"> 'WK2014'!EK78</f>
        <v>6837.2832959999996</v>
      </c>
      <c r="CQ68" s="50">
        <f xml:space="preserve"> 'WK2014'!EL78</f>
        <v>6365.5050808000005</v>
      </c>
      <c r="CR68" s="50">
        <f xml:space="preserve"> 'WK2014'!EM78</f>
        <v>6837.2832959999996</v>
      </c>
      <c r="CS68" s="50">
        <f xml:space="preserve"> 'WK2014'!EN78</f>
        <v>6365.5050808000005</v>
      </c>
      <c r="CT68" s="61">
        <f xml:space="preserve"> 'WK2014'!EI78</f>
        <v>0.71619440183834282</v>
      </c>
      <c r="CV68" s="50">
        <f xml:space="preserve"> 'WK2014'!EU78</f>
        <v>5697.0962520000012</v>
      </c>
      <c r="CW68" s="50">
        <f xml:space="preserve"> 'WK2014'!EV78</f>
        <v>5165.4170552000005</v>
      </c>
      <c r="CX68" s="50">
        <f xml:space="preserve"> 'WK2014'!EY78</f>
        <v>5697.0962520000012</v>
      </c>
      <c r="CY68" s="50">
        <f xml:space="preserve"> 'WK2014'!EZ78</f>
        <v>5165.4170552000005</v>
      </c>
      <c r="CZ68" s="50">
        <f xml:space="preserve"> 'WK2014'!FA78</f>
        <v>5697.0962520000012</v>
      </c>
      <c r="DA68" s="50">
        <f xml:space="preserve"> 'WK2014'!FB78</f>
        <v>5165.4170552000005</v>
      </c>
      <c r="DB68" s="61">
        <f xml:space="preserve"> 'WK2014'!EW78</f>
        <v>0.71163317564671524</v>
      </c>
      <c r="DC68" s="1"/>
      <c r="DD68" s="50">
        <f xml:space="preserve"> 'WK2014'!FI78</f>
        <v>4273.4229839999998</v>
      </c>
      <c r="DE68" s="50">
        <f xml:space="preserve"> 'WK2014'!FJ78</f>
        <v>4140.5300981999999</v>
      </c>
      <c r="DF68" s="50">
        <f xml:space="preserve"> 'WK2014'!FM78</f>
        <v>4273.4229839999998</v>
      </c>
      <c r="DG68" s="50">
        <f xml:space="preserve"> 'WK2014'!FN78</f>
        <v>4140.5300981999999</v>
      </c>
      <c r="DH68" s="50">
        <f xml:space="preserve"> 'WK2014'!FO78</f>
        <v>4273.4229839999998</v>
      </c>
      <c r="DI68" s="50">
        <f xml:space="preserve"> 'WK2014'!FP78</f>
        <v>4140.5300981999999</v>
      </c>
      <c r="DJ68" s="61">
        <f xml:space="preserve"> 'WK2014'!FK78</f>
        <v>0.71373205950058138</v>
      </c>
      <c r="DK68" s="1"/>
      <c r="DL68" s="50">
        <f xml:space="preserve"> 'WK2014'!FW78</f>
        <v>784.13771999999994</v>
      </c>
      <c r="DM68" s="50">
        <f xml:space="preserve"> 'WK2014'!FX78</f>
        <v>849.88125680000007</v>
      </c>
      <c r="DN68" s="50">
        <f xml:space="preserve"> 'WK2014'!GA78</f>
        <v>784.13771999999994</v>
      </c>
      <c r="DO68" s="50">
        <f xml:space="preserve"> 'WK2014'!GB78</f>
        <v>849.88125680000007</v>
      </c>
      <c r="DP68" s="50">
        <f xml:space="preserve"> 'WK2014'!GC78</f>
        <v>784.13771999999994</v>
      </c>
      <c r="DQ68" s="50">
        <f xml:space="preserve"> 'WK2014'!GD78</f>
        <v>849.88125680000007</v>
      </c>
      <c r="DR68" s="61">
        <f xml:space="preserve"> 'WK2014'!FY78</f>
        <v>0.71224858500692301</v>
      </c>
      <c r="DS68" s="1"/>
      <c r="DT68" s="50">
        <f xml:space="preserve"> 'WK2014'!GK78</f>
        <v>959.75637299999983</v>
      </c>
      <c r="DU68" s="50">
        <f xml:space="preserve"> 'WK2014'!GL78</f>
        <v>810.83829300000014</v>
      </c>
      <c r="DV68" s="50">
        <f xml:space="preserve"> 'WK2014'!GO78</f>
        <v>959.75637299999983</v>
      </c>
      <c r="DW68" s="50">
        <f xml:space="preserve"> 'WK2014'!GP78</f>
        <v>810.83829300000014</v>
      </c>
      <c r="DX68" s="50">
        <f xml:space="preserve"> 'WK2014'!GQ78</f>
        <v>959.75637299999983</v>
      </c>
      <c r="DY68" s="50">
        <f xml:space="preserve"> 'WK2014'!GR78</f>
        <v>810.83829300000014</v>
      </c>
      <c r="DZ68" s="61">
        <f xml:space="preserve"> 'WK2014'!GM78</f>
        <v>0.71621377440338452</v>
      </c>
      <c r="ED68" s="50">
        <f xml:space="preserve"> 'WK2015'!EG78</f>
        <v>6564.2003121999996</v>
      </c>
      <c r="EE68" s="50">
        <f xml:space="preserve"> 'WK2015'!EH78</f>
        <v>5778.3038257999997</v>
      </c>
      <c r="EF68" s="50">
        <f xml:space="preserve"> 'WK2015'!EK78</f>
        <v>6564.2003121999996</v>
      </c>
      <c r="EG68" s="50">
        <f xml:space="preserve"> 'WK2015'!EL78</f>
        <v>5778.3038257999997</v>
      </c>
      <c r="EH68" s="50">
        <f xml:space="preserve"> 'WK2015'!EM78</f>
        <v>6564.2003121999996</v>
      </c>
      <c r="EI68" s="50">
        <f xml:space="preserve"> 'WK2015'!EN78</f>
        <v>5778.3038257999997</v>
      </c>
      <c r="EJ68" s="61">
        <f xml:space="preserve"> 'WK2015'!EI78</f>
        <v>0.72395204480321684</v>
      </c>
      <c r="EK68" s="1"/>
      <c r="EL68" s="50">
        <f xml:space="preserve"> 'WK2015'!EU78</f>
        <v>5792.8714733000006</v>
      </c>
      <c r="EM68" s="50">
        <f xml:space="preserve"> 'WK2015'!EV78</f>
        <v>5367.1786587000006</v>
      </c>
      <c r="EN68" s="50">
        <f xml:space="preserve"> 'WK2015'!EY78</f>
        <v>5792.8714733000006</v>
      </c>
      <c r="EO68" s="50">
        <f xml:space="preserve"> 'WK2015'!EZ78</f>
        <v>5367.1786587000006</v>
      </c>
      <c r="EP68" s="50">
        <f xml:space="preserve"> 'WK2015'!FA78</f>
        <v>5792.8714733000006</v>
      </c>
      <c r="EQ68" s="50">
        <f xml:space="preserve"> 'WK2015'!FB78</f>
        <v>5367.1786587000006</v>
      </c>
      <c r="ER68" s="61">
        <f xml:space="preserve"> 'WK2015'!EW78</f>
        <v>0.72682690307341002</v>
      </c>
      <c r="ES68" s="1"/>
      <c r="ET68" s="50">
        <f xml:space="preserve"> 'WK2015'!FI78</f>
        <v>4956.9013788000002</v>
      </c>
      <c r="EU68" s="50">
        <f xml:space="preserve"> 'WK2015'!FJ78</f>
        <v>4637.8323967999995</v>
      </c>
      <c r="EV68" s="50">
        <f xml:space="preserve"> 'WK2015'!FM78</f>
        <v>4956.9013788000002</v>
      </c>
      <c r="EW68" s="50">
        <f xml:space="preserve"> 'WK2015'!FN78</f>
        <v>4637.8323967999995</v>
      </c>
      <c r="EX68" s="50">
        <f xml:space="preserve"> 'WK2015'!FO78</f>
        <v>4956.9013788000002</v>
      </c>
      <c r="EY68" s="50">
        <f xml:space="preserve"> 'WK2015'!FP78</f>
        <v>4637.8323967999995</v>
      </c>
      <c r="EZ68" s="61">
        <f xml:space="preserve"> 'WK2015'!FK78</f>
        <v>0.72468662397630723</v>
      </c>
      <c r="FA68" s="1"/>
      <c r="FB68" s="50">
        <f xml:space="preserve"> 'WK2015'!FW78</f>
        <v>783.85528720000002</v>
      </c>
      <c r="FC68" s="50">
        <f xml:space="preserve"> 'WK2015'!FX78</f>
        <v>848.6232328000001</v>
      </c>
      <c r="FD68" s="50">
        <f xml:space="preserve"> 'WK2015'!GA78</f>
        <v>783.85528720000002</v>
      </c>
      <c r="FE68" s="50">
        <f xml:space="preserve"> 'WK2015'!GB78</f>
        <v>848.6232328000001</v>
      </c>
      <c r="FF68" s="50">
        <f xml:space="preserve"> 'WK2015'!GC78</f>
        <v>783.85528720000002</v>
      </c>
      <c r="FG68" s="50">
        <f xml:space="preserve"> 'WK2015'!GD78</f>
        <v>848.6232328000001</v>
      </c>
      <c r="FH68" s="61">
        <f xml:space="preserve"> 'WK2015'!FY78</f>
        <v>0.72713163073386444</v>
      </c>
      <c r="FI68" s="1"/>
      <c r="FJ68" s="50">
        <f xml:space="preserve"> 'WK2015'!GK78</f>
        <v>651.32053649999989</v>
      </c>
      <c r="FK68" s="50">
        <f xml:space="preserve"> 'WK2015'!GL78</f>
        <v>620.056512</v>
      </c>
      <c r="FL68" s="50">
        <f xml:space="preserve"> 'WK2015'!GO78</f>
        <v>651.32053649999989</v>
      </c>
      <c r="FM68" s="50">
        <f xml:space="preserve"> 'WK2015'!GP78</f>
        <v>620.056512</v>
      </c>
      <c r="FN68" s="50">
        <f xml:space="preserve"> 'WK2015'!GQ78</f>
        <v>651.32053649999989</v>
      </c>
      <c r="FO68" s="50">
        <f xml:space="preserve"> 'WK2015'!GR78</f>
        <v>620.056512</v>
      </c>
      <c r="FP68" s="61">
        <f xml:space="preserve"> 'WK2015'!GM78</f>
        <v>0.72166651198562337</v>
      </c>
      <c r="FS68" s="283">
        <f xml:space="preserve"> 'WK2015'!H78</f>
        <v>3297.9872249999999</v>
      </c>
      <c r="FT68" s="283">
        <f xml:space="preserve"> 'WK2015'!I78</f>
        <v>3099.3105819999996</v>
      </c>
      <c r="FU68" s="283">
        <f xml:space="preserve"> 'WK2015'!L78</f>
        <v>3297.9872249999999</v>
      </c>
      <c r="FV68" s="283">
        <f xml:space="preserve"> 'WK2015'!M78</f>
        <v>3099.3105819999996</v>
      </c>
      <c r="FW68" s="283">
        <f xml:space="preserve"> 'WK2015'!N78</f>
        <v>3297.9872249999999</v>
      </c>
      <c r="FX68" s="283">
        <f xml:space="preserve"> 'WK2015'!O78</f>
        <v>3099.3105819999996</v>
      </c>
      <c r="FY68" s="284">
        <f xml:space="preserve"> 'WK2015'!P78</f>
        <v>0.71821385662522863</v>
      </c>
      <c r="GA68" s="283">
        <f xml:space="preserve"> 'WK2015'!HB78</f>
        <v>2542.499769</v>
      </c>
      <c r="GB68" s="283">
        <f xml:space="preserve"> 'WK2015'!HC78</f>
        <v>2739.5174559999996</v>
      </c>
      <c r="GC68" s="283">
        <f xml:space="preserve"> 'WK2015'!HF78</f>
        <v>2542.499769</v>
      </c>
      <c r="GD68" s="283">
        <f xml:space="preserve"> 'WK2015'!HG78</f>
        <v>2739.5174559999996</v>
      </c>
      <c r="GE68" s="283">
        <f xml:space="preserve"> 'WK2015'!HH78</f>
        <v>2542.499769</v>
      </c>
      <c r="GF68" s="283">
        <f xml:space="preserve"> 'WK2015'!HI78</f>
        <v>2739.5174559999996</v>
      </c>
      <c r="GG68" s="284">
        <f xml:space="preserve"> 'WK2015'!HJ78</f>
        <v>0.70953553422025784</v>
      </c>
      <c r="GI68" s="283">
        <f xml:space="preserve"> 'WK2015'!HQ78</f>
        <v>2677.8678850000001</v>
      </c>
      <c r="GJ68" s="283">
        <f xml:space="preserve"> 'WK2015'!HR78</f>
        <v>2924.833842</v>
      </c>
      <c r="GK68" s="283">
        <f xml:space="preserve"> 'WK2015'!HU78</f>
        <v>2677.8678850000001</v>
      </c>
      <c r="GL68" s="283">
        <f xml:space="preserve"> 'WK2015'!HV78</f>
        <v>2924.833842</v>
      </c>
      <c r="GM68" s="283">
        <f xml:space="preserve"> 'WK2015'!HW78</f>
        <v>2677.8678850000001</v>
      </c>
      <c r="GN68" s="283">
        <f xml:space="preserve"> 'WK2015'!HX78</f>
        <v>2924.833842</v>
      </c>
      <c r="GO68" s="284">
        <f xml:space="preserve"> 'WK2015'!HY78</f>
        <v>0.75208544973410374</v>
      </c>
    </row>
    <row r="69" spans="1:197" x14ac:dyDescent="0.2">
      <c r="A69" s="3">
        <f>Basis!A69</f>
        <v>69</v>
      </c>
      <c r="D69" s="252" t="e">
        <v>#N/A</v>
      </c>
      <c r="E69" s="252" t="e">
        <v>#N/A</v>
      </c>
      <c r="H69" s="50">
        <f xml:space="preserve"> 'WK2012'!EG79</f>
        <v>6633.3133688812732</v>
      </c>
      <c r="I69" s="50">
        <f xml:space="preserve"> 'WK2012'!EH79</f>
        <v>6936.3814916843767</v>
      </c>
      <c r="J69" s="50">
        <f xml:space="preserve"> 'WK2012'!EK79</f>
        <v>6633.3476066374569</v>
      </c>
      <c r="K69" s="50">
        <f xml:space="preserve"> 'WK2012'!EL79</f>
        <v>6936.3388635360789</v>
      </c>
      <c r="L69" s="50">
        <f xml:space="preserve"> 'WK2012'!EM79</f>
        <v>6633.3133688812732</v>
      </c>
      <c r="M69" s="50">
        <f xml:space="preserve"> 'WK2012'!EN79</f>
        <v>6936.3046257798951</v>
      </c>
      <c r="N69" s="61">
        <f xml:space="preserve"> 'WK2012'!EI79</f>
        <v>0.70057751489151354</v>
      </c>
      <c r="P69" s="50">
        <f xml:space="preserve"> 'WK2012'!EU79</f>
        <v>6104.6965408128481</v>
      </c>
      <c r="Q69" s="50">
        <f xml:space="preserve"> 'WK2012'!EV79</f>
        <v>6306.4045685414521</v>
      </c>
      <c r="R69" s="50">
        <f xml:space="preserve"> 'WK2012'!EY79</f>
        <v>6104.6965408128481</v>
      </c>
      <c r="S69" s="50">
        <f xml:space="preserve"> 'WK2012'!EZ79</f>
        <v>6306.4045685414521</v>
      </c>
      <c r="T69" s="50">
        <f xml:space="preserve"> 'WK2012'!FA79</f>
        <v>6104.6965408128481</v>
      </c>
      <c r="U69" s="50">
        <f xml:space="preserve"> 'WK2012'!FB79</f>
        <v>6306.4045685414521</v>
      </c>
      <c r="V69" s="61">
        <f xml:space="preserve"> 'WK2012'!EW79</f>
        <v>0.71465663249269895</v>
      </c>
      <c r="X69" s="50">
        <f xml:space="preserve"> 'WK2012'!FI79</f>
        <v>4278.4011499388926</v>
      </c>
      <c r="Y69" s="50">
        <f xml:space="preserve"> 'WK2012'!FJ79</f>
        <v>4096.3637503852024</v>
      </c>
      <c r="Z69" s="50">
        <f xml:space="preserve"> 'WK2012'!FM79</f>
        <v>4278.4011499388926</v>
      </c>
      <c r="AA69" s="50">
        <f xml:space="preserve"> 'WK2012'!FN79</f>
        <v>4096.3637503852024</v>
      </c>
      <c r="AB69" s="50">
        <f xml:space="preserve"> 'WK2012'!FO79</f>
        <v>4278.4011499388926</v>
      </c>
      <c r="AC69" s="50">
        <f xml:space="preserve"> 'WK2012'!FP79</f>
        <v>4096.3637503852024</v>
      </c>
      <c r="AD69" s="61">
        <f xml:space="preserve"> 'WK2012'!FK79</f>
        <v>0.71757886348829469</v>
      </c>
      <c r="AF69" s="50">
        <f xml:space="preserve"> 'WK2012'!FW79</f>
        <v>625.21524957397548</v>
      </c>
      <c r="AG69" s="50">
        <f xml:space="preserve"> 'WK2012'!FX79</f>
        <v>530.81330798368811</v>
      </c>
      <c r="AH69" s="50">
        <f xml:space="preserve"> 'WK2012'!GA79</f>
        <v>625.24606355454102</v>
      </c>
      <c r="AI69" s="50">
        <f xml:space="preserve"> 'WK2012'!GB79</f>
        <v>530.77494265022028</v>
      </c>
      <c r="AJ69" s="50">
        <f xml:space="preserve"> 'WK2012'!GC79</f>
        <v>625.21524957397548</v>
      </c>
      <c r="AK69" s="50">
        <f xml:space="preserve"> 'WK2012'!GD79</f>
        <v>530.74412866965474</v>
      </c>
      <c r="AL69" s="61">
        <f xml:space="preserve"> 'WK2012'!FY79</f>
        <v>0.71333485738936353</v>
      </c>
      <c r="AN69" s="50">
        <f xml:space="preserve"> 'WK2012'!GK79</f>
        <v>602.64893751066461</v>
      </c>
      <c r="AO69" s="50">
        <f xml:space="preserve"> 'WK2012'!GL79</f>
        <v>649.55724082263305</v>
      </c>
      <c r="AP69" s="50">
        <f xml:space="preserve"> 'WK2012'!GO79</f>
        <v>602.64893751066461</v>
      </c>
      <c r="AQ69" s="50">
        <f xml:space="preserve"> 'WK2012'!GP79</f>
        <v>649.55724082263305</v>
      </c>
      <c r="AR69" s="50">
        <f xml:space="preserve"> 'WK2012'!GQ79</f>
        <v>602.64893751066461</v>
      </c>
      <c r="AS69" s="50">
        <f xml:space="preserve"> 'WK2012'!GR79</f>
        <v>649.55724082263305</v>
      </c>
      <c r="AT69" s="61">
        <f xml:space="preserve"> 'WK2012'!GM79</f>
        <v>0.71034781699711369</v>
      </c>
      <c r="AX69" s="50">
        <f xml:space="preserve"> 'WK2013'!EG79</f>
        <v>7120.6464667999999</v>
      </c>
      <c r="AY69" s="50">
        <f xml:space="preserve"> 'WK2013'!EH79</f>
        <v>6719.2137734000007</v>
      </c>
      <c r="AZ69" s="50">
        <f xml:space="preserve"> 'WK2013'!EK79</f>
        <v>7120.6464667999999</v>
      </c>
      <c r="BA69" s="50">
        <f xml:space="preserve"> 'WK2013'!EL79</f>
        <v>6719.2137734000007</v>
      </c>
      <c r="BB69" s="50">
        <f xml:space="preserve"> 'WK2013'!EM79</f>
        <v>7120.6464667999999</v>
      </c>
      <c r="BC69" s="50">
        <f xml:space="preserve"> 'WK2013'!EN79</f>
        <v>6719.2137734000007</v>
      </c>
      <c r="BD69" s="61">
        <f xml:space="preserve"> 'WK2013'!EI79</f>
        <v>0.69599691573351408</v>
      </c>
      <c r="BF69" s="50">
        <f xml:space="preserve"> 'WK2013'!EU79</f>
        <v>6158.5155076999999</v>
      </c>
      <c r="BG69" s="50">
        <f xml:space="preserve"> 'WK2013'!EV79</f>
        <v>5800.2813126000001</v>
      </c>
      <c r="BH69" s="50">
        <f xml:space="preserve"> 'WK2013'!EY79</f>
        <v>6158.5155076999999</v>
      </c>
      <c r="BI69" s="50">
        <f xml:space="preserve"> 'WK2013'!EZ79</f>
        <v>5800.2813126000001</v>
      </c>
      <c r="BJ69" s="50">
        <f xml:space="preserve"> 'WK2013'!FA79</f>
        <v>6158.5155076999999</v>
      </c>
      <c r="BK69" s="50">
        <f xml:space="preserve"> 'WK2013'!FB79</f>
        <v>5800.2813126000001</v>
      </c>
      <c r="BL69" s="61">
        <f xml:space="preserve"> 'WK2013'!EW79</f>
        <v>0.70742470733315099</v>
      </c>
      <c r="BN69" s="50">
        <f xml:space="preserve"> 'WK2013'!FI79</f>
        <v>4790.3015445999999</v>
      </c>
      <c r="BO69" s="50">
        <f xml:space="preserve"> 'WK2013'!FJ79</f>
        <v>4598.6546883999999</v>
      </c>
      <c r="BP69" s="50">
        <f xml:space="preserve"> 'WK2013'!FM79</f>
        <v>4790.3015445999999</v>
      </c>
      <c r="BQ69" s="50">
        <f xml:space="preserve"> 'WK2013'!FN79</f>
        <v>4598.6546883999999</v>
      </c>
      <c r="BR69" s="50">
        <f xml:space="preserve"> 'WK2013'!FO79</f>
        <v>4790.3015445999999</v>
      </c>
      <c r="BS69" s="50">
        <f xml:space="preserve"> 'WK2013'!FP79</f>
        <v>4598.6546883999999</v>
      </c>
      <c r="BT69" s="61">
        <f xml:space="preserve"> 'WK2013'!FK79</f>
        <v>0.71093272363861171</v>
      </c>
      <c r="BV69" s="50">
        <f xml:space="preserve"> 'WK2013'!FW79</f>
        <v>807.83510979999983</v>
      </c>
      <c r="BW69" s="50">
        <f xml:space="preserve"> 'WK2013'!FX79</f>
        <v>868.40282539999998</v>
      </c>
      <c r="BX69" s="50">
        <f xml:space="preserve"> 'WK2013'!GA79</f>
        <v>807.83510979999983</v>
      </c>
      <c r="BY69" s="50">
        <f xml:space="preserve"> 'WK2013'!GB79</f>
        <v>868.40282539999998</v>
      </c>
      <c r="BZ69" s="50">
        <f xml:space="preserve"> 'WK2013'!GC79</f>
        <v>807.83510979999983</v>
      </c>
      <c r="CA69" s="50">
        <f xml:space="preserve"> 'WK2013'!GD79</f>
        <v>868.40282539999998</v>
      </c>
      <c r="CB69" s="61">
        <f xml:space="preserve"> 'WK2013'!FY79</f>
        <v>0.70593840510596217</v>
      </c>
      <c r="CD69" s="50">
        <f xml:space="preserve"> 'WK2013'!GK79</f>
        <v>674.88818325000011</v>
      </c>
      <c r="CE69" s="50">
        <f xml:space="preserve"> 'WK2013'!GL79</f>
        <v>619.44727875000001</v>
      </c>
      <c r="CF69" s="50">
        <f xml:space="preserve"> 'WK2013'!GO79</f>
        <v>674.88818325000011</v>
      </c>
      <c r="CG69" s="50">
        <f xml:space="preserve"> 'WK2013'!GP79</f>
        <v>619.44727875000001</v>
      </c>
      <c r="CH69" s="50">
        <f xml:space="preserve"> 'WK2013'!GQ79</f>
        <v>674.88818325000011</v>
      </c>
      <c r="CI69" s="50">
        <f xml:space="preserve"> 'WK2013'!GR79</f>
        <v>619.44727875000001</v>
      </c>
      <c r="CJ69" s="61">
        <f xml:space="preserve"> 'WK2013'!GM79</f>
        <v>0.72411516955781818</v>
      </c>
      <c r="CN69" s="50">
        <f xml:space="preserve"> 'WK2014'!EG79</f>
        <v>7176.5721527999995</v>
      </c>
      <c r="CO69" s="50">
        <f xml:space="preserve"> 'WK2014'!EH79</f>
        <v>6643.0076052000004</v>
      </c>
      <c r="CP69" s="50">
        <f xml:space="preserve"> 'WK2014'!EK79</f>
        <v>7176.5721527999995</v>
      </c>
      <c r="CQ69" s="50">
        <f xml:space="preserve"> 'WK2014'!EL79</f>
        <v>6643.0076052000004</v>
      </c>
      <c r="CR69" s="50">
        <f xml:space="preserve"> 'WK2014'!EM79</f>
        <v>7176.5721527999995</v>
      </c>
      <c r="CS69" s="50">
        <f xml:space="preserve"> 'WK2014'!EN79</f>
        <v>6643.0076052000004</v>
      </c>
      <c r="CT69" s="61">
        <f xml:space="preserve"> 'WK2014'!EI79</f>
        <v>0.70879107723751633</v>
      </c>
      <c r="CV69" s="50">
        <f xml:space="preserve"> 'WK2014'!EU79</f>
        <v>5996.2628791999996</v>
      </c>
      <c r="CW69" s="50">
        <f xml:space="preserve"> 'WK2014'!EV79</f>
        <v>5389.8216928000002</v>
      </c>
      <c r="CX69" s="50">
        <f xml:space="preserve"> 'WK2014'!EY79</f>
        <v>5996.2628791999996</v>
      </c>
      <c r="CY69" s="50">
        <f xml:space="preserve"> 'WK2014'!EZ79</f>
        <v>5389.8216928000002</v>
      </c>
      <c r="CZ69" s="50">
        <f xml:space="preserve"> 'WK2014'!FA79</f>
        <v>5996.2628791999996</v>
      </c>
      <c r="DA69" s="50">
        <f xml:space="preserve"> 'WK2014'!FB79</f>
        <v>5389.8216928000002</v>
      </c>
      <c r="DB69" s="61">
        <f xml:space="preserve"> 'WK2014'!EW79</f>
        <v>0.70000212270281792</v>
      </c>
      <c r="DC69" s="1"/>
      <c r="DD69" s="50">
        <f xml:space="preserve"> 'WK2014'!FI79</f>
        <v>4479.9785495999995</v>
      </c>
      <c r="DE69" s="50">
        <f xml:space="preserve"> 'WK2014'!FJ79</f>
        <v>4281.7748520000005</v>
      </c>
      <c r="DF69" s="50">
        <f xml:space="preserve"> 'WK2014'!FM79</f>
        <v>4479.9785495999995</v>
      </c>
      <c r="DG69" s="50">
        <f xml:space="preserve"> 'WK2014'!FN79</f>
        <v>4281.7748520000005</v>
      </c>
      <c r="DH69" s="50">
        <f xml:space="preserve"> 'WK2014'!FO79</f>
        <v>4479.9785495999995</v>
      </c>
      <c r="DI69" s="50">
        <f xml:space="preserve"> 'WK2014'!FP79</f>
        <v>4281.7748520000005</v>
      </c>
      <c r="DJ69" s="61">
        <f xml:space="preserve"> 'WK2014'!FK79</f>
        <v>0.7055715133142918</v>
      </c>
      <c r="DK69" s="1"/>
      <c r="DL69" s="50">
        <f xml:space="preserve"> 'WK2014'!FW79</f>
        <v>789.78160079999998</v>
      </c>
      <c r="DM69" s="50">
        <f xml:space="preserve"> 'WK2014'!FX79</f>
        <v>855.20591520000016</v>
      </c>
      <c r="DN69" s="50">
        <f xml:space="preserve"> 'WK2014'!GA79</f>
        <v>789.78160079999998</v>
      </c>
      <c r="DO69" s="50">
        <f xml:space="preserve"> 'WK2014'!GB79</f>
        <v>855.20591520000016</v>
      </c>
      <c r="DP69" s="50">
        <f xml:space="preserve"> 'WK2014'!GC79</f>
        <v>789.78160079999998</v>
      </c>
      <c r="DQ69" s="50">
        <f xml:space="preserve"> 'WK2014'!GD79</f>
        <v>855.20591520000016</v>
      </c>
      <c r="DR69" s="61">
        <f xml:space="preserve"> 'WK2014'!FY79</f>
        <v>0.70429848125637717</v>
      </c>
      <c r="DS69" s="1"/>
      <c r="DT69" s="50">
        <f xml:space="preserve"> 'WK2014'!GK79</f>
        <v>1016.8620569999998</v>
      </c>
      <c r="DU69" s="50">
        <f xml:space="preserve"> 'WK2014'!GL79</f>
        <v>874.89310350000017</v>
      </c>
      <c r="DV69" s="50">
        <f xml:space="preserve"> 'WK2014'!GO79</f>
        <v>1016.8620569999998</v>
      </c>
      <c r="DW69" s="50">
        <f xml:space="preserve"> 'WK2014'!GP79</f>
        <v>874.89310350000017</v>
      </c>
      <c r="DX69" s="50">
        <f xml:space="preserve"> 'WK2014'!GQ79</f>
        <v>1016.8620569999998</v>
      </c>
      <c r="DY69" s="50">
        <f xml:space="preserve"> 'WK2014'!GR79</f>
        <v>874.89310350000017</v>
      </c>
      <c r="DZ69" s="61">
        <f xml:space="preserve"> 'WK2014'!GM79</f>
        <v>0.71255249414627653</v>
      </c>
      <c r="ED69" s="50">
        <f xml:space="preserve"> 'WK2015'!EG79</f>
        <v>6889.5526241999996</v>
      </c>
      <c r="EE69" s="50">
        <f xml:space="preserve"> 'WK2015'!EH79</f>
        <v>6034.7802483999994</v>
      </c>
      <c r="EF69" s="50">
        <f xml:space="preserve"> 'WK2015'!EK79</f>
        <v>6889.5526241999996</v>
      </c>
      <c r="EG69" s="50">
        <f xml:space="preserve"> 'WK2015'!EL79</f>
        <v>6034.7802483999994</v>
      </c>
      <c r="EH69" s="50">
        <f xml:space="preserve"> 'WK2015'!EM79</f>
        <v>6889.5526241999996</v>
      </c>
      <c r="EI69" s="50">
        <f xml:space="preserve"> 'WK2015'!EN79</f>
        <v>6034.7802483999994</v>
      </c>
      <c r="EJ69" s="61">
        <f xml:space="preserve"> 'WK2015'!EI79</f>
        <v>0.71759980321011496</v>
      </c>
      <c r="EK69" s="1"/>
      <c r="EL69" s="50">
        <f xml:space="preserve"> 'WK2015'!EU79</f>
        <v>6116.9292982999996</v>
      </c>
      <c r="EM69" s="50">
        <f xml:space="preserve"> 'WK2015'!EV79</f>
        <v>5637.5454745999996</v>
      </c>
      <c r="EN69" s="50">
        <f xml:space="preserve"> 'WK2015'!EY79</f>
        <v>6116.9292982999996</v>
      </c>
      <c r="EO69" s="50">
        <f xml:space="preserve"> 'WK2015'!EZ79</f>
        <v>5637.5454745999996</v>
      </c>
      <c r="EP69" s="50">
        <f xml:space="preserve"> 'WK2015'!FA79</f>
        <v>6116.9292982999996</v>
      </c>
      <c r="EQ69" s="50">
        <f xml:space="preserve"> 'WK2015'!FB79</f>
        <v>5637.5454745999996</v>
      </c>
      <c r="ER69" s="61">
        <f xml:space="preserve"> 'WK2015'!EW79</f>
        <v>0.72412927318528242</v>
      </c>
      <c r="ES69" s="1"/>
      <c r="ET69" s="50">
        <f xml:space="preserve"> 'WK2015'!FI79</f>
        <v>5218.3410461999993</v>
      </c>
      <c r="EU69" s="50">
        <f xml:space="preserve"> 'WK2015'!FJ79</f>
        <v>4844.3741505999997</v>
      </c>
      <c r="EV69" s="50">
        <f xml:space="preserve"> 'WK2015'!FM79</f>
        <v>5218.3410461999993</v>
      </c>
      <c r="EW69" s="50">
        <f xml:space="preserve"> 'WK2015'!FN79</f>
        <v>4844.3741505999997</v>
      </c>
      <c r="EX69" s="50">
        <f xml:space="preserve"> 'WK2015'!FO79</f>
        <v>5218.3410461999993</v>
      </c>
      <c r="EY69" s="50">
        <f xml:space="preserve"> 'WK2015'!FP79</f>
        <v>4844.3741505999997</v>
      </c>
      <c r="EZ69" s="61">
        <f xml:space="preserve"> 'WK2015'!FK79</f>
        <v>0.72422857061395407</v>
      </c>
      <c r="FA69" s="1"/>
      <c r="FB69" s="50">
        <f xml:space="preserve"> 'WK2015'!FW79</f>
        <v>790.58327919999999</v>
      </c>
      <c r="FC69" s="50">
        <f xml:space="preserve"> 'WK2015'!FX79</f>
        <v>854.79458640000007</v>
      </c>
      <c r="FD69" s="50">
        <f xml:space="preserve"> 'WK2015'!GA79</f>
        <v>790.58327919999999</v>
      </c>
      <c r="FE69" s="50">
        <f xml:space="preserve"> 'WK2015'!GB79</f>
        <v>854.79458640000007</v>
      </c>
      <c r="FF69" s="50">
        <f xml:space="preserve"> 'WK2015'!GC79</f>
        <v>790.58327919999999</v>
      </c>
      <c r="FG69" s="50">
        <f xml:space="preserve"> 'WK2015'!GD79</f>
        <v>854.79458640000007</v>
      </c>
      <c r="FH69" s="61">
        <f xml:space="preserve"> 'WK2015'!FY79</f>
        <v>0.72172911511527993</v>
      </c>
      <c r="FI69" s="1"/>
      <c r="FJ69" s="50">
        <f xml:space="preserve"> 'WK2015'!GK79</f>
        <v>688.87340325000014</v>
      </c>
      <c r="FK69" s="50">
        <f xml:space="preserve"> 'WK2015'!GL79</f>
        <v>654.77059874999986</v>
      </c>
      <c r="FL69" s="50">
        <f xml:space="preserve"> 'WK2015'!GO79</f>
        <v>688.87340325000014</v>
      </c>
      <c r="FM69" s="50">
        <f xml:space="preserve"> 'WK2015'!GP79</f>
        <v>654.77059874999986</v>
      </c>
      <c r="FN69" s="50">
        <f xml:space="preserve"> 'WK2015'!GQ79</f>
        <v>688.87340325000014</v>
      </c>
      <c r="FO69" s="50">
        <f xml:space="preserve"> 'WK2015'!GR79</f>
        <v>654.77059874999986</v>
      </c>
      <c r="FP69" s="61">
        <f xml:space="preserve"> 'WK2015'!GM79</f>
        <v>0.71405525029972217</v>
      </c>
      <c r="FS69" s="283">
        <f xml:space="preserve"> 'WK2015'!H79</f>
        <v>3450.9932599999997</v>
      </c>
      <c r="FT69" s="283">
        <f xml:space="preserve"> 'WK2015'!I79</f>
        <v>3217.6901560000001</v>
      </c>
      <c r="FU69" s="283">
        <f xml:space="preserve"> 'WK2015'!L79</f>
        <v>3450.9932599999997</v>
      </c>
      <c r="FV69" s="283">
        <f xml:space="preserve"> 'WK2015'!M79</f>
        <v>3217.6901560000001</v>
      </c>
      <c r="FW69" s="283">
        <f xml:space="preserve"> 'WK2015'!N79</f>
        <v>3450.9932599999997</v>
      </c>
      <c r="FX69" s="283">
        <f xml:space="preserve"> 'WK2015'!O79</f>
        <v>3217.6901560000001</v>
      </c>
      <c r="FY69" s="284">
        <f xml:space="preserve"> 'WK2015'!P79</f>
        <v>0.71498984401008714</v>
      </c>
      <c r="GA69" s="283">
        <f xml:space="preserve"> 'WK2015'!HB79</f>
        <v>2673.1352999999999</v>
      </c>
      <c r="GB69" s="283">
        <f xml:space="preserve"> 'WK2015'!HC79</f>
        <v>2865.5222239999998</v>
      </c>
      <c r="GC69" s="283">
        <f xml:space="preserve"> 'WK2015'!HF79</f>
        <v>2673.1352999999999</v>
      </c>
      <c r="GD69" s="283">
        <f xml:space="preserve"> 'WK2015'!HG79</f>
        <v>2865.5222239999998</v>
      </c>
      <c r="GE69" s="283">
        <f xml:space="preserve"> 'WK2015'!HH79</f>
        <v>2673.1352999999999</v>
      </c>
      <c r="GF69" s="283">
        <f xml:space="preserve"> 'WK2015'!HI79</f>
        <v>2865.5222239999998</v>
      </c>
      <c r="GG69" s="284">
        <f xml:space="preserve"> 'WK2015'!HJ79</f>
        <v>0.70269338148218019</v>
      </c>
      <c r="GI69" s="283">
        <f xml:space="preserve"> 'WK2015'!HQ79</f>
        <v>2841.77558</v>
      </c>
      <c r="GJ69" s="283">
        <f xml:space="preserve"> 'WK2015'!HR79</f>
        <v>3110.573277</v>
      </c>
      <c r="GK69" s="283">
        <f xml:space="preserve"> 'WK2015'!HU79</f>
        <v>2841.77558</v>
      </c>
      <c r="GL69" s="283">
        <f xml:space="preserve"> 'WK2015'!HV79</f>
        <v>3110.573277</v>
      </c>
      <c r="GM69" s="283">
        <f xml:space="preserve"> 'WK2015'!HW79</f>
        <v>2841.77558</v>
      </c>
      <c r="GN69" s="283">
        <f xml:space="preserve"> 'WK2015'!HX79</f>
        <v>3110.573277</v>
      </c>
      <c r="GO69" s="284">
        <f xml:space="preserve"> 'WK2015'!HY79</f>
        <v>0.74742883812582628</v>
      </c>
    </row>
    <row r="70" spans="1:197" x14ac:dyDescent="0.2">
      <c r="A70" s="3">
        <f>Basis!A70</f>
        <v>70</v>
      </c>
      <c r="D70" s="252" t="e">
        <v>#N/A</v>
      </c>
      <c r="E70" s="252" t="e">
        <v>#N/A</v>
      </c>
      <c r="H70" s="50">
        <f xml:space="preserve"> 'WK2012'!EG80</f>
        <v>6908.7224536750491</v>
      </c>
      <c r="I70" s="50">
        <f xml:space="preserve"> 'WK2012'!EH80</f>
        <v>7131.5442211434438</v>
      </c>
      <c r="J70" s="50">
        <f xml:space="preserve"> 'WK2012'!EK80</f>
        <v>6908.7567045134765</v>
      </c>
      <c r="K70" s="50">
        <f xml:space="preserve"> 'WK2012'!EL80</f>
        <v>7131.5016060773896</v>
      </c>
      <c r="L70" s="50">
        <f xml:space="preserve"> 'WK2012'!EM80</f>
        <v>6908.7224536750491</v>
      </c>
      <c r="M70" s="50">
        <f xml:space="preserve"> 'WK2012'!EN80</f>
        <v>7131.4673552389622</v>
      </c>
      <c r="N70" s="61">
        <f xml:space="preserve"> 'WK2012'!EI80</f>
        <v>0.69886155633334579</v>
      </c>
      <c r="P70" s="50">
        <f xml:space="preserve"> 'WK2012'!EU80</f>
        <v>6415.0611444938286</v>
      </c>
      <c r="Q70" s="50">
        <f xml:space="preserve"> 'WK2012'!EV80</f>
        <v>6498.3093058318691</v>
      </c>
      <c r="R70" s="50">
        <f xml:space="preserve"> 'WK2012'!EY80</f>
        <v>6415.0611444938286</v>
      </c>
      <c r="S70" s="50">
        <f xml:space="preserve"> 'WK2012'!EZ80</f>
        <v>6498.3093058318691</v>
      </c>
      <c r="T70" s="50">
        <f xml:space="preserve"> 'WK2012'!FA80</f>
        <v>6415.0611444938286</v>
      </c>
      <c r="U70" s="50">
        <f xml:space="preserve"> 'WK2012'!FB80</f>
        <v>6498.3093058318691</v>
      </c>
      <c r="V70" s="61">
        <f xml:space="preserve"> 'WK2012'!EW80</f>
        <v>0.71364016679960796</v>
      </c>
      <c r="X70" s="50">
        <f xml:space="preserve"> 'WK2012'!FI80</f>
        <v>4518.5790771461352</v>
      </c>
      <c r="Y70" s="50">
        <f xml:space="preserve"> 'WK2012'!FJ80</f>
        <v>4242.4864153956678</v>
      </c>
      <c r="Z70" s="50">
        <f xml:space="preserve"> 'WK2012'!FM80</f>
        <v>4518.5790771461352</v>
      </c>
      <c r="AA70" s="50">
        <f xml:space="preserve"> 'WK2012'!FN80</f>
        <v>4242.4864153956678</v>
      </c>
      <c r="AB70" s="50">
        <f xml:space="preserve"> 'WK2012'!FO80</f>
        <v>4518.5790771461352</v>
      </c>
      <c r="AC70" s="50">
        <f xml:space="preserve"> 'WK2012'!FP80</f>
        <v>4242.4864153956678</v>
      </c>
      <c r="AD70" s="61">
        <f xml:space="preserve"> 'WK2012'!FK80</f>
        <v>0.71379069893586555</v>
      </c>
      <c r="AF70" s="50">
        <f xml:space="preserve"> 'WK2012'!FW80</f>
        <v>650.64583663487781</v>
      </c>
      <c r="AG70" s="50">
        <f xml:space="preserve"> 'WK2012'!FX80</f>
        <v>563.12320685079851</v>
      </c>
      <c r="AH70" s="50">
        <f xml:space="preserve"> 'WK2012'!GA80</f>
        <v>650.67666238946242</v>
      </c>
      <c r="AI70" s="50">
        <f xml:space="preserve"> 'WK2012'!GB80</f>
        <v>563.08485329134999</v>
      </c>
      <c r="AJ70" s="50">
        <f xml:space="preserve"> 'WK2012'!GC80</f>
        <v>650.64583663487781</v>
      </c>
      <c r="AK70" s="50">
        <f xml:space="preserve"> 'WK2012'!GD80</f>
        <v>563.05402753676515</v>
      </c>
      <c r="AL70" s="61">
        <f xml:space="preserve"> 'WK2012'!FY80</f>
        <v>0.70754653163895465</v>
      </c>
      <c r="AN70" s="50">
        <f xml:space="preserve"> 'WK2012'!GK80</f>
        <v>603.50482089272919</v>
      </c>
      <c r="AO70" s="50">
        <f xml:space="preserve"> 'WK2012'!GL80</f>
        <v>644.24553280251757</v>
      </c>
      <c r="AP70" s="50">
        <f xml:space="preserve"> 'WK2012'!GO80</f>
        <v>603.50482089272919</v>
      </c>
      <c r="AQ70" s="50">
        <f xml:space="preserve"> 'WK2012'!GP80</f>
        <v>644.24553280251757</v>
      </c>
      <c r="AR70" s="50">
        <f xml:space="preserve"> 'WK2012'!GQ80</f>
        <v>603.50482089272919</v>
      </c>
      <c r="AS70" s="50">
        <f xml:space="preserve"> 'WK2012'!GR80</f>
        <v>644.24553280251757</v>
      </c>
      <c r="AT70" s="61">
        <f xml:space="preserve"> 'WK2012'!GM80</f>
        <v>0.71022720427520358</v>
      </c>
      <c r="AX70" s="50">
        <f xml:space="preserve"> 'WK2013'!EG80</f>
        <v>7463.7147118000012</v>
      </c>
      <c r="AY70" s="50">
        <f xml:space="preserve"> 'WK2013'!EH80</f>
        <v>7000.5490757999996</v>
      </c>
      <c r="AZ70" s="50">
        <f xml:space="preserve"> 'WK2013'!EK80</f>
        <v>7463.7147118000012</v>
      </c>
      <c r="BA70" s="50">
        <f xml:space="preserve"> 'WK2013'!EL80</f>
        <v>7000.5490757999996</v>
      </c>
      <c r="BB70" s="50">
        <f xml:space="preserve"> 'WK2013'!EM80</f>
        <v>7463.7147118000012</v>
      </c>
      <c r="BC70" s="50">
        <f xml:space="preserve"> 'WK2013'!EN80</f>
        <v>7000.5490757999996</v>
      </c>
      <c r="BD70" s="61">
        <f xml:space="preserve"> 'WK2013'!EI80</f>
        <v>0.6929381094995376</v>
      </c>
      <c r="BF70" s="50">
        <f xml:space="preserve"> 'WK2013'!EU80</f>
        <v>6502.5519786999994</v>
      </c>
      <c r="BG70" s="50">
        <f xml:space="preserve"> 'WK2013'!EV80</f>
        <v>6088.8033132</v>
      </c>
      <c r="BH70" s="50">
        <f xml:space="preserve"> 'WK2013'!EY80</f>
        <v>6502.5519786999994</v>
      </c>
      <c r="BI70" s="50">
        <f xml:space="preserve"> 'WK2013'!EZ80</f>
        <v>6088.8033132</v>
      </c>
      <c r="BJ70" s="50">
        <f xml:space="preserve"> 'WK2013'!FA80</f>
        <v>6502.5519786999994</v>
      </c>
      <c r="BK70" s="50">
        <f xml:space="preserve"> 'WK2013'!FB80</f>
        <v>6088.8033132</v>
      </c>
      <c r="BL70" s="61">
        <f xml:space="preserve"> 'WK2013'!EW80</f>
        <v>0.70394452594041423</v>
      </c>
      <c r="BN70" s="50">
        <f xml:space="preserve"> 'WK2013'!FI80</f>
        <v>5028.6606062000001</v>
      </c>
      <c r="BO70" s="50">
        <f xml:space="preserve"> 'WK2013'!FJ80</f>
        <v>4772.1426902000003</v>
      </c>
      <c r="BP70" s="50">
        <f xml:space="preserve"> 'WK2013'!FM80</f>
        <v>5028.6606062000001</v>
      </c>
      <c r="BQ70" s="50">
        <f xml:space="preserve"> 'WK2013'!FN80</f>
        <v>4772.1426902000003</v>
      </c>
      <c r="BR70" s="50">
        <f xml:space="preserve"> 'WK2013'!FO80</f>
        <v>5028.6606062000001</v>
      </c>
      <c r="BS70" s="50">
        <f xml:space="preserve"> 'WK2013'!FP80</f>
        <v>4772.1426902000003</v>
      </c>
      <c r="BT70" s="61">
        <f xml:space="preserve"> 'WK2013'!FK80</f>
        <v>0.70755716500923971</v>
      </c>
      <c r="BV70" s="50">
        <f xml:space="preserve"> 'WK2013'!FW80</f>
        <v>813.04231179999999</v>
      </c>
      <c r="BW70" s="50">
        <f xml:space="preserve"> 'WK2013'!FX80</f>
        <v>871.41359880000005</v>
      </c>
      <c r="BX70" s="50">
        <f xml:space="preserve"> 'WK2013'!GA80</f>
        <v>813.04231179999999</v>
      </c>
      <c r="BY70" s="50">
        <f xml:space="preserve"> 'WK2013'!GB80</f>
        <v>871.41359880000005</v>
      </c>
      <c r="BZ70" s="50">
        <f xml:space="preserve"> 'WK2013'!GC80</f>
        <v>813.04231179999999</v>
      </c>
      <c r="CA70" s="50">
        <f xml:space="preserve"> 'WK2013'!GD80</f>
        <v>871.41359880000005</v>
      </c>
      <c r="CB70" s="61">
        <f xml:space="preserve"> 'WK2013'!FY80</f>
        <v>0.70292972701338519</v>
      </c>
      <c r="CD70" s="50">
        <f xml:space="preserve"> 'WK2013'!GK80</f>
        <v>718.02713850000032</v>
      </c>
      <c r="CE70" s="50">
        <f xml:space="preserve"> 'WK2013'!GL80</f>
        <v>656.37078674999998</v>
      </c>
      <c r="CF70" s="50">
        <f xml:space="preserve"> 'WK2013'!GO80</f>
        <v>718.02713850000032</v>
      </c>
      <c r="CG70" s="50">
        <f xml:space="preserve"> 'WK2013'!GP80</f>
        <v>656.37078674999998</v>
      </c>
      <c r="CH70" s="50">
        <f xml:space="preserve"> 'WK2013'!GQ80</f>
        <v>718.02713850000032</v>
      </c>
      <c r="CI70" s="50">
        <f xml:space="preserve"> 'WK2013'!GR80</f>
        <v>656.37078674999998</v>
      </c>
      <c r="CJ70" s="61">
        <f xml:space="preserve"> 'WK2013'!GM80</f>
        <v>0.7203950234432418</v>
      </c>
      <c r="CN70" s="50">
        <f xml:space="preserve"> 'WK2014'!EG80</f>
        <v>7520.1585743999995</v>
      </c>
      <c r="CO70" s="50">
        <f xml:space="preserve"> 'WK2014'!EH80</f>
        <v>6926.1200519999993</v>
      </c>
      <c r="CP70" s="50">
        <f xml:space="preserve"> 'WK2014'!EK80</f>
        <v>7520.1586539545942</v>
      </c>
      <c r="CQ70" s="50">
        <f xml:space="preserve"> 'WK2014'!EL80</f>
        <v>6926.1199803545933</v>
      </c>
      <c r="CR70" s="50">
        <f xml:space="preserve"> 'WK2014'!EM80</f>
        <v>7520.1585743999995</v>
      </c>
      <c r="CS70" s="50">
        <f xml:space="preserve"> 'WK2014'!EN80</f>
        <v>6926.1199007999994</v>
      </c>
      <c r="CT70" s="61">
        <f xml:space="preserve"> 'WK2014'!EI80</f>
        <v>0.70785757053840337</v>
      </c>
      <c r="CV70" s="50">
        <f xml:space="preserve"> 'WK2014'!EU80</f>
        <v>6306.7547715999999</v>
      </c>
      <c r="CW70" s="50">
        <f xml:space="preserve"> 'WK2014'!EV80</f>
        <v>5620.7718999999997</v>
      </c>
      <c r="CX70" s="50">
        <f xml:space="preserve"> 'WK2014'!EY80</f>
        <v>6306.7548412102706</v>
      </c>
      <c r="CY70" s="50">
        <f xml:space="preserve"> 'WK2014'!EZ80</f>
        <v>5620.7718373102698</v>
      </c>
      <c r="CZ70" s="50">
        <f xml:space="preserve"> 'WK2014'!FA80</f>
        <v>6306.7547715999999</v>
      </c>
      <c r="DA70" s="50">
        <f xml:space="preserve"> 'WK2014'!FB80</f>
        <v>5620.7717677000001</v>
      </c>
      <c r="DB70" s="61">
        <f xml:space="preserve"> 'WK2014'!EW80</f>
        <v>0.69907810272241933</v>
      </c>
      <c r="DC70" s="1"/>
      <c r="DD70" s="50">
        <f xml:space="preserve"> 'WK2014'!FI80</f>
        <v>4696.0901071999988</v>
      </c>
      <c r="DE70" s="50">
        <f xml:space="preserve"> 'WK2014'!FJ80</f>
        <v>4419.9287405999994</v>
      </c>
      <c r="DF70" s="50">
        <f xml:space="preserve"> 'WK2014'!FM80</f>
        <v>4696.0901071999988</v>
      </c>
      <c r="DG70" s="50">
        <f xml:space="preserve"> 'WK2014'!FN80</f>
        <v>4419.9287405999994</v>
      </c>
      <c r="DH70" s="50">
        <f xml:space="preserve"> 'WK2014'!FO80</f>
        <v>4696.0901071999988</v>
      </c>
      <c r="DI70" s="50">
        <f xml:space="preserve"> 'WK2014'!FP80</f>
        <v>4419.9287405999994</v>
      </c>
      <c r="DJ70" s="61">
        <f xml:space="preserve"> 'WK2014'!FK80</f>
        <v>0.70637132680812831</v>
      </c>
      <c r="DK70" s="1"/>
      <c r="DL70" s="50">
        <f xml:space="preserve"> 'WK2014'!FW80</f>
        <v>794.4188544000001</v>
      </c>
      <c r="DM70" s="50">
        <f xml:space="preserve"> 'WK2014'!FX80</f>
        <v>858.04436800000008</v>
      </c>
      <c r="DN70" s="50">
        <f xml:space="preserve"> 'WK2014'!GA80</f>
        <v>794.41893395459442</v>
      </c>
      <c r="DO70" s="50">
        <f xml:space="preserve"> 'WK2014'!GB80</f>
        <v>858.04429635459451</v>
      </c>
      <c r="DP70" s="50">
        <f xml:space="preserve"> 'WK2014'!GC80</f>
        <v>794.4188544000001</v>
      </c>
      <c r="DQ70" s="50">
        <f xml:space="preserve"> 'WK2014'!GD80</f>
        <v>858.04421680000007</v>
      </c>
      <c r="DR70" s="61">
        <f xml:space="preserve"> 'WK2014'!FY80</f>
        <v>0.70331562027547212</v>
      </c>
      <c r="DS70" s="1"/>
      <c r="DT70" s="50">
        <f xml:space="preserve"> 'WK2014'!GK80</f>
        <v>1072.9325370000001</v>
      </c>
      <c r="DU70" s="50">
        <f xml:space="preserve"> 'WK2014'!GL80</f>
        <v>942.35677499999997</v>
      </c>
      <c r="DV70" s="50">
        <f xml:space="preserve"> 'WK2014'!GO80</f>
        <v>1072.9325370000001</v>
      </c>
      <c r="DW70" s="50">
        <f xml:space="preserve"> 'WK2014'!GP80</f>
        <v>942.35677499999997</v>
      </c>
      <c r="DX70" s="50">
        <f xml:space="preserve"> 'WK2014'!GQ80</f>
        <v>1072.9325370000001</v>
      </c>
      <c r="DY70" s="50">
        <f xml:space="preserve"> 'WK2014'!GR80</f>
        <v>942.35677499999997</v>
      </c>
      <c r="DZ70" s="61">
        <f xml:space="preserve"> 'WK2014'!GM80</f>
        <v>0.7143365115208129</v>
      </c>
      <c r="ED70" s="50">
        <f xml:space="preserve"> 'WK2015'!EG80</f>
        <v>7220.6183125999987</v>
      </c>
      <c r="EE70" s="50">
        <f xml:space="preserve"> 'WK2015'!EH80</f>
        <v>6304.2469668000003</v>
      </c>
      <c r="EF70" s="50">
        <f xml:space="preserve"> 'WK2015'!EK80</f>
        <v>7220.6183125999987</v>
      </c>
      <c r="EG70" s="50">
        <f xml:space="preserve"> 'WK2015'!EL80</f>
        <v>6304.2469668000003</v>
      </c>
      <c r="EH70" s="50">
        <f xml:space="preserve"> 'WK2015'!EM80</f>
        <v>7220.6183125999987</v>
      </c>
      <c r="EI70" s="50">
        <f xml:space="preserve"> 'WK2015'!EN80</f>
        <v>6304.2469668000003</v>
      </c>
      <c r="EJ70" s="61">
        <f xml:space="preserve"> 'WK2015'!EI80</f>
        <v>0.71044960674654289</v>
      </c>
      <c r="EK70" s="1"/>
      <c r="EL70" s="50">
        <f xml:space="preserve"> 'WK2015'!EU80</f>
        <v>6454.1114754000009</v>
      </c>
      <c r="EM70" s="50">
        <f xml:space="preserve"> 'WK2015'!EV80</f>
        <v>5918.3955612</v>
      </c>
      <c r="EN70" s="50">
        <f xml:space="preserve"> 'WK2015'!EY80</f>
        <v>6454.1114754000009</v>
      </c>
      <c r="EO70" s="50">
        <f xml:space="preserve"> 'WK2015'!EZ80</f>
        <v>5918.3955612</v>
      </c>
      <c r="EP70" s="50">
        <f xml:space="preserve"> 'WK2015'!FA80</f>
        <v>6454.1114754000009</v>
      </c>
      <c r="EQ70" s="50">
        <f xml:space="preserve"> 'WK2015'!FB80</f>
        <v>5918.3955612</v>
      </c>
      <c r="ER70" s="61">
        <f xml:space="preserve"> 'WK2015'!EW80</f>
        <v>0.71276737967789083</v>
      </c>
      <c r="ES70" s="1"/>
      <c r="ET70" s="50">
        <f xml:space="preserve"> 'WK2015'!FI80</f>
        <v>5486.0040491999998</v>
      </c>
      <c r="EU70" s="50">
        <f xml:space="preserve"> 'WK2015'!FJ80</f>
        <v>5056.3232518000004</v>
      </c>
      <c r="EV70" s="50">
        <f xml:space="preserve"> 'WK2015'!FM80</f>
        <v>5486.0040491999998</v>
      </c>
      <c r="EW70" s="50">
        <f xml:space="preserve"> 'WK2015'!FN80</f>
        <v>5056.3232518000004</v>
      </c>
      <c r="EX70" s="50">
        <f xml:space="preserve"> 'WK2015'!FO80</f>
        <v>5486.0040491999998</v>
      </c>
      <c r="EY70" s="50">
        <f xml:space="preserve"> 'WK2015'!FP80</f>
        <v>5056.3232518000004</v>
      </c>
      <c r="EZ70" s="61">
        <f xml:space="preserve"> 'WK2015'!FK80</f>
        <v>0.71323234003489766</v>
      </c>
      <c r="FA70" s="1"/>
      <c r="FB70" s="50">
        <f xml:space="preserve"> 'WK2015'!FW80</f>
        <v>797.15729759999999</v>
      </c>
      <c r="FC70" s="50">
        <f xml:space="preserve"> 'WK2015'!FX80</f>
        <v>859.88432480000006</v>
      </c>
      <c r="FD70" s="50">
        <f xml:space="preserve"> 'WK2015'!GA80</f>
        <v>797.15729759999999</v>
      </c>
      <c r="FE70" s="50">
        <f xml:space="preserve"> 'WK2015'!GB80</f>
        <v>859.88432480000006</v>
      </c>
      <c r="FF70" s="50">
        <f xml:space="preserve"> 'WK2015'!GC80</f>
        <v>797.15729759999999</v>
      </c>
      <c r="FG70" s="50">
        <f xml:space="preserve"> 'WK2015'!GD80</f>
        <v>859.88432480000006</v>
      </c>
      <c r="FH70" s="61">
        <f xml:space="preserve"> 'WK2015'!FY80</f>
        <v>0.71403521391521785</v>
      </c>
      <c r="FI70" s="1"/>
      <c r="FJ70" s="50">
        <f xml:space="preserve"> 'WK2015'!GK80</f>
        <v>728.48016449999989</v>
      </c>
      <c r="FK70" s="50">
        <f xml:space="preserve"> 'WK2015'!GL80</f>
        <v>693.45265200000006</v>
      </c>
      <c r="FL70" s="50">
        <f xml:space="preserve"> 'WK2015'!GO80</f>
        <v>728.48016449999989</v>
      </c>
      <c r="FM70" s="50">
        <f xml:space="preserve"> 'WK2015'!GP80</f>
        <v>693.45265200000006</v>
      </c>
      <c r="FN70" s="50">
        <f xml:space="preserve"> 'WK2015'!GQ80</f>
        <v>728.48016449999989</v>
      </c>
      <c r="FO70" s="50">
        <f xml:space="preserve"> 'WK2015'!GR80</f>
        <v>693.45265200000006</v>
      </c>
      <c r="FP70" s="61">
        <f xml:space="preserve"> 'WK2015'!GM80</f>
        <v>0.70987291306361888</v>
      </c>
      <c r="FS70" s="283">
        <f xml:space="preserve"> 'WK2015'!H80</f>
        <v>3604.9883449999998</v>
      </c>
      <c r="FT70" s="283">
        <f xml:space="preserve"> 'WK2015'!I80</f>
        <v>3339.8535519999996</v>
      </c>
      <c r="FU70" s="283">
        <f xml:space="preserve"> 'WK2015'!L80</f>
        <v>3604.9883449999998</v>
      </c>
      <c r="FV70" s="283">
        <f xml:space="preserve"> 'WK2015'!M80</f>
        <v>3339.8535519999996</v>
      </c>
      <c r="FW70" s="283">
        <f xml:space="preserve"> 'WK2015'!N80</f>
        <v>3604.9883449999998</v>
      </c>
      <c r="FX70" s="283">
        <f xml:space="preserve"> 'WK2015'!O80</f>
        <v>3339.8535519999996</v>
      </c>
      <c r="FY70" s="284">
        <f xml:space="preserve"> 'WK2015'!P80</f>
        <v>0.70546491126263033</v>
      </c>
      <c r="GA70" s="283">
        <f xml:space="preserve"> 'WK2015'!HB80</f>
        <v>2812.7688539999999</v>
      </c>
      <c r="GB70" s="283">
        <f xml:space="preserve"> 'WK2015'!HC80</f>
        <v>2996.0077649999998</v>
      </c>
      <c r="GC70" s="283">
        <f xml:space="preserve"> 'WK2015'!HF80</f>
        <v>2812.7688539999999</v>
      </c>
      <c r="GD70" s="283">
        <f xml:space="preserve"> 'WK2015'!HG80</f>
        <v>2996.0077649999998</v>
      </c>
      <c r="GE70" s="283">
        <f xml:space="preserve"> 'WK2015'!HH80</f>
        <v>2812.7688539999999</v>
      </c>
      <c r="GF70" s="283">
        <f xml:space="preserve"> 'WK2015'!HI80</f>
        <v>2996.0077649999998</v>
      </c>
      <c r="GG70" s="284">
        <f xml:space="preserve"> 'WK2015'!HJ80</f>
        <v>0.70673247990589438</v>
      </c>
      <c r="GI70" s="283">
        <f xml:space="preserve"> 'WK2015'!HQ80</f>
        <v>3007.3845549999996</v>
      </c>
      <c r="GJ70" s="283">
        <f xml:space="preserve"> 'WK2015'!HR80</f>
        <v>3289.4880479999997</v>
      </c>
      <c r="GK70" s="283">
        <f xml:space="preserve"> 'WK2015'!HU80</f>
        <v>3007.3845549999996</v>
      </c>
      <c r="GL70" s="283">
        <f xml:space="preserve"> 'WK2015'!HV80</f>
        <v>3289.4880479999997</v>
      </c>
      <c r="GM70" s="283">
        <f xml:space="preserve"> 'WK2015'!HW80</f>
        <v>3007.3845549999996</v>
      </c>
      <c r="GN70" s="283">
        <f xml:space="preserve"> 'WK2015'!HX80</f>
        <v>3289.4880479999997</v>
      </c>
      <c r="GO70" s="284">
        <f xml:space="preserve"> 'WK2015'!HY80</f>
        <v>0.7147532223644899</v>
      </c>
    </row>
    <row r="71" spans="1:197" x14ac:dyDescent="0.2">
      <c r="A71" s="3">
        <f>Basis!A71</f>
        <v>71</v>
      </c>
      <c r="D71" s="252" t="e">
        <v>#N/A</v>
      </c>
      <c r="E71" s="252" t="e">
        <v>#N/A</v>
      </c>
      <c r="H71" s="50">
        <f xml:space="preserve"> 'WK2012'!EG81</f>
        <v>7147.7330333012105</v>
      </c>
      <c r="I71" s="50">
        <f xml:space="preserve"> 'WK2012'!EH81</f>
        <v>7334.1329208504967</v>
      </c>
      <c r="J71" s="50">
        <f xml:space="preserve"> 'WK2012'!EK81</f>
        <v>7147.7677111623152</v>
      </c>
      <c r="K71" s="50">
        <f xml:space="preserve"> 'WK2012'!EL81</f>
        <v>7334.0907328071198</v>
      </c>
      <c r="L71" s="50">
        <f xml:space="preserve"> 'WK2012'!EM81</f>
        <v>7147.7330333012105</v>
      </c>
      <c r="M71" s="50">
        <f xml:space="preserve"> 'WK2012'!EN81</f>
        <v>7334.056054946016</v>
      </c>
      <c r="N71" s="61">
        <f xml:space="preserve"> 'WK2012'!EI81</f>
        <v>0.69299953648456913</v>
      </c>
      <c r="P71" s="50">
        <f xml:space="preserve"> 'WK2012'!EU81</f>
        <v>6732.7360146383007</v>
      </c>
      <c r="Q71" s="50">
        <f xml:space="preserve"> 'WK2012'!EV81</f>
        <v>6682.9159183406655</v>
      </c>
      <c r="R71" s="50">
        <f xml:space="preserve"> 'WK2012'!EY81</f>
        <v>6732.7360146383007</v>
      </c>
      <c r="S71" s="50">
        <f xml:space="preserve"> 'WK2012'!EZ81</f>
        <v>6682.9159183406655</v>
      </c>
      <c r="T71" s="50">
        <f xml:space="preserve"> 'WK2012'!FA81</f>
        <v>6732.7360146383007</v>
      </c>
      <c r="U71" s="50">
        <f xml:space="preserve"> 'WK2012'!FB81</f>
        <v>6682.9159183406655</v>
      </c>
      <c r="V71" s="61">
        <f xml:space="preserve"> 'WK2012'!EW81</f>
        <v>0.70974706510679253</v>
      </c>
      <c r="X71" s="50">
        <f xml:space="preserve"> 'WK2012'!FI81</f>
        <v>4766.4067425951653</v>
      </c>
      <c r="Y71" s="50">
        <f xml:space="preserve"> 'WK2012'!FJ81</f>
        <v>4404.081760281545</v>
      </c>
      <c r="Z71" s="50">
        <f xml:space="preserve"> 'WK2012'!FM81</f>
        <v>4766.4067425951653</v>
      </c>
      <c r="AA71" s="50">
        <f xml:space="preserve"> 'WK2012'!FN81</f>
        <v>4404.081760281545</v>
      </c>
      <c r="AB71" s="50">
        <f xml:space="preserve"> 'WK2012'!FO81</f>
        <v>4766.4067425951653</v>
      </c>
      <c r="AC71" s="50">
        <f xml:space="preserve"> 'WK2012'!FP81</f>
        <v>4404.081760281545</v>
      </c>
      <c r="AD71" s="61">
        <f xml:space="preserve"> 'WK2012'!FK81</f>
        <v>0.71003744718427053</v>
      </c>
      <c r="AF71" s="50">
        <f xml:space="preserve"> 'WK2012'!FW81</f>
        <v>639.47055079708696</v>
      </c>
      <c r="AG71" s="50">
        <f xml:space="preserve"> 'WK2012'!FX81</f>
        <v>599.72388922176276</v>
      </c>
      <c r="AH71" s="50">
        <f xml:space="preserve"> 'WK2012'!GA81</f>
        <v>639.50176087208081</v>
      </c>
      <c r="AI71" s="50">
        <f xml:space="preserve"> 'WK2012'!GB81</f>
        <v>599.68591998272336</v>
      </c>
      <c r="AJ71" s="50">
        <f xml:space="preserve"> 'WK2012'!GC81</f>
        <v>639.47055079708696</v>
      </c>
      <c r="AK71" s="50">
        <f xml:space="preserve"> 'WK2012'!GD81</f>
        <v>599.65470990772928</v>
      </c>
      <c r="AL71" s="61">
        <f xml:space="preserve"> 'WK2012'!FY81</f>
        <v>0.70803812972452551</v>
      </c>
      <c r="AN71" s="50">
        <f xml:space="preserve"> 'WK2012'!GK81</f>
        <v>603.11725682784061</v>
      </c>
      <c r="AO71" s="50">
        <f xml:space="preserve"> 'WK2012'!GL81</f>
        <v>637.00248717337422</v>
      </c>
      <c r="AP71" s="50">
        <f xml:space="preserve"> 'WK2012'!GO81</f>
        <v>603.11725682784061</v>
      </c>
      <c r="AQ71" s="50">
        <f xml:space="preserve"> 'WK2012'!GP81</f>
        <v>637.00248717337422</v>
      </c>
      <c r="AR71" s="50">
        <f xml:space="preserve"> 'WK2012'!GQ81</f>
        <v>603.11725682784061</v>
      </c>
      <c r="AS71" s="50">
        <f xml:space="preserve"> 'WK2012'!GR81</f>
        <v>637.00248717337422</v>
      </c>
      <c r="AT71" s="61">
        <f xml:space="preserve"> 'WK2012'!GM81</f>
        <v>0.70565366122443129</v>
      </c>
      <c r="AX71" s="50">
        <f xml:space="preserve"> 'WK2013'!EG81</f>
        <v>7815.0733873999998</v>
      </c>
      <c r="AY71" s="50">
        <f xml:space="preserve"> 'WK2013'!EH81</f>
        <v>7286.6766520000001</v>
      </c>
      <c r="AZ71" s="50">
        <f xml:space="preserve"> 'WK2013'!EK81</f>
        <v>7815.0733873999998</v>
      </c>
      <c r="BA71" s="50">
        <f xml:space="preserve"> 'WK2013'!EL81</f>
        <v>7286.6766520000001</v>
      </c>
      <c r="BB71" s="50">
        <f xml:space="preserve"> 'WK2013'!EM81</f>
        <v>7815.0733873999998</v>
      </c>
      <c r="BC71" s="50">
        <f xml:space="preserve"> 'WK2013'!EN81</f>
        <v>7286.6766520000001</v>
      </c>
      <c r="BD71" s="61">
        <f xml:space="preserve"> 'WK2013'!EI81</f>
        <v>0.67997456142642487</v>
      </c>
      <c r="BF71" s="50">
        <f xml:space="preserve"> 'WK2013'!EU81</f>
        <v>6871.699920099999</v>
      </c>
      <c r="BG71" s="50">
        <f xml:space="preserve"> 'WK2013'!EV81</f>
        <v>6392.6584380000004</v>
      </c>
      <c r="BH71" s="50">
        <f xml:space="preserve"> 'WK2013'!EY81</f>
        <v>6871.699920099999</v>
      </c>
      <c r="BI71" s="50">
        <f xml:space="preserve"> 'WK2013'!EZ81</f>
        <v>6392.6584380000004</v>
      </c>
      <c r="BJ71" s="50">
        <f xml:space="preserve"> 'WK2013'!FA81</f>
        <v>6871.699920099999</v>
      </c>
      <c r="BK71" s="50">
        <f xml:space="preserve"> 'WK2013'!FB81</f>
        <v>6392.6584380000004</v>
      </c>
      <c r="BL71" s="61">
        <f xml:space="preserve"> 'WK2013'!EW81</f>
        <v>0.6930832800067962</v>
      </c>
      <c r="BN71" s="50">
        <f xml:space="preserve"> 'WK2013'!FI81</f>
        <v>5277.1324346000001</v>
      </c>
      <c r="BO71" s="50">
        <f xml:space="preserve"> 'WK2013'!FJ81</f>
        <v>4950.1892298000002</v>
      </c>
      <c r="BP71" s="50">
        <f xml:space="preserve"> 'WK2013'!FM81</f>
        <v>5277.1324346000001</v>
      </c>
      <c r="BQ71" s="50">
        <f xml:space="preserve"> 'WK2013'!FN81</f>
        <v>4950.1892298000002</v>
      </c>
      <c r="BR71" s="50">
        <f xml:space="preserve"> 'WK2013'!FO81</f>
        <v>5277.1324346000001</v>
      </c>
      <c r="BS71" s="50">
        <f xml:space="preserve"> 'WK2013'!FP81</f>
        <v>4950.1892298000002</v>
      </c>
      <c r="BT71" s="61">
        <f xml:space="preserve"> 'WK2013'!FK81</f>
        <v>0.70012446170688836</v>
      </c>
      <c r="BV71" s="50">
        <f xml:space="preserve"> 'WK2013'!FW81</f>
        <v>816.33361739999998</v>
      </c>
      <c r="BW71" s="50">
        <f xml:space="preserve"> 'WK2013'!FX81</f>
        <v>871.75107100000014</v>
      </c>
      <c r="BX71" s="50">
        <f xml:space="preserve"> 'WK2013'!GA81</f>
        <v>816.33361739999998</v>
      </c>
      <c r="BY71" s="50">
        <f xml:space="preserve"> 'WK2013'!GB81</f>
        <v>871.75107100000014</v>
      </c>
      <c r="BZ71" s="50">
        <f xml:space="preserve"> 'WK2013'!GC81</f>
        <v>816.33361739999998</v>
      </c>
      <c r="CA71" s="50">
        <f xml:space="preserve"> 'WK2013'!GD81</f>
        <v>871.75107100000014</v>
      </c>
      <c r="CB71" s="61">
        <f xml:space="preserve"> 'WK2013'!FY81</f>
        <v>0.6907822687623143</v>
      </c>
      <c r="CD71" s="50">
        <f xml:space="preserve"> 'WK2013'!GK81</f>
        <v>762.83883750000018</v>
      </c>
      <c r="CE71" s="50">
        <f xml:space="preserve"> 'WK2013'!GL81</f>
        <v>695.4524715</v>
      </c>
      <c r="CF71" s="50">
        <f xml:space="preserve"> 'WK2013'!GO81</f>
        <v>762.83883750000018</v>
      </c>
      <c r="CG71" s="50">
        <f xml:space="preserve"> 'WK2013'!GP81</f>
        <v>695.4524715</v>
      </c>
      <c r="CH71" s="50">
        <f xml:space="preserve"> 'WK2013'!GQ81</f>
        <v>762.83883750000018</v>
      </c>
      <c r="CI71" s="50">
        <f xml:space="preserve"> 'WK2013'!GR81</f>
        <v>695.4524715</v>
      </c>
      <c r="CJ71" s="61">
        <f xml:space="preserve"> 'WK2013'!GM81</f>
        <v>0.71758883320648248</v>
      </c>
      <c r="CN71" s="50">
        <f xml:space="preserve"> 'WK2014'!EG81</f>
        <v>7869.6346963999995</v>
      </c>
      <c r="CO71" s="50">
        <f xml:space="preserve"> 'WK2014'!EH81</f>
        <v>7214.7380363999991</v>
      </c>
      <c r="CP71" s="50">
        <f xml:space="preserve"> 'WK2014'!EK81</f>
        <v>7869.6348327432497</v>
      </c>
      <c r="CQ71" s="50">
        <f xml:space="preserve"> 'WK2014'!EL81</f>
        <v>7214.7379135432493</v>
      </c>
      <c r="CR71" s="50">
        <f xml:space="preserve"> 'WK2014'!EM81</f>
        <v>7869.6346963999995</v>
      </c>
      <c r="CS71" s="50">
        <f xml:space="preserve"> 'WK2014'!EN81</f>
        <v>7214.7377772</v>
      </c>
      <c r="CT71" s="61">
        <f xml:space="preserve"> 'WK2014'!EI81</f>
        <v>0.70191401866715408</v>
      </c>
      <c r="CV71" s="50">
        <f xml:space="preserve"> 'WK2014'!EU81</f>
        <v>6630.6530576000005</v>
      </c>
      <c r="CW71" s="50">
        <f xml:space="preserve"> 'WK2014'!EV81</f>
        <v>5866.7190855999997</v>
      </c>
      <c r="CX71" s="50">
        <f xml:space="preserve"> 'WK2014'!EY81</f>
        <v>6630.6531769003441</v>
      </c>
      <c r="CY71" s="50">
        <f xml:space="preserve"> 'WK2014'!EZ81</f>
        <v>5866.7189781003435</v>
      </c>
      <c r="CZ71" s="50">
        <f xml:space="preserve"> 'WK2014'!FA81</f>
        <v>6630.6530576000005</v>
      </c>
      <c r="DA71" s="50">
        <f xml:space="preserve"> 'WK2014'!FB81</f>
        <v>5866.7188587999999</v>
      </c>
      <c r="DB71" s="61">
        <f xml:space="preserve"> 'WK2014'!EW81</f>
        <v>0.69489103228165605</v>
      </c>
      <c r="DC71" s="1"/>
      <c r="DD71" s="50">
        <f xml:space="preserve"> 'WK2014'!FI81</f>
        <v>4930.3682200000003</v>
      </c>
      <c r="DE71" s="50">
        <f xml:space="preserve"> 'WK2014'!FJ81</f>
        <v>4553.8746854000001</v>
      </c>
      <c r="DF71" s="50">
        <f xml:space="preserve"> 'WK2014'!FM81</f>
        <v>4930.3682200000003</v>
      </c>
      <c r="DG71" s="50">
        <f xml:space="preserve"> 'WK2014'!FN81</f>
        <v>4553.8746854000001</v>
      </c>
      <c r="DH71" s="50">
        <f xml:space="preserve"> 'WK2014'!FO81</f>
        <v>4930.3682200000003</v>
      </c>
      <c r="DI71" s="50">
        <f xml:space="preserve"> 'WK2014'!FP81</f>
        <v>4553.8746854000001</v>
      </c>
      <c r="DJ71" s="61">
        <f xml:space="preserve"> 'WK2014'!FK81</f>
        <v>0.70346531832029868</v>
      </c>
      <c r="DK71" s="1"/>
      <c r="DL71" s="50">
        <f xml:space="preserve"> 'WK2014'!FW81</f>
        <v>797.93329440000002</v>
      </c>
      <c r="DM71" s="50">
        <f xml:space="preserve"> 'WK2014'!FX81</f>
        <v>858.10776639999995</v>
      </c>
      <c r="DN71" s="50">
        <f xml:space="preserve"> 'WK2014'!GA81</f>
        <v>797.9334307432498</v>
      </c>
      <c r="DO71" s="50">
        <f xml:space="preserve"> 'WK2014'!GB81</f>
        <v>858.10764354324976</v>
      </c>
      <c r="DP71" s="50">
        <f xml:space="preserve"> 'WK2014'!GC81</f>
        <v>797.93329440000002</v>
      </c>
      <c r="DQ71" s="50">
        <f xml:space="preserve"> 'WK2014'!GD81</f>
        <v>858.10750719999999</v>
      </c>
      <c r="DR71" s="61">
        <f xml:space="preserve"> 'WK2014'!FY81</f>
        <v>0.69989874803219809</v>
      </c>
      <c r="DS71" s="1"/>
      <c r="DT71" s="50">
        <f xml:space="preserve"> 'WK2014'!GK81</f>
        <v>1123.965942</v>
      </c>
      <c r="DU71" s="50">
        <f xml:space="preserve"> 'WK2014'!GL81</f>
        <v>1017.7743194999998</v>
      </c>
      <c r="DV71" s="50">
        <f xml:space="preserve"> 'WK2014'!GO81</f>
        <v>1123.965942</v>
      </c>
      <c r="DW71" s="50">
        <f xml:space="preserve"> 'WK2014'!GP81</f>
        <v>1017.7743194999998</v>
      </c>
      <c r="DX71" s="50">
        <f xml:space="preserve"> 'WK2014'!GQ81</f>
        <v>1123.965942</v>
      </c>
      <c r="DY71" s="50">
        <f xml:space="preserve"> 'WK2014'!GR81</f>
        <v>1017.7743194999998</v>
      </c>
      <c r="DZ71" s="61">
        <f xml:space="preserve"> 'WK2014'!GM81</f>
        <v>0.71031993831826923</v>
      </c>
      <c r="ED71" s="50">
        <f xml:space="preserve"> 'WK2015'!EG81</f>
        <v>7558.2222303999997</v>
      </c>
      <c r="EE71" s="50">
        <f xml:space="preserve"> 'WK2015'!EH81</f>
        <v>6584.0660575999991</v>
      </c>
      <c r="EF71" s="50">
        <f xml:space="preserve"> 'WK2015'!EK81</f>
        <v>7558.2222303999997</v>
      </c>
      <c r="EG71" s="50">
        <f xml:space="preserve"> 'WK2015'!EL81</f>
        <v>6584.0660575999991</v>
      </c>
      <c r="EH71" s="50">
        <f xml:space="preserve"> 'WK2015'!EM81</f>
        <v>7558.2222303999997</v>
      </c>
      <c r="EI71" s="50">
        <f xml:space="preserve"> 'WK2015'!EN81</f>
        <v>6584.0660575999991</v>
      </c>
      <c r="EJ71" s="61">
        <f xml:space="preserve"> 'WK2015'!EI81</f>
        <v>0.70978374839011749</v>
      </c>
      <c r="EK71" s="1"/>
      <c r="EL71" s="50">
        <f xml:space="preserve"> 'WK2015'!EU81</f>
        <v>6807.2036046000012</v>
      </c>
      <c r="EM71" s="50">
        <f xml:space="preserve"> 'WK2015'!EV81</f>
        <v>6223.9970403999996</v>
      </c>
      <c r="EN71" s="50">
        <f xml:space="preserve"> 'WK2015'!EY81</f>
        <v>6807.2036046000012</v>
      </c>
      <c r="EO71" s="50">
        <f xml:space="preserve"> 'WK2015'!EZ81</f>
        <v>6223.9970403999996</v>
      </c>
      <c r="EP71" s="50">
        <f xml:space="preserve"> 'WK2015'!FA81</f>
        <v>6807.2036046000012</v>
      </c>
      <c r="EQ71" s="50">
        <f xml:space="preserve"> 'WK2015'!FB81</f>
        <v>6223.9970403999996</v>
      </c>
      <c r="ER71" s="61">
        <f xml:space="preserve"> 'WK2015'!EW81</f>
        <v>0.7109343586064395</v>
      </c>
      <c r="ES71" s="1"/>
      <c r="ET71" s="50">
        <f xml:space="preserve"> 'WK2015'!FI81</f>
        <v>5759.6204447999999</v>
      </c>
      <c r="EU71" s="50">
        <f xml:space="preserve"> 'WK2015'!FJ81</f>
        <v>5267.5042761999994</v>
      </c>
      <c r="EV71" s="50">
        <f xml:space="preserve"> 'WK2015'!FM81</f>
        <v>5759.6204447999999</v>
      </c>
      <c r="EW71" s="50">
        <f xml:space="preserve"> 'WK2015'!FN81</f>
        <v>5267.5042761999994</v>
      </c>
      <c r="EX71" s="50">
        <f xml:space="preserve"> 'WK2015'!FO81</f>
        <v>5759.6204447999999</v>
      </c>
      <c r="EY71" s="50">
        <f xml:space="preserve"> 'WK2015'!FP81</f>
        <v>5267.5042761999994</v>
      </c>
      <c r="EZ71" s="61">
        <f xml:space="preserve"> 'WK2015'!FK81</f>
        <v>0.7160996328994188</v>
      </c>
      <c r="FA71" s="1"/>
      <c r="FB71" s="50">
        <f xml:space="preserve"> 'WK2015'!FW81</f>
        <v>803.1016704000001</v>
      </c>
      <c r="FC71" s="50">
        <f xml:space="preserve"> 'WK2015'!FX81</f>
        <v>863.38542159999986</v>
      </c>
      <c r="FD71" s="50">
        <f xml:space="preserve"> 'WK2015'!GA81</f>
        <v>803.1016704000001</v>
      </c>
      <c r="FE71" s="50">
        <f xml:space="preserve"> 'WK2015'!GB81</f>
        <v>863.38542159999986</v>
      </c>
      <c r="FF71" s="50">
        <f xml:space="preserve"> 'WK2015'!GC81</f>
        <v>803.1016704000001</v>
      </c>
      <c r="FG71" s="50">
        <f xml:space="preserve"> 'WK2015'!GD81</f>
        <v>863.38542159999986</v>
      </c>
      <c r="FH71" s="61">
        <f xml:space="preserve"> 'WK2015'!FY81</f>
        <v>0.71186721668521558</v>
      </c>
      <c r="FI71" s="1"/>
      <c r="FJ71" s="50">
        <f xml:space="preserve"> 'WK2015'!GK81</f>
        <v>771.10585199999991</v>
      </c>
      <c r="FK71" s="50">
        <f xml:space="preserve"> 'WK2015'!GL81</f>
        <v>737.17588574999979</v>
      </c>
      <c r="FL71" s="50">
        <f xml:space="preserve"> 'WK2015'!GO81</f>
        <v>771.10585199999991</v>
      </c>
      <c r="FM71" s="50">
        <f xml:space="preserve"> 'WK2015'!GP81</f>
        <v>737.17588574999979</v>
      </c>
      <c r="FN71" s="50">
        <f xml:space="preserve"> 'WK2015'!GQ81</f>
        <v>771.10585199999991</v>
      </c>
      <c r="FO71" s="50">
        <f xml:space="preserve"> 'WK2015'!GR81</f>
        <v>737.17588574999979</v>
      </c>
      <c r="FP71" s="61">
        <f xml:space="preserve"> 'WK2015'!GM81</f>
        <v>0.71384682948846356</v>
      </c>
      <c r="FS71" s="283">
        <f xml:space="preserve"> 'WK2015'!H81</f>
        <v>3759.7746699999998</v>
      </c>
      <c r="FT71" s="283">
        <f xml:space="preserve"> 'WK2015'!I81</f>
        <v>3464.7196779999999</v>
      </c>
      <c r="FU71" s="283">
        <f xml:space="preserve"> 'WK2015'!L81</f>
        <v>3759.7746699999998</v>
      </c>
      <c r="FV71" s="283">
        <f xml:space="preserve"> 'WK2015'!M81</f>
        <v>3464.7196779999999</v>
      </c>
      <c r="FW71" s="283">
        <f xml:space="preserve"> 'WK2015'!N81</f>
        <v>3759.7746699999998</v>
      </c>
      <c r="FX71" s="283">
        <f xml:space="preserve"> 'WK2015'!O81</f>
        <v>3464.7196779999999</v>
      </c>
      <c r="FY71" s="284">
        <f xml:space="preserve"> 'WK2015'!P81</f>
        <v>0.71221073077885466</v>
      </c>
      <c r="GA71" s="283">
        <f xml:space="preserve"> 'WK2015'!HB81</f>
        <v>2960.6122829999999</v>
      </c>
      <c r="GB71" s="283">
        <f xml:space="preserve"> 'WK2015'!HC81</f>
        <v>3130.4309549999998</v>
      </c>
      <c r="GC71" s="283">
        <f xml:space="preserve"> 'WK2015'!HF81</f>
        <v>2960.6122829999999</v>
      </c>
      <c r="GD71" s="283">
        <f xml:space="preserve"> 'WK2015'!HG81</f>
        <v>3130.4309549999998</v>
      </c>
      <c r="GE71" s="283">
        <f xml:space="preserve"> 'WK2015'!HH81</f>
        <v>2960.6122829999999</v>
      </c>
      <c r="GF71" s="283">
        <f xml:space="preserve"> 'WK2015'!HI81</f>
        <v>3130.4309549999998</v>
      </c>
      <c r="GG71" s="284">
        <f xml:space="preserve"> 'WK2015'!HJ81</f>
        <v>0.71286471658667871</v>
      </c>
      <c r="GI71" s="283">
        <f xml:space="preserve"> 'WK2015'!HQ81</f>
        <v>3174.05683</v>
      </c>
      <c r="GJ71" s="283">
        <f xml:space="preserve"> 'WK2015'!HR81</f>
        <v>3457.3127399999998</v>
      </c>
      <c r="GK71" s="283">
        <f xml:space="preserve"> 'WK2015'!HU81</f>
        <v>3174.05683</v>
      </c>
      <c r="GL71" s="283">
        <f xml:space="preserve"> 'WK2015'!HV81</f>
        <v>3457.3127399999998</v>
      </c>
      <c r="GM71" s="283">
        <f xml:space="preserve"> 'WK2015'!HW81</f>
        <v>3174.05683</v>
      </c>
      <c r="GN71" s="283">
        <f xml:space="preserve"> 'WK2015'!HX81</f>
        <v>3457.3127399999998</v>
      </c>
      <c r="GO71" s="284">
        <f xml:space="preserve"> 'WK2015'!HY81</f>
        <v>0.71925971665053934</v>
      </c>
    </row>
    <row r="72" spans="1:197" x14ac:dyDescent="0.2">
      <c r="A72" s="3">
        <f>Basis!A72</f>
        <v>72</v>
      </c>
      <c r="D72" s="252" t="e">
        <v>#N/A</v>
      </c>
      <c r="E72" s="252" t="e">
        <v>#N/A</v>
      </c>
      <c r="H72" s="50">
        <f xml:space="preserve"> 'WK2012'!EG82</f>
        <v>7456.4416678719836</v>
      </c>
      <c r="I72" s="50">
        <f xml:space="preserve"> 'WK2012'!EH82</f>
        <v>7549.9207195548724</v>
      </c>
      <c r="J72" s="50">
        <f xml:space="preserve"> 'WK2012'!EK82</f>
        <v>7456.4763176720153</v>
      </c>
      <c r="K72" s="50">
        <f xml:space="preserve"> 'WK2012'!EL82</f>
        <v>7549.8785034504226</v>
      </c>
      <c r="L72" s="50">
        <f xml:space="preserve"> 'WK2012'!EM82</f>
        <v>7456.4416678719836</v>
      </c>
      <c r="M72" s="50">
        <f xml:space="preserve"> 'WK2012'!EN82</f>
        <v>7549.8438536503909</v>
      </c>
      <c r="N72" s="61">
        <f xml:space="preserve"> 'WK2012'!EI82</f>
        <v>0.69138139176527869</v>
      </c>
      <c r="P72" s="50">
        <f xml:space="preserve"> 'WK2012'!EU82</f>
        <v>7050.0740224351775</v>
      </c>
      <c r="Q72" s="50">
        <f xml:space="preserve"> 'WK2012'!EV82</f>
        <v>6867.4775316383375</v>
      </c>
      <c r="R72" s="50">
        <f xml:space="preserve"> 'WK2012'!EY82</f>
        <v>7050.0740224351775</v>
      </c>
      <c r="S72" s="50">
        <f xml:space="preserve"> 'WK2012'!EZ82</f>
        <v>6867.4775316383375</v>
      </c>
      <c r="T72" s="50">
        <f xml:space="preserve"> 'WK2012'!FA82</f>
        <v>7050.0740224351775</v>
      </c>
      <c r="U72" s="50">
        <f xml:space="preserve"> 'WK2012'!FB82</f>
        <v>6867.4775316383375</v>
      </c>
      <c r="V72" s="61">
        <f xml:space="preserve"> 'WK2012'!EW82</f>
        <v>0.70828233108237182</v>
      </c>
      <c r="X72" s="50">
        <f xml:space="preserve"> 'WK2012'!FI82</f>
        <v>5021.7111748369362</v>
      </c>
      <c r="Y72" s="50">
        <f xml:space="preserve"> 'WK2012'!FJ82</f>
        <v>4571.8343304773371</v>
      </c>
      <c r="Z72" s="50">
        <f xml:space="preserve"> 'WK2012'!FM82</f>
        <v>5021.7111748369362</v>
      </c>
      <c r="AA72" s="50">
        <f xml:space="preserve"> 'WK2012'!FN82</f>
        <v>4571.8343304773371</v>
      </c>
      <c r="AB72" s="50">
        <f xml:space="preserve"> 'WK2012'!FO82</f>
        <v>5021.7111748369362</v>
      </c>
      <c r="AC72" s="50">
        <f xml:space="preserve"> 'WK2012'!FP82</f>
        <v>4571.8343304773371</v>
      </c>
      <c r="AD72" s="61">
        <f xml:space="preserve"> 'WK2012'!FK82</f>
        <v>0.70545931822387542</v>
      </c>
      <c r="AF72" s="50">
        <f xml:space="preserve"> 'WK2012'!FW82</f>
        <v>686.98209843497227</v>
      </c>
      <c r="AG72" s="50">
        <f xml:space="preserve"> 'WK2012'!FX82</f>
        <v>646.51511633044277</v>
      </c>
      <c r="AH72" s="50">
        <f xml:space="preserve"> 'WK2012'!GA82</f>
        <v>687.01328325500037</v>
      </c>
      <c r="AI72" s="50">
        <f xml:space="preserve"> 'WK2012'!GB82</f>
        <v>646.4771218364375</v>
      </c>
      <c r="AJ72" s="50">
        <f xml:space="preserve"> 'WK2012'!GC82</f>
        <v>686.98209843497227</v>
      </c>
      <c r="AK72" s="50">
        <f xml:space="preserve"> 'WK2012'!GD82</f>
        <v>646.44593701640929</v>
      </c>
      <c r="AL72" s="61">
        <f xml:space="preserve"> 'WK2012'!FY82</f>
        <v>0.70170378834191072</v>
      </c>
      <c r="AN72" s="50">
        <f xml:space="preserve"> 'WK2012'!GK82</f>
        <v>601.19926676390128</v>
      </c>
      <c r="AO72" s="50">
        <f xml:space="preserve"> 'WK2012'!GL82</f>
        <v>627.56409441062317</v>
      </c>
      <c r="AP72" s="50">
        <f xml:space="preserve"> 'WK2012'!GO82</f>
        <v>601.19926676390128</v>
      </c>
      <c r="AQ72" s="50">
        <f xml:space="preserve"> 'WK2012'!GP82</f>
        <v>627.56409441062317</v>
      </c>
      <c r="AR72" s="50">
        <f xml:space="preserve"> 'WK2012'!GQ82</f>
        <v>601.19926676390128</v>
      </c>
      <c r="AS72" s="50">
        <f xml:space="preserve"> 'WK2012'!GR82</f>
        <v>627.56409441062317</v>
      </c>
      <c r="AT72" s="61">
        <f xml:space="preserve"> 'WK2012'!GM82</f>
        <v>0.70566255119949561</v>
      </c>
      <c r="AX72" s="50">
        <f xml:space="preserve"> 'WK2013'!EG82</f>
        <v>8176.0954865999993</v>
      </c>
      <c r="AY72" s="50">
        <f xml:space="preserve"> 'WK2013'!EH82</f>
        <v>7577.7378360000002</v>
      </c>
      <c r="AZ72" s="50">
        <f xml:space="preserve"> 'WK2013'!EK82</f>
        <v>8176.0954865999993</v>
      </c>
      <c r="BA72" s="50">
        <f xml:space="preserve"> 'WK2013'!EL82</f>
        <v>7577.7378360000002</v>
      </c>
      <c r="BB72" s="50">
        <f xml:space="preserve"> 'WK2013'!EM82</f>
        <v>8176.0954865999993</v>
      </c>
      <c r="BC72" s="50">
        <f xml:space="preserve"> 'WK2013'!EN82</f>
        <v>7577.7378360000002</v>
      </c>
      <c r="BD72" s="61">
        <f xml:space="preserve"> 'WK2013'!EI82</f>
        <v>0.6816041675044765</v>
      </c>
      <c r="BF72" s="50">
        <f xml:space="preserve"> 'WK2013'!EU82</f>
        <v>7252.5972973999997</v>
      </c>
      <c r="BG72" s="50">
        <f xml:space="preserve"> 'WK2013'!EV82</f>
        <v>6693.1558210000003</v>
      </c>
      <c r="BH72" s="50">
        <f xml:space="preserve"> 'WK2013'!EY82</f>
        <v>7252.5972973999997</v>
      </c>
      <c r="BI72" s="50">
        <f xml:space="preserve"> 'WK2013'!EZ82</f>
        <v>6693.1558210000003</v>
      </c>
      <c r="BJ72" s="50">
        <f xml:space="preserve"> 'WK2013'!FA82</f>
        <v>7252.5972973999997</v>
      </c>
      <c r="BK72" s="50">
        <f xml:space="preserve"> 'WK2013'!FB82</f>
        <v>6693.1558210000003</v>
      </c>
      <c r="BL72" s="61">
        <f xml:space="preserve"> 'WK2013'!EW82</f>
        <v>0.69388469692697352</v>
      </c>
      <c r="BN72" s="50">
        <f xml:space="preserve"> 'WK2013'!FI82</f>
        <v>5539.9537620000001</v>
      </c>
      <c r="BO72" s="50">
        <f xml:space="preserve"> 'WK2013'!FJ82</f>
        <v>5135.3683842</v>
      </c>
      <c r="BP72" s="50">
        <f xml:space="preserve"> 'WK2013'!FM82</f>
        <v>5539.9537620000001</v>
      </c>
      <c r="BQ72" s="50">
        <f xml:space="preserve"> 'WK2013'!FN82</f>
        <v>5135.3683842</v>
      </c>
      <c r="BR72" s="50">
        <f xml:space="preserve"> 'WK2013'!FO82</f>
        <v>5539.9537620000001</v>
      </c>
      <c r="BS72" s="50">
        <f xml:space="preserve"> 'WK2013'!FP82</f>
        <v>5135.3683842</v>
      </c>
      <c r="BT72" s="61">
        <f xml:space="preserve"> 'WK2013'!FK82</f>
        <v>0.70365181603429083</v>
      </c>
      <c r="BV72" s="50">
        <f xml:space="preserve"> 'WK2013'!FW82</f>
        <v>817.97810259999994</v>
      </c>
      <c r="BW72" s="50">
        <f xml:space="preserve"> 'WK2013'!FX82</f>
        <v>868.69769800000006</v>
      </c>
      <c r="BX72" s="50">
        <f xml:space="preserve"> 'WK2013'!GA82</f>
        <v>817.97810259999994</v>
      </c>
      <c r="BY72" s="50">
        <f xml:space="preserve"> 'WK2013'!GB82</f>
        <v>868.69769800000006</v>
      </c>
      <c r="BZ72" s="50">
        <f xml:space="preserve"> 'WK2013'!GC82</f>
        <v>817.97810259999994</v>
      </c>
      <c r="CA72" s="50">
        <f xml:space="preserve"> 'WK2013'!GD82</f>
        <v>868.69769800000006</v>
      </c>
      <c r="CB72" s="61">
        <f xml:space="preserve"> 'WK2013'!FY82</f>
        <v>0.69159581064117104</v>
      </c>
      <c r="CD72" s="50">
        <f xml:space="preserve"> 'WK2013'!GK82</f>
        <v>808.35139649999985</v>
      </c>
      <c r="CE72" s="50">
        <f xml:space="preserve"> 'WK2013'!GL82</f>
        <v>738.15870975000007</v>
      </c>
      <c r="CF72" s="50">
        <f xml:space="preserve"> 'WK2013'!GO82</f>
        <v>808.35139649999985</v>
      </c>
      <c r="CG72" s="50">
        <f xml:space="preserve"> 'WK2013'!GP82</f>
        <v>738.15870975000007</v>
      </c>
      <c r="CH72" s="50">
        <f xml:space="preserve"> 'WK2013'!GQ82</f>
        <v>808.35139649999985</v>
      </c>
      <c r="CI72" s="50">
        <f xml:space="preserve"> 'WK2013'!GR82</f>
        <v>738.15870975000007</v>
      </c>
      <c r="CJ72" s="61">
        <f xml:space="preserve"> 'WK2013'!GM82</f>
        <v>0.71920876024396196</v>
      </c>
      <c r="CN72" s="50">
        <f xml:space="preserve"> 'WK2014'!EG82</f>
        <v>8225.5744851999989</v>
      </c>
      <c r="CO72" s="50">
        <f xml:space="preserve"> 'WK2014'!EH82</f>
        <v>7510.6366660000003</v>
      </c>
      <c r="CP72" s="50">
        <f xml:space="preserve"> 'WK2014'!EK82</f>
        <v>8225.5746327614306</v>
      </c>
      <c r="CQ72" s="50">
        <f xml:space="preserve"> 'WK2014'!EL82</f>
        <v>7510.6365327614321</v>
      </c>
      <c r="CR72" s="50">
        <f xml:space="preserve"> 'WK2014'!EM82</f>
        <v>8225.5744851999989</v>
      </c>
      <c r="CS72" s="50">
        <f xml:space="preserve"> 'WK2014'!EN82</f>
        <v>7510.6363852000004</v>
      </c>
      <c r="CT72" s="61">
        <f xml:space="preserve"> 'WK2014'!EI82</f>
        <v>0.69316521726815683</v>
      </c>
      <c r="CV72" s="50">
        <f xml:space="preserve"> 'WK2014'!EU82</f>
        <v>6966.1994068000004</v>
      </c>
      <c r="CW72" s="50">
        <f xml:space="preserve"> 'WK2014'!EV82</f>
        <v>6104.5932789999997</v>
      </c>
      <c r="CX72" s="50">
        <f xml:space="preserve"> 'WK2014'!EY82</f>
        <v>6966.1995359162529</v>
      </c>
      <c r="CY72" s="50">
        <f xml:space="preserve"> 'WK2014'!EZ82</f>
        <v>6104.5931624162522</v>
      </c>
      <c r="CZ72" s="50">
        <f xml:space="preserve"> 'WK2014'!FA82</f>
        <v>6966.1994068000004</v>
      </c>
      <c r="DA72" s="50">
        <f xml:space="preserve"> 'WK2014'!FB82</f>
        <v>6104.5930332999997</v>
      </c>
      <c r="DB72" s="61">
        <f xml:space="preserve"> 'WK2014'!EW82</f>
        <v>0.68366509604076009</v>
      </c>
      <c r="DC72" s="1"/>
      <c r="DD72" s="50">
        <f xml:space="preserve"> 'WK2014'!FI82</f>
        <v>5153.8075343999999</v>
      </c>
      <c r="DE72" s="50">
        <f xml:space="preserve"> 'WK2014'!FJ82</f>
        <v>4700.0159184000004</v>
      </c>
      <c r="DF72" s="50">
        <f xml:space="preserve"> 'WK2014'!FM82</f>
        <v>5153.8075343999999</v>
      </c>
      <c r="DG72" s="50">
        <f xml:space="preserve"> 'WK2014'!FN82</f>
        <v>4700.0159184000004</v>
      </c>
      <c r="DH72" s="50">
        <f xml:space="preserve"> 'WK2014'!FO82</f>
        <v>5153.8075343999999</v>
      </c>
      <c r="DI72" s="50">
        <f xml:space="preserve"> 'WK2014'!FP82</f>
        <v>4700.0159184000004</v>
      </c>
      <c r="DJ72" s="61">
        <f xml:space="preserve"> 'WK2014'!FK82</f>
        <v>0.69361943297667172</v>
      </c>
      <c r="DK72" s="1"/>
      <c r="DL72" s="50">
        <f xml:space="preserve"> 'WK2014'!FW82</f>
        <v>799.47612719999995</v>
      </c>
      <c r="DM72" s="50">
        <f xml:space="preserve"> 'WK2014'!FX82</f>
        <v>854.75784800000019</v>
      </c>
      <c r="DN72" s="50">
        <f xml:space="preserve"> 'WK2014'!GA82</f>
        <v>799.47627476143157</v>
      </c>
      <c r="DO72" s="50">
        <f xml:space="preserve"> 'WK2014'!GB82</f>
        <v>854.75771476143177</v>
      </c>
      <c r="DP72" s="50">
        <f xml:space="preserve"> 'WK2014'!GC82</f>
        <v>799.47612719999995</v>
      </c>
      <c r="DQ72" s="50">
        <f xml:space="preserve"> 'WK2014'!GD82</f>
        <v>854.75756720000004</v>
      </c>
      <c r="DR72" s="61">
        <f xml:space="preserve"> 'WK2014'!FY82</f>
        <v>0.68807665142310637</v>
      </c>
      <c r="DS72" s="1"/>
      <c r="DT72" s="50">
        <f xml:space="preserve"> 'WK2014'!GK82</f>
        <v>1192.8362579999998</v>
      </c>
      <c r="DU72" s="50">
        <f xml:space="preserve"> 'WK2014'!GL82</f>
        <v>1095.3416145000001</v>
      </c>
      <c r="DV72" s="50">
        <f xml:space="preserve"> 'WK2014'!GO82</f>
        <v>1192.8362579999998</v>
      </c>
      <c r="DW72" s="50">
        <f xml:space="preserve"> 'WK2014'!GP82</f>
        <v>1095.3416145000001</v>
      </c>
      <c r="DX72" s="50">
        <f xml:space="preserve"> 'WK2014'!GQ82</f>
        <v>1192.8362579999998</v>
      </c>
      <c r="DY72" s="50">
        <f xml:space="preserve"> 'WK2014'!GR82</f>
        <v>1095.3416145000001</v>
      </c>
      <c r="DZ72" s="61">
        <f xml:space="preserve"> 'WK2014'!GM82</f>
        <v>0.70140125297403666</v>
      </c>
      <c r="ED72" s="50">
        <f xml:space="preserve"> 'WK2015'!EG82</f>
        <v>7900.9072558000007</v>
      </c>
      <c r="EE72" s="50">
        <f xml:space="preserve"> 'WK2015'!EH82</f>
        <v>6875.7794673999997</v>
      </c>
      <c r="EF72" s="50">
        <f xml:space="preserve"> 'WK2015'!EK82</f>
        <v>7900.9072558000007</v>
      </c>
      <c r="EG72" s="50">
        <f xml:space="preserve"> 'WK2015'!EL82</f>
        <v>6875.7794673999997</v>
      </c>
      <c r="EH72" s="50">
        <f xml:space="preserve"> 'WK2015'!EM82</f>
        <v>7900.9072558000007</v>
      </c>
      <c r="EI72" s="50">
        <f xml:space="preserve"> 'WK2015'!EN82</f>
        <v>6875.7794673999997</v>
      </c>
      <c r="EJ72" s="61">
        <f xml:space="preserve"> 'WK2015'!EI82</f>
        <v>0.7057801119310031</v>
      </c>
      <c r="EK72" s="1"/>
      <c r="EL72" s="50">
        <f xml:space="preserve"> 'WK2015'!EU82</f>
        <v>7174.0004741999992</v>
      </c>
      <c r="EM72" s="50">
        <f xml:space="preserve"> 'WK2015'!EV82</f>
        <v>6514.9248181000003</v>
      </c>
      <c r="EN72" s="50">
        <f xml:space="preserve"> 'WK2015'!EY82</f>
        <v>7174.0004741999992</v>
      </c>
      <c r="EO72" s="50">
        <f xml:space="preserve"> 'WK2015'!EZ82</f>
        <v>6514.9248181000003</v>
      </c>
      <c r="EP72" s="50">
        <f xml:space="preserve"> 'WK2015'!FA82</f>
        <v>7174.0004741999992</v>
      </c>
      <c r="EQ72" s="50">
        <f xml:space="preserve"> 'WK2015'!FB82</f>
        <v>6514.9248181000003</v>
      </c>
      <c r="ER72" s="61">
        <f xml:space="preserve"> 'WK2015'!EW82</f>
        <v>0.71011677027264231</v>
      </c>
      <c r="ES72" s="1"/>
      <c r="ET72" s="50">
        <f xml:space="preserve"> 'WK2015'!FI82</f>
        <v>6037.3340495999992</v>
      </c>
      <c r="EU72" s="50">
        <f xml:space="preserve"> 'WK2015'!FJ82</f>
        <v>5489.0345297999993</v>
      </c>
      <c r="EV72" s="50">
        <f xml:space="preserve"> 'WK2015'!FM82</f>
        <v>6037.3340495999992</v>
      </c>
      <c r="EW72" s="50">
        <f xml:space="preserve"> 'WK2015'!FN82</f>
        <v>5489.0345297999993</v>
      </c>
      <c r="EX72" s="50">
        <f xml:space="preserve"> 'WK2015'!FO82</f>
        <v>6037.3340495999992</v>
      </c>
      <c r="EY72" s="50">
        <f xml:space="preserve"> 'WK2015'!FP82</f>
        <v>5489.0345297999993</v>
      </c>
      <c r="EZ72" s="61">
        <f xml:space="preserve"> 'WK2015'!FK82</f>
        <v>0.71591810941807621</v>
      </c>
      <c r="FA72" s="1"/>
      <c r="FB72" s="50">
        <f xml:space="preserve"> 'WK2015'!FW82</f>
        <v>807.89446080000005</v>
      </c>
      <c r="FC72" s="50">
        <f xml:space="preserve"> 'WK2015'!FX82</f>
        <v>864.79085039999995</v>
      </c>
      <c r="FD72" s="50">
        <f xml:space="preserve"> 'WK2015'!GA82</f>
        <v>807.89446080000005</v>
      </c>
      <c r="FE72" s="50">
        <f xml:space="preserve"> 'WK2015'!GB82</f>
        <v>864.79085039999995</v>
      </c>
      <c r="FF72" s="50">
        <f xml:space="preserve"> 'WK2015'!GC82</f>
        <v>807.89446080000005</v>
      </c>
      <c r="FG72" s="50">
        <f xml:space="preserve"> 'WK2015'!GD82</f>
        <v>864.79085039999995</v>
      </c>
      <c r="FH72" s="61">
        <f xml:space="preserve"> 'WK2015'!FY82</f>
        <v>0.71132088360715806</v>
      </c>
      <c r="FI72" s="1"/>
      <c r="FJ72" s="50">
        <f xml:space="preserve"> 'WK2015'!GK82</f>
        <v>816.26433975000032</v>
      </c>
      <c r="FK72" s="50">
        <f xml:space="preserve"> 'WK2015'!GL82</f>
        <v>785.29382324999995</v>
      </c>
      <c r="FL72" s="50">
        <f xml:space="preserve"> 'WK2015'!GO82</f>
        <v>816.26433975000032</v>
      </c>
      <c r="FM72" s="50">
        <f xml:space="preserve"> 'WK2015'!GP82</f>
        <v>785.29382324999995</v>
      </c>
      <c r="FN72" s="50">
        <f xml:space="preserve"> 'WK2015'!GQ82</f>
        <v>816.26433975000032</v>
      </c>
      <c r="FO72" s="50">
        <f xml:space="preserve"> 'WK2015'!GR82</f>
        <v>785.29382324999995</v>
      </c>
      <c r="FP72" s="61">
        <f xml:space="preserve"> 'WK2015'!GM82</f>
        <v>0.71140992917409229</v>
      </c>
      <c r="FS72" s="283">
        <f xml:space="preserve"> 'WK2015'!H82</f>
        <v>3915.25333</v>
      </c>
      <c r="FT72" s="283">
        <f xml:space="preserve"> 'WK2015'!I82</f>
        <v>3591.7479880000001</v>
      </c>
      <c r="FU72" s="283">
        <f xml:space="preserve"> 'WK2015'!L82</f>
        <v>3915.25333</v>
      </c>
      <c r="FV72" s="283">
        <f xml:space="preserve"> 'WK2015'!M82</f>
        <v>3591.7479880000001</v>
      </c>
      <c r="FW72" s="283">
        <f xml:space="preserve"> 'WK2015'!N82</f>
        <v>3915.25333</v>
      </c>
      <c r="FX72" s="283">
        <f xml:space="preserve"> 'WK2015'!O82</f>
        <v>3591.7479880000001</v>
      </c>
      <c r="FY72" s="284">
        <f xml:space="preserve"> 'WK2015'!P82</f>
        <v>0.70200949691086278</v>
      </c>
      <c r="GA72" s="283">
        <f xml:space="preserve"> 'WK2015'!HB82</f>
        <v>3114.3668219999995</v>
      </c>
      <c r="GB72" s="283">
        <f xml:space="preserve"> 'WK2015'!HC82</f>
        <v>3267.7055460000001</v>
      </c>
      <c r="GC72" s="283">
        <f xml:space="preserve"> 'WK2015'!HF82</f>
        <v>3114.3668219999995</v>
      </c>
      <c r="GD72" s="283">
        <f xml:space="preserve"> 'WK2015'!HG82</f>
        <v>3267.7055460000001</v>
      </c>
      <c r="GE72" s="283">
        <f xml:space="preserve"> 'WK2015'!HH82</f>
        <v>3114.3668219999995</v>
      </c>
      <c r="GF72" s="283">
        <f xml:space="preserve"> 'WK2015'!HI82</f>
        <v>3267.7055460000001</v>
      </c>
      <c r="GG72" s="284">
        <f xml:space="preserve"> 'WK2015'!HJ82</f>
        <v>0.6995047173870782</v>
      </c>
      <c r="GI72" s="283">
        <f xml:space="preserve"> 'WK2015'!HQ82</f>
        <v>3341.4734149999999</v>
      </c>
      <c r="GJ72" s="283">
        <f xml:space="preserve"> 'WK2015'!HR82</f>
        <v>3612.806505</v>
      </c>
      <c r="GK72" s="283">
        <f xml:space="preserve"> 'WK2015'!HU82</f>
        <v>3341.4734149999999</v>
      </c>
      <c r="GL72" s="283">
        <f xml:space="preserve"> 'WK2015'!HV82</f>
        <v>3612.806505</v>
      </c>
      <c r="GM72" s="283">
        <f xml:space="preserve"> 'WK2015'!HW82</f>
        <v>3341.4734149999999</v>
      </c>
      <c r="GN72" s="283">
        <f xml:space="preserve"> 'WK2015'!HX82</f>
        <v>3612.806505</v>
      </c>
      <c r="GO72" s="284">
        <f xml:space="preserve"> 'WK2015'!HY82</f>
        <v>0.76151138687214115</v>
      </c>
    </row>
    <row r="73" spans="1:197" x14ac:dyDescent="0.2">
      <c r="A73" s="3">
        <f>Basis!A73</f>
        <v>73</v>
      </c>
      <c r="D73" s="252" t="e">
        <v>#N/A</v>
      </c>
      <c r="E73" s="252" t="e">
        <v>#N/A</v>
      </c>
      <c r="H73" s="50">
        <f xml:space="preserve"> 'WK2012'!EG83</f>
        <v>7763.4920630989291</v>
      </c>
      <c r="I73" s="50">
        <f xml:space="preserve"> 'WK2012'!EH83</f>
        <v>7773.6432033623805</v>
      </c>
      <c r="J73" s="50">
        <f xml:space="preserve"> 'WK2012'!EK83</f>
        <v>7763.526790351094</v>
      </c>
      <c r="K73" s="50">
        <f xml:space="preserve"> 'WK2012'!EL83</f>
        <v>7773.6010647100638</v>
      </c>
      <c r="L73" s="50">
        <f xml:space="preserve"> 'WK2012'!EM83</f>
        <v>7763.4920630989291</v>
      </c>
      <c r="M73" s="50">
        <f xml:space="preserve"> 'WK2012'!EN83</f>
        <v>7773.566337457899</v>
      </c>
      <c r="N73" s="61">
        <f xml:space="preserve"> 'WK2012'!EI83</f>
        <v>0.68590874074492392</v>
      </c>
      <c r="P73" s="50">
        <f xml:space="preserve"> 'WK2012'!EU83</f>
        <v>7365.0232039739412</v>
      </c>
      <c r="Q73" s="50">
        <f xml:space="preserve"> 'WK2012'!EV83</f>
        <v>7056.4903355431616</v>
      </c>
      <c r="R73" s="50">
        <f xml:space="preserve"> 'WK2012'!EY83</f>
        <v>7365.0232039739412</v>
      </c>
      <c r="S73" s="50">
        <f xml:space="preserve"> 'WK2012'!EZ83</f>
        <v>7056.4903355431616</v>
      </c>
      <c r="T73" s="50">
        <f xml:space="preserve"> 'WK2012'!FA83</f>
        <v>7365.0232039739412</v>
      </c>
      <c r="U73" s="50">
        <f xml:space="preserve"> 'WK2012'!FB83</f>
        <v>7056.4903355431616</v>
      </c>
      <c r="V73" s="61">
        <f xml:space="preserve"> 'WK2012'!EW83</f>
        <v>0.70678065818574465</v>
      </c>
      <c r="X73" s="50">
        <f xml:space="preserve"> 'WK2012'!FI83</f>
        <v>5283.9613330058792</v>
      </c>
      <c r="Y73" s="50">
        <f xml:space="preserve"> 'WK2012'!FJ83</f>
        <v>4748.8096124214217</v>
      </c>
      <c r="Z73" s="50">
        <f xml:space="preserve"> 'WK2012'!FM83</f>
        <v>5283.9613330058792</v>
      </c>
      <c r="AA73" s="50">
        <f xml:space="preserve"> 'WK2012'!FN83</f>
        <v>4748.8096124214217</v>
      </c>
      <c r="AB73" s="50">
        <f xml:space="preserve"> 'WK2012'!FO83</f>
        <v>5283.9613330058792</v>
      </c>
      <c r="AC73" s="50">
        <f xml:space="preserve"> 'WK2012'!FP83</f>
        <v>4748.8096124214217</v>
      </c>
      <c r="AD73" s="61">
        <f xml:space="preserve"> 'WK2012'!FK83</f>
        <v>0.70637530314544628</v>
      </c>
      <c r="AF73" s="50">
        <f xml:space="preserve"> 'WK2012'!FW83</f>
        <v>728.93849213586861</v>
      </c>
      <c r="AG73" s="50">
        <f xml:space="preserve"> 'WK2012'!FX83</f>
        <v>694.97106785566586</v>
      </c>
      <c r="AH73" s="50">
        <f xml:space="preserve"> 'WK2012'!GA83</f>
        <v>728.96974666281699</v>
      </c>
      <c r="AI73" s="50">
        <f xml:space="preserve"> 'WK2012'!GB83</f>
        <v>694.93314306858088</v>
      </c>
      <c r="AJ73" s="50">
        <f xml:space="preserve"> 'WK2012'!GC83</f>
        <v>728.93849213586861</v>
      </c>
      <c r="AK73" s="50">
        <f xml:space="preserve"> 'WK2012'!GD83</f>
        <v>694.9018885416325</v>
      </c>
      <c r="AL73" s="61">
        <f xml:space="preserve"> 'WK2012'!FY83</f>
        <v>0.70601483086254813</v>
      </c>
      <c r="AN73" s="50">
        <f xml:space="preserve"> 'WK2012'!GK83</f>
        <v>597.38656462097345</v>
      </c>
      <c r="AO73" s="50">
        <f xml:space="preserve"> 'WK2012'!GL83</f>
        <v>616.06090771260017</v>
      </c>
      <c r="AP73" s="50">
        <f xml:space="preserve"> 'WK2012'!GO83</f>
        <v>597.38656462097345</v>
      </c>
      <c r="AQ73" s="50">
        <f xml:space="preserve"> 'WK2012'!GP83</f>
        <v>616.06090771260017</v>
      </c>
      <c r="AR73" s="50">
        <f xml:space="preserve"> 'WK2012'!GQ83</f>
        <v>597.38656462097345</v>
      </c>
      <c r="AS73" s="50">
        <f xml:space="preserve"> 'WK2012'!GR83</f>
        <v>616.06090771260017</v>
      </c>
      <c r="AT73" s="61">
        <f xml:space="preserve"> 'WK2012'!GM83</f>
        <v>0.70053727484101003</v>
      </c>
      <c r="AX73" s="50">
        <f xml:space="preserve"> 'WK2013'!EG83</f>
        <v>8546.9059802000011</v>
      </c>
      <c r="AY73" s="50">
        <f xml:space="preserve"> 'WK2013'!EH83</f>
        <v>7870.1545541999994</v>
      </c>
      <c r="AZ73" s="50">
        <f xml:space="preserve"> 'WK2013'!EK83</f>
        <v>8546.9059802000011</v>
      </c>
      <c r="BA73" s="50">
        <f xml:space="preserve"> 'WK2013'!EL83</f>
        <v>7870.1545541999994</v>
      </c>
      <c r="BB73" s="50">
        <f xml:space="preserve"> 'WK2013'!EM83</f>
        <v>8546.9059802000011</v>
      </c>
      <c r="BC73" s="50">
        <f xml:space="preserve"> 'WK2013'!EN83</f>
        <v>7870.1545541999994</v>
      </c>
      <c r="BD73" s="61">
        <f xml:space="preserve"> 'WK2013'!EI83</f>
        <v>0.67763755755820243</v>
      </c>
      <c r="BF73" s="50">
        <f xml:space="preserve"> 'WK2013'!EU83</f>
        <v>7647.3462852999992</v>
      </c>
      <c r="BG73" s="50">
        <f xml:space="preserve"> 'WK2013'!EV83</f>
        <v>6997.369225800001</v>
      </c>
      <c r="BH73" s="50">
        <f xml:space="preserve"> 'WK2013'!EY83</f>
        <v>7647.3462852999992</v>
      </c>
      <c r="BI73" s="50">
        <f xml:space="preserve"> 'WK2013'!EZ83</f>
        <v>6997.369225800001</v>
      </c>
      <c r="BJ73" s="50">
        <f xml:space="preserve"> 'WK2013'!FA83</f>
        <v>7647.3462852999992</v>
      </c>
      <c r="BK73" s="50">
        <f xml:space="preserve"> 'WK2013'!FB83</f>
        <v>6997.369225800001</v>
      </c>
      <c r="BL73" s="61">
        <f xml:space="preserve"> 'WK2013'!EW83</f>
        <v>0.68934817948133686</v>
      </c>
      <c r="BN73" s="50">
        <f xml:space="preserve"> 'WK2013'!FI83</f>
        <v>5821.9960671999997</v>
      </c>
      <c r="BO73" s="50">
        <f xml:space="preserve"> 'WK2013'!FJ83</f>
        <v>5330.0999057999998</v>
      </c>
      <c r="BP73" s="50">
        <f xml:space="preserve"> 'WK2013'!FM83</f>
        <v>5821.9960671999997</v>
      </c>
      <c r="BQ73" s="50">
        <f xml:space="preserve"> 'WK2013'!FN83</f>
        <v>5330.0999057999998</v>
      </c>
      <c r="BR73" s="50">
        <f xml:space="preserve"> 'WK2013'!FO83</f>
        <v>5821.9960671999997</v>
      </c>
      <c r="BS73" s="50">
        <f xml:space="preserve"> 'WK2013'!FP83</f>
        <v>5330.0999057999998</v>
      </c>
      <c r="BT73" s="61">
        <f xml:space="preserve"> 'WK2013'!FK83</f>
        <v>0.6941832360994612</v>
      </c>
      <c r="BV73" s="50">
        <f xml:space="preserve"> 'WK2013'!FW83</f>
        <v>817.48753220000003</v>
      </c>
      <c r="BW73" s="50">
        <f xml:space="preserve"> 'WK2013'!FX83</f>
        <v>861.94442619999995</v>
      </c>
      <c r="BX73" s="50">
        <f xml:space="preserve"> 'WK2013'!GA83</f>
        <v>817.48753220000003</v>
      </c>
      <c r="BY73" s="50">
        <f xml:space="preserve"> 'WK2013'!GB83</f>
        <v>861.94442619999995</v>
      </c>
      <c r="BZ73" s="50">
        <f xml:space="preserve"> 'WK2013'!GC83</f>
        <v>817.48753220000003</v>
      </c>
      <c r="CA73" s="50">
        <f xml:space="preserve"> 'WK2013'!GD83</f>
        <v>861.94442619999995</v>
      </c>
      <c r="CB73" s="61">
        <f xml:space="preserve"> 'WK2013'!FY83</f>
        <v>0.68731120765919462</v>
      </c>
      <c r="CD73" s="50">
        <f xml:space="preserve"> 'WK2013'!GK83</f>
        <v>851.90850900000009</v>
      </c>
      <c r="CE73" s="50">
        <f xml:space="preserve"> 'WK2013'!GL83</f>
        <v>782.47928249999995</v>
      </c>
      <c r="CF73" s="50">
        <f xml:space="preserve"> 'WK2013'!GO83</f>
        <v>851.90850900000009</v>
      </c>
      <c r="CG73" s="50">
        <f xml:space="preserve"> 'WK2013'!GP83</f>
        <v>782.47928249999995</v>
      </c>
      <c r="CH73" s="50">
        <f xml:space="preserve"> 'WK2013'!GQ83</f>
        <v>851.90850900000009</v>
      </c>
      <c r="CI73" s="50">
        <f xml:space="preserve"> 'WK2013'!GR83</f>
        <v>782.47928249999995</v>
      </c>
      <c r="CJ73" s="61">
        <f xml:space="preserve"> 'WK2013'!GM83</f>
        <v>0.71143574048048575</v>
      </c>
      <c r="CN73" s="50">
        <f xml:space="preserve"> 'WK2014'!EG83</f>
        <v>8589.6032439999999</v>
      </c>
      <c r="CO73" s="50">
        <f xml:space="preserve"> 'WK2014'!EH83</f>
        <v>7810.2599412</v>
      </c>
      <c r="CP73" s="50">
        <f xml:space="preserve"> 'WK2014'!EK83</f>
        <v>8589.603379952614</v>
      </c>
      <c r="CQ73" s="50">
        <f xml:space="preserve"> 'WK2014'!EL83</f>
        <v>7810.2598179526149</v>
      </c>
      <c r="CR73" s="50">
        <f xml:space="preserve"> 'WK2014'!EM83</f>
        <v>8589.6032439999999</v>
      </c>
      <c r="CS73" s="50">
        <f xml:space="preserve"> 'WK2014'!EN83</f>
        <v>7810.2596819999999</v>
      </c>
      <c r="CT73" s="61">
        <f xml:space="preserve"> 'WK2014'!EI83</f>
        <v>0.69240722675335442</v>
      </c>
      <c r="CV73" s="50">
        <f xml:space="preserve"> 'WK2014'!EU83</f>
        <v>7309.3986185000003</v>
      </c>
      <c r="CW73" s="50">
        <f xml:space="preserve"> 'WK2014'!EV83</f>
        <v>6344.8985288000003</v>
      </c>
      <c r="CX73" s="50">
        <f xml:space="preserve"> 'WK2014'!EY83</f>
        <v>7309.3987374585377</v>
      </c>
      <c r="CY73" s="50">
        <f xml:space="preserve"> 'WK2014'!EZ83</f>
        <v>6344.8984209585378</v>
      </c>
      <c r="CZ73" s="50">
        <f xml:space="preserve"> 'WK2014'!FA83</f>
        <v>7309.3986185000003</v>
      </c>
      <c r="DA73" s="50">
        <f xml:space="preserve"> 'WK2014'!FB83</f>
        <v>6344.8983020000005</v>
      </c>
      <c r="DB73" s="61">
        <f xml:space="preserve"> 'WK2014'!EW83</f>
        <v>0.68229016616924021</v>
      </c>
      <c r="DC73" s="1"/>
      <c r="DD73" s="50">
        <f xml:space="preserve"> 'WK2014'!FI83</f>
        <v>5382.6491040000001</v>
      </c>
      <c r="DE73" s="50">
        <f xml:space="preserve"> 'WK2014'!FJ83</f>
        <v>4860.8230670000003</v>
      </c>
      <c r="DF73" s="50">
        <f xml:space="preserve"> 'WK2014'!FM83</f>
        <v>5382.6491040000001</v>
      </c>
      <c r="DG73" s="50">
        <f xml:space="preserve"> 'WK2014'!FN83</f>
        <v>4860.8230670000003</v>
      </c>
      <c r="DH73" s="50">
        <f xml:space="preserve"> 'WK2014'!FO83</f>
        <v>5382.6491040000001</v>
      </c>
      <c r="DI73" s="50">
        <f xml:space="preserve"> 'WK2014'!FP83</f>
        <v>4860.8230670000003</v>
      </c>
      <c r="DJ73" s="61">
        <f xml:space="preserve"> 'WK2014'!FK83</f>
        <v>0.69764968939583949</v>
      </c>
      <c r="DK73" s="1"/>
      <c r="DL73" s="50">
        <f xml:space="preserve"> 'WK2014'!FW83</f>
        <v>799.07457600000009</v>
      </c>
      <c r="DM73" s="50">
        <f xml:space="preserve"> 'WK2014'!FX83</f>
        <v>847.75731520000011</v>
      </c>
      <c r="DN73" s="50">
        <f xml:space="preserve"> 'WK2014'!GA83</f>
        <v>799.07471195261428</v>
      </c>
      <c r="DO73" s="50">
        <f xml:space="preserve"> 'WK2014'!GB83</f>
        <v>847.75719195261433</v>
      </c>
      <c r="DP73" s="50">
        <f xml:space="preserve"> 'WK2014'!GC83</f>
        <v>799.07457600000009</v>
      </c>
      <c r="DQ73" s="50">
        <f xml:space="preserve"> 'WK2014'!GD83</f>
        <v>847.75705600000015</v>
      </c>
      <c r="DR73" s="61">
        <f xml:space="preserve"> 'WK2014'!FY83</f>
        <v>0.68787001094425904</v>
      </c>
      <c r="DS73" s="1"/>
      <c r="DT73" s="50">
        <f xml:space="preserve"> 'WK2014'!GK83</f>
        <v>1269.3794760000001</v>
      </c>
      <c r="DU73" s="50">
        <f xml:space="preserve"> 'WK2014'!GL83</f>
        <v>1172.8147395000001</v>
      </c>
      <c r="DV73" s="50">
        <f xml:space="preserve"> 'WK2014'!GO83</f>
        <v>1269.3794760000001</v>
      </c>
      <c r="DW73" s="50">
        <f xml:space="preserve"> 'WK2014'!GP83</f>
        <v>1172.8147395000001</v>
      </c>
      <c r="DX73" s="50">
        <f xml:space="preserve"> 'WK2014'!GQ83</f>
        <v>1269.3794760000001</v>
      </c>
      <c r="DY73" s="50">
        <f xml:space="preserve"> 'WK2014'!GR83</f>
        <v>1172.8147395000001</v>
      </c>
      <c r="DZ73" s="61">
        <f xml:space="preserve"> 'WK2014'!GM83</f>
        <v>0.70492481069918844</v>
      </c>
      <c r="ED73" s="50">
        <f xml:space="preserve"> 'WK2015'!EG83</f>
        <v>8249.4952243999996</v>
      </c>
      <c r="EE73" s="50">
        <f xml:space="preserve"> 'WK2015'!EH83</f>
        <v>7173.2214936</v>
      </c>
      <c r="EF73" s="50">
        <f xml:space="preserve"> 'WK2015'!EK83</f>
        <v>8249.4952243999996</v>
      </c>
      <c r="EG73" s="50">
        <f xml:space="preserve"> 'WK2015'!EL83</f>
        <v>7173.2214936</v>
      </c>
      <c r="EH73" s="50">
        <f xml:space="preserve"> 'WK2015'!EM83</f>
        <v>8249.4952243999996</v>
      </c>
      <c r="EI73" s="50">
        <f xml:space="preserve"> 'WK2015'!EN83</f>
        <v>7173.2214936</v>
      </c>
      <c r="EJ73" s="61">
        <f xml:space="preserve"> 'WK2015'!EI83</f>
        <v>0.70169823067035342</v>
      </c>
      <c r="EK73" s="1"/>
      <c r="EL73" s="50">
        <f xml:space="preserve"> 'WK2015'!EU83</f>
        <v>7550.267111600001</v>
      </c>
      <c r="EM73" s="50">
        <f xml:space="preserve"> 'WK2015'!EV83</f>
        <v>6810.5837488999996</v>
      </c>
      <c r="EN73" s="50">
        <f xml:space="preserve"> 'WK2015'!EY83</f>
        <v>7550.267111600001</v>
      </c>
      <c r="EO73" s="50">
        <f xml:space="preserve"> 'WK2015'!EZ83</f>
        <v>6810.5837488999996</v>
      </c>
      <c r="EP73" s="50">
        <f xml:space="preserve"> 'WK2015'!FA83</f>
        <v>7550.267111600001</v>
      </c>
      <c r="EQ73" s="50">
        <f xml:space="preserve"> 'WK2015'!FB83</f>
        <v>6810.5837488999996</v>
      </c>
      <c r="ER73" s="61">
        <f xml:space="preserve"> 'WK2015'!EW83</f>
        <v>0.70434442095443051</v>
      </c>
      <c r="ES73" s="1"/>
      <c r="ET73" s="50">
        <f xml:space="preserve"> 'WK2015'!FI83</f>
        <v>6318.5522412000009</v>
      </c>
      <c r="EU73" s="50">
        <f xml:space="preserve"> 'WK2015'!FJ83</f>
        <v>5713.4405359999992</v>
      </c>
      <c r="EV73" s="50">
        <f xml:space="preserve"> 'WK2015'!FM83</f>
        <v>6318.5522412000009</v>
      </c>
      <c r="EW73" s="50">
        <f xml:space="preserve"> 'WK2015'!FN83</f>
        <v>5713.4405359999992</v>
      </c>
      <c r="EX73" s="50">
        <f xml:space="preserve"> 'WK2015'!FO83</f>
        <v>6318.5522412000009</v>
      </c>
      <c r="EY73" s="50">
        <f xml:space="preserve"> 'WK2015'!FP83</f>
        <v>5713.4405359999992</v>
      </c>
      <c r="EZ73" s="61">
        <f xml:space="preserve"> 'WK2015'!FK83</f>
        <v>0.71358360943010413</v>
      </c>
      <c r="FA73" s="1"/>
      <c r="FB73" s="50">
        <f xml:space="preserve"> 'WK2015'!FW83</f>
        <v>811.48181440000008</v>
      </c>
      <c r="FC73" s="50">
        <f xml:space="preserve"> 'WK2015'!FX83</f>
        <v>863.36411559999988</v>
      </c>
      <c r="FD73" s="50">
        <f xml:space="preserve"> 'WK2015'!GA83</f>
        <v>811.48181440000008</v>
      </c>
      <c r="FE73" s="50">
        <f xml:space="preserve"> 'WK2015'!GB83</f>
        <v>863.36411559999988</v>
      </c>
      <c r="FF73" s="50">
        <f xml:space="preserve"> 'WK2015'!GC83</f>
        <v>811.48181440000008</v>
      </c>
      <c r="FG73" s="50">
        <f xml:space="preserve"> 'WK2015'!GD83</f>
        <v>863.36411559999988</v>
      </c>
      <c r="FH73" s="61">
        <f xml:space="preserve"> 'WK2015'!FY83</f>
        <v>0.7058053669781964</v>
      </c>
      <c r="FI73" s="1"/>
      <c r="FJ73" s="50">
        <f xml:space="preserve"> 'WK2015'!GK83</f>
        <v>865.73125350000021</v>
      </c>
      <c r="FK73" s="50">
        <f xml:space="preserve"> 'WK2015'!GL83</f>
        <v>837.32118374999982</v>
      </c>
      <c r="FL73" s="50">
        <f xml:space="preserve"> 'WK2015'!GO83</f>
        <v>865.73125350000021</v>
      </c>
      <c r="FM73" s="50">
        <f xml:space="preserve"> 'WK2015'!GP83</f>
        <v>837.32118374999982</v>
      </c>
      <c r="FN73" s="50">
        <f xml:space="preserve"> 'WK2015'!GQ83</f>
        <v>865.73125350000021</v>
      </c>
      <c r="FO73" s="50">
        <f xml:space="preserve"> 'WK2015'!GR83</f>
        <v>837.32118374999982</v>
      </c>
      <c r="FP73" s="61">
        <f xml:space="preserve"> 'WK2015'!GM83</f>
        <v>0.70872291881246641</v>
      </c>
      <c r="FS73" s="283">
        <f xml:space="preserve"> 'WK2015'!H83</f>
        <v>4070.7319899999998</v>
      </c>
      <c r="FT73" s="283">
        <f xml:space="preserve"> 'WK2015'!I83</f>
        <v>3720.7583</v>
      </c>
      <c r="FU73" s="283">
        <f xml:space="preserve"> 'WK2015'!L83</f>
        <v>4070.7319899999998</v>
      </c>
      <c r="FV73" s="283">
        <f xml:space="preserve"> 'WK2015'!M83</f>
        <v>3720.7583</v>
      </c>
      <c r="FW73" s="283">
        <f xml:space="preserve"> 'WK2015'!N83</f>
        <v>4070.7319899999998</v>
      </c>
      <c r="FX73" s="283">
        <f xml:space="preserve"> 'WK2015'!O83</f>
        <v>3720.7583</v>
      </c>
      <c r="FY73" s="284">
        <f xml:space="preserve"> 'WK2015'!P83</f>
        <v>0.70188186962583865</v>
      </c>
      <c r="GA73" s="283">
        <f xml:space="preserve"> 'WK2015'!HB83</f>
        <v>3273.9011129999999</v>
      </c>
      <c r="GB73" s="283">
        <f xml:space="preserve"> 'WK2015'!HC83</f>
        <v>3405.7948230000002</v>
      </c>
      <c r="GC73" s="283">
        <f xml:space="preserve"> 'WK2015'!HF83</f>
        <v>3273.9011129999999</v>
      </c>
      <c r="GD73" s="283">
        <f xml:space="preserve"> 'WK2015'!HG83</f>
        <v>3405.7948230000002</v>
      </c>
      <c r="GE73" s="283">
        <f xml:space="preserve"> 'WK2015'!HH83</f>
        <v>3273.9011129999999</v>
      </c>
      <c r="GF73" s="283">
        <f xml:space="preserve"> 'WK2015'!HI83</f>
        <v>3405.7948230000002</v>
      </c>
      <c r="GG73" s="284">
        <f xml:space="preserve"> 'WK2015'!HJ83</f>
        <v>0.71912820944480083</v>
      </c>
      <c r="GI73" s="283">
        <f xml:space="preserve"> 'WK2015'!HQ83</f>
        <v>3508.9963299999999</v>
      </c>
      <c r="GJ73" s="283">
        <f xml:space="preserve"> 'WK2015'!HR83</f>
        <v>3755.9693429999998</v>
      </c>
      <c r="GK73" s="283">
        <f xml:space="preserve"> 'WK2015'!HU83</f>
        <v>3508.9963299999999</v>
      </c>
      <c r="GL73" s="283">
        <f xml:space="preserve"> 'WK2015'!HV83</f>
        <v>3755.9693429999998</v>
      </c>
      <c r="GM73" s="283">
        <f xml:space="preserve"> 'WK2015'!HW83</f>
        <v>3508.9963299999999</v>
      </c>
      <c r="GN73" s="283">
        <f xml:space="preserve"> 'WK2015'!HX83</f>
        <v>3755.9693429999998</v>
      </c>
      <c r="GO73" s="284">
        <f xml:space="preserve"> 'WK2015'!HY83</f>
        <v>0.74902485377618289</v>
      </c>
    </row>
    <row r="74" spans="1:197" x14ac:dyDescent="0.2">
      <c r="A74" s="3">
        <f>Basis!A74</f>
        <v>74</v>
      </c>
      <c r="D74" s="252" t="e">
        <v>#N/A</v>
      </c>
      <c r="E74" s="252" t="e">
        <v>#N/A</v>
      </c>
      <c r="H74" s="50">
        <f xml:space="preserve"> 'WK2012'!EG84</f>
        <v>8069.3812184972339</v>
      </c>
      <c r="I74" s="50">
        <f xml:space="preserve"> 'WK2012'!EH84</f>
        <v>8000.3426885158296</v>
      </c>
      <c r="J74" s="50">
        <f xml:space="preserve"> 'WK2012'!EK84</f>
        <v>8069.4160594293635</v>
      </c>
      <c r="K74" s="50">
        <f xml:space="preserve"> 'WK2012'!EL84</f>
        <v>8000.3006635434776</v>
      </c>
      <c r="L74" s="50">
        <f xml:space="preserve"> 'WK2012'!EM84</f>
        <v>8069.3812184972339</v>
      </c>
      <c r="M74" s="50">
        <f xml:space="preserve"> 'WK2012'!EN84</f>
        <v>8000.265822611349</v>
      </c>
      <c r="N74" s="61">
        <f xml:space="preserve"> 'WK2012'!EI84</f>
        <v>0.67567386503429738</v>
      </c>
      <c r="P74" s="50">
        <f xml:space="preserve"> 'WK2012'!EU84</f>
        <v>7677.7479611917879</v>
      </c>
      <c r="Q74" s="50">
        <f xml:space="preserve"> 'WK2012'!EV84</f>
        <v>7255.3603719612165</v>
      </c>
      <c r="R74" s="50">
        <f xml:space="preserve"> 'WK2012'!EY84</f>
        <v>7677.7479611917879</v>
      </c>
      <c r="S74" s="50">
        <f xml:space="preserve"> 'WK2012'!EZ84</f>
        <v>7255.3603719612165</v>
      </c>
      <c r="T74" s="50">
        <f xml:space="preserve"> 'WK2012'!FA84</f>
        <v>7677.7479611917879</v>
      </c>
      <c r="U74" s="50">
        <f xml:space="preserve"> 'WK2012'!FB84</f>
        <v>7255.3603719612165</v>
      </c>
      <c r="V74" s="61">
        <f xml:space="preserve"> 'WK2012'!EW84</f>
        <v>0.69407184399920474</v>
      </c>
      <c r="X74" s="50">
        <f xml:space="preserve"> 'WK2012'!FI84</f>
        <v>5541.2846773892843</v>
      </c>
      <c r="Y74" s="50">
        <f xml:space="preserve"> 'WK2012'!FJ84</f>
        <v>4932.8883737249453</v>
      </c>
      <c r="Z74" s="50">
        <f xml:space="preserve"> 'WK2012'!FM84</f>
        <v>5541.2846773892843</v>
      </c>
      <c r="AA74" s="50">
        <f xml:space="preserve"> 'WK2012'!FN84</f>
        <v>4932.8883737249453</v>
      </c>
      <c r="AB74" s="50">
        <f xml:space="preserve"> 'WK2012'!FO84</f>
        <v>5541.2846773892843</v>
      </c>
      <c r="AC74" s="50">
        <f xml:space="preserve"> 'WK2012'!FP84</f>
        <v>4932.8883737249453</v>
      </c>
      <c r="AD74" s="61">
        <f xml:space="preserve"> 'WK2012'!FK84</f>
        <v>0.69353571299493799</v>
      </c>
      <c r="AF74" s="50">
        <f xml:space="preserve"> 'WK2012'!FW84</f>
        <v>776.02867534396455</v>
      </c>
      <c r="AG74" s="50">
        <f xml:space="preserve"> 'WK2012'!FX84</f>
        <v>740.90218522251655</v>
      </c>
      <c r="AH74" s="50">
        <f xml:space="preserve"> 'WK2012'!GA84</f>
        <v>776.06003218288072</v>
      </c>
      <c r="AI74" s="50">
        <f xml:space="preserve"> 'WK2012'!GB84</f>
        <v>740.86436274739935</v>
      </c>
      <c r="AJ74" s="50">
        <f xml:space="preserve"> 'WK2012'!GC84</f>
        <v>776.02867534396455</v>
      </c>
      <c r="AK74" s="50">
        <f xml:space="preserve"> 'WK2012'!GD84</f>
        <v>740.83300590848307</v>
      </c>
      <c r="AL74" s="61">
        <f xml:space="preserve"> 'WK2012'!FY84</f>
        <v>0.69465038849561522</v>
      </c>
      <c r="AN74" s="50">
        <f xml:space="preserve"> 'WK2012'!GK84</f>
        <v>591.59645518992863</v>
      </c>
      <c r="AO74" s="50">
        <f xml:space="preserve"> 'WK2012'!GL84</f>
        <v>602.40125604894388</v>
      </c>
      <c r="AP74" s="50">
        <f xml:space="preserve"> 'WK2012'!GO84</f>
        <v>591.59645518992863</v>
      </c>
      <c r="AQ74" s="50">
        <f xml:space="preserve"> 'WK2012'!GP84</f>
        <v>602.40125604894388</v>
      </c>
      <c r="AR74" s="50">
        <f xml:space="preserve"> 'WK2012'!GQ84</f>
        <v>591.59645518992863</v>
      </c>
      <c r="AS74" s="50">
        <f xml:space="preserve"> 'WK2012'!GR84</f>
        <v>602.40125604894388</v>
      </c>
      <c r="AT74" s="61">
        <f xml:space="preserve"> 'WK2012'!GM84</f>
        <v>0.69077010845126507</v>
      </c>
      <c r="AX74" s="50">
        <f xml:space="preserve"> 'WK2013'!EG84</f>
        <v>8925.644792000001</v>
      </c>
      <c r="AY74" s="50">
        <f xml:space="preserve"> 'WK2013'!EH84</f>
        <v>8161.9609312000002</v>
      </c>
      <c r="AZ74" s="50">
        <f xml:space="preserve"> 'WK2013'!EK84</f>
        <v>8925.644792000001</v>
      </c>
      <c r="BA74" s="50">
        <f xml:space="preserve"> 'WK2013'!EL84</f>
        <v>8161.9609312000002</v>
      </c>
      <c r="BB74" s="50">
        <f xml:space="preserve"> 'WK2013'!EM84</f>
        <v>8925.644792000001</v>
      </c>
      <c r="BC74" s="50">
        <f xml:space="preserve"> 'WK2013'!EN84</f>
        <v>8161.9609312000002</v>
      </c>
      <c r="BD74" s="61">
        <f xml:space="preserve"> 'WK2013'!EI84</f>
        <v>0.67424498942596978</v>
      </c>
      <c r="BF74" s="50">
        <f xml:space="preserve"> 'WK2013'!EU84</f>
        <v>8049.780884499999</v>
      </c>
      <c r="BG74" s="50">
        <f xml:space="preserve"> 'WK2013'!EV84</f>
        <v>7297.4579598</v>
      </c>
      <c r="BH74" s="50">
        <f xml:space="preserve"> 'WK2013'!EY84</f>
        <v>8049.780884499999</v>
      </c>
      <c r="BI74" s="50">
        <f xml:space="preserve"> 'WK2013'!EZ84</f>
        <v>7297.4579598</v>
      </c>
      <c r="BJ74" s="50">
        <f xml:space="preserve"> 'WK2013'!FA84</f>
        <v>8049.780884499999</v>
      </c>
      <c r="BK74" s="50">
        <f xml:space="preserve"> 'WK2013'!FB84</f>
        <v>7297.4579598</v>
      </c>
      <c r="BL74" s="61">
        <f xml:space="preserve"> 'WK2013'!EW84</f>
        <v>0.68419471198113446</v>
      </c>
      <c r="BN74" s="50">
        <f xml:space="preserve"> 'WK2013'!FI84</f>
        <v>6114.3934455999997</v>
      </c>
      <c r="BO74" s="50">
        <f xml:space="preserve"> 'WK2013'!FJ84</f>
        <v>5532.5390354000001</v>
      </c>
      <c r="BP74" s="50">
        <f xml:space="preserve"> 'WK2013'!FM84</f>
        <v>6114.3934455999997</v>
      </c>
      <c r="BQ74" s="50">
        <f xml:space="preserve"> 'WK2013'!FN84</f>
        <v>5532.5390354000001</v>
      </c>
      <c r="BR74" s="50">
        <f xml:space="preserve"> 'WK2013'!FO84</f>
        <v>6114.3934455999997</v>
      </c>
      <c r="BS74" s="50">
        <f xml:space="preserve"> 'WK2013'!FP84</f>
        <v>5532.5390354000001</v>
      </c>
      <c r="BT74" s="61">
        <f xml:space="preserve"> 'WK2013'!FK84</f>
        <v>0.68918721367518343</v>
      </c>
      <c r="BV74" s="50">
        <f xml:space="preserve"> 'WK2013'!FW84</f>
        <v>815.08184699999993</v>
      </c>
      <c r="BW74" s="50">
        <f xml:space="preserve"> 'WK2013'!FX84</f>
        <v>851.3306702000001</v>
      </c>
      <c r="BX74" s="50">
        <f xml:space="preserve"> 'WK2013'!GA84</f>
        <v>815.08184699999993</v>
      </c>
      <c r="BY74" s="50">
        <f xml:space="preserve"> 'WK2013'!GB84</f>
        <v>851.3306702000001</v>
      </c>
      <c r="BZ74" s="50">
        <f xml:space="preserve"> 'WK2013'!GC84</f>
        <v>815.08184699999993</v>
      </c>
      <c r="CA74" s="50">
        <f xml:space="preserve"> 'WK2013'!GD84</f>
        <v>851.3306702000001</v>
      </c>
      <c r="CB74" s="61">
        <f xml:space="preserve"> 'WK2013'!FY84</f>
        <v>0.68212462829055631</v>
      </c>
      <c r="CD74" s="50">
        <f xml:space="preserve"> 'WK2013'!GK84</f>
        <v>898.62540075000049</v>
      </c>
      <c r="CE74" s="50">
        <f xml:space="preserve"> 'WK2013'!GL84</f>
        <v>828.16884300000015</v>
      </c>
      <c r="CF74" s="50">
        <f xml:space="preserve"> 'WK2013'!GO84</f>
        <v>898.62540075000049</v>
      </c>
      <c r="CG74" s="50">
        <f xml:space="preserve"> 'WK2013'!GP84</f>
        <v>828.16884300000015</v>
      </c>
      <c r="CH74" s="50">
        <f xml:space="preserve"> 'WK2013'!GQ84</f>
        <v>898.62540075000049</v>
      </c>
      <c r="CI74" s="50">
        <f xml:space="preserve"> 'WK2013'!GR84</f>
        <v>828.16884300000015</v>
      </c>
      <c r="CJ74" s="61">
        <f xml:space="preserve"> 'WK2013'!GM84</f>
        <v>0.71263341838492844</v>
      </c>
      <c r="CN74" s="50">
        <f xml:space="preserve"> 'WK2014'!EG84</f>
        <v>8959.1411459999999</v>
      </c>
      <c r="CO74" s="50">
        <f xml:space="preserve"> 'WK2014'!EH84</f>
        <v>8112.368993600001</v>
      </c>
      <c r="CP74" s="50">
        <f xml:space="preserve"> 'WK2014'!EK84</f>
        <v>8959.1412476336918</v>
      </c>
      <c r="CQ74" s="50">
        <f xml:space="preserve"> 'WK2014'!EL84</f>
        <v>8112.3689008336933</v>
      </c>
      <c r="CR74" s="50">
        <f xml:space="preserve"> 'WK2014'!EM84</f>
        <v>8959.1411459999999</v>
      </c>
      <c r="CS74" s="50">
        <f xml:space="preserve"> 'WK2014'!EN84</f>
        <v>8112.3687992000005</v>
      </c>
      <c r="CT74" s="61">
        <f xml:space="preserve"> 'WK2014'!EI84</f>
        <v>0.68832902993052236</v>
      </c>
      <c r="CV74" s="50">
        <f xml:space="preserve"> 'WK2014'!EU84</f>
        <v>7656.3767520000001</v>
      </c>
      <c r="CW74" s="50">
        <f xml:space="preserve"> 'WK2014'!EV84</f>
        <v>6582.2674674</v>
      </c>
      <c r="CX74" s="50">
        <f xml:space="preserve"> 'WK2014'!EY84</f>
        <v>7656.3768409294807</v>
      </c>
      <c r="CY74" s="50">
        <f xml:space="preserve"> 'WK2014'!EZ84</f>
        <v>6582.2673862294805</v>
      </c>
      <c r="CZ74" s="50">
        <f xml:space="preserve"> 'WK2014'!FA84</f>
        <v>7656.3767520000001</v>
      </c>
      <c r="DA74" s="50">
        <f xml:space="preserve"> 'WK2014'!FB84</f>
        <v>6582.2672972999999</v>
      </c>
      <c r="DB74" s="61">
        <f xml:space="preserve"> 'WK2014'!EW84</f>
        <v>0.67814319665593326</v>
      </c>
      <c r="DC74" s="1"/>
      <c r="DD74" s="50">
        <f xml:space="preserve"> 'WK2014'!FI84</f>
        <v>5615.3968207999997</v>
      </c>
      <c r="DE74" s="50">
        <f xml:space="preserve"> 'WK2014'!FJ84</f>
        <v>5035.1275236000001</v>
      </c>
      <c r="DF74" s="50">
        <f xml:space="preserve"> 'WK2014'!FM84</f>
        <v>5615.3968207999997</v>
      </c>
      <c r="DG74" s="50">
        <f xml:space="preserve"> 'WK2014'!FN84</f>
        <v>5035.1275236000001</v>
      </c>
      <c r="DH74" s="50">
        <f xml:space="preserve"> 'WK2014'!FO84</f>
        <v>5615.3968207999997</v>
      </c>
      <c r="DI74" s="50">
        <f xml:space="preserve"> 'WK2014'!FP84</f>
        <v>5035.1275236000001</v>
      </c>
      <c r="DJ74" s="61">
        <f xml:space="preserve"> 'WK2014'!FK84</f>
        <v>0.6880758165923393</v>
      </c>
      <c r="DK74" s="1"/>
      <c r="DL74" s="50">
        <f xml:space="preserve"> 'WK2014'!FW84</f>
        <v>797.26922400000001</v>
      </c>
      <c r="DM74" s="50">
        <f xml:space="preserve"> 'WK2014'!FX84</f>
        <v>837.26082159999999</v>
      </c>
      <c r="DN74" s="50">
        <f xml:space="preserve"> 'WK2014'!GA84</f>
        <v>797.26932563369235</v>
      </c>
      <c r="DO74" s="50">
        <f xml:space="preserve"> 'WK2014'!GB84</f>
        <v>837.26072883369238</v>
      </c>
      <c r="DP74" s="50">
        <f xml:space="preserve"> 'WK2014'!GC84</f>
        <v>797.26922400000001</v>
      </c>
      <c r="DQ74" s="50">
        <f xml:space="preserve"> 'WK2014'!GD84</f>
        <v>837.26062720000004</v>
      </c>
      <c r="DR74" s="61">
        <f xml:space="preserve"> 'WK2014'!FY84</f>
        <v>0.68450832360821545</v>
      </c>
      <c r="DS74" s="1"/>
      <c r="DT74" s="50">
        <f xml:space="preserve"> 'WK2014'!GK84</f>
        <v>1352.781759</v>
      </c>
      <c r="DU74" s="50">
        <f xml:space="preserve"> 'WK2014'!GL84</f>
        <v>1249.8693780000001</v>
      </c>
      <c r="DV74" s="50">
        <f xml:space="preserve"> 'WK2014'!GO84</f>
        <v>1352.781759</v>
      </c>
      <c r="DW74" s="50">
        <f xml:space="preserve"> 'WK2014'!GP84</f>
        <v>1249.8693780000001</v>
      </c>
      <c r="DX74" s="50">
        <f xml:space="preserve"> 'WK2014'!GQ84</f>
        <v>1352.781759</v>
      </c>
      <c r="DY74" s="50">
        <f xml:space="preserve"> 'WK2014'!GR84</f>
        <v>1249.8693780000001</v>
      </c>
      <c r="DZ74" s="61">
        <f xml:space="preserve"> 'WK2014'!GM84</f>
        <v>0.69823772812433726</v>
      </c>
      <c r="ED74" s="50">
        <f xml:space="preserve"> 'WK2015'!EG84</f>
        <v>8601.9666587999982</v>
      </c>
      <c r="EE74" s="50">
        <f xml:space="preserve"> 'WK2015'!EH84</f>
        <v>7473.8716660000009</v>
      </c>
      <c r="EF74" s="50">
        <f xml:space="preserve"> 'WK2015'!EK84</f>
        <v>8601.9666587999982</v>
      </c>
      <c r="EG74" s="50">
        <f xml:space="preserve"> 'WK2015'!EL84</f>
        <v>7473.8716660000009</v>
      </c>
      <c r="EH74" s="50">
        <f xml:space="preserve"> 'WK2015'!EM84</f>
        <v>8601.9666587999982</v>
      </c>
      <c r="EI74" s="50">
        <f xml:space="preserve"> 'WK2015'!EN84</f>
        <v>7473.8716660000009</v>
      </c>
      <c r="EJ74" s="61">
        <f xml:space="preserve"> 'WK2015'!EI84</f>
        <v>0.69972747289871995</v>
      </c>
      <c r="EK74" s="1"/>
      <c r="EL74" s="50">
        <f xml:space="preserve"> 'WK2015'!EU84</f>
        <v>7932.6792021999991</v>
      </c>
      <c r="EM74" s="50">
        <f xml:space="preserve"> 'WK2015'!EV84</f>
        <v>7104.3775750000004</v>
      </c>
      <c r="EN74" s="50">
        <f xml:space="preserve"> 'WK2015'!EY84</f>
        <v>7932.6792021999991</v>
      </c>
      <c r="EO74" s="50">
        <f xml:space="preserve"> 'WK2015'!EZ84</f>
        <v>7104.3775750000004</v>
      </c>
      <c r="EP74" s="50">
        <f xml:space="preserve"> 'WK2015'!FA84</f>
        <v>7932.6792021999991</v>
      </c>
      <c r="EQ74" s="50">
        <f xml:space="preserve"> 'WK2015'!FB84</f>
        <v>7104.3775750000004</v>
      </c>
      <c r="ER74" s="61">
        <f xml:space="preserve"> 'WK2015'!EW84</f>
        <v>0.70257289454849536</v>
      </c>
      <c r="ES74" s="1"/>
      <c r="ET74" s="50">
        <f xml:space="preserve"> 'WK2015'!FI84</f>
        <v>6601.6202166000003</v>
      </c>
      <c r="EU74" s="50">
        <f xml:space="preserve"> 'WK2015'!FJ84</f>
        <v>5938.9963292000002</v>
      </c>
      <c r="EV74" s="50">
        <f xml:space="preserve"> 'WK2015'!FM84</f>
        <v>6601.6202166000003</v>
      </c>
      <c r="EW74" s="50">
        <f xml:space="preserve"> 'WK2015'!FN84</f>
        <v>5938.9963292000002</v>
      </c>
      <c r="EX74" s="50">
        <f xml:space="preserve"> 'WK2015'!FO84</f>
        <v>6601.6202166000003</v>
      </c>
      <c r="EY74" s="50">
        <f xml:space="preserve"> 'WK2015'!FP84</f>
        <v>5938.9963292000002</v>
      </c>
      <c r="EZ74" s="61">
        <f xml:space="preserve"> 'WK2015'!FK84</f>
        <v>0.71725876064240091</v>
      </c>
      <c r="FA74" s="1"/>
      <c r="FB74" s="50">
        <f xml:space="preserve"> 'WK2015'!FW84</f>
        <v>814.05850880000003</v>
      </c>
      <c r="FC74" s="50">
        <f xml:space="preserve"> 'WK2015'!FX84</f>
        <v>858.57567000000006</v>
      </c>
      <c r="FD74" s="50">
        <f xml:space="preserve"> 'WK2015'!GA84</f>
        <v>814.05850880000003</v>
      </c>
      <c r="FE74" s="50">
        <f xml:space="preserve"> 'WK2015'!GB84</f>
        <v>858.57567000000006</v>
      </c>
      <c r="FF74" s="50">
        <f xml:space="preserve"> 'WK2015'!GC84</f>
        <v>814.05850880000003</v>
      </c>
      <c r="FG74" s="50">
        <f xml:space="preserve"> 'WK2015'!GD84</f>
        <v>858.57567000000006</v>
      </c>
      <c r="FH74" s="61">
        <f xml:space="preserve"> 'WK2015'!FY84</f>
        <v>0.70438666736972455</v>
      </c>
      <c r="FI74" s="1"/>
      <c r="FJ74" s="50">
        <f xml:space="preserve"> 'WK2015'!GK84</f>
        <v>919.27183725000009</v>
      </c>
      <c r="FK74" s="50">
        <f xml:space="preserve"> 'WK2015'!GL84</f>
        <v>893.22274800000025</v>
      </c>
      <c r="FL74" s="50">
        <f xml:space="preserve"> 'WK2015'!GO84</f>
        <v>919.27183725000009</v>
      </c>
      <c r="FM74" s="50">
        <f xml:space="preserve"> 'WK2015'!GP84</f>
        <v>893.22274800000025</v>
      </c>
      <c r="FN74" s="50">
        <f xml:space="preserve"> 'WK2015'!GQ84</f>
        <v>919.27183725000009</v>
      </c>
      <c r="FO74" s="50">
        <f xml:space="preserve"> 'WK2015'!GR84</f>
        <v>893.22274800000025</v>
      </c>
      <c r="FP74" s="61">
        <f xml:space="preserve"> 'WK2015'!GM84</f>
        <v>0.7105425275265399</v>
      </c>
      <c r="FS74" s="283">
        <f xml:space="preserve"> 'WK2015'!H84</f>
        <v>4225.3205049999997</v>
      </c>
      <c r="FT74" s="283">
        <f xml:space="preserve"> 'WK2015'!I84</f>
        <v>3850.6695220000001</v>
      </c>
      <c r="FU74" s="283">
        <f xml:space="preserve"> 'WK2015'!L84</f>
        <v>4225.3205049999997</v>
      </c>
      <c r="FV74" s="283">
        <f xml:space="preserve"> 'WK2015'!M84</f>
        <v>3850.6695220000001</v>
      </c>
      <c r="FW74" s="283">
        <f xml:space="preserve"> 'WK2015'!N84</f>
        <v>4225.3205049999997</v>
      </c>
      <c r="FX74" s="283">
        <f xml:space="preserve"> 'WK2015'!O84</f>
        <v>3850.6695220000001</v>
      </c>
      <c r="FY74" s="284">
        <f xml:space="preserve"> 'WK2015'!P84</f>
        <v>0.69978939498866033</v>
      </c>
      <c r="GA74" s="283">
        <f xml:space="preserve"> 'WK2015'!HB84</f>
        <v>3440.9228099999996</v>
      </c>
      <c r="GB74" s="283">
        <f xml:space="preserve"> 'WK2015'!HC84</f>
        <v>3543.0694139999996</v>
      </c>
      <c r="GC74" s="283">
        <f xml:space="preserve"> 'WK2015'!HF84</f>
        <v>3440.9228099999996</v>
      </c>
      <c r="GD74" s="283">
        <f xml:space="preserve"> 'WK2015'!HG84</f>
        <v>3543.0694139999996</v>
      </c>
      <c r="GE74" s="283">
        <f xml:space="preserve"> 'WK2015'!HH84</f>
        <v>3440.9228099999996</v>
      </c>
      <c r="GF74" s="283">
        <f xml:space="preserve"> 'WK2015'!HI84</f>
        <v>3543.0694139999996</v>
      </c>
      <c r="GG74" s="284">
        <f xml:space="preserve"> 'WK2015'!HJ84</f>
        <v>0.71092875068982886</v>
      </c>
      <c r="GI74" s="283">
        <f xml:space="preserve"> 'WK2015'!HQ84</f>
        <v>3676.2002549999997</v>
      </c>
      <c r="GJ74" s="283">
        <f xml:space="preserve"> 'WK2015'!HR84</f>
        <v>3885.948171</v>
      </c>
      <c r="GK74" s="283">
        <f xml:space="preserve"> 'WK2015'!HU84</f>
        <v>3676.2002549999997</v>
      </c>
      <c r="GL74" s="283">
        <f xml:space="preserve"> 'WK2015'!HV84</f>
        <v>3885.948171</v>
      </c>
      <c r="GM74" s="283">
        <f xml:space="preserve"> 'WK2015'!HW84</f>
        <v>3676.2002549999997</v>
      </c>
      <c r="GN74" s="283">
        <f xml:space="preserve"> 'WK2015'!HX84</f>
        <v>3885.948171</v>
      </c>
      <c r="GO74" s="284">
        <f xml:space="preserve"> 'WK2015'!HY84</f>
        <v>0.73886007283266419</v>
      </c>
    </row>
    <row r="75" spans="1:197" x14ac:dyDescent="0.2">
      <c r="A75" s="3">
        <f>Basis!A75</f>
        <v>75</v>
      </c>
      <c r="D75" s="252" t="e">
        <v>#N/A</v>
      </c>
      <c r="E75" s="252" t="e">
        <v>#N/A</v>
      </c>
      <c r="H75" s="50">
        <f xml:space="preserve"> 'WK2012'!EG85</f>
        <v>8372.6255240615392</v>
      </c>
      <c r="I75" s="50">
        <f xml:space="preserve"> 'WK2012'!EH85</f>
        <v>8222.3626346248766</v>
      </c>
      <c r="J75" s="50">
        <f xml:space="preserve"> 'WK2012'!EK85</f>
        <v>8372.6604510331872</v>
      </c>
      <c r="K75" s="50">
        <f xml:space="preserve"> 'WK2012'!EL85</f>
        <v>8222.3206956920421</v>
      </c>
      <c r="L75" s="50">
        <f xml:space="preserve"> 'WK2012'!EM85</f>
        <v>8372.6255240615392</v>
      </c>
      <c r="M75" s="50">
        <f xml:space="preserve"> 'WK2012'!EN85</f>
        <v>8222.2857687203941</v>
      </c>
      <c r="N75" s="61">
        <f xml:space="preserve"> 'WK2012'!EI85</f>
        <v>0.66460151892586983</v>
      </c>
      <c r="P75" s="50">
        <f xml:space="preserve"> 'WK2012'!EU85</f>
        <v>8010.4366356350893</v>
      </c>
      <c r="Q75" s="50">
        <f xml:space="preserve"> 'WK2012'!EV85</f>
        <v>7462.6836526469133</v>
      </c>
      <c r="R75" s="50">
        <f xml:space="preserve"> 'WK2012'!EY85</f>
        <v>8010.4366356350893</v>
      </c>
      <c r="S75" s="50">
        <f xml:space="preserve"> 'WK2012'!EZ85</f>
        <v>7462.6836526469133</v>
      </c>
      <c r="T75" s="50">
        <f xml:space="preserve"> 'WK2012'!FA85</f>
        <v>8010.4366356350893</v>
      </c>
      <c r="U75" s="50">
        <f xml:space="preserve"> 'WK2012'!FB85</f>
        <v>7462.6836526469133</v>
      </c>
      <c r="V75" s="61">
        <f xml:space="preserve"> 'WK2012'!EW85</f>
        <v>0.6886744166509271</v>
      </c>
      <c r="X75" s="50">
        <f xml:space="preserve"> 'WK2012'!FI85</f>
        <v>5784.3467667560253</v>
      </c>
      <c r="Y75" s="50">
        <f xml:space="preserve"> 'WK2012'!FJ85</f>
        <v>5118.8452069434679</v>
      </c>
      <c r="Z75" s="50">
        <f xml:space="preserve"> 'WK2012'!FM85</f>
        <v>5784.3467667560253</v>
      </c>
      <c r="AA75" s="50">
        <f xml:space="preserve"> 'WK2012'!FN85</f>
        <v>5118.8452069434679</v>
      </c>
      <c r="AB75" s="50">
        <f xml:space="preserve"> 'WK2012'!FO85</f>
        <v>5784.3467667560253</v>
      </c>
      <c r="AC75" s="50">
        <f xml:space="preserve"> 'WK2012'!FP85</f>
        <v>5118.8452069434679</v>
      </c>
      <c r="AD75" s="61">
        <f xml:space="preserve"> 'WK2012'!FK85</f>
        <v>0.69304868699267008</v>
      </c>
      <c r="AF75" s="50">
        <f xml:space="preserve"> 'WK2012'!FW85</f>
        <v>834.81814214410542</v>
      </c>
      <c r="AG75" s="50">
        <f xml:space="preserve"> 'WK2012'!FX85</f>
        <v>780.76701529591196</v>
      </c>
      <c r="AH75" s="50">
        <f xml:space="preserve"> 'WK2012'!GA85</f>
        <v>834.84957641858864</v>
      </c>
      <c r="AI75" s="50">
        <f xml:space="preserve"> 'WK2012'!GB85</f>
        <v>780.72927025636181</v>
      </c>
      <c r="AJ75" s="50">
        <f xml:space="preserve"> 'WK2012'!GC85</f>
        <v>834.81814214410542</v>
      </c>
      <c r="AK75" s="50">
        <f xml:space="preserve"> 'WK2012'!GD85</f>
        <v>780.6978359818786</v>
      </c>
      <c r="AL75" s="61">
        <f xml:space="preserve"> 'WK2012'!FY85</f>
        <v>0.68360575885963237</v>
      </c>
      <c r="AN75" s="50">
        <f xml:space="preserve"> 'WK2012'!GK85</f>
        <v>583.64498313296838</v>
      </c>
      <c r="AO75" s="50">
        <f xml:space="preserve"> 'WK2012'!GL85</f>
        <v>586.69825138748593</v>
      </c>
      <c r="AP75" s="50">
        <f xml:space="preserve"> 'WK2012'!GO85</f>
        <v>583.64498313296838</v>
      </c>
      <c r="AQ75" s="50">
        <f xml:space="preserve"> 'WK2012'!GP85</f>
        <v>586.69825138748593</v>
      </c>
      <c r="AR75" s="50">
        <f xml:space="preserve"> 'WK2012'!GQ85</f>
        <v>583.64498313296838</v>
      </c>
      <c r="AS75" s="50">
        <f xml:space="preserve"> 'WK2012'!GR85</f>
        <v>586.69825138748593</v>
      </c>
      <c r="AT75" s="61">
        <f xml:space="preserve"> 'WK2012'!GM85</f>
        <v>0.6859060268523145</v>
      </c>
      <c r="AX75" s="50">
        <f xml:space="preserve"> 'WK2013'!EG85</f>
        <v>9307.5170296000015</v>
      </c>
      <c r="AY75" s="50">
        <f xml:space="preserve"> 'WK2013'!EH85</f>
        <v>8448.5278838000013</v>
      </c>
      <c r="AZ75" s="50">
        <f xml:space="preserve"> 'WK2013'!EK85</f>
        <v>9307.5170296000015</v>
      </c>
      <c r="BA75" s="50">
        <f xml:space="preserve"> 'WK2013'!EL85</f>
        <v>8448.5278838000013</v>
      </c>
      <c r="BB75" s="50">
        <f xml:space="preserve"> 'WK2013'!EM85</f>
        <v>9307.5170296000015</v>
      </c>
      <c r="BC75" s="50">
        <f xml:space="preserve"> 'WK2013'!EN85</f>
        <v>8448.5278838000013</v>
      </c>
      <c r="BD75" s="61">
        <f xml:space="preserve"> 'WK2013'!EI85</f>
        <v>0.6612675313968952</v>
      </c>
      <c r="BF75" s="50">
        <f xml:space="preserve"> 'WK2013'!EU85</f>
        <v>8453.1811983999996</v>
      </c>
      <c r="BG75" s="50">
        <f xml:space="preserve"> 'WK2013'!EV85</f>
        <v>7583.4136511999995</v>
      </c>
      <c r="BH75" s="50">
        <f xml:space="preserve"> 'WK2013'!EY85</f>
        <v>8453.1811983999996</v>
      </c>
      <c r="BI75" s="50">
        <f xml:space="preserve"> 'WK2013'!EZ85</f>
        <v>7583.4136511999995</v>
      </c>
      <c r="BJ75" s="50">
        <f xml:space="preserve"> 'WK2013'!FA85</f>
        <v>8453.1811983999996</v>
      </c>
      <c r="BK75" s="50">
        <f xml:space="preserve"> 'WK2013'!FB85</f>
        <v>7583.4136511999995</v>
      </c>
      <c r="BL75" s="61">
        <f xml:space="preserve"> 'WK2013'!EW85</f>
        <v>0.67616547486558576</v>
      </c>
      <c r="BN75" s="50">
        <f xml:space="preserve"> 'WK2013'!FI85</f>
        <v>6409.9089804000005</v>
      </c>
      <c r="BO75" s="50">
        <f xml:space="preserve"> 'WK2013'!FJ85</f>
        <v>5738.4128497999982</v>
      </c>
      <c r="BP75" s="50">
        <f xml:space="preserve"> 'WK2013'!FM85</f>
        <v>6409.9089804000005</v>
      </c>
      <c r="BQ75" s="50">
        <f xml:space="preserve"> 'WK2013'!FN85</f>
        <v>5738.4128497999982</v>
      </c>
      <c r="BR75" s="50">
        <f xml:space="preserve"> 'WK2013'!FO85</f>
        <v>6409.9089804000005</v>
      </c>
      <c r="BS75" s="50">
        <f xml:space="preserve"> 'WK2013'!FP85</f>
        <v>5738.4128497999982</v>
      </c>
      <c r="BT75" s="61">
        <f xml:space="preserve"> 'WK2013'!FK85</f>
        <v>0.68083725877077483</v>
      </c>
      <c r="BV75" s="50">
        <f xml:space="preserve"> 'WK2013'!FW85</f>
        <v>810.89402659999996</v>
      </c>
      <c r="BW75" s="50">
        <f xml:space="preserve"> 'WK2013'!FX85</f>
        <v>836.30615480000006</v>
      </c>
      <c r="BX75" s="50">
        <f xml:space="preserve"> 'WK2013'!GA85</f>
        <v>810.89402659999996</v>
      </c>
      <c r="BY75" s="50">
        <f xml:space="preserve"> 'WK2013'!GB85</f>
        <v>836.30615480000006</v>
      </c>
      <c r="BZ75" s="50">
        <f xml:space="preserve"> 'WK2013'!GC85</f>
        <v>810.89402659999996</v>
      </c>
      <c r="CA75" s="50">
        <f xml:space="preserve"> 'WK2013'!GD85</f>
        <v>836.30615480000006</v>
      </c>
      <c r="CB75" s="61">
        <f xml:space="preserve"> 'WK2013'!FY85</f>
        <v>0.67299578538524907</v>
      </c>
      <c r="CD75" s="50">
        <f xml:space="preserve"> 'WK2013'!GK85</f>
        <v>950.77835174999984</v>
      </c>
      <c r="CE75" s="50">
        <f xml:space="preserve"> 'WK2013'!GL85</f>
        <v>874.42610925000008</v>
      </c>
      <c r="CF75" s="50">
        <f xml:space="preserve"> 'WK2013'!GO85</f>
        <v>950.77835174999984</v>
      </c>
      <c r="CG75" s="50">
        <f xml:space="preserve"> 'WK2013'!GP85</f>
        <v>874.42610925000008</v>
      </c>
      <c r="CH75" s="50">
        <f xml:space="preserve"> 'WK2013'!GQ85</f>
        <v>950.77835174999984</v>
      </c>
      <c r="CI75" s="50">
        <f xml:space="preserve"> 'WK2013'!GR85</f>
        <v>874.42610925000008</v>
      </c>
      <c r="CJ75" s="61">
        <f xml:space="preserve"> 'WK2013'!GM85</f>
        <v>0.69656234741503409</v>
      </c>
      <c r="CN75" s="50">
        <f xml:space="preserve"> 'WK2014'!EG85</f>
        <v>9331.3798267999991</v>
      </c>
      <c r="CO75" s="50">
        <f xml:space="preserve"> 'WK2014'!EH85</f>
        <v>8412.0934571999987</v>
      </c>
      <c r="CP75" s="50">
        <f xml:space="preserve"> 'WK2014'!EK85</f>
        <v>9331.3798942066787</v>
      </c>
      <c r="CQ75" s="50">
        <f xml:space="preserve"> 'WK2014'!EL85</f>
        <v>8412.0933950066774</v>
      </c>
      <c r="CR75" s="50">
        <f xml:space="preserve"> 'WK2014'!EM85</f>
        <v>9331.3798267999991</v>
      </c>
      <c r="CS75" s="50">
        <f xml:space="preserve"> 'WK2014'!EN85</f>
        <v>8412.0933275999996</v>
      </c>
      <c r="CT75" s="61">
        <f xml:space="preserve"> 'WK2014'!EI85</f>
        <v>0.68587390666732151</v>
      </c>
      <c r="CV75" s="50">
        <f xml:space="preserve"> 'WK2014'!EU85</f>
        <v>8002.6544306999986</v>
      </c>
      <c r="CW75" s="50">
        <f xml:space="preserve"> 'WK2014'!EV85</f>
        <v>6811.0827608</v>
      </c>
      <c r="CX75" s="50">
        <f xml:space="preserve"> 'WK2014'!EY85</f>
        <v>8002.6544896808418</v>
      </c>
      <c r="CY75" s="50">
        <f xml:space="preserve"> 'WK2014'!EZ85</f>
        <v>6811.0827063808429</v>
      </c>
      <c r="CZ75" s="50">
        <f xml:space="preserve"> 'WK2014'!FA85</f>
        <v>8002.6544306999986</v>
      </c>
      <c r="DA75" s="50">
        <f xml:space="preserve"> 'WK2014'!FB85</f>
        <v>6811.0826473999996</v>
      </c>
      <c r="DB75" s="61">
        <f xml:space="preserve"> 'WK2014'!EW85</f>
        <v>0.67201927754976909</v>
      </c>
      <c r="DC75" s="1"/>
      <c r="DD75" s="50">
        <f xml:space="preserve"> 'WK2014'!FI85</f>
        <v>5849.0192879999995</v>
      </c>
      <c r="DE75" s="50">
        <f xml:space="preserve"> 'WK2014'!FJ85</f>
        <v>5217.3456147999996</v>
      </c>
      <c r="DF75" s="50">
        <f xml:space="preserve"> 'WK2014'!FM85</f>
        <v>5849.0192879999995</v>
      </c>
      <c r="DG75" s="50">
        <f xml:space="preserve"> 'WK2014'!FN85</f>
        <v>5217.3456147999996</v>
      </c>
      <c r="DH75" s="50">
        <f xml:space="preserve"> 'WK2014'!FO85</f>
        <v>5849.0192879999995</v>
      </c>
      <c r="DI75" s="50">
        <f xml:space="preserve"> 'WK2014'!FP85</f>
        <v>5217.3456147999996</v>
      </c>
      <c r="DJ75" s="61">
        <f xml:space="preserve"> 'WK2014'!FK85</f>
        <v>0.68444430283935154</v>
      </c>
      <c r="DK75" s="1"/>
      <c r="DL75" s="50">
        <f xml:space="preserve"> 'WK2014'!FW85</f>
        <v>794.09636880000005</v>
      </c>
      <c r="DM75" s="50">
        <f xml:space="preserve"> 'WK2014'!FX85</f>
        <v>822.99096320000012</v>
      </c>
      <c r="DN75" s="50">
        <f xml:space="preserve"> 'WK2014'!GA85</f>
        <v>794.09643620667816</v>
      </c>
      <c r="DO75" s="50">
        <f xml:space="preserve"> 'WK2014'!GB85</f>
        <v>822.9909010066782</v>
      </c>
      <c r="DP75" s="50">
        <f xml:space="preserve"> 'WK2014'!GC85</f>
        <v>794.09636880000005</v>
      </c>
      <c r="DQ75" s="50">
        <f xml:space="preserve"> 'WK2014'!GD85</f>
        <v>822.99083360000009</v>
      </c>
      <c r="DR75" s="61">
        <f xml:space="preserve"> 'WK2014'!FY85</f>
        <v>0.67974087584919596</v>
      </c>
      <c r="DS75" s="1"/>
      <c r="DT75" s="50">
        <f xml:space="preserve"> 'WK2014'!GK85</f>
        <v>1442.9776949999996</v>
      </c>
      <c r="DU75" s="50">
        <f xml:space="preserve"> 'WK2014'!GL85</f>
        <v>1325.1270884999999</v>
      </c>
      <c r="DV75" s="50">
        <f xml:space="preserve"> 'WK2014'!GO85</f>
        <v>1442.9776949999996</v>
      </c>
      <c r="DW75" s="50">
        <f xml:space="preserve"> 'WK2014'!GP85</f>
        <v>1325.1270884999999</v>
      </c>
      <c r="DX75" s="50">
        <f xml:space="preserve"> 'WK2014'!GQ85</f>
        <v>1442.9776949999996</v>
      </c>
      <c r="DY75" s="50">
        <f xml:space="preserve"> 'WK2014'!GR85</f>
        <v>1325.1270884999999</v>
      </c>
      <c r="DZ75" s="61">
        <f xml:space="preserve"> 'WK2014'!GM85</f>
        <v>0.6995858378062455</v>
      </c>
      <c r="ED75" s="50">
        <f xml:space="preserve"> 'WK2015'!EG85</f>
        <v>8956.014860199999</v>
      </c>
      <c r="EE75" s="50">
        <f xml:space="preserve"> 'WK2015'!EH85</f>
        <v>7771.374261599999</v>
      </c>
      <c r="EF75" s="50">
        <f xml:space="preserve"> 'WK2015'!EK85</f>
        <v>8956.014860199999</v>
      </c>
      <c r="EG75" s="50">
        <f xml:space="preserve"> 'WK2015'!EL85</f>
        <v>7771.374261599999</v>
      </c>
      <c r="EH75" s="50">
        <f xml:space="preserve"> 'WK2015'!EM85</f>
        <v>8956.014860199999</v>
      </c>
      <c r="EI75" s="50">
        <f xml:space="preserve"> 'WK2015'!EN85</f>
        <v>7771.374261599999</v>
      </c>
      <c r="EJ75" s="61">
        <f xml:space="preserve"> 'WK2015'!EI85</f>
        <v>0.69517106552720553</v>
      </c>
      <c r="EK75" s="1"/>
      <c r="EL75" s="50">
        <f xml:space="preserve"> 'WK2015'!EU85</f>
        <v>8320.1176407999992</v>
      </c>
      <c r="EM75" s="50">
        <f xml:space="preserve"> 'WK2015'!EV85</f>
        <v>7390.5919554000002</v>
      </c>
      <c r="EN75" s="50">
        <f xml:space="preserve"> 'WK2015'!EY85</f>
        <v>8320.1176407999992</v>
      </c>
      <c r="EO75" s="50">
        <f xml:space="preserve"> 'WK2015'!EZ85</f>
        <v>7390.5919554000002</v>
      </c>
      <c r="EP75" s="50">
        <f xml:space="preserve"> 'WK2015'!FA85</f>
        <v>8320.1176407999992</v>
      </c>
      <c r="EQ75" s="50">
        <f xml:space="preserve"> 'WK2015'!FB85</f>
        <v>7390.5919554000002</v>
      </c>
      <c r="ER75" s="61">
        <f xml:space="preserve"> 'WK2015'!EW85</f>
        <v>0.69787773015498389</v>
      </c>
      <c r="ES75" s="1"/>
      <c r="ET75" s="50">
        <f xml:space="preserve"> 'WK2015'!FI85</f>
        <v>6884.0752757999999</v>
      </c>
      <c r="EU75" s="50">
        <f xml:space="preserve"> 'WK2015'!FJ85</f>
        <v>6162.4710073999995</v>
      </c>
      <c r="EV75" s="50">
        <f xml:space="preserve"> 'WK2015'!FM85</f>
        <v>6884.0752757999999</v>
      </c>
      <c r="EW75" s="50">
        <f xml:space="preserve"> 'WK2015'!FN85</f>
        <v>6162.4710073999995</v>
      </c>
      <c r="EX75" s="50">
        <f xml:space="preserve"> 'WK2015'!FO85</f>
        <v>6884.0752757999999</v>
      </c>
      <c r="EY75" s="50">
        <f xml:space="preserve"> 'WK2015'!FP85</f>
        <v>6162.4710073999995</v>
      </c>
      <c r="EZ75" s="61">
        <f xml:space="preserve"> 'WK2015'!FK85</f>
        <v>0.70739598166869322</v>
      </c>
      <c r="FA75" s="1"/>
      <c r="FB75" s="50">
        <f xml:space="preserve"> 'WK2015'!FW85</f>
        <v>815.20723520000001</v>
      </c>
      <c r="FC75" s="50">
        <f xml:space="preserve"> 'WK2015'!FX85</f>
        <v>850.11995960000002</v>
      </c>
      <c r="FD75" s="50">
        <f xml:space="preserve"> 'WK2015'!GA85</f>
        <v>815.20723520000001</v>
      </c>
      <c r="FE75" s="50">
        <f xml:space="preserve"> 'WK2015'!GB85</f>
        <v>850.11995960000002</v>
      </c>
      <c r="FF75" s="50">
        <f xml:space="preserve"> 'WK2015'!GC85</f>
        <v>815.20723520000001</v>
      </c>
      <c r="FG75" s="50">
        <f xml:space="preserve"> 'WK2015'!GD85</f>
        <v>850.11995960000002</v>
      </c>
      <c r="FH75" s="61">
        <f xml:space="preserve"> 'WK2015'!FY85</f>
        <v>0.70065364538431096</v>
      </c>
      <c r="FI75" s="1"/>
      <c r="FJ75" s="50">
        <f xml:space="preserve"> 'WK2015'!GK85</f>
        <v>977.37841575000004</v>
      </c>
      <c r="FK75" s="50">
        <f xml:space="preserve"> 'WK2015'!GL85</f>
        <v>949.91886225000007</v>
      </c>
      <c r="FL75" s="50">
        <f xml:space="preserve"> 'WK2015'!GO85</f>
        <v>977.37841575000004</v>
      </c>
      <c r="FM75" s="50">
        <f xml:space="preserve"> 'WK2015'!GP85</f>
        <v>949.91886225000007</v>
      </c>
      <c r="FN75" s="50">
        <f xml:space="preserve"> 'WK2015'!GQ85</f>
        <v>977.37841575000004</v>
      </c>
      <c r="FO75" s="50">
        <f xml:space="preserve"> 'WK2015'!GR85</f>
        <v>949.91886225000007</v>
      </c>
      <c r="FP75" s="61">
        <f xml:space="preserve"> 'WK2015'!GM85</f>
        <v>0.70341721180551453</v>
      </c>
      <c r="FS75" s="283">
        <f xml:space="preserve"> 'WK2015'!H85</f>
        <v>4377.9309199999998</v>
      </c>
      <c r="FT75" s="283">
        <f xml:space="preserve"> 'WK2015'!I85</f>
        <v>3980.4005619999994</v>
      </c>
      <c r="FU75" s="283">
        <f xml:space="preserve"> 'WK2015'!L85</f>
        <v>4377.9309199999998</v>
      </c>
      <c r="FV75" s="283">
        <f xml:space="preserve"> 'WK2015'!M85</f>
        <v>3980.4005619999994</v>
      </c>
      <c r="FW75" s="283">
        <f xml:space="preserve"> 'WK2015'!N85</f>
        <v>4377.9309199999998</v>
      </c>
      <c r="FX75" s="283">
        <f xml:space="preserve"> 'WK2015'!O85</f>
        <v>3980.4005619999994</v>
      </c>
      <c r="FY75" s="284">
        <f xml:space="preserve"> 'WK2015'!P85</f>
        <v>0.69309015226079906</v>
      </c>
      <c r="GA75" s="283">
        <f xml:space="preserve"> 'WK2015'!HB85</f>
        <v>3615.3005549999998</v>
      </c>
      <c r="GB75" s="283">
        <f xml:space="preserve"> 'WK2015'!HC85</f>
        <v>3676.8136989999998</v>
      </c>
      <c r="GC75" s="283">
        <f xml:space="preserve"> 'WK2015'!HF85</f>
        <v>3615.3005549999998</v>
      </c>
      <c r="GD75" s="283">
        <f xml:space="preserve"> 'WK2015'!HG85</f>
        <v>3676.8136989999998</v>
      </c>
      <c r="GE75" s="283">
        <f xml:space="preserve"> 'WK2015'!HH85</f>
        <v>3615.3005549999998</v>
      </c>
      <c r="GF75" s="283">
        <f xml:space="preserve"> 'WK2015'!HI85</f>
        <v>3676.8136989999998</v>
      </c>
      <c r="GG75" s="284">
        <f xml:space="preserve"> 'WK2015'!HJ85</f>
        <v>0.70575009775186148</v>
      </c>
      <c r="GI75" s="283">
        <f xml:space="preserve"> 'WK2015'!HQ85</f>
        <v>3926.8732299999997</v>
      </c>
      <c r="GJ75" s="283">
        <f xml:space="preserve"> 'WK2015'!HR85</f>
        <v>4002.2001179999997</v>
      </c>
      <c r="GK75" s="283">
        <f xml:space="preserve"> 'WK2015'!HU85</f>
        <v>3926.8732299999997</v>
      </c>
      <c r="GL75" s="283">
        <f xml:space="preserve"> 'WK2015'!HV85</f>
        <v>4002.2001179999997</v>
      </c>
      <c r="GM75" s="283">
        <f xml:space="preserve"> 'WK2015'!HW85</f>
        <v>3926.8732299999997</v>
      </c>
      <c r="GN75" s="283">
        <f xml:space="preserve"> 'WK2015'!HX85</f>
        <v>4002.2001179999997</v>
      </c>
      <c r="GO75" s="284">
        <f xml:space="preserve"> 'WK2015'!HY85</f>
        <v>0.70054289439740569</v>
      </c>
    </row>
    <row r="76" spans="1:197" x14ac:dyDescent="0.2">
      <c r="A76" s="3">
        <f>Basis!A76</f>
        <v>76</v>
      </c>
      <c r="D76" s="252" t="e">
        <v>#N/A</v>
      </c>
      <c r="E76" s="252" t="e">
        <v>#N/A</v>
      </c>
      <c r="H76" s="50">
        <f xml:space="preserve"> 'WK2012'!EG86</f>
        <v>8672.2062992170704</v>
      </c>
      <c r="I76" s="50">
        <f xml:space="preserve"> 'WK2012'!EH86</f>
        <v>8433.4291588065826</v>
      </c>
      <c r="J76" s="50">
        <f xml:space="preserve"> 'WK2012'!EK86</f>
        <v>8672.2412470401796</v>
      </c>
      <c r="K76" s="50">
        <f xml:space="preserve"> 'WK2012'!EL86</f>
        <v>8433.3872407252093</v>
      </c>
      <c r="L76" s="50">
        <f xml:space="preserve"> 'WK2012'!EM86</f>
        <v>8672.2062992170704</v>
      </c>
      <c r="M76" s="50">
        <f xml:space="preserve"> 'WK2012'!EN86</f>
        <v>8433.3522929021019</v>
      </c>
      <c r="N76" s="61">
        <f xml:space="preserve"> 'WK2012'!EI86</f>
        <v>0.65674143565130294</v>
      </c>
      <c r="P76" s="50">
        <f xml:space="preserve"> 'WK2012'!EU86</f>
        <v>8292.4198366580131</v>
      </c>
      <c r="Q76" s="50">
        <f xml:space="preserve"> 'WK2012'!EV86</f>
        <v>7681.5893923711174</v>
      </c>
      <c r="R76" s="50">
        <f xml:space="preserve"> 'WK2012'!EY86</f>
        <v>8292.4198366580131</v>
      </c>
      <c r="S76" s="50">
        <f xml:space="preserve"> 'WK2012'!EZ86</f>
        <v>7681.5893923711174</v>
      </c>
      <c r="T76" s="50">
        <f xml:space="preserve"> 'WK2012'!FA86</f>
        <v>8292.4198366580131</v>
      </c>
      <c r="U76" s="50">
        <f xml:space="preserve"> 'WK2012'!FB86</f>
        <v>7681.5893923711174</v>
      </c>
      <c r="V76" s="61">
        <f xml:space="preserve"> 'WK2012'!EW86</f>
        <v>0.67273737158320035</v>
      </c>
      <c r="X76" s="50">
        <f xml:space="preserve"> 'WK2012'!FI86</f>
        <v>6011.5954177085996</v>
      </c>
      <c r="Y76" s="50">
        <f xml:space="preserve"> 'WK2012'!FJ86</f>
        <v>5319.2567359987897</v>
      </c>
      <c r="Z76" s="50">
        <f xml:space="preserve"> 'WK2012'!FM86</f>
        <v>6011.5954177085996</v>
      </c>
      <c r="AA76" s="50">
        <f xml:space="preserve"> 'WK2012'!FN86</f>
        <v>5319.2567359987897</v>
      </c>
      <c r="AB76" s="50">
        <f xml:space="preserve"> 'WK2012'!FO86</f>
        <v>6011.5954177085996</v>
      </c>
      <c r="AC76" s="50">
        <f xml:space="preserve"> 'WK2012'!FP86</f>
        <v>5319.2567359987897</v>
      </c>
      <c r="AD76" s="61">
        <f xml:space="preserve"> 'WK2012'!FK86</f>
        <v>0.67648388074146915</v>
      </c>
      <c r="AF76" s="50">
        <f xml:space="preserve"> 'WK2012'!FW86</f>
        <v>904.87867277318185</v>
      </c>
      <c r="AG76" s="50">
        <f xml:space="preserve"> 'WK2012'!FX86</f>
        <v>807.1277221920061</v>
      </c>
      <c r="AH76" s="50">
        <f xml:space="preserve"> 'WK2012'!GA86</f>
        <v>904.91012581397933</v>
      </c>
      <c r="AI76" s="50">
        <f xml:space="preserve"> 'WK2012'!GB86</f>
        <v>807.08999591877011</v>
      </c>
      <c r="AJ76" s="50">
        <f xml:space="preserve"> 'WK2012'!GC86</f>
        <v>904.87867277318185</v>
      </c>
      <c r="AK76" s="50">
        <f xml:space="preserve"> 'WK2012'!GD86</f>
        <v>807.05854287797263</v>
      </c>
      <c r="AL76" s="61">
        <f xml:space="preserve"> 'WK2012'!FY86</f>
        <v>0.68435614878027839</v>
      </c>
      <c r="AN76" s="50">
        <f xml:space="preserve"> 'WK2012'!GK86</f>
        <v>573.66870923213821</v>
      </c>
      <c r="AO76" s="50">
        <f xml:space="preserve"> 'WK2012'!GL86</f>
        <v>569.00641125803429</v>
      </c>
      <c r="AP76" s="50">
        <f xml:space="preserve"> 'WK2012'!GO86</f>
        <v>573.66870923213821</v>
      </c>
      <c r="AQ76" s="50">
        <f xml:space="preserve"> 'WK2012'!GP86</f>
        <v>569.00641125803429</v>
      </c>
      <c r="AR76" s="50">
        <f xml:space="preserve"> 'WK2012'!GQ86</f>
        <v>573.66870923213821</v>
      </c>
      <c r="AS76" s="50">
        <f xml:space="preserve"> 'WK2012'!GR86</f>
        <v>569.00641125803429</v>
      </c>
      <c r="AT76" s="61">
        <f xml:space="preserve"> 'WK2012'!GM86</f>
        <v>0.66431061129831348</v>
      </c>
      <c r="AX76" s="50">
        <f xml:space="preserve"> 'WK2013'!EG86</f>
        <v>9685.0746822000001</v>
      </c>
      <c r="AY76" s="50">
        <f xml:space="preserve"> 'WK2013'!EH86</f>
        <v>8728.365317400001</v>
      </c>
      <c r="AZ76" s="50">
        <f xml:space="preserve"> 'WK2013'!EK86</f>
        <v>9685.0746822000001</v>
      </c>
      <c r="BA76" s="50">
        <f xml:space="preserve"> 'WK2013'!EL86</f>
        <v>8728.365317400001</v>
      </c>
      <c r="BB76" s="50">
        <f xml:space="preserve"> 'WK2013'!EM86</f>
        <v>9685.0746822000001</v>
      </c>
      <c r="BC76" s="50">
        <f xml:space="preserve"> 'WK2013'!EN86</f>
        <v>8728.365317400001</v>
      </c>
      <c r="BD76" s="61">
        <f xml:space="preserve"> 'WK2013'!EI86</f>
        <v>0.64946142118329164</v>
      </c>
      <c r="BF76" s="50">
        <f xml:space="preserve"> 'WK2013'!EU86</f>
        <v>8847.5427202999999</v>
      </c>
      <c r="BG76" s="50">
        <f xml:space="preserve"> 'WK2013'!EV86</f>
        <v>7848.6819485999995</v>
      </c>
      <c r="BH76" s="50">
        <f xml:space="preserve"> 'WK2013'!EY86</f>
        <v>8847.5427202999999</v>
      </c>
      <c r="BI76" s="50">
        <f xml:space="preserve"> 'WK2013'!EZ86</f>
        <v>7848.6819485999995</v>
      </c>
      <c r="BJ76" s="50">
        <f xml:space="preserve"> 'WK2013'!FA86</f>
        <v>8847.5427202999999</v>
      </c>
      <c r="BK76" s="50">
        <f xml:space="preserve"> 'WK2013'!FB86</f>
        <v>7848.6819485999995</v>
      </c>
      <c r="BL76" s="61">
        <f xml:space="preserve"> 'WK2013'!EW86</f>
        <v>0.66439616622313624</v>
      </c>
      <c r="BN76" s="50">
        <f xml:space="preserve"> 'WK2013'!FI86</f>
        <v>6698.7310381999996</v>
      </c>
      <c r="BO76" s="50">
        <f xml:space="preserve"> 'WK2013'!FJ86</f>
        <v>5945.2553871999999</v>
      </c>
      <c r="BP76" s="50">
        <f xml:space="preserve"> 'WK2013'!FM86</f>
        <v>6698.7310381999996</v>
      </c>
      <c r="BQ76" s="50">
        <f xml:space="preserve"> 'WK2013'!FN86</f>
        <v>5945.2553871999999</v>
      </c>
      <c r="BR76" s="50">
        <f xml:space="preserve"> 'WK2013'!FO86</f>
        <v>6698.7310381999996</v>
      </c>
      <c r="BS76" s="50">
        <f xml:space="preserve"> 'WK2013'!FP86</f>
        <v>5945.2553871999999</v>
      </c>
      <c r="BT76" s="61">
        <f xml:space="preserve"> 'WK2013'!FK86</f>
        <v>0.6660882664228841</v>
      </c>
      <c r="BV76" s="50">
        <f xml:space="preserve"> 'WK2013'!FW86</f>
        <v>804.59533220000003</v>
      </c>
      <c r="BW76" s="50">
        <f xml:space="preserve"> 'WK2013'!FX86</f>
        <v>816.96157240000002</v>
      </c>
      <c r="BX76" s="50">
        <f xml:space="preserve"> 'WK2013'!GA86</f>
        <v>804.59533220000003</v>
      </c>
      <c r="BY76" s="50">
        <f xml:space="preserve"> 'WK2013'!GB86</f>
        <v>816.96157240000002</v>
      </c>
      <c r="BZ76" s="50">
        <f xml:space="preserve"> 'WK2013'!GC86</f>
        <v>804.59533220000003</v>
      </c>
      <c r="CA76" s="50">
        <f xml:space="preserve"> 'WK2013'!GD86</f>
        <v>816.96157240000002</v>
      </c>
      <c r="CB76" s="61">
        <f xml:space="preserve"> 'WK2013'!FY86</f>
        <v>0.66168650125267747</v>
      </c>
      <c r="CD76" s="50">
        <f xml:space="preserve"> 'WK2013'!GK86</f>
        <v>1010.2191705000002</v>
      </c>
      <c r="CE76" s="50">
        <f xml:space="preserve"> 'WK2013'!GL86</f>
        <v>921.0267359999998</v>
      </c>
      <c r="CF76" s="50">
        <f xml:space="preserve"> 'WK2013'!GO86</f>
        <v>1010.2191705000002</v>
      </c>
      <c r="CG76" s="50">
        <f xml:space="preserve"> 'WK2013'!GP86</f>
        <v>921.0267359999998</v>
      </c>
      <c r="CH76" s="50">
        <f xml:space="preserve"> 'WK2013'!GQ86</f>
        <v>1010.2191705000002</v>
      </c>
      <c r="CI76" s="50">
        <f xml:space="preserve"> 'WK2013'!GR86</f>
        <v>921.0267359999998</v>
      </c>
      <c r="CJ76" s="61">
        <f xml:space="preserve"> 'WK2013'!GM86</f>
        <v>0.68531134376000524</v>
      </c>
      <c r="CN76" s="50">
        <f xml:space="preserve"> 'WK2014'!EG86</f>
        <v>9733.0969827999998</v>
      </c>
      <c r="CO76" s="50">
        <f xml:space="preserve"> 'WK2014'!EH86</f>
        <v>8707.963550800001</v>
      </c>
      <c r="CP76" s="50">
        <f xml:space="preserve"> 'WK2014'!EK86</f>
        <v>9733.0970162666854</v>
      </c>
      <c r="CQ76" s="50">
        <f xml:space="preserve"> 'WK2014'!EL86</f>
        <v>8707.963519466688</v>
      </c>
      <c r="CR76" s="50">
        <f xml:space="preserve"> 'WK2014'!EM86</f>
        <v>9733.0969827999998</v>
      </c>
      <c r="CS76" s="50">
        <f xml:space="preserve"> 'WK2014'!EN86</f>
        <v>8707.9634860000006</v>
      </c>
      <c r="CT76" s="61">
        <f xml:space="preserve"> 'WK2014'!EI86</f>
        <v>0.67321623417778143</v>
      </c>
      <c r="CV76" s="50">
        <f xml:space="preserve"> 'WK2014'!EU86</f>
        <v>8340.8195407000003</v>
      </c>
      <c r="CW76" s="50">
        <f xml:space="preserve"> 'WK2014'!EV86</f>
        <v>7025.7178481999999</v>
      </c>
      <c r="CX76" s="50">
        <f xml:space="preserve"> 'WK2014'!EY86</f>
        <v>8340.8195699833504</v>
      </c>
      <c r="CY76" s="50">
        <f xml:space="preserve"> 'WK2014'!EZ86</f>
        <v>7025.7178207833513</v>
      </c>
      <c r="CZ76" s="50">
        <f xml:space="preserve"> 'WK2014'!FA86</f>
        <v>8340.8195407000003</v>
      </c>
      <c r="DA76" s="50">
        <f xml:space="preserve"> 'WK2014'!FB86</f>
        <v>7025.7177915000002</v>
      </c>
      <c r="DB76" s="61">
        <f xml:space="preserve"> 'WK2014'!EW86</f>
        <v>0.66356056373358452</v>
      </c>
      <c r="DC76" s="1"/>
      <c r="DD76" s="50">
        <f xml:space="preserve"> 'WK2014'!FI86</f>
        <v>6082.4797799999988</v>
      </c>
      <c r="DE76" s="50">
        <f xml:space="preserve"> 'WK2014'!FJ86</f>
        <v>5403.836765</v>
      </c>
      <c r="DF76" s="50">
        <f xml:space="preserve"> 'WK2014'!FM86</f>
        <v>6082.4797860091157</v>
      </c>
      <c r="DG76" s="50">
        <f xml:space="preserve"> 'WK2014'!FN86</f>
        <v>5403.8367596091175</v>
      </c>
      <c r="DH76" s="50">
        <f xml:space="preserve"> 'WK2014'!FO86</f>
        <v>6082.4797799999988</v>
      </c>
      <c r="DI76" s="50">
        <f xml:space="preserve"> 'WK2014'!FP86</f>
        <v>5403.8367536000005</v>
      </c>
      <c r="DJ76" s="61">
        <f xml:space="preserve"> 'WK2014'!FK86</f>
        <v>0.67567913019619563</v>
      </c>
      <c r="DK76" s="1"/>
      <c r="DL76" s="50">
        <f xml:space="preserve"> 'WK2014'!FW86</f>
        <v>788.94558480000001</v>
      </c>
      <c r="DM76" s="50">
        <f xml:space="preserve"> 'WK2014'!FX86</f>
        <v>804.9690088000001</v>
      </c>
      <c r="DN76" s="50">
        <f xml:space="preserve"> 'WK2014'!GA86</f>
        <v>788.94561826668667</v>
      </c>
      <c r="DO76" s="50">
        <f xml:space="preserve"> 'WK2014'!GB86</f>
        <v>804.96897746668674</v>
      </c>
      <c r="DP76" s="50">
        <f xml:space="preserve"> 'WK2014'!GC86</f>
        <v>788.94558480000001</v>
      </c>
      <c r="DQ76" s="50">
        <f xml:space="preserve"> 'WK2014'!GD86</f>
        <v>804.96894400000008</v>
      </c>
      <c r="DR76" s="61">
        <f xml:space="preserve"> 'WK2014'!FY86</f>
        <v>0.66970432063449803</v>
      </c>
      <c r="DS76" s="1"/>
      <c r="DT76" s="50">
        <f xml:space="preserve"> 'WK2014'!GK86</f>
        <v>1539.5803289999997</v>
      </c>
      <c r="DU76" s="50">
        <f xml:space="preserve"> 'WK2014'!GL86</f>
        <v>1398.3235035000005</v>
      </c>
      <c r="DV76" s="50">
        <f xml:space="preserve"> 'WK2014'!GO86</f>
        <v>1539.5803289999997</v>
      </c>
      <c r="DW76" s="50">
        <f xml:space="preserve"> 'WK2014'!GP86</f>
        <v>1398.3235035000005</v>
      </c>
      <c r="DX76" s="50">
        <f xml:space="preserve"> 'WK2014'!GQ86</f>
        <v>1539.5803289999997</v>
      </c>
      <c r="DY76" s="50">
        <f xml:space="preserve"> 'WK2014'!GR86</f>
        <v>1398.3235035000005</v>
      </c>
      <c r="DZ76" s="61">
        <f xml:space="preserve"> 'WK2014'!GM86</f>
        <v>0.6853413190666493</v>
      </c>
      <c r="ED76" s="50">
        <f xml:space="preserve"> 'WK2015'!EG86</f>
        <v>9348.6964112000005</v>
      </c>
      <c r="EE76" s="50">
        <f xml:space="preserve"> 'WK2015'!EH86</f>
        <v>8066.6124841999999</v>
      </c>
      <c r="EF76" s="50">
        <f xml:space="preserve"> 'WK2015'!EK86</f>
        <v>9348.6964112000005</v>
      </c>
      <c r="EG76" s="50">
        <f xml:space="preserve"> 'WK2015'!EL86</f>
        <v>8066.6124841999999</v>
      </c>
      <c r="EH76" s="50">
        <f xml:space="preserve"> 'WK2015'!EM86</f>
        <v>9348.6964112000005</v>
      </c>
      <c r="EI76" s="50">
        <f xml:space="preserve"> 'WK2015'!EN86</f>
        <v>8066.6124841999999</v>
      </c>
      <c r="EJ76" s="61">
        <f xml:space="preserve"> 'WK2015'!EI86</f>
        <v>0.69862426544256884</v>
      </c>
      <c r="EK76" s="1"/>
      <c r="EL76" s="50">
        <f xml:space="preserve"> 'WK2015'!EU86</f>
        <v>8707.4686663000011</v>
      </c>
      <c r="EM76" s="50">
        <f xml:space="preserve"> 'WK2015'!EV86</f>
        <v>7665.1774638000006</v>
      </c>
      <c r="EN76" s="50">
        <f xml:space="preserve"> 'WK2015'!EY86</f>
        <v>8707.4686663000011</v>
      </c>
      <c r="EO76" s="50">
        <f xml:space="preserve"> 'WK2015'!EZ86</f>
        <v>7665.1774638000006</v>
      </c>
      <c r="EP76" s="50">
        <f xml:space="preserve"> 'WK2015'!FA86</f>
        <v>8707.4686663000011</v>
      </c>
      <c r="EQ76" s="50">
        <f xml:space="preserve"> 'WK2015'!FB86</f>
        <v>7665.1774638000006</v>
      </c>
      <c r="ER76" s="61">
        <f xml:space="preserve"> 'WK2015'!EW86</f>
        <v>0.69743580701471253</v>
      </c>
      <c r="ES76" s="1"/>
      <c r="ET76" s="50">
        <f xml:space="preserve"> 'WK2015'!FI86</f>
        <v>7163.7677202000004</v>
      </c>
      <c r="EU76" s="50">
        <f xml:space="preserve"> 'WK2015'!FJ86</f>
        <v>6384.5740261999999</v>
      </c>
      <c r="EV76" s="50">
        <f xml:space="preserve"> 'WK2015'!FM86</f>
        <v>7163.7677202000004</v>
      </c>
      <c r="EW76" s="50">
        <f xml:space="preserve"> 'WK2015'!FN86</f>
        <v>6384.5740261999999</v>
      </c>
      <c r="EX76" s="50">
        <f xml:space="preserve"> 'WK2015'!FO86</f>
        <v>7163.7677202000004</v>
      </c>
      <c r="EY76" s="50">
        <f xml:space="preserve"> 'WK2015'!FP86</f>
        <v>6384.5740261999999</v>
      </c>
      <c r="EZ76" s="61">
        <f xml:space="preserve"> 'WK2015'!FK86</f>
        <v>0.70922701800884846</v>
      </c>
      <c r="FA76" s="1"/>
      <c r="FB76" s="50">
        <f xml:space="preserve"> 'WK2015'!FW86</f>
        <v>814.41863120000005</v>
      </c>
      <c r="FC76" s="50">
        <f xml:space="preserve"> 'WK2015'!FX86</f>
        <v>837.99272320000011</v>
      </c>
      <c r="FD76" s="50">
        <f xml:space="preserve"> 'WK2015'!GA86</f>
        <v>814.41863120000005</v>
      </c>
      <c r="FE76" s="50">
        <f xml:space="preserve"> 'WK2015'!GB86</f>
        <v>837.99272320000011</v>
      </c>
      <c r="FF76" s="50">
        <f xml:space="preserve"> 'WK2015'!GC86</f>
        <v>814.41863120000005</v>
      </c>
      <c r="FG76" s="50">
        <f xml:space="preserve"> 'WK2015'!GD86</f>
        <v>837.99272320000011</v>
      </c>
      <c r="FH76" s="61">
        <f xml:space="preserve"> 'WK2015'!FY86</f>
        <v>0.70044037223773081</v>
      </c>
      <c r="FI76" s="1"/>
      <c r="FJ76" s="50">
        <f xml:space="preserve"> 'WK2015'!GK86</f>
        <v>1041.3358244999999</v>
      </c>
      <c r="FK76" s="50">
        <f xml:space="preserve"> 'WK2015'!GL86</f>
        <v>1007.6471295000001</v>
      </c>
      <c r="FL76" s="50">
        <f xml:space="preserve"> 'WK2015'!GO86</f>
        <v>1041.3358244999999</v>
      </c>
      <c r="FM76" s="50">
        <f xml:space="preserve"> 'WK2015'!GP86</f>
        <v>1007.6471295000001</v>
      </c>
      <c r="FN76" s="50">
        <f xml:space="preserve"> 'WK2015'!GQ86</f>
        <v>1041.3358244999999</v>
      </c>
      <c r="FO76" s="50">
        <f xml:space="preserve"> 'WK2015'!GR86</f>
        <v>1007.6471295000001</v>
      </c>
      <c r="FP76" s="61">
        <f xml:space="preserve"> 'WK2015'!GM86</f>
        <v>0.71100727835561151</v>
      </c>
      <c r="FS76" s="283">
        <f xml:space="preserve"> 'WK2015'!H86</f>
        <v>4565.8504199999998</v>
      </c>
      <c r="FT76" s="283">
        <f xml:space="preserve"> 'WK2015'!I86</f>
        <v>4107.9694179999997</v>
      </c>
      <c r="FU76" s="283">
        <f xml:space="preserve"> 'WK2015'!L86</f>
        <v>4565.8504199999998</v>
      </c>
      <c r="FV76" s="283">
        <f xml:space="preserve"> 'WK2015'!M86</f>
        <v>4107.9694179999997</v>
      </c>
      <c r="FW76" s="283">
        <f xml:space="preserve"> 'WK2015'!N86</f>
        <v>4565.8504199999998</v>
      </c>
      <c r="FX76" s="283">
        <f xml:space="preserve"> 'WK2015'!O86</f>
        <v>4107.9694179999997</v>
      </c>
      <c r="FY76" s="284">
        <f xml:space="preserve"> 'WK2015'!P86</f>
        <v>0.70528565401565224</v>
      </c>
      <c r="GA76" s="283">
        <f xml:space="preserve"> 'WK2015'!HB86</f>
        <v>3796.8373109999998</v>
      </c>
      <c r="GB76" s="283">
        <f xml:space="preserve"> 'WK2015'!HC86</f>
        <v>3804.7194009999994</v>
      </c>
      <c r="GC76" s="283">
        <f xml:space="preserve"> 'WK2015'!HF86</f>
        <v>3796.8373109999998</v>
      </c>
      <c r="GD76" s="283">
        <f xml:space="preserve"> 'WK2015'!HG86</f>
        <v>3804.7194009999994</v>
      </c>
      <c r="GE76" s="283">
        <f xml:space="preserve"> 'WK2015'!HH86</f>
        <v>3796.8373109999998</v>
      </c>
      <c r="GF76" s="283">
        <f xml:space="preserve"> 'WK2015'!HI86</f>
        <v>3804.7194009999994</v>
      </c>
      <c r="GG76" s="284">
        <f xml:space="preserve"> 'WK2015'!HJ86</f>
        <v>0.71581571186651105</v>
      </c>
      <c r="GI76" s="283">
        <f xml:space="preserve"> 'WK2015'!HQ86</f>
        <v>4101.4670900000001</v>
      </c>
      <c r="GJ76" s="283">
        <f xml:space="preserve"> 'WK2015'!HR86</f>
        <v>4104.6476309999998</v>
      </c>
      <c r="GK76" s="283">
        <f xml:space="preserve"> 'WK2015'!HU86</f>
        <v>4101.4670900000001</v>
      </c>
      <c r="GL76" s="283">
        <f xml:space="preserve"> 'WK2015'!HV86</f>
        <v>4104.6476309999998</v>
      </c>
      <c r="GM76" s="283">
        <f xml:space="preserve"> 'WK2015'!HW86</f>
        <v>4101.4670900000001</v>
      </c>
      <c r="GN76" s="283">
        <f xml:space="preserve"> 'WK2015'!HX86</f>
        <v>4104.6476309999998</v>
      </c>
      <c r="GO76" s="284">
        <f xml:space="preserve"> 'WK2015'!HY86</f>
        <v>0.71217842830391798</v>
      </c>
    </row>
    <row r="77" spans="1:197" x14ac:dyDescent="0.2">
      <c r="A77" s="3">
        <f>Basis!A77</f>
        <v>77</v>
      </c>
      <c r="D77" s="252" t="e">
        <v>#N/A</v>
      </c>
      <c r="E77" s="252" t="e">
        <v>#N/A</v>
      </c>
      <c r="H77" s="50">
        <f xml:space="preserve"> 'WK2012'!EG87</f>
        <v>8969.1733253610655</v>
      </c>
      <c r="I77" s="50">
        <f xml:space="preserve"> 'WK2012'!EH87</f>
        <v>8629.169585563639</v>
      </c>
      <c r="J77" s="50">
        <f xml:space="preserve"> 'WK2012'!EK87</f>
        <v>8969.2082004333006</v>
      </c>
      <c r="K77" s="50">
        <f xml:space="preserve"> 'WK2012'!EL87</f>
        <v>8629.1275947313916</v>
      </c>
      <c r="L77" s="50">
        <f xml:space="preserve"> 'WK2012'!EM87</f>
        <v>8969.1733253610655</v>
      </c>
      <c r="M77" s="50">
        <f xml:space="preserve"> 'WK2012'!EN87</f>
        <v>8629.0927196591565</v>
      </c>
      <c r="N77" s="61">
        <f xml:space="preserve"> 'WK2012'!EI87</f>
        <v>0.64354302548792586</v>
      </c>
      <c r="P77" s="50">
        <f xml:space="preserve"> 'WK2012'!EU87</f>
        <v>8558.9491852621049</v>
      </c>
      <c r="Q77" s="50">
        <f xml:space="preserve"> 'WK2012'!EV87</f>
        <v>7878.5131045955386</v>
      </c>
      <c r="R77" s="50">
        <f xml:space="preserve"> 'WK2012'!EY87</f>
        <v>8558.9491852621049</v>
      </c>
      <c r="S77" s="50">
        <f xml:space="preserve"> 'WK2012'!EZ87</f>
        <v>7878.5131045955386</v>
      </c>
      <c r="T77" s="50">
        <f xml:space="preserve"> 'WK2012'!FA87</f>
        <v>8558.9491852621049</v>
      </c>
      <c r="U77" s="50">
        <f xml:space="preserve"> 'WK2012'!FB87</f>
        <v>7878.5131045955386</v>
      </c>
      <c r="V77" s="61">
        <f xml:space="preserve"> 'WK2012'!EW87</f>
        <v>0.66540798175386229</v>
      </c>
      <c r="X77" s="50">
        <f xml:space="preserve"> 'WK2012'!FI87</f>
        <v>6218.1618568139429</v>
      </c>
      <c r="Y77" s="50">
        <f xml:space="preserve"> 'WK2012'!FJ87</f>
        <v>5526.2460931561382</v>
      </c>
      <c r="Z77" s="50">
        <f xml:space="preserve"> 'WK2012'!FM87</f>
        <v>6218.1618568139429</v>
      </c>
      <c r="AA77" s="50">
        <f xml:space="preserve"> 'WK2012'!FN87</f>
        <v>5526.2460931561382</v>
      </c>
      <c r="AB77" s="50">
        <f xml:space="preserve"> 'WK2012'!FO87</f>
        <v>6218.1618568139429</v>
      </c>
      <c r="AC77" s="50">
        <f xml:space="preserve"> 'WK2012'!FP87</f>
        <v>5526.2460931561382</v>
      </c>
      <c r="AD77" s="61">
        <f xml:space="preserve"> 'WK2012'!FK87</f>
        <v>0.65955631054536656</v>
      </c>
      <c r="AF77" s="50">
        <f xml:space="preserve"> 'WK2012'!FW87</f>
        <v>990.56826939389418</v>
      </c>
      <c r="AG77" s="50">
        <f xml:space="preserve"> 'WK2012'!FX87</f>
        <v>813.33345256203347</v>
      </c>
      <c r="AH77" s="50">
        <f xml:space="preserve"> 'WK2012'!GA87</f>
        <v>990.59965695890617</v>
      </c>
      <c r="AI77" s="50">
        <f xml:space="preserve"> 'WK2012'!GB87</f>
        <v>813.29566081301198</v>
      </c>
      <c r="AJ77" s="50">
        <f xml:space="preserve"> 'WK2012'!GC87</f>
        <v>990.56826939389418</v>
      </c>
      <c r="AK77" s="50">
        <f xml:space="preserve"> 'WK2012'!GD87</f>
        <v>813.26427324799999</v>
      </c>
      <c r="AL77" s="61">
        <f xml:space="preserve"> 'WK2012'!FY87</f>
        <v>0.66172542379633881</v>
      </c>
      <c r="AN77" s="50">
        <f xml:space="preserve"> 'WK2012'!GK87</f>
        <v>561.84365738231782</v>
      </c>
      <c r="AO77" s="50">
        <f xml:space="preserve"> 'WK2012'!GL87</f>
        <v>549.51267061682222</v>
      </c>
      <c r="AP77" s="50">
        <f xml:space="preserve"> 'WK2012'!GO87</f>
        <v>561.84365738231782</v>
      </c>
      <c r="AQ77" s="50">
        <f xml:space="preserve"> 'WK2012'!GP87</f>
        <v>549.51267061682222</v>
      </c>
      <c r="AR77" s="50">
        <f xml:space="preserve"> 'WK2012'!GQ87</f>
        <v>561.84365738231782</v>
      </c>
      <c r="AS77" s="50">
        <f xml:space="preserve"> 'WK2012'!GR87</f>
        <v>549.51267061682222</v>
      </c>
      <c r="AT77" s="61">
        <f xml:space="preserve"> 'WK2012'!GM87</f>
        <v>0.65905208308262531</v>
      </c>
      <c r="AX77" s="50">
        <f xml:space="preserve"> 'WK2013'!EG87</f>
        <v>10055.264297599999</v>
      </c>
      <c r="AY77" s="50">
        <f xml:space="preserve"> 'WK2013'!EH87</f>
        <v>9002.0477456000008</v>
      </c>
      <c r="AZ77" s="50">
        <f xml:space="preserve"> 'WK2013'!EK87</f>
        <v>10055.264297599999</v>
      </c>
      <c r="BA77" s="50">
        <f xml:space="preserve"> 'WK2013'!EL87</f>
        <v>9002.0477456000008</v>
      </c>
      <c r="BB77" s="50">
        <f xml:space="preserve"> 'WK2013'!EM87</f>
        <v>10055.264297599999</v>
      </c>
      <c r="BC77" s="50">
        <f xml:space="preserve"> 'WK2013'!EN87</f>
        <v>9002.0477456000008</v>
      </c>
      <c r="BD77" s="61">
        <f xml:space="preserve"> 'WK2013'!EI87</f>
        <v>0.64709922580278656</v>
      </c>
      <c r="BF77" s="50">
        <f xml:space="preserve"> 'WK2013'!EU87</f>
        <v>9225.1254373999982</v>
      </c>
      <c r="BG77" s="50">
        <f xml:space="preserve"> 'WK2013'!EV87</f>
        <v>8092.1507443999999</v>
      </c>
      <c r="BH77" s="50">
        <f xml:space="preserve"> 'WK2013'!EY87</f>
        <v>9225.1254373999982</v>
      </c>
      <c r="BI77" s="50">
        <f xml:space="preserve"> 'WK2013'!EZ87</f>
        <v>8092.1507443999999</v>
      </c>
      <c r="BJ77" s="50">
        <f xml:space="preserve"> 'WK2013'!FA87</f>
        <v>9225.1254373999982</v>
      </c>
      <c r="BK77" s="50">
        <f xml:space="preserve"> 'WK2013'!FB87</f>
        <v>8092.1507443999999</v>
      </c>
      <c r="BL77" s="61">
        <f xml:space="preserve"> 'WK2013'!EW87</f>
        <v>0.66024425983492863</v>
      </c>
      <c r="BN77" s="50">
        <f xml:space="preserve"> 'WK2013'!FI87</f>
        <v>6969.2078472000003</v>
      </c>
      <c r="BO77" s="50">
        <f xml:space="preserve"> 'WK2013'!FJ87</f>
        <v>6151.7928585999998</v>
      </c>
      <c r="BP77" s="50">
        <f xml:space="preserve"> 'WK2013'!FM87</f>
        <v>6969.2078472000003</v>
      </c>
      <c r="BQ77" s="50">
        <f xml:space="preserve"> 'WK2013'!FN87</f>
        <v>6151.7928585999998</v>
      </c>
      <c r="BR77" s="50">
        <f xml:space="preserve"> 'WK2013'!FO87</f>
        <v>6969.2078472000003</v>
      </c>
      <c r="BS77" s="50">
        <f xml:space="preserve"> 'WK2013'!FP87</f>
        <v>6151.7928585999998</v>
      </c>
      <c r="BT77" s="61">
        <f xml:space="preserve"> 'WK2013'!FK87</f>
        <v>0.66867540335488695</v>
      </c>
      <c r="BV77" s="50">
        <f xml:space="preserve"> 'WK2013'!FW87</f>
        <v>795.2915746000001</v>
      </c>
      <c r="BW77" s="50">
        <f xml:space="preserve"> 'WK2013'!FX87</f>
        <v>793.41247460000011</v>
      </c>
      <c r="BX77" s="50">
        <f xml:space="preserve"> 'WK2013'!GA87</f>
        <v>795.2915746000001</v>
      </c>
      <c r="BY77" s="50">
        <f xml:space="preserve"> 'WK2013'!GB87</f>
        <v>793.41247460000011</v>
      </c>
      <c r="BZ77" s="50">
        <f xml:space="preserve"> 'WK2013'!GC87</f>
        <v>795.2915746000001</v>
      </c>
      <c r="CA77" s="50">
        <f xml:space="preserve"> 'WK2013'!GD87</f>
        <v>793.41247460000011</v>
      </c>
      <c r="CB77" s="61">
        <f xml:space="preserve"> 'WK2013'!FY87</f>
        <v>0.65897479987882301</v>
      </c>
      <c r="CD77" s="50">
        <f xml:space="preserve"> 'WK2013'!GK87</f>
        <v>1084.4065387499995</v>
      </c>
      <c r="CE77" s="50">
        <f xml:space="preserve"> 'WK2013'!GL87</f>
        <v>970.55247750000012</v>
      </c>
      <c r="CF77" s="50">
        <f xml:space="preserve"> 'WK2013'!GO87</f>
        <v>1084.4065387499995</v>
      </c>
      <c r="CG77" s="50">
        <f xml:space="preserve"> 'WK2013'!GP87</f>
        <v>970.55247750000012</v>
      </c>
      <c r="CH77" s="50">
        <f xml:space="preserve"> 'WK2013'!GQ87</f>
        <v>1084.4065387499995</v>
      </c>
      <c r="CI77" s="50">
        <f xml:space="preserve"> 'WK2013'!GR87</f>
        <v>970.55247750000012</v>
      </c>
      <c r="CJ77" s="61">
        <f xml:space="preserve"> 'WK2013'!GM87</f>
        <v>0.68822595702622447</v>
      </c>
      <c r="CN77" s="50">
        <f xml:space="preserve"> 'WK2014'!EG87</f>
        <v>10103.868456</v>
      </c>
      <c r="CO77" s="50">
        <f xml:space="preserve"> 'WK2014'!EH87</f>
        <v>9000.7883896000003</v>
      </c>
      <c r="CP77" s="50">
        <f xml:space="preserve"> 'WK2014'!EK87</f>
        <v>10103.868456</v>
      </c>
      <c r="CQ77" s="50">
        <f xml:space="preserve"> 'WK2014'!EL87</f>
        <v>9000.7883896000003</v>
      </c>
      <c r="CR77" s="50">
        <f xml:space="preserve"> 'WK2014'!EM87</f>
        <v>10103.868456</v>
      </c>
      <c r="CS77" s="50">
        <f xml:space="preserve"> 'WK2014'!EN87</f>
        <v>9000.7883896000003</v>
      </c>
      <c r="CT77" s="61">
        <f xml:space="preserve"> 'WK2014'!EI87</f>
        <v>0.65993848020202672</v>
      </c>
      <c r="CV77" s="50">
        <f xml:space="preserve"> 'WK2014'!EU87</f>
        <v>8663.4686464999995</v>
      </c>
      <c r="CW77" s="50">
        <f xml:space="preserve"> 'WK2014'!EV87</f>
        <v>7223.2575733999993</v>
      </c>
      <c r="CX77" s="50">
        <f xml:space="preserve"> 'WK2014'!EY87</f>
        <v>8663.4686464999995</v>
      </c>
      <c r="CY77" s="50">
        <f xml:space="preserve"> 'WK2014'!EZ87</f>
        <v>7223.2575733999993</v>
      </c>
      <c r="CZ77" s="50">
        <f xml:space="preserve"> 'WK2014'!FA87</f>
        <v>8663.4686464999995</v>
      </c>
      <c r="DA77" s="50">
        <f xml:space="preserve"> 'WK2014'!FB87</f>
        <v>7223.2575733999993</v>
      </c>
      <c r="DB77" s="61">
        <f xml:space="preserve"> 'WK2014'!EW87</f>
        <v>0.65040004970745513</v>
      </c>
      <c r="DC77" s="1"/>
      <c r="DD77" s="50">
        <f xml:space="preserve"> 'WK2014'!FI87</f>
        <v>6315.2989600000001</v>
      </c>
      <c r="DE77" s="50">
        <f xml:space="preserve"> 'WK2014'!FJ87</f>
        <v>5591.9857907999994</v>
      </c>
      <c r="DF77" s="50">
        <f xml:space="preserve"> 'WK2014'!FM87</f>
        <v>6315.2989719020861</v>
      </c>
      <c r="DG77" s="50">
        <f xml:space="preserve"> 'WK2014'!FN87</f>
        <v>5591.9857799020856</v>
      </c>
      <c r="DH77" s="50">
        <f xml:space="preserve"> 'WK2014'!FO87</f>
        <v>6315.2989600000001</v>
      </c>
      <c r="DI77" s="50">
        <f xml:space="preserve"> 'WK2014'!FP87</f>
        <v>5591.9857679999996</v>
      </c>
      <c r="DJ77" s="61">
        <f xml:space="preserve"> 'WK2014'!FK87</f>
        <v>0.66153225172050223</v>
      </c>
      <c r="DK77" s="1"/>
      <c r="DL77" s="50">
        <f xml:space="preserve"> 'WK2014'!FW87</f>
        <v>780.51127200000008</v>
      </c>
      <c r="DM77" s="50">
        <f xml:space="preserve"> 'WK2014'!FX87</f>
        <v>782.97892960000013</v>
      </c>
      <c r="DN77" s="50">
        <f xml:space="preserve"> 'WK2014'!GA87</f>
        <v>780.51127200000008</v>
      </c>
      <c r="DO77" s="50">
        <f xml:space="preserve"> 'WK2014'!GB87</f>
        <v>782.97892960000013</v>
      </c>
      <c r="DP77" s="50">
        <f xml:space="preserve"> 'WK2014'!GC87</f>
        <v>780.51127200000008</v>
      </c>
      <c r="DQ77" s="50">
        <f xml:space="preserve"> 'WK2014'!GD87</f>
        <v>782.97892960000013</v>
      </c>
      <c r="DR77" s="61">
        <f xml:space="preserve"> 'WK2014'!FY87</f>
        <v>0.65723611277221383</v>
      </c>
      <c r="DS77" s="1"/>
      <c r="DT77" s="50">
        <f xml:space="preserve"> 'WK2014'!GK87</f>
        <v>1643.9444879999996</v>
      </c>
      <c r="DU77" s="50">
        <f xml:space="preserve"> 'WK2014'!GL87</f>
        <v>1472.5757670000003</v>
      </c>
      <c r="DV77" s="50">
        <f xml:space="preserve"> 'WK2014'!GO87</f>
        <v>1643.9444879999996</v>
      </c>
      <c r="DW77" s="50">
        <f xml:space="preserve"> 'WK2014'!GP87</f>
        <v>1472.5757670000003</v>
      </c>
      <c r="DX77" s="50">
        <f xml:space="preserve"> 'WK2014'!GQ87</f>
        <v>1643.9444879999996</v>
      </c>
      <c r="DY77" s="50">
        <f xml:space="preserve"> 'WK2014'!GR87</f>
        <v>1472.5757670000003</v>
      </c>
      <c r="DZ77" s="61">
        <f xml:space="preserve"> 'WK2014'!GM87</f>
        <v>0.6751851750198089</v>
      </c>
      <c r="ED77" s="50">
        <f xml:space="preserve"> 'WK2015'!EG87</f>
        <v>9712.2054185999987</v>
      </c>
      <c r="EE77" s="50">
        <f xml:space="preserve"> 'WK2015'!EH87</f>
        <v>8360.7998917999994</v>
      </c>
      <c r="EF77" s="50">
        <f xml:space="preserve"> 'WK2015'!EK87</f>
        <v>9712.2054185999987</v>
      </c>
      <c r="EG77" s="50">
        <f xml:space="preserve"> 'WK2015'!EL87</f>
        <v>8360.7998917999994</v>
      </c>
      <c r="EH77" s="50">
        <f xml:space="preserve"> 'WK2015'!EM87</f>
        <v>9712.2054185999987</v>
      </c>
      <c r="EI77" s="50">
        <f xml:space="preserve"> 'WK2015'!EN87</f>
        <v>8360.7998917999994</v>
      </c>
      <c r="EJ77" s="61">
        <f xml:space="preserve"> 'WK2015'!EI87</f>
        <v>0.68427603593237518</v>
      </c>
      <c r="EK77" s="1"/>
      <c r="EL77" s="50">
        <f xml:space="preserve"> 'WK2015'!EU87</f>
        <v>9090.2790404000007</v>
      </c>
      <c r="EM77" s="50">
        <f xml:space="preserve"> 'WK2015'!EV87</f>
        <v>7924.3506097000009</v>
      </c>
      <c r="EN77" s="50">
        <f xml:space="preserve"> 'WK2015'!EY87</f>
        <v>9090.2790404000007</v>
      </c>
      <c r="EO77" s="50">
        <f xml:space="preserve"> 'WK2015'!EZ87</f>
        <v>7924.3506097000009</v>
      </c>
      <c r="EP77" s="50">
        <f xml:space="preserve"> 'WK2015'!FA87</f>
        <v>9090.2790404000007</v>
      </c>
      <c r="EQ77" s="50">
        <f xml:space="preserve"> 'WK2015'!FB87</f>
        <v>7924.3506097000009</v>
      </c>
      <c r="ER77" s="61">
        <f xml:space="preserve"> 'WK2015'!EW87</f>
        <v>0.68697403196722451</v>
      </c>
      <c r="ES77" s="1"/>
      <c r="ET77" s="50">
        <f xml:space="preserve"> 'WK2015'!FI87</f>
        <v>7437.9345185999991</v>
      </c>
      <c r="EU77" s="50">
        <f xml:space="preserve"> 'WK2015'!FJ87</f>
        <v>6603.7637743999994</v>
      </c>
      <c r="EV77" s="50">
        <f xml:space="preserve"> 'WK2015'!FM87</f>
        <v>7437.9345185999991</v>
      </c>
      <c r="EW77" s="50">
        <f xml:space="preserve"> 'WK2015'!FN87</f>
        <v>6603.7637743999994</v>
      </c>
      <c r="EX77" s="50">
        <f xml:space="preserve"> 'WK2015'!FO87</f>
        <v>7437.9345185999991</v>
      </c>
      <c r="EY77" s="50">
        <f xml:space="preserve"> 'WK2015'!FP87</f>
        <v>6603.7637743999994</v>
      </c>
      <c r="EZ77" s="61">
        <f xml:space="preserve"> 'WK2015'!FK87</f>
        <v>0.69815102936985374</v>
      </c>
      <c r="FA77" s="1"/>
      <c r="FB77" s="50">
        <f xml:space="preserve"> 'WK2015'!FW87</f>
        <v>810.62059360000012</v>
      </c>
      <c r="FC77" s="50">
        <f xml:space="preserve"> 'WK2015'!FX87</f>
        <v>821.47024880000004</v>
      </c>
      <c r="FD77" s="50">
        <f xml:space="preserve"> 'WK2015'!GA87</f>
        <v>810.62059360000012</v>
      </c>
      <c r="FE77" s="50">
        <f xml:space="preserve"> 'WK2015'!GB87</f>
        <v>821.47024880000004</v>
      </c>
      <c r="FF77" s="50">
        <f xml:space="preserve"> 'WK2015'!GC87</f>
        <v>810.62059360000012</v>
      </c>
      <c r="FG77" s="50">
        <f xml:space="preserve"> 'WK2015'!GD87</f>
        <v>821.47024880000004</v>
      </c>
      <c r="FH77" s="61">
        <f xml:space="preserve"> 'WK2015'!FY87</f>
        <v>0.68747019988741098</v>
      </c>
      <c r="FI77" s="1"/>
      <c r="FJ77" s="50">
        <f xml:space="preserve"> 'WK2015'!GK87</f>
        <v>1113.8849775000003</v>
      </c>
      <c r="FK77" s="50">
        <f xml:space="preserve"> 'WK2015'!GL87</f>
        <v>1069.21218</v>
      </c>
      <c r="FL77" s="50">
        <f xml:space="preserve"> 'WK2015'!GO87</f>
        <v>1113.8849775000003</v>
      </c>
      <c r="FM77" s="50">
        <f xml:space="preserve"> 'WK2015'!GP87</f>
        <v>1069.21218</v>
      </c>
      <c r="FN77" s="50">
        <f xml:space="preserve"> 'WK2015'!GQ87</f>
        <v>1113.8849775000003</v>
      </c>
      <c r="FO77" s="50">
        <f xml:space="preserve"> 'WK2015'!GR87</f>
        <v>1069.21218</v>
      </c>
      <c r="FP77" s="61">
        <f xml:space="preserve"> 'WK2015'!GM87</f>
        <v>0.69345109241613334</v>
      </c>
      <c r="FS77" s="283">
        <f xml:space="preserve"> 'WK2015'!H87</f>
        <v>4721.2301749999997</v>
      </c>
      <c r="FT77" s="283">
        <f xml:space="preserve"> 'WK2015'!I87</f>
        <v>4231.3940879999991</v>
      </c>
      <c r="FU77" s="283">
        <f xml:space="preserve"> 'WK2015'!L87</f>
        <v>4721.2301749999997</v>
      </c>
      <c r="FV77" s="283">
        <f xml:space="preserve"> 'WK2015'!M87</f>
        <v>4231.3940879999991</v>
      </c>
      <c r="FW77" s="283">
        <f xml:space="preserve"> 'WK2015'!N87</f>
        <v>4721.2301749999997</v>
      </c>
      <c r="FX77" s="283">
        <f xml:space="preserve"> 'WK2015'!O87</f>
        <v>4231.3940879999991</v>
      </c>
      <c r="FY77" s="284">
        <f xml:space="preserve"> 'WK2015'!P87</f>
        <v>0.69034083263806745</v>
      </c>
      <c r="GA77" s="283">
        <f xml:space="preserve"> 'WK2015'!HB87</f>
        <v>3983.5627079999999</v>
      </c>
      <c r="GB77" s="283">
        <f xml:space="preserve"> 'WK2015'!HC87</f>
        <v>3927.4654249999999</v>
      </c>
      <c r="GC77" s="283">
        <f xml:space="preserve"> 'WK2015'!HF87</f>
        <v>3983.5627079999999</v>
      </c>
      <c r="GD77" s="283">
        <f xml:space="preserve"> 'WK2015'!HG87</f>
        <v>3927.4654249999999</v>
      </c>
      <c r="GE77" s="283">
        <f xml:space="preserve"> 'WK2015'!HH87</f>
        <v>3983.5627079999999</v>
      </c>
      <c r="GF77" s="283">
        <f xml:space="preserve"> 'WK2015'!HI87</f>
        <v>3927.4654249999999</v>
      </c>
      <c r="GG77" s="284">
        <f xml:space="preserve"> 'WK2015'!HJ87</f>
        <v>0.72117092762115897</v>
      </c>
      <c r="GI77" s="283">
        <f xml:space="preserve"> 'WK2015'!HQ87</f>
        <v>4269.1494999999995</v>
      </c>
      <c r="GJ77" s="283">
        <f xml:space="preserve"> 'WK2015'!HR87</f>
        <v>4194.84177</v>
      </c>
      <c r="GK77" s="283">
        <f xml:space="preserve"> 'WK2015'!HU87</f>
        <v>4269.1494999999995</v>
      </c>
      <c r="GL77" s="283">
        <f xml:space="preserve"> 'WK2015'!HV87</f>
        <v>4194.84177</v>
      </c>
      <c r="GM77" s="283">
        <f xml:space="preserve"> 'WK2015'!HW87</f>
        <v>4269.1494999999995</v>
      </c>
      <c r="GN77" s="283">
        <f xml:space="preserve"> 'WK2015'!HX87</f>
        <v>4194.84177</v>
      </c>
      <c r="GO77" s="284">
        <f xml:space="preserve"> 'WK2015'!HY87</f>
        <v>0.74975459301772651</v>
      </c>
    </row>
    <row r="78" spans="1:197" x14ac:dyDescent="0.2">
      <c r="A78" s="3">
        <f>Basis!A78</f>
        <v>78</v>
      </c>
      <c r="D78" s="252" t="e">
        <v>#N/A</v>
      </c>
      <c r="E78" s="252" t="e">
        <v>#N/A</v>
      </c>
      <c r="H78" s="50">
        <f xml:space="preserve"> 'WK2012'!EG88</f>
        <v>9262.1050760078579</v>
      </c>
      <c r="I78" s="50">
        <f xml:space="preserve"> 'WK2012'!EH88</f>
        <v>8807.0235004851547</v>
      </c>
      <c r="J78" s="50">
        <f xml:space="preserve"> 'WK2012'!EK88</f>
        <v>9262.1383363767818</v>
      </c>
      <c r="K78" s="50">
        <f xml:space="preserve"> 'WK2012'!EL88</f>
        <v>8806.9831012859122</v>
      </c>
      <c r="L78" s="50">
        <f xml:space="preserve"> 'WK2012'!EM88</f>
        <v>9262.1050760078579</v>
      </c>
      <c r="M78" s="50">
        <f xml:space="preserve"> 'WK2012'!EN88</f>
        <v>8806.9498409169864</v>
      </c>
      <c r="N78" s="61">
        <f xml:space="preserve"> 'WK2012'!EI88</f>
        <v>0.63297615495837956</v>
      </c>
      <c r="P78" s="50">
        <f xml:space="preserve"> 'WK2012'!EU88</f>
        <v>8804.4497840219537</v>
      </c>
      <c r="Q78" s="50">
        <f xml:space="preserve"> 'WK2012'!EV88</f>
        <v>8056.1954551599574</v>
      </c>
      <c r="R78" s="50">
        <f xml:space="preserve"> 'WK2012'!EY88</f>
        <v>8804.4497840219537</v>
      </c>
      <c r="S78" s="50">
        <f xml:space="preserve"> 'WK2012'!EZ88</f>
        <v>8056.1954551599574</v>
      </c>
      <c r="T78" s="50">
        <f xml:space="preserve"> 'WK2012'!FA88</f>
        <v>8804.4497840219537</v>
      </c>
      <c r="U78" s="50">
        <f xml:space="preserve"> 'WK2012'!FB88</f>
        <v>8056.1954551599574</v>
      </c>
      <c r="V78" s="61">
        <f xml:space="preserve"> 'WK2012'!EW88</f>
        <v>0.65391875992071835</v>
      </c>
      <c r="X78" s="50">
        <f xml:space="preserve"> 'WK2012'!FI88</f>
        <v>6405.4146518941816</v>
      </c>
      <c r="Y78" s="50">
        <f xml:space="preserve"> 'WK2012'!FJ88</f>
        <v>5692.1510259946817</v>
      </c>
      <c r="Z78" s="50">
        <f xml:space="preserve"> 'WK2012'!FM88</f>
        <v>6405.4146518941816</v>
      </c>
      <c r="AA78" s="50">
        <f xml:space="preserve"> 'WK2012'!FN88</f>
        <v>5692.1510259946817</v>
      </c>
      <c r="AB78" s="50">
        <f xml:space="preserve"> 'WK2012'!FO88</f>
        <v>6405.4146518941816</v>
      </c>
      <c r="AC78" s="50">
        <f xml:space="preserve"> 'WK2012'!FP88</f>
        <v>5692.1510259946817</v>
      </c>
      <c r="AD78" s="61">
        <f xml:space="preserve"> 'WK2012'!FK88</f>
        <v>0.65505191549335062</v>
      </c>
      <c r="AF78" s="50">
        <f xml:space="preserve"> 'WK2012'!FW88</f>
        <v>1088.5167210756765</v>
      </c>
      <c r="AG78" s="50">
        <f xml:space="preserve"> 'WK2012'!FX88</f>
        <v>839.79731198635284</v>
      </c>
      <c r="AH78" s="50">
        <f xml:space="preserve"> 'WK2012'!GA88</f>
        <v>1088.5466554077088</v>
      </c>
      <c r="AI78" s="50">
        <f xml:space="preserve"> 'WK2012'!GB88</f>
        <v>839.76095270703377</v>
      </c>
      <c r="AJ78" s="50">
        <f xml:space="preserve"> 'WK2012'!GC88</f>
        <v>1088.5167210756765</v>
      </c>
      <c r="AK78" s="50">
        <f xml:space="preserve"> 'WK2012'!GD88</f>
        <v>839.73101837500133</v>
      </c>
      <c r="AL78" s="61">
        <f xml:space="preserve"> 'WK2012'!FY88</f>
        <v>0.64749221107477384</v>
      </c>
      <c r="AN78" s="50">
        <f xml:space="preserve"> 'WK2012'!GK88</f>
        <v>548.20596902982606</v>
      </c>
      <c r="AO78" s="50">
        <f xml:space="preserve"> 'WK2012'!GL88</f>
        <v>528.7513613549097</v>
      </c>
      <c r="AP78" s="50">
        <f xml:space="preserve"> 'WK2012'!GO88</f>
        <v>548.20596902982606</v>
      </c>
      <c r="AQ78" s="50">
        <f xml:space="preserve"> 'WK2012'!GP88</f>
        <v>528.7513613549097</v>
      </c>
      <c r="AR78" s="50">
        <f xml:space="preserve"> 'WK2012'!GQ88</f>
        <v>548.20596902982606</v>
      </c>
      <c r="AS78" s="50">
        <f xml:space="preserve"> 'WK2012'!GR88</f>
        <v>528.7513613549097</v>
      </c>
      <c r="AT78" s="61">
        <f xml:space="preserve"> 'WK2012'!GM88</f>
        <v>0.65143816231283769</v>
      </c>
      <c r="AX78" s="50">
        <f xml:space="preserve"> 'WK2013'!EG88</f>
        <v>10412.767205200002</v>
      </c>
      <c r="AY78" s="50">
        <f xml:space="preserve"> 'WK2013'!EH88</f>
        <v>9266.9888602000028</v>
      </c>
      <c r="AZ78" s="50">
        <f xml:space="preserve"> 'WK2013'!EK88</f>
        <v>10412.767205200002</v>
      </c>
      <c r="BA78" s="50">
        <f xml:space="preserve"> 'WK2013'!EL88</f>
        <v>9266.9888602000028</v>
      </c>
      <c r="BB78" s="50">
        <f xml:space="preserve"> 'WK2013'!EM88</f>
        <v>10412.767205200002</v>
      </c>
      <c r="BC78" s="50">
        <f xml:space="preserve"> 'WK2013'!EN88</f>
        <v>9266.9888602000028</v>
      </c>
      <c r="BD78" s="61">
        <f xml:space="preserve"> 'WK2013'!EI88</f>
        <v>0.62355086229308965</v>
      </c>
      <c r="BF78" s="50">
        <f xml:space="preserve"> 'WK2013'!EU88</f>
        <v>9579.6496508</v>
      </c>
      <c r="BG78" s="50">
        <f xml:space="preserve"> 'WK2013'!EV88</f>
        <v>8315.8290317999999</v>
      </c>
      <c r="BH78" s="50">
        <f xml:space="preserve"> 'WK2013'!EY88</f>
        <v>9579.6496508</v>
      </c>
      <c r="BI78" s="50">
        <f xml:space="preserve"> 'WK2013'!EZ88</f>
        <v>8315.8290317999999</v>
      </c>
      <c r="BJ78" s="50">
        <f xml:space="preserve"> 'WK2013'!FA88</f>
        <v>9579.6496508</v>
      </c>
      <c r="BK78" s="50">
        <f xml:space="preserve"> 'WK2013'!FB88</f>
        <v>8315.8290317999999</v>
      </c>
      <c r="BL78" s="61">
        <f xml:space="preserve"> 'WK2013'!EW88</f>
        <v>0.63452306511120882</v>
      </c>
      <c r="BN78" s="50">
        <f xml:space="preserve"> 'WK2013'!FI88</f>
        <v>7222.6299977999997</v>
      </c>
      <c r="BO78" s="50">
        <f xml:space="preserve"> 'WK2013'!FJ88</f>
        <v>6355.4396773999997</v>
      </c>
      <c r="BP78" s="50">
        <f xml:space="preserve"> 'WK2013'!FM88</f>
        <v>7222.6299977999997</v>
      </c>
      <c r="BQ78" s="50">
        <f xml:space="preserve"> 'WK2013'!FN88</f>
        <v>6355.4396773999997</v>
      </c>
      <c r="BR78" s="50">
        <f xml:space="preserve"> 'WK2013'!FO88</f>
        <v>7222.6299977999997</v>
      </c>
      <c r="BS78" s="50">
        <f xml:space="preserve"> 'WK2013'!FP88</f>
        <v>6355.4396773999997</v>
      </c>
      <c r="BT78" s="61">
        <f xml:space="preserve"> 'WK2013'!FK88</f>
        <v>0.63899231342527241</v>
      </c>
      <c r="BV78" s="50">
        <f xml:space="preserve"> 'WK2013'!FW88</f>
        <v>781.92438820000007</v>
      </c>
      <c r="BW78" s="50">
        <f xml:space="preserve"> 'WK2013'!FX88</f>
        <v>766.11707019999994</v>
      </c>
      <c r="BX78" s="50">
        <f xml:space="preserve"> 'WK2013'!GA88</f>
        <v>781.92438820000007</v>
      </c>
      <c r="BY78" s="50">
        <f xml:space="preserve"> 'WK2013'!GB88</f>
        <v>766.11707019999994</v>
      </c>
      <c r="BZ78" s="50">
        <f xml:space="preserve"> 'WK2013'!GC88</f>
        <v>781.92438820000007</v>
      </c>
      <c r="CA78" s="50">
        <f xml:space="preserve"> 'WK2013'!GD88</f>
        <v>766.11707019999994</v>
      </c>
      <c r="CB78" s="61">
        <f xml:space="preserve"> 'WK2013'!FY88</f>
        <v>0.63409528036865825</v>
      </c>
      <c r="CD78" s="50">
        <f xml:space="preserve"> 'WK2013'!GK88</f>
        <v>1169.0908702500001</v>
      </c>
      <c r="CE78" s="50">
        <f xml:space="preserve"> 'WK2013'!GL88</f>
        <v>1023.2766959999999</v>
      </c>
      <c r="CF78" s="50">
        <f xml:space="preserve"> 'WK2013'!GO88</f>
        <v>1169.0908702500001</v>
      </c>
      <c r="CG78" s="50">
        <f xml:space="preserve"> 'WK2013'!GP88</f>
        <v>1023.2766959999999</v>
      </c>
      <c r="CH78" s="50">
        <f xml:space="preserve"> 'WK2013'!GQ88</f>
        <v>1169.0908702500001</v>
      </c>
      <c r="CI78" s="50">
        <f xml:space="preserve"> 'WK2013'!GR88</f>
        <v>1023.2766959999999</v>
      </c>
      <c r="CJ78" s="61">
        <f xml:space="preserve"> 'WK2013'!GM88</f>
        <v>0.66728556043767306</v>
      </c>
      <c r="CN78" s="50">
        <f xml:space="preserve"> 'WK2014'!EG88</f>
        <v>10466.4713548</v>
      </c>
      <c r="CO78" s="50">
        <f xml:space="preserve"> 'WK2014'!EH88</f>
        <v>9286.6595363999986</v>
      </c>
      <c r="CP78" s="50">
        <f xml:space="preserve"> 'WK2014'!EK88</f>
        <v>10466.4713548</v>
      </c>
      <c r="CQ78" s="50">
        <f xml:space="preserve"> 'WK2014'!EL88</f>
        <v>9286.6595363999986</v>
      </c>
      <c r="CR78" s="50">
        <f xml:space="preserve"> 'WK2014'!EM88</f>
        <v>10466.4713548</v>
      </c>
      <c r="CS78" s="50">
        <f xml:space="preserve"> 'WK2014'!EN88</f>
        <v>9286.6595363999986</v>
      </c>
      <c r="CT78" s="61">
        <f xml:space="preserve"> 'WK2014'!EI88</f>
        <v>0.65915756676785653</v>
      </c>
      <c r="CV78" s="50">
        <f xml:space="preserve"> 'WK2014'!EU88</f>
        <v>8967.3195276999995</v>
      </c>
      <c r="CW78" s="50">
        <f xml:space="preserve"> 'WK2014'!EV88</f>
        <v>7402.5935526000003</v>
      </c>
      <c r="CX78" s="50">
        <f xml:space="preserve"> 'WK2014'!EY88</f>
        <v>8967.3195276999995</v>
      </c>
      <c r="CY78" s="50">
        <f xml:space="preserve"> 'WK2014'!EZ88</f>
        <v>7402.5935526000003</v>
      </c>
      <c r="CZ78" s="50">
        <f xml:space="preserve"> 'WK2014'!FA88</f>
        <v>8967.3195276999995</v>
      </c>
      <c r="DA78" s="50">
        <f xml:space="preserve"> 'WK2014'!FB88</f>
        <v>7402.5935526000003</v>
      </c>
      <c r="DB78" s="61">
        <f xml:space="preserve"> 'WK2014'!EW88</f>
        <v>0.64523999298252077</v>
      </c>
      <c r="DC78" s="1"/>
      <c r="DD78" s="50">
        <f xml:space="preserve"> 'WK2014'!FI88</f>
        <v>6547.8878599999998</v>
      </c>
      <c r="DE78" s="50">
        <f xml:space="preserve"> 'WK2014'!FJ88</f>
        <v>5776.8723332</v>
      </c>
      <c r="DF78" s="50">
        <f xml:space="preserve"> 'WK2014'!FM88</f>
        <v>6547.8878717712923</v>
      </c>
      <c r="DG78" s="50">
        <f xml:space="preserve"> 'WK2014'!FN88</f>
        <v>5776.8723221712926</v>
      </c>
      <c r="DH78" s="50">
        <f xml:space="preserve"> 'WK2014'!FO88</f>
        <v>6547.8878599999998</v>
      </c>
      <c r="DI78" s="50">
        <f xml:space="preserve"> 'WK2014'!FP88</f>
        <v>5776.8723104000001</v>
      </c>
      <c r="DJ78" s="61">
        <f xml:space="preserve"> 'WK2014'!FK88</f>
        <v>0.66190339350139482</v>
      </c>
      <c r="DK78" s="1"/>
      <c r="DL78" s="50">
        <f xml:space="preserve"> 'WK2014'!FW88</f>
        <v>768.07394880000015</v>
      </c>
      <c r="DM78" s="50">
        <f xml:space="preserve"> 'WK2014'!FX88</f>
        <v>757.37449440000012</v>
      </c>
      <c r="DN78" s="50">
        <f xml:space="preserve"> 'WK2014'!GA88</f>
        <v>768.07394880000015</v>
      </c>
      <c r="DO78" s="50">
        <f xml:space="preserve"> 'WK2014'!GB88</f>
        <v>757.37449440000012</v>
      </c>
      <c r="DP78" s="50">
        <f xml:space="preserve"> 'WK2014'!GC88</f>
        <v>768.07394880000015</v>
      </c>
      <c r="DQ78" s="50">
        <f xml:space="preserve"> 'WK2014'!GD88</f>
        <v>757.37449440000012</v>
      </c>
      <c r="DR78" s="61">
        <f xml:space="preserve"> 'WK2014'!FY88</f>
        <v>0.65403654566313496</v>
      </c>
      <c r="DS78" s="1"/>
      <c r="DT78" s="50">
        <f xml:space="preserve"> 'WK2014'!GK88</f>
        <v>1753.1974289999998</v>
      </c>
      <c r="DU78" s="50">
        <f xml:space="preserve"> 'WK2014'!GL88</f>
        <v>1547.9750894999997</v>
      </c>
      <c r="DV78" s="50">
        <f xml:space="preserve"> 'WK2014'!GO88</f>
        <v>1753.1974289999998</v>
      </c>
      <c r="DW78" s="50">
        <f xml:space="preserve"> 'WK2014'!GP88</f>
        <v>1547.9750894999997</v>
      </c>
      <c r="DX78" s="50">
        <f xml:space="preserve"> 'WK2014'!GQ88</f>
        <v>1753.1974289999998</v>
      </c>
      <c r="DY78" s="50">
        <f xml:space="preserve"> 'WK2014'!GR88</f>
        <v>1547.9750894999997</v>
      </c>
      <c r="DZ78" s="61">
        <f xml:space="preserve"> 'WK2014'!GM88</f>
        <v>0.67747503282471011</v>
      </c>
      <c r="ED78" s="50">
        <f xml:space="preserve"> 'WK2015'!EG88</f>
        <v>10064.962521800002</v>
      </c>
      <c r="EE78" s="50">
        <f xml:space="preserve"> 'WK2015'!EH88</f>
        <v>8646.8448434000002</v>
      </c>
      <c r="EF78" s="50">
        <f xml:space="preserve"> 'WK2015'!EK88</f>
        <v>10064.962521800002</v>
      </c>
      <c r="EG78" s="50">
        <f xml:space="preserve"> 'WK2015'!EL88</f>
        <v>8646.8448434000002</v>
      </c>
      <c r="EH78" s="50">
        <f xml:space="preserve"> 'WK2015'!EM88</f>
        <v>10064.962521800002</v>
      </c>
      <c r="EI78" s="50">
        <f xml:space="preserve"> 'WK2015'!EN88</f>
        <v>8646.8448434000002</v>
      </c>
      <c r="EJ78" s="61">
        <f xml:space="preserve"> 'WK2015'!EI88</f>
        <v>0.66960940239520117</v>
      </c>
      <c r="EK78" s="1"/>
      <c r="EL78" s="50">
        <f xml:space="preserve"> 'WK2015'!EU88</f>
        <v>9464.0692542000015</v>
      </c>
      <c r="EM78" s="50">
        <f xml:space="preserve"> 'WK2015'!EV88</f>
        <v>8167.0524576000016</v>
      </c>
      <c r="EN78" s="50">
        <f xml:space="preserve"> 'WK2015'!EY88</f>
        <v>9464.0692542000015</v>
      </c>
      <c r="EO78" s="50">
        <f xml:space="preserve"> 'WK2015'!EZ88</f>
        <v>8167.0524576000016</v>
      </c>
      <c r="EP78" s="50">
        <f xml:space="preserve"> 'WK2015'!FA88</f>
        <v>9464.0692542000015</v>
      </c>
      <c r="EQ78" s="50">
        <f xml:space="preserve"> 'WK2015'!FB88</f>
        <v>8167.0524576000016</v>
      </c>
      <c r="ER78" s="61">
        <f xml:space="preserve"> 'WK2015'!EW88</f>
        <v>0.67329049953350517</v>
      </c>
      <c r="ES78" s="1"/>
      <c r="ET78" s="50">
        <f xml:space="preserve"> 'WK2015'!FI88</f>
        <v>7707.1660619999993</v>
      </c>
      <c r="EU78" s="50">
        <f xml:space="preserve"> 'WK2015'!FJ88</f>
        <v>6817.0681012000005</v>
      </c>
      <c r="EV78" s="50">
        <f xml:space="preserve"> 'WK2015'!FM88</f>
        <v>7707.1660619999993</v>
      </c>
      <c r="EW78" s="50">
        <f xml:space="preserve"> 'WK2015'!FN88</f>
        <v>6817.0681012000005</v>
      </c>
      <c r="EX78" s="50">
        <f xml:space="preserve"> 'WK2015'!FO88</f>
        <v>7707.1660619999993</v>
      </c>
      <c r="EY78" s="50">
        <f xml:space="preserve"> 'WK2015'!FP88</f>
        <v>6817.0681012000005</v>
      </c>
      <c r="EZ78" s="61">
        <f xml:space="preserve"> 'WK2015'!FK88</f>
        <v>0.68241784839820308</v>
      </c>
      <c r="FA78" s="1"/>
      <c r="FB78" s="50">
        <f xml:space="preserve"> 'WK2015'!FW88</f>
        <v>803.08027680000009</v>
      </c>
      <c r="FC78" s="50">
        <f xml:space="preserve"> 'WK2015'!FX88</f>
        <v>800.69192239999995</v>
      </c>
      <c r="FD78" s="50">
        <f xml:space="preserve"> 'WK2015'!GA88</f>
        <v>803.08027680000009</v>
      </c>
      <c r="FE78" s="50">
        <f xml:space="preserve"> 'WK2015'!GB88</f>
        <v>800.69192239999995</v>
      </c>
      <c r="FF78" s="50">
        <f xml:space="preserve"> 'WK2015'!GC88</f>
        <v>803.08027680000009</v>
      </c>
      <c r="FG78" s="50">
        <f xml:space="preserve"> 'WK2015'!GD88</f>
        <v>800.69192239999995</v>
      </c>
      <c r="FH78" s="61">
        <f xml:space="preserve"> 'WK2015'!FY88</f>
        <v>0.67425368223372262</v>
      </c>
      <c r="FI78" s="1"/>
      <c r="FJ78" s="50">
        <f xml:space="preserve"> 'WK2015'!GK88</f>
        <v>1192.4144167500001</v>
      </c>
      <c r="FK78" s="50">
        <f xml:space="preserve"> 'WK2015'!GL88</f>
        <v>1132.5108480000004</v>
      </c>
      <c r="FL78" s="50">
        <f xml:space="preserve"> 'WK2015'!GO88</f>
        <v>1192.4144167500001</v>
      </c>
      <c r="FM78" s="50">
        <f xml:space="preserve"> 'WK2015'!GP88</f>
        <v>1132.5108480000004</v>
      </c>
      <c r="FN78" s="50">
        <f xml:space="preserve"> 'WK2015'!GQ88</f>
        <v>1192.4144167500001</v>
      </c>
      <c r="FO78" s="50">
        <f xml:space="preserve"> 'WK2015'!GR88</f>
        <v>1132.5108480000004</v>
      </c>
      <c r="FP78" s="61">
        <f xml:space="preserve"> 'WK2015'!GM88</f>
        <v>0.6819551445679235</v>
      </c>
      <c r="FS78" s="283">
        <f xml:space="preserve"> 'WK2015'!H88</f>
        <v>4866.9172399999998</v>
      </c>
      <c r="FT78" s="283">
        <f xml:space="preserve"> 'WK2015'!I88</f>
        <v>4348.6925700000002</v>
      </c>
      <c r="FU78" s="283">
        <f xml:space="preserve"> 'WK2015'!L88</f>
        <v>4866.9172399999998</v>
      </c>
      <c r="FV78" s="283">
        <f xml:space="preserve"> 'WK2015'!M88</f>
        <v>4348.6925700000002</v>
      </c>
      <c r="FW78" s="283">
        <f xml:space="preserve"> 'WK2015'!N88</f>
        <v>4866.9172399999998</v>
      </c>
      <c r="FX78" s="283">
        <f xml:space="preserve"> 'WK2015'!O88</f>
        <v>4348.6925700000002</v>
      </c>
      <c r="FY78" s="284">
        <f xml:space="preserve"> 'WK2015'!P88</f>
        <v>0.66673500157480903</v>
      </c>
      <c r="GA78" s="283">
        <f xml:space="preserve"> 'WK2015'!HB88</f>
        <v>4172.7182279999997</v>
      </c>
      <c r="GB78" s="283">
        <f xml:space="preserve"> 'WK2015'!HC88</f>
        <v>4046.4095809999999</v>
      </c>
      <c r="GC78" s="283">
        <f xml:space="preserve"> 'WK2015'!HF88</f>
        <v>4172.7182279999997</v>
      </c>
      <c r="GD78" s="283">
        <f xml:space="preserve"> 'WK2015'!HG88</f>
        <v>4046.4095809999999</v>
      </c>
      <c r="GE78" s="283">
        <f xml:space="preserve"> 'WK2015'!HH88</f>
        <v>4172.7182279999997</v>
      </c>
      <c r="GF78" s="283">
        <f xml:space="preserve"> 'WK2015'!HI88</f>
        <v>4046.4095809999999</v>
      </c>
      <c r="GG78" s="284">
        <f xml:space="preserve"> 'WK2015'!HJ88</f>
        <v>0.70840715734386805</v>
      </c>
      <c r="GI78" s="283">
        <f xml:space="preserve"> 'WK2015'!HQ88</f>
        <v>4428.1128500000004</v>
      </c>
      <c r="GJ78" s="283">
        <f xml:space="preserve"> 'WK2015'!HR88</f>
        <v>4275.6519960000005</v>
      </c>
      <c r="GK78" s="283">
        <f xml:space="preserve"> 'WK2015'!HU88</f>
        <v>4428.1128500000004</v>
      </c>
      <c r="GL78" s="283">
        <f xml:space="preserve"> 'WK2015'!HV88</f>
        <v>4275.6519960000005</v>
      </c>
      <c r="GM78" s="283">
        <f xml:space="preserve"> 'WK2015'!HW88</f>
        <v>4428.1128500000004</v>
      </c>
      <c r="GN78" s="283">
        <f xml:space="preserve"> 'WK2015'!HX88</f>
        <v>4275.6519960000005</v>
      </c>
      <c r="GO78" s="284">
        <f xml:space="preserve"> 'WK2015'!HY88</f>
        <v>0.6638177514792899</v>
      </c>
    </row>
    <row r="79" spans="1:197" x14ac:dyDescent="0.2">
      <c r="A79" s="3">
        <f>Basis!A79</f>
        <v>79</v>
      </c>
      <c r="D79" s="252" t="e">
        <v>#N/A</v>
      </c>
      <c r="E79" s="252" t="e">
        <v>#N/A</v>
      </c>
      <c r="H79" s="50">
        <f xml:space="preserve"> 'WK2012'!EG89</f>
        <v>9548.5721309063301</v>
      </c>
      <c r="I79" s="50">
        <f xml:space="preserve"> 'WK2012'!EH89</f>
        <v>8968.8398423927683</v>
      </c>
      <c r="J79" s="50">
        <f xml:space="preserve"> 'WK2012'!EK89</f>
        <v>9548.5772931648535</v>
      </c>
      <c r="K79" s="50">
        <f xml:space="preserve"> 'WK2012'!EL89</f>
        <v>8968.8334967125029</v>
      </c>
      <c r="L79" s="50">
        <f xml:space="preserve"> 'WK2012'!EM89</f>
        <v>9548.5721309063301</v>
      </c>
      <c r="M79" s="50">
        <f xml:space="preserve"> 'WK2012'!EN89</f>
        <v>8968.8283344539814</v>
      </c>
      <c r="N79" s="61">
        <f xml:space="preserve"> 'WK2012'!EI89</f>
        <v>0.62425691648396342</v>
      </c>
      <c r="P79" s="50">
        <f xml:space="preserve"> 'WK2012'!EU89</f>
        <v>9028.3017505799307</v>
      </c>
      <c r="Q79" s="50">
        <f xml:space="preserve"> 'WK2012'!EV89</f>
        <v>8227.9502975503437</v>
      </c>
      <c r="R79" s="50">
        <f xml:space="preserve"> 'WK2012'!EY89</f>
        <v>9028.3017505799307</v>
      </c>
      <c r="S79" s="50">
        <f xml:space="preserve"> 'WK2012'!EZ89</f>
        <v>8227.9502975503437</v>
      </c>
      <c r="T79" s="50">
        <f xml:space="preserve"> 'WK2012'!FA89</f>
        <v>9028.3017505799307</v>
      </c>
      <c r="U79" s="50">
        <f xml:space="preserve"> 'WK2012'!FB89</f>
        <v>8227.9502975503437</v>
      </c>
      <c r="V79" s="61">
        <f xml:space="preserve"> 'WK2012'!EW89</f>
        <v>0.64006040954566201</v>
      </c>
      <c r="X79" s="50">
        <f xml:space="preserve"> 'WK2012'!FI89</f>
        <v>6574.3315573737045</v>
      </c>
      <c r="Y79" s="50">
        <f xml:space="preserve"> 'WK2012'!FJ89</f>
        <v>5849.4910685026289</v>
      </c>
      <c r="Z79" s="50">
        <f xml:space="preserve"> 'WK2012'!FM89</f>
        <v>6574.3315573737045</v>
      </c>
      <c r="AA79" s="50">
        <f xml:space="preserve"> 'WK2012'!FN89</f>
        <v>5849.4910685026289</v>
      </c>
      <c r="AB79" s="50">
        <f xml:space="preserve"> 'WK2012'!FO89</f>
        <v>6574.3315573737045</v>
      </c>
      <c r="AC79" s="50">
        <f xml:space="preserve"> 'WK2012'!FP89</f>
        <v>5849.4910685026289</v>
      </c>
      <c r="AD79" s="61">
        <f xml:space="preserve"> 'WK2012'!FK89</f>
        <v>0.64545207447225572</v>
      </c>
      <c r="AF79" s="50">
        <f xml:space="preserve"> 'WK2012'!FW89</f>
        <v>1195.0372245142639</v>
      </c>
      <c r="AG79" s="50">
        <f xml:space="preserve"> 'WK2012'!FX89</f>
        <v>858.86069804232829</v>
      </c>
      <c r="AH79" s="50">
        <f xml:space="preserve"> 'WK2012'!GA89</f>
        <v>1195.0418705469338</v>
      </c>
      <c r="AI79" s="50">
        <f xml:space="preserve"> 'WK2012'!GB89</f>
        <v>858.85498693009015</v>
      </c>
      <c r="AJ79" s="50">
        <f xml:space="preserve"> 'WK2012'!GC89</f>
        <v>1195.0372245142639</v>
      </c>
      <c r="AK79" s="50">
        <f xml:space="preserve"> 'WK2012'!GD89</f>
        <v>858.85034089742044</v>
      </c>
      <c r="AL79" s="61">
        <f xml:space="preserve"> 'WK2012'!FY89</f>
        <v>0.65407315311646774</v>
      </c>
      <c r="AN79" s="50">
        <f xml:space="preserve"> 'WK2012'!GK89</f>
        <v>532.88631726240442</v>
      </c>
      <c r="AO79" s="50">
        <f xml:space="preserve"> 'WK2012'!GL89</f>
        <v>507.17580457319946</v>
      </c>
      <c r="AP79" s="50">
        <f xml:space="preserve"> 'WK2012'!GO89</f>
        <v>532.88631726240442</v>
      </c>
      <c r="AQ79" s="50">
        <f xml:space="preserve"> 'WK2012'!GP89</f>
        <v>507.17580457319946</v>
      </c>
      <c r="AR79" s="50">
        <f xml:space="preserve"> 'WK2012'!GQ89</f>
        <v>532.88631726240442</v>
      </c>
      <c r="AS79" s="50">
        <f xml:space="preserve"> 'WK2012'!GR89</f>
        <v>507.17580457319946</v>
      </c>
      <c r="AT79" s="61">
        <f xml:space="preserve"> 'WK2012'!GM89</f>
        <v>0.63300672216059817</v>
      </c>
      <c r="AX79" s="50">
        <f xml:space="preserve"> 'WK2013'!EG89</f>
        <v>10752.2279366</v>
      </c>
      <c r="AY79" s="50">
        <f xml:space="preserve"> 'WK2013'!EH89</f>
        <v>9519.5058737999989</v>
      </c>
      <c r="AZ79" s="50">
        <f xml:space="preserve"> 'WK2013'!EK89</f>
        <v>10752.2279366</v>
      </c>
      <c r="BA79" s="50">
        <f xml:space="preserve"> 'WK2013'!EL89</f>
        <v>9519.5058737999989</v>
      </c>
      <c r="BB79" s="50">
        <f xml:space="preserve"> 'WK2013'!EM89</f>
        <v>10752.2279366</v>
      </c>
      <c r="BC79" s="50">
        <f xml:space="preserve"> 'WK2013'!EN89</f>
        <v>9519.5058737999989</v>
      </c>
      <c r="BD79" s="61">
        <f xml:space="preserve"> 'WK2013'!EI89</f>
        <v>0.62574389823504162</v>
      </c>
      <c r="BF79" s="50">
        <f xml:space="preserve"> 'WK2013'!EU89</f>
        <v>9906.4516644000014</v>
      </c>
      <c r="BG79" s="50">
        <f xml:space="preserve"> 'WK2013'!EV89</f>
        <v>8519.6310111999992</v>
      </c>
      <c r="BH79" s="50">
        <f xml:space="preserve"> 'WK2013'!EY89</f>
        <v>9906.4516644000014</v>
      </c>
      <c r="BI79" s="50">
        <f xml:space="preserve"> 'WK2013'!EZ89</f>
        <v>8519.6310111999992</v>
      </c>
      <c r="BJ79" s="50">
        <f xml:space="preserve"> 'WK2013'!FA89</f>
        <v>9906.4516644000014</v>
      </c>
      <c r="BK79" s="50">
        <f xml:space="preserve"> 'WK2013'!FB89</f>
        <v>8519.6310111999992</v>
      </c>
      <c r="BL79" s="61">
        <f xml:space="preserve"> 'WK2013'!EW89</f>
        <v>0.63935100828399327</v>
      </c>
      <c r="BN79" s="50">
        <f xml:space="preserve"> 'WK2013'!FI89</f>
        <v>7462.6157549999998</v>
      </c>
      <c r="BO79" s="50">
        <f xml:space="preserve"> 'WK2013'!FJ89</f>
        <v>6552.813466999999</v>
      </c>
      <c r="BP79" s="50">
        <f xml:space="preserve"> 'WK2013'!FM89</f>
        <v>7462.6157549999998</v>
      </c>
      <c r="BQ79" s="50">
        <f xml:space="preserve"> 'WK2013'!FN89</f>
        <v>6552.813466999999</v>
      </c>
      <c r="BR79" s="50">
        <f xml:space="preserve"> 'WK2013'!FO89</f>
        <v>7462.6157549999998</v>
      </c>
      <c r="BS79" s="50">
        <f xml:space="preserve"> 'WK2013'!FP89</f>
        <v>6552.813466999999</v>
      </c>
      <c r="BT79" s="61">
        <f xml:space="preserve"> 'WK2013'!FK89</f>
        <v>0.63965609794717748</v>
      </c>
      <c r="BV79" s="50">
        <f xml:space="preserve"> 'WK2013'!FW89</f>
        <v>763.43267659999992</v>
      </c>
      <c r="BW79" s="50">
        <f xml:space="preserve"> 'WK2013'!FX89</f>
        <v>735.88159680000001</v>
      </c>
      <c r="BX79" s="50">
        <f xml:space="preserve"> 'WK2013'!GA89</f>
        <v>763.43267659999992</v>
      </c>
      <c r="BY79" s="50">
        <f xml:space="preserve"> 'WK2013'!GB89</f>
        <v>735.88159680000001</v>
      </c>
      <c r="BZ79" s="50">
        <f xml:space="preserve"> 'WK2013'!GC89</f>
        <v>763.43267659999992</v>
      </c>
      <c r="CA79" s="50">
        <f xml:space="preserve"> 'WK2013'!GD89</f>
        <v>735.88159680000001</v>
      </c>
      <c r="CB79" s="61">
        <f xml:space="preserve"> 'WK2013'!FY89</f>
        <v>0.6365560234812625</v>
      </c>
      <c r="CD79" s="50">
        <f xml:space="preserve"> 'WK2013'!GK89</f>
        <v>1256.8634085000003</v>
      </c>
      <c r="CE79" s="50">
        <f xml:space="preserve"> 'WK2013'!GL89</f>
        <v>1078.4633512500002</v>
      </c>
      <c r="CF79" s="50">
        <f xml:space="preserve"> 'WK2013'!GO89</f>
        <v>1256.8634085000003</v>
      </c>
      <c r="CG79" s="50">
        <f xml:space="preserve"> 'WK2013'!GP89</f>
        <v>1078.4633512500002</v>
      </c>
      <c r="CH79" s="50">
        <f xml:space="preserve"> 'WK2013'!GQ89</f>
        <v>1256.8634085000003</v>
      </c>
      <c r="CI79" s="50">
        <f xml:space="preserve"> 'WK2013'!GR89</f>
        <v>1078.4633512500002</v>
      </c>
      <c r="CJ79" s="61">
        <f xml:space="preserve"> 'WK2013'!GM89</f>
        <v>0.65882887363557785</v>
      </c>
      <c r="CN79" s="50">
        <f xml:space="preserve"> 'WK2014'!EG89</f>
        <v>10814.126492399999</v>
      </c>
      <c r="CO79" s="50">
        <f xml:space="preserve"> 'WK2014'!EH89</f>
        <v>9559.1649780000007</v>
      </c>
      <c r="CP79" s="50">
        <f xml:space="preserve"> 'WK2014'!EK89</f>
        <v>10814.126492399999</v>
      </c>
      <c r="CQ79" s="50">
        <f xml:space="preserve"> 'WK2014'!EL89</f>
        <v>9559.1649780000007</v>
      </c>
      <c r="CR79" s="50">
        <f xml:space="preserve"> 'WK2014'!EM89</f>
        <v>10814.126492399999</v>
      </c>
      <c r="CS79" s="50">
        <f xml:space="preserve"> 'WK2014'!EN89</f>
        <v>9559.1649780000007</v>
      </c>
      <c r="CT79" s="61">
        <f xml:space="preserve"> 'WK2014'!EI89</f>
        <v>0.63594641571420707</v>
      </c>
      <c r="CV79" s="50">
        <f xml:space="preserve"> 'WK2014'!EU89</f>
        <v>9249.6268075999997</v>
      </c>
      <c r="CW79" s="50">
        <f xml:space="preserve"> 'WK2014'!EV89</f>
        <v>7563.8382589999992</v>
      </c>
      <c r="CX79" s="50">
        <f xml:space="preserve"> 'WK2014'!EY89</f>
        <v>9249.6268075999997</v>
      </c>
      <c r="CY79" s="50">
        <f xml:space="preserve"> 'WK2014'!EZ89</f>
        <v>7563.8382589999992</v>
      </c>
      <c r="CZ79" s="50">
        <f xml:space="preserve"> 'WK2014'!FA89</f>
        <v>9249.6268075999997</v>
      </c>
      <c r="DA79" s="50">
        <f xml:space="preserve"> 'WK2014'!FB89</f>
        <v>7563.8382589999992</v>
      </c>
      <c r="DB79" s="61">
        <f xml:space="preserve"> 'WK2014'!EW89</f>
        <v>0.62180855589887341</v>
      </c>
      <c r="DC79" s="1"/>
      <c r="DD79" s="50">
        <f xml:space="preserve"> 'WK2014'!FI89</f>
        <v>6779.2563991999996</v>
      </c>
      <c r="DE79" s="50">
        <f xml:space="preserve"> 'WK2014'!FJ89</f>
        <v>5955.1539401999999</v>
      </c>
      <c r="DF79" s="50">
        <f xml:space="preserve"> 'WK2014'!FM89</f>
        <v>6779.2564108244205</v>
      </c>
      <c r="DG79" s="50">
        <f xml:space="preserve"> 'WK2014'!FN89</f>
        <v>5955.15392902442</v>
      </c>
      <c r="DH79" s="50">
        <f xml:space="preserve"> 'WK2014'!FO89</f>
        <v>6779.2563991999996</v>
      </c>
      <c r="DI79" s="50">
        <f xml:space="preserve"> 'WK2014'!FP89</f>
        <v>5955.1539174</v>
      </c>
      <c r="DJ79" s="61">
        <f xml:space="preserve"> 'WK2014'!FK89</f>
        <v>0.63346617440131403</v>
      </c>
      <c r="DK79" s="1"/>
      <c r="DL79" s="50">
        <f xml:space="preserve"> 'WK2014'!FW89</f>
        <v>751.03550640000003</v>
      </c>
      <c r="DM79" s="50">
        <f xml:space="preserve"> 'WK2014'!FX89</f>
        <v>728.77705200000014</v>
      </c>
      <c r="DN79" s="50">
        <f xml:space="preserve"> 'WK2014'!GA89</f>
        <v>751.03550640000003</v>
      </c>
      <c r="DO79" s="50">
        <f xml:space="preserve"> 'WK2014'!GB89</f>
        <v>728.77705200000014</v>
      </c>
      <c r="DP79" s="50">
        <f xml:space="preserve"> 'WK2014'!GC89</f>
        <v>751.03550640000003</v>
      </c>
      <c r="DQ79" s="50">
        <f xml:space="preserve"> 'WK2014'!GD89</f>
        <v>728.77705200000014</v>
      </c>
      <c r="DR79" s="61">
        <f xml:space="preserve"> 'WK2014'!FY89</f>
        <v>0.63055462260465889</v>
      </c>
      <c r="DS79" s="1"/>
      <c r="DT79" s="50">
        <f xml:space="preserve"> 'WK2014'!GK89</f>
        <v>1862.9515109999998</v>
      </c>
      <c r="DU79" s="50">
        <f xml:space="preserve"> 'WK2014'!GL89</f>
        <v>1623.3921915000001</v>
      </c>
      <c r="DV79" s="50">
        <f xml:space="preserve"> 'WK2014'!GO89</f>
        <v>1862.9515109999998</v>
      </c>
      <c r="DW79" s="50">
        <f xml:space="preserve"> 'WK2014'!GP89</f>
        <v>1623.3921915000001</v>
      </c>
      <c r="DX79" s="50">
        <f xml:space="preserve"> 'WK2014'!GQ89</f>
        <v>1862.9515109999998</v>
      </c>
      <c r="DY79" s="50">
        <f xml:space="preserve"> 'WK2014'!GR89</f>
        <v>1623.3921915000001</v>
      </c>
      <c r="DZ79" s="61">
        <f xml:space="preserve"> 'WK2014'!GM89</f>
        <v>0.65340756263610222</v>
      </c>
      <c r="ED79" s="50">
        <f xml:space="preserve"> 'WK2015'!EG89</f>
        <v>10401.563736199998</v>
      </c>
      <c r="EE79" s="50">
        <f xml:space="preserve"> 'WK2015'!EH89</f>
        <v>8915.8884939999989</v>
      </c>
      <c r="EF79" s="50">
        <f xml:space="preserve"> 'WK2015'!EK89</f>
        <v>10401.563736199998</v>
      </c>
      <c r="EG79" s="50">
        <f xml:space="preserve"> 'WK2015'!EL89</f>
        <v>8915.8884939999989</v>
      </c>
      <c r="EH79" s="50">
        <f xml:space="preserve"> 'WK2015'!EM89</f>
        <v>10401.563736199998</v>
      </c>
      <c r="EI79" s="50">
        <f xml:space="preserve"> 'WK2015'!EN89</f>
        <v>8915.8884939999989</v>
      </c>
      <c r="EJ79" s="61">
        <f xml:space="preserve"> 'WK2015'!EI89</f>
        <v>0.67147727221739928</v>
      </c>
      <c r="EK79" s="1"/>
      <c r="EL79" s="50">
        <f xml:space="preserve"> 'WK2015'!EU89</f>
        <v>9823.3779073000005</v>
      </c>
      <c r="EM79" s="50">
        <f xml:space="preserve"> 'WK2015'!EV89</f>
        <v>8393.2313650000015</v>
      </c>
      <c r="EN79" s="50">
        <f xml:space="preserve"> 'WK2015'!EY89</f>
        <v>9823.3779073000005</v>
      </c>
      <c r="EO79" s="50">
        <f xml:space="preserve"> 'WK2015'!EZ89</f>
        <v>8393.2313650000015</v>
      </c>
      <c r="EP79" s="50">
        <f xml:space="preserve"> 'WK2015'!FA89</f>
        <v>9823.3779073000005</v>
      </c>
      <c r="EQ79" s="50">
        <f xml:space="preserve"> 'WK2015'!FB89</f>
        <v>8393.2313650000015</v>
      </c>
      <c r="ER79" s="61">
        <f xml:space="preserve"> 'WK2015'!EW89</f>
        <v>0.66954225786882204</v>
      </c>
      <c r="ES79" s="1"/>
      <c r="ET79" s="50">
        <f xml:space="preserve"> 'WK2015'!FI89</f>
        <v>7972.2075941999992</v>
      </c>
      <c r="EU79" s="50">
        <f xml:space="preserve"> 'WK2015'!FJ89</f>
        <v>7020.4193264000005</v>
      </c>
      <c r="EV79" s="50">
        <f xml:space="preserve"> 'WK2015'!FM89</f>
        <v>7972.2075941999992</v>
      </c>
      <c r="EW79" s="50">
        <f xml:space="preserve"> 'WK2015'!FN89</f>
        <v>7020.4193264000005</v>
      </c>
      <c r="EX79" s="50">
        <f xml:space="preserve"> 'WK2015'!FO89</f>
        <v>7972.2075941999992</v>
      </c>
      <c r="EY79" s="50">
        <f xml:space="preserve"> 'WK2015'!FP89</f>
        <v>7020.4193264000005</v>
      </c>
      <c r="EZ79" s="61">
        <f xml:space="preserve"> 'WK2015'!FK89</f>
        <v>0.68359071837930285</v>
      </c>
      <c r="FA79" s="1"/>
      <c r="FB79" s="50">
        <f xml:space="preserve"> 'WK2015'!FW89</f>
        <v>791.3955512</v>
      </c>
      <c r="FC79" s="50">
        <f xml:space="preserve"> 'WK2015'!FX89</f>
        <v>776.04912000000002</v>
      </c>
      <c r="FD79" s="50">
        <f xml:space="preserve"> 'WK2015'!GA89</f>
        <v>791.3955512</v>
      </c>
      <c r="FE79" s="50">
        <f xml:space="preserve"> 'WK2015'!GB89</f>
        <v>776.04912000000002</v>
      </c>
      <c r="FF79" s="50">
        <f xml:space="preserve"> 'WK2015'!GC89</f>
        <v>791.3955512</v>
      </c>
      <c r="FG79" s="50">
        <f xml:space="preserve"> 'WK2015'!GD89</f>
        <v>776.04912000000002</v>
      </c>
      <c r="FH79" s="61">
        <f xml:space="preserve"> 'WK2015'!FY89</f>
        <v>0.67143065370461896</v>
      </c>
      <c r="FI79" s="1"/>
      <c r="FJ79" s="50">
        <f xml:space="preserve"> 'WK2015'!GK89</f>
        <v>1273.6463692499999</v>
      </c>
      <c r="FK79" s="50">
        <f xml:space="preserve"> 'WK2015'!GL89</f>
        <v>1194.6799597499999</v>
      </c>
      <c r="FL79" s="50">
        <f xml:space="preserve"> 'WK2015'!GO89</f>
        <v>1273.6463692499999</v>
      </c>
      <c r="FM79" s="50">
        <f xml:space="preserve"> 'WK2015'!GP89</f>
        <v>1194.6799597499999</v>
      </c>
      <c r="FN79" s="50">
        <f xml:space="preserve"> 'WK2015'!GQ89</f>
        <v>1273.6463692499999</v>
      </c>
      <c r="FO79" s="50">
        <f xml:space="preserve"> 'WK2015'!GR89</f>
        <v>1194.6799597499999</v>
      </c>
      <c r="FP79" s="61">
        <f xml:space="preserve"> 'WK2015'!GM89</f>
        <v>0.68424715519467938</v>
      </c>
      <c r="FS79" s="283">
        <f xml:space="preserve"> 'WK2015'!H89</f>
        <v>5002.0214699999997</v>
      </c>
      <c r="FT79" s="283">
        <f xml:space="preserve"> 'WK2015'!I89</f>
        <v>4458.2432259999996</v>
      </c>
      <c r="FU79" s="283">
        <f xml:space="preserve"> 'WK2015'!L89</f>
        <v>5002.0214699999997</v>
      </c>
      <c r="FV79" s="283">
        <f xml:space="preserve"> 'WK2015'!M89</f>
        <v>4458.2432259999996</v>
      </c>
      <c r="FW79" s="283">
        <f xml:space="preserve"> 'WK2015'!N89</f>
        <v>5002.0214699999997</v>
      </c>
      <c r="FX79" s="283">
        <f xml:space="preserve"> 'WK2015'!O89</f>
        <v>4458.2432259999996</v>
      </c>
      <c r="FY79" s="284">
        <f xml:space="preserve"> 'WK2015'!P89</f>
        <v>0.68367895410310897</v>
      </c>
      <c r="GA79" s="283">
        <f xml:space="preserve"> 'WK2015'!HB89</f>
        <v>4359.0495510000001</v>
      </c>
      <c r="GB79" s="283">
        <f xml:space="preserve"> 'WK2015'!HC89</f>
        <v>4162.5023359999996</v>
      </c>
      <c r="GC79" s="283">
        <f xml:space="preserve"> 'WK2015'!HF89</f>
        <v>4359.0495510000001</v>
      </c>
      <c r="GD79" s="283">
        <f xml:space="preserve"> 'WK2015'!HG89</f>
        <v>4162.5023359999996</v>
      </c>
      <c r="GE79" s="283">
        <f xml:space="preserve"> 'WK2015'!HH89</f>
        <v>4359.0495510000001</v>
      </c>
      <c r="GF79" s="283">
        <f xml:space="preserve"> 'WK2015'!HI89</f>
        <v>4162.5023359999996</v>
      </c>
      <c r="GG79" s="284">
        <f xml:space="preserve"> 'WK2015'!HJ89</f>
        <v>0.69112268267399535</v>
      </c>
      <c r="GI79" s="283">
        <f xml:space="preserve"> 'WK2015'!HQ89</f>
        <v>4577.8254899999993</v>
      </c>
      <c r="GJ79" s="283">
        <f xml:space="preserve"> 'WK2015'!HR89</f>
        <v>4350.8784059999998</v>
      </c>
      <c r="GK79" s="283">
        <f xml:space="preserve"> 'WK2015'!HU89</f>
        <v>4577.8254899999993</v>
      </c>
      <c r="GL79" s="283">
        <f xml:space="preserve"> 'WK2015'!HV89</f>
        <v>4350.8784059999998</v>
      </c>
      <c r="GM79" s="283">
        <f xml:space="preserve"> 'WK2015'!HW89</f>
        <v>4577.8254899999993</v>
      </c>
      <c r="GN79" s="283">
        <f xml:space="preserve"> 'WK2015'!HX89</f>
        <v>4350.8784059999998</v>
      </c>
      <c r="GO79" s="284">
        <f xml:space="preserve"> 'WK2015'!HY89</f>
        <v>0.68039830460034278</v>
      </c>
    </row>
    <row r="80" spans="1:197" x14ac:dyDescent="0.2">
      <c r="A80" s="3">
        <f>Basis!A80</f>
        <v>80</v>
      </c>
      <c r="D80" s="252" t="e">
        <v>#N/A</v>
      </c>
      <c r="E80" s="252" t="e">
        <v>#N/A</v>
      </c>
      <c r="H80" s="50">
        <f xml:space="preserve"> 'WK2012'!EG90</f>
        <v>9826.6807194735757</v>
      </c>
      <c r="I80" s="50">
        <f xml:space="preserve"> 'WK2012'!EH90</f>
        <v>9122.3346899367389</v>
      </c>
      <c r="J80" s="50">
        <f xml:space="preserve"> 'WK2012'!EK90</f>
        <v>9826.6807194735757</v>
      </c>
      <c r="K80" s="50">
        <f xml:space="preserve"> 'WK2012'!EL90</f>
        <v>9122.3346899367389</v>
      </c>
      <c r="L80" s="50">
        <f xml:space="preserve"> 'WK2012'!EM90</f>
        <v>9826.6807194735757</v>
      </c>
      <c r="M80" s="50">
        <f xml:space="preserve"> 'WK2012'!EN90</f>
        <v>9122.3346899367389</v>
      </c>
      <c r="N80" s="61">
        <f xml:space="preserve"> 'WK2012'!EI90</f>
        <v>0.61083575052800088</v>
      </c>
      <c r="P80" s="50">
        <f xml:space="preserve"> 'WK2012'!EU90</f>
        <v>9232.2418924728026</v>
      </c>
      <c r="Q80" s="50">
        <f xml:space="preserve"> 'WK2012'!EV90</f>
        <v>8400.2275021631904</v>
      </c>
      <c r="R80" s="50">
        <f xml:space="preserve"> 'WK2012'!EY90</f>
        <v>9232.2418924728026</v>
      </c>
      <c r="S80" s="50">
        <f xml:space="preserve"> 'WK2012'!EZ90</f>
        <v>8400.2275021631904</v>
      </c>
      <c r="T80" s="50">
        <f xml:space="preserve"> 'WK2012'!FA90</f>
        <v>9232.2418924728026</v>
      </c>
      <c r="U80" s="50">
        <f xml:space="preserve"> 'WK2012'!FB90</f>
        <v>8400.2275021631904</v>
      </c>
      <c r="V80" s="61">
        <f xml:space="preserve"> 'WK2012'!EW90</f>
        <v>0.62450058714342815</v>
      </c>
      <c r="X80" s="50">
        <f xml:space="preserve"> 'WK2012'!FI90</f>
        <v>6728.9116201138113</v>
      </c>
      <c r="Y80" s="50">
        <f xml:space="preserve"> 'WK2012'!FJ90</f>
        <v>5988.099736676706</v>
      </c>
      <c r="Z80" s="50">
        <f xml:space="preserve"> 'WK2012'!FM90</f>
        <v>6728.9116201138113</v>
      </c>
      <c r="AA80" s="50">
        <f xml:space="preserve"> 'WK2012'!FN90</f>
        <v>5988.099736676706</v>
      </c>
      <c r="AB80" s="50">
        <f xml:space="preserve"> 'WK2012'!FO90</f>
        <v>6728.9116201138113</v>
      </c>
      <c r="AC80" s="50">
        <f xml:space="preserve"> 'WK2012'!FP90</f>
        <v>5988.099736676706</v>
      </c>
      <c r="AD80" s="61">
        <f xml:space="preserve"> 'WK2012'!FK90</f>
        <v>0.63449443452718413</v>
      </c>
      <c r="AF80" s="50">
        <f xml:space="preserve"> 'WK2012'!FW90</f>
        <v>1304.421467719176</v>
      </c>
      <c r="AG80" s="50">
        <f xml:space="preserve"> 'WK2012'!FX90</f>
        <v>886.59068411307578</v>
      </c>
      <c r="AH80" s="50">
        <f xml:space="preserve"> 'WK2012'!GA90</f>
        <v>1304.421467719176</v>
      </c>
      <c r="AI80" s="50">
        <f xml:space="preserve"> 'WK2012'!GB90</f>
        <v>886.59068411307578</v>
      </c>
      <c r="AJ80" s="50">
        <f xml:space="preserve"> 'WK2012'!GC90</f>
        <v>1304.421467719176</v>
      </c>
      <c r="AK80" s="50">
        <f xml:space="preserve"> 'WK2012'!GD90</f>
        <v>886.59068411307578</v>
      </c>
      <c r="AL80" s="61">
        <f xml:space="preserve"> 'WK2012'!FY90</f>
        <v>0.62464829990524895</v>
      </c>
      <c r="AN80" s="50">
        <f xml:space="preserve"> 'WK2012'!GK90</f>
        <v>516.30630793899536</v>
      </c>
      <c r="AO80" s="50">
        <f xml:space="preserve"> 'WK2012'!GL90</f>
        <v>484.87155343978907</v>
      </c>
      <c r="AP80" s="50">
        <f xml:space="preserve"> 'WK2012'!GO90</f>
        <v>516.30630793899536</v>
      </c>
      <c r="AQ80" s="50">
        <f xml:space="preserve"> 'WK2012'!GP90</f>
        <v>484.87155343978907</v>
      </c>
      <c r="AR80" s="50">
        <f xml:space="preserve"> 'WK2012'!GQ90</f>
        <v>516.30630793899536</v>
      </c>
      <c r="AS80" s="50">
        <f xml:space="preserve"> 'WK2012'!GR90</f>
        <v>484.87155343978907</v>
      </c>
      <c r="AT80" s="61">
        <f xml:space="preserve"> 'WK2012'!GM90</f>
        <v>0.62322561122256193</v>
      </c>
      <c r="AX80" s="50">
        <f xml:space="preserve"> 'WK2013'!EG90</f>
        <v>11072.147393200001</v>
      </c>
      <c r="AY80" s="50">
        <f xml:space="preserve"> 'WK2013'!EH90</f>
        <v>9756.9115804000012</v>
      </c>
      <c r="AZ80" s="50">
        <f xml:space="preserve"> 'WK2013'!EK90</f>
        <v>11072.147393200001</v>
      </c>
      <c r="BA80" s="50">
        <f xml:space="preserve"> 'WK2013'!EL90</f>
        <v>9756.9115804000012</v>
      </c>
      <c r="BB80" s="50">
        <f xml:space="preserve"> 'WK2013'!EM90</f>
        <v>11072.147393200001</v>
      </c>
      <c r="BC80" s="50">
        <f xml:space="preserve"> 'WK2013'!EN90</f>
        <v>9756.9115804000012</v>
      </c>
      <c r="BD80" s="61">
        <f xml:space="preserve"> 'WK2013'!EI90</f>
        <v>0.60880479542362476</v>
      </c>
      <c r="BF80" s="50">
        <f xml:space="preserve"> 'WK2013'!EU90</f>
        <v>10203.4261133</v>
      </c>
      <c r="BG80" s="50">
        <f xml:space="preserve"> 'WK2013'!EV90</f>
        <v>8702.4937055999999</v>
      </c>
      <c r="BH80" s="50">
        <f xml:space="preserve"> 'WK2013'!EY90</f>
        <v>10203.4261133</v>
      </c>
      <c r="BI80" s="50">
        <f xml:space="preserve"> 'WK2013'!EZ90</f>
        <v>8702.4937055999999</v>
      </c>
      <c r="BJ80" s="50">
        <f xml:space="preserve"> 'WK2013'!FA90</f>
        <v>10203.4261133</v>
      </c>
      <c r="BK80" s="50">
        <f xml:space="preserve"> 'WK2013'!FB90</f>
        <v>8702.4937055999999</v>
      </c>
      <c r="BL80" s="61">
        <f xml:space="preserve"> 'WK2013'!EW90</f>
        <v>0.62383485439355812</v>
      </c>
      <c r="BN80" s="50">
        <f xml:space="preserve"> 'WK2013'!FI90</f>
        <v>7692.0676634000001</v>
      </c>
      <c r="BO80" s="50">
        <f xml:space="preserve"> 'WK2013'!FJ90</f>
        <v>6743.5275633999991</v>
      </c>
      <c r="BP80" s="50">
        <f xml:space="preserve"> 'WK2013'!FM90</f>
        <v>7692.0676634000001</v>
      </c>
      <c r="BQ80" s="50">
        <f xml:space="preserve"> 'WK2013'!FN90</f>
        <v>6743.5275633999991</v>
      </c>
      <c r="BR80" s="50">
        <f xml:space="preserve"> 'WK2013'!FO90</f>
        <v>7692.0676634000001</v>
      </c>
      <c r="BS80" s="50">
        <f xml:space="preserve"> 'WK2013'!FP90</f>
        <v>6743.5275633999991</v>
      </c>
      <c r="BT80" s="61">
        <f xml:space="preserve"> 'WK2013'!FK90</f>
        <v>0.6357100636031614</v>
      </c>
      <c r="BV80" s="50">
        <f xml:space="preserve"> 'WK2013'!FW90</f>
        <v>741.09513219999997</v>
      </c>
      <c r="BW80" s="50">
        <f xml:space="preserve"> 'WK2013'!FX90</f>
        <v>703.49280440000007</v>
      </c>
      <c r="BX80" s="50">
        <f xml:space="preserve"> 'WK2013'!GA90</f>
        <v>741.09513219999997</v>
      </c>
      <c r="BY80" s="50">
        <f xml:space="preserve"> 'WK2013'!GB90</f>
        <v>703.49280440000007</v>
      </c>
      <c r="BZ80" s="50">
        <f xml:space="preserve"> 'WK2013'!GC90</f>
        <v>741.09513219999997</v>
      </c>
      <c r="CA80" s="50">
        <f xml:space="preserve"> 'WK2013'!GD90</f>
        <v>703.49280440000007</v>
      </c>
      <c r="CB80" s="61">
        <f xml:space="preserve"> 'WK2013'!FY90</f>
        <v>0.62507299646004832</v>
      </c>
      <c r="CD80" s="50">
        <f xml:space="preserve"> 'WK2013'!GK90</f>
        <v>1342.3536322500004</v>
      </c>
      <c r="CE80" s="50">
        <f xml:space="preserve"> 'WK2013'!GL90</f>
        <v>1134.5213272500005</v>
      </c>
      <c r="CF80" s="50">
        <f xml:space="preserve"> 'WK2013'!GO90</f>
        <v>1342.3536322500004</v>
      </c>
      <c r="CG80" s="50">
        <f xml:space="preserve"> 'WK2013'!GP90</f>
        <v>1134.5213272500005</v>
      </c>
      <c r="CH80" s="50">
        <f xml:space="preserve"> 'WK2013'!GQ90</f>
        <v>1342.3536322500004</v>
      </c>
      <c r="CI80" s="50">
        <f xml:space="preserve"> 'WK2013'!GR90</f>
        <v>1134.5213272500005</v>
      </c>
      <c r="CJ80" s="61">
        <f xml:space="preserve"> 'WK2013'!GM90</f>
        <v>0.65383407431183327</v>
      </c>
      <c r="CN80" s="50">
        <f xml:space="preserve"> 'WK2014'!EG90</f>
        <v>11143.576842</v>
      </c>
      <c r="CO80" s="50">
        <f xml:space="preserve"> 'WK2014'!EH90</f>
        <v>9815.6030587999994</v>
      </c>
      <c r="CP80" s="50">
        <f xml:space="preserve"> 'WK2014'!EK90</f>
        <v>11143.576842</v>
      </c>
      <c r="CQ80" s="50">
        <f xml:space="preserve"> 'WK2014'!EL90</f>
        <v>9815.6030587999994</v>
      </c>
      <c r="CR80" s="50">
        <f xml:space="preserve"> 'WK2014'!EM90</f>
        <v>11143.576842</v>
      </c>
      <c r="CS80" s="50">
        <f xml:space="preserve"> 'WK2014'!EN90</f>
        <v>9815.6030587999994</v>
      </c>
      <c r="CT80" s="61">
        <f xml:space="preserve"> 'WK2014'!EI90</f>
        <v>0.63542813031048517</v>
      </c>
      <c r="CV80" s="50">
        <f xml:space="preserve"> 'WK2014'!EU90</f>
        <v>9509.5293775000009</v>
      </c>
      <c r="CW80" s="50">
        <f xml:space="preserve"> 'WK2014'!EV90</f>
        <v>7707.9185622000005</v>
      </c>
      <c r="CX80" s="50">
        <f xml:space="preserve"> 'WK2014'!EY90</f>
        <v>9509.5293775000009</v>
      </c>
      <c r="CY80" s="50">
        <f xml:space="preserve"> 'WK2014'!EZ90</f>
        <v>7707.9185622000005</v>
      </c>
      <c r="CZ80" s="50">
        <f xml:space="preserve"> 'WK2014'!FA90</f>
        <v>9509.5293775000009</v>
      </c>
      <c r="DA80" s="50">
        <f xml:space="preserve"> 'WK2014'!FB90</f>
        <v>7707.9185622000005</v>
      </c>
      <c r="DB80" s="61">
        <f xml:space="preserve"> 'WK2014'!EW90</f>
        <v>0.62427968995950178</v>
      </c>
      <c r="DC80" s="1"/>
      <c r="DD80" s="50">
        <f xml:space="preserve"> 'WK2014'!FI90</f>
        <v>7007.7925728</v>
      </c>
      <c r="DE80" s="50">
        <f xml:space="preserve"> 'WK2014'!FJ90</f>
        <v>6125.2488313999993</v>
      </c>
      <c r="DF80" s="50">
        <f xml:space="preserve"> 'WK2014'!FM90</f>
        <v>7007.7925842626028</v>
      </c>
      <c r="DG80" s="50">
        <f xml:space="preserve"> 'WK2014'!FN90</f>
        <v>6125.248820062603</v>
      </c>
      <c r="DH80" s="50">
        <f xml:space="preserve"> 'WK2014'!FO90</f>
        <v>7007.7925728</v>
      </c>
      <c r="DI80" s="50">
        <f xml:space="preserve"> 'WK2014'!FP90</f>
        <v>6125.2488085999994</v>
      </c>
      <c r="DJ80" s="61">
        <f xml:space="preserve"> 'WK2014'!FK90</f>
        <v>0.6344486505129755</v>
      </c>
      <c r="DK80" s="1"/>
      <c r="DL80" s="50">
        <f xml:space="preserve"> 'WK2014'!FW90</f>
        <v>730.08123599999999</v>
      </c>
      <c r="DM80" s="50">
        <f xml:space="preserve"> 'WK2014'!FX90</f>
        <v>697.85241280000014</v>
      </c>
      <c r="DN80" s="50">
        <f xml:space="preserve"> 'WK2014'!GA90</f>
        <v>730.08123599999999</v>
      </c>
      <c r="DO80" s="50">
        <f xml:space="preserve"> 'WK2014'!GB90</f>
        <v>697.85241280000014</v>
      </c>
      <c r="DP80" s="50">
        <f xml:space="preserve"> 'WK2014'!GC90</f>
        <v>730.08123599999999</v>
      </c>
      <c r="DQ80" s="50">
        <f xml:space="preserve"> 'WK2014'!GD90</f>
        <v>697.85241280000014</v>
      </c>
      <c r="DR80" s="61">
        <f xml:space="preserve"> 'WK2014'!FY90</f>
        <v>0.63150543770941536</v>
      </c>
      <c r="DS80" s="1"/>
      <c r="DT80" s="50">
        <f xml:space="preserve"> 'WK2014'!GK90</f>
        <v>1970.0610660000002</v>
      </c>
      <c r="DU80" s="50">
        <f xml:space="preserve"> 'WK2014'!GL90</f>
        <v>1699.0530015000002</v>
      </c>
      <c r="DV80" s="50">
        <f xml:space="preserve"> 'WK2014'!GO90</f>
        <v>1970.0610660000002</v>
      </c>
      <c r="DW80" s="50">
        <f xml:space="preserve"> 'WK2014'!GP90</f>
        <v>1699.0530015000002</v>
      </c>
      <c r="DX80" s="50">
        <f xml:space="preserve"> 'WK2014'!GQ90</f>
        <v>1970.0610660000002</v>
      </c>
      <c r="DY80" s="50">
        <f xml:space="preserve"> 'WK2014'!GR90</f>
        <v>1699.0530015000002</v>
      </c>
      <c r="DZ80" s="61">
        <f xml:space="preserve"> 'WK2014'!GM90</f>
        <v>0.64672281591702463</v>
      </c>
      <c r="ED80" s="50">
        <f xml:space="preserve"> 'WK2015'!EG90</f>
        <v>10718.263959400001</v>
      </c>
      <c r="EE80" s="50">
        <f xml:space="preserve"> 'WK2015'!EH90</f>
        <v>9166.2716142000008</v>
      </c>
      <c r="EF80" s="50">
        <f xml:space="preserve"> 'WK2015'!EK90</f>
        <v>10718.263959400001</v>
      </c>
      <c r="EG80" s="50">
        <f xml:space="preserve"> 'WK2015'!EL90</f>
        <v>9166.2716142000008</v>
      </c>
      <c r="EH80" s="50">
        <f xml:space="preserve"> 'WK2015'!EM90</f>
        <v>10718.263959400001</v>
      </c>
      <c r="EI80" s="50">
        <f xml:space="preserve"> 'WK2015'!EN90</f>
        <v>9166.2716142000008</v>
      </c>
      <c r="EJ80" s="61">
        <f xml:space="preserve"> 'WK2015'!EI90</f>
        <v>0.64509298084328559</v>
      </c>
      <c r="EK80" s="1"/>
      <c r="EL80" s="50">
        <f xml:space="preserve"> 'WK2015'!EU90</f>
        <v>10165.0558996</v>
      </c>
      <c r="EM80" s="50">
        <f xml:space="preserve"> 'WK2015'!EV90</f>
        <v>8602.2457317999997</v>
      </c>
      <c r="EN80" s="50">
        <f xml:space="preserve"> 'WK2015'!EY90</f>
        <v>10165.0558996</v>
      </c>
      <c r="EO80" s="50">
        <f xml:space="preserve"> 'WK2015'!EZ90</f>
        <v>8602.2457317999997</v>
      </c>
      <c r="EP80" s="50">
        <f xml:space="preserve"> 'WK2015'!FA90</f>
        <v>10165.0558996</v>
      </c>
      <c r="EQ80" s="50">
        <f xml:space="preserve"> 'WK2015'!FB90</f>
        <v>8602.2457317999997</v>
      </c>
      <c r="ER80" s="61">
        <f xml:space="preserve"> 'WK2015'!EW90</f>
        <v>0.64506852806134252</v>
      </c>
      <c r="ES80" s="1"/>
      <c r="ET80" s="50">
        <f xml:space="preserve"> 'WK2015'!FI90</f>
        <v>8233.1701709999998</v>
      </c>
      <c r="EU80" s="50">
        <f xml:space="preserve"> 'WK2015'!FJ90</f>
        <v>7212.4594626000007</v>
      </c>
      <c r="EV80" s="50">
        <f xml:space="preserve"> 'WK2015'!FM90</f>
        <v>8233.1701709999998</v>
      </c>
      <c r="EW80" s="50">
        <f xml:space="preserve"> 'WK2015'!FN90</f>
        <v>7212.4594626000007</v>
      </c>
      <c r="EX80" s="50">
        <f xml:space="preserve"> 'WK2015'!FO90</f>
        <v>8233.1701709999998</v>
      </c>
      <c r="EY80" s="50">
        <f xml:space="preserve"> 'WK2015'!FP90</f>
        <v>7212.4594626000007</v>
      </c>
      <c r="EZ80" s="61">
        <f xml:space="preserve"> 'WK2015'!FK90</f>
        <v>0.6555904590740792</v>
      </c>
      <c r="FA80" s="1"/>
      <c r="FB80" s="50">
        <f xml:space="preserve"> 'WK2015'!FW90</f>
        <v>775.53177440000002</v>
      </c>
      <c r="FC80" s="50">
        <f xml:space="preserve"> 'WK2015'!FX90</f>
        <v>747.9137432</v>
      </c>
      <c r="FD80" s="50">
        <f xml:space="preserve"> 'WK2015'!GA90</f>
        <v>775.53177440000002</v>
      </c>
      <c r="FE80" s="50">
        <f xml:space="preserve"> 'WK2015'!GB90</f>
        <v>747.9137432</v>
      </c>
      <c r="FF80" s="50">
        <f xml:space="preserve"> 'WK2015'!GC90</f>
        <v>775.53177440000002</v>
      </c>
      <c r="FG80" s="50">
        <f xml:space="preserve"> 'WK2015'!GD90</f>
        <v>747.9137432</v>
      </c>
      <c r="FH80" s="61">
        <f xml:space="preserve"> 'WK2015'!FY90</f>
        <v>0.64825504063552897</v>
      </c>
      <c r="FI80" s="1"/>
      <c r="FJ80" s="50">
        <f xml:space="preserve"> 'WK2015'!GK90</f>
        <v>1354.6459957500001</v>
      </c>
      <c r="FK80" s="50">
        <f xml:space="preserve"> 'WK2015'!GL90</f>
        <v>1256.7600075000005</v>
      </c>
      <c r="FL80" s="50">
        <f xml:space="preserve"> 'WK2015'!GO90</f>
        <v>1354.6459957500001</v>
      </c>
      <c r="FM80" s="50">
        <f xml:space="preserve"> 'WK2015'!GP90</f>
        <v>1256.7600075000005</v>
      </c>
      <c r="FN80" s="50">
        <f xml:space="preserve"> 'WK2015'!GQ90</f>
        <v>1354.6459957500001</v>
      </c>
      <c r="FO80" s="50">
        <f xml:space="preserve"> 'WK2015'!GR90</f>
        <v>1256.7600075000005</v>
      </c>
      <c r="FP80" s="61">
        <f xml:space="preserve"> 'WK2015'!GM90</f>
        <v>0.65914008593058782</v>
      </c>
      <c r="FS80" s="283">
        <f xml:space="preserve"> 'WK2015'!H90</f>
        <v>5126.8395799999998</v>
      </c>
      <c r="FT80" s="283">
        <f xml:space="preserve"> 'WK2015'!I90</f>
        <v>4558.7847819999997</v>
      </c>
      <c r="FU80" s="283">
        <f xml:space="preserve"> 'WK2015'!L90</f>
        <v>5126.8395799999998</v>
      </c>
      <c r="FV80" s="283">
        <f xml:space="preserve"> 'WK2015'!M90</f>
        <v>4558.7847819999997</v>
      </c>
      <c r="FW80" s="283">
        <f xml:space="preserve"> 'WK2015'!N90</f>
        <v>5126.8395799999998</v>
      </c>
      <c r="FX80" s="283">
        <f xml:space="preserve"> 'WK2015'!O90</f>
        <v>4558.7847819999997</v>
      </c>
      <c r="FY80" s="284">
        <f xml:space="preserve"> 'WK2015'!P90</f>
        <v>0.63790421982638779</v>
      </c>
      <c r="GA80" s="283">
        <f xml:space="preserve"> 'WK2015'!HB90</f>
        <v>4539.2070479999993</v>
      </c>
      <c r="GB80" s="283">
        <f xml:space="preserve"> 'WK2015'!HC90</f>
        <v>4274.9290039999996</v>
      </c>
      <c r="GC80" s="283">
        <f xml:space="preserve"> 'WK2015'!HF90</f>
        <v>4539.2070479999993</v>
      </c>
      <c r="GD80" s="283">
        <f xml:space="preserve"> 'WK2015'!HG90</f>
        <v>4274.9290039999996</v>
      </c>
      <c r="GE80" s="283">
        <f xml:space="preserve"> 'WK2015'!HH90</f>
        <v>4539.2070479999993</v>
      </c>
      <c r="GF80" s="283">
        <f xml:space="preserve"> 'WK2015'!HI90</f>
        <v>4274.9290039999996</v>
      </c>
      <c r="GG80" s="284">
        <f xml:space="preserve"> 'WK2015'!HJ90</f>
        <v>0.6883105421244532</v>
      </c>
      <c r="GI80" s="283">
        <f xml:space="preserve"> 'WK2015'!HQ90</f>
        <v>4719.6697099999992</v>
      </c>
      <c r="GJ80" s="283">
        <f xml:space="preserve"> 'WK2015'!HR90</f>
        <v>4424.9415209999997</v>
      </c>
      <c r="GK80" s="283">
        <f xml:space="preserve"> 'WK2015'!HU90</f>
        <v>4719.6697099999992</v>
      </c>
      <c r="GL80" s="283">
        <f xml:space="preserve"> 'WK2015'!HV90</f>
        <v>4424.9415209999997</v>
      </c>
      <c r="GM80" s="283">
        <f xml:space="preserve"> 'WK2015'!HW90</f>
        <v>4719.6697099999992</v>
      </c>
      <c r="GN80" s="283">
        <f xml:space="preserve"> 'WK2015'!HX90</f>
        <v>4424.9415209999997</v>
      </c>
      <c r="GO80" s="284">
        <f xml:space="preserve"> 'WK2015'!HY90</f>
        <v>0.62385061679716103</v>
      </c>
    </row>
    <row r="81" spans="1:197" x14ac:dyDescent="0.2">
      <c r="A81" s="3">
        <f>Basis!A81</f>
        <v>81</v>
      </c>
      <c r="D81" s="252" t="e">
        <v>#N/A</v>
      </c>
      <c r="E81" s="252" t="e">
        <v>#N/A</v>
      </c>
      <c r="H81" s="50">
        <f xml:space="preserve"> 'WK2012'!EG91</f>
        <v>10093.939393588525</v>
      </c>
      <c r="I81" s="50">
        <f xml:space="preserve"> 'WK2012'!EH91</f>
        <v>9274.0566405800109</v>
      </c>
      <c r="J81" s="50">
        <f xml:space="preserve"> 'WK2012'!EK91</f>
        <v>10093.939393588525</v>
      </c>
      <c r="K81" s="50">
        <f xml:space="preserve"> 'WK2012'!EL91</f>
        <v>9274.0566405800109</v>
      </c>
      <c r="L81" s="50">
        <f xml:space="preserve"> 'WK2012'!EM91</f>
        <v>10093.939393588525</v>
      </c>
      <c r="M81" s="50">
        <f xml:space="preserve"> 'WK2012'!EN91</f>
        <v>9274.0566405800109</v>
      </c>
      <c r="N81" s="61">
        <f xml:space="preserve"> 'WK2012'!EI91</f>
        <v>0.59950624057165525</v>
      </c>
      <c r="P81" s="50">
        <f xml:space="preserve"> 'WK2012'!EU91</f>
        <v>9434.8828201216202</v>
      </c>
      <c r="Q81" s="50">
        <f xml:space="preserve"> 'WK2012'!EV91</f>
        <v>8563.8759463930837</v>
      </c>
      <c r="R81" s="50">
        <f xml:space="preserve"> 'WK2012'!EY91</f>
        <v>9434.8828201216202</v>
      </c>
      <c r="S81" s="50">
        <f xml:space="preserve"> 'WK2012'!EZ91</f>
        <v>8563.8759463930837</v>
      </c>
      <c r="T81" s="50">
        <f xml:space="preserve"> 'WK2012'!FA91</f>
        <v>9434.8828201216202</v>
      </c>
      <c r="U81" s="50">
        <f xml:space="preserve"> 'WK2012'!FB91</f>
        <v>8563.8759463930837</v>
      </c>
      <c r="V81" s="61">
        <f xml:space="preserve"> 'WK2012'!EW91</f>
        <v>0.61679791702950371</v>
      </c>
      <c r="X81" s="50">
        <f xml:space="preserve"> 'WK2012'!FI91</f>
        <v>6873.7620530384665</v>
      </c>
      <c r="Y81" s="50">
        <f xml:space="preserve"> 'WK2012'!FJ91</f>
        <v>6108.7198366725261</v>
      </c>
      <c r="Z81" s="50">
        <f xml:space="preserve"> 'WK2012'!FM91</f>
        <v>6873.7620530384665</v>
      </c>
      <c r="AA81" s="50">
        <f xml:space="preserve"> 'WK2012'!FN91</f>
        <v>6108.7198366725261</v>
      </c>
      <c r="AB81" s="50">
        <f xml:space="preserve"> 'WK2012'!FO91</f>
        <v>6873.7620530384665</v>
      </c>
      <c r="AC81" s="50">
        <f xml:space="preserve"> 'WK2012'!FP91</f>
        <v>6108.7198366725261</v>
      </c>
      <c r="AD81" s="61">
        <f xml:space="preserve"> 'WK2012'!FK91</f>
        <v>0.61585824944584222</v>
      </c>
      <c r="AF81" s="50">
        <f xml:space="preserve"> 'WK2012'!FW91</f>
        <v>1409.8592570409119</v>
      </c>
      <c r="AG81" s="50">
        <f xml:space="preserve"> 'WK2012'!FX91</f>
        <v>928.03455612079188</v>
      </c>
      <c r="AH81" s="50">
        <f xml:space="preserve"> 'WK2012'!GA91</f>
        <v>1409.8592570409119</v>
      </c>
      <c r="AI81" s="50">
        <f xml:space="preserve"> 'WK2012'!GB91</f>
        <v>928.03455612079188</v>
      </c>
      <c r="AJ81" s="50">
        <f xml:space="preserve"> 'WK2012'!GC91</f>
        <v>1409.8592570409119</v>
      </c>
      <c r="AK81" s="50">
        <f xml:space="preserve"> 'WK2012'!GD91</f>
        <v>928.03455612079188</v>
      </c>
      <c r="AL81" s="61">
        <f xml:space="preserve"> 'WK2012'!FY91</f>
        <v>0.62705122894172549</v>
      </c>
      <c r="AN81" s="50">
        <f xml:space="preserve"> 'WK2012'!GK91</f>
        <v>498.931259117065</v>
      </c>
      <c r="AO81" s="50">
        <f xml:space="preserve"> 'WK2012'!GL91</f>
        <v>462.16335475823814</v>
      </c>
      <c r="AP81" s="50">
        <f xml:space="preserve"> 'WK2012'!GO91</f>
        <v>498.931259117065</v>
      </c>
      <c r="AQ81" s="50">
        <f xml:space="preserve"> 'WK2012'!GP91</f>
        <v>462.16335475823814</v>
      </c>
      <c r="AR81" s="50">
        <f xml:space="preserve"> 'WK2012'!GQ91</f>
        <v>498.931259117065</v>
      </c>
      <c r="AS81" s="50">
        <f xml:space="preserve"> 'WK2012'!GR91</f>
        <v>462.16335475823814</v>
      </c>
      <c r="AT81" s="61">
        <f xml:space="preserve"> 'WK2012'!GM91</f>
        <v>0.60876997819744616</v>
      </c>
      <c r="AX81" s="50">
        <f xml:space="preserve"> 'WK2013'!EG91</f>
        <v>11371.824972400002</v>
      </c>
      <c r="AY81" s="50">
        <f xml:space="preserve"> 'WK2013'!EH91</f>
        <v>9976.1586373999999</v>
      </c>
      <c r="AZ81" s="50">
        <f xml:space="preserve"> 'WK2013'!EK91</f>
        <v>11371.824972400002</v>
      </c>
      <c r="BA81" s="50">
        <f xml:space="preserve"> 'WK2013'!EL91</f>
        <v>9976.1586373999999</v>
      </c>
      <c r="BB81" s="50">
        <f xml:space="preserve"> 'WK2013'!EM91</f>
        <v>11371.824972400002</v>
      </c>
      <c r="BC81" s="50">
        <f xml:space="preserve"> 'WK2013'!EN91</f>
        <v>9976.1586373999999</v>
      </c>
      <c r="BD81" s="61">
        <f xml:space="preserve"> 'WK2013'!EI91</f>
        <v>0.58890547251558156</v>
      </c>
      <c r="BF81" s="50">
        <f xml:space="preserve"> 'WK2013'!EU91</f>
        <v>10468.6100326</v>
      </c>
      <c r="BG81" s="50">
        <f xml:space="preserve"> 'WK2013'!EV91</f>
        <v>8867.2817785999978</v>
      </c>
      <c r="BH81" s="50">
        <f xml:space="preserve"> 'WK2013'!EY91</f>
        <v>10468.6100326</v>
      </c>
      <c r="BI81" s="50">
        <f xml:space="preserve"> 'WK2013'!EZ91</f>
        <v>8867.2817785999978</v>
      </c>
      <c r="BJ81" s="50">
        <f xml:space="preserve"> 'WK2013'!FA91</f>
        <v>10468.6100326</v>
      </c>
      <c r="BK81" s="50">
        <f xml:space="preserve"> 'WK2013'!FB91</f>
        <v>8867.2817785999978</v>
      </c>
      <c r="BL81" s="61">
        <f xml:space="preserve"> 'WK2013'!EW91</f>
        <v>0.60557492869570195</v>
      </c>
      <c r="BN81" s="50">
        <f xml:space="preserve"> 'WK2013'!FI91</f>
        <v>7936.4076545999997</v>
      </c>
      <c r="BO81" s="50">
        <f xml:space="preserve"> 'WK2013'!FJ91</f>
        <v>6927.9242160000013</v>
      </c>
      <c r="BP81" s="50">
        <f xml:space="preserve"> 'WK2013'!FM91</f>
        <v>7936.4076545999997</v>
      </c>
      <c r="BQ81" s="50">
        <f xml:space="preserve"> 'WK2013'!FN91</f>
        <v>6927.9242160000013</v>
      </c>
      <c r="BR81" s="50">
        <f xml:space="preserve"> 'WK2013'!FO91</f>
        <v>7936.4076545999997</v>
      </c>
      <c r="BS81" s="50">
        <f xml:space="preserve"> 'WK2013'!FP91</f>
        <v>6927.9242160000013</v>
      </c>
      <c r="BT81" s="61">
        <f xml:space="preserve"> 'WK2013'!FK91</f>
        <v>0.61261736494551366</v>
      </c>
      <c r="BV81" s="50">
        <f xml:space="preserve"> 'WK2013'!FW91</f>
        <v>716.4098044000001</v>
      </c>
      <c r="BW81" s="50">
        <f xml:space="preserve"> 'WK2013'!FX91</f>
        <v>670.02163740000003</v>
      </c>
      <c r="BX81" s="50">
        <f xml:space="preserve"> 'WK2013'!GA91</f>
        <v>716.4098044000001</v>
      </c>
      <c r="BY81" s="50">
        <f xml:space="preserve"> 'WK2013'!GB91</f>
        <v>670.02163740000003</v>
      </c>
      <c r="BZ81" s="50">
        <f xml:space="preserve"> 'WK2013'!GC91</f>
        <v>716.4098044000001</v>
      </c>
      <c r="CA81" s="50">
        <f xml:space="preserve"> 'WK2013'!GD91</f>
        <v>670.02163740000003</v>
      </c>
      <c r="CB81" s="61">
        <f xml:space="preserve"> 'WK2013'!FY91</f>
        <v>0.60432236192501743</v>
      </c>
      <c r="CD81" s="50">
        <f xml:space="preserve"> 'WK2013'!GK91</f>
        <v>1402.5374235000004</v>
      </c>
      <c r="CE81" s="50">
        <f xml:space="preserve"> 'WK2013'!GL91</f>
        <v>1187.5068757500001</v>
      </c>
      <c r="CF81" s="50">
        <f xml:space="preserve"> 'WK2013'!GO91</f>
        <v>1402.5374235000004</v>
      </c>
      <c r="CG81" s="50">
        <f xml:space="preserve"> 'WK2013'!GP91</f>
        <v>1187.5068757500001</v>
      </c>
      <c r="CH81" s="50">
        <f xml:space="preserve"> 'WK2013'!GQ91</f>
        <v>1402.5374235000004</v>
      </c>
      <c r="CI81" s="50">
        <f xml:space="preserve"> 'WK2013'!GR91</f>
        <v>1187.5068757500001</v>
      </c>
      <c r="CJ81" s="61">
        <f xml:space="preserve"> 'WK2013'!GM91</f>
        <v>0.6266347792721475</v>
      </c>
      <c r="CN81" s="50">
        <f xml:space="preserve"> 'WK2014'!EG91</f>
        <v>11452.8069256</v>
      </c>
      <c r="CO81" s="50">
        <f xml:space="preserve"> 'WK2014'!EH91</f>
        <v>10054.7624648</v>
      </c>
      <c r="CP81" s="50">
        <f xml:space="preserve"> 'WK2014'!EK91</f>
        <v>11452.8069256</v>
      </c>
      <c r="CQ81" s="50">
        <f xml:space="preserve"> 'WK2014'!EL91</f>
        <v>10054.7624648</v>
      </c>
      <c r="CR81" s="50">
        <f xml:space="preserve"> 'WK2014'!EM91</f>
        <v>11452.8069256</v>
      </c>
      <c r="CS81" s="50">
        <f xml:space="preserve"> 'WK2014'!EN91</f>
        <v>10054.7624648</v>
      </c>
      <c r="CT81" s="61">
        <f xml:space="preserve"> 'WK2014'!EI91</f>
        <v>0.62425382776244931</v>
      </c>
      <c r="CV81" s="50">
        <f xml:space="preserve"> 'WK2014'!EU91</f>
        <v>9744.7713519000008</v>
      </c>
      <c r="CW81" s="50">
        <f xml:space="preserve"> 'WK2014'!EV91</f>
        <v>7838.2419831999996</v>
      </c>
      <c r="CX81" s="50">
        <f xml:space="preserve"> 'WK2014'!EY91</f>
        <v>9744.7713519000008</v>
      </c>
      <c r="CY81" s="50">
        <f xml:space="preserve"> 'WK2014'!EZ91</f>
        <v>7838.2419831999996</v>
      </c>
      <c r="CZ81" s="50">
        <f xml:space="preserve"> 'WK2014'!FA91</f>
        <v>9744.7713519000008</v>
      </c>
      <c r="DA81" s="50">
        <f xml:space="preserve"> 'WK2014'!FB91</f>
        <v>7838.2419831999996</v>
      </c>
      <c r="DB81" s="61">
        <f xml:space="preserve"> 'WK2014'!EW91</f>
        <v>0.60954824574827426</v>
      </c>
      <c r="DC81" s="1"/>
      <c r="DD81" s="50">
        <f xml:space="preserve"> 'WK2014'!FI91</f>
        <v>7229.9467151999997</v>
      </c>
      <c r="DE81" s="50">
        <f xml:space="preserve"> 'WK2014'!FJ91</f>
        <v>6290.4089154000003</v>
      </c>
      <c r="DF81" s="50">
        <f xml:space="preserve"> 'WK2014'!FM91</f>
        <v>7229.9467264992936</v>
      </c>
      <c r="DG81" s="50">
        <f xml:space="preserve"> 'WK2014'!FN91</f>
        <v>6290.4089038992943</v>
      </c>
      <c r="DH81" s="50">
        <f xml:space="preserve"> 'WK2014'!FO91</f>
        <v>7229.9467151999997</v>
      </c>
      <c r="DI81" s="50">
        <f xml:space="preserve"> 'WK2014'!FP91</f>
        <v>6290.4088925999995</v>
      </c>
      <c r="DJ81" s="61">
        <f xml:space="preserve"> 'WK2014'!FK91</f>
        <v>0.63090778228923894</v>
      </c>
      <c r="DK81" s="1"/>
      <c r="DL81" s="50">
        <f xml:space="preserve"> 'WK2014'!FW91</f>
        <v>705.70035360000008</v>
      </c>
      <c r="DM81" s="50">
        <f xml:space="preserve"> 'WK2014'!FX91</f>
        <v>665.5312328</v>
      </c>
      <c r="DN81" s="50">
        <f xml:space="preserve"> 'WK2014'!GA91</f>
        <v>705.70035360000008</v>
      </c>
      <c r="DO81" s="50">
        <f xml:space="preserve"> 'WK2014'!GB91</f>
        <v>665.5312328</v>
      </c>
      <c r="DP81" s="50">
        <f xml:space="preserve"> 'WK2014'!GC91</f>
        <v>705.70035360000008</v>
      </c>
      <c r="DQ81" s="50">
        <f xml:space="preserve"> 'WK2014'!GD91</f>
        <v>665.5312328</v>
      </c>
      <c r="DR81" s="61">
        <f xml:space="preserve"> 'WK2014'!FY91</f>
        <v>0.62076273031652307</v>
      </c>
      <c r="DS81" s="1"/>
      <c r="DT81" s="50">
        <f xml:space="preserve"> 'WK2014'!GK91</f>
        <v>2072.4404489999997</v>
      </c>
      <c r="DU81" s="50">
        <f xml:space="preserve"> 'WK2014'!GL91</f>
        <v>1774.2721710000001</v>
      </c>
      <c r="DV81" s="50">
        <f xml:space="preserve"> 'WK2014'!GO91</f>
        <v>2072.4404489999997</v>
      </c>
      <c r="DW81" s="50">
        <f xml:space="preserve"> 'WK2014'!GP91</f>
        <v>1774.2721710000001</v>
      </c>
      <c r="DX81" s="50">
        <f xml:space="preserve"> 'WK2014'!GQ91</f>
        <v>2072.4404489999997</v>
      </c>
      <c r="DY81" s="50">
        <f xml:space="preserve"> 'WK2014'!GR91</f>
        <v>1774.2721710000001</v>
      </c>
      <c r="DZ81" s="61">
        <f xml:space="preserve"> 'WK2014'!GM91</f>
        <v>0.64567887086829345</v>
      </c>
      <c r="ED81" s="50">
        <f xml:space="preserve"> 'WK2015'!EG91</f>
        <v>11012.7728398</v>
      </c>
      <c r="EE81" s="50">
        <f xml:space="preserve"> 'WK2015'!EH91</f>
        <v>9398.5083873999993</v>
      </c>
      <c r="EF81" s="50">
        <f xml:space="preserve"> 'WK2015'!EK91</f>
        <v>11012.7728398</v>
      </c>
      <c r="EG81" s="50">
        <f xml:space="preserve"> 'WK2015'!EL91</f>
        <v>9398.5083873999993</v>
      </c>
      <c r="EH81" s="50">
        <f xml:space="preserve"> 'WK2015'!EM91</f>
        <v>11012.7728398</v>
      </c>
      <c r="EI81" s="50">
        <f xml:space="preserve"> 'WK2015'!EN91</f>
        <v>9398.5083873999993</v>
      </c>
      <c r="EJ81" s="61">
        <f xml:space="preserve"> 'WK2015'!EI91</f>
        <v>0.64818002695787191</v>
      </c>
      <c r="EK81" s="1"/>
      <c r="EL81" s="50">
        <f xml:space="preserve"> 'WK2015'!EU91</f>
        <v>10506.8598762</v>
      </c>
      <c r="EM81" s="50">
        <f xml:space="preserve"> 'WK2015'!EV91</f>
        <v>8794.9364976000015</v>
      </c>
      <c r="EN81" s="50">
        <f xml:space="preserve"> 'WK2015'!EY91</f>
        <v>10506.8598762</v>
      </c>
      <c r="EO81" s="50">
        <f xml:space="preserve"> 'WK2015'!EZ91</f>
        <v>8794.9364976000015</v>
      </c>
      <c r="EP81" s="50">
        <f xml:space="preserve"> 'WK2015'!FA91</f>
        <v>10506.8598762</v>
      </c>
      <c r="EQ81" s="50">
        <f xml:space="preserve"> 'WK2015'!FB91</f>
        <v>8794.9364976000015</v>
      </c>
      <c r="ER81" s="61">
        <f xml:space="preserve"> 'WK2015'!EW91</f>
        <v>0.65186223066200344</v>
      </c>
      <c r="ES81" s="1"/>
      <c r="ET81" s="50">
        <f xml:space="preserve"> 'WK2015'!FI91</f>
        <v>8543.6296559999992</v>
      </c>
      <c r="EU81" s="50">
        <f xml:space="preserve"> 'WK2015'!FJ91</f>
        <v>7393.5214581999999</v>
      </c>
      <c r="EV81" s="50">
        <f xml:space="preserve"> 'WK2015'!FM91</f>
        <v>8543.6296559999992</v>
      </c>
      <c r="EW81" s="50">
        <f xml:space="preserve"> 'WK2015'!FN91</f>
        <v>7393.5214581999999</v>
      </c>
      <c r="EX81" s="50">
        <f xml:space="preserve"> 'WK2015'!FO91</f>
        <v>8543.6296559999992</v>
      </c>
      <c r="EY81" s="50">
        <f xml:space="preserve"> 'WK2015'!FP91</f>
        <v>7393.5214581999999</v>
      </c>
      <c r="EZ81" s="61">
        <f xml:space="preserve"> 'WK2015'!FK91</f>
        <v>0.65678853239303991</v>
      </c>
      <c r="FA81" s="1"/>
      <c r="FB81" s="50">
        <f xml:space="preserve"> 'WK2015'!FW91</f>
        <v>755.76936479999995</v>
      </c>
      <c r="FC81" s="50">
        <f xml:space="preserve"> 'WK2015'!FX91</f>
        <v>717.21097639999994</v>
      </c>
      <c r="FD81" s="50">
        <f xml:space="preserve"> 'WK2015'!GA91</f>
        <v>755.76936479999995</v>
      </c>
      <c r="FE81" s="50">
        <f xml:space="preserve"> 'WK2015'!GB91</f>
        <v>717.21097639999994</v>
      </c>
      <c r="FF81" s="50">
        <f xml:space="preserve"> 'WK2015'!GC91</f>
        <v>755.76936479999995</v>
      </c>
      <c r="FG81" s="50">
        <f xml:space="preserve"> 'WK2015'!GD91</f>
        <v>717.21097639999994</v>
      </c>
      <c r="FH81" s="61">
        <f xml:space="preserve"> 'WK2015'!FY91</f>
        <v>0.65239230522826397</v>
      </c>
      <c r="FI81" s="1"/>
      <c r="FJ81" s="50">
        <f xml:space="preserve"> 'WK2015'!GK91</f>
        <v>1404.6111720000004</v>
      </c>
      <c r="FK81" s="50">
        <f xml:space="preserve"> 'WK2015'!GL91</f>
        <v>1319.9812950000005</v>
      </c>
      <c r="FL81" s="50">
        <f xml:space="preserve"> 'WK2015'!GO91</f>
        <v>1404.6111720000004</v>
      </c>
      <c r="FM81" s="50">
        <f xml:space="preserve"> 'WK2015'!GP91</f>
        <v>1319.9812950000005</v>
      </c>
      <c r="FN81" s="50">
        <f xml:space="preserve"> 'WK2015'!GQ91</f>
        <v>1404.6111720000004</v>
      </c>
      <c r="FO81" s="50">
        <f xml:space="preserve"> 'WK2015'!GR91</f>
        <v>1319.9812950000005</v>
      </c>
      <c r="FP81" s="61">
        <f xml:space="preserve"> 'WK2015'!GM91</f>
        <v>0.65500924380430292</v>
      </c>
      <c r="FS81" s="283">
        <f xml:space="preserve"> 'WK2015'!H91</f>
        <v>5242.4595250000002</v>
      </c>
      <c r="FT81" s="283">
        <f xml:space="preserve"> 'WK2015'!I91</f>
        <v>4649.4163280000002</v>
      </c>
      <c r="FU81" s="283">
        <f xml:space="preserve"> 'WK2015'!L91</f>
        <v>5242.4595250000002</v>
      </c>
      <c r="FV81" s="283">
        <f xml:space="preserve"> 'WK2015'!M91</f>
        <v>4649.4163280000002</v>
      </c>
      <c r="FW81" s="283">
        <f xml:space="preserve"> 'WK2015'!N91</f>
        <v>5242.4595250000002</v>
      </c>
      <c r="FX81" s="283">
        <f xml:space="preserve"> 'WK2015'!O91</f>
        <v>4649.4163280000002</v>
      </c>
      <c r="FY81" s="284">
        <f xml:space="preserve"> 'WK2015'!P91</f>
        <v>0.65525453650323273</v>
      </c>
      <c r="GA81" s="283">
        <f xml:space="preserve"> 'WK2015'!HB91</f>
        <v>4709.1842999999999</v>
      </c>
      <c r="GB81" s="283">
        <f xml:space="preserve"> 'WK2015'!HC91</f>
        <v>4383.2822420000002</v>
      </c>
      <c r="GC81" s="283">
        <f xml:space="preserve"> 'WK2015'!HF91</f>
        <v>4709.1842999999999</v>
      </c>
      <c r="GD81" s="283">
        <f xml:space="preserve"> 'WK2015'!HG91</f>
        <v>4383.2822420000002</v>
      </c>
      <c r="GE81" s="283">
        <f xml:space="preserve"> 'WK2015'!HH91</f>
        <v>4709.1842999999999</v>
      </c>
      <c r="GF81" s="283">
        <f xml:space="preserve"> 'WK2015'!HI91</f>
        <v>4383.2822420000002</v>
      </c>
      <c r="GG81" s="284">
        <f xml:space="preserve"> 'WK2015'!HJ91</f>
        <v>0.69272044706235714</v>
      </c>
      <c r="GI81" s="283">
        <f xml:space="preserve"> 'WK2015'!HQ91</f>
        <v>4855.0809649999992</v>
      </c>
      <c r="GJ81" s="283">
        <f xml:space="preserve"> 'WK2015'!HR91</f>
        <v>4501.0985669999991</v>
      </c>
      <c r="GK81" s="283">
        <f xml:space="preserve"> 'WK2015'!HU91</f>
        <v>4855.0809649999992</v>
      </c>
      <c r="GL81" s="283">
        <f xml:space="preserve"> 'WK2015'!HV91</f>
        <v>4501.0985669999991</v>
      </c>
      <c r="GM81" s="283">
        <f xml:space="preserve"> 'WK2015'!HW91</f>
        <v>4855.0809649999992</v>
      </c>
      <c r="GN81" s="283">
        <f xml:space="preserve"> 'WK2015'!HX91</f>
        <v>4501.0985669999991</v>
      </c>
      <c r="GO81" s="284">
        <f xml:space="preserve"> 'WK2015'!HY91</f>
        <v>0.63839523792373409</v>
      </c>
    </row>
    <row r="82" spans="1:197" x14ac:dyDescent="0.2">
      <c r="A82" s="3">
        <f>Basis!A82</f>
        <v>82</v>
      </c>
      <c r="D82" s="252" t="e">
        <v>#N/A</v>
      </c>
      <c r="E82" s="252" t="e">
        <v>#N/A</v>
      </c>
      <c r="H82" s="50">
        <f xml:space="preserve"> 'WK2012'!EG92</f>
        <v>10347.13878571707</v>
      </c>
      <c r="I82" s="50">
        <f xml:space="preserve"> 'WK2012'!EH92</f>
        <v>9425.7801654835584</v>
      </c>
      <c r="J82" s="50">
        <f xml:space="preserve"> 'WK2012'!EK92</f>
        <v>10347.13878571707</v>
      </c>
      <c r="K82" s="50">
        <f xml:space="preserve"> 'WK2012'!EL92</f>
        <v>9425.7801654835584</v>
      </c>
      <c r="L82" s="50">
        <f xml:space="preserve"> 'WK2012'!EM92</f>
        <v>10347.13878571707</v>
      </c>
      <c r="M82" s="50">
        <f xml:space="preserve"> 'WK2012'!EN92</f>
        <v>9425.7801654835584</v>
      </c>
      <c r="N82" s="61">
        <f xml:space="preserve"> 'WK2012'!EI92</f>
        <v>0.57294316819340041</v>
      </c>
      <c r="P82" s="50">
        <f xml:space="preserve"> 'WK2012'!EU92</f>
        <v>9625.5088901724794</v>
      </c>
      <c r="Q82" s="50">
        <f xml:space="preserve"> 'WK2012'!EV92</f>
        <v>8713.6327699268641</v>
      </c>
      <c r="R82" s="50">
        <f xml:space="preserve"> 'WK2012'!EY92</f>
        <v>9625.5088901724794</v>
      </c>
      <c r="S82" s="50">
        <f xml:space="preserve"> 'WK2012'!EZ92</f>
        <v>8713.6327699268641</v>
      </c>
      <c r="T82" s="50">
        <f xml:space="preserve"> 'WK2012'!FA92</f>
        <v>9625.5088901724794</v>
      </c>
      <c r="U82" s="50">
        <f xml:space="preserve"> 'WK2012'!FB92</f>
        <v>8713.6327699268641</v>
      </c>
      <c r="V82" s="61">
        <f xml:space="preserve"> 'WK2012'!EW92</f>
        <v>0.59097651518633287</v>
      </c>
      <c r="X82" s="50">
        <f xml:space="preserve"> 'WK2012'!FI92</f>
        <v>7013.7620246512861</v>
      </c>
      <c r="Y82" s="50">
        <f xml:space="preserve"> 'WK2012'!FJ92</f>
        <v>6220.7159568850893</v>
      </c>
      <c r="Z82" s="50">
        <f xml:space="preserve"> 'WK2012'!FM92</f>
        <v>7013.7620246512861</v>
      </c>
      <c r="AA82" s="50">
        <f xml:space="preserve"> 'WK2012'!FN92</f>
        <v>6220.7159568850893</v>
      </c>
      <c r="AB82" s="50">
        <f xml:space="preserve"> 'WK2012'!FO92</f>
        <v>7013.7620246512861</v>
      </c>
      <c r="AC82" s="50">
        <f xml:space="preserve"> 'WK2012'!FP92</f>
        <v>6220.7159568850893</v>
      </c>
      <c r="AD82" s="61">
        <f xml:space="preserve"> 'WK2012'!FK92</f>
        <v>0.58631927499824255</v>
      </c>
      <c r="AF82" s="50">
        <f xml:space="preserve"> 'WK2012'!FW92</f>
        <v>1503.7252163685978</v>
      </c>
      <c r="AG82" s="50">
        <f xml:space="preserve"> 'WK2012'!FX92</f>
        <v>976.13665861699462</v>
      </c>
      <c r="AH82" s="50">
        <f xml:space="preserve"> 'WK2012'!GA92</f>
        <v>1503.7252163685978</v>
      </c>
      <c r="AI82" s="50">
        <f xml:space="preserve"> 'WK2012'!GB92</f>
        <v>976.13665861699462</v>
      </c>
      <c r="AJ82" s="50">
        <f xml:space="preserve"> 'WK2012'!GC92</f>
        <v>1503.7252163685978</v>
      </c>
      <c r="AK82" s="50">
        <f xml:space="preserve"> 'WK2012'!GD92</f>
        <v>976.13665861699462</v>
      </c>
      <c r="AL82" s="61">
        <f xml:space="preserve"> 'WK2012'!FY92</f>
        <v>0.5995722985009263</v>
      </c>
      <c r="AN82" s="50">
        <f xml:space="preserve"> 'WK2012'!GK92</f>
        <v>481.04043244917784</v>
      </c>
      <c r="AO82" s="50">
        <f xml:space="preserve"> 'WK2012'!GL92</f>
        <v>439.16136417916442</v>
      </c>
      <c r="AP82" s="50">
        <f xml:space="preserve"> 'WK2012'!GO92</f>
        <v>481.04043244917784</v>
      </c>
      <c r="AQ82" s="50">
        <f xml:space="preserve"> 'WK2012'!GP92</f>
        <v>439.16136417916442</v>
      </c>
      <c r="AR82" s="50">
        <f xml:space="preserve"> 'WK2012'!GQ92</f>
        <v>481.04043244917784</v>
      </c>
      <c r="AS82" s="50">
        <f xml:space="preserve"> 'WK2012'!GR92</f>
        <v>439.16136417916442</v>
      </c>
      <c r="AT82" s="61">
        <f xml:space="preserve"> 'WK2012'!GM92</f>
        <v>0.58011254657122835</v>
      </c>
      <c r="AX82" s="50">
        <f xml:space="preserve"> 'WK2013'!EG92</f>
        <v>11649.918012</v>
      </c>
      <c r="AY82" s="50">
        <f xml:space="preserve"> 'WK2013'!EH92</f>
        <v>10174.983640600001</v>
      </c>
      <c r="AZ82" s="50">
        <f xml:space="preserve"> 'WK2013'!EK92</f>
        <v>11649.918012</v>
      </c>
      <c r="BA82" s="50">
        <f xml:space="preserve"> 'WK2013'!EL92</f>
        <v>10174.983640600001</v>
      </c>
      <c r="BB82" s="50">
        <f xml:space="preserve"> 'WK2013'!EM92</f>
        <v>11649.918012</v>
      </c>
      <c r="BC82" s="50">
        <f xml:space="preserve"> 'WK2013'!EN92</f>
        <v>10174.983640600001</v>
      </c>
      <c r="BD82" s="61">
        <f xml:space="preserve"> 'WK2013'!EI92</f>
        <v>0.58466297736978423</v>
      </c>
      <c r="BF82" s="50">
        <f xml:space="preserve"> 'WK2013'!EU92</f>
        <v>10701.142785</v>
      </c>
      <c r="BG82" s="50">
        <f xml:space="preserve"> 'WK2013'!EV92</f>
        <v>9014.6800774000003</v>
      </c>
      <c r="BH82" s="50">
        <f xml:space="preserve"> 'WK2013'!EY92</f>
        <v>10701.142785</v>
      </c>
      <c r="BI82" s="50">
        <f xml:space="preserve"> 'WK2013'!EZ92</f>
        <v>9014.6800774000003</v>
      </c>
      <c r="BJ82" s="50">
        <f xml:space="preserve"> 'WK2013'!FA92</f>
        <v>10701.142785</v>
      </c>
      <c r="BK82" s="50">
        <f xml:space="preserve"> 'WK2013'!FB92</f>
        <v>9014.6800774000003</v>
      </c>
      <c r="BL82" s="61">
        <f xml:space="preserve"> 'WK2013'!EW92</f>
        <v>0.60205919212886749</v>
      </c>
      <c r="BN82" s="50">
        <f xml:space="preserve"> 'WK2013'!FI92</f>
        <v>8147.3480279999994</v>
      </c>
      <c r="BO82" s="50">
        <f xml:space="preserve"> 'WK2013'!FJ92</f>
        <v>7104.6049614000003</v>
      </c>
      <c r="BP82" s="50">
        <f xml:space="preserve"> 'WK2013'!FM92</f>
        <v>8147.3480279999994</v>
      </c>
      <c r="BQ82" s="50">
        <f xml:space="preserve"> 'WK2013'!FN92</f>
        <v>7104.6049614000003</v>
      </c>
      <c r="BR82" s="50">
        <f xml:space="preserve"> 'WK2013'!FO92</f>
        <v>8147.3480279999994</v>
      </c>
      <c r="BS82" s="50">
        <f xml:space="preserve"> 'WK2013'!FP92</f>
        <v>7104.6049614000003</v>
      </c>
      <c r="BT82" s="61">
        <f xml:space="preserve"> 'WK2013'!FK92</f>
        <v>0.61380823340366486</v>
      </c>
      <c r="BV82" s="50">
        <f xml:space="preserve"> 'WK2013'!FW92</f>
        <v>690.91861399999993</v>
      </c>
      <c r="BW82" s="50">
        <f xml:space="preserve"> 'WK2013'!FX92</f>
        <v>636.22998660000007</v>
      </c>
      <c r="BX82" s="50">
        <f xml:space="preserve"> 'WK2013'!GA92</f>
        <v>690.91861399999993</v>
      </c>
      <c r="BY82" s="50">
        <f xml:space="preserve"> 'WK2013'!GB92</f>
        <v>636.22998660000007</v>
      </c>
      <c r="BZ82" s="50">
        <f xml:space="preserve"> 'WK2013'!GC92</f>
        <v>690.91861399999993</v>
      </c>
      <c r="CA82" s="50">
        <f xml:space="preserve"> 'WK2013'!GD92</f>
        <v>636.22998660000007</v>
      </c>
      <c r="CB82" s="61">
        <f xml:space="preserve"> 'WK2013'!FY92</f>
        <v>0.60103094858183326</v>
      </c>
      <c r="CD82" s="50">
        <f xml:space="preserve"> 'WK2013'!GK92</f>
        <v>1468.9547205000001</v>
      </c>
      <c r="CE82" s="50">
        <f xml:space="preserve"> 'WK2013'!GL92</f>
        <v>1234.9260780000004</v>
      </c>
      <c r="CF82" s="50">
        <f xml:space="preserve"> 'WK2013'!GO92</f>
        <v>1468.9547205000001</v>
      </c>
      <c r="CG82" s="50">
        <f xml:space="preserve"> 'WK2013'!GP92</f>
        <v>1234.9260780000004</v>
      </c>
      <c r="CH82" s="50">
        <f xml:space="preserve"> 'WK2013'!GQ92</f>
        <v>1468.9547205000001</v>
      </c>
      <c r="CI82" s="50">
        <f xml:space="preserve"> 'WK2013'!GR92</f>
        <v>1234.9260780000004</v>
      </c>
      <c r="CJ82" s="61">
        <f xml:space="preserve"> 'WK2013'!GM92</f>
        <v>0.63034622953686059</v>
      </c>
      <c r="CN82" s="50">
        <f xml:space="preserve"> 'WK2014'!EG92</f>
        <v>11740.226938</v>
      </c>
      <c r="CO82" s="50">
        <f xml:space="preserve"> 'WK2014'!EH92</f>
        <v>10274.336708800001</v>
      </c>
      <c r="CP82" s="50">
        <f xml:space="preserve"> 'WK2014'!EK92</f>
        <v>11740.226938</v>
      </c>
      <c r="CQ82" s="50">
        <f xml:space="preserve"> 'WK2014'!EL92</f>
        <v>10274.336708800001</v>
      </c>
      <c r="CR82" s="50">
        <f xml:space="preserve"> 'WK2014'!EM92</f>
        <v>11740.226938</v>
      </c>
      <c r="CS82" s="50">
        <f xml:space="preserve"> 'WK2014'!EN92</f>
        <v>10274.336708800001</v>
      </c>
      <c r="CT82" s="61">
        <f xml:space="preserve"> 'WK2014'!EI92</f>
        <v>0.60375462830922666</v>
      </c>
      <c r="CV82" s="50">
        <f xml:space="preserve"> 'WK2014'!EU92</f>
        <v>9955.3863385000022</v>
      </c>
      <c r="CW82" s="50">
        <f xml:space="preserve"> 'WK2014'!EV92</f>
        <v>7956.4042641999995</v>
      </c>
      <c r="CX82" s="50">
        <f xml:space="preserve"> 'WK2014'!EY92</f>
        <v>9955.3863385000022</v>
      </c>
      <c r="CY82" s="50">
        <f xml:space="preserve"> 'WK2014'!EZ92</f>
        <v>7956.4042641999995</v>
      </c>
      <c r="CZ82" s="50">
        <f xml:space="preserve"> 'WK2014'!FA92</f>
        <v>9955.3863385000022</v>
      </c>
      <c r="DA82" s="50">
        <f xml:space="preserve"> 'WK2014'!FB92</f>
        <v>7956.4042641999995</v>
      </c>
      <c r="DB82" s="61">
        <f xml:space="preserve"> 'WK2014'!EW92</f>
        <v>0.5896071561354308</v>
      </c>
      <c r="DC82" s="1"/>
      <c r="DD82" s="50">
        <f xml:space="preserve"> 'WK2014'!FI92</f>
        <v>7441.8378151999996</v>
      </c>
      <c r="DE82" s="50">
        <f xml:space="preserve"> 'WK2014'!FJ92</f>
        <v>6451.0247725999989</v>
      </c>
      <c r="DF82" s="50">
        <f xml:space="preserve"> 'WK2014'!FM92</f>
        <v>7441.8378263381455</v>
      </c>
      <c r="DG82" s="50">
        <f xml:space="preserve"> 'WK2014'!FN92</f>
        <v>6451.0247609381449</v>
      </c>
      <c r="DH82" s="50">
        <f xml:space="preserve"> 'WK2014'!FO92</f>
        <v>7441.8378151999996</v>
      </c>
      <c r="DI82" s="50">
        <f xml:space="preserve"> 'WK2014'!FP92</f>
        <v>6451.024749799999</v>
      </c>
      <c r="DJ82" s="61">
        <f xml:space="preserve"> 'WK2014'!FK92</f>
        <v>0.60834683127928413</v>
      </c>
      <c r="DK82" s="1"/>
      <c r="DL82" s="50">
        <f xml:space="preserve"> 'WK2014'!FW92</f>
        <v>681.44764800000007</v>
      </c>
      <c r="DM82" s="50">
        <f xml:space="preserve"> 'WK2014'!FX92</f>
        <v>632.5548768000001</v>
      </c>
      <c r="DN82" s="50">
        <f xml:space="preserve"> 'WK2014'!GA92</f>
        <v>681.44764800000007</v>
      </c>
      <c r="DO82" s="50">
        <f xml:space="preserve"> 'WK2014'!GB92</f>
        <v>632.5548768000001</v>
      </c>
      <c r="DP82" s="50">
        <f xml:space="preserve"> 'WK2014'!GC92</f>
        <v>681.44764800000007</v>
      </c>
      <c r="DQ82" s="50">
        <f xml:space="preserve"> 'WK2014'!GD92</f>
        <v>632.5548768000001</v>
      </c>
      <c r="DR82" s="61">
        <f xml:space="preserve"> 'WK2014'!FY92</f>
        <v>0.59835925470519713</v>
      </c>
      <c r="DS82" s="1"/>
      <c r="DT82" s="50">
        <f xml:space="preserve"> 'WK2014'!GK92</f>
        <v>2165.7465120000002</v>
      </c>
      <c r="DU82" s="50">
        <f xml:space="preserve"> 'WK2014'!GL92</f>
        <v>1846.497621</v>
      </c>
      <c r="DV82" s="50">
        <f xml:space="preserve"> 'WK2014'!GO92</f>
        <v>2165.7465120000002</v>
      </c>
      <c r="DW82" s="50">
        <f xml:space="preserve"> 'WK2014'!GP92</f>
        <v>1846.497621</v>
      </c>
      <c r="DX82" s="50">
        <f xml:space="preserve"> 'WK2014'!GQ92</f>
        <v>2165.7465120000002</v>
      </c>
      <c r="DY82" s="50">
        <f xml:space="preserve"> 'WK2014'!GR92</f>
        <v>1846.497621</v>
      </c>
      <c r="DZ82" s="61">
        <f xml:space="preserve"> 'WK2014'!GM92</f>
        <v>0.61986498945107671</v>
      </c>
      <c r="ED82" s="50">
        <f xml:space="preserve"> 'WK2015'!EG92</f>
        <v>11280.842715600002</v>
      </c>
      <c r="EE82" s="50">
        <f xml:space="preserve"> 'WK2015'!EH92</f>
        <v>9607.1808725999999</v>
      </c>
      <c r="EF82" s="50">
        <f xml:space="preserve"> 'WK2015'!EK92</f>
        <v>11280.842715600002</v>
      </c>
      <c r="EG82" s="50">
        <f xml:space="preserve"> 'WK2015'!EL92</f>
        <v>9607.1808725999999</v>
      </c>
      <c r="EH82" s="50">
        <f xml:space="preserve"> 'WK2015'!EM92</f>
        <v>11280.842715600002</v>
      </c>
      <c r="EI82" s="50">
        <f xml:space="preserve"> 'WK2015'!EN92</f>
        <v>9607.1808725999999</v>
      </c>
      <c r="EJ82" s="61">
        <f xml:space="preserve"> 'WK2015'!EI92</f>
        <v>0.62954510714681877</v>
      </c>
      <c r="EK82" s="1"/>
      <c r="EL82" s="50">
        <f xml:space="preserve"> 'WK2015'!EU92</f>
        <v>10802.775677400001</v>
      </c>
      <c r="EM82" s="50">
        <f xml:space="preserve"> 'WK2015'!EV92</f>
        <v>8970.346917400002</v>
      </c>
      <c r="EN82" s="50">
        <f xml:space="preserve"> 'WK2015'!EY92</f>
        <v>10802.775677400001</v>
      </c>
      <c r="EO82" s="50">
        <f xml:space="preserve"> 'WK2015'!EZ92</f>
        <v>8970.346917400002</v>
      </c>
      <c r="EP82" s="50">
        <f xml:space="preserve"> 'WK2015'!FA92</f>
        <v>10802.775677400001</v>
      </c>
      <c r="EQ82" s="50">
        <f xml:space="preserve"> 'WK2015'!FB92</f>
        <v>8970.346917400002</v>
      </c>
      <c r="ER82" s="61">
        <f xml:space="preserve"> 'WK2015'!EW92</f>
        <v>0.62547407092543472</v>
      </c>
      <c r="ES82" s="1"/>
      <c r="ET82" s="50">
        <f xml:space="preserve"> 'WK2015'!FI92</f>
        <v>8826.4621458000001</v>
      </c>
      <c r="EU82" s="50">
        <f xml:space="preserve"> 'WK2015'!FJ92</f>
        <v>7563.831240999999</v>
      </c>
      <c r="EV82" s="50">
        <f xml:space="preserve"> 'WK2015'!FM92</f>
        <v>8826.4621458000001</v>
      </c>
      <c r="EW82" s="50">
        <f xml:space="preserve"> 'WK2015'!FN92</f>
        <v>7563.831240999999</v>
      </c>
      <c r="EX82" s="50">
        <f xml:space="preserve"> 'WK2015'!FO92</f>
        <v>8826.4621458000001</v>
      </c>
      <c r="EY82" s="50">
        <f xml:space="preserve"> 'WK2015'!FP92</f>
        <v>7563.831240999999</v>
      </c>
      <c r="EZ82" s="61">
        <f xml:space="preserve"> 'WK2015'!FK92</f>
        <v>0.64313945053353838</v>
      </c>
      <c r="FA82" s="1"/>
      <c r="FB82" s="50">
        <f xml:space="preserve"> 'WK2015'!FW92</f>
        <v>733.13914560000012</v>
      </c>
      <c r="FC82" s="50">
        <f xml:space="preserve"> 'WK2015'!FX92</f>
        <v>684.91104559999997</v>
      </c>
      <c r="FD82" s="50">
        <f xml:space="preserve"> 'WK2015'!GA92</f>
        <v>733.13914560000012</v>
      </c>
      <c r="FE82" s="50">
        <f xml:space="preserve"> 'WK2015'!GB92</f>
        <v>684.91104559999997</v>
      </c>
      <c r="FF82" s="50">
        <f xml:space="preserve"> 'WK2015'!GC92</f>
        <v>733.13914560000012</v>
      </c>
      <c r="FG82" s="50">
        <f xml:space="preserve"> 'WK2015'!GD92</f>
        <v>684.91104559999997</v>
      </c>
      <c r="FH82" s="61">
        <f xml:space="preserve"> 'WK2015'!FY92</f>
        <v>0.63023333145345739</v>
      </c>
      <c r="FI82" s="1"/>
      <c r="FJ82" s="50">
        <f xml:space="preserve"> 'WK2015'!GK92</f>
        <v>1471.8613815000003</v>
      </c>
      <c r="FK82" s="50">
        <f xml:space="preserve"> 'WK2015'!GL92</f>
        <v>1379.7405119999999</v>
      </c>
      <c r="FL82" s="50">
        <f xml:space="preserve"> 'WK2015'!GO92</f>
        <v>1471.8613815000003</v>
      </c>
      <c r="FM82" s="50">
        <f xml:space="preserve"> 'WK2015'!GP92</f>
        <v>1379.7405119999999</v>
      </c>
      <c r="FN82" s="50">
        <f xml:space="preserve"> 'WK2015'!GQ92</f>
        <v>1471.8613815000003</v>
      </c>
      <c r="FO82" s="50">
        <f xml:space="preserve"> 'WK2015'!GR92</f>
        <v>1379.7405119999999</v>
      </c>
      <c r="FP82" s="61">
        <f xml:space="preserve"> 'WK2015'!GM92</f>
        <v>0.64893510884390415</v>
      </c>
      <c r="FS82" s="283">
        <f xml:space="preserve"> 'WK2015'!H92</f>
        <v>5349.1780200000003</v>
      </c>
      <c r="FT82" s="283">
        <f xml:space="preserve"> 'WK2015'!I92</f>
        <v>4730.6784100000004</v>
      </c>
      <c r="FU82" s="283">
        <f xml:space="preserve"> 'WK2015'!L92</f>
        <v>5349.1780200000003</v>
      </c>
      <c r="FV82" s="283">
        <f xml:space="preserve"> 'WK2015'!M92</f>
        <v>4730.6784100000004</v>
      </c>
      <c r="FW82" s="283">
        <f xml:space="preserve"> 'WK2015'!N92</f>
        <v>5349.1780200000003</v>
      </c>
      <c r="FX82" s="283">
        <f xml:space="preserve"> 'WK2015'!O92</f>
        <v>4730.6784100000004</v>
      </c>
      <c r="FY82" s="284">
        <f xml:space="preserve"> 'WK2015'!P92</f>
        <v>0.63137943476166092</v>
      </c>
      <c r="GA82" s="283">
        <f xml:space="preserve"> 'WK2015'!HB92</f>
        <v>4865.7630360000003</v>
      </c>
      <c r="GB82" s="283">
        <f xml:space="preserve"> 'WK2015'!HC92</f>
        <v>4487.4262689999996</v>
      </c>
      <c r="GC82" s="283">
        <f xml:space="preserve"> 'WK2015'!HF92</f>
        <v>4865.7630360000003</v>
      </c>
      <c r="GD82" s="283">
        <f xml:space="preserve"> 'WK2015'!HG92</f>
        <v>4487.4262689999996</v>
      </c>
      <c r="GE82" s="283">
        <f xml:space="preserve"> 'WK2015'!HH92</f>
        <v>4865.7630360000003</v>
      </c>
      <c r="GF82" s="283">
        <f xml:space="preserve"> 'WK2015'!HI92</f>
        <v>4487.4262689999996</v>
      </c>
      <c r="GG82" s="284">
        <f xml:space="preserve"> 'WK2015'!HJ92</f>
        <v>0.66767784025635724</v>
      </c>
      <c r="GI82" s="283">
        <f xml:space="preserve"> 'WK2015'!HQ92</f>
        <v>4984.5377399999998</v>
      </c>
      <c r="GJ82" s="283">
        <f xml:space="preserve"> 'WK2015'!HR92</f>
        <v>4580.512839</v>
      </c>
      <c r="GK82" s="283">
        <f xml:space="preserve"> 'WK2015'!HU92</f>
        <v>4984.5377399999998</v>
      </c>
      <c r="GL82" s="283">
        <f xml:space="preserve"> 'WK2015'!HV92</f>
        <v>4580.512839</v>
      </c>
      <c r="GM82" s="283">
        <f xml:space="preserve"> 'WK2015'!HW92</f>
        <v>4984.5377399999998</v>
      </c>
      <c r="GN82" s="283">
        <f xml:space="preserve"> 'WK2015'!HX92</f>
        <v>4580.512839</v>
      </c>
      <c r="GO82" s="284">
        <f xml:space="preserve"> 'WK2015'!HY92</f>
        <v>0.61393606182425131</v>
      </c>
    </row>
    <row r="83" spans="1:197" x14ac:dyDescent="0.2">
      <c r="A83" s="3">
        <f>Basis!A83</f>
        <v>83</v>
      </c>
      <c r="D83" s="252" t="e">
        <v>#N/A</v>
      </c>
      <c r="E83" s="252" t="e">
        <v>#N/A</v>
      </c>
      <c r="H83" s="50">
        <f xml:space="preserve"> 'WK2012'!EG93</f>
        <v>10584.643978772723</v>
      </c>
      <c r="I83" s="50">
        <f xml:space="preserve"> 'WK2012'!EH93</f>
        <v>9569.8680501592207</v>
      </c>
      <c r="J83" s="50">
        <f xml:space="preserve"> 'WK2012'!EK93</f>
        <v>10584.643978772723</v>
      </c>
      <c r="K83" s="50">
        <f xml:space="preserve"> 'WK2012'!EL93</f>
        <v>9569.8680501592207</v>
      </c>
      <c r="L83" s="50">
        <f xml:space="preserve"> 'WK2012'!EM93</f>
        <v>10584.643978772723</v>
      </c>
      <c r="M83" s="50">
        <f xml:space="preserve"> 'WK2012'!EN93</f>
        <v>9569.8680501592207</v>
      </c>
      <c r="N83" s="61">
        <f xml:space="preserve"> 'WK2012'!EI93</f>
        <v>0.55941324986380059</v>
      </c>
      <c r="P83" s="50">
        <f xml:space="preserve"> 'WK2012'!EU93</f>
        <v>9804.511345696892</v>
      </c>
      <c r="Q83" s="50">
        <f xml:space="preserve"> 'WK2012'!EV93</f>
        <v>8840.677843364303</v>
      </c>
      <c r="R83" s="50">
        <f xml:space="preserve"> 'WK2012'!EY93</f>
        <v>9804.511345696892</v>
      </c>
      <c r="S83" s="50">
        <f xml:space="preserve"> 'WK2012'!EZ93</f>
        <v>8840.677843364303</v>
      </c>
      <c r="T83" s="50">
        <f xml:space="preserve"> 'WK2012'!FA93</f>
        <v>9804.511345696892</v>
      </c>
      <c r="U83" s="50">
        <f xml:space="preserve"> 'WK2012'!FB93</f>
        <v>8840.677843364303</v>
      </c>
      <c r="V83" s="61">
        <f xml:space="preserve"> 'WK2012'!EW93</f>
        <v>0.57178322820050798</v>
      </c>
      <c r="X83" s="50">
        <f xml:space="preserve"> 'WK2012'!FI93</f>
        <v>7153.6501426074183</v>
      </c>
      <c r="Y83" s="50">
        <f xml:space="preserve"> 'WK2012'!FJ93</f>
        <v>6324.8762991725916</v>
      </c>
      <c r="Z83" s="50">
        <f xml:space="preserve"> 'WK2012'!FM93</f>
        <v>7153.6501426074183</v>
      </c>
      <c r="AA83" s="50">
        <f xml:space="preserve"> 'WK2012'!FN93</f>
        <v>6324.8762991725916</v>
      </c>
      <c r="AB83" s="50">
        <f xml:space="preserve"> 'WK2012'!FO93</f>
        <v>7153.6501426074183</v>
      </c>
      <c r="AC83" s="50">
        <f xml:space="preserve"> 'WK2012'!FP93</f>
        <v>6324.8762991725916</v>
      </c>
      <c r="AD83" s="61">
        <f xml:space="preserve"> 'WK2012'!FK93</f>
        <v>0.57858285286583477</v>
      </c>
      <c r="AF83" s="50">
        <f xml:space="preserve"> 'WK2012'!FW93</f>
        <v>1579.77388449106</v>
      </c>
      <c r="AG83" s="50">
        <f xml:space="preserve"> 'WK2012'!FX93</f>
        <v>1023.1347050557208</v>
      </c>
      <c r="AH83" s="50">
        <f xml:space="preserve"> 'WK2012'!GA93</f>
        <v>1579.77388449106</v>
      </c>
      <c r="AI83" s="50">
        <f xml:space="preserve"> 'WK2012'!GB93</f>
        <v>1023.1347050557208</v>
      </c>
      <c r="AJ83" s="50">
        <f xml:space="preserve"> 'WK2012'!GC93</f>
        <v>1579.77388449106</v>
      </c>
      <c r="AK83" s="50">
        <f xml:space="preserve"> 'WK2012'!GD93</f>
        <v>1023.1347050557208</v>
      </c>
      <c r="AL83" s="61">
        <f xml:space="preserve"> 'WK2012'!FY93</f>
        <v>0.57431393738513237</v>
      </c>
      <c r="AN83" s="50">
        <f xml:space="preserve"> 'WK2012'!GK93</f>
        <v>462.6826786255013</v>
      </c>
      <c r="AO83" s="50">
        <f xml:space="preserve"> 'WK2012'!GL93</f>
        <v>415.91348203887219</v>
      </c>
      <c r="AP83" s="50">
        <f xml:space="preserve"> 'WK2012'!GO93</f>
        <v>462.6826786255013</v>
      </c>
      <c r="AQ83" s="50">
        <f xml:space="preserve"> 'WK2012'!GP93</f>
        <v>415.91348203887219</v>
      </c>
      <c r="AR83" s="50">
        <f xml:space="preserve"> 'WK2012'!GQ93</f>
        <v>462.6826786255013</v>
      </c>
      <c r="AS83" s="50">
        <f xml:space="preserve"> 'WK2012'!GR93</f>
        <v>415.91348203887219</v>
      </c>
      <c r="AT83" s="61">
        <f xml:space="preserve"> 'WK2012'!GM93</f>
        <v>0.5693933545375568</v>
      </c>
      <c r="AX83" s="50">
        <f xml:space="preserve"> 'WK2013'!EG93</f>
        <v>11906.102066400001</v>
      </c>
      <c r="AY83" s="50">
        <f xml:space="preserve"> 'WK2013'!EH93</f>
        <v>10350.7605202</v>
      </c>
      <c r="AZ83" s="50">
        <f xml:space="preserve"> 'WK2013'!EK93</f>
        <v>11906.102066400001</v>
      </c>
      <c r="BA83" s="50">
        <f xml:space="preserve"> 'WK2013'!EL93</f>
        <v>10350.7605202</v>
      </c>
      <c r="BB83" s="50">
        <f xml:space="preserve"> 'WK2013'!EM93</f>
        <v>11906.102066400001</v>
      </c>
      <c r="BC83" s="50">
        <f xml:space="preserve"> 'WK2013'!EN93</f>
        <v>10350.7605202</v>
      </c>
      <c r="BD83" s="61">
        <f xml:space="preserve"> 'WK2013'!EI93</f>
        <v>0.55892402723916745</v>
      </c>
      <c r="BF83" s="50">
        <f xml:space="preserve"> 'WK2013'!EU93</f>
        <v>10901.631646600001</v>
      </c>
      <c r="BG83" s="50">
        <f xml:space="preserve"> 'WK2013'!EV93</f>
        <v>9146.4507667999987</v>
      </c>
      <c r="BH83" s="50">
        <f xml:space="preserve"> 'WK2013'!EY93</f>
        <v>10901.631646600001</v>
      </c>
      <c r="BI83" s="50">
        <f xml:space="preserve"> 'WK2013'!EZ93</f>
        <v>9146.4507667999987</v>
      </c>
      <c r="BJ83" s="50">
        <f xml:space="preserve"> 'WK2013'!FA93</f>
        <v>10901.631646600001</v>
      </c>
      <c r="BK83" s="50">
        <f xml:space="preserve"> 'WK2013'!FB93</f>
        <v>9146.4507667999987</v>
      </c>
      <c r="BL83" s="61">
        <f xml:space="preserve"> 'WK2013'!EW93</f>
        <v>0.57530021978608581</v>
      </c>
      <c r="BN83" s="50">
        <f xml:space="preserve"> 'WK2013'!FI93</f>
        <v>8344.1498835999992</v>
      </c>
      <c r="BO83" s="50">
        <f xml:space="preserve"> 'WK2013'!FJ93</f>
        <v>7269.4534037999993</v>
      </c>
      <c r="BP83" s="50">
        <f xml:space="preserve"> 'WK2013'!FM93</f>
        <v>8344.1498835999992</v>
      </c>
      <c r="BQ83" s="50">
        <f xml:space="preserve"> 'WK2013'!FN93</f>
        <v>7269.4534037999993</v>
      </c>
      <c r="BR83" s="50">
        <f xml:space="preserve"> 'WK2013'!FO93</f>
        <v>8344.1498835999992</v>
      </c>
      <c r="BS83" s="50">
        <f xml:space="preserve"> 'WK2013'!FP93</f>
        <v>7269.4534037999993</v>
      </c>
      <c r="BT83" s="61">
        <f xml:space="preserve"> 'WK2013'!FK93</f>
        <v>0.5747715179086218</v>
      </c>
      <c r="BV83" s="50">
        <f xml:space="preserve"> 'WK2013'!FW93</f>
        <v>665.13767840000003</v>
      </c>
      <c r="BW83" s="50">
        <f xml:space="preserve"> 'WK2013'!FX93</f>
        <v>602.32209720000003</v>
      </c>
      <c r="BX83" s="50">
        <f xml:space="preserve"> 'WK2013'!GA93</f>
        <v>665.13767840000003</v>
      </c>
      <c r="BY83" s="50">
        <f xml:space="preserve"> 'WK2013'!GB93</f>
        <v>602.32209720000003</v>
      </c>
      <c r="BZ83" s="50">
        <f xml:space="preserve"> 'WK2013'!GC93</f>
        <v>665.13767840000003</v>
      </c>
      <c r="CA83" s="50">
        <f xml:space="preserve"> 'WK2013'!GD93</f>
        <v>602.32209720000003</v>
      </c>
      <c r="CB83" s="61">
        <f xml:space="preserve"> 'WK2013'!FY93</f>
        <v>0.57517938255422663</v>
      </c>
      <c r="CD83" s="50">
        <f xml:space="preserve"> 'WK2013'!GK93</f>
        <v>1524.9583725000002</v>
      </c>
      <c r="CE83" s="50">
        <f xml:space="preserve"> 'WK2013'!GL93</f>
        <v>1274.6770702500007</v>
      </c>
      <c r="CF83" s="50">
        <f xml:space="preserve"> 'WK2013'!GO93</f>
        <v>1524.9583725000002</v>
      </c>
      <c r="CG83" s="50">
        <f xml:space="preserve"> 'WK2013'!GP93</f>
        <v>1274.6770702500007</v>
      </c>
      <c r="CH83" s="50">
        <f xml:space="preserve"> 'WK2013'!GQ93</f>
        <v>1524.9583725000002</v>
      </c>
      <c r="CI83" s="50">
        <f xml:space="preserve"> 'WK2013'!GR93</f>
        <v>1274.6770702500007</v>
      </c>
      <c r="CJ83" s="61">
        <f xml:space="preserve"> 'WK2013'!GM93</f>
        <v>0.60062432719631553</v>
      </c>
      <c r="CN83" s="50">
        <f xml:space="preserve"> 'WK2014'!EG93</f>
        <v>12001.791432399998</v>
      </c>
      <c r="CO83" s="50">
        <f xml:space="preserve"> 'WK2014'!EH93</f>
        <v>10469.511471600001</v>
      </c>
      <c r="CP83" s="50">
        <f xml:space="preserve"> 'WK2014'!EK93</f>
        <v>12001.791432399998</v>
      </c>
      <c r="CQ83" s="50">
        <f xml:space="preserve"> 'WK2014'!EL93</f>
        <v>10469.511471600001</v>
      </c>
      <c r="CR83" s="50">
        <f xml:space="preserve"> 'WK2014'!EM93</f>
        <v>12001.791432399998</v>
      </c>
      <c r="CS83" s="50">
        <f xml:space="preserve"> 'WK2014'!EN93</f>
        <v>10469.511471600001</v>
      </c>
      <c r="CT83" s="61">
        <f xml:space="preserve"> 'WK2014'!EI93</f>
        <v>0.59936888064408322</v>
      </c>
      <c r="CV83" s="50">
        <f xml:space="preserve"> 'WK2014'!EU93</f>
        <v>10138.978873099999</v>
      </c>
      <c r="CW83" s="50">
        <f xml:space="preserve"> 'WK2014'!EV93</f>
        <v>8063.1232804000001</v>
      </c>
      <c r="CX83" s="50">
        <f xml:space="preserve"> 'WK2014'!EY93</f>
        <v>10138.978873099999</v>
      </c>
      <c r="CY83" s="50">
        <f xml:space="preserve"> 'WK2014'!EZ93</f>
        <v>8063.1232804000001</v>
      </c>
      <c r="CZ83" s="50">
        <f xml:space="preserve"> 'WK2014'!FA93</f>
        <v>10138.978873099999</v>
      </c>
      <c r="DA83" s="50">
        <f xml:space="preserve"> 'WK2014'!FB93</f>
        <v>8063.1232804000001</v>
      </c>
      <c r="DB83" s="61">
        <f xml:space="preserve"> 'WK2014'!EW93</f>
        <v>0.58687840457022167</v>
      </c>
      <c r="DC83" s="1"/>
      <c r="DD83" s="50">
        <f xml:space="preserve"> 'WK2014'!FI93</f>
        <v>7639.7989696000004</v>
      </c>
      <c r="DE83" s="50">
        <f xml:space="preserve"> 'WK2014'!FJ93</f>
        <v>6603.3206848000009</v>
      </c>
      <c r="DF83" s="50">
        <f xml:space="preserve"> 'WK2014'!FM93</f>
        <v>7639.7989750920779</v>
      </c>
      <c r="DG83" s="50">
        <f xml:space="preserve"> 'WK2014'!FN93</f>
        <v>6603.3206788920788</v>
      </c>
      <c r="DH83" s="50">
        <f xml:space="preserve"> 'WK2014'!FO93</f>
        <v>7639.7989696000004</v>
      </c>
      <c r="DI83" s="50">
        <f xml:space="preserve"> 'WK2014'!FP93</f>
        <v>6603.3206734000005</v>
      </c>
      <c r="DJ83" s="61">
        <f xml:space="preserve"> 'WK2014'!FK93</f>
        <v>0.60686869796008236</v>
      </c>
      <c r="DK83" s="1"/>
      <c r="DL83" s="50">
        <f xml:space="preserve"> 'WK2014'!FW93</f>
        <v>656.14310640000008</v>
      </c>
      <c r="DM83" s="50">
        <f xml:space="preserve"> 'WK2014'!FX93</f>
        <v>599.27711360000012</v>
      </c>
      <c r="DN83" s="50">
        <f xml:space="preserve"> 'WK2014'!GA93</f>
        <v>656.14310640000008</v>
      </c>
      <c r="DO83" s="50">
        <f xml:space="preserve"> 'WK2014'!GB93</f>
        <v>599.27711360000012</v>
      </c>
      <c r="DP83" s="50">
        <f xml:space="preserve"> 'WK2014'!GC93</f>
        <v>656.14310640000008</v>
      </c>
      <c r="DQ83" s="50">
        <f xml:space="preserve"> 'WK2014'!GD93</f>
        <v>599.27711360000012</v>
      </c>
      <c r="DR83" s="61">
        <f xml:space="preserve"> 'WK2014'!FY93</f>
        <v>0.59447244727114668</v>
      </c>
      <c r="DS83" s="1"/>
      <c r="DT83" s="50">
        <f xml:space="preserve"> 'WK2014'!GK93</f>
        <v>2247.363672</v>
      </c>
      <c r="DU83" s="50">
        <f xml:space="preserve"> 'WK2014'!GL93</f>
        <v>1912.3777635000001</v>
      </c>
      <c r="DV83" s="50">
        <f xml:space="preserve"> 'WK2014'!GO93</f>
        <v>2247.363672</v>
      </c>
      <c r="DW83" s="50">
        <f xml:space="preserve"> 'WK2014'!GP93</f>
        <v>1912.3777635000001</v>
      </c>
      <c r="DX83" s="50">
        <f xml:space="preserve"> 'WK2014'!GQ93</f>
        <v>2247.363672</v>
      </c>
      <c r="DY83" s="50">
        <f xml:space="preserve"> 'WK2014'!GR93</f>
        <v>1912.3777635000001</v>
      </c>
      <c r="DZ83" s="61">
        <f xml:space="preserve"> 'WK2014'!GM93</f>
        <v>0.61835538732529827</v>
      </c>
      <c r="ED83" s="50">
        <f xml:space="preserve"> 'WK2015'!EG93</f>
        <v>11518.698287399999</v>
      </c>
      <c r="EE83" s="50">
        <f xml:space="preserve"> 'WK2015'!EH93</f>
        <v>9786.2078092000011</v>
      </c>
      <c r="EF83" s="50">
        <f xml:space="preserve"> 'WK2015'!EK93</f>
        <v>11518.698287399999</v>
      </c>
      <c r="EG83" s="50">
        <f xml:space="preserve"> 'WK2015'!EL93</f>
        <v>9786.2078092000011</v>
      </c>
      <c r="EH83" s="50">
        <f xml:space="preserve"> 'WK2015'!EM93</f>
        <v>11518.698287399999</v>
      </c>
      <c r="EI83" s="50">
        <f xml:space="preserve"> 'WK2015'!EN93</f>
        <v>9786.2078092000011</v>
      </c>
      <c r="EJ83" s="61">
        <f xml:space="preserve"> 'WK2015'!EI93</f>
        <v>0.6150510753329731</v>
      </c>
      <c r="EK83" s="1"/>
      <c r="EL83" s="50">
        <f xml:space="preserve"> 'WK2015'!EU93</f>
        <v>11065.764541100001</v>
      </c>
      <c r="EM83" s="50">
        <f xml:space="preserve"> 'WK2015'!EV93</f>
        <v>9126.684347800001</v>
      </c>
      <c r="EN83" s="50">
        <f xml:space="preserve"> 'WK2015'!EY93</f>
        <v>11065.764541100001</v>
      </c>
      <c r="EO83" s="50">
        <f xml:space="preserve"> 'WK2015'!EZ93</f>
        <v>9126.684347800001</v>
      </c>
      <c r="EP83" s="50">
        <f xml:space="preserve"> 'WK2015'!FA93</f>
        <v>11065.764541100001</v>
      </c>
      <c r="EQ83" s="50">
        <f xml:space="preserve"> 'WK2015'!FB93</f>
        <v>9126.684347800001</v>
      </c>
      <c r="ER83" s="61">
        <f xml:space="preserve"> 'WK2015'!EW93</f>
        <v>0.6154386921356122</v>
      </c>
      <c r="ES83" s="1"/>
      <c r="ET83" s="50">
        <f xml:space="preserve"> 'WK2015'!FI93</f>
        <v>9100.5270342000003</v>
      </c>
      <c r="EU83" s="50">
        <f xml:space="preserve"> 'WK2015'!FJ93</f>
        <v>7721.7955721999997</v>
      </c>
      <c r="EV83" s="50">
        <f xml:space="preserve"> 'WK2015'!FM93</f>
        <v>9100.5270342000003</v>
      </c>
      <c r="EW83" s="50">
        <f xml:space="preserve"> 'WK2015'!FN93</f>
        <v>7721.7955721999997</v>
      </c>
      <c r="EX83" s="50">
        <f xml:space="preserve"> 'WK2015'!FO93</f>
        <v>9100.5270342000003</v>
      </c>
      <c r="EY83" s="50">
        <f xml:space="preserve"> 'WK2015'!FP93</f>
        <v>7721.7955721999997</v>
      </c>
      <c r="EZ83" s="61">
        <f xml:space="preserve"> 'WK2015'!FK93</f>
        <v>0.62882714824596275</v>
      </c>
      <c r="FA83" s="1"/>
      <c r="FB83" s="50">
        <f xml:space="preserve"> 'WK2015'!FW93</f>
        <v>708.39460240000005</v>
      </c>
      <c r="FC83" s="50">
        <f xml:space="preserve"> 'WK2015'!FX93</f>
        <v>651.66036320000001</v>
      </c>
      <c r="FD83" s="50">
        <f xml:space="preserve"> 'WK2015'!GA93</f>
        <v>708.39460240000005</v>
      </c>
      <c r="FE83" s="50">
        <f xml:space="preserve"> 'WK2015'!GB93</f>
        <v>651.66036320000001</v>
      </c>
      <c r="FF83" s="50">
        <f xml:space="preserve"> 'WK2015'!GC93</f>
        <v>708.39460240000005</v>
      </c>
      <c r="FG83" s="50">
        <f xml:space="preserve"> 'WK2015'!GD93</f>
        <v>651.66036320000001</v>
      </c>
      <c r="FH83" s="61">
        <f xml:space="preserve"> 'WK2015'!FY93</f>
        <v>0.61642348569241179</v>
      </c>
      <c r="FI83" s="1"/>
      <c r="FJ83" s="50">
        <f xml:space="preserve"> 'WK2015'!GK93</f>
        <v>1528.2356084999999</v>
      </c>
      <c r="FK83" s="50">
        <f xml:space="preserve"> 'WK2015'!GL93</f>
        <v>1431.5835645000002</v>
      </c>
      <c r="FL83" s="50">
        <f xml:space="preserve"> 'WK2015'!GO93</f>
        <v>1528.2356084999999</v>
      </c>
      <c r="FM83" s="50">
        <f xml:space="preserve"> 'WK2015'!GP93</f>
        <v>1431.5835645000002</v>
      </c>
      <c r="FN83" s="50">
        <f xml:space="preserve"> 'WK2015'!GQ93</f>
        <v>1528.2356084999999</v>
      </c>
      <c r="FO83" s="50">
        <f xml:space="preserve"> 'WK2015'!GR93</f>
        <v>1431.5835645000002</v>
      </c>
      <c r="FP83" s="61">
        <f xml:space="preserve"> 'WK2015'!GM93</f>
        <v>0.62439911655272951</v>
      </c>
      <c r="FS83" s="283">
        <f xml:space="preserve"> 'WK2015'!H93</f>
        <v>5447.588495</v>
      </c>
      <c r="FT83" s="283">
        <f xml:space="preserve"> 'WK2015'!I93</f>
        <v>4803.4719379999997</v>
      </c>
      <c r="FU83" s="283">
        <f xml:space="preserve"> 'WK2015'!L93</f>
        <v>5447.588495</v>
      </c>
      <c r="FV83" s="283">
        <f xml:space="preserve"> 'WK2015'!M93</f>
        <v>4803.4719379999997</v>
      </c>
      <c r="FW83" s="283">
        <f xml:space="preserve"> 'WK2015'!N93</f>
        <v>5447.588495</v>
      </c>
      <c r="FX83" s="283">
        <f xml:space="preserve"> 'WK2015'!O93</f>
        <v>4803.4719379999997</v>
      </c>
      <c r="FY83" s="284">
        <f xml:space="preserve"> 'WK2015'!P93</f>
        <v>0.63201624785388877</v>
      </c>
      <c r="GA83" s="283">
        <f xml:space="preserve"> 'WK2015'!HB93</f>
        <v>5007.7610340000001</v>
      </c>
      <c r="GB83" s="283">
        <f xml:space="preserve"> 'WK2015'!HC93</f>
        <v>4587.6326469999995</v>
      </c>
      <c r="GC83" s="283">
        <f xml:space="preserve"> 'WK2015'!HF93</f>
        <v>5007.7610340000001</v>
      </c>
      <c r="GD83" s="283">
        <f xml:space="preserve"> 'WK2015'!HG93</f>
        <v>4587.6326469999995</v>
      </c>
      <c r="GE83" s="283">
        <f xml:space="preserve"> 'WK2015'!HH93</f>
        <v>5007.7610340000001</v>
      </c>
      <c r="GF83" s="283">
        <f xml:space="preserve"> 'WK2015'!HI93</f>
        <v>4587.6326469999995</v>
      </c>
      <c r="GG83" s="284">
        <f xml:space="preserve"> 'WK2015'!HJ93</f>
        <v>0.6386720603103877</v>
      </c>
      <c r="GI83" s="283">
        <f xml:space="preserve"> 'WK2015'!HQ93</f>
        <v>5108.1995299999999</v>
      </c>
      <c r="GJ83" s="283">
        <f xml:space="preserve"> 'WK2015'!HR93</f>
        <v>4663.8047609999994</v>
      </c>
      <c r="GK83" s="283">
        <f xml:space="preserve"> 'WK2015'!HU93</f>
        <v>5108.1995299999999</v>
      </c>
      <c r="GL83" s="283">
        <f xml:space="preserve"> 'WK2015'!HV93</f>
        <v>4663.8047609999994</v>
      </c>
      <c r="GM83" s="283">
        <f xml:space="preserve"> 'WK2015'!HW93</f>
        <v>5108.1995299999999</v>
      </c>
      <c r="GN83" s="283">
        <f xml:space="preserve"> 'WK2015'!HX93</f>
        <v>4663.8047609999994</v>
      </c>
      <c r="GO83" s="284">
        <f xml:space="preserve"> 'WK2015'!HY93</f>
        <v>0.65821335461693631</v>
      </c>
    </row>
    <row r="84" spans="1:197" x14ac:dyDescent="0.2">
      <c r="A84" s="3">
        <f>Basis!A84</f>
        <v>84</v>
      </c>
      <c r="D84" s="252" t="e">
        <v>#N/A</v>
      </c>
      <c r="E84" s="252" t="e">
        <v>#N/A</v>
      </c>
      <c r="H84" s="50">
        <f xml:space="preserve"> 'WK2012'!EG94</f>
        <v>10814.123507472292</v>
      </c>
      <c r="I84" s="50">
        <f xml:space="preserve"> 'WK2012'!EH94</f>
        <v>9699.6902680142975</v>
      </c>
      <c r="J84" s="50">
        <f xml:space="preserve"> 'WK2012'!EK94</f>
        <v>10814.123507472292</v>
      </c>
      <c r="K84" s="50">
        <f xml:space="preserve"> 'WK2012'!EL94</f>
        <v>9699.6902680142975</v>
      </c>
      <c r="L84" s="50">
        <f xml:space="preserve"> 'WK2012'!EM94</f>
        <v>10814.123507472292</v>
      </c>
      <c r="M84" s="50">
        <f xml:space="preserve"> 'WK2012'!EN94</f>
        <v>9699.6902680142975</v>
      </c>
      <c r="N84" s="61">
        <f xml:space="preserve"> 'WK2012'!EI94</f>
        <v>0.53880680815243687</v>
      </c>
      <c r="P84" s="50">
        <f xml:space="preserve"> 'WK2012'!EU94</f>
        <v>9970.7268827191656</v>
      </c>
      <c r="Q84" s="50">
        <f xml:space="preserve"> 'WK2012'!EV94</f>
        <v>8947.8220259228565</v>
      </c>
      <c r="R84" s="50">
        <f xml:space="preserve"> 'WK2012'!EY94</f>
        <v>9970.7268827191656</v>
      </c>
      <c r="S84" s="50">
        <f xml:space="preserve"> 'WK2012'!EZ94</f>
        <v>8947.8220259228565</v>
      </c>
      <c r="T84" s="50">
        <f xml:space="preserve"> 'WK2012'!FA94</f>
        <v>9970.7268827191656</v>
      </c>
      <c r="U84" s="50">
        <f xml:space="preserve"> 'WK2012'!FB94</f>
        <v>8947.8220259228565</v>
      </c>
      <c r="V84" s="61">
        <f xml:space="preserve"> 'WK2012'!EW94</f>
        <v>0.54743905922331415</v>
      </c>
      <c r="X84" s="50">
        <f xml:space="preserve"> 'WK2012'!FI94</f>
        <v>7293.2517420084496</v>
      </c>
      <c r="Y84" s="50">
        <f xml:space="preserve"> 'WK2012'!FJ94</f>
        <v>6430.7776030292025</v>
      </c>
      <c r="Z84" s="50">
        <f xml:space="preserve"> 'WK2012'!FM94</f>
        <v>7293.2517420084496</v>
      </c>
      <c r="AA84" s="50">
        <f xml:space="preserve"> 'WK2012'!FN94</f>
        <v>6430.7776030292025</v>
      </c>
      <c r="AB84" s="50">
        <f xml:space="preserve"> 'WK2012'!FO94</f>
        <v>7293.2517420084496</v>
      </c>
      <c r="AC84" s="50">
        <f xml:space="preserve"> 'WK2012'!FP94</f>
        <v>6430.7776030292025</v>
      </c>
      <c r="AD84" s="61">
        <f xml:space="preserve"> 'WK2012'!FK94</f>
        <v>0.53587607939530646</v>
      </c>
      <c r="AF84" s="50">
        <f xml:space="preserve"> 'WK2012'!FW94</f>
        <v>1637.3218646184082</v>
      </c>
      <c r="AG84" s="50">
        <f xml:space="preserve"> 'WK2012'!FX94</f>
        <v>1054.3416918145958</v>
      </c>
      <c r="AH84" s="50">
        <f xml:space="preserve"> 'WK2012'!GA94</f>
        <v>1637.3218646184082</v>
      </c>
      <c r="AI84" s="50">
        <f xml:space="preserve"> 'WK2012'!GB94</f>
        <v>1054.3416918145958</v>
      </c>
      <c r="AJ84" s="50">
        <f xml:space="preserve"> 'WK2012'!GC94</f>
        <v>1637.3218646184082</v>
      </c>
      <c r="AK84" s="50">
        <f xml:space="preserve"> 'WK2012'!GD94</f>
        <v>1054.3416918145958</v>
      </c>
      <c r="AL84" s="61">
        <f xml:space="preserve"> 'WK2012'!FY94</f>
        <v>0.56965693783703886</v>
      </c>
      <c r="AN84" s="50">
        <f xml:space="preserve"> 'WK2012'!GK94</f>
        <v>443.89361465731224</v>
      </c>
      <c r="AO84" s="50">
        <f xml:space="preserve"> 'WK2012'!GL94</f>
        <v>392.68473001119725</v>
      </c>
      <c r="AP84" s="50">
        <f xml:space="preserve"> 'WK2012'!GO94</f>
        <v>443.89361465731224</v>
      </c>
      <c r="AQ84" s="50">
        <f xml:space="preserve"> 'WK2012'!GP94</f>
        <v>392.68473001119725</v>
      </c>
      <c r="AR84" s="50">
        <f xml:space="preserve"> 'WK2012'!GQ94</f>
        <v>443.89361465731224</v>
      </c>
      <c r="AS84" s="50">
        <f xml:space="preserve"> 'WK2012'!GR94</f>
        <v>392.68473001119725</v>
      </c>
      <c r="AT84" s="61">
        <f xml:space="preserve"> 'WK2012'!GM94</f>
        <v>0.52359028838422816</v>
      </c>
      <c r="AX84" s="50">
        <f xml:space="preserve"> 'WK2013'!EG94</f>
        <v>12140.8825846</v>
      </c>
      <c r="AY84" s="50">
        <f xml:space="preserve"> 'WK2013'!EH94</f>
        <v>10499.1280202</v>
      </c>
      <c r="AZ84" s="50">
        <f xml:space="preserve"> 'WK2013'!EK94</f>
        <v>12140.8825846</v>
      </c>
      <c r="BA84" s="50">
        <f xml:space="preserve"> 'WK2013'!EL94</f>
        <v>10499.1280202</v>
      </c>
      <c r="BB84" s="50">
        <f xml:space="preserve"> 'WK2013'!EM94</f>
        <v>12140.8825846</v>
      </c>
      <c r="BC84" s="50">
        <f xml:space="preserve"> 'WK2013'!EN94</f>
        <v>10499.1280202</v>
      </c>
      <c r="BD84" s="61">
        <f xml:space="preserve"> 'WK2013'!EI94</f>
        <v>0.53124753214965437</v>
      </c>
      <c r="BF84" s="50">
        <f xml:space="preserve"> 'WK2013'!EU94</f>
        <v>11071.208238899999</v>
      </c>
      <c r="BG84" s="50">
        <f xml:space="preserve"> 'WK2013'!EV94</f>
        <v>9263.6399918000006</v>
      </c>
      <c r="BH84" s="50">
        <f xml:space="preserve"> 'WK2013'!EY94</f>
        <v>11071.208238899999</v>
      </c>
      <c r="BI84" s="50">
        <f xml:space="preserve"> 'WK2013'!EZ94</f>
        <v>9263.6399918000006</v>
      </c>
      <c r="BJ84" s="50">
        <f xml:space="preserve"> 'WK2013'!FA94</f>
        <v>11071.208238899999</v>
      </c>
      <c r="BK84" s="50">
        <f xml:space="preserve"> 'WK2013'!FB94</f>
        <v>9263.6399918000006</v>
      </c>
      <c r="BL84" s="61">
        <f xml:space="preserve"> 'WK2013'!EW94</f>
        <v>0.54865369128483532</v>
      </c>
      <c r="BN84" s="50">
        <f xml:space="preserve"> 'WK2013'!FI94</f>
        <v>8525.1183602000001</v>
      </c>
      <c r="BO84" s="50">
        <f xml:space="preserve"> 'WK2013'!FJ94</f>
        <v>7416.8090281999994</v>
      </c>
      <c r="BP84" s="50">
        <f xml:space="preserve"> 'WK2013'!FM94</f>
        <v>8525.1183602000001</v>
      </c>
      <c r="BQ84" s="50">
        <f xml:space="preserve"> 'WK2013'!FN94</f>
        <v>7416.8090281999994</v>
      </c>
      <c r="BR84" s="50">
        <f xml:space="preserve"> 'WK2013'!FO94</f>
        <v>8525.1183602000001</v>
      </c>
      <c r="BS84" s="50">
        <f xml:space="preserve"> 'WK2013'!FP94</f>
        <v>7416.8090281999994</v>
      </c>
      <c r="BT84" s="61">
        <f xml:space="preserve"> 'WK2013'!FK94</f>
        <v>0.55549019136349864</v>
      </c>
      <c r="BV84" s="50">
        <f xml:space="preserve"> 'WK2013'!FW94</f>
        <v>639.28420759999995</v>
      </c>
      <c r="BW84" s="50">
        <f xml:space="preserve"> 'WK2013'!FX94</f>
        <v>568.43569420000006</v>
      </c>
      <c r="BX84" s="50">
        <f xml:space="preserve"> 'WK2013'!GA94</f>
        <v>639.28420759999995</v>
      </c>
      <c r="BY84" s="50">
        <f xml:space="preserve"> 'WK2013'!GB94</f>
        <v>568.43569420000006</v>
      </c>
      <c r="BZ84" s="50">
        <f xml:space="preserve"> 'WK2013'!GC94</f>
        <v>639.28420759999995</v>
      </c>
      <c r="CA84" s="50">
        <f xml:space="preserve"> 'WK2013'!GD94</f>
        <v>568.43569420000006</v>
      </c>
      <c r="CB84" s="61">
        <f xml:space="preserve"> 'WK2013'!FY94</f>
        <v>0.54946334117154327</v>
      </c>
      <c r="CD84" s="50">
        <f xml:space="preserve"> 'WK2013'!GK94</f>
        <v>1571.0636347499999</v>
      </c>
      <c r="CE84" s="50">
        <f xml:space="preserve"> 'WK2013'!GL94</f>
        <v>1304.5723905000004</v>
      </c>
      <c r="CF84" s="50">
        <f xml:space="preserve"> 'WK2013'!GO94</f>
        <v>1571.0636347499999</v>
      </c>
      <c r="CG84" s="50">
        <f xml:space="preserve"> 'WK2013'!GP94</f>
        <v>1304.5723905000004</v>
      </c>
      <c r="CH84" s="50">
        <f xml:space="preserve"> 'WK2013'!GQ94</f>
        <v>1571.0636347499999</v>
      </c>
      <c r="CI84" s="50">
        <f xml:space="preserve"> 'WK2013'!GR94</f>
        <v>1304.5723905000004</v>
      </c>
      <c r="CJ84" s="61">
        <f xml:space="preserve"> 'WK2013'!GM94</f>
        <v>0.56579001166140008</v>
      </c>
      <c r="CN84" s="50">
        <f xml:space="preserve"> 'WK2014'!EG94</f>
        <v>12238.610308000001</v>
      </c>
      <c r="CO84" s="50">
        <f xml:space="preserve"> 'WK2014'!EH94</f>
        <v>10633.009546000003</v>
      </c>
      <c r="CP84" s="50">
        <f xml:space="preserve"> 'WK2014'!EK94</f>
        <v>12238.610308000001</v>
      </c>
      <c r="CQ84" s="50">
        <f xml:space="preserve"> 'WK2014'!EL94</f>
        <v>10633.009546000003</v>
      </c>
      <c r="CR84" s="50">
        <f xml:space="preserve"> 'WK2014'!EM94</f>
        <v>12238.610308000001</v>
      </c>
      <c r="CS84" s="50">
        <f xml:space="preserve"> 'WK2014'!EN94</f>
        <v>10633.009546000003</v>
      </c>
      <c r="CT84" s="61">
        <f xml:space="preserve"> 'WK2014'!EI94</f>
        <v>0.57299642987625654</v>
      </c>
      <c r="CV84" s="50">
        <f xml:space="preserve"> 'WK2014'!EU94</f>
        <v>10295.728100499999</v>
      </c>
      <c r="CW84" s="50">
        <f xml:space="preserve"> 'WK2014'!EV94</f>
        <v>8160.2852949999988</v>
      </c>
      <c r="CX84" s="50">
        <f xml:space="preserve"> 'WK2014'!EY94</f>
        <v>10295.728100499999</v>
      </c>
      <c r="CY84" s="50">
        <f xml:space="preserve"> 'WK2014'!EZ94</f>
        <v>8160.2852949999988</v>
      </c>
      <c r="CZ84" s="50">
        <f xml:space="preserve"> 'WK2014'!FA94</f>
        <v>10295.728100499999</v>
      </c>
      <c r="DA84" s="50">
        <f xml:space="preserve"> 'WK2014'!FB94</f>
        <v>8160.2852949999988</v>
      </c>
      <c r="DB84" s="61">
        <f xml:space="preserve"> 'WK2014'!EW94</f>
        <v>0.55574961105263498</v>
      </c>
      <c r="DC84" s="1"/>
      <c r="DD84" s="50">
        <f xml:space="preserve"> 'WK2014'!FI94</f>
        <v>7822.6395447999985</v>
      </c>
      <c r="DE84" s="50">
        <f xml:space="preserve"> 'WK2014'!FJ94</f>
        <v>6740.6354827999994</v>
      </c>
      <c r="DF84" s="50">
        <f xml:space="preserve"> 'WK2014'!FM94</f>
        <v>7822.6395502195728</v>
      </c>
      <c r="DG84" s="50">
        <f xml:space="preserve"> 'WK2014'!FN94</f>
        <v>6740.6354768195733</v>
      </c>
      <c r="DH84" s="50">
        <f xml:space="preserve"> 'WK2014'!FO94</f>
        <v>7822.6395447999985</v>
      </c>
      <c r="DI84" s="50">
        <f xml:space="preserve"> 'WK2014'!FP94</f>
        <v>6740.6354713999999</v>
      </c>
      <c r="DJ84" s="61">
        <f xml:space="preserve"> 'WK2014'!FK94</f>
        <v>0.56566734191563761</v>
      </c>
      <c r="DK84" s="1"/>
      <c r="DL84" s="50">
        <f xml:space="preserve"> 'WK2014'!FW94</f>
        <v>630.26071200000001</v>
      </c>
      <c r="DM84" s="50">
        <f xml:space="preserve"> 'WK2014'!FX94</f>
        <v>565.9316960000001</v>
      </c>
      <c r="DN84" s="50">
        <f xml:space="preserve"> 'WK2014'!GA94</f>
        <v>630.26071200000001</v>
      </c>
      <c r="DO84" s="50">
        <f xml:space="preserve"> 'WK2014'!GB94</f>
        <v>565.9316960000001</v>
      </c>
      <c r="DP84" s="50">
        <f xml:space="preserve"> 'WK2014'!GC94</f>
        <v>630.26071200000001</v>
      </c>
      <c r="DQ84" s="50">
        <f xml:space="preserve"> 'WK2014'!GD94</f>
        <v>565.9316960000001</v>
      </c>
      <c r="DR84" s="61">
        <f xml:space="preserve"> 'WK2014'!FY94</f>
        <v>0.56622690403928388</v>
      </c>
      <c r="DS84" s="1"/>
      <c r="DT84" s="50">
        <f xml:space="preserve"> 'WK2014'!GK94</f>
        <v>2317.1726670000003</v>
      </c>
      <c r="DU84" s="50">
        <f xml:space="preserve"> 'WK2014'!GL94</f>
        <v>1966.9013745000004</v>
      </c>
      <c r="DV84" s="50">
        <f xml:space="preserve"> 'WK2014'!GO94</f>
        <v>2317.1726670000003</v>
      </c>
      <c r="DW84" s="50">
        <f xml:space="preserve"> 'WK2014'!GP94</f>
        <v>1966.9013745000004</v>
      </c>
      <c r="DX84" s="50">
        <f xml:space="preserve"> 'WK2014'!GQ94</f>
        <v>2317.1726670000003</v>
      </c>
      <c r="DY84" s="50">
        <f xml:space="preserve"> 'WK2014'!GR94</f>
        <v>1966.9013745000004</v>
      </c>
      <c r="DZ84" s="61">
        <f xml:space="preserve"> 'WK2014'!GM94</f>
        <v>0.58892088760621863</v>
      </c>
      <c r="ED84" s="50">
        <f xml:space="preserve"> 'WK2015'!EG94</f>
        <v>11725.224083199997</v>
      </c>
      <c r="EE84" s="50">
        <f xml:space="preserve"> 'WK2015'!EH94</f>
        <v>9928.7904494000013</v>
      </c>
      <c r="EF84" s="50">
        <f xml:space="preserve"> 'WK2015'!EK94</f>
        <v>11725.224083199997</v>
      </c>
      <c r="EG84" s="50">
        <f xml:space="preserve"> 'WK2015'!EL94</f>
        <v>9928.7904494000013</v>
      </c>
      <c r="EH84" s="50">
        <f xml:space="preserve"> 'WK2015'!EM94</f>
        <v>11725.224083199997</v>
      </c>
      <c r="EI84" s="50">
        <f xml:space="preserve"> 'WK2015'!EN94</f>
        <v>9928.7904494000013</v>
      </c>
      <c r="EJ84" s="61">
        <f xml:space="preserve"> 'WK2015'!EI94</f>
        <v>0.60208219173153887</v>
      </c>
      <c r="EK84" s="1"/>
      <c r="EL84" s="50">
        <f xml:space="preserve"> 'WK2015'!EU94</f>
        <v>11292.936625799999</v>
      </c>
      <c r="EM84" s="50">
        <f xml:space="preserve"> 'WK2015'!EV94</f>
        <v>9262.8880071000003</v>
      </c>
      <c r="EN84" s="50">
        <f xml:space="preserve"> 'WK2015'!EY94</f>
        <v>11292.936625799999</v>
      </c>
      <c r="EO84" s="50">
        <f xml:space="preserve"> 'WK2015'!EZ94</f>
        <v>9262.8880071000003</v>
      </c>
      <c r="EP84" s="50">
        <f xml:space="preserve"> 'WK2015'!FA94</f>
        <v>11292.936625799999</v>
      </c>
      <c r="EQ84" s="50">
        <f xml:space="preserve"> 'WK2015'!FB94</f>
        <v>9262.8880071000003</v>
      </c>
      <c r="ER84" s="61">
        <f xml:space="preserve"> 'WK2015'!EW94</f>
        <v>0.59935293442113291</v>
      </c>
      <c r="ES84" s="1"/>
      <c r="ET84" s="50">
        <f xml:space="preserve"> 'WK2015'!FI94</f>
        <v>9361.5830093999975</v>
      </c>
      <c r="EU84" s="50">
        <f xml:space="preserve"> 'WK2015'!FJ94</f>
        <v>7865.8973560000004</v>
      </c>
      <c r="EV84" s="50">
        <f xml:space="preserve"> 'WK2015'!FM94</f>
        <v>9361.5830093999975</v>
      </c>
      <c r="EW84" s="50">
        <f xml:space="preserve"> 'WK2015'!FN94</f>
        <v>7865.8973560000004</v>
      </c>
      <c r="EX84" s="50">
        <f xml:space="preserve"> 'WK2015'!FO94</f>
        <v>9361.5830093999975</v>
      </c>
      <c r="EY84" s="50">
        <f xml:space="preserve"> 'WK2015'!FP94</f>
        <v>7865.8973560000004</v>
      </c>
      <c r="EZ84" s="61">
        <f xml:space="preserve"> 'WK2015'!FK94</f>
        <v>0.61743899959234949</v>
      </c>
      <c r="FA84" s="1"/>
      <c r="FB84" s="50">
        <f xml:space="preserve"> 'WK2015'!FW94</f>
        <v>682.07380320000004</v>
      </c>
      <c r="FC84" s="50">
        <f xml:space="preserve"> 'WK2015'!FX94</f>
        <v>618.04751639999995</v>
      </c>
      <c r="FD84" s="50">
        <f xml:space="preserve"> 'WK2015'!GA94</f>
        <v>682.07380320000004</v>
      </c>
      <c r="FE84" s="50">
        <f xml:space="preserve"> 'WK2015'!GB94</f>
        <v>618.04751639999995</v>
      </c>
      <c r="FF84" s="50">
        <f xml:space="preserve"> 'WK2015'!GC94</f>
        <v>682.07380320000004</v>
      </c>
      <c r="FG84" s="50">
        <f xml:space="preserve"> 'WK2015'!GD94</f>
        <v>618.04751639999995</v>
      </c>
      <c r="FH84" s="61">
        <f xml:space="preserve"> 'WK2015'!FY94</f>
        <v>0.60243439911903063</v>
      </c>
      <c r="FI84" s="1"/>
      <c r="FJ84" s="50">
        <f xml:space="preserve"> 'WK2015'!GK94</f>
        <v>1572.3198832499997</v>
      </c>
      <c r="FK84" s="50">
        <f xml:space="preserve"> 'WK2015'!GL94</f>
        <v>1469.9680747500004</v>
      </c>
      <c r="FL84" s="50">
        <f xml:space="preserve"> 'WK2015'!GO94</f>
        <v>1572.3198832499997</v>
      </c>
      <c r="FM84" s="50">
        <f xml:space="preserve"> 'WK2015'!GP94</f>
        <v>1469.9680747500004</v>
      </c>
      <c r="FN84" s="50">
        <f xml:space="preserve"> 'WK2015'!GQ94</f>
        <v>1572.3198832499997</v>
      </c>
      <c r="FO84" s="50">
        <f xml:space="preserve"> 'WK2015'!GR94</f>
        <v>1469.9680747500004</v>
      </c>
      <c r="FP84" s="61">
        <f xml:space="preserve"> 'WK2015'!GM94</f>
        <v>0.62436036357398372</v>
      </c>
      <c r="FS84" s="283">
        <f xml:space="preserve"> 'WK2015'!H94</f>
        <v>5538.5810949999996</v>
      </c>
      <c r="FT84" s="283">
        <f xml:space="preserve"> 'WK2015'!I94</f>
        <v>4868.8780040000001</v>
      </c>
      <c r="FU84" s="283">
        <f xml:space="preserve"> 'WK2015'!L94</f>
        <v>5538.5810949999996</v>
      </c>
      <c r="FV84" s="283">
        <f xml:space="preserve"> 'WK2015'!M94</f>
        <v>4868.8780040000001</v>
      </c>
      <c r="FW84" s="283">
        <f xml:space="preserve"> 'WK2015'!N94</f>
        <v>5538.5810949999996</v>
      </c>
      <c r="FX84" s="283">
        <f xml:space="preserve"> 'WK2015'!O94</f>
        <v>4868.8780040000001</v>
      </c>
      <c r="FY84" s="284">
        <f xml:space="preserve"> 'WK2015'!P94</f>
        <v>0.6057841394819109</v>
      </c>
      <c r="GA84" s="283">
        <f xml:space="preserve"> 'WK2015'!HB94</f>
        <v>5135.112615</v>
      </c>
      <c r="GB84" s="283">
        <f xml:space="preserve"> 'WK2015'!HC94</f>
        <v>4683.6298139999999</v>
      </c>
      <c r="GC84" s="283">
        <f xml:space="preserve"> 'WK2015'!HF94</f>
        <v>5135.112615</v>
      </c>
      <c r="GD84" s="283">
        <f xml:space="preserve"> 'WK2015'!HG94</f>
        <v>4683.6298139999999</v>
      </c>
      <c r="GE84" s="283">
        <f xml:space="preserve"> 'WK2015'!HH94</f>
        <v>5135.112615</v>
      </c>
      <c r="GF84" s="283">
        <f xml:space="preserve"> 'WK2015'!HI94</f>
        <v>4683.6298139999999</v>
      </c>
      <c r="GG84" s="284">
        <f xml:space="preserve"> 'WK2015'!HJ94</f>
        <v>0.64048172118243829</v>
      </c>
      <c r="GI84" s="283">
        <f xml:space="preserve"> 'WK2015'!HQ94</f>
        <v>5225.9600049999999</v>
      </c>
      <c r="GJ84" s="283">
        <f xml:space="preserve"> 'WK2015'!HR94</f>
        <v>4750.5090149999996</v>
      </c>
      <c r="GK84" s="283">
        <f xml:space="preserve"> 'WK2015'!HU94</f>
        <v>5225.9600049999999</v>
      </c>
      <c r="GL84" s="283">
        <f xml:space="preserve"> 'WK2015'!HV94</f>
        <v>4750.5090149999996</v>
      </c>
      <c r="GM84" s="283">
        <f xml:space="preserve"> 'WK2015'!HW94</f>
        <v>5225.9600049999999</v>
      </c>
      <c r="GN84" s="283">
        <f xml:space="preserve"> 'WK2015'!HX94</f>
        <v>4750.5090149999996</v>
      </c>
      <c r="GO84" s="284">
        <f xml:space="preserve"> 'WK2015'!HY94</f>
        <v>0.64219017278448232</v>
      </c>
    </row>
    <row r="85" spans="1:197" x14ac:dyDescent="0.2">
      <c r="A85" s="3">
        <f>Basis!A85</f>
        <v>85</v>
      </c>
      <c r="D85" s="252" t="e">
        <v>#N/A</v>
      </c>
      <c r="E85" s="252" t="e">
        <v>#N/A</v>
      </c>
      <c r="H85" s="50">
        <f xml:space="preserve"> 'WK2012'!EG95</f>
        <v>11027.722836714158</v>
      </c>
      <c r="I85" s="50">
        <f xml:space="preserve"> 'WK2012'!EH95</f>
        <v>9814.059361687092</v>
      </c>
      <c r="J85" s="50">
        <f xml:space="preserve"> 'WK2012'!EK95</f>
        <v>11027.722836714158</v>
      </c>
      <c r="K85" s="50">
        <f xml:space="preserve"> 'WK2012'!EL95</f>
        <v>9814.059361687092</v>
      </c>
      <c r="L85" s="50">
        <f xml:space="preserve"> 'WK2012'!EM95</f>
        <v>11027.722836714158</v>
      </c>
      <c r="M85" s="50">
        <f xml:space="preserve"> 'WK2012'!EN95</f>
        <v>9814.059361687092</v>
      </c>
      <c r="N85" s="61">
        <f xml:space="preserve"> 'WK2012'!EI95</f>
        <v>0.49723509240433345</v>
      </c>
      <c r="P85" s="50">
        <f xml:space="preserve"> 'WK2012'!EU95</f>
        <v>10122.133055116288</v>
      </c>
      <c r="Q85" s="50">
        <f xml:space="preserve"> 'WK2012'!EV95</f>
        <v>9036.8296413044118</v>
      </c>
      <c r="R85" s="50">
        <f xml:space="preserve"> 'WK2012'!EY95</f>
        <v>10122.133055116288</v>
      </c>
      <c r="S85" s="50">
        <f xml:space="preserve"> 'WK2012'!EZ95</f>
        <v>9036.8296413044118</v>
      </c>
      <c r="T85" s="50">
        <f xml:space="preserve"> 'WK2012'!FA95</f>
        <v>10122.133055116288</v>
      </c>
      <c r="U85" s="50">
        <f xml:space="preserve"> 'WK2012'!FB95</f>
        <v>9036.8296413044118</v>
      </c>
      <c r="V85" s="61">
        <f xml:space="preserve"> 'WK2012'!EW95</f>
        <v>0.51133059281265714</v>
      </c>
      <c r="X85" s="50">
        <f xml:space="preserve"> 'WK2012'!FI95</f>
        <v>7432.3017719985883</v>
      </c>
      <c r="Y85" s="50">
        <f xml:space="preserve"> 'WK2012'!FJ95</f>
        <v>6535.8219604035939</v>
      </c>
      <c r="Z85" s="50">
        <f xml:space="preserve"> 'WK2012'!FM95</f>
        <v>7432.3017719985883</v>
      </c>
      <c r="AA85" s="50">
        <f xml:space="preserve"> 'WK2012'!FN95</f>
        <v>6535.8219604035939</v>
      </c>
      <c r="AB85" s="50">
        <f xml:space="preserve"> 'WK2012'!FO95</f>
        <v>7432.3017719985883</v>
      </c>
      <c r="AC85" s="50">
        <f xml:space="preserve"> 'WK2012'!FP95</f>
        <v>6535.8219604035939</v>
      </c>
      <c r="AD85" s="61">
        <f xml:space="preserve"> 'WK2012'!FK95</f>
        <v>0.51775950628764866</v>
      </c>
      <c r="AF85" s="50">
        <f xml:space="preserve"> 'WK2012'!FW95</f>
        <v>1677.5879277744725</v>
      </c>
      <c r="AG85" s="50">
        <f xml:space="preserve"> 'WK2012'!FX95</f>
        <v>1071.1341429633756</v>
      </c>
      <c r="AH85" s="50">
        <f xml:space="preserve"> 'WK2012'!GA95</f>
        <v>1677.5879277744725</v>
      </c>
      <c r="AI85" s="50">
        <f xml:space="preserve"> 'WK2012'!GB95</f>
        <v>1071.1341429633756</v>
      </c>
      <c r="AJ85" s="50">
        <f xml:space="preserve"> 'WK2012'!GC95</f>
        <v>1677.5879277744725</v>
      </c>
      <c r="AK85" s="50">
        <f xml:space="preserve"> 'WK2012'!GD95</f>
        <v>1071.1341429633756</v>
      </c>
      <c r="AL85" s="61">
        <f xml:space="preserve"> 'WK2012'!FY95</f>
        <v>0.52741062231650904</v>
      </c>
      <c r="AN85" s="50">
        <f xml:space="preserve"> 'WK2012'!GK95</f>
        <v>424.74225653768588</v>
      </c>
      <c r="AO85" s="50">
        <f xml:space="preserve"> 'WK2012'!GL95</f>
        <v>369.87402476320625</v>
      </c>
      <c r="AP85" s="50">
        <f xml:space="preserve"> 'WK2012'!GO95</f>
        <v>424.74225653768588</v>
      </c>
      <c r="AQ85" s="50">
        <f xml:space="preserve"> 'WK2012'!GP95</f>
        <v>369.87402476320625</v>
      </c>
      <c r="AR85" s="50">
        <f xml:space="preserve"> 'WK2012'!GQ95</f>
        <v>424.74225653768588</v>
      </c>
      <c r="AS85" s="50">
        <f xml:space="preserve"> 'WK2012'!GR95</f>
        <v>369.87402476320625</v>
      </c>
      <c r="AT85" s="61">
        <f xml:space="preserve"> 'WK2012'!GM95</f>
        <v>0.50401121721642761</v>
      </c>
      <c r="AX85" s="50">
        <f xml:space="preserve"> 'WK2013'!EG95</f>
        <v>12354.848979200002</v>
      </c>
      <c r="AY85" s="50">
        <f xml:space="preserve"> 'WK2013'!EH95</f>
        <v>10619.677290199999</v>
      </c>
      <c r="AZ85" s="50">
        <f xml:space="preserve"> 'WK2013'!EK95</f>
        <v>12354.848979200002</v>
      </c>
      <c r="BA85" s="50">
        <f xml:space="preserve"> 'WK2013'!EL95</f>
        <v>10619.677290199999</v>
      </c>
      <c r="BB85" s="50">
        <f xml:space="preserve"> 'WK2013'!EM95</f>
        <v>12354.848979200002</v>
      </c>
      <c r="BC85" s="50">
        <f xml:space="preserve"> 'WK2013'!EN95</f>
        <v>10619.677290199999</v>
      </c>
      <c r="BD85" s="61">
        <f xml:space="preserve"> 'WK2013'!EI95</f>
        <v>0.5300063782560811</v>
      </c>
      <c r="BF85" s="50">
        <f xml:space="preserve"> 'WK2013'!EU95</f>
        <v>11211.033073299999</v>
      </c>
      <c r="BG85" s="50">
        <f xml:space="preserve"> 'WK2013'!EV95</f>
        <v>9363.4192667999996</v>
      </c>
      <c r="BH85" s="50">
        <f xml:space="preserve"> 'WK2013'!EY95</f>
        <v>11211.033073299999</v>
      </c>
      <c r="BI85" s="50">
        <f xml:space="preserve"> 'WK2013'!EZ95</f>
        <v>9363.4192667999996</v>
      </c>
      <c r="BJ85" s="50">
        <f xml:space="preserve"> 'WK2013'!FA95</f>
        <v>11211.033073299999</v>
      </c>
      <c r="BK85" s="50">
        <f xml:space="preserve"> 'WK2013'!FB95</f>
        <v>9363.4192667999996</v>
      </c>
      <c r="BL85" s="61">
        <f xml:space="preserve"> 'WK2013'!EW95</f>
        <v>0.54466280892097774</v>
      </c>
      <c r="BN85" s="50">
        <f xml:space="preserve"> 'WK2013'!FI95</f>
        <v>8688.1788983999995</v>
      </c>
      <c r="BO85" s="50">
        <f xml:space="preserve"> 'WK2013'!FJ95</f>
        <v>7544.2567204000006</v>
      </c>
      <c r="BP85" s="50">
        <f xml:space="preserve"> 'WK2013'!FM95</f>
        <v>8688.1788983999995</v>
      </c>
      <c r="BQ85" s="50">
        <f xml:space="preserve"> 'WK2013'!FN95</f>
        <v>7544.2567204000006</v>
      </c>
      <c r="BR85" s="50">
        <f xml:space="preserve"> 'WK2013'!FO95</f>
        <v>8688.1788983999995</v>
      </c>
      <c r="BS85" s="50">
        <f xml:space="preserve"> 'WK2013'!FP95</f>
        <v>7544.2567204000006</v>
      </c>
      <c r="BT85" s="61">
        <f xml:space="preserve"> 'WK2013'!FK95</f>
        <v>0.54408998689239763</v>
      </c>
      <c r="BV85" s="50">
        <f xml:space="preserve"> 'WK2013'!FW95</f>
        <v>613.25057119999997</v>
      </c>
      <c r="BW85" s="50">
        <f xml:space="preserve"> 'WK2013'!FX95</f>
        <v>534.72799020000002</v>
      </c>
      <c r="BX85" s="50">
        <f xml:space="preserve"> 'WK2013'!GA95</f>
        <v>613.25057119999997</v>
      </c>
      <c r="BY85" s="50">
        <f xml:space="preserve"> 'WK2013'!GB95</f>
        <v>534.72799020000002</v>
      </c>
      <c r="BZ85" s="50">
        <f xml:space="preserve"> 'WK2013'!GC95</f>
        <v>613.25057119999997</v>
      </c>
      <c r="CA85" s="50">
        <f xml:space="preserve"> 'WK2013'!GD95</f>
        <v>534.72799020000002</v>
      </c>
      <c r="CB85" s="61">
        <f xml:space="preserve"> 'WK2013'!FY95</f>
        <v>0.5462144816595047</v>
      </c>
      <c r="CD85" s="50">
        <f xml:space="preserve"> 'WK2013'!GK95</f>
        <v>1609.3806315000006</v>
      </c>
      <c r="CE85" s="50">
        <f xml:space="preserve"> 'WK2013'!GL95</f>
        <v>1324.6785502499995</v>
      </c>
      <c r="CF85" s="50">
        <f xml:space="preserve"> 'WK2013'!GO95</f>
        <v>1609.3806315000006</v>
      </c>
      <c r="CG85" s="50">
        <f xml:space="preserve"> 'WK2013'!GP95</f>
        <v>1324.6785502499995</v>
      </c>
      <c r="CH85" s="50">
        <f xml:space="preserve"> 'WK2013'!GQ95</f>
        <v>1609.3806315000006</v>
      </c>
      <c r="CI85" s="50">
        <f xml:space="preserve"> 'WK2013'!GR95</f>
        <v>1324.6785502499995</v>
      </c>
      <c r="CJ85" s="61">
        <f xml:space="preserve"> 'WK2013'!GM95</f>
        <v>0.56746468258872762</v>
      </c>
      <c r="CN85" s="50">
        <f xml:space="preserve"> 'WK2014'!EG95</f>
        <v>12452.785222800001</v>
      </c>
      <c r="CO85" s="50">
        <f xml:space="preserve"> 'WK2014'!EH95</f>
        <v>10761.748727599999</v>
      </c>
      <c r="CP85" s="50">
        <f xml:space="preserve"> 'WK2014'!EK95</f>
        <v>12452.785222800001</v>
      </c>
      <c r="CQ85" s="50">
        <f xml:space="preserve"> 'WK2014'!EL95</f>
        <v>10761.748727599999</v>
      </c>
      <c r="CR85" s="50">
        <f xml:space="preserve"> 'WK2014'!EM95</f>
        <v>12452.785222800001</v>
      </c>
      <c r="CS85" s="50">
        <f xml:space="preserve"> 'WK2014'!EN95</f>
        <v>10761.748727599999</v>
      </c>
      <c r="CT85" s="61">
        <f xml:space="preserve"> 'WK2014'!EI95</f>
        <v>0.54547863911505179</v>
      </c>
      <c r="CV85" s="50">
        <f xml:space="preserve"> 'WK2014'!EU95</f>
        <v>10425.7031262</v>
      </c>
      <c r="CW85" s="50">
        <f xml:space="preserve"> 'WK2014'!EV95</f>
        <v>8247.3477423999993</v>
      </c>
      <c r="CX85" s="50">
        <f xml:space="preserve"> 'WK2014'!EY95</f>
        <v>10425.7031262</v>
      </c>
      <c r="CY85" s="50">
        <f xml:space="preserve"> 'WK2014'!EZ95</f>
        <v>8247.3477423999993</v>
      </c>
      <c r="CZ85" s="50">
        <f xml:space="preserve"> 'WK2014'!FA95</f>
        <v>10425.7031262</v>
      </c>
      <c r="DA85" s="50">
        <f xml:space="preserve"> 'WK2014'!FB95</f>
        <v>8247.3477423999993</v>
      </c>
      <c r="DB85" s="61">
        <f xml:space="preserve"> 'WK2014'!EW95</f>
        <v>0.53384142237725807</v>
      </c>
      <c r="DC85" s="1"/>
      <c r="DD85" s="50">
        <f xml:space="preserve"> 'WK2014'!FI95</f>
        <v>7989.5979807999993</v>
      </c>
      <c r="DE85" s="50">
        <f xml:space="preserve"> 'WK2014'!FJ95</f>
        <v>6859.1883464000002</v>
      </c>
      <c r="DF85" s="50">
        <f xml:space="preserve"> 'WK2014'!FM95</f>
        <v>7989.5979861511178</v>
      </c>
      <c r="DG85" s="50">
        <f xml:space="preserve"> 'WK2014'!FN95</f>
        <v>6859.1883403511183</v>
      </c>
      <c r="DH85" s="50">
        <f xml:space="preserve"> 'WK2014'!FO95</f>
        <v>7989.5979807999993</v>
      </c>
      <c r="DI85" s="50">
        <f xml:space="preserve"> 'WK2014'!FP95</f>
        <v>6859.1883349999998</v>
      </c>
      <c r="DJ85" s="61">
        <f xml:space="preserve"> 'WK2014'!FK95</f>
        <v>0.55108841855162316</v>
      </c>
      <c r="DK85" s="1"/>
      <c r="DL85" s="50">
        <f xml:space="preserve"> 'WK2014'!FW95</f>
        <v>604.01371680000011</v>
      </c>
      <c r="DM85" s="50">
        <f xml:space="preserve"> 'WK2014'!FX95</f>
        <v>532.79329360000008</v>
      </c>
      <c r="DN85" s="50">
        <f xml:space="preserve"> 'WK2014'!GA95</f>
        <v>604.01371680000011</v>
      </c>
      <c r="DO85" s="50">
        <f xml:space="preserve"> 'WK2014'!GB95</f>
        <v>532.79329360000008</v>
      </c>
      <c r="DP85" s="50">
        <f xml:space="preserve"> 'WK2014'!GC95</f>
        <v>604.01371680000011</v>
      </c>
      <c r="DQ85" s="50">
        <f xml:space="preserve"> 'WK2014'!GD95</f>
        <v>532.79329360000008</v>
      </c>
      <c r="DR85" s="61">
        <f xml:space="preserve"> 'WK2014'!FY95</f>
        <v>0.54235695700449271</v>
      </c>
      <c r="DS85" s="1"/>
      <c r="DT85" s="50">
        <f xml:space="preserve"> 'WK2014'!GK95</f>
        <v>2376.6056699999999</v>
      </c>
      <c r="DU85" s="50">
        <f xml:space="preserve"> 'WK2014'!GL95</f>
        <v>2007.3873945</v>
      </c>
      <c r="DV85" s="50">
        <f xml:space="preserve"> 'WK2014'!GO95</f>
        <v>2376.6056699999999</v>
      </c>
      <c r="DW85" s="50">
        <f xml:space="preserve"> 'WK2014'!GP95</f>
        <v>2007.3873945</v>
      </c>
      <c r="DX85" s="50">
        <f xml:space="preserve"> 'WK2014'!GQ95</f>
        <v>2376.6056699999999</v>
      </c>
      <c r="DY85" s="50">
        <f xml:space="preserve"> 'WK2014'!GR95</f>
        <v>2007.3873945</v>
      </c>
      <c r="DZ85" s="61">
        <f xml:space="preserve"> 'WK2014'!GM95</f>
        <v>0.56144938474108075</v>
      </c>
      <c r="ED85" s="50">
        <f xml:space="preserve"> 'WK2015'!EG95</f>
        <v>11901.021369800001</v>
      </c>
      <c r="EE85" s="50">
        <f xml:space="preserve"> 'WK2015'!EH95</f>
        <v>10031.990865400001</v>
      </c>
      <c r="EF85" s="50">
        <f xml:space="preserve"> 'WK2015'!EK95</f>
        <v>11901.021369800001</v>
      </c>
      <c r="EG85" s="50">
        <f xml:space="preserve"> 'WK2015'!EL95</f>
        <v>10031.990865400001</v>
      </c>
      <c r="EH85" s="50">
        <f xml:space="preserve"> 'WK2015'!EM95</f>
        <v>11901.021369800001</v>
      </c>
      <c r="EI85" s="50">
        <f xml:space="preserve"> 'WK2015'!EN95</f>
        <v>10031.990865400001</v>
      </c>
      <c r="EJ85" s="61">
        <f xml:space="preserve"> 'WK2015'!EI95</f>
        <v>0.57472079781503083</v>
      </c>
      <c r="EK85" s="1"/>
      <c r="EL85" s="50">
        <f xml:space="preserve"> 'WK2015'!EU95</f>
        <v>11483.6018492</v>
      </c>
      <c r="EM85" s="50">
        <f xml:space="preserve"> 'WK2015'!EV95</f>
        <v>9378.9382626000006</v>
      </c>
      <c r="EN85" s="50">
        <f xml:space="preserve"> 'WK2015'!EY95</f>
        <v>11483.6018492</v>
      </c>
      <c r="EO85" s="50">
        <f xml:space="preserve"> 'WK2015'!EZ95</f>
        <v>9378.9382626000006</v>
      </c>
      <c r="EP85" s="50">
        <f xml:space="preserve"> 'WK2015'!FA95</f>
        <v>11483.6018492</v>
      </c>
      <c r="EQ85" s="50">
        <f xml:space="preserve"> 'WK2015'!FB95</f>
        <v>9378.9382626000006</v>
      </c>
      <c r="ER85" s="61">
        <f xml:space="preserve"> 'WK2015'!EW95</f>
        <v>0.57190420065327241</v>
      </c>
      <c r="ES85" s="1"/>
      <c r="ET85" s="50">
        <f xml:space="preserve"> 'WK2015'!FI95</f>
        <v>9606.1325976000007</v>
      </c>
      <c r="EU85" s="50">
        <f xml:space="preserve"> 'WK2015'!FJ95</f>
        <v>7994.0291865999989</v>
      </c>
      <c r="EV85" s="50">
        <f xml:space="preserve"> 'WK2015'!FM95</f>
        <v>9606.1325976000007</v>
      </c>
      <c r="EW85" s="50">
        <f xml:space="preserve"> 'WK2015'!FN95</f>
        <v>7994.0291865999989</v>
      </c>
      <c r="EX85" s="50">
        <f xml:space="preserve"> 'WK2015'!FO95</f>
        <v>9606.1325976000007</v>
      </c>
      <c r="EY85" s="50">
        <f xml:space="preserve"> 'WK2015'!FP95</f>
        <v>7994.0291865999989</v>
      </c>
      <c r="EZ85" s="61">
        <f xml:space="preserve"> 'WK2015'!FK95</f>
        <v>0.57601951594786349</v>
      </c>
      <c r="FA85" s="1"/>
      <c r="FB85" s="50">
        <f xml:space="preserve"> 'WK2015'!FW95</f>
        <v>654.67804479999995</v>
      </c>
      <c r="FC85" s="50">
        <f xml:space="preserve"> 'WK2015'!FX95</f>
        <v>584.46266639999999</v>
      </c>
      <c r="FD85" s="50">
        <f xml:space="preserve"> 'WK2015'!GA95</f>
        <v>654.67804479999995</v>
      </c>
      <c r="FE85" s="50">
        <f xml:space="preserve"> 'WK2015'!GB95</f>
        <v>584.46266639999999</v>
      </c>
      <c r="FF85" s="50">
        <f xml:space="preserve"> 'WK2015'!GC95</f>
        <v>654.67804479999995</v>
      </c>
      <c r="FG85" s="50">
        <f xml:space="preserve"> 'WK2015'!GD95</f>
        <v>584.46266639999999</v>
      </c>
      <c r="FH85" s="61">
        <f xml:space="preserve"> 'WK2015'!FY95</f>
        <v>0.57562840736964371</v>
      </c>
      <c r="FI85" s="1"/>
      <c r="FJ85" s="50">
        <f xml:space="preserve"> 'WK2015'!GK95</f>
        <v>1604.7456975</v>
      </c>
      <c r="FK85" s="50">
        <f xml:space="preserve"> 'WK2015'!GL95</f>
        <v>1492.1803815000003</v>
      </c>
      <c r="FL85" s="50">
        <f xml:space="preserve"> 'WK2015'!GO95</f>
        <v>1604.7456975</v>
      </c>
      <c r="FM85" s="50">
        <f xml:space="preserve"> 'WK2015'!GP95</f>
        <v>1492.1803815000003</v>
      </c>
      <c r="FN85" s="50">
        <f xml:space="preserve"> 'WK2015'!GQ95</f>
        <v>1604.7456975</v>
      </c>
      <c r="FO85" s="50">
        <f xml:space="preserve"> 'WK2015'!GR95</f>
        <v>1492.1803815000003</v>
      </c>
      <c r="FP85" s="61">
        <f xml:space="preserve"> 'WK2015'!GM95</f>
        <v>0.59145956296555835</v>
      </c>
      <c r="FS85" s="283">
        <f xml:space="preserve"> 'WK2015'!H95</f>
        <v>5622.8481549999997</v>
      </c>
      <c r="FT85" s="283">
        <f xml:space="preserve"> 'WK2015'!I95</f>
        <v>4927.9776999999995</v>
      </c>
      <c r="FU85" s="283">
        <f xml:space="preserve"> 'WK2015'!L95</f>
        <v>5622.8481549999997</v>
      </c>
      <c r="FV85" s="283">
        <f xml:space="preserve"> 'WK2015'!M95</f>
        <v>4927.9776999999995</v>
      </c>
      <c r="FW85" s="283">
        <f xml:space="preserve"> 'WK2015'!N95</f>
        <v>5622.8481549999997</v>
      </c>
      <c r="FX85" s="283">
        <f xml:space="preserve"> 'WK2015'!O95</f>
        <v>4927.9776999999995</v>
      </c>
      <c r="FY85" s="284">
        <f xml:space="preserve"> 'WK2015'!P95</f>
        <v>0.57293613434228419</v>
      </c>
      <c r="GA85" s="283">
        <f xml:space="preserve"> 'WK2015'!HB95</f>
        <v>5249.5911120000001</v>
      </c>
      <c r="GB85" s="283">
        <f xml:space="preserve"> 'WK2015'!HC95</f>
        <v>4774.7388650000003</v>
      </c>
      <c r="GC85" s="283">
        <f xml:space="preserve"> 'WK2015'!HF95</f>
        <v>5249.5911120000001</v>
      </c>
      <c r="GD85" s="283">
        <f xml:space="preserve"> 'WK2015'!HG95</f>
        <v>4774.7388650000003</v>
      </c>
      <c r="GE85" s="283">
        <f xml:space="preserve"> 'WK2015'!HH95</f>
        <v>5249.5911120000001</v>
      </c>
      <c r="GF85" s="283">
        <f xml:space="preserve"> 'WK2015'!HI95</f>
        <v>4774.7388650000003</v>
      </c>
      <c r="GG85" s="284">
        <f xml:space="preserve"> 'WK2015'!HJ95</f>
        <v>0.60158469401558956</v>
      </c>
      <c r="GI85" s="283">
        <f xml:space="preserve"> 'WK2015'!HQ95</f>
        <v>5338.4571449999994</v>
      </c>
      <c r="GJ85" s="283">
        <f xml:space="preserve"> 'WK2015'!HR95</f>
        <v>4839.8500709999998</v>
      </c>
      <c r="GK85" s="283">
        <f xml:space="preserve"> 'WK2015'!HU95</f>
        <v>5338.4571449999994</v>
      </c>
      <c r="GL85" s="283">
        <f xml:space="preserve"> 'WK2015'!HV95</f>
        <v>4839.8500709999998</v>
      </c>
      <c r="GM85" s="283">
        <f xml:space="preserve"> 'WK2015'!HW95</f>
        <v>5338.4571449999994</v>
      </c>
      <c r="GN85" s="283">
        <f xml:space="preserve"> 'WK2015'!HX95</f>
        <v>4839.8500709999998</v>
      </c>
      <c r="GO85" s="284">
        <f xml:space="preserve"> 'WK2015'!HY95</f>
        <v>0.55569122592479359</v>
      </c>
    </row>
    <row r="86" spans="1:197" x14ac:dyDescent="0.2">
      <c r="A86" s="3">
        <f>Basis!A86</f>
        <v>86</v>
      </c>
      <c r="D86" s="252" t="e">
        <v>#N/A</v>
      </c>
      <c r="E86" s="252" t="e">
        <v>#N/A</v>
      </c>
      <c r="H86" s="50">
        <f xml:space="preserve"> 'WK2012'!EG96</f>
        <v>11225.983669177829</v>
      </c>
      <c r="I86" s="50">
        <f xml:space="preserve"> 'WK2012'!EH96</f>
        <v>9912.839237413933</v>
      </c>
      <c r="J86" s="50">
        <f xml:space="preserve"> 'WK2012'!EK96</f>
        <v>11225.983669177829</v>
      </c>
      <c r="K86" s="50">
        <f xml:space="preserve"> 'WK2012'!EL96</f>
        <v>9912.839237413933</v>
      </c>
      <c r="L86" s="50">
        <f xml:space="preserve"> 'WK2012'!EM96</f>
        <v>11225.983669177829</v>
      </c>
      <c r="M86" s="50">
        <f xml:space="preserve"> 'WK2012'!EN96</f>
        <v>9912.839237413933</v>
      </c>
      <c r="N86" s="61">
        <f xml:space="preserve"> 'WK2012'!EI96</f>
        <v>0.46458182563091804</v>
      </c>
      <c r="P86" s="50">
        <f xml:space="preserve"> 'WK2012'!EU96</f>
        <v>10253.601440939678</v>
      </c>
      <c r="Q86" s="50">
        <f xml:space="preserve"> 'WK2012'!EV96</f>
        <v>9107.8894248952856</v>
      </c>
      <c r="R86" s="50">
        <f xml:space="preserve"> 'WK2012'!EY96</f>
        <v>10253.601440939678</v>
      </c>
      <c r="S86" s="50">
        <f xml:space="preserve"> 'WK2012'!EZ96</f>
        <v>9107.8894248952856</v>
      </c>
      <c r="T86" s="50">
        <f xml:space="preserve"> 'WK2012'!FA96</f>
        <v>10253.601440939678</v>
      </c>
      <c r="U86" s="50">
        <f xml:space="preserve"> 'WK2012'!FB96</f>
        <v>9107.8894248952856</v>
      </c>
      <c r="V86" s="61">
        <f xml:space="preserve"> 'WK2012'!EW96</f>
        <v>0.48670608111886865</v>
      </c>
      <c r="X86" s="50">
        <f xml:space="preserve"> 'WK2012'!FI96</f>
        <v>7565.2734830661548</v>
      </c>
      <c r="Y86" s="50">
        <f xml:space="preserve"> 'WK2012'!FJ96</f>
        <v>6633.2326677965893</v>
      </c>
      <c r="Z86" s="50">
        <f xml:space="preserve"> 'WK2012'!FM96</f>
        <v>7565.2734830661548</v>
      </c>
      <c r="AA86" s="50">
        <f xml:space="preserve"> 'WK2012'!FN96</f>
        <v>6633.2326677965893</v>
      </c>
      <c r="AB86" s="50">
        <f xml:space="preserve"> 'WK2012'!FO96</f>
        <v>7565.2734830661548</v>
      </c>
      <c r="AC86" s="50">
        <f xml:space="preserve"> 'WK2012'!FP96</f>
        <v>6633.2326677965893</v>
      </c>
      <c r="AD86" s="61">
        <f xml:space="preserve"> 'WK2012'!FK96</f>
        <v>0.47487360060152117</v>
      </c>
      <c r="AF86" s="50">
        <f xml:space="preserve"> 'WK2012'!FW96</f>
        <v>1706.4208367445863</v>
      </c>
      <c r="AG86" s="50">
        <f xml:space="preserve"> 'WK2012'!FX96</f>
        <v>1079.9705941241243</v>
      </c>
      <c r="AH86" s="50">
        <f xml:space="preserve"> 'WK2012'!GA96</f>
        <v>1706.4208367445863</v>
      </c>
      <c r="AI86" s="50">
        <f xml:space="preserve"> 'WK2012'!GB96</f>
        <v>1079.9705941241243</v>
      </c>
      <c r="AJ86" s="50">
        <f xml:space="preserve"> 'WK2012'!GC96</f>
        <v>1706.4208367445863</v>
      </c>
      <c r="AK86" s="50">
        <f xml:space="preserve"> 'WK2012'!GD96</f>
        <v>1079.9705941241243</v>
      </c>
      <c r="AL86" s="61">
        <f xml:space="preserve"> 'WK2012'!FY96</f>
        <v>0.48896948865319773</v>
      </c>
      <c r="AN86" s="50">
        <f xml:space="preserve"> 'WK2012'!GK96</f>
        <v>405.32487122683938</v>
      </c>
      <c r="AO86" s="50">
        <f xml:space="preserve"> 'WK2012'!GL96</f>
        <v>347.61199385200769</v>
      </c>
      <c r="AP86" s="50">
        <f xml:space="preserve"> 'WK2012'!GO96</f>
        <v>405.32487122683938</v>
      </c>
      <c r="AQ86" s="50">
        <f xml:space="preserve"> 'WK2012'!GP96</f>
        <v>347.61199385200769</v>
      </c>
      <c r="AR86" s="50">
        <f xml:space="preserve"> 'WK2012'!GQ96</f>
        <v>405.32487122683938</v>
      </c>
      <c r="AS86" s="50">
        <f xml:space="preserve"> 'WK2012'!GR96</f>
        <v>347.61199385200769</v>
      </c>
      <c r="AT86" s="61">
        <f xml:space="preserve"> 'WK2012'!GM96</f>
        <v>0.47514510403318921</v>
      </c>
      <c r="AX86" s="50">
        <f xml:space="preserve"> 'WK2013'!EG96</f>
        <v>12546.560140400001</v>
      </c>
      <c r="AY86" s="50">
        <f xml:space="preserve"> 'WK2013'!EH96</f>
        <v>10709.489283800001</v>
      </c>
      <c r="AZ86" s="50">
        <f xml:space="preserve"> 'WK2013'!EK96</f>
        <v>12546.560140400001</v>
      </c>
      <c r="BA86" s="50">
        <f xml:space="preserve"> 'WK2013'!EL96</f>
        <v>10709.489283800001</v>
      </c>
      <c r="BB86" s="50">
        <f xml:space="preserve"> 'WK2013'!EM96</f>
        <v>12546.560140400001</v>
      </c>
      <c r="BC86" s="50">
        <f xml:space="preserve"> 'WK2013'!EN96</f>
        <v>10709.489283800001</v>
      </c>
      <c r="BD86" s="61">
        <f xml:space="preserve"> 'WK2013'!EI96</f>
        <v>0.47915041503148931</v>
      </c>
      <c r="BF86" s="50">
        <f xml:space="preserve"> 'WK2013'!EU96</f>
        <v>11320.312776599998</v>
      </c>
      <c r="BG86" s="50">
        <f xml:space="preserve"> 'WK2013'!EV96</f>
        <v>9436.0819472000003</v>
      </c>
      <c r="BH86" s="50">
        <f xml:space="preserve"> 'WK2013'!EY96</f>
        <v>11320.312776599998</v>
      </c>
      <c r="BI86" s="50">
        <f xml:space="preserve"> 'WK2013'!EZ96</f>
        <v>9436.0819472000003</v>
      </c>
      <c r="BJ86" s="50">
        <f xml:space="preserve"> 'WK2013'!FA96</f>
        <v>11320.312776599998</v>
      </c>
      <c r="BK86" s="50">
        <f xml:space="preserve"> 'WK2013'!FB96</f>
        <v>9436.0819472000003</v>
      </c>
      <c r="BL86" s="61">
        <f xml:space="preserve"> 'WK2013'!EW96</f>
        <v>0.49671485474470872</v>
      </c>
      <c r="BN86" s="50">
        <f xml:space="preserve"> 'WK2013'!FI96</f>
        <v>8828.2183394000003</v>
      </c>
      <c r="BO86" s="50">
        <f xml:space="preserve"> 'WK2013'!FJ96</f>
        <v>7646.7614701999992</v>
      </c>
      <c r="BP86" s="50">
        <f xml:space="preserve"> 'WK2013'!FM96</f>
        <v>8828.2183394000003</v>
      </c>
      <c r="BQ86" s="50">
        <f xml:space="preserve"> 'WK2013'!FN96</f>
        <v>7646.7614701999992</v>
      </c>
      <c r="BR86" s="50">
        <f xml:space="preserve"> 'WK2013'!FO96</f>
        <v>8828.2183394000003</v>
      </c>
      <c r="BS86" s="50">
        <f xml:space="preserve"> 'WK2013'!FP96</f>
        <v>7646.7614701999992</v>
      </c>
      <c r="BT86" s="61">
        <f xml:space="preserve"> 'WK2013'!FK96</f>
        <v>0.50308421613402432</v>
      </c>
      <c r="BV86" s="50">
        <f xml:space="preserve"> 'WK2013'!FW96</f>
        <v>584.11048440000002</v>
      </c>
      <c r="BW86" s="50">
        <f xml:space="preserve"> 'WK2013'!FX96</f>
        <v>497.19690279999998</v>
      </c>
      <c r="BX86" s="50">
        <f xml:space="preserve"> 'WK2013'!GA96</f>
        <v>584.11048440000002</v>
      </c>
      <c r="BY86" s="50">
        <f xml:space="preserve"> 'WK2013'!GB96</f>
        <v>497.19690279999998</v>
      </c>
      <c r="BZ86" s="50">
        <f xml:space="preserve"> 'WK2013'!GC96</f>
        <v>584.11048440000002</v>
      </c>
      <c r="CA86" s="50">
        <f xml:space="preserve"> 'WK2013'!GD96</f>
        <v>497.19690279999998</v>
      </c>
      <c r="CB86" s="61">
        <f xml:space="preserve"> 'WK2013'!FY96</f>
        <v>0.49534328271405559</v>
      </c>
      <c r="CD86" s="50">
        <f xml:space="preserve"> 'WK2013'!GK96</f>
        <v>1642.7534295</v>
      </c>
      <c r="CE86" s="50">
        <f xml:space="preserve"> 'WK2013'!GL96</f>
        <v>1336.4259697500001</v>
      </c>
      <c r="CF86" s="50">
        <f xml:space="preserve"> 'WK2013'!GO96</f>
        <v>1642.7534295</v>
      </c>
      <c r="CG86" s="50">
        <f xml:space="preserve"> 'WK2013'!GP96</f>
        <v>1336.4259697500001</v>
      </c>
      <c r="CH86" s="50">
        <f xml:space="preserve"> 'WK2013'!GQ96</f>
        <v>1642.7534295</v>
      </c>
      <c r="CI86" s="50">
        <f xml:space="preserve"> 'WK2013'!GR96</f>
        <v>1336.4259697500001</v>
      </c>
      <c r="CJ86" s="61">
        <f xml:space="preserve"> 'WK2013'!GM96</f>
        <v>0.5243893909214683</v>
      </c>
      <c r="CN86" s="50">
        <f xml:space="preserve"> 'WK2014'!EG96</f>
        <v>12644.122497600001</v>
      </c>
      <c r="CO86" s="50">
        <f xml:space="preserve"> 'WK2014'!EH96</f>
        <v>10850.234704800001</v>
      </c>
      <c r="CP86" s="50">
        <f xml:space="preserve"> 'WK2014'!EK96</f>
        <v>12644.122497600001</v>
      </c>
      <c r="CQ86" s="50">
        <f xml:space="preserve"> 'WK2014'!EL96</f>
        <v>10850.234704800001</v>
      </c>
      <c r="CR86" s="50">
        <f xml:space="preserve"> 'WK2014'!EM96</f>
        <v>12644.122497600001</v>
      </c>
      <c r="CS86" s="50">
        <f xml:space="preserve"> 'WK2014'!EN96</f>
        <v>10850.234704800001</v>
      </c>
      <c r="CT86" s="61">
        <f xml:space="preserve"> 'WK2014'!EI96</f>
        <v>0.54373785403672392</v>
      </c>
      <c r="CV86" s="50">
        <f xml:space="preserve"> 'WK2014'!EU96</f>
        <v>10526.953123400001</v>
      </c>
      <c r="CW86" s="50">
        <f xml:space="preserve"> 'WK2014'!EV96</f>
        <v>8316.3909661999987</v>
      </c>
      <c r="CX86" s="50">
        <f xml:space="preserve"> 'WK2014'!EY96</f>
        <v>10526.953123400001</v>
      </c>
      <c r="CY86" s="50">
        <f xml:space="preserve"> 'WK2014'!EZ96</f>
        <v>8316.3909661999987</v>
      </c>
      <c r="CZ86" s="50">
        <f xml:space="preserve"> 'WK2014'!FA96</f>
        <v>10526.953123400001</v>
      </c>
      <c r="DA86" s="50">
        <f xml:space="preserve"> 'WK2014'!FB96</f>
        <v>8316.3909661999987</v>
      </c>
      <c r="DB86" s="61">
        <f xml:space="preserve"> 'WK2014'!EW96</f>
        <v>0.52884290924575983</v>
      </c>
      <c r="DC86" s="1"/>
      <c r="DD86" s="50">
        <f xml:space="preserve"> 'WK2014'!FI96</f>
        <v>8137.8522536</v>
      </c>
      <c r="DE86" s="50">
        <f xml:space="preserve"> 'WK2014'!FJ96</f>
        <v>6910.181775</v>
      </c>
      <c r="DF86" s="50">
        <f xml:space="preserve"> 'WK2014'!FM96</f>
        <v>8137.8522588867399</v>
      </c>
      <c r="DG86" s="50">
        <f xml:space="preserve"> 'WK2014'!FN96</f>
        <v>6910.1817688867395</v>
      </c>
      <c r="DH86" s="50">
        <f xml:space="preserve"> 'WK2014'!FO96</f>
        <v>8137.8522536</v>
      </c>
      <c r="DI86" s="50">
        <f xml:space="preserve"> 'WK2014'!FP96</f>
        <v>6910.1817635999996</v>
      </c>
      <c r="DJ86" s="61">
        <f xml:space="preserve"> 'WK2014'!FK96</f>
        <v>0.53656767512867998</v>
      </c>
      <c r="DK86" s="1"/>
      <c r="DL86" s="50">
        <f xml:space="preserve"> 'WK2014'!FW96</f>
        <v>574.80922559999999</v>
      </c>
      <c r="DM86" s="50">
        <f xml:space="preserve"> 'WK2014'!FX96</f>
        <v>495.08901280000009</v>
      </c>
      <c r="DN86" s="50">
        <f xml:space="preserve"> 'WK2014'!GA96</f>
        <v>574.80922559999999</v>
      </c>
      <c r="DO86" s="50">
        <f xml:space="preserve"> 'WK2014'!GB96</f>
        <v>495.08901280000009</v>
      </c>
      <c r="DP86" s="50">
        <f xml:space="preserve"> 'WK2014'!GC96</f>
        <v>574.80922559999999</v>
      </c>
      <c r="DQ86" s="50">
        <f xml:space="preserve"> 'WK2014'!GD96</f>
        <v>495.08901280000009</v>
      </c>
      <c r="DR86" s="61">
        <f xml:space="preserve"> 'WK2014'!FY96</f>
        <v>0.53810165176151614</v>
      </c>
      <c r="DS86" s="1"/>
      <c r="DT86" s="50">
        <f xml:space="preserve"> 'WK2014'!GK96</f>
        <v>2427.0161069999999</v>
      </c>
      <c r="DU86" s="50">
        <f xml:space="preserve"> 'WK2014'!GL96</f>
        <v>2032.9679520000004</v>
      </c>
      <c r="DV86" s="50">
        <f xml:space="preserve"> 'WK2014'!GO96</f>
        <v>2427.0161069999999</v>
      </c>
      <c r="DW86" s="50">
        <f xml:space="preserve"> 'WK2014'!GP96</f>
        <v>2032.9679520000004</v>
      </c>
      <c r="DX86" s="50">
        <f xml:space="preserve"> 'WK2014'!GQ96</f>
        <v>2427.0161069999999</v>
      </c>
      <c r="DY86" s="50">
        <f xml:space="preserve"> 'WK2014'!GR96</f>
        <v>2032.9679520000004</v>
      </c>
      <c r="DZ86" s="61">
        <f xml:space="preserve"> 'WK2014'!GM96</f>
        <v>0.5548954743967961</v>
      </c>
      <c r="ED86" s="50">
        <f xml:space="preserve"> 'WK2015'!EG96</f>
        <v>12046.139435199999</v>
      </c>
      <c r="EE86" s="50">
        <f xml:space="preserve"> 'WK2015'!EH96</f>
        <v>10087.398522599999</v>
      </c>
      <c r="EF86" s="50">
        <f xml:space="preserve"> 'WK2015'!EK96</f>
        <v>12046.139435199999</v>
      </c>
      <c r="EG86" s="50">
        <f xml:space="preserve"> 'WK2015'!EL96</f>
        <v>10087.398522599999</v>
      </c>
      <c r="EH86" s="50">
        <f xml:space="preserve"> 'WK2015'!EM96</f>
        <v>12046.139435199999</v>
      </c>
      <c r="EI86" s="50">
        <f xml:space="preserve"> 'WK2015'!EN96</f>
        <v>10087.398522599999</v>
      </c>
      <c r="EJ86" s="61">
        <f xml:space="preserve"> 'WK2015'!EI96</f>
        <v>0.54579681147860859</v>
      </c>
      <c r="EK86" s="1"/>
      <c r="EL86" s="50">
        <f xml:space="preserve"> 'WK2015'!EU96</f>
        <v>11634.921795799999</v>
      </c>
      <c r="EM86" s="50">
        <f xml:space="preserve"> 'WK2015'!EV96</f>
        <v>9466.0645054000015</v>
      </c>
      <c r="EN86" s="50">
        <f xml:space="preserve"> 'WK2015'!EY96</f>
        <v>11634.921795799999</v>
      </c>
      <c r="EO86" s="50">
        <f xml:space="preserve"> 'WK2015'!EZ96</f>
        <v>9466.0645054000015</v>
      </c>
      <c r="EP86" s="50">
        <f xml:space="preserve"> 'WK2015'!FA96</f>
        <v>11634.921795799999</v>
      </c>
      <c r="EQ86" s="50">
        <f xml:space="preserve"> 'WK2015'!FB96</f>
        <v>9466.0645054000015</v>
      </c>
      <c r="ER86" s="61">
        <f xml:space="preserve"> 'WK2015'!EW96</f>
        <v>0.54606722408393016</v>
      </c>
      <c r="ES86" s="1"/>
      <c r="ET86" s="50">
        <f xml:space="preserve"> 'WK2015'!FI96</f>
        <v>9827.3466126000003</v>
      </c>
      <c r="EU86" s="50">
        <f xml:space="preserve"> 'WK2015'!FJ96</f>
        <v>8097.4055298000012</v>
      </c>
      <c r="EV86" s="50">
        <f xml:space="preserve"> 'WK2015'!FM96</f>
        <v>9827.3466126000003</v>
      </c>
      <c r="EW86" s="50">
        <f xml:space="preserve"> 'WK2015'!FN96</f>
        <v>8097.4055298000012</v>
      </c>
      <c r="EX86" s="50">
        <f xml:space="preserve"> 'WK2015'!FO96</f>
        <v>9827.3466126000003</v>
      </c>
      <c r="EY86" s="50">
        <f xml:space="preserve"> 'WK2015'!FP96</f>
        <v>8097.4055298000012</v>
      </c>
      <c r="EZ86" s="61">
        <f xml:space="preserve"> 'WK2015'!FK96</f>
        <v>0.55554690839090937</v>
      </c>
      <c r="FA86" s="1"/>
      <c r="FB86" s="50">
        <f xml:space="preserve"> 'WK2015'!FW96</f>
        <v>624.08283520000009</v>
      </c>
      <c r="FC86" s="50">
        <f xml:space="preserve"> 'WK2015'!FX96</f>
        <v>542.64417360000004</v>
      </c>
      <c r="FD86" s="50">
        <f xml:space="preserve"> 'WK2015'!GA96</f>
        <v>624.08283520000009</v>
      </c>
      <c r="FE86" s="50">
        <f xml:space="preserve"> 'WK2015'!GB96</f>
        <v>542.64417360000004</v>
      </c>
      <c r="FF86" s="50">
        <f xml:space="preserve"> 'WK2015'!GC96</f>
        <v>624.08283520000009</v>
      </c>
      <c r="FG86" s="50">
        <f xml:space="preserve"> 'WK2015'!GD96</f>
        <v>542.64417360000004</v>
      </c>
      <c r="FH86" s="61">
        <f xml:space="preserve"> 'WK2015'!FY96</f>
        <v>0.54591932098799822</v>
      </c>
      <c r="FI86" s="1"/>
      <c r="FJ86" s="50">
        <f xml:space="preserve"> 'WK2015'!GK96</f>
        <v>1627.8124387500002</v>
      </c>
      <c r="FK86" s="50">
        <f xml:space="preserve"> 'WK2015'!GL96</f>
        <v>1496.785977</v>
      </c>
      <c r="FL86" s="50">
        <f xml:space="preserve"> 'WK2015'!GO96</f>
        <v>1627.8124387500002</v>
      </c>
      <c r="FM86" s="50">
        <f xml:space="preserve"> 'WK2015'!GP96</f>
        <v>1496.785977</v>
      </c>
      <c r="FN86" s="50">
        <f xml:space="preserve"> 'WK2015'!GQ96</f>
        <v>1627.8124387500002</v>
      </c>
      <c r="FO86" s="50">
        <f xml:space="preserve"> 'WK2015'!GR96</f>
        <v>1496.785977</v>
      </c>
      <c r="FP86" s="61">
        <f xml:space="preserve"> 'WK2015'!GM96</f>
        <v>0.55705353034349836</v>
      </c>
      <c r="FS86" s="283">
        <f xml:space="preserve"> 'WK2015'!H96</f>
        <v>5701.3787249999996</v>
      </c>
      <c r="FT86" s="283">
        <f xml:space="preserve"> 'WK2015'!I96</f>
        <v>4981.6719359999997</v>
      </c>
      <c r="FU86" s="283">
        <f xml:space="preserve"> 'WK2015'!L96</f>
        <v>5701.3787249999996</v>
      </c>
      <c r="FV86" s="283">
        <f xml:space="preserve"> 'WK2015'!M96</f>
        <v>4981.6719359999997</v>
      </c>
      <c r="FW86" s="283">
        <f xml:space="preserve"> 'WK2015'!N96</f>
        <v>5701.3787249999996</v>
      </c>
      <c r="FX86" s="283">
        <f xml:space="preserve"> 'WK2015'!O96</f>
        <v>4981.6719359999997</v>
      </c>
      <c r="FY86" s="284">
        <f xml:space="preserve"> 'WK2015'!P96</f>
        <v>0.55590793425724627</v>
      </c>
      <c r="GA86" s="283">
        <f xml:space="preserve"> 'WK2015'!HB96</f>
        <v>5352.1817099999989</v>
      </c>
      <c r="GB86" s="283">
        <f xml:space="preserve"> 'WK2015'!HC96</f>
        <v>4859.873552</v>
      </c>
      <c r="GC86" s="283">
        <f xml:space="preserve"> 'WK2015'!HF96</f>
        <v>5352.1817099999989</v>
      </c>
      <c r="GD86" s="283">
        <f xml:space="preserve"> 'WK2015'!HG96</f>
        <v>4859.873552</v>
      </c>
      <c r="GE86" s="283">
        <f xml:space="preserve"> 'WK2015'!HH96</f>
        <v>5352.1817099999989</v>
      </c>
      <c r="GF86" s="283">
        <f xml:space="preserve"> 'WK2015'!HI96</f>
        <v>4859.873552</v>
      </c>
      <c r="GG86" s="284">
        <f xml:space="preserve"> 'WK2015'!HJ96</f>
        <v>0.5881118289405981</v>
      </c>
      <c r="GI86" s="283">
        <f xml:space="preserve"> 'WK2015'!HQ96</f>
        <v>5446.9137449999998</v>
      </c>
      <c r="GJ86" s="283">
        <f xml:space="preserve"> 'WK2015'!HR96</f>
        <v>4929.4237860000003</v>
      </c>
      <c r="GK86" s="283">
        <f xml:space="preserve"> 'WK2015'!HU96</f>
        <v>5446.9137449999998</v>
      </c>
      <c r="GL86" s="283">
        <f xml:space="preserve"> 'WK2015'!HV96</f>
        <v>4929.4237860000003</v>
      </c>
      <c r="GM86" s="283">
        <f xml:space="preserve"> 'WK2015'!HW96</f>
        <v>5446.9137449999998</v>
      </c>
      <c r="GN86" s="283">
        <f xml:space="preserve"> 'WK2015'!HX96</f>
        <v>4929.4237860000003</v>
      </c>
      <c r="GO86" s="284">
        <f xml:space="preserve"> 'WK2015'!HY96</f>
        <v>0.58098170894780399</v>
      </c>
    </row>
    <row r="87" spans="1:197" x14ac:dyDescent="0.2">
      <c r="A87" s="3">
        <f>Basis!A87</f>
        <v>87</v>
      </c>
      <c r="D87" s="252" t="e">
        <v>#N/A</v>
      </c>
      <c r="E87" s="252" t="e">
        <v>#N/A</v>
      </c>
      <c r="H87" s="50">
        <f xml:space="preserve"> 'WK2012'!EG97</f>
        <v>11410.065327839988</v>
      </c>
      <c r="I87" s="50">
        <f xml:space="preserve"> 'WK2012'!EH97</f>
        <v>9995.2316084431623</v>
      </c>
      <c r="J87" s="50">
        <f xml:space="preserve"> 'WK2012'!EK97</f>
        <v>11410.065327839988</v>
      </c>
      <c r="K87" s="50">
        <f xml:space="preserve"> 'WK2012'!EL97</f>
        <v>9995.2316084431623</v>
      </c>
      <c r="L87" s="50">
        <f xml:space="preserve"> 'WK2012'!EM97</f>
        <v>11410.065327839988</v>
      </c>
      <c r="M87" s="50">
        <f xml:space="preserve"> 'WK2012'!EN97</f>
        <v>9995.2316084431623</v>
      </c>
      <c r="N87" s="61">
        <f xml:space="preserve"> 'WK2012'!EI97</f>
        <v>0.42542610364065814</v>
      </c>
      <c r="P87" s="50">
        <f xml:space="preserve"> 'WK2012'!EU97</f>
        <v>10376.164313283834</v>
      </c>
      <c r="Q87" s="50">
        <f xml:space="preserve"> 'WK2012'!EV97</f>
        <v>9157.8957054951625</v>
      </c>
      <c r="R87" s="50">
        <f xml:space="preserve"> 'WK2012'!EY97</f>
        <v>10376.164313283834</v>
      </c>
      <c r="S87" s="50">
        <f xml:space="preserve"> 'WK2012'!EZ97</f>
        <v>9157.8957054951625</v>
      </c>
      <c r="T87" s="50">
        <f xml:space="preserve"> 'WK2012'!FA97</f>
        <v>10376.164313283834</v>
      </c>
      <c r="U87" s="50">
        <f xml:space="preserve"> 'WK2012'!FB97</f>
        <v>9157.8957054951625</v>
      </c>
      <c r="V87" s="61">
        <f xml:space="preserve"> 'WK2012'!EW97</f>
        <v>0.43906292959181892</v>
      </c>
      <c r="X87" s="50">
        <f xml:space="preserve"> 'WK2012'!FI97</f>
        <v>7690.4717091834391</v>
      </c>
      <c r="Y87" s="50">
        <f xml:space="preserve"> 'WK2012'!FJ97</f>
        <v>6716.2827093423439</v>
      </c>
      <c r="Z87" s="50">
        <f xml:space="preserve"> 'WK2012'!FM97</f>
        <v>7690.4717091834391</v>
      </c>
      <c r="AA87" s="50">
        <f xml:space="preserve"> 'WK2012'!FN97</f>
        <v>6716.2827093423439</v>
      </c>
      <c r="AB87" s="50">
        <f xml:space="preserve"> 'WK2012'!FO97</f>
        <v>7690.4717091834391</v>
      </c>
      <c r="AC87" s="50">
        <f xml:space="preserve"> 'WK2012'!FP97</f>
        <v>6716.2827093423439</v>
      </c>
      <c r="AD87" s="61">
        <f xml:space="preserve"> 'WK2012'!FK97</f>
        <v>0.42988531927220874</v>
      </c>
      <c r="AF87" s="50">
        <f xml:space="preserve"> 'WK2012'!FW97</f>
        <v>1726.8253180181036</v>
      </c>
      <c r="AG87" s="50">
        <f xml:space="preserve"> 'WK2012'!FX97</f>
        <v>1086.4035331445727</v>
      </c>
      <c r="AH87" s="50">
        <f xml:space="preserve"> 'WK2012'!GA97</f>
        <v>1726.8253180181036</v>
      </c>
      <c r="AI87" s="50">
        <f xml:space="preserve"> 'WK2012'!GB97</f>
        <v>1086.4035331445727</v>
      </c>
      <c r="AJ87" s="50">
        <f xml:space="preserve"> 'WK2012'!GC97</f>
        <v>1726.8253180181036</v>
      </c>
      <c r="AK87" s="50">
        <f xml:space="preserve"> 'WK2012'!GD97</f>
        <v>1086.4035331445727</v>
      </c>
      <c r="AL87" s="61">
        <f xml:space="preserve"> 'WK2012'!FY97</f>
        <v>0.46645931563800119</v>
      </c>
      <c r="AN87" s="50">
        <f xml:space="preserve"> 'WK2012'!GK97</f>
        <v>385.80902610102908</v>
      </c>
      <c r="AO87" s="50">
        <f xml:space="preserve"> 'WK2012'!GL97</f>
        <v>325.8870929940029</v>
      </c>
      <c r="AP87" s="50">
        <f xml:space="preserve"> 'WK2012'!GO97</f>
        <v>385.80902610102908</v>
      </c>
      <c r="AQ87" s="50">
        <f xml:space="preserve"> 'WK2012'!GP97</f>
        <v>325.8870929940029</v>
      </c>
      <c r="AR87" s="50">
        <f xml:space="preserve"> 'WK2012'!GQ97</f>
        <v>385.80902610102908</v>
      </c>
      <c r="AS87" s="50">
        <f xml:space="preserve"> 'WK2012'!GR97</f>
        <v>325.8870929940029</v>
      </c>
      <c r="AT87" s="61">
        <f xml:space="preserve"> 'WK2012'!GM97</f>
        <v>0.41108778754205161</v>
      </c>
      <c r="AX87" s="50">
        <f xml:space="preserve"> 'WK2013'!EG97</f>
        <v>12723.725475199999</v>
      </c>
      <c r="AY87" s="50">
        <f xml:space="preserve"> 'WK2013'!EH97</f>
        <v>10779.3557898</v>
      </c>
      <c r="AZ87" s="50">
        <f xml:space="preserve"> 'WK2013'!EK97</f>
        <v>12723.725475199999</v>
      </c>
      <c r="BA87" s="50">
        <f xml:space="preserve"> 'WK2013'!EL97</f>
        <v>10779.3557898</v>
      </c>
      <c r="BB87" s="50">
        <f xml:space="preserve"> 'WK2013'!EM97</f>
        <v>12723.725475199999</v>
      </c>
      <c r="BC87" s="50">
        <f xml:space="preserve"> 'WK2013'!EN97</f>
        <v>10779.3557898</v>
      </c>
      <c r="BD87" s="61">
        <f xml:space="preserve"> 'WK2013'!EI97</f>
        <v>0.45879820772137436</v>
      </c>
      <c r="BF87" s="50">
        <f xml:space="preserve"> 'WK2013'!EU97</f>
        <v>11406.089239300001</v>
      </c>
      <c r="BG87" s="50">
        <f xml:space="preserve"> 'WK2013'!EV97</f>
        <v>9489.5024402000017</v>
      </c>
      <c r="BH87" s="50">
        <f xml:space="preserve"> 'WK2013'!EY97</f>
        <v>11406.089239300001</v>
      </c>
      <c r="BI87" s="50">
        <f xml:space="preserve"> 'WK2013'!EZ97</f>
        <v>9489.5024402000017</v>
      </c>
      <c r="BJ87" s="50">
        <f xml:space="preserve"> 'WK2013'!FA97</f>
        <v>11406.089239300001</v>
      </c>
      <c r="BK87" s="50">
        <f xml:space="preserve"> 'WK2013'!FB97</f>
        <v>9489.5024402000017</v>
      </c>
      <c r="BL87" s="61">
        <f xml:space="preserve"> 'WK2013'!EW97</f>
        <v>0.47985891415604098</v>
      </c>
      <c r="BN87" s="50">
        <f xml:space="preserve"> 'WK2013'!FI97</f>
        <v>8948.5276073999994</v>
      </c>
      <c r="BO87" s="50">
        <f xml:space="preserve"> 'WK2013'!FJ97</f>
        <v>7732.5258834000006</v>
      </c>
      <c r="BP87" s="50">
        <f xml:space="preserve"> 'WK2013'!FM97</f>
        <v>8948.5276073999994</v>
      </c>
      <c r="BQ87" s="50">
        <f xml:space="preserve"> 'WK2013'!FN97</f>
        <v>7732.5258834000006</v>
      </c>
      <c r="BR87" s="50">
        <f xml:space="preserve"> 'WK2013'!FO97</f>
        <v>8948.5276073999994</v>
      </c>
      <c r="BS87" s="50">
        <f xml:space="preserve"> 'WK2013'!FP97</f>
        <v>7732.5258834000006</v>
      </c>
      <c r="BT87" s="61">
        <f xml:space="preserve"> 'WK2013'!FK97</f>
        <v>0.48313704554401349</v>
      </c>
      <c r="BV87" s="50">
        <f xml:space="preserve"> 'WK2013'!FW97</f>
        <v>556.82310920000009</v>
      </c>
      <c r="BW87" s="50">
        <f xml:space="preserve"> 'WK2013'!FX97</f>
        <v>464.6044278</v>
      </c>
      <c r="BX87" s="50">
        <f xml:space="preserve"> 'WK2013'!GA97</f>
        <v>556.82310920000009</v>
      </c>
      <c r="BY87" s="50">
        <f xml:space="preserve"> 'WK2013'!GB97</f>
        <v>464.6044278</v>
      </c>
      <c r="BZ87" s="50">
        <f xml:space="preserve"> 'WK2013'!GC97</f>
        <v>556.82310920000009</v>
      </c>
      <c r="CA87" s="50">
        <f xml:space="preserve"> 'WK2013'!GD97</f>
        <v>464.6044278</v>
      </c>
      <c r="CB87" s="61">
        <f xml:space="preserve"> 'WK2013'!FY97</f>
        <v>0.47939357952231387</v>
      </c>
      <c r="CD87" s="50">
        <f xml:space="preserve"> 'WK2013'!GK97</f>
        <v>1674.8043794999999</v>
      </c>
      <c r="CE87" s="50">
        <f xml:space="preserve"> 'WK2013'!GL97</f>
        <v>1341.5416499999997</v>
      </c>
      <c r="CF87" s="50">
        <f xml:space="preserve"> 'WK2013'!GO97</f>
        <v>1674.8043794999999</v>
      </c>
      <c r="CG87" s="50">
        <f xml:space="preserve"> 'WK2013'!GP97</f>
        <v>1341.5416499999997</v>
      </c>
      <c r="CH87" s="50">
        <f xml:space="preserve"> 'WK2013'!GQ97</f>
        <v>1674.8043794999999</v>
      </c>
      <c r="CI87" s="50">
        <f xml:space="preserve"> 'WK2013'!GR97</f>
        <v>1341.5416499999997</v>
      </c>
      <c r="CJ87" s="61">
        <f xml:space="preserve"> 'WK2013'!GM97</f>
        <v>0.49649238629945353</v>
      </c>
      <c r="CN87" s="50">
        <f xml:space="preserve"> 'WK2014'!EG97</f>
        <v>12820.882554799999</v>
      </c>
      <c r="CO87" s="50">
        <f xml:space="preserve"> 'WK2014'!EH97</f>
        <v>10911.576692000001</v>
      </c>
      <c r="CP87" s="50">
        <f xml:space="preserve"> 'WK2014'!EK97</f>
        <v>12820.882554799999</v>
      </c>
      <c r="CQ87" s="50">
        <f xml:space="preserve"> 'WK2014'!EL97</f>
        <v>10911.576692000001</v>
      </c>
      <c r="CR87" s="50">
        <f xml:space="preserve"> 'WK2014'!EM97</f>
        <v>12820.882554799999</v>
      </c>
      <c r="CS87" s="50">
        <f xml:space="preserve"> 'WK2014'!EN97</f>
        <v>10911.576692000001</v>
      </c>
      <c r="CT87" s="61">
        <f xml:space="preserve"> 'WK2014'!EI97</f>
        <v>0.49397896421380083</v>
      </c>
      <c r="CV87" s="50">
        <f xml:space="preserve"> 'WK2014'!EU97</f>
        <v>10606.318442699998</v>
      </c>
      <c r="CW87" s="50">
        <f xml:space="preserve"> 'WK2014'!EV97</f>
        <v>8375.6977580000002</v>
      </c>
      <c r="CX87" s="50">
        <f xml:space="preserve"> 'WK2014'!EY97</f>
        <v>10606.318442699998</v>
      </c>
      <c r="CY87" s="50">
        <f xml:space="preserve"> 'WK2014'!EZ97</f>
        <v>8375.6977580000002</v>
      </c>
      <c r="CZ87" s="50">
        <f xml:space="preserve"> 'WK2014'!FA97</f>
        <v>10606.318442699998</v>
      </c>
      <c r="DA87" s="50">
        <f xml:space="preserve"> 'WK2014'!FB97</f>
        <v>8375.6977580000002</v>
      </c>
      <c r="DB87" s="61">
        <f xml:space="preserve"> 'WK2014'!EW97</f>
        <v>0.47523495609297373</v>
      </c>
      <c r="DC87" s="1"/>
      <c r="DD87" s="50">
        <f xml:space="preserve"> 'WK2014'!FI97</f>
        <v>8272.6329720000012</v>
      </c>
      <c r="DE87" s="50">
        <f xml:space="preserve"> 'WK2014'!FJ97</f>
        <v>6985.5197023999999</v>
      </c>
      <c r="DF87" s="50">
        <f xml:space="preserve"> 'WK2014'!FM97</f>
        <v>8272.6329772272857</v>
      </c>
      <c r="DG87" s="50">
        <f xml:space="preserve"> 'WK2014'!FN97</f>
        <v>6985.5196962272848</v>
      </c>
      <c r="DH87" s="50">
        <f xml:space="preserve"> 'WK2014'!FO97</f>
        <v>8272.6329720000012</v>
      </c>
      <c r="DI87" s="50">
        <f xml:space="preserve"> 'WK2014'!FP97</f>
        <v>6985.5196909999995</v>
      </c>
      <c r="DJ87" s="61">
        <f xml:space="preserve"> 'WK2014'!FK97</f>
        <v>0.49679419282705473</v>
      </c>
      <c r="DK87" s="1"/>
      <c r="DL87" s="50">
        <f xml:space="preserve"> 'WK2014'!FW97</f>
        <v>547.5165528</v>
      </c>
      <c r="DM87" s="50">
        <f xml:space="preserve"> 'WK2014'!FX97</f>
        <v>462.96715200000006</v>
      </c>
      <c r="DN87" s="50">
        <f xml:space="preserve"> 'WK2014'!GA97</f>
        <v>547.5165528</v>
      </c>
      <c r="DO87" s="50">
        <f xml:space="preserve"> 'WK2014'!GB97</f>
        <v>462.96715200000006</v>
      </c>
      <c r="DP87" s="50">
        <f xml:space="preserve"> 'WK2014'!GC97</f>
        <v>547.5165528</v>
      </c>
      <c r="DQ87" s="50">
        <f xml:space="preserve"> 'WK2014'!GD97</f>
        <v>462.96715200000006</v>
      </c>
      <c r="DR87" s="61">
        <f xml:space="preserve"> 'WK2014'!FY97</f>
        <v>0.48731912592245913</v>
      </c>
      <c r="DS87" s="1"/>
      <c r="DT87" s="50">
        <f xml:space="preserve"> 'WK2014'!GK97</f>
        <v>2470.6151459999996</v>
      </c>
      <c r="DU87" s="50">
        <f xml:space="preserve"> 'WK2014'!GL97</f>
        <v>2045.6212620000006</v>
      </c>
      <c r="DV87" s="50">
        <f xml:space="preserve"> 'WK2014'!GO97</f>
        <v>2470.6151459999996</v>
      </c>
      <c r="DW87" s="50">
        <f xml:space="preserve"> 'WK2014'!GP97</f>
        <v>2045.6212620000006</v>
      </c>
      <c r="DX87" s="50">
        <f xml:space="preserve"> 'WK2014'!GQ97</f>
        <v>2470.6151459999996</v>
      </c>
      <c r="DY87" s="50">
        <f xml:space="preserve"> 'WK2014'!GR97</f>
        <v>2045.6212620000006</v>
      </c>
      <c r="DZ87" s="61">
        <f xml:space="preserve"> 'WK2014'!GM97</f>
        <v>0.5152650666105506</v>
      </c>
      <c r="ED87" s="50">
        <f xml:space="preserve"> 'WK2015'!EG97</f>
        <v>12169.9098564</v>
      </c>
      <c r="EE87" s="50">
        <f xml:space="preserve"> 'WK2015'!EH97</f>
        <v>10120.549400800001</v>
      </c>
      <c r="EF87" s="50">
        <f xml:space="preserve"> 'WK2015'!EK97</f>
        <v>12169.9098564</v>
      </c>
      <c r="EG87" s="50">
        <f xml:space="preserve"> 'WK2015'!EL97</f>
        <v>10120.549400800001</v>
      </c>
      <c r="EH87" s="50">
        <f xml:space="preserve"> 'WK2015'!EM97</f>
        <v>12169.9098564</v>
      </c>
      <c r="EI87" s="50">
        <f xml:space="preserve"> 'WK2015'!EN97</f>
        <v>10120.549400800001</v>
      </c>
      <c r="EJ87" s="61">
        <f xml:space="preserve"> 'WK2015'!EI97</f>
        <v>0.54525451286334714</v>
      </c>
      <c r="EK87" s="1"/>
      <c r="EL87" s="50">
        <f xml:space="preserve"> 'WK2015'!EU97</f>
        <v>11752.064996600002</v>
      </c>
      <c r="EM87" s="50">
        <f xml:space="preserve"> 'WK2015'!EV97</f>
        <v>9539.6328817000012</v>
      </c>
      <c r="EN87" s="50">
        <f xml:space="preserve"> 'WK2015'!EY97</f>
        <v>11752.064996600002</v>
      </c>
      <c r="EO87" s="50">
        <f xml:space="preserve"> 'WK2015'!EZ97</f>
        <v>9539.6328817000012</v>
      </c>
      <c r="EP87" s="50">
        <f xml:space="preserve"> 'WK2015'!FA97</f>
        <v>11752.064996600002</v>
      </c>
      <c r="EQ87" s="50">
        <f xml:space="preserve"> 'WK2015'!FB97</f>
        <v>9539.6328817000012</v>
      </c>
      <c r="ER87" s="61">
        <f xml:space="preserve"> 'WK2015'!EW97</f>
        <v>0.53967111024941472</v>
      </c>
      <c r="ES87" s="1"/>
      <c r="ET87" s="50">
        <f xml:space="preserve"> 'WK2015'!FI97</f>
        <v>10025.147932799999</v>
      </c>
      <c r="EU87" s="50">
        <f xml:space="preserve"> 'WK2015'!FJ97</f>
        <v>8193.3315614000003</v>
      </c>
      <c r="EV87" s="50">
        <f xml:space="preserve"> 'WK2015'!FM97</f>
        <v>10025.147932799999</v>
      </c>
      <c r="EW87" s="50">
        <f xml:space="preserve"> 'WK2015'!FN97</f>
        <v>8193.3315614000003</v>
      </c>
      <c r="EX87" s="50">
        <f xml:space="preserve"> 'WK2015'!FO97</f>
        <v>10025.147932799999</v>
      </c>
      <c r="EY87" s="50">
        <f xml:space="preserve"> 'WK2015'!FP97</f>
        <v>8193.3315614000003</v>
      </c>
      <c r="EZ87" s="61">
        <f xml:space="preserve"> 'WK2015'!FK97</f>
        <v>0.54008568406660618</v>
      </c>
      <c r="FA87" s="1"/>
      <c r="FB87" s="50">
        <f xml:space="preserve"> 'WK2015'!FW97</f>
        <v>594.62352640000006</v>
      </c>
      <c r="FC87" s="50">
        <f xml:space="preserve"> 'WK2015'!FX97</f>
        <v>509.35878479999997</v>
      </c>
      <c r="FD87" s="50">
        <f xml:space="preserve"> 'WK2015'!GA97</f>
        <v>594.62352640000006</v>
      </c>
      <c r="FE87" s="50">
        <f xml:space="preserve"> 'WK2015'!GB97</f>
        <v>509.35878479999997</v>
      </c>
      <c r="FF87" s="50">
        <f xml:space="preserve"> 'WK2015'!GC97</f>
        <v>594.62352640000006</v>
      </c>
      <c r="FG87" s="50">
        <f xml:space="preserve"> 'WK2015'!GD97</f>
        <v>509.35878479999997</v>
      </c>
      <c r="FH87" s="61">
        <f xml:space="preserve"> 'WK2015'!FY97</f>
        <v>0.54242950675326218</v>
      </c>
      <c r="FI87" s="1"/>
      <c r="FJ87" s="50">
        <f xml:space="preserve"> 'WK2015'!GK97</f>
        <v>1645.8481507499998</v>
      </c>
      <c r="FK87" s="50">
        <f xml:space="preserve"> 'WK2015'!GL97</f>
        <v>1489.3089097500006</v>
      </c>
      <c r="FL87" s="50">
        <f xml:space="preserve"> 'WK2015'!GO97</f>
        <v>1645.8481507499998</v>
      </c>
      <c r="FM87" s="50">
        <f xml:space="preserve"> 'WK2015'!GP97</f>
        <v>1489.3089097500006</v>
      </c>
      <c r="FN87" s="50">
        <f xml:space="preserve"> 'WK2015'!GQ97</f>
        <v>1645.8481507499998</v>
      </c>
      <c r="FO87" s="50">
        <f xml:space="preserve"> 'WK2015'!GR97</f>
        <v>1489.3089097500006</v>
      </c>
      <c r="FP87" s="61">
        <f xml:space="preserve"> 'WK2015'!GM97</f>
        <v>0.54952157788853506</v>
      </c>
      <c r="FS87" s="283">
        <f xml:space="preserve"> 'WK2015'!H97</f>
        <v>5775.1618550000003</v>
      </c>
      <c r="FT87" s="283">
        <f xml:space="preserve"> 'WK2015'!I97</f>
        <v>5030.6814399999994</v>
      </c>
      <c r="FU87" s="283">
        <f xml:space="preserve"> 'WK2015'!L97</f>
        <v>5775.1618550000003</v>
      </c>
      <c r="FV87" s="283">
        <f xml:space="preserve"> 'WK2015'!M97</f>
        <v>5030.6814399999994</v>
      </c>
      <c r="FW87" s="283">
        <f xml:space="preserve"> 'WK2015'!N97</f>
        <v>5775.1618550000003</v>
      </c>
      <c r="FX87" s="283">
        <f xml:space="preserve"> 'WK2015'!O97</f>
        <v>5030.6814399999994</v>
      </c>
      <c r="FY87" s="284">
        <f xml:space="preserve"> 'WK2015'!P97</f>
        <v>0.54940355566838173</v>
      </c>
      <c r="GA87" s="283">
        <f xml:space="preserve"> 'WK2015'!HB97</f>
        <v>5444.2636679999996</v>
      </c>
      <c r="GB87" s="283">
        <f xml:space="preserve"> 'WK2015'!HC97</f>
        <v>4938.6265320000002</v>
      </c>
      <c r="GC87" s="283">
        <f xml:space="preserve"> 'WK2015'!HF97</f>
        <v>5444.2636679999996</v>
      </c>
      <c r="GD87" s="283">
        <f xml:space="preserve"> 'WK2015'!HG97</f>
        <v>4938.6265320000002</v>
      </c>
      <c r="GE87" s="283">
        <f xml:space="preserve"> 'WK2015'!HH97</f>
        <v>5444.2636679999996</v>
      </c>
      <c r="GF87" s="283">
        <f xml:space="preserve"> 'WK2015'!HI97</f>
        <v>4938.6265320000002</v>
      </c>
      <c r="GG87" s="284">
        <f xml:space="preserve"> 'WK2015'!HJ97</f>
        <v>0.56566007096591009</v>
      </c>
      <c r="GI87" s="283">
        <f xml:space="preserve"> 'WK2015'!HQ97</f>
        <v>5552.2336100000002</v>
      </c>
      <c r="GJ87" s="283">
        <f xml:space="preserve"> 'WK2015'!HR97</f>
        <v>5016.515805</v>
      </c>
      <c r="GK87" s="283">
        <f xml:space="preserve"> 'WK2015'!HU97</f>
        <v>5552.2336100000002</v>
      </c>
      <c r="GL87" s="283">
        <f xml:space="preserve"> 'WK2015'!HV97</f>
        <v>5016.515805</v>
      </c>
      <c r="GM87" s="283">
        <f xml:space="preserve"> 'WK2015'!HW97</f>
        <v>5552.2336100000002</v>
      </c>
      <c r="GN87" s="283">
        <f xml:space="preserve"> 'WK2015'!HX97</f>
        <v>5016.515805</v>
      </c>
      <c r="GO87" s="284">
        <f xml:space="preserve"> 'WK2015'!HY97</f>
        <v>0.51639818830105033</v>
      </c>
    </row>
    <row r="88" spans="1:197" x14ac:dyDescent="0.2">
      <c r="A88" s="3">
        <f>Basis!A88</f>
        <v>88</v>
      </c>
      <c r="D88" s="252" t="e">
        <v>#N/A</v>
      </c>
      <c r="E88" s="252" t="e">
        <v>#N/A</v>
      </c>
      <c r="H88" s="50">
        <f xml:space="preserve"> 'WK2012'!EG98</f>
        <v>11579.771646099791</v>
      </c>
      <c r="I88" s="50">
        <f xml:space="preserve"> 'WK2012'!EH98</f>
        <v>10058.71718950307</v>
      </c>
      <c r="J88" s="50">
        <f xml:space="preserve"> 'WK2012'!EK98</f>
        <v>11579.771646099791</v>
      </c>
      <c r="K88" s="50">
        <f xml:space="preserve"> 'WK2012'!EL98</f>
        <v>10058.71718950307</v>
      </c>
      <c r="L88" s="50">
        <f xml:space="preserve"> 'WK2012'!EM98</f>
        <v>11579.771646099791</v>
      </c>
      <c r="M88" s="50">
        <f xml:space="preserve"> 'WK2012'!EN98</f>
        <v>10058.71718950307</v>
      </c>
      <c r="N88" s="61">
        <f xml:space="preserve"> 'WK2012'!EI98</f>
        <v>0.38763775867637157</v>
      </c>
      <c r="P88" s="50">
        <f xml:space="preserve"> 'WK2012'!EU98</f>
        <v>10491.636151720555</v>
      </c>
      <c r="Q88" s="50">
        <f xml:space="preserve"> 'WK2012'!EV98</f>
        <v>9204.2331560306229</v>
      </c>
      <c r="R88" s="50">
        <f xml:space="preserve"> 'WK2012'!EY98</f>
        <v>10491.636151720555</v>
      </c>
      <c r="S88" s="50">
        <f xml:space="preserve"> 'WK2012'!EZ98</f>
        <v>9204.2331560306229</v>
      </c>
      <c r="T88" s="50">
        <f xml:space="preserve"> 'WK2012'!FA98</f>
        <v>10491.636151720555</v>
      </c>
      <c r="U88" s="50">
        <f xml:space="preserve"> 'WK2012'!FB98</f>
        <v>9204.2331560306229</v>
      </c>
      <c r="V88" s="61">
        <f xml:space="preserve"> 'WK2012'!EW98</f>
        <v>0.39861028331633835</v>
      </c>
      <c r="X88" s="50">
        <f xml:space="preserve"> 'WK2012'!FI98</f>
        <v>7809.471274597694</v>
      </c>
      <c r="Y88" s="50">
        <f xml:space="preserve"> 'WK2012'!FJ98</f>
        <v>6780.6447530863434</v>
      </c>
      <c r="Z88" s="50">
        <f xml:space="preserve"> 'WK2012'!FM98</f>
        <v>7809.471274597694</v>
      </c>
      <c r="AA88" s="50">
        <f xml:space="preserve"> 'WK2012'!FN98</f>
        <v>6780.6447530863434</v>
      </c>
      <c r="AB88" s="50">
        <f xml:space="preserve"> 'WK2012'!FO98</f>
        <v>7809.471274597694</v>
      </c>
      <c r="AC88" s="50">
        <f xml:space="preserve"> 'WK2012'!FP98</f>
        <v>6780.6447530863434</v>
      </c>
      <c r="AD88" s="61">
        <f xml:space="preserve"> 'WK2012'!FK98</f>
        <v>0.39780707518198638</v>
      </c>
      <c r="AF88" s="50">
        <f xml:space="preserve"> 'WK2012'!FW98</f>
        <v>1737.6302157934322</v>
      </c>
      <c r="AG88" s="50">
        <f xml:space="preserve"> 'WK2012'!FX98</f>
        <v>1092.012972032406</v>
      </c>
      <c r="AH88" s="50">
        <f xml:space="preserve"> 'WK2012'!GA98</f>
        <v>1737.6302157934322</v>
      </c>
      <c r="AI88" s="50">
        <f xml:space="preserve"> 'WK2012'!GB98</f>
        <v>1092.012972032406</v>
      </c>
      <c r="AJ88" s="50">
        <f xml:space="preserve"> 'WK2012'!GC98</f>
        <v>1737.6302157934322</v>
      </c>
      <c r="AK88" s="50">
        <f xml:space="preserve"> 'WK2012'!GD98</f>
        <v>1092.012972032406</v>
      </c>
      <c r="AL88" s="61">
        <f xml:space="preserve"> 'WK2012'!FY98</f>
        <v>0.40778622036335604</v>
      </c>
      <c r="AN88" s="50">
        <f xml:space="preserve"> 'WK2012'!GK98</f>
        <v>366.33698718715368</v>
      </c>
      <c r="AO88" s="50">
        <f xml:space="preserve"> 'WK2012'!GL98</f>
        <v>304.67621172662314</v>
      </c>
      <c r="AP88" s="50">
        <f xml:space="preserve"> 'WK2012'!GO98</f>
        <v>366.33698718715368</v>
      </c>
      <c r="AQ88" s="50">
        <f xml:space="preserve"> 'WK2012'!GP98</f>
        <v>304.67621172662314</v>
      </c>
      <c r="AR88" s="50">
        <f xml:space="preserve"> 'WK2012'!GQ98</f>
        <v>366.33698718715368</v>
      </c>
      <c r="AS88" s="50">
        <f xml:space="preserve"> 'WK2012'!GR98</f>
        <v>304.67621172662314</v>
      </c>
      <c r="AT88" s="61">
        <f xml:space="preserve"> 'WK2012'!GM98</f>
        <v>0.3895562788422039</v>
      </c>
      <c r="AX88" s="50">
        <f xml:space="preserve"> 'WK2013'!EG98</f>
        <v>12886.246773800001</v>
      </c>
      <c r="AY88" s="50">
        <f xml:space="preserve"> 'WK2013'!EH98</f>
        <v>10828.523641</v>
      </c>
      <c r="AZ88" s="50">
        <f xml:space="preserve"> 'WK2013'!EK98</f>
        <v>12886.246773800001</v>
      </c>
      <c r="BA88" s="50">
        <f xml:space="preserve"> 'WK2013'!EL98</f>
        <v>10828.523641</v>
      </c>
      <c r="BB88" s="50">
        <f xml:space="preserve"> 'WK2013'!EM98</f>
        <v>12886.246773800001</v>
      </c>
      <c r="BC88" s="50">
        <f xml:space="preserve"> 'WK2013'!EN98</f>
        <v>10828.523641</v>
      </c>
      <c r="BD88" s="61">
        <f xml:space="preserve"> 'WK2013'!EI98</f>
        <v>0.43679353292879164</v>
      </c>
      <c r="BF88" s="50">
        <f xml:space="preserve"> 'WK2013'!EU98</f>
        <v>11469.520039700001</v>
      </c>
      <c r="BG88" s="50">
        <f xml:space="preserve"> 'WK2013'!EV98</f>
        <v>9519.0174260000003</v>
      </c>
      <c r="BH88" s="50">
        <f xml:space="preserve"> 'WK2013'!EY98</f>
        <v>11469.520039700001</v>
      </c>
      <c r="BI88" s="50">
        <f xml:space="preserve"> 'WK2013'!EZ98</f>
        <v>9519.0174260000003</v>
      </c>
      <c r="BJ88" s="50">
        <f xml:space="preserve"> 'WK2013'!FA98</f>
        <v>11469.520039700001</v>
      </c>
      <c r="BK88" s="50">
        <f xml:space="preserve"> 'WK2013'!FB98</f>
        <v>9519.0174260000003</v>
      </c>
      <c r="BL88" s="61">
        <f xml:space="preserve"> 'WK2013'!EW98</f>
        <v>0.4515320362591802</v>
      </c>
      <c r="BN88" s="50">
        <f xml:space="preserve"> 'WK2013'!FI98</f>
        <v>9046.9557866000014</v>
      </c>
      <c r="BO88" s="50">
        <f xml:space="preserve"> 'WK2013'!FJ98</f>
        <v>7796.2817592000001</v>
      </c>
      <c r="BP88" s="50">
        <f xml:space="preserve"> 'WK2013'!FM98</f>
        <v>9046.9557866000014</v>
      </c>
      <c r="BQ88" s="50">
        <f xml:space="preserve"> 'WK2013'!FN98</f>
        <v>7796.2817592000001</v>
      </c>
      <c r="BR88" s="50">
        <f xml:space="preserve"> 'WK2013'!FO98</f>
        <v>9046.9557866000014</v>
      </c>
      <c r="BS88" s="50">
        <f xml:space="preserve"> 'WK2013'!FP98</f>
        <v>7796.2817592000001</v>
      </c>
      <c r="BT88" s="61">
        <f xml:space="preserve"> 'WK2013'!FK98</f>
        <v>0.44543881426587589</v>
      </c>
      <c r="BV88" s="50">
        <f xml:space="preserve"> 'WK2013'!FW98</f>
        <v>528.8944338</v>
      </c>
      <c r="BW88" s="50">
        <f xml:space="preserve"> 'WK2013'!FX98</f>
        <v>432.518506</v>
      </c>
      <c r="BX88" s="50">
        <f xml:space="preserve"> 'WK2013'!GA98</f>
        <v>528.8944338</v>
      </c>
      <c r="BY88" s="50">
        <f xml:space="preserve"> 'WK2013'!GB98</f>
        <v>432.518506</v>
      </c>
      <c r="BZ88" s="50">
        <f xml:space="preserve"> 'WK2013'!GC98</f>
        <v>528.8944338</v>
      </c>
      <c r="CA88" s="50">
        <f xml:space="preserve"> 'WK2013'!GD98</f>
        <v>432.518506</v>
      </c>
      <c r="CB88" s="61">
        <f xml:space="preserve"> 'WK2013'!FY98</f>
        <v>0.45268361300859239</v>
      </c>
      <c r="CD88" s="50">
        <f xml:space="preserve"> 'WK2013'!GK98</f>
        <v>1707.7477004999998</v>
      </c>
      <c r="CE88" s="50">
        <f xml:space="preserve"> 'WK2013'!GL98</f>
        <v>1341.7131285000005</v>
      </c>
      <c r="CF88" s="50">
        <f xml:space="preserve"> 'WK2013'!GO98</f>
        <v>1707.7477004999998</v>
      </c>
      <c r="CG88" s="50">
        <f xml:space="preserve"> 'WK2013'!GP98</f>
        <v>1341.7131285000005</v>
      </c>
      <c r="CH88" s="50">
        <f xml:space="preserve"> 'WK2013'!GQ98</f>
        <v>1707.7477004999998</v>
      </c>
      <c r="CI88" s="50">
        <f xml:space="preserve"> 'WK2013'!GR98</f>
        <v>1341.7131285000005</v>
      </c>
      <c r="CJ88" s="61">
        <f xml:space="preserve"> 'WK2013'!GM98</f>
        <v>0.47575801435443055</v>
      </c>
      <c r="CN88" s="50">
        <f xml:space="preserve"> 'WK2014'!EG98</f>
        <v>12983.771340400001</v>
      </c>
      <c r="CO88" s="50">
        <f xml:space="preserve"> 'WK2014'!EH98</f>
        <v>10950.631148800003</v>
      </c>
      <c r="CP88" s="50">
        <f xml:space="preserve"> 'WK2014'!EK98</f>
        <v>12983.771340400001</v>
      </c>
      <c r="CQ88" s="50">
        <f xml:space="preserve"> 'WK2014'!EL98</f>
        <v>10950.631148800003</v>
      </c>
      <c r="CR88" s="50">
        <f xml:space="preserve"> 'WK2014'!EM98</f>
        <v>12983.771340400001</v>
      </c>
      <c r="CS88" s="50">
        <f xml:space="preserve"> 'WK2014'!EN98</f>
        <v>10950.631148800003</v>
      </c>
      <c r="CT88" s="61">
        <f xml:space="preserve"> 'WK2014'!EI98</f>
        <v>0.47071499305288622</v>
      </c>
      <c r="CV88" s="50">
        <f xml:space="preserve"> 'WK2014'!EU98</f>
        <v>10664.595679599999</v>
      </c>
      <c r="CW88" s="50">
        <f xml:space="preserve"> 'WK2014'!EV98</f>
        <v>8418.0925941999994</v>
      </c>
      <c r="CX88" s="50">
        <f xml:space="preserve"> 'WK2014'!EY98</f>
        <v>10664.595679599999</v>
      </c>
      <c r="CY88" s="50">
        <f xml:space="preserve"> 'WK2014'!EZ98</f>
        <v>8418.0925941999994</v>
      </c>
      <c r="CZ88" s="50">
        <f xml:space="preserve"> 'WK2014'!FA98</f>
        <v>10664.595679599999</v>
      </c>
      <c r="DA88" s="50">
        <f xml:space="preserve"> 'WK2014'!FB98</f>
        <v>8418.0925941999994</v>
      </c>
      <c r="DB88" s="61">
        <f xml:space="preserve"> 'WK2014'!EW98</f>
        <v>0.46311375335583682</v>
      </c>
      <c r="DC88" s="1"/>
      <c r="DD88" s="50">
        <f xml:space="preserve"> 'WK2014'!FI98</f>
        <v>8391.5897616000002</v>
      </c>
      <c r="DE88" s="50">
        <f xml:space="preserve"> 'WK2014'!FJ98</f>
        <v>7051.5492429999995</v>
      </c>
      <c r="DF88" s="50">
        <f xml:space="preserve"> 'WK2014'!FM98</f>
        <v>8391.5897616000002</v>
      </c>
      <c r="DG88" s="50">
        <f xml:space="preserve"> 'WK2014'!FN98</f>
        <v>7051.5492429999995</v>
      </c>
      <c r="DH88" s="50">
        <f xml:space="preserve"> 'WK2014'!FO98</f>
        <v>8391.5897616000002</v>
      </c>
      <c r="DI88" s="50">
        <f xml:space="preserve"> 'WK2014'!FP98</f>
        <v>7051.5492429999995</v>
      </c>
      <c r="DJ88" s="61">
        <f xml:space="preserve"> 'WK2014'!FK98</f>
        <v>0.47281927849673167</v>
      </c>
      <c r="DK88" s="1"/>
      <c r="DL88" s="50">
        <f xml:space="preserve"> 'WK2014'!FW98</f>
        <v>520.09683840000002</v>
      </c>
      <c r="DM88" s="50">
        <f xml:space="preserve"> 'WK2014'!FX98</f>
        <v>431.43088880000005</v>
      </c>
      <c r="DN88" s="50">
        <f xml:space="preserve"> 'WK2014'!GA98</f>
        <v>520.09683840000002</v>
      </c>
      <c r="DO88" s="50">
        <f xml:space="preserve"> 'WK2014'!GB98</f>
        <v>431.43088880000005</v>
      </c>
      <c r="DP88" s="50">
        <f xml:space="preserve"> 'WK2014'!GC98</f>
        <v>520.09683840000002</v>
      </c>
      <c r="DQ88" s="50">
        <f xml:space="preserve"> 'WK2014'!GD98</f>
        <v>431.43088880000005</v>
      </c>
      <c r="DR88" s="61">
        <f xml:space="preserve"> 'WK2014'!FY98</f>
        <v>0.46923800800547261</v>
      </c>
      <c r="DS88" s="1"/>
      <c r="DT88" s="50">
        <f xml:space="preserve"> 'WK2014'!GK98</f>
        <v>2508.6855690000002</v>
      </c>
      <c r="DU88" s="50">
        <f xml:space="preserve"> 'WK2014'!GL98</f>
        <v>2045.6212620000006</v>
      </c>
      <c r="DV88" s="50">
        <f xml:space="preserve"> 'WK2014'!GO98</f>
        <v>2508.6855690000002</v>
      </c>
      <c r="DW88" s="50">
        <f xml:space="preserve"> 'WK2014'!GP98</f>
        <v>2045.6212620000006</v>
      </c>
      <c r="DX88" s="50">
        <f xml:space="preserve"> 'WK2014'!GQ98</f>
        <v>2508.6855690000002</v>
      </c>
      <c r="DY88" s="50">
        <f xml:space="preserve"> 'WK2014'!GR98</f>
        <v>2045.6212620000006</v>
      </c>
      <c r="DZ88" s="61">
        <f xml:space="preserve"> 'WK2014'!GM98</f>
        <v>0.4795588299323677</v>
      </c>
      <c r="ED88" s="50">
        <f xml:space="preserve"> 'WK2015'!EG98</f>
        <v>12277.719017799998</v>
      </c>
      <c r="EE88" s="50">
        <f xml:space="preserve"> 'WK2015'!EH98</f>
        <v>10133.518362000001</v>
      </c>
      <c r="EF88" s="50">
        <f xml:space="preserve"> 'WK2015'!EK98</f>
        <v>12277.719017799998</v>
      </c>
      <c r="EG88" s="50">
        <f xml:space="preserve"> 'WK2015'!EL98</f>
        <v>10133.518362000001</v>
      </c>
      <c r="EH88" s="50">
        <f xml:space="preserve"> 'WK2015'!EM98</f>
        <v>12277.719017799998</v>
      </c>
      <c r="EI88" s="50">
        <f xml:space="preserve"> 'WK2015'!EN98</f>
        <v>10133.518362000001</v>
      </c>
      <c r="EJ88" s="61">
        <f xml:space="preserve"> 'WK2015'!EI98</f>
        <v>0.49079910526663445</v>
      </c>
      <c r="EK88" s="1"/>
      <c r="EL88" s="50">
        <f xml:space="preserve"> 'WK2015'!EU98</f>
        <v>11836.689160200001</v>
      </c>
      <c r="EM88" s="50">
        <f xml:space="preserve"> 'WK2015'!EV98</f>
        <v>9591.6107909999992</v>
      </c>
      <c r="EN88" s="50">
        <f xml:space="preserve"> 'WK2015'!EY98</f>
        <v>11836.689160200001</v>
      </c>
      <c r="EO88" s="50">
        <f xml:space="preserve"> 'WK2015'!EZ98</f>
        <v>9591.6107909999992</v>
      </c>
      <c r="EP88" s="50">
        <f xml:space="preserve"> 'WK2015'!FA98</f>
        <v>11836.689160200001</v>
      </c>
      <c r="EQ88" s="50">
        <f xml:space="preserve"> 'WK2015'!FB98</f>
        <v>9591.6107909999992</v>
      </c>
      <c r="ER88" s="61">
        <f xml:space="preserve"> 'WK2015'!EW98</f>
        <v>0.48812868114518182</v>
      </c>
      <c r="ES88" s="1"/>
      <c r="ET88" s="50">
        <f xml:space="preserve"> 'WK2015'!FI98</f>
        <v>10193.706850799999</v>
      </c>
      <c r="EU88" s="50">
        <f xml:space="preserve"> 'WK2015'!FJ98</f>
        <v>8274.4616927999996</v>
      </c>
      <c r="EV88" s="50">
        <f xml:space="preserve"> 'WK2015'!FM98</f>
        <v>10193.706850799999</v>
      </c>
      <c r="EW88" s="50">
        <f xml:space="preserve"> 'WK2015'!FN98</f>
        <v>8274.4616927999996</v>
      </c>
      <c r="EX88" s="50">
        <f xml:space="preserve"> 'WK2015'!FO98</f>
        <v>10193.706850799999</v>
      </c>
      <c r="EY88" s="50">
        <f xml:space="preserve"> 'WK2015'!FP98</f>
        <v>8274.4616927999996</v>
      </c>
      <c r="EZ88" s="61">
        <f xml:space="preserve"> 'WK2015'!FK98</f>
        <v>0.49955128178987662</v>
      </c>
      <c r="FA88" s="1"/>
      <c r="FB88" s="50">
        <f xml:space="preserve"> 'WK2015'!FW98</f>
        <v>564.88853280000001</v>
      </c>
      <c r="FC88" s="50">
        <f xml:space="preserve"> 'WK2015'!FX98</f>
        <v>477.10206399999998</v>
      </c>
      <c r="FD88" s="50">
        <f xml:space="preserve"> 'WK2015'!GA98</f>
        <v>564.88853280000001</v>
      </c>
      <c r="FE88" s="50">
        <f xml:space="preserve"> 'WK2015'!GB98</f>
        <v>477.10206399999998</v>
      </c>
      <c r="FF88" s="50">
        <f xml:space="preserve"> 'WK2015'!GC98</f>
        <v>564.88853280000001</v>
      </c>
      <c r="FG88" s="50">
        <f xml:space="preserve"> 'WK2015'!GD98</f>
        <v>477.10206399999998</v>
      </c>
      <c r="FH88" s="61">
        <f xml:space="preserve"> 'WK2015'!FY98</f>
        <v>0.48952010204386953</v>
      </c>
      <c r="FI88" s="1"/>
      <c r="FJ88" s="50">
        <f xml:space="preserve"> 'WK2015'!GK98</f>
        <v>1663.515504</v>
      </c>
      <c r="FK88" s="50">
        <f xml:space="preserve"> 'WK2015'!GL98</f>
        <v>1476.1770765000006</v>
      </c>
      <c r="FL88" s="50">
        <f xml:space="preserve"> 'WK2015'!GO98</f>
        <v>1663.515504</v>
      </c>
      <c r="FM88" s="50">
        <f xml:space="preserve"> 'WK2015'!GP98</f>
        <v>1476.1770765000006</v>
      </c>
      <c r="FN88" s="50">
        <f xml:space="preserve"> 'WK2015'!GQ98</f>
        <v>1663.515504</v>
      </c>
      <c r="FO88" s="50">
        <f xml:space="preserve"> 'WK2015'!GR98</f>
        <v>1476.1770765000006</v>
      </c>
      <c r="FP88" s="61">
        <f xml:space="preserve"> 'WK2015'!GM98</f>
        <v>0.50784949397334544</v>
      </c>
      <c r="FS88" s="283">
        <f xml:space="preserve"> 'WK2015'!H98</f>
        <v>5845.9778349999997</v>
      </c>
      <c r="FT88" s="283">
        <f xml:space="preserve"> 'WK2015'!I98</f>
        <v>5075.9071219999996</v>
      </c>
      <c r="FU88" s="283">
        <f xml:space="preserve"> 'WK2015'!L98</f>
        <v>5845.9778349999997</v>
      </c>
      <c r="FV88" s="283">
        <f xml:space="preserve"> 'WK2015'!M98</f>
        <v>5075.9071219999996</v>
      </c>
      <c r="FW88" s="283">
        <f xml:space="preserve"> 'WK2015'!N98</f>
        <v>5845.9778349999997</v>
      </c>
      <c r="FX88" s="283">
        <f xml:space="preserve"> 'WK2015'!O98</f>
        <v>5075.9071219999996</v>
      </c>
      <c r="FY88" s="284">
        <f xml:space="preserve"> 'WK2015'!P98</f>
        <v>0.49738359519494341</v>
      </c>
      <c r="GA88" s="283">
        <f xml:space="preserve"> 'WK2015'!HB98</f>
        <v>5527.4789609999998</v>
      </c>
      <c r="GB88" s="283">
        <f xml:space="preserve"> 'WK2015'!HC98</f>
        <v>5010.997805</v>
      </c>
      <c r="GC88" s="283">
        <f xml:space="preserve"> 'WK2015'!HF98</f>
        <v>5527.4789609999998</v>
      </c>
      <c r="GD88" s="283">
        <f xml:space="preserve"> 'WK2015'!HG98</f>
        <v>5010.997805</v>
      </c>
      <c r="GE88" s="283">
        <f xml:space="preserve"> 'WK2015'!HH98</f>
        <v>5527.4789609999998</v>
      </c>
      <c r="GF88" s="283">
        <f xml:space="preserve"> 'WK2015'!HI98</f>
        <v>5010.997805</v>
      </c>
      <c r="GG88" s="284">
        <f xml:space="preserve"> 'WK2015'!HJ98</f>
        <v>0.50071385341707197</v>
      </c>
      <c r="GI88" s="283">
        <f xml:space="preserve"> 'WK2015'!HQ98</f>
        <v>5655.4800400000004</v>
      </c>
      <c r="GJ88" s="283">
        <f xml:space="preserve"> 'WK2015'!HR98</f>
        <v>5099.6526210000002</v>
      </c>
      <c r="GK88" s="283">
        <f xml:space="preserve"> 'WK2015'!HU98</f>
        <v>5655.4800400000004</v>
      </c>
      <c r="GL88" s="283">
        <f xml:space="preserve"> 'WK2015'!HV98</f>
        <v>5099.6526210000002</v>
      </c>
      <c r="GM88" s="283">
        <f xml:space="preserve"> 'WK2015'!HW98</f>
        <v>5655.4800400000004</v>
      </c>
      <c r="GN88" s="283">
        <f xml:space="preserve"> 'WK2015'!HX98</f>
        <v>5099.6526210000002</v>
      </c>
      <c r="GO88" s="284">
        <f xml:space="preserve"> 'WK2015'!HY98</f>
        <v>0.55081185317454184</v>
      </c>
    </row>
    <row r="89" spans="1:197" x14ac:dyDescent="0.2">
      <c r="A89" s="3">
        <f>Basis!A89</f>
        <v>89</v>
      </c>
      <c r="D89" s="252" t="e">
        <v>#N/A</v>
      </c>
      <c r="E89" s="252" t="e">
        <v>#N/A</v>
      </c>
      <c r="H89" s="50">
        <f xml:space="preserve"> 'WK2012'!EG99</f>
        <v>11736.618935208455</v>
      </c>
      <c r="I89" s="50">
        <f xml:space="preserve"> 'WK2012'!EH99</f>
        <v>10107.781764147107</v>
      </c>
      <c r="J89" s="50">
        <f xml:space="preserve"> 'WK2012'!EK99</f>
        <v>11736.618935208455</v>
      </c>
      <c r="K89" s="50">
        <f xml:space="preserve"> 'WK2012'!EL99</f>
        <v>10107.781764147107</v>
      </c>
      <c r="L89" s="50">
        <f xml:space="preserve"> 'WK2012'!EM99</f>
        <v>11736.618935208455</v>
      </c>
      <c r="M89" s="50">
        <f xml:space="preserve"> 'WK2012'!EN99</f>
        <v>10107.781764147107</v>
      </c>
      <c r="N89" s="61">
        <f xml:space="preserve"> 'WK2012'!EI99</f>
        <v>0.39218216390046817</v>
      </c>
      <c r="P89" s="50">
        <f xml:space="preserve"> 'WK2012'!EU99</f>
        <v>10600.854679714279</v>
      </c>
      <c r="Q89" s="50">
        <f xml:space="preserve"> 'WK2012'!EV99</f>
        <v>9250.414002975207</v>
      </c>
      <c r="R89" s="50">
        <f xml:space="preserve"> 'WK2012'!EY99</f>
        <v>10600.854679714279</v>
      </c>
      <c r="S89" s="50">
        <f xml:space="preserve"> 'WK2012'!EZ99</f>
        <v>9250.414002975207</v>
      </c>
      <c r="T89" s="50">
        <f xml:space="preserve"> 'WK2012'!FA99</f>
        <v>10600.854679714279</v>
      </c>
      <c r="U89" s="50">
        <f xml:space="preserve"> 'WK2012'!FB99</f>
        <v>9250.414002975207</v>
      </c>
      <c r="V89" s="61">
        <f xml:space="preserve"> 'WK2012'!EW99</f>
        <v>0.40576408235798411</v>
      </c>
      <c r="X89" s="50">
        <f xml:space="preserve"> 'WK2012'!FI99</f>
        <v>7921.0262503704025</v>
      </c>
      <c r="Y89" s="50">
        <f xml:space="preserve"> 'WK2012'!FJ99</f>
        <v>6840.6136526125101</v>
      </c>
      <c r="Z89" s="50">
        <f xml:space="preserve"> 'WK2012'!FM99</f>
        <v>7921.0262503704025</v>
      </c>
      <c r="AA89" s="50">
        <f xml:space="preserve"> 'WK2012'!FN99</f>
        <v>6840.6136526125101</v>
      </c>
      <c r="AB89" s="50">
        <f xml:space="preserve"> 'WK2012'!FO99</f>
        <v>7921.0262503704025</v>
      </c>
      <c r="AC89" s="50">
        <f xml:space="preserve"> 'WK2012'!FP99</f>
        <v>6840.6136526125101</v>
      </c>
      <c r="AD89" s="61">
        <f xml:space="preserve"> 'WK2012'!FK99</f>
        <v>0.40203333678251374</v>
      </c>
      <c r="AF89" s="50">
        <f xml:space="preserve"> 'WK2012'!FW99</f>
        <v>1741.81353217779</v>
      </c>
      <c r="AG89" s="50">
        <f xml:space="preserve"> 'WK2012'!FX99</f>
        <v>1087.7463144106259</v>
      </c>
      <c r="AH89" s="50">
        <f xml:space="preserve"> 'WK2012'!GA99</f>
        <v>1741.81353217779</v>
      </c>
      <c r="AI89" s="50">
        <f xml:space="preserve"> 'WK2012'!GB99</f>
        <v>1087.7463144106259</v>
      </c>
      <c r="AJ89" s="50">
        <f xml:space="preserve"> 'WK2012'!GC99</f>
        <v>1741.81353217779</v>
      </c>
      <c r="AK89" s="50">
        <f xml:space="preserve"> 'WK2012'!GD99</f>
        <v>1087.7463144106259</v>
      </c>
      <c r="AL89" s="61">
        <f xml:space="preserve"> 'WK2012'!FY99</f>
        <v>0.39621632730673717</v>
      </c>
      <c r="AN89" s="50">
        <f xml:space="preserve"> 'WK2012'!GK99</f>
        <v>347.02060935693271</v>
      </c>
      <c r="AO89" s="50">
        <f xml:space="preserve"> 'WK2012'!GL99</f>
        <v>283.95705609436664</v>
      </c>
      <c r="AP89" s="50">
        <f xml:space="preserve"> 'WK2012'!GO99</f>
        <v>347.02060935693271</v>
      </c>
      <c r="AQ89" s="50">
        <f xml:space="preserve"> 'WK2012'!GP99</f>
        <v>283.95705609436664</v>
      </c>
      <c r="AR89" s="50">
        <f xml:space="preserve"> 'WK2012'!GQ99</f>
        <v>347.02060935693271</v>
      </c>
      <c r="AS89" s="50">
        <f xml:space="preserve"> 'WK2012'!GR99</f>
        <v>283.95705609436664</v>
      </c>
      <c r="AT89" s="61">
        <f xml:space="preserve"> 'WK2012'!GM99</f>
        <v>0.40606477281533604</v>
      </c>
      <c r="AX89" s="50">
        <f xml:space="preserve"> 'WK2013'!EG99</f>
        <v>13036.947622600002</v>
      </c>
      <c r="AY89" s="50">
        <f xml:space="preserve"> 'WK2013'!EH99</f>
        <v>10862.0644928</v>
      </c>
      <c r="AZ89" s="50">
        <f xml:space="preserve"> 'WK2013'!EK99</f>
        <v>13036.947622600002</v>
      </c>
      <c r="BA89" s="50">
        <f xml:space="preserve"> 'WK2013'!EL99</f>
        <v>10862.0644928</v>
      </c>
      <c r="BB89" s="50">
        <f xml:space="preserve"> 'WK2013'!EM99</f>
        <v>13036.947622600002</v>
      </c>
      <c r="BC89" s="50">
        <f xml:space="preserve"> 'WK2013'!EN99</f>
        <v>10862.0644928</v>
      </c>
      <c r="BD89" s="61">
        <f xml:space="preserve"> 'WK2013'!EI99</f>
        <v>0.37787371614012449</v>
      </c>
      <c r="BF89" s="50">
        <f xml:space="preserve"> 'WK2013'!EU99</f>
        <v>11515.9888109</v>
      </c>
      <c r="BG89" s="50">
        <f xml:space="preserve"> 'WK2013'!EV99</f>
        <v>9533.5090491999981</v>
      </c>
      <c r="BH89" s="50">
        <f xml:space="preserve"> 'WK2013'!EY99</f>
        <v>11515.9888109</v>
      </c>
      <c r="BI89" s="50">
        <f xml:space="preserve"> 'WK2013'!EZ99</f>
        <v>9533.5090491999981</v>
      </c>
      <c r="BJ89" s="50">
        <f xml:space="preserve"> 'WK2013'!FA99</f>
        <v>11515.9888109</v>
      </c>
      <c r="BK89" s="50">
        <f xml:space="preserve"> 'WK2013'!FB99</f>
        <v>9533.5090491999981</v>
      </c>
      <c r="BL89" s="61">
        <f xml:space="preserve"> 'WK2013'!EW99</f>
        <v>0.39109145376987386</v>
      </c>
      <c r="BN89" s="50">
        <f xml:space="preserve"> 'WK2013'!FI99</f>
        <v>9126.8409012000011</v>
      </c>
      <c r="BO89" s="50">
        <f xml:space="preserve"> 'WK2013'!FJ99</f>
        <v>7838.8672122000007</v>
      </c>
      <c r="BP89" s="50">
        <f xml:space="preserve"> 'WK2013'!FM99</f>
        <v>9126.8409012000011</v>
      </c>
      <c r="BQ89" s="50">
        <f xml:space="preserve"> 'WK2013'!FN99</f>
        <v>7838.8672122000007</v>
      </c>
      <c r="BR89" s="50">
        <f xml:space="preserve"> 'WK2013'!FO99</f>
        <v>9126.8409012000011</v>
      </c>
      <c r="BS89" s="50">
        <f xml:space="preserve"> 'WK2013'!FP99</f>
        <v>7838.8672122000007</v>
      </c>
      <c r="BT89" s="61">
        <f xml:space="preserve"> 'WK2013'!FK99</f>
        <v>0.39391776078368235</v>
      </c>
      <c r="BV89" s="50">
        <f xml:space="preserve"> 'WK2013'!FW99</f>
        <v>500.60679260000006</v>
      </c>
      <c r="BW89" s="50">
        <f xml:space="preserve"> 'WK2013'!FX99</f>
        <v>400.80946979999999</v>
      </c>
      <c r="BX89" s="50">
        <f xml:space="preserve"> 'WK2013'!GA99</f>
        <v>500.60679260000006</v>
      </c>
      <c r="BY89" s="50">
        <f xml:space="preserve"> 'WK2013'!GB99</f>
        <v>400.80946979999999</v>
      </c>
      <c r="BZ89" s="50">
        <f xml:space="preserve"> 'WK2013'!GC99</f>
        <v>500.60679260000006</v>
      </c>
      <c r="CA89" s="50">
        <f xml:space="preserve"> 'WK2013'!GD99</f>
        <v>400.80946979999999</v>
      </c>
      <c r="CB89" s="61">
        <f xml:space="preserve"> 'WK2013'!FY99</f>
        <v>0.39245104083009508</v>
      </c>
      <c r="CD89" s="50">
        <f xml:space="preserve"> 'WK2013'!GK99</f>
        <v>1742.6952120000001</v>
      </c>
      <c r="CE89" s="50">
        <f xml:space="preserve"> 'WK2013'!GL99</f>
        <v>1338.3908595000003</v>
      </c>
      <c r="CF89" s="50">
        <f xml:space="preserve"> 'WK2013'!GO99</f>
        <v>1742.6952120000001</v>
      </c>
      <c r="CG89" s="50">
        <f xml:space="preserve"> 'WK2013'!GP99</f>
        <v>1338.3908595000003</v>
      </c>
      <c r="CH89" s="50">
        <f xml:space="preserve"> 'WK2013'!GQ99</f>
        <v>1742.6952120000001</v>
      </c>
      <c r="CI89" s="50">
        <f xml:space="preserve"> 'WK2013'!GR99</f>
        <v>1338.3908595000003</v>
      </c>
      <c r="CJ89" s="61">
        <f xml:space="preserve"> 'WK2013'!GM99</f>
        <v>0.41545448865311069</v>
      </c>
      <c r="CN89" s="50">
        <f xml:space="preserve"> 'WK2014'!EG99</f>
        <v>13136.476940799999</v>
      </c>
      <c r="CO89" s="50">
        <f xml:space="preserve"> 'WK2014'!EH99</f>
        <v>10987.1043928</v>
      </c>
      <c r="CP89" s="50">
        <f xml:space="preserve"> 'WK2014'!EK99</f>
        <v>13136.476950618806</v>
      </c>
      <c r="CQ89" s="50">
        <f xml:space="preserve"> 'WK2014'!EL99</f>
        <v>10987.104381018806</v>
      </c>
      <c r="CR89" s="50">
        <f xml:space="preserve"> 'WK2014'!EM99</f>
        <v>13136.476940799999</v>
      </c>
      <c r="CS89" s="50">
        <f xml:space="preserve"> 'WK2014'!EN99</f>
        <v>10987.104371199999</v>
      </c>
      <c r="CT89" s="61">
        <f xml:space="preserve"> 'WK2014'!EI99</f>
        <v>0.44671671175442251</v>
      </c>
      <c r="CV89" s="50">
        <f xml:space="preserve"> 'WK2014'!EU99</f>
        <v>10706.8264552</v>
      </c>
      <c r="CW89" s="50">
        <f xml:space="preserve"> 'WK2014'!EV99</f>
        <v>8442.1827842000002</v>
      </c>
      <c r="CX89" s="50">
        <f xml:space="preserve"> 'WK2014'!EY99</f>
        <v>10706.826463791456</v>
      </c>
      <c r="CY89" s="50">
        <f xml:space="preserve"> 'WK2014'!EZ99</f>
        <v>8442.1827738914562</v>
      </c>
      <c r="CZ89" s="50">
        <f xml:space="preserve"> 'WK2014'!FA99</f>
        <v>10706.8264552</v>
      </c>
      <c r="DA89" s="50">
        <f xml:space="preserve"> 'WK2014'!FB99</f>
        <v>8442.1827653</v>
      </c>
      <c r="DB89" s="61">
        <f xml:space="preserve"> 'WK2014'!EW99</f>
        <v>0.43410557007256345</v>
      </c>
      <c r="DC89" s="1"/>
      <c r="DD89" s="50">
        <f xml:space="preserve"> 'WK2014'!FI99</f>
        <v>8495.8513599999987</v>
      </c>
      <c r="DE89" s="50">
        <f xml:space="preserve"> 'WK2014'!FJ99</f>
        <v>7109.6996423999999</v>
      </c>
      <c r="DF89" s="50">
        <f xml:space="preserve"> 'WK2014'!FM99</f>
        <v>8495.8513599999987</v>
      </c>
      <c r="DG89" s="50">
        <f xml:space="preserve"> 'WK2014'!FN99</f>
        <v>7109.6996423999999</v>
      </c>
      <c r="DH89" s="50">
        <f xml:space="preserve"> 'WK2014'!FO99</f>
        <v>8495.8513599999987</v>
      </c>
      <c r="DI89" s="50">
        <f xml:space="preserve"> 'WK2014'!FP99</f>
        <v>7109.6996423999999</v>
      </c>
      <c r="DJ89" s="61">
        <f xml:space="preserve"> 'WK2014'!FK99</f>
        <v>0.43694741325096131</v>
      </c>
      <c r="DK89" s="1"/>
      <c r="DL89" s="50">
        <f xml:space="preserve"> 'WK2014'!FW99</f>
        <v>492.60161280000005</v>
      </c>
      <c r="DM89" s="50">
        <f xml:space="preserve"> 'WK2014'!FX99</f>
        <v>400.34957280000003</v>
      </c>
      <c r="DN89" s="50">
        <f xml:space="preserve"> 'WK2014'!GA99</f>
        <v>492.6016226188064</v>
      </c>
      <c r="DO89" s="50">
        <f xml:space="preserve"> 'WK2014'!GB99</f>
        <v>400.34956101880647</v>
      </c>
      <c r="DP89" s="50">
        <f xml:space="preserve"> 'WK2014'!GC99</f>
        <v>492.60161280000005</v>
      </c>
      <c r="DQ89" s="50">
        <f xml:space="preserve"> 'WK2014'!GD99</f>
        <v>400.34955120000006</v>
      </c>
      <c r="DR89" s="61">
        <f xml:space="preserve"> 'WK2014'!FY99</f>
        <v>0.4426969801474463</v>
      </c>
      <c r="DS89" s="1"/>
      <c r="DT89" s="50">
        <f xml:space="preserve"> 'WK2014'!GK99</f>
        <v>2543.3497049999996</v>
      </c>
      <c r="DU89" s="50">
        <f xml:space="preserve"> 'WK2014'!GL99</f>
        <v>2045.6212620000006</v>
      </c>
      <c r="DV89" s="50">
        <f xml:space="preserve"> 'WK2014'!GO99</f>
        <v>2543.3497049999996</v>
      </c>
      <c r="DW89" s="50">
        <f xml:space="preserve"> 'WK2014'!GP99</f>
        <v>2045.6212620000006</v>
      </c>
      <c r="DX89" s="50">
        <f xml:space="preserve"> 'WK2014'!GQ99</f>
        <v>2543.3497049999996</v>
      </c>
      <c r="DY89" s="50">
        <f xml:space="preserve"> 'WK2014'!GR99</f>
        <v>2045.6212620000006</v>
      </c>
      <c r="DZ89" s="61">
        <f xml:space="preserve"> 'WK2014'!GM99</f>
        <v>0.46032535123343782</v>
      </c>
      <c r="ED89" s="50">
        <f xml:space="preserve"> 'WK2015'!EG99</f>
        <v>12375.4369338</v>
      </c>
      <c r="EE89" s="50">
        <f xml:space="preserve"> 'WK2015'!EH99</f>
        <v>10144.488201599999</v>
      </c>
      <c r="EF89" s="50">
        <f xml:space="preserve"> 'WK2015'!EK99</f>
        <v>12375.4369338</v>
      </c>
      <c r="EG89" s="50">
        <f xml:space="preserve"> 'WK2015'!EL99</f>
        <v>10144.488201599999</v>
      </c>
      <c r="EH89" s="50">
        <f xml:space="preserve"> 'WK2015'!EM99</f>
        <v>12375.4369338</v>
      </c>
      <c r="EI89" s="50">
        <f xml:space="preserve"> 'WK2015'!EN99</f>
        <v>10144.488201599999</v>
      </c>
      <c r="EJ89" s="61">
        <f xml:space="preserve"> 'WK2015'!EI99</f>
        <v>0.46947172363433831</v>
      </c>
      <c r="EK89" s="1"/>
      <c r="EL89" s="50">
        <f xml:space="preserve"> 'WK2015'!EU99</f>
        <v>11895.8683392</v>
      </c>
      <c r="EM89" s="50">
        <f xml:space="preserve"> 'WK2015'!EV99</f>
        <v>9621.4334558999999</v>
      </c>
      <c r="EN89" s="50">
        <f xml:space="preserve"> 'WK2015'!EY99</f>
        <v>11895.8683392</v>
      </c>
      <c r="EO89" s="50">
        <f xml:space="preserve"> 'WK2015'!EZ99</f>
        <v>9621.4334558999999</v>
      </c>
      <c r="EP89" s="50">
        <f xml:space="preserve"> 'WK2015'!FA99</f>
        <v>11895.8683392</v>
      </c>
      <c r="EQ89" s="50">
        <f xml:space="preserve"> 'WK2015'!FB99</f>
        <v>9621.4334558999999</v>
      </c>
      <c r="ER89" s="61">
        <f xml:space="preserve"> 'WK2015'!EW99</f>
        <v>0.47360991814566922</v>
      </c>
      <c r="ES89" s="1"/>
      <c r="ET89" s="50">
        <f xml:space="preserve"> 'WK2015'!FI99</f>
        <v>10331.501285999999</v>
      </c>
      <c r="EU89" s="50">
        <f xml:space="preserve"> 'WK2015'!FJ99</f>
        <v>8342.6120677999988</v>
      </c>
      <c r="EV89" s="50">
        <f xml:space="preserve"> 'WK2015'!FM99</f>
        <v>10331.501285999999</v>
      </c>
      <c r="EW89" s="50">
        <f xml:space="preserve"> 'WK2015'!FN99</f>
        <v>8342.6120677999988</v>
      </c>
      <c r="EX89" s="50">
        <f xml:space="preserve"> 'WK2015'!FO99</f>
        <v>10331.501285999999</v>
      </c>
      <c r="EY89" s="50">
        <f xml:space="preserve"> 'WK2015'!FP99</f>
        <v>8342.6120677999988</v>
      </c>
      <c r="EZ89" s="61">
        <f xml:space="preserve"> 'WK2015'!FK99</f>
        <v>0.48704438066960631</v>
      </c>
      <c r="FA89" s="1"/>
      <c r="FB89" s="50">
        <f xml:space="preserve"> 'WK2015'!FW99</f>
        <v>535.01426880000008</v>
      </c>
      <c r="FC89" s="50">
        <f xml:space="preserve"> 'WK2015'!FX99</f>
        <v>445.90931560000001</v>
      </c>
      <c r="FD89" s="50">
        <f xml:space="preserve"> 'WK2015'!GA99</f>
        <v>535.01426880000008</v>
      </c>
      <c r="FE89" s="50">
        <f xml:space="preserve"> 'WK2015'!GB99</f>
        <v>445.90931560000001</v>
      </c>
      <c r="FF89" s="50">
        <f xml:space="preserve"> 'WK2015'!GC99</f>
        <v>535.01426880000008</v>
      </c>
      <c r="FG89" s="50">
        <f xml:space="preserve"> 'WK2015'!GD99</f>
        <v>445.90931560000001</v>
      </c>
      <c r="FH89" s="61">
        <f xml:space="preserve"> 'WK2015'!FY99</f>
        <v>0.47374551509938206</v>
      </c>
      <c r="FI89" s="1"/>
      <c r="FJ89" s="50">
        <f xml:space="preserve"> 'WK2015'!GK99</f>
        <v>1684.9408837500005</v>
      </c>
      <c r="FK89" s="50">
        <f xml:space="preserve"> 'WK2015'!GL99</f>
        <v>1468.9774882500005</v>
      </c>
      <c r="FL89" s="50">
        <f xml:space="preserve"> 'WK2015'!GO99</f>
        <v>1684.9408837500005</v>
      </c>
      <c r="FM89" s="50">
        <f xml:space="preserve"> 'WK2015'!GP99</f>
        <v>1468.9774882500005</v>
      </c>
      <c r="FN89" s="50">
        <f xml:space="preserve"> 'WK2015'!GQ99</f>
        <v>1684.9408837500005</v>
      </c>
      <c r="FO89" s="50">
        <f xml:space="preserve"> 'WK2015'!GR99</f>
        <v>1468.9774882500005</v>
      </c>
      <c r="FP89" s="61">
        <f xml:space="preserve"> 'WK2015'!GM99</f>
        <v>0.47779169115640197</v>
      </c>
      <c r="FS89" s="283">
        <f xml:space="preserve"> 'WK2015'!H99</f>
        <v>5914.7168099999999</v>
      </c>
      <c r="FT89" s="283">
        <f xml:space="preserve"> 'WK2015'!I99</f>
        <v>5118.0697099999998</v>
      </c>
      <c r="FU89" s="283">
        <f xml:space="preserve"> 'WK2015'!L99</f>
        <v>5914.7168099999999</v>
      </c>
      <c r="FV89" s="283">
        <f xml:space="preserve"> 'WK2015'!M99</f>
        <v>5118.0697099999998</v>
      </c>
      <c r="FW89" s="283">
        <f xml:space="preserve"> 'WK2015'!N99</f>
        <v>5914.7168099999999</v>
      </c>
      <c r="FX89" s="283">
        <f xml:space="preserve"> 'WK2015'!O99</f>
        <v>5118.0697099999998</v>
      </c>
      <c r="FY89" s="284">
        <f xml:space="preserve"> 'WK2015'!P99</f>
        <v>0.45528528663671025</v>
      </c>
      <c r="GA89" s="283">
        <f xml:space="preserve"> 'WK2015'!HB99</f>
        <v>5604.126354</v>
      </c>
      <c r="GB89" s="283">
        <f xml:space="preserve"> 'WK2015'!HC99</f>
        <v>5078.0736189999998</v>
      </c>
      <c r="GC89" s="283">
        <f xml:space="preserve"> 'WK2015'!HF99</f>
        <v>5604.126354</v>
      </c>
      <c r="GD89" s="283">
        <f xml:space="preserve"> 'WK2015'!HG99</f>
        <v>5078.0736189999998</v>
      </c>
      <c r="GE89" s="283">
        <f xml:space="preserve"> 'WK2015'!HH99</f>
        <v>5604.126354</v>
      </c>
      <c r="GF89" s="283">
        <f xml:space="preserve"> 'WK2015'!HI99</f>
        <v>5078.0736189999998</v>
      </c>
      <c r="GG89" s="284">
        <f xml:space="preserve"> 'WK2015'!HJ99</f>
        <v>0.53839344987829163</v>
      </c>
      <c r="GI89" s="283">
        <f xml:space="preserve"> 'WK2015'!HQ99</f>
        <v>5757.2378500000004</v>
      </c>
      <c r="GJ89" s="283">
        <f xml:space="preserve"> 'WK2015'!HR99</f>
        <v>5178.4464689999995</v>
      </c>
      <c r="GK89" s="283">
        <f xml:space="preserve"> 'WK2015'!HU99</f>
        <v>5757.2378500000004</v>
      </c>
      <c r="GL89" s="283">
        <f xml:space="preserve"> 'WK2015'!HV99</f>
        <v>5178.4464689999995</v>
      </c>
      <c r="GM89" s="283">
        <f xml:space="preserve"> 'WK2015'!HW99</f>
        <v>5757.2378500000004</v>
      </c>
      <c r="GN89" s="283">
        <f xml:space="preserve"> 'WK2015'!HX99</f>
        <v>5178.4464689999995</v>
      </c>
      <c r="GO89" s="284">
        <f xml:space="preserve"> 'WK2015'!HY99</f>
        <v>0.42471490270896523</v>
      </c>
    </row>
    <row r="90" spans="1:197" x14ac:dyDescent="0.2">
      <c r="A90" s="3">
        <f>Basis!A90</f>
        <v>90</v>
      </c>
      <c r="D90" s="252" t="e">
        <v>#N/A</v>
      </c>
      <c r="E90" s="252" t="e">
        <v>#N/A</v>
      </c>
      <c r="H90" s="50">
        <f xml:space="preserve"> 'WK2012'!EG100</f>
        <v>11884.188784180225</v>
      </c>
      <c r="I90" s="50">
        <f xml:space="preserve"> 'WK2012'!EH100</f>
        <v>10155.665824906564</v>
      </c>
      <c r="J90" s="50">
        <f xml:space="preserve"> 'WK2012'!EK100</f>
        <v>11884.188784180225</v>
      </c>
      <c r="K90" s="50">
        <f xml:space="preserve"> 'WK2012'!EL100</f>
        <v>10155.665824906564</v>
      </c>
      <c r="L90" s="50">
        <f xml:space="preserve"> 'WK2012'!EM100</f>
        <v>11884.188784180225</v>
      </c>
      <c r="M90" s="50">
        <f xml:space="preserve"> 'WK2012'!EN100</f>
        <v>10155.665824906564</v>
      </c>
      <c r="N90" s="61">
        <f xml:space="preserve"> 'WK2012'!EI100</f>
        <v>0.36014790641061439</v>
      </c>
      <c r="P90" s="50">
        <f xml:space="preserve"> 'WK2012'!EU100</f>
        <v>10704.479789364748</v>
      </c>
      <c r="Q90" s="50">
        <f xml:space="preserve"> 'WK2012'!EV100</f>
        <v>9296.5377121946949</v>
      </c>
      <c r="R90" s="50">
        <f xml:space="preserve"> 'WK2012'!EY100</f>
        <v>10704.479789364748</v>
      </c>
      <c r="S90" s="50">
        <f xml:space="preserve"> 'WK2012'!EZ100</f>
        <v>9296.5377121946949</v>
      </c>
      <c r="T90" s="50">
        <f xml:space="preserve"> 'WK2012'!FA100</f>
        <v>10704.479789364748</v>
      </c>
      <c r="U90" s="50">
        <f xml:space="preserve"> 'WK2012'!FB100</f>
        <v>9296.5377121946949</v>
      </c>
      <c r="V90" s="61">
        <f xml:space="preserve"> 'WK2012'!EW100</f>
        <v>0.37278260764128868</v>
      </c>
      <c r="X90" s="50">
        <f xml:space="preserve"> 'WK2012'!FI100</f>
        <v>8023.1748285660678</v>
      </c>
      <c r="Y90" s="50">
        <f xml:space="preserve"> 'WK2012'!FJ100</f>
        <v>6896.4809594098533</v>
      </c>
      <c r="Z90" s="50">
        <f xml:space="preserve"> 'WK2012'!FM100</f>
        <v>8023.1748285660678</v>
      </c>
      <c r="AA90" s="50">
        <f xml:space="preserve"> 'WK2012'!FN100</f>
        <v>6896.4809594098533</v>
      </c>
      <c r="AB90" s="50">
        <f xml:space="preserve"> 'WK2012'!FO100</f>
        <v>8023.1748285660678</v>
      </c>
      <c r="AC90" s="50">
        <f xml:space="preserve"> 'WK2012'!FP100</f>
        <v>6896.4809594098533</v>
      </c>
      <c r="AD90" s="61">
        <f xml:space="preserve"> 'WK2012'!FK100</f>
        <v>0.38640391152470793</v>
      </c>
      <c r="AF90" s="50">
        <f xml:space="preserve"> 'WK2012'!FW100</f>
        <v>1744.8207379932121</v>
      </c>
      <c r="AG90" s="50">
        <f xml:space="preserve"> 'WK2012'!FX100</f>
        <v>1084.9295383077795</v>
      </c>
      <c r="AH90" s="50">
        <f xml:space="preserve"> 'WK2012'!GA100</f>
        <v>1744.8207379932121</v>
      </c>
      <c r="AI90" s="50">
        <f xml:space="preserve"> 'WK2012'!GB100</f>
        <v>1084.9295383077795</v>
      </c>
      <c r="AJ90" s="50">
        <f xml:space="preserve"> 'WK2012'!GC100</f>
        <v>1744.8207379932121</v>
      </c>
      <c r="AK90" s="50">
        <f xml:space="preserve"> 'WK2012'!GD100</f>
        <v>1084.9295383077795</v>
      </c>
      <c r="AL90" s="61">
        <f xml:space="preserve"> 'WK2012'!FY100</f>
        <v>0.39621836087905121</v>
      </c>
      <c r="AN90" s="50">
        <f xml:space="preserve"> 'WK2012'!GK100</f>
        <v>327.87450912706879</v>
      </c>
      <c r="AO90" s="50">
        <f xml:space="preserve"> 'WK2012'!GL100</f>
        <v>263.7055763576036</v>
      </c>
      <c r="AP90" s="50">
        <f xml:space="preserve"> 'WK2012'!GO100</f>
        <v>327.87450912706879</v>
      </c>
      <c r="AQ90" s="50">
        <f xml:space="preserve"> 'WK2012'!GP100</f>
        <v>263.7055763576036</v>
      </c>
      <c r="AR90" s="50">
        <f xml:space="preserve"> 'WK2012'!GQ100</f>
        <v>327.87450912706879</v>
      </c>
      <c r="AS90" s="50">
        <f xml:space="preserve"> 'WK2012'!GR100</f>
        <v>263.7055763576036</v>
      </c>
      <c r="AT90" s="61">
        <f xml:space="preserve"> 'WK2012'!GM100</f>
        <v>0.35260934251789655</v>
      </c>
      <c r="AX90" s="50">
        <f xml:space="preserve"> 'WK2013'!EG100</f>
        <v>13179.071746000001</v>
      </c>
      <c r="AY90" s="50">
        <f xml:space="preserve"> 'WK2013'!EH100</f>
        <v>10893.442765600001</v>
      </c>
      <c r="AZ90" s="50">
        <f xml:space="preserve"> 'WK2013'!EK100</f>
        <v>13179.071746000001</v>
      </c>
      <c r="BA90" s="50">
        <f xml:space="preserve"> 'WK2013'!EL100</f>
        <v>10893.442765600001</v>
      </c>
      <c r="BB90" s="50">
        <f xml:space="preserve"> 'WK2013'!EM100</f>
        <v>13179.071746000001</v>
      </c>
      <c r="BC90" s="50">
        <f xml:space="preserve"> 'WK2013'!EN100</f>
        <v>10893.442765600001</v>
      </c>
      <c r="BD90" s="61">
        <f xml:space="preserve"> 'WK2013'!EI100</f>
        <v>0.35503579872632202</v>
      </c>
      <c r="BF90" s="50">
        <f xml:space="preserve"> 'WK2013'!EU100</f>
        <v>11549.860361499999</v>
      </c>
      <c r="BG90" s="50">
        <f xml:space="preserve"> 'WK2013'!EV100</f>
        <v>9545.8762043999996</v>
      </c>
      <c r="BH90" s="50">
        <f xml:space="preserve"> 'WK2013'!EY100</f>
        <v>11549.860361499999</v>
      </c>
      <c r="BI90" s="50">
        <f xml:space="preserve"> 'WK2013'!EZ100</f>
        <v>9545.8762043999996</v>
      </c>
      <c r="BJ90" s="50">
        <f xml:space="preserve"> 'WK2013'!FA100</f>
        <v>11549.860361499999</v>
      </c>
      <c r="BK90" s="50">
        <f xml:space="preserve"> 'WK2013'!FB100</f>
        <v>9545.8762043999996</v>
      </c>
      <c r="BL90" s="61">
        <f xml:space="preserve"> 'WK2013'!EW100</f>
        <v>0.3666265716214237</v>
      </c>
      <c r="BN90" s="50">
        <f xml:space="preserve"> 'WK2013'!FI100</f>
        <v>9192.3567101999997</v>
      </c>
      <c r="BO90" s="50">
        <f xml:space="preserve"> 'WK2013'!FJ100</f>
        <v>7864.7214067999994</v>
      </c>
      <c r="BP90" s="50">
        <f xml:space="preserve"> 'WK2013'!FM100</f>
        <v>9192.3567101999997</v>
      </c>
      <c r="BQ90" s="50">
        <f xml:space="preserve"> 'WK2013'!FN100</f>
        <v>7864.7214067999994</v>
      </c>
      <c r="BR90" s="50">
        <f xml:space="preserve"> 'WK2013'!FO100</f>
        <v>9192.3567101999997</v>
      </c>
      <c r="BS90" s="50">
        <f xml:space="preserve"> 'WK2013'!FP100</f>
        <v>7864.7214067999994</v>
      </c>
      <c r="BT90" s="61">
        <f xml:space="preserve"> 'WK2013'!FK100</f>
        <v>0.37874190202114688</v>
      </c>
      <c r="BV90" s="50">
        <f xml:space="preserve"> 'WK2013'!FW100</f>
        <v>472.06781599999999</v>
      </c>
      <c r="BW90" s="50">
        <f xml:space="preserve"> 'WK2013'!FX100</f>
        <v>369.34765160000006</v>
      </c>
      <c r="BX90" s="50">
        <f xml:space="preserve"> 'WK2013'!GA100</f>
        <v>472.06781599999999</v>
      </c>
      <c r="BY90" s="50">
        <f xml:space="preserve"> 'WK2013'!GB100</f>
        <v>369.34765160000006</v>
      </c>
      <c r="BZ90" s="50">
        <f xml:space="preserve"> 'WK2013'!GC100</f>
        <v>472.06781599999999</v>
      </c>
      <c r="CA90" s="50">
        <f xml:space="preserve"> 'WK2013'!GD100</f>
        <v>369.34765160000006</v>
      </c>
      <c r="CB90" s="61">
        <f xml:space="preserve"> 'WK2013'!FY100</f>
        <v>0.36784814788337494</v>
      </c>
      <c r="CD90" s="50">
        <f xml:space="preserve"> 'WK2013'!GK100</f>
        <v>1779.7630410000002</v>
      </c>
      <c r="CE90" s="50">
        <f xml:space="preserve"> 'WK2013'!GL100</f>
        <v>1338.3908595000003</v>
      </c>
      <c r="CF90" s="50">
        <f xml:space="preserve"> 'WK2013'!GO100</f>
        <v>1779.7630410000002</v>
      </c>
      <c r="CG90" s="50">
        <f xml:space="preserve"> 'WK2013'!GP100</f>
        <v>1338.3908595000003</v>
      </c>
      <c r="CH90" s="50">
        <f xml:space="preserve"> 'WK2013'!GQ100</f>
        <v>1779.7630410000002</v>
      </c>
      <c r="CI90" s="50">
        <f xml:space="preserve"> 'WK2013'!GR100</f>
        <v>1338.3908595000003</v>
      </c>
      <c r="CJ90" s="61">
        <f xml:space="preserve"> 'WK2013'!GM100</f>
        <v>0.39729840684509232</v>
      </c>
      <c r="CN90" s="50">
        <f xml:space="preserve"> 'WK2014'!EG100</f>
        <v>13282.225590799999</v>
      </c>
      <c r="CO90" s="50">
        <f xml:space="preserve"> 'WK2014'!EH100</f>
        <v>11021.324392800001</v>
      </c>
      <c r="CP90" s="50">
        <f xml:space="preserve"> 'WK2014'!EK100</f>
        <v>13282.225600488709</v>
      </c>
      <c r="CQ90" s="50">
        <f xml:space="preserve"> 'WK2014'!EL100</f>
        <v>11021.324380888711</v>
      </c>
      <c r="CR90" s="50">
        <f xml:space="preserve"> 'WK2014'!EM100</f>
        <v>13282.225590799999</v>
      </c>
      <c r="CS90" s="50">
        <f xml:space="preserve"> 'WK2014'!EN100</f>
        <v>11021.3243712</v>
      </c>
      <c r="CT90" s="61">
        <f xml:space="preserve"> 'WK2014'!EI100</f>
        <v>0.38930376329753275</v>
      </c>
      <c r="CV90" s="50">
        <f xml:space="preserve"> 'WK2014'!EU100</f>
        <v>10736.965147199999</v>
      </c>
      <c r="CW90" s="50">
        <f xml:space="preserve"> 'WK2014'!EV100</f>
        <v>8456.2056801999988</v>
      </c>
      <c r="CX90" s="50">
        <f xml:space="preserve"> 'WK2014'!EY100</f>
        <v>10736.965155677621</v>
      </c>
      <c r="CY90" s="50">
        <f xml:space="preserve"> 'WK2014'!EZ100</f>
        <v>8456.2056697776206</v>
      </c>
      <c r="CZ90" s="50">
        <f xml:space="preserve"> 'WK2014'!FA100</f>
        <v>10736.965147199999</v>
      </c>
      <c r="DA90" s="50">
        <f xml:space="preserve"> 'WK2014'!FB100</f>
        <v>8456.2056612999986</v>
      </c>
      <c r="DB90" s="61">
        <f xml:space="preserve"> 'WK2014'!EW100</f>
        <v>0.37313680814060912</v>
      </c>
      <c r="DC90" s="1"/>
      <c r="DD90" s="50">
        <f xml:space="preserve"> 'WK2014'!FI100</f>
        <v>8589.5111648000002</v>
      </c>
      <c r="DE90" s="50">
        <f xml:space="preserve"> 'WK2014'!FJ100</f>
        <v>7158.5304195999997</v>
      </c>
      <c r="DF90" s="50">
        <f xml:space="preserve"> 'WK2014'!FM100</f>
        <v>8589.5111648000002</v>
      </c>
      <c r="DG90" s="50">
        <f xml:space="preserve"> 'WK2014'!FN100</f>
        <v>7158.5304195999997</v>
      </c>
      <c r="DH90" s="50">
        <f xml:space="preserve"> 'WK2014'!FO100</f>
        <v>8589.5111648000002</v>
      </c>
      <c r="DI90" s="50">
        <f xml:space="preserve"> 'WK2014'!FP100</f>
        <v>7158.5304195999997</v>
      </c>
      <c r="DJ90" s="61">
        <f xml:space="preserve"> 'WK2014'!FK100</f>
        <v>0.3825521572067464</v>
      </c>
      <c r="DK90" s="1"/>
      <c r="DL90" s="50">
        <f xml:space="preserve"> 'WK2014'!FW100</f>
        <v>465.11173680000002</v>
      </c>
      <c r="DM90" s="50">
        <f xml:space="preserve"> 'WK2014'!FX100</f>
        <v>369.6716528</v>
      </c>
      <c r="DN90" s="50">
        <f xml:space="preserve"> 'WK2014'!GA100</f>
        <v>465.11174648871088</v>
      </c>
      <c r="DO90" s="50">
        <f xml:space="preserve"> 'WK2014'!GB100</f>
        <v>369.6716408887109</v>
      </c>
      <c r="DP90" s="50">
        <f xml:space="preserve"> 'WK2014'!GC100</f>
        <v>465.11173680000002</v>
      </c>
      <c r="DQ90" s="50">
        <f xml:space="preserve"> 'WK2014'!GD100</f>
        <v>369.67163120000004</v>
      </c>
      <c r="DR90" s="61">
        <f xml:space="preserve"> 'WK2014'!FY100</f>
        <v>0.38226172728692248</v>
      </c>
      <c r="DS90" s="1"/>
      <c r="DT90" s="50">
        <f xml:space="preserve"> 'WK2014'!GK100</f>
        <v>2575.6174110000002</v>
      </c>
      <c r="DU90" s="50">
        <f xml:space="preserve"> 'WK2014'!GL100</f>
        <v>2045.6212620000006</v>
      </c>
      <c r="DV90" s="50">
        <f xml:space="preserve"> 'WK2014'!GO100</f>
        <v>2575.6174110000002</v>
      </c>
      <c r="DW90" s="50">
        <f xml:space="preserve"> 'WK2014'!GP100</f>
        <v>2045.6212620000006</v>
      </c>
      <c r="DX90" s="50">
        <f xml:space="preserve"> 'WK2014'!GQ100</f>
        <v>2575.6174110000002</v>
      </c>
      <c r="DY90" s="50">
        <f xml:space="preserve"> 'WK2014'!GR100</f>
        <v>2045.6212620000006</v>
      </c>
      <c r="DZ90" s="61">
        <f xml:space="preserve"> 'WK2014'!GM100</f>
        <v>0.39690115702155326</v>
      </c>
      <c r="ED90" s="50">
        <f xml:space="preserve"> 'WK2015'!EG100</f>
        <v>12466.241173799999</v>
      </c>
      <c r="EE90" s="50">
        <f xml:space="preserve"> 'WK2015'!EH100</f>
        <v>10153.6981572</v>
      </c>
      <c r="EF90" s="50">
        <f xml:space="preserve"> 'WK2015'!EK100</f>
        <v>12466.241173799999</v>
      </c>
      <c r="EG90" s="50">
        <f xml:space="preserve"> 'WK2015'!EL100</f>
        <v>10153.6981572</v>
      </c>
      <c r="EH90" s="50">
        <f xml:space="preserve"> 'WK2015'!EM100</f>
        <v>12466.241173799999</v>
      </c>
      <c r="EI90" s="50">
        <f xml:space="preserve"> 'WK2015'!EN100</f>
        <v>10153.6981572</v>
      </c>
      <c r="EJ90" s="61">
        <f xml:space="preserve"> 'WK2015'!EI100</f>
        <v>0.45226393920176255</v>
      </c>
      <c r="EK90" s="1"/>
      <c r="EL90" s="50">
        <f xml:space="preserve"> 'WK2015'!EU100</f>
        <v>11936.1105462</v>
      </c>
      <c r="EM90" s="50">
        <f xml:space="preserve"> 'WK2015'!EV100</f>
        <v>9632.9452832999996</v>
      </c>
      <c r="EN90" s="50">
        <f xml:space="preserve"> 'WK2015'!EY100</f>
        <v>11936.1105462</v>
      </c>
      <c r="EO90" s="50">
        <f xml:space="preserve"> 'WK2015'!EZ100</f>
        <v>9632.9452832999996</v>
      </c>
      <c r="EP90" s="50">
        <f xml:space="preserve"> 'WK2015'!FA100</f>
        <v>11936.1105462</v>
      </c>
      <c r="EQ90" s="50">
        <f xml:space="preserve"> 'WK2015'!FB100</f>
        <v>9632.9452832999996</v>
      </c>
      <c r="ER90" s="61">
        <f xml:space="preserve"> 'WK2015'!EW100</f>
        <v>0.45061906939031915</v>
      </c>
      <c r="ES90" s="1"/>
      <c r="ET90" s="50">
        <f xml:space="preserve"> 'WK2015'!FI100</f>
        <v>10442.082384599998</v>
      </c>
      <c r="EU90" s="50">
        <f xml:space="preserve"> 'WK2015'!FJ100</f>
        <v>8398.4828237999991</v>
      </c>
      <c r="EV90" s="50">
        <f xml:space="preserve"> 'WK2015'!FM100</f>
        <v>10442.082384599998</v>
      </c>
      <c r="EW90" s="50">
        <f xml:space="preserve"> 'WK2015'!FN100</f>
        <v>8398.4828237999991</v>
      </c>
      <c r="EX90" s="50">
        <f xml:space="preserve"> 'WK2015'!FO100</f>
        <v>10442.082384599998</v>
      </c>
      <c r="EY90" s="50">
        <f xml:space="preserve"> 'WK2015'!FP100</f>
        <v>8398.4828237999991</v>
      </c>
      <c r="EZ90" s="61">
        <f xml:space="preserve"> 'WK2015'!FK100</f>
        <v>0.44594731677239841</v>
      </c>
      <c r="FA90" s="1"/>
      <c r="FB90" s="50">
        <f xml:space="preserve"> 'WK2015'!FW100</f>
        <v>505.11650880000002</v>
      </c>
      <c r="FC90" s="50">
        <f xml:space="preserve"> 'WK2015'!FX100</f>
        <v>415.65941320000002</v>
      </c>
      <c r="FD90" s="50">
        <f xml:space="preserve"> 'WK2015'!GA100</f>
        <v>505.11650880000002</v>
      </c>
      <c r="FE90" s="50">
        <f xml:space="preserve"> 'WK2015'!GB100</f>
        <v>415.65941320000002</v>
      </c>
      <c r="FF90" s="50">
        <f xml:space="preserve"> 'WK2015'!GC100</f>
        <v>505.11650880000002</v>
      </c>
      <c r="FG90" s="50">
        <f xml:space="preserve"> 'WK2015'!GD100</f>
        <v>415.65941320000002</v>
      </c>
      <c r="FH90" s="61">
        <f xml:space="preserve"> 'WK2015'!FY100</f>
        <v>0.45160001713691816</v>
      </c>
      <c r="FI90" s="1"/>
      <c r="FJ90" s="50">
        <f xml:space="preserve"> 'WK2015'!GK100</f>
        <v>1711.9719269999998</v>
      </c>
      <c r="FK90" s="50">
        <f xml:space="preserve"> 'WK2015'!GL100</f>
        <v>1467.2247795000005</v>
      </c>
      <c r="FL90" s="50">
        <f xml:space="preserve"> 'WK2015'!GO100</f>
        <v>1711.9719269999998</v>
      </c>
      <c r="FM90" s="50">
        <f xml:space="preserve"> 'WK2015'!GP100</f>
        <v>1467.2247795000005</v>
      </c>
      <c r="FN90" s="50">
        <f xml:space="preserve"> 'WK2015'!GQ100</f>
        <v>1711.9719269999998</v>
      </c>
      <c r="FO90" s="50">
        <f xml:space="preserve"> 'WK2015'!GR100</f>
        <v>1467.2247795000005</v>
      </c>
      <c r="FP90" s="61">
        <f xml:space="preserve"> 'WK2015'!GM100</f>
        <v>0.47050194311290211</v>
      </c>
      <c r="FS90" s="283">
        <f xml:space="preserve"> 'WK2015'!H100</f>
        <v>5982.0711149999997</v>
      </c>
      <c r="FT90" s="283">
        <f xml:space="preserve"> 'WK2015'!I100</f>
        <v>5157.5295679999999</v>
      </c>
      <c r="FU90" s="283">
        <f xml:space="preserve"> 'WK2015'!L100</f>
        <v>5982.0711149999997</v>
      </c>
      <c r="FV90" s="283">
        <f xml:space="preserve"> 'WK2015'!M100</f>
        <v>5157.5295679999999</v>
      </c>
      <c r="FW90" s="283">
        <f xml:space="preserve"> 'WK2015'!N100</f>
        <v>5982.0711149999997</v>
      </c>
      <c r="FX90" s="283">
        <f xml:space="preserve"> 'WK2015'!O100</f>
        <v>5157.5295679999999</v>
      </c>
      <c r="FY90" s="284">
        <f xml:space="preserve"> 'WK2015'!P100</f>
        <v>0.43676061870162947</v>
      </c>
      <c r="GA90" s="283">
        <f xml:space="preserve"> 'WK2015'!HB100</f>
        <v>5675.9791799999994</v>
      </c>
      <c r="GB90" s="283">
        <f xml:space="preserve"> 'WK2015'!HC100</f>
        <v>5140.6686600000003</v>
      </c>
      <c r="GC90" s="283">
        <f xml:space="preserve"> 'WK2015'!HF100</f>
        <v>5675.9791799999994</v>
      </c>
      <c r="GD90" s="283">
        <f xml:space="preserve"> 'WK2015'!HG100</f>
        <v>5140.6686600000003</v>
      </c>
      <c r="GE90" s="283">
        <f xml:space="preserve"> 'WK2015'!HH100</f>
        <v>5675.9791799999994</v>
      </c>
      <c r="GF90" s="283">
        <f xml:space="preserve"> 'WK2015'!HI100</f>
        <v>5140.6686600000003</v>
      </c>
      <c r="GG90" s="284">
        <f xml:space="preserve"> 'WK2015'!HJ100</f>
        <v>0.46283598134124032</v>
      </c>
      <c r="GI90" s="283">
        <f xml:space="preserve"> 'WK2015'!HQ100</f>
        <v>5857.6133699999991</v>
      </c>
      <c r="GJ90" s="283">
        <f xml:space="preserve"> 'WK2015'!HR100</f>
        <v>5252.5095840000004</v>
      </c>
      <c r="GK90" s="283">
        <f xml:space="preserve"> 'WK2015'!HU100</f>
        <v>5857.6133699999991</v>
      </c>
      <c r="GL90" s="283">
        <f xml:space="preserve"> 'WK2015'!HV100</f>
        <v>5252.5095840000004</v>
      </c>
      <c r="GM90" s="283">
        <f xml:space="preserve"> 'WK2015'!HW100</f>
        <v>5857.6133699999991</v>
      </c>
      <c r="GN90" s="283">
        <f xml:space="preserve"> 'WK2015'!HX100</f>
        <v>5252.5095840000004</v>
      </c>
      <c r="GO90" s="284">
        <f xml:space="preserve"> 'WK2015'!HY100</f>
        <v>0.3821960594792212</v>
      </c>
    </row>
    <row r="91" spans="1:197" x14ac:dyDescent="0.2">
      <c r="A91" s="3">
        <f>Basis!A91</f>
        <v>91</v>
      </c>
      <c r="D91" s="252" t="e">
        <v>#N/A</v>
      </c>
      <c r="E91" s="252" t="e">
        <v>#N/A</v>
      </c>
      <c r="H91" s="50">
        <f xml:space="preserve"> 'WK2012'!EG101</f>
        <v>12025.074259482077</v>
      </c>
      <c r="I91" s="50">
        <f xml:space="preserve"> 'WK2012'!EH101</f>
        <v>10202.541651558724</v>
      </c>
      <c r="J91" s="50">
        <f xml:space="preserve"> 'WK2012'!EK101</f>
        <v>12025.074259482077</v>
      </c>
      <c r="K91" s="50">
        <f xml:space="preserve"> 'WK2012'!EL101</f>
        <v>10202.541651558724</v>
      </c>
      <c r="L91" s="50">
        <f xml:space="preserve"> 'WK2012'!EM101</f>
        <v>12025.074259482077</v>
      </c>
      <c r="M91" s="50">
        <f xml:space="preserve"> 'WK2012'!EN101</f>
        <v>10202.541651558724</v>
      </c>
      <c r="N91" s="61">
        <f xml:space="preserve"> 'WK2012'!EI101</f>
        <v>0.3613140050343146</v>
      </c>
      <c r="P91" s="50">
        <f xml:space="preserve"> 'WK2012'!EU101</f>
        <v>10795.427021862311</v>
      </c>
      <c r="Q91" s="50">
        <f xml:space="preserve"> 'WK2012'!EV101</f>
        <v>9342.621390589482</v>
      </c>
      <c r="R91" s="50">
        <f xml:space="preserve"> 'WK2012'!EY101</f>
        <v>10795.427021862311</v>
      </c>
      <c r="S91" s="50">
        <f xml:space="preserve"> 'WK2012'!EZ101</f>
        <v>9342.621390589482</v>
      </c>
      <c r="T91" s="50">
        <f xml:space="preserve"> 'WK2012'!FA101</f>
        <v>10795.427021862311</v>
      </c>
      <c r="U91" s="50">
        <f xml:space="preserve"> 'WK2012'!FB101</f>
        <v>9342.621390589482</v>
      </c>
      <c r="V91" s="61">
        <f xml:space="preserve"> 'WK2012'!EW101</f>
        <v>0.37586353244494769</v>
      </c>
      <c r="X91" s="50">
        <f xml:space="preserve"> 'WK2012'!FI101</f>
        <v>8116.661076763141</v>
      </c>
      <c r="Y91" s="50">
        <f xml:space="preserve"> 'WK2012'!FJ101</f>
        <v>6949.1505436626885</v>
      </c>
      <c r="Z91" s="50">
        <f xml:space="preserve"> 'WK2012'!FM101</f>
        <v>8116.661076763141</v>
      </c>
      <c r="AA91" s="50">
        <f xml:space="preserve"> 'WK2012'!FN101</f>
        <v>6949.1505436626885</v>
      </c>
      <c r="AB91" s="50">
        <f xml:space="preserve"> 'WK2012'!FO101</f>
        <v>8116.661076763141</v>
      </c>
      <c r="AC91" s="50">
        <f xml:space="preserve"> 'WK2012'!FP101</f>
        <v>6949.1505436626885</v>
      </c>
      <c r="AD91" s="61">
        <f xml:space="preserve"> 'WK2012'!FK101</f>
        <v>0.39209818354797038</v>
      </c>
      <c r="AF91" s="50">
        <f xml:space="preserve"> 'WK2012'!FW101</f>
        <v>1748.6979041321752</v>
      </c>
      <c r="AG91" s="50">
        <f xml:space="preserve"> 'WK2012'!FX101</f>
        <v>1082.7870593777141</v>
      </c>
      <c r="AH91" s="50">
        <f xml:space="preserve"> 'WK2012'!GA101</f>
        <v>1748.6979041321752</v>
      </c>
      <c r="AI91" s="50">
        <f xml:space="preserve"> 'WK2012'!GB101</f>
        <v>1082.7870593777141</v>
      </c>
      <c r="AJ91" s="50">
        <f xml:space="preserve"> 'WK2012'!GC101</f>
        <v>1748.6979041321752</v>
      </c>
      <c r="AK91" s="50">
        <f xml:space="preserve"> 'WK2012'!GD101</f>
        <v>1082.7870593777141</v>
      </c>
      <c r="AL91" s="61">
        <f xml:space="preserve"> 'WK2012'!FY101</f>
        <v>0.38028340115681408</v>
      </c>
      <c r="AN91" s="50">
        <f xml:space="preserve"> 'WK2012'!GK101</f>
        <v>308.82957479948618</v>
      </c>
      <c r="AO91" s="50">
        <f xml:space="preserve"> 'WK2012'!GL101</f>
        <v>243.84440051156935</v>
      </c>
      <c r="AP91" s="50">
        <f xml:space="preserve"> 'WK2012'!GO101</f>
        <v>308.82957479948618</v>
      </c>
      <c r="AQ91" s="50">
        <f xml:space="preserve"> 'WK2012'!GP101</f>
        <v>243.84440051156935</v>
      </c>
      <c r="AR91" s="50">
        <f xml:space="preserve"> 'WK2012'!GQ101</f>
        <v>308.82957479948618</v>
      </c>
      <c r="AS91" s="50">
        <f xml:space="preserve"> 'WK2012'!GR101</f>
        <v>243.84440051156935</v>
      </c>
      <c r="AT91" s="61">
        <f xml:space="preserve"> 'WK2012'!GM101</f>
        <v>0.38566255506927816</v>
      </c>
      <c r="AX91" s="50">
        <f xml:space="preserve"> 'WK2013'!EG101</f>
        <v>13314.814246600001</v>
      </c>
      <c r="AY91" s="50">
        <f xml:space="preserve"> 'WK2013'!EH101</f>
        <v>10922.810911799999</v>
      </c>
      <c r="AZ91" s="50">
        <f xml:space="preserve"> 'WK2013'!EK101</f>
        <v>13314.814246600001</v>
      </c>
      <c r="BA91" s="50">
        <f xml:space="preserve"> 'WK2013'!EL101</f>
        <v>10922.810911799999</v>
      </c>
      <c r="BB91" s="50">
        <f xml:space="preserve"> 'WK2013'!EM101</f>
        <v>13314.814246600001</v>
      </c>
      <c r="BC91" s="50">
        <f xml:space="preserve"> 'WK2013'!EN101</f>
        <v>10922.810911799999</v>
      </c>
      <c r="BD91" s="61">
        <f xml:space="preserve"> 'WK2013'!EI101</f>
        <v>0.35901347861766203</v>
      </c>
      <c r="BF91" s="50">
        <f xml:space="preserve"> 'WK2013'!EU101</f>
        <v>11575.323594899999</v>
      </c>
      <c r="BG91" s="50">
        <f xml:space="preserve"> 'WK2013'!EV101</f>
        <v>9556.5603121999993</v>
      </c>
      <c r="BH91" s="50">
        <f xml:space="preserve"> 'WK2013'!EY101</f>
        <v>11575.323594899999</v>
      </c>
      <c r="BI91" s="50">
        <f xml:space="preserve"> 'WK2013'!EZ101</f>
        <v>9556.5603121999993</v>
      </c>
      <c r="BJ91" s="50">
        <f xml:space="preserve"> 'WK2013'!FA101</f>
        <v>11575.323594899999</v>
      </c>
      <c r="BK91" s="50">
        <f xml:space="preserve"> 'WK2013'!FB101</f>
        <v>9556.5603121999993</v>
      </c>
      <c r="BL91" s="61">
        <f xml:space="preserve"> 'WK2013'!EW101</f>
        <v>0.38525226953676678</v>
      </c>
      <c r="BN91" s="50">
        <f xml:space="preserve"> 'WK2013'!FI101</f>
        <v>9249.7991340000008</v>
      </c>
      <c r="BO91" s="50">
        <f xml:space="preserve"> 'WK2013'!FJ101</f>
        <v>7879.9573007999988</v>
      </c>
      <c r="BP91" s="50">
        <f xml:space="preserve"> 'WK2013'!FM101</f>
        <v>9249.7991340000008</v>
      </c>
      <c r="BQ91" s="50">
        <f xml:space="preserve"> 'WK2013'!FN101</f>
        <v>7879.9573007999988</v>
      </c>
      <c r="BR91" s="50">
        <f xml:space="preserve"> 'WK2013'!FO101</f>
        <v>9249.7991340000008</v>
      </c>
      <c r="BS91" s="50">
        <f xml:space="preserve"> 'WK2013'!FP101</f>
        <v>7879.9573007999988</v>
      </c>
      <c r="BT91" s="61">
        <f xml:space="preserve"> 'WK2013'!FK101</f>
        <v>0.38081427245092808</v>
      </c>
      <c r="BV91" s="50">
        <f xml:space="preserve"> 'WK2013'!FW101</f>
        <v>443.59240060000002</v>
      </c>
      <c r="BW91" s="50">
        <f xml:space="preserve"> 'WK2013'!FX101</f>
        <v>338.10013480000003</v>
      </c>
      <c r="BX91" s="50">
        <f xml:space="preserve"> 'WK2013'!GA101</f>
        <v>443.59240060000002</v>
      </c>
      <c r="BY91" s="50">
        <f xml:space="preserve"> 'WK2013'!GB101</f>
        <v>338.10013480000003</v>
      </c>
      <c r="BZ91" s="50">
        <f xml:space="preserve"> 'WK2013'!GC101</f>
        <v>443.59240060000002</v>
      </c>
      <c r="CA91" s="50">
        <f xml:space="preserve"> 'WK2013'!GD101</f>
        <v>338.10013480000003</v>
      </c>
      <c r="CB91" s="61">
        <f xml:space="preserve"> 'WK2013'!FY101</f>
        <v>0.38448566796917216</v>
      </c>
      <c r="CD91" s="50">
        <f xml:space="preserve"> 'WK2013'!GK101</f>
        <v>1816.2487980000005</v>
      </c>
      <c r="CE91" s="50">
        <f xml:space="preserve"> 'WK2013'!GL101</f>
        <v>1338.3908595000003</v>
      </c>
      <c r="CF91" s="50">
        <f xml:space="preserve"> 'WK2013'!GO101</f>
        <v>1816.2487980000005</v>
      </c>
      <c r="CG91" s="50">
        <f xml:space="preserve"> 'WK2013'!GP101</f>
        <v>1338.3908595000003</v>
      </c>
      <c r="CH91" s="50">
        <f xml:space="preserve"> 'WK2013'!GQ101</f>
        <v>1816.2487980000005</v>
      </c>
      <c r="CI91" s="50">
        <f xml:space="preserve"> 'WK2013'!GR101</f>
        <v>1338.3908595000003</v>
      </c>
      <c r="CJ91" s="61">
        <f xml:space="preserve"> 'WK2013'!GM101</f>
        <v>0.38342851798621569</v>
      </c>
      <c r="CN91" s="50">
        <f xml:space="preserve"> 'WK2014'!EG101</f>
        <v>13421.9176444</v>
      </c>
      <c r="CO91" s="50">
        <f xml:space="preserve"> 'WK2014'!EH101</f>
        <v>11053.3707168</v>
      </c>
      <c r="CP91" s="50">
        <f xml:space="preserve"> 'WK2014'!EK101</f>
        <v>13421.917653944925</v>
      </c>
      <c r="CQ91" s="50">
        <f xml:space="preserve"> 'WK2014'!EL101</f>
        <v>11053.370704744926</v>
      </c>
      <c r="CR91" s="50">
        <f xml:space="preserve"> 'WK2014'!EM101</f>
        <v>13421.9176444</v>
      </c>
      <c r="CS91" s="50">
        <f xml:space="preserve"> 'WK2014'!EN101</f>
        <v>11053.370695200001</v>
      </c>
      <c r="CT91" s="61">
        <f xml:space="preserve"> 'WK2014'!EI101</f>
        <v>0.36497838314844888</v>
      </c>
      <c r="CV91" s="50">
        <f xml:space="preserve"> 'WK2014'!EU101</f>
        <v>10758.786637600002</v>
      </c>
      <c r="CW91" s="50">
        <f xml:space="preserve"> 'WK2014'!EV101</f>
        <v>8468.7495471999991</v>
      </c>
      <c r="CX91" s="50">
        <f xml:space="preserve"> 'WK2014'!EY101</f>
        <v>10758.786645951812</v>
      </c>
      <c r="CY91" s="50">
        <f xml:space="preserve"> 'WK2014'!EZ101</f>
        <v>8468.7495366518087</v>
      </c>
      <c r="CZ91" s="50">
        <f xml:space="preserve"> 'WK2014'!FA101</f>
        <v>10758.786637600002</v>
      </c>
      <c r="DA91" s="50">
        <f xml:space="preserve"> 'WK2014'!FB101</f>
        <v>8468.7495282999989</v>
      </c>
      <c r="DB91" s="61">
        <f xml:space="preserve"> 'WK2014'!EW101</f>
        <v>0.35157988550211133</v>
      </c>
      <c r="DC91" s="1"/>
      <c r="DD91" s="50">
        <f xml:space="preserve"> 'WK2014'!FI101</f>
        <v>8677.1466872000001</v>
      </c>
      <c r="DE91" s="50">
        <f xml:space="preserve"> 'WK2014'!FJ101</f>
        <v>7198.2582194000006</v>
      </c>
      <c r="DF91" s="50">
        <f xml:space="preserve"> 'WK2014'!FM101</f>
        <v>8677.1466872000001</v>
      </c>
      <c r="DG91" s="50">
        <f xml:space="preserve"> 'WK2014'!FN101</f>
        <v>7198.2582194000006</v>
      </c>
      <c r="DH91" s="50">
        <f xml:space="preserve"> 'WK2014'!FO101</f>
        <v>8677.1466872000001</v>
      </c>
      <c r="DI91" s="50">
        <f xml:space="preserve"> 'WK2014'!FP101</f>
        <v>7198.2582194000006</v>
      </c>
      <c r="DJ91" s="61">
        <f xml:space="preserve"> 'WK2014'!FK101</f>
        <v>0.36815249346203222</v>
      </c>
      <c r="DK91" s="1"/>
      <c r="DL91" s="50">
        <f xml:space="preserve"> 'WK2014'!FW101</f>
        <v>437.84143440000003</v>
      </c>
      <c r="DM91" s="50">
        <f xml:space="preserve"> 'WK2014'!FX101</f>
        <v>339.28693680000003</v>
      </c>
      <c r="DN91" s="50">
        <f xml:space="preserve"> 'WK2014'!GA101</f>
        <v>437.84144394492546</v>
      </c>
      <c r="DO91" s="50">
        <f xml:space="preserve"> 'WK2014'!GB101</f>
        <v>339.2869247449255</v>
      </c>
      <c r="DP91" s="50">
        <f xml:space="preserve"> 'WK2014'!GC101</f>
        <v>437.84143440000003</v>
      </c>
      <c r="DQ91" s="50">
        <f xml:space="preserve"> 'WK2014'!GD101</f>
        <v>339.28691520000007</v>
      </c>
      <c r="DR91" s="61">
        <f xml:space="preserve"> 'WK2014'!FY101</f>
        <v>0.35865699023254471</v>
      </c>
      <c r="DS91" s="1"/>
      <c r="DT91" s="50">
        <f xml:space="preserve"> 'WK2014'!GK101</f>
        <v>2605.2139199999997</v>
      </c>
      <c r="DU91" s="50">
        <f xml:space="preserve"> 'WK2014'!GL101</f>
        <v>2045.6212620000006</v>
      </c>
      <c r="DV91" s="50">
        <f xml:space="preserve"> 'WK2014'!GO101</f>
        <v>2605.2139199999997</v>
      </c>
      <c r="DW91" s="50">
        <f xml:space="preserve"> 'WK2014'!GP101</f>
        <v>2045.6212620000006</v>
      </c>
      <c r="DX91" s="50">
        <f xml:space="preserve"> 'WK2014'!GQ101</f>
        <v>2605.2139199999997</v>
      </c>
      <c r="DY91" s="50">
        <f xml:space="preserve"> 'WK2014'!GR101</f>
        <v>2045.6212620000006</v>
      </c>
      <c r="DZ91" s="61">
        <f xml:space="preserve"> 'WK2014'!GM101</f>
        <v>0.38231214953557474</v>
      </c>
      <c r="ED91" s="50">
        <f xml:space="preserve"> 'WK2015'!EG101</f>
        <v>12551.782212599999</v>
      </c>
      <c r="EE91" s="50">
        <f xml:space="preserve"> 'WK2015'!EH101</f>
        <v>10162.075920800002</v>
      </c>
      <c r="EF91" s="50">
        <f xml:space="preserve"> 'WK2015'!EK101</f>
        <v>12551.782212599999</v>
      </c>
      <c r="EG91" s="50">
        <f xml:space="preserve"> 'WK2015'!EL101</f>
        <v>10162.075920800002</v>
      </c>
      <c r="EH91" s="50">
        <f xml:space="preserve"> 'WK2015'!EM101</f>
        <v>12551.782212599999</v>
      </c>
      <c r="EI91" s="50">
        <f xml:space="preserve"> 'WK2015'!EN101</f>
        <v>10162.075920800002</v>
      </c>
      <c r="EJ91" s="61">
        <f xml:space="preserve"> 'WK2015'!EI101</f>
        <v>0.38302735078687827</v>
      </c>
      <c r="EK91" s="1"/>
      <c r="EL91" s="50">
        <f xml:space="preserve"> 'WK2015'!EU101</f>
        <v>11962.4274369</v>
      </c>
      <c r="EM91" s="50">
        <f xml:space="preserve"> 'WK2015'!EV101</f>
        <v>9643.4395412000013</v>
      </c>
      <c r="EN91" s="50">
        <f xml:space="preserve"> 'WK2015'!EY101</f>
        <v>11962.4274369</v>
      </c>
      <c r="EO91" s="50">
        <f xml:space="preserve"> 'WK2015'!EZ101</f>
        <v>9643.4395412000013</v>
      </c>
      <c r="EP91" s="50">
        <f xml:space="preserve"> 'WK2015'!FA101</f>
        <v>11962.4274369</v>
      </c>
      <c r="EQ91" s="50">
        <f xml:space="preserve"> 'WK2015'!FB101</f>
        <v>9643.4395412000013</v>
      </c>
      <c r="ER91" s="61">
        <f xml:space="preserve"> 'WK2015'!EW101</f>
        <v>0.37771263070456601</v>
      </c>
      <c r="ES91" s="1"/>
      <c r="ET91" s="50">
        <f xml:space="preserve"> 'WK2015'!FI101</f>
        <v>10527.638768399998</v>
      </c>
      <c r="EU91" s="50">
        <f xml:space="preserve"> 'WK2015'!FJ101</f>
        <v>8444.5845807999976</v>
      </c>
      <c r="EV91" s="50">
        <f xml:space="preserve"> 'WK2015'!FM101</f>
        <v>10527.638768399998</v>
      </c>
      <c r="EW91" s="50">
        <f xml:space="preserve"> 'WK2015'!FN101</f>
        <v>8444.5845807999976</v>
      </c>
      <c r="EX91" s="50">
        <f xml:space="preserve"> 'WK2015'!FO101</f>
        <v>10527.638768399998</v>
      </c>
      <c r="EY91" s="50">
        <f xml:space="preserve"> 'WK2015'!FP101</f>
        <v>8444.5845807999976</v>
      </c>
      <c r="EZ91" s="61">
        <f xml:space="preserve"> 'WK2015'!FK101</f>
        <v>0.37673604531692284</v>
      </c>
      <c r="FA91" s="1"/>
      <c r="FB91" s="50">
        <f xml:space="preserve"> 'WK2015'!FW101</f>
        <v>475.42727760000002</v>
      </c>
      <c r="FC91" s="50">
        <f xml:space="preserve"> 'WK2015'!FX101</f>
        <v>386.37913879999996</v>
      </c>
      <c r="FD91" s="50">
        <f xml:space="preserve"> 'WK2015'!GA101</f>
        <v>475.42727760000002</v>
      </c>
      <c r="FE91" s="50">
        <f xml:space="preserve"> 'WK2015'!GB101</f>
        <v>386.37913879999996</v>
      </c>
      <c r="FF91" s="50">
        <f xml:space="preserve"> 'WK2015'!GC101</f>
        <v>475.42727760000002</v>
      </c>
      <c r="FG91" s="50">
        <f xml:space="preserve"> 'WK2015'!GD101</f>
        <v>386.37913879999996</v>
      </c>
      <c r="FH91" s="61">
        <f xml:space="preserve"> 'WK2015'!FY101</f>
        <v>0.38116884065565854</v>
      </c>
      <c r="FI91" s="1"/>
      <c r="FJ91" s="50">
        <f xml:space="preserve"> 'WK2015'!GK101</f>
        <v>1744.8850507500008</v>
      </c>
      <c r="FK91" s="50">
        <f xml:space="preserve"> 'WK2015'!GL101</f>
        <v>1467.2247795000005</v>
      </c>
      <c r="FL91" s="50">
        <f xml:space="preserve"> 'WK2015'!GO101</f>
        <v>1744.8850507500008</v>
      </c>
      <c r="FM91" s="50">
        <f xml:space="preserve"> 'WK2015'!GP101</f>
        <v>1467.2247795000005</v>
      </c>
      <c r="FN91" s="50">
        <f xml:space="preserve"> 'WK2015'!GQ101</f>
        <v>1744.8850507500008</v>
      </c>
      <c r="FO91" s="50">
        <f xml:space="preserve"> 'WK2015'!GR101</f>
        <v>1467.2247795000005</v>
      </c>
      <c r="FP91" s="61">
        <f xml:space="preserve"> 'WK2015'!GM101</f>
        <v>0.38583962417227496</v>
      </c>
      <c r="FS91" s="283">
        <f xml:space="preserve"> 'WK2015'!H101</f>
        <v>6048.8319899999997</v>
      </c>
      <c r="FT91" s="283">
        <f xml:space="preserve"> 'WK2015'!I101</f>
        <v>5195.1876060000004</v>
      </c>
      <c r="FU91" s="283">
        <f xml:space="preserve"> 'WK2015'!L101</f>
        <v>6048.8319899999997</v>
      </c>
      <c r="FV91" s="283">
        <f xml:space="preserve"> 'WK2015'!M101</f>
        <v>5195.1876060000004</v>
      </c>
      <c r="FW91" s="283">
        <f xml:space="preserve"> 'WK2015'!N101</f>
        <v>6048.8319899999997</v>
      </c>
      <c r="FX91" s="283">
        <f xml:space="preserve"> 'WK2015'!O101</f>
        <v>5195.1876060000004</v>
      </c>
      <c r="FY91" s="284">
        <f xml:space="preserve"> 'WK2015'!P101</f>
        <v>0.37393370139337012</v>
      </c>
      <c r="GA91" s="283">
        <f xml:space="preserve"> 'WK2015'!HB101</f>
        <v>5744.6794140000002</v>
      </c>
      <c r="GB91" s="283">
        <f xml:space="preserve"> 'WK2015'!HC101</f>
        <v>5199.8691760000002</v>
      </c>
      <c r="GC91" s="283">
        <f xml:space="preserve"> 'WK2015'!HF101</f>
        <v>5744.6794140000002</v>
      </c>
      <c r="GD91" s="283">
        <f xml:space="preserve"> 'WK2015'!HG101</f>
        <v>5199.8691760000002</v>
      </c>
      <c r="GE91" s="283">
        <f xml:space="preserve"> 'WK2015'!HH101</f>
        <v>5744.6794140000002</v>
      </c>
      <c r="GF91" s="283">
        <f xml:space="preserve"> 'WK2015'!HI101</f>
        <v>5199.8691760000002</v>
      </c>
      <c r="GG91" s="284">
        <f xml:space="preserve"> 'WK2015'!HJ101</f>
        <v>0.49211947867782702</v>
      </c>
      <c r="GI91" s="283">
        <f xml:space="preserve"> 'WK2015'!HQ101</f>
        <v>5956.5002699999995</v>
      </c>
      <c r="GJ91" s="283">
        <f xml:space="preserve"> 'WK2015'!HR101</f>
        <v>5325.0991919999997</v>
      </c>
      <c r="GK91" s="283">
        <f xml:space="preserve"> 'WK2015'!HU101</f>
        <v>5956.5002699999995</v>
      </c>
      <c r="GL91" s="283">
        <f xml:space="preserve"> 'WK2015'!HV101</f>
        <v>5325.0991919999997</v>
      </c>
      <c r="GM91" s="283">
        <f xml:space="preserve"> 'WK2015'!HW101</f>
        <v>5956.5002699999995</v>
      </c>
      <c r="GN91" s="283">
        <f xml:space="preserve"> 'WK2015'!HX101</f>
        <v>5325.0991919999997</v>
      </c>
      <c r="GO91" s="284">
        <f xml:space="preserve"> 'WK2015'!HY101</f>
        <v>0.38374988374988378</v>
      </c>
    </row>
    <row r="92" spans="1:197" x14ac:dyDescent="0.2">
      <c r="A92" s="3">
        <f>Basis!A92</f>
        <v>92</v>
      </c>
      <c r="D92" s="252" t="e">
        <v>#N/A</v>
      </c>
      <c r="E92" s="252" t="e">
        <v>#N/A</v>
      </c>
      <c r="H92" s="50">
        <f xml:space="preserve"> 'WK2012'!EG102</f>
        <v>12160.60872175357</v>
      </c>
      <c r="I92" s="50">
        <f xml:space="preserve"> 'WK2012'!EH102</f>
        <v>10248.6671669808</v>
      </c>
      <c r="J92" s="50">
        <f xml:space="preserve"> 'WK2012'!EK102</f>
        <v>12160.60872175357</v>
      </c>
      <c r="K92" s="50">
        <f xml:space="preserve"> 'WK2012'!EL102</f>
        <v>10248.6671669808</v>
      </c>
      <c r="L92" s="50">
        <f xml:space="preserve"> 'WK2012'!EM102</f>
        <v>12160.60872175357</v>
      </c>
      <c r="M92" s="50">
        <f xml:space="preserve"> 'WK2012'!EN102</f>
        <v>10248.6671669808</v>
      </c>
      <c r="N92" s="61">
        <f xml:space="preserve"> 'WK2012'!EI102</f>
        <v>0.34615349043219446</v>
      </c>
      <c r="P92" s="50">
        <f xml:space="preserve"> 'WK2012'!EU102</f>
        <v>10884.883416036751</v>
      </c>
      <c r="Q92" s="50">
        <f xml:space="preserve"> 'WK2012'!EV102</f>
        <v>9388.7783884214641</v>
      </c>
      <c r="R92" s="50">
        <f xml:space="preserve"> 'WK2012'!EY102</f>
        <v>10884.883416036751</v>
      </c>
      <c r="S92" s="50">
        <f xml:space="preserve"> 'WK2012'!EZ102</f>
        <v>9388.7783884214641</v>
      </c>
      <c r="T92" s="50">
        <f xml:space="preserve"> 'WK2012'!FA102</f>
        <v>10884.883416036751</v>
      </c>
      <c r="U92" s="50">
        <f xml:space="preserve"> 'WK2012'!FB102</f>
        <v>9388.7783884214641</v>
      </c>
      <c r="V92" s="61">
        <f xml:space="preserve"> 'WK2012'!EW102</f>
        <v>0.3588501730547366</v>
      </c>
      <c r="X92" s="50">
        <f xml:space="preserve"> 'WK2012'!FI102</f>
        <v>8201.3278509804222</v>
      </c>
      <c r="Y92" s="50">
        <f xml:space="preserve"> 'WK2012'!FJ102</f>
        <v>6998.8453518183951</v>
      </c>
      <c r="Z92" s="50">
        <f xml:space="preserve"> 'WK2012'!FM102</f>
        <v>8201.3278509804222</v>
      </c>
      <c r="AA92" s="50">
        <f xml:space="preserve"> 'WK2012'!FN102</f>
        <v>6998.8453518183951</v>
      </c>
      <c r="AB92" s="50">
        <f xml:space="preserve"> 'WK2012'!FO102</f>
        <v>8201.3278509804222</v>
      </c>
      <c r="AC92" s="50">
        <f xml:space="preserve"> 'WK2012'!FP102</f>
        <v>6998.8453518183951</v>
      </c>
      <c r="AD92" s="61">
        <f xml:space="preserve"> 'WK2012'!FK102</f>
        <v>0.39159929511039254</v>
      </c>
      <c r="AF92" s="50">
        <f xml:space="preserve"> 'WK2012'!FW102</f>
        <v>1755.0621691300194</v>
      </c>
      <c r="AG92" s="50">
        <f xml:space="preserve"> 'WK2012'!FX102</f>
        <v>1081.2355549421179</v>
      </c>
      <c r="AH92" s="50">
        <f xml:space="preserve"> 'WK2012'!GA102</f>
        <v>1755.0621691300194</v>
      </c>
      <c r="AI92" s="50">
        <f xml:space="preserve"> 'WK2012'!GB102</f>
        <v>1081.2355549421179</v>
      </c>
      <c r="AJ92" s="50">
        <f xml:space="preserve"> 'WK2012'!GC102</f>
        <v>1755.0621691300194</v>
      </c>
      <c r="AK92" s="50">
        <f xml:space="preserve"> 'WK2012'!GD102</f>
        <v>1081.2355549421179</v>
      </c>
      <c r="AL92" s="61">
        <f xml:space="preserve"> 'WK2012'!FY102</f>
        <v>0.37885716943517211</v>
      </c>
      <c r="AN92" s="50">
        <f xml:space="preserve"> 'WK2012'!GK102</f>
        <v>289.85164302809017</v>
      </c>
      <c r="AO92" s="50">
        <f xml:space="preserve"> 'WK2012'!GL102</f>
        <v>224.34458933959741</v>
      </c>
      <c r="AP92" s="50">
        <f xml:space="preserve"> 'WK2012'!GO102</f>
        <v>289.85164302809017</v>
      </c>
      <c r="AQ92" s="50">
        <f xml:space="preserve"> 'WK2012'!GP102</f>
        <v>224.34458933959741</v>
      </c>
      <c r="AR92" s="50">
        <f xml:space="preserve"> 'WK2012'!GQ102</f>
        <v>289.85164302809017</v>
      </c>
      <c r="AS92" s="50">
        <f xml:space="preserve"> 'WK2012'!GR102</f>
        <v>224.34458933959741</v>
      </c>
      <c r="AT92" s="61">
        <f xml:space="preserve"> 'WK2012'!GM102</f>
        <v>0.36844090129966239</v>
      </c>
      <c r="AX92" s="50">
        <f xml:space="preserve"> 'WK2013'!EG102</f>
        <v>13445.1636008</v>
      </c>
      <c r="AY92" s="50">
        <f xml:space="preserve"> 'WK2013'!EH102</f>
        <v>10950.927209200003</v>
      </c>
      <c r="AZ92" s="50">
        <f xml:space="preserve"> 'WK2013'!EK102</f>
        <v>13445.1636008</v>
      </c>
      <c r="BA92" s="50">
        <f xml:space="preserve"> 'WK2013'!EL102</f>
        <v>10950.927209200003</v>
      </c>
      <c r="BB92" s="50">
        <f xml:space="preserve"> 'WK2013'!EM102</f>
        <v>13445.1636008</v>
      </c>
      <c r="BC92" s="50">
        <f xml:space="preserve"> 'WK2013'!EN102</f>
        <v>10950.927209200003</v>
      </c>
      <c r="BD92" s="61">
        <f xml:space="preserve"> 'WK2013'!EI102</f>
        <v>0.33061174478757438</v>
      </c>
      <c r="BF92" s="50">
        <f xml:space="preserve"> 'WK2013'!EU102</f>
        <v>11595.087915199998</v>
      </c>
      <c r="BG92" s="50">
        <f xml:space="preserve"> 'WK2013'!EV102</f>
        <v>9565.3254687999997</v>
      </c>
      <c r="BH92" s="50">
        <f xml:space="preserve"> 'WK2013'!EY102</f>
        <v>11595.087915199998</v>
      </c>
      <c r="BI92" s="50">
        <f xml:space="preserve"> 'WK2013'!EZ102</f>
        <v>9565.3254687999997</v>
      </c>
      <c r="BJ92" s="50">
        <f xml:space="preserve"> 'WK2013'!FA102</f>
        <v>11595.087915199998</v>
      </c>
      <c r="BK92" s="50">
        <f xml:space="preserve"> 'WK2013'!FB102</f>
        <v>9565.3254687999997</v>
      </c>
      <c r="BL92" s="61">
        <f xml:space="preserve"> 'WK2013'!EW102</f>
        <v>0.35542919434831677</v>
      </c>
      <c r="BN92" s="50">
        <f xml:space="preserve"> 'WK2013'!FI102</f>
        <v>9305.0488767999996</v>
      </c>
      <c r="BO92" s="50">
        <f xml:space="preserve"> 'WK2013'!FJ102</f>
        <v>7886.6371340000005</v>
      </c>
      <c r="BP92" s="50">
        <f xml:space="preserve"> 'WK2013'!FM102</f>
        <v>9305.0488767999996</v>
      </c>
      <c r="BQ92" s="50">
        <f xml:space="preserve"> 'WK2013'!FN102</f>
        <v>7886.6371340000005</v>
      </c>
      <c r="BR92" s="50">
        <f xml:space="preserve"> 'WK2013'!FO102</f>
        <v>9305.0488767999996</v>
      </c>
      <c r="BS92" s="50">
        <f xml:space="preserve"> 'WK2013'!FP102</f>
        <v>7886.6371340000005</v>
      </c>
      <c r="BT92" s="61">
        <f xml:space="preserve"> 'WK2013'!FK102</f>
        <v>0.35999113647440328</v>
      </c>
      <c r="BV92" s="50">
        <f xml:space="preserve"> 'WK2013'!FW102</f>
        <v>415.21973779999996</v>
      </c>
      <c r="BW92" s="50">
        <f xml:space="preserve"> 'WK2013'!FX102</f>
        <v>307.08372120000001</v>
      </c>
      <c r="BX92" s="50">
        <f xml:space="preserve"> 'WK2013'!GA102</f>
        <v>415.21973779999996</v>
      </c>
      <c r="BY92" s="50">
        <f xml:space="preserve"> 'WK2013'!GB102</f>
        <v>307.08372120000001</v>
      </c>
      <c r="BZ92" s="50">
        <f xml:space="preserve"> 'WK2013'!GC102</f>
        <v>415.21973779999996</v>
      </c>
      <c r="CA92" s="50">
        <f xml:space="preserve"> 'WK2013'!GD102</f>
        <v>307.08372120000001</v>
      </c>
      <c r="CB92" s="61">
        <f xml:space="preserve"> 'WK2013'!FY102</f>
        <v>0.35467118858040236</v>
      </c>
      <c r="CD92" s="50">
        <f xml:space="preserve"> 'WK2013'!GK102</f>
        <v>1848.9786682500005</v>
      </c>
      <c r="CE92" s="50">
        <f xml:space="preserve"> 'WK2013'!GL102</f>
        <v>1338.3908595000003</v>
      </c>
      <c r="CF92" s="50">
        <f xml:space="preserve"> 'WK2013'!GO102</f>
        <v>1848.9786682500005</v>
      </c>
      <c r="CG92" s="50">
        <f xml:space="preserve"> 'WK2013'!GP102</f>
        <v>1338.3908595000003</v>
      </c>
      <c r="CH92" s="50">
        <f xml:space="preserve"> 'WK2013'!GQ102</f>
        <v>1848.9786682500005</v>
      </c>
      <c r="CI92" s="50">
        <f xml:space="preserve"> 'WK2013'!GR102</f>
        <v>1338.3908595000003</v>
      </c>
      <c r="CJ92" s="61">
        <f xml:space="preserve"> 'WK2013'!GM102</f>
        <v>0.35534831260851862</v>
      </c>
      <c r="CN92" s="50">
        <f xml:space="preserve"> 'WK2014'!EG102</f>
        <v>13556.601576399999</v>
      </c>
      <c r="CO92" s="50">
        <f xml:space="preserve"> 'WK2014'!EH102</f>
        <v>11083.7188976</v>
      </c>
      <c r="CP92" s="50">
        <f xml:space="preserve"> 'WK2014'!EK102</f>
        <v>13556.601585783965</v>
      </c>
      <c r="CQ92" s="50">
        <f xml:space="preserve"> 'WK2014'!EL102</f>
        <v>11083.718885383963</v>
      </c>
      <c r="CR92" s="50">
        <f xml:space="preserve"> 'WK2014'!EM102</f>
        <v>13556.601576399999</v>
      </c>
      <c r="CS92" s="50">
        <f xml:space="preserve"> 'WK2014'!EN102</f>
        <v>11083.718875999999</v>
      </c>
      <c r="CT92" s="61">
        <f xml:space="preserve"> 'WK2014'!EI102</f>
        <v>0.37120663386107533</v>
      </c>
      <c r="CV92" s="50">
        <f xml:space="preserve"> 'WK2014'!EU102</f>
        <v>10775.1413856</v>
      </c>
      <c r="CW92" s="50">
        <f xml:space="preserve"> 'WK2014'!EV102</f>
        <v>8480.1366944000001</v>
      </c>
      <c r="CX92" s="50">
        <f xml:space="preserve"> 'WK2014'!EY102</f>
        <v>10775.141393810969</v>
      </c>
      <c r="CY92" s="50">
        <f xml:space="preserve"> 'WK2014'!EZ102</f>
        <v>8480.136683710969</v>
      </c>
      <c r="CZ92" s="50">
        <f xml:space="preserve"> 'WK2014'!FA102</f>
        <v>10775.1413856</v>
      </c>
      <c r="DA92" s="50">
        <f xml:space="preserve"> 'WK2014'!FB102</f>
        <v>8480.1366754999999</v>
      </c>
      <c r="DB92" s="61">
        <f xml:space="preserve"> 'WK2014'!EW102</f>
        <v>0.37132927419903516</v>
      </c>
      <c r="DC92" s="1"/>
      <c r="DD92" s="50">
        <f xml:space="preserve"> 'WK2014'!FI102</f>
        <v>8757.2470255999997</v>
      </c>
      <c r="DE92" s="50">
        <f xml:space="preserve"> 'WK2014'!FJ102</f>
        <v>7229.5836994000001</v>
      </c>
      <c r="DF92" s="50">
        <f xml:space="preserve"> 'WK2014'!FM102</f>
        <v>8757.2470255999997</v>
      </c>
      <c r="DG92" s="50">
        <f xml:space="preserve"> 'WK2014'!FN102</f>
        <v>7229.5836994000001</v>
      </c>
      <c r="DH92" s="50">
        <f xml:space="preserve"> 'WK2014'!FO102</f>
        <v>8757.2470255999997</v>
      </c>
      <c r="DI92" s="50">
        <f xml:space="preserve"> 'WK2014'!FP102</f>
        <v>7229.5836994000001</v>
      </c>
      <c r="DJ92" s="61">
        <f xml:space="preserve"> 'WK2014'!FK102</f>
        <v>0.36990053521909683</v>
      </c>
      <c r="DK92" s="1"/>
      <c r="DL92" s="50">
        <f xml:space="preserve"> 'WK2014'!FW102</f>
        <v>410.8725384</v>
      </c>
      <c r="DM92" s="50">
        <f xml:space="preserve"> 'WK2014'!FX102</f>
        <v>309.29143760000005</v>
      </c>
      <c r="DN92" s="50">
        <f xml:space="preserve"> 'WK2014'!GA102</f>
        <v>410.8725477839651</v>
      </c>
      <c r="DO92" s="50">
        <f xml:space="preserve"> 'WK2014'!GB102</f>
        <v>309.29142538396519</v>
      </c>
      <c r="DP92" s="50">
        <f xml:space="preserve"> 'WK2014'!GC102</f>
        <v>410.8725384</v>
      </c>
      <c r="DQ92" s="50">
        <f xml:space="preserve"> 'WK2014'!GD102</f>
        <v>309.29141600000008</v>
      </c>
      <c r="DR92" s="61">
        <f xml:space="preserve"> 'WK2014'!FY102</f>
        <v>0.37449778472815964</v>
      </c>
      <c r="DS92" s="1"/>
      <c r="DT92" s="50">
        <f xml:space="preserve"> 'WK2014'!GK102</f>
        <v>2632.1112389999998</v>
      </c>
      <c r="DU92" s="50">
        <f xml:space="preserve"> 'WK2014'!GL102</f>
        <v>2045.6212620000006</v>
      </c>
      <c r="DV92" s="50">
        <f xml:space="preserve"> 'WK2014'!GO102</f>
        <v>2632.1112389999998</v>
      </c>
      <c r="DW92" s="50">
        <f xml:space="preserve"> 'WK2014'!GP102</f>
        <v>2045.6212620000006</v>
      </c>
      <c r="DX92" s="50">
        <f xml:space="preserve"> 'WK2014'!GQ102</f>
        <v>2632.1112389999998</v>
      </c>
      <c r="DY92" s="50">
        <f xml:space="preserve"> 'WK2014'!GR102</f>
        <v>2045.6212620000006</v>
      </c>
      <c r="DZ92" s="61">
        <f xml:space="preserve"> 'WK2014'!GM102</f>
        <v>0.37411198541690988</v>
      </c>
      <c r="ED92" s="50">
        <f xml:space="preserve"> 'WK2015'!EG102</f>
        <v>12633.605238999999</v>
      </c>
      <c r="EE92" s="50">
        <f xml:space="preserve"> 'WK2015'!EH102</f>
        <v>10170.184559199999</v>
      </c>
      <c r="EF92" s="50">
        <f xml:space="preserve"> 'WK2015'!EK102</f>
        <v>12633.605238999999</v>
      </c>
      <c r="EG92" s="50">
        <f xml:space="preserve"> 'WK2015'!EL102</f>
        <v>10170.184559199999</v>
      </c>
      <c r="EH92" s="50">
        <f xml:space="preserve"> 'WK2015'!EM102</f>
        <v>12633.605238999999</v>
      </c>
      <c r="EI92" s="50">
        <f xml:space="preserve"> 'WK2015'!EN102</f>
        <v>10170.184559199999</v>
      </c>
      <c r="EJ92" s="61">
        <f xml:space="preserve"> 'WK2015'!EI102</f>
        <v>0.36760996572887872</v>
      </c>
      <c r="EK92" s="1"/>
      <c r="EL92" s="50">
        <f xml:space="preserve"> 'WK2015'!EU102</f>
        <v>11979.094677500003</v>
      </c>
      <c r="EM92" s="50">
        <f xml:space="preserve"> 'WK2015'!EV102</f>
        <v>9653.2841332999997</v>
      </c>
      <c r="EN92" s="50">
        <f xml:space="preserve"> 'WK2015'!EY102</f>
        <v>11979.094677500003</v>
      </c>
      <c r="EO92" s="50">
        <f xml:space="preserve"> 'WK2015'!EZ102</f>
        <v>9653.2841332999997</v>
      </c>
      <c r="EP92" s="50">
        <f xml:space="preserve"> 'WK2015'!FA102</f>
        <v>11979.094677500003</v>
      </c>
      <c r="EQ92" s="50">
        <f xml:space="preserve"> 'WK2015'!FB102</f>
        <v>9653.2841332999997</v>
      </c>
      <c r="ER92" s="61">
        <f xml:space="preserve"> 'WK2015'!EW102</f>
        <v>0.35879270052544254</v>
      </c>
      <c r="ES92" s="1"/>
      <c r="ET92" s="50">
        <f xml:space="preserve"> 'WK2015'!FI102</f>
        <v>10600.253767800001</v>
      </c>
      <c r="EU92" s="50">
        <f xml:space="preserve"> 'WK2015'!FJ102</f>
        <v>8479.4792325999988</v>
      </c>
      <c r="EV92" s="50">
        <f xml:space="preserve"> 'WK2015'!FM102</f>
        <v>10600.253767800001</v>
      </c>
      <c r="EW92" s="50">
        <f xml:space="preserve"> 'WK2015'!FN102</f>
        <v>8479.4792325999988</v>
      </c>
      <c r="EX92" s="50">
        <f xml:space="preserve"> 'WK2015'!FO102</f>
        <v>10600.253767800001</v>
      </c>
      <c r="EY92" s="50">
        <f xml:space="preserve"> 'WK2015'!FP102</f>
        <v>8479.4792325999988</v>
      </c>
      <c r="EZ92" s="61">
        <f xml:space="preserve"> 'WK2015'!FK102</f>
        <v>0.37942431923623471</v>
      </c>
      <c r="FA92" s="1"/>
      <c r="FB92" s="50">
        <f xml:space="preserve"> 'WK2015'!FW102</f>
        <v>445.99236400000007</v>
      </c>
      <c r="FC92" s="50">
        <f xml:space="preserve"> 'WK2015'!FX102</f>
        <v>358.09101319999996</v>
      </c>
      <c r="FD92" s="50">
        <f xml:space="preserve"> 'WK2015'!GA102</f>
        <v>445.99236400000007</v>
      </c>
      <c r="FE92" s="50">
        <f xml:space="preserve"> 'WK2015'!GB102</f>
        <v>358.09101319999996</v>
      </c>
      <c r="FF92" s="50">
        <f xml:space="preserve"> 'WK2015'!GC102</f>
        <v>445.99236400000007</v>
      </c>
      <c r="FG92" s="50">
        <f xml:space="preserve"> 'WK2015'!GD102</f>
        <v>358.09101319999996</v>
      </c>
      <c r="FH92" s="61">
        <f xml:space="preserve"> 'WK2015'!FY102</f>
        <v>0.36198304714784635</v>
      </c>
      <c r="FI92" s="1"/>
      <c r="FJ92" s="50">
        <f xml:space="preserve"> 'WK2015'!GK102</f>
        <v>1778.2578494999998</v>
      </c>
      <c r="FK92" s="50">
        <f xml:space="preserve"> 'WK2015'!GL102</f>
        <v>1467.2247795000005</v>
      </c>
      <c r="FL92" s="50">
        <f xml:space="preserve"> 'WK2015'!GO102</f>
        <v>1778.2578494999998</v>
      </c>
      <c r="FM92" s="50">
        <f xml:space="preserve"> 'WK2015'!GP102</f>
        <v>1467.2247795000005</v>
      </c>
      <c r="FN92" s="50">
        <f xml:space="preserve"> 'WK2015'!GQ102</f>
        <v>1778.2578494999998</v>
      </c>
      <c r="FO92" s="50">
        <f xml:space="preserve"> 'WK2015'!GR102</f>
        <v>1467.2247795000005</v>
      </c>
      <c r="FP92" s="61">
        <f xml:space="preserve"> 'WK2015'!GM102</f>
        <v>0.39387707973853542</v>
      </c>
      <c r="FS92" s="283">
        <f xml:space="preserve"> 'WK2015'!H102</f>
        <v>6115.5928649999996</v>
      </c>
      <c r="FT92" s="283">
        <f xml:space="preserve"> 'WK2015'!I102</f>
        <v>5231.5843700000005</v>
      </c>
      <c r="FU92" s="283">
        <f xml:space="preserve"> 'WK2015'!L102</f>
        <v>6115.5928649999996</v>
      </c>
      <c r="FV92" s="283">
        <f xml:space="preserve"> 'WK2015'!M102</f>
        <v>5231.5843700000005</v>
      </c>
      <c r="FW92" s="283">
        <f xml:space="preserve"> 'WK2015'!N102</f>
        <v>6115.5928649999996</v>
      </c>
      <c r="FX92" s="283">
        <f xml:space="preserve"> 'WK2015'!O102</f>
        <v>5231.5843700000005</v>
      </c>
      <c r="FY92" s="284">
        <f xml:space="preserve"> 'WK2015'!P102</f>
        <v>0.36492963174201903</v>
      </c>
      <c r="GA92" s="283">
        <f xml:space="preserve"> 'WK2015'!HB102</f>
        <v>5811.4092780000001</v>
      </c>
      <c r="GB92" s="283">
        <f xml:space="preserve"> 'WK2015'!HC102</f>
        <v>5256.625634</v>
      </c>
      <c r="GC92" s="283">
        <f xml:space="preserve"> 'WK2015'!HF102</f>
        <v>5811.4092780000001</v>
      </c>
      <c r="GD92" s="283">
        <f xml:space="preserve"> 'WK2015'!HG102</f>
        <v>5256.625634</v>
      </c>
      <c r="GE92" s="283">
        <f xml:space="preserve"> 'WK2015'!HH102</f>
        <v>5811.4092780000001</v>
      </c>
      <c r="GF92" s="283">
        <f xml:space="preserve"> 'WK2015'!HI102</f>
        <v>5256.625634</v>
      </c>
      <c r="GG92" s="284">
        <f xml:space="preserve"> 'WK2015'!HJ102</f>
        <v>0.47634462117990489</v>
      </c>
      <c r="GI92" s="283">
        <f xml:space="preserve"> 'WK2015'!HQ102</f>
        <v>6053.8985499999999</v>
      </c>
      <c r="GJ92" s="283">
        <f xml:space="preserve"> 'WK2015'!HR102</f>
        <v>5386.8313799999996</v>
      </c>
      <c r="GK92" s="283">
        <f xml:space="preserve"> 'WK2015'!HU102</f>
        <v>6053.8985499999999</v>
      </c>
      <c r="GL92" s="283">
        <f xml:space="preserve"> 'WK2015'!HV102</f>
        <v>5386.8313799999996</v>
      </c>
      <c r="GM92" s="283">
        <f xml:space="preserve"> 'WK2015'!HW102</f>
        <v>6053.8985499999999</v>
      </c>
      <c r="GN92" s="283">
        <f xml:space="preserve"> 'WK2015'!HX102</f>
        <v>5386.8313799999996</v>
      </c>
      <c r="GO92" s="284">
        <f xml:space="preserve"> 'WK2015'!HY102</f>
        <v>0.37967233974868775</v>
      </c>
    </row>
    <row r="93" spans="1:197" x14ac:dyDescent="0.2">
      <c r="A93" s="3">
        <f>Basis!A93</f>
        <v>93</v>
      </c>
      <c r="D93" s="252" t="e">
        <v>#N/A</v>
      </c>
      <c r="E93" s="252" t="e">
        <v>#N/A</v>
      </c>
      <c r="H93" s="50">
        <f xml:space="preserve"> 'WK2012'!EG103</f>
        <v>12292.434899365249</v>
      </c>
      <c r="I93" s="50">
        <f xml:space="preserve"> 'WK2012'!EH103</f>
        <v>10294.238645808704</v>
      </c>
      <c r="J93" s="50">
        <f xml:space="preserve"> 'WK2012'!EK103</f>
        <v>12292.434899365249</v>
      </c>
      <c r="K93" s="50">
        <f xml:space="preserve"> 'WK2012'!EL103</f>
        <v>10294.238645808704</v>
      </c>
      <c r="L93" s="50">
        <f xml:space="preserve"> 'WK2012'!EM103</f>
        <v>12292.434899365249</v>
      </c>
      <c r="M93" s="50">
        <f xml:space="preserve"> 'WK2012'!EN103</f>
        <v>10294.238645808704</v>
      </c>
      <c r="N93" s="61">
        <f xml:space="preserve"> 'WK2012'!EI103</f>
        <v>0.36741821525368629</v>
      </c>
      <c r="P93" s="50">
        <f xml:space="preserve"> 'WK2012'!EU103</f>
        <v>10973.340982973705</v>
      </c>
      <c r="Q93" s="50">
        <f xml:space="preserve"> 'WK2012'!EV103</f>
        <v>9435.0839205556113</v>
      </c>
      <c r="R93" s="50">
        <f xml:space="preserve"> 'WK2012'!EY103</f>
        <v>10973.340982973705</v>
      </c>
      <c r="S93" s="50">
        <f xml:space="preserve"> 'WK2012'!EZ103</f>
        <v>9435.0839205556113</v>
      </c>
      <c r="T93" s="50">
        <f xml:space="preserve"> 'WK2012'!FA103</f>
        <v>10973.340982973705</v>
      </c>
      <c r="U93" s="50">
        <f xml:space="preserve"> 'WK2012'!FB103</f>
        <v>9435.0839205556113</v>
      </c>
      <c r="V93" s="61">
        <f xml:space="preserve"> 'WK2012'!EW103</f>
        <v>0.39472873788269508</v>
      </c>
      <c r="X93" s="50">
        <f xml:space="preserve"> 'WK2012'!FI103</f>
        <v>8279.6379844213643</v>
      </c>
      <c r="Y93" s="50">
        <f xml:space="preserve"> 'WK2012'!FJ103</f>
        <v>7045.919200043365</v>
      </c>
      <c r="Z93" s="50">
        <f xml:space="preserve"> 'WK2012'!FM103</f>
        <v>8279.6379844213643</v>
      </c>
      <c r="AA93" s="50">
        <f xml:space="preserve"> 'WK2012'!FN103</f>
        <v>7045.919200043365</v>
      </c>
      <c r="AB93" s="50">
        <f xml:space="preserve"> 'WK2012'!FO103</f>
        <v>8279.6379844213643</v>
      </c>
      <c r="AC93" s="50">
        <f xml:space="preserve"> 'WK2012'!FP103</f>
        <v>7045.919200043365</v>
      </c>
      <c r="AD93" s="61">
        <f xml:space="preserve"> 'WK2012'!FK103</f>
        <v>0.41313954532468067</v>
      </c>
      <c r="AF93" s="50">
        <f xml:space="preserve"> 'WK2012'!FW103</f>
        <v>1763.3403691300198</v>
      </c>
      <c r="AG93" s="50">
        <f xml:space="preserve"> 'WK2012'!FX103</f>
        <v>1080.1980914381786</v>
      </c>
      <c r="AH93" s="50">
        <f xml:space="preserve"> 'WK2012'!GA103</f>
        <v>1763.3403691300198</v>
      </c>
      <c r="AI93" s="50">
        <f xml:space="preserve"> 'WK2012'!GB103</f>
        <v>1080.1980914381786</v>
      </c>
      <c r="AJ93" s="50">
        <f xml:space="preserve"> 'WK2012'!GC103</f>
        <v>1763.3403691300198</v>
      </c>
      <c r="AK93" s="50">
        <f xml:space="preserve"> 'WK2012'!GD103</f>
        <v>1080.1980914381786</v>
      </c>
      <c r="AL93" s="61">
        <f xml:space="preserve"> 'WK2012'!FY103</f>
        <v>0.36180260744638887</v>
      </c>
      <c r="AN93" s="50">
        <f xml:space="preserve"> 'WK2012'!GK103</f>
        <v>270.92399826619811</v>
      </c>
      <c r="AO93" s="50">
        <f xml:space="preserve"> 'WK2012'!GL103</f>
        <v>205.1313946626419</v>
      </c>
      <c r="AP93" s="50">
        <f xml:space="preserve"> 'WK2012'!GO103</f>
        <v>270.92399826619811</v>
      </c>
      <c r="AQ93" s="50">
        <f xml:space="preserve"> 'WK2012'!GP103</f>
        <v>205.1313946626419</v>
      </c>
      <c r="AR93" s="50">
        <f xml:space="preserve"> 'WK2012'!GQ103</f>
        <v>270.92399826619811</v>
      </c>
      <c r="AS93" s="50">
        <f xml:space="preserve"> 'WK2012'!GR103</f>
        <v>205.1313946626419</v>
      </c>
      <c r="AT93" s="61">
        <f xml:space="preserve"> 'WK2012'!GM103</f>
        <v>0.43060581557688898</v>
      </c>
      <c r="AX93" s="50">
        <f xml:space="preserve"> 'WK2013'!EG103</f>
        <v>13572.0097176</v>
      </c>
      <c r="AY93" s="50">
        <f xml:space="preserve"> 'WK2013'!EH103</f>
        <v>10978.104008600001</v>
      </c>
      <c r="AZ93" s="50">
        <f xml:space="preserve"> 'WK2013'!EK103</f>
        <v>13572.0097176</v>
      </c>
      <c r="BA93" s="50">
        <f xml:space="preserve"> 'WK2013'!EL103</f>
        <v>10978.104008600001</v>
      </c>
      <c r="BB93" s="50">
        <f xml:space="preserve"> 'WK2013'!EM103</f>
        <v>13572.0097176</v>
      </c>
      <c r="BC93" s="50">
        <f xml:space="preserve"> 'WK2013'!EN103</f>
        <v>10978.104008600001</v>
      </c>
      <c r="BD93" s="61">
        <f xml:space="preserve"> 'WK2013'!EI103</f>
        <v>0.3283343297020761</v>
      </c>
      <c r="BF93" s="50">
        <f xml:space="preserve"> 'WK2013'!EU103</f>
        <v>11611.429215899998</v>
      </c>
      <c r="BG93" s="50">
        <f xml:space="preserve"> 'WK2013'!EV103</f>
        <v>9572.6466404000021</v>
      </c>
      <c r="BH93" s="50">
        <f xml:space="preserve"> 'WK2013'!EY103</f>
        <v>11611.429215899998</v>
      </c>
      <c r="BI93" s="50">
        <f xml:space="preserve"> 'WK2013'!EZ103</f>
        <v>9572.6466404000021</v>
      </c>
      <c r="BJ93" s="50">
        <f xml:space="preserve"> 'WK2013'!FA103</f>
        <v>11611.429215899998</v>
      </c>
      <c r="BK93" s="50">
        <f xml:space="preserve"> 'WK2013'!FB103</f>
        <v>9572.6466404000021</v>
      </c>
      <c r="BL93" s="61">
        <f xml:space="preserve"> 'WK2013'!EW103</f>
        <v>0.34495723602422496</v>
      </c>
      <c r="BN93" s="50">
        <f xml:space="preserve"> 'WK2013'!FI103</f>
        <v>9358.6956176000003</v>
      </c>
      <c r="BO93" s="50">
        <f xml:space="preserve"> 'WK2013'!FJ103</f>
        <v>7887.7641050000002</v>
      </c>
      <c r="BP93" s="50">
        <f xml:space="preserve"> 'WK2013'!FM103</f>
        <v>9358.6956176000003</v>
      </c>
      <c r="BQ93" s="50">
        <f xml:space="preserve"> 'WK2013'!FN103</f>
        <v>7887.7641050000002</v>
      </c>
      <c r="BR93" s="50">
        <f xml:space="preserve"> 'WK2013'!FO103</f>
        <v>9358.6956176000003</v>
      </c>
      <c r="BS93" s="50">
        <f xml:space="preserve"> 'WK2013'!FP103</f>
        <v>7887.7641050000002</v>
      </c>
      <c r="BT93" s="61">
        <f xml:space="preserve"> 'WK2013'!FK103</f>
        <v>0.3443155166187738</v>
      </c>
      <c r="BV93" s="50">
        <f xml:space="preserve"> 'WK2013'!FW103</f>
        <v>387.08202560000001</v>
      </c>
      <c r="BW93" s="50">
        <f xml:space="preserve"> 'WK2013'!FX103</f>
        <v>276.42539260000001</v>
      </c>
      <c r="BX93" s="50">
        <f xml:space="preserve"> 'WK2013'!GA103</f>
        <v>387.08202560000001</v>
      </c>
      <c r="BY93" s="50">
        <f xml:space="preserve"> 'WK2013'!GB103</f>
        <v>276.42539260000001</v>
      </c>
      <c r="BZ93" s="50">
        <f xml:space="preserve"> 'WK2013'!GC103</f>
        <v>387.08202560000001</v>
      </c>
      <c r="CA93" s="50">
        <f xml:space="preserve"> 'WK2013'!GD103</f>
        <v>276.42539260000001</v>
      </c>
      <c r="CB93" s="61">
        <f xml:space="preserve"> 'WK2013'!FY103</f>
        <v>0.35382548090890481</v>
      </c>
      <c r="CD93" s="50">
        <f xml:space="preserve"> 'WK2013'!GK103</f>
        <v>1879.0513125</v>
      </c>
      <c r="CE93" s="50">
        <f xml:space="preserve"> 'WK2013'!GL103</f>
        <v>1338.3908595000003</v>
      </c>
      <c r="CF93" s="50">
        <f xml:space="preserve"> 'WK2013'!GO103</f>
        <v>1879.0513125</v>
      </c>
      <c r="CG93" s="50">
        <f xml:space="preserve"> 'WK2013'!GP103</f>
        <v>1338.3908595000003</v>
      </c>
      <c r="CH93" s="50">
        <f xml:space="preserve"> 'WK2013'!GQ103</f>
        <v>1879.0513125</v>
      </c>
      <c r="CI93" s="50">
        <f xml:space="preserve"> 'WK2013'!GR103</f>
        <v>1338.3908595000003</v>
      </c>
      <c r="CJ93" s="61">
        <f xml:space="preserve"> 'WK2013'!GM103</f>
        <v>0.34663574321626828</v>
      </c>
      <c r="CN93" s="50">
        <f xml:space="preserve"> 'WK2014'!EG103</f>
        <v>13688.058469599999</v>
      </c>
      <c r="CO93" s="50">
        <f xml:space="preserve"> 'WK2014'!EH103</f>
        <v>11113.030683200001</v>
      </c>
      <c r="CP93" s="50">
        <f xml:space="preserve"> 'WK2014'!EK103</f>
        <v>13688.058478801908</v>
      </c>
      <c r="CQ93" s="50">
        <f xml:space="preserve"> 'WK2014'!EL103</f>
        <v>11113.030670801909</v>
      </c>
      <c r="CR93" s="50">
        <f xml:space="preserve"> 'WK2014'!EM103</f>
        <v>13688.058469599999</v>
      </c>
      <c r="CS93" s="50">
        <f xml:space="preserve"> 'WK2014'!EN103</f>
        <v>11113.0306616</v>
      </c>
      <c r="CT93" s="61">
        <f xml:space="preserve"> 'WK2014'!EI103</f>
        <v>0.3349047297112725</v>
      </c>
      <c r="CV93" s="50">
        <f xml:space="preserve"> 'WK2014'!EU103</f>
        <v>10788.1600134</v>
      </c>
      <c r="CW93" s="50">
        <f xml:space="preserve"> 'WK2014'!EV103</f>
        <v>8490.6828858000008</v>
      </c>
      <c r="CX93" s="50">
        <f xml:space="preserve"> 'WK2014'!EY103</f>
        <v>10788.160021451669</v>
      </c>
      <c r="CY93" s="50">
        <f xml:space="preserve"> 'WK2014'!EZ103</f>
        <v>8490.6828749516717</v>
      </c>
      <c r="CZ93" s="50">
        <f xml:space="preserve"> 'WK2014'!FA103</f>
        <v>10788.1600134</v>
      </c>
      <c r="DA93" s="50">
        <f xml:space="preserve"> 'WK2014'!FB103</f>
        <v>8490.6828669000006</v>
      </c>
      <c r="DB93" s="61">
        <f xml:space="preserve"> 'WK2014'!EW103</f>
        <v>0.33273266074508023</v>
      </c>
      <c r="DC93" s="1"/>
      <c r="DD93" s="50">
        <f xml:space="preserve"> 'WK2014'!FI103</f>
        <v>8832.3760735999986</v>
      </c>
      <c r="DE93" s="50">
        <f xml:space="preserve"> 'WK2014'!FJ103</f>
        <v>7253.9038624000004</v>
      </c>
      <c r="DF93" s="50">
        <f xml:space="preserve"> 'WK2014'!FM103</f>
        <v>8832.3760735999986</v>
      </c>
      <c r="DG93" s="50">
        <f xml:space="preserve"> 'WK2014'!FN103</f>
        <v>7253.9038624000004</v>
      </c>
      <c r="DH93" s="50">
        <f xml:space="preserve"> 'WK2014'!FO103</f>
        <v>8832.3760735999986</v>
      </c>
      <c r="DI93" s="50">
        <f xml:space="preserve"> 'WK2014'!FP103</f>
        <v>7253.9038624000004</v>
      </c>
      <c r="DJ93" s="61">
        <f xml:space="preserve"> 'WK2014'!FK103</f>
        <v>0.35334305682945755</v>
      </c>
      <c r="DK93" s="1"/>
      <c r="DL93" s="50">
        <f xml:space="preserve"> 'WK2014'!FW103</f>
        <v>384.30810959999997</v>
      </c>
      <c r="DM93" s="50">
        <f xml:space="preserve"> 'WK2014'!FX103</f>
        <v>279.77762320000005</v>
      </c>
      <c r="DN93" s="50">
        <f xml:space="preserve"> 'WK2014'!GA103</f>
        <v>384.30811880190902</v>
      </c>
      <c r="DO93" s="50">
        <f xml:space="preserve"> 'WK2014'!GB103</f>
        <v>279.77761080190902</v>
      </c>
      <c r="DP93" s="50">
        <f xml:space="preserve"> 'WK2014'!GC103</f>
        <v>384.30810959999997</v>
      </c>
      <c r="DQ93" s="50">
        <f xml:space="preserve"> 'WK2014'!GD103</f>
        <v>279.77760160000003</v>
      </c>
      <c r="DR93" s="61">
        <f xml:space="preserve"> 'WK2014'!FY103</f>
        <v>0.33770299923511582</v>
      </c>
      <c r="DS93" s="1"/>
      <c r="DT93" s="50">
        <f xml:space="preserve"> 'WK2014'!GK103</f>
        <v>2657.1106830000003</v>
      </c>
      <c r="DU93" s="50">
        <f xml:space="preserve"> 'WK2014'!GL103</f>
        <v>2045.6212620000006</v>
      </c>
      <c r="DV93" s="50">
        <f xml:space="preserve"> 'WK2014'!GO103</f>
        <v>2657.1106830000003</v>
      </c>
      <c r="DW93" s="50">
        <f xml:space="preserve"> 'WK2014'!GP103</f>
        <v>2045.6212620000006</v>
      </c>
      <c r="DX93" s="50">
        <f xml:space="preserve"> 'WK2014'!GQ103</f>
        <v>2657.1106830000003</v>
      </c>
      <c r="DY93" s="50">
        <f xml:space="preserve"> 'WK2014'!GR103</f>
        <v>2045.6212620000006</v>
      </c>
      <c r="DZ93" s="61">
        <f xml:space="preserve"> 'WK2014'!GM103</f>
        <v>0.35456656098297479</v>
      </c>
      <c r="ED93" s="50">
        <f xml:space="preserve"> 'WK2015'!EG103</f>
        <v>12713.372553399999</v>
      </c>
      <c r="EE93" s="50">
        <f xml:space="preserve"> 'WK2015'!EH103</f>
        <v>10178.713757200001</v>
      </c>
      <c r="EF93" s="50">
        <f xml:space="preserve"> 'WK2015'!EK103</f>
        <v>12713.372553399999</v>
      </c>
      <c r="EG93" s="50">
        <f xml:space="preserve"> 'WK2015'!EL103</f>
        <v>10178.713757200001</v>
      </c>
      <c r="EH93" s="50">
        <f xml:space="preserve"> 'WK2015'!EM103</f>
        <v>12713.372553399999</v>
      </c>
      <c r="EI93" s="50">
        <f xml:space="preserve"> 'WK2015'!EN103</f>
        <v>10178.713757200001</v>
      </c>
      <c r="EJ93" s="61">
        <f xml:space="preserve"> 'WK2015'!EI103</f>
        <v>0.37013524248217139</v>
      </c>
      <c r="EK93" s="1"/>
      <c r="EL93" s="50">
        <f xml:space="preserve"> 'WK2015'!EU103</f>
        <v>11989.594111100001</v>
      </c>
      <c r="EM93" s="50">
        <f xml:space="preserve"> 'WK2015'!EV103</f>
        <v>9663.1415973000003</v>
      </c>
      <c r="EN93" s="50">
        <f xml:space="preserve"> 'WK2015'!EY103</f>
        <v>11989.594111100001</v>
      </c>
      <c r="EO93" s="50">
        <f xml:space="preserve"> 'WK2015'!EZ103</f>
        <v>9663.1415973000003</v>
      </c>
      <c r="EP93" s="50">
        <f xml:space="preserve"> 'WK2015'!FA103</f>
        <v>11989.594111100001</v>
      </c>
      <c r="EQ93" s="50">
        <f xml:space="preserve"> 'WK2015'!FB103</f>
        <v>9663.1415973000003</v>
      </c>
      <c r="ER93" s="61">
        <f xml:space="preserve"> 'WK2015'!EW103</f>
        <v>0.37373894802781316</v>
      </c>
      <c r="ES93" s="1"/>
      <c r="ET93" s="50">
        <f xml:space="preserve"> 'WK2015'!FI103</f>
        <v>10664.6912562</v>
      </c>
      <c r="EU93" s="50">
        <f xml:space="preserve"> 'WK2015'!FJ103</f>
        <v>8508.7260835999987</v>
      </c>
      <c r="EV93" s="50">
        <f xml:space="preserve"> 'WK2015'!FM103</f>
        <v>10664.6912562</v>
      </c>
      <c r="EW93" s="50">
        <f xml:space="preserve"> 'WK2015'!FN103</f>
        <v>8508.7260835999987</v>
      </c>
      <c r="EX93" s="50">
        <f xml:space="preserve"> 'WK2015'!FO103</f>
        <v>10664.6912562</v>
      </c>
      <c r="EY93" s="50">
        <f xml:space="preserve"> 'WK2015'!FP103</f>
        <v>8508.7260835999987</v>
      </c>
      <c r="EZ93" s="61">
        <f xml:space="preserve"> 'WK2015'!FK103</f>
        <v>0.36514856068895529</v>
      </c>
      <c r="FA93" s="1"/>
      <c r="FB93" s="50">
        <f xml:space="preserve"> 'WK2015'!FW103</f>
        <v>417.01057840000004</v>
      </c>
      <c r="FC93" s="50">
        <f xml:space="preserve"> 'WK2015'!FX103</f>
        <v>330.76399320000002</v>
      </c>
      <c r="FD93" s="50">
        <f xml:space="preserve"> 'WK2015'!GA103</f>
        <v>417.01057840000004</v>
      </c>
      <c r="FE93" s="50">
        <f xml:space="preserve"> 'WK2015'!GB103</f>
        <v>330.76399320000002</v>
      </c>
      <c r="FF93" s="50">
        <f xml:space="preserve"> 'WK2015'!GC103</f>
        <v>417.01057840000004</v>
      </c>
      <c r="FG93" s="50">
        <f xml:space="preserve"> 'WK2015'!GD103</f>
        <v>330.76399320000002</v>
      </c>
      <c r="FH93" s="61">
        <f xml:space="preserve"> 'WK2015'!FY103</f>
        <v>0.3718520224671793</v>
      </c>
      <c r="FI93" s="1"/>
      <c r="FJ93" s="50">
        <f xml:space="preserve"> 'WK2015'!GK103</f>
        <v>1809.7490182499998</v>
      </c>
      <c r="FK93" s="50">
        <f xml:space="preserve"> 'WK2015'!GL103</f>
        <v>1467.2247795000005</v>
      </c>
      <c r="FL93" s="50">
        <f xml:space="preserve"> 'WK2015'!GO103</f>
        <v>1809.7490182499998</v>
      </c>
      <c r="FM93" s="50">
        <f xml:space="preserve"> 'WK2015'!GP103</f>
        <v>1467.2247795000005</v>
      </c>
      <c r="FN93" s="50">
        <f xml:space="preserve"> 'WK2015'!GQ103</f>
        <v>1809.7490182499998</v>
      </c>
      <c r="FO93" s="50">
        <f xml:space="preserve"> 'WK2015'!GR103</f>
        <v>1467.2247795000005</v>
      </c>
      <c r="FP93" s="61">
        <f xml:space="preserve"> 'WK2015'!GM103</f>
        <v>0.37557607347953148</v>
      </c>
      <c r="FS93" s="283">
        <f xml:space="preserve"> 'WK2015'!H103</f>
        <v>6182.3537399999996</v>
      </c>
      <c r="FT93" s="283">
        <f xml:space="preserve"> 'WK2015'!I103</f>
        <v>5267.4405879999995</v>
      </c>
      <c r="FU93" s="283">
        <f xml:space="preserve"> 'WK2015'!L103</f>
        <v>6182.3537399999996</v>
      </c>
      <c r="FV93" s="283">
        <f xml:space="preserve"> 'WK2015'!M103</f>
        <v>5267.4405879999995</v>
      </c>
      <c r="FW93" s="283">
        <f xml:space="preserve"> 'WK2015'!N103</f>
        <v>6182.3537399999996</v>
      </c>
      <c r="FX93" s="283">
        <f xml:space="preserve"> 'WK2015'!O103</f>
        <v>5267.4405879999995</v>
      </c>
      <c r="FY93" s="284">
        <f xml:space="preserve"> 'WK2015'!P103</f>
        <v>0.37834963971841568</v>
      </c>
      <c r="GA93" s="283">
        <f xml:space="preserve"> 'WK2015'!HB103</f>
        <v>5876.8912410000003</v>
      </c>
      <c r="GB93" s="283">
        <f xml:space="preserve"> 'WK2015'!HC103</f>
        <v>5311.8885010000004</v>
      </c>
      <c r="GC93" s="283">
        <f xml:space="preserve"> 'WK2015'!HF103</f>
        <v>5876.8912410000003</v>
      </c>
      <c r="GD93" s="283">
        <f xml:space="preserve"> 'WK2015'!HG103</f>
        <v>5311.8885010000004</v>
      </c>
      <c r="GE93" s="283">
        <f xml:space="preserve"> 'WK2015'!HH103</f>
        <v>5876.8912410000003</v>
      </c>
      <c r="GF93" s="283">
        <f xml:space="preserve"> 'WK2015'!HI103</f>
        <v>5311.8885010000004</v>
      </c>
      <c r="GG93" s="284">
        <f xml:space="preserve"> 'WK2015'!HJ103</f>
        <v>0.42868947568183047</v>
      </c>
      <c r="GI93" s="283">
        <f xml:space="preserve"> 'WK2015'!HQ103</f>
        <v>6149.6487149999994</v>
      </c>
      <c r="GJ93" s="283">
        <f xml:space="preserve"> 'WK2015'!HR103</f>
        <v>5444.3757059999998</v>
      </c>
      <c r="GK93" s="283">
        <f xml:space="preserve"> 'WK2015'!HU103</f>
        <v>6149.6487149999994</v>
      </c>
      <c r="GL93" s="283">
        <f xml:space="preserve"> 'WK2015'!HV103</f>
        <v>5444.3757059999998</v>
      </c>
      <c r="GM93" s="283">
        <f xml:space="preserve"> 'WK2015'!HW103</f>
        <v>6149.6487149999994</v>
      </c>
      <c r="GN93" s="283">
        <f xml:space="preserve"> 'WK2015'!HX103</f>
        <v>5444.3757059999998</v>
      </c>
      <c r="GO93" s="284">
        <f xml:space="preserve"> 'WK2015'!HY103</f>
        <v>0.52703946444767824</v>
      </c>
    </row>
    <row r="94" spans="1:197" x14ac:dyDescent="0.2">
      <c r="A94" s="3">
        <f>Basis!A94</f>
        <v>94</v>
      </c>
      <c r="D94" s="252" t="e">
        <v>#N/A</v>
      </c>
      <c r="E94" s="252" t="e">
        <v>#N/A</v>
      </c>
      <c r="H94" s="50">
        <f xml:space="preserve"> 'WK2012'!EG104</f>
        <v>12421.759334773124</v>
      </c>
      <c r="I94" s="50">
        <f xml:space="preserve"> 'WK2012'!EH104</f>
        <v>10339.446324905797</v>
      </c>
      <c r="J94" s="50">
        <f xml:space="preserve"> 'WK2012'!EK104</f>
        <v>12421.759334773124</v>
      </c>
      <c r="K94" s="50">
        <f xml:space="preserve"> 'WK2012'!EL104</f>
        <v>10339.446324905797</v>
      </c>
      <c r="L94" s="50">
        <f xml:space="preserve"> 'WK2012'!EM104</f>
        <v>12421.759334773124</v>
      </c>
      <c r="M94" s="50">
        <f xml:space="preserve"> 'WK2012'!EN104</f>
        <v>10339.446324905797</v>
      </c>
      <c r="N94" s="61">
        <f xml:space="preserve"> 'WK2012'!EI104</f>
        <v>0.39003667712878154</v>
      </c>
      <c r="P94" s="50">
        <f xml:space="preserve"> 'WK2012'!EU104</f>
        <v>11061.149226978734</v>
      </c>
      <c r="Q94" s="50">
        <f xml:space="preserve"> 'WK2012'!EV104</f>
        <v>9481.5736956708588</v>
      </c>
      <c r="R94" s="50">
        <f xml:space="preserve"> 'WK2012'!EY104</f>
        <v>11061.149226978734</v>
      </c>
      <c r="S94" s="50">
        <f xml:space="preserve"> 'WK2012'!EZ104</f>
        <v>9481.5736956708588</v>
      </c>
      <c r="T94" s="50">
        <f xml:space="preserve"> 'WK2012'!FA104</f>
        <v>11061.149226978734</v>
      </c>
      <c r="U94" s="50">
        <f xml:space="preserve"> 'WK2012'!FB104</f>
        <v>9481.5736956708588</v>
      </c>
      <c r="V94" s="61">
        <f xml:space="preserve"> 'WK2012'!EW104</f>
        <v>0.38428369020267483</v>
      </c>
      <c r="X94" s="50">
        <f xml:space="preserve"> 'WK2012'!FI104</f>
        <v>8357.5401791594795</v>
      </c>
      <c r="Y94" s="50">
        <f xml:space="preserve"> 'WK2012'!FJ104</f>
        <v>7090.8549821995757</v>
      </c>
      <c r="Z94" s="50">
        <f xml:space="preserve"> 'WK2012'!FM104</f>
        <v>8357.5401791594795</v>
      </c>
      <c r="AA94" s="50">
        <f xml:space="preserve"> 'WK2012'!FN104</f>
        <v>7090.8549821995757</v>
      </c>
      <c r="AB94" s="50">
        <f xml:space="preserve"> 'WK2012'!FO104</f>
        <v>8357.5401791594795</v>
      </c>
      <c r="AC94" s="50">
        <f xml:space="preserve"> 'WK2012'!FP104</f>
        <v>7090.8549821995757</v>
      </c>
      <c r="AD94" s="61">
        <f xml:space="preserve"> 'WK2012'!FK104</f>
        <v>0.44003793122081708</v>
      </c>
      <c r="AF94" s="50">
        <f xml:space="preserve"> 'WK2012'!FW104</f>
        <v>1769.3732491300195</v>
      </c>
      <c r="AG94" s="50">
        <f xml:space="preserve"> 'WK2012'!FX104</f>
        <v>1079.5996415943582</v>
      </c>
      <c r="AH94" s="50">
        <f xml:space="preserve"> 'WK2012'!GA104</f>
        <v>1769.3732491300195</v>
      </c>
      <c r="AI94" s="50">
        <f xml:space="preserve"> 'WK2012'!GB104</f>
        <v>1079.5996415943582</v>
      </c>
      <c r="AJ94" s="50">
        <f xml:space="preserve"> 'WK2012'!GC104</f>
        <v>1769.3732491300195</v>
      </c>
      <c r="AK94" s="50">
        <f xml:space="preserve"> 'WK2012'!GD104</f>
        <v>1079.5996415943582</v>
      </c>
      <c r="AL94" s="61">
        <f xml:space="preserve"> 'WK2012'!FY104</f>
        <v>0.4468241845900715</v>
      </c>
      <c r="AN94" s="50">
        <f xml:space="preserve"> 'WK2012'!GK104</f>
        <v>252.03220233586856</v>
      </c>
      <c r="AO94" s="50">
        <f xml:space="preserve"> 'WK2012'!GL104</f>
        <v>186.11880473734942</v>
      </c>
      <c r="AP94" s="50">
        <f xml:space="preserve"> 'WK2012'!GO104</f>
        <v>252.03220233586856</v>
      </c>
      <c r="AQ94" s="50">
        <f xml:space="preserve"> 'WK2012'!GP104</f>
        <v>186.11880473734942</v>
      </c>
      <c r="AR94" s="50">
        <f xml:space="preserve"> 'WK2012'!GQ104</f>
        <v>252.03220233586856</v>
      </c>
      <c r="AS94" s="50">
        <f xml:space="preserve"> 'WK2012'!GR104</f>
        <v>186.11880473734942</v>
      </c>
      <c r="AT94" s="61">
        <f xml:space="preserve"> 'WK2012'!GM104</f>
        <v>0.36485365388667584</v>
      </c>
      <c r="AX94" s="50">
        <f xml:space="preserve"> 'WK2013'!EG104</f>
        <v>13695.8027072</v>
      </c>
      <c r="AY94" s="50">
        <f xml:space="preserve"> 'WK2013'!EH104</f>
        <v>11004.595885000001</v>
      </c>
      <c r="AZ94" s="50">
        <f xml:space="preserve"> 'WK2013'!EK104</f>
        <v>13695.8027072</v>
      </c>
      <c r="BA94" s="50">
        <f xml:space="preserve"> 'WK2013'!EL104</f>
        <v>11004.595885000001</v>
      </c>
      <c r="BB94" s="50">
        <f xml:space="preserve"> 'WK2013'!EM104</f>
        <v>13695.8027072</v>
      </c>
      <c r="BC94" s="50">
        <f xml:space="preserve"> 'WK2013'!EN104</f>
        <v>11004.595885000001</v>
      </c>
      <c r="BD94" s="61">
        <f xml:space="preserve"> 'WK2013'!EI104</f>
        <v>0.34302530868020942</v>
      </c>
      <c r="BF94" s="50">
        <f xml:space="preserve"> 'WK2013'!EU104</f>
        <v>11626.0223728</v>
      </c>
      <c r="BG94" s="50">
        <f xml:space="preserve"> 'WK2013'!EV104</f>
        <v>9578.5774959999999</v>
      </c>
      <c r="BH94" s="50">
        <f xml:space="preserve"> 'WK2013'!EY104</f>
        <v>11626.0223728</v>
      </c>
      <c r="BI94" s="50">
        <f xml:space="preserve"> 'WK2013'!EZ104</f>
        <v>9578.5774959999999</v>
      </c>
      <c r="BJ94" s="50">
        <f xml:space="preserve"> 'WK2013'!FA104</f>
        <v>11626.0223728</v>
      </c>
      <c r="BK94" s="50">
        <f xml:space="preserve"> 'WK2013'!FB104</f>
        <v>9578.5774959999999</v>
      </c>
      <c r="BL94" s="61">
        <f xml:space="preserve"> 'WK2013'!EW104</f>
        <v>0.3590002126521199</v>
      </c>
      <c r="BN94" s="50">
        <f xml:space="preserve"> 'WK2013'!FI104</f>
        <v>9411.4488029999993</v>
      </c>
      <c r="BO94" s="50">
        <f xml:space="preserve"> 'WK2013'!FJ104</f>
        <v>7885.2764090000001</v>
      </c>
      <c r="BP94" s="50">
        <f xml:space="preserve"> 'WK2013'!FM104</f>
        <v>9411.4488029999993</v>
      </c>
      <c r="BQ94" s="50">
        <f xml:space="preserve"> 'WK2013'!FN104</f>
        <v>7885.2764090000001</v>
      </c>
      <c r="BR94" s="50">
        <f xml:space="preserve"> 'WK2013'!FO104</f>
        <v>9411.4488029999993</v>
      </c>
      <c r="BS94" s="50">
        <f xml:space="preserve"> 'WK2013'!FP104</f>
        <v>7885.2764090000001</v>
      </c>
      <c r="BT94" s="61">
        <f xml:space="preserve"> 'WK2013'!FK104</f>
        <v>0.34570954278118748</v>
      </c>
      <c r="BV94" s="50">
        <f xml:space="preserve"> 'WK2013'!FW104</f>
        <v>359.32277120000003</v>
      </c>
      <c r="BW94" s="50">
        <f xml:space="preserve"> 'WK2013'!FX104</f>
        <v>246.194355</v>
      </c>
      <c r="BX94" s="50">
        <f xml:space="preserve"> 'WK2013'!GA104</f>
        <v>359.32277120000003</v>
      </c>
      <c r="BY94" s="50">
        <f xml:space="preserve"> 'WK2013'!GB104</f>
        <v>246.194355</v>
      </c>
      <c r="BZ94" s="50">
        <f xml:space="preserve"> 'WK2013'!GC104</f>
        <v>359.32277120000003</v>
      </c>
      <c r="CA94" s="50">
        <f xml:space="preserve"> 'WK2013'!GD104</f>
        <v>246.194355</v>
      </c>
      <c r="CB94" s="61">
        <f xml:space="preserve"> 'WK2013'!FY104</f>
        <v>0.35846587770788924</v>
      </c>
      <c r="CD94" s="50">
        <f xml:space="preserve"> 'WK2013'!GK104</f>
        <v>1906.6966830000003</v>
      </c>
      <c r="CE94" s="50">
        <f xml:space="preserve"> 'WK2013'!GL104</f>
        <v>1338.3908595000003</v>
      </c>
      <c r="CF94" s="50">
        <f xml:space="preserve"> 'WK2013'!GO104</f>
        <v>1906.6966830000003</v>
      </c>
      <c r="CG94" s="50">
        <f xml:space="preserve"> 'WK2013'!GP104</f>
        <v>1338.3908595000003</v>
      </c>
      <c r="CH94" s="50">
        <f xml:space="preserve"> 'WK2013'!GQ104</f>
        <v>1906.6966830000003</v>
      </c>
      <c r="CI94" s="50">
        <f xml:space="preserve"> 'WK2013'!GR104</f>
        <v>1338.3908595000003</v>
      </c>
      <c r="CJ94" s="61">
        <f xml:space="preserve"> 'WK2013'!GM104</f>
        <v>0.35875906928553108</v>
      </c>
      <c r="CN94" s="50">
        <f xml:space="preserve"> 'WK2014'!EG104</f>
        <v>13817.279112800001</v>
      </c>
      <c r="CO94" s="50">
        <f xml:space="preserve"> 'WK2014'!EH104</f>
        <v>11141.7540584</v>
      </c>
      <c r="CP94" s="50">
        <f xml:space="preserve"> 'WK2014'!EK104</f>
        <v>13817.279121792866</v>
      </c>
      <c r="CQ94" s="50">
        <f xml:space="preserve"> 'WK2014'!EL104</f>
        <v>11141.754045792864</v>
      </c>
      <c r="CR94" s="50">
        <f xml:space="preserve"> 'WK2014'!EM104</f>
        <v>13817.279112800001</v>
      </c>
      <c r="CS94" s="50">
        <f xml:space="preserve"> 'WK2014'!EN104</f>
        <v>11141.754036799999</v>
      </c>
      <c r="CT94" s="61">
        <f xml:space="preserve"> 'WK2014'!EI104</f>
        <v>0.33495509293260856</v>
      </c>
      <c r="CV94" s="50">
        <f xml:space="preserve"> 'WK2014'!EU104</f>
        <v>10799.509913200001</v>
      </c>
      <c r="CW94" s="50">
        <f xml:space="preserve"> 'WK2014'!EV104</f>
        <v>8500.5637336</v>
      </c>
      <c r="CX94" s="50">
        <f xml:space="preserve"> 'WK2014'!EY104</f>
        <v>10799.509921068757</v>
      </c>
      <c r="CY94" s="50">
        <f xml:space="preserve"> 'WK2014'!EZ104</f>
        <v>8500.5637225687551</v>
      </c>
      <c r="CZ94" s="50">
        <f xml:space="preserve"> 'WK2014'!FA104</f>
        <v>10799.509913200001</v>
      </c>
      <c r="DA94" s="50">
        <f xml:space="preserve"> 'WK2014'!FB104</f>
        <v>8500.5637146999998</v>
      </c>
      <c r="DB94" s="61">
        <f xml:space="preserve"> 'WK2014'!EW104</f>
        <v>0.32565227102926109</v>
      </c>
      <c r="DC94" s="1"/>
      <c r="DD94" s="50">
        <f xml:space="preserve"> 'WK2014'!FI104</f>
        <v>8904.0846072000004</v>
      </c>
      <c r="DE94" s="50">
        <f xml:space="preserve"> 'WK2014'!FJ104</f>
        <v>7273.2345314000004</v>
      </c>
      <c r="DF94" s="50">
        <f xml:space="preserve"> 'WK2014'!FM104</f>
        <v>8904.0846072000004</v>
      </c>
      <c r="DG94" s="50">
        <f xml:space="preserve"> 'WK2014'!FN104</f>
        <v>7273.2345314000004</v>
      </c>
      <c r="DH94" s="50">
        <f xml:space="preserve"> 'WK2014'!FO104</f>
        <v>8904.0846072000004</v>
      </c>
      <c r="DI94" s="50">
        <f xml:space="preserve"> 'WK2014'!FP104</f>
        <v>7273.2345314000004</v>
      </c>
      <c r="DJ94" s="61">
        <f xml:space="preserve"> 'WK2014'!FK104</f>
        <v>0.33352976233575987</v>
      </c>
      <c r="DK94" s="1"/>
      <c r="DL94" s="50">
        <f xml:space="preserve"> 'WK2014'!FW104</f>
        <v>358.27243680000004</v>
      </c>
      <c r="DM94" s="50">
        <f xml:space="preserve"> 'WK2014'!FX104</f>
        <v>250.81395840000002</v>
      </c>
      <c r="DN94" s="50">
        <f xml:space="preserve"> 'WK2014'!GA104</f>
        <v>358.27244579286389</v>
      </c>
      <c r="DO94" s="50">
        <f xml:space="preserve"> 'WK2014'!GB104</f>
        <v>250.81394579286388</v>
      </c>
      <c r="DP94" s="50">
        <f xml:space="preserve"> 'WK2014'!GC104</f>
        <v>358.27243680000004</v>
      </c>
      <c r="DQ94" s="50">
        <f xml:space="preserve"> 'WK2014'!GD104</f>
        <v>250.81393680000002</v>
      </c>
      <c r="DR94" s="61">
        <f xml:space="preserve"> 'WK2014'!FY104</f>
        <v>0.34164426509945101</v>
      </c>
      <c r="DS94" s="1"/>
      <c r="DT94" s="50">
        <f xml:space="preserve"> 'WK2014'!GK104</f>
        <v>2680.4571840000003</v>
      </c>
      <c r="DU94" s="50">
        <f xml:space="preserve"> 'WK2014'!GL104</f>
        <v>2045.6212620000006</v>
      </c>
      <c r="DV94" s="50">
        <f xml:space="preserve"> 'WK2014'!GO104</f>
        <v>2680.4571840000003</v>
      </c>
      <c r="DW94" s="50">
        <f xml:space="preserve"> 'WK2014'!GP104</f>
        <v>2045.6212620000006</v>
      </c>
      <c r="DX94" s="50">
        <f xml:space="preserve"> 'WK2014'!GQ104</f>
        <v>2680.4571840000003</v>
      </c>
      <c r="DY94" s="50">
        <f xml:space="preserve"> 'WK2014'!GR104</f>
        <v>2045.6212620000006</v>
      </c>
      <c r="DZ94" s="61">
        <f xml:space="preserve"> 'WK2014'!GM104</f>
        <v>0.35516499961793968</v>
      </c>
      <c r="ED94" s="50">
        <f xml:space="preserve"> 'WK2015'!EG104</f>
        <v>12792.073987399999</v>
      </c>
      <c r="EE94" s="50">
        <f xml:space="preserve"> 'WK2015'!EH104</f>
        <v>10187.8619564</v>
      </c>
      <c r="EF94" s="50">
        <f xml:space="preserve"> 'WK2015'!EK104</f>
        <v>12792.073987399999</v>
      </c>
      <c r="EG94" s="50">
        <f xml:space="preserve"> 'WK2015'!EL104</f>
        <v>10187.8619564</v>
      </c>
      <c r="EH94" s="50">
        <f xml:space="preserve"> 'WK2015'!EM104</f>
        <v>12792.073987399999</v>
      </c>
      <c r="EI94" s="50">
        <f xml:space="preserve"> 'WK2015'!EN104</f>
        <v>10187.8619564</v>
      </c>
      <c r="EJ94" s="61">
        <f xml:space="preserve"> 'WK2015'!EI104</f>
        <v>0.3290636762640996</v>
      </c>
      <c r="EK94" s="1"/>
      <c r="EL94" s="50">
        <f xml:space="preserve"> 'WK2015'!EU104</f>
        <v>11995.991139600001</v>
      </c>
      <c r="EM94" s="50">
        <f xml:space="preserve"> 'WK2015'!EV104</f>
        <v>9673.3727606000011</v>
      </c>
      <c r="EN94" s="50">
        <f xml:space="preserve"> 'WK2015'!EY104</f>
        <v>11995.991139600001</v>
      </c>
      <c r="EO94" s="50">
        <f xml:space="preserve"> 'WK2015'!EZ104</f>
        <v>9673.3727606000011</v>
      </c>
      <c r="EP94" s="50">
        <f xml:space="preserve"> 'WK2015'!FA104</f>
        <v>11995.991139600001</v>
      </c>
      <c r="EQ94" s="50">
        <f xml:space="preserve"> 'WK2015'!FB104</f>
        <v>9673.3727606000011</v>
      </c>
      <c r="ER94" s="61">
        <f xml:space="preserve"> 'WK2015'!EW104</f>
        <v>0.33031722748626713</v>
      </c>
      <c r="ES94" s="1"/>
      <c r="ET94" s="50">
        <f xml:space="preserve"> 'WK2015'!FI104</f>
        <v>10723.209575999999</v>
      </c>
      <c r="EU94" s="50">
        <f xml:space="preserve"> 'WK2015'!FJ104</f>
        <v>8533.6388105999995</v>
      </c>
      <c r="EV94" s="50">
        <f xml:space="preserve"> 'WK2015'!FM104</f>
        <v>10723.209575999999</v>
      </c>
      <c r="EW94" s="50">
        <f xml:space="preserve"> 'WK2015'!FN104</f>
        <v>8533.6388105999995</v>
      </c>
      <c r="EX94" s="50">
        <f xml:space="preserve"> 'WK2015'!FO104</f>
        <v>10723.209575999999</v>
      </c>
      <c r="EY94" s="50">
        <f xml:space="preserve"> 'WK2015'!FP104</f>
        <v>8533.6388105999995</v>
      </c>
      <c r="EZ94" s="61">
        <f xml:space="preserve"> 'WK2015'!FK104</f>
        <v>0.33315838922562058</v>
      </c>
      <c r="FA94" s="1"/>
      <c r="FB94" s="50">
        <f xml:space="preserve"> 'WK2015'!FW104</f>
        <v>388.49046239999996</v>
      </c>
      <c r="FC94" s="50">
        <f xml:space="preserve"> 'WK2015'!FX104</f>
        <v>304.41633839999997</v>
      </c>
      <c r="FD94" s="50">
        <f xml:space="preserve"> 'WK2015'!GA104</f>
        <v>388.49046239999996</v>
      </c>
      <c r="FE94" s="50">
        <f xml:space="preserve"> 'WK2015'!GB104</f>
        <v>304.41633839999997</v>
      </c>
      <c r="FF94" s="50">
        <f xml:space="preserve"> 'WK2015'!GC104</f>
        <v>388.49046239999996</v>
      </c>
      <c r="FG94" s="50">
        <f xml:space="preserve"> 'WK2015'!GD104</f>
        <v>304.41633839999997</v>
      </c>
      <c r="FH94" s="61">
        <f xml:space="preserve"> 'WK2015'!FY104</f>
        <v>0.32962470312775366</v>
      </c>
      <c r="FI94" s="1"/>
      <c r="FJ94" s="50">
        <f xml:space="preserve"> 'WK2015'!GK104</f>
        <v>1840.1687032500006</v>
      </c>
      <c r="FK94" s="50">
        <f xml:space="preserve"> 'WK2015'!GL104</f>
        <v>1467.2247795000005</v>
      </c>
      <c r="FL94" s="50">
        <f xml:space="preserve"> 'WK2015'!GO104</f>
        <v>1840.1687032500006</v>
      </c>
      <c r="FM94" s="50">
        <f xml:space="preserve"> 'WK2015'!GP104</f>
        <v>1467.2247795000005</v>
      </c>
      <c r="FN94" s="50">
        <f xml:space="preserve"> 'WK2015'!GQ104</f>
        <v>1840.1687032500006</v>
      </c>
      <c r="FO94" s="50">
        <f xml:space="preserve"> 'WK2015'!GR104</f>
        <v>1467.2247795000005</v>
      </c>
      <c r="FP94" s="61">
        <f xml:space="preserve"> 'WK2015'!GM104</f>
        <v>0.3323611086566286</v>
      </c>
      <c r="FS94" s="283">
        <f xml:space="preserve"> 'WK2015'!H104</f>
        <v>6249.0157099999997</v>
      </c>
      <c r="FT94" s="283">
        <f xml:space="preserve"> 'WK2015'!I104</f>
        <v>5302.9364419999993</v>
      </c>
      <c r="FU94" s="283">
        <f xml:space="preserve"> 'WK2015'!L104</f>
        <v>6249.0157099999997</v>
      </c>
      <c r="FV94" s="283">
        <f xml:space="preserve"> 'WK2015'!M104</f>
        <v>5302.9364419999993</v>
      </c>
      <c r="FW94" s="283">
        <f xml:space="preserve"> 'WK2015'!N104</f>
        <v>6249.0157099999997</v>
      </c>
      <c r="FX94" s="283">
        <f xml:space="preserve"> 'WK2015'!O104</f>
        <v>5302.9364419999993</v>
      </c>
      <c r="FY94" s="284">
        <f xml:space="preserve"> 'WK2015'!P104</f>
        <v>0.31419063038946426</v>
      </c>
      <c r="GA94" s="283">
        <f xml:space="preserve"> 'WK2015'!HB104</f>
        <v>5941.7164139999995</v>
      </c>
      <c r="GB94" s="283">
        <f xml:space="preserve"> 'WK2015'!HC104</f>
        <v>5366.0651199999993</v>
      </c>
      <c r="GC94" s="283">
        <f xml:space="preserve"> 'WK2015'!HF104</f>
        <v>5941.7164139999995</v>
      </c>
      <c r="GD94" s="283">
        <f xml:space="preserve"> 'WK2015'!HG104</f>
        <v>5366.0651199999993</v>
      </c>
      <c r="GE94" s="283">
        <f xml:space="preserve"> 'WK2015'!HH104</f>
        <v>5941.7164139999995</v>
      </c>
      <c r="GF94" s="283">
        <f xml:space="preserve"> 'WK2015'!HI104</f>
        <v>5366.0651199999993</v>
      </c>
      <c r="GG94" s="284">
        <f xml:space="preserve"> 'WK2015'!HJ104</f>
        <v>0.39591631579346176</v>
      </c>
      <c r="GI94" s="283">
        <f xml:space="preserve"> 'WK2015'!HQ104</f>
        <v>6244.0165900000002</v>
      </c>
      <c r="GJ94" s="283">
        <f xml:space="preserve"> 'WK2015'!HR104</f>
        <v>5499.1281239999998</v>
      </c>
      <c r="GK94" s="283">
        <f xml:space="preserve"> 'WK2015'!HU104</f>
        <v>6244.0165900000002</v>
      </c>
      <c r="GL94" s="283">
        <f xml:space="preserve"> 'WK2015'!HV104</f>
        <v>5499.1281239999998</v>
      </c>
      <c r="GM94" s="283">
        <f xml:space="preserve"> 'WK2015'!HW104</f>
        <v>6244.0165900000002</v>
      </c>
      <c r="GN94" s="283">
        <f xml:space="preserve"> 'WK2015'!HX104</f>
        <v>5499.1281239999998</v>
      </c>
      <c r="GO94" s="284">
        <f xml:space="preserve"> 'WK2015'!HY104</f>
        <v>0.34156543209876539</v>
      </c>
    </row>
    <row r="95" spans="1:197" x14ac:dyDescent="0.2">
      <c r="A95" s="3">
        <f>Basis!A95</f>
        <v>95</v>
      </c>
      <c r="D95" s="252" t="e">
        <v>#N/A</v>
      </c>
      <c r="E95" s="252" t="e">
        <v>#N/A</v>
      </c>
      <c r="H95" s="50">
        <f xml:space="preserve"> 'WK2012'!EG105</f>
        <v>12549.412863550673</v>
      </c>
      <c r="I95" s="50">
        <f xml:space="preserve"> 'WK2012'!EH105</f>
        <v>10384.431120508583</v>
      </c>
      <c r="J95" s="50">
        <f xml:space="preserve"> 'WK2012'!EK105</f>
        <v>12549.412863550673</v>
      </c>
      <c r="K95" s="50">
        <f xml:space="preserve"> 'WK2012'!EL105</f>
        <v>10384.431120508583</v>
      </c>
      <c r="L95" s="50">
        <f xml:space="preserve"> 'WK2012'!EM105</f>
        <v>12549.412863550673</v>
      </c>
      <c r="M95" s="50">
        <f xml:space="preserve"> 'WK2012'!EN105</f>
        <v>10384.431120508583</v>
      </c>
      <c r="N95" s="61">
        <f xml:space="preserve"> 'WK2012'!EI105</f>
        <v>0.33596917012188648</v>
      </c>
      <c r="P95" s="50">
        <f xml:space="preserve"> 'WK2012'!EU105</f>
        <v>11148.711964622691</v>
      </c>
      <c r="Q95" s="50">
        <f xml:space="preserve"> 'WK2012'!EV105</f>
        <v>9528.3049673119731</v>
      </c>
      <c r="R95" s="50">
        <f xml:space="preserve"> 'WK2012'!EY105</f>
        <v>11148.711964622691</v>
      </c>
      <c r="S95" s="50">
        <f xml:space="preserve"> 'WK2012'!EZ105</f>
        <v>9528.3049673119731</v>
      </c>
      <c r="T95" s="50">
        <f xml:space="preserve"> 'WK2012'!FA105</f>
        <v>11148.711964622691</v>
      </c>
      <c r="U95" s="50">
        <f xml:space="preserve"> 'WK2012'!FB105</f>
        <v>9528.3049673119731</v>
      </c>
      <c r="V95" s="61">
        <f xml:space="preserve"> 'WK2012'!EW105</f>
        <v>0.3250758426329472</v>
      </c>
      <c r="X95" s="50">
        <f xml:space="preserve"> 'WK2012'!FI105</f>
        <v>8435.1200328228188</v>
      </c>
      <c r="Y95" s="50">
        <f xml:space="preserve"> 'WK2012'!FJ105</f>
        <v>7134.1917703983863</v>
      </c>
      <c r="Z95" s="50">
        <f xml:space="preserve"> 'WK2012'!FM105</f>
        <v>8435.1200328228188</v>
      </c>
      <c r="AA95" s="50">
        <f xml:space="preserve"> 'WK2012'!FN105</f>
        <v>7134.1917703983863</v>
      </c>
      <c r="AB95" s="50">
        <f xml:space="preserve"> 'WK2012'!FO105</f>
        <v>8435.1200328228188</v>
      </c>
      <c r="AC95" s="50">
        <f xml:space="preserve"> 'WK2012'!FP105</f>
        <v>7134.1917703983863</v>
      </c>
      <c r="AD95" s="61">
        <f xml:space="preserve"> 'WK2012'!FK105</f>
        <v>0.41701482225369901</v>
      </c>
      <c r="AF95" s="50">
        <f xml:space="preserve"> 'WK2012'!FW105</f>
        <v>1773.9092491300196</v>
      </c>
      <c r="AG95" s="50">
        <f xml:space="preserve"> 'WK2012'!FX105</f>
        <v>1079.3524736623901</v>
      </c>
      <c r="AH95" s="50">
        <f xml:space="preserve"> 'WK2012'!GA105</f>
        <v>1773.9092491300196</v>
      </c>
      <c r="AI95" s="50">
        <f xml:space="preserve"> 'WK2012'!GB105</f>
        <v>1079.3524736623901</v>
      </c>
      <c r="AJ95" s="50">
        <f xml:space="preserve"> 'WK2012'!GC105</f>
        <v>1773.9092491300196</v>
      </c>
      <c r="AK95" s="50">
        <f xml:space="preserve"> 'WK2012'!GD105</f>
        <v>1079.3524736623901</v>
      </c>
      <c r="AL95" s="61">
        <f xml:space="preserve"> 'WK2012'!FY105</f>
        <v>0.39577802138705603</v>
      </c>
      <c r="AN95" s="50">
        <f xml:space="preserve"> 'WK2012'!GK105</f>
        <v>233.16264773671915</v>
      </c>
      <c r="AO95" s="50">
        <f xml:space="preserve"> 'WK2012'!GL105</f>
        <v>167.26011636920038</v>
      </c>
      <c r="AP95" s="50">
        <f xml:space="preserve"> 'WK2012'!GO105</f>
        <v>233.16264773671915</v>
      </c>
      <c r="AQ95" s="50">
        <f xml:space="preserve"> 'WK2012'!GP105</f>
        <v>167.26011636920038</v>
      </c>
      <c r="AR95" s="50">
        <f xml:space="preserve"> 'WK2012'!GQ105</f>
        <v>233.16264773671915</v>
      </c>
      <c r="AS95" s="50">
        <f xml:space="preserve"> 'WK2012'!GR105</f>
        <v>167.26011636920038</v>
      </c>
      <c r="AT95" s="61">
        <f xml:space="preserve"> 'WK2012'!GM105</f>
        <v>0.32447131901808884</v>
      </c>
      <c r="AX95" s="50">
        <f xml:space="preserve"> 'WK2013'!EG105</f>
        <v>13817.263406000002</v>
      </c>
      <c r="AY95" s="50">
        <f xml:space="preserve"> 'WK2013'!EH105</f>
        <v>11030.958945400002</v>
      </c>
      <c r="AZ95" s="50">
        <f xml:space="preserve"> 'WK2013'!EK105</f>
        <v>13817.263406000002</v>
      </c>
      <c r="BA95" s="50">
        <f xml:space="preserve"> 'WK2013'!EL105</f>
        <v>11030.958945400002</v>
      </c>
      <c r="BB95" s="50">
        <f xml:space="preserve"> 'WK2013'!EM105</f>
        <v>13817.263406000002</v>
      </c>
      <c r="BC95" s="50">
        <f xml:space="preserve"> 'WK2013'!EN105</f>
        <v>11030.958945400002</v>
      </c>
      <c r="BD95" s="61">
        <f xml:space="preserve"> 'WK2013'!EI105</f>
        <v>0.34123224170887678</v>
      </c>
      <c r="BF95" s="50">
        <f xml:space="preserve"> 'WK2013'!EU105</f>
        <v>11640.084710499999</v>
      </c>
      <c r="BG95" s="50">
        <f xml:space="preserve"> 'WK2013'!EV105</f>
        <v>9583.4784495999993</v>
      </c>
      <c r="BH95" s="50">
        <f xml:space="preserve"> 'WK2013'!EY105</f>
        <v>11640.084710499999</v>
      </c>
      <c r="BI95" s="50">
        <f xml:space="preserve"> 'WK2013'!EZ105</f>
        <v>9583.4784495999993</v>
      </c>
      <c r="BJ95" s="50">
        <f xml:space="preserve"> 'WK2013'!FA105</f>
        <v>11640.084710499999</v>
      </c>
      <c r="BK95" s="50">
        <f xml:space="preserve"> 'WK2013'!FB105</f>
        <v>9583.4784495999993</v>
      </c>
      <c r="BL95" s="61">
        <f xml:space="preserve"> 'WK2013'!EW105</f>
        <v>0.34336384411210563</v>
      </c>
      <c r="BN95" s="50">
        <f xml:space="preserve"> 'WK2013'!FI105</f>
        <v>9463.7528254000026</v>
      </c>
      <c r="BO95" s="50">
        <f xml:space="preserve"> 'WK2013'!FJ105</f>
        <v>7880.8877752000008</v>
      </c>
      <c r="BP95" s="50">
        <f xml:space="preserve"> 'WK2013'!FM105</f>
        <v>9463.7528254000026</v>
      </c>
      <c r="BQ95" s="50">
        <f xml:space="preserve"> 'WK2013'!FN105</f>
        <v>7880.8877752000008</v>
      </c>
      <c r="BR95" s="50">
        <f xml:space="preserve"> 'WK2013'!FO105</f>
        <v>9463.7528254000026</v>
      </c>
      <c r="BS95" s="50">
        <f xml:space="preserve"> 'WK2013'!FP105</f>
        <v>7880.8877752000008</v>
      </c>
      <c r="BT95" s="61">
        <f xml:space="preserve"> 'WK2013'!FK105</f>
        <v>0.37267714035965377</v>
      </c>
      <c r="BV95" s="50">
        <f xml:space="preserve"> 'WK2013'!FW105</f>
        <v>332.04960499999999</v>
      </c>
      <c r="BW95" s="50">
        <f xml:space="preserve"> 'WK2013'!FX105</f>
        <v>216.39060840000002</v>
      </c>
      <c r="BX95" s="50">
        <f xml:space="preserve"> 'WK2013'!GA105</f>
        <v>332.04960499999999</v>
      </c>
      <c r="BY95" s="50">
        <f xml:space="preserve"> 'WK2013'!GB105</f>
        <v>216.39060840000002</v>
      </c>
      <c r="BZ95" s="50">
        <f xml:space="preserve"> 'WK2013'!GC105</f>
        <v>332.04960499999999</v>
      </c>
      <c r="CA95" s="50">
        <f xml:space="preserve"> 'WK2013'!GD105</f>
        <v>216.39060840000002</v>
      </c>
      <c r="CB95" s="61">
        <f xml:space="preserve"> 'WK2013'!FY105</f>
        <v>0.36068183890874511</v>
      </c>
      <c r="CD95" s="50">
        <f xml:space="preserve"> 'WK2013'!GK105</f>
        <v>1932.3746842500002</v>
      </c>
      <c r="CE95" s="50">
        <f xml:space="preserve"> 'WK2013'!GL105</f>
        <v>1338.3908595000003</v>
      </c>
      <c r="CF95" s="50">
        <f xml:space="preserve"> 'WK2013'!GO105</f>
        <v>1932.3746842500002</v>
      </c>
      <c r="CG95" s="50">
        <f xml:space="preserve"> 'WK2013'!GP105</f>
        <v>1338.3908595000003</v>
      </c>
      <c r="CH95" s="50">
        <f xml:space="preserve"> 'WK2013'!GQ105</f>
        <v>1932.3746842500002</v>
      </c>
      <c r="CI95" s="50">
        <f xml:space="preserve"> 'WK2013'!GR105</f>
        <v>1338.3908595000003</v>
      </c>
      <c r="CJ95" s="61">
        <f xml:space="preserve"> 'WK2013'!GM105</f>
        <v>0.37762266876962941</v>
      </c>
      <c r="CN95" s="50">
        <f xml:space="preserve"> 'WK2014'!EG105</f>
        <v>13945.062163999997</v>
      </c>
      <c r="CO95" s="50">
        <f xml:space="preserve"> 'WK2014'!EH105</f>
        <v>11170.2205368</v>
      </c>
      <c r="CP95" s="50">
        <f xml:space="preserve"> 'WK2014'!EK105</f>
        <v>13945.062163999997</v>
      </c>
      <c r="CQ95" s="50">
        <f xml:space="preserve"> 'WK2014'!EL105</f>
        <v>11170.2205368</v>
      </c>
      <c r="CR95" s="50">
        <f xml:space="preserve"> 'WK2014'!EM105</f>
        <v>13945.062163999997</v>
      </c>
      <c r="CS95" s="50">
        <f xml:space="preserve"> 'WK2014'!EN105</f>
        <v>11170.2205368</v>
      </c>
      <c r="CT95" s="61">
        <f xml:space="preserve"> 'WK2014'!EI105</f>
        <v>0.34190191315561758</v>
      </c>
      <c r="CV95" s="50">
        <f xml:space="preserve"> 'WK2014'!EU105</f>
        <v>10809.9148585</v>
      </c>
      <c r="CW95" s="50">
        <f xml:space="preserve"> 'WK2014'!EV105</f>
        <v>8510.452126199998</v>
      </c>
      <c r="CX95" s="50">
        <f xml:space="preserve"> 'WK2014'!EY105</f>
        <v>10809.9148585</v>
      </c>
      <c r="CY95" s="50">
        <f xml:space="preserve"> 'WK2014'!EZ105</f>
        <v>8510.452126199998</v>
      </c>
      <c r="CZ95" s="50">
        <f xml:space="preserve"> 'WK2014'!FA105</f>
        <v>10809.9148585</v>
      </c>
      <c r="DA95" s="50">
        <f xml:space="preserve"> 'WK2014'!FB105</f>
        <v>8510.452126199998</v>
      </c>
      <c r="DB95" s="61">
        <f xml:space="preserve"> 'WK2014'!EW105</f>
        <v>0.34553173233468787</v>
      </c>
      <c r="DC95" s="1"/>
      <c r="DD95" s="50">
        <f xml:space="preserve"> 'WK2014'!FI105</f>
        <v>8973.6013495999996</v>
      </c>
      <c r="DE95" s="50">
        <f xml:space="preserve"> 'WK2014'!FJ105</f>
        <v>7289.5953290000007</v>
      </c>
      <c r="DF95" s="50">
        <f xml:space="preserve"> 'WK2014'!FM105</f>
        <v>8973.6013495999996</v>
      </c>
      <c r="DG95" s="50">
        <f xml:space="preserve"> 'WK2014'!FN105</f>
        <v>7289.5953290000007</v>
      </c>
      <c r="DH95" s="50">
        <f xml:space="preserve"> 'WK2014'!FO105</f>
        <v>8973.6013495999996</v>
      </c>
      <c r="DI95" s="50">
        <f xml:space="preserve"> 'WK2014'!FP105</f>
        <v>7289.5953290000007</v>
      </c>
      <c r="DJ95" s="61">
        <f xml:space="preserve"> 'WK2014'!FK105</f>
        <v>0.34321570810461316</v>
      </c>
      <c r="DK95" s="1"/>
      <c r="DL95" s="50">
        <f xml:space="preserve"> 'WK2014'!FW105</f>
        <v>332.78772000000004</v>
      </c>
      <c r="DM95" s="50">
        <f xml:space="preserve"> 'WK2014'!FX105</f>
        <v>222.35243680000002</v>
      </c>
      <c r="DN95" s="50">
        <f xml:space="preserve"> 'WK2014'!GA105</f>
        <v>332.78772000000004</v>
      </c>
      <c r="DO95" s="50">
        <f xml:space="preserve"> 'WK2014'!GB105</f>
        <v>222.35243680000002</v>
      </c>
      <c r="DP95" s="50">
        <f xml:space="preserve"> 'WK2014'!GC105</f>
        <v>332.78772000000004</v>
      </c>
      <c r="DQ95" s="50">
        <f xml:space="preserve"> 'WK2014'!GD105</f>
        <v>222.35243680000002</v>
      </c>
      <c r="DR95" s="61">
        <f xml:space="preserve"> 'WK2014'!FY105</f>
        <v>0.34829824374562879</v>
      </c>
      <c r="DS95" s="1"/>
      <c r="DT95" s="50">
        <f xml:space="preserve"> 'WK2014'!GK105</f>
        <v>2702.6444370000004</v>
      </c>
      <c r="DU95" s="50">
        <f xml:space="preserve"> 'WK2014'!GL105</f>
        <v>2045.6212620000006</v>
      </c>
      <c r="DV95" s="50">
        <f xml:space="preserve"> 'WK2014'!GO105</f>
        <v>2702.6444370000004</v>
      </c>
      <c r="DW95" s="50">
        <f xml:space="preserve"> 'WK2014'!GP105</f>
        <v>2045.6212620000006</v>
      </c>
      <c r="DX95" s="50">
        <f xml:space="preserve"> 'WK2014'!GQ105</f>
        <v>2702.6444370000004</v>
      </c>
      <c r="DY95" s="50">
        <f xml:space="preserve"> 'WK2014'!GR105</f>
        <v>2045.6212620000006</v>
      </c>
      <c r="DZ95" s="61">
        <f xml:space="preserve"> 'WK2014'!GM105</f>
        <v>0.35099709490789677</v>
      </c>
      <c r="ED95" s="50">
        <f xml:space="preserve"> 'WK2015'!EG105</f>
        <v>12870.617370399998</v>
      </c>
      <c r="EE95" s="50">
        <f xml:space="preserve"> 'WK2015'!EH105</f>
        <v>10197.764297199999</v>
      </c>
      <c r="EF95" s="50">
        <f xml:space="preserve"> 'WK2015'!EK105</f>
        <v>12870.617370399998</v>
      </c>
      <c r="EG95" s="50">
        <f xml:space="preserve"> 'WK2015'!EL105</f>
        <v>10197.764297199999</v>
      </c>
      <c r="EH95" s="50">
        <f xml:space="preserve"> 'WK2015'!EM105</f>
        <v>12870.617370399998</v>
      </c>
      <c r="EI95" s="50">
        <f xml:space="preserve"> 'WK2015'!EN105</f>
        <v>10197.764297199999</v>
      </c>
      <c r="EJ95" s="61">
        <f xml:space="preserve"> 'WK2015'!EI105</f>
        <v>0.33013204679676406</v>
      </c>
      <c r="EK95" s="1"/>
      <c r="EL95" s="50">
        <f xml:space="preserve"> 'WK2015'!EU105</f>
        <v>11999.482278600002</v>
      </c>
      <c r="EM95" s="50">
        <f xml:space="preserve"> 'WK2015'!EV105</f>
        <v>9684.5185417999983</v>
      </c>
      <c r="EN95" s="50">
        <f xml:space="preserve"> 'WK2015'!EY105</f>
        <v>11999.482278600002</v>
      </c>
      <c r="EO95" s="50">
        <f xml:space="preserve"> 'WK2015'!EZ105</f>
        <v>9684.5185417999983</v>
      </c>
      <c r="EP95" s="50">
        <f xml:space="preserve"> 'WK2015'!FA105</f>
        <v>11999.482278600002</v>
      </c>
      <c r="EQ95" s="50">
        <f xml:space="preserve"> 'WK2015'!FB105</f>
        <v>9684.5185417999983</v>
      </c>
      <c r="ER95" s="61">
        <f xml:space="preserve"> 'WK2015'!EW105</f>
        <v>0.33344584540499755</v>
      </c>
      <c r="ES95" s="1"/>
      <c r="ET95" s="50">
        <f xml:space="preserve"> 'WK2015'!FI105</f>
        <v>10778.473955399999</v>
      </c>
      <c r="EU95" s="50">
        <f xml:space="preserve"> 'WK2015'!FJ105</f>
        <v>8556.2162632</v>
      </c>
      <c r="EV95" s="50">
        <f xml:space="preserve"> 'WK2015'!FM105</f>
        <v>10778.473955399999</v>
      </c>
      <c r="EW95" s="50">
        <f xml:space="preserve"> 'WK2015'!FN105</f>
        <v>8556.2162632</v>
      </c>
      <c r="EX95" s="50">
        <f xml:space="preserve"> 'WK2015'!FO105</f>
        <v>10778.473955399999</v>
      </c>
      <c r="EY95" s="50">
        <f xml:space="preserve"> 'WK2015'!FP105</f>
        <v>8556.2162632</v>
      </c>
      <c r="EZ95" s="61">
        <f xml:space="preserve"> 'WK2015'!FK105</f>
        <v>0.31804364411083214</v>
      </c>
      <c r="FA95" s="1"/>
      <c r="FB95" s="50">
        <f xml:space="preserve"> 'WK2015'!FW105</f>
        <v>360.52715040000004</v>
      </c>
      <c r="FC95" s="50">
        <f xml:space="preserve"> 'WK2015'!FX105</f>
        <v>279.00300720000001</v>
      </c>
      <c r="FD95" s="50">
        <f xml:space="preserve"> 'WK2015'!GA105</f>
        <v>360.52715040000004</v>
      </c>
      <c r="FE95" s="50">
        <f xml:space="preserve"> 'WK2015'!GB105</f>
        <v>279.00300720000001</v>
      </c>
      <c r="FF95" s="50">
        <f xml:space="preserve"> 'WK2015'!GC105</f>
        <v>360.52715040000004</v>
      </c>
      <c r="FG95" s="50">
        <f xml:space="preserve"> 'WK2015'!GD105</f>
        <v>279.00300720000001</v>
      </c>
      <c r="FH95" s="61">
        <f xml:space="preserve"> 'WK2015'!FY105</f>
        <v>0.34017700009900281</v>
      </c>
      <c r="FI95" s="1"/>
      <c r="FJ95" s="50">
        <f xml:space="preserve"> 'WK2015'!GK105</f>
        <v>1870.2747832500002</v>
      </c>
      <c r="FK95" s="50">
        <f xml:space="preserve"> 'WK2015'!GL105</f>
        <v>1467.2247795000005</v>
      </c>
      <c r="FL95" s="50">
        <f xml:space="preserve"> 'WK2015'!GO105</f>
        <v>1870.2747832500002</v>
      </c>
      <c r="FM95" s="50">
        <f xml:space="preserve"> 'WK2015'!GP105</f>
        <v>1467.2247795000005</v>
      </c>
      <c r="FN95" s="50">
        <f xml:space="preserve"> 'WK2015'!GQ105</f>
        <v>1870.2747832500002</v>
      </c>
      <c r="FO95" s="50">
        <f xml:space="preserve"> 'WK2015'!GR105</f>
        <v>1467.2247795000005</v>
      </c>
      <c r="FP95" s="61">
        <f xml:space="preserve"> 'WK2015'!GM105</f>
        <v>0.33464332821484832</v>
      </c>
      <c r="FS95" s="283">
        <f xml:space="preserve"> 'WK2015'!H105</f>
        <v>6315.3809649999994</v>
      </c>
      <c r="FT95" s="283">
        <f xml:space="preserve"> 'WK2015'!I105</f>
        <v>5338.2521139999999</v>
      </c>
      <c r="FU95" s="283">
        <f xml:space="preserve"> 'WK2015'!L105</f>
        <v>6315.3809649999994</v>
      </c>
      <c r="FV95" s="283">
        <f xml:space="preserve"> 'WK2015'!M105</f>
        <v>5338.2521139999999</v>
      </c>
      <c r="FW95" s="283">
        <f xml:space="preserve"> 'WK2015'!N105</f>
        <v>6315.3809649999994</v>
      </c>
      <c r="FX95" s="283">
        <f xml:space="preserve"> 'WK2015'!O105</f>
        <v>5338.2521139999999</v>
      </c>
      <c r="FY95" s="284">
        <f xml:space="preserve"> 'WK2015'!P105</f>
        <v>0.29681908051154993</v>
      </c>
      <c r="GA95" s="283">
        <f xml:space="preserve"> 'WK2015'!HB105</f>
        <v>6006.0161550000003</v>
      </c>
      <c r="GB95" s="283">
        <f xml:space="preserve"> 'WK2015'!HC105</f>
        <v>5419.9701769999992</v>
      </c>
      <c r="GC95" s="283">
        <f xml:space="preserve"> 'WK2015'!HF105</f>
        <v>6006.0161550000003</v>
      </c>
      <c r="GD95" s="283">
        <f xml:space="preserve"> 'WK2015'!HG105</f>
        <v>5419.9701769999992</v>
      </c>
      <c r="GE95" s="283">
        <f xml:space="preserve"> 'WK2015'!HH105</f>
        <v>6006.0161550000003</v>
      </c>
      <c r="GF95" s="283">
        <f xml:space="preserve"> 'WK2015'!HI105</f>
        <v>5419.9701769999992</v>
      </c>
      <c r="GG95" s="284">
        <f xml:space="preserve"> 'WK2015'!HJ105</f>
        <v>0.28673643834665413</v>
      </c>
      <c r="GI95" s="283">
        <f xml:space="preserve"> 'WK2015'!HQ105</f>
        <v>6337.640155</v>
      </c>
      <c r="GJ95" s="283">
        <f xml:space="preserve"> 'WK2015'!HR105</f>
        <v>5552.3294819999992</v>
      </c>
      <c r="GK95" s="283">
        <f xml:space="preserve"> 'WK2015'!HU105</f>
        <v>6337.640155</v>
      </c>
      <c r="GL95" s="283">
        <f xml:space="preserve"> 'WK2015'!HV105</f>
        <v>5552.3294819999992</v>
      </c>
      <c r="GM95" s="283">
        <f xml:space="preserve"> 'WK2015'!HW105</f>
        <v>6337.640155</v>
      </c>
      <c r="GN95" s="283">
        <f xml:space="preserve"> 'WK2015'!HX105</f>
        <v>5552.3294819999992</v>
      </c>
      <c r="GO95" s="284">
        <f xml:space="preserve"> 'WK2015'!HY105</f>
        <v>0.28235294117647058</v>
      </c>
    </row>
    <row r="96" spans="1:197" x14ac:dyDescent="0.2">
      <c r="A96" s="3">
        <f>Basis!A96</f>
        <v>96</v>
      </c>
      <c r="D96" s="252" t="e">
        <v>#N/A</v>
      </c>
      <c r="E96" s="252" t="e">
        <v>#N/A</v>
      </c>
      <c r="H96" s="50">
        <f xml:space="preserve"> 'WK2012'!EG106</f>
        <v>12676.220699082065</v>
      </c>
      <c r="I96" s="50">
        <f xml:space="preserve"> 'WK2012'!EH106</f>
        <v>10429.251327909955</v>
      </c>
      <c r="J96" s="50">
        <f xml:space="preserve"> 'WK2012'!EK106</f>
        <v>12676.220699082065</v>
      </c>
      <c r="K96" s="50">
        <f xml:space="preserve"> 'WK2012'!EL106</f>
        <v>10429.251327909955</v>
      </c>
      <c r="L96" s="50">
        <f xml:space="preserve"> 'WK2012'!EM106</f>
        <v>12676.220699082065</v>
      </c>
      <c r="M96" s="50">
        <f xml:space="preserve"> 'WK2012'!EN106</f>
        <v>10429.251327909955</v>
      </c>
      <c r="N96" s="61">
        <f xml:space="preserve"> 'WK2012'!EI106</f>
        <v>0.32878076512906995</v>
      </c>
      <c r="P96" s="50">
        <f xml:space="preserve"> 'WK2012'!EU106</f>
        <v>11235.898782940041</v>
      </c>
      <c r="Q96" s="50">
        <f xml:space="preserve"> 'WK2012'!EV106</f>
        <v>9555.5653117958864</v>
      </c>
      <c r="R96" s="50">
        <f xml:space="preserve"> 'WK2012'!EY106</f>
        <v>11235.898782940041</v>
      </c>
      <c r="S96" s="50">
        <f xml:space="preserve"> 'WK2012'!EZ106</f>
        <v>9555.5653117958864</v>
      </c>
      <c r="T96" s="50">
        <f xml:space="preserve"> 'WK2012'!FA106</f>
        <v>11235.898782940041</v>
      </c>
      <c r="U96" s="50">
        <f xml:space="preserve"> 'WK2012'!FB106</f>
        <v>9555.5653117958864</v>
      </c>
      <c r="V96" s="61">
        <f xml:space="preserve"> 'WK2012'!EW106</f>
        <v>0.32805522763434791</v>
      </c>
      <c r="X96" s="50">
        <f xml:space="preserve"> 'WK2012'!FI106</f>
        <v>8512.4934919052212</v>
      </c>
      <c r="Y96" s="50">
        <f xml:space="preserve"> 'WK2012'!FJ106</f>
        <v>7160.9757277210583</v>
      </c>
      <c r="Z96" s="50">
        <f xml:space="preserve"> 'WK2012'!FM106</f>
        <v>8512.4934919052212</v>
      </c>
      <c r="AA96" s="50">
        <f xml:space="preserve"> 'WK2012'!FN106</f>
        <v>7160.9757277210583</v>
      </c>
      <c r="AB96" s="50">
        <f xml:space="preserve"> 'WK2012'!FO106</f>
        <v>8512.4934919052212</v>
      </c>
      <c r="AC96" s="50">
        <f xml:space="preserve"> 'WK2012'!FP106</f>
        <v>7160.9757277210583</v>
      </c>
      <c r="AD96" s="61">
        <f xml:space="preserve"> 'WK2012'!FK106</f>
        <v>0.39139994722058696</v>
      </c>
      <c r="AF96" s="50">
        <f xml:space="preserve"> 'WK2012'!FW106</f>
        <v>1777.69680913002</v>
      </c>
      <c r="AG96" s="50">
        <f xml:space="preserve"> 'WK2012'!FX106</f>
        <v>1079.3692456837039</v>
      </c>
      <c r="AH96" s="50">
        <f xml:space="preserve"> 'WK2012'!GA106</f>
        <v>1777.69680913002</v>
      </c>
      <c r="AI96" s="50">
        <f xml:space="preserve"> 'WK2012'!GB106</f>
        <v>1079.3692456837039</v>
      </c>
      <c r="AJ96" s="50">
        <f xml:space="preserve"> 'WK2012'!GC106</f>
        <v>1777.69680913002</v>
      </c>
      <c r="AK96" s="50">
        <f xml:space="preserve"> 'WK2012'!GD106</f>
        <v>1079.3692456837039</v>
      </c>
      <c r="AL96" s="61">
        <f xml:space="preserve"> 'WK2012'!FY106</f>
        <v>0.36483645868393688</v>
      </c>
      <c r="AN96" s="50">
        <f xml:space="preserve"> 'WK2012'!GK106</f>
        <v>214.29697624328301</v>
      </c>
      <c r="AO96" s="50">
        <f xml:space="preserve"> 'WK2012'!GL106</f>
        <v>148.51114728183816</v>
      </c>
      <c r="AP96" s="50">
        <f xml:space="preserve"> 'WK2012'!GO106</f>
        <v>214.29697624328301</v>
      </c>
      <c r="AQ96" s="50">
        <f xml:space="preserve"> 'WK2012'!GP106</f>
        <v>148.51114728183816</v>
      </c>
      <c r="AR96" s="50">
        <f xml:space="preserve"> 'WK2012'!GQ106</f>
        <v>214.29697624328301</v>
      </c>
      <c r="AS96" s="50">
        <f xml:space="preserve"> 'WK2012'!GR106</f>
        <v>148.51114728183816</v>
      </c>
      <c r="AT96" s="61">
        <f xml:space="preserve"> 'WK2012'!GM106</f>
        <v>0.35247894732319929</v>
      </c>
      <c r="AX96" s="50">
        <f xml:space="preserve"> 'WK2013'!EG106</f>
        <v>13937.721265399998</v>
      </c>
      <c r="AY96" s="50">
        <f xml:space="preserve"> 'WK2013'!EH106</f>
        <v>11057.143471400002</v>
      </c>
      <c r="AZ96" s="50">
        <f xml:space="preserve"> 'WK2013'!EK106</f>
        <v>13937.721265399998</v>
      </c>
      <c r="BA96" s="50">
        <f xml:space="preserve"> 'WK2013'!EL106</f>
        <v>11057.143471400002</v>
      </c>
      <c r="BB96" s="50">
        <f xml:space="preserve"> 'WK2013'!EM106</f>
        <v>13937.721265399998</v>
      </c>
      <c r="BC96" s="50">
        <f xml:space="preserve"> 'WK2013'!EN106</f>
        <v>11057.143471400002</v>
      </c>
      <c r="BD96" s="61">
        <f xml:space="preserve"> 'WK2013'!EI106</f>
        <v>0.29193591024594745</v>
      </c>
      <c r="BF96" s="50">
        <f xml:space="preserve"> 'WK2013'!EU106</f>
        <v>11654.048189599998</v>
      </c>
      <c r="BG96" s="50">
        <f xml:space="preserve"> 'WK2013'!EV106</f>
        <v>9587.7865496000013</v>
      </c>
      <c r="BH96" s="50">
        <f xml:space="preserve"> 'WK2013'!EY106</f>
        <v>11654.048189599998</v>
      </c>
      <c r="BI96" s="50">
        <f xml:space="preserve"> 'WK2013'!EZ106</f>
        <v>9587.7865496000013</v>
      </c>
      <c r="BJ96" s="50">
        <f xml:space="preserve"> 'WK2013'!FA106</f>
        <v>11654.048189599998</v>
      </c>
      <c r="BK96" s="50">
        <f xml:space="preserve"> 'WK2013'!FB106</f>
        <v>9587.7865496000013</v>
      </c>
      <c r="BL96" s="61">
        <f xml:space="preserve"> 'WK2013'!EW106</f>
        <v>0.29876956806031002</v>
      </c>
      <c r="BN96" s="50">
        <f xml:space="preserve"> 'WK2013'!FI106</f>
        <v>9515.8456933999987</v>
      </c>
      <c r="BO96" s="50">
        <f xml:space="preserve"> 'WK2013'!FJ106</f>
        <v>7875.481154000001</v>
      </c>
      <c r="BP96" s="50">
        <f xml:space="preserve"> 'WK2013'!FM106</f>
        <v>9515.8456933999987</v>
      </c>
      <c r="BQ96" s="50">
        <f xml:space="preserve"> 'WK2013'!FN106</f>
        <v>7875.481154000001</v>
      </c>
      <c r="BR96" s="50">
        <f xml:space="preserve"> 'WK2013'!FO106</f>
        <v>9515.8456933999987</v>
      </c>
      <c r="BS96" s="50">
        <f xml:space="preserve"> 'WK2013'!FP106</f>
        <v>7875.481154000001</v>
      </c>
      <c r="BT96" s="61">
        <f xml:space="preserve"> 'WK2013'!FK106</f>
        <v>0.34527794361580555</v>
      </c>
      <c r="BV96" s="50">
        <f xml:space="preserve"> 'WK2013'!FW106</f>
        <v>305.37015739999998</v>
      </c>
      <c r="BW96" s="50">
        <f xml:space="preserve"> 'WK2013'!FX106</f>
        <v>186.96443440000002</v>
      </c>
      <c r="BX96" s="50">
        <f xml:space="preserve"> 'WK2013'!GA106</f>
        <v>305.37015739999998</v>
      </c>
      <c r="BY96" s="50">
        <f xml:space="preserve"> 'WK2013'!GB106</f>
        <v>186.96443440000002</v>
      </c>
      <c r="BZ96" s="50">
        <f xml:space="preserve"> 'WK2013'!GC106</f>
        <v>305.37015739999998</v>
      </c>
      <c r="CA96" s="50">
        <f xml:space="preserve"> 'WK2013'!GD106</f>
        <v>186.96443440000002</v>
      </c>
      <c r="CB96" s="61">
        <f xml:space="preserve"> 'WK2013'!FY106</f>
        <v>0.30827605963163202</v>
      </c>
      <c r="CD96" s="50">
        <f xml:space="preserve"> 'WK2013'!GK106</f>
        <v>1956.9284744999998</v>
      </c>
      <c r="CE96" s="50">
        <f xml:space="preserve"> 'WK2013'!GL106</f>
        <v>1338.3908595000003</v>
      </c>
      <c r="CF96" s="50">
        <f xml:space="preserve"> 'WK2013'!GO106</f>
        <v>1956.9284744999998</v>
      </c>
      <c r="CG96" s="50">
        <f xml:space="preserve"> 'WK2013'!GP106</f>
        <v>1338.3908595000003</v>
      </c>
      <c r="CH96" s="50">
        <f xml:space="preserve"> 'WK2013'!GQ106</f>
        <v>1956.9284744999998</v>
      </c>
      <c r="CI96" s="50">
        <f xml:space="preserve"> 'WK2013'!GR106</f>
        <v>1338.3908595000003</v>
      </c>
      <c r="CJ96" s="61">
        <f xml:space="preserve"> 'WK2013'!GM106</f>
        <v>0.32658568665203003</v>
      </c>
      <c r="CN96" s="50">
        <f xml:space="preserve"> 'WK2014'!EG106</f>
        <v>14072.449047999999</v>
      </c>
      <c r="CO96" s="50">
        <f xml:space="preserve"> 'WK2014'!EH106</f>
        <v>11198.595875199999</v>
      </c>
      <c r="CP96" s="50">
        <f xml:space="preserve"> 'WK2014'!EK106</f>
        <v>14072.449047999999</v>
      </c>
      <c r="CQ96" s="50">
        <f xml:space="preserve"> 'WK2014'!EL106</f>
        <v>11198.595875199999</v>
      </c>
      <c r="CR96" s="50">
        <f xml:space="preserve"> 'WK2014'!EM106</f>
        <v>14072.449047999999</v>
      </c>
      <c r="CS96" s="50">
        <f xml:space="preserve"> 'WK2014'!EN106</f>
        <v>11198.595875199999</v>
      </c>
      <c r="CT96" s="61">
        <f xml:space="preserve"> 'WK2014'!EI106</f>
        <v>0.36370146172840712</v>
      </c>
      <c r="CV96" s="50">
        <f xml:space="preserve"> 'WK2014'!EU106</f>
        <v>10820.052246999998</v>
      </c>
      <c r="CW96" s="50">
        <f xml:space="preserve"> 'WK2014'!EV106</f>
        <v>8520.3270607999984</v>
      </c>
      <c r="CX96" s="50">
        <f xml:space="preserve"> 'WK2014'!EY106</f>
        <v>10820.052246999998</v>
      </c>
      <c r="CY96" s="50">
        <f xml:space="preserve"> 'WK2014'!EZ106</f>
        <v>8520.3270607999984</v>
      </c>
      <c r="CZ96" s="50">
        <f xml:space="preserve"> 'WK2014'!FA106</f>
        <v>10820.052246999998</v>
      </c>
      <c r="DA96" s="50">
        <f xml:space="preserve"> 'WK2014'!FB106</f>
        <v>8520.3270607999984</v>
      </c>
      <c r="DB96" s="61">
        <f xml:space="preserve"> 'WK2014'!EW106</f>
        <v>0.32972813152209735</v>
      </c>
      <c r="DC96" s="1"/>
      <c r="DD96" s="50">
        <f xml:space="preserve"> 'WK2014'!FI106</f>
        <v>9041.8579512000015</v>
      </c>
      <c r="DE96" s="50">
        <f xml:space="preserve"> 'WK2014'!FJ106</f>
        <v>7304.3173507999991</v>
      </c>
      <c r="DF96" s="50">
        <f xml:space="preserve"> 'WK2014'!FM106</f>
        <v>9041.8579512000015</v>
      </c>
      <c r="DG96" s="50">
        <f xml:space="preserve"> 'WK2014'!FN106</f>
        <v>7304.3173507999991</v>
      </c>
      <c r="DH96" s="50">
        <f xml:space="preserve"> 'WK2014'!FO106</f>
        <v>9041.8579512000015</v>
      </c>
      <c r="DI96" s="50">
        <f xml:space="preserve"> 'WK2014'!FP106</f>
        <v>7304.3173507999991</v>
      </c>
      <c r="DJ96" s="61">
        <f xml:space="preserve"> 'WK2014'!FK106</f>
        <v>0.38115040808394868</v>
      </c>
      <c r="DK96" s="1"/>
      <c r="DL96" s="50">
        <f xml:space="preserve"> 'WK2014'!FW106</f>
        <v>307.91359199999999</v>
      </c>
      <c r="DM96" s="50">
        <f xml:space="preserve"> 'WK2014'!FX106</f>
        <v>194.36905520000002</v>
      </c>
      <c r="DN96" s="50">
        <f xml:space="preserve"> 'WK2014'!GA106</f>
        <v>307.91359199999999</v>
      </c>
      <c r="DO96" s="50">
        <f xml:space="preserve"> 'WK2014'!GB106</f>
        <v>194.36905520000002</v>
      </c>
      <c r="DP96" s="50">
        <f xml:space="preserve"> 'WK2014'!GC106</f>
        <v>307.91359199999999</v>
      </c>
      <c r="DQ96" s="50">
        <f xml:space="preserve"> 'WK2014'!GD106</f>
        <v>194.36905520000002</v>
      </c>
      <c r="DR96" s="61">
        <f xml:space="preserve"> 'WK2014'!FY106</f>
        <v>0.35848060245622437</v>
      </c>
      <c r="DS96" s="1"/>
      <c r="DT96" s="50">
        <f xml:space="preserve"> 'WK2014'!GK106</f>
        <v>2724.3178109999994</v>
      </c>
      <c r="DU96" s="50">
        <f xml:space="preserve"> 'WK2014'!GL106</f>
        <v>2045.6212620000006</v>
      </c>
      <c r="DV96" s="50">
        <f xml:space="preserve"> 'WK2014'!GO106</f>
        <v>2724.3178109999994</v>
      </c>
      <c r="DW96" s="50">
        <f xml:space="preserve"> 'WK2014'!GP106</f>
        <v>2045.6212620000006</v>
      </c>
      <c r="DX96" s="50">
        <f xml:space="preserve"> 'WK2014'!GQ106</f>
        <v>2724.3178109999994</v>
      </c>
      <c r="DY96" s="50">
        <f xml:space="preserve"> 'WK2014'!GR106</f>
        <v>2045.6212620000006</v>
      </c>
      <c r="DZ96" s="61">
        <f xml:space="preserve"> 'WK2014'!GM106</f>
        <v>0.41258551218466977</v>
      </c>
      <c r="ED96" s="50">
        <f xml:space="preserve"> 'WK2015'!EG106</f>
        <v>12949.092193999999</v>
      </c>
      <c r="EE96" s="50">
        <f xml:space="preserve"> 'WK2015'!EH106</f>
        <v>10208.453053199999</v>
      </c>
      <c r="EF96" s="50">
        <f xml:space="preserve"> 'WK2015'!EK106</f>
        <v>12949.092193999999</v>
      </c>
      <c r="EG96" s="50">
        <f xml:space="preserve"> 'WK2015'!EL106</f>
        <v>10208.453053199999</v>
      </c>
      <c r="EH96" s="50">
        <f xml:space="preserve"> 'WK2015'!EM106</f>
        <v>12949.092193999999</v>
      </c>
      <c r="EI96" s="50">
        <f xml:space="preserve"> 'WK2015'!EN106</f>
        <v>10208.453053199999</v>
      </c>
      <c r="EJ96" s="61">
        <f xml:space="preserve"> 'WK2015'!EI106</f>
        <v>0.33799236149184109</v>
      </c>
      <c r="EK96" s="1"/>
      <c r="EL96" s="50">
        <f xml:space="preserve"> 'WK2015'!EU106</f>
        <v>12000.807581000001</v>
      </c>
      <c r="EM96" s="50">
        <f xml:space="preserve"> 'WK2015'!EV106</f>
        <v>9696.4394777999987</v>
      </c>
      <c r="EN96" s="50">
        <f xml:space="preserve"> 'WK2015'!EY106</f>
        <v>12000.807581000001</v>
      </c>
      <c r="EO96" s="50">
        <f xml:space="preserve"> 'WK2015'!EZ106</f>
        <v>9696.4394777999987</v>
      </c>
      <c r="EP96" s="50">
        <f xml:space="preserve"> 'WK2015'!FA106</f>
        <v>12000.807581000001</v>
      </c>
      <c r="EQ96" s="50">
        <f xml:space="preserve"> 'WK2015'!FB106</f>
        <v>9696.4394777999987</v>
      </c>
      <c r="ER96" s="61">
        <f xml:space="preserve"> 'WK2015'!EW106</f>
        <v>0.35042880951786565</v>
      </c>
      <c r="ES96" s="1"/>
      <c r="ET96" s="50">
        <f xml:space="preserve"> 'WK2015'!FI106</f>
        <v>10831.835535</v>
      </c>
      <c r="EU96" s="50">
        <f xml:space="preserve"> 'WK2015'!FJ106</f>
        <v>8577.7303928000001</v>
      </c>
      <c r="EV96" s="50">
        <f xml:space="preserve"> 'WK2015'!FM106</f>
        <v>10831.835535</v>
      </c>
      <c r="EW96" s="50">
        <f xml:space="preserve"> 'WK2015'!FN106</f>
        <v>8577.7303928000001</v>
      </c>
      <c r="EX96" s="50">
        <f xml:space="preserve"> 'WK2015'!FO106</f>
        <v>10831.835535</v>
      </c>
      <c r="EY96" s="50">
        <f xml:space="preserve"> 'WK2015'!FP106</f>
        <v>8577.7303928000001</v>
      </c>
      <c r="EZ96" s="61">
        <f xml:space="preserve"> 'WK2015'!FK106</f>
        <v>0.34066999037813622</v>
      </c>
      <c r="FA96" s="1"/>
      <c r="FB96" s="50">
        <f xml:space="preserve"> 'WK2015'!FW106</f>
        <v>333.12918400000001</v>
      </c>
      <c r="FC96" s="50">
        <f xml:space="preserve"> 'WK2015'!FX106</f>
        <v>254.37609119999999</v>
      </c>
      <c r="FD96" s="50">
        <f xml:space="preserve"> 'WK2015'!GA106</f>
        <v>333.12918400000001</v>
      </c>
      <c r="FE96" s="50">
        <f xml:space="preserve"> 'WK2015'!GB106</f>
        <v>254.37609119999999</v>
      </c>
      <c r="FF96" s="50">
        <f xml:space="preserve"> 'WK2015'!GC106</f>
        <v>333.12918400000001</v>
      </c>
      <c r="FG96" s="50">
        <f xml:space="preserve"> 'WK2015'!GD106</f>
        <v>254.37609119999999</v>
      </c>
      <c r="FH96" s="61">
        <f xml:space="preserve"> 'WK2015'!FY106</f>
        <v>0.34578795362475989</v>
      </c>
      <c r="FI96" s="1"/>
      <c r="FJ96" s="50">
        <f xml:space="preserve"> 'WK2015'!GK106</f>
        <v>1900.2763282500007</v>
      </c>
      <c r="FK96" s="50">
        <f xml:space="preserve"> 'WK2015'!GL106</f>
        <v>1467.2247795000005</v>
      </c>
      <c r="FL96" s="50">
        <f xml:space="preserve"> 'WK2015'!GO106</f>
        <v>1900.2763282500007</v>
      </c>
      <c r="FM96" s="50">
        <f xml:space="preserve"> 'WK2015'!GP106</f>
        <v>1467.2247795000005</v>
      </c>
      <c r="FN96" s="50">
        <f xml:space="preserve"> 'WK2015'!GQ106</f>
        <v>1900.2763282500007</v>
      </c>
      <c r="FO96" s="50">
        <f xml:space="preserve"> 'WK2015'!GR106</f>
        <v>1467.2247795000005</v>
      </c>
      <c r="FP96" s="61">
        <f xml:space="preserve"> 'WK2015'!GM106</f>
        <v>0.34742599887768139</v>
      </c>
      <c r="FS96" s="283">
        <f xml:space="preserve"> 'WK2015'!H106</f>
        <v>6381.2516949999999</v>
      </c>
      <c r="FT96" s="283">
        <f xml:space="preserve"> 'WK2015'!I106</f>
        <v>5373.5677859999996</v>
      </c>
      <c r="FU96" s="283">
        <f xml:space="preserve"> 'WK2015'!L106</f>
        <v>6381.2516949999999</v>
      </c>
      <c r="FV96" s="283">
        <f xml:space="preserve"> 'WK2015'!M106</f>
        <v>5373.5677859999996</v>
      </c>
      <c r="FW96" s="283">
        <f xml:space="preserve"> 'WK2015'!N106</f>
        <v>6381.2516949999999</v>
      </c>
      <c r="FX96" s="283">
        <f xml:space="preserve"> 'WK2015'!O106</f>
        <v>5373.5677859999996</v>
      </c>
      <c r="FY96" s="284">
        <f xml:space="preserve"> 'WK2015'!P106</f>
        <v>0.32178951036765985</v>
      </c>
      <c r="GA96" s="283">
        <f xml:space="preserve"> 'WK2015'!HB106</f>
        <v>6069.856143</v>
      </c>
      <c r="GB96" s="283">
        <f xml:space="preserve"> 'WK2015'!HC106</f>
        <v>5473.7394529999992</v>
      </c>
      <c r="GC96" s="283">
        <f xml:space="preserve"> 'WK2015'!HF106</f>
        <v>6069.856143</v>
      </c>
      <c r="GD96" s="283">
        <f xml:space="preserve"> 'WK2015'!HG106</f>
        <v>5473.7394529999992</v>
      </c>
      <c r="GE96" s="283">
        <f xml:space="preserve"> 'WK2015'!HH106</f>
        <v>6069.856143</v>
      </c>
      <c r="GF96" s="283">
        <f xml:space="preserve"> 'WK2015'!HI106</f>
        <v>5473.7394529999992</v>
      </c>
      <c r="GG96" s="284">
        <f xml:space="preserve"> 'WK2015'!HJ106</f>
        <v>0.29649052898231032</v>
      </c>
      <c r="GI96" s="283">
        <f xml:space="preserve"> 'WK2015'!HQ106</f>
        <v>6431.104225</v>
      </c>
      <c r="GJ96" s="283">
        <f xml:space="preserve"> 'WK2015'!HR106</f>
        <v>5604.7553100000005</v>
      </c>
      <c r="GK96" s="283">
        <f xml:space="preserve"> 'WK2015'!HU106</f>
        <v>6431.104225</v>
      </c>
      <c r="GL96" s="283">
        <f xml:space="preserve"> 'WK2015'!HV106</f>
        <v>5604.7553100000005</v>
      </c>
      <c r="GM96" s="283">
        <f xml:space="preserve"> 'WK2015'!HW106</f>
        <v>6431.104225</v>
      </c>
      <c r="GN96" s="283">
        <f xml:space="preserve"> 'WK2015'!HX106</f>
        <v>5604.7553100000005</v>
      </c>
      <c r="GO96" s="284">
        <f xml:space="preserve"> 'WK2015'!HY106</f>
        <v>0.52212304800539466</v>
      </c>
    </row>
    <row r="97" spans="1:197" x14ac:dyDescent="0.2">
      <c r="A97" s="3">
        <f>Basis!A97</f>
        <v>97</v>
      </c>
      <c r="D97" s="252" t="e">
        <v>#N/A</v>
      </c>
      <c r="E97" s="252" t="e">
        <v>#N/A</v>
      </c>
      <c r="H97" s="50">
        <f xml:space="preserve"> 'WK2012'!EG107</f>
        <v>12802.578829253278</v>
      </c>
      <c r="I97" s="50">
        <f xml:space="preserve"> 'WK2012'!EH107</f>
        <v>10473.936460418108</v>
      </c>
      <c r="J97" s="50">
        <f xml:space="preserve"> 'WK2012'!EK107</f>
        <v>12802.578829253278</v>
      </c>
      <c r="K97" s="50">
        <f xml:space="preserve"> 'WK2012'!EL107</f>
        <v>10473.936460418108</v>
      </c>
      <c r="L97" s="50">
        <f xml:space="preserve"> 'WK2012'!EM107</f>
        <v>12802.578829253278</v>
      </c>
      <c r="M97" s="50">
        <f xml:space="preserve"> 'WK2012'!EN107</f>
        <v>10473.936460418108</v>
      </c>
      <c r="N97" s="61">
        <f xml:space="preserve"> 'WK2012'!EI107</f>
        <v>0.28365962003277156</v>
      </c>
      <c r="P97" s="50">
        <f xml:space="preserve"> 'WK2012'!EU107</f>
        <v>11322.143347257115</v>
      </c>
      <c r="Q97" s="50">
        <f xml:space="preserve"> 'WK2012'!EV107</f>
        <v>9582.8252972378195</v>
      </c>
      <c r="R97" s="50">
        <f xml:space="preserve"> 'WK2012'!EY107</f>
        <v>11322.143347257115</v>
      </c>
      <c r="S97" s="50">
        <f xml:space="preserve"> 'WK2012'!EZ107</f>
        <v>9582.8252972378195</v>
      </c>
      <c r="T97" s="50">
        <f xml:space="preserve"> 'WK2012'!FA107</f>
        <v>11322.143347257115</v>
      </c>
      <c r="U97" s="50">
        <f xml:space="preserve"> 'WK2012'!FB107</f>
        <v>9582.8252972378195</v>
      </c>
      <c r="V97" s="61">
        <f xml:space="preserve"> 'WK2012'!EW107</f>
        <v>0.27510014164913937</v>
      </c>
      <c r="X97" s="50">
        <f xml:space="preserve"> 'WK2012'!FI107</f>
        <v>8589.721307334672</v>
      </c>
      <c r="Y97" s="50">
        <f xml:space="preserve"> 'WK2012'!FJ107</f>
        <v>7187.0878781714164</v>
      </c>
      <c r="Z97" s="50">
        <f xml:space="preserve"> 'WK2012'!FM107</f>
        <v>8589.721307334672</v>
      </c>
      <c r="AA97" s="50">
        <f xml:space="preserve"> 'WK2012'!FN107</f>
        <v>7187.0878781714164</v>
      </c>
      <c r="AB97" s="50">
        <f xml:space="preserve"> 'WK2012'!FO107</f>
        <v>8589.721307334672</v>
      </c>
      <c r="AC97" s="50">
        <f xml:space="preserve"> 'WK2012'!FP107</f>
        <v>7187.0878781714164</v>
      </c>
      <c r="AD97" s="61">
        <f xml:space="preserve"> 'WK2012'!FK107</f>
        <v>0.32382610764198633</v>
      </c>
      <c r="AF97" s="50">
        <f xml:space="preserve"> 'WK2012'!FW107</f>
        <v>1781.0988091300198</v>
      </c>
      <c r="AG97" s="50">
        <f xml:space="preserve"> 'WK2012'!FX107</f>
        <v>1079.3692456837039</v>
      </c>
      <c r="AH97" s="50">
        <f xml:space="preserve"> 'WK2012'!GA107</f>
        <v>1781.0988091300198</v>
      </c>
      <c r="AI97" s="50">
        <f xml:space="preserve"> 'WK2012'!GB107</f>
        <v>1079.3692456837039</v>
      </c>
      <c r="AJ97" s="50">
        <f xml:space="preserve"> 'WK2012'!GC107</f>
        <v>1781.0988091300198</v>
      </c>
      <c r="AK97" s="50">
        <f xml:space="preserve"> 'WK2012'!GD107</f>
        <v>1079.3692456837039</v>
      </c>
      <c r="AL97" s="61">
        <f xml:space="preserve"> 'WK2012'!FY107</f>
        <v>0.33925175478026348</v>
      </c>
      <c r="AN97" s="50">
        <f xml:space="preserve"> 'WK2012'!GK107</f>
        <v>195.41774088594627</v>
      </c>
      <c r="AO97" s="50">
        <f xml:space="preserve"> 'WK2012'!GL107</f>
        <v>129.84358316617755</v>
      </c>
      <c r="AP97" s="50">
        <f xml:space="preserve"> 'WK2012'!GO107</f>
        <v>195.41774088594627</v>
      </c>
      <c r="AQ97" s="50">
        <f xml:space="preserve"> 'WK2012'!GP107</f>
        <v>129.84358316617755</v>
      </c>
      <c r="AR97" s="50">
        <f xml:space="preserve"> 'WK2012'!GQ107</f>
        <v>195.41774088594627</v>
      </c>
      <c r="AS97" s="50">
        <f xml:space="preserve"> 'WK2012'!GR107</f>
        <v>129.84358316617755</v>
      </c>
      <c r="AT97" s="61">
        <f xml:space="preserve"> 'WK2012'!GM107</f>
        <v>0.26061951126384114</v>
      </c>
      <c r="AX97" s="50">
        <f xml:space="preserve"> 'WK2013'!EG107</f>
        <v>14057.9193462</v>
      </c>
      <c r="AY97" s="50">
        <f xml:space="preserve"> 'WK2013'!EH107</f>
        <v>11083.5450602</v>
      </c>
      <c r="AZ97" s="50">
        <f xml:space="preserve"> 'WK2013'!EK107</f>
        <v>14057.9193462</v>
      </c>
      <c r="BA97" s="50">
        <f xml:space="preserve"> 'WK2013'!EL107</f>
        <v>11083.5450602</v>
      </c>
      <c r="BB97" s="50">
        <f xml:space="preserve"> 'WK2013'!EM107</f>
        <v>14057.9193462</v>
      </c>
      <c r="BC97" s="50">
        <f xml:space="preserve"> 'WK2013'!EN107</f>
        <v>11083.5450602</v>
      </c>
      <c r="BD97" s="61">
        <f xml:space="preserve"> 'WK2013'!EI107</f>
        <v>0.26162700783135079</v>
      </c>
      <c r="BF97" s="50">
        <f xml:space="preserve"> 'WK2013'!EU107</f>
        <v>11668.1693313</v>
      </c>
      <c r="BG97" s="50">
        <f xml:space="preserve"> 'WK2013'!EV107</f>
        <v>9591.5235477999995</v>
      </c>
      <c r="BH97" s="50">
        <f xml:space="preserve"> 'WK2013'!EY107</f>
        <v>11668.1693313</v>
      </c>
      <c r="BI97" s="50">
        <f xml:space="preserve"> 'WK2013'!EZ107</f>
        <v>9591.5235477999995</v>
      </c>
      <c r="BJ97" s="50">
        <f xml:space="preserve"> 'WK2013'!FA107</f>
        <v>11668.1693313</v>
      </c>
      <c r="BK97" s="50">
        <f xml:space="preserve"> 'WK2013'!FB107</f>
        <v>9591.5235477999995</v>
      </c>
      <c r="BL97" s="61">
        <f xml:space="preserve"> 'WK2013'!EW107</f>
        <v>0.26247622069714793</v>
      </c>
      <c r="BN97" s="50">
        <f xml:space="preserve"> 'WK2013'!FI107</f>
        <v>9568.1231488000012</v>
      </c>
      <c r="BO97" s="50">
        <f xml:space="preserve"> 'WK2013'!FJ107</f>
        <v>7870.173766599999</v>
      </c>
      <c r="BP97" s="50">
        <f xml:space="preserve"> 'WK2013'!FM107</f>
        <v>9568.1231488000012</v>
      </c>
      <c r="BQ97" s="50">
        <f xml:space="preserve"> 'WK2013'!FN107</f>
        <v>7870.173766599999</v>
      </c>
      <c r="BR97" s="50">
        <f xml:space="preserve"> 'WK2013'!FO107</f>
        <v>9568.1231488000012</v>
      </c>
      <c r="BS97" s="50">
        <f xml:space="preserve"> 'WK2013'!FP107</f>
        <v>7870.173766599999</v>
      </c>
      <c r="BT97" s="61">
        <f xml:space="preserve"> 'WK2013'!FK107</f>
        <v>0.2901949048248767</v>
      </c>
      <c r="BV97" s="50">
        <f xml:space="preserve"> 'WK2013'!FW107</f>
        <v>279.34155820000001</v>
      </c>
      <c r="BW97" s="50">
        <f xml:space="preserve"> 'WK2013'!FX107</f>
        <v>157.9406922</v>
      </c>
      <c r="BX97" s="50">
        <f xml:space="preserve"> 'WK2013'!GA107</f>
        <v>279.34155820000001</v>
      </c>
      <c r="BY97" s="50">
        <f xml:space="preserve"> 'WK2013'!GB107</f>
        <v>157.9406922</v>
      </c>
      <c r="BZ97" s="50">
        <f xml:space="preserve"> 'WK2013'!GC107</f>
        <v>279.34155820000001</v>
      </c>
      <c r="CA97" s="50">
        <f xml:space="preserve"> 'WK2013'!GD107</f>
        <v>157.9406922</v>
      </c>
      <c r="CB97" s="61">
        <f xml:space="preserve"> 'WK2013'!FY107</f>
        <v>0.2765287171906608</v>
      </c>
      <c r="CD97" s="50">
        <f xml:space="preserve"> 'WK2013'!GK107</f>
        <v>1980.9457095000002</v>
      </c>
      <c r="CE97" s="50">
        <f xml:space="preserve"> 'WK2013'!GL107</f>
        <v>1338.3908595000003</v>
      </c>
      <c r="CF97" s="50">
        <f xml:space="preserve"> 'WK2013'!GO107</f>
        <v>1980.9457095000002</v>
      </c>
      <c r="CG97" s="50">
        <f xml:space="preserve"> 'WK2013'!GP107</f>
        <v>1338.3908595000003</v>
      </c>
      <c r="CH97" s="50">
        <f xml:space="preserve"> 'WK2013'!GQ107</f>
        <v>1980.9457095000002</v>
      </c>
      <c r="CI97" s="50">
        <f xml:space="preserve"> 'WK2013'!GR107</f>
        <v>1338.3908595000003</v>
      </c>
      <c r="CJ97" s="61">
        <f xml:space="preserve"> 'WK2013'!GM107</f>
        <v>0.31108440577943397</v>
      </c>
      <c r="CN97" s="50">
        <f xml:space="preserve"> 'WK2014'!EG107</f>
        <v>14199.955913199999</v>
      </c>
      <c r="CO97" s="50">
        <f xml:space="preserve"> 'WK2014'!EH107</f>
        <v>11226.9667312</v>
      </c>
      <c r="CP97" s="50">
        <f xml:space="preserve"> 'WK2014'!EK107</f>
        <v>14199.955913199999</v>
      </c>
      <c r="CQ97" s="50">
        <f xml:space="preserve"> 'WK2014'!EL107</f>
        <v>11226.9667312</v>
      </c>
      <c r="CR97" s="50">
        <f xml:space="preserve"> 'WK2014'!EM107</f>
        <v>14199.955913199999</v>
      </c>
      <c r="CS97" s="50">
        <f xml:space="preserve"> 'WK2014'!EN107</f>
        <v>11226.9667312</v>
      </c>
      <c r="CT97" s="61">
        <f xml:space="preserve"> 'WK2014'!EI107</f>
        <v>0.2913810205643087</v>
      </c>
      <c r="CV97" s="50">
        <f xml:space="preserve"> 'WK2014'!EU107</f>
        <v>10830.017752799999</v>
      </c>
      <c r="CW97" s="50">
        <f xml:space="preserve"> 'WK2014'!EV107</f>
        <v>8530.2105847999974</v>
      </c>
      <c r="CX97" s="50">
        <f xml:space="preserve"> 'WK2014'!EY107</f>
        <v>10830.017752799999</v>
      </c>
      <c r="CY97" s="50">
        <f xml:space="preserve"> 'WK2014'!EZ107</f>
        <v>8530.2105847999974</v>
      </c>
      <c r="CZ97" s="50">
        <f xml:space="preserve"> 'WK2014'!FA107</f>
        <v>10830.017752799999</v>
      </c>
      <c r="DA97" s="50">
        <f xml:space="preserve"> 'WK2014'!FB107</f>
        <v>8530.2105847999974</v>
      </c>
      <c r="DB97" s="61">
        <f xml:space="preserve"> 'WK2014'!EW107</f>
        <v>0.26063095972934774</v>
      </c>
      <c r="DC97" s="1"/>
      <c r="DD97" s="50">
        <f xml:space="preserve"> 'WK2014'!FI107</f>
        <v>9109.2577096000005</v>
      </c>
      <c r="DE97" s="50">
        <f xml:space="preserve"> 'WK2014'!FJ107</f>
        <v>7318.3143934</v>
      </c>
      <c r="DF97" s="50">
        <f xml:space="preserve"> 'WK2014'!FM107</f>
        <v>9109.2577096000005</v>
      </c>
      <c r="DG97" s="50">
        <f xml:space="preserve"> 'WK2014'!FN107</f>
        <v>7318.3143934</v>
      </c>
      <c r="DH97" s="50">
        <f xml:space="preserve"> 'WK2014'!FO107</f>
        <v>9109.2577096000005</v>
      </c>
      <c r="DI97" s="50">
        <f xml:space="preserve"> 'WK2014'!FP107</f>
        <v>7318.3143934</v>
      </c>
      <c r="DJ97" s="61">
        <f xml:space="preserve"> 'WK2014'!FK107</f>
        <v>0.33864545198535623</v>
      </c>
      <c r="DK97" s="1"/>
      <c r="DL97" s="50">
        <f xml:space="preserve"> 'WK2014'!FW107</f>
        <v>283.68035520000001</v>
      </c>
      <c r="DM97" s="50">
        <f xml:space="preserve"> 'WK2014'!FX107</f>
        <v>166.7607112</v>
      </c>
      <c r="DN97" s="50">
        <f xml:space="preserve"> 'WK2014'!GA107</f>
        <v>283.68035520000001</v>
      </c>
      <c r="DO97" s="50">
        <f xml:space="preserve"> 'WK2014'!GB107</f>
        <v>166.7607112</v>
      </c>
      <c r="DP97" s="50">
        <f xml:space="preserve"> 'WK2014'!GC107</f>
        <v>283.68035520000001</v>
      </c>
      <c r="DQ97" s="50">
        <f xml:space="preserve"> 'WK2014'!GD107</f>
        <v>166.7607112</v>
      </c>
      <c r="DR97" s="61">
        <f xml:space="preserve"> 'WK2014'!FY107</f>
        <v>0.28877165354330708</v>
      </c>
      <c r="DS97" s="1"/>
      <c r="DT97" s="50">
        <f xml:space="preserve"> 'WK2014'!GK107</f>
        <v>2745.7301939999998</v>
      </c>
      <c r="DU97" s="50">
        <f xml:space="preserve"> 'WK2014'!GL107</f>
        <v>2045.6212620000006</v>
      </c>
      <c r="DV97" s="50">
        <f xml:space="preserve"> 'WK2014'!GO107</f>
        <v>2745.7301939999998</v>
      </c>
      <c r="DW97" s="50">
        <f xml:space="preserve"> 'WK2014'!GP107</f>
        <v>2045.6212620000006</v>
      </c>
      <c r="DX97" s="50">
        <f xml:space="preserve"> 'WK2014'!GQ107</f>
        <v>2745.7301939999998</v>
      </c>
      <c r="DY97" s="50">
        <f xml:space="preserve"> 'WK2014'!GR107</f>
        <v>2045.6212620000006</v>
      </c>
      <c r="DZ97" s="61">
        <f xml:space="preserve"> 'WK2014'!GM107</f>
        <v>0.35772638016578479</v>
      </c>
      <c r="ED97" s="50">
        <f xml:space="preserve"> 'WK2015'!EG107</f>
        <v>13027.513468199999</v>
      </c>
      <c r="EE97" s="50">
        <f xml:space="preserve"> 'WK2015'!EH107</f>
        <v>10220.104145200001</v>
      </c>
      <c r="EF97" s="50">
        <f xml:space="preserve"> 'WK2015'!EK107</f>
        <v>13027.513468199999</v>
      </c>
      <c r="EG97" s="50">
        <f xml:space="preserve"> 'WK2015'!EL107</f>
        <v>10220.104145200001</v>
      </c>
      <c r="EH97" s="50">
        <f xml:space="preserve"> 'WK2015'!EM107</f>
        <v>13027.513468199999</v>
      </c>
      <c r="EI97" s="50">
        <f xml:space="preserve"> 'WK2015'!EN107</f>
        <v>10220.104145200001</v>
      </c>
      <c r="EJ97" s="61">
        <f xml:space="preserve"> 'WK2015'!EI107</f>
        <v>0.34828244136528225</v>
      </c>
      <c r="EK97" s="1"/>
      <c r="EL97" s="50">
        <f xml:space="preserve"> 'WK2015'!EU107</f>
        <v>12000.9156678</v>
      </c>
      <c r="EM97" s="50">
        <f xml:space="preserve"> 'WK2015'!EV107</f>
        <v>9709.2445583000008</v>
      </c>
      <c r="EN97" s="50">
        <f xml:space="preserve"> 'WK2015'!EY107</f>
        <v>12000.9156678</v>
      </c>
      <c r="EO97" s="50">
        <f xml:space="preserve"> 'WK2015'!EZ107</f>
        <v>9709.2445583000008</v>
      </c>
      <c r="EP97" s="50">
        <f xml:space="preserve"> 'WK2015'!FA107</f>
        <v>12000.9156678</v>
      </c>
      <c r="EQ97" s="50">
        <f xml:space="preserve"> 'WK2015'!FB107</f>
        <v>9709.2445583000008</v>
      </c>
      <c r="ER97" s="61">
        <f xml:space="preserve"> 'WK2015'!EW107</f>
        <v>0.30451676825828078</v>
      </c>
      <c r="ES97" s="1"/>
      <c r="ET97" s="50">
        <f xml:space="preserve"> 'WK2015'!FI107</f>
        <v>10884.018259799999</v>
      </c>
      <c r="EU97" s="50">
        <f xml:space="preserve"> 'WK2015'!FJ107</f>
        <v>8598.7228073999995</v>
      </c>
      <c r="EV97" s="50">
        <f xml:space="preserve"> 'WK2015'!FM107</f>
        <v>10884.018259799999</v>
      </c>
      <c r="EW97" s="50">
        <f xml:space="preserve"> 'WK2015'!FN107</f>
        <v>8598.7228073999995</v>
      </c>
      <c r="EX97" s="50">
        <f xml:space="preserve"> 'WK2015'!FO107</f>
        <v>10884.018259799999</v>
      </c>
      <c r="EY97" s="50">
        <f xml:space="preserve"> 'WK2015'!FP107</f>
        <v>8598.7228073999995</v>
      </c>
      <c r="EZ97" s="61">
        <f xml:space="preserve"> 'WK2015'!FK107</f>
        <v>0.33330681285104313</v>
      </c>
      <c r="FA97" s="1"/>
      <c r="FB97" s="50">
        <f xml:space="preserve"> 'WK2015'!FW107</f>
        <v>306.31720320000005</v>
      </c>
      <c r="FC97" s="50">
        <f xml:space="preserve"> 'WK2015'!FX107</f>
        <v>230.53132920000002</v>
      </c>
      <c r="FD97" s="50">
        <f xml:space="preserve"> 'WK2015'!GA107</f>
        <v>306.31720320000005</v>
      </c>
      <c r="FE97" s="50">
        <f xml:space="preserve"> 'WK2015'!GB107</f>
        <v>230.53132920000002</v>
      </c>
      <c r="FF97" s="50">
        <f xml:space="preserve"> 'WK2015'!GC107</f>
        <v>306.31720320000005</v>
      </c>
      <c r="FG97" s="50">
        <f xml:space="preserve"> 'WK2015'!GD107</f>
        <v>230.53132920000002</v>
      </c>
      <c r="FH97" s="61">
        <f xml:space="preserve"> 'WK2015'!FY107</f>
        <v>0.34121540753892815</v>
      </c>
      <c r="FI97" s="1"/>
      <c r="FJ97" s="50">
        <f xml:space="preserve"> 'WK2015'!GK107</f>
        <v>1930.0949369999998</v>
      </c>
      <c r="FK97" s="50">
        <f xml:space="preserve"> 'WK2015'!GL107</f>
        <v>1467.2247795000005</v>
      </c>
      <c r="FL97" s="50">
        <f xml:space="preserve"> 'WK2015'!GO107</f>
        <v>1930.0949369999998</v>
      </c>
      <c r="FM97" s="50">
        <f xml:space="preserve"> 'WK2015'!GP107</f>
        <v>1467.2247795000005</v>
      </c>
      <c r="FN97" s="50">
        <f xml:space="preserve"> 'WK2015'!GQ107</f>
        <v>1930.0949369999998</v>
      </c>
      <c r="FO97" s="50">
        <f xml:space="preserve"> 'WK2015'!GR107</f>
        <v>1467.2247795000005</v>
      </c>
      <c r="FP97" s="61">
        <f xml:space="preserve"> 'WK2015'!GM107</f>
        <v>0.35762959618198831</v>
      </c>
      <c r="FS97" s="283">
        <f xml:space="preserve"> 'WK2015'!H107</f>
        <v>6446.7268049999993</v>
      </c>
      <c r="FT97" s="283">
        <f xml:space="preserve"> 'WK2015'!I107</f>
        <v>5409.0636399999994</v>
      </c>
      <c r="FU97" s="283">
        <f xml:space="preserve"> 'WK2015'!L107</f>
        <v>6446.7268049999993</v>
      </c>
      <c r="FV97" s="283">
        <f xml:space="preserve"> 'WK2015'!M107</f>
        <v>5409.0636399999994</v>
      </c>
      <c r="FW97" s="283">
        <f xml:space="preserve"> 'WK2015'!N107</f>
        <v>6446.7268049999993</v>
      </c>
      <c r="FX97" s="283">
        <f xml:space="preserve"> 'WK2015'!O107</f>
        <v>5409.0636399999994</v>
      </c>
      <c r="FY97" s="284">
        <f xml:space="preserve"> 'WK2015'!P107</f>
        <v>0.36000113296035086</v>
      </c>
      <c r="GA97" s="283">
        <f xml:space="preserve"> 'WK2015'!HB107</f>
        <v>6133.3020569999999</v>
      </c>
      <c r="GB97" s="283">
        <f xml:space="preserve"> 'WK2015'!HC107</f>
        <v>5527.6445099999992</v>
      </c>
      <c r="GC97" s="283">
        <f xml:space="preserve"> 'WK2015'!HF107</f>
        <v>6133.3020569999999</v>
      </c>
      <c r="GD97" s="283">
        <f xml:space="preserve"> 'WK2015'!HG107</f>
        <v>5527.6445099999992</v>
      </c>
      <c r="GE97" s="283">
        <f xml:space="preserve"> 'WK2015'!HH107</f>
        <v>6133.3020569999999</v>
      </c>
      <c r="GF97" s="283">
        <f xml:space="preserve"> 'WK2015'!HI107</f>
        <v>5527.6445099999992</v>
      </c>
      <c r="GG97" s="284">
        <f xml:space="preserve"> 'WK2015'!HJ107</f>
        <v>0.25121739130434784</v>
      </c>
      <c r="GI97" s="283">
        <f xml:space="preserve"> 'WK2015'!HQ107</f>
        <v>6524.6746250000006</v>
      </c>
      <c r="GJ97" s="283">
        <f xml:space="preserve"> 'WK2015'!HR107</f>
        <v>5657.1811379999999</v>
      </c>
      <c r="GK97" s="283">
        <f xml:space="preserve"> 'WK2015'!HU107</f>
        <v>6524.6746250000006</v>
      </c>
      <c r="GL97" s="283">
        <f xml:space="preserve"> 'WK2015'!HV107</f>
        <v>5657.1811379999999</v>
      </c>
      <c r="GM97" s="283">
        <f xml:space="preserve"> 'WK2015'!HW107</f>
        <v>6524.6746250000006</v>
      </c>
      <c r="GN97" s="283">
        <f xml:space="preserve"> 'WK2015'!HX107</f>
        <v>5657.1811379999999</v>
      </c>
      <c r="GO97" s="284">
        <f xml:space="preserve"> 'WK2015'!HY107</f>
        <v>0.25</v>
      </c>
    </row>
    <row r="98" spans="1:197" x14ac:dyDescent="0.2">
      <c r="A98" s="3">
        <f>Basis!A98</f>
        <v>98</v>
      </c>
      <c r="D98" s="252" t="e">
        <v>#N/A</v>
      </c>
      <c r="E98" s="252" t="e">
        <v>#N/A</v>
      </c>
      <c r="H98" s="50">
        <f xml:space="preserve"> 'WK2012'!EG108</f>
        <v>12928.86976219214</v>
      </c>
      <c r="I98" s="50">
        <f xml:space="preserve"> 'WK2012'!EH108</f>
        <v>10518.564568098285</v>
      </c>
      <c r="J98" s="50">
        <f xml:space="preserve"> 'WK2012'!EK108</f>
        <v>12928.86976219214</v>
      </c>
      <c r="K98" s="50">
        <f xml:space="preserve"> 'WK2012'!EL108</f>
        <v>10518.564568098285</v>
      </c>
      <c r="L98" s="50">
        <f xml:space="preserve"> 'WK2012'!EM108</f>
        <v>12928.86976219214</v>
      </c>
      <c r="M98" s="50">
        <f xml:space="preserve"> 'WK2012'!EN108</f>
        <v>10518.564568098285</v>
      </c>
      <c r="N98" s="61">
        <f xml:space="preserve"> 'WK2012'!EI108</f>
        <v>0.2149269179720617</v>
      </c>
      <c r="P98" s="50">
        <f xml:space="preserve"> 'WK2012'!EU108</f>
        <v>11407.687238743145</v>
      </c>
      <c r="Q98" s="50">
        <f xml:space="preserve"> 'WK2012'!EV108</f>
        <v>9610.0848350829056</v>
      </c>
      <c r="R98" s="50">
        <f xml:space="preserve"> 'WK2012'!EY108</f>
        <v>11407.687238743145</v>
      </c>
      <c r="S98" s="50">
        <f xml:space="preserve"> 'WK2012'!EZ108</f>
        <v>9610.0848350829056</v>
      </c>
      <c r="T98" s="50">
        <f xml:space="preserve"> 'WK2012'!FA108</f>
        <v>11407.687238743145</v>
      </c>
      <c r="U98" s="50">
        <f xml:space="preserve"> 'WK2012'!FB108</f>
        <v>9610.0848350829056</v>
      </c>
      <c r="V98" s="61">
        <f xml:space="preserve"> 'WK2012'!EW108</f>
        <v>0.18194532192020213</v>
      </c>
      <c r="X98" s="50">
        <f xml:space="preserve"> 'WK2012'!FI108</f>
        <v>8666.8721488757383</v>
      </c>
      <c r="Y98" s="50">
        <f xml:space="preserve"> 'WK2012'!FJ108</f>
        <v>7212.7234899054838</v>
      </c>
      <c r="Z98" s="50">
        <f xml:space="preserve"> 'WK2012'!FM108</f>
        <v>8666.8721488757383</v>
      </c>
      <c r="AA98" s="50">
        <f xml:space="preserve"> 'WK2012'!FN108</f>
        <v>7212.7234899054838</v>
      </c>
      <c r="AB98" s="50">
        <f xml:space="preserve"> 'WK2012'!FO108</f>
        <v>8666.8721488757383</v>
      </c>
      <c r="AC98" s="50">
        <f xml:space="preserve"> 'WK2012'!FP108</f>
        <v>7212.7234899054838</v>
      </c>
      <c r="AD98" s="61">
        <f xml:space="preserve"> 'WK2012'!FK108</f>
        <v>0.27993199184364348</v>
      </c>
      <c r="AF98" s="50">
        <f xml:space="preserve"> 'WK2012'!FW108</f>
        <v>1784.4554491300194</v>
      </c>
      <c r="AG98" s="50">
        <f xml:space="preserve"> 'WK2012'!FX108</f>
        <v>1079.3692456837039</v>
      </c>
      <c r="AH98" s="50">
        <f xml:space="preserve"> 'WK2012'!GA108</f>
        <v>1784.4554491300194</v>
      </c>
      <c r="AI98" s="50">
        <f xml:space="preserve"> 'WK2012'!GB108</f>
        <v>1079.3692456837039</v>
      </c>
      <c r="AJ98" s="50">
        <f xml:space="preserve"> 'WK2012'!GC108</f>
        <v>1784.4554491300194</v>
      </c>
      <c r="AK98" s="50">
        <f xml:space="preserve"> 'WK2012'!GD108</f>
        <v>1079.3692456837039</v>
      </c>
      <c r="AL98" s="61">
        <f xml:space="preserve"> 'WK2012'!FY108</f>
        <v>0.28564007313710316</v>
      </c>
      <c r="AN98" s="50">
        <f xml:space="preserve"> 'WK2012'!GK108</f>
        <v>176.52417375863899</v>
      </c>
      <c r="AO98" s="50">
        <f xml:space="preserve"> 'WK2012'!GL108</f>
        <v>111.24620972207586</v>
      </c>
      <c r="AP98" s="50">
        <f xml:space="preserve"> 'WK2012'!GO108</f>
        <v>176.52417375863899</v>
      </c>
      <c r="AQ98" s="50">
        <f xml:space="preserve"> 'WK2012'!GP108</f>
        <v>111.24620972207586</v>
      </c>
      <c r="AR98" s="50">
        <f xml:space="preserve"> 'WK2012'!GQ108</f>
        <v>176.52417375863899</v>
      </c>
      <c r="AS98" s="50">
        <f xml:space="preserve"> 'WK2012'!GR108</f>
        <v>111.24620972207586</v>
      </c>
      <c r="AT98" s="61">
        <f xml:space="preserve"> 'WK2012'!GM108</f>
        <v>0.15</v>
      </c>
      <c r="AX98" s="50">
        <f xml:space="preserve"> 'WK2013'!EG108</f>
        <v>14178.494234600001</v>
      </c>
      <c r="AY98" s="50">
        <f xml:space="preserve"> 'WK2013'!EH108</f>
        <v>11109.851361000001</v>
      </c>
      <c r="AZ98" s="50">
        <f xml:space="preserve"> 'WK2013'!EK108</f>
        <v>14178.494234600001</v>
      </c>
      <c r="BA98" s="50">
        <f xml:space="preserve"> 'WK2013'!EL108</f>
        <v>11109.851361000001</v>
      </c>
      <c r="BB98" s="50">
        <f xml:space="preserve"> 'WK2013'!EM108</f>
        <v>14178.494234600001</v>
      </c>
      <c r="BC98" s="50">
        <f xml:space="preserve"> 'WK2013'!EN108</f>
        <v>11109.851361000001</v>
      </c>
      <c r="BD98" s="61">
        <f xml:space="preserve"> 'WK2013'!EI108</f>
        <v>0.31061924734566992</v>
      </c>
      <c r="BF98" s="50">
        <f xml:space="preserve"> 'WK2013'!EU108</f>
        <v>11682.741786899998</v>
      </c>
      <c r="BG98" s="50">
        <f xml:space="preserve"> 'WK2013'!EV108</f>
        <v>9594.9353060000012</v>
      </c>
      <c r="BH98" s="50">
        <f xml:space="preserve"> 'WK2013'!EY108</f>
        <v>11682.741786899998</v>
      </c>
      <c r="BI98" s="50">
        <f xml:space="preserve"> 'WK2013'!EZ108</f>
        <v>9594.9353060000012</v>
      </c>
      <c r="BJ98" s="50">
        <f xml:space="preserve"> 'WK2013'!FA108</f>
        <v>11682.741786899998</v>
      </c>
      <c r="BK98" s="50">
        <f xml:space="preserve"> 'WK2013'!FB108</f>
        <v>9594.9353060000012</v>
      </c>
      <c r="BL98" s="61">
        <f xml:space="preserve"> 'WK2013'!EW108</f>
        <v>0.35072679612459579</v>
      </c>
      <c r="BN98" s="50">
        <f xml:space="preserve"> 'WK2013'!FI108</f>
        <v>9620.8797570000006</v>
      </c>
      <c r="BO98" s="50">
        <f xml:space="preserve"> 'WK2013'!FJ108</f>
        <v>7865.3997231999992</v>
      </c>
      <c r="BP98" s="50">
        <f xml:space="preserve"> 'WK2013'!FM108</f>
        <v>9620.8797570000006</v>
      </c>
      <c r="BQ98" s="50">
        <f xml:space="preserve"> 'WK2013'!FN108</f>
        <v>7865.3997231999992</v>
      </c>
      <c r="BR98" s="50">
        <f xml:space="preserve"> 'WK2013'!FO108</f>
        <v>9620.8797570000006</v>
      </c>
      <c r="BS98" s="50">
        <f xml:space="preserve"> 'WK2013'!FP108</f>
        <v>7865.3997231999992</v>
      </c>
      <c r="BT98" s="61">
        <f xml:space="preserve"> 'WK2013'!FK108</f>
        <v>0.3372688384699839</v>
      </c>
      <c r="BV98" s="50">
        <f xml:space="preserve"> 'WK2013'!FW108</f>
        <v>253.99636960000004</v>
      </c>
      <c r="BW98" s="50">
        <f xml:space="preserve"> 'WK2013'!FX108</f>
        <v>129.19240000000002</v>
      </c>
      <c r="BX98" s="50">
        <f xml:space="preserve"> 'WK2013'!GA108</f>
        <v>253.99636960000004</v>
      </c>
      <c r="BY98" s="50">
        <f xml:space="preserve"> 'WK2013'!GB108</f>
        <v>129.19240000000002</v>
      </c>
      <c r="BZ98" s="50">
        <f xml:space="preserve"> 'WK2013'!GC108</f>
        <v>253.99636960000004</v>
      </c>
      <c r="CA98" s="50">
        <f xml:space="preserve"> 'WK2013'!GD108</f>
        <v>129.19240000000002</v>
      </c>
      <c r="CB98" s="61">
        <f xml:space="preserve"> 'WK2013'!FY108</f>
        <v>0.34360195073439709</v>
      </c>
      <c r="CD98" s="50">
        <f xml:space="preserve"> 'WK2013'!GK108</f>
        <v>2004.7329922500001</v>
      </c>
      <c r="CE98" s="50">
        <f xml:space="preserve"> 'WK2013'!GL108</f>
        <v>1338.3908595000003</v>
      </c>
      <c r="CF98" s="50">
        <f xml:space="preserve"> 'WK2013'!GO108</f>
        <v>2004.7329922500001</v>
      </c>
      <c r="CG98" s="50">
        <f xml:space="preserve"> 'WK2013'!GP108</f>
        <v>1338.3908595000003</v>
      </c>
      <c r="CH98" s="50">
        <f xml:space="preserve"> 'WK2013'!GQ108</f>
        <v>2004.7329922500001</v>
      </c>
      <c r="CI98" s="50">
        <f xml:space="preserve"> 'WK2013'!GR108</f>
        <v>1338.3908595000003</v>
      </c>
      <c r="CJ98" s="61">
        <f xml:space="preserve"> 'WK2013'!GM108</f>
        <v>0.29748390294141563</v>
      </c>
      <c r="CN98" s="50">
        <f xml:space="preserve"> 'WK2014'!EG108</f>
        <v>14327.8410448</v>
      </c>
      <c r="CO98" s="50">
        <f xml:space="preserve"> 'WK2014'!EH108</f>
        <v>11255.529954400001</v>
      </c>
      <c r="CP98" s="50">
        <f xml:space="preserve"> 'WK2014'!EK108</f>
        <v>14327.8410448</v>
      </c>
      <c r="CQ98" s="50">
        <f xml:space="preserve"> 'WK2014'!EL108</f>
        <v>11255.529954400001</v>
      </c>
      <c r="CR98" s="50">
        <f xml:space="preserve"> 'WK2014'!EM108</f>
        <v>14327.8410448</v>
      </c>
      <c r="CS98" s="50">
        <f xml:space="preserve"> 'WK2014'!EN108</f>
        <v>11255.529954400001</v>
      </c>
      <c r="CT98" s="61">
        <f xml:space="preserve"> 'WK2014'!EI108</f>
        <v>0.28342756435619015</v>
      </c>
      <c r="CV98" s="50">
        <f xml:space="preserve"> 'WK2014'!EU108</f>
        <v>10840.2828472</v>
      </c>
      <c r="CW98" s="50">
        <f xml:space="preserve"> 'WK2014'!EV108</f>
        <v>8540.1157886000001</v>
      </c>
      <c r="CX98" s="50">
        <f xml:space="preserve"> 'WK2014'!EY108</f>
        <v>10840.2828472</v>
      </c>
      <c r="CY98" s="50">
        <f xml:space="preserve"> 'WK2014'!EZ108</f>
        <v>8540.1157886000001</v>
      </c>
      <c r="CZ98" s="50">
        <f xml:space="preserve"> 'WK2014'!FA108</f>
        <v>10840.2828472</v>
      </c>
      <c r="DA98" s="50">
        <f xml:space="preserve"> 'WK2014'!FB108</f>
        <v>8540.1157886000001</v>
      </c>
      <c r="DB98" s="61">
        <f xml:space="preserve"> 'WK2014'!EW108</f>
        <v>0.24547569019105495</v>
      </c>
      <c r="DC98" s="1"/>
      <c r="DD98" s="50">
        <f xml:space="preserve"> 'WK2014'!FI108</f>
        <v>9176.5852727999991</v>
      </c>
      <c r="DE98" s="50">
        <f xml:space="preserve"> 'WK2014'!FJ108</f>
        <v>7332.3189747999995</v>
      </c>
      <c r="DF98" s="50">
        <f xml:space="preserve"> 'WK2014'!FM108</f>
        <v>9176.5852727999991</v>
      </c>
      <c r="DG98" s="50">
        <f xml:space="preserve"> 'WK2014'!FN108</f>
        <v>7332.3189747999995</v>
      </c>
      <c r="DH98" s="50">
        <f xml:space="preserve"> 'WK2014'!FO108</f>
        <v>9176.5852727999991</v>
      </c>
      <c r="DI98" s="50">
        <f xml:space="preserve"> 'WK2014'!FP108</f>
        <v>7332.3189747999995</v>
      </c>
      <c r="DJ98" s="61">
        <f xml:space="preserve"> 'WK2014'!FK108</f>
        <v>0.29179423311847574</v>
      </c>
      <c r="DK98" s="1"/>
      <c r="DL98" s="50">
        <f xml:space="preserve"> 'WK2014'!FW108</f>
        <v>260.07083280000001</v>
      </c>
      <c r="DM98" s="50">
        <f xml:space="preserve"> 'WK2014'!FX108</f>
        <v>139.53449440000003</v>
      </c>
      <c r="DN98" s="50">
        <f xml:space="preserve"> 'WK2014'!GA108</f>
        <v>260.07083280000001</v>
      </c>
      <c r="DO98" s="50">
        <f xml:space="preserve"> 'WK2014'!GB108</f>
        <v>139.53449440000003</v>
      </c>
      <c r="DP98" s="50">
        <f xml:space="preserve"> 'WK2014'!GC108</f>
        <v>260.07083280000001</v>
      </c>
      <c r="DQ98" s="50">
        <f xml:space="preserve"> 'WK2014'!GD108</f>
        <v>139.53449440000003</v>
      </c>
      <c r="DR98" s="61">
        <f xml:space="preserve"> 'WK2014'!FY108</f>
        <v>0.26757170761117011</v>
      </c>
      <c r="DS98" s="1"/>
      <c r="DT98" s="50">
        <f xml:space="preserve"> 'WK2014'!GK108</f>
        <v>2766.976686</v>
      </c>
      <c r="DU98" s="50">
        <f xml:space="preserve"> 'WK2014'!GL108</f>
        <v>2045.6212620000006</v>
      </c>
      <c r="DV98" s="50">
        <f xml:space="preserve"> 'WK2014'!GO108</f>
        <v>2766.976686</v>
      </c>
      <c r="DW98" s="50">
        <f xml:space="preserve"> 'WK2014'!GP108</f>
        <v>2045.6212620000006</v>
      </c>
      <c r="DX98" s="50">
        <f xml:space="preserve"> 'WK2014'!GQ108</f>
        <v>2766.976686</v>
      </c>
      <c r="DY98" s="50">
        <f xml:space="preserve"> 'WK2014'!GR108</f>
        <v>2045.6212620000006</v>
      </c>
      <c r="DZ98" s="61">
        <f xml:space="preserve"> 'WK2014'!GM108</f>
        <v>0.32483660970448913</v>
      </c>
      <c r="ED98" s="50">
        <f xml:space="preserve"> 'WK2015'!EG108</f>
        <v>13105.9768702</v>
      </c>
      <c r="EE98" s="50">
        <f xml:space="preserve"> 'WK2015'!EH108</f>
        <v>10232.4515692</v>
      </c>
      <c r="EF98" s="50">
        <f xml:space="preserve"> 'WK2015'!EK108</f>
        <v>13105.9768702</v>
      </c>
      <c r="EG98" s="50">
        <f xml:space="preserve"> 'WK2015'!EL108</f>
        <v>10232.4515692</v>
      </c>
      <c r="EH98" s="50">
        <f xml:space="preserve"> 'WK2015'!EM108</f>
        <v>13105.9768702</v>
      </c>
      <c r="EI98" s="50">
        <f xml:space="preserve"> 'WK2015'!EN108</f>
        <v>10232.4515692</v>
      </c>
      <c r="EJ98" s="61">
        <f xml:space="preserve"> 'WK2015'!EI108</f>
        <v>0.25582890501160011</v>
      </c>
      <c r="EK98" s="1"/>
      <c r="EL98" s="50">
        <f xml:space="preserve"> 'WK2015'!EU108</f>
        <v>12000.477983300001</v>
      </c>
      <c r="EM98" s="50">
        <f xml:space="preserve"> 'WK2015'!EV108</f>
        <v>9722.7459708000006</v>
      </c>
      <c r="EN98" s="50">
        <f xml:space="preserve"> 'WK2015'!EY108</f>
        <v>12000.477983300001</v>
      </c>
      <c r="EO98" s="50">
        <f xml:space="preserve"> 'WK2015'!EZ108</f>
        <v>9722.7459708000006</v>
      </c>
      <c r="EP98" s="50">
        <f xml:space="preserve"> 'WK2015'!FA108</f>
        <v>12000.477983300001</v>
      </c>
      <c r="EQ98" s="50">
        <f xml:space="preserve"> 'WK2015'!FB108</f>
        <v>9722.7459708000006</v>
      </c>
      <c r="ER98" s="61">
        <f xml:space="preserve"> 'WK2015'!EW108</f>
        <v>0.23360199170563714</v>
      </c>
      <c r="ES98" s="1"/>
      <c r="ET98" s="50">
        <f xml:space="preserve"> 'WK2015'!FI108</f>
        <v>10935.949971599999</v>
      </c>
      <c r="EU98" s="50">
        <f xml:space="preserve"> 'WK2015'!FJ108</f>
        <v>8619.6631623999983</v>
      </c>
      <c r="EV98" s="50">
        <f xml:space="preserve"> 'WK2015'!FM108</f>
        <v>10935.949971599999</v>
      </c>
      <c r="EW98" s="50">
        <f xml:space="preserve"> 'WK2015'!FN108</f>
        <v>8619.6631623999983</v>
      </c>
      <c r="EX98" s="50">
        <f xml:space="preserve"> 'WK2015'!FO108</f>
        <v>10935.949971599999</v>
      </c>
      <c r="EY98" s="50">
        <f xml:space="preserve"> 'WK2015'!FP108</f>
        <v>8619.6631623999983</v>
      </c>
      <c r="EZ98" s="61">
        <f xml:space="preserve"> 'WK2015'!FK108</f>
        <v>0.28711730501247679</v>
      </c>
      <c r="FA98" s="1"/>
      <c r="FB98" s="50">
        <f xml:space="preserve"> 'WK2015'!FW108</f>
        <v>280.12845520000008</v>
      </c>
      <c r="FC98" s="50">
        <f xml:space="preserve"> 'WK2015'!FX108</f>
        <v>207.3828992</v>
      </c>
      <c r="FD98" s="50">
        <f xml:space="preserve"> 'WK2015'!GA108</f>
        <v>280.12845520000008</v>
      </c>
      <c r="FE98" s="50">
        <f xml:space="preserve"> 'WK2015'!GB108</f>
        <v>207.3828992</v>
      </c>
      <c r="FF98" s="50">
        <f xml:space="preserve"> 'WK2015'!GC108</f>
        <v>280.12845520000008</v>
      </c>
      <c r="FG98" s="50">
        <f xml:space="preserve"> 'WK2015'!GD108</f>
        <v>207.3828992</v>
      </c>
      <c r="FH98" s="61">
        <f xml:space="preserve"> 'WK2015'!FY108</f>
        <v>0.24951695600614579</v>
      </c>
      <c r="FI98" s="1"/>
      <c r="FJ98" s="50">
        <f xml:space="preserve"> 'WK2015'!GK108</f>
        <v>1959.6260745000006</v>
      </c>
      <c r="FK98" s="50">
        <f xml:space="preserve"> 'WK2015'!GL108</f>
        <v>1467.2247795000005</v>
      </c>
      <c r="FL98" s="50">
        <f xml:space="preserve"> 'WK2015'!GO108</f>
        <v>1959.6260745000006</v>
      </c>
      <c r="FM98" s="50">
        <f xml:space="preserve"> 'WK2015'!GP108</f>
        <v>1467.2247795000005</v>
      </c>
      <c r="FN98" s="50">
        <f xml:space="preserve"> 'WK2015'!GQ108</f>
        <v>1959.6260745000006</v>
      </c>
      <c r="FO98" s="50">
        <f xml:space="preserve"> 'WK2015'!GR108</f>
        <v>1467.2247795000005</v>
      </c>
      <c r="FP98" s="61">
        <f xml:space="preserve"> 'WK2015'!GM108</f>
        <v>0.30062354750365011</v>
      </c>
      <c r="FS98" s="283">
        <f xml:space="preserve"> 'WK2015'!H108</f>
        <v>6512.004105</v>
      </c>
      <c r="FT98" s="283">
        <f xml:space="preserve"> 'WK2015'!I108</f>
        <v>5444.5594940000001</v>
      </c>
      <c r="FU98" s="283">
        <f xml:space="preserve"> 'WK2015'!L108</f>
        <v>6512.004105</v>
      </c>
      <c r="FV98" s="283">
        <f xml:space="preserve"> 'WK2015'!M108</f>
        <v>5444.5594940000001</v>
      </c>
      <c r="FW98" s="283">
        <f xml:space="preserve"> 'WK2015'!N108</f>
        <v>6512.004105</v>
      </c>
      <c r="FX98" s="283">
        <f xml:space="preserve"> 'WK2015'!O108</f>
        <v>5444.5594940000001</v>
      </c>
      <c r="FY98" s="284">
        <f xml:space="preserve"> 'WK2015'!P108</f>
        <v>0.2333133193235265</v>
      </c>
      <c r="GA98" s="283">
        <f xml:space="preserve"> 'WK2015'!HB108</f>
        <v>6196.5509339999999</v>
      </c>
      <c r="GB98" s="283">
        <f xml:space="preserve"> 'WK2015'!HC108</f>
        <v>5581.685348</v>
      </c>
      <c r="GC98" s="283">
        <f xml:space="preserve"> 'WK2015'!HF108</f>
        <v>6196.5509339999999</v>
      </c>
      <c r="GD98" s="283">
        <f xml:space="preserve"> 'WK2015'!HG108</f>
        <v>5581.685348</v>
      </c>
      <c r="GE98" s="283">
        <f xml:space="preserve"> 'WK2015'!HH108</f>
        <v>6196.5509339999999</v>
      </c>
      <c r="GF98" s="283">
        <f xml:space="preserve"> 'WK2015'!HI108</f>
        <v>5581.685348</v>
      </c>
      <c r="GG98" s="284">
        <f xml:space="preserve"> 'WK2015'!HJ108</f>
        <v>0.46377391304347826</v>
      </c>
      <c r="GI98" s="283">
        <f xml:space="preserve"> 'WK2015'!HQ108</f>
        <v>6618.3513549999998</v>
      </c>
      <c r="GJ98" s="283">
        <f xml:space="preserve"> 'WK2015'!HR108</f>
        <v>5709.7620719999995</v>
      </c>
      <c r="GK98" s="283">
        <f xml:space="preserve"> 'WK2015'!HU108</f>
        <v>6618.3513549999998</v>
      </c>
      <c r="GL98" s="283">
        <f xml:space="preserve"> 'WK2015'!HV108</f>
        <v>5709.7620719999995</v>
      </c>
      <c r="GM98" s="283">
        <f xml:space="preserve"> 'WK2015'!HW108</f>
        <v>6618.3513549999998</v>
      </c>
      <c r="GN98" s="283">
        <f xml:space="preserve"> 'WK2015'!HX108</f>
        <v>5709.7620719999995</v>
      </c>
      <c r="GO98" s="284">
        <f xml:space="preserve"> 'WK2015'!HY108</f>
        <v>0.65888888888888897</v>
      </c>
    </row>
    <row r="99" spans="1:197" x14ac:dyDescent="0.2">
      <c r="A99" s="3">
        <f>Basis!A99</f>
        <v>99</v>
      </c>
      <c r="D99" s="252" t="e">
        <v>#N/A</v>
      </c>
      <c r="E99" s="252" t="e">
        <v>#N/A</v>
      </c>
      <c r="H99" s="50">
        <f xml:space="preserve"> 'WK2012'!EG109</f>
        <v>13055.1011174706</v>
      </c>
      <c r="I99" s="50">
        <f xml:space="preserve"> 'WK2012'!EH109</f>
        <v>10563.200891335338</v>
      </c>
      <c r="J99" s="50">
        <f xml:space="preserve"> 'WK2012'!EK109</f>
        <v>13055.1011174706</v>
      </c>
      <c r="K99" s="50">
        <f xml:space="preserve"> 'WK2012'!EL109</f>
        <v>10563.200891335338</v>
      </c>
      <c r="L99" s="50">
        <f xml:space="preserve"> 'WK2012'!EM109</f>
        <v>13055.1011174706</v>
      </c>
      <c r="M99" s="50">
        <f xml:space="preserve"> 'WK2012'!EN109</f>
        <v>10563.200891335338</v>
      </c>
      <c r="N99" s="61">
        <f xml:space="preserve"> 'WK2012'!EI109</f>
        <v>0.15924194219090074</v>
      </c>
      <c r="P99" s="50">
        <f xml:space="preserve"> 'WK2012'!EU109</f>
        <v>11492.330626613399</v>
      </c>
      <c r="Q99" s="50">
        <f xml:space="preserve"> 'WK2012'!EV109</f>
        <v>9637.3381593701706</v>
      </c>
      <c r="R99" s="50">
        <f xml:space="preserve"> 'WK2012'!EY109</f>
        <v>11492.330626613399</v>
      </c>
      <c r="S99" s="50">
        <f xml:space="preserve"> 'WK2012'!EZ109</f>
        <v>9637.3381593701706</v>
      </c>
      <c r="T99" s="50">
        <f xml:space="preserve"> 'WK2012'!FA109</f>
        <v>11492.330626613399</v>
      </c>
      <c r="U99" s="50">
        <f xml:space="preserve"> 'WK2012'!FB109</f>
        <v>9637.3381593701706</v>
      </c>
      <c r="V99" s="61">
        <f xml:space="preserve"> 'WK2012'!EW109</f>
        <v>0.15</v>
      </c>
      <c r="X99" s="50">
        <f xml:space="preserve"> 'WK2012'!FI109</f>
        <v>8743.9778822800508</v>
      </c>
      <c r="Y99" s="50">
        <f xml:space="preserve"> 'WK2012'!FJ109</f>
        <v>7237.9864247291835</v>
      </c>
      <c r="Z99" s="50">
        <f xml:space="preserve"> 'WK2012'!FM109</f>
        <v>8743.9778822800508</v>
      </c>
      <c r="AA99" s="50">
        <f xml:space="preserve"> 'WK2012'!FN109</f>
        <v>7237.9864247291835</v>
      </c>
      <c r="AB99" s="50">
        <f xml:space="preserve"> 'WK2012'!FO109</f>
        <v>8743.9778822800508</v>
      </c>
      <c r="AC99" s="50">
        <f xml:space="preserve"> 'WK2012'!FP109</f>
        <v>7237.9864247291835</v>
      </c>
      <c r="AD99" s="61">
        <f xml:space="preserve"> 'WK2012'!FK109</f>
        <v>0.1855925921947342</v>
      </c>
      <c r="AF99" s="50">
        <f xml:space="preserve"> 'WK2012'!FW109</f>
        <v>1787.7667291300199</v>
      </c>
      <c r="AG99" s="50">
        <f xml:space="preserve"> 'WK2012'!FX109</f>
        <v>1079.3692456837039</v>
      </c>
      <c r="AH99" s="50">
        <f xml:space="preserve"> 'WK2012'!GA109</f>
        <v>1787.7667291300199</v>
      </c>
      <c r="AI99" s="50">
        <f xml:space="preserve"> 'WK2012'!GB109</f>
        <v>1079.3692456837039</v>
      </c>
      <c r="AJ99" s="50">
        <f xml:space="preserve"> 'WK2012'!GC109</f>
        <v>1787.7667291300199</v>
      </c>
      <c r="AK99" s="50">
        <f xml:space="preserve"> 'WK2012'!GD109</f>
        <v>1079.3692456837039</v>
      </c>
      <c r="AL99" s="61">
        <f xml:space="preserve"> 'WK2012'!FY109</f>
        <v>0.17177201604597286</v>
      </c>
      <c r="AN99" s="50">
        <f xml:space="preserve"> 'WK2012'!GK109</f>
        <v>157.62165522921066</v>
      </c>
      <c r="AO99" s="50">
        <f xml:space="preserve"> 'WK2012'!GL109</f>
        <v>92.700047696658515</v>
      </c>
      <c r="AP99" s="50">
        <f xml:space="preserve"> 'WK2012'!GO109</f>
        <v>157.62165522921066</v>
      </c>
      <c r="AQ99" s="50">
        <f xml:space="preserve"> 'WK2012'!GP109</f>
        <v>92.700047696658515</v>
      </c>
      <c r="AR99" s="50">
        <f xml:space="preserve"> 'WK2012'!GQ109</f>
        <v>157.62165522921066</v>
      </c>
      <c r="AS99" s="50">
        <f xml:space="preserve"> 'WK2012'!GR109</f>
        <v>92.700047696658515</v>
      </c>
      <c r="AT99" s="61">
        <f xml:space="preserve"> 'WK2012'!GM109</f>
        <v>0.17733991290111634</v>
      </c>
      <c r="AX99" s="50">
        <f xml:space="preserve"> 'WK2013'!EG109</f>
        <v>14299.705652599998</v>
      </c>
      <c r="AY99" s="50">
        <f xml:space="preserve"> 'WK2013'!EH109</f>
        <v>11136.670885000001</v>
      </c>
      <c r="AZ99" s="50">
        <f xml:space="preserve"> 'WK2013'!EK109</f>
        <v>14299.705652599998</v>
      </c>
      <c r="BA99" s="50">
        <f xml:space="preserve"> 'WK2013'!EL109</f>
        <v>11136.670885000001</v>
      </c>
      <c r="BB99" s="50">
        <f xml:space="preserve"> 'WK2013'!EM109</f>
        <v>14299.705652599998</v>
      </c>
      <c r="BC99" s="50">
        <f xml:space="preserve"> 'WK2013'!EN109</f>
        <v>11136.670885000001</v>
      </c>
      <c r="BD99" s="61">
        <f xml:space="preserve"> 'WK2013'!EI109</f>
        <v>0.1974605433866409</v>
      </c>
      <c r="BF99" s="50">
        <f xml:space="preserve"> 'WK2013'!EU109</f>
        <v>11697.923731399998</v>
      </c>
      <c r="BG99" s="50">
        <f xml:space="preserve"> 'WK2013'!EV109</f>
        <v>9598.4315350000015</v>
      </c>
      <c r="BH99" s="50">
        <f xml:space="preserve"> 'WK2013'!EY109</f>
        <v>11697.923731399998</v>
      </c>
      <c r="BI99" s="50">
        <f xml:space="preserve"> 'WK2013'!EZ109</f>
        <v>9598.4315350000015</v>
      </c>
      <c r="BJ99" s="50">
        <f xml:space="preserve"> 'WK2013'!FA109</f>
        <v>11697.923731399998</v>
      </c>
      <c r="BK99" s="50">
        <f xml:space="preserve"> 'WK2013'!FB109</f>
        <v>9598.4315350000015</v>
      </c>
      <c r="BL99" s="61">
        <f xml:space="preserve"> 'WK2013'!EW109</f>
        <v>0.23093305440363429</v>
      </c>
      <c r="BN99" s="50">
        <f xml:space="preserve"> 'WK2013'!FI109</f>
        <v>9674.3510609999994</v>
      </c>
      <c r="BO99" s="50">
        <f xml:space="preserve"> 'WK2013'!FJ109</f>
        <v>7861.3499699999984</v>
      </c>
      <c r="BP99" s="50">
        <f xml:space="preserve"> 'WK2013'!FM109</f>
        <v>9674.3510609999994</v>
      </c>
      <c r="BQ99" s="50">
        <f xml:space="preserve"> 'WK2013'!FN109</f>
        <v>7861.3499699999984</v>
      </c>
      <c r="BR99" s="50">
        <f xml:space="preserve"> 'WK2013'!FO109</f>
        <v>9674.3510609999994</v>
      </c>
      <c r="BS99" s="50">
        <f xml:space="preserve"> 'WK2013'!FP109</f>
        <v>7861.3499699999984</v>
      </c>
      <c r="BT99" s="61">
        <f xml:space="preserve"> 'WK2013'!FK109</f>
        <v>0.23885764273557536</v>
      </c>
      <c r="BV99" s="50">
        <f xml:space="preserve"> 'WK2013'!FW109</f>
        <v>229.35584460000001</v>
      </c>
      <c r="BW99" s="50">
        <f xml:space="preserve"> 'WK2013'!FX109</f>
        <v>100.771962</v>
      </c>
      <c r="BX99" s="50">
        <f xml:space="preserve"> 'WK2013'!GA109</f>
        <v>229.35584460000001</v>
      </c>
      <c r="BY99" s="50">
        <f xml:space="preserve"> 'WK2013'!GB109</f>
        <v>100.771962</v>
      </c>
      <c r="BZ99" s="50">
        <f xml:space="preserve"> 'WK2013'!GC109</f>
        <v>229.35584460000001</v>
      </c>
      <c r="CA99" s="50">
        <f xml:space="preserve"> 'WK2013'!GD109</f>
        <v>100.771962</v>
      </c>
      <c r="CB99" s="61">
        <f xml:space="preserve"> 'WK2013'!FY109</f>
        <v>0.23046083383287483</v>
      </c>
      <c r="CD99" s="50">
        <f xml:space="preserve"> 'WK2013'!GK109</f>
        <v>2028.4691745000005</v>
      </c>
      <c r="CE99" s="50">
        <f xml:space="preserve"> 'WK2013'!GL109</f>
        <v>1338.3908595000003</v>
      </c>
      <c r="CF99" s="50">
        <f xml:space="preserve"> 'WK2013'!GO109</f>
        <v>2028.4691745000005</v>
      </c>
      <c r="CG99" s="50">
        <f xml:space="preserve"> 'WK2013'!GP109</f>
        <v>1338.3908595000003</v>
      </c>
      <c r="CH99" s="50">
        <f xml:space="preserve"> 'WK2013'!GQ109</f>
        <v>2028.4691745000005</v>
      </c>
      <c r="CI99" s="50">
        <f xml:space="preserve"> 'WK2013'!GR109</f>
        <v>1338.3908595000003</v>
      </c>
      <c r="CJ99" s="61">
        <f xml:space="preserve"> 'WK2013'!GM109</f>
        <v>0.19249567049073138</v>
      </c>
      <c r="CN99" s="50">
        <f xml:space="preserve"> 'WK2014'!EG109</f>
        <v>14456.310065199999</v>
      </c>
      <c r="CO99" s="50">
        <f xml:space="preserve"> 'WK2014'!EH109</f>
        <v>11284.3962056</v>
      </c>
      <c r="CP99" s="50">
        <f xml:space="preserve"> 'WK2014'!EK109</f>
        <v>14456.310065199999</v>
      </c>
      <c r="CQ99" s="50">
        <f xml:space="preserve"> 'WK2014'!EL109</f>
        <v>11284.3962056</v>
      </c>
      <c r="CR99" s="50">
        <f xml:space="preserve"> 'WK2014'!EM109</f>
        <v>14456.310065199999</v>
      </c>
      <c r="CS99" s="50">
        <f xml:space="preserve"> 'WK2014'!EN109</f>
        <v>11284.3962056</v>
      </c>
      <c r="CT99" s="61">
        <f xml:space="preserve"> 'WK2014'!EI109</f>
        <v>0.29356034126852287</v>
      </c>
      <c r="CV99" s="50">
        <f xml:space="preserve"> 'WK2014'!EU109</f>
        <v>10851.070486300001</v>
      </c>
      <c r="CW99" s="50">
        <f xml:space="preserve"> 'WK2014'!EV109</f>
        <v>8550.2048714000011</v>
      </c>
      <c r="CX99" s="50">
        <f xml:space="preserve"> 'WK2014'!EY109</f>
        <v>10851.070486300001</v>
      </c>
      <c r="CY99" s="50">
        <f xml:space="preserve"> 'WK2014'!EZ109</f>
        <v>8550.2048714000011</v>
      </c>
      <c r="CZ99" s="50">
        <f xml:space="preserve"> 'WK2014'!FA109</f>
        <v>10851.070486300001</v>
      </c>
      <c r="DA99" s="50">
        <f xml:space="preserve"> 'WK2014'!FB109</f>
        <v>8550.2048714000011</v>
      </c>
      <c r="DB99" s="61">
        <f xml:space="preserve"> 'WK2014'!EW109</f>
        <v>0.29008286060325206</v>
      </c>
      <c r="DC99" s="1"/>
      <c r="DD99" s="50">
        <f xml:space="preserve"> 'WK2014'!FI109</f>
        <v>9244.2711160000017</v>
      </c>
      <c r="DE99" s="50">
        <f xml:space="preserve"> 'WK2014'!FJ109</f>
        <v>7346.3578363999995</v>
      </c>
      <c r="DF99" s="50">
        <f xml:space="preserve"> 'WK2014'!FM109</f>
        <v>9244.2711160000017</v>
      </c>
      <c r="DG99" s="50">
        <f xml:space="preserve"> 'WK2014'!FN109</f>
        <v>7346.3578363999995</v>
      </c>
      <c r="DH99" s="50">
        <f xml:space="preserve"> 'WK2014'!FO109</f>
        <v>9244.2711160000017</v>
      </c>
      <c r="DI99" s="50">
        <f xml:space="preserve"> 'WK2014'!FP109</f>
        <v>7346.3578363999995</v>
      </c>
      <c r="DJ99" s="61">
        <f xml:space="preserve"> 'WK2014'!FK109</f>
        <v>0.31731373474240587</v>
      </c>
      <c r="DK99" s="1"/>
      <c r="DL99" s="50">
        <f xml:space="preserve"> 'WK2014'!FW109</f>
        <v>237.1153272</v>
      </c>
      <c r="DM99" s="50">
        <f xml:space="preserve"> 'WK2014'!FX109</f>
        <v>112.61130560000001</v>
      </c>
      <c r="DN99" s="50">
        <f xml:space="preserve"> 'WK2014'!GA109</f>
        <v>237.1153272</v>
      </c>
      <c r="DO99" s="50">
        <f xml:space="preserve"> 'WK2014'!GB109</f>
        <v>112.61130560000001</v>
      </c>
      <c r="DP99" s="50">
        <f xml:space="preserve"> 'WK2014'!GC109</f>
        <v>237.1153272</v>
      </c>
      <c r="DQ99" s="50">
        <f xml:space="preserve"> 'WK2014'!GD109</f>
        <v>112.61130560000001</v>
      </c>
      <c r="DR99" s="61">
        <f xml:space="preserve"> 'WK2014'!FY109</f>
        <v>0.30418852011852598</v>
      </c>
      <c r="DS99" s="1"/>
      <c r="DT99" s="50">
        <f xml:space="preserve"> 'WK2014'!GK109</f>
        <v>2788.206972</v>
      </c>
      <c r="DU99" s="50">
        <f xml:space="preserve"> 'WK2014'!GL109</f>
        <v>2045.6212620000006</v>
      </c>
      <c r="DV99" s="50">
        <f xml:space="preserve"> 'WK2014'!GO109</f>
        <v>2788.206972</v>
      </c>
      <c r="DW99" s="50">
        <f xml:space="preserve"> 'WK2014'!GP109</f>
        <v>2045.6212620000006</v>
      </c>
      <c r="DX99" s="50">
        <f xml:space="preserve"> 'WK2014'!GQ109</f>
        <v>2788.206972</v>
      </c>
      <c r="DY99" s="50">
        <f xml:space="preserve"> 'WK2014'!GR109</f>
        <v>2045.6212620000006</v>
      </c>
      <c r="DZ99" s="61">
        <f xml:space="preserve"> 'WK2014'!GM109</f>
        <v>0.31288852101391917</v>
      </c>
      <c r="ED99" s="50">
        <f xml:space="preserve"> 'WK2015'!EG109</f>
        <v>13184.6960122</v>
      </c>
      <c r="EE99" s="50">
        <f xml:space="preserve"> 'WK2015'!EH109</f>
        <v>10245.464282000003</v>
      </c>
      <c r="EF99" s="50">
        <f xml:space="preserve"> 'WK2015'!EK109</f>
        <v>13184.6960122</v>
      </c>
      <c r="EG99" s="50">
        <f xml:space="preserve"> 'WK2015'!EL109</f>
        <v>10245.464282000003</v>
      </c>
      <c r="EH99" s="50">
        <f xml:space="preserve"> 'WK2015'!EM109</f>
        <v>13184.6960122</v>
      </c>
      <c r="EI99" s="50">
        <f xml:space="preserve"> 'WK2015'!EN109</f>
        <v>10245.464282000003</v>
      </c>
      <c r="EJ99" s="61">
        <f xml:space="preserve"> 'WK2015'!EI109</f>
        <v>0.2756489813122468</v>
      </c>
      <c r="EK99" s="1"/>
      <c r="EL99" s="50">
        <f xml:space="preserve"> 'WK2015'!EU109</f>
        <v>12000.0364078</v>
      </c>
      <c r="EM99" s="50">
        <f xml:space="preserve"> 'WK2015'!EV109</f>
        <v>9736.9098570000006</v>
      </c>
      <c r="EN99" s="50">
        <f xml:space="preserve"> 'WK2015'!EY109</f>
        <v>12000.0364078</v>
      </c>
      <c r="EO99" s="50">
        <f xml:space="preserve"> 'WK2015'!EZ109</f>
        <v>9736.9098570000006</v>
      </c>
      <c r="EP99" s="50">
        <f xml:space="preserve"> 'WK2015'!FA109</f>
        <v>12000.0364078</v>
      </c>
      <c r="EQ99" s="50">
        <f xml:space="preserve"> 'WK2015'!FB109</f>
        <v>9736.9098570000006</v>
      </c>
      <c r="ER99" s="61">
        <f xml:space="preserve"> 'WK2015'!EW109</f>
        <v>0.21491564611838701</v>
      </c>
      <c r="ES99" s="1"/>
      <c r="ET99" s="50">
        <f xml:space="preserve"> 'WK2015'!FI109</f>
        <v>10988.237633999999</v>
      </c>
      <c r="EU99" s="50">
        <f xml:space="preserve"> 'WK2015'!FJ109</f>
        <v>8640.8152505999988</v>
      </c>
      <c r="EV99" s="50">
        <f xml:space="preserve"> 'WK2015'!FM109</f>
        <v>10988.237633999999</v>
      </c>
      <c r="EW99" s="50">
        <f xml:space="preserve"> 'WK2015'!FN109</f>
        <v>8640.8152505999988</v>
      </c>
      <c r="EX99" s="50">
        <f xml:space="preserve"> 'WK2015'!FO109</f>
        <v>10988.237633999999</v>
      </c>
      <c r="EY99" s="50">
        <f xml:space="preserve"> 'WK2015'!FP109</f>
        <v>8640.8152505999988</v>
      </c>
      <c r="EZ99" s="61">
        <f xml:space="preserve"> 'WK2015'!FK109</f>
        <v>0.28635676787684727</v>
      </c>
      <c r="FA99" s="1"/>
      <c r="FB99" s="50">
        <f xml:space="preserve"> 'WK2015'!FW109</f>
        <v>254.53826720000001</v>
      </c>
      <c r="FC99" s="50">
        <f xml:space="preserve"> 'WK2015'!FX109</f>
        <v>184.89975799999999</v>
      </c>
      <c r="FD99" s="50">
        <f xml:space="preserve"> 'WK2015'!GA109</f>
        <v>254.53826720000001</v>
      </c>
      <c r="FE99" s="50">
        <f xml:space="preserve"> 'WK2015'!GB109</f>
        <v>184.89975799999999</v>
      </c>
      <c r="FF99" s="50">
        <f xml:space="preserve"> 'WK2015'!GC109</f>
        <v>254.53826720000001</v>
      </c>
      <c r="FG99" s="50">
        <f xml:space="preserve"> 'WK2015'!GD109</f>
        <v>184.89975799999999</v>
      </c>
      <c r="FH99" s="61">
        <f xml:space="preserve"> 'WK2015'!FY109</f>
        <v>0.24201646188616366</v>
      </c>
      <c r="FI99" s="1"/>
      <c r="FJ99" s="50">
        <f xml:space="preserve"> 'WK2015'!GK109</f>
        <v>1988.9742757500001</v>
      </c>
      <c r="FK99" s="50">
        <f xml:space="preserve"> 'WK2015'!GL109</f>
        <v>1467.2247795000005</v>
      </c>
      <c r="FL99" s="50">
        <f xml:space="preserve"> 'WK2015'!GO109</f>
        <v>1988.9742757500001</v>
      </c>
      <c r="FM99" s="50">
        <f xml:space="preserve"> 'WK2015'!GP109</f>
        <v>1467.2247795000005</v>
      </c>
      <c r="FN99" s="50">
        <f xml:space="preserve"> 'WK2015'!GQ109</f>
        <v>1988.9742757500001</v>
      </c>
      <c r="FO99" s="50">
        <f xml:space="preserve"> 'WK2015'!GR109</f>
        <v>1467.2247795000005</v>
      </c>
      <c r="FP99" s="61">
        <f xml:space="preserve"> 'WK2015'!GM109</f>
        <v>0.33243370023388258</v>
      </c>
      <c r="FS99" s="283">
        <f xml:space="preserve"> 'WK2015'!H109</f>
        <v>6577.1824999999999</v>
      </c>
      <c r="FT99" s="283">
        <f xml:space="preserve"> 'WK2015'!I109</f>
        <v>5480.0553479999999</v>
      </c>
      <c r="FU99" s="283">
        <f xml:space="preserve"> 'WK2015'!L109</f>
        <v>6577.1824999999999</v>
      </c>
      <c r="FV99" s="283">
        <f xml:space="preserve"> 'WK2015'!M109</f>
        <v>5480.0553479999999</v>
      </c>
      <c r="FW99" s="283">
        <f xml:space="preserve"> 'WK2015'!N109</f>
        <v>6577.1824999999999</v>
      </c>
      <c r="FX99" s="283">
        <f xml:space="preserve"> 'WK2015'!O109</f>
        <v>5480.0553479999999</v>
      </c>
      <c r="FY99" s="284">
        <f xml:space="preserve"> 'WK2015'!P109</f>
        <v>0.27138005329075987</v>
      </c>
      <c r="GA99" s="283">
        <f xml:space="preserve"> 'WK2015'!HB109</f>
        <v>6259.6684529999993</v>
      </c>
      <c r="GB99" s="283">
        <f xml:space="preserve"> 'WK2015'!HC109</f>
        <v>5635.9977479999998</v>
      </c>
      <c r="GC99" s="283">
        <f xml:space="preserve"> 'WK2015'!HF109</f>
        <v>6259.6684529999993</v>
      </c>
      <c r="GD99" s="283">
        <f xml:space="preserve"> 'WK2015'!HG109</f>
        <v>5635.9977479999998</v>
      </c>
      <c r="GE99" s="283">
        <f xml:space="preserve"> 'WK2015'!HH109</f>
        <v>6259.6684529999993</v>
      </c>
      <c r="GF99" s="283">
        <f xml:space="preserve"> 'WK2015'!HI109</f>
        <v>5635.9977479999998</v>
      </c>
      <c r="GG99" s="284">
        <f xml:space="preserve"> 'WK2015'!HJ109</f>
        <v>0.15</v>
      </c>
      <c r="GI99" s="283">
        <f xml:space="preserve"> 'WK2015'!HQ109</f>
        <v>6712.1875799999998</v>
      </c>
      <c r="GJ99" s="283">
        <f xml:space="preserve"> 'WK2015'!HR109</f>
        <v>5762.265453</v>
      </c>
      <c r="GK99" s="283">
        <f xml:space="preserve"> 'WK2015'!HU109</f>
        <v>6712.1875799999998</v>
      </c>
      <c r="GL99" s="283">
        <f xml:space="preserve"> 'WK2015'!HV109</f>
        <v>5762.265453</v>
      </c>
      <c r="GM99" s="283">
        <f xml:space="preserve"> 'WK2015'!HW109</f>
        <v>6712.1875799999998</v>
      </c>
      <c r="GN99" s="283">
        <f xml:space="preserve"> 'WK2015'!HX109</f>
        <v>5762.265453</v>
      </c>
      <c r="GO99" s="284">
        <f xml:space="preserve"> 'WK2015'!HY109</f>
        <v>0.18182561976709302</v>
      </c>
    </row>
    <row r="100" spans="1:197" x14ac:dyDescent="0.2">
      <c r="A100" s="3">
        <f>Basis!A100</f>
        <v>100</v>
      </c>
      <c r="D100" s="252" t="e">
        <v>#N/A</v>
      </c>
      <c r="E100" s="252" t="e">
        <v>#N/A</v>
      </c>
      <c r="H100" s="50">
        <f xml:space="preserve"> 'WK2012'!EG110</f>
        <v>13200.234878149344</v>
      </c>
      <c r="I100" s="50">
        <f xml:space="preserve"> 'WK2012'!EH110</f>
        <v>10626.370776096004</v>
      </c>
      <c r="J100" s="50">
        <f xml:space="preserve"> 'WK2012'!EK110</f>
        <v>13200.234878149344</v>
      </c>
      <c r="K100" s="50">
        <f xml:space="preserve"> 'WK2012'!EL110</f>
        <v>10626.370776096004</v>
      </c>
      <c r="L100" s="50">
        <f xml:space="preserve"> 'WK2012'!EM110</f>
        <v>13200.234878149344</v>
      </c>
      <c r="M100" s="50">
        <f xml:space="preserve"> 'WK2012'!EN110</f>
        <v>10626.370776096004</v>
      </c>
      <c r="N100" s="61">
        <f xml:space="preserve"> 'WK2012'!EI110</f>
        <v>0.15</v>
      </c>
      <c r="P100" s="50">
        <f xml:space="preserve"> 'WK2012'!EU110</f>
        <v>11593.147490996482</v>
      </c>
      <c r="Q100" s="50">
        <f xml:space="preserve"> 'WK2012'!EV110</f>
        <v>9681.3845910779783</v>
      </c>
      <c r="R100" s="50">
        <f xml:space="preserve"> 'WK2012'!EY110</f>
        <v>11593.147490996482</v>
      </c>
      <c r="S100" s="50">
        <f xml:space="preserve"> 'WK2012'!EZ110</f>
        <v>9681.3845910779783</v>
      </c>
      <c r="T100" s="50">
        <f xml:space="preserve"> 'WK2012'!FA110</f>
        <v>11593.147490996482</v>
      </c>
      <c r="U100" s="50">
        <f xml:space="preserve"> 'WK2012'!FB110</f>
        <v>9681.3845910779783</v>
      </c>
      <c r="V100" s="61">
        <f xml:space="preserve"> 'WK2012'!EW110</f>
        <v>0.24258687540636581</v>
      </c>
      <c r="X100" s="50">
        <f xml:space="preserve"> 'WK2012'!FI110</f>
        <v>8832.6259383600063</v>
      </c>
      <c r="Y100" s="50">
        <f xml:space="preserve"> 'WK2012'!FJ110</f>
        <v>7274.752395879791</v>
      </c>
      <c r="Z100" s="50">
        <f xml:space="preserve"> 'WK2012'!FM110</f>
        <v>8832.6259383600063</v>
      </c>
      <c r="AA100" s="50">
        <f xml:space="preserve"> 'WK2012'!FN110</f>
        <v>7274.752395879791</v>
      </c>
      <c r="AB100" s="50">
        <f xml:space="preserve"> 'WK2012'!FO110</f>
        <v>8832.6259383600063</v>
      </c>
      <c r="AC100" s="50">
        <f xml:space="preserve"> 'WK2012'!FP110</f>
        <v>7274.752395879791</v>
      </c>
      <c r="AD100" s="61">
        <f xml:space="preserve"> 'WK2012'!FK110</f>
        <v>0.16394634243045003</v>
      </c>
      <c r="AF100" s="50">
        <f xml:space="preserve"> 'WK2012'!FW110</f>
        <v>1791.0780091300203</v>
      </c>
      <c r="AG100" s="50">
        <f xml:space="preserve"> 'WK2012'!FX110</f>
        <v>1079.3692456837039</v>
      </c>
      <c r="AH100" s="50">
        <f xml:space="preserve"> 'WK2012'!GA110</f>
        <v>1791.0780091300203</v>
      </c>
      <c r="AI100" s="50">
        <f xml:space="preserve"> 'WK2012'!GB110</f>
        <v>1079.3692456837039</v>
      </c>
      <c r="AJ100" s="50">
        <f xml:space="preserve"> 'WK2012'!GC110</f>
        <v>1791.0780091300203</v>
      </c>
      <c r="AK100" s="50">
        <f xml:space="preserve"> 'WK2012'!GD110</f>
        <v>1079.3692456837039</v>
      </c>
      <c r="AL100" s="61">
        <f xml:space="preserve"> 'WK2012'!FY110</f>
        <v>0.15</v>
      </c>
      <c r="AN100" s="50">
        <f xml:space="preserve"> 'WK2012'!GK110</f>
        <v>157.62165522921066</v>
      </c>
      <c r="AO100" s="50">
        <f xml:space="preserve"> 'WK2012'!GL110</f>
        <v>92.700047696658515</v>
      </c>
      <c r="AP100" s="50">
        <f xml:space="preserve"> 'WK2012'!GO110</f>
        <v>157.62165522921066</v>
      </c>
      <c r="AQ100" s="50">
        <f xml:space="preserve"> 'WK2012'!GP110</f>
        <v>92.700047696658515</v>
      </c>
      <c r="AR100" s="50">
        <f xml:space="preserve"> 'WK2012'!GQ110</f>
        <v>157.62165522921066</v>
      </c>
      <c r="AS100" s="50">
        <f xml:space="preserve"> 'WK2012'!GR110</f>
        <v>92.700047696658515</v>
      </c>
      <c r="AT100" s="61">
        <f xml:space="preserve"> 'WK2012'!GM110</f>
        <v>0.56589147286821706</v>
      </c>
      <c r="AX100" s="50">
        <f xml:space="preserve"> 'WK2013'!EG110</f>
        <v>14421.516218599998</v>
      </c>
      <c r="AY100" s="50">
        <f xml:space="preserve"> 'WK2013'!EH110</f>
        <v>11163.555630800001</v>
      </c>
      <c r="AZ100" s="50">
        <f xml:space="preserve"> 'WK2013'!EK110</f>
        <v>14421.516218599998</v>
      </c>
      <c r="BA100" s="50">
        <f xml:space="preserve"> 'WK2013'!EL110</f>
        <v>11163.555630800001</v>
      </c>
      <c r="BB100" s="50">
        <f xml:space="preserve"> 'WK2013'!EM110</f>
        <v>14421.516218599998</v>
      </c>
      <c r="BC100" s="50">
        <f xml:space="preserve"> 'WK2013'!EN110</f>
        <v>11163.555630800001</v>
      </c>
      <c r="BD100" s="61">
        <f xml:space="preserve"> 'WK2013'!EI110</f>
        <v>0.15</v>
      </c>
      <c r="BF100" s="50">
        <f xml:space="preserve"> 'WK2013'!EU110</f>
        <v>11713.773547899998</v>
      </c>
      <c r="BG100" s="50">
        <f xml:space="preserve"> 'WK2013'!EV110</f>
        <v>9601.9411861999997</v>
      </c>
      <c r="BH100" s="50">
        <f xml:space="preserve"> 'WK2013'!EY110</f>
        <v>11713.773547899998</v>
      </c>
      <c r="BI100" s="50">
        <f xml:space="preserve"> 'WK2013'!EZ110</f>
        <v>9601.9411861999997</v>
      </c>
      <c r="BJ100" s="50">
        <f xml:space="preserve"> 'WK2013'!FA110</f>
        <v>11713.773547899998</v>
      </c>
      <c r="BK100" s="50">
        <f xml:space="preserve"> 'WK2013'!FB110</f>
        <v>9601.9411861999997</v>
      </c>
      <c r="BL100" s="61">
        <f xml:space="preserve"> 'WK2013'!EW110</f>
        <v>0.15</v>
      </c>
      <c r="BN100" s="50">
        <f xml:space="preserve"> 'WK2013'!FI110</f>
        <v>9728.5158078000004</v>
      </c>
      <c r="BO100" s="50">
        <f xml:space="preserve"> 'WK2013'!FJ110</f>
        <v>7857.8857324000001</v>
      </c>
      <c r="BP100" s="50">
        <f xml:space="preserve"> 'WK2013'!FM110</f>
        <v>9728.5158078000004</v>
      </c>
      <c r="BQ100" s="50">
        <f xml:space="preserve"> 'WK2013'!FN110</f>
        <v>7857.8857324000001</v>
      </c>
      <c r="BR100" s="50">
        <f xml:space="preserve"> 'WK2013'!FO110</f>
        <v>9728.5158078000004</v>
      </c>
      <c r="BS100" s="50">
        <f xml:space="preserve"> 'WK2013'!FP110</f>
        <v>7857.8857324000001</v>
      </c>
      <c r="BT100" s="61">
        <f xml:space="preserve"> 'WK2013'!FK110</f>
        <v>0.15</v>
      </c>
      <c r="BV100" s="50">
        <f xml:space="preserve"> 'WK2013'!FW110</f>
        <v>205.41666860000001</v>
      </c>
      <c r="BW100" s="50">
        <f xml:space="preserve"> 'WK2013'!FX110</f>
        <v>72.60211480000001</v>
      </c>
      <c r="BX100" s="50">
        <f xml:space="preserve"> 'WK2013'!GA110</f>
        <v>205.41666860000001</v>
      </c>
      <c r="BY100" s="50">
        <f xml:space="preserve"> 'WK2013'!GB110</f>
        <v>72.60211480000001</v>
      </c>
      <c r="BZ100" s="50">
        <f xml:space="preserve"> 'WK2013'!GC110</f>
        <v>205.41666860000001</v>
      </c>
      <c r="CA100" s="50">
        <f xml:space="preserve"> 'WK2013'!GD110</f>
        <v>72.60211480000001</v>
      </c>
      <c r="CB100" s="61">
        <f xml:space="preserve"> 'WK2013'!FY110</f>
        <v>0.15054648748897465</v>
      </c>
      <c r="CD100" s="50">
        <f xml:space="preserve"> 'WK2013'!GK110</f>
        <v>2052.1287059999995</v>
      </c>
      <c r="CE100" s="50">
        <f xml:space="preserve"> 'WK2013'!GL110</f>
        <v>1338.3908595000003</v>
      </c>
      <c r="CF100" s="50">
        <f xml:space="preserve"> 'WK2013'!GO110</f>
        <v>2052.1287059999995</v>
      </c>
      <c r="CG100" s="50">
        <f xml:space="preserve"> 'WK2013'!GP110</f>
        <v>1338.3908595000003</v>
      </c>
      <c r="CH100" s="50">
        <f xml:space="preserve"> 'WK2013'!GQ110</f>
        <v>2052.1287059999995</v>
      </c>
      <c r="CI100" s="50">
        <f xml:space="preserve"> 'WK2013'!GR110</f>
        <v>1338.3908595000003</v>
      </c>
      <c r="CJ100" s="61">
        <f xml:space="preserve"> 'WK2013'!GM110</f>
        <v>0.17389602372815008</v>
      </c>
      <c r="CN100" s="50">
        <f xml:space="preserve"> 'WK2014'!EG110</f>
        <v>14585.3410628</v>
      </c>
      <c r="CO100" s="50">
        <f xml:space="preserve"> 'WK2014'!EH110</f>
        <v>11313.4308208</v>
      </c>
      <c r="CP100" s="50">
        <f xml:space="preserve"> 'WK2014'!EK110</f>
        <v>14585.3410628</v>
      </c>
      <c r="CQ100" s="50">
        <f xml:space="preserve"> 'WK2014'!EL110</f>
        <v>11313.4308208</v>
      </c>
      <c r="CR100" s="50">
        <f xml:space="preserve"> 'WK2014'!EM110</f>
        <v>14585.3410628</v>
      </c>
      <c r="CS100" s="50">
        <f xml:space="preserve"> 'WK2014'!EN110</f>
        <v>11313.4308208</v>
      </c>
      <c r="CT100" s="61">
        <f xml:space="preserve"> 'WK2014'!EI110</f>
        <v>0.19041039904059556</v>
      </c>
      <c r="CV100" s="50">
        <f xml:space="preserve"> 'WK2014'!EU110</f>
        <v>10862.425908700001</v>
      </c>
      <c r="CW100" s="50">
        <f xml:space="preserve"> 'WK2014'!EV110</f>
        <v>8560.6520781999989</v>
      </c>
      <c r="CX100" s="50">
        <f xml:space="preserve"> 'WK2014'!EY110</f>
        <v>10862.425908700001</v>
      </c>
      <c r="CY100" s="50">
        <f xml:space="preserve"> 'WK2014'!EZ110</f>
        <v>8560.6520781999989</v>
      </c>
      <c r="CZ100" s="50">
        <f xml:space="preserve"> 'WK2014'!FA110</f>
        <v>10862.425908700001</v>
      </c>
      <c r="DA100" s="50">
        <f xml:space="preserve"> 'WK2014'!FB110</f>
        <v>8560.6520781999989</v>
      </c>
      <c r="DB100" s="61">
        <f xml:space="preserve"> 'WK2014'!EW110</f>
        <v>0.19408014757495892</v>
      </c>
      <c r="DC100" s="1"/>
      <c r="DD100" s="50">
        <f xml:space="preserve"> 'WK2014'!FI110</f>
        <v>9312.6283136000002</v>
      </c>
      <c r="DE100" s="50">
        <f xml:space="preserve"> 'WK2014'!FJ110</f>
        <v>7360.9765857999992</v>
      </c>
      <c r="DF100" s="50">
        <f xml:space="preserve"> 'WK2014'!FM110</f>
        <v>9312.6283136000002</v>
      </c>
      <c r="DG100" s="50">
        <f xml:space="preserve"> 'WK2014'!FN110</f>
        <v>7360.9765857999992</v>
      </c>
      <c r="DH100" s="50">
        <f xml:space="preserve"> 'WK2014'!FO110</f>
        <v>9312.6283136000002</v>
      </c>
      <c r="DI100" s="50">
        <f xml:space="preserve"> 'WK2014'!FP110</f>
        <v>7360.9765857999992</v>
      </c>
      <c r="DJ100" s="61">
        <f xml:space="preserve"> 'WK2014'!FK110</f>
        <v>0.23101971710284955</v>
      </c>
      <c r="DK100" s="1"/>
      <c r="DL100" s="50">
        <f xml:space="preserve"> 'WK2014'!FW110</f>
        <v>214.82194079999999</v>
      </c>
      <c r="DM100" s="50">
        <f xml:space="preserve"> 'WK2014'!FX110</f>
        <v>86.046240800000007</v>
      </c>
      <c r="DN100" s="50">
        <f xml:space="preserve"> 'WK2014'!GA110</f>
        <v>214.82194079999999</v>
      </c>
      <c r="DO100" s="50">
        <f xml:space="preserve"> 'WK2014'!GB110</f>
        <v>86.046240800000007</v>
      </c>
      <c r="DP100" s="50">
        <f xml:space="preserve"> 'WK2014'!GC110</f>
        <v>214.82194079999999</v>
      </c>
      <c r="DQ100" s="50">
        <f xml:space="preserve"> 'WK2014'!GD110</f>
        <v>86.046240800000007</v>
      </c>
      <c r="DR100" s="61">
        <f xml:space="preserve"> 'WK2014'!FY110</f>
        <v>0.20219429630985816</v>
      </c>
      <c r="DS100" s="1"/>
      <c r="DT100" s="50">
        <f xml:space="preserve"> 'WK2014'!GK110</f>
        <v>2809.4372579999999</v>
      </c>
      <c r="DU100" s="50">
        <f xml:space="preserve"> 'WK2014'!GL110</f>
        <v>2045.6212620000006</v>
      </c>
      <c r="DV100" s="50">
        <f xml:space="preserve"> 'WK2014'!GO110</f>
        <v>2809.4372579999999</v>
      </c>
      <c r="DW100" s="50">
        <f xml:space="preserve"> 'WK2014'!GP110</f>
        <v>2045.6212620000006</v>
      </c>
      <c r="DX100" s="50">
        <f xml:space="preserve"> 'WK2014'!GQ110</f>
        <v>2809.4372579999999</v>
      </c>
      <c r="DY100" s="50">
        <f xml:space="preserve"> 'WK2014'!GR110</f>
        <v>2045.6212620000006</v>
      </c>
      <c r="DZ100" s="61">
        <f xml:space="preserve"> 'WK2014'!GM110</f>
        <v>0.24125193760100261</v>
      </c>
      <c r="ED100" s="50">
        <f xml:space="preserve"> 'WK2015'!EG110</f>
        <v>13263.950459200001</v>
      </c>
      <c r="EE100" s="50">
        <f xml:space="preserve"> 'WK2015'!EH110</f>
        <v>10259.353508800001</v>
      </c>
      <c r="EF100" s="50">
        <f xml:space="preserve"> 'WK2015'!EK110</f>
        <v>13263.950459200001</v>
      </c>
      <c r="EG100" s="50">
        <f xml:space="preserve"> 'WK2015'!EL110</f>
        <v>10259.353508800001</v>
      </c>
      <c r="EH100" s="50">
        <f xml:space="preserve"> 'WK2015'!EM110</f>
        <v>13263.950459200001</v>
      </c>
      <c r="EI100" s="50">
        <f xml:space="preserve"> 'WK2015'!EN110</f>
        <v>10259.353508800001</v>
      </c>
      <c r="EJ100" s="61">
        <f xml:space="preserve"> 'WK2015'!EI110</f>
        <v>0.24678409210423774</v>
      </c>
      <c r="EK100" s="1"/>
      <c r="EL100" s="50">
        <f xml:space="preserve"> 'WK2015'!EU110</f>
        <v>12000.099384300001</v>
      </c>
      <c r="EM100" s="50">
        <f xml:space="preserve"> 'WK2015'!EV110</f>
        <v>9751.6540091999996</v>
      </c>
      <c r="EN100" s="50">
        <f xml:space="preserve"> 'WK2015'!EY110</f>
        <v>12000.099384300001</v>
      </c>
      <c r="EO100" s="50">
        <f xml:space="preserve"> 'WK2015'!EZ110</f>
        <v>9751.6540091999996</v>
      </c>
      <c r="EP100" s="50">
        <f xml:space="preserve"> 'WK2015'!FA110</f>
        <v>12000.099384300001</v>
      </c>
      <c r="EQ100" s="50">
        <f xml:space="preserve"> 'WK2015'!FB110</f>
        <v>9751.6540091999996</v>
      </c>
      <c r="ER100" s="61">
        <f xml:space="preserve"> 'WK2015'!EW110</f>
        <v>0.23955028343524132</v>
      </c>
      <c r="ES100" s="1"/>
      <c r="ET100" s="50">
        <f xml:space="preserve"> 'WK2015'!FI110</f>
        <v>11041.212023400001</v>
      </c>
      <c r="EU100" s="50">
        <f xml:space="preserve"> 'WK2015'!FJ110</f>
        <v>8662.4363147999993</v>
      </c>
      <c r="EV100" s="50">
        <f xml:space="preserve"> 'WK2015'!FM110</f>
        <v>11041.212023400001</v>
      </c>
      <c r="EW100" s="50">
        <f xml:space="preserve"> 'WK2015'!FN110</f>
        <v>8662.4363147999993</v>
      </c>
      <c r="EX100" s="50">
        <f xml:space="preserve"> 'WK2015'!FO110</f>
        <v>11041.212023400001</v>
      </c>
      <c r="EY100" s="50">
        <f xml:space="preserve"> 'WK2015'!FP110</f>
        <v>8662.4363147999993</v>
      </c>
      <c r="EZ100" s="61">
        <f xml:space="preserve"> 'WK2015'!FK110</f>
        <v>0.24861415021641745</v>
      </c>
      <c r="FA100" s="1"/>
      <c r="FB100" s="50">
        <f xml:space="preserve"> 'WK2015'!FW110</f>
        <v>229.58791920000002</v>
      </c>
      <c r="FC100" s="50">
        <f xml:space="preserve"> 'WK2015'!FX110</f>
        <v>163.1129488</v>
      </c>
      <c r="FD100" s="50">
        <f xml:space="preserve"> 'WK2015'!GA110</f>
        <v>229.58791920000002</v>
      </c>
      <c r="FE100" s="50">
        <f xml:space="preserve"> 'WK2015'!GB110</f>
        <v>163.1129488</v>
      </c>
      <c r="FF100" s="50">
        <f xml:space="preserve"> 'WK2015'!GC110</f>
        <v>229.58791920000002</v>
      </c>
      <c r="FG100" s="50">
        <f xml:space="preserve"> 'WK2015'!GD110</f>
        <v>163.1129488</v>
      </c>
      <c r="FH100" s="61">
        <f xml:space="preserve"> 'WK2015'!FY110</f>
        <v>0.24131645732181609</v>
      </c>
      <c r="FI100" s="1"/>
      <c r="FJ100" s="50">
        <f xml:space="preserve"> 'WK2015'!GK110</f>
        <v>2018.2440757500005</v>
      </c>
      <c r="FK100" s="50">
        <f xml:space="preserve"> 'WK2015'!GL110</f>
        <v>1467.2247795000005</v>
      </c>
      <c r="FL100" s="50">
        <f xml:space="preserve"> 'WK2015'!GO110</f>
        <v>2018.2440757500005</v>
      </c>
      <c r="FM100" s="50">
        <f xml:space="preserve"> 'WK2015'!GP110</f>
        <v>1467.2247795000005</v>
      </c>
      <c r="FN100" s="50">
        <f xml:space="preserve"> 'WK2015'!GQ110</f>
        <v>2018.2440757500005</v>
      </c>
      <c r="FO100" s="50">
        <f xml:space="preserve"> 'WK2015'!GR110</f>
        <v>1467.2247795000005</v>
      </c>
      <c r="FP100" s="61">
        <f xml:space="preserve"> 'WK2015'!GM110</f>
        <v>0.2427877026600414</v>
      </c>
      <c r="FS100" s="283">
        <f xml:space="preserve"> 'WK2015'!H110</f>
        <v>6642.3608949999998</v>
      </c>
      <c r="FT100" s="283">
        <f xml:space="preserve"> 'WK2015'!I110</f>
        <v>5515.7313839999997</v>
      </c>
      <c r="FU100" s="283">
        <f xml:space="preserve"> 'WK2015'!L110</f>
        <v>6642.3608949999998</v>
      </c>
      <c r="FV100" s="283">
        <f xml:space="preserve"> 'WK2015'!M110</f>
        <v>5515.7313839999997</v>
      </c>
      <c r="FW100" s="283">
        <f xml:space="preserve"> 'WK2015'!N110</f>
        <v>6642.3608949999998</v>
      </c>
      <c r="FX100" s="283">
        <f xml:space="preserve"> 'WK2015'!O110</f>
        <v>5515.7313839999997</v>
      </c>
      <c r="FY100" s="284">
        <f xml:space="preserve"> 'WK2015'!P110</f>
        <v>0.26127946755077081</v>
      </c>
      <c r="GA100" s="283">
        <f xml:space="preserve"> 'WK2015'!HB110</f>
        <v>6322.7202929999994</v>
      </c>
      <c r="GB100" s="283">
        <f xml:space="preserve"> 'WK2015'!HC110</f>
        <v>5690.3101480000005</v>
      </c>
      <c r="GC100" s="283">
        <f xml:space="preserve"> 'WK2015'!HF110</f>
        <v>6322.7202929999994</v>
      </c>
      <c r="GD100" s="283">
        <f xml:space="preserve"> 'WK2015'!HG110</f>
        <v>5690.3101480000005</v>
      </c>
      <c r="GE100" s="283">
        <f xml:space="preserve"> 'WK2015'!HH110</f>
        <v>6322.7202929999994</v>
      </c>
      <c r="GF100" s="283">
        <f xml:space="preserve"> 'WK2015'!HI110</f>
        <v>5690.3101480000005</v>
      </c>
      <c r="GG100" s="284">
        <f xml:space="preserve"> 'WK2015'!HJ110</f>
        <v>0.15</v>
      </c>
      <c r="GI100" s="283">
        <f xml:space="preserve"> 'WK2015'!HQ110</f>
        <v>6806.1301349999994</v>
      </c>
      <c r="GJ100" s="283">
        <f xml:space="preserve"> 'WK2015'!HR110</f>
        <v>5814.7688339999995</v>
      </c>
      <c r="GK100" s="283">
        <f xml:space="preserve"> 'WK2015'!HU110</f>
        <v>6806.1301349999994</v>
      </c>
      <c r="GL100" s="283">
        <f xml:space="preserve"> 'WK2015'!HV110</f>
        <v>5814.7688339999995</v>
      </c>
      <c r="GM100" s="283">
        <f xml:space="preserve"> 'WK2015'!HW110</f>
        <v>6806.1301349999994</v>
      </c>
      <c r="GN100" s="283">
        <f xml:space="preserve"> 'WK2015'!HX110</f>
        <v>5814.7688339999995</v>
      </c>
      <c r="GO100" s="284">
        <f xml:space="preserve"> 'WK2015'!HY110</f>
        <v>0.82757479207183349</v>
      </c>
    </row>
    <row r="101" spans="1:197" x14ac:dyDescent="0.2">
      <c r="A101" s="3">
        <f>Basis!A101</f>
        <v>101</v>
      </c>
      <c r="D101" s="252" t="e">
        <v>#N/A</v>
      </c>
      <c r="E101" s="252" t="e">
        <v>#N/A</v>
      </c>
      <c r="H101" s="253">
        <f xml:space="preserve"> MAX(  H100 * 0.9,  MAX( 0, TREND( H$96:H$100, $A$96:$A$100, $A101 ) )  )</f>
        <v>13322.76625113505</v>
      </c>
      <c r="I101" s="253">
        <f t="shared" ref="I101:I120" si="8" xml:space="preserve"> MAX(  I100 * 0.9,  MAX( 0, TREND( I$96:I$100, $A$96:$A$100, $A101 ) )  )</f>
        <v>10667.315802958336</v>
      </c>
      <c r="J101" s="253">
        <f t="shared" ref="J101:J120" si="9" xml:space="preserve"> MAX(  J100 * 0.9,  MAX( 0, TREND( J$96:J$100, $A$96:$A$100, $A101 ) )  )</f>
        <v>13322.76625113505</v>
      </c>
      <c r="K101" s="253">
        <f t="shared" ref="K101:K120" si="10" xml:space="preserve"> MAX(  K100 * 0.9,  MAX( 0, TREND( K$96:K$100, $A$96:$A$100, $A101 ) )  )</f>
        <v>10667.315802958336</v>
      </c>
      <c r="L101" s="253">
        <f t="shared" ref="L101:L120" si="11" xml:space="preserve"> MAX(  L100 * 0.9,  MAX( 0, TREND( L$96:L$100, $A$96:$A$100, $A101 ) )  )</f>
        <v>13322.76625113505</v>
      </c>
      <c r="M101" s="253">
        <f t="shared" ref="M101:M120" si="12" xml:space="preserve"> MAX(  M100 * 0.9,  MAX( 0, TREND( M$96:M$100, $A$96:$A$100, $A101 ) )  )</f>
        <v>10667.315802958336</v>
      </c>
      <c r="N101" s="181">
        <f t="shared" ref="N101:N120" si="13" xml:space="preserve"> MAX( lambdax_min, MIN( lambdax_max,  IF(  H101&gt;I101, MAX(  N100,  MAX( 0, TREND( N$96:N$100, $A$96:$A$100, $A101 ) )  ),
                                                                                                                          MIN(  N100,  MAX( 0, TREND( N$96:N$100, $A$96:$A$100, $A101 ) )  )  )     )  )</f>
        <v>0.15</v>
      </c>
      <c r="P101" s="253">
        <f xml:space="preserve"> MAX(  P100 * 0.9,  MAX( 0, TREND( P$96:P$100, $A$96:$A$100, $A101 ) )  )</f>
        <v>11675.646905950785</v>
      </c>
      <c r="Q101" s="253">
        <f t="shared" ref="Q101:Q120" si="14" xml:space="preserve"> MAX(  Q100 * 0.9,  MAX( 0, TREND( Q$96:Q$100, $A$96:$A$100, $A101 ) )  )</f>
        <v>9705.2850651219105</v>
      </c>
      <c r="R101" s="253">
        <f t="shared" ref="R101:R120" si="15" xml:space="preserve"> MAX(  R100 * 0.9,  MAX( 0, TREND( R$96:R$100, $A$96:$A$100, $A101 ) )  )</f>
        <v>11675.646905950785</v>
      </c>
      <c r="S101" s="253">
        <f t="shared" ref="S101:S120" si="16" xml:space="preserve"> MAX(  S100 * 0.9,  MAX( 0, TREND( S$96:S$100, $A$96:$A$100, $A101 ) )  )</f>
        <v>9705.2850651219105</v>
      </c>
      <c r="T101" s="253">
        <f t="shared" ref="T101:T120" si="17" xml:space="preserve"> MAX(  T100 * 0.9,  MAX( 0, TREND( T$96:T$100, $A$96:$A$100, $A101 ) )  )</f>
        <v>11675.646905950785</v>
      </c>
      <c r="U101" s="253">
        <f t="shared" ref="U101:U120" si="18" xml:space="preserve"> MAX(  U100 * 0.9,  MAX( 0, TREND( U$96:U$100, $A$96:$A$100, $A101 ) )  )</f>
        <v>9705.2850651219105</v>
      </c>
      <c r="V101" s="181">
        <f t="shared" ref="V101:V120" si="19" xml:space="preserve"> MAX( lambdax_min, MIN( lambdax_max,  IF(  P101&gt;Q101, MAX(  V100,  MAX( 0, TREND( V$96:V$100, $A$96:$A$100, $A101 ) )  ),
                                                                                                                          MIN(  V100,  MAX( 0, TREND( V$96:V$100, $A$96:$A$100, $A101 ) )  )  )     )  )</f>
        <v>0.24258687540636581</v>
      </c>
      <c r="X101" s="253">
        <f xml:space="preserve"> MAX(  X100 * 0.9,  MAX( 0, TREND( X$96:X$100, $A$96:$A$100, $A101 ) )  )</f>
        <v>8907.4945941076221</v>
      </c>
      <c r="Y101" s="253">
        <f t="shared" ref="Y101:Y120" si="20" xml:space="preserve"> MAX(  Y100 * 0.9,  MAX( 0, TREND( Y$96:Y$100, $A$96:$A$100, $A101 ) )  )</f>
        <v>7298.2407481439568</v>
      </c>
      <c r="Z101" s="253">
        <f t="shared" ref="Z101:Z120" si="21" xml:space="preserve"> MAX(  Z100 * 0.9,  MAX( 0, TREND( Z$96:Z$100, $A$96:$A$100, $A101 ) )  )</f>
        <v>8907.4945941076221</v>
      </c>
      <c r="AA101" s="253">
        <f t="shared" ref="AA101:AA120" si="22" xml:space="preserve"> MAX(  AA100 * 0.9,  MAX( 0, TREND( AA$96:AA$100, $A$96:$A$100, $A101 ) )  )</f>
        <v>7298.2407481439568</v>
      </c>
      <c r="AB101" s="253">
        <f t="shared" ref="AB101:AB120" si="23" xml:space="preserve"> MAX(  AB100 * 0.9,  MAX( 0, TREND( AB$96:AB$100, $A$96:$A$100, $A101 ) )  )</f>
        <v>8907.4945941076221</v>
      </c>
      <c r="AC101" s="253">
        <f t="shared" ref="AC101:AC120" si="24" xml:space="preserve"> MAX(  AC100 * 0.9,  MAX( 0, TREND( AC$96:AC$100, $A$96:$A$100, $A101 ) )  )</f>
        <v>7298.2407481439568</v>
      </c>
      <c r="AD101" s="181">
        <f t="shared" ref="AD101:AD120" si="25" xml:space="preserve"> MAX( lambdax_min, MIN( lambdax_max,  IF(  X101&gt;Y101, MAX(  AD100,  MAX( 0, TREND( AD$96:AD$100, $A$96:$A$100, $A101 ) )  ),
                                                                                                                          MIN(  AD100,  MAX( 0, TREND( AD$96:AD$100, $A$96:$A$100, $A101 ) )  )  )     )  )</f>
        <v>0.16394634243045003</v>
      </c>
      <c r="AF101" s="253">
        <f xml:space="preserve"> MAX(  AF100 * 0.9,  MAX( 0, TREND( AF$96:AF$100, $A$96:$A$100, $A101 ) )  )</f>
        <v>1794.4482571300205</v>
      </c>
      <c r="AG101" s="253">
        <f t="shared" ref="AG101:AG120" si="26" xml:space="preserve"> MAX(  AG100 * 0.9,  MAX( 0, TREND( AG$96:AG$100, $A$96:$A$100, $A101 ) )  )</f>
        <v>1079.3692456837039</v>
      </c>
      <c r="AH101" s="253">
        <f t="shared" ref="AH101:AH120" si="27" xml:space="preserve"> MAX(  AH100 * 0.9,  MAX( 0, TREND( AH$96:AH$100, $A$96:$A$100, $A101 ) )  )</f>
        <v>1794.4482571300205</v>
      </c>
      <c r="AI101" s="253">
        <f t="shared" ref="AI101:AI120" si="28" xml:space="preserve"> MAX(  AI100 * 0.9,  MAX( 0, TREND( AI$96:AI$100, $A$96:$A$100, $A101 ) )  )</f>
        <v>1079.3692456837039</v>
      </c>
      <c r="AJ101" s="253">
        <f t="shared" ref="AJ101:AJ120" si="29" xml:space="preserve"> MAX(  AJ100 * 0.9,  MAX( 0, TREND( AJ$96:AJ$100, $A$96:$A$100, $A101 ) )  )</f>
        <v>1794.4482571300205</v>
      </c>
      <c r="AK101" s="253">
        <f t="shared" ref="AK101:AK120" si="30" xml:space="preserve"> MAX(  AK100 * 0.9,  MAX( 0, TREND( AK$96:AK$100, $A$96:$A$100, $A101 ) )  )</f>
        <v>1079.3692456837039</v>
      </c>
      <c r="AL101" s="181">
        <f t="shared" ref="AL101:AL120" si="31" xml:space="preserve"> MAX( lambdax_min, MIN( lambdax_max,  IF(  AF101&gt;AG101, MAX(  AL100,  MAX( 0, TREND( AL$96:AL$100, $A$96:$A$100, $A101 ) )  ),
                                                                                                                          MIN(  AL100,  MAX( 0, TREND( AL$96:AL$100, $A$96:$A$100, $A101 ) )  )  )     )  )</f>
        <v>0.15</v>
      </c>
      <c r="AN101" s="253">
        <f xml:space="preserve"> MAX(  AN100 * 0.9,  MAX( 0, TREND( AN$96:AN$100, $A$96:$A$100, $A101 ) )  )</f>
        <v>141.85948970628959</v>
      </c>
      <c r="AO101" s="253">
        <f t="shared" ref="AO101:AS116" si="32" xml:space="preserve"> MAX(  AO100 * 0.9,  MAX( 0, TREND( AO$96:AO$100, $A$96:$A$100, $A101 ) )  )</f>
        <v>83.43004292699267</v>
      </c>
      <c r="AP101" s="253">
        <f t="shared" si="32"/>
        <v>141.85948970628959</v>
      </c>
      <c r="AQ101" s="253">
        <f t="shared" si="32"/>
        <v>83.43004292699267</v>
      </c>
      <c r="AR101" s="253">
        <f t="shared" si="32"/>
        <v>141.85948970628959</v>
      </c>
      <c r="AS101" s="253">
        <f t="shared" si="32"/>
        <v>83.43004292699267</v>
      </c>
      <c r="AT101" s="181">
        <f t="shared" ref="AT101:AT120" si="33" xml:space="preserve"> MAX( lambdax_min, MIN( lambdax_max,  IF(  AN101&gt;AO101, MAX(  AT100,  MAX( 0, TREND( AT$96:AT$100, $A$96:$A$100, $A101 ) )  ),
                                                                                                                          MIN(  AT100,  MAX( 0, TREND( AT$96:AT$100, $A$96:$A$100, $A101 ) )  )  )     )  )</f>
        <v>0.56589147286821706</v>
      </c>
      <c r="AX101" s="253">
        <f xml:space="preserve"> MAX(  AX100 * 0.9,  MAX( 0, TREND( AX$96:AX$100, $A$96:$A$100, $A101 ) )  )</f>
        <v>14541.884207319998</v>
      </c>
      <c r="AY101" s="253">
        <f t="shared" ref="AY101:AY120" si="34" xml:space="preserve"> MAX(  AY100 * 0.9,  MAX( 0, TREND( AY$96:AY$100, $A$96:$A$100, $A101 ) )  )</f>
        <v>11189.938324760002</v>
      </c>
      <c r="AZ101" s="253">
        <f t="shared" ref="AZ101:AZ120" si="35" xml:space="preserve"> MAX(  AZ100 * 0.9,  MAX( 0, TREND( AZ$96:AZ$100, $A$96:$A$100, $A101 ) )  )</f>
        <v>14541.884207319998</v>
      </c>
      <c r="BA101" s="253">
        <f t="shared" ref="BA101:BA120" si="36" xml:space="preserve"> MAX(  BA100 * 0.9,  MAX( 0, TREND( BA$96:BA$100, $A$96:$A$100, $A101 ) )  )</f>
        <v>11189.938324760002</v>
      </c>
      <c r="BB101" s="253">
        <f t="shared" ref="BB101:BB120" si="37" xml:space="preserve"> MAX(  BB100 * 0.9,  MAX( 0, TREND( BB$96:BB$100, $A$96:$A$100, $A101 ) )  )</f>
        <v>14541.884207319998</v>
      </c>
      <c r="BC101" s="253">
        <f t="shared" ref="BC101:BC120" si="38" xml:space="preserve"> MAX(  BC100 * 0.9,  MAX( 0, TREND( BC$96:BC$100, $A$96:$A$100, $A101 ) )  )</f>
        <v>11189.938324760002</v>
      </c>
      <c r="BD101" s="181">
        <f t="shared" ref="BD101:BD120" si="39" xml:space="preserve"> MAX( lambdax_min, MIN( lambdax_max,  IF(  AX101&gt;AY101, MAX(  BD100,  MAX( 0, TREND( BD$96:BD$100, $A$96:$A$100, $A101 ) )  ),
                                                                                                                          MIN(  BD100,  MAX( 0, TREND( BD$96:BD$100, $A$96:$A$100, $A101 ) )  )  )     )  )</f>
        <v>0.15</v>
      </c>
      <c r="BF101" s="253">
        <f xml:space="preserve"> MAX(  BF100 * 0.9,  MAX( 0, TREND( BF$96:BF$100, $A$96:$A$100, $A101 ) )  )</f>
        <v>11728.092852429998</v>
      </c>
      <c r="BG101" s="253">
        <f t="shared" ref="BG101:BG120" si="40" xml:space="preserve"> MAX(  BG100 * 0.9,  MAX( 0, TREND( BG$96:BG$100, $A$96:$A$100, $A101 ) )  )</f>
        <v>9605.4888030399998</v>
      </c>
      <c r="BH101" s="253">
        <f t="shared" ref="BH101:BH120" si="41" xml:space="preserve"> MAX(  BH100 * 0.9,  MAX( 0, TREND( BH$96:BH$100, $A$96:$A$100, $A101 ) )  )</f>
        <v>11728.092852429998</v>
      </c>
      <c r="BI101" s="253">
        <f t="shared" ref="BI101:BI120" si="42" xml:space="preserve"> MAX(  BI100 * 0.9,  MAX( 0, TREND( BI$96:BI$100, $A$96:$A$100, $A101 ) )  )</f>
        <v>9605.4888030399998</v>
      </c>
      <c r="BJ101" s="253">
        <f t="shared" ref="BJ101:BJ120" si="43" xml:space="preserve"> MAX(  BJ100 * 0.9,  MAX( 0, TREND( BJ$96:BJ$100, $A$96:$A$100, $A101 ) )  )</f>
        <v>11728.092852429998</v>
      </c>
      <c r="BK101" s="253">
        <f t="shared" ref="BK101:BK120" si="44" xml:space="preserve"> MAX(  BK100 * 0.9,  MAX( 0, TREND( BK$96:BK$100, $A$96:$A$100, $A101 ) )  )</f>
        <v>9605.4888030399998</v>
      </c>
      <c r="BL101" s="181">
        <f t="shared" ref="BL101:BL120" si="45" xml:space="preserve"> MAX( lambdax_min, MIN( lambdax_max,  IF(  BF101&gt;BG101, MAX(  BL100,  MAX( 0, TREND( BL$96:BL$100, $A$96:$A$100, $A101 ) )  ),
                                                                                                                          MIN(  BL100,  MAX( 0, TREND( BL$96:BL$100, $A$96:$A$100, $A101 ) )  )  )     )  )</f>
        <v>0.15985643713289788</v>
      </c>
      <c r="BN101" s="253">
        <f xml:space="preserve"> MAX(  BN100 * 0.9,  MAX( 0, TREND( BN$96:BN$100, $A$96:$A$100, $A101 ) )  )</f>
        <v>9781.0135359000014</v>
      </c>
      <c r="BO101" s="253">
        <f t="shared" ref="BO101:BO120" si="46" xml:space="preserve"> MAX(  BO100 * 0.9,  MAX( 0, TREND( BO$96:BO$100, $A$96:$A$100, $A101 ) )  )</f>
        <v>7852.8536772999987</v>
      </c>
      <c r="BP101" s="253">
        <f t="shared" ref="BP101:BP120" si="47" xml:space="preserve"> MAX(  BP100 * 0.9,  MAX( 0, TREND( BP$96:BP$100, $A$96:$A$100, $A101 ) )  )</f>
        <v>9781.0135359000014</v>
      </c>
      <c r="BQ101" s="253">
        <f t="shared" ref="BQ101:BQ120" si="48" xml:space="preserve"> MAX(  BQ100 * 0.9,  MAX( 0, TREND( BQ$96:BQ$100, $A$96:$A$100, $A101 ) )  )</f>
        <v>7852.8536772999987</v>
      </c>
      <c r="BR101" s="253">
        <f t="shared" ref="BR101:BR120" si="49" xml:space="preserve"> MAX(  BR100 * 0.9,  MAX( 0, TREND( BR$96:BR$100, $A$96:$A$100, $A101 ) )  )</f>
        <v>9781.0135359000014</v>
      </c>
      <c r="BS101" s="253">
        <f t="shared" ref="BS101:BS120" si="50" xml:space="preserve"> MAX(  BS100 * 0.9,  MAX( 0, TREND( BS$96:BS$100, $A$96:$A$100, $A101 ) )  )</f>
        <v>7852.8536772999987</v>
      </c>
      <c r="BT101" s="181">
        <f t="shared" ref="BT101:BT120" si="51" xml:space="preserve"> MAX( lambdax_min, MIN( lambdax_max,  IF(  BN101&gt;BO101, MAX(  BT100,  MAX( 0, TREND( BT$96:BT$100, $A$96:$A$100, $A101 ) )  ),
                                                                                                                          MIN(  BT100,  MAX( 0, TREND( BT$96:BT$100, $A$96:$A$100, $A101 ) )  )  )     )  )</f>
        <v>0.15</v>
      </c>
      <c r="BV101" s="253">
        <f xml:space="preserve"> MAX(  BV100 * 0.9,  MAX( 0, TREND( BV$96:BV$100, $A$96:$A$100, $A101 ) )  )</f>
        <v>184.87500174000002</v>
      </c>
      <c r="BW101" s="253">
        <f t="shared" ref="BW101:BW120" si="52" xml:space="preserve"> MAX(  BW100 * 0.9,  MAX( 0, TREND( BW$96:BW$100, $A$96:$A$100, $A101 ) )  )</f>
        <v>65.341903320000014</v>
      </c>
      <c r="BX101" s="253">
        <f t="shared" ref="BX101:BX120" si="53" xml:space="preserve"> MAX(  BX100 * 0.9,  MAX( 0, TREND( BX$96:BX$100, $A$96:$A$100, $A101 ) )  )</f>
        <v>184.87500174000002</v>
      </c>
      <c r="BY101" s="253">
        <f t="shared" ref="BY101:BY120" si="54" xml:space="preserve"> MAX(  BY100 * 0.9,  MAX( 0, TREND( BY$96:BY$100, $A$96:$A$100, $A101 ) )  )</f>
        <v>65.341903320000014</v>
      </c>
      <c r="BZ101" s="253">
        <f t="shared" ref="BZ101:BZ120" si="55" xml:space="preserve"> MAX(  BZ100 * 0.9,  MAX( 0, TREND( BZ$96:BZ$100, $A$96:$A$100, $A101 ) )  )</f>
        <v>184.87500174000002</v>
      </c>
      <c r="CA101" s="253">
        <f t="shared" ref="CA101:CA120" si="56" xml:space="preserve"> MAX(  CA100 * 0.9,  MAX( 0, TREND( CA$96:CA$100, $A$96:$A$100, $A101 ) )  )</f>
        <v>65.341903320000014</v>
      </c>
      <c r="CB101" s="181">
        <f t="shared" ref="CB101:CB120" si="57" xml:space="preserve"> MAX( lambdax_min, MIN( lambdax_max,  IF(  BV101&gt;BW101, MAX(  CB100,  MAX( 0, TREND( CB$96:CB$100, $A$96:$A$100, $A101 ) )  ),
                                                                                                                          MIN(  CB100,  MAX( 0, TREND( CB$96:CB$100, $A$96:$A$100, $A101 ) )  )  )     )  )</f>
        <v>0.15342470148277787</v>
      </c>
      <c r="CD101" s="253">
        <f t="shared" ref="CD101:CD120" si="58" xml:space="preserve"> MAX(  CD100 * 0.9,  MAX( 0, TREND( CD$96:CD$100, $A$96:$A$100, $A101 ) )  )</f>
        <v>2076.0181897500001</v>
      </c>
      <c r="CE101" s="253">
        <f t="shared" ref="CE101:CE120" si="59" xml:space="preserve"> MAX(  CE100 * 0.9,  MAX( 0, TREND( CE$96:CE$100, $A$96:$A$100, $A101 ) )  )</f>
        <v>1338.3908595000003</v>
      </c>
      <c r="CF101" s="253">
        <f t="shared" ref="CF101:CF120" si="60" xml:space="preserve"> MAX(  CF100 * 0.9,  MAX( 0, TREND( CF$96:CF$100, $A$96:$A$100, $A101 ) )  )</f>
        <v>2076.0181897500001</v>
      </c>
      <c r="CG101" s="253">
        <f t="shared" ref="CG101:CG120" si="61" xml:space="preserve"> MAX(  CG100 * 0.9,  MAX( 0, TREND( CG$96:CG$100, $A$96:$A$100, $A101 ) )  )</f>
        <v>1338.3908595000003</v>
      </c>
      <c r="CH101" s="253">
        <f t="shared" ref="CH101:CH120" si="62" xml:space="preserve"> MAX(  CH100 * 0.9,  MAX( 0, TREND( CH$96:CH$100, $A$96:$A$100, $A101 ) )  )</f>
        <v>2076.0181897500001</v>
      </c>
      <c r="CI101" s="253">
        <f t="shared" ref="CI101:CI120" si="63" xml:space="preserve"> MAX(  CI100 * 0.9,  MAX( 0, TREND( CI$96:CI$100, $A$96:$A$100, $A101 ) )  )</f>
        <v>1338.3908595000003</v>
      </c>
      <c r="CJ101" s="181">
        <f t="shared" ref="CJ101:CJ120" si="64" xml:space="preserve"> MAX( lambdax_min, MIN( lambdax_max,  IF(  CD101&gt;CE101, MAX(  CJ100,  MAX( 0, TREND( CJ$96:CJ$100, $A$96:$A$100, $A101 ) )  ),
                                                                                                                          MIN(  CJ100,  MAX( 0, TREND( CJ$96:CJ$100, $A$96:$A$100, $A101 ) )  )  )     )  )</f>
        <v>0.17389602372815008</v>
      </c>
      <c r="CN101" s="253">
        <f t="shared" ref="CN101:CN117" si="65" xml:space="preserve"> MAX(  CN100 * 0.9,  MAX( 0, TREND( CN$96:CN$100, $A$96:$A$100, $A101 ) )  )</f>
        <v>14713.020881280001</v>
      </c>
      <c r="CO101" s="253">
        <f t="shared" ref="CO101:CS116" si="66" xml:space="preserve"> MAX(  CO100 * 0.9,  MAX( 0, TREND( CO$96:CO$100, $A$96:$A$100, $A101 ) )  )</f>
        <v>11341.913727120002</v>
      </c>
      <c r="CP101" s="253">
        <f t="shared" si="66"/>
        <v>14713.020881280001</v>
      </c>
      <c r="CQ101" s="253">
        <f t="shared" si="66"/>
        <v>11341.913727120002</v>
      </c>
      <c r="CR101" s="253">
        <f t="shared" si="66"/>
        <v>14713.020881280001</v>
      </c>
      <c r="CS101" s="253">
        <f t="shared" si="66"/>
        <v>11341.913727120002</v>
      </c>
      <c r="CT101" s="181">
        <f t="shared" ref="CT101:CT120" si="67" xml:space="preserve"> MAX( lambdax_min, MIN( lambdax_max,  IF(  CN101&gt;CO101, MAX(  CT100,  MAX( 0, TREND( CT$96:CT$100, $A$96:$A$100, $A101 ) )  ),
                                                                                                                          MIN(  CT100,  MAX( 0, TREND( CT$96:CT$100, $A$96:$A$100, $A101 ) )  )  )     )  )</f>
        <v>0.19041039904059556</v>
      </c>
      <c r="CV101" s="253">
        <f t="shared" ref="CV101:CV117" si="68" xml:space="preserve"> MAX(  CV100 * 0.9,  MAX( 0, TREND( CV$96:CV$100, $A$96:$A$100, $A101 ) )  )</f>
        <v>10872.509865470003</v>
      </c>
      <c r="CW101" s="253">
        <f t="shared" ref="CW101:DA116" si="69" xml:space="preserve"> MAX(  CW100 * 0.9,  MAX( 0, TREND( CW$96:CW$100, $A$96:$A$100, $A101 ) )  )</f>
        <v>8570.4953731799997</v>
      </c>
      <c r="CX101" s="253">
        <f t="shared" si="69"/>
        <v>10872.509865470003</v>
      </c>
      <c r="CY101" s="253">
        <f t="shared" si="69"/>
        <v>8570.4953731799997</v>
      </c>
      <c r="CZ101" s="253">
        <f t="shared" si="69"/>
        <v>10872.509865470003</v>
      </c>
      <c r="DA101" s="253">
        <f t="shared" si="69"/>
        <v>8570.4953731799997</v>
      </c>
      <c r="DB101" s="181">
        <f t="shared" ref="DB101:DB120" si="70" xml:space="preserve"> MAX( lambdax_min, MIN( lambdax_max,  IF(  CV101&gt;CW101, MAX(  DB100,  MAX( 0, TREND( DB$96:DB$100, $A$96:$A$100, $A101 ) )  ),
                                                                                                                          MIN(  DB100,  MAX( 0, TREND( DB$96:DB$100, $A$96:$A$100, $A101 ) )  )  )     )  )</f>
        <v>0.19408014757495892</v>
      </c>
      <c r="DC101" s="1"/>
      <c r="DD101" s="253">
        <f t="shared" ref="DD101:DD117" si="71" xml:space="preserve"> MAX(  DD100 * 0.9,  MAX( 0, TREND( DD$96:DD$100, $A$96:$A$100, $A101 ) )  )</f>
        <v>9379.8863119999987</v>
      </c>
      <c r="DE101" s="253">
        <f t="shared" ref="DE101:DI116" si="72" xml:space="preserve"> MAX(  DE100 * 0.9,  MAX( 0, TREND( DE$96:DE$100, $A$96:$A$100, $A101 ) )  )</f>
        <v>7374.8656021400002</v>
      </c>
      <c r="DF101" s="253">
        <f t="shared" si="72"/>
        <v>9379.8863119999987</v>
      </c>
      <c r="DG101" s="253">
        <f t="shared" si="72"/>
        <v>7374.8656021400002</v>
      </c>
      <c r="DH101" s="253">
        <f t="shared" si="72"/>
        <v>9379.8863119999987</v>
      </c>
      <c r="DI101" s="253">
        <f t="shared" si="72"/>
        <v>7374.8656021400002</v>
      </c>
      <c r="DJ101" s="181">
        <f t="shared" ref="DJ101:DJ120" si="73" xml:space="preserve"> MAX( lambdax_min, MIN( lambdax_max,  IF(  DD101&gt;DE101, MAX(  DJ100,  MAX( 0, TREND( DJ$96:DJ$100, $A$96:$A$100, $A101 ) )  ),
                                                                                                                          MIN(  DJ100,  MAX( 0, TREND( DJ$96:DJ$100, $A$96:$A$100, $A101 ) )  )  )     )  )</f>
        <v>0.23101971710284955</v>
      </c>
      <c r="DK101" s="1"/>
      <c r="DL101" s="253">
        <f t="shared" ref="DL101:DL117" si="74" xml:space="preserve"> MAX(  DL100 * 0.9,  MAX( 0, TREND( DL$96:DL$100, $A$96:$A$100, $A101 ) )  )</f>
        <v>193.33974671999999</v>
      </c>
      <c r="DM101" s="253">
        <f t="shared" ref="DM101:DQ116" si="75" xml:space="preserve"> MAX(  DM100 * 0.9,  MAX( 0, TREND( DM$96:DM$100, $A$96:$A$100, $A101 ) )  )</f>
        <v>77.441616720000013</v>
      </c>
      <c r="DN101" s="253">
        <f t="shared" si="75"/>
        <v>193.33974671999999</v>
      </c>
      <c r="DO101" s="253">
        <f t="shared" si="75"/>
        <v>77.441616720000013</v>
      </c>
      <c r="DP101" s="253">
        <f t="shared" si="75"/>
        <v>193.33974671999999</v>
      </c>
      <c r="DQ101" s="253">
        <f t="shared" si="75"/>
        <v>77.441616720000013</v>
      </c>
      <c r="DR101" s="181">
        <f t="shared" ref="DR101:DR120" si="76" xml:space="preserve"> MAX( lambdax_min, MIN( lambdax_max,  IF(  DL101&gt;DM101, MAX(  DR100,  MAX( 0, TREND( DR$96:DR$100, $A$96:$A$100, $A101 ) )  ),
                                                                                                                          MIN(  DR100,  MAX( 0, TREND( DR$96:DR$100, $A$96:$A$100, $A101 ) )  )  )     )  )</f>
        <v>0.20219429630985816</v>
      </c>
      <c r="DS101" s="1"/>
      <c r="DT101" s="253">
        <f t="shared" ref="DT101:DY116" si="77" xml:space="preserve"> MAX(  DT100 * 0.9,  MAX( 0, TREND( DT$96:DT$100, $A$96:$A$100, $A101 ) )  )</f>
        <v>2830.7484857999998</v>
      </c>
      <c r="DU101" s="253">
        <f t="shared" si="77"/>
        <v>2045.6212620000006</v>
      </c>
      <c r="DV101" s="253">
        <f t="shared" si="77"/>
        <v>2830.7484857999998</v>
      </c>
      <c r="DW101" s="253">
        <f t="shared" si="77"/>
        <v>2045.6212620000006</v>
      </c>
      <c r="DX101" s="253">
        <f t="shared" si="77"/>
        <v>2830.7484857999998</v>
      </c>
      <c r="DY101" s="253">
        <f t="shared" si="77"/>
        <v>2045.6212620000006</v>
      </c>
      <c r="DZ101" s="181">
        <f t="shared" ref="DZ101:DZ120" si="78" xml:space="preserve"> MAX( lambdax_min, MIN( lambdax_max,  IF(  DT101&gt;DU101, MAX(  DZ100,  MAX( 0, TREND( DZ$96:DZ$100, $A$96:$A$100, $A101 ) )  ),
                                                                                                                          MIN(  DZ100,  MAX( 0, TREND( DZ$96:DZ$100, $A$96:$A$100, $A101 ) )  )  )     )  )</f>
        <v>0.24125193760100261</v>
      </c>
      <c r="ED101" s="253">
        <f t="shared" ref="ED101:EI101" si="79" xml:space="preserve"> MAX(  ED100 * 0.9,  MAX( 0, TREND( ED$96:ED$100, $A$96:$A$100, $A101 ) )  )</f>
        <v>13342.31552308</v>
      </c>
      <c r="EE101" s="253">
        <f t="shared" si="79"/>
        <v>10271.31362608</v>
      </c>
      <c r="EF101" s="253">
        <f t="shared" si="79"/>
        <v>13342.31552308</v>
      </c>
      <c r="EG101" s="253">
        <f t="shared" si="79"/>
        <v>10271.31362608</v>
      </c>
      <c r="EH101" s="253">
        <f t="shared" si="79"/>
        <v>13342.31552308</v>
      </c>
      <c r="EI101" s="253">
        <f t="shared" si="79"/>
        <v>10271.31362608</v>
      </c>
      <c r="EJ101" s="181">
        <f t="shared" ref="EJ101:EJ120" si="80" xml:space="preserve"> MAX( lambdax_min, MIN( lambdax_max,  IF(  ED101&gt;EE101, MAX(  EJ100,  MAX( 0, TREND( EJ$96:EJ$100, $A$96:$A$100, $A101 ) )  ),
                                                                                                                          MIN(  EJ100,  MAX( 0, TREND( EJ$96:EJ$100, $A$96:$A$100, $A101 ) )  )  )     )  )</f>
        <v>0.24678409210423774</v>
      </c>
      <c r="EL101" s="253">
        <f t="shared" ref="EL101:EQ101" si="81" xml:space="preserve"> MAX(  EL100 * 0.9,  MAX( 0, TREND( EL$96:EL$100, $A$96:$A$100, $A101 ) )  )</f>
        <v>11999.778708820002</v>
      </c>
      <c r="EM101" s="253">
        <f t="shared" si="81"/>
        <v>9764.8270830700021</v>
      </c>
      <c r="EN101" s="253">
        <f t="shared" si="81"/>
        <v>11999.778708820002</v>
      </c>
      <c r="EO101" s="253">
        <f t="shared" si="81"/>
        <v>9764.8270830700021</v>
      </c>
      <c r="EP101" s="253">
        <f t="shared" si="81"/>
        <v>11999.778708820002</v>
      </c>
      <c r="EQ101" s="253">
        <f t="shared" si="81"/>
        <v>9764.8270830700021</v>
      </c>
      <c r="ER101" s="181">
        <f t="shared" ref="ER101:ER120" si="82" xml:space="preserve"> MAX( lambdax_min, MIN( lambdax_max,  IF(  EL101&gt;EM101, MAX(  ER100,  MAX( 0, TREND( ER$96:ER$100, $A$96:$A$100, $A101 ) )  ),
                                                                                                                          MIN(  ER100,  MAX( 0, TREND( ER$96:ER$100, $A$96:$A$100, $A101 ) )  )  )     )  )</f>
        <v>0.23955028343524132</v>
      </c>
      <c r="ET101" s="253">
        <f t="shared" ref="ET101:EY101" si="83" xml:space="preserve"> MAX(  ET100 * 0.9,  MAX( 0, TREND( ET$96:ET$100, $A$96:$A$100, $A101 ) )  )</f>
        <v>11093.14239006</v>
      </c>
      <c r="EU101" s="253">
        <f t="shared" si="83"/>
        <v>8683.3248717599981</v>
      </c>
      <c r="EV101" s="253">
        <f t="shared" si="83"/>
        <v>11093.14239006</v>
      </c>
      <c r="EW101" s="253">
        <f t="shared" si="83"/>
        <v>8683.3248717599981</v>
      </c>
      <c r="EX101" s="253">
        <f t="shared" si="83"/>
        <v>11093.14239006</v>
      </c>
      <c r="EY101" s="253">
        <f t="shared" si="83"/>
        <v>8683.3248717599981</v>
      </c>
      <c r="EZ101" s="181">
        <f t="shared" ref="EZ101:EZ120" si="84" xml:space="preserve"> MAX( lambdax_min, MIN( lambdax_max,  IF(  ET101&gt;EU101, MAX(  EZ100,  MAX( 0, TREND( EZ$96:EZ$100, $A$96:$A$100, $A101 ) )  ),
                                                                                                                          MIN(  EZ100,  MAX( 0, TREND( EZ$96:EZ$100, $A$96:$A$100, $A101 ) )  )  )     )  )</f>
        <v>0.24861415021641745</v>
      </c>
      <c r="FB101" s="253">
        <f t="shared" ref="FB101:FG101" si="85" xml:space="preserve"> MAX(  FB100 * 0.9,  MAX( 0, TREND( FB$96:FB$100, $A$96:$A$100, $A101 ) )  )</f>
        <v>206.62912728000001</v>
      </c>
      <c r="FC101" s="253">
        <f t="shared" si="85"/>
        <v>146.80165392000001</v>
      </c>
      <c r="FD101" s="253">
        <f t="shared" si="85"/>
        <v>206.62912728000001</v>
      </c>
      <c r="FE101" s="253">
        <f t="shared" si="85"/>
        <v>146.80165392000001</v>
      </c>
      <c r="FF101" s="253">
        <f t="shared" si="85"/>
        <v>206.62912728000001</v>
      </c>
      <c r="FG101" s="253">
        <f t="shared" si="85"/>
        <v>146.80165392000001</v>
      </c>
      <c r="FH101" s="181">
        <f t="shared" ref="FH101:FH120" si="86" xml:space="preserve"> MAX( lambdax_min, MIN( lambdax_max,  IF(  FB101&gt;FC101, MAX(  FH100,  MAX( 0, TREND( FH$96:FH$100, $A$96:$A$100, $A101 ) )  ),
                                                                                                                          MIN(  FH100,  MAX( 0, TREND( FH$96:FH$100, $A$96:$A$100, $A101 ) )  )  )     )  )</f>
        <v>0.24131645732181609</v>
      </c>
      <c r="FJ101" s="253">
        <f t="shared" ref="FJ101:FO101" si="87" xml:space="preserve"> MAX(  FJ100 * 0.9,  MAX( 0, TREND( FJ$96:FJ$100, $A$96:$A$100, $A101 ) )  )</f>
        <v>2047.8875883750002</v>
      </c>
      <c r="FK101" s="253">
        <f t="shared" si="87"/>
        <v>1467.2247795000005</v>
      </c>
      <c r="FL101" s="253">
        <f t="shared" si="87"/>
        <v>2047.8875883750002</v>
      </c>
      <c r="FM101" s="253">
        <f t="shared" si="87"/>
        <v>1467.2247795000005</v>
      </c>
      <c r="FN101" s="253">
        <f t="shared" si="87"/>
        <v>2047.8875883750002</v>
      </c>
      <c r="FO101" s="253">
        <f t="shared" si="87"/>
        <v>1467.2247795000005</v>
      </c>
      <c r="FP101" s="181">
        <f t="shared" ref="FP101:FP120" si="88" xml:space="preserve"> MAX( lambdax_min, MIN( lambdax_max,  IF(  FJ101&gt;FK101, MAX(  FP100,  MAX( 0, TREND( FP$96:FP$100, $A$96:$A$100, $A101 ) )  ),
                                                                                                                          MIN(  FP100,  MAX( 0, TREND( FP$96:FP$100, $A$96:$A$100, $A101 ) )  )  )     )  )</f>
        <v>0.24583836257643332</v>
      </c>
      <c r="FS101" s="253">
        <f t="shared" ref="FS101:FX101" si="89" xml:space="preserve"> MAX(  FS100 * 0.9,  MAX( 0, TREND( FS$96:FS$100, $A$96:$A$100, $A101 ) )  )</f>
        <v>6707.707428499999</v>
      </c>
      <c r="FT101" s="253">
        <f t="shared" si="89"/>
        <v>5551.1912016000006</v>
      </c>
      <c r="FU101" s="253">
        <f t="shared" si="89"/>
        <v>6707.707428499999</v>
      </c>
      <c r="FV101" s="253">
        <f t="shared" si="89"/>
        <v>5551.1912016000006</v>
      </c>
      <c r="FW101" s="253">
        <f t="shared" si="89"/>
        <v>6707.707428499999</v>
      </c>
      <c r="FX101" s="253">
        <f t="shared" si="89"/>
        <v>5551.1912016000006</v>
      </c>
      <c r="FY101" s="181">
        <f t="shared" ref="FY101:FY120" si="90" xml:space="preserve"> MAX( lambdax_min, MIN( lambdax_max,  IF(  FS101&gt;FT101, MAX(  FY100,  MAX( 0, TREND( FY$96:FY$100, $A$96:$A$100, $A101 ) )  ),
                                                                                                                          MIN(  FY100,  MAX( 0, TREND( FY$96:FY$100, $A$96:$A$100, $A101 ) )  )  )     )  )</f>
        <v>0.26127946755077081</v>
      </c>
      <c r="GA101" s="253">
        <f t="shared" ref="GA101:GF101" si="91" xml:space="preserve"> MAX(  GA100 * 0.9,  MAX( 0, TREND( GA$96:GA$100, $A$96:$A$100, $A101 ) )  )</f>
        <v>6386.0479847999986</v>
      </c>
      <c r="GB101" s="253">
        <f t="shared" si="91"/>
        <v>5744.3238298000015</v>
      </c>
      <c r="GC101" s="253">
        <f t="shared" si="91"/>
        <v>6386.0479847999986</v>
      </c>
      <c r="GD101" s="253">
        <f t="shared" si="91"/>
        <v>5744.3238298000015</v>
      </c>
      <c r="GE101" s="253">
        <f t="shared" si="91"/>
        <v>6386.0479847999986</v>
      </c>
      <c r="GF101" s="253">
        <f t="shared" si="91"/>
        <v>5744.3238298000015</v>
      </c>
      <c r="GG101" s="181">
        <f t="shared" ref="GG101:GG120" si="92" xml:space="preserve"> MAX( lambdax_min, MIN( lambdax_max,  IF(  GA101&gt;GB101, MAX(  GG100,  MAX( 0, TREND( GG$96:GG$100, $A$96:$A$100, $A101 ) )  ),
                                                                                                                          MIN(  GG100,  MAX( 0, TREND( GG$96:GG$100, $A$96:$A$100, $A101 ) )  )  )     )  )</f>
        <v>0.15</v>
      </c>
      <c r="GI101" s="253">
        <f t="shared" ref="GI101:GN101" si="93" xml:space="preserve"> MAX(  GI100 * 0.9,  MAX( 0, TREND( GI$96:GI$100, $A$96:$A$100, $A101 ) )  )</f>
        <v>6899.7590164999992</v>
      </c>
      <c r="GJ101" s="253">
        <f t="shared" si="93"/>
        <v>5867.2799702999991</v>
      </c>
      <c r="GK101" s="253">
        <f t="shared" si="93"/>
        <v>6899.7590164999992</v>
      </c>
      <c r="GL101" s="253">
        <f t="shared" si="93"/>
        <v>5867.2799702999991</v>
      </c>
      <c r="GM101" s="253">
        <f t="shared" si="93"/>
        <v>6899.7590164999992</v>
      </c>
      <c r="GN101" s="253">
        <f t="shared" si="93"/>
        <v>5867.2799702999991</v>
      </c>
      <c r="GO101" s="181">
        <f t="shared" ref="GO101:GO120" si="94" xml:space="preserve"> MAX( lambdax_min, MIN( lambdax_max,  IF(  GI101&gt;GJ101, MAX(  GO100,  MAX( 0, TREND( GO$96:GO$100, $A$96:$A$100, $A101 ) )  ),
                                                                                                                          MIN(  GO100,  MAX( 0, TREND( GO$96:GO$100, $A$96:$A$100, $A101 ) )  )  )     )  )</f>
        <v>0.82757479207183349</v>
      </c>
    </row>
    <row r="102" spans="1:197" x14ac:dyDescent="0.2">
      <c r="A102" s="3">
        <f>Basis!A102</f>
        <v>102</v>
      </c>
      <c r="D102" s="252" t="e">
        <v>#N/A</v>
      </c>
      <c r="E102" s="252" t="e">
        <v>#N/A</v>
      </c>
      <c r="H102" s="253">
        <f t="shared" ref="H102:H120" si="95" xml:space="preserve"> MAX(  H101 * 0.9,  MAX( 0, TREND( H$96:H$100, $A$96:$A$100, $A102 ) )  )</f>
        <v>13452.821315770238</v>
      </c>
      <c r="I102" s="253">
        <f t="shared" si="8"/>
        <v>10715.666135687268</v>
      </c>
      <c r="J102" s="253">
        <f t="shared" si="9"/>
        <v>13452.821315770238</v>
      </c>
      <c r="K102" s="253">
        <f t="shared" si="10"/>
        <v>10715.666135687268</v>
      </c>
      <c r="L102" s="253">
        <f t="shared" si="11"/>
        <v>13452.821315770238</v>
      </c>
      <c r="M102" s="253">
        <f t="shared" si="12"/>
        <v>10715.666135687268</v>
      </c>
      <c r="N102" s="181">
        <f t="shared" si="13"/>
        <v>0.15</v>
      </c>
      <c r="P102" s="253">
        <f t="shared" ref="P102:P120" si="96" xml:space="preserve"> MAX(  P101 * 0.9,  MAX( 0, TREND( P$96:P$100, $A$96:$A$100, $A102 ) )  )</f>
        <v>11764.115375497702</v>
      </c>
      <c r="Q102" s="253">
        <f t="shared" si="14"/>
        <v>9735.9002071915638</v>
      </c>
      <c r="R102" s="253">
        <f t="shared" si="15"/>
        <v>11764.115375497702</v>
      </c>
      <c r="S102" s="253">
        <f t="shared" si="16"/>
        <v>9735.9002071915638</v>
      </c>
      <c r="T102" s="253">
        <f t="shared" si="17"/>
        <v>11764.115375497702</v>
      </c>
      <c r="U102" s="253">
        <f t="shared" si="18"/>
        <v>9735.9002071915638</v>
      </c>
      <c r="V102" s="181">
        <f t="shared" si="19"/>
        <v>0.24258687540636581</v>
      </c>
      <c r="X102" s="253">
        <f t="shared" ref="X102:X120" si="97" xml:space="preserve"> MAX(  X101 * 0.9,  MAX( 0, TREND( X$96:X$100, $A$96:$A$100, $A102 ) )  )</f>
        <v>8986.9467408931159</v>
      </c>
      <c r="Y102" s="253">
        <f t="shared" si="20"/>
        <v>7326.0859364314801</v>
      </c>
      <c r="Z102" s="253">
        <f t="shared" si="21"/>
        <v>8986.9467408931159</v>
      </c>
      <c r="AA102" s="253">
        <f t="shared" si="22"/>
        <v>7326.0859364314801</v>
      </c>
      <c r="AB102" s="253">
        <f t="shared" si="23"/>
        <v>8986.9467408931159</v>
      </c>
      <c r="AC102" s="253">
        <f t="shared" si="24"/>
        <v>7326.0859364314801</v>
      </c>
      <c r="AD102" s="181">
        <f t="shared" si="25"/>
        <v>0.16394634243045003</v>
      </c>
      <c r="AF102" s="253">
        <f t="shared" ref="AF102:AF120" si="98" xml:space="preserve"> MAX(  AF101 * 0.9,  MAX( 0, TREND( AF$96:AF$100, $A$96:$A$100, $A102 ) )  )</f>
        <v>1797.7912891300205</v>
      </c>
      <c r="AG102" s="253">
        <f t="shared" si="26"/>
        <v>1079.3692456837039</v>
      </c>
      <c r="AH102" s="253">
        <f t="shared" si="27"/>
        <v>1797.7912891300205</v>
      </c>
      <c r="AI102" s="253">
        <f t="shared" si="28"/>
        <v>1079.3692456837039</v>
      </c>
      <c r="AJ102" s="253">
        <f t="shared" si="29"/>
        <v>1797.7912891300205</v>
      </c>
      <c r="AK102" s="253">
        <f t="shared" si="30"/>
        <v>1079.3692456837039</v>
      </c>
      <c r="AL102" s="181">
        <f t="shared" si="31"/>
        <v>0.15</v>
      </c>
      <c r="AN102" s="253">
        <f t="shared" ref="AN102:AS117" si="99" xml:space="preserve"> MAX(  AN101 * 0.9,  MAX( 0, TREND( AN$96:AN$100, $A$96:$A$100, $A102 ) )  )</f>
        <v>127.67354073566064</v>
      </c>
      <c r="AO102" s="253">
        <f t="shared" si="32"/>
        <v>75.087038634293407</v>
      </c>
      <c r="AP102" s="253">
        <f t="shared" si="32"/>
        <v>127.67354073566064</v>
      </c>
      <c r="AQ102" s="253">
        <f t="shared" si="32"/>
        <v>75.087038634293407</v>
      </c>
      <c r="AR102" s="253">
        <f t="shared" si="32"/>
        <v>127.67354073566064</v>
      </c>
      <c r="AS102" s="253">
        <f t="shared" si="32"/>
        <v>75.087038634293407</v>
      </c>
      <c r="AT102" s="181">
        <f t="shared" si="33"/>
        <v>0.56589147286821706</v>
      </c>
      <c r="AX102" s="253">
        <f t="shared" ref="AX102:AX120" si="100" xml:space="preserve"> MAX(  AX101 * 0.9,  MAX( 0, TREND( AX$96:AX$100, $A$96:$A$100, $A102 ) )  )</f>
        <v>14662.821828599997</v>
      </c>
      <c r="AY102" s="253">
        <f t="shared" si="34"/>
        <v>11216.53333912</v>
      </c>
      <c r="AZ102" s="253">
        <f t="shared" si="35"/>
        <v>14662.821828599997</v>
      </c>
      <c r="BA102" s="253">
        <f t="shared" si="36"/>
        <v>11216.53333912</v>
      </c>
      <c r="BB102" s="253">
        <f t="shared" si="37"/>
        <v>14662.821828599997</v>
      </c>
      <c r="BC102" s="253">
        <f t="shared" si="38"/>
        <v>11216.53333912</v>
      </c>
      <c r="BD102" s="181">
        <f t="shared" si="39"/>
        <v>0.15</v>
      </c>
      <c r="BF102" s="253">
        <f t="shared" ref="BF102:BF120" si="101" xml:space="preserve"> MAX(  BF101 * 0.9,  MAX( 0, TREND( BF$96:BF$100, $A$96:$A$100, $A102 ) )  )</f>
        <v>11743.013364099997</v>
      </c>
      <c r="BG102" s="253">
        <f t="shared" si="40"/>
        <v>9609.0105290799984</v>
      </c>
      <c r="BH102" s="253">
        <f t="shared" si="41"/>
        <v>11743.013364099997</v>
      </c>
      <c r="BI102" s="253">
        <f t="shared" si="42"/>
        <v>9609.0105290799984</v>
      </c>
      <c r="BJ102" s="253">
        <f t="shared" si="43"/>
        <v>11743.013364099997</v>
      </c>
      <c r="BK102" s="253">
        <f t="shared" si="44"/>
        <v>9609.0105290799984</v>
      </c>
      <c r="BL102" s="181">
        <f t="shared" si="45"/>
        <v>0.15985643713289788</v>
      </c>
      <c r="BN102" s="253">
        <f t="shared" ref="BN102:BN120" si="102" xml:space="preserve"> MAX(  BN101 * 0.9,  MAX( 0, TREND( BN$96:BN$100, $A$96:$A$100, $A102 ) )  )</f>
        <v>9834.1703500000021</v>
      </c>
      <c r="BO102" s="253">
        <f t="shared" si="46"/>
        <v>7848.452213319998</v>
      </c>
      <c r="BP102" s="253">
        <f t="shared" si="47"/>
        <v>9834.1703500000021</v>
      </c>
      <c r="BQ102" s="253">
        <f t="shared" si="48"/>
        <v>7848.452213319998</v>
      </c>
      <c r="BR102" s="253">
        <f t="shared" si="49"/>
        <v>9834.1703500000021</v>
      </c>
      <c r="BS102" s="253">
        <f t="shared" si="50"/>
        <v>7848.452213319998</v>
      </c>
      <c r="BT102" s="181">
        <f t="shared" si="51"/>
        <v>0.15</v>
      </c>
      <c r="BV102" s="253">
        <f t="shared" ref="BV102:BV120" si="103" xml:space="preserve"> MAX(  BV101 * 0.9,  MAX( 0, TREND( BV$96:BV$100, $A$96:$A$100, $A102 ) )  )</f>
        <v>166.38750156600003</v>
      </c>
      <c r="BW102" s="253">
        <f t="shared" si="52"/>
        <v>58.807712988000013</v>
      </c>
      <c r="BX102" s="253">
        <f t="shared" si="53"/>
        <v>166.38750156600003</v>
      </c>
      <c r="BY102" s="253">
        <f t="shared" si="54"/>
        <v>58.807712988000013</v>
      </c>
      <c r="BZ102" s="253">
        <f t="shared" si="55"/>
        <v>166.38750156600003</v>
      </c>
      <c r="CA102" s="253">
        <f t="shared" si="56"/>
        <v>58.807712988000013</v>
      </c>
      <c r="CB102" s="181">
        <f t="shared" si="57"/>
        <v>0.15342470148277787</v>
      </c>
      <c r="CD102" s="253">
        <f t="shared" si="58"/>
        <v>2099.8105825500002</v>
      </c>
      <c r="CE102" s="253">
        <f t="shared" si="59"/>
        <v>1338.3908595000003</v>
      </c>
      <c r="CF102" s="253">
        <f t="shared" si="60"/>
        <v>2099.8105825500002</v>
      </c>
      <c r="CG102" s="253">
        <f t="shared" si="61"/>
        <v>1338.3908595000003</v>
      </c>
      <c r="CH102" s="253">
        <f t="shared" si="62"/>
        <v>2099.8105825500002</v>
      </c>
      <c r="CI102" s="253">
        <f t="shared" si="63"/>
        <v>1338.3908595000003</v>
      </c>
      <c r="CJ102" s="181">
        <f t="shared" si="64"/>
        <v>0.17389602372815008</v>
      </c>
      <c r="CN102" s="253">
        <f t="shared" si="65"/>
        <v>14841.234699440001</v>
      </c>
      <c r="CO102" s="253">
        <f t="shared" si="66"/>
        <v>11370.62366368</v>
      </c>
      <c r="CP102" s="253">
        <f t="shared" si="66"/>
        <v>14841.234699440001</v>
      </c>
      <c r="CQ102" s="253">
        <f t="shared" si="66"/>
        <v>11370.62366368</v>
      </c>
      <c r="CR102" s="253">
        <f t="shared" si="66"/>
        <v>14841.234699440001</v>
      </c>
      <c r="CS102" s="253">
        <f t="shared" si="66"/>
        <v>11370.62366368</v>
      </c>
      <c r="CT102" s="181">
        <f t="shared" si="67"/>
        <v>0.19041039904059556</v>
      </c>
      <c r="CV102" s="253">
        <f t="shared" si="68"/>
        <v>10883.089871160004</v>
      </c>
      <c r="CW102" s="253">
        <f t="shared" si="69"/>
        <v>8580.559805320001</v>
      </c>
      <c r="CX102" s="253">
        <f t="shared" si="69"/>
        <v>10883.089871160004</v>
      </c>
      <c r="CY102" s="253">
        <f t="shared" si="69"/>
        <v>8580.559805320001</v>
      </c>
      <c r="CZ102" s="253">
        <f t="shared" si="69"/>
        <v>10883.089871160004</v>
      </c>
      <c r="DA102" s="253">
        <f t="shared" si="69"/>
        <v>8580.559805320001</v>
      </c>
      <c r="DB102" s="181">
        <f t="shared" si="70"/>
        <v>0.19408014757495892</v>
      </c>
      <c r="DC102" s="1"/>
      <c r="DD102" s="253">
        <f t="shared" si="71"/>
        <v>9447.5417251199979</v>
      </c>
      <c r="DE102" s="253">
        <f t="shared" si="72"/>
        <v>7389.0017934400003</v>
      </c>
      <c r="DF102" s="253">
        <f t="shared" si="72"/>
        <v>9447.5417251199979</v>
      </c>
      <c r="DG102" s="253">
        <f t="shared" si="72"/>
        <v>7389.0017934400003</v>
      </c>
      <c r="DH102" s="253">
        <f t="shared" si="72"/>
        <v>9447.5417251199979</v>
      </c>
      <c r="DI102" s="253">
        <f t="shared" si="72"/>
        <v>7389.0017934400003</v>
      </c>
      <c r="DJ102" s="181">
        <f t="shared" si="73"/>
        <v>0.23101971710284955</v>
      </c>
      <c r="DK102" s="1"/>
      <c r="DL102" s="253">
        <f t="shared" si="74"/>
        <v>174.00577204800001</v>
      </c>
      <c r="DM102" s="253">
        <f t="shared" si="75"/>
        <v>69.697455048000009</v>
      </c>
      <c r="DN102" s="253">
        <f t="shared" si="75"/>
        <v>174.00577204800001</v>
      </c>
      <c r="DO102" s="253">
        <f t="shared" si="75"/>
        <v>69.697455048000009</v>
      </c>
      <c r="DP102" s="253">
        <f t="shared" si="75"/>
        <v>174.00577204800001</v>
      </c>
      <c r="DQ102" s="253">
        <f t="shared" si="75"/>
        <v>69.697455048000009</v>
      </c>
      <c r="DR102" s="181">
        <f t="shared" si="76"/>
        <v>0.20219429630985816</v>
      </c>
      <c r="DS102" s="1"/>
      <c r="DT102" s="253">
        <f t="shared" si="77"/>
        <v>2852.0200530000002</v>
      </c>
      <c r="DU102" s="253">
        <f t="shared" si="77"/>
        <v>2045.6212620000006</v>
      </c>
      <c r="DV102" s="253">
        <f t="shared" si="77"/>
        <v>2852.0200530000002</v>
      </c>
      <c r="DW102" s="253">
        <f t="shared" si="77"/>
        <v>2045.6212620000006</v>
      </c>
      <c r="DX102" s="253">
        <f t="shared" si="77"/>
        <v>2852.0200530000002</v>
      </c>
      <c r="DY102" s="253">
        <f t="shared" si="77"/>
        <v>2045.6212620000006</v>
      </c>
      <c r="DZ102" s="181">
        <f t="shared" si="78"/>
        <v>0.24125193760100261</v>
      </c>
      <c r="ED102" s="253">
        <f t="shared" ref="ED102:EI102" si="104" xml:space="preserve"> MAX(  ED101 * 0.9,  MAX( 0, TREND( ED$96:ED$100, $A$96:$A$100, $A102 ) )  )</f>
        <v>13421.005430520003</v>
      </c>
      <c r="EE102" s="253">
        <f t="shared" si="104"/>
        <v>10284.029730880002</v>
      </c>
      <c r="EF102" s="253">
        <f t="shared" si="104"/>
        <v>13421.005430520003</v>
      </c>
      <c r="EG102" s="253">
        <f t="shared" si="104"/>
        <v>10284.029730880002</v>
      </c>
      <c r="EH102" s="253">
        <f t="shared" si="104"/>
        <v>13421.005430520003</v>
      </c>
      <c r="EI102" s="253">
        <f t="shared" si="104"/>
        <v>10284.029730880002</v>
      </c>
      <c r="EJ102" s="181">
        <f t="shared" si="80"/>
        <v>0.24678409210423774</v>
      </c>
      <c r="EL102" s="253">
        <f t="shared" ref="EL102:EQ102" si="105" xml:space="preserve"> MAX(  EL101 * 0.9,  MAX( 0, TREND( EL$96:EL$100, $A$96:$A$100, $A102 ) )  )</f>
        <v>11999.549143480002</v>
      </c>
      <c r="EM102" s="253">
        <f t="shared" si="105"/>
        <v>9778.636519220001</v>
      </c>
      <c r="EN102" s="253">
        <f t="shared" si="105"/>
        <v>11999.549143480002</v>
      </c>
      <c r="EO102" s="253">
        <f t="shared" si="105"/>
        <v>9778.636519220001</v>
      </c>
      <c r="EP102" s="253">
        <f t="shared" si="105"/>
        <v>11999.549143480002</v>
      </c>
      <c r="EQ102" s="253">
        <f t="shared" si="105"/>
        <v>9778.636519220001</v>
      </c>
      <c r="ER102" s="181">
        <f t="shared" si="82"/>
        <v>0.23955028343524132</v>
      </c>
      <c r="ET102" s="253">
        <f t="shared" ref="ET102:EY102" si="106" xml:space="preserve"> MAX(  ET101 * 0.9,  MAX( 0, TREND( ET$96:ET$100, $A$96:$A$100, $A102 ) )  )</f>
        <v>11145.439625160001</v>
      </c>
      <c r="EU102" s="253">
        <f t="shared" si="106"/>
        <v>8704.4753004799968</v>
      </c>
      <c r="EV102" s="253">
        <f t="shared" si="106"/>
        <v>11145.439625160001</v>
      </c>
      <c r="EW102" s="253">
        <f t="shared" si="106"/>
        <v>8704.4753004799968</v>
      </c>
      <c r="EX102" s="253">
        <f t="shared" si="106"/>
        <v>11145.439625160001</v>
      </c>
      <c r="EY102" s="253">
        <f t="shared" si="106"/>
        <v>8704.4753004799968</v>
      </c>
      <c r="EZ102" s="181">
        <f t="shared" si="84"/>
        <v>0.24861415021641745</v>
      </c>
      <c r="FB102" s="253">
        <f t="shared" ref="FB102:FG102" si="107" xml:space="preserve"> MAX(  FB101 * 0.9,  MAX( 0, TREND( FB$96:FB$100, $A$96:$A$100, $A102 ) )  )</f>
        <v>185.966214552</v>
      </c>
      <c r="FC102" s="253">
        <f t="shared" si="107"/>
        <v>132.12148852800001</v>
      </c>
      <c r="FD102" s="253">
        <f t="shared" si="107"/>
        <v>185.966214552</v>
      </c>
      <c r="FE102" s="253">
        <f t="shared" si="107"/>
        <v>132.12148852800001</v>
      </c>
      <c r="FF102" s="253">
        <f t="shared" si="107"/>
        <v>185.966214552</v>
      </c>
      <c r="FG102" s="253">
        <f t="shared" si="107"/>
        <v>132.12148852800001</v>
      </c>
      <c r="FH102" s="181">
        <f t="shared" si="86"/>
        <v>0.24131645732181609</v>
      </c>
      <c r="FJ102" s="253">
        <f t="shared" ref="FJ102:FO102" si="108" xml:space="preserve"> MAX(  FJ101 * 0.9,  MAX( 0, TREND( FJ$96:FJ$100, $A$96:$A$100, $A102 ) )  )</f>
        <v>2077.3690717499999</v>
      </c>
      <c r="FK102" s="253">
        <f t="shared" si="108"/>
        <v>1467.2247795000005</v>
      </c>
      <c r="FL102" s="253">
        <f t="shared" si="108"/>
        <v>2077.3690717499999</v>
      </c>
      <c r="FM102" s="253">
        <f t="shared" si="108"/>
        <v>1467.2247795000005</v>
      </c>
      <c r="FN102" s="253">
        <f t="shared" si="108"/>
        <v>2077.3690717499999</v>
      </c>
      <c r="FO102" s="253">
        <f t="shared" si="108"/>
        <v>1467.2247795000005</v>
      </c>
      <c r="FP102" s="181">
        <f t="shared" si="88"/>
        <v>0.24583836257643332</v>
      </c>
      <c r="FS102" s="253">
        <f t="shared" ref="FS102:FX102" si="109" xml:space="preserve"> MAX(  FS101 * 0.9,  MAX( 0, TREND( FS$96:FS$100, $A$96:$A$100, $A102 ) )  )</f>
        <v>6772.9748379999992</v>
      </c>
      <c r="FT102" s="253">
        <f t="shared" si="109"/>
        <v>5586.7230920000002</v>
      </c>
      <c r="FU102" s="253">
        <f t="shared" si="109"/>
        <v>6772.9748379999992</v>
      </c>
      <c r="FV102" s="253">
        <f t="shared" si="109"/>
        <v>5586.7230920000002</v>
      </c>
      <c r="FW102" s="253">
        <f t="shared" si="109"/>
        <v>6772.9748379999992</v>
      </c>
      <c r="FX102" s="253">
        <f t="shared" si="109"/>
        <v>5586.7230920000002</v>
      </c>
      <c r="FY102" s="181">
        <f t="shared" si="90"/>
        <v>0.26127946755077081</v>
      </c>
      <c r="GA102" s="253">
        <f t="shared" ref="GA102:GF102" si="110" xml:space="preserve"> MAX(  GA101 * 0.9,  MAX( 0, TREND( GA$96:GA$100, $A$96:$A$100, $A102 ) )  )</f>
        <v>6449.257454399999</v>
      </c>
      <c r="GB102" s="253">
        <f t="shared" si="110"/>
        <v>5798.4732926000015</v>
      </c>
      <c r="GC102" s="253">
        <f t="shared" si="110"/>
        <v>6449.257454399999</v>
      </c>
      <c r="GD102" s="253">
        <f t="shared" si="110"/>
        <v>5798.4732926000015</v>
      </c>
      <c r="GE102" s="253">
        <f t="shared" si="110"/>
        <v>6449.257454399999</v>
      </c>
      <c r="GF102" s="253">
        <f t="shared" si="110"/>
        <v>5798.4732926000015</v>
      </c>
      <c r="GG102" s="181">
        <f t="shared" si="92"/>
        <v>0.15</v>
      </c>
      <c r="GI102" s="253">
        <f t="shared" ref="GI102:GN102" si="111" xml:space="preserve"> MAX(  GI101 * 0.9,  MAX( 0, TREND( GI$96:GI$100, $A$96:$A$100, $A102 ) )  )</f>
        <v>6993.5154939999984</v>
      </c>
      <c r="GJ102" s="253">
        <f t="shared" si="111"/>
        <v>5919.7911065999988</v>
      </c>
      <c r="GK102" s="253">
        <f t="shared" si="111"/>
        <v>6993.5154939999984</v>
      </c>
      <c r="GL102" s="253">
        <f t="shared" si="111"/>
        <v>5919.7911065999988</v>
      </c>
      <c r="GM102" s="253">
        <f t="shared" si="111"/>
        <v>6993.5154939999984</v>
      </c>
      <c r="GN102" s="253">
        <f t="shared" si="111"/>
        <v>5919.7911065999988</v>
      </c>
      <c r="GO102" s="181">
        <f t="shared" si="94"/>
        <v>0.82757479207183349</v>
      </c>
    </row>
    <row r="103" spans="1:197" x14ac:dyDescent="0.2">
      <c r="A103" s="3">
        <f>Basis!A103</f>
        <v>103</v>
      </c>
      <c r="D103" s="252" t="e">
        <v>#N/A</v>
      </c>
      <c r="E103" s="252" t="e">
        <v>#N/A</v>
      </c>
      <c r="H103" s="253">
        <f t="shared" si="95"/>
        <v>13582.876380405425</v>
      </c>
      <c r="I103" s="253">
        <f t="shared" si="8"/>
        <v>10764.016468416201</v>
      </c>
      <c r="J103" s="253">
        <f t="shared" si="9"/>
        <v>13582.876380405425</v>
      </c>
      <c r="K103" s="253">
        <f t="shared" si="10"/>
        <v>10764.016468416201</v>
      </c>
      <c r="L103" s="253">
        <f t="shared" si="11"/>
        <v>13582.876380405425</v>
      </c>
      <c r="M103" s="253">
        <f t="shared" si="12"/>
        <v>10764.016468416201</v>
      </c>
      <c r="N103" s="181">
        <f t="shared" si="13"/>
        <v>0.15</v>
      </c>
      <c r="P103" s="253">
        <f t="shared" si="96"/>
        <v>11852.583845044619</v>
      </c>
      <c r="Q103" s="253">
        <f t="shared" si="14"/>
        <v>9766.5153492612171</v>
      </c>
      <c r="R103" s="253">
        <f t="shared" si="15"/>
        <v>11852.583845044619</v>
      </c>
      <c r="S103" s="253">
        <f t="shared" si="16"/>
        <v>9766.5153492612171</v>
      </c>
      <c r="T103" s="253">
        <f t="shared" si="17"/>
        <v>11852.583845044619</v>
      </c>
      <c r="U103" s="253">
        <f t="shared" si="18"/>
        <v>9766.5153492612171</v>
      </c>
      <c r="V103" s="181">
        <f t="shared" si="19"/>
        <v>0.24258687540636581</v>
      </c>
      <c r="X103" s="253">
        <f t="shared" si="97"/>
        <v>9066.3988876786116</v>
      </c>
      <c r="Y103" s="253">
        <f t="shared" si="20"/>
        <v>7353.9311247190035</v>
      </c>
      <c r="Z103" s="253">
        <f t="shared" si="21"/>
        <v>9066.3988876786116</v>
      </c>
      <c r="AA103" s="253">
        <f t="shared" si="22"/>
        <v>7353.9311247190035</v>
      </c>
      <c r="AB103" s="253">
        <f t="shared" si="23"/>
        <v>9066.3988876786116</v>
      </c>
      <c r="AC103" s="253">
        <f t="shared" si="24"/>
        <v>7353.9311247190035</v>
      </c>
      <c r="AD103" s="181">
        <f t="shared" si="25"/>
        <v>0.16394634243045003</v>
      </c>
      <c r="AF103" s="253">
        <f t="shared" si="98"/>
        <v>1801.1343211300205</v>
      </c>
      <c r="AG103" s="253">
        <f t="shared" si="26"/>
        <v>1079.3692456837039</v>
      </c>
      <c r="AH103" s="253">
        <f t="shared" si="27"/>
        <v>1801.1343211300205</v>
      </c>
      <c r="AI103" s="253">
        <f t="shared" si="28"/>
        <v>1079.3692456837039</v>
      </c>
      <c r="AJ103" s="253">
        <f t="shared" si="29"/>
        <v>1801.1343211300205</v>
      </c>
      <c r="AK103" s="253">
        <f t="shared" si="30"/>
        <v>1079.3692456837039</v>
      </c>
      <c r="AL103" s="181">
        <f t="shared" si="31"/>
        <v>0.15</v>
      </c>
      <c r="AN103" s="253">
        <f t="shared" si="99"/>
        <v>114.90618666209457</v>
      </c>
      <c r="AO103" s="253">
        <f t="shared" si="32"/>
        <v>67.578334770864075</v>
      </c>
      <c r="AP103" s="253">
        <f t="shared" si="32"/>
        <v>114.90618666209457</v>
      </c>
      <c r="AQ103" s="253">
        <f t="shared" si="32"/>
        <v>67.578334770864075</v>
      </c>
      <c r="AR103" s="253">
        <f t="shared" si="32"/>
        <v>114.90618666209457</v>
      </c>
      <c r="AS103" s="253">
        <f t="shared" si="32"/>
        <v>67.578334770864075</v>
      </c>
      <c r="AT103" s="181">
        <f t="shared" si="33"/>
        <v>0.56589147286821706</v>
      </c>
      <c r="AX103" s="253">
        <f t="shared" si="100"/>
        <v>14783.759449879997</v>
      </c>
      <c r="AY103" s="253">
        <f t="shared" si="34"/>
        <v>11243.12835348</v>
      </c>
      <c r="AZ103" s="253">
        <f t="shared" si="35"/>
        <v>14783.759449879997</v>
      </c>
      <c r="BA103" s="253">
        <f t="shared" si="36"/>
        <v>11243.12835348</v>
      </c>
      <c r="BB103" s="253">
        <f t="shared" si="37"/>
        <v>14783.759449879997</v>
      </c>
      <c r="BC103" s="253">
        <f t="shared" si="38"/>
        <v>11243.12835348</v>
      </c>
      <c r="BD103" s="181">
        <f t="shared" si="39"/>
        <v>0.15</v>
      </c>
      <c r="BF103" s="253">
        <f t="shared" si="101"/>
        <v>11757.933875769997</v>
      </c>
      <c r="BG103" s="253">
        <f t="shared" si="40"/>
        <v>9612.5322551199988</v>
      </c>
      <c r="BH103" s="253">
        <f t="shared" si="41"/>
        <v>11757.933875769997</v>
      </c>
      <c r="BI103" s="253">
        <f t="shared" si="42"/>
        <v>9612.5322551199988</v>
      </c>
      <c r="BJ103" s="253">
        <f t="shared" si="43"/>
        <v>11757.933875769997</v>
      </c>
      <c r="BK103" s="253">
        <f t="shared" si="44"/>
        <v>9612.5322551199988</v>
      </c>
      <c r="BL103" s="181">
        <f t="shared" si="45"/>
        <v>0.15985643713289788</v>
      </c>
      <c r="BN103" s="253">
        <f t="shared" si="102"/>
        <v>9887.3271641000028</v>
      </c>
      <c r="BO103" s="253">
        <f t="shared" si="46"/>
        <v>7844.0507493399982</v>
      </c>
      <c r="BP103" s="253">
        <f t="shared" si="47"/>
        <v>9887.3271641000028</v>
      </c>
      <c r="BQ103" s="253">
        <f t="shared" si="48"/>
        <v>7844.0507493399982</v>
      </c>
      <c r="BR103" s="253">
        <f t="shared" si="49"/>
        <v>9887.3271641000028</v>
      </c>
      <c r="BS103" s="253">
        <f t="shared" si="50"/>
        <v>7844.0507493399982</v>
      </c>
      <c r="BT103" s="181">
        <f t="shared" si="51"/>
        <v>0.15</v>
      </c>
      <c r="BV103" s="253">
        <f t="shared" si="103"/>
        <v>149.74875140940003</v>
      </c>
      <c r="BW103" s="253">
        <f t="shared" si="52"/>
        <v>52.926941689200014</v>
      </c>
      <c r="BX103" s="253">
        <f t="shared" si="53"/>
        <v>149.74875140940003</v>
      </c>
      <c r="BY103" s="253">
        <f t="shared" si="54"/>
        <v>52.926941689200014</v>
      </c>
      <c r="BZ103" s="253">
        <f t="shared" si="55"/>
        <v>149.74875140940003</v>
      </c>
      <c r="CA103" s="253">
        <f t="shared" si="56"/>
        <v>52.926941689200014</v>
      </c>
      <c r="CB103" s="181">
        <f t="shared" si="57"/>
        <v>0.15342470148277787</v>
      </c>
      <c r="CD103" s="253">
        <f t="shared" si="58"/>
        <v>2123.6029753500002</v>
      </c>
      <c r="CE103" s="253">
        <f t="shared" si="59"/>
        <v>1338.3908595000003</v>
      </c>
      <c r="CF103" s="253">
        <f t="shared" si="60"/>
        <v>2123.6029753500002</v>
      </c>
      <c r="CG103" s="253">
        <f t="shared" si="61"/>
        <v>1338.3908595000003</v>
      </c>
      <c r="CH103" s="253">
        <f t="shared" si="62"/>
        <v>2123.6029753500002</v>
      </c>
      <c r="CI103" s="253">
        <f t="shared" si="63"/>
        <v>1338.3908595000003</v>
      </c>
      <c r="CJ103" s="181">
        <f t="shared" si="64"/>
        <v>0.17389602372815008</v>
      </c>
      <c r="CN103" s="253">
        <f t="shared" si="65"/>
        <v>14969.448517600002</v>
      </c>
      <c r="CO103" s="253">
        <f t="shared" si="66"/>
        <v>11399.333600240001</v>
      </c>
      <c r="CP103" s="253">
        <f t="shared" si="66"/>
        <v>14969.448517600002</v>
      </c>
      <c r="CQ103" s="253">
        <f t="shared" si="66"/>
        <v>11399.333600240001</v>
      </c>
      <c r="CR103" s="253">
        <f t="shared" si="66"/>
        <v>14969.448517600002</v>
      </c>
      <c r="CS103" s="253">
        <f t="shared" si="66"/>
        <v>11399.333600240001</v>
      </c>
      <c r="CT103" s="181">
        <f t="shared" si="67"/>
        <v>0.19041039904059556</v>
      </c>
      <c r="CV103" s="253">
        <f t="shared" si="68"/>
        <v>10893.669876850005</v>
      </c>
      <c r="CW103" s="253">
        <f t="shared" si="69"/>
        <v>8590.6242374600006</v>
      </c>
      <c r="CX103" s="253">
        <f t="shared" si="69"/>
        <v>10893.669876850005</v>
      </c>
      <c r="CY103" s="253">
        <f t="shared" si="69"/>
        <v>8590.6242374600006</v>
      </c>
      <c r="CZ103" s="253">
        <f t="shared" si="69"/>
        <v>10893.669876850005</v>
      </c>
      <c r="DA103" s="253">
        <f t="shared" si="69"/>
        <v>8590.6242374600006</v>
      </c>
      <c r="DB103" s="181">
        <f t="shared" si="70"/>
        <v>0.19408014757495892</v>
      </c>
      <c r="DC103" s="1"/>
      <c r="DD103" s="253">
        <f t="shared" si="71"/>
        <v>9515.197138239997</v>
      </c>
      <c r="DE103" s="253">
        <f t="shared" si="72"/>
        <v>7403.1379847400003</v>
      </c>
      <c r="DF103" s="253">
        <f t="shared" si="72"/>
        <v>9515.197138239997</v>
      </c>
      <c r="DG103" s="253">
        <f t="shared" si="72"/>
        <v>7403.1379847400003</v>
      </c>
      <c r="DH103" s="253">
        <f t="shared" si="72"/>
        <v>9515.197138239997</v>
      </c>
      <c r="DI103" s="253">
        <f t="shared" si="72"/>
        <v>7403.1379847400003</v>
      </c>
      <c r="DJ103" s="181">
        <f t="shared" si="73"/>
        <v>0.23101971710284955</v>
      </c>
      <c r="DK103" s="1"/>
      <c r="DL103" s="253">
        <f t="shared" si="74"/>
        <v>156.60519484320002</v>
      </c>
      <c r="DM103" s="253">
        <f t="shared" si="75"/>
        <v>62.727709543200007</v>
      </c>
      <c r="DN103" s="253">
        <f t="shared" si="75"/>
        <v>156.60519484320002</v>
      </c>
      <c r="DO103" s="253">
        <f t="shared" si="75"/>
        <v>62.727709543200007</v>
      </c>
      <c r="DP103" s="253">
        <f t="shared" si="75"/>
        <v>156.60519484320002</v>
      </c>
      <c r="DQ103" s="253">
        <f t="shared" si="75"/>
        <v>62.727709543200007</v>
      </c>
      <c r="DR103" s="181">
        <f t="shared" si="76"/>
        <v>0.20219429630985816</v>
      </c>
      <c r="DS103" s="1"/>
      <c r="DT103" s="253">
        <f t="shared" si="77"/>
        <v>2873.2916202000001</v>
      </c>
      <c r="DU103" s="253">
        <f t="shared" si="77"/>
        <v>2045.6212620000006</v>
      </c>
      <c r="DV103" s="253">
        <f t="shared" si="77"/>
        <v>2873.2916202000001</v>
      </c>
      <c r="DW103" s="253">
        <f t="shared" si="77"/>
        <v>2045.6212620000006</v>
      </c>
      <c r="DX103" s="253">
        <f t="shared" si="77"/>
        <v>2873.2916202000001</v>
      </c>
      <c r="DY103" s="253">
        <f t="shared" si="77"/>
        <v>2045.6212620000006</v>
      </c>
      <c r="DZ103" s="181">
        <f t="shared" si="78"/>
        <v>0.24125193760100261</v>
      </c>
      <c r="ED103" s="253">
        <f t="shared" ref="ED103:EI103" si="112" xml:space="preserve"> MAX(  ED102 * 0.9,  MAX( 0, TREND( ED$96:ED$100, $A$96:$A$100, $A103 ) )  )</f>
        <v>13499.695337960002</v>
      </c>
      <c r="EE103" s="253">
        <f t="shared" si="112"/>
        <v>10296.745835680002</v>
      </c>
      <c r="EF103" s="253">
        <f t="shared" si="112"/>
        <v>13499.695337960002</v>
      </c>
      <c r="EG103" s="253">
        <f t="shared" si="112"/>
        <v>10296.745835680002</v>
      </c>
      <c r="EH103" s="253">
        <f t="shared" si="112"/>
        <v>13499.695337960002</v>
      </c>
      <c r="EI103" s="253">
        <f t="shared" si="112"/>
        <v>10296.745835680002</v>
      </c>
      <c r="EJ103" s="181">
        <f t="shared" si="80"/>
        <v>0.24678409210423774</v>
      </c>
      <c r="EL103" s="253">
        <f t="shared" ref="EL103:EQ103" si="113" xml:space="preserve"> MAX(  EL102 * 0.9,  MAX( 0, TREND( EL$96:EL$100, $A$96:$A$100, $A103 ) )  )</f>
        <v>11999.319578140003</v>
      </c>
      <c r="EM103" s="253">
        <f t="shared" si="113"/>
        <v>9792.4459553700017</v>
      </c>
      <c r="EN103" s="253">
        <f t="shared" si="113"/>
        <v>11999.319578140003</v>
      </c>
      <c r="EO103" s="253">
        <f t="shared" si="113"/>
        <v>9792.4459553700017</v>
      </c>
      <c r="EP103" s="253">
        <f t="shared" si="113"/>
        <v>11999.319578140003</v>
      </c>
      <c r="EQ103" s="253">
        <f t="shared" si="113"/>
        <v>9792.4459553700017</v>
      </c>
      <c r="ER103" s="181">
        <f t="shared" si="82"/>
        <v>0.23955028343524132</v>
      </c>
      <c r="ET103" s="253">
        <f t="shared" ref="ET103:EY103" si="114" xml:space="preserve"> MAX(  ET102 * 0.9,  MAX( 0, TREND( ET$96:ET$100, $A$96:$A$100, $A103 ) )  )</f>
        <v>11197.73686026</v>
      </c>
      <c r="EU103" s="253">
        <f t="shared" si="114"/>
        <v>8725.6257291999973</v>
      </c>
      <c r="EV103" s="253">
        <f t="shared" si="114"/>
        <v>11197.73686026</v>
      </c>
      <c r="EW103" s="253">
        <f t="shared" si="114"/>
        <v>8725.6257291999973</v>
      </c>
      <c r="EX103" s="253">
        <f t="shared" si="114"/>
        <v>11197.73686026</v>
      </c>
      <c r="EY103" s="253">
        <f t="shared" si="114"/>
        <v>8725.6257291999973</v>
      </c>
      <c r="EZ103" s="181">
        <f t="shared" si="84"/>
        <v>0.24861415021641745</v>
      </c>
      <c r="FB103" s="253">
        <f t="shared" ref="FB103:FG103" si="115" xml:space="preserve"> MAX(  FB102 * 0.9,  MAX( 0, TREND( FB$96:FB$100, $A$96:$A$100, $A103 ) )  )</f>
        <v>167.3695930968</v>
      </c>
      <c r="FC103" s="253">
        <f t="shared" si="115"/>
        <v>118.90933967520002</v>
      </c>
      <c r="FD103" s="253">
        <f t="shared" si="115"/>
        <v>167.3695930968</v>
      </c>
      <c r="FE103" s="253">
        <f t="shared" si="115"/>
        <v>118.90933967520002</v>
      </c>
      <c r="FF103" s="253">
        <f t="shared" si="115"/>
        <v>167.3695930968</v>
      </c>
      <c r="FG103" s="253">
        <f t="shared" si="115"/>
        <v>118.90933967520002</v>
      </c>
      <c r="FH103" s="181">
        <f t="shared" si="86"/>
        <v>0.24131645732181609</v>
      </c>
      <c r="FJ103" s="253">
        <f t="shared" ref="FJ103:FO103" si="116" xml:space="preserve"> MAX(  FJ102 * 0.9,  MAX( 0, TREND( FJ$96:FJ$100, $A$96:$A$100, $A103 ) )  )</f>
        <v>2106.850555125</v>
      </c>
      <c r="FK103" s="253">
        <f t="shared" si="116"/>
        <v>1467.2247795000005</v>
      </c>
      <c r="FL103" s="253">
        <f t="shared" si="116"/>
        <v>2106.850555125</v>
      </c>
      <c r="FM103" s="253">
        <f t="shared" si="116"/>
        <v>1467.2247795000005</v>
      </c>
      <c r="FN103" s="253">
        <f t="shared" si="116"/>
        <v>2106.850555125</v>
      </c>
      <c r="FO103" s="253">
        <f t="shared" si="116"/>
        <v>1467.2247795000005</v>
      </c>
      <c r="FP103" s="181">
        <f t="shared" si="88"/>
        <v>0.24583836257643332</v>
      </c>
      <c r="FS103" s="253">
        <f t="shared" ref="FS103:FX103" si="117" xml:space="preserve"> MAX(  FS102 * 0.9,  MAX( 0, TREND( FS$96:FS$100, $A$96:$A$100, $A103 ) )  )</f>
        <v>6838.2422474999994</v>
      </c>
      <c r="FT103" s="253">
        <f t="shared" si="117"/>
        <v>5622.2549823999998</v>
      </c>
      <c r="FU103" s="253">
        <f t="shared" si="117"/>
        <v>6838.2422474999994</v>
      </c>
      <c r="FV103" s="253">
        <f t="shared" si="117"/>
        <v>5622.2549823999998</v>
      </c>
      <c r="FW103" s="253">
        <f t="shared" si="117"/>
        <v>6838.2422474999994</v>
      </c>
      <c r="FX103" s="253">
        <f t="shared" si="117"/>
        <v>5622.2549823999998</v>
      </c>
      <c r="FY103" s="181">
        <f t="shared" si="90"/>
        <v>0.26127946755077081</v>
      </c>
      <c r="GA103" s="253">
        <f t="shared" ref="GA103:GF103" si="118" xml:space="preserve"> MAX(  GA102 * 0.9,  MAX( 0, TREND( GA$96:GA$100, $A$96:$A$100, $A103 ) )  )</f>
        <v>6512.4669239999985</v>
      </c>
      <c r="GB103" s="253">
        <f t="shared" si="118"/>
        <v>5852.6227554000025</v>
      </c>
      <c r="GC103" s="253">
        <f t="shared" si="118"/>
        <v>6512.4669239999985</v>
      </c>
      <c r="GD103" s="253">
        <f t="shared" si="118"/>
        <v>5852.6227554000025</v>
      </c>
      <c r="GE103" s="253">
        <f t="shared" si="118"/>
        <v>6512.4669239999985</v>
      </c>
      <c r="GF103" s="253">
        <f t="shared" si="118"/>
        <v>5852.6227554000025</v>
      </c>
      <c r="GG103" s="181">
        <f t="shared" si="92"/>
        <v>0.15</v>
      </c>
      <c r="GI103" s="253">
        <f t="shared" ref="GI103:GN103" si="119" xml:space="preserve"> MAX(  GI102 * 0.9,  MAX( 0, TREND( GI$96:GI$100, $A$96:$A$100, $A103 ) )  )</f>
        <v>7087.2719714999994</v>
      </c>
      <c r="GJ103" s="253">
        <f t="shared" si="119"/>
        <v>5972.3022428999984</v>
      </c>
      <c r="GK103" s="253">
        <f t="shared" si="119"/>
        <v>7087.2719714999994</v>
      </c>
      <c r="GL103" s="253">
        <f t="shared" si="119"/>
        <v>5972.3022428999984</v>
      </c>
      <c r="GM103" s="253">
        <f t="shared" si="119"/>
        <v>7087.2719714999994</v>
      </c>
      <c r="GN103" s="253">
        <f t="shared" si="119"/>
        <v>5972.3022428999984</v>
      </c>
      <c r="GO103" s="181">
        <f t="shared" si="94"/>
        <v>0.82757479207183349</v>
      </c>
    </row>
    <row r="104" spans="1:197" x14ac:dyDescent="0.2">
      <c r="A104" s="3">
        <f>Basis!A104</f>
        <v>104</v>
      </c>
      <c r="D104" s="252" t="e">
        <v>#N/A</v>
      </c>
      <c r="E104" s="252" t="e">
        <v>#N/A</v>
      </c>
      <c r="H104" s="253">
        <f t="shared" si="95"/>
        <v>13712.931445040613</v>
      </c>
      <c r="I104" s="253">
        <f t="shared" si="8"/>
        <v>10812.366801145134</v>
      </c>
      <c r="J104" s="253">
        <f t="shared" si="9"/>
        <v>13712.931445040613</v>
      </c>
      <c r="K104" s="253">
        <f t="shared" si="10"/>
        <v>10812.366801145134</v>
      </c>
      <c r="L104" s="253">
        <f t="shared" si="11"/>
        <v>13712.931445040613</v>
      </c>
      <c r="M104" s="253">
        <f t="shared" si="12"/>
        <v>10812.366801145134</v>
      </c>
      <c r="N104" s="181">
        <f t="shared" si="13"/>
        <v>0.15</v>
      </c>
      <c r="P104" s="253">
        <f t="shared" si="96"/>
        <v>11941.052314591536</v>
      </c>
      <c r="Q104" s="253">
        <f t="shared" si="14"/>
        <v>9797.1304913308704</v>
      </c>
      <c r="R104" s="253">
        <f t="shared" si="15"/>
        <v>11941.052314591536</v>
      </c>
      <c r="S104" s="253">
        <f t="shared" si="16"/>
        <v>9797.1304913308704</v>
      </c>
      <c r="T104" s="253">
        <f t="shared" si="17"/>
        <v>11941.052314591536</v>
      </c>
      <c r="U104" s="253">
        <f t="shared" si="18"/>
        <v>9797.1304913308704</v>
      </c>
      <c r="V104" s="181">
        <f t="shared" si="19"/>
        <v>0.24258687540636581</v>
      </c>
      <c r="X104" s="253">
        <f t="shared" si="97"/>
        <v>9145.8510344641072</v>
      </c>
      <c r="Y104" s="253">
        <f t="shared" si="20"/>
        <v>7381.7763130065268</v>
      </c>
      <c r="Z104" s="253">
        <f t="shared" si="21"/>
        <v>9145.8510344641072</v>
      </c>
      <c r="AA104" s="253">
        <f t="shared" si="22"/>
        <v>7381.7763130065268</v>
      </c>
      <c r="AB104" s="253">
        <f t="shared" si="23"/>
        <v>9145.8510344641072</v>
      </c>
      <c r="AC104" s="253">
        <f t="shared" si="24"/>
        <v>7381.7763130065268</v>
      </c>
      <c r="AD104" s="181">
        <f t="shared" si="25"/>
        <v>0.16394634243045003</v>
      </c>
      <c r="AF104" s="253">
        <f t="shared" si="98"/>
        <v>1804.4773531300204</v>
      </c>
      <c r="AG104" s="253">
        <f t="shared" si="26"/>
        <v>1079.3692456837039</v>
      </c>
      <c r="AH104" s="253">
        <f t="shared" si="27"/>
        <v>1804.4773531300204</v>
      </c>
      <c r="AI104" s="253">
        <f t="shared" si="28"/>
        <v>1079.3692456837039</v>
      </c>
      <c r="AJ104" s="253">
        <f t="shared" si="29"/>
        <v>1804.4773531300204</v>
      </c>
      <c r="AK104" s="253">
        <f t="shared" si="30"/>
        <v>1079.3692456837039</v>
      </c>
      <c r="AL104" s="181">
        <f t="shared" si="31"/>
        <v>0.15</v>
      </c>
      <c r="AN104" s="253">
        <f t="shared" si="99"/>
        <v>103.41556799588511</v>
      </c>
      <c r="AO104" s="253">
        <f t="shared" si="32"/>
        <v>60.820501293777667</v>
      </c>
      <c r="AP104" s="253">
        <f t="shared" si="32"/>
        <v>103.41556799588511</v>
      </c>
      <c r="AQ104" s="253">
        <f t="shared" si="32"/>
        <v>60.820501293777667</v>
      </c>
      <c r="AR104" s="253">
        <f t="shared" si="32"/>
        <v>103.41556799588511</v>
      </c>
      <c r="AS104" s="253">
        <f t="shared" si="32"/>
        <v>60.820501293777667</v>
      </c>
      <c r="AT104" s="181">
        <f t="shared" si="33"/>
        <v>0.56589147286821706</v>
      </c>
      <c r="AX104" s="253">
        <f t="shared" si="100"/>
        <v>14904.697071159997</v>
      </c>
      <c r="AY104" s="253">
        <f t="shared" si="34"/>
        <v>11269.723367840001</v>
      </c>
      <c r="AZ104" s="253">
        <f t="shared" si="35"/>
        <v>14904.697071159997</v>
      </c>
      <c r="BA104" s="253">
        <f t="shared" si="36"/>
        <v>11269.723367840001</v>
      </c>
      <c r="BB104" s="253">
        <f t="shared" si="37"/>
        <v>14904.697071159997</v>
      </c>
      <c r="BC104" s="253">
        <f t="shared" si="38"/>
        <v>11269.723367840001</v>
      </c>
      <c r="BD104" s="181">
        <f t="shared" si="39"/>
        <v>0.15</v>
      </c>
      <c r="BF104" s="253">
        <f t="shared" si="101"/>
        <v>11772.854387439998</v>
      </c>
      <c r="BG104" s="253">
        <f t="shared" si="40"/>
        <v>9616.0539811599992</v>
      </c>
      <c r="BH104" s="253">
        <f t="shared" si="41"/>
        <v>11772.854387439998</v>
      </c>
      <c r="BI104" s="253">
        <f t="shared" si="42"/>
        <v>9616.0539811599992</v>
      </c>
      <c r="BJ104" s="253">
        <f t="shared" si="43"/>
        <v>11772.854387439998</v>
      </c>
      <c r="BK104" s="253">
        <f t="shared" si="44"/>
        <v>9616.0539811599992</v>
      </c>
      <c r="BL104" s="181">
        <f t="shared" si="45"/>
        <v>0.15985643713289788</v>
      </c>
      <c r="BN104" s="253">
        <f t="shared" si="102"/>
        <v>9940.4839782000017</v>
      </c>
      <c r="BO104" s="253">
        <f t="shared" si="46"/>
        <v>7839.6492853599975</v>
      </c>
      <c r="BP104" s="253">
        <f t="shared" si="47"/>
        <v>9940.4839782000017</v>
      </c>
      <c r="BQ104" s="253">
        <f t="shared" si="48"/>
        <v>7839.6492853599975</v>
      </c>
      <c r="BR104" s="253">
        <f t="shared" si="49"/>
        <v>9940.4839782000017</v>
      </c>
      <c r="BS104" s="253">
        <f t="shared" si="50"/>
        <v>7839.6492853599975</v>
      </c>
      <c r="BT104" s="181">
        <f t="shared" si="51"/>
        <v>0.15</v>
      </c>
      <c r="BV104" s="253">
        <f t="shared" si="103"/>
        <v>134.77387626846004</v>
      </c>
      <c r="BW104" s="253">
        <f t="shared" si="52"/>
        <v>47.634247520280013</v>
      </c>
      <c r="BX104" s="253">
        <f t="shared" si="53"/>
        <v>134.77387626846004</v>
      </c>
      <c r="BY104" s="253">
        <f t="shared" si="54"/>
        <v>47.634247520280013</v>
      </c>
      <c r="BZ104" s="253">
        <f t="shared" si="55"/>
        <v>134.77387626846004</v>
      </c>
      <c r="CA104" s="253">
        <f t="shared" si="56"/>
        <v>47.634247520280013</v>
      </c>
      <c r="CB104" s="181">
        <f t="shared" si="57"/>
        <v>0.15342470148277787</v>
      </c>
      <c r="CD104" s="253">
        <f t="shared" si="58"/>
        <v>2147.3953681499997</v>
      </c>
      <c r="CE104" s="253">
        <f t="shared" si="59"/>
        <v>1338.3908595000003</v>
      </c>
      <c r="CF104" s="253">
        <f t="shared" si="60"/>
        <v>2147.3953681499997</v>
      </c>
      <c r="CG104" s="253">
        <f t="shared" si="61"/>
        <v>1338.3908595000003</v>
      </c>
      <c r="CH104" s="253">
        <f t="shared" si="62"/>
        <v>2147.3953681499997</v>
      </c>
      <c r="CI104" s="253">
        <f t="shared" si="63"/>
        <v>1338.3908595000003</v>
      </c>
      <c r="CJ104" s="181">
        <f t="shared" si="64"/>
        <v>0.17389602372815008</v>
      </c>
      <c r="CN104" s="253">
        <f t="shared" si="65"/>
        <v>15097.662335760002</v>
      </c>
      <c r="CO104" s="253">
        <f t="shared" si="66"/>
        <v>11428.043536800002</v>
      </c>
      <c r="CP104" s="253">
        <f t="shared" si="66"/>
        <v>15097.662335760002</v>
      </c>
      <c r="CQ104" s="253">
        <f t="shared" si="66"/>
        <v>11428.043536800002</v>
      </c>
      <c r="CR104" s="253">
        <f t="shared" si="66"/>
        <v>15097.662335760002</v>
      </c>
      <c r="CS104" s="253">
        <f t="shared" si="66"/>
        <v>11428.043536800002</v>
      </c>
      <c r="CT104" s="181">
        <f t="shared" si="67"/>
        <v>0.19041039904059556</v>
      </c>
      <c r="CV104" s="253">
        <f t="shared" si="68"/>
        <v>10904.249882540005</v>
      </c>
      <c r="CW104" s="253">
        <f t="shared" si="69"/>
        <v>8600.688669600002</v>
      </c>
      <c r="CX104" s="253">
        <f t="shared" si="69"/>
        <v>10904.249882540005</v>
      </c>
      <c r="CY104" s="253">
        <f t="shared" si="69"/>
        <v>8600.688669600002</v>
      </c>
      <c r="CZ104" s="253">
        <f t="shared" si="69"/>
        <v>10904.249882540005</v>
      </c>
      <c r="DA104" s="253">
        <f t="shared" si="69"/>
        <v>8600.688669600002</v>
      </c>
      <c r="DB104" s="181">
        <f t="shared" si="70"/>
        <v>0.19408014757495892</v>
      </c>
      <c r="DC104" s="1"/>
      <c r="DD104" s="253">
        <f t="shared" si="71"/>
        <v>9582.852551359998</v>
      </c>
      <c r="DE104" s="253">
        <f t="shared" si="72"/>
        <v>7417.2741760400004</v>
      </c>
      <c r="DF104" s="253">
        <f t="shared" si="72"/>
        <v>9582.852551359998</v>
      </c>
      <c r="DG104" s="253">
        <f t="shared" si="72"/>
        <v>7417.2741760400004</v>
      </c>
      <c r="DH104" s="253">
        <f t="shared" si="72"/>
        <v>9582.852551359998</v>
      </c>
      <c r="DI104" s="253">
        <f t="shared" si="72"/>
        <v>7417.2741760400004</v>
      </c>
      <c r="DJ104" s="181">
        <f t="shared" si="73"/>
        <v>0.23101971710284955</v>
      </c>
      <c r="DK104" s="1"/>
      <c r="DL104" s="253">
        <f t="shared" si="74"/>
        <v>140.94467535888003</v>
      </c>
      <c r="DM104" s="253">
        <f t="shared" si="75"/>
        <v>56.454938588880005</v>
      </c>
      <c r="DN104" s="253">
        <f t="shared" si="75"/>
        <v>140.94467535888003</v>
      </c>
      <c r="DO104" s="253">
        <f t="shared" si="75"/>
        <v>56.454938588880005</v>
      </c>
      <c r="DP104" s="253">
        <f t="shared" si="75"/>
        <v>140.94467535888003</v>
      </c>
      <c r="DQ104" s="253">
        <f t="shared" si="75"/>
        <v>56.454938588880005</v>
      </c>
      <c r="DR104" s="181">
        <f t="shared" si="76"/>
        <v>0.20219429630985816</v>
      </c>
      <c r="DS104" s="1"/>
      <c r="DT104" s="253">
        <f t="shared" si="77"/>
        <v>2894.5631874000005</v>
      </c>
      <c r="DU104" s="253">
        <f t="shared" si="77"/>
        <v>2045.6212620000006</v>
      </c>
      <c r="DV104" s="253">
        <f t="shared" si="77"/>
        <v>2894.5631874000005</v>
      </c>
      <c r="DW104" s="253">
        <f t="shared" si="77"/>
        <v>2045.6212620000006</v>
      </c>
      <c r="DX104" s="253">
        <f t="shared" si="77"/>
        <v>2894.5631874000005</v>
      </c>
      <c r="DY104" s="253">
        <f t="shared" si="77"/>
        <v>2045.6212620000006</v>
      </c>
      <c r="DZ104" s="181">
        <f t="shared" si="78"/>
        <v>0.24125193760100261</v>
      </c>
      <c r="ED104" s="253">
        <f t="shared" ref="ED104:EI104" si="120" xml:space="preserve"> MAX(  ED103 * 0.9,  MAX( 0, TREND( ED$96:ED$100, $A$96:$A$100, $A104 ) )  )</f>
        <v>13578.385245400004</v>
      </c>
      <c r="EE104" s="253">
        <f t="shared" si="120"/>
        <v>10309.461940480003</v>
      </c>
      <c r="EF104" s="253">
        <f t="shared" si="120"/>
        <v>13578.385245400004</v>
      </c>
      <c r="EG104" s="253">
        <f t="shared" si="120"/>
        <v>10309.461940480003</v>
      </c>
      <c r="EH104" s="253">
        <f t="shared" si="120"/>
        <v>13578.385245400004</v>
      </c>
      <c r="EI104" s="253">
        <f t="shared" si="120"/>
        <v>10309.461940480003</v>
      </c>
      <c r="EJ104" s="181">
        <f t="shared" si="80"/>
        <v>0.24678409210423774</v>
      </c>
      <c r="EL104" s="253">
        <f t="shared" ref="EL104:EQ104" si="121" xml:space="preserve"> MAX(  EL103 * 0.9,  MAX( 0, TREND( EL$96:EL$100, $A$96:$A$100, $A104 ) )  )</f>
        <v>11999.090012800003</v>
      </c>
      <c r="EM104" s="253">
        <f t="shared" si="121"/>
        <v>9806.2553915200024</v>
      </c>
      <c r="EN104" s="253">
        <f t="shared" si="121"/>
        <v>11999.090012800003</v>
      </c>
      <c r="EO104" s="253">
        <f t="shared" si="121"/>
        <v>9806.2553915200024</v>
      </c>
      <c r="EP104" s="253">
        <f t="shared" si="121"/>
        <v>11999.090012800003</v>
      </c>
      <c r="EQ104" s="253">
        <f t="shared" si="121"/>
        <v>9806.2553915200024</v>
      </c>
      <c r="ER104" s="181">
        <f t="shared" si="82"/>
        <v>0.23955028343524132</v>
      </c>
      <c r="ET104" s="253">
        <f t="shared" ref="ET104:EY104" si="122" xml:space="preserve"> MAX(  ET103 * 0.9,  MAX( 0, TREND( ET$96:ET$100, $A$96:$A$100, $A104 ) )  )</f>
        <v>11250.034095360003</v>
      </c>
      <c r="EU104" s="253">
        <f t="shared" si="122"/>
        <v>8746.7761579199978</v>
      </c>
      <c r="EV104" s="253">
        <f t="shared" si="122"/>
        <v>11250.034095360003</v>
      </c>
      <c r="EW104" s="253">
        <f t="shared" si="122"/>
        <v>8746.7761579199978</v>
      </c>
      <c r="EX104" s="253">
        <f t="shared" si="122"/>
        <v>11250.034095360003</v>
      </c>
      <c r="EY104" s="253">
        <f t="shared" si="122"/>
        <v>8746.7761579199978</v>
      </c>
      <c r="EZ104" s="181">
        <f t="shared" si="84"/>
        <v>0.24861415021641745</v>
      </c>
      <c r="FB104" s="253">
        <f t="shared" ref="FB104:FG104" si="123" xml:space="preserve"> MAX(  FB103 * 0.9,  MAX( 0, TREND( FB$96:FB$100, $A$96:$A$100, $A104 ) )  )</f>
        <v>150.63263378712</v>
      </c>
      <c r="FC104" s="253">
        <f t="shared" si="123"/>
        <v>107.01840570768002</v>
      </c>
      <c r="FD104" s="253">
        <f t="shared" si="123"/>
        <v>150.63263378712</v>
      </c>
      <c r="FE104" s="253">
        <f t="shared" si="123"/>
        <v>107.01840570768002</v>
      </c>
      <c r="FF104" s="253">
        <f t="shared" si="123"/>
        <v>150.63263378712</v>
      </c>
      <c r="FG104" s="253">
        <f t="shared" si="123"/>
        <v>107.01840570768002</v>
      </c>
      <c r="FH104" s="181">
        <f t="shared" si="86"/>
        <v>0.24131645732181609</v>
      </c>
      <c r="FJ104" s="253">
        <f t="shared" ref="FJ104:FO104" si="124" xml:space="preserve"> MAX(  FJ103 * 0.9,  MAX( 0, TREND( FJ$96:FJ$100, $A$96:$A$100, $A104 ) )  )</f>
        <v>2136.3320385000002</v>
      </c>
      <c r="FK104" s="253">
        <f t="shared" si="124"/>
        <v>1467.2247795000005</v>
      </c>
      <c r="FL104" s="253">
        <f t="shared" si="124"/>
        <v>2136.3320385000002</v>
      </c>
      <c r="FM104" s="253">
        <f t="shared" si="124"/>
        <v>1467.2247795000005</v>
      </c>
      <c r="FN104" s="253">
        <f t="shared" si="124"/>
        <v>2136.3320385000002</v>
      </c>
      <c r="FO104" s="253">
        <f t="shared" si="124"/>
        <v>1467.2247795000005</v>
      </c>
      <c r="FP104" s="181">
        <f t="shared" si="88"/>
        <v>0.24583836257643332</v>
      </c>
      <c r="FS104" s="253">
        <f t="shared" ref="FS104:FX104" si="125" xml:space="preserve"> MAX(  FS103 * 0.9,  MAX( 0, TREND( FS$96:FS$100, $A$96:$A$100, $A104 ) )  )</f>
        <v>6903.5096569999996</v>
      </c>
      <c r="FT104" s="253">
        <f t="shared" si="125"/>
        <v>5657.7868728000003</v>
      </c>
      <c r="FU104" s="253">
        <f t="shared" si="125"/>
        <v>6903.5096569999996</v>
      </c>
      <c r="FV104" s="253">
        <f t="shared" si="125"/>
        <v>5657.7868728000003</v>
      </c>
      <c r="FW104" s="253">
        <f t="shared" si="125"/>
        <v>6903.5096569999996</v>
      </c>
      <c r="FX104" s="253">
        <f t="shared" si="125"/>
        <v>5657.7868728000003</v>
      </c>
      <c r="FY104" s="181">
        <f t="shared" si="90"/>
        <v>0.26127946755077081</v>
      </c>
      <c r="GA104" s="253">
        <f t="shared" ref="GA104:GF104" si="126" xml:space="preserve"> MAX(  GA103 * 0.9,  MAX( 0, TREND( GA$96:GA$100, $A$96:$A$100, $A104 ) )  )</f>
        <v>6575.6763935999988</v>
      </c>
      <c r="GB104" s="253">
        <f t="shared" si="126"/>
        <v>5906.7722182000025</v>
      </c>
      <c r="GC104" s="253">
        <f t="shared" si="126"/>
        <v>6575.6763935999988</v>
      </c>
      <c r="GD104" s="253">
        <f t="shared" si="126"/>
        <v>5906.7722182000025</v>
      </c>
      <c r="GE104" s="253">
        <f t="shared" si="126"/>
        <v>6575.6763935999988</v>
      </c>
      <c r="GF104" s="253">
        <f t="shared" si="126"/>
        <v>5906.7722182000025</v>
      </c>
      <c r="GG104" s="181">
        <f t="shared" si="92"/>
        <v>0.15</v>
      </c>
      <c r="GI104" s="253">
        <f t="shared" ref="GI104:GN104" si="127" xml:space="preserve"> MAX(  GI103 * 0.9,  MAX( 0, TREND( GI$96:GI$100, $A$96:$A$100, $A104 ) )  )</f>
        <v>7181.0284489999985</v>
      </c>
      <c r="GJ104" s="253">
        <f t="shared" si="127"/>
        <v>6024.8133791999981</v>
      </c>
      <c r="GK104" s="253">
        <f t="shared" si="127"/>
        <v>7181.0284489999985</v>
      </c>
      <c r="GL104" s="253">
        <f t="shared" si="127"/>
        <v>6024.8133791999981</v>
      </c>
      <c r="GM104" s="253">
        <f t="shared" si="127"/>
        <v>7181.0284489999985</v>
      </c>
      <c r="GN104" s="253">
        <f t="shared" si="127"/>
        <v>6024.8133791999981</v>
      </c>
      <c r="GO104" s="181">
        <f t="shared" si="94"/>
        <v>0.82757479207183349</v>
      </c>
    </row>
    <row r="105" spans="1:197" x14ac:dyDescent="0.2">
      <c r="A105" s="3">
        <f>Basis!A105</f>
        <v>105</v>
      </c>
      <c r="D105" s="252" t="e">
        <v>#N/A</v>
      </c>
      <c r="E105" s="252" t="e">
        <v>#N/A</v>
      </c>
      <c r="H105" s="253">
        <f t="shared" si="95"/>
        <v>13842.9865096758</v>
      </c>
      <c r="I105" s="253">
        <f t="shared" si="8"/>
        <v>10860.717133874066</v>
      </c>
      <c r="J105" s="253">
        <f t="shared" si="9"/>
        <v>13842.9865096758</v>
      </c>
      <c r="K105" s="253">
        <f t="shared" si="10"/>
        <v>10860.717133874066</v>
      </c>
      <c r="L105" s="253">
        <f t="shared" si="11"/>
        <v>13842.9865096758</v>
      </c>
      <c r="M105" s="253">
        <f t="shared" si="12"/>
        <v>10860.717133874066</v>
      </c>
      <c r="N105" s="181">
        <f t="shared" si="13"/>
        <v>0.15</v>
      </c>
      <c r="P105" s="253">
        <f t="shared" si="96"/>
        <v>12029.520784138453</v>
      </c>
      <c r="Q105" s="253">
        <f t="shared" si="14"/>
        <v>9827.7456334005255</v>
      </c>
      <c r="R105" s="253">
        <f t="shared" si="15"/>
        <v>12029.520784138453</v>
      </c>
      <c r="S105" s="253">
        <f t="shared" si="16"/>
        <v>9827.7456334005255</v>
      </c>
      <c r="T105" s="253">
        <f t="shared" si="17"/>
        <v>12029.520784138453</v>
      </c>
      <c r="U105" s="253">
        <f t="shared" si="18"/>
        <v>9827.7456334005255</v>
      </c>
      <c r="V105" s="181">
        <f t="shared" si="19"/>
        <v>0.24258687540636581</v>
      </c>
      <c r="X105" s="253">
        <f t="shared" si="97"/>
        <v>9225.303181249601</v>
      </c>
      <c r="Y105" s="253">
        <f t="shared" si="20"/>
        <v>7409.6215012940502</v>
      </c>
      <c r="Z105" s="253">
        <f t="shared" si="21"/>
        <v>9225.303181249601</v>
      </c>
      <c r="AA105" s="253">
        <f t="shared" si="22"/>
        <v>7409.6215012940502</v>
      </c>
      <c r="AB105" s="253">
        <f t="shared" si="23"/>
        <v>9225.303181249601</v>
      </c>
      <c r="AC105" s="253">
        <f t="shared" si="24"/>
        <v>7409.6215012940502</v>
      </c>
      <c r="AD105" s="181">
        <f t="shared" si="25"/>
        <v>0.16394634243045003</v>
      </c>
      <c r="AF105" s="253">
        <f t="shared" si="98"/>
        <v>1807.8203851300204</v>
      </c>
      <c r="AG105" s="253">
        <f t="shared" si="26"/>
        <v>1079.3692456837039</v>
      </c>
      <c r="AH105" s="253">
        <f t="shared" si="27"/>
        <v>1807.8203851300204</v>
      </c>
      <c r="AI105" s="253">
        <f t="shared" si="28"/>
        <v>1079.3692456837039</v>
      </c>
      <c r="AJ105" s="253">
        <f t="shared" si="29"/>
        <v>1807.8203851300204</v>
      </c>
      <c r="AK105" s="253">
        <f t="shared" si="30"/>
        <v>1079.3692456837039</v>
      </c>
      <c r="AL105" s="181">
        <f t="shared" si="31"/>
        <v>0.15</v>
      </c>
      <c r="AN105" s="253">
        <f t="shared" si="99"/>
        <v>93.07401119629661</v>
      </c>
      <c r="AO105" s="253">
        <f t="shared" si="32"/>
        <v>54.738451164399905</v>
      </c>
      <c r="AP105" s="253">
        <f t="shared" si="32"/>
        <v>93.07401119629661</v>
      </c>
      <c r="AQ105" s="253">
        <f t="shared" si="32"/>
        <v>54.738451164399905</v>
      </c>
      <c r="AR105" s="253">
        <f t="shared" si="32"/>
        <v>93.07401119629661</v>
      </c>
      <c r="AS105" s="253">
        <f t="shared" si="32"/>
        <v>54.738451164399905</v>
      </c>
      <c r="AT105" s="181">
        <f t="shared" si="33"/>
        <v>0.56589147286821706</v>
      </c>
      <c r="AX105" s="253">
        <f t="shared" si="100"/>
        <v>15025.634692439997</v>
      </c>
      <c r="AY105" s="253">
        <f t="shared" si="34"/>
        <v>11296.318382200001</v>
      </c>
      <c r="AZ105" s="253">
        <f t="shared" si="35"/>
        <v>15025.634692439997</v>
      </c>
      <c r="BA105" s="253">
        <f t="shared" si="36"/>
        <v>11296.318382200001</v>
      </c>
      <c r="BB105" s="253">
        <f t="shared" si="37"/>
        <v>15025.634692439997</v>
      </c>
      <c r="BC105" s="253">
        <f t="shared" si="38"/>
        <v>11296.318382200001</v>
      </c>
      <c r="BD105" s="181">
        <f t="shared" si="39"/>
        <v>0.15</v>
      </c>
      <c r="BF105" s="253">
        <f t="shared" si="101"/>
        <v>11787.774899109998</v>
      </c>
      <c r="BG105" s="253">
        <f t="shared" si="40"/>
        <v>9619.5757071999979</v>
      </c>
      <c r="BH105" s="253">
        <f t="shared" si="41"/>
        <v>11787.774899109998</v>
      </c>
      <c r="BI105" s="253">
        <f t="shared" si="42"/>
        <v>9619.5757071999979</v>
      </c>
      <c r="BJ105" s="253">
        <f t="shared" si="43"/>
        <v>11787.774899109998</v>
      </c>
      <c r="BK105" s="253">
        <f t="shared" si="44"/>
        <v>9619.5757071999979</v>
      </c>
      <c r="BL105" s="181">
        <f t="shared" si="45"/>
        <v>0.15985643713289788</v>
      </c>
      <c r="BN105" s="253">
        <f t="shared" si="102"/>
        <v>9993.6407923000024</v>
      </c>
      <c r="BO105" s="253">
        <f t="shared" si="46"/>
        <v>7835.2478213799977</v>
      </c>
      <c r="BP105" s="253">
        <f t="shared" si="47"/>
        <v>9993.6407923000024</v>
      </c>
      <c r="BQ105" s="253">
        <f t="shared" si="48"/>
        <v>7835.2478213799977</v>
      </c>
      <c r="BR105" s="253">
        <f t="shared" si="49"/>
        <v>9993.6407923000024</v>
      </c>
      <c r="BS105" s="253">
        <f t="shared" si="50"/>
        <v>7835.2478213799977</v>
      </c>
      <c r="BT105" s="181">
        <f t="shared" si="51"/>
        <v>0.15</v>
      </c>
      <c r="BV105" s="253">
        <f t="shared" si="103"/>
        <v>121.29648864161405</v>
      </c>
      <c r="BW105" s="253">
        <f t="shared" si="52"/>
        <v>42.870822768252012</v>
      </c>
      <c r="BX105" s="253">
        <f t="shared" si="53"/>
        <v>121.29648864161405</v>
      </c>
      <c r="BY105" s="253">
        <f t="shared" si="54"/>
        <v>42.870822768252012</v>
      </c>
      <c r="BZ105" s="253">
        <f t="shared" si="55"/>
        <v>121.29648864161405</v>
      </c>
      <c r="CA105" s="253">
        <f t="shared" si="56"/>
        <v>42.870822768252012</v>
      </c>
      <c r="CB105" s="181">
        <f t="shared" si="57"/>
        <v>0.15342470148277787</v>
      </c>
      <c r="CD105" s="253">
        <f t="shared" si="58"/>
        <v>2171.1877609499998</v>
      </c>
      <c r="CE105" s="253">
        <f t="shared" si="59"/>
        <v>1338.3908595000003</v>
      </c>
      <c r="CF105" s="253">
        <f t="shared" si="60"/>
        <v>2171.1877609499998</v>
      </c>
      <c r="CG105" s="253">
        <f t="shared" si="61"/>
        <v>1338.3908595000003</v>
      </c>
      <c r="CH105" s="253">
        <f t="shared" si="62"/>
        <v>2171.1877609499998</v>
      </c>
      <c r="CI105" s="253">
        <f t="shared" si="63"/>
        <v>1338.3908595000003</v>
      </c>
      <c r="CJ105" s="181">
        <f t="shared" si="64"/>
        <v>0.17389602372815008</v>
      </c>
      <c r="CN105" s="253">
        <f t="shared" si="65"/>
        <v>15225.876153920002</v>
      </c>
      <c r="CO105" s="253">
        <f t="shared" si="66"/>
        <v>11456.753473360002</v>
      </c>
      <c r="CP105" s="253">
        <f t="shared" si="66"/>
        <v>15225.876153920002</v>
      </c>
      <c r="CQ105" s="253">
        <f t="shared" si="66"/>
        <v>11456.753473360002</v>
      </c>
      <c r="CR105" s="253">
        <f t="shared" si="66"/>
        <v>15225.876153920002</v>
      </c>
      <c r="CS105" s="253">
        <f t="shared" si="66"/>
        <v>11456.753473360002</v>
      </c>
      <c r="CT105" s="181">
        <f t="shared" si="67"/>
        <v>0.19041039904059556</v>
      </c>
      <c r="CV105" s="253">
        <f t="shared" si="68"/>
        <v>10914.829888230008</v>
      </c>
      <c r="CW105" s="253">
        <f t="shared" si="69"/>
        <v>8610.7531017400015</v>
      </c>
      <c r="CX105" s="253">
        <f t="shared" si="69"/>
        <v>10914.829888230008</v>
      </c>
      <c r="CY105" s="253">
        <f t="shared" si="69"/>
        <v>8610.7531017400015</v>
      </c>
      <c r="CZ105" s="253">
        <f t="shared" si="69"/>
        <v>10914.829888230008</v>
      </c>
      <c r="DA105" s="253">
        <f t="shared" si="69"/>
        <v>8610.7531017400015</v>
      </c>
      <c r="DB105" s="181">
        <f t="shared" si="70"/>
        <v>0.19408014757495892</v>
      </c>
      <c r="DC105" s="1"/>
      <c r="DD105" s="253">
        <f t="shared" si="71"/>
        <v>9650.5079644799989</v>
      </c>
      <c r="DE105" s="253">
        <f t="shared" si="72"/>
        <v>7431.4103673399995</v>
      </c>
      <c r="DF105" s="253">
        <f t="shared" si="72"/>
        <v>9650.5079644799989</v>
      </c>
      <c r="DG105" s="253">
        <f t="shared" si="72"/>
        <v>7431.4103673399995</v>
      </c>
      <c r="DH105" s="253">
        <f t="shared" si="72"/>
        <v>9650.5079644799989</v>
      </c>
      <c r="DI105" s="253">
        <f t="shared" si="72"/>
        <v>7431.4103673399995</v>
      </c>
      <c r="DJ105" s="181">
        <f t="shared" si="73"/>
        <v>0.23101971710284955</v>
      </c>
      <c r="DK105" s="1"/>
      <c r="DL105" s="253">
        <f t="shared" si="74"/>
        <v>126.85020782299203</v>
      </c>
      <c r="DM105" s="253">
        <f t="shared" si="75"/>
        <v>50.809444729992002</v>
      </c>
      <c r="DN105" s="253">
        <f t="shared" si="75"/>
        <v>126.85020782299203</v>
      </c>
      <c r="DO105" s="253">
        <f t="shared" si="75"/>
        <v>50.809444729992002</v>
      </c>
      <c r="DP105" s="253">
        <f t="shared" si="75"/>
        <v>126.85020782299203</v>
      </c>
      <c r="DQ105" s="253">
        <f t="shared" si="75"/>
        <v>50.809444729992002</v>
      </c>
      <c r="DR105" s="181">
        <f t="shared" si="76"/>
        <v>0.20219429630985816</v>
      </c>
      <c r="DS105" s="1"/>
      <c r="DT105" s="253">
        <f t="shared" si="77"/>
        <v>2915.8347546000005</v>
      </c>
      <c r="DU105" s="253">
        <f t="shared" si="77"/>
        <v>2045.6212620000006</v>
      </c>
      <c r="DV105" s="253">
        <f t="shared" si="77"/>
        <v>2915.8347546000005</v>
      </c>
      <c r="DW105" s="253">
        <f t="shared" si="77"/>
        <v>2045.6212620000006</v>
      </c>
      <c r="DX105" s="253">
        <f t="shared" si="77"/>
        <v>2915.8347546000005</v>
      </c>
      <c r="DY105" s="253">
        <f t="shared" si="77"/>
        <v>2045.6212620000006</v>
      </c>
      <c r="DZ105" s="181">
        <f t="shared" si="78"/>
        <v>0.24125193760100261</v>
      </c>
      <c r="ED105" s="253">
        <f t="shared" ref="ED105:EI105" si="128" xml:space="preserve"> MAX(  ED104 * 0.9,  MAX( 0, TREND( ED$96:ED$100, $A$96:$A$100, $A105 ) )  )</f>
        <v>13657.075152840003</v>
      </c>
      <c r="EE105" s="253">
        <f t="shared" si="128"/>
        <v>10322.178045280003</v>
      </c>
      <c r="EF105" s="253">
        <f t="shared" si="128"/>
        <v>13657.075152840003</v>
      </c>
      <c r="EG105" s="253">
        <f t="shared" si="128"/>
        <v>10322.178045280003</v>
      </c>
      <c r="EH105" s="253">
        <f t="shared" si="128"/>
        <v>13657.075152840003</v>
      </c>
      <c r="EI105" s="253">
        <f t="shared" si="128"/>
        <v>10322.178045280003</v>
      </c>
      <c r="EJ105" s="181">
        <f t="shared" si="80"/>
        <v>0.24678409210423774</v>
      </c>
      <c r="EL105" s="253">
        <f t="shared" ref="EL105:EQ105" si="129" xml:space="preserve"> MAX(  EL104 * 0.9,  MAX( 0, TREND( EL$96:EL$100, $A$96:$A$100, $A105 ) )  )</f>
        <v>11998.860447460002</v>
      </c>
      <c r="EM105" s="253">
        <f t="shared" si="129"/>
        <v>9820.0648276700013</v>
      </c>
      <c r="EN105" s="253">
        <f t="shared" si="129"/>
        <v>11998.860447460002</v>
      </c>
      <c r="EO105" s="253">
        <f t="shared" si="129"/>
        <v>9820.0648276700013</v>
      </c>
      <c r="EP105" s="253">
        <f t="shared" si="129"/>
        <v>11998.860447460002</v>
      </c>
      <c r="EQ105" s="253">
        <f t="shared" si="129"/>
        <v>9820.0648276700013</v>
      </c>
      <c r="ER105" s="181">
        <f t="shared" si="82"/>
        <v>0.23955028343524132</v>
      </c>
      <c r="ET105" s="253">
        <f t="shared" ref="ET105:EY105" si="130" xml:space="preserve"> MAX(  ET104 * 0.9,  MAX( 0, TREND( ET$96:ET$100, $A$96:$A$100, $A105 ) )  )</f>
        <v>11302.331330460001</v>
      </c>
      <c r="EU105" s="253">
        <f t="shared" si="130"/>
        <v>8767.9265866399965</v>
      </c>
      <c r="EV105" s="253">
        <f t="shared" si="130"/>
        <v>11302.331330460001</v>
      </c>
      <c r="EW105" s="253">
        <f t="shared" si="130"/>
        <v>8767.9265866399965</v>
      </c>
      <c r="EX105" s="253">
        <f t="shared" si="130"/>
        <v>11302.331330460001</v>
      </c>
      <c r="EY105" s="253">
        <f t="shared" si="130"/>
        <v>8767.9265866399965</v>
      </c>
      <c r="EZ105" s="181">
        <f t="shared" si="84"/>
        <v>0.24861415021641745</v>
      </c>
      <c r="FB105" s="253">
        <f t="shared" ref="FB105:FG105" si="131" xml:space="preserve"> MAX(  FB104 * 0.9,  MAX( 0, TREND( FB$96:FB$100, $A$96:$A$100, $A105 ) )  )</f>
        <v>135.56937040840799</v>
      </c>
      <c r="FC105" s="253">
        <f t="shared" si="131"/>
        <v>96.316565136912018</v>
      </c>
      <c r="FD105" s="253">
        <f t="shared" si="131"/>
        <v>135.56937040840799</v>
      </c>
      <c r="FE105" s="253">
        <f t="shared" si="131"/>
        <v>96.316565136912018</v>
      </c>
      <c r="FF105" s="253">
        <f t="shared" si="131"/>
        <v>135.56937040840799</v>
      </c>
      <c r="FG105" s="253">
        <f t="shared" si="131"/>
        <v>96.316565136912018</v>
      </c>
      <c r="FH105" s="181">
        <f t="shared" si="86"/>
        <v>0.24131645732181609</v>
      </c>
      <c r="FJ105" s="253">
        <f t="shared" ref="FJ105:FO105" si="132" xml:space="preserve"> MAX(  FJ104 * 0.9,  MAX( 0, TREND( FJ$96:FJ$100, $A$96:$A$100, $A105 ) )  )</f>
        <v>2165.8135218749999</v>
      </c>
      <c r="FK105" s="253">
        <f t="shared" si="132"/>
        <v>1467.2247795000005</v>
      </c>
      <c r="FL105" s="253">
        <f t="shared" si="132"/>
        <v>2165.8135218749999</v>
      </c>
      <c r="FM105" s="253">
        <f t="shared" si="132"/>
        <v>1467.2247795000005</v>
      </c>
      <c r="FN105" s="253">
        <f t="shared" si="132"/>
        <v>2165.8135218749999</v>
      </c>
      <c r="FO105" s="253">
        <f t="shared" si="132"/>
        <v>1467.2247795000005</v>
      </c>
      <c r="FP105" s="181">
        <f t="shared" si="88"/>
        <v>0.24583836257643332</v>
      </c>
      <c r="FS105" s="253">
        <f t="shared" ref="FS105:FX105" si="133" xml:space="preserve"> MAX(  FS104 * 0.9,  MAX( 0, TREND( FS$96:FS$100, $A$96:$A$100, $A105 ) )  )</f>
        <v>6968.7770664999998</v>
      </c>
      <c r="FT105" s="253">
        <f t="shared" si="133"/>
        <v>5693.3187632000008</v>
      </c>
      <c r="FU105" s="253">
        <f t="shared" si="133"/>
        <v>6968.7770664999998</v>
      </c>
      <c r="FV105" s="253">
        <f t="shared" si="133"/>
        <v>5693.3187632000008</v>
      </c>
      <c r="FW105" s="253">
        <f t="shared" si="133"/>
        <v>6968.7770664999998</v>
      </c>
      <c r="FX105" s="253">
        <f t="shared" si="133"/>
        <v>5693.3187632000008</v>
      </c>
      <c r="FY105" s="181">
        <f t="shared" si="90"/>
        <v>0.26127946755077081</v>
      </c>
      <c r="GA105" s="253">
        <f t="shared" ref="GA105:GF105" si="134" xml:space="preserve"> MAX(  GA104 * 0.9,  MAX( 0, TREND( GA$96:GA$100, $A$96:$A$100, $A105 ) )  )</f>
        <v>6638.8858631999983</v>
      </c>
      <c r="GB105" s="253">
        <f t="shared" si="134"/>
        <v>5960.9216810000025</v>
      </c>
      <c r="GC105" s="253">
        <f t="shared" si="134"/>
        <v>6638.8858631999983</v>
      </c>
      <c r="GD105" s="253">
        <f t="shared" si="134"/>
        <v>5960.9216810000025</v>
      </c>
      <c r="GE105" s="253">
        <f t="shared" si="134"/>
        <v>6638.8858631999983</v>
      </c>
      <c r="GF105" s="253">
        <f t="shared" si="134"/>
        <v>5960.9216810000025</v>
      </c>
      <c r="GG105" s="181">
        <f t="shared" si="92"/>
        <v>0.15</v>
      </c>
      <c r="GI105" s="253">
        <f t="shared" ref="GI105:GN105" si="135" xml:space="preserve"> MAX(  GI104 * 0.9,  MAX( 0, TREND( GI$96:GI$100, $A$96:$A$100, $A105 ) )  )</f>
        <v>7274.7849264999977</v>
      </c>
      <c r="GJ105" s="253">
        <f t="shared" si="135"/>
        <v>6077.3245154999986</v>
      </c>
      <c r="GK105" s="253">
        <f t="shared" si="135"/>
        <v>7274.7849264999977</v>
      </c>
      <c r="GL105" s="253">
        <f t="shared" si="135"/>
        <v>6077.3245154999986</v>
      </c>
      <c r="GM105" s="253">
        <f t="shared" si="135"/>
        <v>7274.7849264999977</v>
      </c>
      <c r="GN105" s="253">
        <f t="shared" si="135"/>
        <v>6077.3245154999986</v>
      </c>
      <c r="GO105" s="181">
        <f t="shared" si="94"/>
        <v>0.85</v>
      </c>
    </row>
    <row r="106" spans="1:197" x14ac:dyDescent="0.2">
      <c r="A106" s="3">
        <f>Basis!A106</f>
        <v>106</v>
      </c>
      <c r="D106" s="252" t="e">
        <v>#N/A</v>
      </c>
      <c r="E106" s="252" t="e">
        <v>#N/A</v>
      </c>
      <c r="H106" s="253">
        <f t="shared" si="95"/>
        <v>13973.04157431099</v>
      </c>
      <c r="I106" s="253">
        <f t="shared" si="8"/>
        <v>10909.067466603001</v>
      </c>
      <c r="J106" s="253">
        <f t="shared" si="9"/>
        <v>13973.04157431099</v>
      </c>
      <c r="K106" s="253">
        <f t="shared" si="10"/>
        <v>10909.067466603001</v>
      </c>
      <c r="L106" s="253">
        <f t="shared" si="11"/>
        <v>13973.04157431099</v>
      </c>
      <c r="M106" s="253">
        <f t="shared" si="12"/>
        <v>10909.067466603001</v>
      </c>
      <c r="N106" s="181">
        <f t="shared" si="13"/>
        <v>0.15</v>
      </c>
      <c r="P106" s="253">
        <f t="shared" si="96"/>
        <v>12117.989253685368</v>
      </c>
      <c r="Q106" s="253">
        <f t="shared" si="14"/>
        <v>9858.3607754701789</v>
      </c>
      <c r="R106" s="253">
        <f t="shared" si="15"/>
        <v>12117.989253685368</v>
      </c>
      <c r="S106" s="253">
        <f t="shared" si="16"/>
        <v>9858.3607754701789</v>
      </c>
      <c r="T106" s="253">
        <f t="shared" si="17"/>
        <v>12117.989253685368</v>
      </c>
      <c r="U106" s="253">
        <f t="shared" si="18"/>
        <v>9858.3607754701789</v>
      </c>
      <c r="V106" s="181">
        <f t="shared" si="19"/>
        <v>0.24258687540636581</v>
      </c>
      <c r="X106" s="253">
        <f t="shared" si="97"/>
        <v>9304.7553280350949</v>
      </c>
      <c r="Y106" s="253">
        <f t="shared" si="20"/>
        <v>7437.4666895815726</v>
      </c>
      <c r="Z106" s="253">
        <f t="shared" si="21"/>
        <v>9304.7553280350949</v>
      </c>
      <c r="AA106" s="253">
        <f t="shared" si="22"/>
        <v>7437.4666895815726</v>
      </c>
      <c r="AB106" s="253">
        <f t="shared" si="23"/>
        <v>9304.7553280350949</v>
      </c>
      <c r="AC106" s="253">
        <f t="shared" si="24"/>
        <v>7437.4666895815726</v>
      </c>
      <c r="AD106" s="181">
        <f t="shared" si="25"/>
        <v>0.16394634243045003</v>
      </c>
      <c r="AF106" s="253">
        <f t="shared" si="98"/>
        <v>1811.1634171300207</v>
      </c>
      <c r="AG106" s="253">
        <f t="shared" si="26"/>
        <v>1079.3692456837039</v>
      </c>
      <c r="AH106" s="253">
        <f t="shared" si="27"/>
        <v>1811.1634171300207</v>
      </c>
      <c r="AI106" s="253">
        <f t="shared" si="28"/>
        <v>1079.3692456837039</v>
      </c>
      <c r="AJ106" s="253">
        <f t="shared" si="29"/>
        <v>1811.1634171300207</v>
      </c>
      <c r="AK106" s="253">
        <f t="shared" si="30"/>
        <v>1079.3692456837039</v>
      </c>
      <c r="AL106" s="181">
        <f t="shared" si="31"/>
        <v>0.15</v>
      </c>
      <c r="AN106" s="253">
        <f t="shared" si="99"/>
        <v>83.76661007666695</v>
      </c>
      <c r="AO106" s="253">
        <f t="shared" si="32"/>
        <v>49.264606047959916</v>
      </c>
      <c r="AP106" s="253">
        <f t="shared" si="32"/>
        <v>83.76661007666695</v>
      </c>
      <c r="AQ106" s="253">
        <f t="shared" si="32"/>
        <v>49.264606047959916</v>
      </c>
      <c r="AR106" s="253">
        <f t="shared" si="32"/>
        <v>83.76661007666695</v>
      </c>
      <c r="AS106" s="253">
        <f t="shared" si="32"/>
        <v>49.264606047959916</v>
      </c>
      <c r="AT106" s="181">
        <f t="shared" si="33"/>
        <v>0.57610233105312325</v>
      </c>
      <c r="AX106" s="253">
        <f t="shared" si="100"/>
        <v>15146.572313719997</v>
      </c>
      <c r="AY106" s="253">
        <f t="shared" si="34"/>
        <v>11322.913396560001</v>
      </c>
      <c r="AZ106" s="253">
        <f t="shared" si="35"/>
        <v>15146.572313719997</v>
      </c>
      <c r="BA106" s="253">
        <f t="shared" si="36"/>
        <v>11322.913396560001</v>
      </c>
      <c r="BB106" s="253">
        <f t="shared" si="37"/>
        <v>15146.572313719997</v>
      </c>
      <c r="BC106" s="253">
        <f t="shared" si="38"/>
        <v>11322.913396560001</v>
      </c>
      <c r="BD106" s="181">
        <f t="shared" si="39"/>
        <v>0.15</v>
      </c>
      <c r="BF106" s="253">
        <f t="shared" si="101"/>
        <v>11802.695410779997</v>
      </c>
      <c r="BG106" s="253">
        <f t="shared" si="40"/>
        <v>9623.0974332399983</v>
      </c>
      <c r="BH106" s="253">
        <f t="shared" si="41"/>
        <v>11802.695410779997</v>
      </c>
      <c r="BI106" s="253">
        <f t="shared" si="42"/>
        <v>9623.0974332399983</v>
      </c>
      <c r="BJ106" s="253">
        <f t="shared" si="43"/>
        <v>11802.695410779997</v>
      </c>
      <c r="BK106" s="253">
        <f t="shared" si="44"/>
        <v>9623.0974332399983</v>
      </c>
      <c r="BL106" s="181">
        <f t="shared" si="45"/>
        <v>0.15985643713289788</v>
      </c>
      <c r="BN106" s="253">
        <f t="shared" si="102"/>
        <v>10046.797606400003</v>
      </c>
      <c r="BO106" s="253">
        <f t="shared" si="46"/>
        <v>7830.846357399997</v>
      </c>
      <c r="BP106" s="253">
        <f t="shared" si="47"/>
        <v>10046.797606400003</v>
      </c>
      <c r="BQ106" s="253">
        <f t="shared" si="48"/>
        <v>7830.846357399997</v>
      </c>
      <c r="BR106" s="253">
        <f t="shared" si="49"/>
        <v>10046.797606400003</v>
      </c>
      <c r="BS106" s="253">
        <f t="shared" si="50"/>
        <v>7830.846357399997</v>
      </c>
      <c r="BT106" s="181">
        <f t="shared" si="51"/>
        <v>0.15</v>
      </c>
      <c r="BV106" s="253">
        <f t="shared" si="103"/>
        <v>109.16683977745265</v>
      </c>
      <c r="BW106" s="253">
        <f t="shared" si="52"/>
        <v>38.583740491426809</v>
      </c>
      <c r="BX106" s="253">
        <f t="shared" si="53"/>
        <v>109.16683977745265</v>
      </c>
      <c r="BY106" s="253">
        <f t="shared" si="54"/>
        <v>38.583740491426809</v>
      </c>
      <c r="BZ106" s="253">
        <f t="shared" si="55"/>
        <v>109.16683977745265</v>
      </c>
      <c r="CA106" s="253">
        <f t="shared" si="56"/>
        <v>38.583740491426809</v>
      </c>
      <c r="CB106" s="181">
        <f t="shared" si="57"/>
        <v>0.15342470148277787</v>
      </c>
      <c r="CD106" s="253">
        <f t="shared" si="58"/>
        <v>2194.9801537499998</v>
      </c>
      <c r="CE106" s="253">
        <f t="shared" si="59"/>
        <v>1338.3908595000003</v>
      </c>
      <c r="CF106" s="253">
        <f t="shared" si="60"/>
        <v>2194.9801537499998</v>
      </c>
      <c r="CG106" s="253">
        <f t="shared" si="61"/>
        <v>1338.3908595000003</v>
      </c>
      <c r="CH106" s="253">
        <f t="shared" si="62"/>
        <v>2194.9801537499998</v>
      </c>
      <c r="CI106" s="253">
        <f t="shared" si="63"/>
        <v>1338.3908595000003</v>
      </c>
      <c r="CJ106" s="181">
        <f t="shared" si="64"/>
        <v>0.17389602372815008</v>
      </c>
      <c r="CN106" s="253">
        <f t="shared" si="65"/>
        <v>15354.089972080003</v>
      </c>
      <c r="CO106" s="253">
        <f t="shared" si="66"/>
        <v>11485.463409920001</v>
      </c>
      <c r="CP106" s="253">
        <f t="shared" si="66"/>
        <v>15354.089972080003</v>
      </c>
      <c r="CQ106" s="253">
        <f t="shared" si="66"/>
        <v>11485.463409920001</v>
      </c>
      <c r="CR106" s="253">
        <f t="shared" si="66"/>
        <v>15354.089972080003</v>
      </c>
      <c r="CS106" s="253">
        <f t="shared" si="66"/>
        <v>11485.463409920001</v>
      </c>
      <c r="CT106" s="181">
        <f t="shared" si="67"/>
        <v>0.19041039904059556</v>
      </c>
      <c r="CV106" s="253">
        <f t="shared" si="68"/>
        <v>10925.409893920008</v>
      </c>
      <c r="CW106" s="253">
        <f t="shared" si="69"/>
        <v>8620.8175338800029</v>
      </c>
      <c r="CX106" s="253">
        <f t="shared" si="69"/>
        <v>10925.409893920008</v>
      </c>
      <c r="CY106" s="253">
        <f t="shared" si="69"/>
        <v>8620.8175338800029</v>
      </c>
      <c r="CZ106" s="253">
        <f t="shared" si="69"/>
        <v>10925.409893920008</v>
      </c>
      <c r="DA106" s="253">
        <f t="shared" si="69"/>
        <v>8620.8175338800029</v>
      </c>
      <c r="DB106" s="181">
        <f t="shared" si="70"/>
        <v>0.19408014757495892</v>
      </c>
      <c r="DC106" s="1"/>
      <c r="DD106" s="253">
        <f t="shared" si="71"/>
        <v>9718.1633775999981</v>
      </c>
      <c r="DE106" s="253">
        <f t="shared" si="72"/>
        <v>7445.5465586399996</v>
      </c>
      <c r="DF106" s="253">
        <f t="shared" si="72"/>
        <v>9718.1633775999981</v>
      </c>
      <c r="DG106" s="253">
        <f t="shared" si="72"/>
        <v>7445.5465586399996</v>
      </c>
      <c r="DH106" s="253">
        <f t="shared" si="72"/>
        <v>9718.1633775999981</v>
      </c>
      <c r="DI106" s="253">
        <f t="shared" si="72"/>
        <v>7445.5465586399996</v>
      </c>
      <c r="DJ106" s="181">
        <f t="shared" si="73"/>
        <v>0.23101971710284955</v>
      </c>
      <c r="DK106" s="1"/>
      <c r="DL106" s="253">
        <f t="shared" si="74"/>
        <v>114.16518704069283</v>
      </c>
      <c r="DM106" s="253">
        <f t="shared" si="75"/>
        <v>45.728500256992803</v>
      </c>
      <c r="DN106" s="253">
        <f t="shared" si="75"/>
        <v>114.16518704069283</v>
      </c>
      <c r="DO106" s="253">
        <f t="shared" si="75"/>
        <v>45.728500256992803</v>
      </c>
      <c r="DP106" s="253">
        <f t="shared" si="75"/>
        <v>114.16518704069283</v>
      </c>
      <c r="DQ106" s="253">
        <f t="shared" si="75"/>
        <v>45.728500256992803</v>
      </c>
      <c r="DR106" s="181">
        <f t="shared" si="76"/>
        <v>0.20219429630985816</v>
      </c>
      <c r="DS106" s="1"/>
      <c r="DT106" s="253">
        <f t="shared" si="77"/>
        <v>2937.1063218000004</v>
      </c>
      <c r="DU106" s="253">
        <f t="shared" si="77"/>
        <v>2045.6212620000006</v>
      </c>
      <c r="DV106" s="253">
        <f t="shared" si="77"/>
        <v>2937.1063218000004</v>
      </c>
      <c r="DW106" s="253">
        <f t="shared" si="77"/>
        <v>2045.6212620000006</v>
      </c>
      <c r="DX106" s="253">
        <f t="shared" si="77"/>
        <v>2937.1063218000004</v>
      </c>
      <c r="DY106" s="253">
        <f t="shared" si="77"/>
        <v>2045.6212620000006</v>
      </c>
      <c r="DZ106" s="181">
        <f t="shared" si="78"/>
        <v>0.24125193760100261</v>
      </c>
      <c r="ED106" s="253">
        <f t="shared" ref="ED106:EI106" si="136" xml:space="preserve"> MAX(  ED105 * 0.9,  MAX( 0, TREND( ED$96:ED$100, $A$96:$A$100, $A106 ) )  )</f>
        <v>13735.765060280004</v>
      </c>
      <c r="EE106" s="253">
        <f t="shared" si="136"/>
        <v>10334.894150080003</v>
      </c>
      <c r="EF106" s="253">
        <f t="shared" si="136"/>
        <v>13735.765060280004</v>
      </c>
      <c r="EG106" s="253">
        <f t="shared" si="136"/>
        <v>10334.894150080003</v>
      </c>
      <c r="EH106" s="253">
        <f t="shared" si="136"/>
        <v>13735.765060280004</v>
      </c>
      <c r="EI106" s="253">
        <f t="shared" si="136"/>
        <v>10334.894150080003</v>
      </c>
      <c r="EJ106" s="181">
        <f t="shared" si="80"/>
        <v>0.24678409210423774</v>
      </c>
      <c r="EL106" s="253">
        <f t="shared" ref="EL106:EQ106" si="137" xml:space="preserve"> MAX(  EL105 * 0.9,  MAX( 0, TREND( EL$96:EL$100, $A$96:$A$100, $A106 ) )  )</f>
        <v>11998.630882120002</v>
      </c>
      <c r="EM106" s="253">
        <f t="shared" si="137"/>
        <v>9833.8742638200019</v>
      </c>
      <c r="EN106" s="253">
        <f t="shared" si="137"/>
        <v>11998.630882120002</v>
      </c>
      <c r="EO106" s="253">
        <f t="shared" si="137"/>
        <v>9833.8742638200019</v>
      </c>
      <c r="EP106" s="253">
        <f t="shared" si="137"/>
        <v>11998.630882120002</v>
      </c>
      <c r="EQ106" s="253">
        <f t="shared" si="137"/>
        <v>9833.8742638200019</v>
      </c>
      <c r="ER106" s="181">
        <f t="shared" si="82"/>
        <v>0.23955028343524132</v>
      </c>
      <c r="ET106" s="253">
        <f t="shared" ref="ET106:EY106" si="138" xml:space="preserve"> MAX(  ET105 * 0.9,  MAX( 0, TREND( ET$96:ET$100, $A$96:$A$100, $A106 ) )  )</f>
        <v>11354.62856556</v>
      </c>
      <c r="EU106" s="253">
        <f t="shared" si="138"/>
        <v>8789.0770153599969</v>
      </c>
      <c r="EV106" s="253">
        <f t="shared" si="138"/>
        <v>11354.62856556</v>
      </c>
      <c r="EW106" s="253">
        <f t="shared" si="138"/>
        <v>8789.0770153599969</v>
      </c>
      <c r="EX106" s="253">
        <f t="shared" si="138"/>
        <v>11354.62856556</v>
      </c>
      <c r="EY106" s="253">
        <f t="shared" si="138"/>
        <v>8789.0770153599969</v>
      </c>
      <c r="EZ106" s="181">
        <f t="shared" si="84"/>
        <v>0.24861415021641745</v>
      </c>
      <c r="FB106" s="253">
        <f t="shared" ref="FB106:FG106" si="139" xml:space="preserve"> MAX(  FB105 * 0.9,  MAX( 0, TREND( FB$96:FB$100, $A$96:$A$100, $A106 ) )  )</f>
        <v>122.0124333675672</v>
      </c>
      <c r="FC106" s="253">
        <f t="shared" si="139"/>
        <v>86.684908623220821</v>
      </c>
      <c r="FD106" s="253">
        <f t="shared" si="139"/>
        <v>122.0124333675672</v>
      </c>
      <c r="FE106" s="253">
        <f t="shared" si="139"/>
        <v>86.684908623220821</v>
      </c>
      <c r="FF106" s="253">
        <f t="shared" si="139"/>
        <v>122.0124333675672</v>
      </c>
      <c r="FG106" s="253">
        <f t="shared" si="139"/>
        <v>86.684908623220821</v>
      </c>
      <c r="FH106" s="181">
        <f t="shared" si="86"/>
        <v>0.24131645732181609</v>
      </c>
      <c r="FJ106" s="253">
        <f t="shared" ref="FJ106:FO106" si="140" xml:space="preserve"> MAX(  FJ105 * 0.9,  MAX( 0, TREND( FJ$96:FJ$100, $A$96:$A$100, $A106 ) )  )</f>
        <v>2195.29500525</v>
      </c>
      <c r="FK106" s="253">
        <f t="shared" si="140"/>
        <v>1467.2247795000005</v>
      </c>
      <c r="FL106" s="253">
        <f t="shared" si="140"/>
        <v>2195.29500525</v>
      </c>
      <c r="FM106" s="253">
        <f t="shared" si="140"/>
        <v>1467.2247795000005</v>
      </c>
      <c r="FN106" s="253">
        <f t="shared" si="140"/>
        <v>2195.29500525</v>
      </c>
      <c r="FO106" s="253">
        <f t="shared" si="140"/>
        <v>1467.2247795000005</v>
      </c>
      <c r="FP106" s="181">
        <f t="shared" si="88"/>
        <v>0.24583836257643332</v>
      </c>
      <c r="FS106" s="253">
        <f t="shared" ref="FS106:FX106" si="141" xml:space="preserve"> MAX(  FS105 * 0.9,  MAX( 0, TREND( FS$96:FS$100, $A$96:$A$100, $A106 ) )  )</f>
        <v>7034.0444759999991</v>
      </c>
      <c r="FT106" s="253">
        <f t="shared" si="141"/>
        <v>5728.8506536000004</v>
      </c>
      <c r="FU106" s="253">
        <f t="shared" si="141"/>
        <v>7034.0444759999991</v>
      </c>
      <c r="FV106" s="253">
        <f t="shared" si="141"/>
        <v>5728.8506536000004</v>
      </c>
      <c r="FW106" s="253">
        <f t="shared" si="141"/>
        <v>7034.0444759999991</v>
      </c>
      <c r="FX106" s="253">
        <f t="shared" si="141"/>
        <v>5728.8506536000004</v>
      </c>
      <c r="FY106" s="181">
        <f t="shared" si="90"/>
        <v>0.26127946755077081</v>
      </c>
      <c r="GA106" s="253">
        <f t="shared" ref="GA106:GF106" si="142" xml:space="preserve"> MAX(  GA105 * 0.9,  MAX( 0, TREND( GA$96:GA$100, $A$96:$A$100, $A106 ) )  )</f>
        <v>6702.0953327999978</v>
      </c>
      <c r="GB106" s="253">
        <f t="shared" si="142"/>
        <v>6015.0711438000026</v>
      </c>
      <c r="GC106" s="253">
        <f t="shared" si="142"/>
        <v>6702.0953327999978</v>
      </c>
      <c r="GD106" s="253">
        <f t="shared" si="142"/>
        <v>6015.0711438000026</v>
      </c>
      <c r="GE106" s="253">
        <f t="shared" si="142"/>
        <v>6702.0953327999978</v>
      </c>
      <c r="GF106" s="253">
        <f t="shared" si="142"/>
        <v>6015.0711438000026</v>
      </c>
      <c r="GG106" s="181">
        <f t="shared" si="92"/>
        <v>0.15</v>
      </c>
      <c r="GI106" s="253">
        <f t="shared" ref="GI106:GN106" si="143" xml:space="preserve"> MAX(  GI105 * 0.9,  MAX( 0, TREND( GI$96:GI$100, $A$96:$A$100, $A106 ) )  )</f>
        <v>7368.5414039999987</v>
      </c>
      <c r="GJ106" s="253">
        <f t="shared" si="143"/>
        <v>6129.8356517999982</v>
      </c>
      <c r="GK106" s="253">
        <f t="shared" si="143"/>
        <v>7368.5414039999987</v>
      </c>
      <c r="GL106" s="253">
        <f t="shared" si="143"/>
        <v>6129.8356517999982</v>
      </c>
      <c r="GM106" s="253">
        <f t="shared" si="143"/>
        <v>7368.5414039999987</v>
      </c>
      <c r="GN106" s="253">
        <f t="shared" si="143"/>
        <v>6129.8356517999982</v>
      </c>
      <c r="GO106" s="181">
        <f t="shared" si="94"/>
        <v>0.85</v>
      </c>
    </row>
    <row r="107" spans="1:197" x14ac:dyDescent="0.2">
      <c r="A107" s="3">
        <f>Basis!A107</f>
        <v>107</v>
      </c>
      <c r="D107" s="252" t="e">
        <v>#N/A</v>
      </c>
      <c r="E107" s="252" t="e">
        <v>#N/A</v>
      </c>
      <c r="H107" s="253">
        <f t="shared" si="95"/>
        <v>14103.096638946177</v>
      </c>
      <c r="I107" s="253">
        <f t="shared" si="8"/>
        <v>10957.417799331934</v>
      </c>
      <c r="J107" s="253">
        <f t="shared" si="9"/>
        <v>14103.096638946177</v>
      </c>
      <c r="K107" s="253">
        <f t="shared" si="10"/>
        <v>10957.417799331934</v>
      </c>
      <c r="L107" s="253">
        <f t="shared" si="11"/>
        <v>14103.096638946177</v>
      </c>
      <c r="M107" s="253">
        <f t="shared" si="12"/>
        <v>10957.417799331934</v>
      </c>
      <c r="N107" s="181">
        <f t="shared" si="13"/>
        <v>0.15</v>
      </c>
      <c r="P107" s="253">
        <f t="shared" si="96"/>
        <v>12206.457723232284</v>
      </c>
      <c r="Q107" s="253">
        <f t="shared" si="14"/>
        <v>9888.9759175398322</v>
      </c>
      <c r="R107" s="253">
        <f t="shared" si="15"/>
        <v>12206.457723232284</v>
      </c>
      <c r="S107" s="253">
        <f t="shared" si="16"/>
        <v>9888.9759175398322</v>
      </c>
      <c r="T107" s="253">
        <f t="shared" si="17"/>
        <v>12206.457723232284</v>
      </c>
      <c r="U107" s="253">
        <f t="shared" si="18"/>
        <v>9888.9759175398322</v>
      </c>
      <c r="V107" s="181">
        <f t="shared" si="19"/>
        <v>0.24258687540636581</v>
      </c>
      <c r="X107" s="253">
        <f t="shared" si="97"/>
        <v>9384.2074748205923</v>
      </c>
      <c r="Y107" s="253">
        <f t="shared" si="20"/>
        <v>7465.311877869096</v>
      </c>
      <c r="Z107" s="253">
        <f t="shared" si="21"/>
        <v>9384.2074748205923</v>
      </c>
      <c r="AA107" s="253">
        <f t="shared" si="22"/>
        <v>7465.311877869096</v>
      </c>
      <c r="AB107" s="253">
        <f t="shared" si="23"/>
        <v>9384.2074748205923</v>
      </c>
      <c r="AC107" s="253">
        <f t="shared" si="24"/>
        <v>7465.311877869096</v>
      </c>
      <c r="AD107" s="181">
        <f t="shared" si="25"/>
        <v>0.16394634243045003</v>
      </c>
      <c r="AF107" s="253">
        <f t="shared" si="98"/>
        <v>1814.5064491300207</v>
      </c>
      <c r="AG107" s="253">
        <f t="shared" si="26"/>
        <v>1079.3692456837039</v>
      </c>
      <c r="AH107" s="253">
        <f t="shared" si="27"/>
        <v>1814.5064491300207</v>
      </c>
      <c r="AI107" s="253">
        <f t="shared" si="28"/>
        <v>1079.3692456837039</v>
      </c>
      <c r="AJ107" s="253">
        <f t="shared" si="29"/>
        <v>1814.5064491300207</v>
      </c>
      <c r="AK107" s="253">
        <f t="shared" si="30"/>
        <v>1079.3692456837039</v>
      </c>
      <c r="AL107" s="181">
        <f t="shared" si="31"/>
        <v>0.15</v>
      </c>
      <c r="AN107" s="253">
        <f t="shared" si="99"/>
        <v>75.389949069000252</v>
      </c>
      <c r="AO107" s="253">
        <f t="shared" si="32"/>
        <v>44.338145443163924</v>
      </c>
      <c r="AP107" s="253">
        <f t="shared" si="32"/>
        <v>75.389949069000252</v>
      </c>
      <c r="AQ107" s="253">
        <f t="shared" si="32"/>
        <v>44.338145443163924</v>
      </c>
      <c r="AR107" s="253">
        <f t="shared" si="32"/>
        <v>75.389949069000252</v>
      </c>
      <c r="AS107" s="253">
        <f t="shared" si="32"/>
        <v>44.338145443163924</v>
      </c>
      <c r="AT107" s="181">
        <f t="shared" si="33"/>
        <v>0.61045687632585421</v>
      </c>
      <c r="AX107" s="253">
        <f t="shared" si="100"/>
        <v>15267.509934999996</v>
      </c>
      <c r="AY107" s="253">
        <f t="shared" si="34"/>
        <v>11349.50841092</v>
      </c>
      <c r="AZ107" s="253">
        <f t="shared" si="35"/>
        <v>15267.509934999996</v>
      </c>
      <c r="BA107" s="253">
        <f t="shared" si="36"/>
        <v>11349.50841092</v>
      </c>
      <c r="BB107" s="253">
        <f t="shared" si="37"/>
        <v>15267.509934999996</v>
      </c>
      <c r="BC107" s="253">
        <f t="shared" si="38"/>
        <v>11349.50841092</v>
      </c>
      <c r="BD107" s="181">
        <f t="shared" si="39"/>
        <v>0.15</v>
      </c>
      <c r="BF107" s="253">
        <f t="shared" si="101"/>
        <v>11817.615922449997</v>
      </c>
      <c r="BG107" s="253">
        <f t="shared" si="40"/>
        <v>9626.6191592799987</v>
      </c>
      <c r="BH107" s="253">
        <f t="shared" si="41"/>
        <v>11817.615922449997</v>
      </c>
      <c r="BI107" s="253">
        <f t="shared" si="42"/>
        <v>9626.6191592799987</v>
      </c>
      <c r="BJ107" s="253">
        <f t="shared" si="43"/>
        <v>11817.615922449997</v>
      </c>
      <c r="BK107" s="253">
        <f t="shared" si="44"/>
        <v>9626.6191592799987</v>
      </c>
      <c r="BL107" s="181">
        <f t="shared" si="45"/>
        <v>0.15985643713289788</v>
      </c>
      <c r="BN107" s="253">
        <f t="shared" si="102"/>
        <v>10099.954420500002</v>
      </c>
      <c r="BO107" s="253">
        <f t="shared" si="46"/>
        <v>7826.4448934199972</v>
      </c>
      <c r="BP107" s="253">
        <f t="shared" si="47"/>
        <v>10099.954420500002</v>
      </c>
      <c r="BQ107" s="253">
        <f t="shared" si="48"/>
        <v>7826.4448934199972</v>
      </c>
      <c r="BR107" s="253">
        <f t="shared" si="49"/>
        <v>10099.954420500002</v>
      </c>
      <c r="BS107" s="253">
        <f t="shared" si="50"/>
        <v>7826.4448934199972</v>
      </c>
      <c r="BT107" s="181">
        <f t="shared" si="51"/>
        <v>0.15</v>
      </c>
      <c r="BV107" s="253">
        <f t="shared" si="103"/>
        <v>98.250155799707386</v>
      </c>
      <c r="BW107" s="253">
        <f t="shared" si="52"/>
        <v>34.725366442284127</v>
      </c>
      <c r="BX107" s="253">
        <f t="shared" si="53"/>
        <v>98.250155799707386</v>
      </c>
      <c r="BY107" s="253">
        <f t="shared" si="54"/>
        <v>34.725366442284127</v>
      </c>
      <c r="BZ107" s="253">
        <f t="shared" si="55"/>
        <v>98.250155799707386</v>
      </c>
      <c r="CA107" s="253">
        <f t="shared" si="56"/>
        <v>34.725366442284127</v>
      </c>
      <c r="CB107" s="181">
        <f t="shared" si="57"/>
        <v>0.15342470148277787</v>
      </c>
      <c r="CD107" s="253">
        <f t="shared" si="58"/>
        <v>2218.7725465499998</v>
      </c>
      <c r="CE107" s="253">
        <f t="shared" si="59"/>
        <v>1338.3908595000003</v>
      </c>
      <c r="CF107" s="253">
        <f t="shared" si="60"/>
        <v>2218.7725465499998</v>
      </c>
      <c r="CG107" s="253">
        <f t="shared" si="61"/>
        <v>1338.3908595000003</v>
      </c>
      <c r="CH107" s="253">
        <f t="shared" si="62"/>
        <v>2218.7725465499998</v>
      </c>
      <c r="CI107" s="253">
        <f t="shared" si="63"/>
        <v>1338.3908595000003</v>
      </c>
      <c r="CJ107" s="181">
        <f t="shared" si="64"/>
        <v>0.17389602372815008</v>
      </c>
      <c r="CN107" s="253">
        <f t="shared" si="65"/>
        <v>15482.303790240003</v>
      </c>
      <c r="CO107" s="253">
        <f t="shared" si="66"/>
        <v>11514.173346480002</v>
      </c>
      <c r="CP107" s="253">
        <f t="shared" si="66"/>
        <v>15482.303790240003</v>
      </c>
      <c r="CQ107" s="253">
        <f t="shared" si="66"/>
        <v>11514.173346480002</v>
      </c>
      <c r="CR107" s="253">
        <f t="shared" si="66"/>
        <v>15482.303790240003</v>
      </c>
      <c r="CS107" s="253">
        <f t="shared" si="66"/>
        <v>11514.173346480002</v>
      </c>
      <c r="CT107" s="181">
        <f t="shared" si="67"/>
        <v>0.19041039904059556</v>
      </c>
      <c r="CV107" s="253">
        <f t="shared" si="68"/>
        <v>10935.989899610009</v>
      </c>
      <c r="CW107" s="253">
        <f t="shared" si="69"/>
        <v>8630.8819660200024</v>
      </c>
      <c r="CX107" s="253">
        <f t="shared" si="69"/>
        <v>10935.989899610009</v>
      </c>
      <c r="CY107" s="253">
        <f t="shared" si="69"/>
        <v>8630.8819660200024</v>
      </c>
      <c r="CZ107" s="253">
        <f t="shared" si="69"/>
        <v>10935.989899610009</v>
      </c>
      <c r="DA107" s="253">
        <f t="shared" si="69"/>
        <v>8630.8819660200024</v>
      </c>
      <c r="DB107" s="181">
        <f t="shared" si="70"/>
        <v>0.19408014757495892</v>
      </c>
      <c r="DC107" s="1"/>
      <c r="DD107" s="253">
        <f t="shared" si="71"/>
        <v>9785.8187907199972</v>
      </c>
      <c r="DE107" s="253">
        <f t="shared" si="72"/>
        <v>7459.6827499399997</v>
      </c>
      <c r="DF107" s="253">
        <f t="shared" si="72"/>
        <v>9785.8187907199972</v>
      </c>
      <c r="DG107" s="253">
        <f t="shared" si="72"/>
        <v>7459.6827499399997</v>
      </c>
      <c r="DH107" s="253">
        <f t="shared" si="72"/>
        <v>9785.8187907199972</v>
      </c>
      <c r="DI107" s="253">
        <f t="shared" si="72"/>
        <v>7459.6827499399997</v>
      </c>
      <c r="DJ107" s="181">
        <f t="shared" si="73"/>
        <v>0.23101971710284955</v>
      </c>
      <c r="DK107" s="1"/>
      <c r="DL107" s="253">
        <f t="shared" si="74"/>
        <v>102.74866833662355</v>
      </c>
      <c r="DM107" s="253">
        <f t="shared" si="75"/>
        <v>41.155650231293521</v>
      </c>
      <c r="DN107" s="253">
        <f t="shared" si="75"/>
        <v>102.74866833662355</v>
      </c>
      <c r="DO107" s="253">
        <f t="shared" si="75"/>
        <v>41.155650231293521</v>
      </c>
      <c r="DP107" s="253">
        <f t="shared" si="75"/>
        <v>102.74866833662355</v>
      </c>
      <c r="DQ107" s="253">
        <f t="shared" si="75"/>
        <v>41.155650231293521</v>
      </c>
      <c r="DR107" s="181">
        <f t="shared" si="76"/>
        <v>0.20219429630985816</v>
      </c>
      <c r="DS107" s="1"/>
      <c r="DT107" s="253">
        <f t="shared" si="77"/>
        <v>2958.3778890000008</v>
      </c>
      <c r="DU107" s="253">
        <f t="shared" si="77"/>
        <v>2045.6212620000006</v>
      </c>
      <c r="DV107" s="253">
        <f t="shared" si="77"/>
        <v>2958.3778890000008</v>
      </c>
      <c r="DW107" s="253">
        <f t="shared" si="77"/>
        <v>2045.6212620000006</v>
      </c>
      <c r="DX107" s="253">
        <f t="shared" si="77"/>
        <v>2958.3778890000008</v>
      </c>
      <c r="DY107" s="253">
        <f t="shared" si="77"/>
        <v>2045.6212620000006</v>
      </c>
      <c r="DZ107" s="181">
        <f t="shared" si="78"/>
        <v>0.24125193760100261</v>
      </c>
      <c r="ED107" s="253">
        <f t="shared" ref="ED107:EI107" si="144" xml:space="preserve"> MAX(  ED106 * 0.9,  MAX( 0, TREND( ED$96:ED$100, $A$96:$A$100, $A107 ) )  )</f>
        <v>13814.454967720005</v>
      </c>
      <c r="EE107" s="253">
        <f t="shared" si="144"/>
        <v>10347.610254880005</v>
      </c>
      <c r="EF107" s="253">
        <f t="shared" si="144"/>
        <v>13814.454967720005</v>
      </c>
      <c r="EG107" s="253">
        <f t="shared" si="144"/>
        <v>10347.610254880005</v>
      </c>
      <c r="EH107" s="253">
        <f t="shared" si="144"/>
        <v>13814.454967720005</v>
      </c>
      <c r="EI107" s="253">
        <f t="shared" si="144"/>
        <v>10347.610254880005</v>
      </c>
      <c r="EJ107" s="181">
        <f t="shared" si="80"/>
        <v>0.24678409210423774</v>
      </c>
      <c r="EL107" s="253">
        <f t="shared" ref="EL107:EQ107" si="145" xml:space="preserve"> MAX(  EL106 * 0.9,  MAX( 0, TREND( EL$96:EL$100, $A$96:$A$100, $A107 ) )  )</f>
        <v>11998.401316780002</v>
      </c>
      <c r="EM107" s="253">
        <f t="shared" si="145"/>
        <v>9847.6836999700026</v>
      </c>
      <c r="EN107" s="253">
        <f t="shared" si="145"/>
        <v>11998.401316780002</v>
      </c>
      <c r="EO107" s="253">
        <f t="shared" si="145"/>
        <v>9847.6836999700026</v>
      </c>
      <c r="EP107" s="253">
        <f t="shared" si="145"/>
        <v>11998.401316780002</v>
      </c>
      <c r="EQ107" s="253">
        <f t="shared" si="145"/>
        <v>9847.6836999700026</v>
      </c>
      <c r="ER107" s="181">
        <f t="shared" si="82"/>
        <v>0.23955028343524132</v>
      </c>
      <c r="ET107" s="253">
        <f t="shared" ref="ET107:EY107" si="146" xml:space="preserve"> MAX(  ET106 * 0.9,  MAX( 0, TREND( ET$96:ET$100, $A$96:$A$100, $A107 ) )  )</f>
        <v>11406.925800660003</v>
      </c>
      <c r="EU107" s="253">
        <f t="shared" si="146"/>
        <v>8810.2274440799956</v>
      </c>
      <c r="EV107" s="253">
        <f t="shared" si="146"/>
        <v>11406.925800660003</v>
      </c>
      <c r="EW107" s="253">
        <f t="shared" si="146"/>
        <v>8810.2274440799956</v>
      </c>
      <c r="EX107" s="253">
        <f t="shared" si="146"/>
        <v>11406.925800660003</v>
      </c>
      <c r="EY107" s="253">
        <f t="shared" si="146"/>
        <v>8810.2274440799956</v>
      </c>
      <c r="EZ107" s="181">
        <f t="shared" si="84"/>
        <v>0.24861415021641745</v>
      </c>
      <c r="FB107" s="253">
        <f t="shared" ref="FB107:FG107" si="147" xml:space="preserve"> MAX(  FB106 * 0.9,  MAX( 0, TREND( FB$96:FB$100, $A$96:$A$100, $A107 ) )  )</f>
        <v>109.81119003081048</v>
      </c>
      <c r="FC107" s="253">
        <f t="shared" si="147"/>
        <v>78.016417760898747</v>
      </c>
      <c r="FD107" s="253">
        <f t="shared" si="147"/>
        <v>109.81119003081048</v>
      </c>
      <c r="FE107" s="253">
        <f t="shared" si="147"/>
        <v>78.016417760898747</v>
      </c>
      <c r="FF107" s="253">
        <f t="shared" si="147"/>
        <v>109.81119003081048</v>
      </c>
      <c r="FG107" s="253">
        <f t="shared" si="147"/>
        <v>78.016417760898747</v>
      </c>
      <c r="FH107" s="181">
        <f t="shared" si="86"/>
        <v>0.24131645732181609</v>
      </c>
      <c r="FJ107" s="253">
        <f t="shared" ref="FJ107:FO107" si="148" xml:space="preserve"> MAX(  FJ106 * 0.9,  MAX( 0, TREND( FJ$96:FJ$100, $A$96:$A$100, $A107 ) )  )</f>
        <v>2224.7764886250002</v>
      </c>
      <c r="FK107" s="253">
        <f t="shared" si="148"/>
        <v>1467.2247795000005</v>
      </c>
      <c r="FL107" s="253">
        <f t="shared" si="148"/>
        <v>2224.7764886250002</v>
      </c>
      <c r="FM107" s="253">
        <f t="shared" si="148"/>
        <v>1467.2247795000005</v>
      </c>
      <c r="FN107" s="253">
        <f t="shared" si="148"/>
        <v>2224.7764886250002</v>
      </c>
      <c r="FO107" s="253">
        <f t="shared" si="148"/>
        <v>1467.2247795000005</v>
      </c>
      <c r="FP107" s="181">
        <f t="shared" si="88"/>
        <v>0.24583836257643332</v>
      </c>
      <c r="FS107" s="253">
        <f t="shared" ref="FS107:FX107" si="149" xml:space="preserve"> MAX(  FS106 * 0.9,  MAX( 0, TREND( FS$96:FS$100, $A$96:$A$100, $A107 ) )  )</f>
        <v>7099.3118854999993</v>
      </c>
      <c r="FT107" s="253">
        <f t="shared" si="149"/>
        <v>5764.3825440000001</v>
      </c>
      <c r="FU107" s="253">
        <f t="shared" si="149"/>
        <v>7099.3118854999993</v>
      </c>
      <c r="FV107" s="253">
        <f t="shared" si="149"/>
        <v>5764.3825440000001</v>
      </c>
      <c r="FW107" s="253">
        <f t="shared" si="149"/>
        <v>7099.3118854999993</v>
      </c>
      <c r="FX107" s="253">
        <f t="shared" si="149"/>
        <v>5764.3825440000001</v>
      </c>
      <c r="FY107" s="181">
        <f t="shared" si="90"/>
        <v>0.26127946755077081</v>
      </c>
      <c r="GA107" s="253">
        <f t="shared" ref="GA107:GF107" si="150" xml:space="preserve"> MAX(  GA106 * 0.9,  MAX( 0, TREND( GA$96:GA$100, $A$96:$A$100, $A107 ) )  )</f>
        <v>6765.3048023999982</v>
      </c>
      <c r="GB107" s="253">
        <f t="shared" si="150"/>
        <v>6069.2206066000035</v>
      </c>
      <c r="GC107" s="253">
        <f t="shared" si="150"/>
        <v>6765.3048023999982</v>
      </c>
      <c r="GD107" s="253">
        <f t="shared" si="150"/>
        <v>6069.2206066000035</v>
      </c>
      <c r="GE107" s="253">
        <f t="shared" si="150"/>
        <v>6765.3048023999982</v>
      </c>
      <c r="GF107" s="253">
        <f t="shared" si="150"/>
        <v>6069.2206066000035</v>
      </c>
      <c r="GG107" s="181">
        <f t="shared" si="92"/>
        <v>0.15</v>
      </c>
      <c r="GI107" s="253">
        <f t="shared" ref="GI107:GN107" si="151" xml:space="preserve"> MAX(  GI106 * 0.9,  MAX( 0, TREND( GI$96:GI$100, $A$96:$A$100, $A107 ) )  )</f>
        <v>7462.2978814999979</v>
      </c>
      <c r="GJ107" s="253">
        <f t="shared" si="151"/>
        <v>6182.3467880999979</v>
      </c>
      <c r="GK107" s="253">
        <f t="shared" si="151"/>
        <v>7462.2978814999979</v>
      </c>
      <c r="GL107" s="253">
        <f t="shared" si="151"/>
        <v>6182.3467880999979</v>
      </c>
      <c r="GM107" s="253">
        <f t="shared" si="151"/>
        <v>7462.2978814999979</v>
      </c>
      <c r="GN107" s="253">
        <f t="shared" si="151"/>
        <v>6182.3467880999979</v>
      </c>
      <c r="GO107" s="181">
        <f t="shared" si="94"/>
        <v>0.85</v>
      </c>
    </row>
    <row r="108" spans="1:197" x14ac:dyDescent="0.2">
      <c r="A108" s="3">
        <f>Basis!A108</f>
        <v>108</v>
      </c>
      <c r="D108" s="252" t="e">
        <v>#N/A</v>
      </c>
      <c r="E108" s="252" t="e">
        <v>#N/A</v>
      </c>
      <c r="H108" s="253">
        <f t="shared" si="95"/>
        <v>14233.151703581365</v>
      </c>
      <c r="I108" s="253">
        <f t="shared" si="8"/>
        <v>11005.768132060866</v>
      </c>
      <c r="J108" s="253">
        <f t="shared" si="9"/>
        <v>14233.151703581365</v>
      </c>
      <c r="K108" s="253">
        <f t="shared" si="10"/>
        <v>11005.768132060866</v>
      </c>
      <c r="L108" s="253">
        <f t="shared" si="11"/>
        <v>14233.151703581365</v>
      </c>
      <c r="M108" s="253">
        <f t="shared" si="12"/>
        <v>11005.768132060866</v>
      </c>
      <c r="N108" s="181">
        <f t="shared" si="13"/>
        <v>0.15</v>
      </c>
      <c r="P108" s="253">
        <f t="shared" si="96"/>
        <v>12294.926192779201</v>
      </c>
      <c r="Q108" s="253">
        <f t="shared" si="14"/>
        <v>9919.5910596094855</v>
      </c>
      <c r="R108" s="253">
        <f t="shared" si="15"/>
        <v>12294.926192779201</v>
      </c>
      <c r="S108" s="253">
        <f t="shared" si="16"/>
        <v>9919.5910596094855</v>
      </c>
      <c r="T108" s="253">
        <f t="shared" si="17"/>
        <v>12294.926192779201</v>
      </c>
      <c r="U108" s="253">
        <f t="shared" si="18"/>
        <v>9919.5910596094855</v>
      </c>
      <c r="V108" s="181">
        <f t="shared" si="19"/>
        <v>0.24258687540636581</v>
      </c>
      <c r="X108" s="253">
        <f t="shared" si="97"/>
        <v>9463.6596216060861</v>
      </c>
      <c r="Y108" s="253">
        <f t="shared" si="20"/>
        <v>7493.1570661566193</v>
      </c>
      <c r="Z108" s="253">
        <f t="shared" si="21"/>
        <v>9463.6596216060861</v>
      </c>
      <c r="AA108" s="253">
        <f t="shared" si="22"/>
        <v>7493.1570661566193</v>
      </c>
      <c r="AB108" s="253">
        <f t="shared" si="23"/>
        <v>9463.6596216060861</v>
      </c>
      <c r="AC108" s="253">
        <f t="shared" si="24"/>
        <v>7493.1570661566193</v>
      </c>
      <c r="AD108" s="181">
        <f t="shared" si="25"/>
        <v>0.16394634243045003</v>
      </c>
      <c r="AF108" s="253">
        <f t="shared" si="98"/>
        <v>1817.8494811300206</v>
      </c>
      <c r="AG108" s="253">
        <f t="shared" si="26"/>
        <v>1079.3692456837039</v>
      </c>
      <c r="AH108" s="253">
        <f t="shared" si="27"/>
        <v>1817.8494811300206</v>
      </c>
      <c r="AI108" s="253">
        <f t="shared" si="28"/>
        <v>1079.3692456837039</v>
      </c>
      <c r="AJ108" s="253">
        <f t="shared" si="29"/>
        <v>1817.8494811300206</v>
      </c>
      <c r="AK108" s="253">
        <f t="shared" si="30"/>
        <v>1079.3692456837039</v>
      </c>
      <c r="AL108" s="181">
        <f t="shared" si="31"/>
        <v>0.15</v>
      </c>
      <c r="AN108" s="253">
        <f t="shared" si="99"/>
        <v>67.850954162100223</v>
      </c>
      <c r="AO108" s="253">
        <f t="shared" si="32"/>
        <v>39.904330898847533</v>
      </c>
      <c r="AP108" s="253">
        <f t="shared" si="32"/>
        <v>67.850954162100223</v>
      </c>
      <c r="AQ108" s="253">
        <f t="shared" si="32"/>
        <v>39.904330898847533</v>
      </c>
      <c r="AR108" s="253">
        <f t="shared" si="32"/>
        <v>67.850954162100223</v>
      </c>
      <c r="AS108" s="253">
        <f t="shared" si="32"/>
        <v>39.904330898847533</v>
      </c>
      <c r="AT108" s="181">
        <f t="shared" si="33"/>
        <v>0.64481142159858562</v>
      </c>
      <c r="AX108" s="253">
        <f t="shared" si="100"/>
        <v>15388.447556279996</v>
      </c>
      <c r="AY108" s="253">
        <f t="shared" si="34"/>
        <v>11376.10342528</v>
      </c>
      <c r="AZ108" s="253">
        <f t="shared" si="35"/>
        <v>15388.447556279996</v>
      </c>
      <c r="BA108" s="253">
        <f t="shared" si="36"/>
        <v>11376.10342528</v>
      </c>
      <c r="BB108" s="253">
        <f t="shared" si="37"/>
        <v>15388.447556279996</v>
      </c>
      <c r="BC108" s="253">
        <f t="shared" si="38"/>
        <v>11376.10342528</v>
      </c>
      <c r="BD108" s="181">
        <f t="shared" si="39"/>
        <v>0.15</v>
      </c>
      <c r="BF108" s="253">
        <f t="shared" si="101"/>
        <v>11832.536434119997</v>
      </c>
      <c r="BG108" s="253">
        <f t="shared" si="40"/>
        <v>9630.1408853199991</v>
      </c>
      <c r="BH108" s="253">
        <f t="shared" si="41"/>
        <v>11832.536434119997</v>
      </c>
      <c r="BI108" s="253">
        <f t="shared" si="42"/>
        <v>9630.1408853199991</v>
      </c>
      <c r="BJ108" s="253">
        <f t="shared" si="43"/>
        <v>11832.536434119997</v>
      </c>
      <c r="BK108" s="253">
        <f t="shared" si="44"/>
        <v>9630.1408853199991</v>
      </c>
      <c r="BL108" s="181">
        <f t="shared" si="45"/>
        <v>0.15985643713289788</v>
      </c>
      <c r="BN108" s="253">
        <f t="shared" si="102"/>
        <v>10153.111234600003</v>
      </c>
      <c r="BO108" s="253">
        <f t="shared" si="46"/>
        <v>7822.0434294399965</v>
      </c>
      <c r="BP108" s="253">
        <f t="shared" si="47"/>
        <v>10153.111234600003</v>
      </c>
      <c r="BQ108" s="253">
        <f t="shared" si="48"/>
        <v>7822.0434294399965</v>
      </c>
      <c r="BR108" s="253">
        <f t="shared" si="49"/>
        <v>10153.111234600003</v>
      </c>
      <c r="BS108" s="253">
        <f t="shared" si="50"/>
        <v>7822.0434294399965</v>
      </c>
      <c r="BT108" s="181">
        <f t="shared" si="51"/>
        <v>0.15</v>
      </c>
      <c r="BV108" s="253">
        <f t="shared" si="103"/>
        <v>88.425140219736647</v>
      </c>
      <c r="BW108" s="253">
        <f t="shared" si="52"/>
        <v>31.252829798055714</v>
      </c>
      <c r="BX108" s="253">
        <f t="shared" si="53"/>
        <v>88.425140219736647</v>
      </c>
      <c r="BY108" s="253">
        <f t="shared" si="54"/>
        <v>31.252829798055714</v>
      </c>
      <c r="BZ108" s="253">
        <f t="shared" si="55"/>
        <v>88.425140219736647</v>
      </c>
      <c r="CA108" s="253">
        <f t="shared" si="56"/>
        <v>31.252829798055714</v>
      </c>
      <c r="CB108" s="181">
        <f t="shared" si="57"/>
        <v>0.15342470148277787</v>
      </c>
      <c r="CD108" s="253">
        <f t="shared" si="58"/>
        <v>2242.5649393499998</v>
      </c>
      <c r="CE108" s="253">
        <f t="shared" si="59"/>
        <v>1338.3908595000003</v>
      </c>
      <c r="CF108" s="253">
        <f t="shared" si="60"/>
        <v>2242.5649393499998</v>
      </c>
      <c r="CG108" s="253">
        <f t="shared" si="61"/>
        <v>1338.3908595000003</v>
      </c>
      <c r="CH108" s="253">
        <f t="shared" si="62"/>
        <v>2242.5649393499998</v>
      </c>
      <c r="CI108" s="253">
        <f t="shared" si="63"/>
        <v>1338.3908595000003</v>
      </c>
      <c r="CJ108" s="181">
        <f t="shared" si="64"/>
        <v>0.17389602372815008</v>
      </c>
      <c r="CN108" s="253">
        <f t="shared" si="65"/>
        <v>15610.517608400003</v>
      </c>
      <c r="CO108" s="253">
        <f t="shared" si="66"/>
        <v>11542.883283040002</v>
      </c>
      <c r="CP108" s="253">
        <f t="shared" si="66"/>
        <v>15610.517608400003</v>
      </c>
      <c r="CQ108" s="253">
        <f t="shared" si="66"/>
        <v>11542.883283040002</v>
      </c>
      <c r="CR108" s="253">
        <f t="shared" si="66"/>
        <v>15610.517608400003</v>
      </c>
      <c r="CS108" s="253">
        <f t="shared" si="66"/>
        <v>11542.883283040002</v>
      </c>
      <c r="CT108" s="181">
        <f t="shared" si="67"/>
        <v>0.19041039904059556</v>
      </c>
      <c r="CV108" s="253">
        <f t="shared" si="68"/>
        <v>10946.56990530001</v>
      </c>
      <c r="CW108" s="253">
        <f t="shared" si="69"/>
        <v>8640.9463981600038</v>
      </c>
      <c r="CX108" s="253">
        <f t="shared" si="69"/>
        <v>10946.56990530001</v>
      </c>
      <c r="CY108" s="253">
        <f t="shared" si="69"/>
        <v>8640.9463981600038</v>
      </c>
      <c r="CZ108" s="253">
        <f t="shared" si="69"/>
        <v>10946.56990530001</v>
      </c>
      <c r="DA108" s="253">
        <f t="shared" si="69"/>
        <v>8640.9463981600038</v>
      </c>
      <c r="DB108" s="181">
        <f t="shared" si="70"/>
        <v>0.19408014757495892</v>
      </c>
      <c r="DC108" s="1"/>
      <c r="DD108" s="253">
        <f t="shared" si="71"/>
        <v>9853.4742038399963</v>
      </c>
      <c r="DE108" s="253">
        <f t="shared" si="72"/>
        <v>7473.8189412399997</v>
      </c>
      <c r="DF108" s="253">
        <f t="shared" si="72"/>
        <v>9853.4742038399963</v>
      </c>
      <c r="DG108" s="253">
        <f t="shared" si="72"/>
        <v>7473.8189412399997</v>
      </c>
      <c r="DH108" s="253">
        <f t="shared" si="72"/>
        <v>9853.4742038399963</v>
      </c>
      <c r="DI108" s="253">
        <f t="shared" si="72"/>
        <v>7473.8189412399997</v>
      </c>
      <c r="DJ108" s="181">
        <f t="shared" si="73"/>
        <v>0.23101971710284955</v>
      </c>
      <c r="DK108" s="1"/>
      <c r="DL108" s="253">
        <f t="shared" si="74"/>
        <v>92.473801502961194</v>
      </c>
      <c r="DM108" s="253">
        <f t="shared" si="75"/>
        <v>37.040085208164172</v>
      </c>
      <c r="DN108" s="253">
        <f t="shared" si="75"/>
        <v>92.473801502961194</v>
      </c>
      <c r="DO108" s="253">
        <f t="shared" si="75"/>
        <v>37.040085208164172</v>
      </c>
      <c r="DP108" s="253">
        <f t="shared" si="75"/>
        <v>92.473801502961194</v>
      </c>
      <c r="DQ108" s="253">
        <f t="shared" si="75"/>
        <v>37.040085208164172</v>
      </c>
      <c r="DR108" s="181">
        <f t="shared" si="76"/>
        <v>0.20219429630985816</v>
      </c>
      <c r="DS108" s="1"/>
      <c r="DT108" s="253">
        <f t="shared" si="77"/>
        <v>2979.6494562000007</v>
      </c>
      <c r="DU108" s="253">
        <f t="shared" si="77"/>
        <v>2045.6212620000006</v>
      </c>
      <c r="DV108" s="253">
        <f t="shared" si="77"/>
        <v>2979.6494562000007</v>
      </c>
      <c r="DW108" s="253">
        <f t="shared" si="77"/>
        <v>2045.6212620000006</v>
      </c>
      <c r="DX108" s="253">
        <f t="shared" si="77"/>
        <v>2979.6494562000007</v>
      </c>
      <c r="DY108" s="253">
        <f t="shared" si="77"/>
        <v>2045.6212620000006</v>
      </c>
      <c r="DZ108" s="181">
        <f t="shared" si="78"/>
        <v>0.24125193760100261</v>
      </c>
      <c r="ED108" s="253">
        <f t="shared" ref="ED108:EI108" si="152" xml:space="preserve"> MAX(  ED107 * 0.9,  MAX( 0, TREND( ED$96:ED$100, $A$96:$A$100, $A108 ) )  )</f>
        <v>13893.144875160006</v>
      </c>
      <c r="EE108" s="253">
        <f t="shared" si="152"/>
        <v>10360.326359680004</v>
      </c>
      <c r="EF108" s="253">
        <f t="shared" si="152"/>
        <v>13893.144875160006</v>
      </c>
      <c r="EG108" s="253">
        <f t="shared" si="152"/>
        <v>10360.326359680004</v>
      </c>
      <c r="EH108" s="253">
        <f t="shared" si="152"/>
        <v>13893.144875160006</v>
      </c>
      <c r="EI108" s="253">
        <f t="shared" si="152"/>
        <v>10360.326359680004</v>
      </c>
      <c r="EJ108" s="181">
        <f t="shared" si="80"/>
        <v>0.24678409210423774</v>
      </c>
      <c r="EL108" s="253">
        <f t="shared" ref="EL108:EQ108" si="153" xml:space="preserve"> MAX(  EL107 * 0.9,  MAX( 0, TREND( EL$96:EL$100, $A$96:$A$100, $A108 ) )  )</f>
        <v>11998.171751440002</v>
      </c>
      <c r="EM108" s="253">
        <f t="shared" si="153"/>
        <v>9861.4931361200033</v>
      </c>
      <c r="EN108" s="253">
        <f t="shared" si="153"/>
        <v>11998.171751440002</v>
      </c>
      <c r="EO108" s="253">
        <f t="shared" si="153"/>
        <v>9861.4931361200033</v>
      </c>
      <c r="EP108" s="253">
        <f t="shared" si="153"/>
        <v>11998.171751440002</v>
      </c>
      <c r="EQ108" s="253">
        <f t="shared" si="153"/>
        <v>9861.4931361200033</v>
      </c>
      <c r="ER108" s="181">
        <f t="shared" si="82"/>
        <v>0.23955028343524132</v>
      </c>
      <c r="ET108" s="253">
        <f t="shared" ref="ET108:EY108" si="154" xml:space="preserve"> MAX(  ET107 * 0.9,  MAX( 0, TREND( ET$96:ET$100, $A$96:$A$100, $A108 ) )  )</f>
        <v>11459.223035760002</v>
      </c>
      <c r="EU108" s="253">
        <f t="shared" si="154"/>
        <v>8831.3778727999961</v>
      </c>
      <c r="EV108" s="253">
        <f t="shared" si="154"/>
        <v>11459.223035760002</v>
      </c>
      <c r="EW108" s="253">
        <f t="shared" si="154"/>
        <v>8831.3778727999961</v>
      </c>
      <c r="EX108" s="253">
        <f t="shared" si="154"/>
        <v>11459.223035760002</v>
      </c>
      <c r="EY108" s="253">
        <f t="shared" si="154"/>
        <v>8831.3778727999961</v>
      </c>
      <c r="EZ108" s="181">
        <f t="shared" si="84"/>
        <v>0.24861415021641745</v>
      </c>
      <c r="FB108" s="253">
        <f t="shared" ref="FB108:FG108" si="155" xml:space="preserve"> MAX(  FB107 * 0.9,  MAX( 0, TREND( FB$96:FB$100, $A$96:$A$100, $A108 ) )  )</f>
        <v>98.830071027729431</v>
      </c>
      <c r="FC108" s="253">
        <f t="shared" si="155"/>
        <v>70.214775984808881</v>
      </c>
      <c r="FD108" s="253">
        <f t="shared" si="155"/>
        <v>98.830071027729431</v>
      </c>
      <c r="FE108" s="253">
        <f t="shared" si="155"/>
        <v>70.214775984808881</v>
      </c>
      <c r="FF108" s="253">
        <f t="shared" si="155"/>
        <v>98.830071027729431</v>
      </c>
      <c r="FG108" s="253">
        <f t="shared" si="155"/>
        <v>70.214775984808881</v>
      </c>
      <c r="FH108" s="181">
        <f t="shared" si="86"/>
        <v>0.24131645732181609</v>
      </c>
      <c r="FJ108" s="253">
        <f t="shared" ref="FJ108:FO108" si="156" xml:space="preserve"> MAX(  FJ107 * 0.9,  MAX( 0, TREND( FJ$96:FJ$100, $A$96:$A$100, $A108 ) )  )</f>
        <v>2254.2579719999999</v>
      </c>
      <c r="FK108" s="253">
        <f t="shared" si="156"/>
        <v>1467.2247795000005</v>
      </c>
      <c r="FL108" s="253">
        <f t="shared" si="156"/>
        <v>2254.2579719999999</v>
      </c>
      <c r="FM108" s="253">
        <f t="shared" si="156"/>
        <v>1467.2247795000005</v>
      </c>
      <c r="FN108" s="253">
        <f t="shared" si="156"/>
        <v>2254.2579719999999</v>
      </c>
      <c r="FO108" s="253">
        <f t="shared" si="156"/>
        <v>1467.2247795000005</v>
      </c>
      <c r="FP108" s="181">
        <f t="shared" si="88"/>
        <v>0.24583836257643332</v>
      </c>
      <c r="FS108" s="253">
        <f t="shared" ref="FS108:FX108" si="157" xml:space="preserve"> MAX(  FS107 * 0.9,  MAX( 0, TREND( FS$96:FS$100, $A$96:$A$100, $A108 ) )  )</f>
        <v>7164.5792949999995</v>
      </c>
      <c r="FT108" s="253">
        <f t="shared" si="157"/>
        <v>5799.9144344000006</v>
      </c>
      <c r="FU108" s="253">
        <f t="shared" si="157"/>
        <v>7164.5792949999995</v>
      </c>
      <c r="FV108" s="253">
        <f t="shared" si="157"/>
        <v>5799.9144344000006</v>
      </c>
      <c r="FW108" s="253">
        <f t="shared" si="157"/>
        <v>7164.5792949999995</v>
      </c>
      <c r="FX108" s="253">
        <f t="shared" si="157"/>
        <v>5799.9144344000006</v>
      </c>
      <c r="FY108" s="181">
        <f t="shared" si="90"/>
        <v>0.26127946755077081</v>
      </c>
      <c r="GA108" s="253">
        <f t="shared" ref="GA108:GF108" si="158" xml:space="preserve"> MAX(  GA107 * 0.9,  MAX( 0, TREND( GA$96:GA$100, $A$96:$A$100, $A108 ) )  )</f>
        <v>6828.5142719999976</v>
      </c>
      <c r="GB108" s="253">
        <f t="shared" si="158"/>
        <v>6123.3700694000036</v>
      </c>
      <c r="GC108" s="253">
        <f t="shared" si="158"/>
        <v>6828.5142719999976</v>
      </c>
      <c r="GD108" s="253">
        <f t="shared" si="158"/>
        <v>6123.3700694000036</v>
      </c>
      <c r="GE108" s="253">
        <f t="shared" si="158"/>
        <v>6828.5142719999976</v>
      </c>
      <c r="GF108" s="253">
        <f t="shared" si="158"/>
        <v>6123.3700694000036</v>
      </c>
      <c r="GG108" s="181">
        <f t="shared" si="92"/>
        <v>0.15</v>
      </c>
      <c r="GI108" s="253">
        <f t="shared" ref="GI108:GN108" si="159" xml:space="preserve"> MAX(  GI107 * 0.9,  MAX( 0, TREND( GI$96:GI$100, $A$96:$A$100, $A108 ) )  )</f>
        <v>7556.054358999997</v>
      </c>
      <c r="GJ108" s="253">
        <f t="shared" si="159"/>
        <v>6234.8579243999975</v>
      </c>
      <c r="GK108" s="253">
        <f t="shared" si="159"/>
        <v>7556.054358999997</v>
      </c>
      <c r="GL108" s="253">
        <f t="shared" si="159"/>
        <v>6234.8579243999975</v>
      </c>
      <c r="GM108" s="253">
        <f t="shared" si="159"/>
        <v>7556.054358999997</v>
      </c>
      <c r="GN108" s="253">
        <f t="shared" si="159"/>
        <v>6234.8579243999975</v>
      </c>
      <c r="GO108" s="181">
        <f t="shared" si="94"/>
        <v>0.85</v>
      </c>
    </row>
    <row r="109" spans="1:197" x14ac:dyDescent="0.2">
      <c r="A109" s="3">
        <f>Basis!A109</f>
        <v>109</v>
      </c>
      <c r="D109" s="252" t="e">
        <v>#N/A</v>
      </c>
      <c r="E109" s="252" t="e">
        <v>#N/A</v>
      </c>
      <c r="H109" s="253">
        <f t="shared" si="95"/>
        <v>14363.206768216553</v>
      </c>
      <c r="I109" s="253">
        <f t="shared" si="8"/>
        <v>11054.118464789799</v>
      </c>
      <c r="J109" s="253">
        <f t="shared" si="9"/>
        <v>14363.206768216553</v>
      </c>
      <c r="K109" s="253">
        <f t="shared" si="10"/>
        <v>11054.118464789799</v>
      </c>
      <c r="L109" s="253">
        <f t="shared" si="11"/>
        <v>14363.206768216553</v>
      </c>
      <c r="M109" s="253">
        <f t="shared" si="12"/>
        <v>11054.118464789799</v>
      </c>
      <c r="N109" s="181">
        <f t="shared" si="13"/>
        <v>0.15</v>
      </c>
      <c r="P109" s="253">
        <f t="shared" si="96"/>
        <v>12383.394662326118</v>
      </c>
      <c r="Q109" s="253">
        <f t="shared" si="14"/>
        <v>9950.2062016791388</v>
      </c>
      <c r="R109" s="253">
        <f t="shared" si="15"/>
        <v>12383.394662326118</v>
      </c>
      <c r="S109" s="253">
        <f t="shared" si="16"/>
        <v>9950.2062016791388</v>
      </c>
      <c r="T109" s="253">
        <f t="shared" si="17"/>
        <v>12383.394662326118</v>
      </c>
      <c r="U109" s="253">
        <f t="shared" si="18"/>
        <v>9950.2062016791388</v>
      </c>
      <c r="V109" s="181">
        <f t="shared" si="19"/>
        <v>0.24258687540636581</v>
      </c>
      <c r="X109" s="253">
        <f t="shared" si="97"/>
        <v>9543.11176839158</v>
      </c>
      <c r="Y109" s="253">
        <f t="shared" si="20"/>
        <v>7521.0022544441426</v>
      </c>
      <c r="Z109" s="253">
        <f t="shared" si="21"/>
        <v>9543.11176839158</v>
      </c>
      <c r="AA109" s="253">
        <f t="shared" si="22"/>
        <v>7521.0022544441426</v>
      </c>
      <c r="AB109" s="253">
        <f t="shared" si="23"/>
        <v>9543.11176839158</v>
      </c>
      <c r="AC109" s="253">
        <f t="shared" si="24"/>
        <v>7521.0022544441426</v>
      </c>
      <c r="AD109" s="181">
        <f t="shared" si="25"/>
        <v>0.16394634243045003</v>
      </c>
      <c r="AF109" s="253">
        <f t="shared" si="98"/>
        <v>1821.1925131300209</v>
      </c>
      <c r="AG109" s="253">
        <f t="shared" si="26"/>
        <v>1079.3692456837039</v>
      </c>
      <c r="AH109" s="253">
        <f t="shared" si="27"/>
        <v>1821.1925131300209</v>
      </c>
      <c r="AI109" s="253">
        <f t="shared" si="28"/>
        <v>1079.3692456837039</v>
      </c>
      <c r="AJ109" s="253">
        <f t="shared" si="29"/>
        <v>1821.1925131300209</v>
      </c>
      <c r="AK109" s="253">
        <f t="shared" si="30"/>
        <v>1079.3692456837039</v>
      </c>
      <c r="AL109" s="181">
        <f t="shared" si="31"/>
        <v>0.15</v>
      </c>
      <c r="AN109" s="253">
        <f t="shared" si="99"/>
        <v>61.065858745890203</v>
      </c>
      <c r="AO109" s="253">
        <f t="shared" si="32"/>
        <v>35.91389780896278</v>
      </c>
      <c r="AP109" s="253">
        <f t="shared" si="32"/>
        <v>61.065858745890203</v>
      </c>
      <c r="AQ109" s="253">
        <f t="shared" si="32"/>
        <v>35.91389780896278</v>
      </c>
      <c r="AR109" s="253">
        <f t="shared" si="32"/>
        <v>61.065858745890203</v>
      </c>
      <c r="AS109" s="253">
        <f t="shared" si="32"/>
        <v>35.91389780896278</v>
      </c>
      <c r="AT109" s="181">
        <f t="shared" si="33"/>
        <v>0.67916596687131658</v>
      </c>
      <c r="AX109" s="253">
        <f t="shared" si="100"/>
        <v>15509.385177559996</v>
      </c>
      <c r="AY109" s="253">
        <f t="shared" si="34"/>
        <v>11402.69843964</v>
      </c>
      <c r="AZ109" s="253">
        <f t="shared" si="35"/>
        <v>15509.385177559996</v>
      </c>
      <c r="BA109" s="253">
        <f t="shared" si="36"/>
        <v>11402.69843964</v>
      </c>
      <c r="BB109" s="253">
        <f t="shared" si="37"/>
        <v>15509.385177559996</v>
      </c>
      <c r="BC109" s="253">
        <f t="shared" si="38"/>
        <v>11402.69843964</v>
      </c>
      <c r="BD109" s="181">
        <f t="shared" si="39"/>
        <v>0.15</v>
      </c>
      <c r="BF109" s="253">
        <f t="shared" si="101"/>
        <v>11847.456945789998</v>
      </c>
      <c r="BG109" s="253">
        <f t="shared" si="40"/>
        <v>9633.6626113599978</v>
      </c>
      <c r="BH109" s="253">
        <f t="shared" si="41"/>
        <v>11847.456945789998</v>
      </c>
      <c r="BI109" s="253">
        <f t="shared" si="42"/>
        <v>9633.6626113599978</v>
      </c>
      <c r="BJ109" s="253">
        <f t="shared" si="43"/>
        <v>11847.456945789998</v>
      </c>
      <c r="BK109" s="253">
        <f t="shared" si="44"/>
        <v>9633.6626113599978</v>
      </c>
      <c r="BL109" s="181">
        <f t="shared" si="45"/>
        <v>0.15985643713289788</v>
      </c>
      <c r="BN109" s="253">
        <f t="shared" si="102"/>
        <v>10206.268048700003</v>
      </c>
      <c r="BO109" s="253">
        <f t="shared" si="46"/>
        <v>7817.6419654599968</v>
      </c>
      <c r="BP109" s="253">
        <f t="shared" si="47"/>
        <v>10206.268048700003</v>
      </c>
      <c r="BQ109" s="253">
        <f t="shared" si="48"/>
        <v>7817.6419654599968</v>
      </c>
      <c r="BR109" s="253">
        <f t="shared" si="49"/>
        <v>10206.268048700003</v>
      </c>
      <c r="BS109" s="253">
        <f t="shared" si="50"/>
        <v>7817.6419654599968</v>
      </c>
      <c r="BT109" s="181">
        <f t="shared" si="51"/>
        <v>0.15</v>
      </c>
      <c r="BV109" s="253">
        <f t="shared" si="103"/>
        <v>79.582626197762991</v>
      </c>
      <c r="BW109" s="253">
        <f t="shared" si="52"/>
        <v>28.127546818250142</v>
      </c>
      <c r="BX109" s="253">
        <f t="shared" si="53"/>
        <v>79.582626197762991</v>
      </c>
      <c r="BY109" s="253">
        <f t="shared" si="54"/>
        <v>28.127546818250142</v>
      </c>
      <c r="BZ109" s="253">
        <f t="shared" si="55"/>
        <v>79.582626197762991</v>
      </c>
      <c r="CA109" s="253">
        <f t="shared" si="56"/>
        <v>28.127546818250142</v>
      </c>
      <c r="CB109" s="181">
        <f t="shared" si="57"/>
        <v>0.15342470148277787</v>
      </c>
      <c r="CD109" s="253">
        <f t="shared" si="58"/>
        <v>2266.3573321499998</v>
      </c>
      <c r="CE109" s="253">
        <f t="shared" si="59"/>
        <v>1338.3908595000003</v>
      </c>
      <c r="CF109" s="253">
        <f t="shared" si="60"/>
        <v>2266.3573321499998</v>
      </c>
      <c r="CG109" s="253">
        <f t="shared" si="61"/>
        <v>1338.3908595000003</v>
      </c>
      <c r="CH109" s="253">
        <f t="shared" si="62"/>
        <v>2266.3573321499998</v>
      </c>
      <c r="CI109" s="253">
        <f t="shared" si="63"/>
        <v>1338.3908595000003</v>
      </c>
      <c r="CJ109" s="181">
        <f t="shared" si="64"/>
        <v>0.17389602372815008</v>
      </c>
      <c r="CN109" s="253">
        <f t="shared" si="65"/>
        <v>15738.731426560003</v>
      </c>
      <c r="CO109" s="253">
        <f t="shared" si="66"/>
        <v>11571.593219600003</v>
      </c>
      <c r="CP109" s="253">
        <f t="shared" si="66"/>
        <v>15738.731426560003</v>
      </c>
      <c r="CQ109" s="253">
        <f t="shared" si="66"/>
        <v>11571.593219600003</v>
      </c>
      <c r="CR109" s="253">
        <f t="shared" si="66"/>
        <v>15738.731426560003</v>
      </c>
      <c r="CS109" s="253">
        <f t="shared" si="66"/>
        <v>11571.593219600003</v>
      </c>
      <c r="CT109" s="181">
        <f t="shared" si="67"/>
        <v>0.19041039904059556</v>
      </c>
      <c r="CV109" s="253">
        <f t="shared" si="68"/>
        <v>10957.149910990011</v>
      </c>
      <c r="CW109" s="253">
        <f t="shared" si="69"/>
        <v>8651.0108303000034</v>
      </c>
      <c r="CX109" s="253">
        <f t="shared" si="69"/>
        <v>10957.149910990011</v>
      </c>
      <c r="CY109" s="253">
        <f t="shared" si="69"/>
        <v>8651.0108303000034</v>
      </c>
      <c r="CZ109" s="253">
        <f t="shared" si="69"/>
        <v>10957.149910990011</v>
      </c>
      <c r="DA109" s="253">
        <f t="shared" si="69"/>
        <v>8651.0108303000034</v>
      </c>
      <c r="DB109" s="181">
        <f t="shared" si="70"/>
        <v>0.19408014757495892</v>
      </c>
      <c r="DC109" s="1"/>
      <c r="DD109" s="253">
        <f t="shared" si="71"/>
        <v>9921.1296169599973</v>
      </c>
      <c r="DE109" s="253">
        <f t="shared" si="72"/>
        <v>7487.9551325399998</v>
      </c>
      <c r="DF109" s="253">
        <f t="shared" si="72"/>
        <v>9921.1296169599973</v>
      </c>
      <c r="DG109" s="253">
        <f t="shared" si="72"/>
        <v>7487.9551325399998</v>
      </c>
      <c r="DH109" s="253">
        <f t="shared" si="72"/>
        <v>9921.1296169599973</v>
      </c>
      <c r="DI109" s="253">
        <f t="shared" si="72"/>
        <v>7487.9551325399998</v>
      </c>
      <c r="DJ109" s="181">
        <f t="shared" si="73"/>
        <v>0.23101971710284955</v>
      </c>
      <c r="DK109" s="1"/>
      <c r="DL109" s="253">
        <f t="shared" si="74"/>
        <v>83.226421352665071</v>
      </c>
      <c r="DM109" s="253">
        <f t="shared" si="75"/>
        <v>33.336076687347756</v>
      </c>
      <c r="DN109" s="253">
        <f t="shared" si="75"/>
        <v>83.226421352665071</v>
      </c>
      <c r="DO109" s="253">
        <f t="shared" si="75"/>
        <v>33.336076687347756</v>
      </c>
      <c r="DP109" s="253">
        <f t="shared" si="75"/>
        <v>83.226421352665071</v>
      </c>
      <c r="DQ109" s="253">
        <f t="shared" si="75"/>
        <v>33.336076687347756</v>
      </c>
      <c r="DR109" s="181">
        <f t="shared" si="76"/>
        <v>0.20219429630985816</v>
      </c>
      <c r="DS109" s="1"/>
      <c r="DT109" s="253">
        <f t="shared" si="77"/>
        <v>3000.9210234000011</v>
      </c>
      <c r="DU109" s="253">
        <f t="shared" si="77"/>
        <v>2045.6212620000006</v>
      </c>
      <c r="DV109" s="253">
        <f t="shared" si="77"/>
        <v>3000.9210234000011</v>
      </c>
      <c r="DW109" s="253">
        <f t="shared" si="77"/>
        <v>2045.6212620000006</v>
      </c>
      <c r="DX109" s="253">
        <f t="shared" si="77"/>
        <v>3000.9210234000011</v>
      </c>
      <c r="DY109" s="253">
        <f t="shared" si="77"/>
        <v>2045.6212620000006</v>
      </c>
      <c r="DZ109" s="181">
        <f t="shared" si="78"/>
        <v>0.24125193760100261</v>
      </c>
      <c r="ED109" s="253">
        <f t="shared" ref="ED109:EI109" si="160" xml:space="preserve"> MAX(  ED108 * 0.9,  MAX( 0, TREND( ED$96:ED$100, $A$96:$A$100, $A109 ) )  )</f>
        <v>13971.834782600006</v>
      </c>
      <c r="EE109" s="253">
        <f t="shared" si="160"/>
        <v>10373.042464480004</v>
      </c>
      <c r="EF109" s="253">
        <f t="shared" si="160"/>
        <v>13971.834782600006</v>
      </c>
      <c r="EG109" s="253">
        <f t="shared" si="160"/>
        <v>10373.042464480004</v>
      </c>
      <c r="EH109" s="253">
        <f t="shared" si="160"/>
        <v>13971.834782600006</v>
      </c>
      <c r="EI109" s="253">
        <f t="shared" si="160"/>
        <v>10373.042464480004</v>
      </c>
      <c r="EJ109" s="181">
        <f t="shared" si="80"/>
        <v>0.24678409210423774</v>
      </c>
      <c r="EL109" s="253">
        <f t="shared" ref="EL109:EQ109" si="161" xml:space="preserve"> MAX(  EL108 * 0.9,  MAX( 0, TREND( EL$96:EL$100, $A$96:$A$100, $A109 ) )  )</f>
        <v>11997.942186100003</v>
      </c>
      <c r="EM109" s="253">
        <f t="shared" si="161"/>
        <v>9875.3025722700022</v>
      </c>
      <c r="EN109" s="253">
        <f t="shared" si="161"/>
        <v>11997.942186100003</v>
      </c>
      <c r="EO109" s="253">
        <f t="shared" si="161"/>
        <v>9875.3025722700022</v>
      </c>
      <c r="EP109" s="253">
        <f t="shared" si="161"/>
        <v>11997.942186100003</v>
      </c>
      <c r="EQ109" s="253">
        <f t="shared" si="161"/>
        <v>9875.3025722700022</v>
      </c>
      <c r="ER109" s="181">
        <f t="shared" si="82"/>
        <v>0.23955028343524132</v>
      </c>
      <c r="ET109" s="253">
        <f t="shared" ref="ET109:EY109" si="162" xml:space="preserve"> MAX(  ET108 * 0.9,  MAX( 0, TREND( ET$96:ET$100, $A$96:$A$100, $A109 ) )  )</f>
        <v>11511.520270860003</v>
      </c>
      <c r="EU109" s="253">
        <f t="shared" si="162"/>
        <v>8852.5283015199966</v>
      </c>
      <c r="EV109" s="253">
        <f t="shared" si="162"/>
        <v>11511.520270860003</v>
      </c>
      <c r="EW109" s="253">
        <f t="shared" si="162"/>
        <v>8852.5283015199966</v>
      </c>
      <c r="EX109" s="253">
        <f t="shared" si="162"/>
        <v>11511.520270860003</v>
      </c>
      <c r="EY109" s="253">
        <f t="shared" si="162"/>
        <v>8852.5283015199966</v>
      </c>
      <c r="EZ109" s="181">
        <f t="shared" si="84"/>
        <v>0.24861415021641745</v>
      </c>
      <c r="FB109" s="253">
        <f t="shared" ref="FB109:FG109" si="163" xml:space="preserve"> MAX(  FB108 * 0.9,  MAX( 0, TREND( FB$96:FB$100, $A$96:$A$100, $A109 ) )  )</f>
        <v>88.947063924956495</v>
      </c>
      <c r="FC109" s="253">
        <f t="shared" si="163"/>
        <v>63.193298386327996</v>
      </c>
      <c r="FD109" s="253">
        <f t="shared" si="163"/>
        <v>88.947063924956495</v>
      </c>
      <c r="FE109" s="253">
        <f t="shared" si="163"/>
        <v>63.193298386327996</v>
      </c>
      <c r="FF109" s="253">
        <f t="shared" si="163"/>
        <v>88.947063924956495</v>
      </c>
      <c r="FG109" s="253">
        <f t="shared" si="163"/>
        <v>63.193298386327996</v>
      </c>
      <c r="FH109" s="181">
        <f t="shared" si="86"/>
        <v>0.24131645732181609</v>
      </c>
      <c r="FJ109" s="253">
        <f t="shared" ref="FJ109:FO109" si="164" xml:space="preserve"> MAX(  FJ108 * 0.9,  MAX( 0, TREND( FJ$96:FJ$100, $A$96:$A$100, $A109 ) )  )</f>
        <v>2283.739455375</v>
      </c>
      <c r="FK109" s="253">
        <f t="shared" si="164"/>
        <v>1467.2247795000005</v>
      </c>
      <c r="FL109" s="253">
        <f t="shared" si="164"/>
        <v>2283.739455375</v>
      </c>
      <c r="FM109" s="253">
        <f t="shared" si="164"/>
        <v>1467.2247795000005</v>
      </c>
      <c r="FN109" s="253">
        <f t="shared" si="164"/>
        <v>2283.739455375</v>
      </c>
      <c r="FO109" s="253">
        <f t="shared" si="164"/>
        <v>1467.2247795000005</v>
      </c>
      <c r="FP109" s="181">
        <f t="shared" si="88"/>
        <v>0.24583836257643332</v>
      </c>
      <c r="FS109" s="253">
        <f t="shared" ref="FS109:FX109" si="165" xml:space="preserve"> MAX(  FS108 * 0.9,  MAX( 0, TREND( FS$96:FS$100, $A$96:$A$100, $A109 ) )  )</f>
        <v>7229.8467044999998</v>
      </c>
      <c r="FT109" s="253">
        <f t="shared" si="165"/>
        <v>5835.4463248000011</v>
      </c>
      <c r="FU109" s="253">
        <f t="shared" si="165"/>
        <v>7229.8467044999998</v>
      </c>
      <c r="FV109" s="253">
        <f t="shared" si="165"/>
        <v>5835.4463248000011</v>
      </c>
      <c r="FW109" s="253">
        <f t="shared" si="165"/>
        <v>7229.8467044999998</v>
      </c>
      <c r="FX109" s="253">
        <f t="shared" si="165"/>
        <v>5835.4463248000011</v>
      </c>
      <c r="FY109" s="181">
        <f t="shared" si="90"/>
        <v>0.26127946755077081</v>
      </c>
      <c r="GA109" s="253">
        <f t="shared" ref="GA109:GF109" si="166" xml:space="preserve"> MAX(  GA108 * 0.9,  MAX( 0, TREND( GA$96:GA$100, $A$96:$A$100, $A109 ) )  )</f>
        <v>6891.723741599998</v>
      </c>
      <c r="GB109" s="253">
        <f t="shared" si="166"/>
        <v>6177.5195322000036</v>
      </c>
      <c r="GC109" s="253">
        <f t="shared" si="166"/>
        <v>6891.723741599998</v>
      </c>
      <c r="GD109" s="253">
        <f t="shared" si="166"/>
        <v>6177.5195322000036</v>
      </c>
      <c r="GE109" s="253">
        <f t="shared" si="166"/>
        <v>6891.723741599998</v>
      </c>
      <c r="GF109" s="253">
        <f t="shared" si="166"/>
        <v>6177.5195322000036</v>
      </c>
      <c r="GG109" s="181">
        <f t="shared" si="92"/>
        <v>0.15</v>
      </c>
      <c r="GI109" s="253">
        <f t="shared" ref="GI109:GN109" si="167" xml:space="preserve"> MAX(  GI108 * 0.9,  MAX( 0, TREND( GI$96:GI$100, $A$96:$A$100, $A109 ) )  )</f>
        <v>7649.810836499998</v>
      </c>
      <c r="GJ109" s="253">
        <f t="shared" si="167"/>
        <v>6287.3690606999971</v>
      </c>
      <c r="GK109" s="253">
        <f t="shared" si="167"/>
        <v>7649.810836499998</v>
      </c>
      <c r="GL109" s="253">
        <f t="shared" si="167"/>
        <v>6287.3690606999971</v>
      </c>
      <c r="GM109" s="253">
        <f t="shared" si="167"/>
        <v>7649.810836499998</v>
      </c>
      <c r="GN109" s="253">
        <f t="shared" si="167"/>
        <v>6287.3690606999971</v>
      </c>
      <c r="GO109" s="181">
        <f t="shared" si="94"/>
        <v>0.85</v>
      </c>
    </row>
    <row r="110" spans="1:197" x14ac:dyDescent="0.2">
      <c r="A110" s="3">
        <f>Basis!A110</f>
        <v>110</v>
      </c>
      <c r="D110" s="252" t="e">
        <v>#N/A</v>
      </c>
      <c r="E110" s="252" t="e">
        <v>#N/A</v>
      </c>
      <c r="H110" s="253">
        <f t="shared" si="95"/>
        <v>14493.26183285174</v>
      </c>
      <c r="I110" s="253">
        <f t="shared" si="8"/>
        <v>11102.468797518732</v>
      </c>
      <c r="J110" s="253">
        <f t="shared" si="9"/>
        <v>14493.26183285174</v>
      </c>
      <c r="K110" s="253">
        <f t="shared" si="10"/>
        <v>11102.468797518732</v>
      </c>
      <c r="L110" s="253">
        <f t="shared" si="11"/>
        <v>14493.26183285174</v>
      </c>
      <c r="M110" s="253">
        <f t="shared" si="12"/>
        <v>11102.468797518732</v>
      </c>
      <c r="N110" s="181">
        <f t="shared" si="13"/>
        <v>0.15</v>
      </c>
      <c r="P110" s="253">
        <f t="shared" si="96"/>
        <v>12471.863131873035</v>
      </c>
      <c r="Q110" s="253">
        <f t="shared" si="14"/>
        <v>9980.8213437487921</v>
      </c>
      <c r="R110" s="253">
        <f t="shared" si="15"/>
        <v>12471.863131873035</v>
      </c>
      <c r="S110" s="253">
        <f t="shared" si="16"/>
        <v>9980.8213437487921</v>
      </c>
      <c r="T110" s="253">
        <f t="shared" si="17"/>
        <v>12471.863131873035</v>
      </c>
      <c r="U110" s="253">
        <f t="shared" si="18"/>
        <v>9980.8213437487921</v>
      </c>
      <c r="V110" s="181">
        <f t="shared" si="19"/>
        <v>0.24258687540636581</v>
      </c>
      <c r="X110" s="253">
        <f t="shared" si="97"/>
        <v>9622.5639151770738</v>
      </c>
      <c r="Y110" s="253">
        <f t="shared" si="20"/>
        <v>7548.847442731666</v>
      </c>
      <c r="Z110" s="253">
        <f t="shared" si="21"/>
        <v>9622.5639151770738</v>
      </c>
      <c r="AA110" s="253">
        <f t="shared" si="22"/>
        <v>7548.847442731666</v>
      </c>
      <c r="AB110" s="253">
        <f t="shared" si="23"/>
        <v>9622.5639151770738</v>
      </c>
      <c r="AC110" s="253">
        <f t="shared" si="24"/>
        <v>7548.847442731666</v>
      </c>
      <c r="AD110" s="181">
        <f t="shared" si="25"/>
        <v>0.16394634243045003</v>
      </c>
      <c r="AF110" s="253">
        <f t="shared" si="98"/>
        <v>1824.5355451300209</v>
      </c>
      <c r="AG110" s="253">
        <f t="shared" si="26"/>
        <v>1079.3692456837039</v>
      </c>
      <c r="AH110" s="253">
        <f t="shared" si="27"/>
        <v>1824.5355451300209</v>
      </c>
      <c r="AI110" s="253">
        <f t="shared" si="28"/>
        <v>1079.3692456837039</v>
      </c>
      <c r="AJ110" s="253">
        <f t="shared" si="29"/>
        <v>1824.5355451300209</v>
      </c>
      <c r="AK110" s="253">
        <f t="shared" si="30"/>
        <v>1079.3692456837039</v>
      </c>
      <c r="AL110" s="181">
        <f t="shared" si="31"/>
        <v>0.15</v>
      </c>
      <c r="AN110" s="253">
        <f t="shared" si="99"/>
        <v>54.959272871301181</v>
      </c>
      <c r="AO110" s="253">
        <f t="shared" si="32"/>
        <v>32.322508028066501</v>
      </c>
      <c r="AP110" s="253">
        <f t="shared" si="32"/>
        <v>54.959272871301181</v>
      </c>
      <c r="AQ110" s="253">
        <f t="shared" si="32"/>
        <v>32.322508028066501</v>
      </c>
      <c r="AR110" s="253">
        <f t="shared" si="32"/>
        <v>54.959272871301181</v>
      </c>
      <c r="AS110" s="253">
        <f t="shared" si="32"/>
        <v>32.322508028066501</v>
      </c>
      <c r="AT110" s="181">
        <f t="shared" si="33"/>
        <v>0.71352051214404755</v>
      </c>
      <c r="AX110" s="253">
        <f t="shared" si="100"/>
        <v>15630.322798839996</v>
      </c>
      <c r="AY110" s="253">
        <f t="shared" si="34"/>
        <v>11429.293454000001</v>
      </c>
      <c r="AZ110" s="253">
        <f t="shared" si="35"/>
        <v>15630.322798839996</v>
      </c>
      <c r="BA110" s="253">
        <f t="shared" si="36"/>
        <v>11429.293454000001</v>
      </c>
      <c r="BB110" s="253">
        <f t="shared" si="37"/>
        <v>15630.322798839996</v>
      </c>
      <c r="BC110" s="253">
        <f t="shared" si="38"/>
        <v>11429.293454000001</v>
      </c>
      <c r="BD110" s="181">
        <f t="shared" si="39"/>
        <v>0.15</v>
      </c>
      <c r="BF110" s="253">
        <f t="shared" si="101"/>
        <v>11862.377457459997</v>
      </c>
      <c r="BG110" s="253">
        <f t="shared" si="40"/>
        <v>9637.1843373999982</v>
      </c>
      <c r="BH110" s="253">
        <f t="shared" si="41"/>
        <v>11862.377457459997</v>
      </c>
      <c r="BI110" s="253">
        <f t="shared" si="42"/>
        <v>9637.1843373999982</v>
      </c>
      <c r="BJ110" s="253">
        <f t="shared" si="43"/>
        <v>11862.377457459997</v>
      </c>
      <c r="BK110" s="253">
        <f t="shared" si="44"/>
        <v>9637.1843373999982</v>
      </c>
      <c r="BL110" s="181">
        <f t="shared" si="45"/>
        <v>0.15985643713289788</v>
      </c>
      <c r="BN110" s="253">
        <f t="shared" si="102"/>
        <v>10259.424862800002</v>
      </c>
      <c r="BO110" s="253">
        <f t="shared" si="46"/>
        <v>7813.2405014799961</v>
      </c>
      <c r="BP110" s="253">
        <f t="shared" si="47"/>
        <v>10259.424862800002</v>
      </c>
      <c r="BQ110" s="253">
        <f t="shared" si="48"/>
        <v>7813.2405014799961</v>
      </c>
      <c r="BR110" s="253">
        <f t="shared" si="49"/>
        <v>10259.424862800002</v>
      </c>
      <c r="BS110" s="253">
        <f t="shared" si="50"/>
        <v>7813.2405014799961</v>
      </c>
      <c r="BT110" s="181">
        <f t="shared" si="51"/>
        <v>0.15</v>
      </c>
      <c r="BV110" s="253">
        <f t="shared" si="103"/>
        <v>71.624363577986699</v>
      </c>
      <c r="BW110" s="253">
        <f t="shared" si="52"/>
        <v>25.31479213642513</v>
      </c>
      <c r="BX110" s="253">
        <f t="shared" si="53"/>
        <v>71.624363577986699</v>
      </c>
      <c r="BY110" s="253">
        <f t="shared" si="54"/>
        <v>25.31479213642513</v>
      </c>
      <c r="BZ110" s="253">
        <f t="shared" si="55"/>
        <v>71.624363577986699</v>
      </c>
      <c r="CA110" s="253">
        <f t="shared" si="56"/>
        <v>25.31479213642513</v>
      </c>
      <c r="CB110" s="181">
        <f t="shared" si="57"/>
        <v>0.15342470148277787</v>
      </c>
      <c r="CD110" s="253">
        <f t="shared" si="58"/>
        <v>2290.1497249499998</v>
      </c>
      <c r="CE110" s="253">
        <f t="shared" si="59"/>
        <v>1338.3908595000003</v>
      </c>
      <c r="CF110" s="253">
        <f t="shared" si="60"/>
        <v>2290.1497249499998</v>
      </c>
      <c r="CG110" s="253">
        <f t="shared" si="61"/>
        <v>1338.3908595000003</v>
      </c>
      <c r="CH110" s="253">
        <f t="shared" si="62"/>
        <v>2290.1497249499998</v>
      </c>
      <c r="CI110" s="253">
        <f t="shared" si="63"/>
        <v>1338.3908595000003</v>
      </c>
      <c r="CJ110" s="181">
        <f t="shared" si="64"/>
        <v>0.17389602372815008</v>
      </c>
      <c r="CN110" s="253">
        <f t="shared" si="65"/>
        <v>15866.945244720004</v>
      </c>
      <c r="CO110" s="253">
        <f t="shared" si="66"/>
        <v>11600.303156160004</v>
      </c>
      <c r="CP110" s="253">
        <f t="shared" si="66"/>
        <v>15866.945244720004</v>
      </c>
      <c r="CQ110" s="253">
        <f t="shared" si="66"/>
        <v>11600.303156160004</v>
      </c>
      <c r="CR110" s="253">
        <f t="shared" si="66"/>
        <v>15866.945244720004</v>
      </c>
      <c r="CS110" s="253">
        <f t="shared" si="66"/>
        <v>11600.303156160004</v>
      </c>
      <c r="CT110" s="181">
        <f t="shared" si="67"/>
        <v>0.19041039904059556</v>
      </c>
      <c r="CV110" s="253">
        <f t="shared" si="68"/>
        <v>10967.729916680011</v>
      </c>
      <c r="CW110" s="253">
        <f t="shared" si="69"/>
        <v>8661.0752624400047</v>
      </c>
      <c r="CX110" s="253">
        <f t="shared" si="69"/>
        <v>10967.729916680011</v>
      </c>
      <c r="CY110" s="253">
        <f t="shared" si="69"/>
        <v>8661.0752624400047</v>
      </c>
      <c r="CZ110" s="253">
        <f t="shared" si="69"/>
        <v>10967.729916680011</v>
      </c>
      <c r="DA110" s="253">
        <f t="shared" si="69"/>
        <v>8661.0752624400047</v>
      </c>
      <c r="DB110" s="181">
        <f t="shared" si="70"/>
        <v>0.19408014757495892</v>
      </c>
      <c r="DC110" s="1"/>
      <c r="DD110" s="253">
        <f t="shared" si="71"/>
        <v>9988.7850300799983</v>
      </c>
      <c r="DE110" s="253">
        <f t="shared" si="72"/>
        <v>7502.0913238399999</v>
      </c>
      <c r="DF110" s="253">
        <f t="shared" si="72"/>
        <v>9988.7850300799983</v>
      </c>
      <c r="DG110" s="253">
        <f t="shared" si="72"/>
        <v>7502.0913238399999</v>
      </c>
      <c r="DH110" s="253">
        <f t="shared" si="72"/>
        <v>9988.7850300799983</v>
      </c>
      <c r="DI110" s="253">
        <f t="shared" si="72"/>
        <v>7502.0913238399999</v>
      </c>
      <c r="DJ110" s="181">
        <f t="shared" si="73"/>
        <v>0.23101971710284955</v>
      </c>
      <c r="DK110" s="1"/>
      <c r="DL110" s="253">
        <f t="shared" si="74"/>
        <v>74.903779217398565</v>
      </c>
      <c r="DM110" s="253">
        <f t="shared" si="75"/>
        <v>30.002469018612981</v>
      </c>
      <c r="DN110" s="253">
        <f t="shared" si="75"/>
        <v>74.903779217398565</v>
      </c>
      <c r="DO110" s="253">
        <f t="shared" si="75"/>
        <v>30.002469018612981</v>
      </c>
      <c r="DP110" s="253">
        <f t="shared" si="75"/>
        <v>74.903779217398565</v>
      </c>
      <c r="DQ110" s="253">
        <f t="shared" si="75"/>
        <v>30.002469018612981</v>
      </c>
      <c r="DR110" s="181">
        <f t="shared" si="76"/>
        <v>0.20219429630985816</v>
      </c>
      <c r="DS110" s="1"/>
      <c r="DT110" s="253">
        <f t="shared" si="77"/>
        <v>3022.192590600001</v>
      </c>
      <c r="DU110" s="253">
        <f t="shared" si="77"/>
        <v>2045.6212620000006</v>
      </c>
      <c r="DV110" s="253">
        <f t="shared" si="77"/>
        <v>3022.192590600001</v>
      </c>
      <c r="DW110" s="253">
        <f t="shared" si="77"/>
        <v>2045.6212620000006</v>
      </c>
      <c r="DX110" s="253">
        <f t="shared" si="77"/>
        <v>3022.192590600001</v>
      </c>
      <c r="DY110" s="253">
        <f t="shared" si="77"/>
        <v>2045.6212620000006</v>
      </c>
      <c r="DZ110" s="181">
        <f t="shared" si="78"/>
        <v>0.24125193760100261</v>
      </c>
      <c r="ED110" s="253">
        <f t="shared" ref="ED110:EI110" si="168" xml:space="preserve"> MAX(  ED109 * 0.9,  MAX( 0, TREND( ED$96:ED$100, $A$96:$A$100, $A110 ) )  )</f>
        <v>14050.524690040007</v>
      </c>
      <c r="EE110" s="253">
        <f t="shared" si="168"/>
        <v>10385.758569280006</v>
      </c>
      <c r="EF110" s="253">
        <f t="shared" si="168"/>
        <v>14050.524690040007</v>
      </c>
      <c r="EG110" s="253">
        <f t="shared" si="168"/>
        <v>10385.758569280006</v>
      </c>
      <c r="EH110" s="253">
        <f t="shared" si="168"/>
        <v>14050.524690040007</v>
      </c>
      <c r="EI110" s="253">
        <f t="shared" si="168"/>
        <v>10385.758569280006</v>
      </c>
      <c r="EJ110" s="181">
        <f t="shared" si="80"/>
        <v>0.24678409210423774</v>
      </c>
      <c r="EL110" s="253">
        <f t="shared" ref="EL110:EQ110" si="169" xml:space="preserve"> MAX(  EL109 * 0.9,  MAX( 0, TREND( EL$96:EL$100, $A$96:$A$100, $A110 ) )  )</f>
        <v>11997.712620760003</v>
      </c>
      <c r="EM110" s="253">
        <f t="shared" si="169"/>
        <v>9889.1120084200029</v>
      </c>
      <c r="EN110" s="253">
        <f t="shared" si="169"/>
        <v>11997.712620760003</v>
      </c>
      <c r="EO110" s="253">
        <f t="shared" si="169"/>
        <v>9889.1120084200029</v>
      </c>
      <c r="EP110" s="253">
        <f t="shared" si="169"/>
        <v>11997.712620760003</v>
      </c>
      <c r="EQ110" s="253">
        <f t="shared" si="169"/>
        <v>9889.1120084200029</v>
      </c>
      <c r="ER110" s="181">
        <f t="shared" si="82"/>
        <v>0.23955028343524132</v>
      </c>
      <c r="ET110" s="253">
        <f t="shared" ref="ET110:EY110" si="170" xml:space="preserve"> MAX(  ET109 * 0.9,  MAX( 0, TREND( ET$96:ET$100, $A$96:$A$100, $A110 ) )  )</f>
        <v>11563.817505960003</v>
      </c>
      <c r="EU110" s="253">
        <f t="shared" si="170"/>
        <v>8873.6787302399953</v>
      </c>
      <c r="EV110" s="253">
        <f t="shared" si="170"/>
        <v>11563.817505960003</v>
      </c>
      <c r="EW110" s="253">
        <f t="shared" si="170"/>
        <v>8873.6787302399953</v>
      </c>
      <c r="EX110" s="253">
        <f t="shared" si="170"/>
        <v>11563.817505960003</v>
      </c>
      <c r="EY110" s="253">
        <f t="shared" si="170"/>
        <v>8873.6787302399953</v>
      </c>
      <c r="EZ110" s="181">
        <f t="shared" si="84"/>
        <v>0.24861415021641745</v>
      </c>
      <c r="FB110" s="253">
        <f t="shared" ref="FB110:FG110" si="171" xml:space="preserve"> MAX(  FB109 * 0.9,  MAX( 0, TREND( FB$96:FB$100, $A$96:$A$100, $A110 ) )  )</f>
        <v>80.052357532460846</v>
      </c>
      <c r="FC110" s="253">
        <f t="shared" si="171"/>
        <v>56.873968547695199</v>
      </c>
      <c r="FD110" s="253">
        <f t="shared" si="171"/>
        <v>80.052357532460846</v>
      </c>
      <c r="FE110" s="253">
        <f t="shared" si="171"/>
        <v>56.873968547695199</v>
      </c>
      <c r="FF110" s="253">
        <f t="shared" si="171"/>
        <v>80.052357532460846</v>
      </c>
      <c r="FG110" s="253">
        <f t="shared" si="171"/>
        <v>56.873968547695199</v>
      </c>
      <c r="FH110" s="181">
        <f t="shared" si="86"/>
        <v>0.24131645732181609</v>
      </c>
      <c r="FJ110" s="253">
        <f t="shared" ref="FJ110:FO110" si="172" xml:space="preserve"> MAX(  FJ109 * 0.9,  MAX( 0, TREND( FJ$96:FJ$100, $A$96:$A$100, $A110 ) )  )</f>
        <v>2313.2209387499997</v>
      </c>
      <c r="FK110" s="253">
        <f t="shared" si="172"/>
        <v>1467.2247795000005</v>
      </c>
      <c r="FL110" s="253">
        <f t="shared" si="172"/>
        <v>2313.2209387499997</v>
      </c>
      <c r="FM110" s="253">
        <f t="shared" si="172"/>
        <v>1467.2247795000005</v>
      </c>
      <c r="FN110" s="253">
        <f t="shared" si="172"/>
        <v>2313.2209387499997</v>
      </c>
      <c r="FO110" s="253">
        <f t="shared" si="172"/>
        <v>1467.2247795000005</v>
      </c>
      <c r="FP110" s="181">
        <f t="shared" si="88"/>
        <v>0.24583836257643332</v>
      </c>
      <c r="FS110" s="253">
        <f t="shared" ref="FS110:FX110" si="173" xml:space="preserve"> MAX(  FS109 * 0.9,  MAX( 0, TREND( FS$96:FS$100, $A$96:$A$100, $A110 ) )  )</f>
        <v>7295.114114</v>
      </c>
      <c r="FT110" s="253">
        <f t="shared" si="173"/>
        <v>5870.9782152000007</v>
      </c>
      <c r="FU110" s="253">
        <f t="shared" si="173"/>
        <v>7295.114114</v>
      </c>
      <c r="FV110" s="253">
        <f t="shared" si="173"/>
        <v>5870.9782152000007</v>
      </c>
      <c r="FW110" s="253">
        <f t="shared" si="173"/>
        <v>7295.114114</v>
      </c>
      <c r="FX110" s="253">
        <f t="shared" si="173"/>
        <v>5870.9782152000007</v>
      </c>
      <c r="FY110" s="181">
        <f t="shared" si="90"/>
        <v>0.26127946755077081</v>
      </c>
      <c r="GA110" s="253">
        <f t="shared" ref="GA110:GF110" si="174" xml:space="preserve"> MAX(  GA109 * 0.9,  MAX( 0, TREND( GA$96:GA$100, $A$96:$A$100, $A110 ) )  )</f>
        <v>6954.9332111999975</v>
      </c>
      <c r="GB110" s="253">
        <f t="shared" si="174"/>
        <v>6231.6689950000045</v>
      </c>
      <c r="GC110" s="253">
        <f t="shared" si="174"/>
        <v>6954.9332111999975</v>
      </c>
      <c r="GD110" s="253">
        <f t="shared" si="174"/>
        <v>6231.6689950000045</v>
      </c>
      <c r="GE110" s="253">
        <f t="shared" si="174"/>
        <v>6954.9332111999975</v>
      </c>
      <c r="GF110" s="253">
        <f t="shared" si="174"/>
        <v>6231.6689950000045</v>
      </c>
      <c r="GG110" s="181">
        <f t="shared" si="92"/>
        <v>0.15</v>
      </c>
      <c r="GI110" s="253">
        <f t="shared" ref="GI110:GN110" si="175" xml:space="preserve"> MAX(  GI109 * 0.9,  MAX( 0, TREND( GI$96:GI$100, $A$96:$A$100, $A110 ) )  )</f>
        <v>7743.5673139999972</v>
      </c>
      <c r="GJ110" s="253">
        <f t="shared" si="175"/>
        <v>6339.8801969999968</v>
      </c>
      <c r="GK110" s="253">
        <f t="shared" si="175"/>
        <v>7743.5673139999972</v>
      </c>
      <c r="GL110" s="253">
        <f t="shared" si="175"/>
        <v>6339.8801969999968</v>
      </c>
      <c r="GM110" s="253">
        <f t="shared" si="175"/>
        <v>7743.5673139999972</v>
      </c>
      <c r="GN110" s="253">
        <f t="shared" si="175"/>
        <v>6339.8801969999968</v>
      </c>
      <c r="GO110" s="181">
        <f t="shared" si="94"/>
        <v>0.85</v>
      </c>
    </row>
    <row r="111" spans="1:197" x14ac:dyDescent="0.2">
      <c r="A111" s="3">
        <f>Basis!A111</f>
        <v>111</v>
      </c>
      <c r="D111" s="252" t="e">
        <v>#N/A</v>
      </c>
      <c r="E111" s="252" t="e">
        <v>#N/A</v>
      </c>
      <c r="H111" s="253">
        <f t="shared" si="95"/>
        <v>14623.31689748693</v>
      </c>
      <c r="I111" s="253">
        <f t="shared" si="8"/>
        <v>11150.819130247666</v>
      </c>
      <c r="J111" s="253">
        <f t="shared" si="9"/>
        <v>14623.31689748693</v>
      </c>
      <c r="K111" s="253">
        <f t="shared" si="10"/>
        <v>11150.819130247666</v>
      </c>
      <c r="L111" s="253">
        <f t="shared" si="11"/>
        <v>14623.31689748693</v>
      </c>
      <c r="M111" s="253">
        <f t="shared" si="12"/>
        <v>11150.819130247666</v>
      </c>
      <c r="N111" s="181">
        <f t="shared" si="13"/>
        <v>0.15</v>
      </c>
      <c r="P111" s="253">
        <f t="shared" si="96"/>
        <v>12560.33160141995</v>
      </c>
      <c r="Q111" s="253">
        <f t="shared" si="14"/>
        <v>10011.436485818445</v>
      </c>
      <c r="R111" s="253">
        <f t="shared" si="15"/>
        <v>12560.33160141995</v>
      </c>
      <c r="S111" s="253">
        <f t="shared" si="16"/>
        <v>10011.436485818445</v>
      </c>
      <c r="T111" s="253">
        <f t="shared" si="17"/>
        <v>12560.33160141995</v>
      </c>
      <c r="U111" s="253">
        <f t="shared" si="18"/>
        <v>10011.436485818445</v>
      </c>
      <c r="V111" s="181">
        <f t="shared" si="19"/>
        <v>0.24258687540636581</v>
      </c>
      <c r="X111" s="253">
        <f t="shared" si="97"/>
        <v>9702.0160619625713</v>
      </c>
      <c r="Y111" s="253">
        <f t="shared" si="20"/>
        <v>7576.6926310191884</v>
      </c>
      <c r="Z111" s="253">
        <f t="shared" si="21"/>
        <v>9702.0160619625713</v>
      </c>
      <c r="AA111" s="253">
        <f t="shared" si="22"/>
        <v>7576.6926310191884</v>
      </c>
      <c r="AB111" s="253">
        <f t="shared" si="23"/>
        <v>9702.0160619625713</v>
      </c>
      <c r="AC111" s="253">
        <f t="shared" si="24"/>
        <v>7576.6926310191884</v>
      </c>
      <c r="AD111" s="181">
        <f t="shared" si="25"/>
        <v>0.16394634243045003</v>
      </c>
      <c r="AF111" s="253">
        <f t="shared" si="98"/>
        <v>1827.8785771300209</v>
      </c>
      <c r="AG111" s="253">
        <f t="shared" si="26"/>
        <v>1079.3692456837039</v>
      </c>
      <c r="AH111" s="253">
        <f t="shared" si="27"/>
        <v>1827.8785771300209</v>
      </c>
      <c r="AI111" s="253">
        <f t="shared" si="28"/>
        <v>1079.3692456837039</v>
      </c>
      <c r="AJ111" s="253">
        <f t="shared" si="29"/>
        <v>1827.8785771300209</v>
      </c>
      <c r="AK111" s="253">
        <f t="shared" si="30"/>
        <v>1079.3692456837039</v>
      </c>
      <c r="AL111" s="181">
        <f t="shared" si="31"/>
        <v>0.15</v>
      </c>
      <c r="AN111" s="253">
        <f t="shared" si="99"/>
        <v>49.463345584171066</v>
      </c>
      <c r="AO111" s="253">
        <f t="shared" si="32"/>
        <v>29.090257225259851</v>
      </c>
      <c r="AP111" s="253">
        <f t="shared" si="32"/>
        <v>49.463345584171066</v>
      </c>
      <c r="AQ111" s="253">
        <f t="shared" si="32"/>
        <v>29.090257225259851</v>
      </c>
      <c r="AR111" s="253">
        <f t="shared" si="32"/>
        <v>49.463345584171066</v>
      </c>
      <c r="AS111" s="253">
        <f t="shared" si="32"/>
        <v>29.090257225259851</v>
      </c>
      <c r="AT111" s="181">
        <f t="shared" si="33"/>
        <v>0.74787505741677851</v>
      </c>
      <c r="AX111" s="253">
        <f t="shared" si="100"/>
        <v>15751.260420119996</v>
      </c>
      <c r="AY111" s="253">
        <f t="shared" si="34"/>
        <v>11455.888468360001</v>
      </c>
      <c r="AZ111" s="253">
        <f t="shared" si="35"/>
        <v>15751.260420119996</v>
      </c>
      <c r="BA111" s="253">
        <f t="shared" si="36"/>
        <v>11455.888468360001</v>
      </c>
      <c r="BB111" s="253">
        <f t="shared" si="37"/>
        <v>15751.260420119996</v>
      </c>
      <c r="BC111" s="253">
        <f t="shared" si="38"/>
        <v>11455.888468360001</v>
      </c>
      <c r="BD111" s="181">
        <f t="shared" si="39"/>
        <v>0.15</v>
      </c>
      <c r="BF111" s="253">
        <f t="shared" si="101"/>
        <v>11877.297969129997</v>
      </c>
      <c r="BG111" s="253">
        <f t="shared" si="40"/>
        <v>9640.7060634399986</v>
      </c>
      <c r="BH111" s="253">
        <f t="shared" si="41"/>
        <v>11877.297969129997</v>
      </c>
      <c r="BI111" s="253">
        <f t="shared" si="42"/>
        <v>9640.7060634399986</v>
      </c>
      <c r="BJ111" s="253">
        <f t="shared" si="43"/>
        <v>11877.297969129997</v>
      </c>
      <c r="BK111" s="253">
        <f t="shared" si="44"/>
        <v>9640.7060634399986</v>
      </c>
      <c r="BL111" s="181">
        <f t="shared" si="45"/>
        <v>0.15985643713289788</v>
      </c>
      <c r="BN111" s="253">
        <f t="shared" si="102"/>
        <v>10312.581676900003</v>
      </c>
      <c r="BO111" s="253">
        <f t="shared" si="46"/>
        <v>7808.8390374999963</v>
      </c>
      <c r="BP111" s="253">
        <f t="shared" si="47"/>
        <v>10312.581676900003</v>
      </c>
      <c r="BQ111" s="253">
        <f t="shared" si="48"/>
        <v>7808.8390374999963</v>
      </c>
      <c r="BR111" s="253">
        <f t="shared" si="49"/>
        <v>10312.581676900003</v>
      </c>
      <c r="BS111" s="253">
        <f t="shared" si="50"/>
        <v>7808.8390374999963</v>
      </c>
      <c r="BT111" s="181">
        <f t="shared" si="51"/>
        <v>0.15</v>
      </c>
      <c r="BV111" s="253">
        <f t="shared" si="103"/>
        <v>64.461927220188031</v>
      </c>
      <c r="BW111" s="253">
        <f t="shared" si="52"/>
        <v>22.783312922782617</v>
      </c>
      <c r="BX111" s="253">
        <f t="shared" si="53"/>
        <v>64.461927220188031</v>
      </c>
      <c r="BY111" s="253">
        <f t="shared" si="54"/>
        <v>22.783312922782617</v>
      </c>
      <c r="BZ111" s="253">
        <f t="shared" si="55"/>
        <v>64.461927220188031</v>
      </c>
      <c r="CA111" s="253">
        <f t="shared" si="56"/>
        <v>22.783312922782617</v>
      </c>
      <c r="CB111" s="181">
        <f t="shared" si="57"/>
        <v>0.15342470148277787</v>
      </c>
      <c r="CD111" s="253">
        <f t="shared" si="58"/>
        <v>2313.9421177499999</v>
      </c>
      <c r="CE111" s="253">
        <f t="shared" si="59"/>
        <v>1338.3908595000003</v>
      </c>
      <c r="CF111" s="253">
        <f t="shared" si="60"/>
        <v>2313.9421177499999</v>
      </c>
      <c r="CG111" s="253">
        <f t="shared" si="61"/>
        <v>1338.3908595000003</v>
      </c>
      <c r="CH111" s="253">
        <f t="shared" si="62"/>
        <v>2313.9421177499999</v>
      </c>
      <c r="CI111" s="253">
        <f t="shared" si="63"/>
        <v>1338.3908595000003</v>
      </c>
      <c r="CJ111" s="181">
        <f t="shared" si="64"/>
        <v>0.17389602372815008</v>
      </c>
      <c r="CN111" s="253">
        <f t="shared" si="65"/>
        <v>15995.159062880004</v>
      </c>
      <c r="CO111" s="253">
        <f t="shared" si="66"/>
        <v>11629.013092720004</v>
      </c>
      <c r="CP111" s="253">
        <f t="shared" si="66"/>
        <v>15995.159062880004</v>
      </c>
      <c r="CQ111" s="253">
        <f t="shared" si="66"/>
        <v>11629.013092720004</v>
      </c>
      <c r="CR111" s="253">
        <f t="shared" si="66"/>
        <v>15995.159062880004</v>
      </c>
      <c r="CS111" s="253">
        <f t="shared" si="66"/>
        <v>11629.013092720004</v>
      </c>
      <c r="CT111" s="181">
        <f t="shared" si="67"/>
        <v>0.19041039904059556</v>
      </c>
      <c r="CV111" s="253">
        <f t="shared" si="68"/>
        <v>10978.309922370012</v>
      </c>
      <c r="CW111" s="253">
        <f t="shared" si="69"/>
        <v>8671.1396945800043</v>
      </c>
      <c r="CX111" s="253">
        <f t="shared" si="69"/>
        <v>10978.309922370012</v>
      </c>
      <c r="CY111" s="253">
        <f t="shared" si="69"/>
        <v>8671.1396945800043</v>
      </c>
      <c r="CZ111" s="253">
        <f t="shared" si="69"/>
        <v>10978.309922370012</v>
      </c>
      <c r="DA111" s="253">
        <f t="shared" si="69"/>
        <v>8671.1396945800043</v>
      </c>
      <c r="DB111" s="181">
        <f t="shared" si="70"/>
        <v>0.19408014757495892</v>
      </c>
      <c r="DC111" s="1"/>
      <c r="DD111" s="253">
        <f t="shared" si="71"/>
        <v>10056.440443199997</v>
      </c>
      <c r="DE111" s="253">
        <f t="shared" si="72"/>
        <v>7516.2275151399999</v>
      </c>
      <c r="DF111" s="253">
        <f t="shared" si="72"/>
        <v>10056.440443199997</v>
      </c>
      <c r="DG111" s="253">
        <f t="shared" si="72"/>
        <v>7516.2275151399999</v>
      </c>
      <c r="DH111" s="253">
        <f t="shared" si="72"/>
        <v>10056.440443199997</v>
      </c>
      <c r="DI111" s="253">
        <f t="shared" si="72"/>
        <v>7516.2275151399999</v>
      </c>
      <c r="DJ111" s="181">
        <f t="shared" si="73"/>
        <v>0.23101971710284955</v>
      </c>
      <c r="DK111" s="1"/>
      <c r="DL111" s="253">
        <f t="shared" si="74"/>
        <v>67.413401295658716</v>
      </c>
      <c r="DM111" s="253">
        <f t="shared" si="75"/>
        <v>27.002222116751682</v>
      </c>
      <c r="DN111" s="253">
        <f t="shared" si="75"/>
        <v>67.413401295658716</v>
      </c>
      <c r="DO111" s="253">
        <f t="shared" si="75"/>
        <v>27.002222116751682</v>
      </c>
      <c r="DP111" s="253">
        <f t="shared" si="75"/>
        <v>67.413401295658716</v>
      </c>
      <c r="DQ111" s="253">
        <f t="shared" si="75"/>
        <v>27.002222116751682</v>
      </c>
      <c r="DR111" s="181">
        <f t="shared" si="76"/>
        <v>0.20219429630985816</v>
      </c>
      <c r="DS111" s="1"/>
      <c r="DT111" s="253">
        <f t="shared" si="77"/>
        <v>3043.464157800001</v>
      </c>
      <c r="DU111" s="253">
        <f t="shared" si="77"/>
        <v>2045.6212620000006</v>
      </c>
      <c r="DV111" s="253">
        <f t="shared" si="77"/>
        <v>3043.464157800001</v>
      </c>
      <c r="DW111" s="253">
        <f t="shared" si="77"/>
        <v>2045.6212620000006</v>
      </c>
      <c r="DX111" s="253">
        <f t="shared" si="77"/>
        <v>3043.464157800001</v>
      </c>
      <c r="DY111" s="253">
        <f t="shared" si="77"/>
        <v>2045.6212620000006</v>
      </c>
      <c r="DZ111" s="181">
        <f t="shared" si="78"/>
        <v>0.24125193760100261</v>
      </c>
      <c r="ED111" s="253">
        <f t="shared" ref="ED111:EI111" si="176" xml:space="preserve"> MAX(  ED110 * 0.9,  MAX( 0, TREND( ED$96:ED$100, $A$96:$A$100, $A111 ) )  )</f>
        <v>14129.214597480008</v>
      </c>
      <c r="EE111" s="253">
        <f t="shared" si="176"/>
        <v>10398.474674080006</v>
      </c>
      <c r="EF111" s="253">
        <f t="shared" si="176"/>
        <v>14129.214597480008</v>
      </c>
      <c r="EG111" s="253">
        <f t="shared" si="176"/>
        <v>10398.474674080006</v>
      </c>
      <c r="EH111" s="253">
        <f t="shared" si="176"/>
        <v>14129.214597480008</v>
      </c>
      <c r="EI111" s="253">
        <f t="shared" si="176"/>
        <v>10398.474674080006</v>
      </c>
      <c r="EJ111" s="181">
        <f t="shared" si="80"/>
        <v>0.24678409210423774</v>
      </c>
      <c r="EL111" s="253">
        <f t="shared" ref="EL111:EQ111" si="177" xml:space="preserve"> MAX(  EL110 * 0.9,  MAX( 0, TREND( EL$96:EL$100, $A$96:$A$100, $A111 ) )  )</f>
        <v>11997.483055420003</v>
      </c>
      <c r="EM111" s="253">
        <f t="shared" si="177"/>
        <v>9902.9214445700036</v>
      </c>
      <c r="EN111" s="253">
        <f t="shared" si="177"/>
        <v>11997.483055420003</v>
      </c>
      <c r="EO111" s="253">
        <f t="shared" si="177"/>
        <v>9902.9214445700036</v>
      </c>
      <c r="EP111" s="253">
        <f t="shared" si="177"/>
        <v>11997.483055420003</v>
      </c>
      <c r="EQ111" s="253">
        <f t="shared" si="177"/>
        <v>9902.9214445700036</v>
      </c>
      <c r="ER111" s="181">
        <f t="shared" si="82"/>
        <v>0.23955028343524132</v>
      </c>
      <c r="ET111" s="253">
        <f t="shared" ref="ET111:EY111" si="178" xml:space="preserve"> MAX(  ET110 * 0.9,  MAX( 0, TREND( ET$96:ET$100, $A$96:$A$100, $A111 ) )  )</f>
        <v>11616.114741060002</v>
      </c>
      <c r="EU111" s="253">
        <f t="shared" si="178"/>
        <v>8894.8291589599958</v>
      </c>
      <c r="EV111" s="253">
        <f t="shared" si="178"/>
        <v>11616.114741060002</v>
      </c>
      <c r="EW111" s="253">
        <f t="shared" si="178"/>
        <v>8894.8291589599958</v>
      </c>
      <c r="EX111" s="253">
        <f t="shared" si="178"/>
        <v>11616.114741060002</v>
      </c>
      <c r="EY111" s="253">
        <f t="shared" si="178"/>
        <v>8894.8291589599958</v>
      </c>
      <c r="EZ111" s="181">
        <f t="shared" si="84"/>
        <v>0.24861415021641745</v>
      </c>
      <c r="FB111" s="253">
        <f t="shared" ref="FB111:FG111" si="179" xml:space="preserve"> MAX(  FB110 * 0.9,  MAX( 0, TREND( FB$96:FB$100, $A$96:$A$100, $A111 ) )  )</f>
        <v>72.047121779214763</v>
      </c>
      <c r="FC111" s="253">
        <f t="shared" si="179"/>
        <v>51.186571692925682</v>
      </c>
      <c r="FD111" s="253">
        <f t="shared" si="179"/>
        <v>72.047121779214763</v>
      </c>
      <c r="FE111" s="253">
        <f t="shared" si="179"/>
        <v>51.186571692925682</v>
      </c>
      <c r="FF111" s="253">
        <f t="shared" si="179"/>
        <v>72.047121779214763</v>
      </c>
      <c r="FG111" s="253">
        <f t="shared" si="179"/>
        <v>51.186571692925682</v>
      </c>
      <c r="FH111" s="181">
        <f t="shared" si="86"/>
        <v>0.24131645732181609</v>
      </c>
      <c r="FJ111" s="253">
        <f t="shared" ref="FJ111:FO111" si="180" xml:space="preserve"> MAX(  FJ110 * 0.9,  MAX( 0, TREND( FJ$96:FJ$100, $A$96:$A$100, $A111 ) )  )</f>
        <v>2342.7024221249999</v>
      </c>
      <c r="FK111" s="253">
        <f t="shared" si="180"/>
        <v>1467.2247795000005</v>
      </c>
      <c r="FL111" s="253">
        <f t="shared" si="180"/>
        <v>2342.7024221249999</v>
      </c>
      <c r="FM111" s="253">
        <f t="shared" si="180"/>
        <v>1467.2247795000005</v>
      </c>
      <c r="FN111" s="253">
        <f t="shared" si="180"/>
        <v>2342.7024221249999</v>
      </c>
      <c r="FO111" s="253">
        <f t="shared" si="180"/>
        <v>1467.2247795000005</v>
      </c>
      <c r="FP111" s="181">
        <f t="shared" si="88"/>
        <v>0.24583836257643332</v>
      </c>
      <c r="FS111" s="253">
        <f t="shared" ref="FS111:FX111" si="181" xml:space="preserve"> MAX(  FS110 * 0.9,  MAX( 0, TREND( FS$96:FS$100, $A$96:$A$100, $A111 ) )  )</f>
        <v>7360.3815234999993</v>
      </c>
      <c r="FT111" s="253">
        <f t="shared" si="181"/>
        <v>5906.5101056000003</v>
      </c>
      <c r="FU111" s="253">
        <f t="shared" si="181"/>
        <v>7360.3815234999993</v>
      </c>
      <c r="FV111" s="253">
        <f t="shared" si="181"/>
        <v>5906.5101056000003</v>
      </c>
      <c r="FW111" s="253">
        <f t="shared" si="181"/>
        <v>7360.3815234999993</v>
      </c>
      <c r="FX111" s="253">
        <f t="shared" si="181"/>
        <v>5906.5101056000003</v>
      </c>
      <c r="FY111" s="181">
        <f t="shared" si="90"/>
        <v>0.26127946755077081</v>
      </c>
      <c r="GA111" s="253">
        <f t="shared" ref="GA111:GF111" si="182" xml:space="preserve"> MAX(  GA110 * 0.9,  MAX( 0, TREND( GA$96:GA$100, $A$96:$A$100, $A111 ) )  )</f>
        <v>7018.1426807999969</v>
      </c>
      <c r="GB111" s="253">
        <f t="shared" si="182"/>
        <v>6285.8184578000046</v>
      </c>
      <c r="GC111" s="253">
        <f t="shared" si="182"/>
        <v>7018.1426807999969</v>
      </c>
      <c r="GD111" s="253">
        <f t="shared" si="182"/>
        <v>6285.8184578000046</v>
      </c>
      <c r="GE111" s="253">
        <f t="shared" si="182"/>
        <v>7018.1426807999969</v>
      </c>
      <c r="GF111" s="253">
        <f t="shared" si="182"/>
        <v>6285.8184578000046</v>
      </c>
      <c r="GG111" s="181">
        <f t="shared" si="92"/>
        <v>0.15</v>
      </c>
      <c r="GI111" s="253">
        <f t="shared" ref="GI111:GN111" si="183" xml:space="preserve"> MAX(  GI110 * 0.9,  MAX( 0, TREND( GI$96:GI$100, $A$96:$A$100, $A111 ) )  )</f>
        <v>7837.3237914999963</v>
      </c>
      <c r="GJ111" s="253">
        <f t="shared" si="183"/>
        <v>6392.3913332999973</v>
      </c>
      <c r="GK111" s="253">
        <f t="shared" si="183"/>
        <v>7837.3237914999963</v>
      </c>
      <c r="GL111" s="253">
        <f t="shared" si="183"/>
        <v>6392.3913332999973</v>
      </c>
      <c r="GM111" s="253">
        <f t="shared" si="183"/>
        <v>7837.3237914999963</v>
      </c>
      <c r="GN111" s="253">
        <f t="shared" si="183"/>
        <v>6392.3913332999973</v>
      </c>
      <c r="GO111" s="181">
        <f t="shared" si="94"/>
        <v>0.85</v>
      </c>
    </row>
    <row r="112" spans="1:197" x14ac:dyDescent="0.2">
      <c r="A112" s="3">
        <f>Basis!A112</f>
        <v>112</v>
      </c>
      <c r="D112" s="252" t="e">
        <v>#N/A</v>
      </c>
      <c r="E112" s="252" t="e">
        <v>#N/A</v>
      </c>
      <c r="H112" s="253">
        <f t="shared" si="95"/>
        <v>14753.371962122117</v>
      </c>
      <c r="I112" s="253">
        <f t="shared" si="8"/>
        <v>11199.169462976599</v>
      </c>
      <c r="J112" s="253">
        <f t="shared" si="9"/>
        <v>14753.371962122117</v>
      </c>
      <c r="K112" s="253">
        <f t="shared" si="10"/>
        <v>11199.169462976599</v>
      </c>
      <c r="L112" s="253">
        <f t="shared" si="11"/>
        <v>14753.371962122117</v>
      </c>
      <c r="M112" s="253">
        <f t="shared" si="12"/>
        <v>11199.169462976599</v>
      </c>
      <c r="N112" s="181">
        <f t="shared" si="13"/>
        <v>0.15</v>
      </c>
      <c r="P112" s="253">
        <f t="shared" si="96"/>
        <v>12648.800070966867</v>
      </c>
      <c r="Q112" s="253">
        <f t="shared" si="14"/>
        <v>10042.051627888099</v>
      </c>
      <c r="R112" s="253">
        <f t="shared" si="15"/>
        <v>12648.800070966867</v>
      </c>
      <c r="S112" s="253">
        <f t="shared" si="16"/>
        <v>10042.051627888099</v>
      </c>
      <c r="T112" s="253">
        <f t="shared" si="17"/>
        <v>12648.800070966867</v>
      </c>
      <c r="U112" s="253">
        <f t="shared" si="18"/>
        <v>10042.051627888099</v>
      </c>
      <c r="V112" s="181">
        <f t="shared" si="19"/>
        <v>0.24258687540636581</v>
      </c>
      <c r="X112" s="253">
        <f t="shared" si="97"/>
        <v>9781.4682087480651</v>
      </c>
      <c r="Y112" s="253">
        <f t="shared" si="20"/>
        <v>7604.5378193067118</v>
      </c>
      <c r="Z112" s="253">
        <f t="shared" si="21"/>
        <v>9781.4682087480651</v>
      </c>
      <c r="AA112" s="253">
        <f t="shared" si="22"/>
        <v>7604.5378193067118</v>
      </c>
      <c r="AB112" s="253">
        <f t="shared" si="23"/>
        <v>9781.4682087480651</v>
      </c>
      <c r="AC112" s="253">
        <f t="shared" si="24"/>
        <v>7604.5378193067118</v>
      </c>
      <c r="AD112" s="181">
        <f t="shared" si="25"/>
        <v>0.16394634243045003</v>
      </c>
      <c r="AF112" s="253">
        <f t="shared" si="98"/>
        <v>1831.2216091300211</v>
      </c>
      <c r="AG112" s="253">
        <f t="shared" si="26"/>
        <v>1079.3692456837039</v>
      </c>
      <c r="AH112" s="253">
        <f t="shared" si="27"/>
        <v>1831.2216091300211</v>
      </c>
      <c r="AI112" s="253">
        <f t="shared" si="28"/>
        <v>1079.3692456837039</v>
      </c>
      <c r="AJ112" s="253">
        <f t="shared" si="29"/>
        <v>1831.2216091300211</v>
      </c>
      <c r="AK112" s="253">
        <f t="shared" si="30"/>
        <v>1079.3692456837039</v>
      </c>
      <c r="AL112" s="181">
        <f t="shared" si="31"/>
        <v>0.15</v>
      </c>
      <c r="AN112" s="253">
        <f t="shared" si="99"/>
        <v>44.517011025753959</v>
      </c>
      <c r="AO112" s="253">
        <f t="shared" si="32"/>
        <v>26.181231502733866</v>
      </c>
      <c r="AP112" s="253">
        <f t="shared" si="32"/>
        <v>44.517011025753959</v>
      </c>
      <c r="AQ112" s="253">
        <f t="shared" si="32"/>
        <v>26.181231502733866</v>
      </c>
      <c r="AR112" s="253">
        <f t="shared" si="32"/>
        <v>44.517011025753959</v>
      </c>
      <c r="AS112" s="253">
        <f t="shared" si="32"/>
        <v>26.181231502733866</v>
      </c>
      <c r="AT112" s="181">
        <f t="shared" si="33"/>
        <v>0.78222960268950947</v>
      </c>
      <c r="AX112" s="253">
        <f t="shared" si="100"/>
        <v>15872.198041399995</v>
      </c>
      <c r="AY112" s="253">
        <f t="shared" si="34"/>
        <v>11482.483482719999</v>
      </c>
      <c r="AZ112" s="253">
        <f t="shared" si="35"/>
        <v>15872.198041399995</v>
      </c>
      <c r="BA112" s="253">
        <f t="shared" si="36"/>
        <v>11482.483482719999</v>
      </c>
      <c r="BB112" s="253">
        <f t="shared" si="37"/>
        <v>15872.198041399995</v>
      </c>
      <c r="BC112" s="253">
        <f t="shared" si="38"/>
        <v>11482.483482719999</v>
      </c>
      <c r="BD112" s="181">
        <f t="shared" si="39"/>
        <v>0.15</v>
      </c>
      <c r="BF112" s="253">
        <f t="shared" si="101"/>
        <v>11892.218480799997</v>
      </c>
      <c r="BG112" s="253">
        <f t="shared" si="40"/>
        <v>9644.2277894799972</v>
      </c>
      <c r="BH112" s="253">
        <f t="shared" si="41"/>
        <v>11892.218480799997</v>
      </c>
      <c r="BI112" s="253">
        <f t="shared" si="42"/>
        <v>9644.2277894799972</v>
      </c>
      <c r="BJ112" s="253">
        <f t="shared" si="43"/>
        <v>11892.218480799997</v>
      </c>
      <c r="BK112" s="253">
        <f t="shared" si="44"/>
        <v>9644.2277894799972</v>
      </c>
      <c r="BL112" s="181">
        <f t="shared" si="45"/>
        <v>0.15985643713289788</v>
      </c>
      <c r="BN112" s="253">
        <f t="shared" si="102"/>
        <v>10365.738491000004</v>
      </c>
      <c r="BO112" s="253">
        <f t="shared" si="46"/>
        <v>7804.4375735199956</v>
      </c>
      <c r="BP112" s="253">
        <f t="shared" si="47"/>
        <v>10365.738491000004</v>
      </c>
      <c r="BQ112" s="253">
        <f t="shared" si="48"/>
        <v>7804.4375735199956</v>
      </c>
      <c r="BR112" s="253">
        <f t="shared" si="49"/>
        <v>10365.738491000004</v>
      </c>
      <c r="BS112" s="253">
        <f t="shared" si="50"/>
        <v>7804.4375735199956</v>
      </c>
      <c r="BT112" s="181">
        <f t="shared" si="51"/>
        <v>0.15</v>
      </c>
      <c r="BV112" s="253">
        <f t="shared" si="103"/>
        <v>58.01573449816923</v>
      </c>
      <c r="BW112" s="253">
        <f t="shared" si="52"/>
        <v>20.504981630504357</v>
      </c>
      <c r="BX112" s="253">
        <f t="shared" si="53"/>
        <v>58.01573449816923</v>
      </c>
      <c r="BY112" s="253">
        <f t="shared" si="54"/>
        <v>20.504981630504357</v>
      </c>
      <c r="BZ112" s="253">
        <f t="shared" si="55"/>
        <v>58.01573449816923</v>
      </c>
      <c r="CA112" s="253">
        <f t="shared" si="56"/>
        <v>20.504981630504357</v>
      </c>
      <c r="CB112" s="181">
        <f t="shared" si="57"/>
        <v>0.15342470148277787</v>
      </c>
      <c r="CD112" s="253">
        <f t="shared" si="58"/>
        <v>2337.7345105499999</v>
      </c>
      <c r="CE112" s="253">
        <f t="shared" si="59"/>
        <v>1338.3908595000003</v>
      </c>
      <c r="CF112" s="253">
        <f t="shared" si="60"/>
        <v>2337.7345105499999</v>
      </c>
      <c r="CG112" s="253">
        <f t="shared" si="61"/>
        <v>1338.3908595000003</v>
      </c>
      <c r="CH112" s="253">
        <f t="shared" si="62"/>
        <v>2337.7345105499999</v>
      </c>
      <c r="CI112" s="253">
        <f t="shared" si="63"/>
        <v>1338.3908595000003</v>
      </c>
      <c r="CJ112" s="181">
        <f t="shared" si="64"/>
        <v>0.17389602372815008</v>
      </c>
      <c r="CN112" s="253">
        <f t="shared" si="65"/>
        <v>16123.372881040004</v>
      </c>
      <c r="CO112" s="253">
        <f t="shared" si="66"/>
        <v>11657.723029280003</v>
      </c>
      <c r="CP112" s="253">
        <f t="shared" si="66"/>
        <v>16123.372881040004</v>
      </c>
      <c r="CQ112" s="253">
        <f t="shared" si="66"/>
        <v>11657.723029280003</v>
      </c>
      <c r="CR112" s="253">
        <f t="shared" si="66"/>
        <v>16123.372881040004</v>
      </c>
      <c r="CS112" s="253">
        <f t="shared" si="66"/>
        <v>11657.723029280003</v>
      </c>
      <c r="CT112" s="181">
        <f t="shared" si="67"/>
        <v>0.19041039904059556</v>
      </c>
      <c r="CV112" s="253">
        <f t="shared" si="68"/>
        <v>10988.889928060013</v>
      </c>
      <c r="CW112" s="253">
        <f t="shared" si="69"/>
        <v>8681.2041267200057</v>
      </c>
      <c r="CX112" s="253">
        <f t="shared" si="69"/>
        <v>10988.889928060013</v>
      </c>
      <c r="CY112" s="253">
        <f t="shared" si="69"/>
        <v>8681.2041267200057</v>
      </c>
      <c r="CZ112" s="253">
        <f t="shared" si="69"/>
        <v>10988.889928060013</v>
      </c>
      <c r="DA112" s="253">
        <f t="shared" si="69"/>
        <v>8681.2041267200057</v>
      </c>
      <c r="DB112" s="181">
        <f t="shared" si="70"/>
        <v>0.19408014757495892</v>
      </c>
      <c r="DC112" s="1"/>
      <c r="DD112" s="253">
        <f t="shared" si="71"/>
        <v>10124.095856319997</v>
      </c>
      <c r="DE112" s="253">
        <f t="shared" si="72"/>
        <v>7530.3637064399991</v>
      </c>
      <c r="DF112" s="253">
        <f t="shared" si="72"/>
        <v>10124.095856319997</v>
      </c>
      <c r="DG112" s="253">
        <f t="shared" si="72"/>
        <v>7530.3637064399991</v>
      </c>
      <c r="DH112" s="253">
        <f t="shared" si="72"/>
        <v>10124.095856319997</v>
      </c>
      <c r="DI112" s="253">
        <f t="shared" si="72"/>
        <v>7530.3637064399991</v>
      </c>
      <c r="DJ112" s="181">
        <f t="shared" si="73"/>
        <v>0.23101971710284955</v>
      </c>
      <c r="DK112" s="1"/>
      <c r="DL112" s="253">
        <f t="shared" si="74"/>
        <v>60.672061166092845</v>
      </c>
      <c r="DM112" s="253">
        <f t="shared" si="75"/>
        <v>24.301999905076514</v>
      </c>
      <c r="DN112" s="253">
        <f t="shared" si="75"/>
        <v>60.672061166092845</v>
      </c>
      <c r="DO112" s="253">
        <f t="shared" si="75"/>
        <v>24.301999905076514</v>
      </c>
      <c r="DP112" s="253">
        <f t="shared" si="75"/>
        <v>60.672061166092845</v>
      </c>
      <c r="DQ112" s="253">
        <f t="shared" si="75"/>
        <v>24.301999905076514</v>
      </c>
      <c r="DR112" s="181">
        <f t="shared" si="76"/>
        <v>0.20219429630985816</v>
      </c>
      <c r="DS112" s="1"/>
      <c r="DT112" s="253">
        <f t="shared" si="77"/>
        <v>3064.7357250000014</v>
      </c>
      <c r="DU112" s="253">
        <f t="shared" si="77"/>
        <v>2045.6212620000006</v>
      </c>
      <c r="DV112" s="253">
        <f t="shared" si="77"/>
        <v>3064.7357250000014</v>
      </c>
      <c r="DW112" s="253">
        <f t="shared" si="77"/>
        <v>2045.6212620000006</v>
      </c>
      <c r="DX112" s="253">
        <f t="shared" si="77"/>
        <v>3064.7357250000014</v>
      </c>
      <c r="DY112" s="253">
        <f t="shared" si="77"/>
        <v>2045.6212620000006</v>
      </c>
      <c r="DZ112" s="181">
        <f t="shared" si="78"/>
        <v>0.24125193760100261</v>
      </c>
      <c r="ED112" s="253">
        <f t="shared" ref="ED112:EI112" si="184" xml:space="preserve"> MAX(  ED111 * 0.9,  MAX( 0, TREND( ED$96:ED$100, $A$96:$A$100, $A112 ) )  )</f>
        <v>14207.904504920009</v>
      </c>
      <c r="EE112" s="253">
        <f t="shared" si="184"/>
        <v>10411.190778880007</v>
      </c>
      <c r="EF112" s="253">
        <f t="shared" si="184"/>
        <v>14207.904504920009</v>
      </c>
      <c r="EG112" s="253">
        <f t="shared" si="184"/>
        <v>10411.190778880007</v>
      </c>
      <c r="EH112" s="253">
        <f t="shared" si="184"/>
        <v>14207.904504920009</v>
      </c>
      <c r="EI112" s="253">
        <f t="shared" si="184"/>
        <v>10411.190778880007</v>
      </c>
      <c r="EJ112" s="181">
        <f t="shared" si="80"/>
        <v>0.24678409210423774</v>
      </c>
      <c r="EL112" s="253">
        <f t="shared" ref="EL112:EQ112" si="185" xml:space="preserve"> MAX(  EL111 * 0.9,  MAX( 0, TREND( EL$96:EL$100, $A$96:$A$100, $A112 ) )  )</f>
        <v>11997.253490080004</v>
      </c>
      <c r="EM112" s="253">
        <f t="shared" si="185"/>
        <v>9916.7308807200025</v>
      </c>
      <c r="EN112" s="253">
        <f t="shared" si="185"/>
        <v>11997.253490080004</v>
      </c>
      <c r="EO112" s="253">
        <f t="shared" si="185"/>
        <v>9916.7308807200025</v>
      </c>
      <c r="EP112" s="253">
        <f t="shared" si="185"/>
        <v>11997.253490080004</v>
      </c>
      <c r="EQ112" s="253">
        <f t="shared" si="185"/>
        <v>9916.7308807200025</v>
      </c>
      <c r="ER112" s="181">
        <f t="shared" si="82"/>
        <v>0.23955028343524132</v>
      </c>
      <c r="ET112" s="253">
        <f t="shared" ref="ET112:EY112" si="186" xml:space="preserve"> MAX(  ET111 * 0.9,  MAX( 0, TREND( ET$96:ET$100, $A$96:$A$100, $A112 ) )  )</f>
        <v>11668.411976160003</v>
      </c>
      <c r="EU112" s="253">
        <f t="shared" si="186"/>
        <v>8915.9795876799944</v>
      </c>
      <c r="EV112" s="253">
        <f t="shared" si="186"/>
        <v>11668.411976160003</v>
      </c>
      <c r="EW112" s="253">
        <f t="shared" si="186"/>
        <v>8915.9795876799944</v>
      </c>
      <c r="EX112" s="253">
        <f t="shared" si="186"/>
        <v>11668.411976160003</v>
      </c>
      <c r="EY112" s="253">
        <f t="shared" si="186"/>
        <v>8915.9795876799944</v>
      </c>
      <c r="EZ112" s="181">
        <f t="shared" si="84"/>
        <v>0.24861415021641745</v>
      </c>
      <c r="FB112" s="253">
        <f t="shared" ref="FB112:FG112" si="187" xml:space="preserve"> MAX(  FB111 * 0.9,  MAX( 0, TREND( FB$96:FB$100, $A$96:$A$100, $A112 ) )  )</f>
        <v>64.842409601293284</v>
      </c>
      <c r="FC112" s="253">
        <f t="shared" si="187"/>
        <v>46.067914523633114</v>
      </c>
      <c r="FD112" s="253">
        <f t="shared" si="187"/>
        <v>64.842409601293284</v>
      </c>
      <c r="FE112" s="253">
        <f t="shared" si="187"/>
        <v>46.067914523633114</v>
      </c>
      <c r="FF112" s="253">
        <f t="shared" si="187"/>
        <v>64.842409601293284</v>
      </c>
      <c r="FG112" s="253">
        <f t="shared" si="187"/>
        <v>46.067914523633114</v>
      </c>
      <c r="FH112" s="181">
        <f t="shared" si="86"/>
        <v>0.24131645732181609</v>
      </c>
      <c r="FJ112" s="253">
        <f t="shared" ref="FJ112:FO112" si="188" xml:space="preserve"> MAX(  FJ111 * 0.9,  MAX( 0, TREND( FJ$96:FJ$100, $A$96:$A$100, $A112 ) )  )</f>
        <v>2372.1839055</v>
      </c>
      <c r="FK112" s="253">
        <f t="shared" si="188"/>
        <v>1467.2247795000005</v>
      </c>
      <c r="FL112" s="253">
        <f t="shared" si="188"/>
        <v>2372.1839055</v>
      </c>
      <c r="FM112" s="253">
        <f t="shared" si="188"/>
        <v>1467.2247795000005</v>
      </c>
      <c r="FN112" s="253">
        <f t="shared" si="188"/>
        <v>2372.1839055</v>
      </c>
      <c r="FO112" s="253">
        <f t="shared" si="188"/>
        <v>1467.2247795000005</v>
      </c>
      <c r="FP112" s="181">
        <f t="shared" si="88"/>
        <v>0.24583836257643332</v>
      </c>
      <c r="FS112" s="253">
        <f t="shared" ref="FS112:FX112" si="189" xml:space="preserve"> MAX(  FS111 * 0.9,  MAX( 0, TREND( FS$96:FS$100, $A$96:$A$100, $A112 ) )  )</f>
        <v>7425.6489329999995</v>
      </c>
      <c r="FT112" s="253">
        <f t="shared" si="189"/>
        <v>5942.0419960000008</v>
      </c>
      <c r="FU112" s="253">
        <f t="shared" si="189"/>
        <v>7425.6489329999995</v>
      </c>
      <c r="FV112" s="253">
        <f t="shared" si="189"/>
        <v>5942.0419960000008</v>
      </c>
      <c r="FW112" s="253">
        <f t="shared" si="189"/>
        <v>7425.6489329999995</v>
      </c>
      <c r="FX112" s="253">
        <f t="shared" si="189"/>
        <v>5942.0419960000008</v>
      </c>
      <c r="FY112" s="181">
        <f t="shared" si="90"/>
        <v>0.26127946755077081</v>
      </c>
      <c r="GA112" s="253">
        <f t="shared" ref="GA112:GF112" si="190" xml:space="preserve"> MAX(  GA111 * 0.9,  MAX( 0, TREND( GA$96:GA$100, $A$96:$A$100, $A112 ) )  )</f>
        <v>7081.3521503999973</v>
      </c>
      <c r="GB112" s="253">
        <f t="shared" si="190"/>
        <v>6339.9679206000046</v>
      </c>
      <c r="GC112" s="253">
        <f t="shared" si="190"/>
        <v>7081.3521503999973</v>
      </c>
      <c r="GD112" s="253">
        <f t="shared" si="190"/>
        <v>6339.9679206000046</v>
      </c>
      <c r="GE112" s="253">
        <f t="shared" si="190"/>
        <v>7081.3521503999973</v>
      </c>
      <c r="GF112" s="253">
        <f t="shared" si="190"/>
        <v>6339.9679206000046</v>
      </c>
      <c r="GG112" s="181">
        <f t="shared" si="92"/>
        <v>0.15</v>
      </c>
      <c r="GI112" s="253">
        <f t="shared" ref="GI112:GN112" si="191" xml:space="preserve"> MAX(  GI111 * 0.9,  MAX( 0, TREND( GI$96:GI$100, $A$96:$A$100, $A112 ) )  )</f>
        <v>7931.0802689999973</v>
      </c>
      <c r="GJ112" s="253">
        <f t="shared" si="191"/>
        <v>6444.9024695999969</v>
      </c>
      <c r="GK112" s="253">
        <f t="shared" si="191"/>
        <v>7931.0802689999973</v>
      </c>
      <c r="GL112" s="253">
        <f t="shared" si="191"/>
        <v>6444.9024695999969</v>
      </c>
      <c r="GM112" s="253">
        <f t="shared" si="191"/>
        <v>7931.0802689999973</v>
      </c>
      <c r="GN112" s="253">
        <f t="shared" si="191"/>
        <v>6444.9024695999969</v>
      </c>
      <c r="GO112" s="181">
        <f t="shared" si="94"/>
        <v>0.85</v>
      </c>
    </row>
    <row r="113" spans="1:197" x14ac:dyDescent="0.2">
      <c r="A113" s="3">
        <f>Basis!A113</f>
        <v>113</v>
      </c>
      <c r="D113" s="252" t="e">
        <v>#N/A</v>
      </c>
      <c r="E113" s="252" t="e">
        <v>#N/A</v>
      </c>
      <c r="H113" s="253">
        <f t="shared" si="95"/>
        <v>14883.427026757305</v>
      </c>
      <c r="I113" s="253">
        <f t="shared" si="8"/>
        <v>11247.519795705532</v>
      </c>
      <c r="J113" s="253">
        <f t="shared" si="9"/>
        <v>14883.427026757305</v>
      </c>
      <c r="K113" s="253">
        <f t="shared" si="10"/>
        <v>11247.519795705532</v>
      </c>
      <c r="L113" s="253">
        <f t="shared" si="11"/>
        <v>14883.427026757305</v>
      </c>
      <c r="M113" s="253">
        <f t="shared" si="12"/>
        <v>11247.519795705532</v>
      </c>
      <c r="N113" s="181">
        <f t="shared" si="13"/>
        <v>0.15</v>
      </c>
      <c r="P113" s="253">
        <f t="shared" si="96"/>
        <v>12737.268540513784</v>
      </c>
      <c r="Q113" s="253">
        <f t="shared" si="14"/>
        <v>10072.666769957752</v>
      </c>
      <c r="R113" s="253">
        <f t="shared" si="15"/>
        <v>12737.268540513784</v>
      </c>
      <c r="S113" s="253">
        <f t="shared" si="16"/>
        <v>10072.666769957752</v>
      </c>
      <c r="T113" s="253">
        <f t="shared" si="17"/>
        <v>12737.268540513784</v>
      </c>
      <c r="U113" s="253">
        <f t="shared" si="18"/>
        <v>10072.666769957752</v>
      </c>
      <c r="V113" s="181">
        <f t="shared" si="19"/>
        <v>0.24258687540636581</v>
      </c>
      <c r="X113" s="253">
        <f t="shared" si="97"/>
        <v>9860.9203555335589</v>
      </c>
      <c r="Y113" s="253">
        <f t="shared" si="20"/>
        <v>7632.3830075942351</v>
      </c>
      <c r="Z113" s="253">
        <f t="shared" si="21"/>
        <v>9860.9203555335589</v>
      </c>
      <c r="AA113" s="253">
        <f t="shared" si="22"/>
        <v>7632.3830075942351</v>
      </c>
      <c r="AB113" s="253">
        <f t="shared" si="23"/>
        <v>9860.9203555335589</v>
      </c>
      <c r="AC113" s="253">
        <f t="shared" si="24"/>
        <v>7632.3830075942351</v>
      </c>
      <c r="AD113" s="181">
        <f t="shared" si="25"/>
        <v>0.16394634243045003</v>
      </c>
      <c r="AF113" s="253">
        <f t="shared" si="98"/>
        <v>1834.5646411300211</v>
      </c>
      <c r="AG113" s="253">
        <f t="shared" si="26"/>
        <v>1079.3692456837039</v>
      </c>
      <c r="AH113" s="253">
        <f t="shared" si="27"/>
        <v>1834.5646411300211</v>
      </c>
      <c r="AI113" s="253">
        <f t="shared" si="28"/>
        <v>1079.3692456837039</v>
      </c>
      <c r="AJ113" s="253">
        <f t="shared" si="29"/>
        <v>1834.5646411300211</v>
      </c>
      <c r="AK113" s="253">
        <f t="shared" si="30"/>
        <v>1079.3692456837039</v>
      </c>
      <c r="AL113" s="181">
        <f t="shared" si="31"/>
        <v>0.15</v>
      </c>
      <c r="AN113" s="253">
        <f t="shared" si="99"/>
        <v>40.065309923178567</v>
      </c>
      <c r="AO113" s="253">
        <f t="shared" si="32"/>
        <v>23.563108352460478</v>
      </c>
      <c r="AP113" s="253">
        <f t="shared" si="32"/>
        <v>40.065309923178567</v>
      </c>
      <c r="AQ113" s="253">
        <f t="shared" si="32"/>
        <v>23.563108352460478</v>
      </c>
      <c r="AR113" s="253">
        <f t="shared" si="32"/>
        <v>40.065309923178567</v>
      </c>
      <c r="AS113" s="253">
        <f t="shared" si="32"/>
        <v>23.563108352460478</v>
      </c>
      <c r="AT113" s="181">
        <f t="shared" si="33"/>
        <v>0.81658414796224088</v>
      </c>
      <c r="AX113" s="253">
        <f t="shared" si="100"/>
        <v>15993.135662679995</v>
      </c>
      <c r="AY113" s="253">
        <f t="shared" si="34"/>
        <v>11509.07849708</v>
      </c>
      <c r="AZ113" s="253">
        <f t="shared" si="35"/>
        <v>15993.135662679995</v>
      </c>
      <c r="BA113" s="253">
        <f t="shared" si="36"/>
        <v>11509.07849708</v>
      </c>
      <c r="BB113" s="253">
        <f t="shared" si="37"/>
        <v>15993.135662679995</v>
      </c>
      <c r="BC113" s="253">
        <f t="shared" si="38"/>
        <v>11509.07849708</v>
      </c>
      <c r="BD113" s="181">
        <f t="shared" si="39"/>
        <v>0.15</v>
      </c>
      <c r="BF113" s="253">
        <f t="shared" si="101"/>
        <v>11907.138992469996</v>
      </c>
      <c r="BG113" s="253">
        <f t="shared" si="40"/>
        <v>9647.7495155199977</v>
      </c>
      <c r="BH113" s="253">
        <f t="shared" si="41"/>
        <v>11907.138992469996</v>
      </c>
      <c r="BI113" s="253">
        <f t="shared" si="42"/>
        <v>9647.7495155199977</v>
      </c>
      <c r="BJ113" s="253">
        <f t="shared" si="43"/>
        <v>11907.138992469996</v>
      </c>
      <c r="BK113" s="253">
        <f t="shared" si="44"/>
        <v>9647.7495155199977</v>
      </c>
      <c r="BL113" s="181">
        <f t="shared" si="45"/>
        <v>0.15985643713289788</v>
      </c>
      <c r="BN113" s="253">
        <f t="shared" si="102"/>
        <v>10418.895305100003</v>
      </c>
      <c r="BO113" s="253">
        <f t="shared" si="46"/>
        <v>7800.0361095399958</v>
      </c>
      <c r="BP113" s="253">
        <f t="shared" si="47"/>
        <v>10418.895305100003</v>
      </c>
      <c r="BQ113" s="253">
        <f t="shared" si="48"/>
        <v>7800.0361095399958</v>
      </c>
      <c r="BR113" s="253">
        <f t="shared" si="49"/>
        <v>10418.895305100003</v>
      </c>
      <c r="BS113" s="253">
        <f t="shared" si="50"/>
        <v>7800.0361095399958</v>
      </c>
      <c r="BT113" s="181">
        <f t="shared" si="51"/>
        <v>0.15</v>
      </c>
      <c r="BV113" s="253">
        <f t="shared" si="103"/>
        <v>52.21416104835231</v>
      </c>
      <c r="BW113" s="253">
        <f t="shared" si="52"/>
        <v>18.454483467453922</v>
      </c>
      <c r="BX113" s="253">
        <f t="shared" si="53"/>
        <v>52.21416104835231</v>
      </c>
      <c r="BY113" s="253">
        <f t="shared" si="54"/>
        <v>18.454483467453922</v>
      </c>
      <c r="BZ113" s="253">
        <f t="shared" si="55"/>
        <v>52.21416104835231</v>
      </c>
      <c r="CA113" s="253">
        <f t="shared" si="56"/>
        <v>18.454483467453922</v>
      </c>
      <c r="CB113" s="181">
        <f t="shared" si="57"/>
        <v>0.15342470148277787</v>
      </c>
      <c r="CD113" s="253">
        <f t="shared" si="58"/>
        <v>2361.5269033499999</v>
      </c>
      <c r="CE113" s="253">
        <f t="shared" si="59"/>
        <v>1338.3908595000003</v>
      </c>
      <c r="CF113" s="253">
        <f t="shared" si="60"/>
        <v>2361.5269033499999</v>
      </c>
      <c r="CG113" s="253">
        <f t="shared" si="61"/>
        <v>1338.3908595000003</v>
      </c>
      <c r="CH113" s="253">
        <f t="shared" si="62"/>
        <v>2361.5269033499999</v>
      </c>
      <c r="CI113" s="253">
        <f t="shared" si="63"/>
        <v>1338.3908595000003</v>
      </c>
      <c r="CJ113" s="181">
        <f t="shared" si="64"/>
        <v>0.17389602372815008</v>
      </c>
      <c r="CN113" s="253">
        <f t="shared" si="65"/>
        <v>16251.586699200005</v>
      </c>
      <c r="CO113" s="253">
        <f t="shared" si="66"/>
        <v>11686.432965840004</v>
      </c>
      <c r="CP113" s="253">
        <f t="shared" si="66"/>
        <v>16251.586699200005</v>
      </c>
      <c r="CQ113" s="253">
        <f t="shared" si="66"/>
        <v>11686.432965840004</v>
      </c>
      <c r="CR113" s="253">
        <f t="shared" si="66"/>
        <v>16251.586699200005</v>
      </c>
      <c r="CS113" s="253">
        <f t="shared" si="66"/>
        <v>11686.432965840004</v>
      </c>
      <c r="CT113" s="181">
        <f t="shared" si="67"/>
        <v>0.19041039904059556</v>
      </c>
      <c r="CV113" s="253">
        <f t="shared" si="68"/>
        <v>10999.469933750013</v>
      </c>
      <c r="CW113" s="253">
        <f t="shared" si="69"/>
        <v>8691.2685588600052</v>
      </c>
      <c r="CX113" s="253">
        <f t="shared" si="69"/>
        <v>10999.469933750013</v>
      </c>
      <c r="CY113" s="253">
        <f t="shared" si="69"/>
        <v>8691.2685588600052</v>
      </c>
      <c r="CZ113" s="253">
        <f t="shared" si="69"/>
        <v>10999.469933750013</v>
      </c>
      <c r="DA113" s="253">
        <f t="shared" si="69"/>
        <v>8691.2685588600052</v>
      </c>
      <c r="DB113" s="181">
        <f t="shared" si="70"/>
        <v>0.19408014757495892</v>
      </c>
      <c r="DC113" s="1"/>
      <c r="DD113" s="253">
        <f t="shared" si="71"/>
        <v>10191.751269439996</v>
      </c>
      <c r="DE113" s="253">
        <f t="shared" si="72"/>
        <v>7544.4998977399991</v>
      </c>
      <c r="DF113" s="253">
        <f t="shared" si="72"/>
        <v>10191.751269439996</v>
      </c>
      <c r="DG113" s="253">
        <f t="shared" si="72"/>
        <v>7544.4998977399991</v>
      </c>
      <c r="DH113" s="253">
        <f t="shared" si="72"/>
        <v>10191.751269439996</v>
      </c>
      <c r="DI113" s="253">
        <f t="shared" si="72"/>
        <v>7544.4998977399991</v>
      </c>
      <c r="DJ113" s="181">
        <f t="shared" si="73"/>
        <v>0.23101971710284955</v>
      </c>
      <c r="DK113" s="1"/>
      <c r="DL113" s="253">
        <f t="shared" si="74"/>
        <v>54.604855049483561</v>
      </c>
      <c r="DM113" s="253">
        <f t="shared" si="75"/>
        <v>21.871799914568864</v>
      </c>
      <c r="DN113" s="253">
        <f t="shared" si="75"/>
        <v>54.604855049483561</v>
      </c>
      <c r="DO113" s="253">
        <f t="shared" si="75"/>
        <v>21.871799914568864</v>
      </c>
      <c r="DP113" s="253">
        <f t="shared" si="75"/>
        <v>54.604855049483561</v>
      </c>
      <c r="DQ113" s="253">
        <f t="shared" si="75"/>
        <v>21.871799914568864</v>
      </c>
      <c r="DR113" s="181">
        <f t="shared" si="76"/>
        <v>0.20219429630985816</v>
      </c>
      <c r="DS113" s="1"/>
      <c r="DT113" s="253">
        <f t="shared" si="77"/>
        <v>3086.0072922000013</v>
      </c>
      <c r="DU113" s="253">
        <f t="shared" si="77"/>
        <v>2045.6212620000006</v>
      </c>
      <c r="DV113" s="253">
        <f t="shared" si="77"/>
        <v>3086.0072922000013</v>
      </c>
      <c r="DW113" s="253">
        <f t="shared" si="77"/>
        <v>2045.6212620000006</v>
      </c>
      <c r="DX113" s="253">
        <f t="shared" si="77"/>
        <v>3086.0072922000013</v>
      </c>
      <c r="DY113" s="253">
        <f t="shared" si="77"/>
        <v>2045.6212620000006</v>
      </c>
      <c r="DZ113" s="181">
        <f t="shared" si="78"/>
        <v>0.24125193760100261</v>
      </c>
      <c r="ED113" s="253">
        <f t="shared" ref="ED113:EI113" si="192" xml:space="preserve"> MAX(  ED112 * 0.9,  MAX( 0, TREND( ED$96:ED$100, $A$96:$A$100, $A113 ) )  )</f>
        <v>14286.594412360009</v>
      </c>
      <c r="EE113" s="253">
        <f t="shared" si="192"/>
        <v>10423.906883680007</v>
      </c>
      <c r="EF113" s="253">
        <f t="shared" si="192"/>
        <v>14286.594412360009</v>
      </c>
      <c r="EG113" s="253">
        <f t="shared" si="192"/>
        <v>10423.906883680007</v>
      </c>
      <c r="EH113" s="253">
        <f t="shared" si="192"/>
        <v>14286.594412360009</v>
      </c>
      <c r="EI113" s="253">
        <f t="shared" si="192"/>
        <v>10423.906883680007</v>
      </c>
      <c r="EJ113" s="181">
        <f t="shared" si="80"/>
        <v>0.24678409210423774</v>
      </c>
      <c r="EL113" s="253">
        <f t="shared" ref="EL113:EQ113" si="193" xml:space="preserve"> MAX(  EL112 * 0.9,  MAX( 0, TREND( EL$96:EL$100, $A$96:$A$100, $A113 ) )  )</f>
        <v>11997.023924740004</v>
      </c>
      <c r="EM113" s="253">
        <f t="shared" si="193"/>
        <v>9930.5403168700032</v>
      </c>
      <c r="EN113" s="253">
        <f t="shared" si="193"/>
        <v>11997.023924740004</v>
      </c>
      <c r="EO113" s="253">
        <f t="shared" si="193"/>
        <v>9930.5403168700032</v>
      </c>
      <c r="EP113" s="253">
        <f t="shared" si="193"/>
        <v>11997.023924740004</v>
      </c>
      <c r="EQ113" s="253">
        <f t="shared" si="193"/>
        <v>9930.5403168700032</v>
      </c>
      <c r="ER113" s="181">
        <f t="shared" si="82"/>
        <v>0.23955028343524132</v>
      </c>
      <c r="ET113" s="253">
        <f t="shared" ref="ET113:EY113" si="194" xml:space="preserve"> MAX(  ET112 * 0.9,  MAX( 0, TREND( ET$96:ET$100, $A$96:$A$100, $A113 ) )  )</f>
        <v>11720.709211260004</v>
      </c>
      <c r="EU113" s="253">
        <f t="shared" si="194"/>
        <v>8937.1300163999949</v>
      </c>
      <c r="EV113" s="253">
        <f t="shared" si="194"/>
        <v>11720.709211260004</v>
      </c>
      <c r="EW113" s="253">
        <f t="shared" si="194"/>
        <v>8937.1300163999949</v>
      </c>
      <c r="EX113" s="253">
        <f t="shared" si="194"/>
        <v>11720.709211260004</v>
      </c>
      <c r="EY113" s="253">
        <f t="shared" si="194"/>
        <v>8937.1300163999949</v>
      </c>
      <c r="EZ113" s="181">
        <f t="shared" si="84"/>
        <v>0.24861415021641745</v>
      </c>
      <c r="FB113" s="253">
        <f t="shared" ref="FB113:FG113" si="195" xml:space="preserve"> MAX(  FB112 * 0.9,  MAX( 0, TREND( FB$96:FB$100, $A$96:$A$100, $A113 ) )  )</f>
        <v>58.358168641163957</v>
      </c>
      <c r="FC113" s="253">
        <f t="shared" si="195"/>
        <v>41.461123071269803</v>
      </c>
      <c r="FD113" s="253">
        <f t="shared" si="195"/>
        <v>58.358168641163957</v>
      </c>
      <c r="FE113" s="253">
        <f t="shared" si="195"/>
        <v>41.461123071269803</v>
      </c>
      <c r="FF113" s="253">
        <f t="shared" si="195"/>
        <v>58.358168641163957</v>
      </c>
      <c r="FG113" s="253">
        <f t="shared" si="195"/>
        <v>41.461123071269803</v>
      </c>
      <c r="FH113" s="181">
        <f t="shared" si="86"/>
        <v>0.24131645732181609</v>
      </c>
      <c r="FJ113" s="253">
        <f t="shared" ref="FJ113:FO113" si="196" xml:space="preserve"> MAX(  FJ112 * 0.9,  MAX( 0, TREND( FJ$96:FJ$100, $A$96:$A$100, $A113 ) )  )</f>
        <v>2401.6653888749997</v>
      </c>
      <c r="FK113" s="253">
        <f t="shared" si="196"/>
        <v>1467.2247795000005</v>
      </c>
      <c r="FL113" s="253">
        <f t="shared" si="196"/>
        <v>2401.6653888749997</v>
      </c>
      <c r="FM113" s="253">
        <f t="shared" si="196"/>
        <v>1467.2247795000005</v>
      </c>
      <c r="FN113" s="253">
        <f t="shared" si="196"/>
        <v>2401.6653888749997</v>
      </c>
      <c r="FO113" s="253">
        <f t="shared" si="196"/>
        <v>1467.2247795000005</v>
      </c>
      <c r="FP113" s="181">
        <f t="shared" si="88"/>
        <v>0.24583836257643332</v>
      </c>
      <c r="FS113" s="253">
        <f t="shared" ref="FS113:FX113" si="197" xml:space="preserve"> MAX(  FS112 * 0.9,  MAX( 0, TREND( FS$96:FS$100, $A$96:$A$100, $A113 ) )  )</f>
        <v>7490.9163424999997</v>
      </c>
      <c r="FT113" s="253">
        <f t="shared" si="197"/>
        <v>5977.5738864000014</v>
      </c>
      <c r="FU113" s="253">
        <f t="shared" si="197"/>
        <v>7490.9163424999997</v>
      </c>
      <c r="FV113" s="253">
        <f t="shared" si="197"/>
        <v>5977.5738864000014</v>
      </c>
      <c r="FW113" s="253">
        <f t="shared" si="197"/>
        <v>7490.9163424999997</v>
      </c>
      <c r="FX113" s="253">
        <f t="shared" si="197"/>
        <v>5977.5738864000014</v>
      </c>
      <c r="FY113" s="181">
        <f t="shared" si="90"/>
        <v>0.26127946755077081</v>
      </c>
      <c r="GA113" s="253">
        <f t="shared" ref="GA113:GF113" si="198" xml:space="preserve"> MAX(  GA112 * 0.9,  MAX( 0, TREND( GA$96:GA$100, $A$96:$A$100, $A113 ) )  )</f>
        <v>7144.5616199999968</v>
      </c>
      <c r="GB113" s="253">
        <f t="shared" si="198"/>
        <v>6394.1173834000056</v>
      </c>
      <c r="GC113" s="253">
        <f t="shared" si="198"/>
        <v>7144.5616199999968</v>
      </c>
      <c r="GD113" s="253">
        <f t="shared" si="198"/>
        <v>6394.1173834000056</v>
      </c>
      <c r="GE113" s="253">
        <f t="shared" si="198"/>
        <v>7144.5616199999968</v>
      </c>
      <c r="GF113" s="253">
        <f t="shared" si="198"/>
        <v>6394.1173834000056</v>
      </c>
      <c r="GG113" s="181">
        <f t="shared" si="92"/>
        <v>0.15</v>
      </c>
      <c r="GI113" s="253">
        <f t="shared" ref="GI113:GN113" si="199" xml:space="preserve"> MAX(  GI112 * 0.9,  MAX( 0, TREND( GI$96:GI$100, $A$96:$A$100, $A113 ) )  )</f>
        <v>8024.8367464999965</v>
      </c>
      <c r="GJ113" s="253">
        <f t="shared" si="199"/>
        <v>6497.4136058999966</v>
      </c>
      <c r="GK113" s="253">
        <f t="shared" si="199"/>
        <v>8024.8367464999965</v>
      </c>
      <c r="GL113" s="253">
        <f t="shared" si="199"/>
        <v>6497.4136058999966</v>
      </c>
      <c r="GM113" s="253">
        <f t="shared" si="199"/>
        <v>8024.8367464999965</v>
      </c>
      <c r="GN113" s="253">
        <f t="shared" si="199"/>
        <v>6497.4136058999966</v>
      </c>
      <c r="GO113" s="181">
        <f t="shared" si="94"/>
        <v>0.85</v>
      </c>
    </row>
    <row r="114" spans="1:197" x14ac:dyDescent="0.2">
      <c r="A114" s="3">
        <f>Basis!A114</f>
        <v>114</v>
      </c>
      <c r="D114" s="252" t="e">
        <v>#N/A</v>
      </c>
      <c r="E114" s="252" t="e">
        <v>#N/A</v>
      </c>
      <c r="H114" s="253">
        <f t="shared" si="95"/>
        <v>15013.482091392492</v>
      </c>
      <c r="I114" s="253">
        <f t="shared" si="8"/>
        <v>11295.870128434464</v>
      </c>
      <c r="J114" s="253">
        <f t="shared" si="9"/>
        <v>15013.482091392492</v>
      </c>
      <c r="K114" s="253">
        <f t="shared" si="10"/>
        <v>11295.870128434464</v>
      </c>
      <c r="L114" s="253">
        <f t="shared" si="11"/>
        <v>15013.482091392492</v>
      </c>
      <c r="M114" s="253">
        <f t="shared" si="12"/>
        <v>11295.870128434464</v>
      </c>
      <c r="N114" s="181">
        <f t="shared" si="13"/>
        <v>0.15</v>
      </c>
      <c r="P114" s="253">
        <f t="shared" si="96"/>
        <v>12825.7370100607</v>
      </c>
      <c r="Q114" s="253">
        <f t="shared" si="14"/>
        <v>10103.281912027407</v>
      </c>
      <c r="R114" s="253">
        <f t="shared" si="15"/>
        <v>12825.7370100607</v>
      </c>
      <c r="S114" s="253">
        <f t="shared" si="16"/>
        <v>10103.281912027407</v>
      </c>
      <c r="T114" s="253">
        <f t="shared" si="17"/>
        <v>12825.7370100607</v>
      </c>
      <c r="U114" s="253">
        <f t="shared" si="18"/>
        <v>10103.281912027407</v>
      </c>
      <c r="V114" s="181">
        <f t="shared" si="19"/>
        <v>0.24258687540636581</v>
      </c>
      <c r="X114" s="253">
        <f t="shared" si="97"/>
        <v>9940.3725023190564</v>
      </c>
      <c r="Y114" s="253">
        <f t="shared" si="20"/>
        <v>7660.2281958817584</v>
      </c>
      <c r="Z114" s="253">
        <f t="shared" si="21"/>
        <v>9940.3725023190564</v>
      </c>
      <c r="AA114" s="253">
        <f t="shared" si="22"/>
        <v>7660.2281958817584</v>
      </c>
      <c r="AB114" s="253">
        <f t="shared" si="23"/>
        <v>9940.3725023190564</v>
      </c>
      <c r="AC114" s="253">
        <f t="shared" si="24"/>
        <v>7660.2281958817584</v>
      </c>
      <c r="AD114" s="181">
        <f t="shared" si="25"/>
        <v>0.16394634243045003</v>
      </c>
      <c r="AF114" s="253">
        <f t="shared" si="98"/>
        <v>1837.9076731300211</v>
      </c>
      <c r="AG114" s="253">
        <f t="shared" si="26"/>
        <v>1079.3692456837039</v>
      </c>
      <c r="AH114" s="253">
        <f t="shared" si="27"/>
        <v>1837.9076731300211</v>
      </c>
      <c r="AI114" s="253">
        <f t="shared" si="28"/>
        <v>1079.3692456837039</v>
      </c>
      <c r="AJ114" s="253">
        <f t="shared" si="29"/>
        <v>1837.9076731300211</v>
      </c>
      <c r="AK114" s="253">
        <f t="shared" si="30"/>
        <v>1079.3692456837039</v>
      </c>
      <c r="AL114" s="181">
        <f t="shared" si="31"/>
        <v>0.15</v>
      </c>
      <c r="AN114" s="253">
        <f t="shared" si="99"/>
        <v>36.058778930860711</v>
      </c>
      <c r="AO114" s="253">
        <f t="shared" si="32"/>
        <v>21.206797517214429</v>
      </c>
      <c r="AP114" s="253">
        <f t="shared" si="32"/>
        <v>36.058778930860711</v>
      </c>
      <c r="AQ114" s="253">
        <f t="shared" si="32"/>
        <v>21.206797517214429</v>
      </c>
      <c r="AR114" s="253">
        <f t="shared" si="32"/>
        <v>36.058778930860711</v>
      </c>
      <c r="AS114" s="253">
        <f t="shared" si="32"/>
        <v>21.206797517214429</v>
      </c>
      <c r="AT114" s="181">
        <f t="shared" si="33"/>
        <v>0.85</v>
      </c>
      <c r="AX114" s="253">
        <f t="shared" si="100"/>
        <v>16114.073283959995</v>
      </c>
      <c r="AY114" s="253">
        <f t="shared" si="34"/>
        <v>11535.67351144</v>
      </c>
      <c r="AZ114" s="253">
        <f t="shared" si="35"/>
        <v>16114.073283959995</v>
      </c>
      <c r="BA114" s="253">
        <f t="shared" si="36"/>
        <v>11535.67351144</v>
      </c>
      <c r="BB114" s="253">
        <f t="shared" si="37"/>
        <v>16114.073283959995</v>
      </c>
      <c r="BC114" s="253">
        <f t="shared" si="38"/>
        <v>11535.67351144</v>
      </c>
      <c r="BD114" s="181">
        <f t="shared" si="39"/>
        <v>0.15</v>
      </c>
      <c r="BF114" s="253">
        <f t="shared" si="101"/>
        <v>11922.059504139997</v>
      </c>
      <c r="BG114" s="253">
        <f t="shared" si="40"/>
        <v>9651.2712415599981</v>
      </c>
      <c r="BH114" s="253">
        <f t="shared" si="41"/>
        <v>11922.059504139997</v>
      </c>
      <c r="BI114" s="253">
        <f t="shared" si="42"/>
        <v>9651.2712415599981</v>
      </c>
      <c r="BJ114" s="253">
        <f t="shared" si="43"/>
        <v>11922.059504139997</v>
      </c>
      <c r="BK114" s="253">
        <f t="shared" si="44"/>
        <v>9651.2712415599981</v>
      </c>
      <c r="BL114" s="181">
        <f t="shared" si="45"/>
        <v>0.15985643713289788</v>
      </c>
      <c r="BN114" s="253">
        <f t="shared" si="102"/>
        <v>10472.052119200003</v>
      </c>
      <c r="BO114" s="253">
        <f t="shared" si="46"/>
        <v>7795.6346455599951</v>
      </c>
      <c r="BP114" s="253">
        <f t="shared" si="47"/>
        <v>10472.052119200003</v>
      </c>
      <c r="BQ114" s="253">
        <f t="shared" si="48"/>
        <v>7795.6346455599951</v>
      </c>
      <c r="BR114" s="253">
        <f t="shared" si="49"/>
        <v>10472.052119200003</v>
      </c>
      <c r="BS114" s="253">
        <f t="shared" si="50"/>
        <v>7795.6346455599951</v>
      </c>
      <c r="BT114" s="181">
        <f t="shared" si="51"/>
        <v>0.15</v>
      </c>
      <c r="BV114" s="253">
        <f t="shared" si="103"/>
        <v>46.992744943517081</v>
      </c>
      <c r="BW114" s="253">
        <f t="shared" si="52"/>
        <v>16.60903512070853</v>
      </c>
      <c r="BX114" s="253">
        <f t="shared" si="53"/>
        <v>46.992744943517081</v>
      </c>
      <c r="BY114" s="253">
        <f t="shared" si="54"/>
        <v>16.60903512070853</v>
      </c>
      <c r="BZ114" s="253">
        <f t="shared" si="55"/>
        <v>46.992744943517081</v>
      </c>
      <c r="CA114" s="253">
        <f t="shared" si="56"/>
        <v>16.60903512070853</v>
      </c>
      <c r="CB114" s="181">
        <f t="shared" si="57"/>
        <v>0.15342470148277787</v>
      </c>
      <c r="CD114" s="253">
        <f t="shared" si="58"/>
        <v>2385.3192961499994</v>
      </c>
      <c r="CE114" s="253">
        <f t="shared" si="59"/>
        <v>1338.3908595000003</v>
      </c>
      <c r="CF114" s="253">
        <f t="shared" si="60"/>
        <v>2385.3192961499994</v>
      </c>
      <c r="CG114" s="253">
        <f t="shared" si="61"/>
        <v>1338.3908595000003</v>
      </c>
      <c r="CH114" s="253">
        <f t="shared" si="62"/>
        <v>2385.3192961499994</v>
      </c>
      <c r="CI114" s="253">
        <f t="shared" si="63"/>
        <v>1338.3908595000003</v>
      </c>
      <c r="CJ114" s="181">
        <f t="shared" si="64"/>
        <v>0.17389602372815008</v>
      </c>
      <c r="CN114" s="253">
        <f t="shared" si="65"/>
        <v>16379.800517360005</v>
      </c>
      <c r="CO114" s="253">
        <f t="shared" si="66"/>
        <v>11715.142902400004</v>
      </c>
      <c r="CP114" s="253">
        <f t="shared" si="66"/>
        <v>16379.800517360005</v>
      </c>
      <c r="CQ114" s="253">
        <f t="shared" si="66"/>
        <v>11715.142902400004</v>
      </c>
      <c r="CR114" s="253">
        <f t="shared" si="66"/>
        <v>16379.800517360005</v>
      </c>
      <c r="CS114" s="253">
        <f t="shared" si="66"/>
        <v>11715.142902400004</v>
      </c>
      <c r="CT114" s="181">
        <f t="shared" si="67"/>
        <v>0.19041039904059556</v>
      </c>
      <c r="CV114" s="253">
        <f t="shared" si="68"/>
        <v>11010.049939440014</v>
      </c>
      <c r="CW114" s="253">
        <f t="shared" si="69"/>
        <v>8701.3329910000066</v>
      </c>
      <c r="CX114" s="253">
        <f t="shared" si="69"/>
        <v>11010.049939440014</v>
      </c>
      <c r="CY114" s="253">
        <f t="shared" si="69"/>
        <v>8701.3329910000066</v>
      </c>
      <c r="CZ114" s="253">
        <f t="shared" si="69"/>
        <v>11010.049939440014</v>
      </c>
      <c r="DA114" s="253">
        <f t="shared" si="69"/>
        <v>8701.3329910000066</v>
      </c>
      <c r="DB114" s="181">
        <f t="shared" si="70"/>
        <v>0.19408014757495892</v>
      </c>
      <c r="DC114" s="1"/>
      <c r="DD114" s="253">
        <f t="shared" si="71"/>
        <v>10259.406682559997</v>
      </c>
      <c r="DE114" s="253">
        <f t="shared" si="72"/>
        <v>7558.6360890399992</v>
      </c>
      <c r="DF114" s="253">
        <f t="shared" si="72"/>
        <v>10259.406682559997</v>
      </c>
      <c r="DG114" s="253">
        <f t="shared" si="72"/>
        <v>7558.6360890399992</v>
      </c>
      <c r="DH114" s="253">
        <f t="shared" si="72"/>
        <v>10259.406682559997</v>
      </c>
      <c r="DI114" s="253">
        <f t="shared" si="72"/>
        <v>7558.6360890399992</v>
      </c>
      <c r="DJ114" s="181">
        <f t="shared" si="73"/>
        <v>0.23101971710284955</v>
      </c>
      <c r="DK114" s="1"/>
      <c r="DL114" s="253">
        <f t="shared" si="74"/>
        <v>49.144369544535209</v>
      </c>
      <c r="DM114" s="253">
        <f t="shared" si="75"/>
        <v>19.684619923111978</v>
      </c>
      <c r="DN114" s="253">
        <f t="shared" si="75"/>
        <v>49.144369544535209</v>
      </c>
      <c r="DO114" s="253">
        <f t="shared" si="75"/>
        <v>19.684619923111978</v>
      </c>
      <c r="DP114" s="253">
        <f t="shared" si="75"/>
        <v>49.144369544535209</v>
      </c>
      <c r="DQ114" s="253">
        <f t="shared" si="75"/>
        <v>19.684619923111978</v>
      </c>
      <c r="DR114" s="181">
        <f t="shared" si="76"/>
        <v>0.20219429630985816</v>
      </c>
      <c r="DS114" s="1"/>
      <c r="DT114" s="253">
        <f t="shared" si="77"/>
        <v>3107.2788594000017</v>
      </c>
      <c r="DU114" s="253">
        <f t="shared" si="77"/>
        <v>2045.6212620000006</v>
      </c>
      <c r="DV114" s="253">
        <f t="shared" si="77"/>
        <v>3107.2788594000017</v>
      </c>
      <c r="DW114" s="253">
        <f t="shared" si="77"/>
        <v>2045.6212620000006</v>
      </c>
      <c r="DX114" s="253">
        <f t="shared" si="77"/>
        <v>3107.2788594000017</v>
      </c>
      <c r="DY114" s="253">
        <f t="shared" si="77"/>
        <v>2045.6212620000006</v>
      </c>
      <c r="DZ114" s="181">
        <f t="shared" si="78"/>
        <v>0.24125193760100261</v>
      </c>
      <c r="ED114" s="253">
        <f t="shared" ref="ED114:EI114" si="200" xml:space="preserve"> MAX(  ED113 * 0.9,  MAX( 0, TREND( ED$96:ED$100, $A$96:$A$100, $A114 ) )  )</f>
        <v>14365.284319800008</v>
      </c>
      <c r="EE114" s="253">
        <f t="shared" si="200"/>
        <v>10436.622988480009</v>
      </c>
      <c r="EF114" s="253">
        <f t="shared" si="200"/>
        <v>14365.284319800008</v>
      </c>
      <c r="EG114" s="253">
        <f t="shared" si="200"/>
        <v>10436.622988480009</v>
      </c>
      <c r="EH114" s="253">
        <f t="shared" si="200"/>
        <v>14365.284319800008</v>
      </c>
      <c r="EI114" s="253">
        <f t="shared" si="200"/>
        <v>10436.622988480009</v>
      </c>
      <c r="EJ114" s="181">
        <f t="shared" si="80"/>
        <v>0.24678409210423774</v>
      </c>
      <c r="EL114" s="253">
        <f t="shared" ref="EL114:EQ114" si="201" xml:space="preserve"> MAX(  EL113 * 0.9,  MAX( 0, TREND( EL$96:EL$100, $A$96:$A$100, $A114 ) )  )</f>
        <v>11996.794359400004</v>
      </c>
      <c r="EM114" s="253">
        <f t="shared" si="201"/>
        <v>9944.3497530200038</v>
      </c>
      <c r="EN114" s="253">
        <f t="shared" si="201"/>
        <v>11996.794359400004</v>
      </c>
      <c r="EO114" s="253">
        <f t="shared" si="201"/>
        <v>9944.3497530200038</v>
      </c>
      <c r="EP114" s="253">
        <f t="shared" si="201"/>
        <v>11996.794359400004</v>
      </c>
      <c r="EQ114" s="253">
        <f t="shared" si="201"/>
        <v>9944.3497530200038</v>
      </c>
      <c r="ER114" s="181">
        <f t="shared" si="82"/>
        <v>0.23955028343524132</v>
      </c>
      <c r="ET114" s="253">
        <f t="shared" ref="ET114:EY114" si="202" xml:space="preserve"> MAX(  ET113 * 0.9,  MAX( 0, TREND( ET$96:ET$100, $A$96:$A$100, $A114 ) )  )</f>
        <v>11773.006446360003</v>
      </c>
      <c r="EU114" s="253">
        <f t="shared" si="202"/>
        <v>8958.2804451199954</v>
      </c>
      <c r="EV114" s="253">
        <f t="shared" si="202"/>
        <v>11773.006446360003</v>
      </c>
      <c r="EW114" s="253">
        <f t="shared" si="202"/>
        <v>8958.2804451199954</v>
      </c>
      <c r="EX114" s="253">
        <f t="shared" si="202"/>
        <v>11773.006446360003</v>
      </c>
      <c r="EY114" s="253">
        <f t="shared" si="202"/>
        <v>8958.2804451199954</v>
      </c>
      <c r="EZ114" s="181">
        <f t="shared" si="84"/>
        <v>0.24861415021641745</v>
      </c>
      <c r="FB114" s="253">
        <f t="shared" ref="FB114:FG114" si="203" xml:space="preserve"> MAX(  FB113 * 0.9,  MAX( 0, TREND( FB$96:FB$100, $A$96:$A$100, $A114 ) )  )</f>
        <v>52.522351777047561</v>
      </c>
      <c r="FC114" s="253">
        <f t="shared" si="203"/>
        <v>37.315010764142826</v>
      </c>
      <c r="FD114" s="253">
        <f t="shared" si="203"/>
        <v>52.522351777047561</v>
      </c>
      <c r="FE114" s="253">
        <f t="shared" si="203"/>
        <v>37.315010764142826</v>
      </c>
      <c r="FF114" s="253">
        <f t="shared" si="203"/>
        <v>52.522351777047561</v>
      </c>
      <c r="FG114" s="253">
        <f t="shared" si="203"/>
        <v>37.315010764142826</v>
      </c>
      <c r="FH114" s="181">
        <f t="shared" si="86"/>
        <v>0.24131645732181609</v>
      </c>
      <c r="FJ114" s="253">
        <f t="shared" ref="FJ114:FO114" si="204" xml:space="preserve"> MAX(  FJ113 * 0.9,  MAX( 0, TREND( FJ$96:FJ$100, $A$96:$A$100, $A114 ) )  )</f>
        <v>2431.1468722499999</v>
      </c>
      <c r="FK114" s="253">
        <f t="shared" si="204"/>
        <v>1467.2247795000005</v>
      </c>
      <c r="FL114" s="253">
        <f t="shared" si="204"/>
        <v>2431.1468722499999</v>
      </c>
      <c r="FM114" s="253">
        <f t="shared" si="204"/>
        <v>1467.2247795000005</v>
      </c>
      <c r="FN114" s="253">
        <f t="shared" si="204"/>
        <v>2431.1468722499999</v>
      </c>
      <c r="FO114" s="253">
        <f t="shared" si="204"/>
        <v>1467.2247795000005</v>
      </c>
      <c r="FP114" s="181">
        <f t="shared" si="88"/>
        <v>0.24583836257643332</v>
      </c>
      <c r="FS114" s="253">
        <f t="shared" ref="FS114:FX114" si="205" xml:space="preserve"> MAX(  FS113 * 0.9,  MAX( 0, TREND( FS$96:FS$100, $A$96:$A$100, $A114 ) )  )</f>
        <v>7556.1837519999999</v>
      </c>
      <c r="FT114" s="253">
        <f t="shared" si="205"/>
        <v>6013.105776800001</v>
      </c>
      <c r="FU114" s="253">
        <f t="shared" si="205"/>
        <v>7556.1837519999999</v>
      </c>
      <c r="FV114" s="253">
        <f t="shared" si="205"/>
        <v>6013.105776800001</v>
      </c>
      <c r="FW114" s="253">
        <f t="shared" si="205"/>
        <v>7556.1837519999999</v>
      </c>
      <c r="FX114" s="253">
        <f t="shared" si="205"/>
        <v>6013.105776800001</v>
      </c>
      <c r="FY114" s="181">
        <f t="shared" si="90"/>
        <v>0.26127946755077081</v>
      </c>
      <c r="GA114" s="253">
        <f t="shared" ref="GA114:GF114" si="206" xml:space="preserve"> MAX(  GA113 * 0.9,  MAX( 0, TREND( GA$96:GA$100, $A$96:$A$100, $A114 ) )  )</f>
        <v>7207.7710895999971</v>
      </c>
      <c r="GB114" s="253">
        <f t="shared" si="206"/>
        <v>6448.2668462000056</v>
      </c>
      <c r="GC114" s="253">
        <f t="shared" si="206"/>
        <v>7207.7710895999971</v>
      </c>
      <c r="GD114" s="253">
        <f t="shared" si="206"/>
        <v>6448.2668462000056</v>
      </c>
      <c r="GE114" s="253">
        <f t="shared" si="206"/>
        <v>7207.7710895999971</v>
      </c>
      <c r="GF114" s="253">
        <f t="shared" si="206"/>
        <v>6448.2668462000056</v>
      </c>
      <c r="GG114" s="181">
        <f t="shared" si="92"/>
        <v>0.15</v>
      </c>
      <c r="GI114" s="253">
        <f t="shared" ref="GI114:GN114" si="207" xml:space="preserve"> MAX(  GI113 * 0.9,  MAX( 0, TREND( GI$96:GI$100, $A$96:$A$100, $A114 ) )  )</f>
        <v>8118.5932239999956</v>
      </c>
      <c r="GJ114" s="253">
        <f t="shared" si="207"/>
        <v>6549.9247421999962</v>
      </c>
      <c r="GK114" s="253">
        <f t="shared" si="207"/>
        <v>8118.5932239999956</v>
      </c>
      <c r="GL114" s="253">
        <f t="shared" si="207"/>
        <v>6549.9247421999962</v>
      </c>
      <c r="GM114" s="253">
        <f t="shared" si="207"/>
        <v>8118.5932239999956</v>
      </c>
      <c r="GN114" s="253">
        <f t="shared" si="207"/>
        <v>6549.9247421999962</v>
      </c>
      <c r="GO114" s="181">
        <f t="shared" si="94"/>
        <v>0.85</v>
      </c>
    </row>
    <row r="115" spans="1:197" x14ac:dyDescent="0.2">
      <c r="A115" s="3">
        <f>Basis!A115</f>
        <v>115</v>
      </c>
      <c r="D115" s="252" t="e">
        <v>#N/A</v>
      </c>
      <c r="E115" s="252" t="e">
        <v>#N/A</v>
      </c>
      <c r="H115" s="253">
        <f t="shared" si="95"/>
        <v>15143.53715602768</v>
      </c>
      <c r="I115" s="253">
        <f t="shared" si="8"/>
        <v>11344.220461163397</v>
      </c>
      <c r="J115" s="253">
        <f t="shared" si="9"/>
        <v>15143.53715602768</v>
      </c>
      <c r="K115" s="253">
        <f t="shared" si="10"/>
        <v>11344.220461163397</v>
      </c>
      <c r="L115" s="253">
        <f t="shared" si="11"/>
        <v>15143.53715602768</v>
      </c>
      <c r="M115" s="253">
        <f t="shared" si="12"/>
        <v>11344.220461163397</v>
      </c>
      <c r="N115" s="181">
        <f t="shared" si="13"/>
        <v>0.15</v>
      </c>
      <c r="P115" s="253">
        <f t="shared" si="96"/>
        <v>12914.205479607617</v>
      </c>
      <c r="Q115" s="253">
        <f t="shared" si="14"/>
        <v>10133.897054097059</v>
      </c>
      <c r="R115" s="253">
        <f t="shared" si="15"/>
        <v>12914.205479607617</v>
      </c>
      <c r="S115" s="253">
        <f t="shared" si="16"/>
        <v>10133.897054097059</v>
      </c>
      <c r="T115" s="253">
        <f t="shared" si="17"/>
        <v>12914.205479607617</v>
      </c>
      <c r="U115" s="253">
        <f t="shared" si="18"/>
        <v>10133.897054097059</v>
      </c>
      <c r="V115" s="181">
        <f t="shared" si="19"/>
        <v>0.24258687540636581</v>
      </c>
      <c r="X115" s="253">
        <f t="shared" si="97"/>
        <v>10019.82464910455</v>
      </c>
      <c r="Y115" s="253">
        <f t="shared" si="20"/>
        <v>7688.0733841692818</v>
      </c>
      <c r="Z115" s="253">
        <f t="shared" si="21"/>
        <v>10019.82464910455</v>
      </c>
      <c r="AA115" s="253">
        <f t="shared" si="22"/>
        <v>7688.0733841692818</v>
      </c>
      <c r="AB115" s="253">
        <f t="shared" si="23"/>
        <v>10019.82464910455</v>
      </c>
      <c r="AC115" s="253">
        <f t="shared" si="24"/>
        <v>7688.0733841692818</v>
      </c>
      <c r="AD115" s="181">
        <f t="shared" si="25"/>
        <v>0.16394634243045003</v>
      </c>
      <c r="AF115" s="253">
        <f t="shared" si="98"/>
        <v>1841.2507051300213</v>
      </c>
      <c r="AG115" s="253">
        <f t="shared" si="26"/>
        <v>1079.3692456837039</v>
      </c>
      <c r="AH115" s="253">
        <f t="shared" si="27"/>
        <v>1841.2507051300213</v>
      </c>
      <c r="AI115" s="253">
        <f t="shared" si="28"/>
        <v>1079.3692456837039</v>
      </c>
      <c r="AJ115" s="253">
        <f t="shared" si="29"/>
        <v>1841.2507051300213</v>
      </c>
      <c r="AK115" s="253">
        <f t="shared" si="30"/>
        <v>1079.3692456837039</v>
      </c>
      <c r="AL115" s="181">
        <f t="shared" si="31"/>
        <v>0.15</v>
      </c>
      <c r="AN115" s="253">
        <f t="shared" si="99"/>
        <v>32.452901037774645</v>
      </c>
      <c r="AO115" s="253">
        <f t="shared" si="32"/>
        <v>19.086117765492986</v>
      </c>
      <c r="AP115" s="253">
        <f t="shared" si="32"/>
        <v>32.452901037774645</v>
      </c>
      <c r="AQ115" s="253">
        <f t="shared" si="32"/>
        <v>19.086117765492986</v>
      </c>
      <c r="AR115" s="253">
        <f t="shared" si="32"/>
        <v>32.452901037774645</v>
      </c>
      <c r="AS115" s="253">
        <f t="shared" si="32"/>
        <v>19.086117765492986</v>
      </c>
      <c r="AT115" s="181">
        <f t="shared" si="33"/>
        <v>0.85</v>
      </c>
      <c r="AX115" s="253">
        <f t="shared" si="100"/>
        <v>16235.010905239995</v>
      </c>
      <c r="AY115" s="253">
        <f t="shared" si="34"/>
        <v>11562.2685258</v>
      </c>
      <c r="AZ115" s="253">
        <f t="shared" si="35"/>
        <v>16235.010905239995</v>
      </c>
      <c r="BA115" s="253">
        <f t="shared" si="36"/>
        <v>11562.2685258</v>
      </c>
      <c r="BB115" s="253">
        <f t="shared" si="37"/>
        <v>16235.010905239995</v>
      </c>
      <c r="BC115" s="253">
        <f t="shared" si="38"/>
        <v>11562.2685258</v>
      </c>
      <c r="BD115" s="181">
        <f t="shared" si="39"/>
        <v>0.15</v>
      </c>
      <c r="BF115" s="253">
        <f t="shared" si="101"/>
        <v>11936.980015809997</v>
      </c>
      <c r="BG115" s="253">
        <f t="shared" si="40"/>
        <v>9654.7929675999967</v>
      </c>
      <c r="BH115" s="253">
        <f t="shared" si="41"/>
        <v>11936.980015809997</v>
      </c>
      <c r="BI115" s="253">
        <f t="shared" si="42"/>
        <v>9654.7929675999967</v>
      </c>
      <c r="BJ115" s="253">
        <f t="shared" si="43"/>
        <v>11936.980015809997</v>
      </c>
      <c r="BK115" s="253">
        <f t="shared" si="44"/>
        <v>9654.7929675999967</v>
      </c>
      <c r="BL115" s="181">
        <f t="shared" si="45"/>
        <v>0.15985643713289788</v>
      </c>
      <c r="BN115" s="253">
        <f t="shared" si="102"/>
        <v>10525.208933300004</v>
      </c>
      <c r="BO115" s="253">
        <f t="shared" si="46"/>
        <v>7791.2331815799953</v>
      </c>
      <c r="BP115" s="253">
        <f t="shared" si="47"/>
        <v>10525.208933300004</v>
      </c>
      <c r="BQ115" s="253">
        <f t="shared" si="48"/>
        <v>7791.2331815799953</v>
      </c>
      <c r="BR115" s="253">
        <f t="shared" si="49"/>
        <v>10525.208933300004</v>
      </c>
      <c r="BS115" s="253">
        <f t="shared" si="50"/>
        <v>7791.2331815799953</v>
      </c>
      <c r="BT115" s="181">
        <f t="shared" si="51"/>
        <v>0.15</v>
      </c>
      <c r="BV115" s="253">
        <f t="shared" si="103"/>
        <v>42.293470449165376</v>
      </c>
      <c r="BW115" s="253">
        <f t="shared" si="52"/>
        <v>14.948131608637677</v>
      </c>
      <c r="BX115" s="253">
        <f t="shared" si="53"/>
        <v>42.293470449165376</v>
      </c>
      <c r="BY115" s="253">
        <f t="shared" si="54"/>
        <v>14.948131608637677</v>
      </c>
      <c r="BZ115" s="253">
        <f t="shared" si="55"/>
        <v>42.293470449165376</v>
      </c>
      <c r="CA115" s="253">
        <f t="shared" si="56"/>
        <v>14.948131608637677</v>
      </c>
      <c r="CB115" s="181">
        <f t="shared" si="57"/>
        <v>0.15342470148277787</v>
      </c>
      <c r="CD115" s="253">
        <f t="shared" si="58"/>
        <v>2409.1116889499995</v>
      </c>
      <c r="CE115" s="253">
        <f t="shared" si="59"/>
        <v>1338.3908595000003</v>
      </c>
      <c r="CF115" s="253">
        <f t="shared" si="60"/>
        <v>2409.1116889499995</v>
      </c>
      <c r="CG115" s="253">
        <f t="shared" si="61"/>
        <v>1338.3908595000003</v>
      </c>
      <c r="CH115" s="253">
        <f t="shared" si="62"/>
        <v>2409.1116889499995</v>
      </c>
      <c r="CI115" s="253">
        <f t="shared" si="63"/>
        <v>1338.3908595000003</v>
      </c>
      <c r="CJ115" s="181">
        <f t="shared" si="64"/>
        <v>0.17389602372815008</v>
      </c>
      <c r="CN115" s="253">
        <f t="shared" si="65"/>
        <v>16508.014335520005</v>
      </c>
      <c r="CO115" s="253">
        <f t="shared" si="66"/>
        <v>11743.852838960005</v>
      </c>
      <c r="CP115" s="253">
        <f t="shared" si="66"/>
        <v>16508.014335520005</v>
      </c>
      <c r="CQ115" s="253">
        <f t="shared" si="66"/>
        <v>11743.852838960005</v>
      </c>
      <c r="CR115" s="253">
        <f t="shared" si="66"/>
        <v>16508.014335520005</v>
      </c>
      <c r="CS115" s="253">
        <f t="shared" si="66"/>
        <v>11743.852838960005</v>
      </c>
      <c r="CT115" s="181">
        <f t="shared" si="67"/>
        <v>0.19041039904059556</v>
      </c>
      <c r="CV115" s="253">
        <f t="shared" si="68"/>
        <v>11020.629945130015</v>
      </c>
      <c r="CW115" s="253">
        <f t="shared" si="69"/>
        <v>8711.3974231400061</v>
      </c>
      <c r="CX115" s="253">
        <f t="shared" si="69"/>
        <v>11020.629945130015</v>
      </c>
      <c r="CY115" s="253">
        <f t="shared" si="69"/>
        <v>8711.3974231400061</v>
      </c>
      <c r="CZ115" s="253">
        <f t="shared" si="69"/>
        <v>11020.629945130015</v>
      </c>
      <c r="DA115" s="253">
        <f t="shared" si="69"/>
        <v>8711.3974231400061</v>
      </c>
      <c r="DB115" s="181">
        <f t="shared" si="70"/>
        <v>0.19408014757495892</v>
      </c>
      <c r="DC115" s="1"/>
      <c r="DD115" s="253">
        <f t="shared" si="71"/>
        <v>10327.062095679998</v>
      </c>
      <c r="DE115" s="253">
        <f t="shared" si="72"/>
        <v>7572.7722803399993</v>
      </c>
      <c r="DF115" s="253">
        <f t="shared" si="72"/>
        <v>10327.062095679998</v>
      </c>
      <c r="DG115" s="253">
        <f t="shared" si="72"/>
        <v>7572.7722803399993</v>
      </c>
      <c r="DH115" s="253">
        <f t="shared" si="72"/>
        <v>10327.062095679998</v>
      </c>
      <c r="DI115" s="253">
        <f t="shared" si="72"/>
        <v>7572.7722803399993</v>
      </c>
      <c r="DJ115" s="181">
        <f t="shared" si="73"/>
        <v>0.23101971710284955</v>
      </c>
      <c r="DK115" s="1"/>
      <c r="DL115" s="253">
        <f t="shared" si="74"/>
        <v>44.229932590081688</v>
      </c>
      <c r="DM115" s="253">
        <f t="shared" si="75"/>
        <v>17.716157930800779</v>
      </c>
      <c r="DN115" s="253">
        <f t="shared" si="75"/>
        <v>44.229932590081688</v>
      </c>
      <c r="DO115" s="253">
        <f t="shared" si="75"/>
        <v>17.716157930800779</v>
      </c>
      <c r="DP115" s="253">
        <f t="shared" si="75"/>
        <v>44.229932590081688</v>
      </c>
      <c r="DQ115" s="253">
        <f t="shared" si="75"/>
        <v>17.716157930800779</v>
      </c>
      <c r="DR115" s="181">
        <f t="shared" si="76"/>
        <v>0.20219429630985816</v>
      </c>
      <c r="DS115" s="1"/>
      <c r="DT115" s="253">
        <f t="shared" si="77"/>
        <v>3128.5504266000016</v>
      </c>
      <c r="DU115" s="253">
        <f t="shared" si="77"/>
        <v>2045.6212620000006</v>
      </c>
      <c r="DV115" s="253">
        <f t="shared" si="77"/>
        <v>3128.5504266000016</v>
      </c>
      <c r="DW115" s="253">
        <f t="shared" si="77"/>
        <v>2045.6212620000006</v>
      </c>
      <c r="DX115" s="253">
        <f t="shared" si="77"/>
        <v>3128.5504266000016</v>
      </c>
      <c r="DY115" s="253">
        <f t="shared" si="77"/>
        <v>2045.6212620000006</v>
      </c>
      <c r="DZ115" s="181">
        <f t="shared" si="78"/>
        <v>0.24125193760100261</v>
      </c>
      <c r="ED115" s="253">
        <f t="shared" ref="ED115:EI115" si="208" xml:space="preserve"> MAX(  ED114 * 0.9,  MAX( 0, TREND( ED$96:ED$100, $A$96:$A$100, $A115 ) )  )</f>
        <v>14443.974227240009</v>
      </c>
      <c r="EE115" s="253">
        <f t="shared" si="208"/>
        <v>10449.339093280008</v>
      </c>
      <c r="EF115" s="253">
        <f t="shared" si="208"/>
        <v>14443.974227240009</v>
      </c>
      <c r="EG115" s="253">
        <f t="shared" si="208"/>
        <v>10449.339093280008</v>
      </c>
      <c r="EH115" s="253">
        <f t="shared" si="208"/>
        <v>14443.974227240009</v>
      </c>
      <c r="EI115" s="253">
        <f t="shared" si="208"/>
        <v>10449.339093280008</v>
      </c>
      <c r="EJ115" s="181">
        <f t="shared" si="80"/>
        <v>0.24678409210423774</v>
      </c>
      <c r="EL115" s="253">
        <f t="shared" ref="EL115:EQ115" si="209" xml:space="preserve"> MAX(  EL114 * 0.9,  MAX( 0, TREND( EL$96:EL$100, $A$96:$A$100, $A115 ) )  )</f>
        <v>11996.564794060003</v>
      </c>
      <c r="EM115" s="253">
        <f t="shared" si="209"/>
        <v>9958.1591891700027</v>
      </c>
      <c r="EN115" s="253">
        <f t="shared" si="209"/>
        <v>11996.564794060003</v>
      </c>
      <c r="EO115" s="253">
        <f t="shared" si="209"/>
        <v>9958.1591891700027</v>
      </c>
      <c r="EP115" s="253">
        <f t="shared" si="209"/>
        <v>11996.564794060003</v>
      </c>
      <c r="EQ115" s="253">
        <f t="shared" si="209"/>
        <v>9958.1591891700027</v>
      </c>
      <c r="ER115" s="181">
        <f t="shared" si="82"/>
        <v>0.23955028343524132</v>
      </c>
      <c r="ET115" s="253">
        <f t="shared" ref="ET115:EY115" si="210" xml:space="preserve"> MAX(  ET114 * 0.9,  MAX( 0, TREND( ET$96:ET$100, $A$96:$A$100, $A115 ) )  )</f>
        <v>11825.303681460004</v>
      </c>
      <c r="EU115" s="253">
        <f t="shared" si="210"/>
        <v>8979.4308738399941</v>
      </c>
      <c r="EV115" s="253">
        <f t="shared" si="210"/>
        <v>11825.303681460004</v>
      </c>
      <c r="EW115" s="253">
        <f t="shared" si="210"/>
        <v>8979.4308738399941</v>
      </c>
      <c r="EX115" s="253">
        <f t="shared" si="210"/>
        <v>11825.303681460004</v>
      </c>
      <c r="EY115" s="253">
        <f t="shared" si="210"/>
        <v>8979.4308738399941</v>
      </c>
      <c r="EZ115" s="181">
        <f t="shared" si="84"/>
        <v>0.24861415021641745</v>
      </c>
      <c r="FB115" s="253">
        <f t="shared" ref="FB115:FG115" si="211" xml:space="preserve"> MAX(  FB114 * 0.9,  MAX( 0, TREND( FB$96:FB$100, $A$96:$A$100, $A115 ) )  )</f>
        <v>47.270116599342806</v>
      </c>
      <c r="FC115" s="253">
        <f t="shared" si="211"/>
        <v>33.583509687728544</v>
      </c>
      <c r="FD115" s="253">
        <f t="shared" si="211"/>
        <v>47.270116599342806</v>
      </c>
      <c r="FE115" s="253">
        <f t="shared" si="211"/>
        <v>33.583509687728544</v>
      </c>
      <c r="FF115" s="253">
        <f t="shared" si="211"/>
        <v>47.270116599342806</v>
      </c>
      <c r="FG115" s="253">
        <f t="shared" si="211"/>
        <v>33.583509687728544</v>
      </c>
      <c r="FH115" s="181">
        <f t="shared" si="86"/>
        <v>0.24131645732181609</v>
      </c>
      <c r="FJ115" s="253">
        <f t="shared" ref="FJ115:FO115" si="212" xml:space="preserve"> MAX(  FJ114 * 0.9,  MAX( 0, TREND( FJ$96:FJ$100, $A$96:$A$100, $A115 ) )  )</f>
        <v>2460.628355625</v>
      </c>
      <c r="FK115" s="253">
        <f t="shared" si="212"/>
        <v>1467.2247795000005</v>
      </c>
      <c r="FL115" s="253">
        <f t="shared" si="212"/>
        <v>2460.628355625</v>
      </c>
      <c r="FM115" s="253">
        <f t="shared" si="212"/>
        <v>1467.2247795000005</v>
      </c>
      <c r="FN115" s="253">
        <f t="shared" si="212"/>
        <v>2460.628355625</v>
      </c>
      <c r="FO115" s="253">
        <f t="shared" si="212"/>
        <v>1467.2247795000005</v>
      </c>
      <c r="FP115" s="181">
        <f t="shared" si="88"/>
        <v>0.24583836257643332</v>
      </c>
      <c r="FS115" s="253">
        <f t="shared" ref="FS115:FX115" si="213" xml:space="preserve"> MAX(  FS114 * 0.9,  MAX( 0, TREND( FS$96:FS$100, $A$96:$A$100, $A115 ) )  )</f>
        <v>7621.4511615000001</v>
      </c>
      <c r="FT115" s="253">
        <f t="shared" si="213"/>
        <v>6048.6376672000006</v>
      </c>
      <c r="FU115" s="253">
        <f t="shared" si="213"/>
        <v>7621.4511615000001</v>
      </c>
      <c r="FV115" s="253">
        <f t="shared" si="213"/>
        <v>6048.6376672000006</v>
      </c>
      <c r="FW115" s="253">
        <f t="shared" si="213"/>
        <v>7621.4511615000001</v>
      </c>
      <c r="FX115" s="253">
        <f t="shared" si="213"/>
        <v>6048.6376672000006</v>
      </c>
      <c r="FY115" s="181">
        <f t="shared" si="90"/>
        <v>0.26127946755077081</v>
      </c>
      <c r="GA115" s="253">
        <f t="shared" ref="GA115:GF115" si="214" xml:space="preserve"> MAX(  GA114 * 0.9,  MAX( 0, TREND( GA$96:GA$100, $A$96:$A$100, $A115 ) )  )</f>
        <v>7270.9805591999966</v>
      </c>
      <c r="GB115" s="253">
        <f t="shared" si="214"/>
        <v>6502.4163090000056</v>
      </c>
      <c r="GC115" s="253">
        <f t="shared" si="214"/>
        <v>7270.9805591999966</v>
      </c>
      <c r="GD115" s="253">
        <f t="shared" si="214"/>
        <v>6502.4163090000056</v>
      </c>
      <c r="GE115" s="253">
        <f t="shared" si="214"/>
        <v>7270.9805591999966</v>
      </c>
      <c r="GF115" s="253">
        <f t="shared" si="214"/>
        <v>6502.4163090000056</v>
      </c>
      <c r="GG115" s="181">
        <f t="shared" si="92"/>
        <v>0.15</v>
      </c>
      <c r="GI115" s="253">
        <f t="shared" ref="GI115:GN115" si="215" xml:space="preserve"> MAX(  GI114 * 0.9,  MAX( 0, TREND( GI$96:GI$100, $A$96:$A$100, $A115 ) )  )</f>
        <v>8212.3497014999957</v>
      </c>
      <c r="GJ115" s="253">
        <f t="shared" si="215"/>
        <v>6602.4358784999959</v>
      </c>
      <c r="GK115" s="253">
        <f t="shared" si="215"/>
        <v>8212.3497014999957</v>
      </c>
      <c r="GL115" s="253">
        <f t="shared" si="215"/>
        <v>6602.4358784999959</v>
      </c>
      <c r="GM115" s="253">
        <f t="shared" si="215"/>
        <v>8212.3497014999957</v>
      </c>
      <c r="GN115" s="253">
        <f t="shared" si="215"/>
        <v>6602.4358784999959</v>
      </c>
      <c r="GO115" s="181">
        <f t="shared" si="94"/>
        <v>0.85</v>
      </c>
    </row>
    <row r="116" spans="1:197" x14ac:dyDescent="0.2">
      <c r="A116" s="3">
        <f>Basis!A116</f>
        <v>116</v>
      </c>
      <c r="D116" s="252" t="e">
        <v>#N/A</v>
      </c>
      <c r="E116" s="252" t="e">
        <v>#N/A</v>
      </c>
      <c r="H116" s="253">
        <f t="shared" si="95"/>
        <v>15273.592220662869</v>
      </c>
      <c r="I116" s="253">
        <f t="shared" si="8"/>
        <v>11392.57079389233</v>
      </c>
      <c r="J116" s="253">
        <f t="shared" si="9"/>
        <v>15273.592220662869</v>
      </c>
      <c r="K116" s="253">
        <f t="shared" si="10"/>
        <v>11392.57079389233</v>
      </c>
      <c r="L116" s="253">
        <f t="shared" si="11"/>
        <v>15273.592220662869</v>
      </c>
      <c r="M116" s="253">
        <f t="shared" si="12"/>
        <v>11392.57079389233</v>
      </c>
      <c r="N116" s="181">
        <f t="shared" si="13"/>
        <v>0.15</v>
      </c>
      <c r="P116" s="253">
        <f t="shared" si="96"/>
        <v>13002.673949154532</v>
      </c>
      <c r="Q116" s="253">
        <f t="shared" si="14"/>
        <v>10164.512196166714</v>
      </c>
      <c r="R116" s="253">
        <f t="shared" si="15"/>
        <v>13002.673949154532</v>
      </c>
      <c r="S116" s="253">
        <f t="shared" si="16"/>
        <v>10164.512196166714</v>
      </c>
      <c r="T116" s="253">
        <f t="shared" si="17"/>
        <v>13002.673949154532</v>
      </c>
      <c r="U116" s="253">
        <f t="shared" si="18"/>
        <v>10164.512196166714</v>
      </c>
      <c r="V116" s="181">
        <f t="shared" si="19"/>
        <v>0.24258687540636581</v>
      </c>
      <c r="X116" s="253">
        <f t="shared" si="97"/>
        <v>10099.276795890044</v>
      </c>
      <c r="Y116" s="253">
        <f t="shared" si="20"/>
        <v>7715.9185724568051</v>
      </c>
      <c r="Z116" s="253">
        <f t="shared" si="21"/>
        <v>10099.276795890044</v>
      </c>
      <c r="AA116" s="253">
        <f t="shared" si="22"/>
        <v>7715.9185724568051</v>
      </c>
      <c r="AB116" s="253">
        <f t="shared" si="23"/>
        <v>10099.276795890044</v>
      </c>
      <c r="AC116" s="253">
        <f t="shared" si="24"/>
        <v>7715.9185724568051</v>
      </c>
      <c r="AD116" s="181">
        <f t="shared" si="25"/>
        <v>0.16394634243045003</v>
      </c>
      <c r="AF116" s="253">
        <f t="shared" si="98"/>
        <v>1844.5937371300213</v>
      </c>
      <c r="AG116" s="253">
        <f t="shared" si="26"/>
        <v>1079.3692456837039</v>
      </c>
      <c r="AH116" s="253">
        <f t="shared" si="27"/>
        <v>1844.5937371300213</v>
      </c>
      <c r="AI116" s="253">
        <f t="shared" si="28"/>
        <v>1079.3692456837039</v>
      </c>
      <c r="AJ116" s="253">
        <f t="shared" si="29"/>
        <v>1844.5937371300213</v>
      </c>
      <c r="AK116" s="253">
        <f t="shared" si="30"/>
        <v>1079.3692456837039</v>
      </c>
      <c r="AL116" s="181">
        <f t="shared" si="31"/>
        <v>0.15</v>
      </c>
      <c r="AN116" s="253">
        <f t="shared" si="99"/>
        <v>29.207610933997181</v>
      </c>
      <c r="AO116" s="253">
        <f t="shared" si="32"/>
        <v>17.17750598894369</v>
      </c>
      <c r="AP116" s="253">
        <f t="shared" si="32"/>
        <v>29.207610933997181</v>
      </c>
      <c r="AQ116" s="253">
        <f t="shared" si="32"/>
        <v>17.17750598894369</v>
      </c>
      <c r="AR116" s="253">
        <f t="shared" si="32"/>
        <v>29.207610933997181</v>
      </c>
      <c r="AS116" s="253">
        <f t="shared" si="32"/>
        <v>17.17750598894369</v>
      </c>
      <c r="AT116" s="181">
        <f t="shared" si="33"/>
        <v>0.85</v>
      </c>
      <c r="AX116" s="253">
        <f t="shared" si="100"/>
        <v>16355.948526519995</v>
      </c>
      <c r="AY116" s="253">
        <f t="shared" si="34"/>
        <v>11588.86354016</v>
      </c>
      <c r="AZ116" s="253">
        <f t="shared" si="35"/>
        <v>16355.948526519995</v>
      </c>
      <c r="BA116" s="253">
        <f t="shared" si="36"/>
        <v>11588.86354016</v>
      </c>
      <c r="BB116" s="253">
        <f t="shared" si="37"/>
        <v>16355.948526519995</v>
      </c>
      <c r="BC116" s="253">
        <f t="shared" si="38"/>
        <v>11588.86354016</v>
      </c>
      <c r="BD116" s="181">
        <f t="shared" si="39"/>
        <v>0.15</v>
      </c>
      <c r="BF116" s="253">
        <f t="shared" si="101"/>
        <v>11951.900527479997</v>
      </c>
      <c r="BG116" s="253">
        <f t="shared" si="40"/>
        <v>9658.3146936399971</v>
      </c>
      <c r="BH116" s="253">
        <f t="shared" si="41"/>
        <v>11951.900527479997</v>
      </c>
      <c r="BI116" s="253">
        <f t="shared" si="42"/>
        <v>9658.3146936399971</v>
      </c>
      <c r="BJ116" s="253">
        <f t="shared" si="43"/>
        <v>11951.900527479997</v>
      </c>
      <c r="BK116" s="253">
        <f t="shared" si="44"/>
        <v>9658.3146936399971</v>
      </c>
      <c r="BL116" s="181">
        <f t="shared" si="45"/>
        <v>0.15985643713289788</v>
      </c>
      <c r="BN116" s="253">
        <f t="shared" si="102"/>
        <v>10578.365747400003</v>
      </c>
      <c r="BO116" s="253">
        <f t="shared" si="46"/>
        <v>7786.8317175999946</v>
      </c>
      <c r="BP116" s="253">
        <f t="shared" si="47"/>
        <v>10578.365747400003</v>
      </c>
      <c r="BQ116" s="253">
        <f t="shared" si="48"/>
        <v>7786.8317175999946</v>
      </c>
      <c r="BR116" s="253">
        <f t="shared" si="49"/>
        <v>10578.365747400003</v>
      </c>
      <c r="BS116" s="253">
        <f t="shared" si="50"/>
        <v>7786.8317175999946</v>
      </c>
      <c r="BT116" s="181">
        <f t="shared" si="51"/>
        <v>0.15</v>
      </c>
      <c r="BV116" s="253">
        <f t="shared" si="103"/>
        <v>38.064123404248839</v>
      </c>
      <c r="BW116" s="253">
        <f t="shared" si="52"/>
        <v>13.45331844777391</v>
      </c>
      <c r="BX116" s="253">
        <f t="shared" si="53"/>
        <v>38.064123404248839</v>
      </c>
      <c r="BY116" s="253">
        <f t="shared" si="54"/>
        <v>13.45331844777391</v>
      </c>
      <c r="BZ116" s="253">
        <f t="shared" si="55"/>
        <v>38.064123404248839</v>
      </c>
      <c r="CA116" s="253">
        <f t="shared" si="56"/>
        <v>13.45331844777391</v>
      </c>
      <c r="CB116" s="181">
        <f t="shared" si="57"/>
        <v>0.15342470148277787</v>
      </c>
      <c r="CD116" s="253">
        <f t="shared" si="58"/>
        <v>2432.9040817499995</v>
      </c>
      <c r="CE116" s="253">
        <f t="shared" si="59"/>
        <v>1338.3908595000003</v>
      </c>
      <c r="CF116" s="253">
        <f t="shared" si="60"/>
        <v>2432.9040817499995</v>
      </c>
      <c r="CG116" s="253">
        <f t="shared" si="61"/>
        <v>1338.3908595000003</v>
      </c>
      <c r="CH116" s="253">
        <f t="shared" si="62"/>
        <v>2432.9040817499995</v>
      </c>
      <c r="CI116" s="253">
        <f t="shared" si="63"/>
        <v>1338.3908595000003</v>
      </c>
      <c r="CJ116" s="181">
        <f t="shared" si="64"/>
        <v>0.17389602372815008</v>
      </c>
      <c r="CN116" s="253">
        <f t="shared" si="65"/>
        <v>16636.228153680007</v>
      </c>
      <c r="CO116" s="253">
        <f t="shared" si="66"/>
        <v>11772.562775520004</v>
      </c>
      <c r="CP116" s="253">
        <f t="shared" si="66"/>
        <v>16636.228153680007</v>
      </c>
      <c r="CQ116" s="253">
        <f t="shared" si="66"/>
        <v>11772.562775520004</v>
      </c>
      <c r="CR116" s="253">
        <f t="shared" si="66"/>
        <v>16636.228153680007</v>
      </c>
      <c r="CS116" s="253">
        <f t="shared" si="66"/>
        <v>11772.562775520004</v>
      </c>
      <c r="CT116" s="181">
        <f t="shared" si="67"/>
        <v>0.19041039904059556</v>
      </c>
      <c r="CV116" s="253">
        <f t="shared" si="68"/>
        <v>11031.209950820015</v>
      </c>
      <c r="CW116" s="253">
        <f t="shared" si="69"/>
        <v>8721.4618552800075</v>
      </c>
      <c r="CX116" s="253">
        <f t="shared" si="69"/>
        <v>11031.209950820015</v>
      </c>
      <c r="CY116" s="253">
        <f t="shared" si="69"/>
        <v>8721.4618552800075</v>
      </c>
      <c r="CZ116" s="253">
        <f t="shared" si="69"/>
        <v>11031.209950820015</v>
      </c>
      <c r="DA116" s="253">
        <f t="shared" si="69"/>
        <v>8721.4618552800075</v>
      </c>
      <c r="DB116" s="181">
        <f t="shared" si="70"/>
        <v>0.19408014757495892</v>
      </c>
      <c r="DC116" s="1"/>
      <c r="DD116" s="253">
        <f t="shared" si="71"/>
        <v>10394.717508799997</v>
      </c>
      <c r="DE116" s="253">
        <f t="shared" si="72"/>
        <v>7586.9084716399993</v>
      </c>
      <c r="DF116" s="253">
        <f t="shared" si="72"/>
        <v>10394.717508799997</v>
      </c>
      <c r="DG116" s="253">
        <f t="shared" si="72"/>
        <v>7586.9084716399993</v>
      </c>
      <c r="DH116" s="253">
        <f t="shared" si="72"/>
        <v>10394.717508799997</v>
      </c>
      <c r="DI116" s="253">
        <f t="shared" si="72"/>
        <v>7586.9084716399993</v>
      </c>
      <c r="DJ116" s="181">
        <f t="shared" si="73"/>
        <v>0.23101971710284955</v>
      </c>
      <c r="DK116" s="1"/>
      <c r="DL116" s="253">
        <f t="shared" si="74"/>
        <v>39.806939331073522</v>
      </c>
      <c r="DM116" s="253">
        <f t="shared" si="75"/>
        <v>15.944542137720703</v>
      </c>
      <c r="DN116" s="253">
        <f t="shared" si="75"/>
        <v>39.806939331073522</v>
      </c>
      <c r="DO116" s="253">
        <f t="shared" si="75"/>
        <v>15.944542137720703</v>
      </c>
      <c r="DP116" s="253">
        <f t="shared" si="75"/>
        <v>39.806939331073522</v>
      </c>
      <c r="DQ116" s="253">
        <f t="shared" si="75"/>
        <v>15.944542137720703</v>
      </c>
      <c r="DR116" s="181">
        <f t="shared" si="76"/>
        <v>0.20219429630985816</v>
      </c>
      <c r="DS116" s="1"/>
      <c r="DT116" s="253">
        <f t="shared" si="77"/>
        <v>3149.8219938000016</v>
      </c>
      <c r="DU116" s="253">
        <f t="shared" si="77"/>
        <v>2045.6212620000006</v>
      </c>
      <c r="DV116" s="253">
        <f t="shared" si="77"/>
        <v>3149.8219938000016</v>
      </c>
      <c r="DW116" s="253">
        <f t="shared" si="77"/>
        <v>2045.6212620000006</v>
      </c>
      <c r="DX116" s="253">
        <f t="shared" si="77"/>
        <v>3149.8219938000016</v>
      </c>
      <c r="DY116" s="253">
        <f t="shared" si="77"/>
        <v>2045.6212620000006</v>
      </c>
      <c r="DZ116" s="181">
        <f t="shared" si="78"/>
        <v>0.24125193760100261</v>
      </c>
      <c r="ED116" s="253">
        <f t="shared" ref="ED116:EI116" si="216" xml:space="preserve"> MAX(  ED115 * 0.9,  MAX( 0, TREND( ED$96:ED$100, $A$96:$A$100, $A116 ) )  )</f>
        <v>14522.66413468001</v>
      </c>
      <c r="EE116" s="253">
        <f t="shared" si="216"/>
        <v>10462.055198080008</v>
      </c>
      <c r="EF116" s="253">
        <f t="shared" si="216"/>
        <v>14522.66413468001</v>
      </c>
      <c r="EG116" s="253">
        <f t="shared" si="216"/>
        <v>10462.055198080008</v>
      </c>
      <c r="EH116" s="253">
        <f t="shared" si="216"/>
        <v>14522.66413468001</v>
      </c>
      <c r="EI116" s="253">
        <f t="shared" si="216"/>
        <v>10462.055198080008</v>
      </c>
      <c r="EJ116" s="181">
        <f t="shared" si="80"/>
        <v>0.24678409210423774</v>
      </c>
      <c r="EL116" s="253">
        <f t="shared" ref="EL116:EQ116" si="217" xml:space="preserve"> MAX(  EL115 * 0.9,  MAX( 0, TREND( EL$96:EL$100, $A$96:$A$100, $A116 ) )  )</f>
        <v>11996.335228720003</v>
      </c>
      <c r="EM116" s="253">
        <f t="shared" si="217"/>
        <v>9971.9686253200034</v>
      </c>
      <c r="EN116" s="253">
        <f t="shared" si="217"/>
        <v>11996.335228720003</v>
      </c>
      <c r="EO116" s="253">
        <f t="shared" si="217"/>
        <v>9971.9686253200034</v>
      </c>
      <c r="EP116" s="253">
        <f t="shared" si="217"/>
        <v>11996.335228720003</v>
      </c>
      <c r="EQ116" s="253">
        <f t="shared" si="217"/>
        <v>9971.9686253200034</v>
      </c>
      <c r="ER116" s="181">
        <f t="shared" si="82"/>
        <v>0.23955028343524132</v>
      </c>
      <c r="ET116" s="253">
        <f t="shared" ref="ET116:EY116" si="218" xml:space="preserve"> MAX(  ET115 * 0.9,  MAX( 0, TREND( ET$96:ET$100, $A$96:$A$100, $A116 ) )  )</f>
        <v>11877.600916560004</v>
      </c>
      <c r="EU116" s="253">
        <f t="shared" si="218"/>
        <v>9000.5813025599946</v>
      </c>
      <c r="EV116" s="253">
        <f t="shared" si="218"/>
        <v>11877.600916560004</v>
      </c>
      <c r="EW116" s="253">
        <f t="shared" si="218"/>
        <v>9000.5813025599946</v>
      </c>
      <c r="EX116" s="253">
        <f t="shared" si="218"/>
        <v>11877.600916560004</v>
      </c>
      <c r="EY116" s="253">
        <f t="shared" si="218"/>
        <v>9000.5813025599946</v>
      </c>
      <c r="EZ116" s="181">
        <f t="shared" si="84"/>
        <v>0.24861415021641745</v>
      </c>
      <c r="FB116" s="253">
        <f t="shared" ref="FB116:FG116" si="219" xml:space="preserve"> MAX(  FB115 * 0.9,  MAX( 0, TREND( FB$96:FB$100, $A$96:$A$100, $A116 ) )  )</f>
        <v>42.543104939408529</v>
      </c>
      <c r="FC116" s="253">
        <f t="shared" si="219"/>
        <v>30.22515871895569</v>
      </c>
      <c r="FD116" s="253">
        <f t="shared" si="219"/>
        <v>42.543104939408529</v>
      </c>
      <c r="FE116" s="253">
        <f t="shared" si="219"/>
        <v>30.22515871895569</v>
      </c>
      <c r="FF116" s="253">
        <f t="shared" si="219"/>
        <v>42.543104939408529</v>
      </c>
      <c r="FG116" s="253">
        <f t="shared" si="219"/>
        <v>30.22515871895569</v>
      </c>
      <c r="FH116" s="181">
        <f t="shared" si="86"/>
        <v>0.24131645732181609</v>
      </c>
      <c r="FJ116" s="253">
        <f t="shared" ref="FJ116:FO116" si="220" xml:space="preserve"> MAX(  FJ115 * 0.9,  MAX( 0, TREND( FJ$96:FJ$100, $A$96:$A$100, $A116 ) )  )</f>
        <v>2490.1098389999997</v>
      </c>
      <c r="FK116" s="253">
        <f t="shared" si="220"/>
        <v>1467.2247795000005</v>
      </c>
      <c r="FL116" s="253">
        <f t="shared" si="220"/>
        <v>2490.1098389999997</v>
      </c>
      <c r="FM116" s="253">
        <f t="shared" si="220"/>
        <v>1467.2247795000005</v>
      </c>
      <c r="FN116" s="253">
        <f t="shared" si="220"/>
        <v>2490.1098389999997</v>
      </c>
      <c r="FO116" s="253">
        <f t="shared" si="220"/>
        <v>1467.2247795000005</v>
      </c>
      <c r="FP116" s="181">
        <f t="shared" si="88"/>
        <v>0.24583836257643332</v>
      </c>
      <c r="FS116" s="253">
        <f t="shared" ref="FS116:FX116" si="221" xml:space="preserve"> MAX(  FS115 * 0.9,  MAX( 0, TREND( FS$96:FS$100, $A$96:$A$100, $A116 ) )  )</f>
        <v>7686.7185709999994</v>
      </c>
      <c r="FT116" s="253">
        <f t="shared" si="221"/>
        <v>6084.1695576000011</v>
      </c>
      <c r="FU116" s="253">
        <f t="shared" si="221"/>
        <v>7686.7185709999994</v>
      </c>
      <c r="FV116" s="253">
        <f t="shared" si="221"/>
        <v>6084.1695576000011</v>
      </c>
      <c r="FW116" s="253">
        <f t="shared" si="221"/>
        <v>7686.7185709999994</v>
      </c>
      <c r="FX116" s="253">
        <f t="shared" si="221"/>
        <v>6084.1695576000011</v>
      </c>
      <c r="FY116" s="181">
        <f t="shared" si="90"/>
        <v>0.26127946755077081</v>
      </c>
      <c r="GA116" s="253">
        <f t="shared" ref="GA116:GF116" si="222" xml:space="preserve"> MAX(  GA115 * 0.9,  MAX( 0, TREND( GA$96:GA$100, $A$96:$A$100, $A116 ) )  )</f>
        <v>7334.1900287999961</v>
      </c>
      <c r="GB116" s="253">
        <f t="shared" si="222"/>
        <v>6556.5657718000057</v>
      </c>
      <c r="GC116" s="253">
        <f t="shared" si="222"/>
        <v>7334.1900287999961</v>
      </c>
      <c r="GD116" s="253">
        <f t="shared" si="222"/>
        <v>6556.5657718000057</v>
      </c>
      <c r="GE116" s="253">
        <f t="shared" si="222"/>
        <v>7334.1900287999961</v>
      </c>
      <c r="GF116" s="253">
        <f t="shared" si="222"/>
        <v>6556.5657718000057</v>
      </c>
      <c r="GG116" s="181">
        <f t="shared" si="92"/>
        <v>0.15</v>
      </c>
      <c r="GI116" s="253">
        <f t="shared" ref="GI116:GN116" si="223" xml:space="preserve"> MAX(  GI115 * 0.9,  MAX( 0, TREND( GI$96:GI$100, $A$96:$A$100, $A116 ) )  )</f>
        <v>8306.1061789999949</v>
      </c>
      <c r="GJ116" s="253">
        <f t="shared" si="223"/>
        <v>6654.9470147999964</v>
      </c>
      <c r="GK116" s="253">
        <f t="shared" si="223"/>
        <v>8306.1061789999949</v>
      </c>
      <c r="GL116" s="253">
        <f t="shared" si="223"/>
        <v>6654.9470147999964</v>
      </c>
      <c r="GM116" s="253">
        <f t="shared" si="223"/>
        <v>8306.1061789999949</v>
      </c>
      <c r="GN116" s="253">
        <f t="shared" si="223"/>
        <v>6654.9470147999964</v>
      </c>
      <c r="GO116" s="181">
        <f t="shared" si="94"/>
        <v>0.85</v>
      </c>
    </row>
    <row r="117" spans="1:197" x14ac:dyDescent="0.2">
      <c r="A117" s="3">
        <f>Basis!A117</f>
        <v>117</v>
      </c>
      <c r="D117" s="252" t="e">
        <v>#N/A</v>
      </c>
      <c r="E117" s="252" t="e">
        <v>#N/A</v>
      </c>
      <c r="H117" s="253">
        <f t="shared" si="95"/>
        <v>15403.647285298057</v>
      </c>
      <c r="I117" s="253">
        <f t="shared" si="8"/>
        <v>11440.921126621262</v>
      </c>
      <c r="J117" s="253">
        <f t="shared" si="9"/>
        <v>15403.647285298057</v>
      </c>
      <c r="K117" s="253">
        <f t="shared" si="10"/>
        <v>11440.921126621262</v>
      </c>
      <c r="L117" s="253">
        <f t="shared" si="11"/>
        <v>15403.647285298057</v>
      </c>
      <c r="M117" s="253">
        <f t="shared" si="12"/>
        <v>11440.921126621262</v>
      </c>
      <c r="N117" s="181">
        <f t="shared" si="13"/>
        <v>0.15</v>
      </c>
      <c r="P117" s="253">
        <f t="shared" si="96"/>
        <v>13091.142418701449</v>
      </c>
      <c r="Q117" s="253">
        <f t="shared" si="14"/>
        <v>10195.127338236367</v>
      </c>
      <c r="R117" s="253">
        <f t="shared" si="15"/>
        <v>13091.142418701449</v>
      </c>
      <c r="S117" s="253">
        <f t="shared" si="16"/>
        <v>10195.127338236367</v>
      </c>
      <c r="T117" s="253">
        <f t="shared" si="17"/>
        <v>13091.142418701449</v>
      </c>
      <c r="U117" s="253">
        <f t="shared" si="18"/>
        <v>10195.127338236367</v>
      </c>
      <c r="V117" s="181">
        <f t="shared" si="19"/>
        <v>0.24258687540636581</v>
      </c>
      <c r="X117" s="253">
        <f t="shared" si="97"/>
        <v>10178.728942675541</v>
      </c>
      <c r="Y117" s="253">
        <f t="shared" si="20"/>
        <v>7743.7637607443285</v>
      </c>
      <c r="Z117" s="253">
        <f t="shared" si="21"/>
        <v>10178.728942675541</v>
      </c>
      <c r="AA117" s="253">
        <f t="shared" si="22"/>
        <v>7743.7637607443285</v>
      </c>
      <c r="AB117" s="253">
        <f t="shared" si="23"/>
        <v>10178.728942675541</v>
      </c>
      <c r="AC117" s="253">
        <f t="shared" si="24"/>
        <v>7743.7637607443285</v>
      </c>
      <c r="AD117" s="181">
        <f t="shared" si="25"/>
        <v>0.16394634243045003</v>
      </c>
      <c r="AF117" s="253">
        <f t="shared" si="98"/>
        <v>1847.9367691300213</v>
      </c>
      <c r="AG117" s="253">
        <f t="shared" si="26"/>
        <v>1079.3692456837039</v>
      </c>
      <c r="AH117" s="253">
        <f t="shared" si="27"/>
        <v>1847.9367691300213</v>
      </c>
      <c r="AI117" s="253">
        <f t="shared" si="28"/>
        <v>1079.3692456837039</v>
      </c>
      <c r="AJ117" s="253">
        <f t="shared" si="29"/>
        <v>1847.9367691300213</v>
      </c>
      <c r="AK117" s="253">
        <f t="shared" si="30"/>
        <v>1079.3692456837039</v>
      </c>
      <c r="AL117" s="181">
        <f t="shared" si="31"/>
        <v>0.15</v>
      </c>
      <c r="AN117" s="253">
        <f t="shared" si="99"/>
        <v>26.286849840597462</v>
      </c>
      <c r="AO117" s="253">
        <f t="shared" si="99"/>
        <v>15.45975539004932</v>
      </c>
      <c r="AP117" s="253">
        <f t="shared" si="99"/>
        <v>26.286849840597462</v>
      </c>
      <c r="AQ117" s="253">
        <f t="shared" si="99"/>
        <v>15.45975539004932</v>
      </c>
      <c r="AR117" s="253">
        <f t="shared" si="99"/>
        <v>26.286849840597462</v>
      </c>
      <c r="AS117" s="253">
        <f t="shared" si="99"/>
        <v>15.45975539004932</v>
      </c>
      <c r="AT117" s="181">
        <f t="shared" si="33"/>
        <v>0.85</v>
      </c>
      <c r="AX117" s="253">
        <f t="shared" si="100"/>
        <v>16476.886147799996</v>
      </c>
      <c r="AY117" s="253">
        <f t="shared" si="34"/>
        <v>11615.458554519999</v>
      </c>
      <c r="AZ117" s="253">
        <f t="shared" si="35"/>
        <v>16476.886147799996</v>
      </c>
      <c r="BA117" s="253">
        <f t="shared" si="36"/>
        <v>11615.458554519999</v>
      </c>
      <c r="BB117" s="253">
        <f t="shared" si="37"/>
        <v>16476.886147799996</v>
      </c>
      <c r="BC117" s="253">
        <f t="shared" si="38"/>
        <v>11615.458554519999</v>
      </c>
      <c r="BD117" s="181">
        <f t="shared" si="39"/>
        <v>0.15</v>
      </c>
      <c r="BF117" s="253">
        <f t="shared" si="101"/>
        <v>11966.821039149996</v>
      </c>
      <c r="BG117" s="253">
        <f t="shared" si="40"/>
        <v>9661.8364196799976</v>
      </c>
      <c r="BH117" s="253">
        <f t="shared" si="41"/>
        <v>11966.821039149996</v>
      </c>
      <c r="BI117" s="253">
        <f t="shared" si="42"/>
        <v>9661.8364196799976</v>
      </c>
      <c r="BJ117" s="253">
        <f t="shared" si="43"/>
        <v>11966.821039149996</v>
      </c>
      <c r="BK117" s="253">
        <f t="shared" si="44"/>
        <v>9661.8364196799976</v>
      </c>
      <c r="BL117" s="181">
        <f t="shared" si="45"/>
        <v>0.15985643713289788</v>
      </c>
      <c r="BN117" s="253">
        <f t="shared" si="102"/>
        <v>10631.522561500005</v>
      </c>
      <c r="BO117" s="253">
        <f t="shared" si="46"/>
        <v>7782.4302536199948</v>
      </c>
      <c r="BP117" s="253">
        <f t="shared" si="47"/>
        <v>10631.522561500005</v>
      </c>
      <c r="BQ117" s="253">
        <f t="shared" si="48"/>
        <v>7782.4302536199948</v>
      </c>
      <c r="BR117" s="253">
        <f t="shared" si="49"/>
        <v>10631.522561500005</v>
      </c>
      <c r="BS117" s="253">
        <f t="shared" si="50"/>
        <v>7782.4302536199948</v>
      </c>
      <c r="BT117" s="181">
        <f t="shared" si="51"/>
        <v>0.15</v>
      </c>
      <c r="BV117" s="253">
        <f t="shared" si="103"/>
        <v>34.257711063823955</v>
      </c>
      <c r="BW117" s="253">
        <f t="shared" si="52"/>
        <v>12.107986602996519</v>
      </c>
      <c r="BX117" s="253">
        <f t="shared" si="53"/>
        <v>34.257711063823955</v>
      </c>
      <c r="BY117" s="253">
        <f t="shared" si="54"/>
        <v>12.107986602996519</v>
      </c>
      <c r="BZ117" s="253">
        <f t="shared" si="55"/>
        <v>34.257711063823955</v>
      </c>
      <c r="CA117" s="253">
        <f t="shared" si="56"/>
        <v>12.107986602996519</v>
      </c>
      <c r="CB117" s="181">
        <f t="shared" si="57"/>
        <v>0.15342470148277787</v>
      </c>
      <c r="CD117" s="253">
        <f t="shared" si="58"/>
        <v>2456.6964745499995</v>
      </c>
      <c r="CE117" s="253">
        <f t="shared" si="59"/>
        <v>1338.3908595000003</v>
      </c>
      <c r="CF117" s="253">
        <f t="shared" si="60"/>
        <v>2456.6964745499995</v>
      </c>
      <c r="CG117" s="253">
        <f t="shared" si="61"/>
        <v>1338.3908595000003</v>
      </c>
      <c r="CH117" s="253">
        <f t="shared" si="62"/>
        <v>2456.6964745499995</v>
      </c>
      <c r="CI117" s="253">
        <f t="shared" si="63"/>
        <v>1338.3908595000003</v>
      </c>
      <c r="CJ117" s="181">
        <f t="shared" si="64"/>
        <v>0.17389602372815008</v>
      </c>
      <c r="CN117" s="253">
        <f t="shared" si="65"/>
        <v>16764.441971840006</v>
      </c>
      <c r="CO117" s="253">
        <f xml:space="preserve"> MAX(  CO116 * 0.9,  MAX( 0, TREND( CO$96:CO$100, $A$96:$A$100, $A117 ) )  )</f>
        <v>11801.272712080005</v>
      </c>
      <c r="CP117" s="253">
        <f xml:space="preserve"> MAX(  CP116 * 0.9,  MAX( 0, TREND( CP$96:CP$100, $A$96:$A$100, $A117 ) )  )</f>
        <v>16764.441971840006</v>
      </c>
      <c r="CQ117" s="253">
        <f xml:space="preserve"> MAX(  CQ116 * 0.9,  MAX( 0, TREND( CQ$96:CQ$100, $A$96:$A$100, $A117 ) )  )</f>
        <v>11801.272712080005</v>
      </c>
      <c r="CR117" s="253">
        <f xml:space="preserve"> MAX(  CR116 * 0.9,  MAX( 0, TREND( CR$96:CR$100, $A$96:$A$100, $A117 ) )  )</f>
        <v>16764.441971840006</v>
      </c>
      <c r="CS117" s="253">
        <f xml:space="preserve"> MAX(  CS116 * 0.9,  MAX( 0, TREND( CS$96:CS$100, $A$96:$A$100, $A117 ) )  )</f>
        <v>11801.272712080005</v>
      </c>
      <c r="CT117" s="181">
        <f t="shared" si="67"/>
        <v>0.19041039904059556</v>
      </c>
      <c r="CV117" s="253">
        <f t="shared" si="68"/>
        <v>11041.789956510018</v>
      </c>
      <c r="CW117" s="253">
        <f xml:space="preserve"> MAX(  CW116 * 0.9,  MAX( 0, TREND( CW$96:CW$100, $A$96:$A$100, $A117 ) )  )</f>
        <v>8731.5262874200071</v>
      </c>
      <c r="CX117" s="253">
        <f xml:space="preserve"> MAX(  CX116 * 0.9,  MAX( 0, TREND( CX$96:CX$100, $A$96:$A$100, $A117 ) )  )</f>
        <v>11041.789956510018</v>
      </c>
      <c r="CY117" s="253">
        <f xml:space="preserve"> MAX(  CY116 * 0.9,  MAX( 0, TREND( CY$96:CY$100, $A$96:$A$100, $A117 ) )  )</f>
        <v>8731.5262874200071</v>
      </c>
      <c r="CZ117" s="253">
        <f xml:space="preserve"> MAX(  CZ116 * 0.9,  MAX( 0, TREND( CZ$96:CZ$100, $A$96:$A$100, $A117 ) )  )</f>
        <v>11041.789956510018</v>
      </c>
      <c r="DA117" s="253">
        <f xml:space="preserve"> MAX(  DA116 * 0.9,  MAX( 0, TREND( DA$96:DA$100, $A$96:$A$100, $A117 ) )  )</f>
        <v>8731.5262874200071</v>
      </c>
      <c r="DB117" s="181">
        <f t="shared" si="70"/>
        <v>0.19408014757495892</v>
      </c>
      <c r="DC117" s="1"/>
      <c r="DD117" s="253">
        <f t="shared" si="71"/>
        <v>10462.372921919996</v>
      </c>
      <c r="DE117" s="253">
        <f xml:space="preserve"> MAX(  DE116 * 0.9,  MAX( 0, TREND( DE$96:DE$100, $A$96:$A$100, $A117 ) )  )</f>
        <v>7601.0446629399994</v>
      </c>
      <c r="DF117" s="253">
        <f xml:space="preserve"> MAX(  DF116 * 0.9,  MAX( 0, TREND( DF$96:DF$100, $A$96:$A$100, $A117 ) )  )</f>
        <v>10462.372921919996</v>
      </c>
      <c r="DG117" s="253">
        <f xml:space="preserve"> MAX(  DG116 * 0.9,  MAX( 0, TREND( DG$96:DG$100, $A$96:$A$100, $A117 ) )  )</f>
        <v>7601.0446629399994</v>
      </c>
      <c r="DH117" s="253">
        <f xml:space="preserve"> MAX(  DH116 * 0.9,  MAX( 0, TREND( DH$96:DH$100, $A$96:$A$100, $A117 ) )  )</f>
        <v>10462.372921919996</v>
      </c>
      <c r="DI117" s="253">
        <f xml:space="preserve"> MAX(  DI116 * 0.9,  MAX( 0, TREND( DI$96:DI$100, $A$96:$A$100, $A117 ) )  )</f>
        <v>7601.0446629399994</v>
      </c>
      <c r="DJ117" s="181">
        <f t="shared" si="73"/>
        <v>0.23101971710284955</v>
      </c>
      <c r="DK117" s="1"/>
      <c r="DL117" s="253">
        <f t="shared" si="74"/>
        <v>35.826245397966169</v>
      </c>
      <c r="DM117" s="253">
        <f xml:space="preserve"> MAX(  DM116 * 0.9,  MAX( 0, TREND( DM$96:DM$100, $A$96:$A$100, $A117 ) )  )</f>
        <v>14.350087923948633</v>
      </c>
      <c r="DN117" s="253">
        <f xml:space="preserve"> MAX(  DN116 * 0.9,  MAX( 0, TREND( DN$96:DN$100, $A$96:$A$100, $A117 ) )  )</f>
        <v>35.826245397966169</v>
      </c>
      <c r="DO117" s="253">
        <f xml:space="preserve"> MAX(  DO116 * 0.9,  MAX( 0, TREND( DO$96:DO$100, $A$96:$A$100, $A117 ) )  )</f>
        <v>14.350087923948633</v>
      </c>
      <c r="DP117" s="253">
        <f xml:space="preserve"> MAX(  DP116 * 0.9,  MAX( 0, TREND( DP$96:DP$100, $A$96:$A$100, $A117 ) )  )</f>
        <v>35.826245397966169</v>
      </c>
      <c r="DQ117" s="253">
        <f xml:space="preserve"> MAX(  DQ116 * 0.9,  MAX( 0, TREND( DQ$96:DQ$100, $A$96:$A$100, $A117 ) )  )</f>
        <v>14.350087923948633</v>
      </c>
      <c r="DR117" s="181">
        <f t="shared" si="76"/>
        <v>0.20219429630985816</v>
      </c>
      <c r="DS117" s="1"/>
      <c r="DT117" s="253">
        <f t="shared" ref="DT117:DY120" si="224" xml:space="preserve"> MAX(  DT116 * 0.9,  MAX( 0, TREND( DT$96:DT$100, $A$96:$A$100, $A117 ) )  )</f>
        <v>3171.093561000002</v>
      </c>
      <c r="DU117" s="253">
        <f t="shared" si="224"/>
        <v>2045.6212620000006</v>
      </c>
      <c r="DV117" s="253">
        <f t="shared" si="224"/>
        <v>3171.093561000002</v>
      </c>
      <c r="DW117" s="253">
        <f t="shared" si="224"/>
        <v>2045.6212620000006</v>
      </c>
      <c r="DX117" s="253">
        <f t="shared" si="224"/>
        <v>3171.093561000002</v>
      </c>
      <c r="DY117" s="253">
        <f t="shared" si="224"/>
        <v>2045.6212620000006</v>
      </c>
      <c r="DZ117" s="181">
        <f t="shared" si="78"/>
        <v>0.24125193760100261</v>
      </c>
      <c r="ED117" s="253">
        <f t="shared" ref="ED117:EI117" si="225" xml:space="preserve"> MAX(  ED116 * 0.9,  MAX( 0, TREND( ED$96:ED$100, $A$96:$A$100, $A117 ) )  )</f>
        <v>14601.35404212001</v>
      </c>
      <c r="EE117" s="253">
        <f t="shared" si="225"/>
        <v>10474.77130288001</v>
      </c>
      <c r="EF117" s="253">
        <f t="shared" si="225"/>
        <v>14601.35404212001</v>
      </c>
      <c r="EG117" s="253">
        <f t="shared" si="225"/>
        <v>10474.77130288001</v>
      </c>
      <c r="EH117" s="253">
        <f t="shared" si="225"/>
        <v>14601.35404212001</v>
      </c>
      <c r="EI117" s="253">
        <f t="shared" si="225"/>
        <v>10474.77130288001</v>
      </c>
      <c r="EJ117" s="181">
        <f t="shared" si="80"/>
        <v>0.24678409210423774</v>
      </c>
      <c r="EL117" s="253">
        <f t="shared" ref="EL117:EQ117" si="226" xml:space="preserve"> MAX(  EL116 * 0.9,  MAX( 0, TREND( EL$96:EL$100, $A$96:$A$100, $A117 ) )  )</f>
        <v>11996.105663380004</v>
      </c>
      <c r="EM117" s="253">
        <f t="shared" si="226"/>
        <v>9985.7780614700041</v>
      </c>
      <c r="EN117" s="253">
        <f t="shared" si="226"/>
        <v>11996.105663380004</v>
      </c>
      <c r="EO117" s="253">
        <f t="shared" si="226"/>
        <v>9985.7780614700041</v>
      </c>
      <c r="EP117" s="253">
        <f t="shared" si="226"/>
        <v>11996.105663380004</v>
      </c>
      <c r="EQ117" s="253">
        <f t="shared" si="226"/>
        <v>9985.7780614700041</v>
      </c>
      <c r="ER117" s="181">
        <f t="shared" si="82"/>
        <v>0.23955028343524132</v>
      </c>
      <c r="ET117" s="253">
        <f t="shared" ref="ET117:EY117" si="227" xml:space="preserve"> MAX(  ET116 * 0.9,  MAX( 0, TREND( ET$96:ET$100, $A$96:$A$100, $A117 ) )  )</f>
        <v>11929.898151660003</v>
      </c>
      <c r="EU117" s="253">
        <f t="shared" si="227"/>
        <v>9021.7317312799933</v>
      </c>
      <c r="EV117" s="253">
        <f t="shared" si="227"/>
        <v>11929.898151660003</v>
      </c>
      <c r="EW117" s="253">
        <f t="shared" si="227"/>
        <v>9021.7317312799933</v>
      </c>
      <c r="EX117" s="253">
        <f t="shared" si="227"/>
        <v>11929.898151660003</v>
      </c>
      <c r="EY117" s="253">
        <f t="shared" si="227"/>
        <v>9021.7317312799933</v>
      </c>
      <c r="EZ117" s="181">
        <f t="shared" si="84"/>
        <v>0.24861415021641745</v>
      </c>
      <c r="FB117" s="253">
        <f t="shared" ref="FB117:FG117" si="228" xml:space="preserve"> MAX(  FB116 * 0.9,  MAX( 0, TREND( FB$96:FB$100, $A$96:$A$100, $A117 ) )  )</f>
        <v>38.28879444546768</v>
      </c>
      <c r="FC117" s="253">
        <f t="shared" si="228"/>
        <v>27.202642847060122</v>
      </c>
      <c r="FD117" s="253">
        <f t="shared" si="228"/>
        <v>38.28879444546768</v>
      </c>
      <c r="FE117" s="253">
        <f t="shared" si="228"/>
        <v>27.202642847060122</v>
      </c>
      <c r="FF117" s="253">
        <f t="shared" si="228"/>
        <v>38.28879444546768</v>
      </c>
      <c r="FG117" s="253">
        <f t="shared" si="228"/>
        <v>27.202642847060122</v>
      </c>
      <c r="FH117" s="181">
        <f t="shared" si="86"/>
        <v>0.24131645732181609</v>
      </c>
      <c r="FJ117" s="253">
        <f t="shared" ref="FJ117:FO117" si="229" xml:space="preserve"> MAX(  FJ116 * 0.9,  MAX( 0, TREND( FJ$96:FJ$100, $A$96:$A$100, $A117 ) )  )</f>
        <v>2519.5913223749999</v>
      </c>
      <c r="FK117" s="253">
        <f t="shared" si="229"/>
        <v>1467.2247795000005</v>
      </c>
      <c r="FL117" s="253">
        <f t="shared" si="229"/>
        <v>2519.5913223749999</v>
      </c>
      <c r="FM117" s="253">
        <f t="shared" si="229"/>
        <v>1467.2247795000005</v>
      </c>
      <c r="FN117" s="253">
        <f t="shared" si="229"/>
        <v>2519.5913223749999</v>
      </c>
      <c r="FO117" s="253">
        <f t="shared" si="229"/>
        <v>1467.2247795000005</v>
      </c>
      <c r="FP117" s="181">
        <f t="shared" si="88"/>
        <v>0.24583836257643332</v>
      </c>
      <c r="FS117" s="253">
        <f t="shared" ref="FS117:FX117" si="230" xml:space="preserve"> MAX(  FS116 * 0.9,  MAX( 0, TREND( FS$96:FS$100, $A$96:$A$100, $A117 ) )  )</f>
        <v>7751.9859804999996</v>
      </c>
      <c r="FT117" s="253">
        <f t="shared" si="230"/>
        <v>6119.7014480000007</v>
      </c>
      <c r="FU117" s="253">
        <f t="shared" si="230"/>
        <v>7751.9859804999996</v>
      </c>
      <c r="FV117" s="253">
        <f t="shared" si="230"/>
        <v>6119.7014480000007</v>
      </c>
      <c r="FW117" s="253">
        <f t="shared" si="230"/>
        <v>7751.9859804999996</v>
      </c>
      <c r="FX117" s="253">
        <f t="shared" si="230"/>
        <v>6119.7014480000007</v>
      </c>
      <c r="FY117" s="181">
        <f t="shared" si="90"/>
        <v>0.26127946755077081</v>
      </c>
      <c r="GA117" s="253">
        <f t="shared" ref="GA117:GF117" si="231" xml:space="preserve"> MAX(  GA116 * 0.9,  MAX( 0, TREND( GA$96:GA$100, $A$96:$A$100, $A117 ) )  )</f>
        <v>7397.3994983999964</v>
      </c>
      <c r="GB117" s="253">
        <f t="shared" si="231"/>
        <v>6610.7152346000066</v>
      </c>
      <c r="GC117" s="253">
        <f t="shared" si="231"/>
        <v>7397.3994983999964</v>
      </c>
      <c r="GD117" s="253">
        <f t="shared" si="231"/>
        <v>6610.7152346000066</v>
      </c>
      <c r="GE117" s="253">
        <f t="shared" si="231"/>
        <v>7397.3994983999964</v>
      </c>
      <c r="GF117" s="253">
        <f t="shared" si="231"/>
        <v>6610.7152346000066</v>
      </c>
      <c r="GG117" s="181">
        <f t="shared" si="92"/>
        <v>0.15</v>
      </c>
      <c r="GI117" s="253">
        <f t="shared" ref="GI117:GN117" si="232" xml:space="preserve"> MAX(  GI116 * 0.9,  MAX( 0, TREND( GI$96:GI$100, $A$96:$A$100, $A117 ) )  )</f>
        <v>8399.862656499994</v>
      </c>
      <c r="GJ117" s="253">
        <f t="shared" si="232"/>
        <v>6707.458151099996</v>
      </c>
      <c r="GK117" s="253">
        <f t="shared" si="232"/>
        <v>8399.862656499994</v>
      </c>
      <c r="GL117" s="253">
        <f t="shared" si="232"/>
        <v>6707.458151099996</v>
      </c>
      <c r="GM117" s="253">
        <f t="shared" si="232"/>
        <v>8399.862656499994</v>
      </c>
      <c r="GN117" s="253">
        <f t="shared" si="232"/>
        <v>6707.458151099996</v>
      </c>
      <c r="GO117" s="181">
        <f t="shared" si="94"/>
        <v>0.85</v>
      </c>
    </row>
    <row r="118" spans="1:197" x14ac:dyDescent="0.2">
      <c r="A118" s="3">
        <f>Basis!A118</f>
        <v>118</v>
      </c>
      <c r="D118" s="252" t="e">
        <v>#N/A</v>
      </c>
      <c r="E118" s="252" t="e">
        <v>#N/A</v>
      </c>
      <c r="H118" s="253">
        <f t="shared" si="95"/>
        <v>15533.702349933244</v>
      </c>
      <c r="I118" s="253">
        <f t="shared" si="8"/>
        <v>11489.271459350195</v>
      </c>
      <c r="J118" s="253">
        <f t="shared" si="9"/>
        <v>15533.702349933244</v>
      </c>
      <c r="K118" s="253">
        <f t="shared" si="10"/>
        <v>11489.271459350195</v>
      </c>
      <c r="L118" s="253">
        <f t="shared" si="11"/>
        <v>15533.702349933244</v>
      </c>
      <c r="M118" s="253">
        <f t="shared" si="12"/>
        <v>11489.271459350195</v>
      </c>
      <c r="N118" s="181">
        <f t="shared" si="13"/>
        <v>0.15</v>
      </c>
      <c r="P118" s="253">
        <f t="shared" si="96"/>
        <v>13179.610888248366</v>
      </c>
      <c r="Q118" s="253">
        <f t="shared" si="14"/>
        <v>10225.74248030602</v>
      </c>
      <c r="R118" s="253">
        <f t="shared" si="15"/>
        <v>13179.610888248366</v>
      </c>
      <c r="S118" s="253">
        <f t="shared" si="16"/>
        <v>10225.74248030602</v>
      </c>
      <c r="T118" s="253">
        <f t="shared" si="17"/>
        <v>13179.610888248366</v>
      </c>
      <c r="U118" s="253">
        <f t="shared" si="18"/>
        <v>10225.74248030602</v>
      </c>
      <c r="V118" s="181">
        <f t="shared" si="19"/>
        <v>0.24258687540636581</v>
      </c>
      <c r="X118" s="253">
        <f t="shared" si="97"/>
        <v>10258.181089461035</v>
      </c>
      <c r="Y118" s="253">
        <f t="shared" si="20"/>
        <v>7771.6089490318518</v>
      </c>
      <c r="Z118" s="253">
        <f t="shared" si="21"/>
        <v>10258.181089461035</v>
      </c>
      <c r="AA118" s="253">
        <f t="shared" si="22"/>
        <v>7771.6089490318518</v>
      </c>
      <c r="AB118" s="253">
        <f t="shared" si="23"/>
        <v>10258.181089461035</v>
      </c>
      <c r="AC118" s="253">
        <f t="shared" si="24"/>
        <v>7771.6089490318518</v>
      </c>
      <c r="AD118" s="181">
        <f t="shared" si="25"/>
        <v>0.16394634243045003</v>
      </c>
      <c r="AF118" s="253">
        <f t="shared" si="98"/>
        <v>1851.2798011300215</v>
      </c>
      <c r="AG118" s="253">
        <f t="shared" si="26"/>
        <v>1079.3692456837039</v>
      </c>
      <c r="AH118" s="253">
        <f t="shared" si="27"/>
        <v>1851.2798011300215</v>
      </c>
      <c r="AI118" s="253">
        <f t="shared" si="28"/>
        <v>1079.3692456837039</v>
      </c>
      <c r="AJ118" s="253">
        <f t="shared" si="29"/>
        <v>1851.2798011300215</v>
      </c>
      <c r="AK118" s="253">
        <f t="shared" si="30"/>
        <v>1079.3692456837039</v>
      </c>
      <c r="AL118" s="181">
        <f t="shared" si="31"/>
        <v>0.15</v>
      </c>
      <c r="AN118" s="253">
        <f t="shared" ref="AN118:AS120" si="233" xml:space="preserve"> MAX(  AN117 * 0.9,  MAX( 0, TREND( AN$96:AN$100, $A$96:$A$100, $A118 ) )  )</f>
        <v>23.658164856537717</v>
      </c>
      <c r="AO118" s="253">
        <f t="shared" si="233"/>
        <v>13.913779851044389</v>
      </c>
      <c r="AP118" s="253">
        <f t="shared" si="233"/>
        <v>23.658164856537717</v>
      </c>
      <c r="AQ118" s="253">
        <f t="shared" si="233"/>
        <v>13.913779851044389</v>
      </c>
      <c r="AR118" s="253">
        <f t="shared" si="233"/>
        <v>23.658164856537717</v>
      </c>
      <c r="AS118" s="253">
        <f t="shared" si="233"/>
        <v>13.913779851044389</v>
      </c>
      <c r="AT118" s="181">
        <f t="shared" si="33"/>
        <v>0.85</v>
      </c>
      <c r="AX118" s="253">
        <f t="shared" si="100"/>
        <v>16597.823769079994</v>
      </c>
      <c r="AY118" s="253">
        <f t="shared" si="34"/>
        <v>11642.053568879999</v>
      </c>
      <c r="AZ118" s="253">
        <f t="shared" si="35"/>
        <v>16597.823769079994</v>
      </c>
      <c r="BA118" s="253">
        <f t="shared" si="36"/>
        <v>11642.053568879999</v>
      </c>
      <c r="BB118" s="253">
        <f t="shared" si="37"/>
        <v>16597.823769079994</v>
      </c>
      <c r="BC118" s="253">
        <f t="shared" si="38"/>
        <v>11642.053568879999</v>
      </c>
      <c r="BD118" s="181">
        <f t="shared" si="39"/>
        <v>0.15</v>
      </c>
      <c r="BF118" s="253">
        <f t="shared" si="101"/>
        <v>11981.741550819996</v>
      </c>
      <c r="BG118" s="253">
        <f t="shared" si="40"/>
        <v>9665.358145719998</v>
      </c>
      <c r="BH118" s="253">
        <f t="shared" si="41"/>
        <v>11981.741550819996</v>
      </c>
      <c r="BI118" s="253">
        <f t="shared" si="42"/>
        <v>9665.358145719998</v>
      </c>
      <c r="BJ118" s="253">
        <f t="shared" si="43"/>
        <v>11981.741550819996</v>
      </c>
      <c r="BK118" s="253">
        <f t="shared" si="44"/>
        <v>9665.358145719998</v>
      </c>
      <c r="BL118" s="181">
        <f t="shared" si="45"/>
        <v>0.15985643713289788</v>
      </c>
      <c r="BN118" s="253">
        <f t="shared" si="102"/>
        <v>10684.679375600004</v>
      </c>
      <c r="BO118" s="253">
        <f t="shared" si="46"/>
        <v>7778.0287896399941</v>
      </c>
      <c r="BP118" s="253">
        <f t="shared" si="47"/>
        <v>10684.679375600004</v>
      </c>
      <c r="BQ118" s="253">
        <f t="shared" si="48"/>
        <v>7778.0287896399941</v>
      </c>
      <c r="BR118" s="253">
        <f t="shared" si="49"/>
        <v>10684.679375600004</v>
      </c>
      <c r="BS118" s="253">
        <f t="shared" si="50"/>
        <v>7778.0287896399941</v>
      </c>
      <c r="BT118" s="181">
        <f t="shared" si="51"/>
        <v>0.15</v>
      </c>
      <c r="BV118" s="253">
        <f t="shared" si="103"/>
        <v>30.831939957441559</v>
      </c>
      <c r="BW118" s="253">
        <f t="shared" si="52"/>
        <v>10.897187942696867</v>
      </c>
      <c r="BX118" s="253">
        <f t="shared" si="53"/>
        <v>30.831939957441559</v>
      </c>
      <c r="BY118" s="253">
        <f t="shared" si="54"/>
        <v>10.897187942696867</v>
      </c>
      <c r="BZ118" s="253">
        <f t="shared" si="55"/>
        <v>30.831939957441559</v>
      </c>
      <c r="CA118" s="253">
        <f t="shared" si="56"/>
        <v>10.897187942696867</v>
      </c>
      <c r="CB118" s="181">
        <f t="shared" si="57"/>
        <v>0.15342470148277787</v>
      </c>
      <c r="CD118" s="253">
        <f t="shared" si="58"/>
        <v>2480.4888673499995</v>
      </c>
      <c r="CE118" s="253">
        <f t="shared" si="59"/>
        <v>1338.3908595000003</v>
      </c>
      <c r="CF118" s="253">
        <f t="shared" si="60"/>
        <v>2480.4888673499995</v>
      </c>
      <c r="CG118" s="253">
        <f t="shared" si="61"/>
        <v>1338.3908595000003</v>
      </c>
      <c r="CH118" s="253">
        <f t="shared" si="62"/>
        <v>2480.4888673499995</v>
      </c>
      <c r="CI118" s="253">
        <f t="shared" si="63"/>
        <v>1338.3908595000003</v>
      </c>
      <c r="CJ118" s="181">
        <f t="shared" si="64"/>
        <v>0.17389602372815008</v>
      </c>
      <c r="CN118" s="253">
        <f t="shared" ref="CN118:CS120" si="234" xml:space="preserve"> MAX(  CN117 * 0.9,  MAX( 0, TREND( CN$96:CN$100, $A$96:$A$100, $A118 ) )  )</f>
        <v>16892.655790000004</v>
      </c>
      <c r="CO118" s="253">
        <f t="shared" si="234"/>
        <v>11829.982648640005</v>
      </c>
      <c r="CP118" s="253">
        <f t="shared" si="234"/>
        <v>16892.655790000004</v>
      </c>
      <c r="CQ118" s="253">
        <f t="shared" si="234"/>
        <v>11829.982648640005</v>
      </c>
      <c r="CR118" s="253">
        <f t="shared" si="234"/>
        <v>16892.655790000004</v>
      </c>
      <c r="CS118" s="253">
        <f t="shared" si="234"/>
        <v>11829.982648640005</v>
      </c>
      <c r="CT118" s="181">
        <f t="shared" si="67"/>
        <v>0.19041039904059556</v>
      </c>
      <c r="CV118" s="253">
        <f t="shared" ref="CV118:DA120" si="235" xml:space="preserve"> MAX(  CV117 * 0.9,  MAX( 0, TREND( CV$96:CV$100, $A$96:$A$100, $A118 ) )  )</f>
        <v>11052.369962200019</v>
      </c>
      <c r="CW118" s="253">
        <f t="shared" si="235"/>
        <v>8741.5907195600084</v>
      </c>
      <c r="CX118" s="253">
        <f t="shared" si="235"/>
        <v>11052.369962200019</v>
      </c>
      <c r="CY118" s="253">
        <f t="shared" si="235"/>
        <v>8741.5907195600084</v>
      </c>
      <c r="CZ118" s="253">
        <f t="shared" si="235"/>
        <v>11052.369962200019</v>
      </c>
      <c r="DA118" s="253">
        <f t="shared" si="235"/>
        <v>8741.5907195600084</v>
      </c>
      <c r="DB118" s="181">
        <f t="shared" si="70"/>
        <v>0.19408014757495892</v>
      </c>
      <c r="DC118" s="1"/>
      <c r="DD118" s="253">
        <f t="shared" ref="DD118:DI120" si="236" xml:space="preserve"> MAX(  DD117 * 0.9,  MAX( 0, TREND( DD$96:DD$100, $A$96:$A$100, $A118 ) )  )</f>
        <v>10530.028335039995</v>
      </c>
      <c r="DE118" s="253">
        <f t="shared" si="236"/>
        <v>7615.1808542399995</v>
      </c>
      <c r="DF118" s="253">
        <f t="shared" si="236"/>
        <v>10530.028335039995</v>
      </c>
      <c r="DG118" s="253">
        <f t="shared" si="236"/>
        <v>7615.1808542399995</v>
      </c>
      <c r="DH118" s="253">
        <f t="shared" si="236"/>
        <v>10530.028335039995</v>
      </c>
      <c r="DI118" s="253">
        <f t="shared" si="236"/>
        <v>7615.1808542399995</v>
      </c>
      <c r="DJ118" s="181">
        <f t="shared" si="73"/>
        <v>0.23101971710284955</v>
      </c>
      <c r="DK118" s="1"/>
      <c r="DL118" s="253">
        <f t="shared" ref="DL118:DQ120" si="237" xml:space="preserve"> MAX(  DL117 * 0.9,  MAX( 0, TREND( DL$96:DL$100, $A$96:$A$100, $A118 ) )  )</f>
        <v>32.24362085816955</v>
      </c>
      <c r="DM118" s="253">
        <f t="shared" si="237"/>
        <v>12.915079131553771</v>
      </c>
      <c r="DN118" s="253">
        <f t="shared" si="237"/>
        <v>32.24362085816955</v>
      </c>
      <c r="DO118" s="253">
        <f t="shared" si="237"/>
        <v>12.915079131553771</v>
      </c>
      <c r="DP118" s="253">
        <f t="shared" si="237"/>
        <v>32.24362085816955</v>
      </c>
      <c r="DQ118" s="253">
        <f t="shared" si="237"/>
        <v>12.915079131553771</v>
      </c>
      <c r="DR118" s="181">
        <f t="shared" si="76"/>
        <v>0.20219429630985816</v>
      </c>
      <c r="DS118" s="1"/>
      <c r="DT118" s="253">
        <f t="shared" si="224"/>
        <v>3192.3651282000019</v>
      </c>
      <c r="DU118" s="253">
        <f t="shared" si="224"/>
        <v>2045.6212620000006</v>
      </c>
      <c r="DV118" s="253">
        <f t="shared" si="224"/>
        <v>3192.3651282000019</v>
      </c>
      <c r="DW118" s="253">
        <f t="shared" si="224"/>
        <v>2045.6212620000006</v>
      </c>
      <c r="DX118" s="253">
        <f t="shared" si="224"/>
        <v>3192.3651282000019</v>
      </c>
      <c r="DY118" s="253">
        <f t="shared" si="224"/>
        <v>2045.6212620000006</v>
      </c>
      <c r="DZ118" s="181">
        <f t="shared" si="78"/>
        <v>0.24125193760100261</v>
      </c>
      <c r="ED118" s="253">
        <f t="shared" ref="ED118:EI118" si="238" xml:space="preserve"> MAX(  ED117 * 0.9,  MAX( 0, TREND( ED$96:ED$100, $A$96:$A$100, $A118 ) )  )</f>
        <v>14680.043949560011</v>
      </c>
      <c r="EE118" s="253">
        <f t="shared" si="238"/>
        <v>10487.48740768001</v>
      </c>
      <c r="EF118" s="253">
        <f t="shared" si="238"/>
        <v>14680.043949560011</v>
      </c>
      <c r="EG118" s="253">
        <f t="shared" si="238"/>
        <v>10487.48740768001</v>
      </c>
      <c r="EH118" s="253">
        <f t="shared" si="238"/>
        <v>14680.043949560011</v>
      </c>
      <c r="EI118" s="253">
        <f t="shared" si="238"/>
        <v>10487.48740768001</v>
      </c>
      <c r="EJ118" s="181">
        <f t="shared" si="80"/>
        <v>0.24678409210423774</v>
      </c>
      <c r="EL118" s="253">
        <f t="shared" ref="EL118:EQ118" si="239" xml:space="preserve"> MAX(  EL117 * 0.9,  MAX( 0, TREND( EL$96:EL$100, $A$96:$A$100, $A118 ) )  )</f>
        <v>11995.876098040004</v>
      </c>
      <c r="EM118" s="253">
        <f t="shared" si="239"/>
        <v>9999.587497620003</v>
      </c>
      <c r="EN118" s="253">
        <f t="shared" si="239"/>
        <v>11995.876098040004</v>
      </c>
      <c r="EO118" s="253">
        <f t="shared" si="239"/>
        <v>9999.587497620003</v>
      </c>
      <c r="EP118" s="253">
        <f t="shared" si="239"/>
        <v>11995.876098040004</v>
      </c>
      <c r="EQ118" s="253">
        <f t="shared" si="239"/>
        <v>9999.587497620003</v>
      </c>
      <c r="ER118" s="181">
        <f t="shared" si="82"/>
        <v>0.23955028343524132</v>
      </c>
      <c r="ET118" s="253">
        <f t="shared" ref="ET118:EY118" si="240" xml:space="preserve"> MAX(  ET117 * 0.9,  MAX( 0, TREND( ET$96:ET$100, $A$96:$A$100, $A118 ) )  )</f>
        <v>11982.195386760004</v>
      </c>
      <c r="EU118" s="253">
        <f t="shared" si="240"/>
        <v>9042.8821599999937</v>
      </c>
      <c r="EV118" s="253">
        <f t="shared" si="240"/>
        <v>11982.195386760004</v>
      </c>
      <c r="EW118" s="253">
        <f t="shared" si="240"/>
        <v>9042.8821599999937</v>
      </c>
      <c r="EX118" s="253">
        <f t="shared" si="240"/>
        <v>11982.195386760004</v>
      </c>
      <c r="EY118" s="253">
        <f t="shared" si="240"/>
        <v>9042.8821599999937</v>
      </c>
      <c r="EZ118" s="181">
        <f t="shared" si="84"/>
        <v>0.24861415021641745</v>
      </c>
      <c r="FB118" s="253">
        <f t="shared" ref="FB118:FG118" si="241" xml:space="preserve"> MAX(  FB117 * 0.9,  MAX( 0, TREND( FB$96:FB$100, $A$96:$A$100, $A118 ) )  )</f>
        <v>34.459915000920915</v>
      </c>
      <c r="FC118" s="253">
        <f t="shared" si="241"/>
        <v>24.482378562354111</v>
      </c>
      <c r="FD118" s="253">
        <f t="shared" si="241"/>
        <v>34.459915000920915</v>
      </c>
      <c r="FE118" s="253">
        <f t="shared" si="241"/>
        <v>24.482378562354111</v>
      </c>
      <c r="FF118" s="253">
        <f t="shared" si="241"/>
        <v>34.459915000920915</v>
      </c>
      <c r="FG118" s="253">
        <f t="shared" si="241"/>
        <v>24.482378562354111</v>
      </c>
      <c r="FH118" s="181">
        <f t="shared" si="86"/>
        <v>0.24131645732181609</v>
      </c>
      <c r="FJ118" s="253">
        <f t="shared" ref="FJ118:FO118" si="242" xml:space="preserve"> MAX(  FJ117 * 0.9,  MAX( 0, TREND( FJ$96:FJ$100, $A$96:$A$100, $A118 ) )  )</f>
        <v>2549.07280575</v>
      </c>
      <c r="FK118" s="253">
        <f t="shared" si="242"/>
        <v>1467.2247795000005</v>
      </c>
      <c r="FL118" s="253">
        <f t="shared" si="242"/>
        <v>2549.07280575</v>
      </c>
      <c r="FM118" s="253">
        <f t="shared" si="242"/>
        <v>1467.2247795000005</v>
      </c>
      <c r="FN118" s="253">
        <f t="shared" si="242"/>
        <v>2549.07280575</v>
      </c>
      <c r="FO118" s="253">
        <f t="shared" si="242"/>
        <v>1467.2247795000005</v>
      </c>
      <c r="FP118" s="181">
        <f t="shared" si="88"/>
        <v>0.24583836257643332</v>
      </c>
      <c r="FS118" s="253">
        <f t="shared" ref="FS118:FX118" si="243" xml:space="preserve"> MAX(  FS117 * 0.9,  MAX( 0, TREND( FS$96:FS$100, $A$96:$A$100, $A118 ) )  )</f>
        <v>7817.2533899999999</v>
      </c>
      <c r="FT118" s="253">
        <f t="shared" si="243"/>
        <v>6155.2333384000012</v>
      </c>
      <c r="FU118" s="253">
        <f t="shared" si="243"/>
        <v>7817.2533899999999</v>
      </c>
      <c r="FV118" s="253">
        <f t="shared" si="243"/>
        <v>6155.2333384000012</v>
      </c>
      <c r="FW118" s="253">
        <f t="shared" si="243"/>
        <v>7817.2533899999999</v>
      </c>
      <c r="FX118" s="253">
        <f t="shared" si="243"/>
        <v>6155.2333384000012</v>
      </c>
      <c r="FY118" s="181">
        <f t="shared" si="90"/>
        <v>0.26127946755077081</v>
      </c>
      <c r="GA118" s="253">
        <f t="shared" ref="GA118:GF118" si="244" xml:space="preserve"> MAX(  GA117 * 0.9,  MAX( 0, TREND( GA$96:GA$100, $A$96:$A$100, $A118 ) )  )</f>
        <v>7460.6089679999959</v>
      </c>
      <c r="GB118" s="253">
        <f t="shared" si="244"/>
        <v>6664.8646974000067</v>
      </c>
      <c r="GC118" s="253">
        <f t="shared" si="244"/>
        <v>7460.6089679999959</v>
      </c>
      <c r="GD118" s="253">
        <f t="shared" si="244"/>
        <v>6664.8646974000067</v>
      </c>
      <c r="GE118" s="253">
        <f t="shared" si="244"/>
        <v>7460.6089679999959</v>
      </c>
      <c r="GF118" s="253">
        <f t="shared" si="244"/>
        <v>6664.8646974000067</v>
      </c>
      <c r="GG118" s="181">
        <f t="shared" si="92"/>
        <v>0.15</v>
      </c>
      <c r="GI118" s="253">
        <f t="shared" ref="GI118:GN118" si="245" xml:space="preserve"> MAX(  GI117 * 0.9,  MAX( 0, TREND( GI$96:GI$100, $A$96:$A$100, $A118 ) )  )</f>
        <v>8493.6191339999968</v>
      </c>
      <c r="GJ118" s="253">
        <f t="shared" si="245"/>
        <v>6759.9692873999957</v>
      </c>
      <c r="GK118" s="253">
        <f t="shared" si="245"/>
        <v>8493.6191339999968</v>
      </c>
      <c r="GL118" s="253">
        <f t="shared" si="245"/>
        <v>6759.9692873999957</v>
      </c>
      <c r="GM118" s="253">
        <f t="shared" si="245"/>
        <v>8493.6191339999968</v>
      </c>
      <c r="GN118" s="253">
        <f t="shared" si="245"/>
        <v>6759.9692873999957</v>
      </c>
      <c r="GO118" s="181">
        <f t="shared" si="94"/>
        <v>0.85</v>
      </c>
    </row>
    <row r="119" spans="1:197" x14ac:dyDescent="0.2">
      <c r="A119" s="3">
        <f>Basis!A119</f>
        <v>119</v>
      </c>
      <c r="D119" s="252" t="e">
        <v>#N/A</v>
      </c>
      <c r="E119" s="252" t="e">
        <v>#N/A</v>
      </c>
      <c r="H119" s="253">
        <f t="shared" si="95"/>
        <v>15663.757414568432</v>
      </c>
      <c r="I119" s="253">
        <f t="shared" si="8"/>
        <v>11537.621792079128</v>
      </c>
      <c r="J119" s="253">
        <f t="shared" si="9"/>
        <v>15663.757414568432</v>
      </c>
      <c r="K119" s="253">
        <f t="shared" si="10"/>
        <v>11537.621792079128</v>
      </c>
      <c r="L119" s="253">
        <f t="shared" si="11"/>
        <v>15663.757414568432</v>
      </c>
      <c r="M119" s="253">
        <f t="shared" si="12"/>
        <v>11537.621792079128</v>
      </c>
      <c r="N119" s="181">
        <f t="shared" si="13"/>
        <v>0.15</v>
      </c>
      <c r="P119" s="253">
        <f t="shared" si="96"/>
        <v>13268.079357795283</v>
      </c>
      <c r="Q119" s="253">
        <f t="shared" si="14"/>
        <v>10256.357622375674</v>
      </c>
      <c r="R119" s="253">
        <f t="shared" si="15"/>
        <v>13268.079357795283</v>
      </c>
      <c r="S119" s="253">
        <f t="shared" si="16"/>
        <v>10256.357622375674</v>
      </c>
      <c r="T119" s="253">
        <f t="shared" si="17"/>
        <v>13268.079357795283</v>
      </c>
      <c r="U119" s="253">
        <f t="shared" si="18"/>
        <v>10256.357622375674</v>
      </c>
      <c r="V119" s="181">
        <f t="shared" si="19"/>
        <v>0.24258687540636581</v>
      </c>
      <c r="X119" s="253">
        <f t="shared" si="97"/>
        <v>10337.633236246529</v>
      </c>
      <c r="Y119" s="253">
        <f t="shared" si="20"/>
        <v>7799.4541373193751</v>
      </c>
      <c r="Z119" s="253">
        <f t="shared" si="21"/>
        <v>10337.633236246529</v>
      </c>
      <c r="AA119" s="253">
        <f t="shared" si="22"/>
        <v>7799.4541373193751</v>
      </c>
      <c r="AB119" s="253">
        <f t="shared" si="23"/>
        <v>10337.633236246529</v>
      </c>
      <c r="AC119" s="253">
        <f t="shared" si="24"/>
        <v>7799.4541373193751</v>
      </c>
      <c r="AD119" s="181">
        <f t="shared" si="25"/>
        <v>0.16394634243045003</v>
      </c>
      <c r="AF119" s="253">
        <f t="shared" si="98"/>
        <v>1854.6228331300215</v>
      </c>
      <c r="AG119" s="253">
        <f t="shared" si="26"/>
        <v>1079.3692456837039</v>
      </c>
      <c r="AH119" s="253">
        <f t="shared" si="27"/>
        <v>1854.6228331300215</v>
      </c>
      <c r="AI119" s="253">
        <f t="shared" si="28"/>
        <v>1079.3692456837039</v>
      </c>
      <c r="AJ119" s="253">
        <f t="shared" si="29"/>
        <v>1854.6228331300215</v>
      </c>
      <c r="AK119" s="253">
        <f t="shared" si="30"/>
        <v>1079.3692456837039</v>
      </c>
      <c r="AL119" s="181">
        <f t="shared" si="31"/>
        <v>0.15</v>
      </c>
      <c r="AN119" s="253">
        <f t="shared" si="233"/>
        <v>21.292348370883946</v>
      </c>
      <c r="AO119" s="253">
        <f t="shared" si="233"/>
        <v>12.522401865939949</v>
      </c>
      <c r="AP119" s="253">
        <f t="shared" si="233"/>
        <v>21.292348370883946</v>
      </c>
      <c r="AQ119" s="253">
        <f t="shared" si="233"/>
        <v>12.522401865939949</v>
      </c>
      <c r="AR119" s="253">
        <f t="shared" si="233"/>
        <v>21.292348370883946</v>
      </c>
      <c r="AS119" s="253">
        <f t="shared" si="233"/>
        <v>12.522401865939949</v>
      </c>
      <c r="AT119" s="181">
        <f t="shared" si="33"/>
        <v>0.85</v>
      </c>
      <c r="AX119" s="253">
        <f t="shared" si="100"/>
        <v>16718.761390359992</v>
      </c>
      <c r="AY119" s="253">
        <f t="shared" si="34"/>
        <v>11668.648583239999</v>
      </c>
      <c r="AZ119" s="253">
        <f t="shared" si="35"/>
        <v>16718.761390359992</v>
      </c>
      <c r="BA119" s="253">
        <f t="shared" si="36"/>
        <v>11668.648583239999</v>
      </c>
      <c r="BB119" s="253">
        <f t="shared" si="37"/>
        <v>16718.761390359992</v>
      </c>
      <c r="BC119" s="253">
        <f t="shared" si="38"/>
        <v>11668.648583239999</v>
      </c>
      <c r="BD119" s="181">
        <f t="shared" si="39"/>
        <v>0.15</v>
      </c>
      <c r="BF119" s="253">
        <f t="shared" si="101"/>
        <v>11996.662062489997</v>
      </c>
      <c r="BG119" s="253">
        <f t="shared" si="40"/>
        <v>9668.8798717599966</v>
      </c>
      <c r="BH119" s="253">
        <f t="shared" si="41"/>
        <v>11996.662062489997</v>
      </c>
      <c r="BI119" s="253">
        <f t="shared" si="42"/>
        <v>9668.8798717599966</v>
      </c>
      <c r="BJ119" s="253">
        <f t="shared" si="43"/>
        <v>11996.662062489997</v>
      </c>
      <c r="BK119" s="253">
        <f t="shared" si="44"/>
        <v>9668.8798717599966</v>
      </c>
      <c r="BL119" s="181">
        <f t="shared" si="45"/>
        <v>0.15985643713289788</v>
      </c>
      <c r="BN119" s="253">
        <f t="shared" si="102"/>
        <v>10737.836189700003</v>
      </c>
      <c r="BO119" s="253">
        <f t="shared" si="46"/>
        <v>7773.6273256599943</v>
      </c>
      <c r="BP119" s="253">
        <f t="shared" si="47"/>
        <v>10737.836189700003</v>
      </c>
      <c r="BQ119" s="253">
        <f t="shared" si="48"/>
        <v>7773.6273256599943</v>
      </c>
      <c r="BR119" s="253">
        <f t="shared" si="49"/>
        <v>10737.836189700003</v>
      </c>
      <c r="BS119" s="253">
        <f t="shared" si="50"/>
        <v>7773.6273256599943</v>
      </c>
      <c r="BT119" s="181">
        <f t="shared" si="51"/>
        <v>0.15</v>
      </c>
      <c r="BV119" s="253">
        <f t="shared" si="103"/>
        <v>27.748745961697402</v>
      </c>
      <c r="BW119" s="253">
        <f t="shared" si="52"/>
        <v>9.807469148427181</v>
      </c>
      <c r="BX119" s="253">
        <f t="shared" si="53"/>
        <v>27.748745961697402</v>
      </c>
      <c r="BY119" s="253">
        <f t="shared" si="54"/>
        <v>9.807469148427181</v>
      </c>
      <c r="BZ119" s="253">
        <f t="shared" si="55"/>
        <v>27.748745961697402</v>
      </c>
      <c r="CA119" s="253">
        <f t="shared" si="56"/>
        <v>9.807469148427181</v>
      </c>
      <c r="CB119" s="181">
        <f t="shared" si="57"/>
        <v>0.15342470148277787</v>
      </c>
      <c r="CD119" s="253">
        <f t="shared" si="58"/>
        <v>2504.2812601499995</v>
      </c>
      <c r="CE119" s="253">
        <f t="shared" si="59"/>
        <v>1338.3908595000003</v>
      </c>
      <c r="CF119" s="253">
        <f t="shared" si="60"/>
        <v>2504.2812601499995</v>
      </c>
      <c r="CG119" s="253">
        <f t="shared" si="61"/>
        <v>1338.3908595000003</v>
      </c>
      <c r="CH119" s="253">
        <f t="shared" si="62"/>
        <v>2504.2812601499995</v>
      </c>
      <c r="CI119" s="253">
        <f t="shared" si="63"/>
        <v>1338.3908595000003</v>
      </c>
      <c r="CJ119" s="181">
        <f t="shared" si="64"/>
        <v>0.17389602372815008</v>
      </c>
      <c r="CN119" s="253">
        <f t="shared" si="234"/>
        <v>17020.869608160006</v>
      </c>
      <c r="CO119" s="253">
        <f t="shared" si="234"/>
        <v>11858.692585200006</v>
      </c>
      <c r="CP119" s="253">
        <f t="shared" si="234"/>
        <v>17020.869608160006</v>
      </c>
      <c r="CQ119" s="253">
        <f t="shared" si="234"/>
        <v>11858.692585200006</v>
      </c>
      <c r="CR119" s="253">
        <f t="shared" si="234"/>
        <v>17020.869608160006</v>
      </c>
      <c r="CS119" s="253">
        <f t="shared" si="234"/>
        <v>11858.692585200006</v>
      </c>
      <c r="CT119" s="181">
        <f t="shared" si="67"/>
        <v>0.19041039904059556</v>
      </c>
      <c r="CV119" s="253">
        <f t="shared" si="235"/>
        <v>11062.949967890019</v>
      </c>
      <c r="CW119" s="253">
        <f t="shared" si="235"/>
        <v>8751.655151700008</v>
      </c>
      <c r="CX119" s="253">
        <f t="shared" si="235"/>
        <v>11062.949967890019</v>
      </c>
      <c r="CY119" s="253">
        <f t="shared" si="235"/>
        <v>8751.655151700008</v>
      </c>
      <c r="CZ119" s="253">
        <f t="shared" si="235"/>
        <v>11062.949967890019</v>
      </c>
      <c r="DA119" s="253">
        <f t="shared" si="235"/>
        <v>8751.655151700008</v>
      </c>
      <c r="DB119" s="181">
        <f t="shared" si="70"/>
        <v>0.19408014757495892</v>
      </c>
      <c r="DC119" s="1"/>
      <c r="DD119" s="253">
        <f t="shared" si="236"/>
        <v>10597.683748159996</v>
      </c>
      <c r="DE119" s="253">
        <f t="shared" si="236"/>
        <v>7629.3170455399995</v>
      </c>
      <c r="DF119" s="253">
        <f t="shared" si="236"/>
        <v>10597.683748159996</v>
      </c>
      <c r="DG119" s="253">
        <f t="shared" si="236"/>
        <v>7629.3170455399995</v>
      </c>
      <c r="DH119" s="253">
        <f t="shared" si="236"/>
        <v>10597.683748159996</v>
      </c>
      <c r="DI119" s="253">
        <f t="shared" si="236"/>
        <v>7629.3170455399995</v>
      </c>
      <c r="DJ119" s="181">
        <f t="shared" si="73"/>
        <v>0.23101971710284955</v>
      </c>
      <c r="DK119" s="1"/>
      <c r="DL119" s="253">
        <f t="shared" si="237"/>
        <v>29.019258772352597</v>
      </c>
      <c r="DM119" s="253">
        <f t="shared" si="237"/>
        <v>11.623571218398395</v>
      </c>
      <c r="DN119" s="253">
        <f t="shared" si="237"/>
        <v>29.019258772352597</v>
      </c>
      <c r="DO119" s="253">
        <f t="shared" si="237"/>
        <v>11.623571218398395</v>
      </c>
      <c r="DP119" s="253">
        <f t="shared" si="237"/>
        <v>29.019258772352597</v>
      </c>
      <c r="DQ119" s="253">
        <f t="shared" si="237"/>
        <v>11.623571218398395</v>
      </c>
      <c r="DR119" s="181">
        <f t="shared" si="76"/>
        <v>0.20219429630985816</v>
      </c>
      <c r="DS119" s="1"/>
      <c r="DT119" s="253">
        <f t="shared" si="224"/>
        <v>3213.6366954000018</v>
      </c>
      <c r="DU119" s="253">
        <f t="shared" si="224"/>
        <v>2045.6212620000006</v>
      </c>
      <c r="DV119" s="253">
        <f t="shared" si="224"/>
        <v>3213.6366954000018</v>
      </c>
      <c r="DW119" s="253">
        <f t="shared" si="224"/>
        <v>2045.6212620000006</v>
      </c>
      <c r="DX119" s="253">
        <f t="shared" si="224"/>
        <v>3213.6366954000018</v>
      </c>
      <c r="DY119" s="253">
        <f t="shared" si="224"/>
        <v>2045.6212620000006</v>
      </c>
      <c r="DZ119" s="181">
        <f t="shared" si="78"/>
        <v>0.24125193760100261</v>
      </c>
      <c r="ED119" s="253">
        <f t="shared" ref="ED119:EI119" si="246" xml:space="preserve"> MAX(  ED118 * 0.9,  MAX( 0, TREND( ED$96:ED$100, $A$96:$A$100, $A119 ) )  )</f>
        <v>14758.733857000012</v>
      </c>
      <c r="EE119" s="253">
        <f t="shared" si="246"/>
        <v>10500.20351248001</v>
      </c>
      <c r="EF119" s="253">
        <f t="shared" si="246"/>
        <v>14758.733857000012</v>
      </c>
      <c r="EG119" s="253">
        <f t="shared" si="246"/>
        <v>10500.20351248001</v>
      </c>
      <c r="EH119" s="253">
        <f t="shared" si="246"/>
        <v>14758.733857000012</v>
      </c>
      <c r="EI119" s="253">
        <f t="shared" si="246"/>
        <v>10500.20351248001</v>
      </c>
      <c r="EJ119" s="181">
        <f t="shared" si="80"/>
        <v>0.24678409210423774</v>
      </c>
      <c r="EL119" s="253">
        <f t="shared" ref="EL119:EQ119" si="247" xml:space="preserve"> MAX(  EL118 * 0.9,  MAX( 0, TREND( EL$96:EL$100, $A$96:$A$100, $A119 ) )  )</f>
        <v>11995.646532700004</v>
      </c>
      <c r="EM119" s="253">
        <f t="shared" si="247"/>
        <v>10013.396933770004</v>
      </c>
      <c r="EN119" s="253">
        <f t="shared" si="247"/>
        <v>11995.646532700004</v>
      </c>
      <c r="EO119" s="253">
        <f t="shared" si="247"/>
        <v>10013.396933770004</v>
      </c>
      <c r="EP119" s="253">
        <f t="shared" si="247"/>
        <v>11995.646532700004</v>
      </c>
      <c r="EQ119" s="253">
        <f t="shared" si="247"/>
        <v>10013.396933770004</v>
      </c>
      <c r="ER119" s="181">
        <f t="shared" si="82"/>
        <v>0.23955028343524132</v>
      </c>
      <c r="ET119" s="253">
        <f t="shared" ref="ET119:EY119" si="248" xml:space="preserve"> MAX(  ET118 * 0.9,  MAX( 0, TREND( ET$96:ET$100, $A$96:$A$100, $A119 ) )  )</f>
        <v>12034.492621860005</v>
      </c>
      <c r="EU119" s="253">
        <f t="shared" si="248"/>
        <v>9064.0325887199942</v>
      </c>
      <c r="EV119" s="253">
        <f t="shared" si="248"/>
        <v>12034.492621860005</v>
      </c>
      <c r="EW119" s="253">
        <f t="shared" si="248"/>
        <v>9064.0325887199942</v>
      </c>
      <c r="EX119" s="253">
        <f t="shared" si="248"/>
        <v>12034.492621860005</v>
      </c>
      <c r="EY119" s="253">
        <f t="shared" si="248"/>
        <v>9064.0325887199942</v>
      </c>
      <c r="EZ119" s="181">
        <f t="shared" si="84"/>
        <v>0.24861415021641745</v>
      </c>
      <c r="FB119" s="253">
        <f t="shared" ref="FB119:FG119" si="249" xml:space="preserve"> MAX(  FB118 * 0.9,  MAX( 0, TREND( FB$96:FB$100, $A$96:$A$100, $A119 ) )  )</f>
        <v>31.013923500828824</v>
      </c>
      <c r="FC119" s="253">
        <f t="shared" si="249"/>
        <v>22.034140706118698</v>
      </c>
      <c r="FD119" s="253">
        <f t="shared" si="249"/>
        <v>31.013923500828824</v>
      </c>
      <c r="FE119" s="253">
        <f t="shared" si="249"/>
        <v>22.034140706118698</v>
      </c>
      <c r="FF119" s="253">
        <f t="shared" si="249"/>
        <v>31.013923500828824</v>
      </c>
      <c r="FG119" s="253">
        <f t="shared" si="249"/>
        <v>22.034140706118698</v>
      </c>
      <c r="FH119" s="181">
        <f t="shared" si="86"/>
        <v>0.24131645732181609</v>
      </c>
      <c r="FJ119" s="253">
        <f t="shared" ref="FJ119:FO119" si="250" xml:space="preserve"> MAX(  FJ118 * 0.9,  MAX( 0, TREND( FJ$96:FJ$100, $A$96:$A$100, $A119 ) )  )</f>
        <v>2578.5542891249997</v>
      </c>
      <c r="FK119" s="253">
        <f t="shared" si="250"/>
        <v>1467.2247795000005</v>
      </c>
      <c r="FL119" s="253">
        <f t="shared" si="250"/>
        <v>2578.5542891249997</v>
      </c>
      <c r="FM119" s="253">
        <f t="shared" si="250"/>
        <v>1467.2247795000005</v>
      </c>
      <c r="FN119" s="253">
        <f t="shared" si="250"/>
        <v>2578.5542891249997</v>
      </c>
      <c r="FO119" s="253">
        <f t="shared" si="250"/>
        <v>1467.2247795000005</v>
      </c>
      <c r="FP119" s="181">
        <f t="shared" si="88"/>
        <v>0.24583836257643332</v>
      </c>
      <c r="FS119" s="253">
        <f t="shared" ref="FS119:FX119" si="251" xml:space="preserve"> MAX(  FS118 * 0.9,  MAX( 0, TREND( FS$96:FS$100, $A$96:$A$100, $A119 ) )  )</f>
        <v>7882.5207995000001</v>
      </c>
      <c r="FT119" s="253">
        <f t="shared" si="251"/>
        <v>6190.7652288000018</v>
      </c>
      <c r="FU119" s="253">
        <f t="shared" si="251"/>
        <v>7882.5207995000001</v>
      </c>
      <c r="FV119" s="253">
        <f t="shared" si="251"/>
        <v>6190.7652288000018</v>
      </c>
      <c r="FW119" s="253">
        <f t="shared" si="251"/>
        <v>7882.5207995000001</v>
      </c>
      <c r="FX119" s="253">
        <f t="shared" si="251"/>
        <v>6190.7652288000018</v>
      </c>
      <c r="FY119" s="181">
        <f t="shared" si="90"/>
        <v>0.26127946755077081</v>
      </c>
      <c r="GA119" s="253">
        <f t="shared" ref="GA119:GF119" si="252" xml:space="preserve"> MAX(  GA118 * 0.9,  MAX( 0, TREND( GA$96:GA$100, $A$96:$A$100, $A119 ) )  )</f>
        <v>7523.8184375999954</v>
      </c>
      <c r="GB119" s="253">
        <f t="shared" si="252"/>
        <v>6719.0141602000067</v>
      </c>
      <c r="GC119" s="253">
        <f t="shared" si="252"/>
        <v>7523.8184375999954</v>
      </c>
      <c r="GD119" s="253">
        <f t="shared" si="252"/>
        <v>6719.0141602000067</v>
      </c>
      <c r="GE119" s="253">
        <f t="shared" si="252"/>
        <v>7523.8184375999954</v>
      </c>
      <c r="GF119" s="253">
        <f t="shared" si="252"/>
        <v>6719.0141602000067</v>
      </c>
      <c r="GG119" s="181">
        <f t="shared" si="92"/>
        <v>0.15</v>
      </c>
      <c r="GI119" s="253">
        <f t="shared" ref="GI119:GN119" si="253" xml:space="preserve"> MAX(  GI118 * 0.9,  MAX( 0, TREND( GI$96:GI$100, $A$96:$A$100, $A119 ) )  )</f>
        <v>8587.375611499996</v>
      </c>
      <c r="GJ119" s="253">
        <f t="shared" si="253"/>
        <v>6812.4804236999953</v>
      </c>
      <c r="GK119" s="253">
        <f t="shared" si="253"/>
        <v>8587.375611499996</v>
      </c>
      <c r="GL119" s="253">
        <f t="shared" si="253"/>
        <v>6812.4804236999953</v>
      </c>
      <c r="GM119" s="253">
        <f t="shared" si="253"/>
        <v>8587.375611499996</v>
      </c>
      <c r="GN119" s="253">
        <f t="shared" si="253"/>
        <v>6812.4804236999953</v>
      </c>
      <c r="GO119" s="181">
        <f t="shared" si="94"/>
        <v>0.85</v>
      </c>
    </row>
    <row r="120" spans="1:197" x14ac:dyDescent="0.2">
      <c r="A120" s="3">
        <f>Basis!A120</f>
        <v>120</v>
      </c>
      <c r="D120" s="252" t="e">
        <v>#N/A</v>
      </c>
      <c r="E120" s="252" t="e">
        <v>#N/A</v>
      </c>
      <c r="H120" s="253">
        <f t="shared" si="95"/>
        <v>15793.81247920362</v>
      </c>
      <c r="I120" s="253">
        <f t="shared" si="8"/>
        <v>11585.97212480806</v>
      </c>
      <c r="J120" s="253">
        <f t="shared" si="9"/>
        <v>15793.81247920362</v>
      </c>
      <c r="K120" s="253">
        <f t="shared" si="10"/>
        <v>11585.97212480806</v>
      </c>
      <c r="L120" s="253">
        <f t="shared" si="11"/>
        <v>15793.81247920362</v>
      </c>
      <c r="M120" s="253">
        <f t="shared" si="12"/>
        <v>11585.97212480806</v>
      </c>
      <c r="N120" s="181">
        <f t="shared" si="13"/>
        <v>0.15</v>
      </c>
      <c r="P120" s="253">
        <f t="shared" si="96"/>
        <v>13356.5478273422</v>
      </c>
      <c r="Q120" s="253">
        <f t="shared" si="14"/>
        <v>10286.972764445327</v>
      </c>
      <c r="R120" s="253">
        <f t="shared" si="15"/>
        <v>13356.5478273422</v>
      </c>
      <c r="S120" s="253">
        <f t="shared" si="16"/>
        <v>10286.972764445327</v>
      </c>
      <c r="T120" s="253">
        <f t="shared" si="17"/>
        <v>13356.5478273422</v>
      </c>
      <c r="U120" s="253">
        <f t="shared" si="18"/>
        <v>10286.972764445327</v>
      </c>
      <c r="V120" s="181">
        <f t="shared" si="19"/>
        <v>0.24258687540636581</v>
      </c>
      <c r="X120" s="253">
        <f t="shared" si="97"/>
        <v>10417.085383032023</v>
      </c>
      <c r="Y120" s="253">
        <f t="shared" si="20"/>
        <v>7827.2993256068985</v>
      </c>
      <c r="Z120" s="253">
        <f t="shared" si="21"/>
        <v>10417.085383032023</v>
      </c>
      <c r="AA120" s="253">
        <f t="shared" si="22"/>
        <v>7827.2993256068985</v>
      </c>
      <c r="AB120" s="253">
        <f t="shared" si="23"/>
        <v>10417.085383032023</v>
      </c>
      <c r="AC120" s="253">
        <f t="shared" si="24"/>
        <v>7827.2993256068985</v>
      </c>
      <c r="AD120" s="181">
        <f t="shared" si="25"/>
        <v>0.16394634243045003</v>
      </c>
      <c r="AF120" s="253">
        <f t="shared" si="98"/>
        <v>1857.9658651300215</v>
      </c>
      <c r="AG120" s="253">
        <f t="shared" si="26"/>
        <v>1079.3692456837039</v>
      </c>
      <c r="AH120" s="253">
        <f t="shared" si="27"/>
        <v>1857.9658651300215</v>
      </c>
      <c r="AI120" s="253">
        <f t="shared" si="28"/>
        <v>1079.3692456837039</v>
      </c>
      <c r="AJ120" s="253">
        <f t="shared" si="29"/>
        <v>1857.9658651300215</v>
      </c>
      <c r="AK120" s="253">
        <f t="shared" si="30"/>
        <v>1079.3692456837039</v>
      </c>
      <c r="AL120" s="181">
        <f t="shared" si="31"/>
        <v>0.15</v>
      </c>
      <c r="AN120" s="253">
        <f t="shared" si="233"/>
        <v>19.163113533795553</v>
      </c>
      <c r="AO120" s="253">
        <f t="shared" si="233"/>
        <v>11.270161679345955</v>
      </c>
      <c r="AP120" s="253">
        <f t="shared" si="233"/>
        <v>19.163113533795553</v>
      </c>
      <c r="AQ120" s="253">
        <f t="shared" si="233"/>
        <v>11.270161679345955</v>
      </c>
      <c r="AR120" s="253">
        <f t="shared" si="233"/>
        <v>19.163113533795553</v>
      </c>
      <c r="AS120" s="253">
        <f t="shared" si="233"/>
        <v>11.270161679345955</v>
      </c>
      <c r="AT120" s="181">
        <f t="shared" si="33"/>
        <v>0.85</v>
      </c>
      <c r="AX120" s="253">
        <f t="shared" si="100"/>
        <v>16839.699011639994</v>
      </c>
      <c r="AY120" s="253">
        <f t="shared" si="34"/>
        <v>11695.2435976</v>
      </c>
      <c r="AZ120" s="253">
        <f t="shared" si="35"/>
        <v>16839.699011639994</v>
      </c>
      <c r="BA120" s="253">
        <f t="shared" si="36"/>
        <v>11695.2435976</v>
      </c>
      <c r="BB120" s="253">
        <f t="shared" si="37"/>
        <v>16839.699011639994</v>
      </c>
      <c r="BC120" s="253">
        <f t="shared" si="38"/>
        <v>11695.2435976</v>
      </c>
      <c r="BD120" s="181">
        <f t="shared" si="39"/>
        <v>0.15</v>
      </c>
      <c r="BF120" s="253">
        <f t="shared" si="101"/>
        <v>12011.582574159997</v>
      </c>
      <c r="BG120" s="253">
        <f t="shared" si="40"/>
        <v>9672.401597799997</v>
      </c>
      <c r="BH120" s="253">
        <f t="shared" si="41"/>
        <v>12011.582574159997</v>
      </c>
      <c r="BI120" s="253">
        <f t="shared" si="42"/>
        <v>9672.401597799997</v>
      </c>
      <c r="BJ120" s="253">
        <f t="shared" si="43"/>
        <v>12011.582574159997</v>
      </c>
      <c r="BK120" s="253">
        <f t="shared" si="44"/>
        <v>9672.401597799997</v>
      </c>
      <c r="BL120" s="181">
        <f t="shared" si="45"/>
        <v>0.15985643713289788</v>
      </c>
      <c r="BN120" s="253">
        <f t="shared" si="102"/>
        <v>10790.993003800006</v>
      </c>
      <c r="BO120" s="253">
        <f t="shared" si="46"/>
        <v>7769.2258616799936</v>
      </c>
      <c r="BP120" s="253">
        <f t="shared" si="47"/>
        <v>10790.993003800006</v>
      </c>
      <c r="BQ120" s="253">
        <f t="shared" si="48"/>
        <v>7769.2258616799936</v>
      </c>
      <c r="BR120" s="253">
        <f t="shared" si="49"/>
        <v>10790.993003800006</v>
      </c>
      <c r="BS120" s="253">
        <f t="shared" si="50"/>
        <v>7769.2258616799936</v>
      </c>
      <c r="BT120" s="181">
        <f t="shared" si="51"/>
        <v>0.15</v>
      </c>
      <c r="BV120" s="253">
        <f t="shared" si="103"/>
        <v>24.973871365527664</v>
      </c>
      <c r="BW120" s="253">
        <f t="shared" si="52"/>
        <v>8.826722233584464</v>
      </c>
      <c r="BX120" s="253">
        <f t="shared" si="53"/>
        <v>24.973871365527664</v>
      </c>
      <c r="BY120" s="253">
        <f t="shared" si="54"/>
        <v>8.826722233584464</v>
      </c>
      <c r="BZ120" s="253">
        <f t="shared" si="55"/>
        <v>24.973871365527664</v>
      </c>
      <c r="CA120" s="253">
        <f t="shared" si="56"/>
        <v>8.826722233584464</v>
      </c>
      <c r="CB120" s="181">
        <f t="shared" si="57"/>
        <v>0.15342470148277787</v>
      </c>
      <c r="CD120" s="253">
        <f t="shared" si="58"/>
        <v>2528.0736529499995</v>
      </c>
      <c r="CE120" s="253">
        <f t="shared" si="59"/>
        <v>1338.3908595000003</v>
      </c>
      <c r="CF120" s="253">
        <f t="shared" si="60"/>
        <v>2528.0736529499995</v>
      </c>
      <c r="CG120" s="253">
        <f t="shared" si="61"/>
        <v>1338.3908595000003</v>
      </c>
      <c r="CH120" s="253">
        <f t="shared" si="62"/>
        <v>2528.0736529499995</v>
      </c>
      <c r="CI120" s="253">
        <f t="shared" si="63"/>
        <v>1338.3908595000003</v>
      </c>
      <c r="CJ120" s="181">
        <f t="shared" si="64"/>
        <v>0.17389602372815008</v>
      </c>
      <c r="CN120" s="253">
        <f t="shared" si="234"/>
        <v>17149.083426320009</v>
      </c>
      <c r="CO120" s="253">
        <f t="shared" si="234"/>
        <v>11887.402521760006</v>
      </c>
      <c r="CP120" s="253">
        <f t="shared" si="234"/>
        <v>17149.083426320009</v>
      </c>
      <c r="CQ120" s="253">
        <f t="shared" si="234"/>
        <v>11887.402521760006</v>
      </c>
      <c r="CR120" s="253">
        <f t="shared" si="234"/>
        <v>17149.083426320009</v>
      </c>
      <c r="CS120" s="253">
        <f t="shared" si="234"/>
        <v>11887.402521760006</v>
      </c>
      <c r="CT120" s="181">
        <f t="shared" si="67"/>
        <v>0.19041039904059556</v>
      </c>
      <c r="CV120" s="253">
        <f t="shared" si="235"/>
        <v>11073.52997358002</v>
      </c>
      <c r="CW120" s="253">
        <f t="shared" si="235"/>
        <v>8761.7195838400094</v>
      </c>
      <c r="CX120" s="253">
        <f t="shared" si="235"/>
        <v>11073.52997358002</v>
      </c>
      <c r="CY120" s="253">
        <f t="shared" si="235"/>
        <v>8761.7195838400094</v>
      </c>
      <c r="CZ120" s="253">
        <f t="shared" si="235"/>
        <v>11073.52997358002</v>
      </c>
      <c r="DA120" s="253">
        <f t="shared" si="235"/>
        <v>8761.7195838400094</v>
      </c>
      <c r="DB120" s="181">
        <f t="shared" si="70"/>
        <v>0.19408014757495892</v>
      </c>
      <c r="DC120" s="1"/>
      <c r="DD120" s="253">
        <f t="shared" si="236"/>
        <v>10665.339161279997</v>
      </c>
      <c r="DE120" s="253">
        <f t="shared" si="236"/>
        <v>7643.4532368399996</v>
      </c>
      <c r="DF120" s="253">
        <f t="shared" si="236"/>
        <v>10665.339161279997</v>
      </c>
      <c r="DG120" s="253">
        <f t="shared" si="236"/>
        <v>7643.4532368399996</v>
      </c>
      <c r="DH120" s="253">
        <f t="shared" si="236"/>
        <v>10665.339161279997</v>
      </c>
      <c r="DI120" s="253">
        <f t="shared" si="236"/>
        <v>7643.4532368399996</v>
      </c>
      <c r="DJ120" s="181">
        <f t="shared" si="73"/>
        <v>0.23101971710284955</v>
      </c>
      <c r="DK120" s="1"/>
      <c r="DL120" s="253">
        <f t="shared" si="237"/>
        <v>26.117332895117336</v>
      </c>
      <c r="DM120" s="253">
        <f t="shared" si="237"/>
        <v>10.461214096558555</v>
      </c>
      <c r="DN120" s="253">
        <f t="shared" si="237"/>
        <v>26.117332895117336</v>
      </c>
      <c r="DO120" s="253">
        <f t="shared" si="237"/>
        <v>10.461214096558555</v>
      </c>
      <c r="DP120" s="253">
        <f t="shared" si="237"/>
        <v>26.117332895117336</v>
      </c>
      <c r="DQ120" s="253">
        <f t="shared" si="237"/>
        <v>10.461214096558555</v>
      </c>
      <c r="DR120" s="181">
        <f t="shared" si="76"/>
        <v>0.20219429630985816</v>
      </c>
      <c r="DS120" s="1"/>
      <c r="DT120" s="253">
        <f t="shared" si="224"/>
        <v>3234.9082626000022</v>
      </c>
      <c r="DU120" s="253">
        <f t="shared" si="224"/>
        <v>2045.6212620000006</v>
      </c>
      <c r="DV120" s="253">
        <f t="shared" si="224"/>
        <v>3234.9082626000022</v>
      </c>
      <c r="DW120" s="253">
        <f t="shared" si="224"/>
        <v>2045.6212620000006</v>
      </c>
      <c r="DX120" s="253">
        <f t="shared" si="224"/>
        <v>3234.9082626000022</v>
      </c>
      <c r="DY120" s="253">
        <f t="shared" si="224"/>
        <v>2045.6212620000006</v>
      </c>
      <c r="DZ120" s="181">
        <f t="shared" si="78"/>
        <v>0.24125193760100261</v>
      </c>
      <c r="ED120" s="253">
        <f t="shared" ref="ED120:EI120" si="254" xml:space="preserve"> MAX(  ED119 * 0.9,  MAX( 0, TREND( ED$96:ED$100, $A$96:$A$100, $A120 ) )  )</f>
        <v>14837.423764440013</v>
      </c>
      <c r="EE120" s="253">
        <f t="shared" si="254"/>
        <v>10512.919617280011</v>
      </c>
      <c r="EF120" s="253">
        <f t="shared" si="254"/>
        <v>14837.423764440013</v>
      </c>
      <c r="EG120" s="253">
        <f t="shared" si="254"/>
        <v>10512.919617280011</v>
      </c>
      <c r="EH120" s="253">
        <f t="shared" si="254"/>
        <v>14837.423764440013</v>
      </c>
      <c r="EI120" s="253">
        <f t="shared" si="254"/>
        <v>10512.919617280011</v>
      </c>
      <c r="EJ120" s="181">
        <f t="shared" si="80"/>
        <v>0.24678409210423774</v>
      </c>
      <c r="EL120" s="253">
        <f t="shared" ref="EL120:EQ120" si="255" xml:space="preserve"> MAX(  EL119 * 0.9,  MAX( 0, TREND( EL$96:EL$100, $A$96:$A$100, $A120 ) )  )</f>
        <v>11995.416967360004</v>
      </c>
      <c r="EM120" s="253">
        <f t="shared" si="255"/>
        <v>10027.206369920004</v>
      </c>
      <c r="EN120" s="253">
        <f t="shared" si="255"/>
        <v>11995.416967360004</v>
      </c>
      <c r="EO120" s="253">
        <f t="shared" si="255"/>
        <v>10027.206369920004</v>
      </c>
      <c r="EP120" s="253">
        <f t="shared" si="255"/>
        <v>11995.416967360004</v>
      </c>
      <c r="EQ120" s="253">
        <f t="shared" si="255"/>
        <v>10027.206369920004</v>
      </c>
      <c r="ER120" s="181">
        <f t="shared" si="82"/>
        <v>0.23955028343524132</v>
      </c>
      <c r="ET120" s="253">
        <f t="shared" ref="ET120:EY120" si="256" xml:space="preserve"> MAX(  ET119 * 0.9,  MAX( 0, TREND( ET$96:ET$100, $A$96:$A$100, $A120 ) )  )</f>
        <v>12086.789856960004</v>
      </c>
      <c r="EU120" s="253">
        <f t="shared" si="256"/>
        <v>9085.1830174399929</v>
      </c>
      <c r="EV120" s="253">
        <f t="shared" si="256"/>
        <v>12086.789856960004</v>
      </c>
      <c r="EW120" s="253">
        <f t="shared" si="256"/>
        <v>9085.1830174399929</v>
      </c>
      <c r="EX120" s="253">
        <f t="shared" si="256"/>
        <v>12086.789856960004</v>
      </c>
      <c r="EY120" s="253">
        <f t="shared" si="256"/>
        <v>9085.1830174399929</v>
      </c>
      <c r="EZ120" s="181">
        <f t="shared" si="84"/>
        <v>0.24861415021641745</v>
      </c>
      <c r="FB120" s="253">
        <f t="shared" ref="FB120:FG120" si="257" xml:space="preserve"> MAX(  FB119 * 0.9,  MAX( 0, TREND( FB$96:FB$100, $A$96:$A$100, $A120 ) )  )</f>
        <v>27.912531150745941</v>
      </c>
      <c r="FC120" s="253">
        <f t="shared" si="257"/>
        <v>19.830726635506828</v>
      </c>
      <c r="FD120" s="253">
        <f t="shared" si="257"/>
        <v>27.912531150745941</v>
      </c>
      <c r="FE120" s="253">
        <f t="shared" si="257"/>
        <v>19.830726635506828</v>
      </c>
      <c r="FF120" s="253">
        <f t="shared" si="257"/>
        <v>27.912531150745941</v>
      </c>
      <c r="FG120" s="253">
        <f t="shared" si="257"/>
        <v>19.830726635506828</v>
      </c>
      <c r="FH120" s="181">
        <f t="shared" si="86"/>
        <v>0.24131645732181609</v>
      </c>
      <c r="FJ120" s="253">
        <f t="shared" ref="FJ120:FO120" si="258" xml:space="preserve"> MAX(  FJ119 * 0.9,  MAX( 0, TREND( FJ$96:FJ$100, $A$96:$A$100, $A120 ) )  )</f>
        <v>2608.0357724999999</v>
      </c>
      <c r="FK120" s="253">
        <f t="shared" si="258"/>
        <v>1467.2247795000005</v>
      </c>
      <c r="FL120" s="253">
        <f t="shared" si="258"/>
        <v>2608.0357724999999</v>
      </c>
      <c r="FM120" s="253">
        <f t="shared" si="258"/>
        <v>1467.2247795000005</v>
      </c>
      <c r="FN120" s="253">
        <f t="shared" si="258"/>
        <v>2608.0357724999999</v>
      </c>
      <c r="FO120" s="253">
        <f t="shared" si="258"/>
        <v>1467.2247795000005</v>
      </c>
      <c r="FP120" s="181">
        <f t="shared" si="88"/>
        <v>0.24583836257643332</v>
      </c>
      <c r="FS120" s="253">
        <f t="shared" ref="FS120:FX120" si="259" xml:space="preserve"> MAX(  FS119 * 0.9,  MAX( 0, TREND( FS$96:FS$100, $A$96:$A$100, $A120 ) )  )</f>
        <v>7947.7882090000003</v>
      </c>
      <c r="FT120" s="253">
        <f t="shared" si="259"/>
        <v>6226.2971192000014</v>
      </c>
      <c r="FU120" s="253">
        <f t="shared" si="259"/>
        <v>7947.7882090000003</v>
      </c>
      <c r="FV120" s="253">
        <f t="shared" si="259"/>
        <v>6226.2971192000014</v>
      </c>
      <c r="FW120" s="253">
        <f t="shared" si="259"/>
        <v>7947.7882090000003</v>
      </c>
      <c r="FX120" s="253">
        <f t="shared" si="259"/>
        <v>6226.2971192000014</v>
      </c>
      <c r="FY120" s="181">
        <f t="shared" si="90"/>
        <v>0.26127946755077081</v>
      </c>
      <c r="GA120" s="253">
        <f t="shared" ref="GA120:GF120" si="260" xml:space="preserve"> MAX(  GA119 * 0.9,  MAX( 0, TREND( GA$96:GA$100, $A$96:$A$100, $A120 ) )  )</f>
        <v>7587.0279071999958</v>
      </c>
      <c r="GB120" s="253">
        <f t="shared" si="260"/>
        <v>6773.1636230000076</v>
      </c>
      <c r="GC120" s="253">
        <f t="shared" si="260"/>
        <v>7587.0279071999958</v>
      </c>
      <c r="GD120" s="253">
        <f t="shared" si="260"/>
        <v>6773.1636230000076</v>
      </c>
      <c r="GE120" s="253">
        <f t="shared" si="260"/>
        <v>7587.0279071999958</v>
      </c>
      <c r="GF120" s="253">
        <f t="shared" si="260"/>
        <v>6773.1636230000076</v>
      </c>
      <c r="GG120" s="181">
        <f t="shared" si="92"/>
        <v>0.15</v>
      </c>
      <c r="GI120" s="253">
        <f t="shared" ref="GI120:GN120" si="261" xml:space="preserve"> MAX(  GI119 * 0.9,  MAX( 0, TREND( GI$96:GI$100, $A$96:$A$100, $A120 ) )  )</f>
        <v>8681.1320889999952</v>
      </c>
      <c r="GJ120" s="253">
        <f t="shared" si="261"/>
        <v>6864.9915599999949</v>
      </c>
      <c r="GK120" s="253">
        <f t="shared" si="261"/>
        <v>8681.1320889999952</v>
      </c>
      <c r="GL120" s="253">
        <f t="shared" si="261"/>
        <v>6864.9915599999949</v>
      </c>
      <c r="GM120" s="253">
        <f t="shared" si="261"/>
        <v>8681.1320889999952</v>
      </c>
      <c r="GN120" s="253">
        <f t="shared" si="261"/>
        <v>6864.9915599999949</v>
      </c>
      <c r="GO120" s="181">
        <f t="shared" si="94"/>
        <v>0.85</v>
      </c>
    </row>
    <row r="121" spans="1:197" x14ac:dyDescent="0.2">
      <c r="BT121" s="251"/>
      <c r="DC121" s="140"/>
      <c r="DD121" s="140"/>
      <c r="DE121" s="140"/>
      <c r="DF121" s="140"/>
      <c r="DG121" s="140"/>
      <c r="DH121" s="140"/>
    </row>
    <row r="122" spans="1:197" x14ac:dyDescent="0.2">
      <c r="BT122" s="251"/>
    </row>
    <row r="123" spans="1:197" x14ac:dyDescent="0.2">
      <c r="BT123" s="251"/>
      <c r="DC123" s="140"/>
      <c r="DD123" s="140"/>
      <c r="DE123" s="140"/>
      <c r="DF123" s="140"/>
      <c r="DG123" s="140"/>
      <c r="DH123" s="140"/>
    </row>
    <row r="124" spans="1:197" x14ac:dyDescent="0.2">
      <c r="BT124" s="251"/>
      <c r="DC124" s="140"/>
      <c r="DD124" s="140"/>
      <c r="DE124" s="140"/>
      <c r="DF124" s="140"/>
      <c r="DG124" s="140"/>
      <c r="DH124" s="140"/>
    </row>
    <row r="125" spans="1:197" x14ac:dyDescent="0.2">
      <c r="BT125" s="251"/>
      <c r="DC125" s="140"/>
      <c r="DD125" s="140"/>
      <c r="DE125" s="140"/>
      <c r="DF125" s="140"/>
      <c r="DG125" s="140"/>
      <c r="DH125" s="140"/>
    </row>
    <row r="126" spans="1:197" x14ac:dyDescent="0.2">
      <c r="BT126" s="251"/>
      <c r="DC126" s="140"/>
      <c r="DD126" s="140"/>
      <c r="DE126" s="140"/>
      <c r="DF126" s="140"/>
      <c r="DG126" s="140"/>
      <c r="DH126" s="140"/>
    </row>
    <row r="127" spans="1:197" x14ac:dyDescent="0.2">
      <c r="A127" s="1" t="s">
        <v>247</v>
      </c>
      <c r="BT127" s="251"/>
      <c r="DC127" s="140"/>
      <c r="DD127" s="140"/>
      <c r="DE127" s="140"/>
      <c r="DF127" s="140"/>
      <c r="DG127" s="140"/>
      <c r="DH127" s="140"/>
    </row>
    <row r="128" spans="1:197" x14ac:dyDescent="0.2">
      <c r="A128" s="1" t="s">
        <v>248</v>
      </c>
      <c r="BT128" s="251"/>
      <c r="DC128" s="140"/>
      <c r="DD128" s="140"/>
      <c r="DE128" s="140"/>
      <c r="DF128" s="140"/>
      <c r="DG128" s="140"/>
      <c r="DH128" s="140"/>
    </row>
    <row r="129" spans="1:197" x14ac:dyDescent="0.2">
      <c r="BT129" s="251"/>
      <c r="DC129" s="140"/>
      <c r="DD129" s="140"/>
      <c r="DE129" s="140"/>
      <c r="DF129" s="140"/>
      <c r="DG129" s="140"/>
      <c r="DH129" s="140"/>
    </row>
    <row r="130" spans="1:197" x14ac:dyDescent="0.2">
      <c r="A130" s="3">
        <f>Basis!A130</f>
        <v>0</v>
      </c>
      <c r="H130" s="50">
        <f xml:space="preserve"> 'WK2012'!EG10</f>
        <v>3622.3932672914007</v>
      </c>
      <c r="I130" s="50">
        <f xml:space="preserve"> 'WK2012'!EH10</f>
        <v>4023.883682996533</v>
      </c>
      <c r="J130" s="50">
        <f xml:space="preserve"> 'WK2012'!EK10</f>
        <v>3622.3932751727498</v>
      </c>
      <c r="K130" s="50">
        <f xml:space="preserve"> 'WK2012'!EL10</f>
        <v>4023.8836741586465</v>
      </c>
      <c r="L130" s="50">
        <f xml:space="preserve"> 'WK2012'!EM10</f>
        <v>3622.3932672914007</v>
      </c>
      <c r="M130" s="50">
        <f xml:space="preserve"> 'WK2012'!EN10</f>
        <v>4023.8836662772978</v>
      </c>
      <c r="N130" s="61">
        <f xml:space="preserve"> 'WK2012'!EI10</f>
        <v>0.51241438229292957</v>
      </c>
      <c r="P130" s="50">
        <f xml:space="preserve"> 'WK2012'!EU10</f>
        <v>4008.1897783412628</v>
      </c>
      <c r="Q130" s="50">
        <f xml:space="preserve"> 'WK2012'!EV10</f>
        <v>3526.8298584028385</v>
      </c>
      <c r="R130" s="50">
        <f xml:space="preserve"> 'WK2012'!EY10</f>
        <v>4008.1897862226119</v>
      </c>
      <c r="S130" s="50">
        <f xml:space="preserve"> 'WK2012'!EZ10</f>
        <v>3526.8298495649519</v>
      </c>
      <c r="T130" s="50">
        <f xml:space="preserve"> 'WK2012'!FA10</f>
        <v>4008.1897783412628</v>
      </c>
      <c r="U130" s="50">
        <f xml:space="preserve"> 'WK2012'!FB10</f>
        <v>3526.8298416836033</v>
      </c>
      <c r="V130" s="61">
        <f xml:space="preserve"> 'WK2012'!EW10</f>
        <v>0.51581964671348857</v>
      </c>
      <c r="X130" s="50">
        <f xml:space="preserve"> 'WK2012'!FI10</f>
        <v>2888.9263886520598</v>
      </c>
      <c r="Y130" s="50">
        <f xml:space="preserve"> 'WK2012'!FJ10</f>
        <v>2223.7864542806929</v>
      </c>
      <c r="Z130" s="50">
        <f xml:space="preserve"> 'WK2012'!FM10</f>
        <v>2888.9263965334089</v>
      </c>
      <c r="AA130" s="50">
        <f xml:space="preserve"> 'WK2012'!FN10</f>
        <v>2223.7864454428063</v>
      </c>
      <c r="AB130" s="50">
        <f xml:space="preserve"> 'WK2012'!FO10</f>
        <v>2888.9263886520598</v>
      </c>
      <c r="AC130" s="50">
        <f xml:space="preserve"> 'WK2012'!FP10</f>
        <v>2223.7864375614577</v>
      </c>
      <c r="AD130" s="61">
        <f xml:space="preserve"> 'WK2012'!FK10</f>
        <v>0.51237310321250007</v>
      </c>
      <c r="AF130" s="50">
        <f xml:space="preserve"> 'WK2012'!FW10</f>
        <v>0</v>
      </c>
      <c r="AG130" s="50">
        <f xml:space="preserve"> 'WK2012'!FX10</f>
        <v>579.91762640004436</v>
      </c>
      <c r="AH130" s="50">
        <f xml:space="preserve"> 'WK2012'!GA10</f>
        <v>0</v>
      </c>
      <c r="AI130" s="50">
        <f xml:space="preserve"> 'WK2012'!GB10</f>
        <v>579.91762640004436</v>
      </c>
      <c r="AJ130" s="50">
        <f xml:space="preserve"> 'WK2012'!GC10</f>
        <v>0</v>
      </c>
      <c r="AK130" s="50">
        <f xml:space="preserve"> 'WK2012'!GD10</f>
        <v>579.91762640004436</v>
      </c>
      <c r="AL130" s="61">
        <f xml:space="preserve"> 'WK2012'!FY10</f>
        <v>0.51462003422130564</v>
      </c>
      <c r="AN130" s="50">
        <f xml:space="preserve"> 'WK2012'!GK10</f>
        <v>1.1638973511132613</v>
      </c>
      <c r="AO130" s="50">
        <f xml:space="preserve"> 'WK2012'!GL10</f>
        <v>1.0379270135923402</v>
      </c>
      <c r="AP130" s="50">
        <f xml:space="preserve"> 'WK2012'!GO10</f>
        <v>1.1639052324621013</v>
      </c>
      <c r="AQ130" s="50">
        <f xml:space="preserve"> 'WK2012'!GP10</f>
        <v>1.0379181757059397</v>
      </c>
      <c r="AR130" s="50">
        <f xml:space="preserve"> 'WK2012'!GQ10</f>
        <v>1.1638973511132613</v>
      </c>
      <c r="AS130" s="50">
        <f xml:space="preserve"> 'WK2012'!GR10</f>
        <v>1.0379102943570997</v>
      </c>
      <c r="AT130" s="61">
        <f xml:space="preserve"> 'WK2012'!GM10</f>
        <v>0.51183429334542596</v>
      </c>
      <c r="AX130" s="50">
        <f xml:space="preserve"> 'WK2013'!EG10</f>
        <v>4393.3414623999997</v>
      </c>
      <c r="AY130" s="50">
        <f xml:space="preserve"> 'WK2013'!EH10</f>
        <v>3608.7059602000004</v>
      </c>
      <c r="AZ130" s="50">
        <f xml:space="preserve"> 'WK2013'!EK10</f>
        <v>4393.3414623999997</v>
      </c>
      <c r="BA130" s="50">
        <f xml:space="preserve"> 'WK2013'!EL10</f>
        <v>3608.7059602000004</v>
      </c>
      <c r="BB130" s="50">
        <f xml:space="preserve"> 'WK2013'!EM10</f>
        <v>4393.3414623999997</v>
      </c>
      <c r="BC130" s="50">
        <f xml:space="preserve"> 'WK2013'!EN10</f>
        <v>3608.7059602000004</v>
      </c>
      <c r="BD130" s="50">
        <f xml:space="preserve"> 'WK2013'!EI10</f>
        <v>0.51355123365221111</v>
      </c>
      <c r="BF130" s="50">
        <f xml:space="preserve"> 'WK2013'!EU10</f>
        <v>4084.7992160999997</v>
      </c>
      <c r="BG130" s="50">
        <f xml:space="preserve"> 'WK2013'!EV10</f>
        <v>4134.8915808000002</v>
      </c>
      <c r="BH130" s="50">
        <f xml:space="preserve"> 'WK2013'!EY10</f>
        <v>4084.7992160999997</v>
      </c>
      <c r="BI130" s="50">
        <f xml:space="preserve"> 'WK2013'!EZ10</f>
        <v>4134.8915808000002</v>
      </c>
      <c r="BJ130" s="50">
        <f xml:space="preserve"> 'WK2013'!FA10</f>
        <v>4084.7992160999997</v>
      </c>
      <c r="BK130" s="50">
        <f xml:space="preserve"> 'WK2013'!FB10</f>
        <v>4134.8915808000002</v>
      </c>
      <c r="BL130" s="61">
        <f xml:space="preserve"> 'WK2013'!EW10</f>
        <v>0.51223818809893162</v>
      </c>
      <c r="BN130" s="50">
        <f xml:space="preserve"> 'WK2013'!FI10</f>
        <v>3264.8766202000002</v>
      </c>
      <c r="BO130" s="50">
        <f xml:space="preserve"> 'WK2013'!FJ10</f>
        <v>1885.8193126000001</v>
      </c>
      <c r="BP130" s="50">
        <f xml:space="preserve"> 'WK2013'!FM10</f>
        <v>3264.8766202000002</v>
      </c>
      <c r="BQ130" s="50">
        <f xml:space="preserve"> 'WK2013'!FN10</f>
        <v>1885.8193126000001</v>
      </c>
      <c r="BR130" s="50">
        <f xml:space="preserve"> 'WK2013'!FO10</f>
        <v>3264.8766202000002</v>
      </c>
      <c r="BS130" s="50">
        <f xml:space="preserve"> 'WK2013'!FP10</f>
        <v>1885.8193126000001</v>
      </c>
      <c r="BT130" s="61">
        <f xml:space="preserve"> 'WK2013'!FK10</f>
        <v>0.5145107559811215</v>
      </c>
      <c r="BV130" s="50">
        <f xml:space="preserve"> 'WK2013'!FW10</f>
        <v>1.4530103999999999</v>
      </c>
      <c r="BW130" s="50">
        <f xml:space="preserve"> 'WK2013'!FX10</f>
        <v>0.39774720000000002</v>
      </c>
      <c r="BX130" s="50">
        <f xml:space="preserve"> 'WK2013'!GA10</f>
        <v>1.4530103999999999</v>
      </c>
      <c r="BY130" s="50">
        <f xml:space="preserve"> 'WK2013'!GB10</f>
        <v>0.39774720000000002</v>
      </c>
      <c r="BZ130" s="50">
        <f xml:space="preserve"> 'WK2013'!GC10</f>
        <v>1.4530103999999999</v>
      </c>
      <c r="CA130" s="50">
        <f xml:space="preserve"> 'WK2013'!GD10</f>
        <v>0.39774720000000002</v>
      </c>
      <c r="CB130" s="61">
        <f xml:space="preserve"> 'WK2013'!FY10</f>
        <v>0.51322315481903891</v>
      </c>
      <c r="CD130" s="50">
        <f xml:space="preserve"> 'WK2013'!GK10</f>
        <v>0</v>
      </c>
      <c r="CE130" s="50">
        <f xml:space="preserve"> 'WK2013'!GL10</f>
        <v>398.0304922499999</v>
      </c>
      <c r="CF130" s="50">
        <f xml:space="preserve"> 'WK2013'!GO10</f>
        <v>0</v>
      </c>
      <c r="CG130" s="50">
        <f xml:space="preserve"> 'WK2013'!GP10</f>
        <v>398.0304922499999</v>
      </c>
      <c r="CH130" s="50">
        <f xml:space="preserve"> 'WK2013'!GQ10</f>
        <v>0</v>
      </c>
      <c r="CI130" s="50">
        <f xml:space="preserve"> 'WK2013'!GR10</f>
        <v>398.0304922499999</v>
      </c>
      <c r="CJ130" s="61">
        <f xml:space="preserve"> 'WK2013'!GM10</f>
        <v>0.51398818662240608</v>
      </c>
      <c r="CN130" s="50">
        <f xml:space="preserve"> 'WK2014'!EG10</f>
        <v>4120.7617043999999</v>
      </c>
      <c r="CO130" s="50">
        <f xml:space="preserve"> 'WK2014'!EH10</f>
        <v>3368.7630060000001</v>
      </c>
      <c r="CP130" s="50">
        <f xml:space="preserve"> 'WK2014'!EK10</f>
        <v>4120.7617043999999</v>
      </c>
      <c r="CQ130" s="50">
        <f xml:space="preserve"> 'WK2014'!EL10</f>
        <v>3368.7630060000001</v>
      </c>
      <c r="CR130" s="50">
        <f xml:space="preserve"> 'WK2014'!EM10</f>
        <v>4120.7617043999999</v>
      </c>
      <c r="CS130" s="50">
        <f xml:space="preserve"> 'WK2014'!EN10</f>
        <v>3368.7630060000001</v>
      </c>
      <c r="CT130" s="61">
        <f xml:space="preserve"> 'WK2014'!EI10</f>
        <v>0.51432210969429482</v>
      </c>
      <c r="CV130" s="50">
        <f xml:space="preserve"> 'WK2014'!EU10</f>
        <v>2971.4436655999998</v>
      </c>
      <c r="CW130" s="50">
        <f xml:space="preserve"> 'WK2014'!EV10</f>
        <v>3132.7126699999999</v>
      </c>
      <c r="CX130" s="50">
        <f xml:space="preserve"> 'WK2014'!EY10</f>
        <v>2971.4436655999998</v>
      </c>
      <c r="CY130" s="50">
        <f xml:space="preserve"> 'WK2014'!EZ10</f>
        <v>3132.7126699999999</v>
      </c>
      <c r="CZ130" s="50">
        <f xml:space="preserve"> 'WK2014'!FA10</f>
        <v>2971.4436655999998</v>
      </c>
      <c r="DA130" s="50">
        <f xml:space="preserve"> 'WK2014'!FB10</f>
        <v>3132.7126699999999</v>
      </c>
      <c r="DB130" s="61">
        <f xml:space="preserve"> 'WK2014'!EW10</f>
        <v>0.51382780282131912</v>
      </c>
      <c r="DC130" s="1"/>
      <c r="DD130" s="50">
        <f xml:space="preserve"> 'WK2014'!FI10</f>
        <v>2479.8655320000003</v>
      </c>
      <c r="DE130" s="50">
        <f xml:space="preserve"> 'WK2014'!FJ10</f>
        <v>1489.680378</v>
      </c>
      <c r="DF130" s="50">
        <f xml:space="preserve"> 'WK2014'!FM10</f>
        <v>2479.8655320000003</v>
      </c>
      <c r="DG130" s="50">
        <f xml:space="preserve"> 'WK2014'!FN10</f>
        <v>1489.6802070000001</v>
      </c>
      <c r="DH130" s="50">
        <f xml:space="preserve"> 'WK2014'!FO10</f>
        <v>2479.8655320000003</v>
      </c>
      <c r="DI130" s="50">
        <f xml:space="preserve"> 'WK2014'!FP10</f>
        <v>1489.6802070000001</v>
      </c>
      <c r="DJ130" s="61">
        <f xml:space="preserve"> 'WK2014'!FK10</f>
        <v>0.51508670860500383</v>
      </c>
      <c r="DK130" s="1"/>
      <c r="DL130" s="50">
        <f xml:space="preserve"> 'WK2014'!FW10</f>
        <v>0.13741440000000002</v>
      </c>
      <c r="DM130" s="50">
        <f xml:space="preserve"> 'WK2014'!FX10</f>
        <v>0</v>
      </c>
      <c r="DN130" s="50">
        <f xml:space="preserve"> 'WK2014'!GA10</f>
        <v>0.13741440000000002</v>
      </c>
      <c r="DO130" s="50">
        <f xml:space="preserve"> 'WK2014'!GB10</f>
        <v>0</v>
      </c>
      <c r="DP130" s="50">
        <f xml:space="preserve"> 'WK2014'!GC10</f>
        <v>0.13741440000000002</v>
      </c>
      <c r="DQ130" s="50">
        <f xml:space="preserve"> 'WK2014'!GD10</f>
        <v>0</v>
      </c>
      <c r="DR130" s="61">
        <f xml:space="preserve"> 'WK2014'!FY10</f>
        <v>0.51250811443832123</v>
      </c>
      <c r="DS130" s="1"/>
      <c r="DT130" s="50">
        <f xml:space="preserve"> 'WK2014'!GK10</f>
        <v>523.97194500000012</v>
      </c>
      <c r="DU130" s="50">
        <f xml:space="preserve"> 'WK2014'!GL10</f>
        <v>667.35980550000011</v>
      </c>
      <c r="DV130" s="50">
        <f xml:space="preserve"> 'WK2014'!GO10</f>
        <v>523.97194500000012</v>
      </c>
      <c r="DW130" s="50">
        <f xml:space="preserve"> 'WK2014'!GP10</f>
        <v>667.35980550000011</v>
      </c>
      <c r="DX130" s="50">
        <f xml:space="preserve"> 'WK2014'!GQ10</f>
        <v>523.97194500000012</v>
      </c>
      <c r="DY130" s="50">
        <f xml:space="preserve"> 'WK2014'!GR10</f>
        <v>667.35980550000011</v>
      </c>
      <c r="DZ130" s="61">
        <f xml:space="preserve"> 'WK2014'!GM10</f>
        <v>0.51536747630719304</v>
      </c>
      <c r="ED130" s="50">
        <f xml:space="preserve"> 'WK2015'!EG10</f>
        <v>4067.3083649999999</v>
      </c>
      <c r="EE130" s="50">
        <f xml:space="preserve"> 'WK2015'!EH10</f>
        <v>3246.5516079999998</v>
      </c>
      <c r="EF130" s="50">
        <f xml:space="preserve"> 'WK2015'!EK10</f>
        <v>4067.3083649999999</v>
      </c>
      <c r="EG130" s="50">
        <f xml:space="preserve"> 'WK2015'!EL10</f>
        <v>3246.5516079999998</v>
      </c>
      <c r="EH130" s="50">
        <f xml:space="preserve"> 'WK2015'!EM10</f>
        <v>4067.3083649999999</v>
      </c>
      <c r="EI130" s="50">
        <f xml:space="preserve"> 'WK2015'!EN10</f>
        <v>3246.5516079999998</v>
      </c>
      <c r="EJ130" s="61">
        <f xml:space="preserve"> 'WK2015'!EI10</f>
        <v>0.51246094191628699</v>
      </c>
      <c r="EK130" s="1"/>
      <c r="EL130" s="50">
        <f xml:space="preserve"> 'WK2015'!EU10</f>
        <v>3002.6795850000008</v>
      </c>
      <c r="EM130" s="50">
        <f xml:space="preserve"> 'WK2015'!EV10</f>
        <v>3398.3284320000002</v>
      </c>
      <c r="EN130" s="50">
        <f xml:space="preserve"> 'WK2015'!EY10</f>
        <v>3002.6795850000008</v>
      </c>
      <c r="EO130" s="50">
        <f xml:space="preserve"> 'WK2015'!EZ10</f>
        <v>3398.3284320000002</v>
      </c>
      <c r="EP130" s="50">
        <f xml:space="preserve"> 'WK2015'!FA10</f>
        <v>3002.6795850000008</v>
      </c>
      <c r="EQ130" s="50">
        <f xml:space="preserve"> 'WK2015'!FB10</f>
        <v>3398.3284320000002</v>
      </c>
      <c r="ER130" s="61">
        <f xml:space="preserve"> 'WK2015'!EW10</f>
        <v>0.51182549728299154</v>
      </c>
      <c r="ES130" s="1"/>
      <c r="ET130" s="50">
        <f xml:space="preserve"> 'WK2015'!FI10</f>
        <v>3124.7093279999999</v>
      </c>
      <c r="EU130" s="50">
        <f xml:space="preserve"> 'WK2015'!FJ10</f>
        <v>1369.6597169999998</v>
      </c>
      <c r="EV130" s="50">
        <f xml:space="preserve"> 'WK2015'!FM10</f>
        <v>3124.7093279999999</v>
      </c>
      <c r="EW130" s="50">
        <f xml:space="preserve"> 'WK2015'!FN10</f>
        <v>1369.6597169999998</v>
      </c>
      <c r="EX130" s="50">
        <f xml:space="preserve"> 'WK2015'!FO10</f>
        <v>3124.7093279999999</v>
      </c>
      <c r="EY130" s="50">
        <f xml:space="preserve"> 'WK2015'!FP10</f>
        <v>1369.6597169999998</v>
      </c>
      <c r="EZ130" s="61">
        <f xml:space="preserve"> 'WK2015'!FK10</f>
        <v>0.51187789734990019</v>
      </c>
      <c r="FA130" s="1"/>
      <c r="FB130" s="50">
        <f xml:space="preserve"> 'WK2015'!FW10</f>
        <v>0</v>
      </c>
      <c r="FC130" s="50">
        <f xml:space="preserve"> 'WK2015'!FX10</f>
        <v>0</v>
      </c>
      <c r="FD130" s="50">
        <f xml:space="preserve"> 'WK2015'!GA10</f>
        <v>0</v>
      </c>
      <c r="FE130" s="50">
        <f xml:space="preserve"> 'WK2015'!GB10</f>
        <v>0</v>
      </c>
      <c r="FF130" s="50">
        <f xml:space="preserve"> 'WK2015'!GC10</f>
        <v>0</v>
      </c>
      <c r="FG130" s="50">
        <f xml:space="preserve"> 'WK2015'!GD10</f>
        <v>0</v>
      </c>
      <c r="FH130" s="61">
        <f xml:space="preserve"> 'WK2015'!FY10</f>
        <v>0.51260115330446299</v>
      </c>
      <c r="FI130" s="1"/>
      <c r="FJ130" s="50">
        <f xml:space="preserve"> 'WK2015'!GK10</f>
        <v>63.64431449999995</v>
      </c>
      <c r="FK130" s="50">
        <f xml:space="preserve"> 'WK2015'!GL10</f>
        <v>793.97601225000017</v>
      </c>
      <c r="FL130" s="50">
        <f xml:space="preserve"> 'WK2015'!GO10</f>
        <v>63.64431449999995</v>
      </c>
      <c r="FM130" s="50">
        <f xml:space="preserve"> 'WK2015'!GP10</f>
        <v>793.97601225000017</v>
      </c>
      <c r="FN130" s="50">
        <f xml:space="preserve"> 'WK2015'!GQ10</f>
        <v>63.64431449999995</v>
      </c>
      <c r="FO130" s="50">
        <f xml:space="preserve"> 'WK2015'!GR10</f>
        <v>793.97601225000017</v>
      </c>
      <c r="FP130" s="61">
        <f xml:space="preserve"> 'WK2015'!GM10</f>
        <v>0.51168780194867858</v>
      </c>
      <c r="FS130" s="283">
        <f xml:space="preserve"> 'WK2015'!H10</f>
        <v>1266.6763349999999</v>
      </c>
      <c r="FT130" s="283">
        <f xml:space="preserve"> 'WK2015'!I10</f>
        <v>1132.804234</v>
      </c>
      <c r="FU130" s="283">
        <f xml:space="preserve"> 'WK2015'!L10</f>
        <v>1266.6763349999999</v>
      </c>
      <c r="FV130" s="283">
        <f xml:space="preserve"> 'WK2015'!M10</f>
        <v>1132.804234</v>
      </c>
      <c r="FW130" s="283">
        <f xml:space="preserve"> 'WK2015'!N10</f>
        <v>1266.6763349999999</v>
      </c>
      <c r="FX130" s="283">
        <f xml:space="preserve"> 'WK2015'!O10</f>
        <v>1132.804234</v>
      </c>
      <c r="FY130" s="284">
        <f xml:space="preserve"> 'WK2015'!P10</f>
        <v>0.51380688253807483</v>
      </c>
      <c r="GA130" s="283">
        <f xml:space="preserve"> 'WK2015'!HB10</f>
        <v>724.43936999999994</v>
      </c>
      <c r="GB130" s="283">
        <f xml:space="preserve"> 'WK2015'!HC10</f>
        <v>490.84831499999996</v>
      </c>
      <c r="GC130" s="283">
        <f xml:space="preserve"> 'WK2015'!HF10</f>
        <v>724.43936999999994</v>
      </c>
      <c r="GD130" s="283">
        <f xml:space="preserve"> 'WK2015'!HG10</f>
        <v>490.84831499999996</v>
      </c>
      <c r="GE130" s="283">
        <f xml:space="preserve"> 'WK2015'!HH10</f>
        <v>724.43936999999994</v>
      </c>
      <c r="GF130" s="283">
        <f xml:space="preserve"> 'WK2015'!HI10</f>
        <v>490.84831499999996</v>
      </c>
      <c r="GG130" s="284">
        <f xml:space="preserve"> 'WK2015'!HJ10</f>
        <v>0.52623671210848644</v>
      </c>
      <c r="GI130" s="283">
        <f xml:space="preserve"> 'WK2015'!HQ10</f>
        <v>0</v>
      </c>
      <c r="GJ130" s="283">
        <f xml:space="preserve"> 'WK2015'!HR10</f>
        <v>24.506748000000002</v>
      </c>
      <c r="GK130" s="283">
        <f xml:space="preserve"> 'WK2015'!HU10</f>
        <v>0</v>
      </c>
      <c r="GL130" s="283">
        <f xml:space="preserve"> 'WK2015'!HV10</f>
        <v>24.506748000000002</v>
      </c>
      <c r="GM130" s="283">
        <f xml:space="preserve"> 'WK2015'!HW10</f>
        <v>0</v>
      </c>
      <c r="GN130" s="283">
        <f xml:space="preserve"> 'WK2015'!HX10</f>
        <v>24.506748000000002</v>
      </c>
      <c r="GO130" s="284">
        <f xml:space="preserve"> 'WK2015'!HY10</f>
        <v>0.42105595553871417</v>
      </c>
    </row>
    <row r="131" spans="1:197" x14ac:dyDescent="0.2">
      <c r="A131" s="3">
        <f>Basis!A131</f>
        <v>1</v>
      </c>
      <c r="H131" s="50">
        <f xml:space="preserve"> 'WK2012'!EG11</f>
        <v>1875.2280427618227</v>
      </c>
      <c r="I131" s="50">
        <f xml:space="preserve"> 'WK2012'!EH11</f>
        <v>1605.0980316711029</v>
      </c>
      <c r="J131" s="50">
        <f xml:space="preserve"> 'WK2012'!EK11</f>
        <v>1875.2280427618227</v>
      </c>
      <c r="K131" s="50">
        <f xml:space="preserve"> 'WK2012'!EL11</f>
        <v>1605.0980316711029</v>
      </c>
      <c r="L131" s="50">
        <f xml:space="preserve"> 'WK2012'!EM11</f>
        <v>1875.2280427618227</v>
      </c>
      <c r="M131" s="50">
        <f xml:space="preserve"> 'WK2012'!EN11</f>
        <v>1605.0980316711029</v>
      </c>
      <c r="N131" s="61">
        <f xml:space="preserve"> 'WK2012'!EI11</f>
        <v>0.51115055119839081</v>
      </c>
      <c r="P131" s="50">
        <f xml:space="preserve"> 'WK2012'!EU11</f>
        <v>1358.9262067852828</v>
      </c>
      <c r="Q131" s="50">
        <f xml:space="preserve"> 'WK2012'!EV11</f>
        <v>1061.5927158291875</v>
      </c>
      <c r="R131" s="50">
        <f xml:space="preserve"> 'WK2012'!EY11</f>
        <v>1358.9262067852828</v>
      </c>
      <c r="S131" s="50">
        <f xml:space="preserve"> 'WK2012'!EZ11</f>
        <v>1061.5927158291875</v>
      </c>
      <c r="T131" s="50">
        <f xml:space="preserve"> 'WK2012'!FA11</f>
        <v>1358.9262067852828</v>
      </c>
      <c r="U131" s="50">
        <f xml:space="preserve"> 'WK2012'!FB11</f>
        <v>1061.5927158291875</v>
      </c>
      <c r="V131" s="61">
        <f xml:space="preserve"> 'WK2012'!EW11</f>
        <v>0.51624226716937516</v>
      </c>
      <c r="X131" s="50">
        <f xml:space="preserve"> 'WK2012'!FI11</f>
        <v>654.04664288926938</v>
      </c>
      <c r="Y131" s="50">
        <f xml:space="preserve"> 'WK2012'!FJ11</f>
        <v>500.1023995732923</v>
      </c>
      <c r="Z131" s="50">
        <f xml:space="preserve"> 'WK2012'!FM11</f>
        <v>654.04664288926938</v>
      </c>
      <c r="AA131" s="50">
        <f xml:space="preserve"> 'WK2012'!FN11</f>
        <v>500.1023995732923</v>
      </c>
      <c r="AB131" s="50">
        <f xml:space="preserve"> 'WK2012'!FO11</f>
        <v>654.04664288926938</v>
      </c>
      <c r="AC131" s="50">
        <f xml:space="preserve"> 'WK2012'!FP11</f>
        <v>500.1023995732923</v>
      </c>
      <c r="AD131" s="61">
        <f xml:space="preserve"> 'WK2012'!FK11</f>
        <v>0.51098639450388328</v>
      </c>
      <c r="AF131" s="50">
        <f xml:space="preserve"> 'WK2012'!FW11</f>
        <v>207.02837099869433</v>
      </c>
      <c r="AG131" s="50">
        <f xml:space="preserve"> 'WK2012'!FX11</f>
        <v>48.640411721030425</v>
      </c>
      <c r="AH131" s="50">
        <f xml:space="preserve"> 'WK2012'!GA11</f>
        <v>207.02837099869433</v>
      </c>
      <c r="AI131" s="50">
        <f xml:space="preserve"> 'WK2012'!GB11</f>
        <v>48.640411721030425</v>
      </c>
      <c r="AJ131" s="50">
        <f xml:space="preserve"> 'WK2012'!GC11</f>
        <v>207.02837099869433</v>
      </c>
      <c r="AK131" s="50">
        <f xml:space="preserve"> 'WK2012'!GD11</f>
        <v>48.640411721030425</v>
      </c>
      <c r="AL131" s="61">
        <f xml:space="preserve"> 'WK2012'!FY11</f>
        <v>0.51414850353373187</v>
      </c>
      <c r="AN131" s="50">
        <f xml:space="preserve"> 'WK2012'!GK11</f>
        <v>13.883526221151977</v>
      </c>
      <c r="AO131" s="50">
        <f xml:space="preserve"> 'WK2012'!GL11</f>
        <v>12.327680260863938</v>
      </c>
      <c r="AP131" s="50">
        <f xml:space="preserve"> 'WK2012'!GO11</f>
        <v>13.883526221151977</v>
      </c>
      <c r="AQ131" s="50">
        <f xml:space="preserve"> 'WK2012'!GP11</f>
        <v>12.327680260863938</v>
      </c>
      <c r="AR131" s="50">
        <f xml:space="preserve"> 'WK2012'!GQ11</f>
        <v>13.883526221151977</v>
      </c>
      <c r="AS131" s="50">
        <f xml:space="preserve"> 'WK2012'!GR11</f>
        <v>12.327680260863938</v>
      </c>
      <c r="AT131" s="61">
        <f xml:space="preserve"> 'WK2012'!GM11</f>
        <v>0.5094451933492129</v>
      </c>
      <c r="AX131" s="50">
        <f xml:space="preserve"> 'WK2013'!EG11</f>
        <v>2269.658128</v>
      </c>
      <c r="AY131" s="50">
        <f xml:space="preserve"> 'WK2013'!EH11</f>
        <v>2182.0362654</v>
      </c>
      <c r="AZ131" s="50">
        <f xml:space="preserve"> 'WK2013'!EK11</f>
        <v>2269.658128</v>
      </c>
      <c r="BA131" s="50">
        <f xml:space="preserve"> 'WK2013'!EL11</f>
        <v>2182.0362654</v>
      </c>
      <c r="BB131" s="50">
        <f xml:space="preserve"> 'WK2013'!EM11</f>
        <v>2269.658128</v>
      </c>
      <c r="BC131" s="50">
        <f xml:space="preserve"> 'WK2013'!EN11</f>
        <v>2182.0362654</v>
      </c>
      <c r="BD131" s="50">
        <f xml:space="preserve"> 'WK2013'!EI11</f>
        <v>0.51041898052618584</v>
      </c>
      <c r="BF131" s="50">
        <f xml:space="preserve"> 'WK2013'!EU11</f>
        <v>1916.1387915</v>
      </c>
      <c r="BG131" s="50">
        <f xml:space="preserve"> 'WK2013'!EV11</f>
        <v>1696.4054186000001</v>
      </c>
      <c r="BH131" s="50">
        <f xml:space="preserve"> 'WK2013'!EY11</f>
        <v>1916.1387915</v>
      </c>
      <c r="BI131" s="50">
        <f xml:space="preserve"> 'WK2013'!EZ11</f>
        <v>1696.4054186000001</v>
      </c>
      <c r="BJ131" s="50">
        <f xml:space="preserve"> 'WK2013'!FA11</f>
        <v>1916.1387915</v>
      </c>
      <c r="BK131" s="50">
        <f xml:space="preserve"> 'WK2013'!FB11</f>
        <v>1696.4054186000001</v>
      </c>
      <c r="BL131" s="61">
        <f xml:space="preserve"> 'WK2013'!EW11</f>
        <v>0.50910743487375842</v>
      </c>
      <c r="BN131" s="50">
        <f xml:space="preserve"> 'WK2013'!FI11</f>
        <v>976.85350299999993</v>
      </c>
      <c r="BO131" s="50">
        <f xml:space="preserve"> 'WK2013'!FJ11</f>
        <v>1215.8205591999999</v>
      </c>
      <c r="BP131" s="50">
        <f xml:space="preserve"> 'WK2013'!FM11</f>
        <v>976.85350299999993</v>
      </c>
      <c r="BQ131" s="50">
        <f xml:space="preserve"> 'WK2013'!FN11</f>
        <v>1215.8205591999999</v>
      </c>
      <c r="BR131" s="50">
        <f xml:space="preserve"> 'WK2013'!FO11</f>
        <v>976.85350299999993</v>
      </c>
      <c r="BS131" s="50">
        <f xml:space="preserve"> 'WK2013'!FP11</f>
        <v>1215.8205591999999</v>
      </c>
      <c r="BT131" s="61">
        <f xml:space="preserve"> 'WK2013'!FK11</f>
        <v>0.5091367071258508</v>
      </c>
      <c r="BV131" s="50">
        <f xml:space="preserve"> 'WK2013'!FW11</f>
        <v>3.3244419999999999</v>
      </c>
      <c r="BW131" s="50">
        <f xml:space="preserve"> 'WK2013'!FX11</f>
        <v>2.7632444</v>
      </c>
      <c r="BX131" s="50">
        <f xml:space="preserve"> 'WK2013'!GA11</f>
        <v>3.3244419999999999</v>
      </c>
      <c r="BY131" s="50">
        <f xml:space="preserve"> 'WK2013'!GB11</f>
        <v>2.7632444</v>
      </c>
      <c r="BZ131" s="50">
        <f xml:space="preserve"> 'WK2013'!GC11</f>
        <v>3.3244419999999999</v>
      </c>
      <c r="CA131" s="50">
        <f xml:space="preserve"> 'WK2013'!GD11</f>
        <v>2.7632444</v>
      </c>
      <c r="CB131" s="61">
        <f xml:space="preserve"> 'WK2013'!FY11</f>
        <v>0.50946881465652571</v>
      </c>
      <c r="CD131" s="50">
        <f xml:space="preserve"> 'WK2013'!GK11</f>
        <v>160.40409749999998</v>
      </c>
      <c r="CE131" s="50">
        <f xml:space="preserve"> 'WK2013'!GL11</f>
        <v>1.1313660000001278</v>
      </c>
      <c r="CF131" s="50">
        <f xml:space="preserve"> 'WK2013'!GO11</f>
        <v>160.40409749999998</v>
      </c>
      <c r="CG131" s="50">
        <f xml:space="preserve"> 'WK2013'!GP11</f>
        <v>1.1313660000001278</v>
      </c>
      <c r="CH131" s="50">
        <f xml:space="preserve"> 'WK2013'!GQ11</f>
        <v>160.40409749999998</v>
      </c>
      <c r="CI131" s="50">
        <f xml:space="preserve"> 'WK2013'!GR11</f>
        <v>1.1313660000001278</v>
      </c>
      <c r="CJ131" s="61">
        <f xml:space="preserve"> 'WK2013'!GM11</f>
        <v>0.51195407738870924</v>
      </c>
      <c r="CN131" s="50">
        <f xml:space="preserve"> 'WK2014'!EG11</f>
        <v>1906.7096919999997</v>
      </c>
      <c r="CO131" s="50">
        <f xml:space="preserve"> 'WK2014'!EH11</f>
        <v>2050.9431380000001</v>
      </c>
      <c r="CP131" s="50">
        <f xml:space="preserve"> 'WK2014'!EK11</f>
        <v>1906.7096919999997</v>
      </c>
      <c r="CQ131" s="50">
        <f xml:space="preserve"> 'WK2014'!EL11</f>
        <v>2050.9431380000001</v>
      </c>
      <c r="CR131" s="50">
        <f xml:space="preserve"> 'WK2014'!EM11</f>
        <v>1906.7096919999997</v>
      </c>
      <c r="CS131" s="50">
        <f xml:space="preserve"> 'WK2014'!EN11</f>
        <v>2050.9431380000001</v>
      </c>
      <c r="CT131" s="61">
        <f xml:space="preserve"> 'WK2014'!EI11</f>
        <v>0.51036842200948318</v>
      </c>
      <c r="CV131" s="50">
        <f xml:space="preserve"> 'WK2014'!EU11</f>
        <v>1314.1516350000002</v>
      </c>
      <c r="CW131" s="50">
        <f xml:space="preserve"> 'WK2014'!EV11</f>
        <v>1416.7626560000001</v>
      </c>
      <c r="CX131" s="50">
        <f xml:space="preserve"> 'WK2014'!EY11</f>
        <v>1314.1516350000002</v>
      </c>
      <c r="CY131" s="50">
        <f xml:space="preserve"> 'WK2014'!EZ11</f>
        <v>1416.7626560000001</v>
      </c>
      <c r="CZ131" s="50">
        <f xml:space="preserve"> 'WK2014'!FA11</f>
        <v>1314.1516350000002</v>
      </c>
      <c r="DA131" s="50">
        <f xml:space="preserve"> 'WK2014'!FB11</f>
        <v>1416.7626560000001</v>
      </c>
      <c r="DB131" s="61">
        <f xml:space="preserve"> 'WK2014'!EW11</f>
        <v>0.50957723071227179</v>
      </c>
      <c r="DC131" s="1"/>
      <c r="DD131" s="50">
        <f xml:space="preserve"> 'WK2014'!FI11</f>
        <v>893.21205280000004</v>
      </c>
      <c r="DE131" s="50">
        <f xml:space="preserve"> 'WK2014'!FJ11</f>
        <v>801.13737399999991</v>
      </c>
      <c r="DF131" s="50">
        <f xml:space="preserve"> 'WK2014'!FM11</f>
        <v>893.21205280000004</v>
      </c>
      <c r="DG131" s="50">
        <f xml:space="preserve"> 'WK2014'!FN11</f>
        <v>801.13728279999987</v>
      </c>
      <c r="DH131" s="50">
        <f xml:space="preserve"> 'WK2014'!FO11</f>
        <v>893.21205280000004</v>
      </c>
      <c r="DI131" s="50">
        <f xml:space="preserve"> 'WK2014'!FP11</f>
        <v>801.13728279999987</v>
      </c>
      <c r="DJ131" s="61">
        <f xml:space="preserve"> 'WK2014'!FK11</f>
        <v>0.51139971668679907</v>
      </c>
      <c r="DK131" s="1"/>
      <c r="DL131" s="50">
        <f xml:space="preserve"> 'WK2014'!FW11</f>
        <v>2.7808680000000003</v>
      </c>
      <c r="DM131" s="50">
        <f xml:space="preserve"> 'WK2014'!FX11</f>
        <v>2.8098960000000002</v>
      </c>
      <c r="DN131" s="50">
        <f xml:space="preserve"> 'WK2014'!GA11</f>
        <v>2.7808680000000003</v>
      </c>
      <c r="DO131" s="50">
        <f xml:space="preserve"> 'WK2014'!GB11</f>
        <v>2.8098960000000002</v>
      </c>
      <c r="DP131" s="50">
        <f xml:space="preserve"> 'WK2014'!GC11</f>
        <v>2.7808680000000003</v>
      </c>
      <c r="DQ131" s="50">
        <f xml:space="preserve"> 'WK2014'!GD11</f>
        <v>2.8098960000000002</v>
      </c>
      <c r="DR131" s="61">
        <f xml:space="preserve"> 'WK2014'!FY11</f>
        <v>0.50983582244189929</v>
      </c>
      <c r="DS131" s="1"/>
      <c r="DT131" s="50">
        <f xml:space="preserve"> 'WK2014'!GK11</f>
        <v>112.63625699999994</v>
      </c>
      <c r="DU131" s="50">
        <f xml:space="preserve"> 'WK2014'!GL11</f>
        <v>292.89505650000001</v>
      </c>
      <c r="DV131" s="50">
        <f xml:space="preserve"> 'WK2014'!GO11</f>
        <v>112.63625699999994</v>
      </c>
      <c r="DW131" s="50">
        <f xml:space="preserve"> 'WK2014'!GP11</f>
        <v>292.89505650000001</v>
      </c>
      <c r="DX131" s="50">
        <f xml:space="preserve"> 'WK2014'!GQ11</f>
        <v>112.63625699999994</v>
      </c>
      <c r="DY131" s="50">
        <f xml:space="preserve"> 'WK2014'!GR11</f>
        <v>292.89505650000001</v>
      </c>
      <c r="DZ131" s="61">
        <f xml:space="preserve"> 'WK2014'!GM11</f>
        <v>0.51052592741815706</v>
      </c>
      <c r="ED131" s="50">
        <f xml:space="preserve"> 'WK2015'!EG11</f>
        <v>2094.366145</v>
      </c>
      <c r="EE131" s="50">
        <f xml:space="preserve"> 'WK2015'!EH11</f>
        <v>1946.6202950000002</v>
      </c>
      <c r="EF131" s="50">
        <f xml:space="preserve"> 'WK2015'!EK11</f>
        <v>2094.366145</v>
      </c>
      <c r="EG131" s="50">
        <f xml:space="preserve"> 'WK2015'!EL11</f>
        <v>1946.6202950000002</v>
      </c>
      <c r="EH131" s="50">
        <f xml:space="preserve"> 'WK2015'!EM11</f>
        <v>2094.366145</v>
      </c>
      <c r="EI131" s="50">
        <f xml:space="preserve"> 'WK2015'!EN11</f>
        <v>1946.6202950000002</v>
      </c>
      <c r="EJ131" s="61">
        <f xml:space="preserve"> 'WK2015'!EI11</f>
        <v>0.5119053619460332</v>
      </c>
      <c r="EK131" s="1"/>
      <c r="EL131" s="50">
        <f xml:space="preserve"> 'WK2015'!EU11</f>
        <v>1317.2163210000001</v>
      </c>
      <c r="EM131" s="50">
        <f xml:space="preserve"> 'WK2015'!EV11</f>
        <v>1389.054572</v>
      </c>
      <c r="EN131" s="50">
        <f xml:space="preserve"> 'WK2015'!EY11</f>
        <v>1317.2163210000001</v>
      </c>
      <c r="EO131" s="50">
        <f xml:space="preserve"> 'WK2015'!EZ11</f>
        <v>1389.054572</v>
      </c>
      <c r="EP131" s="50">
        <f xml:space="preserve"> 'WK2015'!FA11</f>
        <v>1317.2163210000001</v>
      </c>
      <c r="EQ131" s="50">
        <f xml:space="preserve"> 'WK2015'!FB11</f>
        <v>1389.054572</v>
      </c>
      <c r="ER131" s="61">
        <f xml:space="preserve"> 'WK2015'!EW11</f>
        <v>0.51176376804766921</v>
      </c>
      <c r="ES131" s="1"/>
      <c r="ET131" s="50">
        <f xml:space="preserve"> 'WK2015'!FI11</f>
        <v>1057.9199148</v>
      </c>
      <c r="EU131" s="50">
        <f xml:space="preserve"> 'WK2015'!FJ11</f>
        <v>755.93530899999996</v>
      </c>
      <c r="EV131" s="50">
        <f xml:space="preserve"> 'WK2015'!FM11</f>
        <v>1057.9199148</v>
      </c>
      <c r="EW131" s="50">
        <f xml:space="preserve"> 'WK2015'!FN11</f>
        <v>755.93530899999996</v>
      </c>
      <c r="EX131" s="50">
        <f xml:space="preserve"> 'WK2015'!FO11</f>
        <v>1057.9199148</v>
      </c>
      <c r="EY131" s="50">
        <f xml:space="preserve"> 'WK2015'!FP11</f>
        <v>755.93530899999996</v>
      </c>
      <c r="EZ131" s="61">
        <f xml:space="preserve"> 'WK2015'!FK11</f>
        <v>0.51097736387756942</v>
      </c>
      <c r="FA131" s="1"/>
      <c r="FB131" s="50">
        <f xml:space="preserve"> 'WK2015'!FW11</f>
        <v>3.4056000000000002</v>
      </c>
      <c r="FC131" s="50">
        <f xml:space="preserve"> 'WK2015'!FX11</f>
        <v>3.5620059999999998</v>
      </c>
      <c r="FD131" s="50">
        <f xml:space="preserve"> 'WK2015'!GA11</f>
        <v>3.4056000000000002</v>
      </c>
      <c r="FE131" s="50">
        <f xml:space="preserve"> 'WK2015'!GB11</f>
        <v>3.5620059999999998</v>
      </c>
      <c r="FF131" s="50">
        <f xml:space="preserve"> 'WK2015'!GC11</f>
        <v>3.4056000000000002</v>
      </c>
      <c r="FG131" s="50">
        <f xml:space="preserve"> 'WK2015'!GD11</f>
        <v>3.5620059999999998</v>
      </c>
      <c r="FH131" s="61">
        <f xml:space="preserve"> 'WK2015'!FY11</f>
        <v>0.51074688411519753</v>
      </c>
      <c r="FI131" s="1"/>
      <c r="FJ131" s="50">
        <f xml:space="preserve"> 'WK2015'!GK11</f>
        <v>197.39500199999995</v>
      </c>
      <c r="FK131" s="50">
        <f xml:space="preserve"> 'WK2015'!GL11</f>
        <v>345.64248900000001</v>
      </c>
      <c r="FL131" s="50">
        <f xml:space="preserve"> 'WK2015'!GO11</f>
        <v>197.39500199999995</v>
      </c>
      <c r="FM131" s="50">
        <f xml:space="preserve"> 'WK2015'!GP11</f>
        <v>345.64248900000001</v>
      </c>
      <c r="FN131" s="50">
        <f xml:space="preserve"> 'WK2015'!GQ11</f>
        <v>197.39500199999995</v>
      </c>
      <c r="FO131" s="50">
        <f xml:space="preserve"> 'WK2015'!GR11</f>
        <v>345.64248900000001</v>
      </c>
      <c r="FP131" s="61">
        <f xml:space="preserve"> 'WK2015'!GM11</f>
        <v>0.51371072982623989</v>
      </c>
      <c r="FS131" s="283">
        <f xml:space="preserve"> 'WK2015'!H11</f>
        <v>1177.4640249999998</v>
      </c>
      <c r="FT131" s="283">
        <f xml:space="preserve"> 'WK2015'!I11</f>
        <v>1011.181384</v>
      </c>
      <c r="FU131" s="283">
        <f xml:space="preserve"> 'WK2015'!L11</f>
        <v>1177.4640249999998</v>
      </c>
      <c r="FV131" s="283">
        <f xml:space="preserve"> 'WK2015'!M11</f>
        <v>1011.181384</v>
      </c>
      <c r="FW131" s="283">
        <f xml:space="preserve"> 'WK2015'!N11</f>
        <v>1177.4640249999998</v>
      </c>
      <c r="FX131" s="283">
        <f xml:space="preserve"> 'WK2015'!O11</f>
        <v>1011.181384</v>
      </c>
      <c r="FY131" s="284">
        <f xml:space="preserve"> 'WK2015'!P11</f>
        <v>0.50989884762486992</v>
      </c>
      <c r="GA131" s="283">
        <f xml:space="preserve"> 'WK2015'!HB11</f>
        <v>694.35838799999988</v>
      </c>
      <c r="GB131" s="283">
        <f xml:space="preserve"> 'WK2015'!HC11</f>
        <v>447.80573799999996</v>
      </c>
      <c r="GC131" s="283">
        <f xml:space="preserve"> 'WK2015'!HF11</f>
        <v>694.35838799999988</v>
      </c>
      <c r="GD131" s="283">
        <f xml:space="preserve"> 'WK2015'!HG11</f>
        <v>447.80573799999996</v>
      </c>
      <c r="GE131" s="283">
        <f xml:space="preserve"> 'WK2015'!HH11</f>
        <v>694.35838799999988</v>
      </c>
      <c r="GF131" s="283">
        <f xml:space="preserve"> 'WK2015'!HI11</f>
        <v>447.80573799999996</v>
      </c>
      <c r="GG131" s="284">
        <f xml:space="preserve"> 'WK2015'!HJ11</f>
        <v>0.52693146215824427</v>
      </c>
      <c r="GI131" s="283">
        <f xml:space="preserve"> 'WK2015'!HQ11</f>
        <v>0</v>
      </c>
      <c r="GJ131" s="283">
        <f xml:space="preserve"> 'WK2015'!HR11</f>
        <v>34.976402999999998</v>
      </c>
      <c r="GK131" s="283">
        <f xml:space="preserve"> 'WK2015'!HU11</f>
        <v>0</v>
      </c>
      <c r="GL131" s="283">
        <f xml:space="preserve"> 'WK2015'!HV11</f>
        <v>34.976402999999998</v>
      </c>
      <c r="GM131" s="283">
        <f xml:space="preserve"> 'WK2015'!HW11</f>
        <v>0</v>
      </c>
      <c r="GN131" s="283">
        <f xml:space="preserve"> 'WK2015'!HX11</f>
        <v>34.976402999999998</v>
      </c>
      <c r="GO131" s="284">
        <f xml:space="preserve"> 'WK2015'!HY11</f>
        <v>0.85</v>
      </c>
    </row>
    <row r="132" spans="1:197" x14ac:dyDescent="0.2">
      <c r="A132" s="3">
        <f>Basis!A132</f>
        <v>2</v>
      </c>
      <c r="H132" s="50">
        <f xml:space="preserve"> 'WK2012'!EG12</f>
        <v>1429.7484985879041</v>
      </c>
      <c r="I132" s="50">
        <f xml:space="preserve"> 'WK2012'!EH12</f>
        <v>1323.0991947703808</v>
      </c>
      <c r="J132" s="50">
        <f xml:space="preserve"> 'WK2012'!EK12</f>
        <v>1429.7484985879041</v>
      </c>
      <c r="K132" s="50">
        <f xml:space="preserve"> 'WK2012'!EL12</f>
        <v>1323.0991947703808</v>
      </c>
      <c r="L132" s="50">
        <f xml:space="preserve"> 'WK2012'!EM12</f>
        <v>1429.7484985879041</v>
      </c>
      <c r="M132" s="50">
        <f xml:space="preserve"> 'WK2012'!EN12</f>
        <v>1323.0991947703808</v>
      </c>
      <c r="N132" s="61">
        <f xml:space="preserve"> 'WK2012'!EI12</f>
        <v>0.51090366241902352</v>
      </c>
      <c r="P132" s="50">
        <f xml:space="preserve"> 'WK2012'!EU12</f>
        <v>1113.7038992207217</v>
      </c>
      <c r="Q132" s="50">
        <f xml:space="preserve"> 'WK2012'!EV12</f>
        <v>853.82170607217688</v>
      </c>
      <c r="R132" s="50">
        <f xml:space="preserve"> 'WK2012'!EY12</f>
        <v>1113.7038992207217</v>
      </c>
      <c r="S132" s="50">
        <f xml:space="preserve"> 'WK2012'!EZ12</f>
        <v>853.82170607217688</v>
      </c>
      <c r="T132" s="50">
        <f xml:space="preserve"> 'WK2012'!FA12</f>
        <v>1113.7038992207217</v>
      </c>
      <c r="U132" s="50">
        <f xml:space="preserve"> 'WK2012'!FB12</f>
        <v>853.82170607217688</v>
      </c>
      <c r="V132" s="61">
        <f xml:space="preserve"> 'WK2012'!EW12</f>
        <v>0.51864149068899501</v>
      </c>
      <c r="X132" s="50">
        <f xml:space="preserve"> 'WK2012'!FI12</f>
        <v>526.30562388355668</v>
      </c>
      <c r="Y132" s="50">
        <f xml:space="preserve"> 'WK2012'!FJ12</f>
        <v>407.7271344076608</v>
      </c>
      <c r="Z132" s="50">
        <f xml:space="preserve"> 'WK2012'!FM12</f>
        <v>526.30562388355668</v>
      </c>
      <c r="AA132" s="50">
        <f xml:space="preserve"> 'WK2012'!FN12</f>
        <v>407.7271344076608</v>
      </c>
      <c r="AB132" s="50">
        <f xml:space="preserve"> 'WK2012'!FO12</f>
        <v>526.30562388355668</v>
      </c>
      <c r="AC132" s="50">
        <f xml:space="preserve"> 'WK2012'!FP12</f>
        <v>407.7271344076608</v>
      </c>
      <c r="AD132" s="61">
        <f xml:space="preserve"> 'WK2012'!FK12</f>
        <v>0.50996673165102002</v>
      </c>
      <c r="AF132" s="50">
        <f xml:space="preserve"> 'WK2012'!FW12</f>
        <v>48.502445995271621</v>
      </c>
      <c r="AG132" s="50">
        <f xml:space="preserve"> 'WK2012'!FX12</f>
        <v>0</v>
      </c>
      <c r="AH132" s="50">
        <f xml:space="preserve"> 'WK2012'!GA12</f>
        <v>48.502445995271621</v>
      </c>
      <c r="AI132" s="50">
        <f xml:space="preserve"> 'WK2012'!GB12</f>
        <v>0</v>
      </c>
      <c r="AJ132" s="50">
        <f xml:space="preserve"> 'WK2012'!GC12</f>
        <v>48.502445995271621</v>
      </c>
      <c r="AK132" s="50">
        <f xml:space="preserve"> 'WK2012'!GD12</f>
        <v>0</v>
      </c>
      <c r="AL132" s="61">
        <f xml:space="preserve"> 'WK2012'!FY12</f>
        <v>0.51196136816079008</v>
      </c>
      <c r="AN132" s="50">
        <f xml:space="preserve"> 'WK2012'!GK12</f>
        <v>27.223550544969594</v>
      </c>
      <c r="AO132" s="50">
        <f xml:space="preserve"> 'WK2012'!GL12</f>
        <v>24.787979247740182</v>
      </c>
      <c r="AP132" s="50">
        <f xml:space="preserve"> 'WK2012'!GO12</f>
        <v>27.223550544969594</v>
      </c>
      <c r="AQ132" s="50">
        <f xml:space="preserve"> 'WK2012'!GP12</f>
        <v>24.787979247740182</v>
      </c>
      <c r="AR132" s="50">
        <f xml:space="preserve"> 'WK2012'!GQ12</f>
        <v>27.223550544969594</v>
      </c>
      <c r="AS132" s="50">
        <f xml:space="preserve"> 'WK2012'!GR12</f>
        <v>24.787979247740182</v>
      </c>
      <c r="AT132" s="61">
        <f xml:space="preserve"> 'WK2012'!GM12</f>
        <v>0.51162088499919056</v>
      </c>
      <c r="AX132" s="50">
        <f xml:space="preserve"> 'WK2013'!EG12</f>
        <v>1471.8012776</v>
      </c>
      <c r="AY132" s="50">
        <f xml:space="preserve"> 'WK2013'!EH12</f>
        <v>1360.6227137999999</v>
      </c>
      <c r="AZ132" s="50">
        <f xml:space="preserve"> 'WK2013'!EK12</f>
        <v>1471.8012776</v>
      </c>
      <c r="BA132" s="50">
        <f xml:space="preserve"> 'WK2013'!EL12</f>
        <v>1360.6227137999999</v>
      </c>
      <c r="BB132" s="50">
        <f xml:space="preserve"> 'WK2013'!EM12</f>
        <v>1471.8012776</v>
      </c>
      <c r="BC132" s="50">
        <f xml:space="preserve"> 'WK2013'!EN12</f>
        <v>1360.6227137999999</v>
      </c>
      <c r="BD132" s="50">
        <f xml:space="preserve"> 'WK2013'!EI12</f>
        <v>0.51183887584765897</v>
      </c>
      <c r="BF132" s="50">
        <f xml:space="preserve"> 'WK2013'!EU12</f>
        <v>1114.7827728999998</v>
      </c>
      <c r="BG132" s="50">
        <f xml:space="preserve"> 'WK2013'!EV12</f>
        <v>1051.0193352000001</v>
      </c>
      <c r="BH132" s="50">
        <f xml:space="preserve"> 'WK2013'!EY12</f>
        <v>1114.7827728999998</v>
      </c>
      <c r="BI132" s="50">
        <f xml:space="preserve"> 'WK2013'!EZ12</f>
        <v>1051.0193352000001</v>
      </c>
      <c r="BJ132" s="50">
        <f xml:space="preserve"> 'WK2013'!FA12</f>
        <v>1114.7827728999998</v>
      </c>
      <c r="BK132" s="50">
        <f xml:space="preserve"> 'WK2013'!FB12</f>
        <v>1051.0193352000001</v>
      </c>
      <c r="BL132" s="61">
        <f xml:space="preserve"> 'WK2013'!EW12</f>
        <v>0.51183501613416171</v>
      </c>
      <c r="BN132" s="50">
        <f xml:space="preserve"> 'WK2013'!FI12</f>
        <v>538.51594680000005</v>
      </c>
      <c r="BO132" s="50">
        <f xml:space="preserve"> 'WK2013'!FJ12</f>
        <v>718.78206939999995</v>
      </c>
      <c r="BP132" s="50">
        <f xml:space="preserve"> 'WK2013'!FM12</f>
        <v>538.51594680000005</v>
      </c>
      <c r="BQ132" s="50">
        <f xml:space="preserve"> 'WK2013'!FN12</f>
        <v>718.78206939999995</v>
      </c>
      <c r="BR132" s="50">
        <f xml:space="preserve"> 'WK2013'!FO12</f>
        <v>538.51594680000005</v>
      </c>
      <c r="BS132" s="50">
        <f xml:space="preserve"> 'WK2013'!FP12</f>
        <v>718.78206939999995</v>
      </c>
      <c r="BT132" s="61">
        <f xml:space="preserve"> 'WK2013'!FK12</f>
        <v>0.5118188640753657</v>
      </c>
      <c r="BV132" s="50">
        <f xml:space="preserve"> 'WK2013'!FW12</f>
        <v>17.736904599999999</v>
      </c>
      <c r="BW132" s="50">
        <f xml:space="preserve"> 'WK2013'!FX12</f>
        <v>13.2659468</v>
      </c>
      <c r="BX132" s="50">
        <f xml:space="preserve"> 'WK2013'!GA12</f>
        <v>17.736904599999999</v>
      </c>
      <c r="BY132" s="50">
        <f xml:space="preserve"> 'WK2013'!GB12</f>
        <v>13.2659468</v>
      </c>
      <c r="BZ132" s="50">
        <f xml:space="preserve"> 'WK2013'!GC12</f>
        <v>17.736904599999999</v>
      </c>
      <c r="CA132" s="50">
        <f xml:space="preserve"> 'WK2013'!GD12</f>
        <v>13.2659468</v>
      </c>
      <c r="CB132" s="61">
        <f xml:space="preserve"> 'WK2013'!FY12</f>
        <v>0.51199819784224498</v>
      </c>
      <c r="CD132" s="50">
        <f xml:space="preserve"> 'WK2013'!GK12</f>
        <v>24.020214750000036</v>
      </c>
      <c r="CE132" s="50">
        <f xml:space="preserve"> 'WK2013'!GL12</f>
        <v>0</v>
      </c>
      <c r="CF132" s="50">
        <f xml:space="preserve"> 'WK2013'!GO12</f>
        <v>24.020214750000036</v>
      </c>
      <c r="CG132" s="50">
        <f xml:space="preserve"> 'WK2013'!GP12</f>
        <v>0</v>
      </c>
      <c r="CH132" s="50">
        <f xml:space="preserve"> 'WK2013'!GQ12</f>
        <v>24.020214750000036</v>
      </c>
      <c r="CI132" s="50">
        <f xml:space="preserve"> 'WK2013'!GR12</f>
        <v>0</v>
      </c>
      <c r="CJ132" s="61">
        <f xml:space="preserve"> 'WK2013'!GM12</f>
        <v>0.51210399813812224</v>
      </c>
      <c r="CN132" s="50">
        <f xml:space="preserve"> 'WK2014'!EG12</f>
        <v>1479.3715259999997</v>
      </c>
      <c r="CO132" s="50">
        <f xml:space="preserve"> 'WK2014'!EH12</f>
        <v>1270.771962</v>
      </c>
      <c r="CP132" s="50">
        <f xml:space="preserve"> 'WK2014'!EK12</f>
        <v>1479.3715259999997</v>
      </c>
      <c r="CQ132" s="50">
        <f xml:space="preserve"> 'WK2014'!EL12</f>
        <v>1270.771962</v>
      </c>
      <c r="CR132" s="50">
        <f xml:space="preserve"> 'WK2014'!EM12</f>
        <v>1479.3715259999997</v>
      </c>
      <c r="CS132" s="50">
        <f xml:space="preserve"> 'WK2014'!EN12</f>
        <v>1270.771962</v>
      </c>
      <c r="CT132" s="61">
        <f xml:space="preserve"> 'WK2014'!EI12</f>
        <v>0.51337680068816827</v>
      </c>
      <c r="CV132" s="50">
        <f xml:space="preserve"> 'WK2014'!EU12</f>
        <v>1162.0271609999998</v>
      </c>
      <c r="CW132" s="50">
        <f xml:space="preserve"> 'WK2014'!EV12</f>
        <v>954.35985000000005</v>
      </c>
      <c r="CX132" s="50">
        <f xml:space="preserve"> 'WK2014'!EY12</f>
        <v>1162.0271609999998</v>
      </c>
      <c r="CY132" s="50">
        <f xml:space="preserve"> 'WK2014'!EZ12</f>
        <v>954.35985000000005</v>
      </c>
      <c r="CZ132" s="50">
        <f xml:space="preserve"> 'WK2014'!FA12</f>
        <v>1162.0271609999998</v>
      </c>
      <c r="DA132" s="50">
        <f xml:space="preserve"> 'WK2014'!FB12</f>
        <v>954.35985000000005</v>
      </c>
      <c r="DB132" s="61">
        <f xml:space="preserve"> 'WK2014'!EW12</f>
        <v>0.51332515665550404</v>
      </c>
      <c r="DC132" s="1"/>
      <c r="DD132" s="50">
        <f xml:space="preserve"> 'WK2014'!FI12</f>
        <v>620.26882400000011</v>
      </c>
      <c r="DE132" s="50">
        <f xml:space="preserve"> 'WK2014'!FJ12</f>
        <v>460.65815699999996</v>
      </c>
      <c r="DF132" s="50">
        <f xml:space="preserve"> 'WK2014'!FM12</f>
        <v>620.26882400000011</v>
      </c>
      <c r="DG132" s="50">
        <f xml:space="preserve"> 'WK2014'!FN12</f>
        <v>460.65814559999995</v>
      </c>
      <c r="DH132" s="50">
        <f xml:space="preserve"> 'WK2014'!FO12</f>
        <v>620.26882400000011</v>
      </c>
      <c r="DI132" s="50">
        <f xml:space="preserve"> 'WK2014'!FP12</f>
        <v>460.65814559999995</v>
      </c>
      <c r="DJ132" s="61">
        <f xml:space="preserve"> 'WK2014'!FK12</f>
        <v>0.51099643684496576</v>
      </c>
      <c r="DK132" s="1"/>
      <c r="DL132" s="50">
        <f xml:space="preserve"> 'WK2014'!FW12</f>
        <v>15.581352000000001</v>
      </c>
      <c r="DM132" s="50">
        <f xml:space="preserve"> 'WK2014'!FX12</f>
        <v>12.864916000000001</v>
      </c>
      <c r="DN132" s="50">
        <f xml:space="preserve"> 'WK2014'!GA12</f>
        <v>15.581352000000001</v>
      </c>
      <c r="DO132" s="50">
        <f xml:space="preserve"> 'WK2014'!GB12</f>
        <v>12.864916000000001</v>
      </c>
      <c r="DP132" s="50">
        <f xml:space="preserve"> 'WK2014'!GC12</f>
        <v>15.581352000000001</v>
      </c>
      <c r="DQ132" s="50">
        <f xml:space="preserve"> 'WK2014'!GD12</f>
        <v>12.864916000000001</v>
      </c>
      <c r="DR132" s="61">
        <f xml:space="preserve"> 'WK2014'!FY12</f>
        <v>0.51422801792762884</v>
      </c>
      <c r="DS132" s="1"/>
      <c r="DT132" s="50">
        <f xml:space="preserve"> 'WK2014'!GK12</f>
        <v>55.144551000000007</v>
      </c>
      <c r="DU132" s="50">
        <f xml:space="preserve"> 'WK2014'!GL12</f>
        <v>55.793038500000016</v>
      </c>
      <c r="DV132" s="50">
        <f xml:space="preserve"> 'WK2014'!GO12</f>
        <v>55.144551000000007</v>
      </c>
      <c r="DW132" s="50">
        <f xml:space="preserve"> 'WK2014'!GP12</f>
        <v>55.793038500000016</v>
      </c>
      <c r="DX132" s="50">
        <f xml:space="preserve"> 'WK2014'!GQ12</f>
        <v>55.144551000000007</v>
      </c>
      <c r="DY132" s="50">
        <f xml:space="preserve"> 'WK2014'!GR12</f>
        <v>55.793038500000016</v>
      </c>
      <c r="DZ132" s="61">
        <f xml:space="preserve"> 'WK2014'!GM12</f>
        <v>0.51242344673210927</v>
      </c>
      <c r="ED132" s="50">
        <f xml:space="preserve"> 'WK2015'!EG12</f>
        <v>1450.6228599999999</v>
      </c>
      <c r="EE132" s="50">
        <f xml:space="preserve"> 'WK2015'!EH12</f>
        <v>1196.642824</v>
      </c>
      <c r="EF132" s="50">
        <f xml:space="preserve"> 'WK2015'!EK12</f>
        <v>1450.6228599999999</v>
      </c>
      <c r="EG132" s="50">
        <f xml:space="preserve"> 'WK2015'!EL12</f>
        <v>1196.642824</v>
      </c>
      <c r="EH132" s="50">
        <f xml:space="preserve"> 'WK2015'!EM12</f>
        <v>1450.6228599999999</v>
      </c>
      <c r="EI132" s="50">
        <f xml:space="preserve"> 'WK2015'!EN12</f>
        <v>1196.642824</v>
      </c>
      <c r="EJ132" s="61">
        <f xml:space="preserve"> 'WK2015'!EI12</f>
        <v>0.50878626237752245</v>
      </c>
      <c r="EK132" s="1"/>
      <c r="EL132" s="50">
        <f xml:space="preserve"> 'WK2015'!EU12</f>
        <v>1172.898441</v>
      </c>
      <c r="EM132" s="50">
        <f xml:space="preserve"> 'WK2015'!EV12</f>
        <v>936.40267200000017</v>
      </c>
      <c r="EN132" s="50">
        <f xml:space="preserve"> 'WK2015'!EY12</f>
        <v>1172.898441</v>
      </c>
      <c r="EO132" s="50">
        <f xml:space="preserve"> 'WK2015'!EZ12</f>
        <v>936.40267200000017</v>
      </c>
      <c r="EP132" s="50">
        <f xml:space="preserve"> 'WK2015'!FA12</f>
        <v>1172.898441</v>
      </c>
      <c r="EQ132" s="50">
        <f xml:space="preserve"> 'WK2015'!FB12</f>
        <v>936.40267200000017</v>
      </c>
      <c r="ER132" s="61">
        <f xml:space="preserve"> 'WK2015'!EW12</f>
        <v>0.50829574147499523</v>
      </c>
      <c r="ES132" s="1"/>
      <c r="ET132" s="50">
        <f xml:space="preserve"> 'WK2015'!FI12</f>
        <v>666.91920059999995</v>
      </c>
      <c r="EU132" s="50">
        <f xml:space="preserve"> 'WK2015'!FJ12</f>
        <v>451.64561700000002</v>
      </c>
      <c r="EV132" s="50">
        <f xml:space="preserve"> 'WK2015'!FM12</f>
        <v>666.91920059999995</v>
      </c>
      <c r="EW132" s="50">
        <f xml:space="preserve"> 'WK2015'!FN12</f>
        <v>451.64561700000002</v>
      </c>
      <c r="EX132" s="50">
        <f xml:space="preserve"> 'WK2015'!FO12</f>
        <v>666.91920059999995</v>
      </c>
      <c r="EY132" s="50">
        <f xml:space="preserve"> 'WK2015'!FP12</f>
        <v>451.64561700000002</v>
      </c>
      <c r="EZ132" s="61">
        <f xml:space="preserve"> 'WK2015'!FK12</f>
        <v>0.51053506190404185</v>
      </c>
      <c r="FA132" s="1"/>
      <c r="FB132" s="50">
        <f xml:space="preserve"> 'WK2015'!FW12</f>
        <v>17.15184</v>
      </c>
      <c r="FC132" s="50">
        <f xml:space="preserve"> 'WK2015'!FX12</f>
        <v>14.033768</v>
      </c>
      <c r="FD132" s="50">
        <f xml:space="preserve"> 'WK2015'!GA12</f>
        <v>17.15184</v>
      </c>
      <c r="FE132" s="50">
        <f xml:space="preserve"> 'WK2015'!GB12</f>
        <v>14.033768</v>
      </c>
      <c r="FF132" s="50">
        <f xml:space="preserve"> 'WK2015'!GC12</f>
        <v>17.15184</v>
      </c>
      <c r="FG132" s="50">
        <f xml:space="preserve"> 'WK2015'!GD12</f>
        <v>14.033768</v>
      </c>
      <c r="FH132" s="61">
        <f xml:space="preserve"> 'WK2015'!FY12</f>
        <v>0.50822030118242456</v>
      </c>
      <c r="FI132" s="1"/>
      <c r="FJ132" s="50">
        <f xml:space="preserve"> 'WK2015'!GK12</f>
        <v>69.725367000000006</v>
      </c>
      <c r="FK132" s="50">
        <f xml:space="preserve"> 'WK2015'!GL12</f>
        <v>75.357497250000023</v>
      </c>
      <c r="FL132" s="50">
        <f xml:space="preserve"> 'WK2015'!GO12</f>
        <v>69.725367000000006</v>
      </c>
      <c r="FM132" s="50">
        <f xml:space="preserve"> 'WK2015'!GP12</f>
        <v>75.357497250000023</v>
      </c>
      <c r="FN132" s="50">
        <f xml:space="preserve"> 'WK2015'!GQ12</f>
        <v>69.725367000000006</v>
      </c>
      <c r="FO132" s="50">
        <f xml:space="preserve"> 'WK2015'!GR12</f>
        <v>75.357497250000023</v>
      </c>
      <c r="FP132" s="61">
        <f xml:space="preserve"> 'WK2015'!GM12</f>
        <v>0.50953339110597395</v>
      </c>
      <c r="FS132" s="283">
        <f xml:space="preserve"> 'WK2015'!H12</f>
        <v>1090.5265299999999</v>
      </c>
      <c r="FT132" s="283">
        <f xml:space="preserve"> 'WK2015'!I12</f>
        <v>893.70272</v>
      </c>
      <c r="FU132" s="283">
        <f xml:space="preserve"> 'WK2015'!L12</f>
        <v>1090.5265299999999</v>
      </c>
      <c r="FV132" s="283">
        <f xml:space="preserve"> 'WK2015'!M12</f>
        <v>893.70272</v>
      </c>
      <c r="FW132" s="283">
        <f xml:space="preserve"> 'WK2015'!N12</f>
        <v>1090.5265299999999</v>
      </c>
      <c r="FX132" s="283">
        <f xml:space="preserve"> 'WK2015'!O12</f>
        <v>893.70272</v>
      </c>
      <c r="FY132" s="284">
        <f xml:space="preserve"> 'WK2015'!P12</f>
        <v>0.5092614597801387</v>
      </c>
      <c r="GA132" s="283">
        <f xml:space="preserve"> 'WK2015'!HB12</f>
        <v>665.19691199999988</v>
      </c>
      <c r="GB132" s="283">
        <f xml:space="preserve"> 'WK2015'!HC12</f>
        <v>406.25675200000001</v>
      </c>
      <c r="GC132" s="283">
        <f xml:space="preserve"> 'WK2015'!HF12</f>
        <v>665.19691199999988</v>
      </c>
      <c r="GD132" s="283">
        <f xml:space="preserve"> 'WK2015'!HG12</f>
        <v>406.25675200000001</v>
      </c>
      <c r="GE132" s="283">
        <f xml:space="preserve"> 'WK2015'!HH12</f>
        <v>665.19691199999988</v>
      </c>
      <c r="GF132" s="283">
        <f xml:space="preserve"> 'WK2015'!HI12</f>
        <v>406.25675200000001</v>
      </c>
      <c r="GG132" s="284">
        <f xml:space="preserve"> 'WK2015'!HJ12</f>
        <v>0.52542398507366661</v>
      </c>
      <c r="GI132" s="283">
        <f xml:space="preserve"> 'WK2015'!HQ12</f>
        <v>0</v>
      </c>
      <c r="GJ132" s="283">
        <f xml:space="preserve"> 'WK2015'!HR12</f>
        <v>45.368504999999999</v>
      </c>
      <c r="GK132" s="283">
        <f xml:space="preserve"> 'WK2015'!HU12</f>
        <v>0</v>
      </c>
      <c r="GL132" s="283">
        <f xml:space="preserve"> 'WK2015'!HV12</f>
        <v>45.368504999999999</v>
      </c>
      <c r="GM132" s="283">
        <f xml:space="preserve"> 'WK2015'!HW12</f>
        <v>0</v>
      </c>
      <c r="GN132" s="283">
        <f xml:space="preserve"> 'WK2015'!HX12</f>
        <v>45.368504999999999</v>
      </c>
      <c r="GO132" s="284">
        <f xml:space="preserve"> 'WK2015'!HY12</f>
        <v>0.15</v>
      </c>
    </row>
    <row r="133" spans="1:197" x14ac:dyDescent="0.2">
      <c r="A133" s="3">
        <f>Basis!A133</f>
        <v>3</v>
      </c>
      <c r="H133" s="50">
        <f xml:space="preserve"> 'WK2012'!EG13</f>
        <v>1264.3948547651628</v>
      </c>
      <c r="I133" s="50">
        <f xml:space="preserve"> 'WK2012'!EH13</f>
        <v>1203.2327981636088</v>
      </c>
      <c r="J133" s="50">
        <f xml:space="preserve"> 'WK2012'!EK13</f>
        <v>1264.3948547651628</v>
      </c>
      <c r="K133" s="50">
        <f xml:space="preserve"> 'WK2012'!EL13</f>
        <v>1203.2327981636088</v>
      </c>
      <c r="L133" s="50">
        <f xml:space="preserve"> 'WK2012'!EM13</f>
        <v>1264.3948547651628</v>
      </c>
      <c r="M133" s="50">
        <f xml:space="preserve"> 'WK2012'!EN13</f>
        <v>1203.2327981636088</v>
      </c>
      <c r="N133" s="61">
        <f xml:space="preserve"> 'WK2012'!EI13</f>
        <v>0.5126598512464654</v>
      </c>
      <c r="P133" s="50">
        <f xml:space="preserve"> 'WK2012'!EU13</f>
        <v>1033.4326434708216</v>
      </c>
      <c r="Q133" s="50">
        <f xml:space="preserve"> 'WK2012'!EV13</f>
        <v>784.18812298039836</v>
      </c>
      <c r="R133" s="50">
        <f xml:space="preserve"> 'WK2012'!EY13</f>
        <v>1033.4326434708216</v>
      </c>
      <c r="S133" s="50">
        <f xml:space="preserve"> 'WK2012'!EZ13</f>
        <v>784.18812298039836</v>
      </c>
      <c r="T133" s="50">
        <f xml:space="preserve"> 'WK2012'!FA13</f>
        <v>1033.4326434708216</v>
      </c>
      <c r="U133" s="50">
        <f xml:space="preserve"> 'WK2012'!FB13</f>
        <v>784.18812298039836</v>
      </c>
      <c r="V133" s="61">
        <f xml:space="preserve"> 'WK2012'!EW13</f>
        <v>0.51907123097034624</v>
      </c>
      <c r="X133" s="50">
        <f xml:space="preserve"> 'WK2012'!FI13</f>
        <v>520.71788266937733</v>
      </c>
      <c r="Y133" s="50">
        <f xml:space="preserve"> 'WK2012'!FJ13</f>
        <v>342.94154668331589</v>
      </c>
      <c r="Z133" s="50">
        <f xml:space="preserve"> 'WK2012'!FM13</f>
        <v>520.71788266937733</v>
      </c>
      <c r="AA133" s="50">
        <f xml:space="preserve"> 'WK2012'!FN13</f>
        <v>342.94154668331589</v>
      </c>
      <c r="AB133" s="50">
        <f xml:space="preserve"> 'WK2012'!FO13</f>
        <v>520.71788266937733</v>
      </c>
      <c r="AC133" s="50">
        <f xml:space="preserve"> 'WK2012'!FP13</f>
        <v>342.94154668331589</v>
      </c>
      <c r="AD133" s="61">
        <f xml:space="preserve"> 'WK2012'!FK13</f>
        <v>0.51506323861554348</v>
      </c>
      <c r="AF133" s="50">
        <f xml:space="preserve"> 'WK2012'!FW13</f>
        <v>0</v>
      </c>
      <c r="AG133" s="50">
        <f xml:space="preserve"> 'WK2012'!FX13</f>
        <v>0.61406362914858048</v>
      </c>
      <c r="AH133" s="50">
        <f xml:space="preserve"> 'WK2012'!GA13</f>
        <v>0</v>
      </c>
      <c r="AI133" s="50">
        <f xml:space="preserve"> 'WK2012'!GB13</f>
        <v>0.61406362914858048</v>
      </c>
      <c r="AJ133" s="50">
        <f xml:space="preserve"> 'WK2012'!GC13</f>
        <v>0</v>
      </c>
      <c r="AK133" s="50">
        <f xml:space="preserve"> 'WK2012'!GD13</f>
        <v>0.61406362914858048</v>
      </c>
      <c r="AL133" s="61">
        <f xml:space="preserve"> 'WK2012'!FY13</f>
        <v>0.51215497783809005</v>
      </c>
      <c r="AN133" s="50">
        <f xml:space="preserve"> 'WK2012'!GK13</f>
        <v>41.339554543928053</v>
      </c>
      <c r="AO133" s="50">
        <f xml:space="preserve"> 'WK2012'!GL13</f>
        <v>38.867705295987236</v>
      </c>
      <c r="AP133" s="50">
        <f xml:space="preserve"> 'WK2012'!GO13</f>
        <v>41.339554543928053</v>
      </c>
      <c r="AQ133" s="50">
        <f xml:space="preserve"> 'WK2012'!GP13</f>
        <v>38.867705295987236</v>
      </c>
      <c r="AR133" s="50">
        <f xml:space="preserve"> 'WK2012'!GQ13</f>
        <v>41.339554543928053</v>
      </c>
      <c r="AS133" s="50">
        <f xml:space="preserve"> 'WK2012'!GR13</f>
        <v>38.867705295987236</v>
      </c>
      <c r="AT133" s="61">
        <f xml:space="preserve"> 'WK2012'!GM13</f>
        <v>0.51348985746470499</v>
      </c>
      <c r="AX133" s="50">
        <f xml:space="preserve"> 'WK2013'!EG13</f>
        <v>1246.397917</v>
      </c>
      <c r="AY133" s="50">
        <f xml:space="preserve"> 'WK2013'!EH13</f>
        <v>1070.7115429999999</v>
      </c>
      <c r="AZ133" s="50">
        <f xml:space="preserve"> 'WK2013'!EK13</f>
        <v>1246.397917</v>
      </c>
      <c r="BA133" s="50">
        <f xml:space="preserve"> 'WK2013'!EL13</f>
        <v>1070.7115429999999</v>
      </c>
      <c r="BB133" s="50">
        <f xml:space="preserve"> 'WK2013'!EM13</f>
        <v>1246.397917</v>
      </c>
      <c r="BC133" s="50">
        <f xml:space="preserve"> 'WK2013'!EN13</f>
        <v>1070.7115429999999</v>
      </c>
      <c r="BD133" s="50">
        <f xml:space="preserve"> 'WK2013'!EI13</f>
        <v>0.47022335305734886</v>
      </c>
      <c r="BF133" s="50">
        <f xml:space="preserve"> 'WK2013'!EU13</f>
        <v>962.84189100000003</v>
      </c>
      <c r="BG133" s="50">
        <f xml:space="preserve"> 'WK2013'!EV13</f>
        <v>844.83140400000002</v>
      </c>
      <c r="BH133" s="50">
        <f xml:space="preserve"> 'WK2013'!EY13</f>
        <v>962.84189100000003</v>
      </c>
      <c r="BI133" s="50">
        <f xml:space="preserve"> 'WK2013'!EZ13</f>
        <v>844.83140400000002</v>
      </c>
      <c r="BJ133" s="50">
        <f xml:space="preserve"> 'WK2013'!FA13</f>
        <v>962.84189100000003</v>
      </c>
      <c r="BK133" s="50">
        <f xml:space="preserve"> 'WK2013'!FB13</f>
        <v>844.83140400000002</v>
      </c>
      <c r="BL133" s="61">
        <f xml:space="preserve"> 'WK2013'!EW13</f>
        <v>0.50901021328869067</v>
      </c>
      <c r="BN133" s="50">
        <f xml:space="preserve"> 'WK2013'!FI13</f>
        <v>470.02638640000004</v>
      </c>
      <c r="BO133" s="50">
        <f xml:space="preserve"> 'WK2013'!FJ13</f>
        <v>428.83343800000006</v>
      </c>
      <c r="BP133" s="50">
        <f xml:space="preserve"> 'WK2013'!FM13</f>
        <v>470.02638640000004</v>
      </c>
      <c r="BQ133" s="50">
        <f xml:space="preserve"> 'WK2013'!FN13</f>
        <v>428.83343800000006</v>
      </c>
      <c r="BR133" s="50">
        <f xml:space="preserve"> 'WK2013'!FO13</f>
        <v>470.02638640000004</v>
      </c>
      <c r="BS133" s="50">
        <f xml:space="preserve"> 'WK2013'!FP13</f>
        <v>428.83343800000006</v>
      </c>
      <c r="BT133" s="61">
        <f xml:space="preserve"> 'WK2013'!FK13</f>
        <v>0.50923524766002592</v>
      </c>
      <c r="BV133" s="50">
        <f xml:space="preserve"> 'WK2013'!FW13</f>
        <v>22.400662000000001</v>
      </c>
      <c r="BW133" s="50">
        <f xml:space="preserve"> 'WK2013'!FX13</f>
        <v>23.137800000000002</v>
      </c>
      <c r="BX133" s="50">
        <f xml:space="preserve"> 'WK2013'!GA13</f>
        <v>22.400662000000001</v>
      </c>
      <c r="BY133" s="50">
        <f xml:space="preserve"> 'WK2013'!GB13</f>
        <v>23.137800000000002</v>
      </c>
      <c r="BZ133" s="50">
        <f xml:space="preserve"> 'WK2013'!GC13</f>
        <v>22.400662000000001</v>
      </c>
      <c r="CA133" s="50">
        <f xml:space="preserve"> 'WK2013'!GD13</f>
        <v>23.137800000000002</v>
      </c>
      <c r="CB133" s="61">
        <f xml:space="preserve"> 'WK2013'!FY13</f>
        <v>0.51051434958011499</v>
      </c>
      <c r="CD133" s="50">
        <f xml:space="preserve"> 'WK2013'!GK13</f>
        <v>19.727607750000011</v>
      </c>
      <c r="CE133" s="50">
        <f xml:space="preserve"> 'WK2013'!GL13</f>
        <v>23.778578999999993</v>
      </c>
      <c r="CF133" s="50">
        <f xml:space="preserve"> 'WK2013'!GO13</f>
        <v>19.727607750000011</v>
      </c>
      <c r="CG133" s="50">
        <f xml:space="preserve"> 'WK2013'!GP13</f>
        <v>23.778578999999993</v>
      </c>
      <c r="CH133" s="50">
        <f xml:space="preserve"> 'WK2013'!GQ13</f>
        <v>19.727607750000011</v>
      </c>
      <c r="CI133" s="50">
        <f xml:space="preserve"> 'WK2013'!GR13</f>
        <v>23.778578999999993</v>
      </c>
      <c r="CJ133" s="61">
        <f xml:space="preserve"> 'WK2013'!GM13</f>
        <v>0.51340983975137622</v>
      </c>
      <c r="CN133" s="50">
        <f xml:space="preserve"> 'WK2014'!EG13</f>
        <v>1337.6722280000001</v>
      </c>
      <c r="CO133" s="50">
        <f xml:space="preserve"> 'WK2014'!EH13</f>
        <v>1098.4121019999998</v>
      </c>
      <c r="CP133" s="50">
        <f xml:space="preserve"> 'WK2014'!EK13</f>
        <v>1337.6722280000001</v>
      </c>
      <c r="CQ133" s="50">
        <f xml:space="preserve"> 'WK2014'!EL13</f>
        <v>1098.4121019999998</v>
      </c>
      <c r="CR133" s="50">
        <f xml:space="preserve"> 'WK2014'!EM13</f>
        <v>1337.6722280000001</v>
      </c>
      <c r="CS133" s="50">
        <f xml:space="preserve"> 'WK2014'!EN13</f>
        <v>1098.4121019999998</v>
      </c>
      <c r="CT133" s="61">
        <f xml:space="preserve"> 'WK2014'!EI13</f>
        <v>0.51280775548214841</v>
      </c>
      <c r="CV133" s="50">
        <f xml:space="preserve"> 'WK2014'!EU13</f>
        <v>1041.536409</v>
      </c>
      <c r="CW133" s="50">
        <f xml:space="preserve"> 'WK2014'!EV13</f>
        <v>826.62849300000005</v>
      </c>
      <c r="CX133" s="50">
        <f xml:space="preserve"> 'WK2014'!EY13</f>
        <v>1041.536409</v>
      </c>
      <c r="CY133" s="50">
        <f xml:space="preserve"> 'WK2014'!EZ13</f>
        <v>826.62849300000005</v>
      </c>
      <c r="CZ133" s="50">
        <f xml:space="preserve"> 'WK2014'!FA13</f>
        <v>1041.536409</v>
      </c>
      <c r="DA133" s="50">
        <f xml:space="preserve"> 'WK2014'!FB13</f>
        <v>826.62849300000005</v>
      </c>
      <c r="DB133" s="61">
        <f xml:space="preserve"> 'WK2014'!EW13</f>
        <v>0.51275560172416246</v>
      </c>
      <c r="DC133" s="1"/>
      <c r="DD133" s="50">
        <f xml:space="preserve"> 'WK2014'!FI13</f>
        <v>546.75157039999999</v>
      </c>
      <c r="DE133" s="50">
        <f xml:space="preserve"> 'WK2014'!FJ13</f>
        <v>360.12281080000002</v>
      </c>
      <c r="DF133" s="50">
        <f xml:space="preserve"> 'WK2014'!FM13</f>
        <v>546.75157039999999</v>
      </c>
      <c r="DG133" s="50">
        <f xml:space="preserve"> 'WK2014'!FN13</f>
        <v>360.12281080000002</v>
      </c>
      <c r="DH133" s="50">
        <f xml:space="preserve"> 'WK2014'!FO13</f>
        <v>546.75157039999999</v>
      </c>
      <c r="DI133" s="50">
        <f xml:space="preserve"> 'WK2014'!FP13</f>
        <v>360.12281080000002</v>
      </c>
      <c r="DJ133" s="61">
        <f xml:space="preserve"> 'WK2014'!FK13</f>
        <v>0.51279913194543869</v>
      </c>
      <c r="DK133" s="1"/>
      <c r="DL133" s="50">
        <f xml:space="preserve"> 'WK2014'!FW13</f>
        <v>33.030767999999995</v>
      </c>
      <c r="DM133" s="50">
        <f xml:space="preserve"> 'WK2014'!FX13</f>
        <v>28.705016000000001</v>
      </c>
      <c r="DN133" s="50">
        <f xml:space="preserve"> 'WK2014'!GA13</f>
        <v>33.030767999999995</v>
      </c>
      <c r="DO133" s="50">
        <f xml:space="preserve"> 'WK2014'!GB13</f>
        <v>28.705016000000001</v>
      </c>
      <c r="DP133" s="50">
        <f xml:space="preserve"> 'WK2014'!GC13</f>
        <v>33.030767999999995</v>
      </c>
      <c r="DQ133" s="50">
        <f xml:space="preserve"> 'WK2014'!GD13</f>
        <v>28.705016000000001</v>
      </c>
      <c r="DR133" s="61">
        <f xml:space="preserve"> 'WK2014'!FY13</f>
        <v>0.51286385197836959</v>
      </c>
      <c r="DS133" s="1"/>
      <c r="DT133" s="50">
        <f xml:space="preserve"> 'WK2014'!GK13</f>
        <v>58.100844000000002</v>
      </c>
      <c r="DU133" s="50">
        <f xml:space="preserve"> 'WK2014'!GL13</f>
        <v>79.776676500000008</v>
      </c>
      <c r="DV133" s="50">
        <f xml:space="preserve"> 'WK2014'!GO13</f>
        <v>58.100844000000002</v>
      </c>
      <c r="DW133" s="50">
        <f xml:space="preserve"> 'WK2014'!GP13</f>
        <v>79.776676500000008</v>
      </c>
      <c r="DX133" s="50">
        <f xml:space="preserve"> 'WK2014'!GQ13</f>
        <v>58.100844000000002</v>
      </c>
      <c r="DY133" s="50">
        <f xml:space="preserve"> 'WK2014'!GR13</f>
        <v>79.776676500000008</v>
      </c>
      <c r="DZ133" s="61">
        <f xml:space="preserve"> 'WK2014'!GM13</f>
        <v>0.51264305850061598</v>
      </c>
      <c r="ED133" s="50">
        <f xml:space="preserve"> 'WK2015'!EG13</f>
        <v>1307.230865</v>
      </c>
      <c r="EE133" s="50">
        <f xml:space="preserve"> 'WK2015'!EH13</f>
        <v>1049.7568900000001</v>
      </c>
      <c r="EF133" s="50">
        <f xml:space="preserve"> 'WK2015'!EK13</f>
        <v>1307.230865</v>
      </c>
      <c r="EG133" s="50">
        <f xml:space="preserve"> 'WK2015'!EL13</f>
        <v>1049.7568900000001</v>
      </c>
      <c r="EH133" s="50">
        <f xml:space="preserve"> 'WK2015'!EM13</f>
        <v>1307.230865</v>
      </c>
      <c r="EI133" s="50">
        <f xml:space="preserve"> 'WK2015'!EN13</f>
        <v>1049.7568900000001</v>
      </c>
      <c r="EJ133" s="61">
        <f xml:space="preserve"> 'WK2015'!EI13</f>
        <v>0.51218769948227527</v>
      </c>
      <c r="EK133" s="1"/>
      <c r="EL133" s="50">
        <f xml:space="preserve"> 'WK2015'!EU13</f>
        <v>1054.6183890000002</v>
      </c>
      <c r="EM133" s="50">
        <f xml:space="preserve"> 'WK2015'!EV13</f>
        <v>839.73939000000007</v>
      </c>
      <c r="EN133" s="50">
        <f xml:space="preserve"> 'WK2015'!EY13</f>
        <v>1054.6183890000002</v>
      </c>
      <c r="EO133" s="50">
        <f xml:space="preserve"> 'WK2015'!EZ13</f>
        <v>839.73939000000007</v>
      </c>
      <c r="EP133" s="50">
        <f xml:space="preserve"> 'WK2015'!FA13</f>
        <v>1054.6183890000002</v>
      </c>
      <c r="EQ133" s="50">
        <f xml:space="preserve"> 'WK2015'!FB13</f>
        <v>839.73939000000007</v>
      </c>
      <c r="ER133" s="61">
        <f xml:space="preserve"> 'WK2015'!EW13</f>
        <v>0.51292962801660791</v>
      </c>
      <c r="ES133" s="1"/>
      <c r="ET133" s="50">
        <f xml:space="preserve"> 'WK2015'!FI13</f>
        <v>620.57221860000004</v>
      </c>
      <c r="EU133" s="50">
        <f xml:space="preserve"> 'WK2015'!FJ13</f>
        <v>361.97281839999999</v>
      </c>
      <c r="EV133" s="50">
        <f xml:space="preserve"> 'WK2015'!FM13</f>
        <v>620.57221860000004</v>
      </c>
      <c r="EW133" s="50">
        <f xml:space="preserve"> 'WK2015'!FN13</f>
        <v>361.97281839999999</v>
      </c>
      <c r="EX133" s="50">
        <f xml:space="preserve"> 'WK2015'!FO13</f>
        <v>620.57221860000004</v>
      </c>
      <c r="EY133" s="50">
        <f xml:space="preserve"> 'WK2015'!FP13</f>
        <v>361.97281839999999</v>
      </c>
      <c r="EZ133" s="61">
        <f xml:space="preserve"> 'WK2015'!FK13</f>
        <v>0.51175657404553276</v>
      </c>
      <c r="FA133" s="1"/>
      <c r="FB133" s="50">
        <f xml:space="preserve"> 'WK2015'!FW13</f>
        <v>35.294400000000003</v>
      </c>
      <c r="FC133" s="50">
        <f xml:space="preserve"> 'WK2015'!FX13</f>
        <v>30.102968000000001</v>
      </c>
      <c r="FD133" s="50">
        <f xml:space="preserve"> 'WK2015'!GA13</f>
        <v>35.294400000000003</v>
      </c>
      <c r="FE133" s="50">
        <f xml:space="preserve"> 'WK2015'!GB13</f>
        <v>30.102968000000001</v>
      </c>
      <c r="FF133" s="50">
        <f xml:space="preserve"> 'WK2015'!GC13</f>
        <v>35.294400000000003</v>
      </c>
      <c r="FG133" s="50">
        <f xml:space="preserve"> 'WK2015'!GD13</f>
        <v>30.102968000000001</v>
      </c>
      <c r="FH133" s="61">
        <f xml:space="preserve"> 'WK2015'!FY13</f>
        <v>0.5135827467066193</v>
      </c>
      <c r="FI133" s="1"/>
      <c r="FJ133" s="50">
        <f xml:space="preserve"> 'WK2015'!GK13</f>
        <v>54.37772775000002</v>
      </c>
      <c r="FK133" s="50">
        <f xml:space="preserve"> 'WK2015'!GL13</f>
        <v>89.009789250000011</v>
      </c>
      <c r="FL133" s="50">
        <f xml:space="preserve"> 'WK2015'!GO13</f>
        <v>54.37772775000002</v>
      </c>
      <c r="FM133" s="50">
        <f xml:space="preserve"> 'WK2015'!GP13</f>
        <v>89.009789250000011</v>
      </c>
      <c r="FN133" s="50">
        <f xml:space="preserve"> 'WK2015'!GQ13</f>
        <v>54.37772775000002</v>
      </c>
      <c r="FO133" s="50">
        <f xml:space="preserve"> 'WK2015'!GR13</f>
        <v>89.009789250000011</v>
      </c>
      <c r="FP133" s="61">
        <f xml:space="preserve"> 'WK2015'!GM13</f>
        <v>0.51116774829639555</v>
      </c>
      <c r="FS133" s="283">
        <f xml:space="preserve"> 'WK2015'!H13</f>
        <v>1010.21567</v>
      </c>
      <c r="FT133" s="283">
        <f xml:space="preserve"> 'WK2015'!I13</f>
        <v>788.83679600000005</v>
      </c>
      <c r="FU133" s="283">
        <f xml:space="preserve"> 'WK2015'!L13</f>
        <v>1010.21567</v>
      </c>
      <c r="FV133" s="283">
        <f xml:space="preserve"> 'WK2015'!M13</f>
        <v>788.83679600000005</v>
      </c>
      <c r="FW133" s="283">
        <f xml:space="preserve"> 'WK2015'!N13</f>
        <v>1010.21567</v>
      </c>
      <c r="FX133" s="283">
        <f xml:space="preserve"> 'WK2015'!O13</f>
        <v>788.83679600000005</v>
      </c>
      <c r="FY133" s="284">
        <f xml:space="preserve"> 'WK2015'!P13</f>
        <v>0.51033098283471956</v>
      </c>
      <c r="GA133" s="283">
        <f xml:space="preserve"> 'WK2015'!HB13</f>
        <v>638.66259600000001</v>
      </c>
      <c r="GB133" s="283">
        <f xml:space="preserve"> 'WK2015'!HC13</f>
        <v>369.46010100000001</v>
      </c>
      <c r="GC133" s="283">
        <f xml:space="preserve"> 'WK2015'!HF13</f>
        <v>638.66259600000001</v>
      </c>
      <c r="GD133" s="283">
        <f xml:space="preserve"> 'WK2015'!HG13</f>
        <v>369.46010100000001</v>
      </c>
      <c r="GE133" s="283">
        <f xml:space="preserve"> 'WK2015'!HH13</f>
        <v>638.66259600000001</v>
      </c>
      <c r="GF133" s="283">
        <f xml:space="preserve"> 'WK2015'!HI13</f>
        <v>369.46010100000001</v>
      </c>
      <c r="GG133" s="284">
        <f xml:space="preserve"> 'WK2015'!HJ13</f>
        <v>0.54562587482653679</v>
      </c>
      <c r="GI133" s="283">
        <f xml:space="preserve"> 'WK2015'!HQ13</f>
        <v>0</v>
      </c>
      <c r="GJ133" s="283">
        <f xml:space="preserve"> 'WK2015'!HR13</f>
        <v>55.838159999999995</v>
      </c>
      <c r="GK133" s="283">
        <f xml:space="preserve"> 'WK2015'!HU13</f>
        <v>0</v>
      </c>
      <c r="GL133" s="283">
        <f xml:space="preserve"> 'WK2015'!HV13</f>
        <v>55.838159999999995</v>
      </c>
      <c r="GM133" s="283">
        <f xml:space="preserve"> 'WK2015'!HW13</f>
        <v>0</v>
      </c>
      <c r="GN133" s="283">
        <f xml:space="preserve"> 'WK2015'!HX13</f>
        <v>55.838159999999995</v>
      </c>
      <c r="GO133" s="284">
        <f xml:space="preserve"> 'WK2015'!HY13</f>
        <v>0.85</v>
      </c>
    </row>
    <row r="134" spans="1:197" x14ac:dyDescent="0.2">
      <c r="A134" s="3">
        <f>Basis!A134</f>
        <v>4</v>
      </c>
      <c r="H134" s="50">
        <f xml:space="preserve"> 'WK2012'!EG14</f>
        <v>1172.9525651621511</v>
      </c>
      <c r="I134" s="50">
        <f xml:space="preserve"> 'WK2012'!EH14</f>
        <v>1090.2780046374894</v>
      </c>
      <c r="J134" s="50">
        <f xml:space="preserve"> 'WK2012'!EK14</f>
        <v>1172.9539447041288</v>
      </c>
      <c r="K134" s="50">
        <f xml:space="preserve"> 'WK2012'!EL14</f>
        <v>1090.2766246402302</v>
      </c>
      <c r="L134" s="50">
        <f xml:space="preserve"> 'WK2012'!EM14</f>
        <v>1172.9525651621511</v>
      </c>
      <c r="M134" s="50">
        <f xml:space="preserve"> 'WK2012'!EN14</f>
        <v>1090.2752450982525</v>
      </c>
      <c r="N134" s="61">
        <f xml:space="preserve"> 'WK2012'!EI14</f>
        <v>0.50976835582930635</v>
      </c>
      <c r="P134" s="50">
        <f xml:space="preserve"> 'WK2012'!EU14</f>
        <v>1009.0181544371939</v>
      </c>
      <c r="Q134" s="50">
        <f xml:space="preserve"> 'WK2012'!EV14</f>
        <v>707.78292015820193</v>
      </c>
      <c r="R134" s="50">
        <f xml:space="preserve"> 'WK2012'!EY14</f>
        <v>1009.0193615364244</v>
      </c>
      <c r="S134" s="50">
        <f xml:space="preserve"> 'WK2012'!EZ14</f>
        <v>707.78171266060031</v>
      </c>
      <c r="T134" s="50">
        <f xml:space="preserve"> 'WK2012'!FA14</f>
        <v>1009.0181544371939</v>
      </c>
      <c r="U134" s="50">
        <f xml:space="preserve"> 'WK2012'!FB14</f>
        <v>707.78050556136986</v>
      </c>
      <c r="V134" s="61">
        <f xml:space="preserve"> 'WK2012'!EW14</f>
        <v>0.51623322992386023</v>
      </c>
      <c r="X134" s="50">
        <f xml:space="preserve"> 'WK2012'!FI14</f>
        <v>507.90203382871636</v>
      </c>
      <c r="Y134" s="50">
        <f xml:space="preserve"> 'WK2012'!FJ14</f>
        <v>327.63235617325296</v>
      </c>
      <c r="Z134" s="50">
        <f xml:space="preserve"> 'WK2012'!FM14</f>
        <v>507.90203382871636</v>
      </c>
      <c r="AA134" s="50">
        <f xml:space="preserve"> 'WK2012'!FN14</f>
        <v>327.63235617325296</v>
      </c>
      <c r="AB134" s="50">
        <f xml:space="preserve"> 'WK2012'!FO14</f>
        <v>507.90203382871636</v>
      </c>
      <c r="AC134" s="50">
        <f xml:space="preserve"> 'WK2012'!FP14</f>
        <v>327.63235617325296</v>
      </c>
      <c r="AD134" s="61">
        <f xml:space="preserve"> 'WK2012'!FK14</f>
        <v>0.50823381181136174</v>
      </c>
      <c r="AF134" s="50">
        <f xml:space="preserve"> 'WK2012'!FW14</f>
        <v>0</v>
      </c>
      <c r="AG134" s="50">
        <f xml:space="preserve"> 'WK2012'!FX14</f>
        <v>0</v>
      </c>
      <c r="AH134" s="50">
        <f xml:space="preserve"> 'WK2012'!GA14</f>
        <v>0</v>
      </c>
      <c r="AI134" s="50">
        <f xml:space="preserve"> 'WK2012'!GB14</f>
        <v>0</v>
      </c>
      <c r="AJ134" s="50">
        <f xml:space="preserve"> 'WK2012'!GC14</f>
        <v>0</v>
      </c>
      <c r="AK134" s="50">
        <f xml:space="preserve"> 'WK2012'!GD14</f>
        <v>0</v>
      </c>
      <c r="AL134" s="61">
        <f xml:space="preserve"> 'WK2012'!FY14</f>
        <v>0.51327782027436408</v>
      </c>
      <c r="AN134" s="50">
        <f xml:space="preserve"> 'WK2012'!GK14</f>
        <v>61.677405083798767</v>
      </c>
      <c r="AO134" s="50">
        <f xml:space="preserve"> 'WK2012'!GL14</f>
        <v>60.057009398146988</v>
      </c>
      <c r="AP134" s="50">
        <f xml:space="preserve"> 'WK2012'!GO14</f>
        <v>61.678784625776487</v>
      </c>
      <c r="AQ134" s="50">
        <f xml:space="preserve"> 'WK2012'!GP14</f>
        <v>60.055629400887952</v>
      </c>
      <c r="AR134" s="50">
        <f xml:space="preserve"> 'WK2012'!GQ14</f>
        <v>61.677405083798767</v>
      </c>
      <c r="AS134" s="50">
        <f xml:space="preserve"> 'WK2012'!GR14</f>
        <v>60.054249858910232</v>
      </c>
      <c r="AT134" s="61">
        <f xml:space="preserve"> 'WK2012'!GM14</f>
        <v>0.50864543472007229</v>
      </c>
      <c r="AX134" s="50">
        <f xml:space="preserve"> 'WK2013'!EG14</f>
        <v>1160.9357868</v>
      </c>
      <c r="AY134" s="50">
        <f xml:space="preserve"> 'WK2013'!EH14</f>
        <v>911.92982999999992</v>
      </c>
      <c r="AZ134" s="50">
        <f xml:space="preserve"> 'WK2013'!EK14</f>
        <v>1160.9357868</v>
      </c>
      <c r="BA134" s="50">
        <f xml:space="preserve"> 'WK2013'!EL14</f>
        <v>911.92982999999992</v>
      </c>
      <c r="BB134" s="50">
        <f xml:space="preserve"> 'WK2013'!EM14</f>
        <v>1160.9357868</v>
      </c>
      <c r="BC134" s="50">
        <f xml:space="preserve"> 'WK2013'!EN14</f>
        <v>911.92982999999992</v>
      </c>
      <c r="BD134" s="50">
        <f xml:space="preserve"> 'WK2013'!EI14</f>
        <v>0.46954701770317941</v>
      </c>
      <c r="BF134" s="50">
        <f xml:space="preserve"> 'WK2013'!EU14</f>
        <v>900.32323969999982</v>
      </c>
      <c r="BG134" s="50">
        <f xml:space="preserve"> 'WK2013'!EV14</f>
        <v>722.97565999999995</v>
      </c>
      <c r="BH134" s="50">
        <f xml:space="preserve"> 'WK2013'!EY14</f>
        <v>900.32323969999982</v>
      </c>
      <c r="BI134" s="50">
        <f xml:space="preserve"> 'WK2013'!EZ14</f>
        <v>722.97565999999995</v>
      </c>
      <c r="BJ134" s="50">
        <f xml:space="preserve"> 'WK2013'!FA14</f>
        <v>900.32323969999982</v>
      </c>
      <c r="BK134" s="50">
        <f xml:space="preserve"> 'WK2013'!FB14</f>
        <v>722.97565999999995</v>
      </c>
      <c r="BL134" s="61">
        <f xml:space="preserve"> 'WK2013'!EW14</f>
        <v>0.508758014665875</v>
      </c>
      <c r="BN134" s="50">
        <f xml:space="preserve"> 'WK2013'!FI14</f>
        <v>479.37104959999999</v>
      </c>
      <c r="BO134" s="50">
        <f xml:space="preserve"> 'WK2013'!FJ14</f>
        <v>350.80739019999993</v>
      </c>
      <c r="BP134" s="50">
        <f xml:space="preserve"> 'WK2013'!FM14</f>
        <v>479.37104959999999</v>
      </c>
      <c r="BQ134" s="50">
        <f xml:space="preserve"> 'WK2013'!FN14</f>
        <v>350.80739019999993</v>
      </c>
      <c r="BR134" s="50">
        <f xml:space="preserve"> 'WK2013'!FO14</f>
        <v>479.37104959999999</v>
      </c>
      <c r="BS134" s="50">
        <f xml:space="preserve"> 'WK2013'!FP14</f>
        <v>350.80739019999993</v>
      </c>
      <c r="BT134" s="61">
        <f xml:space="preserve"> 'WK2013'!FK14</f>
        <v>0.50988651558653786</v>
      </c>
      <c r="BV134" s="50">
        <f xml:space="preserve"> 'WK2013'!FW14</f>
        <v>53.848086800000004</v>
      </c>
      <c r="BW134" s="50">
        <f xml:space="preserve"> 'WK2013'!FX14</f>
        <v>49.911539999999995</v>
      </c>
      <c r="BX134" s="50">
        <f xml:space="preserve"> 'WK2013'!GA14</f>
        <v>53.848086800000004</v>
      </c>
      <c r="BY134" s="50">
        <f xml:space="preserve"> 'WK2013'!GB14</f>
        <v>49.911539999999995</v>
      </c>
      <c r="BZ134" s="50">
        <f xml:space="preserve"> 'WK2013'!GC14</f>
        <v>53.848086800000004</v>
      </c>
      <c r="CA134" s="50">
        <f xml:space="preserve"> 'WK2013'!GD14</f>
        <v>49.911539999999995</v>
      </c>
      <c r="CB134" s="61">
        <f xml:space="preserve"> 'WK2013'!FY14</f>
        <v>0.51018706112398438</v>
      </c>
      <c r="CD134" s="50">
        <f xml:space="preserve"> 'WK2013'!GK14</f>
        <v>24.268037999999997</v>
      </c>
      <c r="CE134" s="50">
        <f xml:space="preserve"> 'WK2013'!GL14</f>
        <v>54.224253750000003</v>
      </c>
      <c r="CF134" s="50">
        <f xml:space="preserve"> 'WK2013'!GO14</f>
        <v>24.268037999999997</v>
      </c>
      <c r="CG134" s="50">
        <f xml:space="preserve"> 'WK2013'!GP14</f>
        <v>54.224253750000003</v>
      </c>
      <c r="CH134" s="50">
        <f xml:space="preserve"> 'WK2013'!GQ14</f>
        <v>24.268037999999997</v>
      </c>
      <c r="CI134" s="50">
        <f xml:space="preserve"> 'WK2013'!GR14</f>
        <v>54.224253750000003</v>
      </c>
      <c r="CJ134" s="61">
        <f xml:space="preserve"> 'WK2013'!GM14</f>
        <v>0.51160594315943853</v>
      </c>
      <c r="CN134" s="50">
        <f xml:space="preserve"> 'WK2014'!EG14</f>
        <v>1240.822392</v>
      </c>
      <c r="CO134" s="50">
        <f xml:space="preserve"> 'WK2014'!EH14</f>
        <v>974.79090800000006</v>
      </c>
      <c r="CP134" s="50">
        <f xml:space="preserve"> 'WK2014'!EK14</f>
        <v>1240.822392</v>
      </c>
      <c r="CQ134" s="50">
        <f xml:space="preserve"> 'WK2014'!EL14</f>
        <v>974.79090800000006</v>
      </c>
      <c r="CR134" s="50">
        <f xml:space="preserve"> 'WK2014'!EM14</f>
        <v>1240.822392</v>
      </c>
      <c r="CS134" s="50">
        <f xml:space="preserve"> 'WK2014'!EN14</f>
        <v>974.79090800000006</v>
      </c>
      <c r="CT134" s="61">
        <f xml:space="preserve"> 'WK2014'!EI14</f>
        <v>0.50993841148208319</v>
      </c>
      <c r="CV134" s="50">
        <f xml:space="preserve"> 'WK2014'!EU14</f>
        <v>960.90228350000007</v>
      </c>
      <c r="CW134" s="50">
        <f xml:space="preserve"> 'WK2014'!EV14</f>
        <v>735.29080599999998</v>
      </c>
      <c r="CX134" s="50">
        <f xml:space="preserve"> 'WK2014'!EY14</f>
        <v>960.90228350000007</v>
      </c>
      <c r="CY134" s="50">
        <f xml:space="preserve"> 'WK2014'!EZ14</f>
        <v>735.29080599999998</v>
      </c>
      <c r="CZ134" s="50">
        <f xml:space="preserve"> 'WK2014'!FA14</f>
        <v>960.90228350000007</v>
      </c>
      <c r="DA134" s="50">
        <f xml:space="preserve"> 'WK2014'!FB14</f>
        <v>735.29080599999998</v>
      </c>
      <c r="DB134" s="61">
        <f xml:space="preserve"> 'WK2014'!EW14</f>
        <v>0.50835787266015986</v>
      </c>
      <c r="DC134" s="1"/>
      <c r="DD134" s="50">
        <f xml:space="preserve"> 'WK2014'!FI14</f>
        <v>544.73985919999996</v>
      </c>
      <c r="DE134" s="50">
        <f xml:space="preserve"> 'WK2014'!FJ14</f>
        <v>350.6954824</v>
      </c>
      <c r="DF134" s="50">
        <f xml:space="preserve"> 'WK2014'!FM14</f>
        <v>544.73985919999996</v>
      </c>
      <c r="DG134" s="50">
        <f xml:space="preserve"> 'WK2014'!FN14</f>
        <v>350.6954824</v>
      </c>
      <c r="DH134" s="50">
        <f xml:space="preserve"> 'WK2014'!FO14</f>
        <v>544.73985919999996</v>
      </c>
      <c r="DI134" s="50">
        <f xml:space="preserve"> 'WK2014'!FP14</f>
        <v>350.6954824</v>
      </c>
      <c r="DJ134" s="61">
        <f xml:space="preserve"> 'WK2014'!FK14</f>
        <v>0.5083486702560448</v>
      </c>
      <c r="DK134" s="1"/>
      <c r="DL134" s="50">
        <f xml:space="preserve"> 'WK2014'!FW14</f>
        <v>55.180319999999995</v>
      </c>
      <c r="DM134" s="50">
        <f xml:space="preserve"> 'WK2014'!FX14</f>
        <v>49.613948000000008</v>
      </c>
      <c r="DN134" s="50">
        <f xml:space="preserve"> 'WK2014'!GA14</f>
        <v>55.180319999999995</v>
      </c>
      <c r="DO134" s="50">
        <f xml:space="preserve"> 'WK2014'!GB14</f>
        <v>49.613948000000008</v>
      </c>
      <c r="DP134" s="50">
        <f xml:space="preserve"> 'WK2014'!GC14</f>
        <v>55.180319999999995</v>
      </c>
      <c r="DQ134" s="50">
        <f xml:space="preserve"> 'WK2014'!GD14</f>
        <v>49.613948000000008</v>
      </c>
      <c r="DR134" s="61">
        <f xml:space="preserve"> 'WK2014'!FY14</f>
        <v>0.50929459501996099</v>
      </c>
      <c r="DS134" s="1"/>
      <c r="DT134" s="50">
        <f xml:space="preserve"> 'WK2014'!GK14</f>
        <v>34.975641000000017</v>
      </c>
      <c r="DU134" s="50">
        <f xml:space="preserve"> 'WK2014'!GL14</f>
        <v>54.070971000000021</v>
      </c>
      <c r="DV134" s="50">
        <f xml:space="preserve"> 'WK2014'!GO14</f>
        <v>34.975641000000017</v>
      </c>
      <c r="DW134" s="50">
        <f xml:space="preserve"> 'WK2014'!GP14</f>
        <v>54.070971000000021</v>
      </c>
      <c r="DX134" s="50">
        <f xml:space="preserve"> 'WK2014'!GQ14</f>
        <v>34.975641000000017</v>
      </c>
      <c r="DY134" s="50">
        <f xml:space="preserve"> 'WK2014'!GR14</f>
        <v>54.070971000000021</v>
      </c>
      <c r="DZ134" s="61">
        <f xml:space="preserve"> 'WK2014'!GM14</f>
        <v>0.51156112629041639</v>
      </c>
      <c r="ED134" s="50">
        <f xml:space="preserve"> 'WK2015'!EG14</f>
        <v>1200.4021708</v>
      </c>
      <c r="EE134" s="50">
        <f xml:space="preserve"> 'WK2015'!EH14</f>
        <v>948.22480199999984</v>
      </c>
      <c r="EF134" s="50">
        <f xml:space="preserve"> 'WK2015'!EK14</f>
        <v>1200.4021708</v>
      </c>
      <c r="EG134" s="50">
        <f xml:space="preserve"> 'WK2015'!EL14</f>
        <v>948.22480199999984</v>
      </c>
      <c r="EH134" s="50">
        <f xml:space="preserve"> 'WK2015'!EM14</f>
        <v>1200.4021708</v>
      </c>
      <c r="EI134" s="50">
        <f xml:space="preserve"> 'WK2015'!EN14</f>
        <v>948.22480199999984</v>
      </c>
      <c r="EJ134" s="61">
        <f xml:space="preserve"> 'WK2015'!EI14</f>
        <v>0.51265312790036754</v>
      </c>
      <c r="EK134" s="1"/>
      <c r="EL134" s="50">
        <f xml:space="preserve"> 'WK2015'!EU14</f>
        <v>968.31746020000014</v>
      </c>
      <c r="EM134" s="50">
        <f xml:space="preserve"> 'WK2015'!EV14</f>
        <v>754.78529000000003</v>
      </c>
      <c r="EN134" s="50">
        <f xml:space="preserve"> 'WK2015'!EY14</f>
        <v>968.31746020000014</v>
      </c>
      <c r="EO134" s="50">
        <f xml:space="preserve"> 'WK2015'!EZ14</f>
        <v>754.78529000000003</v>
      </c>
      <c r="EP134" s="50">
        <f xml:space="preserve"> 'WK2015'!FA14</f>
        <v>968.31746020000014</v>
      </c>
      <c r="EQ134" s="50">
        <f xml:space="preserve"> 'WK2015'!FB14</f>
        <v>754.78529000000003</v>
      </c>
      <c r="ER134" s="61">
        <f xml:space="preserve"> 'WK2015'!EW14</f>
        <v>0.51205250350133424</v>
      </c>
      <c r="ES134" s="1"/>
      <c r="ET134" s="50">
        <f xml:space="preserve"> 'WK2015'!FI14</f>
        <v>616.7840298000001</v>
      </c>
      <c r="EU134" s="50">
        <f xml:space="preserve"> 'WK2015'!FJ14</f>
        <v>352.67833180000008</v>
      </c>
      <c r="EV134" s="50">
        <f xml:space="preserve"> 'WK2015'!FM14</f>
        <v>616.7840298000001</v>
      </c>
      <c r="EW134" s="50">
        <f xml:space="preserve"> 'WK2015'!FN14</f>
        <v>352.67833180000008</v>
      </c>
      <c r="EX134" s="50">
        <f xml:space="preserve"> 'WK2015'!FO14</f>
        <v>616.7840298000001</v>
      </c>
      <c r="EY134" s="50">
        <f xml:space="preserve"> 'WK2015'!FP14</f>
        <v>352.67833180000008</v>
      </c>
      <c r="EZ134" s="61">
        <f xml:space="preserve"> 'WK2015'!FK14</f>
        <v>0.51162939350625636</v>
      </c>
      <c r="FA134" s="1"/>
      <c r="FB134" s="50">
        <f xml:space="preserve"> 'WK2015'!FW14</f>
        <v>57.240180799999997</v>
      </c>
      <c r="FC134" s="50">
        <f xml:space="preserve"> 'WK2015'!FX14</f>
        <v>51.073273999999998</v>
      </c>
      <c r="FD134" s="50">
        <f xml:space="preserve"> 'WK2015'!GA14</f>
        <v>57.240180799999997</v>
      </c>
      <c r="FE134" s="50">
        <f xml:space="preserve"> 'WK2015'!GB14</f>
        <v>51.073273999999998</v>
      </c>
      <c r="FF134" s="50">
        <f xml:space="preserve"> 'WK2015'!GC14</f>
        <v>57.240180799999997</v>
      </c>
      <c r="FG134" s="50">
        <f xml:space="preserve"> 'WK2015'!GD14</f>
        <v>51.073273999999998</v>
      </c>
      <c r="FH134" s="61">
        <f xml:space="preserve"> 'WK2015'!FY14</f>
        <v>0.51251404888970709</v>
      </c>
      <c r="FI134" s="1"/>
      <c r="FJ134" s="50">
        <f xml:space="preserve"> 'WK2015'!GK14</f>
        <v>27.937475999999997</v>
      </c>
      <c r="FK134" s="50">
        <f xml:space="preserve"> 'WK2015'!GL14</f>
        <v>67.259141999999983</v>
      </c>
      <c r="FL134" s="50">
        <f xml:space="preserve"> 'WK2015'!GO14</f>
        <v>27.937475999999997</v>
      </c>
      <c r="FM134" s="50">
        <f xml:space="preserve"> 'WK2015'!GP14</f>
        <v>67.259141999999983</v>
      </c>
      <c r="FN134" s="50">
        <f xml:space="preserve"> 'WK2015'!GQ14</f>
        <v>27.937475999999997</v>
      </c>
      <c r="FO134" s="50">
        <f xml:space="preserve"> 'WK2015'!GR14</f>
        <v>67.259141999999983</v>
      </c>
      <c r="FP134" s="61">
        <f xml:space="preserve"> 'WK2015'!GM14</f>
        <v>0.51320554351041958</v>
      </c>
      <c r="FS134" s="283">
        <f xml:space="preserve"> 'WK2015'!H14</f>
        <v>939.59749999999997</v>
      </c>
      <c r="FT134" s="283">
        <f xml:space="preserve"> 'WK2015'!I14</f>
        <v>700.90797999999995</v>
      </c>
      <c r="FU134" s="283">
        <f xml:space="preserve"> 'WK2015'!L14</f>
        <v>939.59749999999997</v>
      </c>
      <c r="FV134" s="283">
        <f xml:space="preserve"> 'WK2015'!M14</f>
        <v>700.90797999999995</v>
      </c>
      <c r="FW134" s="283">
        <f xml:space="preserve"> 'WK2015'!N14</f>
        <v>939.59749999999997</v>
      </c>
      <c r="FX134" s="283">
        <f xml:space="preserve"> 'WK2015'!O14</f>
        <v>700.90797999999995</v>
      </c>
      <c r="FY134" s="284">
        <f xml:space="preserve"> 'WK2015'!P14</f>
        <v>0.51135460030912239</v>
      </c>
      <c r="GA134" s="283">
        <f xml:space="preserve"> 'WK2015'!HB14</f>
        <v>616.26605699999993</v>
      </c>
      <c r="GB134" s="283">
        <f xml:space="preserve"> 'WK2015'!HC14</f>
        <v>339.31671899999998</v>
      </c>
      <c r="GC134" s="283">
        <f xml:space="preserve"> 'WK2015'!HF14</f>
        <v>616.26605699999993</v>
      </c>
      <c r="GD134" s="283">
        <f xml:space="preserve"> 'WK2015'!HG14</f>
        <v>339.31671899999998</v>
      </c>
      <c r="GE134" s="283">
        <f xml:space="preserve"> 'WK2015'!HH14</f>
        <v>616.26605699999993</v>
      </c>
      <c r="GF134" s="283">
        <f xml:space="preserve"> 'WK2015'!HI14</f>
        <v>339.31671899999998</v>
      </c>
      <c r="GG134" s="284">
        <f xml:space="preserve"> 'WK2015'!HJ14</f>
        <v>0.54877267047921929</v>
      </c>
      <c r="GI134" s="283">
        <f xml:space="preserve"> 'WK2015'!HQ14</f>
        <v>0</v>
      </c>
      <c r="GJ134" s="283">
        <f xml:space="preserve"> 'WK2015'!HR14</f>
        <v>66.230261999999996</v>
      </c>
      <c r="GK134" s="283">
        <f xml:space="preserve"> 'WK2015'!HU14</f>
        <v>0</v>
      </c>
      <c r="GL134" s="283">
        <f xml:space="preserve"> 'WK2015'!HV14</f>
        <v>66.230261999999996</v>
      </c>
      <c r="GM134" s="283">
        <f xml:space="preserve"> 'WK2015'!HW14</f>
        <v>0</v>
      </c>
      <c r="GN134" s="283">
        <f xml:space="preserve"> 'WK2015'!HX14</f>
        <v>66.230261999999996</v>
      </c>
      <c r="GO134" s="284">
        <f xml:space="preserve"> 'WK2015'!HY14</f>
        <v>0.66666666666666663</v>
      </c>
    </row>
    <row r="135" spans="1:197" x14ac:dyDescent="0.2">
      <c r="A135" s="3">
        <f>Basis!A135</f>
        <v>5</v>
      </c>
      <c r="H135" s="50">
        <f xml:space="preserve"> 'WK2012'!EG15</f>
        <v>1153.0645977749314</v>
      </c>
      <c r="I135" s="50">
        <f xml:space="preserve"> 'WK2012'!EH15</f>
        <v>1005.8407388944185</v>
      </c>
      <c r="J135" s="50">
        <f xml:space="preserve"> 'WK2012'!EK15</f>
        <v>1153.0681263739361</v>
      </c>
      <c r="K135" s="50">
        <f xml:space="preserve"> 'WK2012'!EL15</f>
        <v>1005.8374826915104</v>
      </c>
      <c r="L135" s="50">
        <f xml:space="preserve"> 'WK2012'!EM15</f>
        <v>1153.0645977749314</v>
      </c>
      <c r="M135" s="50">
        <f xml:space="preserve"> 'WK2012'!EN15</f>
        <v>1005.8339540925057</v>
      </c>
      <c r="N135" s="61">
        <f xml:space="preserve"> 'WK2012'!EI15</f>
        <v>0.51047539972861056</v>
      </c>
      <c r="P135" s="50">
        <f xml:space="preserve"> 'WK2012'!EU15</f>
        <v>911.46324480663191</v>
      </c>
      <c r="Q135" s="50">
        <f xml:space="preserve"> 'WK2012'!EV15</f>
        <v>645.60162291703386</v>
      </c>
      <c r="R135" s="50">
        <f xml:space="preserve"> 'WK2012'!EY15</f>
        <v>911.46633233076102</v>
      </c>
      <c r="S135" s="50">
        <f xml:space="preserve"> 'WK2012'!EZ15</f>
        <v>645.59877373948939</v>
      </c>
      <c r="T135" s="50">
        <f xml:space="preserve"> 'WK2012'!FA15</f>
        <v>911.46324480663191</v>
      </c>
      <c r="U135" s="50">
        <f xml:space="preserve"> 'WK2012'!FB15</f>
        <v>645.59568621536027</v>
      </c>
      <c r="V135" s="61">
        <f xml:space="preserve"> 'WK2012'!EW15</f>
        <v>0.51844490143093414</v>
      </c>
      <c r="X135" s="50">
        <f xml:space="preserve"> 'WK2012'!FI15</f>
        <v>484.76651557521183</v>
      </c>
      <c r="Y135" s="50">
        <f xml:space="preserve"> 'WK2012'!FJ15</f>
        <v>321.72695224438201</v>
      </c>
      <c r="Z135" s="50">
        <f xml:space="preserve"> 'WK2012'!FM15</f>
        <v>484.76651557521183</v>
      </c>
      <c r="AA135" s="50">
        <f xml:space="preserve"> 'WK2012'!FN15</f>
        <v>321.72695224438201</v>
      </c>
      <c r="AB135" s="50">
        <f xml:space="preserve"> 'WK2012'!FO15</f>
        <v>484.76651557521183</v>
      </c>
      <c r="AC135" s="50">
        <f xml:space="preserve"> 'WK2012'!FP15</f>
        <v>321.72695224438201</v>
      </c>
      <c r="AD135" s="61">
        <f xml:space="preserve"> 'WK2012'!FK15</f>
        <v>0.5122351771496092</v>
      </c>
      <c r="AF135" s="50">
        <f xml:space="preserve"> 'WK2012'!FW15</f>
        <v>15.79533331432687</v>
      </c>
      <c r="AG135" s="50">
        <f xml:space="preserve"> 'WK2012'!FX15</f>
        <v>0</v>
      </c>
      <c r="AH135" s="50">
        <f xml:space="preserve"> 'WK2012'!GA15</f>
        <v>15.79533331432687</v>
      </c>
      <c r="AI135" s="50">
        <f xml:space="preserve"> 'WK2012'!GB15</f>
        <v>0</v>
      </c>
      <c r="AJ135" s="50">
        <f xml:space="preserve"> 'WK2012'!GC15</f>
        <v>15.79533331432687</v>
      </c>
      <c r="AK135" s="50">
        <f xml:space="preserve"> 'WK2012'!GD15</f>
        <v>0</v>
      </c>
      <c r="AL135" s="61">
        <f xml:space="preserve"> 'WK2012'!FY15</f>
        <v>0.50437287414864063</v>
      </c>
      <c r="AN135" s="50">
        <f xml:space="preserve"> 'WK2012'!GK15</f>
        <v>91.16640592446393</v>
      </c>
      <c r="AO135" s="50">
        <f xml:space="preserve"> 'WK2012'!GL15</f>
        <v>92.730097487694394</v>
      </c>
      <c r="AP135" s="50">
        <f xml:space="preserve"> 'WK2012'!GO15</f>
        <v>91.169934523468726</v>
      </c>
      <c r="AQ135" s="50">
        <f xml:space="preserve"> 'WK2012'!GP15</f>
        <v>92.726841284786445</v>
      </c>
      <c r="AR135" s="50">
        <f xml:space="preserve"> 'WK2012'!GQ15</f>
        <v>91.16640592446393</v>
      </c>
      <c r="AS135" s="50">
        <f xml:space="preserve"> 'WK2012'!GR15</f>
        <v>92.72331268578165</v>
      </c>
      <c r="AT135" s="61">
        <f xml:space="preserve"> 'WK2012'!GM15</f>
        <v>0.51393740843830993</v>
      </c>
      <c r="AX135" s="50">
        <f xml:space="preserve"> 'WK2013'!EG15</f>
        <v>1130.3581592</v>
      </c>
      <c r="AY135" s="50">
        <f xml:space="preserve"> 'WK2013'!EH15</f>
        <v>882.8446692</v>
      </c>
      <c r="AZ135" s="50">
        <f xml:space="preserve"> 'WK2013'!EK15</f>
        <v>1130.3581592</v>
      </c>
      <c r="BA135" s="50">
        <f xml:space="preserve"> 'WK2013'!EL15</f>
        <v>882.8446692</v>
      </c>
      <c r="BB135" s="50">
        <f xml:space="preserve"> 'WK2013'!EM15</f>
        <v>1130.3581592</v>
      </c>
      <c r="BC135" s="50">
        <f xml:space="preserve"> 'WK2013'!EN15</f>
        <v>882.8446692</v>
      </c>
      <c r="BD135" s="50">
        <f xml:space="preserve"> 'WK2013'!EI15</f>
        <v>0.47510394750600432</v>
      </c>
      <c r="BF135" s="50">
        <f xml:space="preserve"> 'WK2013'!EU15</f>
        <v>871.50459429999989</v>
      </c>
      <c r="BG135" s="50">
        <f xml:space="preserve"> 'WK2013'!EV15</f>
        <v>657.03855379999993</v>
      </c>
      <c r="BH135" s="50">
        <f xml:space="preserve"> 'WK2013'!EY15</f>
        <v>871.50459429999989</v>
      </c>
      <c r="BI135" s="50">
        <f xml:space="preserve"> 'WK2013'!EZ15</f>
        <v>657.03855379999993</v>
      </c>
      <c r="BJ135" s="50">
        <f xml:space="preserve"> 'WK2013'!FA15</f>
        <v>871.50459429999989</v>
      </c>
      <c r="BK135" s="50">
        <f xml:space="preserve"> 'WK2013'!FB15</f>
        <v>657.03855379999993</v>
      </c>
      <c r="BL135" s="61">
        <f xml:space="preserve"> 'WK2013'!EW15</f>
        <v>0.51528315050590512</v>
      </c>
      <c r="BN135" s="50">
        <f xml:space="preserve"> 'WK2013'!FI15</f>
        <v>488.92192240000003</v>
      </c>
      <c r="BO135" s="50">
        <f xml:space="preserve"> 'WK2013'!FJ15</f>
        <v>346.12458720000001</v>
      </c>
      <c r="BP135" s="50">
        <f xml:space="preserve"> 'WK2013'!FM15</f>
        <v>488.92192240000003</v>
      </c>
      <c r="BQ135" s="50">
        <f xml:space="preserve"> 'WK2013'!FN15</f>
        <v>346.12458720000001</v>
      </c>
      <c r="BR135" s="50">
        <f xml:space="preserve"> 'WK2013'!FO15</f>
        <v>488.92192240000003</v>
      </c>
      <c r="BS135" s="50">
        <f xml:space="preserve"> 'WK2013'!FP15</f>
        <v>346.12458720000001</v>
      </c>
      <c r="BT135" s="61">
        <f xml:space="preserve"> 'WK2013'!FK15</f>
        <v>0.51315975491776511</v>
      </c>
      <c r="BV135" s="50">
        <f xml:space="preserve"> 'WK2013'!FW15</f>
        <v>87.789938200000009</v>
      </c>
      <c r="BW135" s="50">
        <f xml:space="preserve"> 'WK2013'!FX15</f>
        <v>82.387468200000001</v>
      </c>
      <c r="BX135" s="50">
        <f xml:space="preserve"> 'WK2013'!GA15</f>
        <v>87.789938200000009</v>
      </c>
      <c r="BY135" s="50">
        <f xml:space="preserve"> 'WK2013'!GB15</f>
        <v>82.387468200000001</v>
      </c>
      <c r="BZ135" s="50">
        <f xml:space="preserve"> 'WK2013'!GC15</f>
        <v>87.789938200000009</v>
      </c>
      <c r="CA135" s="50">
        <f xml:space="preserve"> 'WK2013'!GD15</f>
        <v>82.387468200000001</v>
      </c>
      <c r="CB135" s="61">
        <f xml:space="preserve"> 'WK2013'!FY15</f>
        <v>0.51557943778576121</v>
      </c>
      <c r="CD135" s="50">
        <f xml:space="preserve"> 'WK2013'!GK15</f>
        <v>40.425483749999977</v>
      </c>
      <c r="CE135" s="50">
        <f xml:space="preserve"> 'WK2013'!GL15</f>
        <v>36.541872749999996</v>
      </c>
      <c r="CF135" s="50">
        <f xml:space="preserve"> 'WK2013'!GO15</f>
        <v>40.425483749999977</v>
      </c>
      <c r="CG135" s="50">
        <f xml:space="preserve"> 'WK2013'!GP15</f>
        <v>36.541872749999996</v>
      </c>
      <c r="CH135" s="50">
        <f xml:space="preserve"> 'WK2013'!GQ15</f>
        <v>40.425483749999977</v>
      </c>
      <c r="CI135" s="50">
        <f xml:space="preserve"> 'WK2013'!GR15</f>
        <v>36.541872749999996</v>
      </c>
      <c r="CJ135" s="61">
        <f xml:space="preserve"> 'WK2013'!GM15</f>
        <v>0.51266806491299022</v>
      </c>
      <c r="CN135" s="50">
        <f xml:space="preserve"> 'WK2014'!EG15</f>
        <v>1201.9606228</v>
      </c>
      <c r="CO135" s="50">
        <f xml:space="preserve"> 'WK2014'!EH15</f>
        <v>891.99658320000003</v>
      </c>
      <c r="CP135" s="50">
        <f xml:space="preserve"> 'WK2014'!EK15</f>
        <v>1201.9606228</v>
      </c>
      <c r="CQ135" s="50">
        <f xml:space="preserve"> 'WK2014'!EL15</f>
        <v>891.99658320000003</v>
      </c>
      <c r="CR135" s="50">
        <f xml:space="preserve"> 'WK2014'!EM15</f>
        <v>1201.9606228</v>
      </c>
      <c r="CS135" s="50">
        <f xml:space="preserve"> 'WK2014'!EN15</f>
        <v>891.99658320000003</v>
      </c>
      <c r="CT135" s="61">
        <f xml:space="preserve"> 'WK2014'!EI15</f>
        <v>0.50987943668964986</v>
      </c>
      <c r="CV135" s="50">
        <f xml:space="preserve"> 'WK2014'!EU15</f>
        <v>919.49983920000011</v>
      </c>
      <c r="CW135" s="50">
        <f xml:space="preserve"> 'WK2014'!EV15</f>
        <v>698.99583480000001</v>
      </c>
      <c r="CX135" s="50">
        <f xml:space="preserve"> 'WK2014'!EY15</f>
        <v>919.49983920000011</v>
      </c>
      <c r="CY135" s="50">
        <f xml:space="preserve"> 'WK2014'!EZ15</f>
        <v>698.99583480000001</v>
      </c>
      <c r="CZ135" s="50">
        <f xml:space="preserve"> 'WK2014'!FA15</f>
        <v>919.49983920000011</v>
      </c>
      <c r="DA135" s="50">
        <f xml:space="preserve"> 'WK2014'!FB15</f>
        <v>698.99583480000001</v>
      </c>
      <c r="DB135" s="61">
        <f xml:space="preserve"> 'WK2014'!EW15</f>
        <v>0.50930490072558532</v>
      </c>
      <c r="DC135" s="1"/>
      <c r="DD135" s="50">
        <f xml:space="preserve"> 'WK2014'!FI15</f>
        <v>550.06859359999999</v>
      </c>
      <c r="DE135" s="50">
        <f xml:space="preserve"> 'WK2014'!FJ15</f>
        <v>351.58021479999996</v>
      </c>
      <c r="DF135" s="50">
        <f xml:space="preserve"> 'WK2014'!FM15</f>
        <v>550.06859359999999</v>
      </c>
      <c r="DG135" s="50">
        <f xml:space="preserve"> 'WK2014'!FN15</f>
        <v>351.58021479999996</v>
      </c>
      <c r="DH135" s="50">
        <f xml:space="preserve"> 'WK2014'!FO15</f>
        <v>550.06859359999999</v>
      </c>
      <c r="DI135" s="50">
        <f xml:space="preserve"> 'WK2014'!FP15</f>
        <v>351.58021479999996</v>
      </c>
      <c r="DJ135" s="61">
        <f xml:space="preserve"> 'WK2014'!FK15</f>
        <v>0.51023818673550592</v>
      </c>
      <c r="DK135" s="1"/>
      <c r="DL135" s="50">
        <f xml:space="preserve"> 'WK2014'!FW15</f>
        <v>84.233980799999998</v>
      </c>
      <c r="DM135" s="50">
        <f xml:space="preserve"> 'WK2014'!FX15</f>
        <v>79.501295200000001</v>
      </c>
      <c r="DN135" s="50">
        <f xml:space="preserve"> 'WK2014'!GA15</f>
        <v>84.233980799999998</v>
      </c>
      <c r="DO135" s="50">
        <f xml:space="preserve"> 'WK2014'!GB15</f>
        <v>79.501295200000001</v>
      </c>
      <c r="DP135" s="50">
        <f xml:space="preserve"> 'WK2014'!GC15</f>
        <v>84.233980799999998</v>
      </c>
      <c r="DQ135" s="50">
        <f xml:space="preserve"> 'WK2014'!GD15</f>
        <v>79.501295200000001</v>
      </c>
      <c r="DR135" s="61">
        <f xml:space="preserve"> 'WK2014'!FY15</f>
        <v>0.51089971882177965</v>
      </c>
      <c r="DS135" s="1"/>
      <c r="DT135" s="50">
        <f xml:space="preserve"> 'WK2014'!GK15</f>
        <v>40.530503999999979</v>
      </c>
      <c r="DU135" s="50">
        <f xml:space="preserve"> 'WK2014'!GL15</f>
        <v>32.96592900000001</v>
      </c>
      <c r="DV135" s="50">
        <f xml:space="preserve"> 'WK2014'!GO15</f>
        <v>40.530503999999979</v>
      </c>
      <c r="DW135" s="50">
        <f xml:space="preserve"> 'WK2014'!GP15</f>
        <v>32.96592900000001</v>
      </c>
      <c r="DX135" s="50">
        <f xml:space="preserve"> 'WK2014'!GQ15</f>
        <v>40.530503999999979</v>
      </c>
      <c r="DY135" s="50">
        <f xml:space="preserve"> 'WK2014'!GR15</f>
        <v>32.96592900000001</v>
      </c>
      <c r="DZ135" s="61">
        <f xml:space="preserve"> 'WK2014'!GM15</f>
        <v>0.51276764141474851</v>
      </c>
      <c r="ED135" s="50">
        <f xml:space="preserve"> 'WK2015'!EG15</f>
        <v>1176.3759341999998</v>
      </c>
      <c r="EE135" s="50">
        <f xml:space="preserve"> 'WK2015'!EH15</f>
        <v>870.0964494000001</v>
      </c>
      <c r="EF135" s="50">
        <f xml:space="preserve"> 'WK2015'!EK15</f>
        <v>1176.3759341999998</v>
      </c>
      <c r="EG135" s="50">
        <f xml:space="preserve"> 'WK2015'!EL15</f>
        <v>870.0964494000001</v>
      </c>
      <c r="EH135" s="50">
        <f xml:space="preserve"> 'WK2015'!EM15</f>
        <v>1176.3759341999998</v>
      </c>
      <c r="EI135" s="50">
        <f xml:space="preserve"> 'WK2015'!EN15</f>
        <v>870.0964494000001</v>
      </c>
      <c r="EJ135" s="61">
        <f xml:space="preserve"> 'WK2015'!EI15</f>
        <v>0.51006365869345904</v>
      </c>
      <c r="EK135" s="1"/>
      <c r="EL135" s="50">
        <f xml:space="preserve"> 'WK2015'!EU15</f>
        <v>921.71867579999991</v>
      </c>
      <c r="EM135" s="50">
        <f xml:space="preserve"> 'WK2015'!EV15</f>
        <v>701.14690059999998</v>
      </c>
      <c r="EN135" s="50">
        <f xml:space="preserve"> 'WK2015'!EY15</f>
        <v>921.71867579999991</v>
      </c>
      <c r="EO135" s="50">
        <f xml:space="preserve"> 'WK2015'!EZ15</f>
        <v>701.14690059999998</v>
      </c>
      <c r="EP135" s="50">
        <f xml:space="preserve"> 'WK2015'!FA15</f>
        <v>921.71867579999991</v>
      </c>
      <c r="EQ135" s="50">
        <f xml:space="preserve"> 'WK2015'!FB15</f>
        <v>701.14690059999998</v>
      </c>
      <c r="ER135" s="61">
        <f xml:space="preserve"> 'WK2015'!EW15</f>
        <v>0.50896855129512908</v>
      </c>
      <c r="ES135" s="1"/>
      <c r="ET135" s="50">
        <f xml:space="preserve"> 'WK2015'!FI15</f>
        <v>622.5848400000001</v>
      </c>
      <c r="EU135" s="50">
        <f xml:space="preserve"> 'WK2015'!FJ15</f>
        <v>354.27470039999997</v>
      </c>
      <c r="EV135" s="50">
        <f xml:space="preserve"> 'WK2015'!FM15</f>
        <v>622.5848400000001</v>
      </c>
      <c r="EW135" s="50">
        <f xml:space="preserve"> 'WK2015'!FN15</f>
        <v>354.27470039999997</v>
      </c>
      <c r="EX135" s="50">
        <f xml:space="preserve"> 'WK2015'!FO15</f>
        <v>622.5848400000001</v>
      </c>
      <c r="EY135" s="50">
        <f xml:space="preserve"> 'WK2015'!FP15</f>
        <v>354.27470039999997</v>
      </c>
      <c r="EZ135" s="61">
        <f xml:space="preserve"> 'WK2015'!FK15</f>
        <v>0.5085150328359247</v>
      </c>
      <c r="FA135" s="1"/>
      <c r="FB135" s="50">
        <f xml:space="preserve"> 'WK2015'!FW15</f>
        <v>86.344339199999993</v>
      </c>
      <c r="FC135" s="50">
        <f xml:space="preserve"> 'WK2015'!FX15</f>
        <v>80.77806240000001</v>
      </c>
      <c r="FD135" s="50">
        <f xml:space="preserve"> 'WK2015'!GA15</f>
        <v>86.344339199999993</v>
      </c>
      <c r="FE135" s="50">
        <f xml:space="preserve"> 'WK2015'!GB15</f>
        <v>80.77806240000001</v>
      </c>
      <c r="FF135" s="50">
        <f xml:space="preserve"> 'WK2015'!GC15</f>
        <v>86.344339199999993</v>
      </c>
      <c r="FG135" s="50">
        <f xml:space="preserve"> 'WK2015'!GD15</f>
        <v>80.77806240000001</v>
      </c>
      <c r="FH135" s="61">
        <f xml:space="preserve"> 'WK2015'!FY15</f>
        <v>0.50974859704208264</v>
      </c>
      <c r="FI135" s="1"/>
      <c r="FJ135" s="50">
        <f xml:space="preserve"> 'WK2015'!GK15</f>
        <v>46.02900374999998</v>
      </c>
      <c r="FK135" s="50">
        <f xml:space="preserve"> 'WK2015'!GL15</f>
        <v>42.726511500000022</v>
      </c>
      <c r="FL135" s="50">
        <f xml:space="preserve"> 'WK2015'!GO15</f>
        <v>46.02900374999998</v>
      </c>
      <c r="FM135" s="50">
        <f xml:space="preserve"> 'WK2015'!GP15</f>
        <v>42.726511500000022</v>
      </c>
      <c r="FN135" s="50">
        <f xml:space="preserve"> 'WK2015'!GQ15</f>
        <v>46.02900374999998</v>
      </c>
      <c r="FO135" s="50">
        <f xml:space="preserve"> 'WK2015'!GR15</f>
        <v>42.726511500000022</v>
      </c>
      <c r="FP135" s="61">
        <f xml:space="preserve"> 'WK2015'!GM15</f>
        <v>0.50975931241226069</v>
      </c>
      <c r="FS135" s="283">
        <f xml:space="preserve"> 'WK2015'!H15</f>
        <v>879.46325999999999</v>
      </c>
      <c r="FT135" s="283">
        <f xml:space="preserve"> 'WK2015'!I15</f>
        <v>631.35772799999995</v>
      </c>
      <c r="FU135" s="283">
        <f xml:space="preserve"> 'WK2015'!L15</f>
        <v>879.46325999999999</v>
      </c>
      <c r="FV135" s="283">
        <f xml:space="preserve"> 'WK2015'!M15</f>
        <v>631.35772799999995</v>
      </c>
      <c r="FW135" s="283">
        <f xml:space="preserve"> 'WK2015'!N15</f>
        <v>879.46325999999999</v>
      </c>
      <c r="FX135" s="283">
        <f xml:space="preserve"> 'WK2015'!O15</f>
        <v>631.35772799999995</v>
      </c>
      <c r="FY135" s="284">
        <f xml:space="preserve"> 'WK2015'!P15</f>
        <v>0.50951933780602787</v>
      </c>
      <c r="GA135" s="283">
        <f xml:space="preserve"> 'WK2015'!HB15</f>
        <v>598.40136899999993</v>
      </c>
      <c r="GB135" s="283">
        <f xml:space="preserve"> 'WK2015'!HC15</f>
        <v>316.91285399999998</v>
      </c>
      <c r="GC135" s="283">
        <f xml:space="preserve"> 'WK2015'!HF15</f>
        <v>598.40136899999993</v>
      </c>
      <c r="GD135" s="283">
        <f xml:space="preserve"> 'WK2015'!HG15</f>
        <v>316.91285399999998</v>
      </c>
      <c r="GE135" s="283">
        <f xml:space="preserve"> 'WK2015'!HH15</f>
        <v>598.40136899999993</v>
      </c>
      <c r="GF135" s="283">
        <f xml:space="preserve"> 'WK2015'!HI15</f>
        <v>316.91285399999998</v>
      </c>
      <c r="GG135" s="284">
        <f xml:space="preserve"> 'WK2015'!HJ15</f>
        <v>0.53761398601398602</v>
      </c>
      <c r="GI135" s="283">
        <f xml:space="preserve"> 'WK2015'!HQ15</f>
        <v>0</v>
      </c>
      <c r="GJ135" s="283">
        <f xml:space="preserve"> 'WK2015'!HR15</f>
        <v>76.62236399999999</v>
      </c>
      <c r="GK135" s="283">
        <f xml:space="preserve"> 'WK2015'!HU15</f>
        <v>0</v>
      </c>
      <c r="GL135" s="283">
        <f xml:space="preserve"> 'WK2015'!HV15</f>
        <v>76.62236399999999</v>
      </c>
      <c r="GM135" s="283">
        <f xml:space="preserve"> 'WK2015'!HW15</f>
        <v>0</v>
      </c>
      <c r="GN135" s="283">
        <f xml:space="preserve"> 'WK2015'!HX15</f>
        <v>76.62236399999999</v>
      </c>
      <c r="GO135" s="284">
        <f xml:space="preserve"> 'WK2015'!HY15</f>
        <v>0.15</v>
      </c>
    </row>
    <row r="136" spans="1:197" x14ac:dyDescent="0.2">
      <c r="A136" s="3">
        <f>Basis!A136</f>
        <v>6</v>
      </c>
      <c r="H136" s="50">
        <f xml:space="preserve"> 'WK2012'!EG16</f>
        <v>1146.1724708451945</v>
      </c>
      <c r="I136" s="50">
        <f xml:space="preserve"> 'WK2012'!EH16</f>
        <v>991.74086000885984</v>
      </c>
      <c r="J136" s="50">
        <f xml:space="preserve"> 'WK2012'!EK16</f>
        <v>1146.1795156183052</v>
      </c>
      <c r="K136" s="50">
        <f xml:space="preserve"> 'WK2012'!EL16</f>
        <v>991.73491497701707</v>
      </c>
      <c r="L136" s="50">
        <f xml:space="preserve"> 'WK2012'!EM16</f>
        <v>1146.1724708451945</v>
      </c>
      <c r="M136" s="50">
        <f xml:space="preserve"> 'WK2012'!EN16</f>
        <v>991.7278702039066</v>
      </c>
      <c r="N136" s="61">
        <f xml:space="preserve"> 'WK2012'!EI16</f>
        <v>0.51086417502271853</v>
      </c>
      <c r="P136" s="50">
        <f xml:space="preserve"> 'WK2012'!EU16</f>
        <v>868.40598804839317</v>
      </c>
      <c r="Q136" s="50">
        <f xml:space="preserve"> 'WK2012'!EV16</f>
        <v>643.81804647742626</v>
      </c>
      <c r="R136" s="50">
        <f xml:space="preserve"> 'WK2012'!EY16</f>
        <v>868.41219792894447</v>
      </c>
      <c r="S136" s="50">
        <f xml:space="preserve"> 'WK2012'!EZ16</f>
        <v>643.81279956165224</v>
      </c>
      <c r="T136" s="50">
        <f xml:space="preserve"> 'WK2012'!FA16</f>
        <v>868.40598804839317</v>
      </c>
      <c r="U136" s="50">
        <f xml:space="preserve"> 'WK2012'!FB16</f>
        <v>643.80658968110106</v>
      </c>
      <c r="V136" s="61">
        <f xml:space="preserve"> 'WK2012'!EW16</f>
        <v>0.51724079768638909</v>
      </c>
      <c r="X136" s="50">
        <f xml:space="preserve"> 'WK2012'!FI16</f>
        <v>476.35343206633127</v>
      </c>
      <c r="Y136" s="50">
        <f xml:space="preserve"> 'WK2012'!FJ16</f>
        <v>328.8264961625564</v>
      </c>
      <c r="Z136" s="50">
        <f xml:space="preserve"> 'WK2012'!FM16</f>
        <v>476.35379769896736</v>
      </c>
      <c r="AA136" s="50">
        <f xml:space="preserve"> 'WK2012'!FN16</f>
        <v>328.82613605926417</v>
      </c>
      <c r="AB136" s="50">
        <f xml:space="preserve"> 'WK2012'!FO16</f>
        <v>476.35343206633127</v>
      </c>
      <c r="AC136" s="50">
        <f xml:space="preserve"> 'WK2012'!FP16</f>
        <v>328.82577042662803</v>
      </c>
      <c r="AD136" s="61">
        <f xml:space="preserve"> 'WK2012'!FK16</f>
        <v>0.51397655318385305</v>
      </c>
      <c r="AF136" s="50">
        <f xml:space="preserve"> 'WK2012'!FW16</f>
        <v>44.969431250435143</v>
      </c>
      <c r="AG136" s="50">
        <f xml:space="preserve"> 'WK2012'!FX16</f>
        <v>0</v>
      </c>
      <c r="AH136" s="50">
        <f xml:space="preserve"> 'WK2012'!GA16</f>
        <v>44.969431250435143</v>
      </c>
      <c r="AI136" s="50">
        <f xml:space="preserve"> 'WK2012'!GB16</f>
        <v>0</v>
      </c>
      <c r="AJ136" s="50">
        <f xml:space="preserve"> 'WK2012'!GC16</f>
        <v>44.969431250435143</v>
      </c>
      <c r="AK136" s="50">
        <f xml:space="preserve"> 'WK2012'!GD16</f>
        <v>0</v>
      </c>
      <c r="AL136" s="61">
        <f xml:space="preserve"> 'WK2012'!FY16</f>
        <v>0.51035957626819151</v>
      </c>
      <c r="AN136" s="50">
        <f xml:space="preserve"> 'WK2012'!GK16</f>
        <v>132.06594678903693</v>
      </c>
      <c r="AO136" s="50">
        <f xml:space="preserve"> 'WK2012'!GL16</f>
        <v>142.59725704324634</v>
      </c>
      <c r="AP136" s="50">
        <f xml:space="preserve"> 'WK2012'!GO16</f>
        <v>132.07299156214745</v>
      </c>
      <c r="AQ136" s="50">
        <f xml:space="preserve"> 'WK2012'!GP16</f>
        <v>142.59131201140363</v>
      </c>
      <c r="AR136" s="50">
        <f xml:space="preserve"> 'WK2012'!GQ16</f>
        <v>132.06594678903693</v>
      </c>
      <c r="AS136" s="50">
        <f xml:space="preserve"> 'WK2012'!GR16</f>
        <v>142.58426723829311</v>
      </c>
      <c r="AT136" s="61">
        <f xml:space="preserve"> 'WK2012'!GM16</f>
        <v>0.51107774589672783</v>
      </c>
      <c r="AX136" s="50">
        <f xml:space="preserve"> 'WK2013'!EG16</f>
        <v>1139.0899214000001</v>
      </c>
      <c r="AY136" s="50">
        <f xml:space="preserve"> 'WK2013'!EH16</f>
        <v>875.12333320000005</v>
      </c>
      <c r="AZ136" s="50">
        <f xml:space="preserve"> 'WK2013'!EK16</f>
        <v>1139.0899214000001</v>
      </c>
      <c r="BA136" s="50">
        <f xml:space="preserve"> 'WK2013'!EL16</f>
        <v>875.12333320000005</v>
      </c>
      <c r="BB136" s="50">
        <f xml:space="preserve"> 'WK2013'!EM16</f>
        <v>1139.0899214000001</v>
      </c>
      <c r="BC136" s="50">
        <f xml:space="preserve"> 'WK2013'!EN16</f>
        <v>875.12333320000005</v>
      </c>
      <c r="BD136" s="50">
        <f xml:space="preserve"> 'WK2013'!EI16</f>
        <v>0.47294586743042327</v>
      </c>
      <c r="BF136" s="50">
        <f xml:space="preserve"> 'WK2013'!EU16</f>
        <v>888.21210309999992</v>
      </c>
      <c r="BG136" s="50">
        <f xml:space="preserve"> 'WK2013'!EV16</f>
        <v>666.38305079999998</v>
      </c>
      <c r="BH136" s="50">
        <f xml:space="preserve"> 'WK2013'!EY16</f>
        <v>888.21210309999992</v>
      </c>
      <c r="BI136" s="50">
        <f xml:space="preserve"> 'WK2013'!EZ16</f>
        <v>666.38305079999998</v>
      </c>
      <c r="BJ136" s="50">
        <f xml:space="preserve"> 'WK2013'!FA16</f>
        <v>888.21210309999992</v>
      </c>
      <c r="BK136" s="50">
        <f xml:space="preserve"> 'WK2013'!FB16</f>
        <v>666.38305079999998</v>
      </c>
      <c r="BL136" s="61">
        <f xml:space="preserve"> 'WK2013'!EW16</f>
        <v>0.5106015124307679</v>
      </c>
      <c r="BN136" s="50">
        <f xml:space="preserve"> 'WK2013'!FI16</f>
        <v>504.24254980000001</v>
      </c>
      <c r="BO136" s="50">
        <f xml:space="preserve"> 'WK2013'!FJ16</f>
        <v>344.75322919999996</v>
      </c>
      <c r="BP136" s="50">
        <f xml:space="preserve"> 'WK2013'!FM16</f>
        <v>504.24254980000001</v>
      </c>
      <c r="BQ136" s="50">
        <f xml:space="preserve"> 'WK2013'!FN16</f>
        <v>344.75322919999996</v>
      </c>
      <c r="BR136" s="50">
        <f xml:space="preserve"> 'WK2013'!FO16</f>
        <v>504.24254980000001</v>
      </c>
      <c r="BS136" s="50">
        <f xml:space="preserve"> 'WK2013'!FP16</f>
        <v>344.75322919999996</v>
      </c>
      <c r="BT136" s="61">
        <f xml:space="preserve"> 'WK2013'!FK16</f>
        <v>0.50599780945269146</v>
      </c>
      <c r="BV136" s="50">
        <f xml:space="preserve"> 'WK2013'!FW16</f>
        <v>126.12320440000001</v>
      </c>
      <c r="BW136" s="50">
        <f xml:space="preserve"> 'WK2013'!FX16</f>
        <v>128.95662620000002</v>
      </c>
      <c r="BX136" s="50">
        <f xml:space="preserve"> 'WK2013'!GA16</f>
        <v>126.12320440000001</v>
      </c>
      <c r="BY136" s="50">
        <f xml:space="preserve"> 'WK2013'!GB16</f>
        <v>128.95662620000002</v>
      </c>
      <c r="BZ136" s="50">
        <f xml:space="preserve"> 'WK2013'!GC16</f>
        <v>126.12320440000001</v>
      </c>
      <c r="CA136" s="50">
        <f xml:space="preserve"> 'WK2013'!GD16</f>
        <v>128.95662620000002</v>
      </c>
      <c r="CB136" s="61">
        <f xml:space="preserve"> 'WK2013'!FY16</f>
        <v>0.51060207021019444</v>
      </c>
      <c r="CD136" s="50">
        <f xml:space="preserve"> 'WK2013'!GK16</f>
        <v>40.952984250000029</v>
      </c>
      <c r="CE136" s="50">
        <f xml:space="preserve"> 'WK2013'!GL16</f>
        <v>25.924059750000005</v>
      </c>
      <c r="CF136" s="50">
        <f xml:space="preserve"> 'WK2013'!GO16</f>
        <v>40.952984250000029</v>
      </c>
      <c r="CG136" s="50">
        <f xml:space="preserve"> 'WK2013'!GP16</f>
        <v>25.924059750000005</v>
      </c>
      <c r="CH136" s="50">
        <f xml:space="preserve"> 'WK2013'!GQ16</f>
        <v>40.952984250000029</v>
      </c>
      <c r="CI136" s="50">
        <f xml:space="preserve"> 'WK2013'!GR16</f>
        <v>25.924059750000005</v>
      </c>
      <c r="CJ136" s="61">
        <f xml:space="preserve"> 'WK2013'!GM16</f>
        <v>0.50752151329727557</v>
      </c>
      <c r="CN136" s="50">
        <f xml:space="preserve"> 'WK2014'!EG16</f>
        <v>1196.9854376000001</v>
      </c>
      <c r="CO136" s="50">
        <f xml:space="preserve"> 'WK2014'!EH16</f>
        <v>856.40293280000003</v>
      </c>
      <c r="CP136" s="50">
        <f xml:space="preserve"> 'WK2014'!EK16</f>
        <v>1196.9854376000001</v>
      </c>
      <c r="CQ136" s="50">
        <f xml:space="preserve"> 'WK2014'!EL16</f>
        <v>856.40293280000003</v>
      </c>
      <c r="CR136" s="50">
        <f xml:space="preserve"> 'WK2014'!EM16</f>
        <v>1196.9854376000001</v>
      </c>
      <c r="CS136" s="50">
        <f xml:space="preserve"> 'WK2014'!EN16</f>
        <v>856.40293280000003</v>
      </c>
      <c r="CT136" s="61">
        <f xml:space="preserve"> 'WK2014'!EI16</f>
        <v>0.51303584581276529</v>
      </c>
      <c r="CV136" s="50">
        <f xml:space="preserve"> 'WK2014'!EU16</f>
        <v>907.5075789</v>
      </c>
      <c r="CW136" s="50">
        <f xml:space="preserve"> 'WK2014'!EV16</f>
        <v>689.64397520000011</v>
      </c>
      <c r="CX136" s="50">
        <f xml:space="preserve"> 'WK2014'!EY16</f>
        <v>907.5075789</v>
      </c>
      <c r="CY136" s="50">
        <f xml:space="preserve"> 'WK2014'!EZ16</f>
        <v>689.64397520000011</v>
      </c>
      <c r="CZ136" s="50">
        <f xml:space="preserve"> 'WK2014'!FA16</f>
        <v>907.5075789</v>
      </c>
      <c r="DA136" s="50">
        <f xml:space="preserve"> 'WK2014'!FB16</f>
        <v>689.64397520000011</v>
      </c>
      <c r="DB136" s="61">
        <f xml:space="preserve"> 'WK2014'!EW16</f>
        <v>0.51340602745590769</v>
      </c>
      <c r="DC136" s="1"/>
      <c r="DD136" s="50">
        <f xml:space="preserve"> 'WK2014'!FI16</f>
        <v>565.24686159999999</v>
      </c>
      <c r="DE136" s="50">
        <f xml:space="preserve"> 'WK2014'!FJ16</f>
        <v>362.21014600000001</v>
      </c>
      <c r="DF136" s="50">
        <f xml:space="preserve"> 'WK2014'!FM16</f>
        <v>565.24686159999999</v>
      </c>
      <c r="DG136" s="50">
        <f xml:space="preserve"> 'WK2014'!FN16</f>
        <v>362.21014600000001</v>
      </c>
      <c r="DH136" s="50">
        <f xml:space="preserve"> 'WK2014'!FO16</f>
        <v>565.24686159999999</v>
      </c>
      <c r="DI136" s="50">
        <f xml:space="preserve"> 'WK2014'!FP16</f>
        <v>362.21014600000001</v>
      </c>
      <c r="DJ136" s="61">
        <f xml:space="preserve"> 'WK2014'!FK16</f>
        <v>0.51265673510412135</v>
      </c>
      <c r="DK136" s="1"/>
      <c r="DL136" s="50">
        <f xml:space="preserve"> 'WK2014'!FW16</f>
        <v>121.74672959999999</v>
      </c>
      <c r="DM136" s="50">
        <f xml:space="preserve"> 'WK2014'!FX16</f>
        <v>125.32018480000001</v>
      </c>
      <c r="DN136" s="50">
        <f xml:space="preserve"> 'WK2014'!GA16</f>
        <v>121.74672959999999</v>
      </c>
      <c r="DO136" s="50">
        <f xml:space="preserve"> 'WK2014'!GB16</f>
        <v>125.32018480000001</v>
      </c>
      <c r="DP136" s="50">
        <f xml:space="preserve"> 'WK2014'!GC16</f>
        <v>121.74672959999999</v>
      </c>
      <c r="DQ136" s="50">
        <f xml:space="preserve"> 'WK2014'!GD16</f>
        <v>125.32018480000001</v>
      </c>
      <c r="DR136" s="61">
        <f xml:space="preserve"> 'WK2014'!FY16</f>
        <v>0.51350837807275884</v>
      </c>
      <c r="DS136" s="1"/>
      <c r="DT136" s="50">
        <f xml:space="preserve"> 'WK2014'!GK16</f>
        <v>55.85334000000001</v>
      </c>
      <c r="DU136" s="50">
        <f xml:space="preserve"> 'WK2014'!GL16</f>
        <v>20.491694999999989</v>
      </c>
      <c r="DV136" s="50">
        <f xml:space="preserve"> 'WK2014'!GO16</f>
        <v>55.85334000000001</v>
      </c>
      <c r="DW136" s="50">
        <f xml:space="preserve"> 'WK2014'!GP16</f>
        <v>20.491694999999989</v>
      </c>
      <c r="DX136" s="50">
        <f xml:space="preserve"> 'WK2014'!GQ16</f>
        <v>55.85334000000001</v>
      </c>
      <c r="DY136" s="50">
        <f xml:space="preserve"> 'WK2014'!GR16</f>
        <v>20.491694999999989</v>
      </c>
      <c r="DZ136" s="61">
        <f xml:space="preserve"> 'WK2014'!GM16</f>
        <v>0.51145811209783765</v>
      </c>
      <c r="ED136" s="50">
        <f xml:space="preserve"> 'WK2015'!EG16</f>
        <v>1151.2871627999998</v>
      </c>
      <c r="EE136" s="50">
        <f xml:space="preserve"> 'WK2015'!EH16</f>
        <v>834.7923988</v>
      </c>
      <c r="EF136" s="50">
        <f xml:space="preserve"> 'WK2015'!EK16</f>
        <v>1151.2871627999998</v>
      </c>
      <c r="EG136" s="50">
        <f xml:space="preserve"> 'WK2015'!EL16</f>
        <v>834.7923988</v>
      </c>
      <c r="EH136" s="50">
        <f xml:space="preserve"> 'WK2015'!EM16</f>
        <v>1151.2871627999998</v>
      </c>
      <c r="EI136" s="50">
        <f xml:space="preserve"> 'WK2015'!EN16</f>
        <v>834.7923988</v>
      </c>
      <c r="EJ136" s="61">
        <f xml:space="preserve"> 'WK2015'!EI16</f>
        <v>0.51098669923559947</v>
      </c>
      <c r="EK136" s="1"/>
      <c r="EL136" s="50">
        <f xml:space="preserve"> 'WK2015'!EU16</f>
        <v>907.58756770000002</v>
      </c>
      <c r="EM136" s="50">
        <f xml:space="preserve"> 'WK2015'!EV16</f>
        <v>691.49312170000007</v>
      </c>
      <c r="EN136" s="50">
        <f xml:space="preserve"> 'WK2015'!EY16</f>
        <v>907.58756770000002</v>
      </c>
      <c r="EO136" s="50">
        <f xml:space="preserve"> 'WK2015'!EZ16</f>
        <v>691.49312170000007</v>
      </c>
      <c r="EP136" s="50">
        <f xml:space="preserve"> 'WK2015'!FA16</f>
        <v>907.58756770000002</v>
      </c>
      <c r="EQ136" s="50">
        <f xml:space="preserve"> 'WK2015'!FB16</f>
        <v>691.49312170000007</v>
      </c>
      <c r="ER136" s="61">
        <f xml:space="preserve"> 'WK2015'!EW16</f>
        <v>0.50958017899313035</v>
      </c>
      <c r="ES136" s="1"/>
      <c r="ET136" s="50">
        <f xml:space="preserve"> 'WK2015'!FI16</f>
        <v>639.98599139999999</v>
      </c>
      <c r="EU136" s="50">
        <f xml:space="preserve"> 'WK2015'!FJ16</f>
        <v>366.57401939999994</v>
      </c>
      <c r="EV136" s="50">
        <f xml:space="preserve"> 'WK2015'!FM16</f>
        <v>639.98599139999999</v>
      </c>
      <c r="EW136" s="50">
        <f xml:space="preserve"> 'WK2015'!FN16</f>
        <v>366.57401939999994</v>
      </c>
      <c r="EX136" s="50">
        <f xml:space="preserve"> 'WK2015'!FO16</f>
        <v>639.98599139999999</v>
      </c>
      <c r="EY136" s="50">
        <f xml:space="preserve"> 'WK2015'!FP16</f>
        <v>366.57401939999994</v>
      </c>
      <c r="EZ136" s="61">
        <f xml:space="preserve"> 'WK2015'!FK16</f>
        <v>0.51073817175771863</v>
      </c>
      <c r="FA136" s="1"/>
      <c r="FB136" s="50">
        <f xml:space="preserve"> 'WK2015'!FW16</f>
        <v>124.1233928</v>
      </c>
      <c r="FC136" s="50">
        <f xml:space="preserve"> 'WK2015'!FX16</f>
        <v>125.57118879999999</v>
      </c>
      <c r="FD136" s="50">
        <f xml:space="preserve"> 'WK2015'!GA16</f>
        <v>124.1233928</v>
      </c>
      <c r="FE136" s="50">
        <f xml:space="preserve"> 'WK2015'!GB16</f>
        <v>125.57118879999999</v>
      </c>
      <c r="FF136" s="50">
        <f xml:space="preserve"> 'WK2015'!GC16</f>
        <v>124.1233928</v>
      </c>
      <c r="FG136" s="50">
        <f xml:space="preserve"> 'WK2015'!GD16</f>
        <v>125.57118879999999</v>
      </c>
      <c r="FH136" s="61">
        <f xml:space="preserve"> 'WK2015'!FY16</f>
        <v>0.51071104795880506</v>
      </c>
      <c r="FI136" s="1"/>
      <c r="FJ136" s="50">
        <f xml:space="preserve"> 'WK2015'!GK16</f>
        <v>43.709494499999998</v>
      </c>
      <c r="FK136" s="50">
        <f xml:space="preserve"> 'WK2015'!GL16</f>
        <v>26.884996500000007</v>
      </c>
      <c r="FL136" s="50">
        <f xml:space="preserve"> 'WK2015'!GO16</f>
        <v>43.709494499999998</v>
      </c>
      <c r="FM136" s="50">
        <f xml:space="preserve"> 'WK2015'!GP16</f>
        <v>26.884996500000007</v>
      </c>
      <c r="FN136" s="50">
        <f xml:space="preserve"> 'WK2015'!GQ16</f>
        <v>43.709494499999998</v>
      </c>
      <c r="FO136" s="50">
        <f xml:space="preserve"> 'WK2015'!GR16</f>
        <v>26.884996500000007</v>
      </c>
      <c r="FP136" s="61">
        <f xml:space="preserve"> 'WK2015'!GM16</f>
        <v>0.51291160646795142</v>
      </c>
      <c r="FS136" s="283">
        <f xml:space="preserve"> 'WK2015'!H16</f>
        <v>830.01075999999989</v>
      </c>
      <c r="FT136" s="283">
        <f xml:space="preserve"> 'WK2015'!I16</f>
        <v>579.46531199999993</v>
      </c>
      <c r="FU136" s="283">
        <f xml:space="preserve"> 'WK2015'!L16</f>
        <v>830.01075999999989</v>
      </c>
      <c r="FV136" s="283">
        <f xml:space="preserve"> 'WK2015'!M16</f>
        <v>579.46531199999993</v>
      </c>
      <c r="FW136" s="283">
        <f xml:space="preserve"> 'WK2015'!N16</f>
        <v>830.01075999999989</v>
      </c>
      <c r="FX136" s="283">
        <f xml:space="preserve"> 'WK2015'!O16</f>
        <v>579.46531199999993</v>
      </c>
      <c r="FY136" s="284">
        <f xml:space="preserve"> 'WK2015'!P16</f>
        <v>0.5105528513587495</v>
      </c>
      <c r="GA136" s="283">
        <f xml:space="preserve"> 'WK2015'!HB16</f>
        <v>585.19988999999998</v>
      </c>
      <c r="GB136" s="283">
        <f xml:space="preserve"> 'WK2015'!HC16</f>
        <v>302.65584899999999</v>
      </c>
      <c r="GC136" s="283">
        <f xml:space="preserve"> 'WK2015'!HF16</f>
        <v>585.19988999999998</v>
      </c>
      <c r="GD136" s="283">
        <f xml:space="preserve"> 'WK2015'!HG16</f>
        <v>302.65584899999999</v>
      </c>
      <c r="GE136" s="283">
        <f xml:space="preserve"> 'WK2015'!HH16</f>
        <v>585.19988999999998</v>
      </c>
      <c r="GF136" s="283">
        <f xml:space="preserve"> 'WK2015'!HI16</f>
        <v>302.65584899999999</v>
      </c>
      <c r="GG136" s="284">
        <f xml:space="preserve"> 'WK2015'!HJ16</f>
        <v>0.45816354840988066</v>
      </c>
      <c r="GI136" s="283">
        <f xml:space="preserve"> 'WK2015'!HQ16</f>
        <v>0</v>
      </c>
      <c r="GJ136" s="283">
        <f xml:space="preserve"> 'WK2015'!HR16</f>
        <v>87.014465999999999</v>
      </c>
      <c r="GK136" s="283">
        <f xml:space="preserve"> 'WK2015'!HU16</f>
        <v>0</v>
      </c>
      <c r="GL136" s="283">
        <f xml:space="preserve"> 'WK2015'!HV16</f>
        <v>87.014465999999999</v>
      </c>
      <c r="GM136" s="283">
        <f xml:space="preserve"> 'WK2015'!HW16</f>
        <v>0</v>
      </c>
      <c r="GN136" s="283">
        <f xml:space="preserve"> 'WK2015'!HX16</f>
        <v>87.014465999999999</v>
      </c>
      <c r="GO136" s="284">
        <f xml:space="preserve"> 'WK2015'!HY16</f>
        <v>0.75</v>
      </c>
    </row>
    <row r="137" spans="1:197" x14ac:dyDescent="0.2">
      <c r="A137" s="3">
        <f>Basis!A137</f>
        <v>7</v>
      </c>
      <c r="H137" s="50">
        <f xml:space="preserve"> 'WK2012'!EG17</f>
        <v>1151.8272196966036</v>
      </c>
      <c r="I137" s="50">
        <f xml:space="preserve"> 'WK2012'!EH17</f>
        <v>1030.4973231839886</v>
      </c>
      <c r="J137" s="50">
        <f xml:space="preserve"> 'WK2012'!EK17</f>
        <v>1151.8395834797495</v>
      </c>
      <c r="K137" s="50">
        <f xml:space="preserve"> 'WK2012'!EL17</f>
        <v>1030.4872418619061</v>
      </c>
      <c r="L137" s="50">
        <f xml:space="preserve"> 'WK2012'!EM17</f>
        <v>1151.8272196966036</v>
      </c>
      <c r="M137" s="50">
        <f xml:space="preserve"> 'WK2012'!EN17</f>
        <v>1030.4748780787604</v>
      </c>
      <c r="N137" s="61">
        <f xml:space="preserve"> 'WK2012'!EI17</f>
        <v>0.51184271337166509</v>
      </c>
      <c r="P137" s="50">
        <f xml:space="preserve"> 'WK2012'!EU17</f>
        <v>867.83633697318771</v>
      </c>
      <c r="Q137" s="50">
        <f xml:space="preserve"> 'WK2012'!EV17</f>
        <v>686.84990614225649</v>
      </c>
      <c r="R137" s="50">
        <f xml:space="preserve"> 'WK2012'!EY17</f>
        <v>867.85157517213531</v>
      </c>
      <c r="S137" s="50">
        <f xml:space="preserve"> 'WK2012'!EZ17</f>
        <v>686.83449705851194</v>
      </c>
      <c r="T137" s="50">
        <f xml:space="preserve"> 'WK2012'!FA17</f>
        <v>867.83633697318771</v>
      </c>
      <c r="U137" s="50">
        <f xml:space="preserve"> 'WK2012'!FB17</f>
        <v>686.81925885956434</v>
      </c>
      <c r="V137" s="61">
        <f xml:space="preserve"> 'WK2012'!EW17</f>
        <v>0.51934809653062752</v>
      </c>
      <c r="X137" s="50">
        <f xml:space="preserve"> 'WK2012'!FI17</f>
        <v>483.97432829882314</v>
      </c>
      <c r="Y137" s="50">
        <f xml:space="preserve"> 'WK2012'!FJ17</f>
        <v>357.13894242244965</v>
      </c>
      <c r="Z137" s="50">
        <f xml:space="preserve"> 'WK2012'!FM17</f>
        <v>483.97594764225073</v>
      </c>
      <c r="AA137" s="50">
        <f xml:space="preserve"> 'WK2012'!FN17</f>
        <v>357.13735713256438</v>
      </c>
      <c r="AB137" s="50">
        <f xml:space="preserve"> 'WK2012'!FO17</f>
        <v>483.97432829882314</v>
      </c>
      <c r="AC137" s="50">
        <f xml:space="preserve"> 'WK2012'!FP17</f>
        <v>357.13573778913678</v>
      </c>
      <c r="AD137" s="61">
        <f xml:space="preserve"> 'WK2012'!FK17</f>
        <v>0.51083423988853249</v>
      </c>
      <c r="AF137" s="50">
        <f xml:space="preserve"> 'WK2012'!FW17</f>
        <v>63.373593888337716</v>
      </c>
      <c r="AG137" s="50">
        <f xml:space="preserve"> 'WK2012'!FX17</f>
        <v>0</v>
      </c>
      <c r="AH137" s="50">
        <f xml:space="preserve"> 'WK2012'!GA17</f>
        <v>63.373593888337716</v>
      </c>
      <c r="AI137" s="50">
        <f xml:space="preserve"> 'WK2012'!GB17</f>
        <v>0</v>
      </c>
      <c r="AJ137" s="50">
        <f xml:space="preserve"> 'WK2012'!GC17</f>
        <v>63.373593888337716</v>
      </c>
      <c r="AK137" s="50">
        <f xml:space="preserve"> 'WK2012'!GD17</f>
        <v>0</v>
      </c>
      <c r="AL137" s="61">
        <f xml:space="preserve"> 'WK2012'!FY17</f>
        <v>0.51485910776278898</v>
      </c>
      <c r="AN137" s="50">
        <f xml:space="preserve"> 'WK2012'!GK17</f>
        <v>186.23463261919841</v>
      </c>
      <c r="AO137" s="50">
        <f xml:space="preserve"> 'WK2012'!GL17</f>
        <v>211.98567795260135</v>
      </c>
      <c r="AP137" s="50">
        <f xml:space="preserve"> 'WK2012'!GO17</f>
        <v>186.24699640234428</v>
      </c>
      <c r="AQ137" s="50">
        <f xml:space="preserve"> 'WK2012'!GP17</f>
        <v>211.97559663051891</v>
      </c>
      <c r="AR137" s="50">
        <f xml:space="preserve"> 'WK2012'!GQ17</f>
        <v>186.23463261919841</v>
      </c>
      <c r="AS137" s="50">
        <f xml:space="preserve"> 'WK2012'!GR17</f>
        <v>211.96323284737306</v>
      </c>
      <c r="AT137" s="61">
        <f xml:space="preserve"> 'WK2012'!GM17</f>
        <v>0.5104060911219972</v>
      </c>
      <c r="AX137" s="50">
        <f xml:space="preserve"> 'WK2013'!EG17</f>
        <v>1162.6483272</v>
      </c>
      <c r="AY137" s="50">
        <f xml:space="preserve"> 'WK2013'!EH17</f>
        <v>895.64241259999994</v>
      </c>
      <c r="AZ137" s="50">
        <f xml:space="preserve"> 'WK2013'!EK17</f>
        <v>1162.6483272</v>
      </c>
      <c r="BA137" s="50">
        <f xml:space="preserve"> 'WK2013'!EL17</f>
        <v>895.64241259999994</v>
      </c>
      <c r="BB137" s="50">
        <f xml:space="preserve"> 'WK2013'!EM17</f>
        <v>1162.6483272</v>
      </c>
      <c r="BC137" s="50">
        <f xml:space="preserve"> 'WK2013'!EN17</f>
        <v>895.64241259999994</v>
      </c>
      <c r="BD137" s="50">
        <f xml:space="preserve"> 'WK2013'!EI17</f>
        <v>0.47235021069499644</v>
      </c>
      <c r="BF137" s="50">
        <f xml:space="preserve"> 'WK2013'!EU17</f>
        <v>916.15938779999988</v>
      </c>
      <c r="BG137" s="50">
        <f xml:space="preserve"> 'WK2013'!EV17</f>
        <v>699.78092839999999</v>
      </c>
      <c r="BH137" s="50">
        <f xml:space="preserve"> 'WK2013'!EY17</f>
        <v>916.15938779999988</v>
      </c>
      <c r="BI137" s="50">
        <f xml:space="preserve"> 'WK2013'!EZ17</f>
        <v>699.78092839999999</v>
      </c>
      <c r="BJ137" s="50">
        <f xml:space="preserve"> 'WK2013'!FA17</f>
        <v>916.15938779999988</v>
      </c>
      <c r="BK137" s="50">
        <f xml:space="preserve"> 'WK2013'!FB17</f>
        <v>699.78092839999999</v>
      </c>
      <c r="BL137" s="61">
        <f xml:space="preserve"> 'WK2013'!EW17</f>
        <v>0.51568730757980852</v>
      </c>
      <c r="BN137" s="50">
        <f xml:space="preserve"> 'WK2013'!FI17</f>
        <v>532.37461839999992</v>
      </c>
      <c r="BO137" s="50">
        <f xml:space="preserve"> 'WK2013'!FJ17</f>
        <v>350.7359538</v>
      </c>
      <c r="BP137" s="50">
        <f xml:space="preserve"> 'WK2013'!FM17</f>
        <v>532.37461839999992</v>
      </c>
      <c r="BQ137" s="50">
        <f xml:space="preserve"> 'WK2013'!FN17</f>
        <v>350.7359538</v>
      </c>
      <c r="BR137" s="50">
        <f xml:space="preserve"> 'WK2013'!FO17</f>
        <v>532.37461839999992</v>
      </c>
      <c r="BS137" s="50">
        <f xml:space="preserve"> 'WK2013'!FP17</f>
        <v>350.7359538</v>
      </c>
      <c r="BT137" s="61">
        <f xml:space="preserve"> 'WK2013'!FK17</f>
        <v>0.51618464421574184</v>
      </c>
      <c r="BV137" s="50">
        <f xml:space="preserve"> 'WK2013'!FW17</f>
        <v>173.8729822</v>
      </c>
      <c r="BW137" s="50">
        <f xml:space="preserve"> 'WK2013'!FX17</f>
        <v>191.4123736</v>
      </c>
      <c r="BX137" s="50">
        <f xml:space="preserve"> 'WK2013'!GA17</f>
        <v>173.8729822</v>
      </c>
      <c r="BY137" s="50">
        <f xml:space="preserve"> 'WK2013'!GB17</f>
        <v>191.4123736</v>
      </c>
      <c r="BZ137" s="50">
        <f xml:space="preserve"> 'WK2013'!GC17</f>
        <v>173.8729822</v>
      </c>
      <c r="CA137" s="50">
        <f xml:space="preserve"> 'WK2013'!GD17</f>
        <v>191.4123736</v>
      </c>
      <c r="CB137" s="61">
        <f xml:space="preserve"> 'WK2013'!FY17</f>
        <v>0.51395287380869448</v>
      </c>
      <c r="CD137" s="50">
        <f xml:space="preserve"> 'WK2013'!GK17</f>
        <v>42.338847749999999</v>
      </c>
      <c r="CE137" s="50">
        <f xml:space="preserve"> 'WK2013'!GL17</f>
        <v>21.840012749999993</v>
      </c>
      <c r="CF137" s="50">
        <f xml:space="preserve"> 'WK2013'!GO17</f>
        <v>42.338847749999999</v>
      </c>
      <c r="CG137" s="50">
        <f xml:space="preserve"> 'WK2013'!GP17</f>
        <v>21.840012749999993</v>
      </c>
      <c r="CH137" s="50">
        <f xml:space="preserve"> 'WK2013'!GQ17</f>
        <v>42.338847749999999</v>
      </c>
      <c r="CI137" s="50">
        <f xml:space="preserve"> 'WK2013'!GR17</f>
        <v>21.840012749999993</v>
      </c>
      <c r="CJ137" s="61">
        <f xml:space="preserve"> 'WK2013'!GM17</f>
        <v>0.51030303130988508</v>
      </c>
      <c r="CN137" s="50">
        <f xml:space="preserve"> 'WK2014'!EG17</f>
        <v>1180.4220864000001</v>
      </c>
      <c r="CO137" s="50">
        <f xml:space="preserve"> 'WK2014'!EH17</f>
        <v>861.20069319999993</v>
      </c>
      <c r="CP137" s="50">
        <f xml:space="preserve"> 'WK2014'!EK17</f>
        <v>1180.4220864000001</v>
      </c>
      <c r="CQ137" s="50">
        <f xml:space="preserve"> 'WK2014'!EL17</f>
        <v>861.20069319999993</v>
      </c>
      <c r="CR137" s="50">
        <f xml:space="preserve"> 'WK2014'!EM17</f>
        <v>1180.4220864000001</v>
      </c>
      <c r="CS137" s="50">
        <f xml:space="preserve"> 'WK2014'!EN17</f>
        <v>861.20069319999993</v>
      </c>
      <c r="CT137" s="61">
        <f xml:space="preserve"> 'WK2014'!EI17</f>
        <v>0.51093384290391208</v>
      </c>
      <c r="CV137" s="50">
        <f xml:space="preserve"> 'WK2014'!EU17</f>
        <v>917.40657659999999</v>
      </c>
      <c r="CW137" s="50">
        <f xml:space="preserve"> 'WK2014'!EV17</f>
        <v>705.09015780000004</v>
      </c>
      <c r="CX137" s="50">
        <f xml:space="preserve"> 'WK2014'!EY17</f>
        <v>917.40657659999999</v>
      </c>
      <c r="CY137" s="50">
        <f xml:space="preserve"> 'WK2014'!EZ17</f>
        <v>705.09015780000004</v>
      </c>
      <c r="CZ137" s="50">
        <f xml:space="preserve"> 'WK2014'!FA17</f>
        <v>917.40657659999999</v>
      </c>
      <c r="DA137" s="50">
        <f xml:space="preserve"> 'WK2014'!FB17</f>
        <v>705.09015780000004</v>
      </c>
      <c r="DB137" s="61">
        <f xml:space="preserve"> 'WK2014'!EW17</f>
        <v>0.51175608876440315</v>
      </c>
      <c r="DC137" s="1"/>
      <c r="DD137" s="50">
        <f xml:space="preserve"> 'WK2014'!FI17</f>
        <v>596.57413999999994</v>
      </c>
      <c r="DE137" s="50">
        <f xml:space="preserve"> 'WK2014'!FJ17</f>
        <v>386.97699419999998</v>
      </c>
      <c r="DF137" s="50">
        <f xml:space="preserve"> 'WK2014'!FM17</f>
        <v>596.57413999999994</v>
      </c>
      <c r="DG137" s="50">
        <f xml:space="preserve"> 'WK2014'!FN17</f>
        <v>386.97699419999998</v>
      </c>
      <c r="DH137" s="50">
        <f xml:space="preserve"> 'WK2014'!FO17</f>
        <v>596.57413999999994</v>
      </c>
      <c r="DI137" s="50">
        <f xml:space="preserve"> 'WK2014'!FP17</f>
        <v>386.97699419999998</v>
      </c>
      <c r="DJ137" s="61">
        <f xml:space="preserve"> 'WK2014'!FK17</f>
        <v>0.50817643507867039</v>
      </c>
      <c r="DK137" s="1"/>
      <c r="DL137" s="50">
        <f xml:space="preserve"> 'WK2014'!FW17</f>
        <v>170.47673039999998</v>
      </c>
      <c r="DM137" s="50">
        <f xml:space="preserve"> 'WK2014'!FX17</f>
        <v>188.1078152</v>
      </c>
      <c r="DN137" s="50">
        <f xml:space="preserve"> 'WK2014'!GA17</f>
        <v>170.47673039999998</v>
      </c>
      <c r="DO137" s="50">
        <f xml:space="preserve"> 'WK2014'!GB17</f>
        <v>188.1078152</v>
      </c>
      <c r="DP137" s="50">
        <f xml:space="preserve"> 'WK2014'!GC17</f>
        <v>170.47673039999998</v>
      </c>
      <c r="DQ137" s="50">
        <f xml:space="preserve"> 'WK2014'!GD17</f>
        <v>188.1078152</v>
      </c>
      <c r="DR137" s="61">
        <f xml:space="preserve"> 'WK2014'!FY17</f>
        <v>0.51168685964206095</v>
      </c>
      <c r="DS137" s="1"/>
      <c r="DT137" s="50">
        <f xml:space="preserve"> 'WK2014'!GK17</f>
        <v>44.121423000000021</v>
      </c>
      <c r="DU137" s="50">
        <f xml:space="preserve"> 'WK2014'!GL17</f>
        <v>10.410250500000004</v>
      </c>
      <c r="DV137" s="50">
        <f xml:space="preserve"> 'WK2014'!GO17</f>
        <v>44.121423000000021</v>
      </c>
      <c r="DW137" s="50">
        <f xml:space="preserve"> 'WK2014'!GP17</f>
        <v>10.410250500000004</v>
      </c>
      <c r="DX137" s="50">
        <f xml:space="preserve"> 'WK2014'!GQ17</f>
        <v>44.121423000000021</v>
      </c>
      <c r="DY137" s="50">
        <f xml:space="preserve"> 'WK2014'!GR17</f>
        <v>10.410250500000004</v>
      </c>
      <c r="DZ137" s="61">
        <f xml:space="preserve"> 'WK2014'!GM17</f>
        <v>0.50857076293798609</v>
      </c>
      <c r="ED137" s="50">
        <f xml:space="preserve"> 'WK2015'!EG17</f>
        <v>1158.5541128000002</v>
      </c>
      <c r="EE137" s="50">
        <f xml:space="preserve"> 'WK2015'!EH17</f>
        <v>840.25199959999998</v>
      </c>
      <c r="EF137" s="50">
        <f xml:space="preserve"> 'WK2015'!EK17</f>
        <v>1158.5541128000002</v>
      </c>
      <c r="EG137" s="50">
        <f xml:space="preserve"> 'WK2015'!EL17</f>
        <v>840.25199959999998</v>
      </c>
      <c r="EH137" s="50">
        <f xml:space="preserve"> 'WK2015'!EM17</f>
        <v>1158.5541128000002</v>
      </c>
      <c r="EI137" s="50">
        <f xml:space="preserve"> 'WK2015'!EN17</f>
        <v>840.25199959999998</v>
      </c>
      <c r="EJ137" s="61">
        <f xml:space="preserve"> 'WK2015'!EI17</f>
        <v>0.51258528641140866</v>
      </c>
      <c r="EK137" s="1"/>
      <c r="EL137" s="50">
        <f xml:space="preserve"> 'WK2015'!EU17</f>
        <v>917.47861769999997</v>
      </c>
      <c r="EM137" s="50">
        <f xml:space="preserve"> 'WK2015'!EV17</f>
        <v>711.79469240000003</v>
      </c>
      <c r="EN137" s="50">
        <f xml:space="preserve"> 'WK2015'!EY17</f>
        <v>917.47861769999997</v>
      </c>
      <c r="EO137" s="50">
        <f xml:space="preserve"> 'WK2015'!EZ17</f>
        <v>711.79469240000003</v>
      </c>
      <c r="EP137" s="50">
        <f xml:space="preserve"> 'WK2015'!FA17</f>
        <v>917.47861769999997</v>
      </c>
      <c r="EQ137" s="50">
        <f xml:space="preserve"> 'WK2015'!FB17</f>
        <v>711.79469240000003</v>
      </c>
      <c r="ER137" s="61">
        <f xml:space="preserve"> 'WK2015'!EW17</f>
        <v>0.51395868762937502</v>
      </c>
      <c r="ES137" s="1"/>
      <c r="ET137" s="50">
        <f xml:space="preserve"> 'WK2015'!FI17</f>
        <v>669.67787699999997</v>
      </c>
      <c r="EU137" s="50">
        <f xml:space="preserve"> 'WK2015'!FJ17</f>
        <v>393.64840299999997</v>
      </c>
      <c r="EV137" s="50">
        <f xml:space="preserve"> 'WK2015'!FM17</f>
        <v>669.67787699999997</v>
      </c>
      <c r="EW137" s="50">
        <f xml:space="preserve"> 'WK2015'!FN17</f>
        <v>393.64840299999997</v>
      </c>
      <c r="EX137" s="50">
        <f xml:space="preserve"> 'WK2015'!FO17</f>
        <v>669.67787699999997</v>
      </c>
      <c r="EY137" s="50">
        <f xml:space="preserve"> 'WK2015'!FP17</f>
        <v>393.64840299999997</v>
      </c>
      <c r="EZ137" s="61">
        <f xml:space="preserve"> 'WK2015'!FK17</f>
        <v>0.51310304811681529</v>
      </c>
      <c r="FA137" s="1"/>
      <c r="FB137" s="50">
        <f xml:space="preserve"> 'WK2015'!FW17</f>
        <v>173.68151280000001</v>
      </c>
      <c r="FC137" s="50">
        <f xml:space="preserve"> 'WK2015'!FX17</f>
        <v>186.3016776</v>
      </c>
      <c r="FD137" s="50">
        <f xml:space="preserve"> 'WK2015'!GA17</f>
        <v>173.68151280000001</v>
      </c>
      <c r="FE137" s="50">
        <f xml:space="preserve"> 'WK2015'!GB17</f>
        <v>186.3016776</v>
      </c>
      <c r="FF137" s="50">
        <f xml:space="preserve"> 'WK2015'!GC17</f>
        <v>173.68151280000001</v>
      </c>
      <c r="FG137" s="50">
        <f xml:space="preserve"> 'WK2015'!GD17</f>
        <v>186.3016776</v>
      </c>
      <c r="FH137" s="61">
        <f xml:space="preserve"> 'WK2015'!FY17</f>
        <v>0.51384224816426471</v>
      </c>
      <c r="FI137" s="1"/>
      <c r="FJ137" s="50">
        <f xml:space="preserve"> 'WK2015'!GK17</f>
        <v>47.651413500000011</v>
      </c>
      <c r="FK137" s="50">
        <f xml:space="preserve"> 'WK2015'!GL17</f>
        <v>16.366204500000002</v>
      </c>
      <c r="FL137" s="50">
        <f xml:space="preserve"> 'WK2015'!GO17</f>
        <v>47.651413500000011</v>
      </c>
      <c r="FM137" s="50">
        <f xml:space="preserve"> 'WK2015'!GP17</f>
        <v>16.366204500000002</v>
      </c>
      <c r="FN137" s="50">
        <f xml:space="preserve"> 'WK2015'!GQ17</f>
        <v>47.651413500000011</v>
      </c>
      <c r="FO137" s="50">
        <f xml:space="preserve"> 'WK2015'!GR17</f>
        <v>16.366204500000002</v>
      </c>
      <c r="FP137" s="61">
        <f xml:space="preserve"> 'WK2015'!GM17</f>
        <v>0.51219493246460868</v>
      </c>
      <c r="FS137" s="283">
        <f xml:space="preserve"> 'WK2015'!H17</f>
        <v>790.64657</v>
      </c>
      <c r="FT137" s="283">
        <f xml:space="preserve"> 'WK2015'!I17</f>
        <v>545.05054999999993</v>
      </c>
      <c r="FU137" s="283">
        <f xml:space="preserve"> 'WK2015'!L17</f>
        <v>790.64657</v>
      </c>
      <c r="FV137" s="283">
        <f xml:space="preserve"> 'WK2015'!M17</f>
        <v>545.05054999999993</v>
      </c>
      <c r="FW137" s="283">
        <f xml:space="preserve"> 'WK2015'!N17</f>
        <v>790.64657</v>
      </c>
      <c r="FX137" s="283">
        <f xml:space="preserve"> 'WK2015'!O17</f>
        <v>545.05054999999993</v>
      </c>
      <c r="FY137" s="284">
        <f xml:space="preserve"> 'WK2015'!P17</f>
        <v>0.5105729068160082</v>
      </c>
      <c r="GA137" s="283">
        <f xml:space="preserve"> 'WK2015'!HB17</f>
        <v>576.33322499999997</v>
      </c>
      <c r="GB137" s="283">
        <f xml:space="preserve"> 'WK2015'!HC17</f>
        <v>297.22460899999999</v>
      </c>
      <c r="GC137" s="283">
        <f xml:space="preserve"> 'WK2015'!HF17</f>
        <v>576.33322499999997</v>
      </c>
      <c r="GD137" s="283">
        <f xml:space="preserve"> 'WK2015'!HG17</f>
        <v>297.22460899999999</v>
      </c>
      <c r="GE137" s="283">
        <f xml:space="preserve"> 'WK2015'!HH17</f>
        <v>576.33322499999997</v>
      </c>
      <c r="GF137" s="283">
        <f xml:space="preserve"> 'WK2015'!HI17</f>
        <v>297.22460899999999</v>
      </c>
      <c r="GG137" s="284">
        <f xml:space="preserve"> 'WK2015'!HJ17</f>
        <v>0.5067136619397411</v>
      </c>
      <c r="GI137" s="283">
        <f xml:space="preserve"> 'WK2015'!HQ17</f>
        <v>0</v>
      </c>
      <c r="GJ137" s="283">
        <f xml:space="preserve"> 'WK2015'!HR17</f>
        <v>97.329014999999998</v>
      </c>
      <c r="GK137" s="283">
        <f xml:space="preserve"> 'WK2015'!HU17</f>
        <v>0</v>
      </c>
      <c r="GL137" s="283">
        <f xml:space="preserve"> 'WK2015'!HV17</f>
        <v>97.329014999999998</v>
      </c>
      <c r="GM137" s="283">
        <f xml:space="preserve"> 'WK2015'!HW17</f>
        <v>0</v>
      </c>
      <c r="GN137" s="283">
        <f xml:space="preserve"> 'WK2015'!HX17</f>
        <v>97.329014999999998</v>
      </c>
      <c r="GO137" s="284">
        <f xml:space="preserve"> 'WK2015'!HY17</f>
        <v>0.4</v>
      </c>
    </row>
    <row r="138" spans="1:197" x14ac:dyDescent="0.2">
      <c r="A138" s="3">
        <f>Basis!A138</f>
        <v>8</v>
      </c>
      <c r="H138" s="50">
        <f xml:space="preserve"> 'WK2012'!EG18</f>
        <v>1178.0859445981177</v>
      </c>
      <c r="I138" s="50">
        <f xml:space="preserve"> 'WK2012'!EH18</f>
        <v>1112.4096524658803</v>
      </c>
      <c r="J138" s="50">
        <f xml:space="preserve"> 'WK2012'!EK18</f>
        <v>1178.1051642329858</v>
      </c>
      <c r="K138" s="50">
        <f xml:space="preserve"> 'WK2012'!EL18</f>
        <v>1112.3940735022545</v>
      </c>
      <c r="L138" s="50">
        <f xml:space="preserve"> 'WK2012'!EM18</f>
        <v>1178.0859445981177</v>
      </c>
      <c r="M138" s="50">
        <f xml:space="preserve"> 'WK2012'!EN18</f>
        <v>1112.3748538673867</v>
      </c>
      <c r="N138" s="61">
        <f xml:space="preserve"> 'WK2012'!EI18</f>
        <v>0.51461757992344159</v>
      </c>
      <c r="P138" s="50">
        <f xml:space="preserve"> 'WK2012'!EU18</f>
        <v>899.19810713295624</v>
      </c>
      <c r="Q138" s="50">
        <f xml:space="preserve"> 'WK2012'!EV18</f>
        <v>765.12445947632887</v>
      </c>
      <c r="R138" s="50">
        <f xml:space="preserve"> 'WK2012'!EY18</f>
        <v>899.22157482243733</v>
      </c>
      <c r="S138" s="50">
        <f xml:space="preserve"> 'WK2012'!EZ18</f>
        <v>765.10252854376415</v>
      </c>
      <c r="T138" s="50">
        <f xml:space="preserve"> 'WK2012'!FA18</f>
        <v>899.19810713295624</v>
      </c>
      <c r="U138" s="50">
        <f xml:space="preserve"> 'WK2012'!FB18</f>
        <v>765.07906085428306</v>
      </c>
      <c r="V138" s="61">
        <f xml:space="preserve"> 'WK2012'!EW18</f>
        <v>0.52248936791691347</v>
      </c>
      <c r="X138" s="50">
        <f xml:space="preserve"> 'WK2012'!FI18</f>
        <v>507.98212589592083</v>
      </c>
      <c r="Y138" s="50">
        <f xml:space="preserve"> 'WK2012'!FJ18</f>
        <v>404.99589861506252</v>
      </c>
      <c r="Z138" s="50">
        <f xml:space="preserve"> 'WK2012'!FM18</f>
        <v>507.98588140581052</v>
      </c>
      <c r="AA138" s="50">
        <f xml:space="preserve"> 'WK2012'!FN18</f>
        <v>404.99223186423609</v>
      </c>
      <c r="AB138" s="50">
        <f xml:space="preserve"> 'WK2012'!FO18</f>
        <v>507.98212589592083</v>
      </c>
      <c r="AC138" s="50">
        <f xml:space="preserve"> 'WK2012'!FP18</f>
        <v>404.98847635434646</v>
      </c>
      <c r="AD138" s="61">
        <f xml:space="preserve"> 'WK2012'!FK18</f>
        <v>0.51833822022813769</v>
      </c>
      <c r="AF138" s="50">
        <f xml:space="preserve"> 'WK2012'!FW18</f>
        <v>69.016269422638373</v>
      </c>
      <c r="AG138" s="50">
        <f xml:space="preserve"> 'WK2012'!FX18</f>
        <v>0</v>
      </c>
      <c r="AH138" s="50">
        <f xml:space="preserve"> 'WK2012'!GA18</f>
        <v>69.016269422638373</v>
      </c>
      <c r="AI138" s="50">
        <f xml:space="preserve"> 'WK2012'!GB18</f>
        <v>0</v>
      </c>
      <c r="AJ138" s="50">
        <f xml:space="preserve"> 'WK2012'!GC18</f>
        <v>69.016269422638373</v>
      </c>
      <c r="AK138" s="50">
        <f xml:space="preserve"> 'WK2012'!GD18</f>
        <v>0</v>
      </c>
      <c r="AL138" s="61">
        <f xml:space="preserve"> 'WK2012'!FY18</f>
        <v>0.51239603621320851</v>
      </c>
      <c r="AN138" s="50">
        <f xml:space="preserve"> 'WK2012'!GK18</f>
        <v>254.03646969885239</v>
      </c>
      <c r="AO138" s="50">
        <f xml:space="preserve"> 'WK2012'!GL18</f>
        <v>300.70425620879888</v>
      </c>
      <c r="AP138" s="50">
        <f xml:space="preserve"> 'WK2012'!GO18</f>
        <v>254.0556893337203</v>
      </c>
      <c r="AQ138" s="50">
        <f xml:space="preserve"> 'WK2012'!GP18</f>
        <v>300.68867724517293</v>
      </c>
      <c r="AR138" s="50">
        <f xml:space="preserve"> 'WK2012'!GQ18</f>
        <v>254.03646969885239</v>
      </c>
      <c r="AS138" s="50">
        <f xml:space="preserve"> 'WK2012'!GR18</f>
        <v>300.66945761030507</v>
      </c>
      <c r="AT138" s="61">
        <f xml:space="preserve"> 'WK2012'!GM18</f>
        <v>0.51801115841291545</v>
      </c>
      <c r="AX138" s="50">
        <f xml:space="preserve"> 'WK2013'!EG18</f>
        <v>1201.5469519999999</v>
      </c>
      <c r="AY138" s="50">
        <f xml:space="preserve"> 'WK2013'!EH18</f>
        <v>954.2449484</v>
      </c>
      <c r="AZ138" s="50">
        <f xml:space="preserve"> 'WK2013'!EK18</f>
        <v>1201.5469519999999</v>
      </c>
      <c r="BA138" s="50">
        <f xml:space="preserve"> 'WK2013'!EL18</f>
        <v>954.2449484</v>
      </c>
      <c r="BB138" s="50">
        <f xml:space="preserve"> 'WK2013'!EM18</f>
        <v>1201.5469519999999</v>
      </c>
      <c r="BC138" s="50">
        <f xml:space="preserve"> 'WK2013'!EN18</f>
        <v>954.2449484</v>
      </c>
      <c r="BD138" s="50">
        <f xml:space="preserve"> 'WK2013'!EI18</f>
        <v>0.47475558386362132</v>
      </c>
      <c r="BF138" s="50">
        <f xml:space="preserve"> 'WK2013'!EU18</f>
        <v>957.67209600000001</v>
      </c>
      <c r="BG138" s="50">
        <f xml:space="preserve"> 'WK2013'!EV18</f>
        <v>762.8746026</v>
      </c>
      <c r="BH138" s="50">
        <f xml:space="preserve"> 'WK2013'!EY18</f>
        <v>957.67209600000001</v>
      </c>
      <c r="BI138" s="50">
        <f xml:space="preserve"> 'WK2013'!EZ18</f>
        <v>762.8746026</v>
      </c>
      <c r="BJ138" s="50">
        <f xml:space="preserve"> 'WK2013'!FA18</f>
        <v>957.67209600000001</v>
      </c>
      <c r="BK138" s="50">
        <f xml:space="preserve"> 'WK2013'!FB18</f>
        <v>762.8746026</v>
      </c>
      <c r="BL138" s="61">
        <f xml:space="preserve"> 'WK2013'!EW18</f>
        <v>0.51243342933870983</v>
      </c>
      <c r="BN138" s="50">
        <f xml:space="preserve"> 'WK2013'!FI18</f>
        <v>571.6398226</v>
      </c>
      <c r="BO138" s="50">
        <f xml:space="preserve"> 'WK2013'!FJ18</f>
        <v>397.2507066</v>
      </c>
      <c r="BP138" s="50">
        <f xml:space="preserve"> 'WK2013'!FM18</f>
        <v>571.6398226</v>
      </c>
      <c r="BQ138" s="50">
        <f xml:space="preserve"> 'WK2013'!FN18</f>
        <v>397.2507066</v>
      </c>
      <c r="BR138" s="50">
        <f xml:space="preserve"> 'WK2013'!FO18</f>
        <v>571.6398226</v>
      </c>
      <c r="BS138" s="50">
        <f xml:space="preserve"> 'WK2013'!FP18</f>
        <v>397.2507066</v>
      </c>
      <c r="BT138" s="61">
        <f xml:space="preserve"> 'WK2013'!FK18</f>
        <v>0.51617744424678513</v>
      </c>
      <c r="BV138" s="50">
        <f xml:space="preserve"> 'WK2013'!FW18</f>
        <v>232.71378599999997</v>
      </c>
      <c r="BW138" s="50">
        <f xml:space="preserve"> 'WK2013'!FX18</f>
        <v>272.82663239999999</v>
      </c>
      <c r="BX138" s="50">
        <f xml:space="preserve"> 'WK2013'!GA18</f>
        <v>232.71378599999997</v>
      </c>
      <c r="BY138" s="50">
        <f xml:space="preserve"> 'WK2013'!GB18</f>
        <v>272.82663239999999</v>
      </c>
      <c r="BZ138" s="50">
        <f xml:space="preserve"> 'WK2013'!GC18</f>
        <v>232.71378599999997</v>
      </c>
      <c r="CA138" s="50">
        <f xml:space="preserve"> 'WK2013'!GD18</f>
        <v>272.82663239999999</v>
      </c>
      <c r="CB138" s="61">
        <f xml:space="preserve"> 'WK2013'!FY18</f>
        <v>0.5122924159853105</v>
      </c>
      <c r="CD138" s="50">
        <f xml:space="preserve"> 'WK2013'!GK18</f>
        <v>42.761121000000003</v>
      </c>
      <c r="CE138" s="50">
        <f xml:space="preserve"> 'WK2013'!GL18</f>
        <v>23.339826750000004</v>
      </c>
      <c r="CF138" s="50">
        <f xml:space="preserve"> 'WK2013'!GO18</f>
        <v>42.761121000000003</v>
      </c>
      <c r="CG138" s="50">
        <f xml:space="preserve"> 'WK2013'!GP18</f>
        <v>23.339826750000004</v>
      </c>
      <c r="CH138" s="50">
        <f xml:space="preserve"> 'WK2013'!GQ18</f>
        <v>42.761121000000003</v>
      </c>
      <c r="CI138" s="50">
        <f xml:space="preserve"> 'WK2013'!GR18</f>
        <v>23.339826750000004</v>
      </c>
      <c r="CJ138" s="61">
        <f xml:space="preserve"> 'WK2013'!GM18</f>
        <v>0.51623339669902579</v>
      </c>
      <c r="CN138" s="50">
        <f xml:space="preserve"> 'WK2014'!EG18</f>
        <v>1202.6222284</v>
      </c>
      <c r="CO138" s="50">
        <f xml:space="preserve"> 'WK2014'!EH18</f>
        <v>934.30364320000012</v>
      </c>
      <c r="CP138" s="50">
        <f xml:space="preserve"> 'WK2014'!EK18</f>
        <v>1202.6222284</v>
      </c>
      <c r="CQ138" s="50">
        <f xml:space="preserve"> 'WK2014'!EL18</f>
        <v>934.30364320000012</v>
      </c>
      <c r="CR138" s="50">
        <f xml:space="preserve"> 'WK2014'!EM18</f>
        <v>1202.6222284</v>
      </c>
      <c r="CS138" s="50">
        <f xml:space="preserve"> 'WK2014'!EN18</f>
        <v>934.30364320000012</v>
      </c>
      <c r="CT138" s="61">
        <f xml:space="preserve"> 'WK2014'!EI18</f>
        <v>0.51039983591852267</v>
      </c>
      <c r="CV138" s="50">
        <f xml:space="preserve"> 'WK2014'!EU18</f>
        <v>947.43702810000002</v>
      </c>
      <c r="CW138" s="50">
        <f xml:space="preserve"> 'WK2014'!EV18</f>
        <v>757.79115380000007</v>
      </c>
      <c r="CX138" s="50">
        <f xml:space="preserve"> 'WK2014'!EY18</f>
        <v>947.43702810000002</v>
      </c>
      <c r="CY138" s="50">
        <f xml:space="preserve"> 'WK2014'!EZ18</f>
        <v>757.79115380000007</v>
      </c>
      <c r="CZ138" s="50">
        <f xml:space="preserve"> 'WK2014'!FA18</f>
        <v>947.43702810000002</v>
      </c>
      <c r="DA138" s="50">
        <f xml:space="preserve"> 'WK2014'!FB18</f>
        <v>757.79115380000007</v>
      </c>
      <c r="DB138" s="61">
        <f xml:space="preserve"> 'WK2014'!EW18</f>
        <v>0.51501029960296318</v>
      </c>
      <c r="DC138" s="1"/>
      <c r="DD138" s="50">
        <f xml:space="preserve"> 'WK2014'!FI18</f>
        <v>642.14251919999992</v>
      </c>
      <c r="DE138" s="50">
        <f xml:space="preserve"> 'WK2014'!FJ18</f>
        <v>428.49489280000006</v>
      </c>
      <c r="DF138" s="50">
        <f xml:space="preserve"> 'WK2014'!FM18</f>
        <v>642.14251919999992</v>
      </c>
      <c r="DG138" s="50">
        <f xml:space="preserve"> 'WK2014'!FN18</f>
        <v>428.49489280000006</v>
      </c>
      <c r="DH138" s="50">
        <f xml:space="preserve"> 'WK2014'!FO18</f>
        <v>642.14251919999992</v>
      </c>
      <c r="DI138" s="50">
        <f xml:space="preserve"> 'WK2014'!FP18</f>
        <v>428.49489280000006</v>
      </c>
      <c r="DJ138" s="61">
        <f xml:space="preserve"> 'WK2014'!FK18</f>
        <v>0.51564036376206968</v>
      </c>
      <c r="DK138" s="1"/>
      <c r="DL138" s="50">
        <f xml:space="preserve"> 'WK2014'!FW18</f>
        <v>230.7090144</v>
      </c>
      <c r="DM138" s="50">
        <f xml:space="preserve"> 'WK2014'!FX18</f>
        <v>269.72073520000004</v>
      </c>
      <c r="DN138" s="50">
        <f xml:space="preserve"> 'WK2014'!GA18</f>
        <v>230.7090144</v>
      </c>
      <c r="DO138" s="50">
        <f xml:space="preserve"> 'WK2014'!GB18</f>
        <v>269.72073520000004</v>
      </c>
      <c r="DP138" s="50">
        <f xml:space="preserve"> 'WK2014'!GC18</f>
        <v>230.7090144</v>
      </c>
      <c r="DQ138" s="50">
        <f xml:space="preserve"> 'WK2014'!GD18</f>
        <v>269.72073520000004</v>
      </c>
      <c r="DR138" s="61">
        <f xml:space="preserve"> 'WK2014'!FY18</f>
        <v>0.51332926214612695</v>
      </c>
      <c r="DS138" s="1"/>
      <c r="DT138" s="50">
        <f xml:space="preserve"> 'WK2014'!GK18</f>
        <v>42.589368000000007</v>
      </c>
      <c r="DU138" s="50">
        <f xml:space="preserve"> 'WK2014'!GL18</f>
        <v>21.003399000000009</v>
      </c>
      <c r="DV138" s="50">
        <f xml:space="preserve"> 'WK2014'!GO18</f>
        <v>42.589368000000007</v>
      </c>
      <c r="DW138" s="50">
        <f xml:space="preserve"> 'WK2014'!GP18</f>
        <v>21.003399000000009</v>
      </c>
      <c r="DX138" s="50">
        <f xml:space="preserve"> 'WK2014'!GQ18</f>
        <v>42.589368000000007</v>
      </c>
      <c r="DY138" s="50">
        <f xml:space="preserve"> 'WK2014'!GR18</f>
        <v>21.003399000000009</v>
      </c>
      <c r="DZ138" s="61">
        <f xml:space="preserve"> 'WK2014'!GM18</f>
        <v>0.50983663164790149</v>
      </c>
      <c r="ED138" s="50">
        <f xml:space="preserve"> 'WK2015'!EG18</f>
        <v>1191.4780479999999</v>
      </c>
      <c r="EE138" s="50">
        <f xml:space="preserve"> 'WK2015'!EH18</f>
        <v>907.51780840000004</v>
      </c>
      <c r="EF138" s="50">
        <f xml:space="preserve"> 'WK2015'!EK18</f>
        <v>1191.4780479999999</v>
      </c>
      <c r="EG138" s="50">
        <f xml:space="preserve"> 'WK2015'!EL18</f>
        <v>907.51780840000004</v>
      </c>
      <c r="EH138" s="50">
        <f xml:space="preserve"> 'WK2015'!EM18</f>
        <v>1191.4780479999999</v>
      </c>
      <c r="EI138" s="50">
        <f xml:space="preserve"> 'WK2015'!EN18</f>
        <v>907.51780840000004</v>
      </c>
      <c r="EJ138" s="61">
        <f xml:space="preserve"> 'WK2015'!EI18</f>
        <v>0.51222694743896768</v>
      </c>
      <c r="EK138" s="1"/>
      <c r="EL138" s="50">
        <f xml:space="preserve"> 'WK2015'!EU18</f>
        <v>945.23584299999993</v>
      </c>
      <c r="EM138" s="50">
        <f xml:space="preserve"> 'WK2015'!EV18</f>
        <v>768.72188259999996</v>
      </c>
      <c r="EN138" s="50">
        <f xml:space="preserve"> 'WK2015'!EY18</f>
        <v>945.23584299999993</v>
      </c>
      <c r="EO138" s="50">
        <f xml:space="preserve"> 'WK2015'!EZ18</f>
        <v>768.72188259999996</v>
      </c>
      <c r="EP138" s="50">
        <f xml:space="preserve"> 'WK2015'!FA18</f>
        <v>945.23584299999993</v>
      </c>
      <c r="EQ138" s="50">
        <f xml:space="preserve"> 'WK2015'!FB18</f>
        <v>768.72188259999996</v>
      </c>
      <c r="ER138" s="61">
        <f xml:space="preserve"> 'WK2015'!EW18</f>
        <v>0.5120161948025137</v>
      </c>
      <c r="ES138" s="1"/>
      <c r="ET138" s="50">
        <f xml:space="preserve"> 'WK2015'!FI18</f>
        <v>715.70153700000003</v>
      </c>
      <c r="EU138" s="50">
        <f xml:space="preserve"> 'WK2015'!FJ18</f>
        <v>438.23418919999995</v>
      </c>
      <c r="EV138" s="50">
        <f xml:space="preserve"> 'WK2015'!FM18</f>
        <v>715.70153700000003</v>
      </c>
      <c r="EW138" s="50">
        <f xml:space="preserve"> 'WK2015'!FN18</f>
        <v>438.23418919999995</v>
      </c>
      <c r="EX138" s="50">
        <f xml:space="preserve"> 'WK2015'!FO18</f>
        <v>715.70153700000003</v>
      </c>
      <c r="EY138" s="50">
        <f xml:space="preserve"> 'WK2015'!FP18</f>
        <v>438.23418919999995</v>
      </c>
      <c r="EZ138" s="61">
        <f xml:space="preserve"> 'WK2015'!FK18</f>
        <v>0.51146862231526791</v>
      </c>
      <c r="FA138" s="1"/>
      <c r="FB138" s="50">
        <f xml:space="preserve"> 'WK2015'!FW18</f>
        <v>234.74376799999999</v>
      </c>
      <c r="FC138" s="50">
        <f xml:space="preserve"> 'WK2015'!FX18</f>
        <v>264.7656604</v>
      </c>
      <c r="FD138" s="50">
        <f xml:space="preserve"> 'WK2015'!GA18</f>
        <v>234.74376799999999</v>
      </c>
      <c r="FE138" s="50">
        <f xml:space="preserve"> 'WK2015'!GB18</f>
        <v>264.7656604</v>
      </c>
      <c r="FF138" s="50">
        <f xml:space="preserve"> 'WK2015'!GC18</f>
        <v>234.74376799999999</v>
      </c>
      <c r="FG138" s="50">
        <f xml:space="preserve"> 'WK2015'!GD18</f>
        <v>264.7656604</v>
      </c>
      <c r="FH138" s="61">
        <f xml:space="preserve"> 'WK2015'!FY18</f>
        <v>0.51273753788808529</v>
      </c>
      <c r="FI138" s="1"/>
      <c r="FJ138" s="50">
        <f xml:space="preserve"> 'WK2015'!GK18</f>
        <v>52.116772499999996</v>
      </c>
      <c r="FK138" s="50">
        <f xml:space="preserve"> 'WK2015'!GL18</f>
        <v>24.148857749999998</v>
      </c>
      <c r="FL138" s="50">
        <f xml:space="preserve"> 'WK2015'!GO18</f>
        <v>52.116772499999996</v>
      </c>
      <c r="FM138" s="50">
        <f xml:space="preserve"> 'WK2015'!GP18</f>
        <v>24.148857749999998</v>
      </c>
      <c r="FN138" s="50">
        <f xml:space="preserve"> 'WK2015'!GQ18</f>
        <v>52.116772499999996</v>
      </c>
      <c r="FO138" s="50">
        <f xml:space="preserve"> 'WK2015'!GR18</f>
        <v>24.148857749999998</v>
      </c>
      <c r="FP138" s="61">
        <f xml:space="preserve"> 'WK2015'!GM18</f>
        <v>0.51130177582198832</v>
      </c>
      <c r="FS138" s="283">
        <f xml:space="preserve"> 'WK2015'!H18</f>
        <v>760.97506999999996</v>
      </c>
      <c r="FT138" s="283">
        <f xml:space="preserve"> 'WK2015'!I18</f>
        <v>528.11344200000008</v>
      </c>
      <c r="FU138" s="283">
        <f xml:space="preserve"> 'WK2015'!L18</f>
        <v>760.97506999999996</v>
      </c>
      <c r="FV138" s="283">
        <f xml:space="preserve"> 'WK2015'!M18</f>
        <v>528.11344200000008</v>
      </c>
      <c r="FW138" s="283">
        <f xml:space="preserve"> 'WK2015'!N18</f>
        <v>760.97506999999996</v>
      </c>
      <c r="FX138" s="283">
        <f xml:space="preserve"> 'WK2015'!O18</f>
        <v>528.11344200000008</v>
      </c>
      <c r="FY138" s="284">
        <f xml:space="preserve"> 'WK2015'!P18</f>
        <v>0.51220069572786986</v>
      </c>
      <c r="GA138" s="283">
        <f xml:space="preserve"> 'WK2015'!HB18</f>
        <v>570.81618900000001</v>
      </c>
      <c r="GB138" s="283">
        <f xml:space="preserve"> 'WK2015'!HC18</f>
        <v>300.34757200000001</v>
      </c>
      <c r="GC138" s="283">
        <f xml:space="preserve"> 'WK2015'!HF18</f>
        <v>570.81618900000001</v>
      </c>
      <c r="GD138" s="283">
        <f xml:space="preserve"> 'WK2015'!HG18</f>
        <v>300.34757200000001</v>
      </c>
      <c r="GE138" s="283">
        <f xml:space="preserve"> 'WK2015'!HH18</f>
        <v>570.81618900000001</v>
      </c>
      <c r="GF138" s="283">
        <f xml:space="preserve"> 'WK2015'!HI18</f>
        <v>300.34757200000001</v>
      </c>
      <c r="GG138" s="284">
        <f xml:space="preserve"> 'WK2015'!HJ18</f>
        <v>0.52102390274306243</v>
      </c>
      <c r="GI138" s="283">
        <f xml:space="preserve"> 'WK2015'!HQ18</f>
        <v>0</v>
      </c>
      <c r="GJ138" s="283">
        <f xml:space="preserve"> 'WK2015'!HR18</f>
        <v>107.56601099999999</v>
      </c>
      <c r="GK138" s="283">
        <f xml:space="preserve"> 'WK2015'!HU18</f>
        <v>0</v>
      </c>
      <c r="GL138" s="283">
        <f xml:space="preserve"> 'WK2015'!HV18</f>
        <v>107.56601099999999</v>
      </c>
      <c r="GM138" s="283">
        <f xml:space="preserve"> 'WK2015'!HW18</f>
        <v>0</v>
      </c>
      <c r="GN138" s="283">
        <f xml:space="preserve"> 'WK2015'!HX18</f>
        <v>107.56601099999999</v>
      </c>
      <c r="GO138" s="284">
        <f xml:space="preserve"> 'WK2015'!HY18</f>
        <v>0.33333333333333331</v>
      </c>
    </row>
    <row r="139" spans="1:197" x14ac:dyDescent="0.2">
      <c r="A139" s="3">
        <f>Basis!A139</f>
        <v>9</v>
      </c>
      <c r="H139" s="50">
        <f xml:space="preserve"> 'WK2012'!EG19</f>
        <v>1230.6437162689585</v>
      </c>
      <c r="I139" s="50">
        <f xml:space="preserve"> 'WK2012'!EH19</f>
        <v>1238.2298365527993</v>
      </c>
      <c r="J139" s="50">
        <f xml:space="preserve"> 'WK2012'!EK19</f>
        <v>1230.6713136243734</v>
      </c>
      <c r="K139" s="50">
        <f xml:space="preserve"> 'WK2012'!EL19</f>
        <v>1238.2075259521935</v>
      </c>
      <c r="L139" s="50">
        <f xml:space="preserve"> 'WK2012'!EM19</f>
        <v>1230.6437162689585</v>
      </c>
      <c r="M139" s="50">
        <f xml:space="preserve"> 'WK2012'!EN19</f>
        <v>1238.1799285967784</v>
      </c>
      <c r="N139" s="61">
        <f xml:space="preserve"> 'WK2012'!EI19</f>
        <v>0.51262549908561916</v>
      </c>
      <c r="P139" s="50">
        <f xml:space="preserve"> 'WK2012'!EU19</f>
        <v>954.57554503770803</v>
      </c>
      <c r="Q139" s="50">
        <f xml:space="preserve"> 'WK2012'!EV19</f>
        <v>877.28014359165149</v>
      </c>
      <c r="R139" s="50">
        <f xml:space="preserve"> 'WK2012'!EY19</f>
        <v>954.62475533396957</v>
      </c>
      <c r="S139" s="50">
        <f xml:space="preserve"> 'WK2012'!EZ19</f>
        <v>877.23254943458312</v>
      </c>
      <c r="T139" s="50">
        <f xml:space="preserve"> 'WK2012'!FA19</f>
        <v>954.57554503770803</v>
      </c>
      <c r="U139" s="50">
        <f xml:space="preserve"> 'WK2012'!FB19</f>
        <v>877.18333913832146</v>
      </c>
      <c r="V139" s="61">
        <f xml:space="preserve"> 'WK2012'!EW19</f>
        <v>0.51967925272105175</v>
      </c>
      <c r="X139" s="50">
        <f xml:space="preserve"> 'WK2012'!FI19</f>
        <v>544.71173580768493</v>
      </c>
      <c r="Y139" s="50">
        <f xml:space="preserve"> 'WK2012'!FJ19</f>
        <v>474.69706538862511</v>
      </c>
      <c r="Z139" s="50">
        <f xml:space="preserve"> 'WK2012'!FM19</f>
        <v>544.7189406499574</v>
      </c>
      <c r="AA139" s="50">
        <f xml:space="preserve"> 'WK2012'!FN19</f>
        <v>474.69009547479004</v>
      </c>
      <c r="AB139" s="50">
        <f xml:space="preserve"> 'WK2012'!FO19</f>
        <v>544.71173580768493</v>
      </c>
      <c r="AC139" s="50">
        <f xml:space="preserve"> 'WK2012'!FP19</f>
        <v>474.68289063251757</v>
      </c>
      <c r="AD139" s="61">
        <f xml:space="preserve"> 'WK2012'!FK19</f>
        <v>0.51130842563224699</v>
      </c>
      <c r="AF139" s="50">
        <f xml:space="preserve"> 'WK2012'!FW19</f>
        <v>67.366536827028611</v>
      </c>
      <c r="AG139" s="50">
        <f xml:space="preserve"> 'WK2012'!FX19</f>
        <v>9.3618217068139469</v>
      </c>
      <c r="AH139" s="50">
        <f xml:space="preserve"> 'WK2012'!GA19</f>
        <v>67.366536827028611</v>
      </c>
      <c r="AI139" s="50">
        <f xml:space="preserve"> 'WK2012'!GB19</f>
        <v>9.3618217068139469</v>
      </c>
      <c r="AJ139" s="50">
        <f xml:space="preserve"> 'WK2012'!GC19</f>
        <v>67.366536827028611</v>
      </c>
      <c r="AK139" s="50">
        <f xml:space="preserve"> 'WK2012'!GD19</f>
        <v>9.3618217068139469</v>
      </c>
      <c r="AL139" s="61">
        <f xml:space="preserve"> 'WK2012'!FY19</f>
        <v>0.51686129006000769</v>
      </c>
      <c r="AN139" s="50">
        <f xml:space="preserve"> 'WK2012'!GK19</f>
        <v>335.8631233932723</v>
      </c>
      <c r="AO139" s="50">
        <f xml:space="preserve"> 'WK2012'!GL19</f>
        <v>412.91241152675116</v>
      </c>
      <c r="AP139" s="50">
        <f xml:space="preserve"> 'WK2012'!GO19</f>
        <v>335.89072074868739</v>
      </c>
      <c r="AQ139" s="50">
        <f xml:space="preserve"> 'WK2012'!GP19</f>
        <v>412.89010092614524</v>
      </c>
      <c r="AR139" s="50">
        <f xml:space="preserve"> 'WK2012'!GQ19</f>
        <v>335.8631233932723</v>
      </c>
      <c r="AS139" s="50">
        <f xml:space="preserve"> 'WK2012'!GR19</f>
        <v>412.86250357073027</v>
      </c>
      <c r="AT139" s="61">
        <f xml:space="preserve"> 'WK2012'!GM19</f>
        <v>0.50940782264734275</v>
      </c>
      <c r="AX139" s="50">
        <f xml:space="preserve"> 'WK2013'!EG19</f>
        <v>1253.8947970000002</v>
      </c>
      <c r="AY139" s="50">
        <f xml:space="preserve"> 'WK2013'!EH19</f>
        <v>1055.6269514000001</v>
      </c>
      <c r="AZ139" s="50">
        <f xml:space="preserve"> 'WK2013'!EK19</f>
        <v>1253.8947970000002</v>
      </c>
      <c r="BA139" s="50">
        <f xml:space="preserve"> 'WK2013'!EL19</f>
        <v>1055.6269514000001</v>
      </c>
      <c r="BB139" s="50">
        <f xml:space="preserve"> 'WK2013'!EM19</f>
        <v>1253.8947970000002</v>
      </c>
      <c r="BC139" s="50">
        <f xml:space="preserve"> 'WK2013'!EN19</f>
        <v>1055.6269514000001</v>
      </c>
      <c r="BD139" s="50">
        <f xml:space="preserve"> 'WK2013'!EI19</f>
        <v>0.4749739745488335</v>
      </c>
      <c r="BF139" s="50">
        <f xml:space="preserve"> 'WK2013'!EU19</f>
        <v>1013.3332639999999</v>
      </c>
      <c r="BG139" s="50">
        <f xml:space="preserve"> 'WK2013'!EV19</f>
        <v>872.82191060000014</v>
      </c>
      <c r="BH139" s="50">
        <f xml:space="preserve"> 'WK2013'!EY19</f>
        <v>1013.3332639999999</v>
      </c>
      <c r="BI139" s="50">
        <f xml:space="preserve"> 'WK2013'!EZ19</f>
        <v>872.82191060000014</v>
      </c>
      <c r="BJ139" s="50">
        <f xml:space="preserve"> 'WK2013'!FA19</f>
        <v>1013.3332639999999</v>
      </c>
      <c r="BK139" s="50">
        <f xml:space="preserve"> 'WK2013'!FB19</f>
        <v>872.82191060000014</v>
      </c>
      <c r="BL139" s="61">
        <f xml:space="preserve"> 'WK2013'!EW19</f>
        <v>0.51132004162983435</v>
      </c>
      <c r="BN139" s="50">
        <f xml:space="preserve"> 'WK2013'!FI19</f>
        <v>613.25868839999998</v>
      </c>
      <c r="BO139" s="50">
        <f xml:space="preserve"> 'WK2013'!FJ19</f>
        <v>456.50390759999999</v>
      </c>
      <c r="BP139" s="50">
        <f xml:space="preserve"> 'WK2013'!FM19</f>
        <v>613.25868839999998</v>
      </c>
      <c r="BQ139" s="50">
        <f xml:space="preserve"> 'WK2013'!FN19</f>
        <v>456.50390759999999</v>
      </c>
      <c r="BR139" s="50">
        <f xml:space="preserve"> 'WK2013'!FO19</f>
        <v>613.25868839999998</v>
      </c>
      <c r="BS139" s="50">
        <f xml:space="preserve"> 'WK2013'!FP19</f>
        <v>456.50390759999999</v>
      </c>
      <c r="BT139" s="61">
        <f xml:space="preserve"> 'WK2013'!FK19</f>
        <v>0.51316917815029117</v>
      </c>
      <c r="BV139" s="50">
        <f xml:space="preserve"> 'WK2013'!FW19</f>
        <v>301.415663</v>
      </c>
      <c r="BW139" s="50">
        <f xml:space="preserve"> 'WK2013'!FX19</f>
        <v>373.90482940000004</v>
      </c>
      <c r="BX139" s="50">
        <f xml:space="preserve"> 'WK2013'!GA19</f>
        <v>301.415663</v>
      </c>
      <c r="BY139" s="50">
        <f xml:space="preserve"> 'WK2013'!GB19</f>
        <v>373.90482940000004</v>
      </c>
      <c r="BZ139" s="50">
        <f xml:space="preserve"> 'WK2013'!GC19</f>
        <v>301.415663</v>
      </c>
      <c r="CA139" s="50">
        <f xml:space="preserve"> 'WK2013'!GD19</f>
        <v>373.90482940000004</v>
      </c>
      <c r="CB139" s="61">
        <f xml:space="preserve"> 'WK2013'!FY19</f>
        <v>0.51184912530889948</v>
      </c>
      <c r="CD139" s="50">
        <f xml:space="preserve"> 'WK2013'!GK19</f>
        <v>41.469578999999996</v>
      </c>
      <c r="CE139" s="50">
        <f xml:space="preserve"> 'WK2013'!GL19</f>
        <v>29.301755249999999</v>
      </c>
      <c r="CF139" s="50">
        <f xml:space="preserve"> 'WK2013'!GO19</f>
        <v>41.469578999999996</v>
      </c>
      <c r="CG139" s="50">
        <f xml:space="preserve"> 'WK2013'!GP19</f>
        <v>29.301755249999999</v>
      </c>
      <c r="CH139" s="50">
        <f xml:space="preserve"> 'WK2013'!GQ19</f>
        <v>41.469578999999996</v>
      </c>
      <c r="CI139" s="50">
        <f xml:space="preserve"> 'WK2013'!GR19</f>
        <v>29.301755249999999</v>
      </c>
      <c r="CJ139" s="61">
        <f xml:space="preserve"> 'WK2013'!GM19</f>
        <v>0.5136019008902214</v>
      </c>
      <c r="CN139" s="50">
        <f xml:space="preserve"> 'WK2014'!EG19</f>
        <v>1238.7378288000002</v>
      </c>
      <c r="CO139" s="50">
        <f xml:space="preserve"> 'WK2014'!EH19</f>
        <v>1043.3350536</v>
      </c>
      <c r="CP139" s="50">
        <f xml:space="preserve"> 'WK2014'!EK19</f>
        <v>1238.7381252643918</v>
      </c>
      <c r="CQ139" s="50">
        <f xml:space="preserve"> 'WK2014'!EL19</f>
        <v>1043.3348532643918</v>
      </c>
      <c r="CR139" s="50">
        <f xml:space="preserve"> 'WK2014'!EM19</f>
        <v>1238.7378288000002</v>
      </c>
      <c r="CS139" s="50">
        <f xml:space="preserve"> 'WK2014'!EN19</f>
        <v>1043.3345568</v>
      </c>
      <c r="CT139" s="61">
        <f xml:space="preserve"> 'WK2014'!EI19</f>
        <v>0.51418570459433421</v>
      </c>
      <c r="CV139" s="50">
        <f xml:space="preserve"> 'WK2014'!EU19</f>
        <v>1001.5348027</v>
      </c>
      <c r="CW139" s="50">
        <f xml:space="preserve"> 'WK2014'!EV19</f>
        <v>849.96521240000004</v>
      </c>
      <c r="CX139" s="50">
        <f xml:space="preserve"> 'WK2014'!EY19</f>
        <v>1001.5350621063427</v>
      </c>
      <c r="CY139" s="50">
        <f xml:space="preserve"> 'WK2014'!EZ19</f>
        <v>849.96503710634272</v>
      </c>
      <c r="CZ139" s="50">
        <f xml:space="preserve"> 'WK2014'!FA19</f>
        <v>1001.5348027</v>
      </c>
      <c r="DA139" s="50">
        <f xml:space="preserve"> 'WK2014'!FB19</f>
        <v>849.96477770000001</v>
      </c>
      <c r="DB139" s="61">
        <f xml:space="preserve"> 'WK2014'!EW19</f>
        <v>0.51108374575457693</v>
      </c>
      <c r="DC139" s="1"/>
      <c r="DD139" s="50">
        <f xml:space="preserve"> 'WK2014'!FI19</f>
        <v>688.96081679999998</v>
      </c>
      <c r="DE139" s="50">
        <f xml:space="preserve"> 'WK2014'!FJ19</f>
        <v>487.28844379999998</v>
      </c>
      <c r="DF139" s="50">
        <f xml:space="preserve"> 'WK2014'!FM19</f>
        <v>688.96081679999998</v>
      </c>
      <c r="DG139" s="50">
        <f xml:space="preserve"> 'WK2014'!FN19</f>
        <v>487.28844379999998</v>
      </c>
      <c r="DH139" s="50">
        <f xml:space="preserve"> 'WK2014'!FO19</f>
        <v>688.96081679999998</v>
      </c>
      <c r="DI139" s="50">
        <f xml:space="preserve"> 'WK2014'!FP19</f>
        <v>487.28844379999998</v>
      </c>
      <c r="DJ139" s="61">
        <f xml:space="preserve"> 'WK2014'!FK19</f>
        <v>0.51455276009398698</v>
      </c>
      <c r="DK139" s="1"/>
      <c r="DL139" s="50">
        <f xml:space="preserve"> 'WK2014'!FW19</f>
        <v>299.83060079999996</v>
      </c>
      <c r="DM139" s="50">
        <f xml:space="preserve"> 'WK2014'!FX19</f>
        <v>370.71537360000002</v>
      </c>
      <c r="DN139" s="50">
        <f xml:space="preserve"> 'WK2014'!GA19</f>
        <v>299.83089726439169</v>
      </c>
      <c r="DO139" s="50">
        <f xml:space="preserve"> 'WK2014'!GB19</f>
        <v>370.71517326439169</v>
      </c>
      <c r="DP139" s="50">
        <f xml:space="preserve"> 'WK2014'!GC19</f>
        <v>299.83060079999996</v>
      </c>
      <c r="DQ139" s="50">
        <f xml:space="preserve"> 'WK2014'!GD19</f>
        <v>370.71487679999996</v>
      </c>
      <c r="DR139" s="61">
        <f xml:space="preserve"> 'WK2014'!FY19</f>
        <v>0.51161614025698032</v>
      </c>
      <c r="DS139" s="1"/>
      <c r="DT139" s="50">
        <f xml:space="preserve"> 'WK2014'!GK19</f>
        <v>35.266148999999999</v>
      </c>
      <c r="DU139" s="50">
        <f xml:space="preserve"> 'WK2014'!GL19</f>
        <v>27.030977999999998</v>
      </c>
      <c r="DV139" s="50">
        <f xml:space="preserve"> 'WK2014'!GO19</f>
        <v>35.266148999999999</v>
      </c>
      <c r="DW139" s="50">
        <f xml:space="preserve"> 'WK2014'!GP19</f>
        <v>27.030977999999998</v>
      </c>
      <c r="DX139" s="50">
        <f xml:space="preserve"> 'WK2014'!GQ19</f>
        <v>35.266148999999999</v>
      </c>
      <c r="DY139" s="50">
        <f xml:space="preserve"> 'WK2014'!GR19</f>
        <v>27.030977999999998</v>
      </c>
      <c r="DZ139" s="61">
        <f xml:space="preserve"> 'WK2014'!GM19</f>
        <v>0.51600632403139246</v>
      </c>
      <c r="ED139" s="50">
        <f xml:space="preserve"> 'WK2015'!EG19</f>
        <v>1223.2736098</v>
      </c>
      <c r="EE139" s="50">
        <f xml:space="preserve"> 'WK2015'!EH19</f>
        <v>1011.0438448000001</v>
      </c>
      <c r="EF139" s="50">
        <f xml:space="preserve"> 'WK2015'!EK19</f>
        <v>1223.2739213344357</v>
      </c>
      <c r="EG139" s="50">
        <f xml:space="preserve"> 'WK2015'!EL19</f>
        <v>1011.0436227344358</v>
      </c>
      <c r="EH139" s="50">
        <f xml:space="preserve"> 'WK2015'!EM19</f>
        <v>1223.2736098</v>
      </c>
      <c r="EI139" s="50">
        <f xml:space="preserve"> 'WK2015'!EN19</f>
        <v>1011.0433112000001</v>
      </c>
      <c r="EJ139" s="61">
        <f xml:space="preserve"> 'WK2015'!EI19</f>
        <v>0.50972039171209094</v>
      </c>
      <c r="EK139" s="1"/>
      <c r="EL139" s="50">
        <f xml:space="preserve"> 'WK2015'!EU19</f>
        <v>1028.2111832000001</v>
      </c>
      <c r="EM139" s="50">
        <f xml:space="preserve"> 'WK2015'!EV19</f>
        <v>838.95977170000003</v>
      </c>
      <c r="EN139" s="50">
        <f xml:space="preserve"> 'WK2015'!EY19</f>
        <v>1028.2114557926313</v>
      </c>
      <c r="EO139" s="50">
        <f xml:space="preserve"> 'WK2015'!EZ19</f>
        <v>838.95957739263133</v>
      </c>
      <c r="EP139" s="50">
        <f xml:space="preserve"> 'WK2015'!FA19</f>
        <v>1028.2111832000001</v>
      </c>
      <c r="EQ139" s="50">
        <f xml:space="preserve"> 'WK2015'!FB19</f>
        <v>838.95930480000004</v>
      </c>
      <c r="ER139" s="61">
        <f xml:space="preserve"> 'WK2015'!EW19</f>
        <v>0.51348180733918625</v>
      </c>
      <c r="ES139" s="1"/>
      <c r="ET139" s="50">
        <f xml:space="preserve"> 'WK2015'!FI19</f>
        <v>759.68421959999989</v>
      </c>
      <c r="EU139" s="50">
        <f xml:space="preserve"> 'WK2015'!FJ19</f>
        <v>499.11924740000001</v>
      </c>
      <c r="EV139" s="50">
        <f xml:space="preserve"> 'WK2015'!FM19</f>
        <v>759.68421959999989</v>
      </c>
      <c r="EW139" s="50">
        <f xml:space="preserve"> 'WK2015'!FN19</f>
        <v>499.11924740000001</v>
      </c>
      <c r="EX139" s="50">
        <f xml:space="preserve"> 'WK2015'!FO19</f>
        <v>759.68421959999989</v>
      </c>
      <c r="EY139" s="50">
        <f xml:space="preserve"> 'WK2015'!FP19</f>
        <v>499.11924740000001</v>
      </c>
      <c r="EZ139" s="61">
        <f xml:space="preserve"> 'WK2015'!FK19</f>
        <v>0.51300001928532746</v>
      </c>
      <c r="FA139" s="1"/>
      <c r="FB139" s="50">
        <f xml:space="preserve"> 'WK2015'!FW19</f>
        <v>303.27508480000006</v>
      </c>
      <c r="FC139" s="50">
        <f xml:space="preserve"> 'WK2015'!FX19</f>
        <v>361.83354280000003</v>
      </c>
      <c r="FD139" s="50">
        <f xml:space="preserve"> 'WK2015'!GA19</f>
        <v>303.2753963344357</v>
      </c>
      <c r="FE139" s="50">
        <f xml:space="preserve"> 'WK2015'!GB19</f>
        <v>361.83332073443569</v>
      </c>
      <c r="FF139" s="50">
        <f xml:space="preserve"> 'WK2015'!GC19</f>
        <v>303.27508480000006</v>
      </c>
      <c r="FG139" s="50">
        <f xml:space="preserve"> 'WK2015'!GD19</f>
        <v>361.83300919999999</v>
      </c>
      <c r="FH139" s="61">
        <f xml:space="preserve"> 'WK2015'!FY19</f>
        <v>0.51188245645314234</v>
      </c>
      <c r="FI139" s="1"/>
      <c r="FJ139" s="50">
        <f xml:space="preserve"> 'WK2015'!GK19</f>
        <v>40.672106999999997</v>
      </c>
      <c r="FK139" s="50">
        <f xml:space="preserve"> 'WK2015'!GL19</f>
        <v>29.964142500000012</v>
      </c>
      <c r="FL139" s="50">
        <f xml:space="preserve"> 'WK2015'!GO19</f>
        <v>40.672106999999997</v>
      </c>
      <c r="FM139" s="50">
        <f xml:space="preserve"> 'WK2015'!GP19</f>
        <v>29.964142500000012</v>
      </c>
      <c r="FN139" s="50">
        <f xml:space="preserve"> 'WK2015'!GQ19</f>
        <v>40.672106999999997</v>
      </c>
      <c r="FO139" s="50">
        <f xml:space="preserve"> 'WK2015'!GR19</f>
        <v>29.964142500000012</v>
      </c>
      <c r="FP139" s="61">
        <f xml:space="preserve"> 'WK2015'!GM19</f>
        <v>0.50891113145776756</v>
      </c>
      <c r="FS139" s="283">
        <f xml:space="preserve"> 'WK2015'!H19</f>
        <v>739.71049499999992</v>
      </c>
      <c r="FT139" s="283">
        <f xml:space="preserve"> 'WK2015'!I19</f>
        <v>527.57289600000001</v>
      </c>
      <c r="FU139" s="283">
        <f xml:space="preserve"> 'WK2015'!L19</f>
        <v>739.71049499999992</v>
      </c>
      <c r="FV139" s="283">
        <f xml:space="preserve"> 'WK2015'!M19</f>
        <v>527.57289600000001</v>
      </c>
      <c r="FW139" s="283">
        <f xml:space="preserve"> 'WK2015'!N19</f>
        <v>739.71049499999992</v>
      </c>
      <c r="FX139" s="283">
        <f xml:space="preserve"> 'WK2015'!O19</f>
        <v>527.57289600000001</v>
      </c>
      <c r="FY139" s="284">
        <f xml:space="preserve"> 'WK2015'!P19</f>
        <v>0.50655027557022736</v>
      </c>
      <c r="GA139" s="283">
        <f xml:space="preserve"> 'WK2015'!HB19</f>
        <v>566.94112799999994</v>
      </c>
      <c r="GB139" s="283">
        <f xml:space="preserve"> 'WK2015'!HC19</f>
        <v>311.61739499999999</v>
      </c>
      <c r="GC139" s="283">
        <f xml:space="preserve"> 'WK2015'!HF19</f>
        <v>566.94112799999994</v>
      </c>
      <c r="GD139" s="283">
        <f xml:space="preserve"> 'WK2015'!HG19</f>
        <v>311.61739499999999</v>
      </c>
      <c r="GE139" s="283">
        <f xml:space="preserve"> 'WK2015'!HH19</f>
        <v>566.94112799999994</v>
      </c>
      <c r="GF139" s="283">
        <f xml:space="preserve"> 'WK2015'!HI19</f>
        <v>311.61739499999999</v>
      </c>
      <c r="GG139" s="284">
        <f xml:space="preserve"> 'WK2015'!HJ19</f>
        <v>0.55171627282974833</v>
      </c>
      <c r="GI139" s="283">
        <f xml:space="preserve"> 'WK2015'!HQ19</f>
        <v>0</v>
      </c>
      <c r="GJ139" s="283">
        <f xml:space="preserve"> 'WK2015'!HR19</f>
        <v>117.72545399999998</v>
      </c>
      <c r="GK139" s="283">
        <f xml:space="preserve"> 'WK2015'!HU19</f>
        <v>0</v>
      </c>
      <c r="GL139" s="283">
        <f xml:space="preserve"> 'WK2015'!HV19</f>
        <v>117.72545399999998</v>
      </c>
      <c r="GM139" s="283">
        <f xml:space="preserve"> 'WK2015'!HW19</f>
        <v>0</v>
      </c>
      <c r="GN139" s="283">
        <f xml:space="preserve"> 'WK2015'!HX19</f>
        <v>117.72545399999998</v>
      </c>
      <c r="GO139" s="284">
        <f xml:space="preserve"> 'WK2015'!HY19</f>
        <v>0.66666666666666663</v>
      </c>
    </row>
    <row r="140" spans="1:197" x14ac:dyDescent="0.2">
      <c r="A140" s="3">
        <f>Basis!A140</f>
        <v>10</v>
      </c>
      <c r="H140" s="50">
        <f xml:space="preserve"> 'WK2012'!EG20</f>
        <v>1310.8324870141473</v>
      </c>
      <c r="I140" s="50">
        <f xml:space="preserve"> 'WK2012'!EH20</f>
        <v>1404.6575536518885</v>
      </c>
      <c r="J140" s="50">
        <f xml:space="preserve"> 'WK2012'!EK20</f>
        <v>1310.8680757509796</v>
      </c>
      <c r="K140" s="50">
        <f xml:space="preserve"> 'WK2012'!EL20</f>
        <v>1404.629019685907</v>
      </c>
      <c r="L140" s="50">
        <f xml:space="preserve"> 'WK2012'!EM20</f>
        <v>1310.8324870141473</v>
      </c>
      <c r="M140" s="50">
        <f xml:space="preserve"> 'WK2012'!EN20</f>
        <v>1404.5934309490747</v>
      </c>
      <c r="N140" s="61">
        <f xml:space="preserve"> 'WK2012'!EI20</f>
        <v>0.50948507144975075</v>
      </c>
      <c r="P140" s="50">
        <f xml:space="preserve"> 'WK2012'!EU20</f>
        <v>1028.8415403745043</v>
      </c>
      <c r="Q140" s="50">
        <f xml:space="preserve"> 'WK2012'!EV20</f>
        <v>1019.8390504106094</v>
      </c>
      <c r="R140" s="50">
        <f xml:space="preserve"> 'WK2012'!EY20</f>
        <v>1028.9588428318289</v>
      </c>
      <c r="S140" s="50">
        <f xml:space="preserve"> 'WK2012'!EZ20</f>
        <v>1019.7237381139437</v>
      </c>
      <c r="T140" s="50">
        <f xml:space="preserve"> 'WK2012'!FA20</f>
        <v>1028.8415403745043</v>
      </c>
      <c r="U140" s="50">
        <f xml:space="preserve"> 'WK2012'!FB20</f>
        <v>1019.6064356566194</v>
      </c>
      <c r="V140" s="61">
        <f xml:space="preserve"> 'WK2012'!EW20</f>
        <v>0.51746008314118985</v>
      </c>
      <c r="X140" s="50">
        <f xml:space="preserve"> 'WK2012'!FI20</f>
        <v>596.53637136439045</v>
      </c>
      <c r="Y140" s="50">
        <f xml:space="preserve"> 'WK2012'!FJ20</f>
        <v>563.91803170860169</v>
      </c>
      <c r="Z140" s="50">
        <f xml:space="preserve"> 'WK2012'!FM20</f>
        <v>596.54745037294072</v>
      </c>
      <c r="AA140" s="50">
        <f xml:space="preserve"> 'WK2012'!FN20</f>
        <v>563.90751546972569</v>
      </c>
      <c r="AB140" s="50">
        <f xml:space="preserve"> 'WK2012'!FO20</f>
        <v>596.53637136439045</v>
      </c>
      <c r="AC140" s="50">
        <f xml:space="preserve"> 'WK2012'!FP20</f>
        <v>563.89643646117531</v>
      </c>
      <c r="AD140" s="61">
        <f xml:space="preserve"> 'WK2012'!FK20</f>
        <v>0.50940497732520329</v>
      </c>
      <c r="AF140" s="50">
        <f xml:space="preserve"> 'WK2012'!FW20</f>
        <v>63.189515333564415</v>
      </c>
      <c r="AG140" s="50">
        <f xml:space="preserve"> 'WK2012'!FX20</f>
        <v>15.474949770701544</v>
      </c>
      <c r="AH140" s="50">
        <f xml:space="preserve"> 'WK2012'!GA20</f>
        <v>63.189515333564415</v>
      </c>
      <c r="AI140" s="50">
        <f xml:space="preserve"> 'WK2012'!GB20</f>
        <v>15.474949770701544</v>
      </c>
      <c r="AJ140" s="50">
        <f xml:space="preserve"> 'WK2012'!GC20</f>
        <v>63.189515333564415</v>
      </c>
      <c r="AK140" s="50">
        <f xml:space="preserve"> 'WK2012'!GD20</f>
        <v>15.474949770701544</v>
      </c>
      <c r="AL140" s="61">
        <f xml:space="preserve"> 'WK2012'!FY20</f>
        <v>0.51414938126675813</v>
      </c>
      <c r="AN140" s="50">
        <f xml:space="preserve"> 'WK2012'!GK20</f>
        <v>430.17542395723984</v>
      </c>
      <c r="AO140" s="50">
        <f xml:space="preserve"> 'WK2012'!GL20</f>
        <v>548.39248296618416</v>
      </c>
      <c r="AP140" s="50">
        <f xml:space="preserve"> 'WK2012'!GO20</f>
        <v>430.21101269407205</v>
      </c>
      <c r="AQ140" s="50">
        <f xml:space="preserve"> 'WK2012'!GP20</f>
        <v>548.36394900020252</v>
      </c>
      <c r="AR140" s="50">
        <f xml:space="preserve"> 'WK2012'!GQ20</f>
        <v>430.17542395723984</v>
      </c>
      <c r="AS140" s="50">
        <f xml:space="preserve"> 'WK2012'!GR20</f>
        <v>548.3283602633702</v>
      </c>
      <c r="AT140" s="61">
        <f xml:space="preserve"> 'WK2012'!GM20</f>
        <v>0.50751326076420111</v>
      </c>
      <c r="AX140" s="50">
        <f xml:space="preserve"> 'WK2013'!EG20</f>
        <v>1327.1220102</v>
      </c>
      <c r="AY140" s="50">
        <f xml:space="preserve"> 'WK2013'!EH20</f>
        <v>1206.7817726000001</v>
      </c>
      <c r="AZ140" s="50">
        <f xml:space="preserve"> 'WK2013'!EK20</f>
        <v>1327.1221059255581</v>
      </c>
      <c r="BA140" s="50">
        <f xml:space="preserve"> 'WK2013'!EL20</f>
        <v>1206.7817083255582</v>
      </c>
      <c r="BB140" s="50">
        <f xml:space="preserve"> 'WK2013'!EM20</f>
        <v>1327.1220102</v>
      </c>
      <c r="BC140" s="50">
        <f xml:space="preserve"> 'WK2013'!EN20</f>
        <v>1206.7816126</v>
      </c>
      <c r="BD140" s="50">
        <f xml:space="preserve"> 'WK2013'!EI20</f>
        <v>0.47791019423808961</v>
      </c>
      <c r="BF140" s="50">
        <f xml:space="preserve"> 'WK2013'!EU20</f>
        <v>1090.0677857999999</v>
      </c>
      <c r="BG140" s="50">
        <f xml:space="preserve"> 'WK2013'!EV20</f>
        <v>1004.4364263999998</v>
      </c>
      <c r="BH140" s="50">
        <f xml:space="preserve"> 'WK2013'!EY20</f>
        <v>1090.0678695598633</v>
      </c>
      <c r="BI140" s="50">
        <f xml:space="preserve"> 'WK2013'!EZ20</f>
        <v>1004.4363701598634</v>
      </c>
      <c r="BJ140" s="50">
        <f xml:space="preserve"> 'WK2013'!FA20</f>
        <v>1090.0677857999999</v>
      </c>
      <c r="BK140" s="50">
        <f xml:space="preserve"> 'WK2013'!FB20</f>
        <v>1004.4362864</v>
      </c>
      <c r="BL140" s="61">
        <f xml:space="preserve"> 'WK2013'!EW20</f>
        <v>0.51764703176885485</v>
      </c>
      <c r="BN140" s="50">
        <f xml:space="preserve"> 'WK2013'!FI20</f>
        <v>663.33848260000002</v>
      </c>
      <c r="BO140" s="50">
        <f xml:space="preserve"> 'WK2013'!FJ20</f>
        <v>542.31849219999992</v>
      </c>
      <c r="BP140" s="50">
        <f xml:space="preserve"> 'WK2013'!FM20</f>
        <v>663.33848260000002</v>
      </c>
      <c r="BQ140" s="50">
        <f xml:space="preserve"> 'WK2013'!FN20</f>
        <v>542.31849219999992</v>
      </c>
      <c r="BR140" s="50">
        <f xml:space="preserve"> 'WK2013'!FO20</f>
        <v>663.33848260000002</v>
      </c>
      <c r="BS140" s="50">
        <f xml:space="preserve"> 'WK2013'!FP20</f>
        <v>542.31849219999992</v>
      </c>
      <c r="BT140" s="61">
        <f xml:space="preserve"> 'WK2013'!FK20</f>
        <v>0.51764347203674077</v>
      </c>
      <c r="BV140" s="50">
        <f xml:space="preserve"> 'WK2013'!FW20</f>
        <v>385.88033719999999</v>
      </c>
      <c r="BW140" s="50">
        <f xml:space="preserve"> 'WK2013'!FX20</f>
        <v>497.88384560000003</v>
      </c>
      <c r="BX140" s="50">
        <f xml:space="preserve"> 'WK2013'!GA20</f>
        <v>385.88043292555824</v>
      </c>
      <c r="BY140" s="50">
        <f xml:space="preserve"> 'WK2013'!GB20</f>
        <v>497.88378132555829</v>
      </c>
      <c r="BZ140" s="50">
        <f xml:space="preserve"> 'WK2013'!GC20</f>
        <v>385.88033719999999</v>
      </c>
      <c r="CA140" s="50">
        <f xml:space="preserve"> 'WK2013'!GD20</f>
        <v>497.88368560000004</v>
      </c>
      <c r="CB140" s="61">
        <f xml:space="preserve"> 'WK2013'!FY20</f>
        <v>0.5169746799545637</v>
      </c>
      <c r="CD140" s="50">
        <f xml:space="preserve"> 'WK2013'!GK20</f>
        <v>39.83328525000001</v>
      </c>
      <c r="CE140" s="50">
        <f xml:space="preserve"> 'WK2013'!GL20</f>
        <v>38.935641750000002</v>
      </c>
      <c r="CF140" s="50">
        <f xml:space="preserve"> 'WK2013'!GO20</f>
        <v>39.83328525000001</v>
      </c>
      <c r="CG140" s="50">
        <f xml:space="preserve"> 'WK2013'!GP20</f>
        <v>38.935641750000002</v>
      </c>
      <c r="CH140" s="50">
        <f xml:space="preserve"> 'WK2013'!GQ20</f>
        <v>39.83328525000001</v>
      </c>
      <c r="CI140" s="50">
        <f xml:space="preserve"> 'WK2013'!GR20</f>
        <v>38.935641750000002</v>
      </c>
      <c r="CJ140" s="61">
        <f xml:space="preserve"> 'WK2013'!GM20</f>
        <v>0.51711183327684496</v>
      </c>
      <c r="CN140" s="50">
        <f xml:space="preserve"> 'WK2014'!EG20</f>
        <v>1304.3966356000001</v>
      </c>
      <c r="CO140" s="50">
        <f xml:space="preserve"> 'WK2014'!EH20</f>
        <v>1197.2404572</v>
      </c>
      <c r="CP140" s="50">
        <f xml:space="preserve"> 'WK2014'!EK20</f>
        <v>1304.3973868541627</v>
      </c>
      <c r="CQ140" s="50">
        <f xml:space="preserve"> 'WK2014'!EL20</f>
        <v>1197.2399556541625</v>
      </c>
      <c r="CR140" s="50">
        <f xml:space="preserve"> 'WK2014'!EM20</f>
        <v>1304.3966356000001</v>
      </c>
      <c r="CS140" s="50">
        <f xml:space="preserve"> 'WK2014'!EN20</f>
        <v>1197.2392043999998</v>
      </c>
      <c r="CT140" s="61">
        <f xml:space="preserve"> 'WK2014'!EI20</f>
        <v>0.51069297689132109</v>
      </c>
      <c r="CV140" s="50">
        <f xml:space="preserve"> 'WK2014'!EU20</f>
        <v>1093.7176403999999</v>
      </c>
      <c r="CW140" s="50">
        <f xml:space="preserve"> 'WK2014'!EV20</f>
        <v>984.42033179999987</v>
      </c>
      <c r="CX140" s="50">
        <f xml:space="preserve"> 'WK2014'!EY20</f>
        <v>1093.7182977473922</v>
      </c>
      <c r="CY140" s="50">
        <f xml:space="preserve"> 'WK2014'!EZ20</f>
        <v>984.4198929473921</v>
      </c>
      <c r="CZ140" s="50">
        <f xml:space="preserve"> 'WK2014'!FA20</f>
        <v>1093.7176403999999</v>
      </c>
      <c r="DA140" s="50">
        <f xml:space="preserve"> 'WK2014'!FB20</f>
        <v>984.41923559999987</v>
      </c>
      <c r="DB140" s="61">
        <f xml:space="preserve"> 'WK2014'!EW20</f>
        <v>0.50918471706723034</v>
      </c>
      <c r="DC140" s="1"/>
      <c r="DD140" s="50">
        <f xml:space="preserve"> 'WK2014'!FI20</f>
        <v>736.53537440000002</v>
      </c>
      <c r="DE140" s="50">
        <f xml:space="preserve"> 'WK2014'!FJ20</f>
        <v>574.87234699999999</v>
      </c>
      <c r="DF140" s="50">
        <f xml:space="preserve"> 'WK2014'!FM20</f>
        <v>736.53537440000002</v>
      </c>
      <c r="DG140" s="50">
        <f xml:space="preserve"> 'WK2014'!FN20</f>
        <v>574.87234699999999</v>
      </c>
      <c r="DH140" s="50">
        <f xml:space="preserve"> 'WK2014'!FO20</f>
        <v>736.53537440000002</v>
      </c>
      <c r="DI140" s="50">
        <f xml:space="preserve"> 'WK2014'!FP20</f>
        <v>574.87234699999999</v>
      </c>
      <c r="DJ140" s="61">
        <f xml:space="preserve"> 'WK2014'!FK20</f>
        <v>0.51123621352760629</v>
      </c>
      <c r="DK140" s="1"/>
      <c r="DL140" s="50">
        <f xml:space="preserve"> 'WK2014'!FW20</f>
        <v>383.25494160000005</v>
      </c>
      <c r="DM140" s="50">
        <f xml:space="preserve"> 'WK2014'!FX20</f>
        <v>495.02076320000003</v>
      </c>
      <c r="DN140" s="50">
        <f xml:space="preserve"> 'WK2014'!GA20</f>
        <v>383.25569285416259</v>
      </c>
      <c r="DO140" s="50">
        <f xml:space="preserve"> 'WK2014'!GB20</f>
        <v>495.02026165416254</v>
      </c>
      <c r="DP140" s="50">
        <f xml:space="preserve"> 'WK2014'!GC20</f>
        <v>383.25494160000005</v>
      </c>
      <c r="DQ140" s="50">
        <f xml:space="preserve"> 'WK2014'!GD20</f>
        <v>495.0195104</v>
      </c>
      <c r="DR140" s="61">
        <f xml:space="preserve"> 'WK2014'!FY20</f>
        <v>0.50998236342656822</v>
      </c>
      <c r="DS140" s="1"/>
      <c r="DT140" s="50">
        <f xml:space="preserve"> 'WK2014'!GK20</f>
        <v>31.396287000000001</v>
      </c>
      <c r="DU140" s="50">
        <f xml:space="preserve"> 'WK2014'!GL20</f>
        <v>32.099860500000005</v>
      </c>
      <c r="DV140" s="50">
        <f xml:space="preserve"> 'WK2014'!GO20</f>
        <v>31.396287000000001</v>
      </c>
      <c r="DW140" s="50">
        <f xml:space="preserve"> 'WK2014'!GP20</f>
        <v>32.099860500000005</v>
      </c>
      <c r="DX140" s="50">
        <f xml:space="preserve"> 'WK2014'!GQ20</f>
        <v>31.396287000000001</v>
      </c>
      <c r="DY140" s="50">
        <f xml:space="preserve"> 'WK2014'!GR20</f>
        <v>32.099860500000005</v>
      </c>
      <c r="DZ140" s="61">
        <f xml:space="preserve"> 'WK2014'!GM20</f>
        <v>0.51275755944792067</v>
      </c>
      <c r="ED140" s="50">
        <f xml:space="preserve"> 'WK2015'!EG20</f>
        <v>1287.9481058000001</v>
      </c>
      <c r="EE140" s="50">
        <f xml:space="preserve"> 'WK2015'!EH20</f>
        <v>1159.794547</v>
      </c>
      <c r="EF140" s="50">
        <f xml:space="preserve"> 'WK2015'!EK20</f>
        <v>1287.9489287465701</v>
      </c>
      <c r="EG140" s="50">
        <f xml:space="preserve"> 'WK2015'!EL20</f>
        <v>1159.7939779465701</v>
      </c>
      <c r="EH140" s="50">
        <f xml:space="preserve"> 'WK2015'!EM20</f>
        <v>1287.9481058000001</v>
      </c>
      <c r="EI140" s="50">
        <f xml:space="preserve"> 'WK2015'!EN20</f>
        <v>1159.7931550000001</v>
      </c>
      <c r="EJ140" s="61">
        <f xml:space="preserve"> 'WK2015'!EI20</f>
        <v>0.51356239900176659</v>
      </c>
      <c r="EK140" s="1"/>
      <c r="EL140" s="50">
        <f xml:space="preserve"> 'WK2015'!EU20</f>
        <v>1112.4015557</v>
      </c>
      <c r="EM140" s="50">
        <f xml:space="preserve"> 'WK2015'!EV20</f>
        <v>985.79737049999994</v>
      </c>
      <c r="EN140" s="50">
        <f xml:space="preserve"> 'WK2015'!EY20</f>
        <v>1112.4022757782488</v>
      </c>
      <c r="EO140" s="50">
        <f xml:space="preserve"> 'WK2015'!EZ20</f>
        <v>985.79687257824867</v>
      </c>
      <c r="EP140" s="50">
        <f xml:space="preserve"> 'WK2015'!FA20</f>
        <v>1112.4015557</v>
      </c>
      <c r="EQ140" s="50">
        <f xml:space="preserve"> 'WK2015'!FB20</f>
        <v>985.79615249999995</v>
      </c>
      <c r="ER140" s="61">
        <f xml:space="preserve"> 'WK2015'!EW20</f>
        <v>0.51138651574544414</v>
      </c>
      <c r="ES140" s="1"/>
      <c r="ET140" s="50">
        <f xml:space="preserve"> 'WK2015'!FI20</f>
        <v>799.89137580000011</v>
      </c>
      <c r="EU140" s="50">
        <f xml:space="preserve"> 'WK2015'!FJ20</f>
        <v>587.83705899999995</v>
      </c>
      <c r="EV140" s="50">
        <f xml:space="preserve"> 'WK2015'!FM20</f>
        <v>799.89137580000011</v>
      </c>
      <c r="EW140" s="50">
        <f xml:space="preserve"> 'WK2015'!FN20</f>
        <v>587.83705899999995</v>
      </c>
      <c r="EX140" s="50">
        <f xml:space="preserve"> 'WK2015'!FO20</f>
        <v>799.89137580000011</v>
      </c>
      <c r="EY140" s="50">
        <f xml:space="preserve"> 'WK2015'!FP20</f>
        <v>587.83705899999995</v>
      </c>
      <c r="EZ140" s="61">
        <f xml:space="preserve"> 'WK2015'!FK20</f>
        <v>0.51504161041376983</v>
      </c>
      <c r="FA140" s="1"/>
      <c r="FB140" s="50">
        <f xml:space="preserve"> 'WK2015'!FW20</f>
        <v>384.46352080000003</v>
      </c>
      <c r="FC140" s="50">
        <f xml:space="preserve"> 'WK2015'!FX20</f>
        <v>483.14167399999997</v>
      </c>
      <c r="FD140" s="50">
        <f xml:space="preserve"> 'WK2015'!GA20</f>
        <v>384.46434374657008</v>
      </c>
      <c r="FE140" s="50">
        <f xml:space="preserve"> 'WK2015'!GB20</f>
        <v>483.14110494657007</v>
      </c>
      <c r="FF140" s="50">
        <f xml:space="preserve"> 'WK2015'!GC20</f>
        <v>384.46352080000003</v>
      </c>
      <c r="FG140" s="50">
        <f xml:space="preserve"> 'WK2015'!GD20</f>
        <v>483.14028200000001</v>
      </c>
      <c r="FH140" s="61">
        <f xml:space="preserve"> 'WK2015'!FY20</f>
        <v>0.51175850291440506</v>
      </c>
      <c r="FI140" s="1"/>
      <c r="FJ140" s="50">
        <f xml:space="preserve"> 'WK2015'!GK20</f>
        <v>36.817409249999997</v>
      </c>
      <c r="FK140" s="50">
        <f xml:space="preserve"> 'WK2015'!GL20</f>
        <v>36.121248749999992</v>
      </c>
      <c r="FL140" s="50">
        <f xml:space="preserve"> 'WK2015'!GO20</f>
        <v>36.817409249999997</v>
      </c>
      <c r="FM140" s="50">
        <f xml:space="preserve"> 'WK2015'!GP20</f>
        <v>36.121248749999992</v>
      </c>
      <c r="FN140" s="50">
        <f xml:space="preserve"> 'WK2015'!GQ20</f>
        <v>36.817409249999997</v>
      </c>
      <c r="FO140" s="50">
        <f xml:space="preserve"> 'WK2015'!GR20</f>
        <v>36.121248749999992</v>
      </c>
      <c r="FP140" s="61">
        <f xml:space="preserve"> 'WK2015'!GM20</f>
        <v>0.51609986419679665</v>
      </c>
      <c r="FS140" s="283">
        <f xml:space="preserve"> 'WK2015'!H20</f>
        <v>724.97364999999991</v>
      </c>
      <c r="FT140" s="283">
        <f xml:space="preserve"> 'WK2015'!I20</f>
        <v>542.34781999999996</v>
      </c>
      <c r="FU140" s="283">
        <f xml:space="preserve"> 'WK2015'!L20</f>
        <v>724.97364999999991</v>
      </c>
      <c r="FV140" s="283">
        <f xml:space="preserve"> 'WK2015'!M20</f>
        <v>542.34781999999996</v>
      </c>
      <c r="FW140" s="283">
        <f xml:space="preserve"> 'WK2015'!N20</f>
        <v>724.97364999999991</v>
      </c>
      <c r="FX140" s="283">
        <f xml:space="preserve"> 'WK2015'!O20</f>
        <v>542.34781999999996</v>
      </c>
      <c r="FY140" s="284">
        <f xml:space="preserve"> 'WK2015'!P20</f>
        <v>0.51459846046868873</v>
      </c>
      <c r="GA140" s="283">
        <f xml:space="preserve"> 'WK2015'!HB20</f>
        <v>556.10409299999992</v>
      </c>
      <c r="GB140" s="283">
        <f xml:space="preserve"> 'WK2015'!HC20</f>
        <v>330.89829700000001</v>
      </c>
      <c r="GC140" s="283">
        <f xml:space="preserve"> 'WK2015'!HF20</f>
        <v>556.10409299999992</v>
      </c>
      <c r="GD140" s="283">
        <f xml:space="preserve"> 'WK2015'!HG20</f>
        <v>330.89829700000001</v>
      </c>
      <c r="GE140" s="283">
        <f xml:space="preserve"> 'WK2015'!HH20</f>
        <v>556.10409299999992</v>
      </c>
      <c r="GF140" s="283">
        <f xml:space="preserve"> 'WK2015'!HI20</f>
        <v>330.89829700000001</v>
      </c>
      <c r="GG140" s="284">
        <f xml:space="preserve"> 'WK2015'!HJ20</f>
        <v>0.49174992770240267</v>
      </c>
      <c r="GI140" s="283">
        <f xml:space="preserve"> 'WK2015'!HQ20</f>
        <v>0</v>
      </c>
      <c r="GJ140" s="283">
        <f xml:space="preserve"> 'WK2015'!HR20</f>
        <v>127.807344</v>
      </c>
      <c r="GK140" s="283">
        <f xml:space="preserve"> 'WK2015'!HU20</f>
        <v>0</v>
      </c>
      <c r="GL140" s="283">
        <f xml:space="preserve"> 'WK2015'!HV20</f>
        <v>127.807344</v>
      </c>
      <c r="GM140" s="283">
        <f xml:space="preserve"> 'WK2015'!HW20</f>
        <v>0</v>
      </c>
      <c r="GN140" s="283">
        <f xml:space="preserve"> 'WK2015'!HX20</f>
        <v>127.807344</v>
      </c>
      <c r="GO140" s="284">
        <f xml:space="preserve"> 'WK2015'!HY20</f>
        <v>0.47169811320754718</v>
      </c>
    </row>
    <row r="141" spans="1:197" x14ac:dyDescent="0.2">
      <c r="A141" s="3">
        <f>Basis!A141</f>
        <v>11</v>
      </c>
      <c r="H141" s="50">
        <f xml:space="preserve"> 'WK2012'!EG21</f>
        <v>1408.5866114605187</v>
      </c>
      <c r="I141" s="50">
        <f xml:space="preserve"> 'WK2012'!EH21</f>
        <v>1583.110717344694</v>
      </c>
      <c r="J141" s="50">
        <f xml:space="preserve"> 'WK2012'!EK21</f>
        <v>1408.6252749574667</v>
      </c>
      <c r="K141" s="50">
        <f xml:space="preserve"> 'WK2012'!EL21</f>
        <v>1583.0800555176447</v>
      </c>
      <c r="L141" s="50">
        <f xml:space="preserve"> 'WK2012'!EM21</f>
        <v>1408.5866114605187</v>
      </c>
      <c r="M141" s="50">
        <f xml:space="preserve"> 'WK2012'!EN21</f>
        <v>1583.0413920206963</v>
      </c>
      <c r="N141" s="61">
        <f xml:space="preserve"> 'WK2012'!EI21</f>
        <v>0.50810746289778463</v>
      </c>
      <c r="P141" s="50">
        <f xml:space="preserve"> 'WK2012'!EU21</f>
        <v>1111.0953267141799</v>
      </c>
      <c r="Q141" s="50">
        <f xml:space="preserve"> 'WK2012'!EV21</f>
        <v>1169.6952844688899</v>
      </c>
      <c r="R141" s="50">
        <f xml:space="preserve"> 'WK2012'!EY21</f>
        <v>1111.3140786793103</v>
      </c>
      <c r="S141" s="50">
        <f xml:space="preserve"> 'WK2012'!EZ21</f>
        <v>1169.4826707316192</v>
      </c>
      <c r="T141" s="50">
        <f xml:space="preserve"> 'WK2012'!FA21</f>
        <v>1111.0953267141799</v>
      </c>
      <c r="U141" s="50">
        <f xml:space="preserve"> 'WK2012'!FB21</f>
        <v>1169.2639187664888</v>
      </c>
      <c r="V141" s="61">
        <f xml:space="preserve"> 'WK2012'!EW21</f>
        <v>0.51661592066424344</v>
      </c>
      <c r="X141" s="50">
        <f xml:space="preserve"> 'WK2012'!FI21</f>
        <v>662.97198357113666</v>
      </c>
      <c r="Y141" s="50">
        <f xml:space="preserve"> 'WK2012'!FJ21</f>
        <v>658.59753760684225</v>
      </c>
      <c r="Z141" s="50">
        <f xml:space="preserve"> 'WK2012'!FM21</f>
        <v>662.98380516351529</v>
      </c>
      <c r="AA141" s="50">
        <f xml:space="preserve"> 'WK2012'!FN21</f>
        <v>658.58657917231517</v>
      </c>
      <c r="AB141" s="50">
        <f xml:space="preserve"> 'WK2012'!FO21</f>
        <v>662.97198357113666</v>
      </c>
      <c r="AC141" s="50">
        <f xml:space="preserve"> 'WK2012'!FP21</f>
        <v>658.57475757993666</v>
      </c>
      <c r="AD141" s="61">
        <f xml:space="preserve"> 'WK2012'!FK21</f>
        <v>0.50978871121605729</v>
      </c>
      <c r="AF141" s="50">
        <f xml:space="preserve"> 'WK2012'!FW21</f>
        <v>58.119270712269689</v>
      </c>
      <c r="AG141" s="50">
        <f xml:space="preserve"> 'WK2012'!FX21</f>
        <v>16.049684105318153</v>
      </c>
      <c r="AH141" s="50">
        <f xml:space="preserve"> 'WK2012'!GA21</f>
        <v>58.119270712269689</v>
      </c>
      <c r="AI141" s="50">
        <f xml:space="preserve"> 'WK2012'!GB21</f>
        <v>16.049684105318153</v>
      </c>
      <c r="AJ141" s="50">
        <f xml:space="preserve"> 'WK2012'!GC21</f>
        <v>58.119270712269689</v>
      </c>
      <c r="AK141" s="50">
        <f xml:space="preserve"> 'WK2012'!GD21</f>
        <v>16.049684105318153</v>
      </c>
      <c r="AL141" s="61">
        <f xml:space="preserve"> 'WK2012'!FY21</f>
        <v>0.51208494357503542</v>
      </c>
      <c r="AN141" s="50">
        <f xml:space="preserve"> 'WK2012'!GK21</f>
        <v>525.98079102921417</v>
      </c>
      <c r="AO141" s="50">
        <f xml:space="preserve"> 'WK2012'!GL21</f>
        <v>680.85792484636727</v>
      </c>
      <c r="AP141" s="50">
        <f xml:space="preserve"> 'WK2012'!GO21</f>
        <v>526.01945452616224</v>
      </c>
      <c r="AQ141" s="50">
        <f xml:space="preserve"> 'WK2012'!GP21</f>
        <v>680.82726301931791</v>
      </c>
      <c r="AR141" s="50">
        <f xml:space="preserve"> 'WK2012'!GQ21</f>
        <v>525.98079102921417</v>
      </c>
      <c r="AS141" s="50">
        <f xml:space="preserve"> 'WK2012'!GR21</f>
        <v>680.78859952236985</v>
      </c>
      <c r="AT141" s="61">
        <f xml:space="preserve"> 'WK2012'!GM21</f>
        <v>0.50838183368961198</v>
      </c>
      <c r="AX141" s="50">
        <f xml:space="preserve"> 'WK2013'!EG21</f>
        <v>1439.2097880000001</v>
      </c>
      <c r="AY141" s="50">
        <f xml:space="preserve"> 'WK2013'!EH21</f>
        <v>1421.7065398</v>
      </c>
      <c r="AZ141" s="50">
        <f xml:space="preserve"> 'WK2013'!EK21</f>
        <v>1439.2102217748413</v>
      </c>
      <c r="BA141" s="50">
        <f xml:space="preserve"> 'WK2013'!EL21</f>
        <v>1421.7062335748412</v>
      </c>
      <c r="BB141" s="50">
        <f xml:space="preserve"> 'WK2013'!EM21</f>
        <v>1439.2097880000001</v>
      </c>
      <c r="BC141" s="50">
        <f xml:space="preserve"> 'WK2013'!EN21</f>
        <v>1421.7057998</v>
      </c>
      <c r="BD141" s="50">
        <f xml:space="preserve"> 'WK2013'!EI21</f>
        <v>0.47287206865808101</v>
      </c>
      <c r="BF141" s="50">
        <f xml:space="preserve"> 'WK2013'!EU21</f>
        <v>1200.5603719999999</v>
      </c>
      <c r="BG141" s="50">
        <f xml:space="preserve"> 'WK2013'!EV21</f>
        <v>1173.2999052</v>
      </c>
      <c r="BH141" s="50">
        <f xml:space="preserve"> 'WK2013'!EY21</f>
        <v>1200.5607515529859</v>
      </c>
      <c r="BI141" s="50">
        <f xml:space="preserve"> 'WK2013'!EZ21</f>
        <v>1173.299637252986</v>
      </c>
      <c r="BJ141" s="50">
        <f xml:space="preserve"> 'WK2013'!FA21</f>
        <v>1200.5603719999999</v>
      </c>
      <c r="BK141" s="50">
        <f xml:space="preserve"> 'WK2013'!FB21</f>
        <v>1173.2992577</v>
      </c>
      <c r="BL141" s="61">
        <f xml:space="preserve"> 'WK2013'!EW21</f>
        <v>0.50950407880749549</v>
      </c>
      <c r="BN141" s="50">
        <f xml:space="preserve"> 'WK2013'!FI21</f>
        <v>733.24024780000002</v>
      </c>
      <c r="BO141" s="50">
        <f xml:space="preserve"> 'WK2013'!FJ21</f>
        <v>668.73163720000002</v>
      </c>
      <c r="BP141" s="50">
        <f xml:space="preserve"> 'WK2013'!FM21</f>
        <v>733.24027608723736</v>
      </c>
      <c r="BQ141" s="50">
        <f xml:space="preserve"> 'WK2013'!FN21</f>
        <v>668.73161988723723</v>
      </c>
      <c r="BR141" s="50">
        <f xml:space="preserve"> 'WK2013'!FO21</f>
        <v>733.24024780000002</v>
      </c>
      <c r="BS141" s="50">
        <f xml:space="preserve"> 'WK2013'!FP21</f>
        <v>668.7315916</v>
      </c>
      <c r="BT141" s="61">
        <f xml:space="preserve"> 'WK2013'!FK21</f>
        <v>0.51173528718108607</v>
      </c>
      <c r="BV141" s="50">
        <f xml:space="preserve"> 'WK2013'!FW21</f>
        <v>500.07635100000005</v>
      </c>
      <c r="BW141" s="50">
        <f xml:space="preserve"> 'WK2013'!FX21</f>
        <v>642.96151480000003</v>
      </c>
      <c r="BX141" s="50">
        <f xml:space="preserve"> 'WK2013'!GA21</f>
        <v>500.07678477484126</v>
      </c>
      <c r="BY141" s="50">
        <f xml:space="preserve"> 'WK2013'!GB21</f>
        <v>642.96120857484118</v>
      </c>
      <c r="BZ141" s="50">
        <f xml:space="preserve"> 'WK2013'!GC21</f>
        <v>500.07635100000005</v>
      </c>
      <c r="CA141" s="50">
        <f xml:space="preserve"> 'WK2013'!GD21</f>
        <v>642.96077479999997</v>
      </c>
      <c r="CB141" s="61">
        <f xml:space="preserve"> 'WK2013'!FY21</f>
        <v>0.51043922402055064</v>
      </c>
      <c r="CD141" s="50">
        <f xml:space="preserve"> 'WK2013'!GK21</f>
        <v>38.705688750000022</v>
      </c>
      <c r="CE141" s="50">
        <f xml:space="preserve"> 'WK2013'!GL21</f>
        <v>61.853424000000004</v>
      </c>
      <c r="CF141" s="50">
        <f xml:space="preserve"> 'WK2013'!GO21</f>
        <v>38.705688750000022</v>
      </c>
      <c r="CG141" s="50">
        <f xml:space="preserve"> 'WK2013'!GP21</f>
        <v>61.853424000000004</v>
      </c>
      <c r="CH141" s="50">
        <f xml:space="preserve"> 'WK2013'!GQ21</f>
        <v>38.705688750000022</v>
      </c>
      <c r="CI141" s="50">
        <f xml:space="preserve"> 'WK2013'!GR21</f>
        <v>61.853424000000004</v>
      </c>
      <c r="CJ141" s="61">
        <f xml:space="preserve"> 'WK2013'!GM21</f>
        <v>0.51493190383809295</v>
      </c>
      <c r="CN141" s="50">
        <f xml:space="preserve"> 'WK2014'!EG21</f>
        <v>1405.6436092000001</v>
      </c>
      <c r="CO141" s="50">
        <f xml:space="preserve"> 'WK2014'!EH21</f>
        <v>1392.7070052000001</v>
      </c>
      <c r="CP141" s="50">
        <f xml:space="preserve"> 'WK2014'!EK21</f>
        <v>1405.6451018262467</v>
      </c>
      <c r="CQ141" s="50">
        <f xml:space="preserve"> 'WK2014'!EL21</f>
        <v>1392.7059310262468</v>
      </c>
      <c r="CR141" s="50">
        <f xml:space="preserve"> 'WK2014'!EM21</f>
        <v>1405.6436092000001</v>
      </c>
      <c r="CS141" s="50">
        <f xml:space="preserve"> 'WK2014'!EN21</f>
        <v>1392.7044384000001</v>
      </c>
      <c r="CT141" s="61">
        <f xml:space="preserve"> 'WK2014'!EI21</f>
        <v>0.51800552147407342</v>
      </c>
      <c r="CV141" s="50">
        <f xml:space="preserve"> 'WK2014'!EU21</f>
        <v>1216.2565382999999</v>
      </c>
      <c r="CW141" s="50">
        <f xml:space="preserve"> 'WK2014'!EV21</f>
        <v>1161.9693488</v>
      </c>
      <c r="CX141" s="50">
        <f xml:space="preserve"> 'WK2014'!EY21</f>
        <v>1216.2578590914454</v>
      </c>
      <c r="CY141" s="50">
        <f xml:space="preserve"> 'WK2014'!EZ21</f>
        <v>1161.9683943914456</v>
      </c>
      <c r="CZ141" s="50">
        <f xml:space="preserve"> 'WK2014'!FA21</f>
        <v>1216.2565382999999</v>
      </c>
      <c r="DA141" s="50">
        <f xml:space="preserve"> 'WK2014'!FB21</f>
        <v>1161.9670736</v>
      </c>
      <c r="DB141" s="61">
        <f xml:space="preserve"> 'WK2014'!EW21</f>
        <v>0.51794042523776995</v>
      </c>
      <c r="DC141" s="1"/>
      <c r="DD141" s="50">
        <f xml:space="preserve"> 'WK2014'!FI21</f>
        <v>803.870408</v>
      </c>
      <c r="DE141" s="50">
        <f xml:space="preserve"> 'WK2014'!FJ21</f>
        <v>705.54329660000008</v>
      </c>
      <c r="DF141" s="50">
        <f xml:space="preserve"> 'WK2014'!FM21</f>
        <v>803.87052594783631</v>
      </c>
      <c r="DG141" s="50">
        <f xml:space="preserve"> 'WK2014'!FN21</f>
        <v>705.5431805478363</v>
      </c>
      <c r="DH141" s="50">
        <f xml:space="preserve"> 'WK2014'!FO21</f>
        <v>803.870408</v>
      </c>
      <c r="DI141" s="50">
        <f xml:space="preserve"> 'WK2014'!FP21</f>
        <v>705.54306259999998</v>
      </c>
      <c r="DJ141" s="61">
        <f xml:space="preserve"> 'WK2014'!FK21</f>
        <v>0.51744025740762367</v>
      </c>
      <c r="DK141" s="1"/>
      <c r="DL141" s="50">
        <f xml:space="preserve"> 'WK2014'!FW21</f>
        <v>495.32677920000003</v>
      </c>
      <c r="DM141" s="50">
        <f xml:space="preserve"> 'WK2014'!FX21</f>
        <v>641.11883120000016</v>
      </c>
      <c r="DN141" s="50">
        <f xml:space="preserve"> 'WK2014'!GA21</f>
        <v>495.32827182624681</v>
      </c>
      <c r="DO141" s="50">
        <f xml:space="preserve"> 'WK2014'!GB21</f>
        <v>641.11775702624686</v>
      </c>
      <c r="DP141" s="50">
        <f xml:space="preserve"> 'WK2014'!GC21</f>
        <v>495.32677920000003</v>
      </c>
      <c r="DQ141" s="50">
        <f xml:space="preserve"> 'WK2014'!GD21</f>
        <v>641.11626440000009</v>
      </c>
      <c r="DR141" s="61">
        <f xml:space="preserve"> 'WK2014'!FY21</f>
        <v>0.51721826982579944</v>
      </c>
      <c r="DS141" s="1"/>
      <c r="DT141" s="50">
        <f xml:space="preserve"> 'WK2014'!GK21</f>
        <v>26.12231400000001</v>
      </c>
      <c r="DU141" s="50">
        <f xml:space="preserve"> 'WK2014'!GL21</f>
        <v>34.090423500000007</v>
      </c>
      <c r="DV141" s="50">
        <f xml:space="preserve"> 'WK2014'!GO21</f>
        <v>26.12231400000001</v>
      </c>
      <c r="DW141" s="50">
        <f xml:space="preserve"> 'WK2014'!GP21</f>
        <v>34.090423500000007</v>
      </c>
      <c r="DX141" s="50">
        <f xml:space="preserve"> 'WK2014'!GQ21</f>
        <v>26.12231400000001</v>
      </c>
      <c r="DY141" s="50">
        <f xml:space="preserve"> 'WK2014'!GR21</f>
        <v>34.090423500000007</v>
      </c>
      <c r="DZ141" s="61">
        <f xml:space="preserve"> 'WK2014'!GM21</f>
        <v>0.51636771122466518</v>
      </c>
      <c r="ED141" s="50">
        <f xml:space="preserve"> 'WK2015'!EG21</f>
        <v>1397.409161</v>
      </c>
      <c r="EE141" s="50">
        <f xml:space="preserve"> 'WK2015'!EH21</f>
        <v>1360.0252258</v>
      </c>
      <c r="EF141" s="50">
        <f xml:space="preserve"> 'WK2015'!EK21</f>
        <v>1397.4106919863332</v>
      </c>
      <c r="EG141" s="50">
        <f xml:space="preserve"> 'WK2015'!EL21</f>
        <v>1360.0241351863333</v>
      </c>
      <c r="EH141" s="50">
        <f xml:space="preserve"> 'WK2015'!EM21</f>
        <v>1397.409161</v>
      </c>
      <c r="EI141" s="50">
        <f xml:space="preserve"> 'WK2015'!EN21</f>
        <v>1360.0226041999999</v>
      </c>
      <c r="EJ141" s="61">
        <f xml:space="preserve"> 'WK2015'!EI21</f>
        <v>0.50992338378152202</v>
      </c>
      <c r="EK141" s="1"/>
      <c r="EL141" s="50">
        <f xml:space="preserve"> 'WK2015'!EU21</f>
        <v>1227.120602</v>
      </c>
      <c r="EM141" s="50">
        <f xml:space="preserve"> 'WK2015'!EV21</f>
        <v>1176.3771127</v>
      </c>
      <c r="EN141" s="50">
        <f xml:space="preserve"> 'WK2015'!EY21</f>
        <v>1227.1219416130416</v>
      </c>
      <c r="EO141" s="50">
        <f xml:space="preserve"> 'WK2015'!EZ21</f>
        <v>1176.3761584130416</v>
      </c>
      <c r="EP141" s="50">
        <f xml:space="preserve"> 'WK2015'!FA21</f>
        <v>1227.120602</v>
      </c>
      <c r="EQ141" s="50">
        <f xml:space="preserve"> 'WK2015'!FB21</f>
        <v>1176.3748188</v>
      </c>
      <c r="ER141" s="61">
        <f xml:space="preserve"> 'WK2015'!EW21</f>
        <v>0.50821253394430821</v>
      </c>
      <c r="ES141" s="1"/>
      <c r="ET141" s="50">
        <f xml:space="preserve"> 'WK2015'!FI21</f>
        <v>873.32663939999998</v>
      </c>
      <c r="EU141" s="50">
        <f xml:space="preserve"> 'WK2015'!FJ21</f>
        <v>724.08746560000009</v>
      </c>
      <c r="EV141" s="50">
        <f xml:space="preserve"> 'WK2015'!FM21</f>
        <v>873.32663939999998</v>
      </c>
      <c r="EW141" s="50">
        <f xml:space="preserve"> 'WK2015'!FN21</f>
        <v>724.08746560000009</v>
      </c>
      <c r="EX141" s="50">
        <f xml:space="preserve"> 'WK2015'!FO21</f>
        <v>873.32663939999998</v>
      </c>
      <c r="EY141" s="50">
        <f xml:space="preserve"> 'WK2015'!FP21</f>
        <v>724.08746560000009</v>
      </c>
      <c r="EZ141" s="61">
        <f xml:space="preserve"> 'WK2015'!FK21</f>
        <v>0.51049160312764075</v>
      </c>
      <c r="FA141" s="1"/>
      <c r="FB141" s="50">
        <f xml:space="preserve"> 'WK2015'!FW21</f>
        <v>495.44101600000005</v>
      </c>
      <c r="FC141" s="50">
        <f xml:space="preserve"> 'WK2015'!FX21</f>
        <v>629.22879680000005</v>
      </c>
      <c r="FD141" s="50">
        <f xml:space="preserve"> 'WK2015'!GA21</f>
        <v>495.4425469863333</v>
      </c>
      <c r="FE141" s="50">
        <f xml:space="preserve"> 'WK2015'!GB21</f>
        <v>629.22770618633331</v>
      </c>
      <c r="FF141" s="50">
        <f xml:space="preserve"> 'WK2015'!GC21</f>
        <v>495.44101600000005</v>
      </c>
      <c r="FG141" s="50">
        <f xml:space="preserve"> 'WK2015'!GD21</f>
        <v>629.22617519999994</v>
      </c>
      <c r="FH141" s="61">
        <f xml:space="preserve"> 'WK2015'!FY21</f>
        <v>0.50897872002656541</v>
      </c>
      <c r="FI141" s="1"/>
      <c r="FJ141" s="50">
        <f xml:space="preserve"> 'WK2015'!GK21</f>
        <v>33.634964250000003</v>
      </c>
      <c r="FK141" s="50">
        <f xml:space="preserve"> 'WK2015'!GL21</f>
        <v>46.857113249999998</v>
      </c>
      <c r="FL141" s="50">
        <f xml:space="preserve"> 'WK2015'!GO21</f>
        <v>33.634964250000003</v>
      </c>
      <c r="FM141" s="50">
        <f xml:space="preserve"> 'WK2015'!GP21</f>
        <v>46.857113249999998</v>
      </c>
      <c r="FN141" s="50">
        <f xml:space="preserve"> 'WK2015'!GQ21</f>
        <v>33.634964250000003</v>
      </c>
      <c r="FO141" s="50">
        <f xml:space="preserve"> 'WK2015'!GR21</f>
        <v>46.857113249999998</v>
      </c>
      <c r="FP141" s="61">
        <f xml:space="preserve"> 'WK2015'!GM21</f>
        <v>0.51218535488350103</v>
      </c>
      <c r="FS141" s="283">
        <f xml:space="preserve"> 'WK2015'!H21</f>
        <v>714.88533999999993</v>
      </c>
      <c r="FT141" s="283">
        <f xml:space="preserve"> 'WK2015'!I21</f>
        <v>570.45621199999994</v>
      </c>
      <c r="FU141" s="283">
        <f xml:space="preserve"> 'WK2015'!L21</f>
        <v>714.88533999999993</v>
      </c>
      <c r="FV141" s="283">
        <f xml:space="preserve"> 'WK2015'!M21</f>
        <v>570.45621199999994</v>
      </c>
      <c r="FW141" s="283">
        <f xml:space="preserve"> 'WK2015'!N21</f>
        <v>714.88533999999993</v>
      </c>
      <c r="FX141" s="283">
        <f xml:space="preserve"> 'WK2015'!O21</f>
        <v>570.45621199999994</v>
      </c>
      <c r="FY141" s="284">
        <f xml:space="preserve"> 'WK2015'!P21</f>
        <v>0.50939938802396667</v>
      </c>
      <c r="GA141" s="283">
        <f xml:space="preserve"> 'WK2015'!HB21</f>
        <v>545.85816899999998</v>
      </c>
      <c r="GB141" s="283">
        <f xml:space="preserve"> 'WK2015'!HC21</f>
        <v>357.647154</v>
      </c>
      <c r="GC141" s="283">
        <f xml:space="preserve"> 'WK2015'!HF21</f>
        <v>545.85816899999998</v>
      </c>
      <c r="GD141" s="283">
        <f xml:space="preserve"> 'WK2015'!HG21</f>
        <v>357.647154</v>
      </c>
      <c r="GE141" s="283">
        <f xml:space="preserve"> 'WK2015'!HH21</f>
        <v>545.85816899999998</v>
      </c>
      <c r="GF141" s="283">
        <f xml:space="preserve"> 'WK2015'!HI21</f>
        <v>357.647154</v>
      </c>
      <c r="GG141" s="284">
        <f xml:space="preserve"> 'WK2015'!HJ21</f>
        <v>0.54949665768997413</v>
      </c>
      <c r="GI141" s="283">
        <f xml:space="preserve"> 'WK2015'!HQ21</f>
        <v>0</v>
      </c>
      <c r="GJ141" s="283">
        <f xml:space="preserve"> 'WK2015'!HR21</f>
        <v>172.710531</v>
      </c>
      <c r="GK141" s="283">
        <f xml:space="preserve"> 'WK2015'!HU21</f>
        <v>0</v>
      </c>
      <c r="GL141" s="283">
        <f xml:space="preserve"> 'WK2015'!HV21</f>
        <v>172.710531</v>
      </c>
      <c r="GM141" s="283">
        <f xml:space="preserve"> 'WK2015'!HW21</f>
        <v>0</v>
      </c>
      <c r="GN141" s="283">
        <f xml:space="preserve"> 'WK2015'!HX21</f>
        <v>172.710531</v>
      </c>
      <c r="GO141" s="284">
        <f xml:space="preserve"> 'WK2015'!HY21</f>
        <v>0.30769230769230771</v>
      </c>
    </row>
    <row r="142" spans="1:197" x14ac:dyDescent="0.2">
      <c r="A142" s="3">
        <f>Basis!A142</f>
        <v>12</v>
      </c>
      <c r="H142" s="50">
        <f xml:space="preserve"> 'WK2012'!EG22</f>
        <v>1497.3685116321085</v>
      </c>
      <c r="I142" s="50">
        <f xml:space="preserve"> 'WK2012'!EH22</f>
        <v>1732.0515638235004</v>
      </c>
      <c r="J142" s="50">
        <f xml:space="preserve"> 'WK2012'!EK22</f>
        <v>1497.4090565394508</v>
      </c>
      <c r="K142" s="50">
        <f xml:space="preserve"> 'WK2012'!EL22</f>
        <v>1732.0187327332894</v>
      </c>
      <c r="L142" s="50">
        <f xml:space="preserve"> 'WK2012'!EM22</f>
        <v>1497.3685116321085</v>
      </c>
      <c r="M142" s="50">
        <f xml:space="preserve"> 'WK2012'!EN22</f>
        <v>1731.9781878259473</v>
      </c>
      <c r="N142" s="61">
        <f xml:space="preserve"> 'WK2012'!EI22</f>
        <v>0.51070643656070547</v>
      </c>
      <c r="P142" s="50">
        <f xml:space="preserve"> 'WK2012'!EU22</f>
        <v>1178.3108795263586</v>
      </c>
      <c r="Q142" s="50">
        <f xml:space="preserve"> 'WK2012'!EV22</f>
        <v>1292.7282195037387</v>
      </c>
      <c r="R142" s="50">
        <f xml:space="preserve"> 'WK2012'!EY22</f>
        <v>1178.6920189259745</v>
      </c>
      <c r="S142" s="50">
        <f xml:space="preserve"> 'WK2012'!EZ22</f>
        <v>1292.3796153804947</v>
      </c>
      <c r="T142" s="50">
        <f xml:space="preserve"> 'WK2012'!FA22</f>
        <v>1178.3108795263586</v>
      </c>
      <c r="U142" s="50">
        <f xml:space="preserve"> 'WK2012'!FB22</f>
        <v>1291.9984759808788</v>
      </c>
      <c r="V142" s="61">
        <f xml:space="preserve"> 'WK2012'!EW22</f>
        <v>0.51874301485759045</v>
      </c>
      <c r="X142" s="50">
        <f xml:space="preserve"> 'WK2012'!FI22</f>
        <v>725.82036257394009</v>
      </c>
      <c r="Y142" s="50">
        <f xml:space="preserve"> 'WK2012'!FJ22</f>
        <v>731.70631440429452</v>
      </c>
      <c r="Z142" s="50">
        <f xml:space="preserve"> 'WK2012'!FM22</f>
        <v>725.83495834517726</v>
      </c>
      <c r="AA142" s="50">
        <f xml:space="preserve"> 'WK2012'!FN22</f>
        <v>731.69307161238964</v>
      </c>
      <c r="AB142" s="50">
        <f xml:space="preserve"> 'WK2012'!FO22</f>
        <v>725.82036257394009</v>
      </c>
      <c r="AC142" s="50">
        <f xml:space="preserve"> 'WK2012'!FP22</f>
        <v>731.67847584115248</v>
      </c>
      <c r="AD142" s="61">
        <f xml:space="preserve"> 'WK2012'!FK22</f>
        <v>0.51374501791582095</v>
      </c>
      <c r="AF142" s="50">
        <f xml:space="preserve"> 'WK2012'!FW22</f>
        <v>52.768599644087921</v>
      </c>
      <c r="AG142" s="50">
        <f xml:space="preserve"> 'WK2012'!FX22</f>
        <v>19.609591672951364</v>
      </c>
      <c r="AH142" s="50">
        <f xml:space="preserve"> 'WK2012'!GA22</f>
        <v>52.768599644087921</v>
      </c>
      <c r="AI142" s="50">
        <f xml:space="preserve"> 'WK2012'!GB22</f>
        <v>19.609591672951364</v>
      </c>
      <c r="AJ142" s="50">
        <f xml:space="preserve"> 'WK2012'!GC22</f>
        <v>52.768599644087921</v>
      </c>
      <c r="AK142" s="50">
        <f xml:space="preserve"> 'WK2012'!GD22</f>
        <v>19.609591672951364</v>
      </c>
      <c r="AL142" s="61">
        <f xml:space="preserve"> 'WK2012'!FY22</f>
        <v>0.50322182672785531</v>
      </c>
      <c r="AN142" s="50">
        <f xml:space="preserve"> 'WK2012'!GK22</f>
        <v>596.80525995625999</v>
      </c>
      <c r="AO142" s="50">
        <f xml:space="preserve"> 'WK2012'!GL22</f>
        <v>761.39525858201284</v>
      </c>
      <c r="AP142" s="50">
        <f xml:space="preserve"> 'WK2012'!GO22</f>
        <v>596.84580486360232</v>
      </c>
      <c r="AQ142" s="50">
        <f xml:space="preserve"> 'WK2012'!GP22</f>
        <v>761.36242749180201</v>
      </c>
      <c r="AR142" s="50">
        <f xml:space="preserve"> 'WK2012'!GQ22</f>
        <v>596.80525995625999</v>
      </c>
      <c r="AS142" s="50">
        <f xml:space="preserve"> 'WK2012'!GR22</f>
        <v>761.32188258445979</v>
      </c>
      <c r="AT142" s="61">
        <f xml:space="preserve"> 'WK2012'!GM22</f>
        <v>0.51488039151982568</v>
      </c>
      <c r="AX142" s="50">
        <f xml:space="preserve"> 'WK2013'!EG22</f>
        <v>1583.3182492000001</v>
      </c>
      <c r="AY142" s="50">
        <f xml:space="preserve"> 'WK2013'!EH22</f>
        <v>1636.6484144000001</v>
      </c>
      <c r="AZ142" s="50">
        <f xml:space="preserve"> 'WK2013'!EK22</f>
        <v>1583.4070315494407</v>
      </c>
      <c r="BA142" s="50">
        <f xml:space="preserve"> 'WK2013'!EL22</f>
        <v>1636.5644677494408</v>
      </c>
      <c r="BB142" s="50">
        <f xml:space="preserve"> 'WK2013'!EM22</f>
        <v>1583.3182492000001</v>
      </c>
      <c r="BC142" s="50">
        <f xml:space="preserve"> 'WK2013'!EN22</f>
        <v>1636.4756854</v>
      </c>
      <c r="BD142" s="50">
        <f xml:space="preserve"> 'WK2013'!EI22</f>
        <v>0.46879460525330657</v>
      </c>
      <c r="BF142" s="50">
        <f xml:space="preserve"> 'WK2013'!EU22</f>
        <v>1339.7016607999999</v>
      </c>
      <c r="BG142" s="50">
        <f xml:space="preserve"> 'WK2013'!EV22</f>
        <v>1353.9990636000002</v>
      </c>
      <c r="BH142" s="50">
        <f xml:space="preserve"> 'WK2013'!EY22</f>
        <v>1339.7030941687933</v>
      </c>
      <c r="BI142" s="50">
        <f xml:space="preserve"> 'WK2013'!EZ22</f>
        <v>1353.9978344687934</v>
      </c>
      <c r="BJ142" s="50">
        <f xml:space="preserve"> 'WK2013'!FA22</f>
        <v>1339.7016607999999</v>
      </c>
      <c r="BK142" s="50">
        <f xml:space="preserve"> 'WK2013'!FB22</f>
        <v>1353.9964011</v>
      </c>
      <c r="BL142" s="61">
        <f xml:space="preserve"> 'WK2013'!EW22</f>
        <v>0.5062507103846422</v>
      </c>
      <c r="BN142" s="50">
        <f xml:space="preserve"> 'WK2013'!FI22</f>
        <v>838.15266359999998</v>
      </c>
      <c r="BO142" s="50">
        <f xml:space="preserve"> 'WK2013'!FJ22</f>
        <v>814.58486219999986</v>
      </c>
      <c r="BP142" s="50">
        <f xml:space="preserve"> 'WK2013'!FM22</f>
        <v>838.15353528823869</v>
      </c>
      <c r="BQ142" s="50">
        <f xml:space="preserve"> 'WK2013'!FN22</f>
        <v>814.58408908823867</v>
      </c>
      <c r="BR142" s="50">
        <f xml:space="preserve"> 'WK2013'!FO22</f>
        <v>838.15266359999998</v>
      </c>
      <c r="BS142" s="50">
        <f xml:space="preserve"> 'WK2013'!FP22</f>
        <v>814.58321739999997</v>
      </c>
      <c r="BT142" s="61">
        <f xml:space="preserve"> 'WK2013'!FK22</f>
        <v>0.50866185119067708</v>
      </c>
      <c r="BV142" s="50">
        <f xml:space="preserve"> 'WK2013'!FW22</f>
        <v>639.07882719999998</v>
      </c>
      <c r="BW142" s="50">
        <f xml:space="preserve"> 'WK2013'!FX22</f>
        <v>782.48802539999997</v>
      </c>
      <c r="BX142" s="50">
        <f xml:space="preserve"> 'WK2013'!GA22</f>
        <v>639.08037185302703</v>
      </c>
      <c r="BY142" s="50">
        <f xml:space="preserve"> 'WK2013'!GB22</f>
        <v>782.48671005302708</v>
      </c>
      <c r="BZ142" s="50">
        <f xml:space="preserve"> 'WK2013'!GC22</f>
        <v>639.07882719999998</v>
      </c>
      <c r="CA142" s="50">
        <f xml:space="preserve"> 'WK2013'!GD22</f>
        <v>782.48516539999991</v>
      </c>
      <c r="CB142" s="61">
        <f xml:space="preserve"> 'WK2013'!FY22</f>
        <v>0.50702420046781005</v>
      </c>
      <c r="CD142" s="50">
        <f xml:space="preserve"> 'WK2013'!GK22</f>
        <v>41.875911000000009</v>
      </c>
      <c r="CE142" s="50">
        <f xml:space="preserve"> 'WK2013'!GL22</f>
        <v>70.186668000000012</v>
      </c>
      <c r="CF142" s="50">
        <f xml:space="preserve"> 'WK2013'!GO22</f>
        <v>41.941339272310344</v>
      </c>
      <c r="CG142" s="50">
        <f xml:space="preserve"> 'WK2013'!GP22</f>
        <v>70.124694522310335</v>
      </c>
      <c r="CH142" s="50">
        <f xml:space="preserve"> 'WK2013'!GQ22</f>
        <v>41.875911000000009</v>
      </c>
      <c r="CI142" s="50">
        <f xml:space="preserve"> 'WK2013'!GR22</f>
        <v>70.059266250000007</v>
      </c>
      <c r="CJ142" s="61">
        <f xml:space="preserve"> 'WK2013'!GM22</f>
        <v>0.51092651114566057</v>
      </c>
      <c r="CN142" s="50">
        <f xml:space="preserve"> 'WK2014'!EG22</f>
        <v>1562.042948</v>
      </c>
      <c r="CO142" s="50">
        <f xml:space="preserve"> 'WK2014'!EH22</f>
        <v>1629.1704891999998</v>
      </c>
      <c r="CP142" s="50">
        <f xml:space="preserve"> 'WK2014'!EK22</f>
        <v>1562.045654438494</v>
      </c>
      <c r="CQ142" s="50">
        <f xml:space="preserve"> 'WK2014'!EL22</f>
        <v>1629.1683104384938</v>
      </c>
      <c r="CR142" s="50">
        <f xml:space="preserve"> 'WK2014'!EM22</f>
        <v>1562.042948</v>
      </c>
      <c r="CS142" s="50">
        <f xml:space="preserve"> 'WK2014'!EN22</f>
        <v>1629.1656039999998</v>
      </c>
      <c r="CT142" s="61">
        <f xml:space="preserve"> 'WK2014'!EI22</f>
        <v>0.51133791663693084</v>
      </c>
      <c r="CV142" s="50">
        <f xml:space="preserve"> 'WK2014'!EU22</f>
        <v>1366.6923255000002</v>
      </c>
      <c r="CW142" s="50">
        <f xml:space="preserve"> 'WK2014'!EV22</f>
        <v>1354.2254268000002</v>
      </c>
      <c r="CX142" s="50">
        <f xml:space="preserve"> 'WK2014'!EY22</f>
        <v>1366.6947682627476</v>
      </c>
      <c r="CY142" s="50">
        <f xml:space="preserve"> 'WK2014'!EZ22</f>
        <v>1354.2234487627477</v>
      </c>
      <c r="CZ142" s="50">
        <f xml:space="preserve"> 'WK2014'!FA22</f>
        <v>1366.6923255000002</v>
      </c>
      <c r="DA142" s="50">
        <f xml:space="preserve"> 'WK2014'!FB22</f>
        <v>1354.2210060000002</v>
      </c>
      <c r="DB142" s="61">
        <f xml:space="preserve"> 'WK2014'!EW22</f>
        <v>0.50866011519116439</v>
      </c>
      <c r="DC142" s="1"/>
      <c r="DD142" s="50">
        <f xml:space="preserve"> 'WK2014'!FI22</f>
        <v>907.46147040000005</v>
      </c>
      <c r="DE142" s="50">
        <f xml:space="preserve"> 'WK2014'!FJ22</f>
        <v>865.11988599999995</v>
      </c>
      <c r="DF142" s="50">
        <f xml:space="preserve"> 'WK2014'!FM22</f>
        <v>907.55422536525839</v>
      </c>
      <c r="DG142" s="50">
        <f xml:space="preserve"> 'WK2014'!FN22</f>
        <v>864.94748696525835</v>
      </c>
      <c r="DH142" s="50">
        <f xml:space="preserve"> 'WK2014'!FO22</f>
        <v>907.46147040000005</v>
      </c>
      <c r="DI142" s="50">
        <f xml:space="preserve"> 'WK2014'!FP22</f>
        <v>864.85473200000001</v>
      </c>
      <c r="DJ142" s="61">
        <f xml:space="preserve"> 'WK2014'!FK22</f>
        <v>0.51092095706603613</v>
      </c>
      <c r="DK142" s="1"/>
      <c r="DL142" s="50">
        <f xml:space="preserve"> 'WK2014'!FW22</f>
        <v>632.32248000000004</v>
      </c>
      <c r="DM142" s="50">
        <f xml:space="preserve"> 'WK2014'!FX22</f>
        <v>783.28817520000007</v>
      </c>
      <c r="DN142" s="50">
        <f xml:space="preserve"> 'WK2014'!GA22</f>
        <v>632.32518643849403</v>
      </c>
      <c r="DO142" s="50">
        <f xml:space="preserve"> 'WK2014'!GB22</f>
        <v>783.28599643849407</v>
      </c>
      <c r="DP142" s="50">
        <f xml:space="preserve"> 'WK2014'!GC22</f>
        <v>632.32248000000004</v>
      </c>
      <c r="DQ142" s="50">
        <f xml:space="preserve"> 'WK2014'!GD22</f>
        <v>783.28329000000008</v>
      </c>
      <c r="DR142" s="61">
        <f xml:space="preserve"> 'WK2014'!FY22</f>
        <v>0.51008914858921595</v>
      </c>
      <c r="DS142" s="1"/>
      <c r="DT142" s="50">
        <f xml:space="preserve"> 'WK2014'!GK22</f>
        <v>38.548070999999993</v>
      </c>
      <c r="DU142" s="50">
        <f xml:space="preserve"> 'WK2014'!GL22</f>
        <v>51.633358500000007</v>
      </c>
      <c r="DV142" s="50">
        <f xml:space="preserve"> 'WK2014'!GO22</f>
        <v>38.548070999999993</v>
      </c>
      <c r="DW142" s="50">
        <f xml:space="preserve"> 'WK2014'!GP22</f>
        <v>51.633358500000007</v>
      </c>
      <c r="DX142" s="50">
        <f xml:space="preserve"> 'WK2014'!GQ22</f>
        <v>38.548070999999993</v>
      </c>
      <c r="DY142" s="50">
        <f xml:space="preserve"> 'WK2014'!GR22</f>
        <v>51.633358500000007</v>
      </c>
      <c r="DZ142" s="61">
        <f xml:space="preserve"> 'WK2014'!GM22</f>
        <v>0.51443602130764987</v>
      </c>
      <c r="ED142" s="50">
        <f xml:space="preserve"> 'WK2015'!EG22</f>
        <v>1555.0507689999999</v>
      </c>
      <c r="EE142" s="50">
        <f xml:space="preserve"> 'WK2015'!EH22</f>
        <v>1594.1359801999999</v>
      </c>
      <c r="EF142" s="50">
        <f xml:space="preserve"> 'WK2015'!EK22</f>
        <v>1555.0531535269529</v>
      </c>
      <c r="EG142" s="50">
        <f xml:space="preserve"> 'WK2015'!EL22</f>
        <v>1594.1341423269528</v>
      </c>
      <c r="EH142" s="50">
        <f xml:space="preserve"> 'WK2015'!EM22</f>
        <v>1555.0507689999999</v>
      </c>
      <c r="EI142" s="50">
        <f xml:space="preserve"> 'WK2015'!EN22</f>
        <v>1594.1317577999998</v>
      </c>
      <c r="EJ142" s="61">
        <f xml:space="preserve"> 'WK2015'!EI22</f>
        <v>0.51620977393747891</v>
      </c>
      <c r="EK142" s="1"/>
      <c r="EL142" s="50">
        <f xml:space="preserve"> 'WK2015'!EU22</f>
        <v>1357.302244</v>
      </c>
      <c r="EM142" s="50">
        <f xml:space="preserve"> 'WK2015'!EV22</f>
        <v>1384.1684732999997</v>
      </c>
      <c r="EN142" s="50">
        <f xml:space="preserve"> 'WK2015'!EY22</f>
        <v>1357.3043304610837</v>
      </c>
      <c r="EO142" s="50">
        <f xml:space="preserve"> 'WK2015'!EZ22</f>
        <v>1384.1668651610835</v>
      </c>
      <c r="EP142" s="50">
        <f xml:space="preserve"> 'WK2015'!FA22</f>
        <v>1357.302244</v>
      </c>
      <c r="EQ142" s="50">
        <f xml:space="preserve"> 'WK2015'!FB22</f>
        <v>1384.1647786999999</v>
      </c>
      <c r="ER142" s="61">
        <f xml:space="preserve"> 'WK2015'!EW22</f>
        <v>0.51709023877659155</v>
      </c>
      <c r="ES142" s="1"/>
      <c r="ET142" s="50">
        <f xml:space="preserve"> 'WK2015'!FI22</f>
        <v>981.2049078</v>
      </c>
      <c r="EU142" s="50">
        <f xml:space="preserve"> 'WK2015'!FJ22</f>
        <v>898.31793799999991</v>
      </c>
      <c r="EV142" s="50">
        <f xml:space="preserve"> 'WK2015'!FM22</f>
        <v>981.2049078</v>
      </c>
      <c r="EW142" s="50">
        <f xml:space="preserve"> 'WK2015'!FN22</f>
        <v>898.31793799999991</v>
      </c>
      <c r="EX142" s="50">
        <f xml:space="preserve"> 'WK2015'!FO22</f>
        <v>981.2049078</v>
      </c>
      <c r="EY142" s="50">
        <f xml:space="preserve"> 'WK2015'!FP22</f>
        <v>898.31793799999991</v>
      </c>
      <c r="EZ142" s="61">
        <f xml:space="preserve"> 'WK2015'!FK22</f>
        <v>0.51734538618956338</v>
      </c>
      <c r="FA142" s="1"/>
      <c r="FB142" s="50">
        <f xml:space="preserve"> 'WK2015'!FW22</f>
        <v>633.13378400000011</v>
      </c>
      <c r="FC142" s="50">
        <f xml:space="preserve"> 'WK2015'!FX22</f>
        <v>774.76816919999987</v>
      </c>
      <c r="FD142" s="50">
        <f xml:space="preserve"> 'WK2015'!GA22</f>
        <v>633.13616852695282</v>
      </c>
      <c r="FE142" s="50">
        <f xml:space="preserve"> 'WK2015'!GB22</f>
        <v>774.76633132695292</v>
      </c>
      <c r="FF142" s="50">
        <f xml:space="preserve"> 'WK2015'!GC22</f>
        <v>633.13378400000011</v>
      </c>
      <c r="FG142" s="50">
        <f xml:space="preserve"> 'WK2015'!GD22</f>
        <v>774.76394679999999</v>
      </c>
      <c r="FH142" s="61">
        <f xml:space="preserve"> 'WK2015'!FY22</f>
        <v>0.51612326638112016</v>
      </c>
      <c r="FI142" s="1"/>
      <c r="FJ142" s="50">
        <f xml:space="preserve"> 'WK2015'!GK22</f>
        <v>44.459379000000034</v>
      </c>
      <c r="FK142" s="50">
        <f xml:space="preserve"> 'WK2015'!GL22</f>
        <v>67.672756499999991</v>
      </c>
      <c r="FL142" s="50">
        <f xml:space="preserve"> 'WK2015'!GO22</f>
        <v>44.459379000000034</v>
      </c>
      <c r="FM142" s="50">
        <f xml:space="preserve"> 'WK2015'!GP22</f>
        <v>67.672756499999991</v>
      </c>
      <c r="FN142" s="50">
        <f xml:space="preserve"> 'WK2015'!GQ22</f>
        <v>44.459379000000034</v>
      </c>
      <c r="FO142" s="50">
        <f xml:space="preserve"> 'WK2015'!GR22</f>
        <v>67.672756499999991</v>
      </c>
      <c r="FP142" s="61">
        <f xml:space="preserve"> 'WK2015'!GM22</f>
        <v>0.51615958847030408</v>
      </c>
      <c r="FS142" s="283">
        <f xml:space="preserve"> 'WK2015'!H22</f>
        <v>708.45651499999997</v>
      </c>
      <c r="FT142" s="283">
        <f xml:space="preserve"> 'WK2015'!I22</f>
        <v>610.45661599999994</v>
      </c>
      <c r="FU142" s="283">
        <f xml:space="preserve"> 'WK2015'!L22</f>
        <v>708.45651499999997</v>
      </c>
      <c r="FV142" s="283">
        <f xml:space="preserve"> 'WK2015'!M22</f>
        <v>610.45661599999994</v>
      </c>
      <c r="FW142" s="283">
        <f xml:space="preserve"> 'WK2015'!N22</f>
        <v>708.45651499999997</v>
      </c>
      <c r="FX142" s="283">
        <f xml:space="preserve"> 'WK2015'!O22</f>
        <v>610.45661599999994</v>
      </c>
      <c r="FY142" s="284">
        <f xml:space="preserve"> 'WK2015'!P22</f>
        <v>0.5162529831792837</v>
      </c>
      <c r="GA142" s="283">
        <f xml:space="preserve"> 'WK2015'!HB22</f>
        <v>533.90459099999998</v>
      </c>
      <c r="GB142" s="283">
        <f xml:space="preserve"> 'WK2015'!HC22</f>
        <v>391.59240399999999</v>
      </c>
      <c r="GC142" s="283">
        <f xml:space="preserve"> 'WK2015'!HF22</f>
        <v>533.90459099999998</v>
      </c>
      <c r="GD142" s="283">
        <f xml:space="preserve"> 'WK2015'!HG22</f>
        <v>391.59240399999999</v>
      </c>
      <c r="GE142" s="283">
        <f xml:space="preserve"> 'WK2015'!HH22</f>
        <v>533.90459099999998</v>
      </c>
      <c r="GF142" s="283">
        <f xml:space="preserve"> 'WK2015'!HI22</f>
        <v>391.59240399999999</v>
      </c>
      <c r="GG142" s="284">
        <f xml:space="preserve"> 'WK2015'!HJ22</f>
        <v>0.48329918403342881</v>
      </c>
      <c r="GI142" s="283">
        <f xml:space="preserve"> 'WK2015'!HQ22</f>
        <v>0</v>
      </c>
      <c r="GJ142" s="283">
        <f xml:space="preserve"> 'WK2015'!HR22</f>
        <v>194.65803</v>
      </c>
      <c r="GK142" s="283">
        <f xml:space="preserve"> 'WK2015'!HU22</f>
        <v>0</v>
      </c>
      <c r="GL142" s="283">
        <f xml:space="preserve"> 'WK2015'!HV22</f>
        <v>194.65803</v>
      </c>
      <c r="GM142" s="283">
        <f xml:space="preserve"> 'WK2015'!HW22</f>
        <v>0</v>
      </c>
      <c r="GN142" s="283">
        <f xml:space="preserve"> 'WK2015'!HX22</f>
        <v>194.65803</v>
      </c>
      <c r="GO142" s="284">
        <f xml:space="preserve"> 'WK2015'!HY22</f>
        <v>0.57446686283646209</v>
      </c>
    </row>
    <row r="143" spans="1:197" x14ac:dyDescent="0.2">
      <c r="A143" s="3">
        <f>Basis!A143</f>
        <v>13</v>
      </c>
      <c r="H143" s="50">
        <f xml:space="preserve"> 'WK2012'!EG23</f>
        <v>1550.8074456589436</v>
      </c>
      <c r="I143" s="50">
        <f xml:space="preserve"> 'WK2012'!EH23</f>
        <v>1810.3903825539501</v>
      </c>
      <c r="J143" s="50">
        <f xml:space="preserve"> 'WK2012'!EK23</f>
        <v>1550.850163871522</v>
      </c>
      <c r="K143" s="50">
        <f xml:space="preserve"> 'WK2012'!EL23</f>
        <v>1810.3539981570752</v>
      </c>
      <c r="L143" s="50">
        <f xml:space="preserve"> 'WK2012'!EM23</f>
        <v>1550.8074456589436</v>
      </c>
      <c r="M143" s="50">
        <f xml:space="preserve"> 'WK2012'!EN23</f>
        <v>1810.3112799444966</v>
      </c>
      <c r="N143" s="61">
        <f xml:space="preserve"> 'WK2012'!EI23</f>
        <v>0.51157315414612814</v>
      </c>
      <c r="P143" s="50">
        <f xml:space="preserve"> 'WK2012'!EU23</f>
        <v>1208.7919602695908</v>
      </c>
      <c r="Q143" s="50">
        <f xml:space="preserve"> 'WK2012'!EV23</f>
        <v>1350.109055752218</v>
      </c>
      <c r="R143" s="50">
        <f xml:space="preserve"> 'WK2012'!EY23</f>
        <v>1209.16249561225</v>
      </c>
      <c r="S143" s="50">
        <f xml:space="preserve"> 'WK2012'!EZ23</f>
        <v>1349.7901087587122</v>
      </c>
      <c r="T143" s="50">
        <f xml:space="preserve"> 'WK2012'!FA23</f>
        <v>1208.7919602695908</v>
      </c>
      <c r="U143" s="50">
        <f xml:space="preserve"> 'WK2012'!FB23</f>
        <v>1349.4195734160528</v>
      </c>
      <c r="V143" s="61">
        <f xml:space="preserve"> 'WK2012'!EW23</f>
        <v>0.51856654225616861</v>
      </c>
      <c r="X143" s="50">
        <f xml:space="preserve"> 'WK2012'!FI23</f>
        <v>754.26434616832876</v>
      </c>
      <c r="Y143" s="50">
        <f xml:space="preserve"> 'WK2012'!FJ23</f>
        <v>770.45684308073874</v>
      </c>
      <c r="Z143" s="50">
        <f xml:space="preserve"> 'WK2012'!FM23</f>
        <v>754.28485720528818</v>
      </c>
      <c r="AA143" s="50">
        <f xml:space="preserve"> 'WK2012'!FN23</f>
        <v>770.4385114858112</v>
      </c>
      <c r="AB143" s="50">
        <f xml:space="preserve"> 'WK2012'!FO23</f>
        <v>754.26434616832876</v>
      </c>
      <c r="AC143" s="50">
        <f xml:space="preserve"> 'WK2012'!FP23</f>
        <v>770.41800044885179</v>
      </c>
      <c r="AD143" s="61">
        <f xml:space="preserve"> 'WK2012'!FK23</f>
        <v>0.51575978508554854</v>
      </c>
      <c r="AF143" s="50">
        <f xml:space="preserve"> 'WK2012'!FW23</f>
        <v>47.316759624283954</v>
      </c>
      <c r="AG143" s="50">
        <f xml:space="preserve"> 'WK2012'!FX23</f>
        <v>27.011017394771677</v>
      </c>
      <c r="AH143" s="50">
        <f xml:space="preserve"> 'WK2012'!GA23</f>
        <v>47.317800695926032</v>
      </c>
      <c r="AI143" s="50">
        <f xml:space="preserve"> 'WK2012'!GB23</f>
        <v>27.010001732286412</v>
      </c>
      <c r="AJ143" s="50">
        <f xml:space="preserve"> 'WK2012'!GC23</f>
        <v>47.316759624283954</v>
      </c>
      <c r="AK143" s="50">
        <f xml:space="preserve"> 'WK2012'!GD23</f>
        <v>27.008960660644334</v>
      </c>
      <c r="AL143" s="61">
        <f xml:space="preserve"> 'WK2012'!FY23</f>
        <v>0.51666091234327138</v>
      </c>
      <c r="AN143" s="50">
        <f xml:space="preserve"> 'WK2012'!GK23</f>
        <v>618.10716352864426</v>
      </c>
      <c r="AO143" s="50">
        <f xml:space="preserve"> 'WK2012'!GL23</f>
        <v>751.885458988511</v>
      </c>
      <c r="AP143" s="50">
        <f xml:space="preserve"> 'WK2012'!GO23</f>
        <v>618.14872499495368</v>
      </c>
      <c r="AQ143" s="50">
        <f xml:space="preserve"> 'WK2012'!GP23</f>
        <v>751.85020310550863</v>
      </c>
      <c r="AR143" s="50">
        <f xml:space="preserve"> 'WK2012'!GQ23</f>
        <v>618.10716352864426</v>
      </c>
      <c r="AS143" s="50">
        <f xml:space="preserve"> 'WK2012'!GR23</f>
        <v>751.80864163919932</v>
      </c>
      <c r="AT143" s="61">
        <f xml:space="preserve"> 'WK2012'!GM23</f>
        <v>0.51075543382662225</v>
      </c>
      <c r="AX143" s="50">
        <f xml:space="preserve"> 'WK2013'!EG23</f>
        <v>1714.8459188000002</v>
      </c>
      <c r="AY143" s="50">
        <f xml:space="preserve"> 'WK2013'!EH23</f>
        <v>1820.0775444000001</v>
      </c>
      <c r="AZ143" s="50">
        <f xml:space="preserve"> 'WK2013'!EK23</f>
        <v>1715.0304511101685</v>
      </c>
      <c r="BA143" s="50">
        <f xml:space="preserve"> 'WK2013'!EL23</f>
        <v>1819.9164387101687</v>
      </c>
      <c r="BB143" s="50">
        <f xml:space="preserve"> 'WK2013'!EM23</f>
        <v>1714.8459188000002</v>
      </c>
      <c r="BC143" s="50">
        <f xml:space="preserve"> 'WK2013'!EN23</f>
        <v>1819.7319063999998</v>
      </c>
      <c r="BD143" s="50">
        <f xml:space="preserve"> 'WK2013'!EI23</f>
        <v>0.46894033654454087</v>
      </c>
      <c r="BF143" s="50">
        <f xml:space="preserve"> 'WK2013'!EU23</f>
        <v>1465.0749882</v>
      </c>
      <c r="BG143" s="50">
        <f xml:space="preserve"> 'WK2013'!EV23</f>
        <v>1501.2267446000001</v>
      </c>
      <c r="BH143" s="50">
        <f xml:space="preserve"> 'WK2013'!EY23</f>
        <v>1465.5155748302836</v>
      </c>
      <c r="BI143" s="50">
        <f xml:space="preserve"> 'WK2013'!EZ23</f>
        <v>1500.7199927302838</v>
      </c>
      <c r="BJ143" s="50">
        <f xml:space="preserve"> 'WK2013'!FA23</f>
        <v>1465.0749882</v>
      </c>
      <c r="BK143" s="50">
        <f xml:space="preserve"> 'WK2013'!FB23</f>
        <v>1500.2794061</v>
      </c>
      <c r="BL143" s="61">
        <f xml:space="preserve"> 'WK2013'!EW23</f>
        <v>0.50826636563610617</v>
      </c>
      <c r="BN143" s="50">
        <f xml:space="preserve"> 'WK2013'!FI23</f>
        <v>948.06021919999989</v>
      </c>
      <c r="BO143" s="50">
        <f xml:space="preserve"> 'WK2013'!FJ23</f>
        <v>935.63455060000001</v>
      </c>
      <c r="BP143" s="50">
        <f xml:space="preserve"> 'WK2013'!FM23</f>
        <v>948.06228504258979</v>
      </c>
      <c r="BQ143" s="50">
        <f xml:space="preserve"> 'WK2013'!FN23</f>
        <v>935.63268704258985</v>
      </c>
      <c r="BR143" s="50">
        <f xml:space="preserve"> 'WK2013'!FO23</f>
        <v>948.06021919999989</v>
      </c>
      <c r="BS143" s="50">
        <f xml:space="preserve"> 'WK2013'!FP23</f>
        <v>935.63062119999995</v>
      </c>
      <c r="BT143" s="61">
        <f xml:space="preserve"> 'WK2013'!FK23</f>
        <v>0.50511243884098889</v>
      </c>
      <c r="BV143" s="50">
        <f xml:space="preserve"> 'WK2013'!FW23</f>
        <v>757.24857780000002</v>
      </c>
      <c r="BW143" s="50">
        <f xml:space="preserve"> 'WK2013'!FX23</f>
        <v>869.62133640000002</v>
      </c>
      <c r="BX143" s="50">
        <f xml:space="preserve"> 'WK2013'!GA23</f>
        <v>757.25169274991072</v>
      </c>
      <c r="BY143" s="50">
        <f xml:space="preserve"> 'WK2013'!GB23</f>
        <v>869.61855134991072</v>
      </c>
      <c r="BZ143" s="50">
        <f xml:space="preserve"> 'WK2013'!GC23</f>
        <v>757.24857780000002</v>
      </c>
      <c r="CA143" s="50">
        <f xml:space="preserve"> 'WK2013'!GD23</f>
        <v>869.61543640000002</v>
      </c>
      <c r="CB143" s="61">
        <f xml:space="preserve"> 'WK2013'!FY23</f>
        <v>0.50782785339046743</v>
      </c>
      <c r="CD143" s="50">
        <f xml:space="preserve"> 'WK2013'!GK23</f>
        <v>47.77514475000001</v>
      </c>
      <c r="CE143" s="50">
        <f xml:space="preserve"> 'WK2013'!GL23</f>
        <v>77.636175750000007</v>
      </c>
      <c r="CF143" s="50">
        <f xml:space="preserve"> 'WK2013'!GO23</f>
        <v>47.911207770193379</v>
      </c>
      <c r="CG143" s="50">
        <f xml:space="preserve"> 'WK2013'!GP23</f>
        <v>77.517435270193388</v>
      </c>
      <c r="CH143" s="50">
        <f xml:space="preserve"> 'WK2013'!GQ23</f>
        <v>47.77514475000001</v>
      </c>
      <c r="CI143" s="50">
        <f xml:space="preserve"> 'WK2013'!GR23</f>
        <v>77.381372249999998</v>
      </c>
      <c r="CJ143" s="61">
        <f xml:space="preserve"> 'WK2013'!GM23</f>
        <v>0.50411647347372068</v>
      </c>
      <c r="CN143" s="50">
        <f xml:space="preserve"> 'WK2014'!EG23</f>
        <v>1706.0872276</v>
      </c>
      <c r="CO143" s="50">
        <f xml:space="preserve"> 'WK2014'!EH23</f>
        <v>1832.1895467999998</v>
      </c>
      <c r="CP143" s="50">
        <f xml:space="preserve"> 'WK2014'!EK23</f>
        <v>1706.0916379051787</v>
      </c>
      <c r="CQ143" s="50">
        <f xml:space="preserve"> 'WK2014'!EL23</f>
        <v>1832.1857059051786</v>
      </c>
      <c r="CR143" s="50">
        <f xml:space="preserve"> 'WK2014'!EM23</f>
        <v>1706.0872276</v>
      </c>
      <c r="CS143" s="50">
        <f xml:space="preserve"> 'WK2014'!EN23</f>
        <v>1832.1812955999999</v>
      </c>
      <c r="CT143" s="61">
        <f xml:space="preserve"> 'WK2014'!EI23</f>
        <v>0.50687261215186641</v>
      </c>
      <c r="CV143" s="50">
        <f xml:space="preserve"> 'WK2014'!EU23</f>
        <v>1487.8265323999999</v>
      </c>
      <c r="CW143" s="50">
        <f xml:space="preserve"> 'WK2014'!EV23</f>
        <v>1507.3644181999998</v>
      </c>
      <c r="CX143" s="50">
        <f xml:space="preserve"> 'WK2014'!EY23</f>
        <v>1488.1621446227387</v>
      </c>
      <c r="CY143" s="50">
        <f xml:space="preserve"> 'WK2014'!EZ23</f>
        <v>1506.9864346227387</v>
      </c>
      <c r="CZ143" s="50">
        <f xml:space="preserve"> 'WK2014'!FA23</f>
        <v>1487.8265323999999</v>
      </c>
      <c r="DA143" s="50">
        <f xml:space="preserve"> 'WK2014'!FB23</f>
        <v>1506.6508223999999</v>
      </c>
      <c r="DB143" s="61">
        <f xml:space="preserve"> 'WK2014'!EW23</f>
        <v>0.50494979519639849</v>
      </c>
      <c r="DC143" s="1"/>
      <c r="DD143" s="50">
        <f xml:space="preserve"> 'WK2014'!FI23</f>
        <v>1008.5011344</v>
      </c>
      <c r="DE143" s="50">
        <f xml:space="preserve"> 'WK2014'!FJ23</f>
        <v>1004.2183456</v>
      </c>
      <c r="DF143" s="50">
        <f xml:space="preserve"> 'WK2014'!FM23</f>
        <v>1009.1067117229672</v>
      </c>
      <c r="DG143" s="50">
        <f xml:space="preserve"> 'WK2014'!FN23</f>
        <v>1003.2372109229673</v>
      </c>
      <c r="DH143" s="50">
        <f xml:space="preserve"> 'WK2014'!FO23</f>
        <v>1008.5011344</v>
      </c>
      <c r="DI143" s="50">
        <f xml:space="preserve"> 'WK2014'!FP23</f>
        <v>1002.6316336</v>
      </c>
      <c r="DJ143" s="61">
        <f xml:space="preserve"> 'WK2014'!FK23</f>
        <v>0.50722389066279505</v>
      </c>
      <c r="DK143" s="1"/>
      <c r="DL143" s="50">
        <f xml:space="preserve"> 'WK2014'!FW23</f>
        <v>751.33439759999999</v>
      </c>
      <c r="DM143" s="50">
        <f xml:space="preserve"> 'WK2014'!FX23</f>
        <v>872.76988879999999</v>
      </c>
      <c r="DN143" s="50">
        <f xml:space="preserve"> 'WK2014'!GA23</f>
        <v>751.33880790517878</v>
      </c>
      <c r="DO143" s="50">
        <f xml:space="preserve"> 'WK2014'!GB23</f>
        <v>872.76604790517877</v>
      </c>
      <c r="DP143" s="50">
        <f xml:space="preserve"> 'WK2014'!GC23</f>
        <v>751.33439759999999</v>
      </c>
      <c r="DQ143" s="50">
        <f xml:space="preserve"> 'WK2014'!GD23</f>
        <v>872.76163760000009</v>
      </c>
      <c r="DR143" s="61">
        <f xml:space="preserve"> 'WK2014'!FY23</f>
        <v>0.50562704894336452</v>
      </c>
      <c r="DS143" s="1"/>
      <c r="DT143" s="50">
        <f xml:space="preserve"> 'WK2014'!GK23</f>
        <v>51.449769000000003</v>
      </c>
      <c r="DU143" s="50">
        <f xml:space="preserve"> 'WK2014'!GL23</f>
        <v>66.447247500000003</v>
      </c>
      <c r="DV143" s="50">
        <f xml:space="preserve"> 'WK2014'!GO23</f>
        <v>51.449769000000003</v>
      </c>
      <c r="DW143" s="50">
        <f xml:space="preserve"> 'WK2014'!GP23</f>
        <v>66.447247500000003</v>
      </c>
      <c r="DX143" s="50">
        <f xml:space="preserve"> 'WK2014'!GQ23</f>
        <v>51.449769000000003</v>
      </c>
      <c r="DY143" s="50">
        <f xml:space="preserve"> 'WK2014'!GR23</f>
        <v>66.447247500000003</v>
      </c>
      <c r="DZ143" s="61">
        <f xml:space="preserve"> 'WK2014'!GM23</f>
        <v>0.50941577893004608</v>
      </c>
      <c r="ED143" s="50">
        <f xml:space="preserve"> 'WK2015'!EG23</f>
        <v>1699.8530760000001</v>
      </c>
      <c r="EE143" s="50">
        <f xml:space="preserve"> 'WK2015'!EH23</f>
        <v>1792.8316719999998</v>
      </c>
      <c r="EF143" s="50">
        <f xml:space="preserve"> 'WK2015'!EK23</f>
        <v>1699.8563801303628</v>
      </c>
      <c r="EG143" s="50">
        <f xml:space="preserve"> 'WK2015'!EL23</f>
        <v>1792.8288745303626</v>
      </c>
      <c r="EH143" s="50">
        <f xml:space="preserve"> 'WK2015'!EM23</f>
        <v>1699.8530760000001</v>
      </c>
      <c r="EI143" s="50">
        <f xml:space="preserve"> 'WK2015'!EN23</f>
        <v>1792.8255703999998</v>
      </c>
      <c r="EJ143" s="61">
        <f xml:space="preserve"> 'WK2015'!EI23</f>
        <v>0.51141442323553832</v>
      </c>
      <c r="EK143" s="1"/>
      <c r="EL143" s="50">
        <f xml:space="preserve"> 'WK2015'!EU23</f>
        <v>1491.2272634999999</v>
      </c>
      <c r="EM143" s="50">
        <f xml:space="preserve"> 'WK2015'!EV23</f>
        <v>1557.5973439999998</v>
      </c>
      <c r="EN143" s="50">
        <f xml:space="preserve"> 'WK2015'!EY23</f>
        <v>1491.4268262867404</v>
      </c>
      <c r="EO143" s="50">
        <f xml:space="preserve"> 'WK2015'!EZ23</f>
        <v>1557.3806168867402</v>
      </c>
      <c r="EP143" s="50">
        <f xml:space="preserve"> 'WK2015'!FA23</f>
        <v>1491.2272634999999</v>
      </c>
      <c r="EQ143" s="50">
        <f xml:space="preserve"> 'WK2015'!FB23</f>
        <v>1557.1810541</v>
      </c>
      <c r="ER143" s="61">
        <f xml:space="preserve"> 'WK2015'!EW23</f>
        <v>0.51031302610902385</v>
      </c>
      <c r="ES143" s="1"/>
      <c r="ET143" s="50">
        <f xml:space="preserve"> 'WK2015'!FI23</f>
        <v>1094.0798298</v>
      </c>
      <c r="EU143" s="50">
        <f xml:space="preserve"> 'WK2015'!FJ23</f>
        <v>1069.0446103999998</v>
      </c>
      <c r="EV143" s="50">
        <f xml:space="preserve"> 'WK2015'!FM23</f>
        <v>1094.0799586603785</v>
      </c>
      <c r="EW143" s="50">
        <f xml:space="preserve"> 'WK2015'!FN23</f>
        <v>1069.0445148603783</v>
      </c>
      <c r="EX143" s="50">
        <f xml:space="preserve"> 'WK2015'!FO23</f>
        <v>1094.0798298</v>
      </c>
      <c r="EY143" s="50">
        <f xml:space="preserve"> 'WK2015'!FP23</f>
        <v>1069.044386</v>
      </c>
      <c r="EZ143" s="61">
        <f xml:space="preserve"> 'WK2015'!FK23</f>
        <v>0.511051018734896</v>
      </c>
      <c r="FA143" s="1"/>
      <c r="FB143" s="50">
        <f xml:space="preserve"> 'WK2015'!FW23</f>
        <v>755.2302360000001</v>
      </c>
      <c r="FC143" s="50">
        <f xml:space="preserve"> 'WK2015'!FX23</f>
        <v>868.63450999999986</v>
      </c>
      <c r="FD143" s="50">
        <f xml:space="preserve"> 'WK2015'!GA23</f>
        <v>755.23354013036283</v>
      </c>
      <c r="FE143" s="50">
        <f xml:space="preserve"> 'WK2015'!GB23</f>
        <v>868.63171253036262</v>
      </c>
      <c r="FF143" s="50">
        <f xml:space="preserve"> 'WK2015'!GC23</f>
        <v>755.2302360000001</v>
      </c>
      <c r="FG143" s="50">
        <f xml:space="preserve"> 'WK2015'!GD23</f>
        <v>868.6284083999999</v>
      </c>
      <c r="FH143" s="61">
        <f xml:space="preserve"> 'WK2015'!FY23</f>
        <v>0.51119316372631729</v>
      </c>
      <c r="FI143" s="1"/>
      <c r="FJ143" s="50">
        <f xml:space="preserve"> 'WK2015'!GK23</f>
        <v>55.148013000000006</v>
      </c>
      <c r="FK143" s="50">
        <f xml:space="preserve"> 'WK2015'!GL23</f>
        <v>73.701176250000003</v>
      </c>
      <c r="FL143" s="50">
        <f xml:space="preserve"> 'WK2015'!GO23</f>
        <v>55.148013000000006</v>
      </c>
      <c r="FM143" s="50">
        <f xml:space="preserve"> 'WK2015'!GP23</f>
        <v>73.701176250000003</v>
      </c>
      <c r="FN143" s="50">
        <f xml:space="preserve"> 'WK2015'!GQ23</f>
        <v>55.148013000000006</v>
      </c>
      <c r="FO143" s="50">
        <f xml:space="preserve"> 'WK2015'!GR23</f>
        <v>73.701176250000003</v>
      </c>
      <c r="FP143" s="61">
        <f xml:space="preserve"> 'WK2015'!GM23</f>
        <v>0.51424452226582484</v>
      </c>
      <c r="FS143" s="283">
        <f xml:space="preserve"> 'WK2015'!H23</f>
        <v>704.40141000000006</v>
      </c>
      <c r="FT143" s="283">
        <f xml:space="preserve"> 'WK2015'!I23</f>
        <v>659.64630199999999</v>
      </c>
      <c r="FU143" s="283">
        <f xml:space="preserve"> 'WK2015'!L23</f>
        <v>704.40141000000006</v>
      </c>
      <c r="FV143" s="283">
        <f xml:space="preserve"> 'WK2015'!M23</f>
        <v>659.64630199999999</v>
      </c>
      <c r="FW143" s="283">
        <f xml:space="preserve"> 'WK2015'!N23</f>
        <v>704.40141000000006</v>
      </c>
      <c r="FX143" s="283">
        <f xml:space="preserve"> 'WK2015'!O23</f>
        <v>659.64630199999999</v>
      </c>
      <c r="FY143" s="284">
        <f xml:space="preserve"> 'WK2015'!P23</f>
        <v>0.50993669896577798</v>
      </c>
      <c r="GA143" s="283">
        <f xml:space="preserve"> 'WK2015'!HB23</f>
        <v>521.29422299999999</v>
      </c>
      <c r="GB143" s="283">
        <f xml:space="preserve"> 'WK2015'!HC23</f>
        <v>432.190923</v>
      </c>
      <c r="GC143" s="283">
        <f xml:space="preserve"> 'WK2015'!HF23</f>
        <v>521.29422299999999</v>
      </c>
      <c r="GD143" s="283">
        <f xml:space="preserve"> 'WK2015'!HG23</f>
        <v>432.190923</v>
      </c>
      <c r="GE143" s="283">
        <f xml:space="preserve"> 'WK2015'!HH23</f>
        <v>521.29422299999999</v>
      </c>
      <c r="GF143" s="283">
        <f xml:space="preserve"> 'WK2015'!HI23</f>
        <v>432.190923</v>
      </c>
      <c r="GG143" s="284">
        <f xml:space="preserve"> 'WK2015'!HJ23</f>
        <v>0.52428585620524948</v>
      </c>
      <c r="GI143" s="283">
        <f xml:space="preserve"> 'WK2015'!HQ23</f>
        <v>8.0279150000000001</v>
      </c>
      <c r="GJ143" s="283">
        <f xml:space="preserve"> 'WK2015'!HR23</f>
        <v>216.68308199999998</v>
      </c>
      <c r="GK143" s="283">
        <f xml:space="preserve"> 'WK2015'!HU23</f>
        <v>8.0279150000000001</v>
      </c>
      <c r="GL143" s="283">
        <f xml:space="preserve"> 'WK2015'!HV23</f>
        <v>216.68308199999998</v>
      </c>
      <c r="GM143" s="283">
        <f xml:space="preserve"> 'WK2015'!HW23</f>
        <v>8.0279150000000001</v>
      </c>
      <c r="GN143" s="283">
        <f xml:space="preserve"> 'WK2015'!HX23</f>
        <v>216.68308199999998</v>
      </c>
      <c r="GO143" s="284">
        <f xml:space="preserve"> 'WK2015'!HY23</f>
        <v>0.48897055579575233</v>
      </c>
    </row>
    <row r="144" spans="1:197" x14ac:dyDescent="0.2">
      <c r="A144" s="3">
        <f>Basis!A144</f>
        <v>14</v>
      </c>
      <c r="H144" s="50">
        <f xml:space="preserve"> 'WK2012'!EG24</f>
        <v>1556.4569472090047</v>
      </c>
      <c r="I144" s="50">
        <f xml:space="preserve"> 'WK2012'!EH24</f>
        <v>1816.0858771321209</v>
      </c>
      <c r="J144" s="50">
        <f xml:space="preserve"> 'WK2012'!EK24</f>
        <v>1556.869004194321</v>
      </c>
      <c r="K144" s="50">
        <f xml:space="preserve"> 'WK2012'!EL24</f>
        <v>1815.7376573778345</v>
      </c>
      <c r="L144" s="50">
        <f xml:space="preserve"> 'WK2012'!EM24</f>
        <v>1556.4569472090047</v>
      </c>
      <c r="M144" s="50">
        <f xml:space="preserve"> 'WK2012'!EN24</f>
        <v>1815.325600392518</v>
      </c>
      <c r="N144" s="61">
        <f xml:space="preserve"> 'WK2012'!EI24</f>
        <v>0.51039492330591874</v>
      </c>
      <c r="P144" s="50">
        <f xml:space="preserve"> 'WK2012'!EU24</f>
        <v>1194.0126740741252</v>
      </c>
      <c r="Q144" s="50">
        <f xml:space="preserve"> 'WK2012'!EV24</f>
        <v>1339.9704941918631</v>
      </c>
      <c r="R144" s="50">
        <f xml:space="preserve"> 'WK2012'!EY24</f>
        <v>1194.7989945746913</v>
      </c>
      <c r="S144" s="50">
        <f xml:space="preserve"> 'WK2012'!EZ24</f>
        <v>1339.2674768398349</v>
      </c>
      <c r="T144" s="50">
        <f xml:space="preserve"> 'WK2012'!FA24</f>
        <v>1194.0126740741252</v>
      </c>
      <c r="U144" s="50">
        <f xml:space="preserve"> 'WK2012'!FB24</f>
        <v>1338.4811563392689</v>
      </c>
      <c r="V144" s="61">
        <f xml:space="preserve"> 'WK2012'!EW24</f>
        <v>0.51864493231462439</v>
      </c>
      <c r="X144" s="50">
        <f xml:space="preserve"> 'WK2012'!FI24</f>
        <v>740.70975839710923</v>
      </c>
      <c r="Y144" s="50">
        <f xml:space="preserve"> 'WK2012'!FJ24</f>
        <v>769.4493127596819</v>
      </c>
      <c r="Z144" s="50">
        <f xml:space="preserve"> 'WK2012'!FM24</f>
        <v>740.78451228331869</v>
      </c>
      <c r="AA144" s="50">
        <f xml:space="preserve"> 'WK2012'!FN24</f>
        <v>769.38674370010426</v>
      </c>
      <c r="AB144" s="50">
        <f xml:space="preserve"> 'WK2012'!FO24</f>
        <v>740.70975839710923</v>
      </c>
      <c r="AC144" s="50">
        <f xml:space="preserve"> 'WK2012'!FP24</f>
        <v>769.3119898138948</v>
      </c>
      <c r="AD144" s="61">
        <f xml:space="preserve"> 'WK2012'!FK24</f>
        <v>0.51119671965542102</v>
      </c>
      <c r="AF144" s="50">
        <f xml:space="preserve"> 'WK2012'!FW24</f>
        <v>41.805041313050175</v>
      </c>
      <c r="AG144" s="50">
        <f xml:space="preserve"> 'WK2012'!FX24</f>
        <v>40.338387731176184</v>
      </c>
      <c r="AH144" s="50">
        <f xml:space="preserve"> 'WK2012'!GA24</f>
        <v>41.835644218492554</v>
      </c>
      <c r="AI144" s="50">
        <f xml:space="preserve"> 'WK2012'!GB24</f>
        <v>40.310312375322923</v>
      </c>
      <c r="AJ144" s="50">
        <f xml:space="preserve"> 'WK2012'!GC24</f>
        <v>41.805041313050175</v>
      </c>
      <c r="AK144" s="50">
        <f xml:space="preserve"> 'WK2012'!GD24</f>
        <v>40.279709469880544</v>
      </c>
      <c r="AL144" s="61">
        <f xml:space="preserve"> 'WK2012'!FY24</f>
        <v>0.51203326098414226</v>
      </c>
      <c r="AN144" s="50">
        <f xml:space="preserve"> 'WK2012'!GK24</f>
        <v>580.89204430049858</v>
      </c>
      <c r="AO144" s="50">
        <f xml:space="preserve"> 'WK2012'!GL24</f>
        <v>654.91488557733101</v>
      </c>
      <c r="AP144" s="50">
        <f xml:space="preserve"> 'WK2012'!GO24</f>
        <v>580.93236662056324</v>
      </c>
      <c r="AQ144" s="50">
        <f xml:space="preserve"> 'WK2012'!GP24</f>
        <v>654.87914464434152</v>
      </c>
      <c r="AR144" s="50">
        <f xml:space="preserve"> 'WK2012'!GQ24</f>
        <v>580.89204430049858</v>
      </c>
      <c r="AS144" s="50">
        <f xml:space="preserve"> 'WK2012'!GR24</f>
        <v>654.83882232427675</v>
      </c>
      <c r="AT144" s="61">
        <f xml:space="preserve"> 'WK2012'!GM24</f>
        <v>0.51107700692825297</v>
      </c>
      <c r="AX144" s="50">
        <f xml:space="preserve"> 'WK2013'!EG24</f>
        <v>1777.1227629999998</v>
      </c>
      <c r="AY144" s="50">
        <f xml:space="preserve"> 'WK2013'!EH24</f>
        <v>1928.7123164000002</v>
      </c>
      <c r="AZ144" s="50">
        <f xml:space="preserve"> 'WK2013'!EK24</f>
        <v>1777.4082703755394</v>
      </c>
      <c r="BA144" s="50">
        <f xml:space="preserve"> 'WK2013'!EL24</f>
        <v>1928.4778967755392</v>
      </c>
      <c r="BB144" s="50">
        <f xml:space="preserve"> 'WK2013'!EM24</f>
        <v>1777.1227629999998</v>
      </c>
      <c r="BC144" s="50">
        <f xml:space="preserve"> 'WK2013'!EN24</f>
        <v>1928.1923894000001</v>
      </c>
      <c r="BD144" s="50">
        <f xml:space="preserve"> 'WK2013'!EI24</f>
        <v>0.47242334272706565</v>
      </c>
      <c r="BF144" s="50">
        <f xml:space="preserve"> 'WK2013'!EU24</f>
        <v>1526.2644235</v>
      </c>
      <c r="BG144" s="50">
        <f xml:space="preserve"> 'WK2013'!EV24</f>
        <v>1578.8162536</v>
      </c>
      <c r="BH144" s="50">
        <f xml:space="preserve"> 'WK2013'!EY24</f>
        <v>1527.0460195346286</v>
      </c>
      <c r="BI144" s="50">
        <f xml:space="preserve"> 'WK2013'!EZ24</f>
        <v>1577.9850396346287</v>
      </c>
      <c r="BJ144" s="50">
        <f xml:space="preserve"> 'WK2013'!FA24</f>
        <v>1526.2644235</v>
      </c>
      <c r="BK144" s="50">
        <f xml:space="preserve"> 'WK2013'!FB24</f>
        <v>1577.2034436000001</v>
      </c>
      <c r="BL144" s="61">
        <f xml:space="preserve"> 'WK2013'!EW24</f>
        <v>0.50907237732806254</v>
      </c>
      <c r="BN144" s="50">
        <f xml:space="preserve"> 'WK2013'!FI24</f>
        <v>1008.8179030000001</v>
      </c>
      <c r="BO144" s="50">
        <f xml:space="preserve"> 'WK2013'!FJ24</f>
        <v>1001.8253629999999</v>
      </c>
      <c r="BP144" s="50">
        <f xml:space="preserve"> 'WK2013'!FM24</f>
        <v>1009.1998013436786</v>
      </c>
      <c r="BQ144" s="50">
        <f xml:space="preserve"> 'WK2013'!FN24</f>
        <v>1001.2850387436785</v>
      </c>
      <c r="BR144" s="50">
        <f xml:space="preserve"> 'WK2013'!FO24</f>
        <v>1008.8179030000001</v>
      </c>
      <c r="BS144" s="50">
        <f xml:space="preserve"> 'WK2013'!FP24</f>
        <v>1000.9031404</v>
      </c>
      <c r="BT144" s="61">
        <f xml:space="preserve"> 'WK2013'!FK24</f>
        <v>0.51300276778390197</v>
      </c>
      <c r="BV144" s="50">
        <f xml:space="preserve"> 'WK2013'!FW24</f>
        <v>799.71652900000004</v>
      </c>
      <c r="BW144" s="50">
        <f xml:space="preserve"> 'WK2013'!FX24</f>
        <v>868.30030440000007</v>
      </c>
      <c r="BX144" s="50">
        <f xml:space="preserve"> 'WK2013'!GA24</f>
        <v>799.72191080236894</v>
      </c>
      <c r="BY144" s="50">
        <f xml:space="preserve"> 'WK2013'!GB24</f>
        <v>868.295366202369</v>
      </c>
      <c r="BZ144" s="50">
        <f xml:space="preserve"> 'WK2013'!GC24</f>
        <v>799.71652900000004</v>
      </c>
      <c r="CA144" s="50">
        <f xml:space="preserve"> 'WK2013'!GD24</f>
        <v>868.28998440000009</v>
      </c>
      <c r="CB144" s="61">
        <f xml:space="preserve"> 'WK2013'!FY24</f>
        <v>0.51056939749435781</v>
      </c>
      <c r="CD144" s="50">
        <f xml:space="preserve"> 'WK2013'!GK24</f>
        <v>55.857055500000008</v>
      </c>
      <c r="CE144" s="50">
        <f xml:space="preserve"> 'WK2013'!GL24</f>
        <v>83.792720250000016</v>
      </c>
      <c r="CF144" s="50">
        <f xml:space="preserve"> 'WK2013'!GO24</f>
        <v>56.067149679877602</v>
      </c>
      <c r="CG144" s="50">
        <f xml:space="preserve"> 'WK2013'!GP24</f>
        <v>83.620609179877619</v>
      </c>
      <c r="CH144" s="50">
        <f xml:space="preserve"> 'WK2013'!GQ24</f>
        <v>55.857055500000008</v>
      </c>
      <c r="CI144" s="50">
        <f xml:space="preserve"> 'WK2013'!GR24</f>
        <v>83.410515000000004</v>
      </c>
      <c r="CJ144" s="61">
        <f xml:space="preserve"> 'WK2013'!GM24</f>
        <v>0.51231462294795294</v>
      </c>
      <c r="CN144" s="50">
        <f xml:space="preserve"> 'WK2014'!EG24</f>
        <v>1778.0921863999999</v>
      </c>
      <c r="CO144" s="50">
        <f xml:space="preserve"> 'WK2014'!EH24</f>
        <v>1958.1576140000002</v>
      </c>
      <c r="CP144" s="50">
        <f xml:space="preserve"> 'WK2014'!EK24</f>
        <v>1778.0988769400014</v>
      </c>
      <c r="CQ144" s="50">
        <f xml:space="preserve"> 'WK2014'!EL24</f>
        <v>1958.1515185400017</v>
      </c>
      <c r="CR144" s="50">
        <f xml:space="preserve"> 'WK2014'!EM24</f>
        <v>1778.0921863999999</v>
      </c>
      <c r="CS144" s="50">
        <f xml:space="preserve"> 'WK2014'!EN24</f>
        <v>1958.144828</v>
      </c>
      <c r="CT144" s="61">
        <f xml:space="preserve"> 'WK2014'!EI24</f>
        <v>0.50749795831582722</v>
      </c>
      <c r="CV144" s="50">
        <f xml:space="preserve"> 'WK2014'!EU24</f>
        <v>1542.6071706</v>
      </c>
      <c r="CW144" s="50">
        <f xml:space="preserve"> 'WK2014'!EV24</f>
        <v>1609.2775059999999</v>
      </c>
      <c r="CX144" s="50">
        <f xml:space="preserve"> 'WK2014'!EY24</f>
        <v>1543.3623241509836</v>
      </c>
      <c r="CY144" s="50">
        <f xml:space="preserve"> 'WK2014'!EZ24</f>
        <v>1608.4989265509839</v>
      </c>
      <c r="CZ144" s="50">
        <f xml:space="preserve"> 'WK2014'!FA24</f>
        <v>1542.6071706</v>
      </c>
      <c r="DA144" s="50">
        <f xml:space="preserve"> 'WK2014'!FB24</f>
        <v>1607.7437729999999</v>
      </c>
      <c r="DB144" s="61">
        <f xml:space="preserve"> 'WK2014'!EW24</f>
        <v>0.50833822857577149</v>
      </c>
      <c r="DC144" s="1"/>
      <c r="DD144" s="50">
        <f xml:space="preserve"> 'WK2014'!FI24</f>
        <v>1066.9162088</v>
      </c>
      <c r="DE144" s="50">
        <f xml:space="preserve"> 'WK2014'!FJ24</f>
        <v>1081.5204871999999</v>
      </c>
      <c r="DF144" s="50">
        <f xml:space="preserve"> 'WK2014'!FM24</f>
        <v>1068.47183146667</v>
      </c>
      <c r="DG144" s="50">
        <f xml:space="preserve"> 'WK2014'!FN24</f>
        <v>1079.3416196666699</v>
      </c>
      <c r="DH144" s="50">
        <f xml:space="preserve"> 'WK2014'!FO24</f>
        <v>1066.9162088</v>
      </c>
      <c r="DI144" s="50">
        <f xml:space="preserve"> 'WK2014'!FP24</f>
        <v>1077.785997</v>
      </c>
      <c r="DJ144" s="61">
        <f xml:space="preserve"> 'WK2014'!FK24</f>
        <v>0.5057531853681182</v>
      </c>
      <c r="DK144" s="1"/>
      <c r="DL144" s="50">
        <f xml:space="preserve"> 'WK2014'!FW24</f>
        <v>795.18744240000001</v>
      </c>
      <c r="DM144" s="50">
        <f xml:space="preserve"> 'WK2014'!FX24</f>
        <v>873.98778400000015</v>
      </c>
      <c r="DN144" s="50">
        <f xml:space="preserve"> 'WK2014'!GA24</f>
        <v>795.19413294000151</v>
      </c>
      <c r="DO144" s="50">
        <f xml:space="preserve"> 'WK2014'!GB24</f>
        <v>873.98168854000164</v>
      </c>
      <c r="DP144" s="50">
        <f xml:space="preserve"> 'WK2014'!GC24</f>
        <v>795.18744240000001</v>
      </c>
      <c r="DQ144" s="50">
        <f xml:space="preserve"> 'WK2014'!GD24</f>
        <v>873.97499800000014</v>
      </c>
      <c r="DR144" s="61">
        <f xml:space="preserve"> 'WK2014'!FY24</f>
        <v>0.5082676743498753</v>
      </c>
      <c r="DS144" s="1"/>
      <c r="DT144" s="50">
        <f xml:space="preserve"> 'WK2014'!GK24</f>
        <v>64.733708999999976</v>
      </c>
      <c r="DU144" s="50">
        <f xml:space="preserve"> 'WK2014'!GL24</f>
        <v>79.268203499999998</v>
      </c>
      <c r="DV144" s="50">
        <f xml:space="preserve"> 'WK2014'!GO24</f>
        <v>64.733708999999976</v>
      </c>
      <c r="DW144" s="50">
        <f xml:space="preserve"> 'WK2014'!GP24</f>
        <v>79.268203499999998</v>
      </c>
      <c r="DX144" s="50">
        <f xml:space="preserve"> 'WK2014'!GQ24</f>
        <v>64.733708999999976</v>
      </c>
      <c r="DY144" s="50">
        <f xml:space="preserve"> 'WK2014'!GR24</f>
        <v>79.268203499999998</v>
      </c>
      <c r="DZ144" s="61">
        <f xml:space="preserve"> 'WK2014'!GM24</f>
        <v>0.50485947860493818</v>
      </c>
      <c r="ED144" s="50">
        <f xml:space="preserve"> 'WK2015'!EG24</f>
        <v>1771.9311348000001</v>
      </c>
      <c r="EE144" s="50">
        <f xml:space="preserve"> 'WK2015'!EH24</f>
        <v>1910.9413165999999</v>
      </c>
      <c r="EF144" s="50">
        <f xml:space="preserve"> 'WK2015'!EK24</f>
        <v>1771.9354204331039</v>
      </c>
      <c r="EG144" s="50">
        <f xml:space="preserve"> 'WK2015'!EL24</f>
        <v>1910.9373894331038</v>
      </c>
      <c r="EH144" s="50">
        <f xml:space="preserve"> 'WK2015'!EM24</f>
        <v>1771.9311348000001</v>
      </c>
      <c r="EI144" s="50">
        <f xml:space="preserve"> 'WK2015'!EN24</f>
        <v>1910.9331038</v>
      </c>
      <c r="EJ144" s="61">
        <f xml:space="preserve"> 'WK2015'!EI24</f>
        <v>0.50577222703213209</v>
      </c>
      <c r="EK144" s="1"/>
      <c r="EL144" s="50">
        <f xml:space="preserve"> 'WK2015'!EU24</f>
        <v>1559.1448691999999</v>
      </c>
      <c r="EM144" s="50">
        <f xml:space="preserve"> 'WK2015'!EV24</f>
        <v>1657.8191574000002</v>
      </c>
      <c r="EN144" s="50">
        <f xml:space="preserve"> 'WK2015'!EY24</f>
        <v>1560.0534128947259</v>
      </c>
      <c r="EO144" s="50">
        <f xml:space="preserve"> 'WK2015'!EZ24</f>
        <v>1656.9168118947259</v>
      </c>
      <c r="EP144" s="50">
        <f xml:space="preserve"> 'WK2015'!FA24</f>
        <v>1559.1448691999999</v>
      </c>
      <c r="EQ144" s="50">
        <f xml:space="preserve"> 'WK2015'!FB24</f>
        <v>1656.0082682000002</v>
      </c>
      <c r="ER144" s="61">
        <f xml:space="preserve"> 'WK2015'!EW24</f>
        <v>0.50391613332672436</v>
      </c>
      <c r="ES144" s="1"/>
      <c r="ET144" s="50">
        <f xml:space="preserve"> 'WK2015'!FI24</f>
        <v>1155.1228865999999</v>
      </c>
      <c r="EU144" s="50">
        <f xml:space="preserve"> 'WK2015'!FJ24</f>
        <v>1154.7151041999998</v>
      </c>
      <c r="EV144" s="50">
        <f xml:space="preserve"> 'WK2015'!FM24</f>
        <v>1156.5045247020016</v>
      </c>
      <c r="EW144" s="50">
        <f xml:space="preserve"> 'WK2015'!FN24</f>
        <v>1152.7368755020016</v>
      </c>
      <c r="EX144" s="50">
        <f xml:space="preserve"> 'WK2015'!FO24</f>
        <v>1155.1228865999999</v>
      </c>
      <c r="EY144" s="50">
        <f xml:space="preserve"> 'WK2015'!FP24</f>
        <v>1151.3552374000001</v>
      </c>
      <c r="EZ144" s="61">
        <f xml:space="preserve"> 'WK2015'!FK24</f>
        <v>0.50564037995745137</v>
      </c>
      <c r="FA144" s="1"/>
      <c r="FB144" s="50">
        <f xml:space="preserve"> 'WK2015'!FW24</f>
        <v>803.07732480000004</v>
      </c>
      <c r="FC144" s="50">
        <f xml:space="preserve"> 'WK2015'!FX24</f>
        <v>872.70918759999995</v>
      </c>
      <c r="FD144" s="50">
        <f xml:space="preserve"> 'WK2015'!GA24</f>
        <v>803.08161043310383</v>
      </c>
      <c r="FE144" s="50">
        <f xml:space="preserve"> 'WK2015'!GB24</f>
        <v>872.70526043310383</v>
      </c>
      <c r="FF144" s="50">
        <f xml:space="preserve"> 'WK2015'!GC24</f>
        <v>803.07732480000004</v>
      </c>
      <c r="FG144" s="50">
        <f xml:space="preserve"> 'WK2015'!GD24</f>
        <v>872.70097480000004</v>
      </c>
      <c r="FH144" s="61">
        <f xml:space="preserve"> 'WK2015'!FY24</f>
        <v>0.50483884554524106</v>
      </c>
      <c r="FI144" s="1"/>
      <c r="FJ144" s="50">
        <f xml:space="preserve"> 'WK2015'!GK24</f>
        <v>65.232375750000017</v>
      </c>
      <c r="FK144" s="50">
        <f xml:space="preserve"> 'WK2015'!GL24</f>
        <v>86.54228024999999</v>
      </c>
      <c r="FL144" s="50">
        <f xml:space="preserve"> 'WK2015'!GO24</f>
        <v>65.232375750000017</v>
      </c>
      <c r="FM144" s="50">
        <f xml:space="preserve"> 'WK2015'!GP24</f>
        <v>86.54228024999999</v>
      </c>
      <c r="FN144" s="50">
        <f xml:space="preserve"> 'WK2015'!GQ24</f>
        <v>65.232375750000017</v>
      </c>
      <c r="FO144" s="50">
        <f xml:space="preserve"> 'WK2015'!GR24</f>
        <v>86.54228024999999</v>
      </c>
      <c r="FP144" s="61">
        <f xml:space="preserve"> 'WK2015'!GM24</f>
        <v>0.5075060670048791</v>
      </c>
      <c r="FS144" s="283">
        <f xml:space="preserve"> 'WK2015'!H24</f>
        <v>702.32440499999996</v>
      </c>
      <c r="FT144" s="283">
        <f xml:space="preserve"> 'WK2015'!I24</f>
        <v>714.962176</v>
      </c>
      <c r="FU144" s="283">
        <f xml:space="preserve"> 'WK2015'!L24</f>
        <v>702.32440499999996</v>
      </c>
      <c r="FV144" s="283">
        <f xml:space="preserve"> 'WK2015'!M24</f>
        <v>714.962176</v>
      </c>
      <c r="FW144" s="283">
        <f xml:space="preserve"> 'WK2015'!N24</f>
        <v>702.32440499999996</v>
      </c>
      <c r="FX144" s="283">
        <f xml:space="preserve"> 'WK2015'!O24</f>
        <v>714.962176</v>
      </c>
      <c r="FY144" s="284">
        <f xml:space="preserve"> 'WK2015'!P24</f>
        <v>0.50517747370163812</v>
      </c>
      <c r="GA144" s="283">
        <f xml:space="preserve"> 'WK2015'!HB24</f>
        <v>508.81521300000003</v>
      </c>
      <c r="GB144" s="283">
        <f xml:space="preserve"> 'WK2015'!HC24</f>
        <v>478.62802499999998</v>
      </c>
      <c r="GC144" s="283">
        <f xml:space="preserve"> 'WK2015'!HF24</f>
        <v>508.81521300000003</v>
      </c>
      <c r="GD144" s="283">
        <f xml:space="preserve"> 'WK2015'!HG24</f>
        <v>478.62802499999998</v>
      </c>
      <c r="GE144" s="283">
        <f xml:space="preserve"> 'WK2015'!HH24</f>
        <v>508.81521300000003</v>
      </c>
      <c r="GF144" s="283">
        <f xml:space="preserve"> 'WK2015'!HI24</f>
        <v>478.62802499999998</v>
      </c>
      <c r="GG144" s="284">
        <f xml:space="preserve"> 'WK2015'!HJ24</f>
        <v>0.50222136944528861</v>
      </c>
      <c r="GI144" s="283">
        <f xml:space="preserve"> 'WK2015'!HQ24</f>
        <v>24.881219999999999</v>
      </c>
      <c r="GJ144" s="283">
        <f xml:space="preserve"> 'WK2015'!HR24</f>
        <v>239.01834599999998</v>
      </c>
      <c r="GK144" s="283">
        <f xml:space="preserve"> 'WK2015'!HU24</f>
        <v>24.881219999999999</v>
      </c>
      <c r="GL144" s="283">
        <f xml:space="preserve"> 'WK2015'!HV24</f>
        <v>239.01834599999998</v>
      </c>
      <c r="GM144" s="283">
        <f xml:space="preserve"> 'WK2015'!HW24</f>
        <v>24.881219999999999</v>
      </c>
      <c r="GN144" s="283">
        <f xml:space="preserve"> 'WK2015'!HX24</f>
        <v>239.01834599999998</v>
      </c>
      <c r="GO144" s="284">
        <f xml:space="preserve"> 'WK2015'!HY24</f>
        <v>0.5842692841829924</v>
      </c>
    </row>
    <row r="145" spans="1:197" x14ac:dyDescent="0.2">
      <c r="A145" s="3">
        <f>Basis!A145</f>
        <v>15</v>
      </c>
      <c r="H145" s="50">
        <f xml:space="preserve"> 'WK2012'!EG25</f>
        <v>1527.1317485748157</v>
      </c>
      <c r="I145" s="50">
        <f xml:space="preserve"> 'WK2012'!EH25</f>
        <v>1793.8495252355826</v>
      </c>
      <c r="J145" s="50">
        <f xml:space="preserve"> 'WK2012'!EK25</f>
        <v>1528.2554405785297</v>
      </c>
      <c r="K145" s="50">
        <f xml:space="preserve"> 'WK2012'!EL25</f>
        <v>1792.944448048341</v>
      </c>
      <c r="L145" s="50">
        <f xml:space="preserve"> 'WK2012'!EM25</f>
        <v>1530.0194494845521</v>
      </c>
      <c r="M145" s="50">
        <f xml:space="preserve"> 'WK2012'!EN25</f>
        <v>1794.7084569543633</v>
      </c>
      <c r="N145" s="61">
        <f xml:space="preserve"> 'WK2012'!EI25</f>
        <v>0.51136804540393666</v>
      </c>
      <c r="P145" s="50">
        <f xml:space="preserve"> 'WK2012'!EU25</f>
        <v>1152.4918148413765</v>
      </c>
      <c r="Q145" s="50">
        <f xml:space="preserve"> 'WK2012'!EV25</f>
        <v>1304.4138857259541</v>
      </c>
      <c r="R145" s="50">
        <f xml:space="preserve"> 'WK2012'!EY25</f>
        <v>1153.7447874601992</v>
      </c>
      <c r="S145" s="50">
        <f xml:space="preserve"> 'WK2012'!EZ25</f>
        <v>1303.3638212819551</v>
      </c>
      <c r="T145" s="50">
        <f xml:space="preserve"> 'WK2012'!FA25</f>
        <v>1156.3649042061425</v>
      </c>
      <c r="U145" s="50">
        <f xml:space="preserve"> 'WK2012'!FB25</f>
        <v>1305.9839380278986</v>
      </c>
      <c r="V145" s="61">
        <f xml:space="preserve"> 'WK2012'!EW25</f>
        <v>0.51765272240879523</v>
      </c>
      <c r="X145" s="50">
        <f xml:space="preserve"> 'WK2012'!FI25</f>
        <v>702.85765269249453</v>
      </c>
      <c r="Y145" s="50">
        <f xml:space="preserve"> 'WK2012'!FJ25</f>
        <v>754.32165924892661</v>
      </c>
      <c r="Z145" s="50">
        <f xml:space="preserve"> 'WK2012'!FM25</f>
        <v>703.74249159067233</v>
      </c>
      <c r="AA145" s="50">
        <f xml:space="preserve"> 'WK2012'!FN25</f>
        <v>753.23553287437392</v>
      </c>
      <c r="AB145" s="50">
        <f xml:space="preserve"> 'WK2012'!FO25</f>
        <v>705.35031189209451</v>
      </c>
      <c r="AC145" s="50">
        <f xml:space="preserve"> 'WK2012'!FP25</f>
        <v>754.84335317579621</v>
      </c>
      <c r="AD145" s="61">
        <f xml:space="preserve"> 'WK2012'!FK25</f>
        <v>0.51314556504639941</v>
      </c>
      <c r="AF145" s="50">
        <f xml:space="preserve"> 'WK2012'!FW25</f>
        <v>35.484168434324801</v>
      </c>
      <c r="AG145" s="50">
        <f xml:space="preserve"> 'WK2012'!FX25</f>
        <v>52.343292098758504</v>
      </c>
      <c r="AH145" s="50">
        <f xml:space="preserve"> 'WK2012'!GA25</f>
        <v>35.575698511812895</v>
      </c>
      <c r="AI145" s="50">
        <f xml:space="preserve"> 'WK2012'!GB25</f>
        <v>52.277045379523237</v>
      </c>
      <c r="AJ145" s="50">
        <f xml:space="preserve"> 'WK2012'!GC25</f>
        <v>35.337132126975696</v>
      </c>
      <c r="AK145" s="50">
        <f xml:space="preserve"> 'WK2012'!GD25</f>
        <v>52.03847899468601</v>
      </c>
      <c r="AL145" s="61">
        <f xml:space="preserve"> 'WK2012'!FY25</f>
        <v>0.50790194586780546</v>
      </c>
      <c r="AN145" s="50">
        <f xml:space="preserve"> 'WK2012'!GK25</f>
        <v>502.98106650841089</v>
      </c>
      <c r="AO145" s="50">
        <f xml:space="preserve"> 'WK2012'!GL25</f>
        <v>520.99713894137949</v>
      </c>
      <c r="AP145" s="50">
        <f xml:space="preserve"> 'WK2012'!GO25</f>
        <v>503.01745387543826</v>
      </c>
      <c r="AQ145" s="50">
        <f xml:space="preserve"> 'WK2012'!GP25</f>
        <v>520.96444779266199</v>
      </c>
      <c r="AR145" s="50">
        <f xml:space="preserve"> 'WK2012'!GQ25</f>
        <v>503.01903786834112</v>
      </c>
      <c r="AS145" s="50">
        <f xml:space="preserve"> 'WK2012'!GR25</f>
        <v>520.96603178556484</v>
      </c>
      <c r="AT145" s="61">
        <f xml:space="preserve"> 'WK2012'!GM25</f>
        <v>0.51580887919569263</v>
      </c>
      <c r="AX145" s="50">
        <f xml:space="preserve"> 'WK2013'!EG25</f>
        <v>1744.8776428000001</v>
      </c>
      <c r="AY145" s="50">
        <f xml:space="preserve"> 'WK2013'!EH25</f>
        <v>1955.3492529999999</v>
      </c>
      <c r="AZ145" s="50">
        <f xml:space="preserve"> 'WK2013'!EK25</f>
        <v>1745.3470739110151</v>
      </c>
      <c r="BA145" s="50">
        <f xml:space="preserve"> 'WK2013'!EL25</f>
        <v>1954.9777061110153</v>
      </c>
      <c r="BB145" s="50">
        <f xml:space="preserve"> 'WK2013'!EM25</f>
        <v>1748.235075715158</v>
      </c>
      <c r="BC145" s="50">
        <f xml:space="preserve"> 'WK2013'!EN25</f>
        <v>1957.8657079151583</v>
      </c>
      <c r="BD145" s="50">
        <f xml:space="preserve"> 'WK2013'!EI25</f>
        <v>0.47336350935244115</v>
      </c>
      <c r="BF145" s="50">
        <f xml:space="preserve"> 'WK2013'!EU25</f>
        <v>1500.8146181999998</v>
      </c>
      <c r="BG145" s="50">
        <f xml:space="preserve"> 'WK2013'!EV25</f>
        <v>1582.7877609999998</v>
      </c>
      <c r="BH145" s="50">
        <f xml:space="preserve"> 'WK2013'!EY25</f>
        <v>1502.2863429913277</v>
      </c>
      <c r="BI145" s="50">
        <f xml:space="preserve"> 'WK2013'!EZ25</f>
        <v>1581.338888291328</v>
      </c>
      <c r="BJ145" s="50">
        <f xml:space="preserve"> 'WK2013'!FA25</f>
        <v>1504.2105035728184</v>
      </c>
      <c r="BK145" s="50">
        <f xml:space="preserve"> 'WK2013'!FB25</f>
        <v>1583.2630488728184</v>
      </c>
      <c r="BL145" s="61">
        <f xml:space="preserve"> 'WK2013'!EW25</f>
        <v>0.51272248730397452</v>
      </c>
      <c r="BN145" s="50">
        <f xml:space="preserve"> 'WK2013'!FI25</f>
        <v>982.44480880000003</v>
      </c>
      <c r="BO145" s="50">
        <f xml:space="preserve"> 'WK2013'!FJ25</f>
        <v>1009.6585132</v>
      </c>
      <c r="BP145" s="50">
        <f xml:space="preserve"> 'WK2013'!FM25</f>
        <v>984.23352854211134</v>
      </c>
      <c r="BQ145" s="50">
        <f xml:space="preserve"> 'WK2013'!FN25</f>
        <v>1007.3993691421111</v>
      </c>
      <c r="BR145" s="50">
        <f xml:space="preserve"> 'WK2013'!FO25</f>
        <v>991.39602476641699</v>
      </c>
      <c r="BS145" s="50">
        <f xml:space="preserve"> 'WK2013'!FP25</f>
        <v>1014.561865366417</v>
      </c>
      <c r="BT145" s="61">
        <f xml:space="preserve"> 'WK2013'!FK25</f>
        <v>0.51441162793515527</v>
      </c>
      <c r="BV145" s="50">
        <f xml:space="preserve"> 'WK2013'!FW25</f>
        <v>743.52543679999997</v>
      </c>
      <c r="BW145" s="50">
        <f xml:space="preserve"> 'WK2013'!FX25</f>
        <v>781.94756599999994</v>
      </c>
      <c r="BX145" s="50">
        <f xml:space="preserve"> 'WK2013'!GA25</f>
        <v>743.5336856470642</v>
      </c>
      <c r="BY145" s="50">
        <f xml:space="preserve"> 'WK2013'!GB25</f>
        <v>781.9399148470643</v>
      </c>
      <c r="BZ145" s="50">
        <f xml:space="preserve"> 'WK2013'!GC25</f>
        <v>743.53895654996222</v>
      </c>
      <c r="CA145" s="50">
        <f xml:space="preserve"> 'WK2013'!GD25</f>
        <v>781.94518574996232</v>
      </c>
      <c r="CB145" s="61">
        <f xml:space="preserve"> 'WK2013'!FY25</f>
        <v>0.51324838531941286</v>
      </c>
      <c r="CD145" s="50">
        <f xml:space="preserve"> 'WK2013'!GK25</f>
        <v>65.703060000000008</v>
      </c>
      <c r="CE145" s="50">
        <f xml:space="preserve"> 'WK2013'!GL25</f>
        <v>87.279997499999979</v>
      </c>
      <c r="CF145" s="50">
        <f xml:space="preserve"> 'WK2013'!GO25</f>
        <v>66.048946697963174</v>
      </c>
      <c r="CG145" s="50">
        <f xml:space="preserve"> 'WK2013'!GP25</f>
        <v>87.007075697963131</v>
      </c>
      <c r="CH145" s="50">
        <f xml:space="preserve"> 'WK2013'!GQ25</f>
        <v>65.406866721234451</v>
      </c>
      <c r="CI145" s="50">
        <f xml:space="preserve"> 'WK2013'!GR25</f>
        <v>86.364995721234408</v>
      </c>
      <c r="CJ145" s="61">
        <f xml:space="preserve"> 'WK2013'!GM25</f>
        <v>0.51493363789417512</v>
      </c>
      <c r="CN145" s="50">
        <f xml:space="preserve"> 'WK2014'!EG25</f>
        <v>1754.443084</v>
      </c>
      <c r="CO145" s="50">
        <f xml:space="preserve"> 'WK2014'!EH25</f>
        <v>1998.8525732000001</v>
      </c>
      <c r="CP145" s="50">
        <f xml:space="preserve"> 'WK2014'!EK25</f>
        <v>1754.452617439799</v>
      </c>
      <c r="CQ145" s="50">
        <f xml:space="preserve"> 'WK2014'!EL25</f>
        <v>1998.8437124397992</v>
      </c>
      <c r="CR145" s="50">
        <f xml:space="preserve"> 'WK2014'!EM25</f>
        <v>1757.2677708526749</v>
      </c>
      <c r="CS145" s="50">
        <f xml:space="preserve"> 'WK2014'!EN25</f>
        <v>2001.6588658526753</v>
      </c>
      <c r="CT145" s="61">
        <f xml:space="preserve"> 'WK2014'!EI25</f>
        <v>0.51178230193225627</v>
      </c>
      <c r="CV145" s="50">
        <f xml:space="preserve"> 'WK2014'!EU25</f>
        <v>1509.9935705</v>
      </c>
      <c r="CW145" s="50">
        <f xml:space="preserve"> 'WK2014'!EV25</f>
        <v>1623.8621888</v>
      </c>
      <c r="CX145" s="50">
        <f xml:space="preserve"> 'WK2014'!EY25</f>
        <v>1511.7310988384459</v>
      </c>
      <c r="CY145" s="50">
        <f xml:space="preserve"> 'WK2014'!EZ25</f>
        <v>1622.2101668384462</v>
      </c>
      <c r="CZ145" s="50">
        <f xml:space="preserve"> 'WK2014'!FA25</f>
        <v>1513.4332196099638</v>
      </c>
      <c r="DA145" s="50">
        <f xml:space="preserve"> 'WK2014'!FB25</f>
        <v>1623.9122876099641</v>
      </c>
      <c r="DB145" s="61">
        <f xml:space="preserve"> 'WK2014'!EW25</f>
        <v>0.51062100343293748</v>
      </c>
      <c r="DC145" s="1"/>
      <c r="DD145" s="50">
        <f xml:space="preserve"> 'WK2014'!FI25</f>
        <v>1042.7364680000001</v>
      </c>
      <c r="DE145" s="50">
        <f xml:space="preserve"> 'WK2014'!FJ25</f>
        <v>1091.6133810000001</v>
      </c>
      <c r="DF145" s="50">
        <f xml:space="preserve"> 'WK2014'!FM25</f>
        <v>1045.7920694411748</v>
      </c>
      <c r="DG145" s="50">
        <f xml:space="preserve"> 'WK2014'!FN25</f>
        <v>1087.8948428411745</v>
      </c>
      <c r="DH145" s="50">
        <f xml:space="preserve"> 'WK2014'!FO25</f>
        <v>1050.1212190165643</v>
      </c>
      <c r="DI145" s="50">
        <f xml:space="preserve"> 'WK2014'!FP25</f>
        <v>1092.223992416564</v>
      </c>
      <c r="DJ145" s="61">
        <f xml:space="preserve"> 'WK2014'!FK25</f>
        <v>0.51331555404044626</v>
      </c>
      <c r="DK145" s="1"/>
      <c r="DL145" s="50">
        <f xml:space="preserve"> 'WK2014'!FW25</f>
        <v>741.43380000000002</v>
      </c>
      <c r="DM145" s="50">
        <f xml:space="preserve"> 'WK2014'!FX25</f>
        <v>789.33681120000006</v>
      </c>
      <c r="DN145" s="50">
        <f xml:space="preserve"> 'WK2014'!GA25</f>
        <v>741.44333343979906</v>
      </c>
      <c r="DO145" s="50">
        <f xml:space="preserve"> 'WK2014'!GB25</f>
        <v>789.327950439799</v>
      </c>
      <c r="DP145" s="50">
        <f xml:space="preserve"> 'WK2014'!GC25</f>
        <v>741.44860374030316</v>
      </c>
      <c r="DQ145" s="50">
        <f xml:space="preserve"> 'WK2014'!GD25</f>
        <v>789.3332207403032</v>
      </c>
      <c r="DR145" s="61">
        <f xml:space="preserve"> 'WK2014'!FY25</f>
        <v>0.51200398057542695</v>
      </c>
      <c r="DS145" s="1"/>
      <c r="DT145" s="50">
        <f xml:space="preserve"> 'WK2014'!GK25</f>
        <v>78.864564000000016</v>
      </c>
      <c r="DU145" s="50">
        <f xml:space="preserve"> 'WK2014'!GL25</f>
        <v>92.06554050000004</v>
      </c>
      <c r="DV145" s="50">
        <f xml:space="preserve"> 'WK2014'!GO25</f>
        <v>78.864564000000016</v>
      </c>
      <c r="DW145" s="50">
        <f xml:space="preserve"> 'WK2014'!GP25</f>
        <v>92.06554050000004</v>
      </c>
      <c r="DX145" s="50">
        <f xml:space="preserve"> 'WK2014'!GQ25</f>
        <v>79.019768696951317</v>
      </c>
      <c r="DY145" s="50">
        <f xml:space="preserve"> 'WK2014'!GR25</f>
        <v>92.220745196951341</v>
      </c>
      <c r="DZ145" s="61">
        <f xml:space="preserve"> 'WK2014'!GM25</f>
        <v>0.51403834906618084</v>
      </c>
      <c r="ED145" s="50">
        <f xml:space="preserve"> 'WK2015'!EG25</f>
        <v>1746.5603449999999</v>
      </c>
      <c r="EE145" s="50">
        <f xml:space="preserve"> 'WK2015'!EH25</f>
        <v>1942.3396346</v>
      </c>
      <c r="EF145" s="50">
        <f xml:space="preserve"> 'WK2015'!EK25</f>
        <v>1746.5657144660208</v>
      </c>
      <c r="EG145" s="50">
        <f xml:space="preserve"> 'WK2015'!EL25</f>
        <v>1942.334448066021</v>
      </c>
      <c r="EH145" s="50">
        <f xml:space="preserve"> 'WK2015'!EM25</f>
        <v>1748.0153012035003</v>
      </c>
      <c r="EI145" s="50">
        <f xml:space="preserve"> 'WK2015'!EN25</f>
        <v>1943.7840348035002</v>
      </c>
      <c r="EJ145" s="61">
        <f xml:space="preserve"> 'WK2015'!EI25</f>
        <v>0.50802737975559631</v>
      </c>
      <c r="EK145" s="1"/>
      <c r="EL145" s="50">
        <f xml:space="preserve"> 'WK2015'!EU25</f>
        <v>1538.2549075000002</v>
      </c>
      <c r="EM145" s="50">
        <f xml:space="preserve"> 'WK2015'!EV25</f>
        <v>1680.8213044000001</v>
      </c>
      <c r="EN145" s="50">
        <f xml:space="preserve"> 'WK2015'!EY25</f>
        <v>1540.2197801443547</v>
      </c>
      <c r="EO145" s="50">
        <f xml:space="preserve"> 'WK2015'!EZ25</f>
        <v>1679.0270165443549</v>
      </c>
      <c r="EP145" s="50">
        <f xml:space="preserve"> 'WK2015'!FA25</f>
        <v>1542.1145575434625</v>
      </c>
      <c r="EQ145" s="50">
        <f xml:space="preserve"> 'WK2015'!FB25</f>
        <v>1680.9217939434625</v>
      </c>
      <c r="ER145" s="61">
        <f xml:space="preserve"> 'WK2015'!EW25</f>
        <v>0.50875671979942749</v>
      </c>
      <c r="ES145" s="1"/>
      <c r="ET145" s="50">
        <f xml:space="preserve"> 'WK2015'!FI25</f>
        <v>1130.0156741999999</v>
      </c>
      <c r="EU145" s="50">
        <f xml:space="preserve"> 'WK2015'!FJ25</f>
        <v>1157.7787703999998</v>
      </c>
      <c r="EV145" s="50">
        <f xml:space="preserve"> 'WK2015'!FM25</f>
        <v>1132.7842186263483</v>
      </c>
      <c r="EW145" s="50">
        <f xml:space="preserve"> 'WK2015'!FN25</f>
        <v>1154.3472540263483</v>
      </c>
      <c r="EX145" s="50">
        <f xml:space="preserve"> 'WK2015'!FO25</f>
        <v>1136.2466831521176</v>
      </c>
      <c r="EY145" s="50">
        <f xml:space="preserve"> 'WK2015'!FP25</f>
        <v>1157.8097185521174</v>
      </c>
      <c r="EZ145" s="61">
        <f xml:space="preserve"> 'WK2015'!FK25</f>
        <v>0.50697623643432344</v>
      </c>
      <c r="FA145" s="1"/>
      <c r="FB145" s="50">
        <f xml:space="preserve"> 'WK2015'!FW25</f>
        <v>752.75858000000005</v>
      </c>
      <c r="FC145" s="50">
        <f xml:space="preserve"> 'WK2015'!FX25</f>
        <v>789.25945760000002</v>
      </c>
      <c r="FD145" s="50">
        <f xml:space="preserve"> 'WK2015'!GA25</f>
        <v>752.76394946602102</v>
      </c>
      <c r="FE145" s="50">
        <f xml:space="preserve"> 'WK2015'!GB25</f>
        <v>789.25427106602092</v>
      </c>
      <c r="FF145" s="50">
        <f xml:space="preserve"> 'WK2015'!GC25</f>
        <v>752.76952235867827</v>
      </c>
      <c r="FG145" s="50">
        <f xml:space="preserve"> 'WK2015'!GD25</f>
        <v>789.25984395867829</v>
      </c>
      <c r="FH145" s="61">
        <f xml:space="preserve"> 'WK2015'!FY25</f>
        <v>0.5090219497257743</v>
      </c>
      <c r="FI145" s="1"/>
      <c r="FJ145" s="50">
        <f xml:space="preserve"> 'WK2015'!GK25</f>
        <v>77.263672499999984</v>
      </c>
      <c r="FK145" s="50">
        <f xml:space="preserve"> 'WK2015'!GL25</f>
        <v>101.90300100000002</v>
      </c>
      <c r="FL145" s="50">
        <f xml:space="preserve"> 'WK2015'!GO25</f>
        <v>77.263672499999984</v>
      </c>
      <c r="FM145" s="50">
        <f xml:space="preserve"> 'WK2015'!GP25</f>
        <v>101.90300100000002</v>
      </c>
      <c r="FN145" s="50">
        <f xml:space="preserve"> 'WK2015'!GQ25</f>
        <v>77.974679928186788</v>
      </c>
      <c r="FO145" s="50">
        <f xml:space="preserve"> 'WK2015'!GR25</f>
        <v>102.61400842818682</v>
      </c>
      <c r="FP145" s="61">
        <f xml:space="preserve"> 'WK2015'!GM25</f>
        <v>0.50608859703148124</v>
      </c>
      <c r="FS145" s="283">
        <f xml:space="preserve"> 'WK2015'!H25</f>
        <v>701.73097499999994</v>
      </c>
      <c r="FT145" s="283">
        <f xml:space="preserve"> 'WK2015'!I25</f>
        <v>772.98077999999998</v>
      </c>
      <c r="FU145" s="283">
        <f xml:space="preserve"> 'WK2015'!L25</f>
        <v>701.73097499999994</v>
      </c>
      <c r="FV145" s="283">
        <f xml:space="preserve"> 'WK2015'!M25</f>
        <v>772.98077999999998</v>
      </c>
      <c r="FW145" s="283">
        <f xml:space="preserve"> 'WK2015'!N25</f>
        <v>702.01778366951294</v>
      </c>
      <c r="FX145" s="283">
        <f xml:space="preserve"> 'WK2015'!O25</f>
        <v>773.26758866951297</v>
      </c>
      <c r="FY145" s="284">
        <f xml:space="preserve"> 'WK2015'!P25</f>
        <v>0.50735720553439434</v>
      </c>
      <c r="GA145" s="283">
        <f xml:space="preserve"> 'WK2015'!HB25</f>
        <v>497.32138799999996</v>
      </c>
      <c r="GB145" s="283">
        <f xml:space="preserve"> 'WK2015'!HC25</f>
        <v>528.86699499999997</v>
      </c>
      <c r="GC145" s="283">
        <f xml:space="preserve"> 'WK2015'!HF25</f>
        <v>497.32138799999996</v>
      </c>
      <c r="GD145" s="283">
        <f xml:space="preserve"> 'WK2015'!HG25</f>
        <v>528.86699499999997</v>
      </c>
      <c r="GE145" s="283">
        <f xml:space="preserve"> 'WK2015'!HH25</f>
        <v>497.32138799999996</v>
      </c>
      <c r="GF145" s="283">
        <f xml:space="preserve"> 'WK2015'!HI25</f>
        <v>528.86699499999997</v>
      </c>
      <c r="GG145" s="284">
        <f xml:space="preserve"> 'WK2015'!HJ25</f>
        <v>0.51788854847601062</v>
      </c>
      <c r="GI145" s="283">
        <f xml:space="preserve"> 'WK2015'!HQ25</f>
        <v>41.787689999999998</v>
      </c>
      <c r="GJ145" s="283">
        <f xml:space="preserve"> 'WK2015'!HR25</f>
        <v>261.58626899999996</v>
      </c>
      <c r="GK145" s="283">
        <f xml:space="preserve"> 'WK2015'!HU25</f>
        <v>41.787689999999998</v>
      </c>
      <c r="GL145" s="283">
        <f xml:space="preserve"> 'WK2015'!HV25</f>
        <v>261.58626899999996</v>
      </c>
      <c r="GM145" s="283">
        <f xml:space="preserve"> 'WK2015'!HW25</f>
        <v>44.167655445062842</v>
      </c>
      <c r="GN145" s="283">
        <f xml:space="preserve"> 'WK2015'!HX25</f>
        <v>263.96623444506281</v>
      </c>
      <c r="GO145" s="284">
        <f xml:space="preserve"> 'WK2015'!HY25</f>
        <v>0.68479117415287627</v>
      </c>
    </row>
    <row r="146" spans="1:197" x14ac:dyDescent="0.2">
      <c r="A146" s="3">
        <f>Basis!A146</f>
        <v>16</v>
      </c>
      <c r="H146" s="50">
        <f xml:space="preserve"> 'WK2012'!EG26</f>
        <v>1510.7749022818061</v>
      </c>
      <c r="I146" s="50">
        <f xml:space="preserve"> 'WK2012'!EH26</f>
        <v>1778.3203580687461</v>
      </c>
      <c r="J146" s="50">
        <f xml:space="preserve"> 'WK2012'!EK26</f>
        <v>1512.8813088218842</v>
      </c>
      <c r="K146" s="50">
        <f xml:space="preserve"> 'WK2012'!EL26</f>
        <v>1776.6404032298942</v>
      </c>
      <c r="L146" s="50">
        <f xml:space="preserve"> 'WK2012'!EM26</f>
        <v>1513.6626031915425</v>
      </c>
      <c r="M146" s="50">
        <f xml:space="preserve"> 'WK2012'!EN26</f>
        <v>1777.4216975995528</v>
      </c>
      <c r="N146" s="61">
        <f xml:space="preserve"> 'WK2012'!EI26</f>
        <v>0.51109105979156944</v>
      </c>
      <c r="P146" s="50">
        <f xml:space="preserve"> 'WK2012'!EU26</f>
        <v>1101.4087507017332</v>
      </c>
      <c r="Q146" s="50">
        <f xml:space="preserve"> 'WK2012'!EV26</f>
        <v>1281.5376580612926</v>
      </c>
      <c r="R146" s="50">
        <f xml:space="preserve"> 'WK2012'!EY26</f>
        <v>1104.3133643168749</v>
      </c>
      <c r="S146" s="50">
        <f xml:space="preserve"> 'WK2012'!EZ26</f>
        <v>1279.2163207190051</v>
      </c>
      <c r="T146" s="50">
        <f xml:space="preserve"> 'WK2012'!FA26</f>
        <v>1105.2818400664992</v>
      </c>
      <c r="U146" s="50">
        <f xml:space="preserve"> 'WK2012'!FB26</f>
        <v>1280.1847964686294</v>
      </c>
      <c r="V146" s="61">
        <f xml:space="preserve"> 'WK2012'!EW26</f>
        <v>0.51129036771790159</v>
      </c>
      <c r="X146" s="50">
        <f xml:space="preserve"> 'WK2012'!FI26</f>
        <v>664.35739245276011</v>
      </c>
      <c r="Y146" s="50">
        <f xml:space="preserve"> 'WK2012'!FJ26</f>
        <v>738.87949595443774</v>
      </c>
      <c r="Z146" s="50">
        <f xml:space="preserve"> 'WK2012'!FM26</f>
        <v>665.08237907832631</v>
      </c>
      <c r="AA146" s="50">
        <f xml:space="preserve"> 'WK2012'!FN26</f>
        <v>738.18738492726811</v>
      </c>
      <c r="AB146" s="50">
        <f xml:space="preserve"> 'WK2012'!FO26</f>
        <v>666.85005165236009</v>
      </c>
      <c r="AC146" s="50">
        <f xml:space="preserve"> 'WK2012'!FP26</f>
        <v>739.95505750130201</v>
      </c>
      <c r="AD146" s="61">
        <f xml:space="preserve"> 'WK2012'!FK26</f>
        <v>0.50901233116844424</v>
      </c>
      <c r="AF146" s="50">
        <f xml:space="preserve"> 'WK2012'!FW26</f>
        <v>49.385898944141104</v>
      </c>
      <c r="AG146" s="50">
        <f xml:space="preserve"> 'WK2012'!FX26</f>
        <v>56.109429478750322</v>
      </c>
      <c r="AH146" s="50">
        <f xml:space="preserve"> 'WK2012'!GA26</f>
        <v>49.472269086264575</v>
      </c>
      <c r="AI146" s="50">
        <f xml:space="preserve"> 'WK2012'!GB26</f>
        <v>56.032773233498411</v>
      </c>
      <c r="AJ146" s="50">
        <f xml:space="preserve"> 'WK2012'!GC26</f>
        <v>49.238862636791993</v>
      </c>
      <c r="AK146" s="50">
        <f xml:space="preserve"> 'WK2012'!GD26</f>
        <v>55.799366784025828</v>
      </c>
      <c r="AL146" s="61">
        <f xml:space="preserve"> 'WK2012'!FY26</f>
        <v>0.50864725816813794</v>
      </c>
      <c r="AN146" s="50">
        <f xml:space="preserve"> 'WK2012'!GK26</f>
        <v>411.48584350069228</v>
      </c>
      <c r="AO146" s="50">
        <f xml:space="preserve"> 'WK2012'!GL26</f>
        <v>396.78919732553561</v>
      </c>
      <c r="AP146" s="50">
        <f xml:space="preserve"> 'WK2012'!GO26</f>
        <v>411.52214431173013</v>
      </c>
      <c r="AQ146" s="50">
        <f xml:space="preserve"> 'WK2012'!GP26</f>
        <v>396.75704256208388</v>
      </c>
      <c r="AR146" s="50">
        <f xml:space="preserve"> 'WK2012'!GQ26</f>
        <v>411.52381486062239</v>
      </c>
      <c r="AS146" s="50">
        <f xml:space="preserve"> 'WK2012'!GR26</f>
        <v>396.7587131109762</v>
      </c>
      <c r="AT146" s="61">
        <f xml:space="preserve"> 'WK2012'!GM26</f>
        <v>0.50834102639948453</v>
      </c>
      <c r="AX146" s="50">
        <f xml:space="preserve"> 'WK2013'!EG26</f>
        <v>1649.1415000000002</v>
      </c>
      <c r="AY146" s="50">
        <f xml:space="preserve"> 'WK2013'!EH26</f>
        <v>1932.0692700000002</v>
      </c>
      <c r="AZ146" s="50">
        <f xml:space="preserve"> 'WK2013'!EK26</f>
        <v>1650.0953277716383</v>
      </c>
      <c r="BA146" s="50">
        <f xml:space="preserve"> 'WK2013'!EL26</f>
        <v>1931.3653767716382</v>
      </c>
      <c r="BB146" s="50">
        <f xml:space="preserve"> 'WK2013'!EM26</f>
        <v>1652.4989329151581</v>
      </c>
      <c r="BC146" s="50">
        <f xml:space="preserve"> 'WK2013'!EN26</f>
        <v>1933.7689819151583</v>
      </c>
      <c r="BD146" s="50">
        <f xml:space="preserve"> 'WK2013'!EI26</f>
        <v>0.47410588298096934</v>
      </c>
      <c r="BF146" s="50">
        <f xml:space="preserve"> 'WK2013'!EU26</f>
        <v>1413.8578145000001</v>
      </c>
      <c r="BG146" s="50">
        <f xml:space="preserve"> 'WK2013'!EV26</f>
        <v>1543.7608770000002</v>
      </c>
      <c r="BH146" s="50">
        <f xml:space="preserve"> 'WK2013'!EY26</f>
        <v>1416.4418591724504</v>
      </c>
      <c r="BI146" s="50">
        <f xml:space="preserve"> 'WK2013'!EZ26</f>
        <v>1541.4089446724506</v>
      </c>
      <c r="BJ146" s="50">
        <f xml:space="preserve"> 'WK2013'!FA26</f>
        <v>1417.2536998728185</v>
      </c>
      <c r="BK146" s="50">
        <f xml:space="preserve"> 'WK2013'!FB26</f>
        <v>1542.2207853728187</v>
      </c>
      <c r="BL146" s="61">
        <f xml:space="preserve"> 'WK2013'!EW26</f>
        <v>0.51125972037447398</v>
      </c>
      <c r="BN146" s="50">
        <f xml:space="preserve"> 'WK2013'!FI26</f>
        <v>909.70380880000016</v>
      </c>
      <c r="BO146" s="50">
        <f xml:space="preserve"> 'WK2013'!FJ26</f>
        <v>992.03485840000008</v>
      </c>
      <c r="BP146" s="50">
        <f xml:space="preserve"> 'WK2013'!FM26</f>
        <v>913.75756400400053</v>
      </c>
      <c r="BQ146" s="50">
        <f xml:space="preserve"> 'WK2013'!FN26</f>
        <v>987.50075960400045</v>
      </c>
      <c r="BR146" s="50">
        <f xml:space="preserve"> 'WK2013'!FO26</f>
        <v>918.655024766417</v>
      </c>
      <c r="BS146" s="50">
        <f xml:space="preserve"> 'WK2013'!FP26</f>
        <v>992.39822036641681</v>
      </c>
      <c r="BT146" s="61">
        <f xml:space="preserve"> 'WK2013'!FK26</f>
        <v>0.51048221040395458</v>
      </c>
      <c r="BV146" s="50">
        <f xml:space="preserve"> 'WK2013'!FW26</f>
        <v>620.71641</v>
      </c>
      <c r="BW146" s="50">
        <f xml:space="preserve"> 'WK2013'!FX26</f>
        <v>650.60598300000015</v>
      </c>
      <c r="BX146" s="50">
        <f xml:space="preserve"> 'WK2013'!GA26</f>
        <v>620.72746387296024</v>
      </c>
      <c r="BY146" s="50">
        <f xml:space="preserve"> 'WK2013'!GB26</f>
        <v>650.59571687296022</v>
      </c>
      <c r="BZ146" s="50">
        <f xml:space="preserve"> 'WK2013'!GC26</f>
        <v>620.72992974996237</v>
      </c>
      <c r="CA146" s="50">
        <f xml:space="preserve"> 'WK2013'!GD26</f>
        <v>650.59818274996246</v>
      </c>
      <c r="CB146" s="61">
        <f xml:space="preserve"> 'WK2013'!FY26</f>
        <v>0.51115865895926593</v>
      </c>
      <c r="CD146" s="50">
        <f xml:space="preserve"> 'WK2013'!GK26</f>
        <v>77.862105000000014</v>
      </c>
      <c r="CE146" s="50">
        <f xml:space="preserve"> 'WK2013'!GL26</f>
        <v>88.977591749999974</v>
      </c>
      <c r="CF146" s="50">
        <f xml:space="preserve"> 'WK2013'!GO26</f>
        <v>78.38431377664952</v>
      </c>
      <c r="CG146" s="50">
        <f xml:space="preserve"> 'WK2013'!GP26</f>
        <v>88.569061776649491</v>
      </c>
      <c r="CH146" s="50">
        <f xml:space="preserve"> 'WK2013'!GQ26</f>
        <v>77.565911721234457</v>
      </c>
      <c r="CI146" s="50">
        <f xml:space="preserve"> 'WK2013'!GR26</f>
        <v>87.750659721234399</v>
      </c>
      <c r="CJ146" s="61">
        <f xml:space="preserve"> 'WK2013'!GM26</f>
        <v>0.51062303016819532</v>
      </c>
      <c r="CN146" s="50">
        <f xml:space="preserve"> 'WK2014'!EG26</f>
        <v>1666.1172627999999</v>
      </c>
      <c r="CO146" s="50">
        <f xml:space="preserve"> 'WK2014'!EH26</f>
        <v>1985.7300280000002</v>
      </c>
      <c r="CP146" s="50">
        <f xml:space="preserve"> 'WK2014'!EK26</f>
        <v>1667.0625419900275</v>
      </c>
      <c r="CQ146" s="50">
        <f xml:space="preserve"> 'WK2014'!EL26</f>
        <v>1984.969344590028</v>
      </c>
      <c r="CR146" s="50">
        <f xml:space="preserve"> 'WK2014'!EM26</f>
        <v>1668.941949652675</v>
      </c>
      <c r="CS146" s="50">
        <f xml:space="preserve"> 'WK2014'!EN26</f>
        <v>1986.848752252675</v>
      </c>
      <c r="CT146" s="61">
        <f xml:space="preserve"> 'WK2014'!EI26</f>
        <v>0.51440169810066705</v>
      </c>
      <c r="CV146" s="50">
        <f xml:space="preserve"> 'WK2014'!EU26</f>
        <v>1416.1940846999998</v>
      </c>
      <c r="CW146" s="50">
        <f xml:space="preserve"> 'WK2014'!EV26</f>
        <v>1593.7819809999999</v>
      </c>
      <c r="CX146" s="50">
        <f xml:space="preserve"> 'WK2014'!EY26</f>
        <v>1419.1353633132308</v>
      </c>
      <c r="CY146" s="50">
        <f xml:space="preserve"> 'WK2014'!EZ26</f>
        <v>1591.1980477132308</v>
      </c>
      <c r="CZ146" s="50">
        <f xml:space="preserve"> 'WK2014'!FA26</f>
        <v>1419.6337338099638</v>
      </c>
      <c r="DA146" s="50">
        <f xml:space="preserve"> 'WK2014'!FB26</f>
        <v>1591.6964182099641</v>
      </c>
      <c r="DB146" s="61">
        <f xml:space="preserve"> 'WK2014'!EW26</f>
        <v>0.51429861256954923</v>
      </c>
      <c r="DC146" s="1"/>
      <c r="DD146" s="50">
        <f xml:space="preserve"> 'WK2014'!FI26</f>
        <v>961.54489519999993</v>
      </c>
      <c r="DE146" s="50">
        <f xml:space="preserve"> 'WK2014'!FJ26</f>
        <v>1063.7391888</v>
      </c>
      <c r="DF146" s="50">
        <f xml:space="preserve"> 'WK2014'!FM26</f>
        <v>966.53133987912793</v>
      </c>
      <c r="DG146" s="50">
        <f xml:space="preserve"> 'WK2014'!FN26</f>
        <v>1058.3839424791281</v>
      </c>
      <c r="DH146" s="50">
        <f xml:space="preserve"> 'WK2014'!FO26</f>
        <v>968.92964621656415</v>
      </c>
      <c r="DI146" s="50">
        <f xml:space="preserve"> 'WK2014'!FP26</f>
        <v>1060.7822488165641</v>
      </c>
      <c r="DJ146" s="61">
        <f xml:space="preserve"> 'WK2014'!FK26</f>
        <v>0.51475085691581957</v>
      </c>
      <c r="DK146" s="1"/>
      <c r="DL146" s="50">
        <f xml:space="preserve"> 'WK2014'!FW26</f>
        <v>621.83174880000001</v>
      </c>
      <c r="DM146" s="50">
        <f xml:space="preserve"> 'WK2014'!FX26</f>
        <v>658.23245200000008</v>
      </c>
      <c r="DN146" s="50">
        <f xml:space="preserve"> 'WK2014'!GA26</f>
        <v>621.84417313045981</v>
      </c>
      <c r="DO146" s="50">
        <f xml:space="preserve"> 'WK2014'!GB26</f>
        <v>658.22085773046001</v>
      </c>
      <c r="DP146" s="50">
        <f xml:space="preserve"> 'WK2014'!GC26</f>
        <v>621.84655254030315</v>
      </c>
      <c r="DQ146" s="50">
        <f xml:space="preserve"> 'WK2014'!GD26</f>
        <v>658.22323714030324</v>
      </c>
      <c r="DR146" s="61">
        <f xml:space="preserve"> 'WK2014'!FY26</f>
        <v>0.51439162738338595</v>
      </c>
      <c r="DS146" s="1"/>
      <c r="DT146" s="50">
        <f xml:space="preserve"> 'WK2014'!GK26</f>
        <v>94.794734999999946</v>
      </c>
      <c r="DU146" s="50">
        <f xml:space="preserve"> 'WK2014'!GL26</f>
        <v>106.81029599999999</v>
      </c>
      <c r="DV146" s="50">
        <f xml:space="preserve"> 'WK2014'!GO26</f>
        <v>95.388555865773498</v>
      </c>
      <c r="DW146" s="50">
        <f xml:space="preserve"> 'WK2014'!GP26</f>
        <v>106.36098686577353</v>
      </c>
      <c r="DX146" s="50">
        <f xml:space="preserve"> 'WK2014'!GQ26</f>
        <v>94.949939696951247</v>
      </c>
      <c r="DY146" s="50">
        <f xml:space="preserve"> 'WK2014'!GR26</f>
        <v>105.92237069695128</v>
      </c>
      <c r="DZ146" s="61">
        <f xml:space="preserve"> 'WK2014'!GM26</f>
        <v>0.51531457669111846</v>
      </c>
      <c r="ED146" s="50">
        <f xml:space="preserve"> 'WK2015'!EG26</f>
        <v>1654.3711130000002</v>
      </c>
      <c r="EE146" s="50">
        <f xml:space="preserve"> 'WK2015'!EH26</f>
        <v>1919.3472752000002</v>
      </c>
      <c r="EF146" s="50">
        <f xml:space="preserve"> 'WK2015'!EK26</f>
        <v>1655.2404193211567</v>
      </c>
      <c r="EG146" s="50">
        <f xml:space="preserve"> 'WK2015'!EL26</f>
        <v>1918.7019265211568</v>
      </c>
      <c r="EH146" s="50">
        <f xml:space="preserve"> 'WK2015'!EM26</f>
        <v>1655.8260692035003</v>
      </c>
      <c r="EI146" s="50">
        <f xml:space="preserve"> 'WK2015'!EN26</f>
        <v>1919.2875764035005</v>
      </c>
      <c r="EJ146" s="61">
        <f xml:space="preserve"> 'WK2015'!EI26</f>
        <v>0.51195475050958694</v>
      </c>
      <c r="EK146" s="1"/>
      <c r="EL146" s="50">
        <f xml:space="preserve"> 'WK2015'!EU26</f>
        <v>1453.3805189999998</v>
      </c>
      <c r="EM146" s="50">
        <f xml:space="preserve"> 'WK2015'!EV26</f>
        <v>1656.3387518000002</v>
      </c>
      <c r="EN146" s="50">
        <f xml:space="preserve"> 'WK2015'!EY26</f>
        <v>1456.6825752298032</v>
      </c>
      <c r="EO146" s="50">
        <f xml:space="preserve"> 'WK2015'!EZ26</f>
        <v>1653.5472955298035</v>
      </c>
      <c r="EP146" s="50">
        <f xml:space="preserve"> 'WK2015'!FA26</f>
        <v>1457.2401690434624</v>
      </c>
      <c r="EQ146" s="50">
        <f xml:space="preserve"> 'WK2015'!FB26</f>
        <v>1654.1048893434627</v>
      </c>
      <c r="ER146" s="61">
        <f xml:space="preserve"> 'WK2015'!EW26</f>
        <v>0.51069916312914143</v>
      </c>
      <c r="ES146" s="1"/>
      <c r="ET146" s="50">
        <f xml:space="preserve"> 'WK2015'!FI26</f>
        <v>1039.5502188</v>
      </c>
      <c r="EU146" s="50">
        <f xml:space="preserve"> 'WK2015'!FJ26</f>
        <v>1117.0198152</v>
      </c>
      <c r="EV146" s="50">
        <f xml:space="preserve"> 'WK2015'!FM26</f>
        <v>1044.1168282860958</v>
      </c>
      <c r="EW146" s="50">
        <f xml:space="preserve"> 'WK2015'!FN26</f>
        <v>1112.0659286860957</v>
      </c>
      <c r="EX146" s="50">
        <f xml:space="preserve"> 'WK2015'!FO26</f>
        <v>1045.7812277521175</v>
      </c>
      <c r="EY146" s="50">
        <f xml:space="preserve"> 'WK2015'!FP26</f>
        <v>1113.7303281521176</v>
      </c>
      <c r="EZ146" s="61">
        <f xml:space="preserve"> 'WK2015'!FK26</f>
        <v>0.51359728071088528</v>
      </c>
      <c r="FA146" s="1"/>
      <c r="FB146" s="50">
        <f xml:space="preserve"> 'WK2015'!FW26</f>
        <v>632.98336800000004</v>
      </c>
      <c r="FC146" s="50">
        <f xml:space="preserve"> 'WK2015'!FX26</f>
        <v>657.12820520000002</v>
      </c>
      <c r="FD146" s="50">
        <f xml:space="preserve"> 'WK2015'!GA26</f>
        <v>632.98983934045759</v>
      </c>
      <c r="FE146" s="50">
        <f xml:space="preserve"> 'WK2015'!GB26</f>
        <v>657.12180054045757</v>
      </c>
      <c r="FF146" s="50">
        <f xml:space="preserve"> 'WK2015'!GC26</f>
        <v>632.99431035867838</v>
      </c>
      <c r="FG146" s="50">
        <f xml:space="preserve"> 'WK2015'!GD26</f>
        <v>657.12627155867824</v>
      </c>
      <c r="FH146" s="61">
        <f xml:space="preserve"> 'WK2015'!FY26</f>
        <v>0.51236437701554671</v>
      </c>
      <c r="FI146" s="1"/>
      <c r="FJ146" s="50">
        <f xml:space="preserve"> 'WK2015'!GK26</f>
        <v>91.561832999999979</v>
      </c>
      <c r="FK146" s="50">
        <f xml:space="preserve"> 'WK2015'!GL26</f>
        <v>120.42443925000001</v>
      </c>
      <c r="FL146" s="50">
        <f xml:space="preserve"> 'WK2015'!GO26</f>
        <v>92.208959235524361</v>
      </c>
      <c r="FM146" s="50">
        <f xml:space="preserve"> 'WK2015'!GP26</f>
        <v>119.94523123552439</v>
      </c>
      <c r="FN146" s="50">
        <f xml:space="preserve"> 'WK2015'!GQ26</f>
        <v>92.272840428186782</v>
      </c>
      <c r="FO146" s="50">
        <f xml:space="preserve"> 'WK2015'!GR26</f>
        <v>120.00911242818678</v>
      </c>
      <c r="FP146" s="61">
        <f xml:space="preserve"> 'WK2015'!GM26</f>
        <v>0.51575576672031631</v>
      </c>
      <c r="FS146" s="283">
        <f xml:space="preserve"> 'WK2015'!H26</f>
        <v>701.92878499999995</v>
      </c>
      <c r="FT146" s="283">
        <f xml:space="preserve"> 'WK2015'!I26</f>
        <v>830.81920200000002</v>
      </c>
      <c r="FU146" s="283">
        <f xml:space="preserve"> 'WK2015'!L26</f>
        <v>701.92878499999995</v>
      </c>
      <c r="FV146" s="283">
        <f xml:space="preserve"> 'WK2015'!M26</f>
        <v>830.81920200000002</v>
      </c>
      <c r="FW146" s="283">
        <f xml:space="preserve"> 'WK2015'!N26</f>
        <v>702.21559366951294</v>
      </c>
      <c r="FX146" s="283">
        <f xml:space="preserve"> 'WK2015'!O26</f>
        <v>831.10601066951301</v>
      </c>
      <c r="FY146" s="284">
        <f xml:space="preserve"> 'WK2015'!P26</f>
        <v>0.51039627216926153</v>
      </c>
      <c r="GA146" s="283">
        <f xml:space="preserve"> 'WK2015'!HB26</f>
        <v>487.27250099999998</v>
      </c>
      <c r="GB146" s="283">
        <f xml:space="preserve"> 'WK2015'!HC26</f>
        <v>582.09314700000004</v>
      </c>
      <c r="GC146" s="283">
        <f xml:space="preserve"> 'WK2015'!HF26</f>
        <v>487.27250099999998</v>
      </c>
      <c r="GD146" s="283">
        <f xml:space="preserve"> 'WK2015'!HG26</f>
        <v>582.09314700000004</v>
      </c>
      <c r="GE146" s="283">
        <f xml:space="preserve"> 'WK2015'!HH26</f>
        <v>487.27250099999998</v>
      </c>
      <c r="GF146" s="283">
        <f xml:space="preserve"> 'WK2015'!HI26</f>
        <v>582.09314700000004</v>
      </c>
      <c r="GG146" s="284">
        <f xml:space="preserve"> 'WK2015'!HJ26</f>
        <v>0.49054705581408875</v>
      </c>
      <c r="GI146" s="283">
        <f xml:space="preserve"> 'WK2015'!HQ26</f>
        <v>58.800489999999996</v>
      </c>
      <c r="GJ146" s="283">
        <f xml:space="preserve"> 'WK2015'!HR26</f>
        <v>284.54195699999997</v>
      </c>
      <c r="GK146" s="283">
        <f xml:space="preserve"> 'WK2015'!HU26</f>
        <v>58.800489999999996</v>
      </c>
      <c r="GL146" s="283">
        <f xml:space="preserve"> 'WK2015'!HV26</f>
        <v>284.54195699999997</v>
      </c>
      <c r="GM146" s="283">
        <f xml:space="preserve"> 'WK2015'!HW26</f>
        <v>61.18045544506284</v>
      </c>
      <c r="GN146" s="283">
        <f xml:space="preserve"> 'WK2015'!HX26</f>
        <v>286.92192244506282</v>
      </c>
      <c r="GO146" s="284">
        <f xml:space="preserve"> 'WK2015'!HY26</f>
        <v>0.51836740691398175</v>
      </c>
    </row>
    <row r="147" spans="1:197" x14ac:dyDescent="0.2">
      <c r="A147" s="3">
        <f>Basis!A147</f>
        <v>17</v>
      </c>
      <c r="H147" s="50">
        <f xml:space="preserve"> 'WK2012'!EG27</f>
        <v>1490.9955112712896</v>
      </c>
      <c r="I147" s="50">
        <f xml:space="preserve"> 'WK2012'!EH27</f>
        <v>1793.2674642775046</v>
      </c>
      <c r="J147" s="50">
        <f xml:space="preserve"> 'WK2012'!EK27</f>
        <v>1494.2243484788364</v>
      </c>
      <c r="K147" s="50">
        <f xml:space="preserve"> 'WK2012'!EL27</f>
        <v>1790.7275054448191</v>
      </c>
      <c r="L147" s="50">
        <f xml:space="preserve"> 'WK2012'!EM27</f>
        <v>1493.8832121810258</v>
      </c>
      <c r="M147" s="50">
        <f xml:space="preserve"> 'WK2012'!EN27</f>
        <v>1790.386369147009</v>
      </c>
      <c r="N147" s="61">
        <f xml:space="preserve"> 'WK2012'!EI27</f>
        <v>0.50562022715061639</v>
      </c>
      <c r="P147" s="50">
        <f xml:space="preserve"> 'WK2012'!EU27</f>
        <v>1059.6382400319892</v>
      </c>
      <c r="Q147" s="50">
        <f xml:space="preserve"> 'WK2012'!EV27</f>
        <v>1289.0721764667626</v>
      </c>
      <c r="R147" s="50">
        <f xml:space="preserve"> 'WK2012'!EY27</f>
        <v>1064.6437684199132</v>
      </c>
      <c r="S147" s="50">
        <f xml:space="preserve"> 'WK2012'!EZ27</f>
        <v>1285.1392276863071</v>
      </c>
      <c r="T147" s="50">
        <f xml:space="preserve"> 'WK2012'!FA27</f>
        <v>1063.5113293967552</v>
      </c>
      <c r="U147" s="50">
        <f xml:space="preserve"> 'WK2012'!FB27</f>
        <v>1284.0067886631496</v>
      </c>
      <c r="V147" s="61">
        <f xml:space="preserve"> 'WK2012'!EW27</f>
        <v>0.50478702334342973</v>
      </c>
      <c r="X147" s="50">
        <f xml:space="preserve"> 'WK2012'!FI27</f>
        <v>638.9314844996419</v>
      </c>
      <c r="Y147" s="50">
        <f xml:space="preserve"> 'WK2012'!FJ27</f>
        <v>737.04311704359043</v>
      </c>
      <c r="Z147" s="50">
        <f xml:space="preserve"> 'WK2012'!FM27</f>
        <v>640.68441956143829</v>
      </c>
      <c r="AA147" s="50">
        <f xml:space="preserve"> 'WK2012'!FN27</f>
        <v>735.38188356678347</v>
      </c>
      <c r="AB147" s="50">
        <f xml:space="preserve"> 'WK2012'!FO27</f>
        <v>641.42414369924199</v>
      </c>
      <c r="AC147" s="50">
        <f xml:space="preserve"> 'WK2012'!FP27</f>
        <v>736.12160770458718</v>
      </c>
      <c r="AD147" s="61">
        <f xml:space="preserve"> 'WK2012'!FK27</f>
        <v>0.5020058616882076</v>
      </c>
      <c r="AF147" s="50">
        <f xml:space="preserve"> 'WK2012'!FW27</f>
        <v>54.775814194866946</v>
      </c>
      <c r="AG147" s="50">
        <f xml:space="preserve"> 'WK2012'!FX27</f>
        <v>52.874725618981358</v>
      </c>
      <c r="AH147" s="50">
        <f xml:space="preserve"> 'WK2012'!GA27</f>
        <v>54.918180962239354</v>
      </c>
      <c r="AI147" s="50">
        <f xml:space="preserve"> 'WK2012'!GB27</f>
        <v>52.728844870341838</v>
      </c>
      <c r="AJ147" s="50">
        <f xml:space="preserve"> 'WK2012'!GC27</f>
        <v>54.628777887517842</v>
      </c>
      <c r="AK147" s="50">
        <f xml:space="preserve"> 'WK2012'!GD27</f>
        <v>52.439441795620318</v>
      </c>
      <c r="AL147" s="61">
        <f xml:space="preserve"> 'WK2012'!FY27</f>
        <v>0.5050159911693175</v>
      </c>
      <c r="AN147" s="50">
        <f xml:space="preserve"> 'WK2012'!GK27</f>
        <v>328.06912926321138</v>
      </c>
      <c r="AO147" s="50">
        <f xml:space="preserve"> 'WK2012'!GL27</f>
        <v>307.6111575259323</v>
      </c>
      <c r="AP147" s="50">
        <f xml:space="preserve"> 'WK2012'!GO27</f>
        <v>328.10468718603897</v>
      </c>
      <c r="AQ147" s="50">
        <f xml:space="preserve"> 'WK2012'!GP27</f>
        <v>307.57811645160996</v>
      </c>
      <c r="AR147" s="50">
        <f xml:space="preserve"> 'WK2012'!GQ27</f>
        <v>328.10710062314149</v>
      </c>
      <c r="AS147" s="50">
        <f xml:space="preserve"> 'WK2012'!GR27</f>
        <v>307.58052988871248</v>
      </c>
      <c r="AT147" s="61">
        <f xml:space="preserve"> 'WK2012'!GM27</f>
        <v>0.50010612493368223</v>
      </c>
      <c r="AX147" s="50">
        <f xml:space="preserve"> 'WK2013'!EG27</f>
        <v>1544.7442288000002</v>
      </c>
      <c r="AY147" s="50">
        <f xml:space="preserve"> 'WK2013'!EH27</f>
        <v>1899.1088084</v>
      </c>
      <c r="AZ147" s="50">
        <f xml:space="preserve"> 'WK2013'!EK27</f>
        <v>1547.3031559267849</v>
      </c>
      <c r="BA147" s="50">
        <f xml:space="preserve"> 'WK2013'!EL27</f>
        <v>1897.4056915267847</v>
      </c>
      <c r="BB147" s="50">
        <f xml:space="preserve"> 'WK2013'!EM27</f>
        <v>1548.1016617151581</v>
      </c>
      <c r="BC147" s="50">
        <f xml:space="preserve"> 'WK2013'!EN27</f>
        <v>1898.2041973151581</v>
      </c>
      <c r="BD147" s="50">
        <f xml:space="preserve"> 'WK2013'!EI27</f>
        <v>0.47097144641855981</v>
      </c>
      <c r="BF147" s="50">
        <f xml:space="preserve"> 'WK2013'!EU27</f>
        <v>1312.3174111999999</v>
      </c>
      <c r="BG147" s="50">
        <f xml:space="preserve"> 'WK2013'!EV27</f>
        <v>1499.6145116000002</v>
      </c>
      <c r="BH147" s="50">
        <f xml:space="preserve"> 'WK2013'!EY27</f>
        <v>1315.5227178461259</v>
      </c>
      <c r="BI147" s="50">
        <f xml:space="preserve"> 'WK2013'!EZ27</f>
        <v>1496.8937622461262</v>
      </c>
      <c r="BJ147" s="50">
        <f xml:space="preserve"> 'WK2013'!FA27</f>
        <v>1315.7132965728185</v>
      </c>
      <c r="BK147" s="50">
        <f xml:space="preserve"> 'WK2013'!FB27</f>
        <v>1497.0843409728186</v>
      </c>
      <c r="BL147" s="61">
        <f xml:space="preserve"> 'WK2013'!EW27</f>
        <v>0.51293041788227245</v>
      </c>
      <c r="BN147" s="50">
        <f xml:space="preserve"> 'WK2013'!FI27</f>
        <v>847.53524779999998</v>
      </c>
      <c r="BO147" s="50">
        <f xml:space="preserve"> 'WK2013'!FJ27</f>
        <v>975.73321339999995</v>
      </c>
      <c r="BP147" s="50">
        <f xml:space="preserve"> 'WK2013'!FM27</f>
        <v>856.03002642122931</v>
      </c>
      <c r="BQ147" s="50">
        <f xml:space="preserve"> 'WK2013'!FN27</f>
        <v>967.63064402122927</v>
      </c>
      <c r="BR147" s="50">
        <f xml:space="preserve"> 'WK2013'!FO27</f>
        <v>856.48646376641693</v>
      </c>
      <c r="BS147" s="50">
        <f xml:space="preserve"> 'WK2013'!FP27</f>
        <v>968.0870813664169</v>
      </c>
      <c r="BT147" s="61">
        <f xml:space="preserve"> 'WK2013'!FK27</f>
        <v>0.50992987405251167</v>
      </c>
      <c r="BV147" s="50">
        <f xml:space="preserve"> 'WK2013'!FW27</f>
        <v>486.77506679999999</v>
      </c>
      <c r="BW147" s="50">
        <f xml:space="preserve"> 'WK2013'!FX27</f>
        <v>519.31236839999997</v>
      </c>
      <c r="BX147" s="50">
        <f xml:space="preserve"> 'WK2013'!GA27</f>
        <v>486.78938752614283</v>
      </c>
      <c r="BY147" s="50">
        <f xml:space="preserve"> 'WK2013'!GB27</f>
        <v>519.29916912614283</v>
      </c>
      <c r="BZ147" s="50">
        <f xml:space="preserve"> 'WK2013'!GC27</f>
        <v>486.78858654996225</v>
      </c>
      <c r="CA147" s="50">
        <f xml:space="preserve"> 'WK2013'!GD27</f>
        <v>519.29836814996224</v>
      </c>
      <c r="CB147" s="61">
        <f xml:space="preserve"> 'WK2013'!FY27</f>
        <v>0.51136274917990288</v>
      </c>
      <c r="CD147" s="50">
        <f xml:space="preserve"> 'WK2013'!GK27</f>
        <v>93.298956000000004</v>
      </c>
      <c r="CE147" s="50">
        <f xml:space="preserve"> 'WK2013'!GL27</f>
        <v>90.442899749999995</v>
      </c>
      <c r="CF147" s="50">
        <f xml:space="preserve"> 'WK2013'!GO27</f>
        <v>93.231683748194612</v>
      </c>
      <c r="CG147" s="50">
        <f xml:space="preserve"> 'WK2013'!GP27</f>
        <v>90.409048998194621</v>
      </c>
      <c r="CH147" s="50">
        <f xml:space="preserve"> 'WK2013'!GQ27</f>
        <v>93.002762721234433</v>
      </c>
      <c r="CI147" s="50">
        <f xml:space="preserve"> 'WK2013'!GR27</f>
        <v>90.180127971234427</v>
      </c>
      <c r="CJ147" s="61">
        <f xml:space="preserve"> 'WK2013'!GM27</f>
        <v>0.50402217204282063</v>
      </c>
      <c r="CN147" s="50">
        <f xml:space="preserve"> 'WK2014'!EG27</f>
        <v>1565.0566951999999</v>
      </c>
      <c r="CO147" s="50">
        <f xml:space="preserve"> 'WK2014'!EH27</f>
        <v>1959.6490532000003</v>
      </c>
      <c r="CP147" s="50">
        <f xml:space="preserve"> 'WK2014'!EK27</f>
        <v>1567.472592152624</v>
      </c>
      <c r="CQ147" s="50">
        <f xml:space="preserve"> 'WK2014'!EL27</f>
        <v>1957.5501531526238</v>
      </c>
      <c r="CR147" s="50">
        <f xml:space="preserve"> 'WK2014'!EM27</f>
        <v>1567.8813820526752</v>
      </c>
      <c r="CS147" s="50">
        <f xml:space="preserve"> 'WK2014'!EN27</f>
        <v>1957.9589430526748</v>
      </c>
      <c r="CT147" s="61">
        <f xml:space="preserve"> 'WK2014'!EI27</f>
        <v>0.50580517953352322</v>
      </c>
      <c r="CV147" s="50">
        <f xml:space="preserve"> 'WK2014'!EU27</f>
        <v>1306.1232593</v>
      </c>
      <c r="CW147" s="50">
        <f xml:space="preserve"> 'WK2014'!EV27</f>
        <v>1555.6287047999999</v>
      </c>
      <c r="CX147" s="50">
        <f xml:space="preserve"> 'WK2014'!EY27</f>
        <v>1310.00045496798</v>
      </c>
      <c r="CY147" s="50">
        <f xml:space="preserve"> 'WK2014'!EZ27</f>
        <v>1552.4725679679798</v>
      </c>
      <c r="CZ147" s="50">
        <f xml:space="preserve"> 'WK2014'!FA27</f>
        <v>1309.5629084099639</v>
      </c>
      <c r="DA147" s="50">
        <f xml:space="preserve"> 'WK2014'!FB27</f>
        <v>1552.0350214099637</v>
      </c>
      <c r="DB147" s="61">
        <f xml:space="preserve"> 'WK2014'!EW27</f>
        <v>0.50629957773555379</v>
      </c>
      <c r="DC147" s="1"/>
      <c r="DD147" s="50">
        <f xml:space="preserve"> 'WK2014'!FI27</f>
        <v>890.59629439999992</v>
      </c>
      <c r="DE147" s="50">
        <f xml:space="preserve"> 'WK2014'!FJ27</f>
        <v>1061.6440706000001</v>
      </c>
      <c r="DF147" s="50">
        <f xml:space="preserve"> 'WK2014'!FM27</f>
        <v>898.20701102863791</v>
      </c>
      <c r="DG147" s="50">
        <f xml:space="preserve"> 'WK2014'!FN27</f>
        <v>1054.523740828638</v>
      </c>
      <c r="DH147" s="50">
        <f xml:space="preserve"> 'WK2014'!FO27</f>
        <v>897.98104541656403</v>
      </c>
      <c r="DI147" s="50">
        <f xml:space="preserve"> 'WK2014'!FP27</f>
        <v>1054.2977752165641</v>
      </c>
      <c r="DJ147" s="61">
        <f xml:space="preserve"> 'WK2014'!FK27</f>
        <v>0.50562663396133711</v>
      </c>
      <c r="DK147" s="1"/>
      <c r="DL147" s="50">
        <f xml:space="preserve"> 'WK2014'!FW27</f>
        <v>488.69857920000004</v>
      </c>
      <c r="DM147" s="50">
        <f xml:space="preserve"> 'WK2014'!FX27</f>
        <v>525.29665520000003</v>
      </c>
      <c r="DN147" s="50">
        <f xml:space="preserve"> 'WK2014'!GA27</f>
        <v>488.71431797367234</v>
      </c>
      <c r="DO147" s="50">
        <f xml:space="preserve"> 'WK2014'!GB27</f>
        <v>525.28208497367234</v>
      </c>
      <c r="DP147" s="50">
        <f xml:space="preserve"> 'WK2014'!GC27</f>
        <v>488.71338294030318</v>
      </c>
      <c r="DQ147" s="50">
        <f xml:space="preserve"> 'WK2014'!GD27</f>
        <v>525.28114994030318</v>
      </c>
      <c r="DR147" s="61">
        <f xml:space="preserve"> 'WK2014'!FY27</f>
        <v>0.50651069414782934</v>
      </c>
      <c r="DS147" s="1"/>
      <c r="DT147" s="50">
        <f xml:space="preserve"> 'WK2014'!GK27</f>
        <v>113.35537199999999</v>
      </c>
      <c r="DU147" s="50">
        <f xml:space="preserve"> 'WK2014'!GL27</f>
        <v>125.54292449999998</v>
      </c>
      <c r="DV147" s="50">
        <f xml:space="preserve"> 'WK2014'!GO27</f>
        <v>113.88146338241303</v>
      </c>
      <c r="DW147" s="50">
        <f xml:space="preserve"> 'WK2014'!GP27</f>
        <v>125.10743638241303</v>
      </c>
      <c r="DX147" s="50">
        <f xml:space="preserve"> 'WK2014'!GQ27</f>
        <v>113.51057669695129</v>
      </c>
      <c r="DY147" s="50">
        <f xml:space="preserve"> 'WK2014'!GR27</f>
        <v>124.73654969695129</v>
      </c>
      <c r="DZ147" s="61">
        <f xml:space="preserve"> 'WK2014'!GM27</f>
        <v>0.5055893190721954</v>
      </c>
      <c r="ED147" s="50">
        <f xml:space="preserve"> 'WK2015'!EG27</f>
        <v>1551.4808878000001</v>
      </c>
      <c r="EE147" s="50">
        <f xml:space="preserve"> 'WK2015'!EH27</f>
        <v>1885.3228498000001</v>
      </c>
      <c r="EF147" s="50">
        <f xml:space="preserve"> 'WK2015'!EK27</f>
        <v>1552.9345348868824</v>
      </c>
      <c r="EG147" s="50">
        <f xml:space="preserve"> 'WK2015'!EL27</f>
        <v>1884.2486802868823</v>
      </c>
      <c r="EH147" s="50">
        <f xml:space="preserve"> 'WK2015'!EM27</f>
        <v>1552.9358440035003</v>
      </c>
      <c r="EI147" s="50">
        <f xml:space="preserve"> 'WK2015'!EN27</f>
        <v>1884.2499894035</v>
      </c>
      <c r="EJ147" s="61">
        <f xml:space="preserve"> 'WK2015'!EI27</f>
        <v>0.51027602407256578</v>
      </c>
      <c r="EK147" s="1"/>
      <c r="EL147" s="50">
        <f xml:space="preserve"> 'WK2015'!EU27</f>
        <v>1350.5022782000001</v>
      </c>
      <c r="EM147" s="50">
        <f xml:space="preserve"> 'WK2015'!EV27</f>
        <v>1623.1812532000001</v>
      </c>
      <c r="EN147" s="50">
        <f xml:space="preserve"> 'WK2015'!EY27</f>
        <v>1354.5933494088083</v>
      </c>
      <c r="EO147" s="50">
        <f xml:space="preserve"> 'WK2015'!EZ27</f>
        <v>1619.9627275088085</v>
      </c>
      <c r="EP147" s="50">
        <f xml:space="preserve"> 'WK2015'!FA27</f>
        <v>1354.3619282434624</v>
      </c>
      <c r="EQ147" s="50">
        <f xml:space="preserve"> 'WK2015'!FB27</f>
        <v>1619.7313063434626</v>
      </c>
      <c r="ER147" s="61">
        <f xml:space="preserve"> 'WK2015'!EW27</f>
        <v>0.50977850405697045</v>
      </c>
      <c r="ES147" s="1"/>
      <c r="ET147" s="50">
        <f xml:space="preserve"> 'WK2015'!FI27</f>
        <v>963.14279880000004</v>
      </c>
      <c r="EU147" s="50">
        <f xml:space="preserve"> 'WK2015'!FJ27</f>
        <v>1114.8672865999999</v>
      </c>
      <c r="EV147" s="50">
        <f xml:space="preserve"> 'WK2015'!FM27</f>
        <v>969.60251823105534</v>
      </c>
      <c r="EW147" s="50">
        <f xml:space="preserve"> 'WK2015'!FN27</f>
        <v>1108.676877031055</v>
      </c>
      <c r="EX147" s="50">
        <f xml:space="preserve"> 'WK2015'!FO27</f>
        <v>969.3738077521175</v>
      </c>
      <c r="EY147" s="50">
        <f xml:space="preserve"> 'WK2015'!FP27</f>
        <v>1108.4481665521175</v>
      </c>
      <c r="EZ147" s="61">
        <f xml:space="preserve"> 'WK2015'!FK27</f>
        <v>0.51082488996163089</v>
      </c>
      <c r="FA147" s="1"/>
      <c r="FB147" s="50">
        <f xml:space="preserve"> 'WK2015'!FW27</f>
        <v>497.9357728</v>
      </c>
      <c r="FC147" s="50">
        <f xml:space="preserve"> 'WK2015'!FX27</f>
        <v>522.70584880000001</v>
      </c>
      <c r="FD147" s="50">
        <f xml:space="preserve"> 'WK2015'!GA27</f>
        <v>497.94848885922272</v>
      </c>
      <c r="FE147" s="50">
        <f xml:space="preserve"> 'WK2015'!GB27</f>
        <v>522.6937132592227</v>
      </c>
      <c r="FF147" s="50">
        <f xml:space="preserve"> 'WK2015'!GC27</f>
        <v>497.94671515867822</v>
      </c>
      <c r="FG147" s="50">
        <f xml:space="preserve"> 'WK2015'!GD27</f>
        <v>522.6919395586782</v>
      </c>
      <c r="FH147" s="61">
        <f xml:space="preserve"> 'WK2015'!FY27</f>
        <v>0.50998235052170282</v>
      </c>
      <c r="FI147" s="1"/>
      <c r="FJ147" s="50">
        <f xml:space="preserve"> 'WK2015'!GK27</f>
        <v>109.28798775000004</v>
      </c>
      <c r="FK147" s="50">
        <f xml:space="preserve"> 'WK2015'!GL27</f>
        <v>142.39783125000002</v>
      </c>
      <c r="FL147" s="50">
        <f xml:space="preserve"> 'WK2015'!GO27</f>
        <v>110.3604567520473</v>
      </c>
      <c r="FM147" s="50">
        <f xml:space="preserve"> 'WK2015'!GP27</f>
        <v>141.60720500204729</v>
      </c>
      <c r="FN147" s="50">
        <f xml:space="preserve"> 'WK2015'!GQ27</f>
        <v>109.99899517818685</v>
      </c>
      <c r="FO147" s="50">
        <f xml:space="preserve"> 'WK2015'!GR27</f>
        <v>141.24574342818681</v>
      </c>
      <c r="FP147" s="61">
        <f xml:space="preserve"> 'WK2015'!GM27</f>
        <v>0.51200409834973626</v>
      </c>
      <c r="FS147" s="283">
        <f xml:space="preserve"> 'WK2015'!H27</f>
        <v>702.62112000000002</v>
      </c>
      <c r="FT147" s="283">
        <f xml:space="preserve"> 'WK2015'!I27</f>
        <v>886.49543999999992</v>
      </c>
      <c r="FU147" s="283">
        <f xml:space="preserve"> 'WK2015'!L27</f>
        <v>702.62112000000002</v>
      </c>
      <c r="FV147" s="283">
        <f xml:space="preserve"> 'WK2015'!M27</f>
        <v>886.49543999999992</v>
      </c>
      <c r="FW147" s="283">
        <f xml:space="preserve"> 'WK2015'!N27</f>
        <v>702.90792866951301</v>
      </c>
      <c r="FX147" s="283">
        <f xml:space="preserve"> 'WK2015'!O27</f>
        <v>886.78224866951291</v>
      </c>
      <c r="FY147" s="284">
        <f xml:space="preserve"> 'WK2015'!P27</f>
        <v>0.51124230400877735</v>
      </c>
      <c r="GA147" s="283">
        <f xml:space="preserve"> 'WK2015'!HB27</f>
        <v>478.99694699999992</v>
      </c>
      <c r="GB147" s="283">
        <f xml:space="preserve"> 'WK2015'!HC27</f>
        <v>636.67710899999997</v>
      </c>
      <c r="GC147" s="283">
        <f xml:space="preserve"> 'WK2015'!HF27</f>
        <v>478.99694699999992</v>
      </c>
      <c r="GD147" s="283">
        <f xml:space="preserve"> 'WK2015'!HG27</f>
        <v>636.67710899999997</v>
      </c>
      <c r="GE147" s="283">
        <f xml:space="preserve"> 'WK2015'!HH27</f>
        <v>478.99694699999992</v>
      </c>
      <c r="GF147" s="283">
        <f xml:space="preserve"> 'WK2015'!HI27</f>
        <v>636.67710899999997</v>
      </c>
      <c r="GG147" s="284">
        <f xml:space="preserve"> 'WK2015'!HJ27</f>
        <v>0.50433336114586447</v>
      </c>
      <c r="GI147" s="283">
        <f xml:space="preserve"> 'WK2015'!HQ27</f>
        <v>75.919620000000009</v>
      </c>
      <c r="GJ147" s="283">
        <f xml:space="preserve"> 'WK2015'!HR27</f>
        <v>307.80785699999996</v>
      </c>
      <c r="GK147" s="283">
        <f xml:space="preserve"> 'WK2015'!HU27</f>
        <v>75.919620000000009</v>
      </c>
      <c r="GL147" s="283">
        <f xml:space="preserve"> 'WK2015'!HV27</f>
        <v>307.80785699999996</v>
      </c>
      <c r="GM147" s="283">
        <f xml:space="preserve"> 'WK2015'!HW27</f>
        <v>78.29958544506286</v>
      </c>
      <c r="GN147" s="283">
        <f xml:space="preserve"> 'WK2015'!HX27</f>
        <v>310.18782244506281</v>
      </c>
      <c r="GO147" s="284">
        <f xml:space="preserve"> 'WK2015'!HY27</f>
        <v>0.35714285714285715</v>
      </c>
    </row>
    <row r="148" spans="1:197" x14ac:dyDescent="0.2">
      <c r="A148" s="3">
        <f>Basis!A148</f>
        <v>18</v>
      </c>
      <c r="H148" s="50">
        <f xml:space="preserve"> 'WK2012'!EG28</f>
        <v>1476.1779344562553</v>
      </c>
      <c r="I148" s="50">
        <f xml:space="preserve"> 'WK2012'!EH28</f>
        <v>1839.4785595028497</v>
      </c>
      <c r="J148" s="50">
        <f xml:space="preserve"> 'WK2012'!EK28</f>
        <v>1481.0876740114038</v>
      </c>
      <c r="K148" s="50">
        <f xml:space="preserve"> 'WK2012'!EL28</f>
        <v>1835.68445235891</v>
      </c>
      <c r="L148" s="50">
        <f xml:space="preserve"> 'WK2012'!EM28</f>
        <v>1479.0656353659917</v>
      </c>
      <c r="M148" s="50">
        <f xml:space="preserve"> 'WK2012'!EN28</f>
        <v>1833.6624137134979</v>
      </c>
      <c r="N148" s="61">
        <f xml:space="preserve"> 'WK2012'!EI28</f>
        <v>0.50183971611574973</v>
      </c>
      <c r="P148" s="50">
        <f xml:space="preserve"> 'WK2012'!EU28</f>
        <v>1032.6341498740931</v>
      </c>
      <c r="Q148" s="50">
        <f xml:space="preserve"> 'WK2012'!EV28</f>
        <v>1326.8654199389473</v>
      </c>
      <c r="R148" s="50">
        <f xml:space="preserve"> 'WK2012'!EY28</f>
        <v>1039.2361967756242</v>
      </c>
      <c r="S148" s="50">
        <f xml:space="preserve"> 'WK2012'!EZ28</f>
        <v>1321.7989221254652</v>
      </c>
      <c r="T148" s="50">
        <f xml:space="preserve"> 'WK2012'!FA28</f>
        <v>1036.507239238859</v>
      </c>
      <c r="U148" s="50">
        <f xml:space="preserve"> 'WK2012'!FB28</f>
        <v>1319.0699645887</v>
      </c>
      <c r="V148" s="61">
        <f xml:space="preserve"> 'WK2012'!EW28</f>
        <v>0.50344550031664204</v>
      </c>
      <c r="X148" s="50">
        <f xml:space="preserve"> 'WK2012'!FI28</f>
        <v>624.59939595864523</v>
      </c>
      <c r="Y148" s="50">
        <f xml:space="preserve"> 'WK2012'!FJ28</f>
        <v>747.69396246268502</v>
      </c>
      <c r="Z148" s="50">
        <f xml:space="preserve"> 'WK2012'!FM28</f>
        <v>628.66541829987989</v>
      </c>
      <c r="AA148" s="50">
        <f xml:space="preserve"> 'WK2012'!FN28</f>
        <v>744.12235013746101</v>
      </c>
      <c r="AB148" s="50">
        <f xml:space="preserve"> 'WK2012'!FO28</f>
        <v>627.09205515824522</v>
      </c>
      <c r="AC148" s="50">
        <f xml:space="preserve"> 'WK2012'!FP28</f>
        <v>742.54898699582645</v>
      </c>
      <c r="AD148" s="61">
        <f xml:space="preserve"> 'WK2012'!FK28</f>
        <v>0.49838276512001489</v>
      </c>
      <c r="AF148" s="50">
        <f xml:space="preserve"> 'WK2012'!FW28</f>
        <v>56.724675343432558</v>
      </c>
      <c r="AG148" s="50">
        <f xml:space="preserve"> 'WK2012'!FX28</f>
        <v>47.941534395597728</v>
      </c>
      <c r="AH148" s="50">
        <f xml:space="preserve"> 'WK2012'!GA28</f>
        <v>56.548550791686743</v>
      </c>
      <c r="AI148" s="50">
        <f xml:space="preserve"> 'WK2012'!GB28</f>
        <v>48.000701010635993</v>
      </c>
      <c r="AJ148" s="50">
        <f xml:space="preserve"> 'WK2012'!GC28</f>
        <v>56.577639036083454</v>
      </c>
      <c r="AK148" s="50">
        <f xml:space="preserve"> 'WK2012'!GD28</f>
        <v>48.029789255032647</v>
      </c>
      <c r="AL148" s="61">
        <f xml:space="preserve"> 'WK2012'!FY28</f>
        <v>0.49772664529323274</v>
      </c>
      <c r="AN148" s="50">
        <f xml:space="preserve"> 'WK2012'!GK28</f>
        <v>262.82763420655937</v>
      </c>
      <c r="AO148" s="50">
        <f xml:space="preserve"> 'WK2012'!GL28</f>
        <v>254.88569594370125</v>
      </c>
      <c r="AP148" s="50">
        <f xml:space="preserve"> 'WK2012'!GO28</f>
        <v>262.86226684181139</v>
      </c>
      <c r="AQ148" s="50">
        <f xml:space="preserve"> 'WK2012'!GP28</f>
        <v>254.84645921450618</v>
      </c>
      <c r="AR148" s="50">
        <f xml:space="preserve"> 'WK2012'!GQ28</f>
        <v>262.86560556648948</v>
      </c>
      <c r="AS148" s="50">
        <f xml:space="preserve"> 'WK2012'!GR28</f>
        <v>254.84979793918427</v>
      </c>
      <c r="AT148" s="61">
        <f xml:space="preserve"> 'WK2012'!GM28</f>
        <v>0.49936374023852692</v>
      </c>
      <c r="AX148" s="50">
        <f xml:space="preserve"> 'WK2013'!EG28</f>
        <v>1463.5385553999997</v>
      </c>
      <c r="AY148" s="50">
        <f xml:space="preserve"> 'WK2013'!EH28</f>
        <v>1886.0006942</v>
      </c>
      <c r="AZ148" s="50">
        <f xml:space="preserve"> 'WK2013'!EK28</f>
        <v>1469.5492894977078</v>
      </c>
      <c r="BA148" s="50">
        <f xml:space="preserve"> 'WK2013'!EL28</f>
        <v>1882.1455942977082</v>
      </c>
      <c r="BB148" s="50">
        <f xml:space="preserve"> 'WK2013'!EM28</f>
        <v>1466.8959883151579</v>
      </c>
      <c r="BC148" s="50">
        <f xml:space="preserve"> 'WK2013'!EN28</f>
        <v>1879.4922931151582</v>
      </c>
      <c r="BD148" s="50">
        <f xml:space="preserve"> 'WK2013'!EI28</f>
        <v>0.46773024972050137</v>
      </c>
      <c r="BF148" s="50">
        <f xml:space="preserve"> 'WK2013'!EU28</f>
        <v>1226.4232165999999</v>
      </c>
      <c r="BG148" s="50">
        <f xml:space="preserve"> 'WK2013'!EV28</f>
        <v>1474.9289578</v>
      </c>
      <c r="BH148" s="50">
        <f xml:space="preserve"> 'WK2013'!EY28</f>
        <v>1231.8572351350999</v>
      </c>
      <c r="BI148" s="50">
        <f xml:space="preserve"> 'WK2013'!EZ28</f>
        <v>1470.5440573351002</v>
      </c>
      <c r="BJ148" s="50">
        <f xml:space="preserve"> 'WK2013'!FA28</f>
        <v>1229.8191019728183</v>
      </c>
      <c r="BK148" s="50">
        <f xml:space="preserve"> 'WK2013'!FB28</f>
        <v>1468.5059241728186</v>
      </c>
      <c r="BL148" s="61">
        <f xml:space="preserve"> 'WK2013'!EW28</f>
        <v>0.50479909945872836</v>
      </c>
      <c r="BN148" s="50">
        <f xml:space="preserve"> 'WK2013'!FI28</f>
        <v>792.13425500000005</v>
      </c>
      <c r="BO148" s="50">
        <f xml:space="preserve"> 'WK2013'!FJ28</f>
        <v>974.17287319999991</v>
      </c>
      <c r="BP148" s="50">
        <f xml:space="preserve"> 'WK2013'!FM28</f>
        <v>807.43660221694461</v>
      </c>
      <c r="BQ148" s="50">
        <f xml:space="preserve"> 'WK2013'!FN28</f>
        <v>961.36917021694455</v>
      </c>
      <c r="BR148" s="50">
        <f xml:space="preserve"> 'WK2013'!FO28</f>
        <v>801.08547096641689</v>
      </c>
      <c r="BS148" s="50">
        <f xml:space="preserve"> 'WK2013'!FP28</f>
        <v>955.01803896641695</v>
      </c>
      <c r="BT148" s="61">
        <f xml:space="preserve"> 'WK2013'!FK28</f>
        <v>0.50379791929525963</v>
      </c>
      <c r="BV148" s="50">
        <f xml:space="preserve"> 'WK2013'!FW28</f>
        <v>376.8651534</v>
      </c>
      <c r="BW148" s="50">
        <f xml:space="preserve"> 'WK2013'!FX28</f>
        <v>415.75512420000001</v>
      </c>
      <c r="BX148" s="50">
        <f xml:space="preserve"> 'WK2013'!GA28</f>
        <v>376.88420426910807</v>
      </c>
      <c r="BY148" s="50">
        <f xml:space="preserve"> 'WK2013'!GB28</f>
        <v>415.73789506910805</v>
      </c>
      <c r="BZ148" s="50">
        <f xml:space="preserve"> 'WK2013'!GC28</f>
        <v>376.87867314996231</v>
      </c>
      <c r="CA148" s="50">
        <f xml:space="preserve"> 'WK2013'!GD28</f>
        <v>415.73236394996229</v>
      </c>
      <c r="CB148" s="61">
        <f xml:space="preserve"> 'WK2013'!FY28</f>
        <v>0.50513592282723874</v>
      </c>
      <c r="CD148" s="50">
        <f xml:space="preserve"> 'WK2013'!GK28</f>
        <v>110.24813699999997</v>
      </c>
      <c r="CE148" s="50">
        <f xml:space="preserve"> 'WK2013'!GL28</f>
        <v>94.290770249999994</v>
      </c>
      <c r="CF148" s="50">
        <f xml:space="preserve"> 'WK2013'!GO28</f>
        <v>109.04947781107846</v>
      </c>
      <c r="CG148" s="50">
        <f xml:space="preserve"> 'WK2013'!GP28</f>
        <v>94.887663561078483</v>
      </c>
      <c r="CH148" s="50">
        <f xml:space="preserve"> 'WK2013'!GQ28</f>
        <v>109.95194372123441</v>
      </c>
      <c r="CI148" s="50">
        <f xml:space="preserve"> 'WK2013'!GR28</f>
        <v>95.790129471234437</v>
      </c>
      <c r="CJ148" s="61">
        <f xml:space="preserve"> 'WK2013'!GM28</f>
        <v>0.50447003399784185</v>
      </c>
      <c r="CN148" s="50">
        <f xml:space="preserve"> 'WK2014'!EG28</f>
        <v>1486.1151524000002</v>
      </c>
      <c r="CO148" s="50">
        <f xml:space="preserve"> 'WK2014'!EH28</f>
        <v>1950.0693947999998</v>
      </c>
      <c r="CP148" s="50">
        <f xml:space="preserve"> 'WK2014'!EK28</f>
        <v>1491.5013848057326</v>
      </c>
      <c r="CQ148" s="50">
        <f xml:space="preserve"> 'WK2014'!EL28</f>
        <v>1945.2706488057327</v>
      </c>
      <c r="CR148" s="50">
        <f xml:space="preserve"> 'WK2014'!EM28</f>
        <v>1488.939839252675</v>
      </c>
      <c r="CS148" s="50">
        <f xml:space="preserve"> 'WK2014'!EN28</f>
        <v>1942.7091032526753</v>
      </c>
      <c r="CT148" s="61">
        <f xml:space="preserve"> 'WK2014'!EI28</f>
        <v>0.50107704310546819</v>
      </c>
      <c r="CV148" s="50">
        <f xml:space="preserve"> 'WK2014'!EU28</f>
        <v>1211.7505256000002</v>
      </c>
      <c r="CW148" s="50">
        <f xml:space="preserve"> 'WK2014'!EV28</f>
        <v>1533.2504811999997</v>
      </c>
      <c r="CX148" s="50">
        <f xml:space="preserve"> 'WK2014'!EY28</f>
        <v>1217.1893006174296</v>
      </c>
      <c r="CY148" s="50">
        <f xml:space="preserve"> 'WK2014'!EZ28</f>
        <v>1529.1412301174296</v>
      </c>
      <c r="CZ148" s="50">
        <f xml:space="preserve"> 'WK2014'!FA28</f>
        <v>1215.1901747099639</v>
      </c>
      <c r="DA148" s="50">
        <f xml:space="preserve"> 'WK2014'!FB28</f>
        <v>1527.1421042099641</v>
      </c>
      <c r="DB148" s="61">
        <f xml:space="preserve"> 'WK2014'!EW28</f>
        <v>0.50632070942473839</v>
      </c>
      <c r="DC148" s="1"/>
      <c r="DD148" s="50">
        <f xml:space="preserve"> 'WK2014'!FI28</f>
        <v>824.36529280000002</v>
      </c>
      <c r="DE148" s="50">
        <f xml:space="preserve"> 'WK2014'!FJ28</f>
        <v>1041.6106609999999</v>
      </c>
      <c r="DF148" s="50">
        <f xml:space="preserve"> 'WK2014'!FM28</f>
        <v>835.5239642510229</v>
      </c>
      <c r="DG148" s="50">
        <f xml:space="preserve"> 'WK2014'!FN28</f>
        <v>1032.3921284510229</v>
      </c>
      <c r="DH148" s="50">
        <f xml:space="preserve"> 'WK2014'!FO28</f>
        <v>831.75004381656413</v>
      </c>
      <c r="DI148" s="50">
        <f xml:space="preserve"> 'WK2014'!FP28</f>
        <v>1028.618208016564</v>
      </c>
      <c r="DJ148" s="61">
        <f xml:space="preserve"> 'WK2014'!FK28</f>
        <v>0.50369865269463809</v>
      </c>
      <c r="DK148" s="1"/>
      <c r="DL148" s="50">
        <f xml:space="preserve"> 'WK2014'!FW28</f>
        <v>378.94140240000002</v>
      </c>
      <c r="DM148" s="50">
        <f xml:space="preserve"> 'WK2014'!FX28</f>
        <v>419.12675280000002</v>
      </c>
      <c r="DN148" s="50">
        <f xml:space="preserve"> 'WK2014'!GA28</f>
        <v>378.96181841009218</v>
      </c>
      <c r="DO148" s="50">
        <f xml:space="preserve"> 'WK2014'!GB28</f>
        <v>419.10818441009212</v>
      </c>
      <c r="DP148" s="50">
        <f xml:space="preserve"> 'WK2014'!GC28</f>
        <v>378.95620614030315</v>
      </c>
      <c r="DQ148" s="50">
        <f xml:space="preserve"> 'WK2014'!GD28</f>
        <v>419.10257214030321</v>
      </c>
      <c r="DR148" s="61">
        <f xml:space="preserve"> 'WK2014'!FY28</f>
        <v>0.50470358678321703</v>
      </c>
      <c r="DS148" s="1"/>
      <c r="DT148" s="50">
        <f xml:space="preserve"> 'WK2014'!GK28</f>
        <v>133.793925</v>
      </c>
      <c r="DU148" s="50">
        <f xml:space="preserve"> 'WK2014'!GL28</f>
        <v>146.53954349999998</v>
      </c>
      <c r="DV148" s="50">
        <f xml:space="preserve"> 'WK2014'!GO28</f>
        <v>133.92584698211851</v>
      </c>
      <c r="DW148" s="50">
        <f xml:space="preserve"> 'WK2014'!GP28</f>
        <v>146.28882523211854</v>
      </c>
      <c r="DX148" s="50">
        <f xml:space="preserve"> 'WK2014'!GQ28</f>
        <v>133.9491296969513</v>
      </c>
      <c r="DY148" s="50">
        <f xml:space="preserve"> 'WK2014'!GR28</f>
        <v>146.3121079469513</v>
      </c>
      <c r="DZ148" s="61">
        <f xml:space="preserve"> 'WK2014'!GM28</f>
        <v>0.49819663004622522</v>
      </c>
      <c r="ED148" s="50">
        <f xml:space="preserve"> 'WK2015'!EG28</f>
        <v>1474.1711565999999</v>
      </c>
      <c r="EE148" s="50">
        <f xml:space="preserve"> 'WK2015'!EH28</f>
        <v>1869.7391253999999</v>
      </c>
      <c r="EF148" s="50">
        <f xml:space="preserve"> 'WK2015'!EK28</f>
        <v>1476.4475335032371</v>
      </c>
      <c r="EG148" s="50">
        <f xml:space="preserve"> 'WK2015'!EL28</f>
        <v>1868.0319715032369</v>
      </c>
      <c r="EH148" s="50">
        <f xml:space="preserve"> 'WK2015'!EM28</f>
        <v>1475.6261128035003</v>
      </c>
      <c r="EI148" s="50">
        <f xml:space="preserve"> 'WK2015'!EN28</f>
        <v>1867.2105508035002</v>
      </c>
      <c r="EJ148" s="61">
        <f xml:space="preserve"> 'WK2015'!EI28</f>
        <v>0.50017189759944791</v>
      </c>
      <c r="EK148" s="1"/>
      <c r="EL148" s="50">
        <f xml:space="preserve"> 'WK2015'!EU28</f>
        <v>1262.0855659000001</v>
      </c>
      <c r="EM148" s="50">
        <f xml:space="preserve"> 'WK2015'!EV28</f>
        <v>1605.8620581</v>
      </c>
      <c r="EN148" s="50">
        <f xml:space="preserve"> 'WK2015'!EY28</f>
        <v>1268.0515890017834</v>
      </c>
      <c r="EO148" s="50">
        <f xml:space="preserve"> 'WK2015'!EZ28</f>
        <v>1601.4478590017834</v>
      </c>
      <c r="EP148" s="50">
        <f xml:space="preserve"> 'WK2015'!FA28</f>
        <v>1265.9452159434625</v>
      </c>
      <c r="EQ148" s="50">
        <f xml:space="preserve"> 'WK2015'!FB28</f>
        <v>1599.3414859434624</v>
      </c>
      <c r="ER148" s="61">
        <f xml:space="preserve"> 'WK2015'!EW28</f>
        <v>0.50008720278617669</v>
      </c>
      <c r="ES148" s="1"/>
      <c r="ET148" s="50">
        <f xml:space="preserve"> 'WK2015'!FI28</f>
        <v>894.91266359999997</v>
      </c>
      <c r="EU148" s="50">
        <f xml:space="preserve"> 'WK2015'!FJ28</f>
        <v>1096.7084668</v>
      </c>
      <c r="EV148" s="50">
        <f xml:space="preserve"> 'WK2015'!FM28</f>
        <v>903.81858419192338</v>
      </c>
      <c r="EW148" s="50">
        <f xml:space="preserve"> 'WK2015'!FN28</f>
        <v>1089.1463909919235</v>
      </c>
      <c r="EX148" s="50">
        <f xml:space="preserve"> 'WK2015'!FO28</f>
        <v>901.14367255211744</v>
      </c>
      <c r="EY148" s="50">
        <f xml:space="preserve"> 'WK2015'!FP28</f>
        <v>1086.4714793521175</v>
      </c>
      <c r="EZ148" s="61">
        <f xml:space="preserve"> 'WK2015'!FK28</f>
        <v>0.49971952223302218</v>
      </c>
      <c r="FA148" s="1"/>
      <c r="FB148" s="50">
        <f xml:space="preserve"> 'WK2015'!FW28</f>
        <v>385.18198160000009</v>
      </c>
      <c r="FC148" s="50">
        <f xml:space="preserve"> 'WK2015'!FX28</f>
        <v>415.53665039999998</v>
      </c>
      <c r="FD148" s="50">
        <f xml:space="preserve"> 'WK2015'!GA28</f>
        <v>385.1982473401572</v>
      </c>
      <c r="FE148" s="50">
        <f xml:space="preserve"> 'WK2015'!GB28</f>
        <v>415.52143534015715</v>
      </c>
      <c r="FF148" s="50">
        <f xml:space="preserve"> 'WK2015'!GC28</f>
        <v>385.19292395867825</v>
      </c>
      <c r="FG148" s="50">
        <f xml:space="preserve"> 'WK2015'!GD28</f>
        <v>415.51611195867827</v>
      </c>
      <c r="FH148" s="61">
        <f xml:space="preserve"> 'WK2015'!FY28</f>
        <v>0.50053660243213605</v>
      </c>
      <c r="FI148" s="1"/>
      <c r="FJ148" s="50">
        <f xml:space="preserve"> 'WK2015'!GK28</f>
        <v>131.37343199999998</v>
      </c>
      <c r="FK148" s="50">
        <f xml:space="preserve"> 'WK2015'!GL28</f>
        <v>165.66849450000001</v>
      </c>
      <c r="FL148" s="50">
        <f xml:space="preserve"> 'WK2015'!GO28</f>
        <v>132.79258861255877</v>
      </c>
      <c r="FM148" s="50">
        <f xml:space="preserve"> 'WK2015'!GP28</f>
        <v>164.5969183625588</v>
      </c>
      <c r="FN148" s="50">
        <f xml:space="preserve"> 'WK2015'!GQ28</f>
        <v>132.08443942818678</v>
      </c>
      <c r="FO148" s="50">
        <f xml:space="preserve"> 'WK2015'!GR28</f>
        <v>163.88876917818683</v>
      </c>
      <c r="FP148" s="61">
        <f xml:space="preserve"> 'WK2015'!GM28</f>
        <v>0.50072669124730707</v>
      </c>
      <c r="FS148" s="283">
        <f xml:space="preserve"> 'WK2015'!H28</f>
        <v>703.11564499999997</v>
      </c>
      <c r="FT148" s="283">
        <f xml:space="preserve"> 'WK2015'!I28</f>
        <v>938.74821999999995</v>
      </c>
      <c r="FU148" s="283">
        <f xml:space="preserve"> 'WK2015'!L28</f>
        <v>703.11564499999997</v>
      </c>
      <c r="FV148" s="283">
        <f xml:space="preserve"> 'WK2015'!M28</f>
        <v>938.74821999999995</v>
      </c>
      <c r="FW148" s="283">
        <f xml:space="preserve"> 'WK2015'!N28</f>
        <v>703.40245366951297</v>
      </c>
      <c r="FX148" s="283">
        <f xml:space="preserve"> 'WK2015'!O28</f>
        <v>939.03502866951294</v>
      </c>
      <c r="FY148" s="284">
        <f xml:space="preserve"> 'WK2015'!P28</f>
        <v>0.49652344504878709</v>
      </c>
      <c r="GA148" s="283">
        <f xml:space="preserve"> 'WK2015'!HB28</f>
        <v>472.36336799999992</v>
      </c>
      <c r="GB148" s="283">
        <f xml:space="preserve"> 'WK2015'!HC28</f>
        <v>692.34731899999997</v>
      </c>
      <c r="GC148" s="283">
        <f xml:space="preserve"> 'WK2015'!HF28</f>
        <v>472.36336799999992</v>
      </c>
      <c r="GD148" s="283">
        <f xml:space="preserve"> 'WK2015'!HG28</f>
        <v>692.34731899999997</v>
      </c>
      <c r="GE148" s="283">
        <f xml:space="preserve"> 'WK2015'!HH28</f>
        <v>472.36336799999992</v>
      </c>
      <c r="GF148" s="283">
        <f xml:space="preserve"> 'WK2015'!HI28</f>
        <v>692.34731899999997</v>
      </c>
      <c r="GG148" s="284">
        <f xml:space="preserve"> 'WK2015'!HJ28</f>
        <v>0.48250358380974684</v>
      </c>
      <c r="GI148" s="283">
        <f xml:space="preserve"> 'WK2015'!HQ28</f>
        <v>93.091915</v>
      </c>
      <c r="GJ148" s="283">
        <f xml:space="preserve"> 'WK2015'!HR28</f>
        <v>331.461522</v>
      </c>
      <c r="GK148" s="283">
        <f xml:space="preserve"> 'WK2015'!HU28</f>
        <v>95.964527883610558</v>
      </c>
      <c r="GL148" s="283">
        <f xml:space="preserve"> 'WK2015'!HV28</f>
        <v>328.40273188361056</v>
      </c>
      <c r="GM148" s="283">
        <f xml:space="preserve"> 'WK2015'!HW28</f>
        <v>95.471880445062851</v>
      </c>
      <c r="GN148" s="283">
        <f xml:space="preserve"> 'WK2015'!HX28</f>
        <v>327.91008444506286</v>
      </c>
      <c r="GO148" s="284">
        <f xml:space="preserve"> 'WK2015'!HY28</f>
        <v>0.51569419855461618</v>
      </c>
    </row>
    <row r="149" spans="1:197" x14ac:dyDescent="0.2">
      <c r="A149" s="3">
        <f>Basis!A149</f>
        <v>19</v>
      </c>
      <c r="H149" s="50">
        <f xml:space="preserve"> 'WK2012'!EG29</f>
        <v>1476.8581954500514</v>
      </c>
      <c r="I149" s="50">
        <f xml:space="preserve"> 'WK2012'!EH29</f>
        <v>1911.5856520819091</v>
      </c>
      <c r="J149" s="50">
        <f xml:space="preserve"> 'WK2012'!EK29</f>
        <v>1484.136438359729</v>
      </c>
      <c r="K149" s="50">
        <f xml:space="preserve"> 'WK2012'!EL29</f>
        <v>1906.0375440917594</v>
      </c>
      <c r="L149" s="50">
        <f xml:space="preserve"> 'WK2012'!EM29</f>
        <v>1479.7458963597878</v>
      </c>
      <c r="M149" s="50">
        <f xml:space="preserve"> 'WK2012'!EN29</f>
        <v>1901.647002091818</v>
      </c>
      <c r="N149" s="61">
        <f xml:space="preserve"> 'WK2012'!EI29</f>
        <v>0.51427218210681658</v>
      </c>
      <c r="P149" s="50">
        <f xml:space="preserve"> 'WK2012'!EU29</f>
        <v>1019.7172711298286</v>
      </c>
      <c r="Q149" s="50">
        <f xml:space="preserve"> 'WK2012'!EV29</f>
        <v>1387.2098060031685</v>
      </c>
      <c r="R149" s="50">
        <f xml:space="preserve"> 'WK2012'!EY29</f>
        <v>1030.6890469759776</v>
      </c>
      <c r="S149" s="50">
        <f xml:space="preserve"> 'WK2012'!EZ29</f>
        <v>1379.1624311881556</v>
      </c>
      <c r="T149" s="50">
        <f xml:space="preserve"> 'WK2012'!FA29</f>
        <v>1023.5903604945947</v>
      </c>
      <c r="U149" s="50">
        <f xml:space="preserve"> 'WK2012'!FB29</f>
        <v>1372.0637447067727</v>
      </c>
      <c r="V149" s="61">
        <f xml:space="preserve"> 'WK2012'!EW29</f>
        <v>0.51652901737443269</v>
      </c>
      <c r="X149" s="50">
        <f xml:space="preserve"> 'WK2012'!FI29</f>
        <v>620.74317970768595</v>
      </c>
      <c r="Y149" s="50">
        <f xml:space="preserve"> 'WK2012'!FJ29</f>
        <v>776.29657612489768</v>
      </c>
      <c r="Z149" s="50">
        <f xml:space="preserve"> 'WK2012'!FM29</f>
        <v>629.56386433102591</v>
      </c>
      <c r="AA149" s="50">
        <f xml:space="preserve"> 'WK2012'!FN29</f>
        <v>769.18613880773773</v>
      </c>
      <c r="AB149" s="50">
        <f xml:space="preserve"> 'WK2012'!FO29</f>
        <v>623.23583890728594</v>
      </c>
      <c r="AC149" s="50">
        <f xml:space="preserve"> 'WK2012'!FP29</f>
        <v>762.85811338399799</v>
      </c>
      <c r="AD149" s="61">
        <f xml:space="preserve"> 'WK2012'!FK29</f>
        <v>0.51655846813363837</v>
      </c>
      <c r="AF149" s="50">
        <f xml:space="preserve"> 'WK2012'!FW29</f>
        <v>65.729018550010082</v>
      </c>
      <c r="AG149" s="50">
        <f xml:space="preserve"> 'WK2012'!FX29</f>
        <v>45.210354987143646</v>
      </c>
      <c r="AH149" s="50">
        <f xml:space="preserve"> 'WK2012'!GA29</f>
        <v>64.487836990280954</v>
      </c>
      <c r="AI149" s="50">
        <f xml:space="preserve"> 'WK2012'!GB29</f>
        <v>45.952033192052035</v>
      </c>
      <c r="AJ149" s="50">
        <f xml:space="preserve"> 'WK2012'!GC29</f>
        <v>65.58198224266097</v>
      </c>
      <c r="AK149" s="50">
        <f xml:space="preserve"> 'WK2012'!GD29</f>
        <v>47.046178444432023</v>
      </c>
      <c r="AL149" s="61">
        <f xml:space="preserve"> 'WK2012'!FY29</f>
        <v>0.49807776173737534</v>
      </c>
      <c r="AN149" s="50">
        <f xml:space="preserve"> 'WK2012'!GK29</f>
        <v>217.44228971978893</v>
      </c>
      <c r="AO149" s="50">
        <f xml:space="preserve"> 'WK2012'!GL29</f>
        <v>228.50487034758299</v>
      </c>
      <c r="AP149" s="50">
        <f xml:space="preserve"> 'WK2012'!GO29</f>
        <v>217.50037942788663</v>
      </c>
      <c r="AQ149" s="50">
        <f xml:space="preserve"> 'WK2012'!GP29</f>
        <v>228.43672700596096</v>
      </c>
      <c r="AR149" s="50">
        <f xml:space="preserve"> 'WK2012'!GQ29</f>
        <v>217.48026107971904</v>
      </c>
      <c r="AS149" s="50">
        <f xml:space="preserve"> 'WK2012'!GR29</f>
        <v>228.41660865779335</v>
      </c>
      <c r="AT149" s="61">
        <f xml:space="preserve"> 'WK2012'!GM29</f>
        <v>0.52401230741997817</v>
      </c>
      <c r="AX149" s="50">
        <f xml:space="preserve"> 'WK2013'!EG29</f>
        <v>1411.2464190000001</v>
      </c>
      <c r="AY149" s="50">
        <f xml:space="preserve"> 'WK2013'!EH29</f>
        <v>1900.3003720000002</v>
      </c>
      <c r="AZ149" s="50">
        <f xml:space="preserve"> 'WK2013'!EK29</f>
        <v>1423.4404812044681</v>
      </c>
      <c r="BA149" s="50">
        <f xml:space="preserve"> 'WK2013'!EL29</f>
        <v>1892.5611742044682</v>
      </c>
      <c r="BB149" s="50">
        <f xml:space="preserve"> 'WK2013'!EM29</f>
        <v>1414.603851915158</v>
      </c>
      <c r="BC149" s="50">
        <f xml:space="preserve"> 'WK2013'!EN29</f>
        <v>1883.7245449151583</v>
      </c>
      <c r="BD149" s="50">
        <f xml:space="preserve"> 'WK2013'!EI29</f>
        <v>0.46821340568328301</v>
      </c>
      <c r="BF149" s="50">
        <f xml:space="preserve"> 'WK2013'!EU29</f>
        <v>1164.0882819999999</v>
      </c>
      <c r="BG149" s="50">
        <f xml:space="preserve"> 'WK2013'!EV29</f>
        <v>1475.230773</v>
      </c>
      <c r="BH149" s="50">
        <f xml:space="preserve"> 'WK2013'!EY29</f>
        <v>1172.7763108430265</v>
      </c>
      <c r="BI149" s="50">
        <f xml:space="preserve"> 'WK2013'!EZ29</f>
        <v>1468.4576938430266</v>
      </c>
      <c r="BJ149" s="50">
        <f xml:space="preserve"> 'WK2013'!FA29</f>
        <v>1167.4841673728185</v>
      </c>
      <c r="BK149" s="50">
        <f xml:space="preserve"> 'WK2013'!FB29</f>
        <v>1463.1655503728186</v>
      </c>
      <c r="BL149" s="61">
        <f xml:space="preserve"> 'WK2013'!EW29</f>
        <v>0.5048579835699194</v>
      </c>
      <c r="BN149" s="50">
        <f xml:space="preserve"> 'WK2013'!FI29</f>
        <v>750.60085659999993</v>
      </c>
      <c r="BO149" s="50">
        <f xml:space="preserve"> 'WK2013'!FJ29</f>
        <v>989.36727700000006</v>
      </c>
      <c r="BP149" s="50">
        <f xml:space="preserve"> 'WK2013'!FM29</f>
        <v>775.87887846221145</v>
      </c>
      <c r="BQ149" s="50">
        <f xml:space="preserve"> 'WK2013'!FN29</f>
        <v>970.38736686221148</v>
      </c>
      <c r="BR149" s="50">
        <f xml:space="preserve"> 'WK2013'!FO29</f>
        <v>759.55207256641688</v>
      </c>
      <c r="BS149" s="50">
        <f xml:space="preserve"> 'WK2013'!FP29</f>
        <v>954.06056096641692</v>
      </c>
      <c r="BT149" s="61">
        <f xml:space="preserve"> 'WK2013'!FK29</f>
        <v>0.50237108255792762</v>
      </c>
      <c r="BV149" s="50">
        <f xml:space="preserve"> 'WK2013'!FW29</f>
        <v>300.79857900000002</v>
      </c>
      <c r="BW149" s="50">
        <f xml:space="preserve"> 'WK2013'!FX29</f>
        <v>344.75756000000001</v>
      </c>
      <c r="BX149" s="50">
        <f xml:space="preserve"> 'WK2013'!GA29</f>
        <v>300.82435374580535</v>
      </c>
      <c r="BY149" s="50">
        <f xml:space="preserve"> 'WK2013'!GB29</f>
        <v>344.73485474580536</v>
      </c>
      <c r="BZ149" s="50">
        <f xml:space="preserve"> 'WK2013'!GC29</f>
        <v>300.81209874996227</v>
      </c>
      <c r="CA149" s="50">
        <f xml:space="preserve"> 'WK2013'!GD29</f>
        <v>344.72259974996228</v>
      </c>
      <c r="CB149" s="61">
        <f xml:space="preserve"> 'WK2013'!FY29</f>
        <v>0.50471745245901267</v>
      </c>
      <c r="CD149" s="50">
        <f xml:space="preserve"> 'WK2013'!GK29</f>
        <v>126.36353100000001</v>
      </c>
      <c r="CE149" s="50">
        <f xml:space="preserve"> 'WK2013'!GL29</f>
        <v>101.59711724999997</v>
      </c>
      <c r="CF149" s="50">
        <f xml:space="preserve"> 'WK2013'!GO29</f>
        <v>123.40658136456175</v>
      </c>
      <c r="CG149" s="50">
        <f xml:space="preserve"> 'WK2013'!GP29</f>
        <v>103.0856111145617</v>
      </c>
      <c r="CH149" s="50">
        <f xml:space="preserve"> 'WK2013'!GQ29</f>
        <v>126.06733772123445</v>
      </c>
      <c r="CI149" s="50">
        <f xml:space="preserve"> 'WK2013'!GR29</f>
        <v>105.74636747123441</v>
      </c>
      <c r="CJ149" s="61">
        <f xml:space="preserve"> 'WK2013'!GM29</f>
        <v>0.50223771737345846</v>
      </c>
      <c r="CN149" s="50">
        <f xml:space="preserve"> 'WK2014'!EG29</f>
        <v>1436.4271628000001</v>
      </c>
      <c r="CO149" s="50">
        <f xml:space="preserve"> 'WK2014'!EH29</f>
        <v>1967.0682483999999</v>
      </c>
      <c r="CP149" s="50">
        <f xml:space="preserve"> 'WK2014'!EK29</f>
        <v>1446.7411420378519</v>
      </c>
      <c r="CQ149" s="50">
        <f xml:space="preserve"> 'WK2014'!EL29</f>
        <v>1957.357555237852</v>
      </c>
      <c r="CR149" s="50">
        <f xml:space="preserve"> 'WK2014'!EM29</f>
        <v>1439.2518496526752</v>
      </c>
      <c r="CS149" s="50">
        <f xml:space="preserve"> 'WK2014'!EN29</f>
        <v>1949.8682628526751</v>
      </c>
      <c r="CT149" s="61">
        <f xml:space="preserve"> 'WK2014'!EI29</f>
        <v>0.50920170065527037</v>
      </c>
      <c r="CV149" s="50">
        <f xml:space="preserve"> 'WK2014'!EU29</f>
        <v>1141.7049861999999</v>
      </c>
      <c r="CW149" s="50">
        <f xml:space="preserve"> 'WK2014'!EV29</f>
        <v>1532.9642136</v>
      </c>
      <c r="CX149" s="50">
        <f xml:space="preserve"> 'WK2014'!EY29</f>
        <v>1149.4995201034301</v>
      </c>
      <c r="CY149" s="50">
        <f xml:space="preserve"> 'WK2014'!EZ29</f>
        <v>1527.4851414034304</v>
      </c>
      <c r="CZ149" s="50">
        <f xml:space="preserve"> 'WK2014'!FA29</f>
        <v>1145.1446353099641</v>
      </c>
      <c r="DA149" s="50">
        <f xml:space="preserve"> 'WK2014'!FB29</f>
        <v>1523.1302566099639</v>
      </c>
      <c r="DB149" s="61">
        <f xml:space="preserve"> 'WK2014'!EW29</f>
        <v>0.50870192196484998</v>
      </c>
      <c r="DC149" s="1"/>
      <c r="DD149" s="50">
        <f xml:space="preserve"> 'WK2014'!FI29</f>
        <v>771.01550399999996</v>
      </c>
      <c r="DE149" s="50">
        <f xml:space="preserve"> 'WK2014'!FJ29</f>
        <v>1030.9544678000002</v>
      </c>
      <c r="DF149" s="50">
        <f xml:space="preserve"> 'WK2014'!FM29</f>
        <v>787.63356757074075</v>
      </c>
      <c r="DG149" s="50">
        <f xml:space="preserve"> 'WK2014'!FN29</f>
        <v>1018.5723799707407</v>
      </c>
      <c r="DH149" s="50">
        <f xml:space="preserve"> 'WK2014'!FO29</f>
        <v>778.40025501656407</v>
      </c>
      <c r="DI149" s="50">
        <f xml:space="preserve"> 'WK2014'!FP29</f>
        <v>1009.3390674165641</v>
      </c>
      <c r="DJ149" s="61">
        <f xml:space="preserve"> 'WK2014'!FK29</f>
        <v>0.50660172312855511</v>
      </c>
      <c r="DK149" s="1"/>
      <c r="DL149" s="50">
        <f xml:space="preserve"> 'WK2014'!FW29</f>
        <v>302.32426080000005</v>
      </c>
      <c r="DM149" s="50">
        <f xml:space="preserve"> 'WK2014'!FX29</f>
        <v>346.00419040000003</v>
      </c>
      <c r="DN149" s="50">
        <f xml:space="preserve"> 'WK2014'!GA29</f>
        <v>302.35126696178975</v>
      </c>
      <c r="DO149" s="50">
        <f xml:space="preserve"> 'WK2014'!GB29</f>
        <v>345.98020016178981</v>
      </c>
      <c r="DP149" s="50">
        <f xml:space="preserve"> 'WK2014'!GC29</f>
        <v>302.33906454030318</v>
      </c>
      <c r="DQ149" s="50">
        <f xml:space="preserve"> 'WK2014'!GD29</f>
        <v>345.96799774030319</v>
      </c>
      <c r="DR149" s="61">
        <f xml:space="preserve"> 'WK2014'!FY29</f>
        <v>0.5088675674321006</v>
      </c>
      <c r="DS149" s="1"/>
      <c r="DT149" s="50">
        <f xml:space="preserve"> 'WK2014'!GK29</f>
        <v>154.40927399999998</v>
      </c>
      <c r="DU149" s="50">
        <f xml:space="preserve"> 'WK2014'!GL29</f>
        <v>167.28622950000002</v>
      </c>
      <c r="DV149" s="50">
        <f xml:space="preserve"> 'WK2014'!GO29</f>
        <v>153.78002636396971</v>
      </c>
      <c r="DW149" s="50">
        <f xml:space="preserve"> 'WK2014'!GP29</f>
        <v>167.37814961396967</v>
      </c>
      <c r="DX149" s="50">
        <f xml:space="preserve"> 'WK2014'!GQ29</f>
        <v>154.56447869695131</v>
      </c>
      <c r="DY149" s="50">
        <f xml:space="preserve"> 'WK2014'!GR29</f>
        <v>168.16260194695127</v>
      </c>
      <c r="DZ149" s="61">
        <f xml:space="preserve"> 'WK2014'!GM29</f>
        <v>0.50838156020916647</v>
      </c>
      <c r="ED149" s="50">
        <f xml:space="preserve"> 'WK2015'!EG29</f>
        <v>1429.3113651999997</v>
      </c>
      <c r="EE149" s="50">
        <f xml:space="preserve"> 'WK2015'!EH29</f>
        <v>1882.9097641999999</v>
      </c>
      <c r="EF149" s="50">
        <f xml:space="preserve"> 'WK2015'!EK29</f>
        <v>1434.6452654658185</v>
      </c>
      <c r="EG149" s="50">
        <f xml:space="preserve"> 'WK2015'!EL29</f>
        <v>1878.3657522658184</v>
      </c>
      <c r="EH149" s="50">
        <f xml:space="preserve"> 'WK2015'!EM29</f>
        <v>1430.7663214035001</v>
      </c>
      <c r="EI149" s="50">
        <f xml:space="preserve"> 'WK2015'!EN29</f>
        <v>1874.4868082035005</v>
      </c>
      <c r="EJ149" s="61">
        <f xml:space="preserve"> 'WK2015'!EI29</f>
        <v>0.50076944209693364</v>
      </c>
      <c r="EK149" s="1"/>
      <c r="EL149" s="50">
        <f xml:space="preserve"> 'WK2015'!EU29</f>
        <v>1198.8513617999999</v>
      </c>
      <c r="EM149" s="50">
        <f xml:space="preserve"> 'WK2015'!EV29</f>
        <v>1612.1227193</v>
      </c>
      <c r="EN149" s="50">
        <f xml:space="preserve"> 'WK2015'!EY29</f>
        <v>1208.2941575977791</v>
      </c>
      <c r="EO149" s="50">
        <f xml:space="preserve"> 'WK2015'!EZ29</f>
        <v>1605.4650597977791</v>
      </c>
      <c r="EP149" s="50">
        <f xml:space="preserve"> 'WK2015'!FA29</f>
        <v>1202.7110118434625</v>
      </c>
      <c r="EQ149" s="50">
        <f xml:space="preserve"> 'WK2015'!FB29</f>
        <v>1599.8819140434625</v>
      </c>
      <c r="ER149" s="61">
        <f xml:space="preserve"> 'WK2015'!EW29</f>
        <v>0.50708924939633471</v>
      </c>
      <c r="ES149" s="1"/>
      <c r="ET149" s="50">
        <f xml:space="preserve"> 'WK2015'!FI29</f>
        <v>841.00774679999995</v>
      </c>
      <c r="EU149" s="50">
        <f xml:space="preserve"> 'WK2015'!FJ29</f>
        <v>1093.1133073999999</v>
      </c>
      <c r="EV149" s="50">
        <f xml:space="preserve"> 'WK2015'!FM29</f>
        <v>853.90953532589708</v>
      </c>
      <c r="EW149" s="50">
        <f xml:space="preserve"> 'WK2015'!FN29</f>
        <v>1083.2797225258973</v>
      </c>
      <c r="EX149" s="50">
        <f xml:space="preserve"> 'WK2015'!FO29</f>
        <v>847.23875575211753</v>
      </c>
      <c r="EY149" s="50">
        <f xml:space="preserve"> 'WK2015'!FP29</f>
        <v>1076.6089429521178</v>
      </c>
      <c r="EZ149" s="61">
        <f xml:space="preserve"> 'WK2015'!FK29</f>
        <v>0.50160195313173017</v>
      </c>
      <c r="FA149" s="1"/>
      <c r="FB149" s="50">
        <f xml:space="preserve"> 'WK2015'!FW29</f>
        <v>306.5517552</v>
      </c>
      <c r="FC149" s="50">
        <f xml:space="preserve"> 'WK2015'!FX29</f>
        <v>342.5838172</v>
      </c>
      <c r="FD149" s="50">
        <f xml:space="preserve"> 'WK2015'!GA29</f>
        <v>306.57395419880163</v>
      </c>
      <c r="FE149" s="50">
        <f xml:space="preserve"> 'WK2015'!GB29</f>
        <v>342.56364499880158</v>
      </c>
      <c r="FF149" s="50">
        <f xml:space="preserve"> 'WK2015'!GC29</f>
        <v>306.56269755867822</v>
      </c>
      <c r="FG149" s="50">
        <f xml:space="preserve"> 'WK2015'!GD29</f>
        <v>342.55238835867817</v>
      </c>
      <c r="FH149" s="61">
        <f xml:space="preserve"> 'WK2015'!FY29</f>
        <v>0.50345442811398311</v>
      </c>
      <c r="FI149" s="1"/>
      <c r="FJ149" s="50">
        <f xml:space="preserve"> 'WK2015'!GK29</f>
        <v>155.84075549999997</v>
      </c>
      <c r="FK149" s="50">
        <f xml:space="preserve"> 'WK2015'!GL29</f>
        <v>188.08280474999998</v>
      </c>
      <c r="FL149" s="50">
        <f xml:space="preserve"> 'WK2015'!GO29</f>
        <v>157.39565357806401</v>
      </c>
      <c r="FM149" s="50">
        <f xml:space="preserve"> 'WK2015'!GP29</f>
        <v>186.85154882806393</v>
      </c>
      <c r="FN149" s="50">
        <f xml:space="preserve"> 'WK2015'!GQ29</f>
        <v>156.55176292818675</v>
      </c>
      <c r="FO149" s="50">
        <f xml:space="preserve"> 'WK2015'!GR29</f>
        <v>186.00765817818674</v>
      </c>
      <c r="FP149" s="61">
        <f xml:space="preserve"> 'WK2015'!GM29</f>
        <v>0.49633003527892194</v>
      </c>
      <c r="FS149" s="283">
        <f xml:space="preserve"> 'WK2015'!H29</f>
        <v>703.01673999999991</v>
      </c>
      <c r="FT149" s="283">
        <f xml:space="preserve"> 'WK2015'!I29</f>
        <v>988.47845199999995</v>
      </c>
      <c r="FU149" s="283">
        <f xml:space="preserve"> 'WK2015'!L29</f>
        <v>705.11103793324207</v>
      </c>
      <c r="FV149" s="283">
        <f xml:space="preserve"> 'WK2015'!M29</f>
        <v>986.40181393324212</v>
      </c>
      <c r="FW149" s="283">
        <f xml:space="preserve"> 'WK2015'!N29</f>
        <v>703.30354866951291</v>
      </c>
      <c r="FX149" s="283">
        <f xml:space="preserve"> 'WK2015'!O29</f>
        <v>984.59432466951296</v>
      </c>
      <c r="FY149" s="284">
        <f xml:space="preserve"> 'WK2015'!P29</f>
        <v>0.4978829851999253</v>
      </c>
      <c r="GA149" s="283">
        <f xml:space="preserve"> 'WK2015'!HB29</f>
        <v>467.17472700000002</v>
      </c>
      <c r="GB149" s="283">
        <f xml:space="preserve"> 'WK2015'!HC29</f>
        <v>749.37533899999994</v>
      </c>
      <c r="GC149" s="283">
        <f xml:space="preserve"> 'WK2015'!HF29</f>
        <v>467.17472700000002</v>
      </c>
      <c r="GD149" s="283">
        <f xml:space="preserve"> 'WK2015'!HG29</f>
        <v>749.37533899999994</v>
      </c>
      <c r="GE149" s="283">
        <f xml:space="preserve"> 'WK2015'!HH29</f>
        <v>467.17472700000002</v>
      </c>
      <c r="GF149" s="283">
        <f xml:space="preserve"> 'WK2015'!HI29</f>
        <v>749.37533899999994</v>
      </c>
      <c r="GG149" s="284">
        <f xml:space="preserve"> 'WK2015'!HJ29</f>
        <v>0.53123499549702691</v>
      </c>
      <c r="GI149" s="283">
        <f xml:space="preserve"> 'WK2015'!HQ29</f>
        <v>110.423705</v>
      </c>
      <c r="GJ149" s="283">
        <f xml:space="preserve"> 'WK2015'!HR29</f>
        <v>355.50295199999999</v>
      </c>
      <c r="GK149" s="283">
        <f xml:space="preserve"> 'WK2015'!HU29</f>
        <v>118.42365821232957</v>
      </c>
      <c r="GL149" s="283">
        <f xml:space="preserve"> 'WK2015'!HV29</f>
        <v>343.83972021232955</v>
      </c>
      <c r="GM149" s="283">
        <f xml:space="preserve"> 'WK2015'!HW29</f>
        <v>112.80367044506285</v>
      </c>
      <c r="GN149" s="283">
        <f xml:space="preserve"> 'WK2015'!HX29</f>
        <v>338.21973244506285</v>
      </c>
      <c r="GO149" s="284">
        <f xml:space="preserve"> 'WK2015'!HY29</f>
        <v>0.59315069189810454</v>
      </c>
    </row>
    <row r="150" spans="1:197" x14ac:dyDescent="0.2">
      <c r="A150" s="3">
        <f>Basis!A150</f>
        <v>20</v>
      </c>
      <c r="H150" s="50">
        <f xml:space="preserve"> 'WK2012'!EG30</f>
        <v>1488.1002088845491</v>
      </c>
      <c r="I150" s="50">
        <f xml:space="preserve"> 'WK2012'!EH30</f>
        <v>2001.6132035895205</v>
      </c>
      <c r="J150" s="50">
        <f xml:space="preserve"> 'WK2012'!EK30</f>
        <v>1501.0324825907301</v>
      </c>
      <c r="K150" s="50">
        <f xml:space="preserve"> 'WK2012'!EL30</f>
        <v>1991.9003635295144</v>
      </c>
      <c r="L150" s="50">
        <f xml:space="preserve"> 'WK2012'!EM30</f>
        <v>1533.1808400011439</v>
      </c>
      <c r="M150" s="50">
        <f xml:space="preserve"> 'WK2012'!EN30</f>
        <v>2024.0487209399284</v>
      </c>
      <c r="N150" s="61">
        <f xml:space="preserve"> 'WK2012'!EI30</f>
        <v>0.55014438010154387</v>
      </c>
      <c r="P150" s="50">
        <f xml:space="preserve"> 'WK2012'!EU30</f>
        <v>1017.1966378341381</v>
      </c>
      <c r="Q150" s="50">
        <f xml:space="preserve"> 'WK2012'!EV30</f>
        <v>1464.0872815175426</v>
      </c>
      <c r="R150" s="50">
        <f xml:space="preserve"> 'WK2012'!EY30</f>
        <v>1035.9124080631004</v>
      </c>
      <c r="S150" s="50">
        <f xml:space="preserve"> 'WK2012'!EZ30</f>
        <v>1451.2011966709567</v>
      </c>
      <c r="T150" s="50">
        <f xml:space="preserve"> 'WK2012'!FA30</f>
        <v>1053.2653136977478</v>
      </c>
      <c r="U150" s="50">
        <f xml:space="preserve"> 'WK2012'!FB30</f>
        <v>1468.5541023056039</v>
      </c>
      <c r="V150" s="61">
        <f xml:space="preserve"> 'WK2012'!EW30</f>
        <v>0.55988581373348234</v>
      </c>
      <c r="X150" s="50">
        <f xml:space="preserve"> 'WK2012'!FI30</f>
        <v>617.22571805018731</v>
      </c>
      <c r="Y150" s="50">
        <f xml:space="preserve"> 'WK2012'!FJ30</f>
        <v>809.27312941824277</v>
      </c>
      <c r="Z150" s="50">
        <f xml:space="preserve"> 'WK2012'!FM30</f>
        <v>634.6660866034448</v>
      </c>
      <c r="AA150" s="50">
        <f xml:space="preserve"> 'WK2012'!FN30</f>
        <v>796.1957700539042</v>
      </c>
      <c r="AB150" s="50">
        <f xml:space="preserve"> 'WK2012'!FO30</f>
        <v>640.5641238401023</v>
      </c>
      <c r="AC150" s="50">
        <f xml:space="preserve"> 'WK2012'!FP30</f>
        <v>802.09380729056181</v>
      </c>
      <c r="AD150" s="61">
        <f xml:space="preserve"> 'WK2012'!FK30</f>
        <v>0.56547856320164136</v>
      </c>
      <c r="AF150" s="50">
        <f xml:space="preserve"> 'WK2012'!FW30</f>
        <v>82.26012870354721</v>
      </c>
      <c r="AG150" s="50">
        <f xml:space="preserve"> 'WK2012'!FX30</f>
        <v>48.095196850183576</v>
      </c>
      <c r="AH150" s="50">
        <f xml:space="preserve"> 'WK2012'!GA30</f>
        <v>79.475690555765013</v>
      </c>
      <c r="AI150" s="50">
        <f xml:space="preserve"> 'WK2012'!GB30</f>
        <v>49.580199196634929</v>
      </c>
      <c r="AJ150" s="50">
        <f xml:space="preserve"> 'WK2012'!GC30</f>
        <v>86.182393605015761</v>
      </c>
      <c r="AK150" s="50">
        <f xml:space="preserve"> 'WK2012'!GD30</f>
        <v>56.286902245885678</v>
      </c>
      <c r="AL150" s="61">
        <f xml:space="preserve"> 'WK2012'!FY30</f>
        <v>0.52233258381428171</v>
      </c>
      <c r="AN150" s="50">
        <f xml:space="preserve"> 'WK2012'!GK30</f>
        <v>189.16027707327646</v>
      </c>
      <c r="AO150" s="50">
        <f xml:space="preserve"> 'WK2012'!GL30</f>
        <v>218.67342736232808</v>
      </c>
      <c r="AP150" s="50">
        <f xml:space="preserve"> 'WK2012'!GO30</f>
        <v>189.29730127106612</v>
      </c>
      <c r="AQ150" s="50">
        <f xml:space="preserve"> 'WK2012'!GP30</f>
        <v>218.54786107037839</v>
      </c>
      <c r="AR150" s="50">
        <f xml:space="preserve"> 'WK2012'!GQ30</f>
        <v>189.79502497957921</v>
      </c>
      <c r="AS150" s="50">
        <f xml:space="preserve"> 'WK2012'!GR30</f>
        <v>219.04558477889148</v>
      </c>
      <c r="AT150" s="61">
        <f xml:space="preserve"> 'WK2012'!GM30</f>
        <v>0.58232341512664332</v>
      </c>
      <c r="AX150" s="50">
        <f xml:space="preserve"> 'WK2013'!EG30</f>
        <v>1380.281923</v>
      </c>
      <c r="AY150" s="50">
        <f xml:space="preserve"> 'WK2013'!EH30</f>
        <v>1939.1663628000001</v>
      </c>
      <c r="AZ150" s="50">
        <f xml:space="preserve"> 'WK2013'!EK30</f>
        <v>1401.9662916670334</v>
      </c>
      <c r="BA150" s="50">
        <f xml:space="preserve"> 'WK2013'!EL30</f>
        <v>1925.5333334670336</v>
      </c>
      <c r="BB150" s="50">
        <f xml:space="preserve"> 'WK2013'!EM30</f>
        <v>1423.4822372958431</v>
      </c>
      <c r="BC150" s="50">
        <f xml:space="preserve"> 'WK2013'!EN30</f>
        <v>1947.0492790958433</v>
      </c>
      <c r="BD150" s="50">
        <f xml:space="preserve"> 'WK2013'!EI30</f>
        <v>0.47186273763529413</v>
      </c>
      <c r="BF150" s="50">
        <f xml:space="preserve"> 'WK2013'!EU30</f>
        <v>1119.1353029999998</v>
      </c>
      <c r="BG150" s="50">
        <f xml:space="preserve"> 'WK2013'!EV30</f>
        <v>1496.1859462000002</v>
      </c>
      <c r="BH150" s="50">
        <f xml:space="preserve"> 'WK2013'!EY30</f>
        <v>1132.8226220030579</v>
      </c>
      <c r="BI150" s="50">
        <f xml:space="preserve"> 'WK2013'!EZ30</f>
        <v>1485.8339377030582</v>
      </c>
      <c r="BJ150" s="50">
        <f xml:space="preserve"> 'WK2013'!FA30</f>
        <v>1154.7219888623235</v>
      </c>
      <c r="BK150" s="50">
        <f xml:space="preserve"> 'WK2013'!FB30</f>
        <v>1507.7333045623238</v>
      </c>
      <c r="BL150" s="61">
        <f xml:space="preserve"> 'WK2013'!EW30</f>
        <v>0.50263776970747209</v>
      </c>
      <c r="BN150" s="50">
        <f xml:space="preserve"> 'WK2013'!FI30</f>
        <v>721.740048</v>
      </c>
      <c r="BO150" s="50">
        <f xml:space="preserve"> 'WK2013'!FJ30</f>
        <v>1014.8353281999998</v>
      </c>
      <c r="BP150" s="50">
        <f xml:space="preserve"> 'WK2013'!FM30</f>
        <v>761.0275835548448</v>
      </c>
      <c r="BQ150" s="50">
        <f xml:space="preserve"> 'WK2013'!FN30</f>
        <v>987.88462795484475</v>
      </c>
      <c r="BR150" s="50">
        <f xml:space="preserve"> 'WK2013'!FO30</f>
        <v>749.56388023008719</v>
      </c>
      <c r="BS150" s="50">
        <f xml:space="preserve"> 'WK2013'!FP30</f>
        <v>976.42092463008714</v>
      </c>
      <c r="BT150" s="61">
        <f xml:space="preserve"> 'WK2013'!FK30</f>
        <v>0.50679046369876657</v>
      </c>
      <c r="BV150" s="50">
        <f xml:space="preserve"> 'WK2013'!FW30</f>
        <v>252.624663</v>
      </c>
      <c r="BW150" s="50">
        <f xml:space="preserve"> 'WK2013'!FX30</f>
        <v>300.19956579999996</v>
      </c>
      <c r="BX150" s="50">
        <f xml:space="preserve"> 'WK2013'!GA30</f>
        <v>252.65984991726705</v>
      </c>
      <c r="BY150" s="50">
        <f xml:space="preserve"> 'WK2013'!GB30</f>
        <v>300.16953271726703</v>
      </c>
      <c r="BZ150" s="50">
        <f xml:space="preserve"> 'WK2013'!GC30</f>
        <v>252.67790811479978</v>
      </c>
      <c r="CA150" s="50">
        <f xml:space="preserve"> 'WK2013'!GD30</f>
        <v>300.18759091479978</v>
      </c>
      <c r="CB150" s="61">
        <f xml:space="preserve"> 'WK2013'!FY30</f>
        <v>0.50326771262780146</v>
      </c>
      <c r="CD150" s="50">
        <f xml:space="preserve"> 'WK2013'!GK30</f>
        <v>140.47095300000001</v>
      </c>
      <c r="CE150" s="50">
        <f xml:space="preserve"> 'WK2013'!GL30</f>
        <v>113.41812300000002</v>
      </c>
      <c r="CF150" s="50">
        <f xml:space="preserve"> 'WK2013'!GO30</f>
        <v>134.83300988458024</v>
      </c>
      <c r="CG150" s="50">
        <f xml:space="preserve"> 'WK2013'!GP30</f>
        <v>116.25585638458018</v>
      </c>
      <c r="CH150" s="50">
        <f xml:space="preserve"> 'WK2013'!GQ30</f>
        <v>144.78655019691868</v>
      </c>
      <c r="CI150" s="50">
        <f xml:space="preserve"> 'WK2013'!GR30</f>
        <v>126.20939669691867</v>
      </c>
      <c r="CJ150" s="61">
        <f xml:space="preserve"> 'WK2013'!GM30</f>
        <v>0.5052274046226094</v>
      </c>
      <c r="CN150" s="50">
        <f xml:space="preserve"> 'WK2014'!EG30</f>
        <v>1408.5295072000001</v>
      </c>
      <c r="CO150" s="50">
        <f xml:space="preserve"> 'WK2014'!EH30</f>
        <v>2009.1042212000002</v>
      </c>
      <c r="CP150" s="50">
        <f xml:space="preserve"> 'WK2014'!EK30</f>
        <v>1425.7523427831329</v>
      </c>
      <c r="CQ150" s="50">
        <f xml:space="preserve"> 'WK2014'!EL30</f>
        <v>1991.7850373831334</v>
      </c>
      <c r="CR150" s="50">
        <f xml:space="preserve"> 'WK2014'!EM30</f>
        <v>1442.2674233983428</v>
      </c>
      <c r="CS150" s="50">
        <f xml:space="preserve"> 'WK2014'!EN30</f>
        <v>2008.3001179983428</v>
      </c>
      <c r="CT150" s="61">
        <f xml:space="preserve"> 'WK2014'!EI30</f>
        <v>0.52040914575737018</v>
      </c>
      <c r="CV150" s="50">
        <f xml:space="preserve"> 'WK2014'!EU30</f>
        <v>1090.9452658</v>
      </c>
      <c r="CW150" s="50">
        <f xml:space="preserve"> 'WK2014'!EV30</f>
        <v>1551.4899697999999</v>
      </c>
      <c r="CX150" s="50">
        <f xml:space="preserve"> 'WK2014'!EY30</f>
        <v>1102.6167250537371</v>
      </c>
      <c r="CY150" s="50">
        <f xml:space="preserve"> 'WK2014'!EZ30</f>
        <v>1543.7938834537372</v>
      </c>
      <c r="CZ150" s="50">
        <f xml:space="preserve"> 'WK2014'!FA30</f>
        <v>1126.9932996719499</v>
      </c>
      <c r="DA150" s="50">
        <f xml:space="preserve"> 'WK2014'!FB30</f>
        <v>1568.1704580719502</v>
      </c>
      <c r="DB150" s="61">
        <f xml:space="preserve"> 'WK2014'!EW30</f>
        <v>0.51977821428701065</v>
      </c>
      <c r="DC150" s="1"/>
      <c r="DD150" s="50">
        <f xml:space="preserve"> 'WK2014'!FI30</f>
        <v>730.66895920000002</v>
      </c>
      <c r="DE150" s="50">
        <f xml:space="preserve"> 'WK2014'!FJ30</f>
        <v>1036.3128515999999</v>
      </c>
      <c r="DF150" s="50">
        <f xml:space="preserve"> 'WK2014'!FM30</f>
        <v>755.65101361641985</v>
      </c>
      <c r="DG150" s="50">
        <f xml:space="preserve"> 'WK2014'!FN30</f>
        <v>1019.3169330164197</v>
      </c>
      <c r="DH150" s="50">
        <f xml:space="preserve"> 'WK2014'!FO30</f>
        <v>754.55267437855991</v>
      </c>
      <c r="DI150" s="50">
        <f xml:space="preserve"> 'WK2014'!FP30</f>
        <v>1018.2185937785599</v>
      </c>
      <c r="DJ150" s="61">
        <f xml:space="preserve"> 'WK2014'!FK30</f>
        <v>0.51792558895950214</v>
      </c>
      <c r="DK150" s="1"/>
      <c r="DL150" s="50">
        <f xml:space="preserve"> 'WK2014'!FW30</f>
        <v>253.26729120000002</v>
      </c>
      <c r="DM150" s="50">
        <f xml:space="preserve"> 'WK2014'!FX30</f>
        <v>300.70579120000002</v>
      </c>
      <c r="DN150" s="50">
        <f xml:space="preserve"> 'WK2014'!GA30</f>
        <v>253.30346656216454</v>
      </c>
      <c r="DO150" s="50">
        <f xml:space="preserve"> 'WK2014'!GB30</f>
        <v>300.67474316216453</v>
      </c>
      <c r="DP150" s="50">
        <f xml:space="preserve"> 'WK2014'!GC30</f>
        <v>253.3188299058138</v>
      </c>
      <c r="DQ150" s="50">
        <f xml:space="preserve"> 'WK2014'!GD30</f>
        <v>300.69010650581379</v>
      </c>
      <c r="DR150" s="61">
        <f xml:space="preserve"> 'WK2014'!FY30</f>
        <v>0.51938637652219077</v>
      </c>
      <c r="DS150" s="1"/>
      <c r="DT150" s="50">
        <f xml:space="preserve"> 'WK2014'!GK30</f>
        <v>173.21131500000001</v>
      </c>
      <c r="DU150" s="50">
        <f xml:space="preserve"> 'WK2014'!GL30</f>
        <v>184.92925349999996</v>
      </c>
      <c r="DV150" s="50">
        <f xml:space="preserve"> 'WK2014'!GO30</f>
        <v>170.99219252394522</v>
      </c>
      <c r="DW150" s="50">
        <f xml:space="preserve"> 'WK2014'!GP30</f>
        <v>185.74985177394512</v>
      </c>
      <c r="DX150" s="50">
        <f xml:space="preserve"> 'WK2014'!GQ30</f>
        <v>178.17854854310383</v>
      </c>
      <c r="DY150" s="50">
        <f xml:space="preserve"> 'WK2014'!GR30</f>
        <v>192.93620779310379</v>
      </c>
      <c r="DZ150" s="61">
        <f xml:space="preserve"> 'WK2014'!GM30</f>
        <v>0.51809365270424923</v>
      </c>
      <c r="ED150" s="50">
        <f xml:space="preserve"> 'WK2015'!EG30</f>
        <v>1405.8019668000002</v>
      </c>
      <c r="EE150" s="50">
        <f xml:space="preserve"> 'WK2015'!EH30</f>
        <v>1923.069454</v>
      </c>
      <c r="EF150" s="50">
        <f xml:space="preserve"> 'WK2015'!EK30</f>
        <v>1414.3584042889222</v>
      </c>
      <c r="EG150" s="50">
        <f xml:space="preserve"> 'WK2015'!EL30</f>
        <v>1915.229868488922</v>
      </c>
      <c r="EH150" s="50">
        <f xml:space="preserve"> 'WK2015'!EM30</f>
        <v>1446.5803922114151</v>
      </c>
      <c r="EI150" s="50">
        <f xml:space="preserve"> 'WK2015'!EN30</f>
        <v>1947.4518564114146</v>
      </c>
      <c r="EJ150" s="61">
        <f xml:space="preserve"> 'WK2015'!EI30</f>
        <v>0.5176796781182289</v>
      </c>
      <c r="EK150" s="1"/>
      <c r="EL150" s="50">
        <f xml:space="preserve"> 'WK2015'!EU30</f>
        <v>1155.7471402000001</v>
      </c>
      <c r="EM150" s="50">
        <f xml:space="preserve"> 'WK2015'!EV30</f>
        <v>1639.7833424999999</v>
      </c>
      <c r="EN150" s="50">
        <f xml:space="preserve"> 'WK2015'!EY30</f>
        <v>1171.0221763041172</v>
      </c>
      <c r="EO150" s="50">
        <f xml:space="preserve"> 'WK2015'!EZ30</f>
        <v>1629.424300604117</v>
      </c>
      <c r="EP150" s="50">
        <f xml:space="preserve"> 'WK2015'!FA30</f>
        <v>1192.6211530840253</v>
      </c>
      <c r="EQ150" s="50">
        <f xml:space="preserve"> 'WK2015'!FB30</f>
        <v>1651.0232773840253</v>
      </c>
      <c r="ER150" s="61">
        <f xml:space="preserve"> 'WK2015'!EW30</f>
        <v>0.51625661645133669</v>
      </c>
      <c r="ES150" s="1"/>
      <c r="ET150" s="50">
        <f xml:space="preserve"> 'WK2015'!FI30</f>
        <v>801.67302180000001</v>
      </c>
      <c r="EU150" s="50">
        <f xml:space="preserve"> 'WK2015'!FJ30</f>
        <v>1106.2835231999998</v>
      </c>
      <c r="EV150" s="50">
        <f xml:space="preserve"> 'WK2015'!FM30</f>
        <v>821.35835831499992</v>
      </c>
      <c r="EW150" s="50">
        <f xml:space="preserve"> 'WK2015'!FN30</f>
        <v>1092.6539635149998</v>
      </c>
      <c r="EX150" s="50">
        <f xml:space="preserve"> 'WK2015'!FO30</f>
        <v>826.19062690375324</v>
      </c>
      <c r="EY150" s="50">
        <f xml:space="preserve"> 'WK2015'!FP30</f>
        <v>1097.4862321037531</v>
      </c>
      <c r="EZ150" s="61">
        <f xml:space="preserve"> 'WK2015'!FK30</f>
        <v>0.51680700361716214</v>
      </c>
      <c r="FA150" s="1"/>
      <c r="FB150" s="50">
        <f xml:space="preserve"> 'WK2015'!FW30</f>
        <v>256.38699680000002</v>
      </c>
      <c r="FC150" s="50">
        <f xml:space="preserve"> 'WK2015'!FX30</f>
        <v>298.79114000000004</v>
      </c>
      <c r="FD150" s="50">
        <f xml:space="preserve"> 'WK2015'!GA30</f>
        <v>256.41865557000443</v>
      </c>
      <c r="FE150" s="50">
        <f xml:space="preserve"> 'WK2015'!GB30</f>
        <v>298.76358077000441</v>
      </c>
      <c r="FF150" s="50">
        <f xml:space="preserve"> 'WK2015'!GC30</f>
        <v>256.43978347007709</v>
      </c>
      <c r="FG150" s="50">
        <f xml:space="preserve"> 'WK2015'!GD30</f>
        <v>298.78470867007707</v>
      </c>
      <c r="FH150" s="61">
        <f xml:space="preserve"> 'WK2015'!FY30</f>
        <v>0.51724659525919592</v>
      </c>
      <c r="FI150" s="1"/>
      <c r="FJ150" s="50">
        <f xml:space="preserve"> 'WK2015'!GK30</f>
        <v>176.70059999999998</v>
      </c>
      <c r="FK150" s="50">
        <f xml:space="preserve"> 'WK2015'!GL30</f>
        <v>209.14062299999998</v>
      </c>
      <c r="FL150" s="50">
        <f xml:space="preserve"> 'WK2015'!GO30</f>
        <v>177.8041004923769</v>
      </c>
      <c r="FM150" s="50">
        <f xml:space="preserve"> 'WK2015'!GP30</f>
        <v>208.1403779923769</v>
      </c>
      <c r="FN150" s="50">
        <f xml:space="preserve"> 'WK2015'!GQ30</f>
        <v>182.00024597259954</v>
      </c>
      <c r="FO150" s="50">
        <f xml:space="preserve"> 'WK2015'!GR30</f>
        <v>212.33652347259948</v>
      </c>
      <c r="FP150" s="61">
        <f xml:space="preserve"> 'WK2015'!GM30</f>
        <v>0.51824750216961946</v>
      </c>
      <c r="FS150" s="283">
        <f xml:space="preserve"> 'WK2015'!H30</f>
        <v>702.42331000000001</v>
      </c>
      <c r="FT150" s="283">
        <f xml:space="preserve"> 'WK2015'!I30</f>
        <v>1036.94741</v>
      </c>
      <c r="FU150" s="283">
        <f xml:space="preserve"> 'WK2015'!L30</f>
        <v>706.65430739999204</v>
      </c>
      <c r="FV150" s="283">
        <f xml:space="preserve"> 'WK2015'!M30</f>
        <v>1032.403191399992</v>
      </c>
      <c r="FW150" s="283">
        <f xml:space="preserve"> 'WK2015'!N30</f>
        <v>724.71970316561851</v>
      </c>
      <c r="FX150" s="283">
        <f xml:space="preserve"> 'WK2015'!O30</f>
        <v>1050.4685871656184</v>
      </c>
      <c r="FY150" s="284">
        <f xml:space="preserve"> 'WK2015'!P30</f>
        <v>0.51784692251541531</v>
      </c>
      <c r="GA150" s="283">
        <f xml:space="preserve"> 'WK2015'!HB30</f>
        <v>462.97127099999994</v>
      </c>
      <c r="GB150" s="283">
        <f xml:space="preserve"> 'WK2015'!HC30</f>
        <v>807.761169</v>
      </c>
      <c r="GC150" s="283">
        <f xml:space="preserve"> 'WK2015'!HF30</f>
        <v>462.98241540729225</v>
      </c>
      <c r="GD150" s="283">
        <f xml:space="preserve"> 'WK2015'!HG30</f>
        <v>807.74798140729229</v>
      </c>
      <c r="GE150" s="283">
        <f xml:space="preserve"> 'WK2015'!HH30</f>
        <v>477.79666454956987</v>
      </c>
      <c r="GF150" s="283">
        <f xml:space="preserve"> 'WK2015'!HI30</f>
        <v>822.5622305495699</v>
      </c>
      <c r="GG150" s="284">
        <f xml:space="preserve"> 'WK2015'!HJ30</f>
        <v>0.54198556253945596</v>
      </c>
      <c r="GI150" s="283">
        <f xml:space="preserve"> 'WK2015'!HQ30</f>
        <v>127.91499</v>
      </c>
      <c r="GJ150" s="283">
        <f xml:space="preserve"> 'WK2015'!HR30</f>
        <v>379.85459400000002</v>
      </c>
      <c r="GK150" s="283">
        <f xml:space="preserve"> 'WK2015'!HU30</f>
        <v>144.55421721144364</v>
      </c>
      <c r="GL150" s="283">
        <f xml:space="preserve"> 'WK2015'!HV30</f>
        <v>363.08587521144369</v>
      </c>
      <c r="GM150" s="283">
        <f xml:space="preserve"> 'WK2015'!HW30</f>
        <v>130.92003852670294</v>
      </c>
      <c r="GN150" s="283">
        <f xml:space="preserve"> 'WK2015'!HX30</f>
        <v>349.45169652670296</v>
      </c>
      <c r="GO150" s="284">
        <f xml:space="preserve"> 'WK2015'!HY30</f>
        <v>0.50193803559657224</v>
      </c>
    </row>
    <row r="151" spans="1:197" x14ac:dyDescent="0.2"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</row>
  </sheetData>
  <mergeCells count="160">
    <mergeCell ref="AN6:AT7"/>
    <mergeCell ref="AP1:AP4"/>
    <mergeCell ref="AQ1:AQ4"/>
    <mergeCell ref="AR1:AR4"/>
    <mergeCell ref="AS1:AS4"/>
    <mergeCell ref="AT1:AT4"/>
    <mergeCell ref="DX1:DX4"/>
    <mergeCell ref="DF1:DF4"/>
    <mergeCell ref="DG1:DG4"/>
    <mergeCell ref="DH1:DH4"/>
    <mergeCell ref="DI1:DI4"/>
    <mergeCell ref="DJ1:DJ4"/>
    <mergeCell ref="DD6:DJ7"/>
    <mergeCell ref="CZ1:CZ4"/>
    <mergeCell ref="DA1:DA4"/>
    <mergeCell ref="DB1:DB4"/>
    <mergeCell ref="CV6:DB7"/>
    <mergeCell ref="DD1:DD4"/>
    <mergeCell ref="DE1:DE4"/>
    <mergeCell ref="CT1:CT4"/>
    <mergeCell ref="CN6:CT7"/>
    <mergeCell ref="CV1:CV4"/>
    <mergeCell ref="CW1:CW4"/>
    <mergeCell ref="CX1:CX4"/>
    <mergeCell ref="DY1:DY4"/>
    <mergeCell ref="DZ1:DZ4"/>
    <mergeCell ref="DT6:DZ7"/>
    <mergeCell ref="DR1:DR4"/>
    <mergeCell ref="DL6:DR7"/>
    <mergeCell ref="DT1:DT4"/>
    <mergeCell ref="DU1:DU4"/>
    <mergeCell ref="DV1:DV4"/>
    <mergeCell ref="DW1:DW4"/>
    <mergeCell ref="DL1:DL4"/>
    <mergeCell ref="DM1:DM4"/>
    <mergeCell ref="DN1:DN4"/>
    <mergeCell ref="DO1:DO4"/>
    <mergeCell ref="DP1:DP4"/>
    <mergeCell ref="DQ1:DQ4"/>
    <mergeCell ref="CY1:CY4"/>
    <mergeCell ref="CN1:CN4"/>
    <mergeCell ref="CO1:CO4"/>
    <mergeCell ref="CP1:CP4"/>
    <mergeCell ref="CQ1:CQ4"/>
    <mergeCell ref="CR1:CR4"/>
    <mergeCell ref="CS1:CS4"/>
    <mergeCell ref="L1:L4"/>
    <mergeCell ref="M1:M4"/>
    <mergeCell ref="BB1:BB4"/>
    <mergeCell ref="BC1:BC4"/>
    <mergeCell ref="T1:T4"/>
    <mergeCell ref="U1:U4"/>
    <mergeCell ref="AJ1:AJ4"/>
    <mergeCell ref="AK1:AK4"/>
    <mergeCell ref="BR1:BR4"/>
    <mergeCell ref="AY1:AY4"/>
    <mergeCell ref="BF1:BF4"/>
    <mergeCell ref="BG1:BG4"/>
    <mergeCell ref="BJ1:BJ4"/>
    <mergeCell ref="BK1:BK4"/>
    <mergeCell ref="AN1:AN4"/>
    <mergeCell ref="AO1:AO4"/>
    <mergeCell ref="CB1:CB4"/>
    <mergeCell ref="BV6:CB7"/>
    <mergeCell ref="BV1:BV4"/>
    <mergeCell ref="BW1:BW4"/>
    <mergeCell ref="BX1:BX4"/>
    <mergeCell ref="BY1:BY4"/>
    <mergeCell ref="BZ1:BZ4"/>
    <mergeCell ref="BS1:BS4"/>
    <mergeCell ref="CA1:CA4"/>
    <mergeCell ref="BT1:BT4"/>
    <mergeCell ref="H6:N7"/>
    <mergeCell ref="P6:V7"/>
    <mergeCell ref="X6:AD7"/>
    <mergeCell ref="AF6:AL7"/>
    <mergeCell ref="AG1:AG4"/>
    <mergeCell ref="AH1:AH4"/>
    <mergeCell ref="AI1:AI4"/>
    <mergeCell ref="AL1:AL4"/>
    <mergeCell ref="Z1:Z4"/>
    <mergeCell ref="AA1:AA4"/>
    <mergeCell ref="AD1:AD4"/>
    <mergeCell ref="AF1:AF4"/>
    <mergeCell ref="S1:S4"/>
    <mergeCell ref="V1:V4"/>
    <mergeCell ref="X1:X4"/>
    <mergeCell ref="Y1:Y4"/>
    <mergeCell ref="AB1:AB4"/>
    <mergeCell ref="AC1:AC4"/>
    <mergeCell ref="N1:N4"/>
    <mergeCell ref="P1:P4"/>
    <mergeCell ref="Q1:Q4"/>
    <mergeCell ref="R1:R4"/>
    <mergeCell ref="H1:H4"/>
    <mergeCell ref="I1:I4"/>
    <mergeCell ref="J1:J4"/>
    <mergeCell ref="K1:K4"/>
    <mergeCell ref="CF1:CF4"/>
    <mergeCell ref="CG1:CG4"/>
    <mergeCell ref="CJ1:CJ4"/>
    <mergeCell ref="CD6:CJ7"/>
    <mergeCell ref="CE1:CE4"/>
    <mergeCell ref="CH1:CH4"/>
    <mergeCell ref="CI1:CI4"/>
    <mergeCell ref="BN6:BT7"/>
    <mergeCell ref="BD1:BD4"/>
    <mergeCell ref="CD1:CD4"/>
    <mergeCell ref="BN1:BN4"/>
    <mergeCell ref="BO1:BO4"/>
    <mergeCell ref="BP1:BP4"/>
    <mergeCell ref="BQ1:BQ4"/>
    <mergeCell ref="BH1:BH4"/>
    <mergeCell ref="BI1:BI4"/>
    <mergeCell ref="BL1:BL4"/>
    <mergeCell ref="BF6:BL7"/>
    <mergeCell ref="AX6:BD7"/>
    <mergeCell ref="AZ1:AZ4"/>
    <mergeCell ref="BA1:BA4"/>
    <mergeCell ref="AX1:AX4"/>
    <mergeCell ref="ED1:ED4"/>
    <mergeCell ref="EE1:EE4"/>
    <mergeCell ref="EF1:EF4"/>
    <mergeCell ref="EG1:EG4"/>
    <mergeCell ref="EH1:EH4"/>
    <mergeCell ref="EI1:EI4"/>
    <mergeCell ref="EJ1:EJ4"/>
    <mergeCell ref="ED6:EJ7"/>
    <mergeCell ref="EL1:EL4"/>
    <mergeCell ref="EM1:EM4"/>
    <mergeCell ref="EN1:EN4"/>
    <mergeCell ref="EO1:EO4"/>
    <mergeCell ref="EP1:EP4"/>
    <mergeCell ref="EQ1:EQ4"/>
    <mergeCell ref="ER1:ER4"/>
    <mergeCell ref="EL6:ER7"/>
    <mergeCell ref="ET1:ET4"/>
    <mergeCell ref="EU1:EU4"/>
    <mergeCell ref="EV1:EV4"/>
    <mergeCell ref="EW1:EW4"/>
    <mergeCell ref="EX1:EX4"/>
    <mergeCell ref="EY1:EY4"/>
    <mergeCell ref="EZ1:EZ4"/>
    <mergeCell ref="ET6:EZ7"/>
    <mergeCell ref="FB1:FB4"/>
    <mergeCell ref="FC1:FC4"/>
    <mergeCell ref="FD1:FD4"/>
    <mergeCell ref="FN1:FN4"/>
    <mergeCell ref="FO1:FO4"/>
    <mergeCell ref="FP1:FP4"/>
    <mergeCell ref="FJ6:FP7"/>
    <mergeCell ref="FE1:FE4"/>
    <mergeCell ref="FF1:FF4"/>
    <mergeCell ref="FG1:FG4"/>
    <mergeCell ref="FH1:FH4"/>
    <mergeCell ref="FB6:FH7"/>
    <mergeCell ref="FJ1:FJ4"/>
    <mergeCell ref="FK1:FK4"/>
    <mergeCell ref="FL1:FL4"/>
    <mergeCell ref="FM1:FM4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6">
    <tabColor rgb="FFFF0000"/>
  </sheetPr>
  <dimension ref="A1:AN154"/>
  <sheetViews>
    <sheetView showGridLines="0" topLeftCell="A2" workbookViewId="0">
      <selection activeCell="I23" sqref="I23"/>
    </sheetView>
  </sheetViews>
  <sheetFormatPr baseColWidth="10" defaultColWidth="8.77734375" defaultRowHeight="10.199999999999999" x14ac:dyDescent="0.2"/>
  <cols>
    <col min="1" max="21" width="8.77734375" style="153"/>
    <col min="22" max="16384" width="8.77734375" style="1"/>
  </cols>
  <sheetData>
    <row r="1" spans="1:40" x14ac:dyDescent="0.2">
      <c r="A1" s="23"/>
      <c r="B1" s="23"/>
      <c r="C1" s="221" t="s">
        <v>69</v>
      </c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Q1" s="23"/>
      <c r="R1" s="23"/>
      <c r="S1" s="23"/>
      <c r="T1" s="23"/>
      <c r="U1" s="23"/>
    </row>
    <row r="2" spans="1:40" x14ac:dyDescent="0.2">
      <c r="A2" s="23"/>
      <c r="B2" s="23"/>
      <c r="C2" s="222" t="s">
        <v>68</v>
      </c>
      <c r="D2" s="116"/>
      <c r="E2" s="116"/>
      <c r="F2" s="116"/>
      <c r="G2" s="116"/>
      <c r="H2" s="86"/>
      <c r="I2" s="86"/>
      <c r="J2" s="86"/>
      <c r="K2" s="86"/>
      <c r="L2" s="86"/>
      <c r="M2" s="116"/>
      <c r="N2" s="116"/>
      <c r="O2" s="116"/>
      <c r="Q2" s="23"/>
      <c r="R2" s="23"/>
      <c r="S2" s="23"/>
      <c r="T2" s="23"/>
      <c r="U2" s="23"/>
    </row>
    <row r="3" spans="1:40" x14ac:dyDescent="0.2">
      <c r="A3" s="23"/>
      <c r="B3" s="23"/>
      <c r="C3" s="223" t="s">
        <v>67</v>
      </c>
      <c r="D3" s="86"/>
      <c r="E3" s="86"/>
      <c r="F3" s="86"/>
      <c r="G3" s="86"/>
      <c r="I3" s="116"/>
      <c r="J3" s="116"/>
      <c r="K3" s="116"/>
      <c r="L3" s="225">
        <v>120</v>
      </c>
      <c r="M3" s="116"/>
      <c r="N3" s="116"/>
      <c r="O3" s="116"/>
      <c r="Q3" s="23"/>
      <c r="R3" s="23"/>
      <c r="S3" s="23"/>
      <c r="T3" s="23"/>
      <c r="U3" s="23"/>
    </row>
    <row r="4" spans="1:40" x14ac:dyDescent="0.2">
      <c r="A4" s="117" t="s">
        <v>164</v>
      </c>
      <c r="B4" s="23"/>
      <c r="R4" s="23"/>
      <c r="S4" s="23"/>
      <c r="T4" s="23"/>
      <c r="U4" s="23"/>
      <c r="V4" s="153"/>
    </row>
    <row r="5" spans="1:40" x14ac:dyDescent="0.2">
      <c r="A5" s="117" t="b">
        <f xml:space="preserve"> UPPER(AUSW!K7)="JA"</f>
        <v>1</v>
      </c>
      <c r="B5" s="23"/>
      <c r="R5" s="23"/>
      <c r="S5" s="23"/>
      <c r="T5" s="23"/>
      <c r="U5" s="23"/>
    </row>
    <row r="6" spans="1:40" x14ac:dyDescent="0.2">
      <c r="A6" s="23"/>
      <c r="B6" s="23"/>
      <c r="F6" s="205" t="s">
        <v>204</v>
      </c>
      <c r="H6" s="205" t="s">
        <v>47</v>
      </c>
      <c r="M6" s="205" t="s">
        <v>22</v>
      </c>
      <c r="Q6" s="205" t="s">
        <v>191</v>
      </c>
      <c r="R6" s="1"/>
      <c r="S6" s="1"/>
      <c r="T6" s="103" t="s">
        <v>256</v>
      </c>
      <c r="U6" s="23"/>
    </row>
    <row r="7" spans="1:40" x14ac:dyDescent="0.2">
      <c r="A7" s="23"/>
      <c r="B7" s="23"/>
      <c r="F7" s="205" t="s">
        <v>190</v>
      </c>
      <c r="H7" s="205" t="s">
        <v>192</v>
      </c>
      <c r="I7" s="205" t="s">
        <v>213</v>
      </c>
      <c r="J7" s="205" t="s">
        <v>193</v>
      </c>
      <c r="K7" s="205" t="s">
        <v>194</v>
      </c>
      <c r="L7" s="205" t="s">
        <v>214</v>
      </c>
      <c r="M7" s="205" t="s">
        <v>22</v>
      </c>
      <c r="Q7" s="103" t="s">
        <v>25</v>
      </c>
      <c r="R7" s="103" t="s">
        <v>228</v>
      </c>
      <c r="T7" s="103" t="s">
        <v>195</v>
      </c>
      <c r="V7" s="23"/>
      <c r="W7" s="103" t="s">
        <v>252</v>
      </c>
      <c r="X7" s="103" t="s">
        <v>253</v>
      </c>
    </row>
    <row r="8" spans="1:40" x14ac:dyDescent="0.2">
      <c r="A8" s="23"/>
      <c r="B8" s="23"/>
      <c r="D8" s="191" t="s">
        <v>9</v>
      </c>
      <c r="E8" s="191" t="s">
        <v>189</v>
      </c>
      <c r="F8" s="192" t="s">
        <v>27</v>
      </c>
      <c r="G8" s="192" t="s">
        <v>145</v>
      </c>
      <c r="H8" s="191" t="s">
        <v>2</v>
      </c>
      <c r="I8" s="191" t="s">
        <v>3</v>
      </c>
      <c r="J8" s="191" t="s">
        <v>197</v>
      </c>
      <c r="K8" s="191" t="s">
        <v>198</v>
      </c>
      <c r="L8" s="191" t="s">
        <v>199</v>
      </c>
      <c r="M8" s="191" t="s">
        <v>8</v>
      </c>
      <c r="N8" s="103" t="s">
        <v>26</v>
      </c>
      <c r="O8" s="103" t="s">
        <v>24</v>
      </c>
      <c r="Q8" s="154" t="s">
        <v>137</v>
      </c>
      <c r="R8" s="154" t="s">
        <v>138</v>
      </c>
      <c r="T8" s="154" t="s">
        <v>139</v>
      </c>
      <c r="U8" s="154" t="s">
        <v>179</v>
      </c>
      <c r="V8" s="103" t="s">
        <v>175</v>
      </c>
      <c r="W8" s="103" t="s">
        <v>255</v>
      </c>
      <c r="X8" s="103" t="s">
        <v>254</v>
      </c>
      <c r="AF8" s="154" t="s">
        <v>36</v>
      </c>
      <c r="AG8" s="154" t="s">
        <v>19</v>
      </c>
      <c r="AH8" s="154" t="s">
        <v>37</v>
      </c>
      <c r="AI8" s="154" t="s">
        <v>32</v>
      </c>
      <c r="AJ8" s="154" t="s">
        <v>31</v>
      </c>
      <c r="AK8" s="154" t="s">
        <v>33</v>
      </c>
      <c r="AL8" s="154" t="s">
        <v>34</v>
      </c>
      <c r="AN8" s="153"/>
    </row>
    <row r="9" spans="1:40" x14ac:dyDescent="0.2">
      <c r="A9" s="23"/>
      <c r="B9" s="23"/>
      <c r="D9" s="155" t="s">
        <v>10</v>
      </c>
      <c r="E9" s="155" t="s">
        <v>1</v>
      </c>
      <c r="M9" s="1"/>
      <c r="N9" s="1"/>
      <c r="O9" s="1"/>
      <c r="P9" s="1"/>
      <c r="Q9" s="1"/>
      <c r="R9" s="1"/>
      <c r="S9" s="1"/>
      <c r="U9" s="1"/>
      <c r="W9" s="23"/>
      <c r="AF9" s="174">
        <v>4</v>
      </c>
      <c r="AG9" s="174">
        <v>4</v>
      </c>
      <c r="AH9" s="174">
        <v>4</v>
      </c>
      <c r="AI9" s="174">
        <v>4</v>
      </c>
      <c r="AJ9" s="174">
        <v>2</v>
      </c>
      <c r="AK9" s="174">
        <v>2</v>
      </c>
      <c r="AL9" s="174">
        <v>2</v>
      </c>
    </row>
    <row r="10" spans="1:40" x14ac:dyDescent="0.2">
      <c r="A10" s="23"/>
      <c r="B10" s="23"/>
      <c r="C10" s="174">
        <v>99</v>
      </c>
      <c r="D10" s="155" t="s">
        <v>4</v>
      </c>
      <c r="E10" s="155" t="s">
        <v>0</v>
      </c>
      <c r="G10" s="174">
        <v>9</v>
      </c>
      <c r="H10" s="174">
        <v>4</v>
      </c>
      <c r="I10" s="174">
        <v>4</v>
      </c>
      <c r="M10" s="174">
        <v>2</v>
      </c>
      <c r="N10" s="174">
        <v>3</v>
      </c>
      <c r="O10" s="174">
        <v>2</v>
      </c>
      <c r="Q10" s="174">
        <v>1</v>
      </c>
      <c r="R10" s="174">
        <v>4</v>
      </c>
      <c r="T10" s="174">
        <v>4</v>
      </c>
      <c r="U10" s="174">
        <v>4</v>
      </c>
      <c r="V10" s="174">
        <v>2</v>
      </c>
      <c r="W10" s="23"/>
      <c r="AF10" s="87">
        <f t="shared" ref="AF10:AL10" si="0" xml:space="preserve"> IF( $A$5, AF9, 99 )</f>
        <v>4</v>
      </c>
      <c r="AG10" s="87">
        <f t="shared" si="0"/>
        <v>4</v>
      </c>
      <c r="AH10" s="87">
        <f t="shared" si="0"/>
        <v>4</v>
      </c>
      <c r="AI10" s="87">
        <f t="shared" si="0"/>
        <v>4</v>
      </c>
      <c r="AJ10" s="87">
        <f t="shared" si="0"/>
        <v>2</v>
      </c>
      <c r="AK10" s="87">
        <f t="shared" si="0"/>
        <v>2</v>
      </c>
      <c r="AL10" s="87">
        <f t="shared" si="0"/>
        <v>2</v>
      </c>
    </row>
    <row r="11" spans="1:40" x14ac:dyDescent="0.2">
      <c r="A11" s="23"/>
      <c r="B11" s="23"/>
      <c r="D11" s="155" t="s">
        <v>62</v>
      </c>
      <c r="E11" s="155" t="s">
        <v>61</v>
      </c>
      <c r="F11" s="170"/>
      <c r="G11" s="170"/>
      <c r="H11" s="14" t="str">
        <f xml:space="preserve"> qx!$C$13</f>
        <v>PKV 0</v>
      </c>
      <c r="I11" s="14" t="str">
        <f xml:space="preserve"> wx!$C$13</f>
        <v>Sto 0</v>
      </c>
      <c r="J11" s="170"/>
      <c r="K11" s="170"/>
      <c r="L11" s="170"/>
      <c r="M11" s="287" t="str">
        <f xml:space="preserve"> Kx!$H$13</f>
        <v>Primo kompakt 2012</v>
      </c>
      <c r="O11" s="103" t="s">
        <v>65</v>
      </c>
      <c r="Q11" s="170"/>
      <c r="R11" s="23"/>
      <c r="U11" s="23"/>
      <c r="V11" s="153"/>
      <c r="W11" s="6"/>
    </row>
    <row r="12" spans="1:40" x14ac:dyDescent="0.2">
      <c r="A12" s="23"/>
      <c r="B12" s="23"/>
      <c r="H12" s="14" t="str">
        <f xml:space="preserve"> qx!$H$13</f>
        <v>PKV 2013</v>
      </c>
      <c r="I12" s="14"/>
      <c r="M12" s="287" t="str">
        <f xml:space="preserve"> Kx!$P$13</f>
        <v>Secundo kompakt 2012</v>
      </c>
      <c r="O12" s="103" t="s">
        <v>224</v>
      </c>
      <c r="Q12" s="103" t="s">
        <v>53</v>
      </c>
      <c r="R12" s="191" t="s">
        <v>227</v>
      </c>
      <c r="U12" s="23"/>
      <c r="V12" s="23"/>
    </row>
    <row r="13" spans="1:40" x14ac:dyDescent="0.2">
      <c r="A13" s="23"/>
      <c r="B13" s="23"/>
      <c r="H13" s="14" t="str">
        <f xml:space="preserve"> qx!$K$13</f>
        <v>PKV 2014</v>
      </c>
      <c r="I13" s="14" t="str">
        <f xml:space="preserve"> wx!$G$13</f>
        <v>Sto BaFin N 2012</v>
      </c>
      <c r="M13" s="287" t="str">
        <f xml:space="preserve"> Kx!$X$13</f>
        <v>Tertio kompakt 2012</v>
      </c>
      <c r="Q13" s="103" t="s">
        <v>54</v>
      </c>
      <c r="R13" s="205" t="s">
        <v>200</v>
      </c>
      <c r="V13" s="153"/>
      <c r="W13" s="153"/>
      <c r="X13" s="153"/>
      <c r="Y13" s="153"/>
      <c r="Z13" s="153"/>
      <c r="AA13" s="153"/>
      <c r="AB13" s="153"/>
      <c r="AC13" s="153"/>
      <c r="AD13" s="153"/>
      <c r="AE13" s="153"/>
      <c r="AF13" s="153"/>
      <c r="AG13" s="153"/>
    </row>
    <row r="14" spans="1:40" x14ac:dyDescent="0.2">
      <c r="A14" s="23"/>
      <c r="B14" s="23"/>
      <c r="H14" s="14" t="str">
        <f xml:space="preserve"> qx!$N$13</f>
        <v>PKV 2015</v>
      </c>
      <c r="I14" s="14" t="str">
        <f xml:space="preserve"> wx!$J$13</f>
        <v>Sto BaFin N 2013</v>
      </c>
      <c r="M14" s="287" t="str">
        <f xml:space="preserve"> Kx!$AN$13</f>
        <v>Primo zahn 2012</v>
      </c>
      <c r="R14" s="205" t="s">
        <v>233</v>
      </c>
      <c r="V14" s="153"/>
      <c r="W14" s="153"/>
      <c r="X14" s="153"/>
      <c r="Y14" s="153"/>
      <c r="Z14" s="153"/>
      <c r="AA14" s="153"/>
      <c r="AB14" s="153"/>
      <c r="AC14" s="153"/>
      <c r="AD14" s="153"/>
      <c r="AE14" s="153"/>
      <c r="AF14" s="153"/>
      <c r="AG14" s="153"/>
    </row>
    <row r="15" spans="1:40" x14ac:dyDescent="0.2">
      <c r="A15" s="23"/>
      <c r="B15" s="23"/>
      <c r="F15" s="170"/>
      <c r="G15" s="170"/>
      <c r="H15" s="14" t="str">
        <f xml:space="preserve"> qx!$Q$13</f>
        <v>PKV 2016</v>
      </c>
      <c r="I15" s="14" t="str">
        <f xml:space="preserve"> wx!$M$13</f>
        <v>Sto BaFin N 2014</v>
      </c>
      <c r="J15" s="170"/>
      <c r="K15" s="170"/>
      <c r="L15" s="170"/>
      <c r="M15" s="288" t="str">
        <f xml:space="preserve"> Kx!$AF$13</f>
        <v>GKV-Erg Primo stationär 2012</v>
      </c>
      <c r="N15" s="170"/>
      <c r="O15" s="170"/>
      <c r="Q15" s="23"/>
      <c r="R15" s="205" t="s">
        <v>234</v>
      </c>
      <c r="T15" s="23"/>
      <c r="U15" s="23"/>
    </row>
    <row r="16" spans="1:40" x14ac:dyDescent="0.2">
      <c r="A16" s="23"/>
      <c r="B16" s="23"/>
      <c r="H16" s="14" t="str">
        <f xml:space="preserve"> qx!$T$13</f>
        <v>PKV 2017</v>
      </c>
      <c r="I16" s="13" t="str">
        <f xml:space="preserve"> wx!$P$13</f>
        <v>Sto BaFin N 2015</v>
      </c>
      <c r="M16" s="287" t="str">
        <f xml:space="preserve"> Kx!$AX$13</f>
        <v>Primo kompakt 2013</v>
      </c>
      <c r="N16" s="116"/>
      <c r="O16" s="116"/>
      <c r="P16" s="23"/>
      <c r="Q16" s="23"/>
      <c r="T16" s="191" t="s">
        <v>229</v>
      </c>
      <c r="U16" s="23"/>
    </row>
    <row r="17" spans="1:35" x14ac:dyDescent="0.2">
      <c r="A17" s="7" t="s">
        <v>23</v>
      </c>
      <c r="B17" s="23"/>
      <c r="H17" s="14" t="str">
        <f xml:space="preserve"> qx!$C$13</f>
        <v>PKV 0</v>
      </c>
      <c r="I17" s="13"/>
      <c r="M17" s="287" t="str">
        <f xml:space="preserve"> Kx!$BF$13</f>
        <v>Secundo kompakt 2013</v>
      </c>
      <c r="N17" s="170"/>
      <c r="O17" s="170"/>
      <c r="R17" s="191" t="s">
        <v>226</v>
      </c>
      <c r="T17" s="155" t="s">
        <v>230</v>
      </c>
      <c r="U17" s="23"/>
    </row>
    <row r="18" spans="1:35" x14ac:dyDescent="0.2">
      <c r="A18" s="171" t="s">
        <v>11</v>
      </c>
      <c r="B18" s="23"/>
      <c r="I18" s="13" t="str">
        <f xml:space="preserve"> wx!$U$13</f>
        <v>GKV-Sto BaFin N 2012</v>
      </c>
      <c r="M18" s="287" t="str">
        <f xml:space="preserve"> Kx!$BN$13</f>
        <v>Tertio kompakt 2013</v>
      </c>
      <c r="N18" s="116"/>
      <c r="O18" s="116"/>
      <c r="P18" s="23"/>
      <c r="R18" s="205" t="s">
        <v>201</v>
      </c>
      <c r="T18" s="155" t="s">
        <v>231</v>
      </c>
      <c r="U18" s="23"/>
    </row>
    <row r="19" spans="1:35" x14ac:dyDescent="0.2">
      <c r="A19" s="41" t="str">
        <f xml:space="preserve"> G</f>
        <v>G</v>
      </c>
      <c r="B19" s="23"/>
      <c r="I19" s="13" t="str">
        <f xml:space="preserve"> wx!$X$13</f>
        <v>GKV-Sto BaFin N 2013</v>
      </c>
      <c r="M19" s="287" t="str">
        <f xml:space="preserve"> Kx!$BV$13</f>
        <v>Primo zahn 2013</v>
      </c>
      <c r="T19" s="155" t="s">
        <v>232</v>
      </c>
      <c r="U19" s="23"/>
      <c r="AA19" s="154" t="s">
        <v>251</v>
      </c>
    </row>
    <row r="20" spans="1:35" x14ac:dyDescent="0.2">
      <c r="A20" s="171">
        <v>20</v>
      </c>
      <c r="B20" s="23"/>
      <c r="H20" s="23"/>
      <c r="I20" s="13" t="str">
        <f xml:space="preserve"> wx!$AA$13</f>
        <v>GKV-Sto BaFin N 2014</v>
      </c>
      <c r="M20" s="288" t="str">
        <f xml:space="preserve"> Kx!$CD$13</f>
        <v>GKV-Erg Primo stationär 2013</v>
      </c>
      <c r="T20" s="23"/>
      <c r="U20" s="23"/>
      <c r="X20" s="154" t="s">
        <v>136</v>
      </c>
      <c r="Y20" s="154" t="s">
        <v>12</v>
      </c>
      <c r="Z20" s="154" t="s">
        <v>13</v>
      </c>
      <c r="AA20" s="154" t="str">
        <f xml:space="preserve"> "l_" &amp; xalpha</f>
        <v>l_x_α</v>
      </c>
      <c r="AB20" s="154" t="s">
        <v>5</v>
      </c>
      <c r="AC20" s="154" t="s">
        <v>6</v>
      </c>
      <c r="AD20" s="154" t="s">
        <v>14</v>
      </c>
      <c r="AE20" s="154" t="s">
        <v>7</v>
      </c>
      <c r="AF20" s="154" t="s">
        <v>15</v>
      </c>
      <c r="AG20" s="154" t="s">
        <v>16</v>
      </c>
      <c r="AH20" s="154" t="s">
        <v>17</v>
      </c>
      <c r="AI20" s="154" t="s">
        <v>18</v>
      </c>
    </row>
    <row r="21" spans="1:35" x14ac:dyDescent="0.2">
      <c r="A21" s="41">
        <f t="shared" ref="A21:A52" si="1">A20+1</f>
        <v>21</v>
      </c>
      <c r="B21" s="10"/>
      <c r="I21" s="13" t="str">
        <f xml:space="preserve"> wx!$AD$13</f>
        <v>GKV-Sto BaFin N 2015</v>
      </c>
      <c r="M21" s="287" t="str">
        <f xml:space="preserve"> Kx!$CN$13</f>
        <v>Primo kompakt 2014</v>
      </c>
      <c r="X21" s="174">
        <v>4</v>
      </c>
      <c r="Y21" s="174">
        <v>4</v>
      </c>
      <c r="Z21" s="174">
        <v>4</v>
      </c>
      <c r="AA21" s="116"/>
      <c r="AB21" s="174">
        <v>0</v>
      </c>
      <c r="AC21" s="174">
        <v>2</v>
      </c>
      <c r="AD21" s="174">
        <v>2</v>
      </c>
      <c r="AE21" s="174">
        <v>4</v>
      </c>
      <c r="AF21" s="174">
        <v>2</v>
      </c>
      <c r="AG21" s="174">
        <v>2</v>
      </c>
      <c r="AH21" s="174">
        <v>4</v>
      </c>
      <c r="AI21" s="174">
        <v>4</v>
      </c>
    </row>
    <row r="22" spans="1:35" x14ac:dyDescent="0.2">
      <c r="A22" s="41">
        <f t="shared" si="1"/>
        <v>22</v>
      </c>
      <c r="B22" s="23"/>
      <c r="I22" s="13"/>
      <c r="M22" s="287" t="str">
        <f xml:space="preserve"> Kx!$CV$13</f>
        <v>Secundo kompakt 2014</v>
      </c>
      <c r="X22" s="87">
        <f xml:space="preserve"> IF( $A$5, X21, 99 )</f>
        <v>4</v>
      </c>
      <c r="Y22" s="87">
        <f xml:space="preserve"> IF( $A$5, Y21, 99 )</f>
        <v>4</v>
      </c>
      <c r="Z22" s="87">
        <f xml:space="preserve"> IF( $A$5, Z21, 99 )</f>
        <v>4</v>
      </c>
      <c r="AA22" s="116"/>
      <c r="AB22" s="87">
        <f t="shared" ref="AB22:AH22" si="2" xml:space="preserve"> IF( $A$5, AB21, 99 )</f>
        <v>0</v>
      </c>
      <c r="AC22" s="87">
        <f t="shared" si="2"/>
        <v>2</v>
      </c>
      <c r="AD22" s="87">
        <f t="shared" si="2"/>
        <v>2</v>
      </c>
      <c r="AE22" s="87">
        <f t="shared" si="2"/>
        <v>4</v>
      </c>
      <c r="AF22" s="87">
        <f t="shared" si="2"/>
        <v>2</v>
      </c>
      <c r="AG22" s="87">
        <f t="shared" si="2"/>
        <v>2</v>
      </c>
      <c r="AH22" s="87">
        <f t="shared" si="2"/>
        <v>4</v>
      </c>
      <c r="AI22" s="87">
        <f xml:space="preserve"> IF( $A$5, AI21, 99 )</f>
        <v>4</v>
      </c>
    </row>
    <row r="23" spans="1:35" x14ac:dyDescent="0.2">
      <c r="A23" s="41">
        <f t="shared" si="1"/>
        <v>23</v>
      </c>
      <c r="B23" s="23"/>
      <c r="I23" s="13" t="str">
        <f xml:space="preserve"> wx!$AI$13</f>
        <v>kappax-Sto BaFin N 2015</v>
      </c>
      <c r="M23" s="287" t="str">
        <f xml:space="preserve"> Kx!$DD$13</f>
        <v>Tertio kompakt 2014</v>
      </c>
      <c r="S23" s="191" t="s">
        <v>250</v>
      </c>
      <c r="T23" s="154" t="s">
        <v>236</v>
      </c>
    </row>
    <row r="24" spans="1:35" x14ac:dyDescent="0.2">
      <c r="A24" s="41">
        <f t="shared" si="1"/>
        <v>24</v>
      </c>
      <c r="B24" s="23"/>
      <c r="E24" s="205" t="s">
        <v>218</v>
      </c>
      <c r="I24" s="13"/>
      <c r="M24" s="287" t="str">
        <f xml:space="preserve"> Kx!$DL$13</f>
        <v>Primo zahn 2014</v>
      </c>
      <c r="T24" s="154" t="s">
        <v>238</v>
      </c>
      <c r="X24" s="297">
        <v>0.15</v>
      </c>
    </row>
    <row r="25" spans="1:35" x14ac:dyDescent="0.2">
      <c r="A25" s="41">
        <f t="shared" si="1"/>
        <v>25</v>
      </c>
      <c r="B25" s="23"/>
      <c r="E25" s="205" t="s">
        <v>215</v>
      </c>
      <c r="I25" s="13" t="str">
        <f xml:space="preserve"> wx!$AO$13</f>
        <v>KHK VP alle VJ</v>
      </c>
      <c r="M25" s="288" t="str">
        <f xml:space="preserve"> Kx!$DT$13</f>
        <v>GKV-Erg Primo stationär 2014</v>
      </c>
      <c r="T25" s="154" t="s">
        <v>239</v>
      </c>
      <c r="X25" s="297">
        <v>0.85</v>
      </c>
    </row>
    <row r="26" spans="1:35" x14ac:dyDescent="0.2">
      <c r="A26" s="41">
        <f t="shared" si="1"/>
        <v>26</v>
      </c>
      <c r="B26" s="23"/>
      <c r="E26" s="205" t="s">
        <v>216</v>
      </c>
      <c r="I26" s="13" t="str">
        <f xml:space="preserve"> wx!$AP$13</f>
        <v>KHK VP oe 3 VJ</v>
      </c>
      <c r="M26" s="287" t="str">
        <f xml:space="preserve"> Kx!$ED$13</f>
        <v>Primo kompakt 2015</v>
      </c>
      <c r="T26" s="229" t="s">
        <v>241</v>
      </c>
    </row>
    <row r="27" spans="1:35" x14ac:dyDescent="0.2">
      <c r="A27" s="41">
        <f t="shared" si="1"/>
        <v>27</v>
      </c>
      <c r="B27" s="23"/>
      <c r="E27" s="205" t="s">
        <v>217</v>
      </c>
      <c r="I27" s="13" t="str">
        <f xml:space="preserve"> wx!$AQ$13</f>
        <v>KHK AR</v>
      </c>
      <c r="M27" s="287" t="str">
        <f xml:space="preserve"> Kx!$EL$13</f>
        <v>Secundo kompakt 2015</v>
      </c>
      <c r="T27" s="154" t="s">
        <v>240</v>
      </c>
    </row>
    <row r="28" spans="1:35" x14ac:dyDescent="0.2">
      <c r="A28" s="41">
        <f t="shared" si="1"/>
        <v>28</v>
      </c>
      <c r="B28" s="23"/>
      <c r="I28" s="13"/>
      <c r="M28" s="287" t="str">
        <f xml:space="preserve"> Kx!$ET$13</f>
        <v>Tertio kompakt 2015</v>
      </c>
    </row>
    <row r="29" spans="1:35" x14ac:dyDescent="0.2">
      <c r="A29" s="41">
        <f t="shared" si="1"/>
        <v>29</v>
      </c>
      <c r="I29" s="13"/>
      <c r="M29" s="287" t="str">
        <f xml:space="preserve"> Kx!$FB$13</f>
        <v>Primo zahn 2015</v>
      </c>
    </row>
    <row r="30" spans="1:35" x14ac:dyDescent="0.2">
      <c r="A30" s="41">
        <f t="shared" si="1"/>
        <v>30</v>
      </c>
      <c r="I30" s="13"/>
      <c r="M30" s="287" t="str">
        <f xml:space="preserve"> Kx!$FJ$13</f>
        <v>GKV-Erg Primo stationär 2015</v>
      </c>
    </row>
    <row r="31" spans="1:35" x14ac:dyDescent="0.2">
      <c r="A31" s="41">
        <f t="shared" si="1"/>
        <v>31</v>
      </c>
      <c r="D31" s="205" t="s">
        <v>225</v>
      </c>
      <c r="E31" s="1"/>
      <c r="F31" s="1"/>
      <c r="G31" s="1"/>
      <c r="J31" s="1"/>
      <c r="K31" s="1"/>
      <c r="L31" s="1"/>
      <c r="M31" s="287" t="str">
        <f xml:space="preserve"> Kx!$FS$13</f>
        <v>Ambulant SB 30 2015</v>
      </c>
      <c r="Q31" s="103" t="s">
        <v>20</v>
      </c>
    </row>
    <row r="32" spans="1:35" x14ac:dyDescent="0.2">
      <c r="A32" s="41">
        <f t="shared" si="1"/>
        <v>32</v>
      </c>
      <c r="D32" s="205" t="s">
        <v>219</v>
      </c>
      <c r="E32" s="96"/>
      <c r="F32" s="1"/>
      <c r="G32" s="1"/>
      <c r="J32" s="1"/>
      <c r="K32" s="1"/>
      <c r="L32" s="1"/>
      <c r="M32" s="287" t="str">
        <f xml:space="preserve"> Kx!$GA$13</f>
        <v>Ambulant SB 600 2015</v>
      </c>
      <c r="Q32" s="103" t="s">
        <v>42</v>
      </c>
    </row>
    <row r="33" spans="1:17" x14ac:dyDescent="0.2">
      <c r="A33" s="41">
        <f t="shared" si="1"/>
        <v>33</v>
      </c>
      <c r="D33" s="205" t="s">
        <v>134</v>
      </c>
      <c r="E33" s="205" t="s">
        <v>135</v>
      </c>
      <c r="F33" s="1"/>
      <c r="G33" s="1"/>
      <c r="J33" s="1"/>
      <c r="K33" s="1"/>
      <c r="L33" s="1"/>
      <c r="M33" s="287" t="str">
        <f xml:space="preserve"> Kx!$GI$13</f>
        <v>Ambulant SB 1600 2015</v>
      </c>
      <c r="Q33" s="103" t="s">
        <v>43</v>
      </c>
    </row>
    <row r="34" spans="1:17" x14ac:dyDescent="0.2">
      <c r="A34" s="41">
        <f t="shared" si="1"/>
        <v>34</v>
      </c>
      <c r="E34" s="1"/>
      <c r="F34" s="1"/>
      <c r="G34" s="1"/>
      <c r="J34" s="1"/>
      <c r="K34" s="1"/>
      <c r="L34" s="1"/>
      <c r="M34" s="287"/>
      <c r="Q34" s="103" t="s">
        <v>283</v>
      </c>
    </row>
    <row r="35" spans="1:17" x14ac:dyDescent="0.2">
      <c r="A35" s="41">
        <f t="shared" si="1"/>
        <v>35</v>
      </c>
      <c r="E35" s="1"/>
      <c r="F35" s="1"/>
      <c r="G35" s="1"/>
      <c r="M35" s="287"/>
    </row>
    <row r="36" spans="1:17" x14ac:dyDescent="0.2">
      <c r="A36" s="41">
        <f t="shared" si="1"/>
        <v>36</v>
      </c>
      <c r="E36" s="1"/>
      <c r="F36" s="1"/>
      <c r="G36" s="1"/>
      <c r="M36" s="287" t="str">
        <f xml:space="preserve"> Kx!D13</f>
        <v>Nix</v>
      </c>
    </row>
    <row r="37" spans="1:17" x14ac:dyDescent="0.2">
      <c r="A37" s="41">
        <f t="shared" si="1"/>
        <v>37</v>
      </c>
      <c r="E37" s="1"/>
      <c r="F37" s="1"/>
      <c r="G37" s="1"/>
    </row>
    <row r="38" spans="1:17" x14ac:dyDescent="0.2">
      <c r="A38" s="41">
        <f t="shared" si="1"/>
        <v>38</v>
      </c>
    </row>
    <row r="39" spans="1:17" x14ac:dyDescent="0.2">
      <c r="A39" s="41">
        <f t="shared" si="1"/>
        <v>39</v>
      </c>
    </row>
    <row r="40" spans="1:17" x14ac:dyDescent="0.2">
      <c r="A40" s="41">
        <f t="shared" si="1"/>
        <v>40</v>
      </c>
    </row>
    <row r="41" spans="1:17" x14ac:dyDescent="0.2">
      <c r="A41" s="41">
        <f t="shared" si="1"/>
        <v>41</v>
      </c>
    </row>
    <row r="42" spans="1:17" x14ac:dyDescent="0.2">
      <c r="A42" s="41">
        <f t="shared" si="1"/>
        <v>42</v>
      </c>
    </row>
    <row r="43" spans="1:17" x14ac:dyDescent="0.2">
      <c r="A43" s="41">
        <f t="shared" si="1"/>
        <v>43</v>
      </c>
      <c r="N43" s="103" t="s">
        <v>289</v>
      </c>
    </row>
    <row r="44" spans="1:17" x14ac:dyDescent="0.2">
      <c r="A44" s="41">
        <f t="shared" si="1"/>
        <v>44</v>
      </c>
      <c r="M44" s="1"/>
      <c r="N44" s="103" t="s">
        <v>288</v>
      </c>
    </row>
    <row r="45" spans="1:17" x14ac:dyDescent="0.2">
      <c r="A45" s="41">
        <f t="shared" si="1"/>
        <v>45</v>
      </c>
      <c r="M45" s="1"/>
    </row>
    <row r="46" spans="1:17" x14ac:dyDescent="0.2">
      <c r="A46" s="41">
        <f t="shared" si="1"/>
        <v>46</v>
      </c>
      <c r="N46" s="155" t="s">
        <v>285</v>
      </c>
      <c r="O46" s="155" t="s">
        <v>293</v>
      </c>
    </row>
    <row r="47" spans="1:17" x14ac:dyDescent="0.2">
      <c r="A47" s="41">
        <f t="shared" si="1"/>
        <v>47</v>
      </c>
      <c r="M47" s="1"/>
      <c r="N47" s="155" t="s">
        <v>286</v>
      </c>
      <c r="O47" s="155" t="s">
        <v>292</v>
      </c>
    </row>
    <row r="48" spans="1:17" x14ac:dyDescent="0.2">
      <c r="A48" s="41">
        <f t="shared" si="1"/>
        <v>48</v>
      </c>
      <c r="M48" s="155" t="s">
        <v>150</v>
      </c>
      <c r="N48" s="155" t="str">
        <f xml:space="preserve"> SML_vSML &amp; "/" &amp; SML_vSML_glvert</f>
        <v>vSML/glvert</v>
      </c>
      <c r="O48" s="155" t="s">
        <v>291</v>
      </c>
    </row>
    <row r="49" spans="1:21" x14ac:dyDescent="0.2">
      <c r="A49" s="41">
        <f t="shared" si="1"/>
        <v>49</v>
      </c>
      <c r="L49" s="217"/>
      <c r="N49" s="155" t="s">
        <v>287</v>
      </c>
      <c r="O49" s="155" t="s">
        <v>290</v>
      </c>
    </row>
    <row r="50" spans="1:21" x14ac:dyDescent="0.2">
      <c r="A50" s="41">
        <f t="shared" si="1"/>
        <v>50</v>
      </c>
      <c r="L50" s="217"/>
    </row>
    <row r="51" spans="1:21" x14ac:dyDescent="0.2">
      <c r="A51" s="41">
        <f t="shared" si="1"/>
        <v>51</v>
      </c>
      <c r="L51" s="217"/>
    </row>
    <row r="52" spans="1:21" x14ac:dyDescent="0.2">
      <c r="A52" s="41">
        <f t="shared" si="1"/>
        <v>52</v>
      </c>
      <c r="L52" s="217"/>
    </row>
    <row r="53" spans="1:21" x14ac:dyDescent="0.2">
      <c r="A53" s="41">
        <f t="shared" ref="A53:A84" si="3">A52+1</f>
        <v>53</v>
      </c>
      <c r="L53" s="217"/>
      <c r="O53" s="103" t="s">
        <v>44</v>
      </c>
      <c r="S53" s="10"/>
      <c r="T53" s="23"/>
      <c r="U53" s="23"/>
    </row>
    <row r="54" spans="1:21" x14ac:dyDescent="0.2">
      <c r="A54" s="41">
        <f t="shared" si="3"/>
        <v>54</v>
      </c>
      <c r="L54" s="217"/>
      <c r="S54" s="190" t="s">
        <v>92</v>
      </c>
      <c r="T54" s="23"/>
      <c r="U54" s="23"/>
    </row>
    <row r="55" spans="1:21" x14ac:dyDescent="0.2">
      <c r="A55" s="41">
        <f t="shared" si="3"/>
        <v>55</v>
      </c>
      <c r="L55" s="217"/>
      <c r="S55" s="190" t="s">
        <v>93</v>
      </c>
      <c r="T55" s="10"/>
      <c r="U55" s="10"/>
    </row>
    <row r="56" spans="1:21" x14ac:dyDescent="0.2">
      <c r="A56" s="41">
        <f t="shared" si="3"/>
        <v>56</v>
      </c>
      <c r="L56" s="217"/>
      <c r="S56" s="23"/>
      <c r="T56" s="23"/>
      <c r="U56" s="23"/>
    </row>
    <row r="57" spans="1:21" x14ac:dyDescent="0.2">
      <c r="A57" s="41">
        <f t="shared" si="3"/>
        <v>57</v>
      </c>
      <c r="L57" s="217"/>
      <c r="S57" s="23"/>
      <c r="T57" s="23"/>
      <c r="U57" s="23"/>
    </row>
    <row r="58" spans="1:21" x14ac:dyDescent="0.2">
      <c r="A58" s="41">
        <f t="shared" si="3"/>
        <v>58</v>
      </c>
      <c r="C58" s="23"/>
      <c r="G58" s="6"/>
      <c r="J58" s="23"/>
      <c r="K58" s="23"/>
      <c r="L58" s="200"/>
      <c r="M58" s="23"/>
      <c r="N58" s="23"/>
      <c r="O58" s="23"/>
      <c r="P58" s="23"/>
      <c r="Q58" s="23"/>
      <c r="R58" s="23"/>
      <c r="S58" s="23"/>
      <c r="T58" s="23"/>
      <c r="U58" s="23"/>
    </row>
    <row r="59" spans="1:21" x14ac:dyDescent="0.2">
      <c r="A59" s="41">
        <f t="shared" si="3"/>
        <v>59</v>
      </c>
      <c r="C59" s="23"/>
      <c r="G59" s="6"/>
      <c r="J59" s="23"/>
      <c r="K59" s="172" t="s">
        <v>45</v>
      </c>
      <c r="L59" s="218"/>
      <c r="M59" s="218"/>
      <c r="N59" s="218"/>
      <c r="O59" s="23"/>
      <c r="Q59" s="23"/>
      <c r="R59" s="23"/>
      <c r="S59" s="23"/>
      <c r="T59" s="23"/>
      <c r="U59" s="23"/>
    </row>
    <row r="60" spans="1:21" x14ac:dyDescent="0.2">
      <c r="A60" s="41">
        <f t="shared" si="3"/>
        <v>60</v>
      </c>
      <c r="C60" s="23"/>
      <c r="G60" s="6"/>
      <c r="J60" s="23"/>
      <c r="K60" s="172" t="s">
        <v>38</v>
      </c>
      <c r="L60" s="218"/>
      <c r="M60" s="218"/>
      <c r="N60" s="218"/>
      <c r="O60" s="23"/>
      <c r="P60" s="23"/>
      <c r="Q60" s="23"/>
      <c r="R60" s="23"/>
      <c r="S60" s="23"/>
      <c r="T60" s="23"/>
      <c r="U60" s="23"/>
    </row>
    <row r="61" spans="1:21" x14ac:dyDescent="0.2">
      <c r="A61" s="41">
        <f t="shared" si="3"/>
        <v>61</v>
      </c>
      <c r="C61" s="23"/>
      <c r="G61" s="6"/>
      <c r="J61" s="23"/>
      <c r="K61" s="172" t="s">
        <v>39</v>
      </c>
      <c r="L61" s="218"/>
      <c r="M61" s="218"/>
      <c r="N61" s="218"/>
      <c r="O61" s="6"/>
      <c r="P61" s="23"/>
      <c r="T61" s="23"/>
      <c r="U61" s="23"/>
    </row>
    <row r="62" spans="1:21" x14ac:dyDescent="0.2">
      <c r="A62" s="41">
        <f t="shared" si="3"/>
        <v>62</v>
      </c>
      <c r="C62" s="23"/>
      <c r="D62" s="23"/>
      <c r="E62" s="23"/>
      <c r="F62" s="23"/>
      <c r="G62" s="6"/>
      <c r="J62" s="23"/>
      <c r="K62" s="23"/>
      <c r="L62" s="200"/>
      <c r="M62" s="200"/>
      <c r="N62" s="200"/>
      <c r="O62" s="23"/>
      <c r="P62" s="23"/>
    </row>
    <row r="63" spans="1:21" x14ac:dyDescent="0.2">
      <c r="A63" s="41">
        <f t="shared" si="3"/>
        <v>63</v>
      </c>
      <c r="C63" s="172" t="s">
        <v>21</v>
      </c>
      <c r="D63" s="23"/>
      <c r="E63" s="23"/>
      <c r="F63" s="6"/>
      <c r="G63" s="6"/>
      <c r="J63" s="23"/>
      <c r="K63" s="23"/>
      <c r="L63" s="200"/>
      <c r="M63" s="200"/>
      <c r="N63" s="200"/>
      <c r="O63" s="23"/>
      <c r="P63" s="23"/>
    </row>
    <row r="64" spans="1:21" x14ac:dyDescent="0.2">
      <c r="A64" s="41">
        <f t="shared" si="3"/>
        <v>64</v>
      </c>
      <c r="C64" s="103" t="s">
        <v>205</v>
      </c>
      <c r="D64" s="172" t="s">
        <v>207</v>
      </c>
      <c r="E64" s="23"/>
      <c r="F64" s="23"/>
      <c r="G64" s="6"/>
      <c r="J64" s="23"/>
      <c r="K64" s="23"/>
      <c r="L64" s="200"/>
      <c r="M64" s="200"/>
      <c r="N64" s="200"/>
      <c r="O64" s="23"/>
      <c r="P64" s="23"/>
    </row>
    <row r="65" spans="1:18" x14ac:dyDescent="0.2">
      <c r="A65" s="41">
        <f t="shared" si="3"/>
        <v>65</v>
      </c>
      <c r="C65" s="103" t="s">
        <v>180</v>
      </c>
      <c r="D65" s="172" t="s">
        <v>208</v>
      </c>
      <c r="E65" s="23"/>
      <c r="F65" s="23"/>
      <c r="G65" s="6"/>
      <c r="J65" s="23"/>
      <c r="K65" s="23"/>
      <c r="L65" s="200"/>
      <c r="M65" s="200"/>
      <c r="N65" s="200"/>
      <c r="O65" s="23"/>
      <c r="P65" s="23"/>
      <c r="Q65" s="23"/>
      <c r="R65" s="8"/>
    </row>
    <row r="66" spans="1:18" x14ac:dyDescent="0.2">
      <c r="A66" s="41">
        <f t="shared" si="3"/>
        <v>66</v>
      </c>
      <c r="C66" s="103" t="s">
        <v>206</v>
      </c>
      <c r="D66" s="172" t="s">
        <v>211</v>
      </c>
      <c r="E66" s="10"/>
      <c r="F66" s="10"/>
      <c r="G66" s="6"/>
      <c r="J66" s="103" t="s">
        <v>144</v>
      </c>
      <c r="K66" s="103" t="s">
        <v>147</v>
      </c>
      <c r="L66" s="219"/>
      <c r="M66" s="219"/>
      <c r="N66" s="219"/>
      <c r="O66" s="10"/>
      <c r="P66" s="10"/>
      <c r="Q66" s="10"/>
      <c r="R66" s="11"/>
    </row>
    <row r="67" spans="1:18" x14ac:dyDescent="0.2">
      <c r="A67" s="41">
        <f t="shared" si="3"/>
        <v>67</v>
      </c>
      <c r="C67" s="103" t="s">
        <v>40</v>
      </c>
      <c r="D67" s="172" t="s">
        <v>212</v>
      </c>
      <c r="E67" s="23"/>
      <c r="F67" s="6"/>
      <c r="G67" s="6"/>
      <c r="J67" s="174">
        <v>4</v>
      </c>
      <c r="K67" s="174">
        <v>4</v>
      </c>
      <c r="L67" s="220"/>
      <c r="M67" s="220"/>
      <c r="N67" s="220"/>
      <c r="O67" s="23"/>
      <c r="P67" s="23"/>
      <c r="Q67" s="23"/>
      <c r="R67" s="8"/>
    </row>
    <row r="68" spans="1:18" x14ac:dyDescent="0.2">
      <c r="A68" s="41">
        <f t="shared" si="3"/>
        <v>68</v>
      </c>
      <c r="C68" s="103" t="s">
        <v>55</v>
      </c>
      <c r="D68" s="172" t="s">
        <v>209</v>
      </c>
      <c r="E68" s="23"/>
      <c r="F68" s="6"/>
      <c r="G68" s="6"/>
      <c r="J68" s="87">
        <f xml:space="preserve"> IF( $A$5, J67, 99 )</f>
        <v>4</v>
      </c>
      <c r="K68" s="87">
        <f xml:space="preserve"> IF( $A$5, K67, 99 )</f>
        <v>4</v>
      </c>
      <c r="L68" s="220"/>
      <c r="M68" s="220"/>
      <c r="N68" s="220"/>
      <c r="O68" s="23"/>
      <c r="P68" s="23"/>
      <c r="Q68" s="23"/>
      <c r="R68" s="8"/>
    </row>
    <row r="69" spans="1:18" x14ac:dyDescent="0.2">
      <c r="A69" s="41">
        <f t="shared" si="3"/>
        <v>69</v>
      </c>
      <c r="C69" s="103" t="s">
        <v>41</v>
      </c>
      <c r="D69" s="172" t="s">
        <v>222</v>
      </c>
      <c r="E69" s="172" t="s">
        <v>220</v>
      </c>
      <c r="F69" s="172" t="s">
        <v>196</v>
      </c>
      <c r="G69" s="172" t="s">
        <v>202</v>
      </c>
      <c r="L69" s="217"/>
      <c r="M69" s="217"/>
      <c r="N69" s="217"/>
    </row>
    <row r="70" spans="1:18" x14ac:dyDescent="0.2">
      <c r="A70" s="41">
        <f t="shared" si="3"/>
        <v>70</v>
      </c>
      <c r="C70" s="103" t="s">
        <v>46</v>
      </c>
      <c r="D70" s="172" t="s">
        <v>210</v>
      </c>
      <c r="E70" s="23"/>
      <c r="F70" s="23"/>
      <c r="G70" s="23"/>
      <c r="J70" s="103" t="s">
        <v>140</v>
      </c>
      <c r="K70" s="103" t="s">
        <v>148</v>
      </c>
      <c r="L70" s="219"/>
      <c r="M70" s="219"/>
      <c r="N70" s="219"/>
    </row>
    <row r="71" spans="1:18" x14ac:dyDescent="0.2">
      <c r="A71" s="41">
        <f t="shared" si="3"/>
        <v>71</v>
      </c>
      <c r="C71" s="172" t="s">
        <v>29</v>
      </c>
      <c r="D71" s="23"/>
      <c r="E71" s="23"/>
      <c r="F71" s="6"/>
      <c r="G71" s="23"/>
      <c r="J71" s="174">
        <v>2</v>
      </c>
      <c r="K71" s="174">
        <v>2</v>
      </c>
      <c r="L71" s="220"/>
      <c r="M71" s="220"/>
      <c r="N71" s="220"/>
    </row>
    <row r="72" spans="1:18" x14ac:dyDescent="0.2">
      <c r="A72" s="41">
        <f t="shared" si="3"/>
        <v>72</v>
      </c>
      <c r="C72" s="172" t="s">
        <v>30</v>
      </c>
      <c r="D72" s="23"/>
      <c r="E72" s="23"/>
      <c r="F72" s="6"/>
      <c r="G72" s="23"/>
      <c r="J72" s="87">
        <f xml:space="preserve"> IF( $A$5, J71, 99 )</f>
        <v>2</v>
      </c>
      <c r="K72" s="87">
        <f xml:space="preserve"> IF( $A$5, K71, 99 )</f>
        <v>2</v>
      </c>
      <c r="L72" s="220"/>
      <c r="M72" s="220"/>
      <c r="N72" s="220"/>
    </row>
    <row r="73" spans="1:18" x14ac:dyDescent="0.2">
      <c r="A73" s="41">
        <f t="shared" si="3"/>
        <v>73</v>
      </c>
      <c r="C73" s="172" t="s">
        <v>56</v>
      </c>
      <c r="D73" s="172" t="s">
        <v>246</v>
      </c>
      <c r="E73" s="172" t="s">
        <v>245</v>
      </c>
      <c r="F73" s="6"/>
      <c r="G73" s="23"/>
      <c r="J73" s="6"/>
      <c r="K73" s="23"/>
      <c r="L73" s="200"/>
      <c r="M73" s="200"/>
      <c r="N73" s="200"/>
      <c r="O73" s="23"/>
      <c r="P73" s="23"/>
      <c r="Q73" s="23"/>
      <c r="R73" s="8"/>
    </row>
    <row r="74" spans="1:18" x14ac:dyDescent="0.2">
      <c r="A74" s="41">
        <f t="shared" si="3"/>
        <v>74</v>
      </c>
      <c r="C74" s="23"/>
      <c r="J74" s="103" t="s">
        <v>49</v>
      </c>
      <c r="K74" s="103" t="s">
        <v>50</v>
      </c>
      <c r="L74" s="219"/>
      <c r="M74" s="219"/>
      <c r="N74" s="219"/>
      <c r="O74" s="103" t="s">
        <v>51</v>
      </c>
      <c r="P74" s="103" t="s">
        <v>52</v>
      </c>
      <c r="Q74" s="103" t="s">
        <v>57</v>
      </c>
      <c r="R74" s="8"/>
    </row>
    <row r="75" spans="1:18" x14ac:dyDescent="0.2">
      <c r="A75" s="41">
        <f t="shared" si="3"/>
        <v>75</v>
      </c>
      <c r="C75" s="103" t="s">
        <v>130</v>
      </c>
      <c r="D75" s="172" t="s">
        <v>221</v>
      </c>
      <c r="E75" s="172" t="s">
        <v>220</v>
      </c>
      <c r="F75" s="172" t="s">
        <v>223</v>
      </c>
      <c r="G75" s="172" t="s">
        <v>203</v>
      </c>
      <c r="J75" s="6"/>
      <c r="K75" s="23"/>
      <c r="L75" s="200"/>
      <c r="M75" s="200"/>
      <c r="N75" s="200"/>
      <c r="O75" s="23"/>
      <c r="P75" s="23"/>
      <c r="Q75" s="23"/>
      <c r="R75" s="8"/>
    </row>
    <row r="76" spans="1:18" x14ac:dyDescent="0.2">
      <c r="A76" s="41">
        <f t="shared" si="3"/>
        <v>76</v>
      </c>
      <c r="C76" s="103" t="s">
        <v>131</v>
      </c>
      <c r="J76" s="103" t="s">
        <v>58</v>
      </c>
      <c r="K76" s="103" t="s">
        <v>59</v>
      </c>
      <c r="L76" s="219"/>
      <c r="M76" s="219"/>
      <c r="N76" s="219"/>
      <c r="O76" s="103" t="s">
        <v>163</v>
      </c>
      <c r="P76" s="103" t="s">
        <v>60</v>
      </c>
      <c r="Q76" s="23"/>
      <c r="R76" s="8"/>
    </row>
    <row r="77" spans="1:18" x14ac:dyDescent="0.2">
      <c r="A77" s="41">
        <f t="shared" si="3"/>
        <v>77</v>
      </c>
      <c r="J77" s="103" t="s">
        <v>162</v>
      </c>
      <c r="K77" s="23"/>
      <c r="L77" s="200"/>
      <c r="M77" s="200"/>
      <c r="N77" s="200"/>
      <c r="O77" s="23"/>
      <c r="P77" s="23"/>
      <c r="Q77" s="23"/>
      <c r="R77" s="8"/>
    </row>
    <row r="78" spans="1:18" x14ac:dyDescent="0.2">
      <c r="A78" s="41">
        <f t="shared" si="3"/>
        <v>78</v>
      </c>
      <c r="L78" s="217"/>
      <c r="M78" s="217"/>
      <c r="N78" s="217"/>
      <c r="R78" s="12"/>
    </row>
    <row r="79" spans="1:18" x14ac:dyDescent="0.2">
      <c r="A79" s="41">
        <f t="shared" si="3"/>
        <v>79</v>
      </c>
      <c r="L79" s="217"/>
      <c r="R79" s="12"/>
    </row>
    <row r="80" spans="1:18" x14ac:dyDescent="0.2">
      <c r="A80" s="41">
        <f t="shared" si="3"/>
        <v>80</v>
      </c>
      <c r="H80" s="6"/>
      <c r="L80" s="217"/>
      <c r="P80" s="12"/>
      <c r="Q80" s="173"/>
      <c r="R80" s="173"/>
    </row>
    <row r="81" spans="1:18" x14ac:dyDescent="0.2">
      <c r="A81" s="41">
        <f t="shared" si="3"/>
        <v>81</v>
      </c>
      <c r="H81" s="6"/>
      <c r="L81" s="217"/>
      <c r="P81" s="12"/>
      <c r="Q81" s="173"/>
      <c r="R81" s="173"/>
    </row>
    <row r="82" spans="1:18" x14ac:dyDescent="0.2">
      <c r="A82" s="41">
        <f t="shared" si="3"/>
        <v>82</v>
      </c>
      <c r="H82" s="6"/>
      <c r="L82" s="217"/>
      <c r="P82" s="12"/>
      <c r="Q82" s="173"/>
      <c r="R82" s="173"/>
    </row>
    <row r="83" spans="1:18" x14ac:dyDescent="0.2">
      <c r="A83" s="41">
        <f t="shared" si="3"/>
        <v>83</v>
      </c>
      <c r="H83" s="6"/>
      <c r="P83" s="12"/>
      <c r="Q83" s="173"/>
      <c r="R83" s="173"/>
    </row>
    <row r="84" spans="1:18" x14ac:dyDescent="0.2">
      <c r="A84" s="41">
        <f t="shared" si="3"/>
        <v>84</v>
      </c>
      <c r="H84" s="6"/>
      <c r="P84" s="12"/>
      <c r="Q84" s="173"/>
      <c r="R84" s="173"/>
    </row>
    <row r="85" spans="1:18" x14ac:dyDescent="0.2">
      <c r="A85" s="41">
        <f t="shared" ref="A85:A120" si="4">A84+1</f>
        <v>85</v>
      </c>
      <c r="H85" s="6"/>
      <c r="P85" s="12"/>
      <c r="Q85" s="173"/>
      <c r="R85" s="173"/>
    </row>
    <row r="86" spans="1:18" x14ac:dyDescent="0.2">
      <c r="A86" s="41">
        <f t="shared" si="4"/>
        <v>86</v>
      </c>
      <c r="H86" s="6"/>
      <c r="P86" s="12"/>
      <c r="Q86" s="173"/>
      <c r="R86" s="173"/>
    </row>
    <row r="87" spans="1:18" x14ac:dyDescent="0.2">
      <c r="A87" s="41">
        <f t="shared" si="4"/>
        <v>87</v>
      </c>
      <c r="H87" s="6"/>
      <c r="P87" s="12"/>
      <c r="Q87" s="173"/>
      <c r="R87" s="173"/>
    </row>
    <row r="88" spans="1:18" x14ac:dyDescent="0.2">
      <c r="A88" s="41">
        <f t="shared" si="4"/>
        <v>88</v>
      </c>
      <c r="H88" s="6"/>
      <c r="P88" s="12"/>
      <c r="Q88" s="173"/>
      <c r="R88" s="173"/>
    </row>
    <row r="89" spans="1:18" x14ac:dyDescent="0.2">
      <c r="A89" s="41">
        <f t="shared" si="4"/>
        <v>89</v>
      </c>
      <c r="H89" s="6"/>
      <c r="P89" s="12"/>
      <c r="Q89" s="173"/>
      <c r="R89" s="173"/>
    </row>
    <row r="90" spans="1:18" x14ac:dyDescent="0.2">
      <c r="A90" s="41">
        <f t="shared" si="4"/>
        <v>90</v>
      </c>
      <c r="H90" s="6"/>
      <c r="P90" s="12"/>
      <c r="Q90" s="173"/>
      <c r="R90" s="173"/>
    </row>
    <row r="91" spans="1:18" x14ac:dyDescent="0.2">
      <c r="A91" s="41">
        <f t="shared" si="4"/>
        <v>91</v>
      </c>
      <c r="H91" s="6"/>
      <c r="P91" s="12"/>
      <c r="Q91" s="173"/>
      <c r="R91" s="173"/>
    </row>
    <row r="92" spans="1:18" x14ac:dyDescent="0.2">
      <c r="A92" s="41">
        <f t="shared" si="4"/>
        <v>92</v>
      </c>
      <c r="H92" s="6"/>
      <c r="P92" s="12"/>
      <c r="Q92" s="173"/>
      <c r="R92" s="173"/>
    </row>
    <row r="93" spans="1:18" x14ac:dyDescent="0.2">
      <c r="A93" s="41">
        <f t="shared" si="4"/>
        <v>93</v>
      </c>
      <c r="P93" s="12"/>
      <c r="Q93" s="173"/>
      <c r="R93" s="173"/>
    </row>
    <row r="94" spans="1:18" x14ac:dyDescent="0.2">
      <c r="A94" s="41">
        <f t="shared" si="4"/>
        <v>94</v>
      </c>
      <c r="P94" s="12"/>
      <c r="Q94" s="173"/>
      <c r="R94" s="173"/>
    </row>
    <row r="95" spans="1:18" x14ac:dyDescent="0.2">
      <c r="A95" s="41">
        <f t="shared" si="4"/>
        <v>95</v>
      </c>
      <c r="P95" s="12"/>
      <c r="Q95" s="173"/>
      <c r="R95" s="173"/>
    </row>
    <row r="96" spans="1:18" x14ac:dyDescent="0.2">
      <c r="A96" s="41">
        <f t="shared" si="4"/>
        <v>96</v>
      </c>
      <c r="P96" s="12"/>
      <c r="Q96" s="173"/>
      <c r="R96" s="173"/>
    </row>
    <row r="97" spans="1:18" x14ac:dyDescent="0.2">
      <c r="A97" s="41">
        <f t="shared" si="4"/>
        <v>97</v>
      </c>
      <c r="P97" s="12"/>
      <c r="Q97" s="173"/>
      <c r="R97" s="173"/>
    </row>
    <row r="98" spans="1:18" x14ac:dyDescent="0.2">
      <c r="A98" s="41">
        <f t="shared" si="4"/>
        <v>98</v>
      </c>
      <c r="P98" s="12"/>
      <c r="Q98" s="173"/>
      <c r="R98" s="173"/>
    </row>
    <row r="99" spans="1:18" x14ac:dyDescent="0.2">
      <c r="A99" s="41">
        <f t="shared" si="4"/>
        <v>99</v>
      </c>
      <c r="P99" s="12"/>
      <c r="Q99" s="173"/>
      <c r="R99" s="173"/>
    </row>
    <row r="100" spans="1:18" x14ac:dyDescent="0.2">
      <c r="A100" s="41">
        <f t="shared" si="4"/>
        <v>100</v>
      </c>
      <c r="P100" s="12"/>
      <c r="Q100" s="173"/>
      <c r="R100" s="173"/>
    </row>
    <row r="101" spans="1:18" x14ac:dyDescent="0.2">
      <c r="A101" s="41">
        <f t="shared" si="4"/>
        <v>101</v>
      </c>
      <c r="P101" s="12"/>
      <c r="Q101" s="173"/>
      <c r="R101" s="173"/>
    </row>
    <row r="102" spans="1:18" x14ac:dyDescent="0.2">
      <c r="A102" s="41">
        <f t="shared" si="4"/>
        <v>102</v>
      </c>
      <c r="P102" s="12"/>
      <c r="Q102" s="173"/>
      <c r="R102" s="173"/>
    </row>
    <row r="103" spans="1:18" x14ac:dyDescent="0.2">
      <c r="A103" s="41">
        <f t="shared" si="4"/>
        <v>103</v>
      </c>
      <c r="P103" s="12"/>
      <c r="Q103" s="173"/>
      <c r="R103" s="173"/>
    </row>
    <row r="104" spans="1:18" x14ac:dyDescent="0.2">
      <c r="A104" s="41">
        <f t="shared" si="4"/>
        <v>104</v>
      </c>
      <c r="P104" s="12"/>
      <c r="Q104" s="173"/>
      <c r="R104" s="173"/>
    </row>
    <row r="105" spans="1:18" x14ac:dyDescent="0.2">
      <c r="A105" s="41">
        <f t="shared" si="4"/>
        <v>105</v>
      </c>
      <c r="P105" s="12"/>
      <c r="Q105" s="173"/>
      <c r="R105" s="173"/>
    </row>
    <row r="106" spans="1:18" x14ac:dyDescent="0.2">
      <c r="A106" s="41">
        <f t="shared" si="4"/>
        <v>106</v>
      </c>
      <c r="P106" s="12"/>
      <c r="Q106" s="173"/>
      <c r="R106" s="173"/>
    </row>
    <row r="107" spans="1:18" x14ac:dyDescent="0.2">
      <c r="A107" s="41">
        <f t="shared" si="4"/>
        <v>107</v>
      </c>
      <c r="P107" s="12"/>
      <c r="Q107" s="173"/>
      <c r="R107" s="173"/>
    </row>
    <row r="108" spans="1:18" x14ac:dyDescent="0.2">
      <c r="A108" s="41">
        <f t="shared" si="4"/>
        <v>108</v>
      </c>
      <c r="P108" s="12"/>
      <c r="Q108" s="173"/>
      <c r="R108" s="173"/>
    </row>
    <row r="109" spans="1:18" x14ac:dyDescent="0.2">
      <c r="A109" s="41">
        <f t="shared" si="4"/>
        <v>109</v>
      </c>
      <c r="P109" s="12"/>
      <c r="Q109" s="173"/>
      <c r="R109" s="173"/>
    </row>
    <row r="110" spans="1:18" x14ac:dyDescent="0.2">
      <c r="A110" s="41">
        <f t="shared" si="4"/>
        <v>110</v>
      </c>
      <c r="P110" s="12"/>
      <c r="Q110" s="173"/>
      <c r="R110" s="173"/>
    </row>
    <row r="111" spans="1:18" x14ac:dyDescent="0.2">
      <c r="A111" s="41">
        <f t="shared" si="4"/>
        <v>111</v>
      </c>
      <c r="P111" s="12"/>
      <c r="Q111" s="173"/>
      <c r="R111" s="173"/>
    </row>
    <row r="112" spans="1:18" x14ac:dyDescent="0.2">
      <c r="A112" s="41">
        <f t="shared" si="4"/>
        <v>112</v>
      </c>
      <c r="P112" s="12"/>
      <c r="Q112" s="173"/>
      <c r="R112" s="173"/>
    </row>
    <row r="113" spans="1:18" x14ac:dyDescent="0.2">
      <c r="A113" s="41">
        <f t="shared" si="4"/>
        <v>113</v>
      </c>
      <c r="P113" s="12"/>
      <c r="Q113" s="173"/>
      <c r="R113" s="173"/>
    </row>
    <row r="114" spans="1:18" x14ac:dyDescent="0.2">
      <c r="A114" s="41">
        <f t="shared" si="4"/>
        <v>114</v>
      </c>
      <c r="P114" s="12"/>
      <c r="Q114" s="173"/>
      <c r="R114" s="173"/>
    </row>
    <row r="115" spans="1:18" x14ac:dyDescent="0.2">
      <c r="A115" s="41">
        <f t="shared" si="4"/>
        <v>115</v>
      </c>
      <c r="P115" s="12"/>
      <c r="Q115" s="173"/>
      <c r="R115" s="173"/>
    </row>
    <row r="116" spans="1:18" x14ac:dyDescent="0.2">
      <c r="A116" s="41">
        <f t="shared" si="4"/>
        <v>116</v>
      </c>
      <c r="P116" s="12"/>
      <c r="Q116" s="173"/>
      <c r="R116" s="173"/>
    </row>
    <row r="117" spans="1:18" x14ac:dyDescent="0.2">
      <c r="A117" s="41">
        <f t="shared" si="4"/>
        <v>117</v>
      </c>
      <c r="P117" s="12"/>
      <c r="Q117" s="173"/>
      <c r="R117" s="173"/>
    </row>
    <row r="118" spans="1:18" x14ac:dyDescent="0.2">
      <c r="A118" s="41">
        <f t="shared" si="4"/>
        <v>118</v>
      </c>
      <c r="P118" s="12"/>
      <c r="Q118" s="173"/>
      <c r="R118" s="173"/>
    </row>
    <row r="119" spans="1:18" x14ac:dyDescent="0.2">
      <c r="A119" s="41">
        <f t="shared" si="4"/>
        <v>119</v>
      </c>
      <c r="P119" s="12"/>
      <c r="Q119" s="173"/>
      <c r="R119" s="173"/>
    </row>
    <row r="120" spans="1:18" x14ac:dyDescent="0.2">
      <c r="A120" s="41">
        <f t="shared" si="4"/>
        <v>120</v>
      </c>
      <c r="P120" s="12"/>
      <c r="Q120" s="173"/>
      <c r="R120" s="173"/>
    </row>
    <row r="121" spans="1:18" x14ac:dyDescent="0.2">
      <c r="P121" s="12"/>
      <c r="Q121" s="173"/>
      <c r="R121" s="173"/>
    </row>
    <row r="122" spans="1:18" x14ac:dyDescent="0.2">
      <c r="P122" s="12"/>
      <c r="Q122" s="173"/>
      <c r="R122" s="173"/>
    </row>
    <row r="123" spans="1:18" x14ac:dyDescent="0.2">
      <c r="P123" s="12"/>
      <c r="Q123" s="173"/>
      <c r="R123" s="173"/>
    </row>
    <row r="124" spans="1:18" x14ac:dyDescent="0.2">
      <c r="P124" s="12"/>
      <c r="Q124" s="173"/>
      <c r="R124" s="173"/>
    </row>
    <row r="125" spans="1:18" x14ac:dyDescent="0.2">
      <c r="P125" s="12"/>
      <c r="Q125" s="173"/>
      <c r="R125" s="173"/>
    </row>
    <row r="126" spans="1:18" x14ac:dyDescent="0.2">
      <c r="P126" s="12"/>
      <c r="Q126" s="173"/>
      <c r="R126" s="173"/>
    </row>
    <row r="127" spans="1:18" x14ac:dyDescent="0.2">
      <c r="P127" s="12"/>
      <c r="Q127" s="173"/>
      <c r="R127" s="173"/>
    </row>
    <row r="128" spans="1:18" x14ac:dyDescent="0.2">
      <c r="P128" s="12"/>
      <c r="Q128" s="173"/>
      <c r="R128" s="173"/>
    </row>
    <row r="129" spans="1:18" x14ac:dyDescent="0.2">
      <c r="P129" s="12"/>
      <c r="Q129" s="173"/>
      <c r="R129" s="173"/>
    </row>
    <row r="130" spans="1:18" x14ac:dyDescent="0.2">
      <c r="A130" s="171">
        <v>0</v>
      </c>
    </row>
    <row r="131" spans="1:18" x14ac:dyDescent="0.2">
      <c r="A131" s="41">
        <f t="shared" ref="A131:A150" si="5">A130+1</f>
        <v>1</v>
      </c>
    </row>
    <row r="132" spans="1:18" x14ac:dyDescent="0.2">
      <c r="A132" s="41">
        <f t="shared" si="5"/>
        <v>2</v>
      </c>
    </row>
    <row r="133" spans="1:18" x14ac:dyDescent="0.2">
      <c r="A133" s="41">
        <f t="shared" si="5"/>
        <v>3</v>
      </c>
    </row>
    <row r="134" spans="1:18" x14ac:dyDescent="0.2">
      <c r="A134" s="41">
        <f t="shared" si="5"/>
        <v>4</v>
      </c>
    </row>
    <row r="135" spans="1:18" x14ac:dyDescent="0.2">
      <c r="A135" s="41">
        <f t="shared" si="5"/>
        <v>5</v>
      </c>
    </row>
    <row r="136" spans="1:18" x14ac:dyDescent="0.2">
      <c r="A136" s="41">
        <f t="shared" si="5"/>
        <v>6</v>
      </c>
    </row>
    <row r="137" spans="1:18" x14ac:dyDescent="0.2">
      <c r="A137" s="41">
        <f t="shared" si="5"/>
        <v>7</v>
      </c>
    </row>
    <row r="138" spans="1:18" x14ac:dyDescent="0.2">
      <c r="A138" s="41">
        <f t="shared" si="5"/>
        <v>8</v>
      </c>
    </row>
    <row r="139" spans="1:18" x14ac:dyDescent="0.2">
      <c r="A139" s="41">
        <f t="shared" si="5"/>
        <v>9</v>
      </c>
    </row>
    <row r="140" spans="1:18" x14ac:dyDescent="0.2">
      <c r="A140" s="41">
        <f t="shared" si="5"/>
        <v>10</v>
      </c>
    </row>
    <row r="141" spans="1:18" x14ac:dyDescent="0.2">
      <c r="A141" s="41">
        <f t="shared" si="5"/>
        <v>11</v>
      </c>
    </row>
    <row r="142" spans="1:18" x14ac:dyDescent="0.2">
      <c r="A142" s="41">
        <f t="shared" si="5"/>
        <v>12</v>
      </c>
    </row>
    <row r="143" spans="1:18" x14ac:dyDescent="0.2">
      <c r="A143" s="41">
        <f t="shared" si="5"/>
        <v>13</v>
      </c>
    </row>
    <row r="144" spans="1:18" x14ac:dyDescent="0.2">
      <c r="A144" s="41">
        <f t="shared" si="5"/>
        <v>14</v>
      </c>
    </row>
    <row r="145" spans="1:1" x14ac:dyDescent="0.2">
      <c r="A145" s="41">
        <f t="shared" si="5"/>
        <v>15</v>
      </c>
    </row>
    <row r="146" spans="1:1" x14ac:dyDescent="0.2">
      <c r="A146" s="41">
        <f t="shared" si="5"/>
        <v>16</v>
      </c>
    </row>
    <row r="147" spans="1:1" x14ac:dyDescent="0.2">
      <c r="A147" s="41">
        <f t="shared" si="5"/>
        <v>17</v>
      </c>
    </row>
    <row r="148" spans="1:1" x14ac:dyDescent="0.2">
      <c r="A148" s="41">
        <f t="shared" si="5"/>
        <v>18</v>
      </c>
    </row>
    <row r="149" spans="1:1" x14ac:dyDescent="0.2">
      <c r="A149" s="41">
        <f t="shared" si="5"/>
        <v>19</v>
      </c>
    </row>
    <row r="150" spans="1:1" x14ac:dyDescent="0.2">
      <c r="A150" s="41">
        <f t="shared" si="5"/>
        <v>20</v>
      </c>
    </row>
    <row r="151" spans="1:1" x14ac:dyDescent="0.2">
      <c r="A151" s="84"/>
    </row>
    <row r="152" spans="1:1" x14ac:dyDescent="0.2">
      <c r="A152" s="84"/>
    </row>
    <row r="153" spans="1:1" x14ac:dyDescent="0.2">
      <c r="A153" s="84"/>
    </row>
    <row r="154" spans="1:1" x14ac:dyDescent="0.2">
      <c r="A154" s="84"/>
    </row>
  </sheetData>
  <phoneticPr fontId="2" type="noConversion"/>
  <conditionalFormatting sqref="D9:E11">
    <cfRule type="expression" dxfId="2" priority="3">
      <formula>OR(ISNUMBER(SEARCH(BE_M,D9)),ISNUMBER(SEARCH(BE_M_,D9)))</formula>
    </cfRule>
  </conditionalFormatting>
  <conditionalFormatting sqref="D9:E11">
    <cfRule type="expression" dxfId="1" priority="1">
      <formula>OR(ISNUMBER(SEARCH(BE_MF,D9)),ISNUMBER(SEARCH(BE_MF_,D9)))</formula>
    </cfRule>
    <cfRule type="expression" dxfId="0" priority="2">
      <formula>OR(ISNUMBER(SEARCH(BE_F,D9)),ISNUMBER(SEARCH(BE_F_,D9)))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7">
    <tabColor indexed="55"/>
  </sheetPr>
  <dimension ref="A1:DN140"/>
  <sheetViews>
    <sheetView topLeftCell="AP1" workbookViewId="0">
      <selection activeCell="AW17" sqref="AW17"/>
    </sheetView>
  </sheetViews>
  <sheetFormatPr baseColWidth="10" defaultColWidth="8.6640625" defaultRowHeight="10.199999999999999" x14ac:dyDescent="0.2"/>
  <cols>
    <col min="1" max="9" width="8.6640625" style="1" customWidth="1"/>
    <col min="10" max="15" width="8.6640625" style="74" customWidth="1"/>
    <col min="16" max="31" width="8.6640625" style="1" customWidth="1"/>
    <col min="32" max="36" width="8.6640625" style="74" customWidth="1"/>
    <col min="37" max="85" width="8.6640625" style="1" customWidth="1"/>
    <col min="86" max="16384" width="8.6640625" style="1"/>
  </cols>
  <sheetData>
    <row r="1" spans="1:118" s="17" customFormat="1" x14ac:dyDescent="0.2">
      <c r="D1" s="67" t="str">
        <f xml:space="preserve"> IF( ISERROR( 'i1'!$A15 ), LEER,  'i1'!$A15 )</f>
        <v>MF</v>
      </c>
      <c r="E1" s="67" t="str">
        <f xml:space="preserve"> IF( ISERROR( 'i2'!$A15 ), LEER,  'i2'!$A15 )</f>
        <v>MF</v>
      </c>
      <c r="F1" s="67" t="str">
        <f xml:space="preserve"> IF( ISERROR( 'i3'!$A15 ), LEER,  'i3'!$A15 )</f>
        <v>MF</v>
      </c>
      <c r="G1" s="41" t="str">
        <f xml:space="preserve"> IF(     TRIM( INDEX( D1:F1, IF( D1&lt;&gt;LEER, 1, IF( E1&lt;&gt;LEER, 2, 3 ) ) ) ) = "",     LEER,      INDEX( D1:F1, IF( D1&lt;&gt;LEER, 1, IF( E1&lt;&gt;LEER, 2, 3 ) ) )             )</f>
        <v>MF</v>
      </c>
      <c r="H1" s="68" t="str">
        <f xml:space="preserve"> IF(  COUNTIF( $D1:$F1, LEER  ) +  COUNTIF( $D1:$F1, G1  ) = 3, IF( TRIM(G1)="", LEER,  G1),   LEER  )</f>
        <v>MF</v>
      </c>
      <c r="I1" s="21" t="str">
        <f xml:space="preserve"> IF(   H1&lt;&gt;LEER,     $A1  &amp;  IF( TRIM(A1)="", "", ": " )  &amp;  H1,    LEER     )</f>
        <v>MF</v>
      </c>
      <c r="J1" s="29" t="str">
        <f xml:space="preserve"> ""</f>
        <v/>
      </c>
      <c r="K1" s="29" t="str">
        <f xml:space="preserve"> ""</f>
        <v/>
      </c>
      <c r="N1" s="62" t="str">
        <f xml:space="preserve"> D1</f>
        <v>MF</v>
      </c>
      <c r="O1" s="62" t="str">
        <f xml:space="preserve"> E1</f>
        <v>MF</v>
      </c>
      <c r="P1" s="62" t="str">
        <f xml:space="preserve"> F1</f>
        <v>MF</v>
      </c>
      <c r="S1" s="66" t="str">
        <f xml:space="preserve"> D1</f>
        <v>MF</v>
      </c>
      <c r="T1" s="66" t="str">
        <f xml:space="preserve"> E1</f>
        <v>MF</v>
      </c>
      <c r="U1" s="66" t="str">
        <f xml:space="preserve"> F1</f>
        <v>MF</v>
      </c>
      <c r="V1" s="29" t="str">
        <f xml:space="preserve"> ""</f>
        <v/>
      </c>
      <c r="W1" s="29" t="str">
        <f xml:space="preserve"> ""</f>
        <v/>
      </c>
      <c r="X1" s="29" t="str">
        <f xml:space="preserve"> ""</f>
        <v/>
      </c>
      <c r="Z1" s="73"/>
      <c r="AG1" s="73"/>
      <c r="AH1" s="18" t="str">
        <f xml:space="preserve"> AUSW!I6</f>
        <v>Beitrags-Monotonisierung</v>
      </c>
      <c r="AI1" s="18"/>
      <c r="AJ1" s="18"/>
      <c r="AV1" s="29" t="str">
        <f xml:space="preserve"> ""</f>
        <v/>
      </c>
      <c r="CH1" s="41"/>
      <c r="CI1" s="41"/>
      <c r="CJ1" s="107" t="str">
        <f t="shared" ref="CJ1:CJ13" si="0" xml:space="preserve"> E1</f>
        <v>MF</v>
      </c>
      <c r="CK1" s="107" t="str">
        <f t="shared" ref="CK1:CK13" si="1" xml:space="preserve"> D1</f>
        <v>MF</v>
      </c>
      <c r="CM1" s="37" t="s">
        <v>68</v>
      </c>
      <c r="CN1" s="37" t="s">
        <v>69</v>
      </c>
      <c r="CP1" s="37"/>
      <c r="CQ1" s="37"/>
      <c r="CR1" s="37"/>
    </row>
    <row r="2" spans="1:118" s="17" customFormat="1" x14ac:dyDescent="0.2">
      <c r="A2" s="69"/>
      <c r="B2" s="59" t="s">
        <v>125</v>
      </c>
      <c r="D2" s="67" t="str">
        <f xml:space="preserve"> IF( ISERROR( 'i1'!$D2 ), LEER,  'i1'!$D2 )</f>
        <v>Frauen+Männer</v>
      </c>
      <c r="E2" s="67" t="str">
        <f xml:space="preserve"> IF( ISERROR( 'i2'!$D2 ), LEER,  'i2'!$D2 )</f>
        <v>Frauen+Männer</v>
      </c>
      <c r="F2" s="67" t="str">
        <f xml:space="preserve"> IF( ISERROR( 'i3'!$D2 ), LEER,  'i3'!$D2 )</f>
        <v>Frauen+Männer</v>
      </c>
      <c r="G2" s="41" t="str">
        <f xml:space="preserve"> IF(     TRIM( INDEX( D2:F2, IF( D2&lt;&gt;LEER, 1, IF( E2&lt;&gt;LEER, 2, 3 ) ) ) ) = "",     LEER,      INDEX( D2:F2, IF( D2&lt;&gt;LEER, 1, IF( E2&lt;&gt;LEER, 2, 3 ) ) )             )</f>
        <v>Frauen+Männer</v>
      </c>
      <c r="H2" s="68" t="str">
        <f xml:space="preserve"> IF(  COUNTIF( $D2:$F2, LEER  ) +  COUNTIF( $D2:$F2, G2  ) = 3, IF( TRIM(G2)="", LEER,  G2),   LEER  )</f>
        <v>Frauen+Männer</v>
      </c>
      <c r="I2" s="21" t="str">
        <f xml:space="preserve"> IF(   H2&lt;&gt;LEER,     $A2  &amp;  IF( TRIM(A2)="", "", ": " )  &amp;  H2,    LEER     )</f>
        <v>Frauen+Männer</v>
      </c>
      <c r="J2" s="19" t="str">
        <f t="shared" ref="J2:J13" si="2" xml:space="preserve"> IF( I2&lt;&gt;LEER, TRIM( J1 ) &amp; IF( TRIM( J1 )="","", $B2 ) &amp; I2,  J1 )</f>
        <v>Frauen+Männer</v>
      </c>
      <c r="K2" s="19" t="str">
        <f t="shared" ref="K2:K13" si="3" xml:space="preserve"> TRIM(  IF( G2=LEER,  K1,  K1 &amp; IF( K1="","", $B2 ) &amp; A2 &amp; IF( TRIM(A2)="", "", ": " ) &amp; G2 )  )</f>
        <v>Frauen+Männer</v>
      </c>
      <c r="L2" s="36"/>
      <c r="N2" s="21" t="str">
        <f t="shared" ref="N2:N13" si="4" xml:space="preserve"> IF( D2&lt;&gt;$H2, IF(TRIM(D2)="", LEER, TRIM(D2) ), LEER )</f>
        <v>.</v>
      </c>
      <c r="O2" s="21" t="str">
        <f t="shared" ref="O2:O13" si="5" xml:space="preserve"> IF( E2&lt;&gt;$H2, IF(TRIM(E2)="", LEER, TRIM(E2) ), LEER )</f>
        <v>.</v>
      </c>
      <c r="P2" s="21" t="str">
        <f t="shared" ref="P2:P13" si="6" xml:space="preserve"> IF( F2&lt;&gt;$H2, IF(TRIM(F2)="", LEER, TRIM(F2) ), LEER )</f>
        <v>.</v>
      </c>
      <c r="S2" s="37" t="str">
        <f xml:space="preserve"> IF( N2&lt;&gt;LEER,  IF( TRIM(N2)=BE_MF, BE_MF_, TRIM(N2) ), LEER  )</f>
        <v>.</v>
      </c>
      <c r="T2" s="37" t="str">
        <f xml:space="preserve"> IF( O2&lt;&gt;LEER,  IF( TRIM(O2)=BE_MF, BE_MF_, TRIM(O2) ), LEER  )</f>
        <v>.</v>
      </c>
      <c r="U2" s="37" t="str">
        <f xml:space="preserve"> IF( P2&lt;&gt;LEER,  IF( TRIM(P2)=BE_MF, BE_MF_, TRIM(P2) ), LEER  )</f>
        <v>.</v>
      </c>
      <c r="V2" s="19" t="str">
        <f t="shared" ref="V2:V13" si="7" xml:space="preserve"> IF(    S2&lt;&gt;LEER,     V1 &amp; IF( TRIM(V1)="", "", $B2 )  &amp; S2,     V1       )</f>
        <v/>
      </c>
      <c r="W2" s="19" t="str">
        <f t="shared" ref="W2:W13" si="8" xml:space="preserve"> IF(    T2&lt;&gt;LEER,     W1 &amp; IF( TRIM(W1)="", "", $B2 )  &amp; T2,     W1       )</f>
        <v/>
      </c>
      <c r="X2" s="19" t="str">
        <f t="shared" ref="X2:X13" si="9" xml:space="preserve"> IF(    U2&lt;&gt;LEER,     X1 &amp; IF( TRIM(X1)="", "", $B2 )  &amp; U2,     X1       )</f>
        <v/>
      </c>
      <c r="Z2" s="73"/>
      <c r="AG2" s="73"/>
      <c r="AH2" s="18" t="b">
        <f xml:space="preserve"> 'i1'!$AF$12</f>
        <v>1</v>
      </c>
      <c r="AI2" s="18" t="b">
        <f xml:space="preserve"> 'i2'!$AF$12</f>
        <v>1</v>
      </c>
      <c r="AJ2" s="18" t="b">
        <f xml:space="preserve"> 'i3'!$AF$12</f>
        <v>1</v>
      </c>
      <c r="AU2" s="17" t="str">
        <f xml:space="preserve"> J14</f>
        <v>Frauen+Männer − λ_x: + 50,0 % − x_ω: 110 − r: 2,5 % − q_x: PKV 2017 − w_x: Sto BaFin N 2015 − K_x: Primo kompakt 2015 − x_KM: 70 − Δ_js: 8,6 % − Γ_js: 802 / 679 Euro − α^Z_x: 2 MB (ab 70 abzgl. 0,5 MB)</v>
      </c>
      <c r="AV2" s="19" t="str">
        <f xml:space="preserve"> IF( AU2&lt;&gt;LEER, TRIM( AV1 ) &amp; IF( TRIM( AV1 )="",""," - ") &amp; AU2,  AV1 )</f>
        <v>Frauen+Männer − λ_x: + 50,0 % − x_ω: 110 − r: 2,5 % − q_x: PKV 2017 − w_x: Sto BaFin N 2015 − K_x: Primo kompakt 2015 − x_KM: 70 − Δ_js: 8,6 % − Γ_js: 802 / 679 Euro − α^Z_x: 2 MB (ab 70 abzgl. 0,5 MB)</v>
      </c>
      <c r="CH2" s="41"/>
      <c r="CI2" s="41"/>
      <c r="CJ2" s="107" t="str">
        <f t="shared" si="0"/>
        <v>Frauen+Männer</v>
      </c>
      <c r="CK2" s="107" t="str">
        <f t="shared" si="1"/>
        <v>Frauen+Männer</v>
      </c>
      <c r="CL2" s="21" t="str">
        <f t="shared" ref="CL2:CL13" si="10" xml:space="preserve"> IF( CJ2=CK2, CJ2, LEER )</f>
        <v>Frauen+Männer</v>
      </c>
      <c r="CM2" s="21" t="str">
        <f t="shared" ref="CM2:CM13" si="11" xml:space="preserve"> IF( $CL2=LEER,  CJ2,  LEER  )</f>
        <v>.</v>
      </c>
      <c r="CN2" s="21" t="str">
        <f t="shared" ref="CN2:CN13" si="12" xml:space="preserve"> IF( $CL2=LEER,  CK2,  LEER  )</f>
        <v>.</v>
      </c>
      <c r="CP2" s="18" t="str">
        <f t="shared" ref="CP2:CP13" si="13" xml:space="preserve"> CP1   &amp;    IF(    OR( CL2=LEER, TRIM(CL2)=""  ),    "",    IF( TRIM(CP1)="", "", $CI2 ) &amp; IF( TRIM($CH2)="", "", $CH2 &amp; ": "  )  &amp; CL2       )</f>
        <v>Frauen+Männer</v>
      </c>
      <c r="CQ2" s="18" t="str">
        <f t="shared" ref="CQ2:CQ13" si="14" xml:space="preserve"> CQ1   &amp;    IF(    OR( CM2=LEER, TRIM(CM2)=""  ),    "",    IF( TRIM(CQ1)="", "", $CI2 ) &amp; IF( TRIM($CH2)="", "", $CH2 &amp; ": "  )  &amp; CM2       )</f>
        <v/>
      </c>
      <c r="CR2" s="18" t="str">
        <f t="shared" ref="CR2:CR13" si="15" xml:space="preserve"> CR1   &amp;    IF(    OR( CN2=LEER, TRIM(CN2)=""  ),    "",    IF( TRIM(CR1)="", "", $CI2 ) &amp; IF( TRIM($CH2)="", "", $CH2 &amp; ": "  )  &amp; CN2       )</f>
        <v/>
      </c>
    </row>
    <row r="3" spans="1:118" s="17" customFormat="1" x14ac:dyDescent="0.2">
      <c r="A3" s="69" t="str">
        <f xml:space="preserve"> lambdax</f>
        <v>λ_x</v>
      </c>
      <c r="B3" s="59" t="s">
        <v>125</v>
      </c>
      <c r="D3" s="67" t="str">
        <f xml:space="preserve"> IF( ISERROR( 'i1'!$D3 ), LEER,  'i1'!$D3 )</f>
        <v>+ 50,0 %</v>
      </c>
      <c r="E3" s="67" t="str">
        <f xml:space="preserve"> IF( ISERROR( 'i2'!$D3 ), LEER,  'i2'!$D3 )</f>
        <v>+ 50,0 %</v>
      </c>
      <c r="F3" s="67" t="str">
        <f xml:space="preserve"> IF( ISERROR( 'i3'!$D3 ), LEER,  'i3'!$D3 )</f>
        <v>+ 50,0 %</v>
      </c>
      <c r="G3" s="71" t="str">
        <f xml:space="preserve"> IF( G$1&lt;&gt;BE_MF_,     LEER,   IF(     TRIM( INDEX( D3:F3, IF( D3&lt;&gt;LEER, 1, IF( E3&lt;&gt;LEER, 2, 3 ) ) ) ) = "",     LEER,      INDEX( D3:F3, IF( D3&lt;&gt;LEER, 1, IF( E3&lt;&gt;LEER, 2, 3 ) ) )             )       )</f>
        <v>+ 50,0 %</v>
      </c>
      <c r="H3" s="71" t="str">
        <f xml:space="preserve"> IF( G$1&lt;&gt;BE_MF_,     LEER,   IF(  COUNTIF( $D3:$F3, LEER  ) +  COUNTIF( $D3:$F3, G3  ) = 3, IF( TRIM(G3)="", LEER,  G3),   LEER  )       )</f>
        <v>+ 50,0 %</v>
      </c>
      <c r="I3" s="83" t="str">
        <f xml:space="preserve"> IF( G$1&lt;&gt;BE_MF_,     LEER,    IF( H3&lt;&gt;LEER,  $A3 &amp; IF( TRIM(A3)="","",": ") &amp;  H3, LEER  )    )</f>
        <v>λ_x: + 50,0 %</v>
      </c>
      <c r="J3" s="19" t="str">
        <f t="shared" si="2"/>
        <v>Frauen+Männer − λ_x: + 50,0 %</v>
      </c>
      <c r="K3" s="19" t="str">
        <f t="shared" si="3"/>
        <v>Frauen+Männer − λ_x: + 50,0 %</v>
      </c>
      <c r="N3" s="21" t="str">
        <f t="shared" si="4"/>
        <v>.</v>
      </c>
      <c r="O3" s="21" t="str">
        <f t="shared" si="5"/>
        <v>.</v>
      </c>
      <c r="P3" s="21" t="str">
        <f t="shared" si="6"/>
        <v>.</v>
      </c>
      <c r="S3" s="64" t="str">
        <f xml:space="preserve"> IF( S$1&lt;&gt;BE_MF_,     LEER,   IF( N3&lt;&gt;LEER,  TRIM( $A3 &amp; " " &amp; N3 ), LEER  )   )</f>
        <v>.</v>
      </c>
      <c r="T3" s="64" t="str">
        <f xml:space="preserve"> IF( T$1&lt;&gt;BE_MF_,     LEER,   IF( O3&lt;&gt;LEER,  TRIM( $A3 &amp; " " &amp; O3 ), LEER  )   )</f>
        <v>.</v>
      </c>
      <c r="U3" s="64" t="str">
        <f xml:space="preserve"> IF( U$1&lt;&gt;BE_MF_,     LEER,   IF( P3&lt;&gt;LEER,  TRIM( $A3 &amp; " " &amp; P3 ), LEER  )   )</f>
        <v>.</v>
      </c>
      <c r="V3" s="19" t="str">
        <f t="shared" si="7"/>
        <v/>
      </c>
      <c r="W3" s="19" t="str">
        <f t="shared" si="8"/>
        <v/>
      </c>
      <c r="X3" s="19" t="str">
        <f t="shared" si="9"/>
        <v/>
      </c>
      <c r="Z3" s="73"/>
      <c r="AG3" s="73"/>
      <c r="AH3" s="379" t="str">
        <f xml:space="preserve"> V14 &amp; IF( AND($AH$2:$AJ$2), "", IF( AH2, " − monot.", "" )  )</f>
        <v xml:space="preserve"> .</v>
      </c>
      <c r="AI3" s="379" t="str">
        <f t="shared" ref="AI3:AJ3" si="16" xml:space="preserve"> W14 &amp; IF( AND($AH$2:$AJ$2), "", IF( AI2, " − monot.", "" )  )</f>
        <v xml:space="preserve"> .</v>
      </c>
      <c r="AJ3" s="379" t="str">
        <f t="shared" si="16"/>
        <v xml:space="preserve"> .</v>
      </c>
      <c r="AO3" s="43" t="str">
        <f xml:space="preserve"> AO13</f>
        <v>x_0</v>
      </c>
      <c r="AP3" s="42">
        <f xml:space="preserve"> AO14</f>
        <v>35</v>
      </c>
      <c r="AQ3" s="42">
        <f xml:space="preserve"> AP14</f>
        <v>35</v>
      </c>
      <c r="AR3" s="42">
        <f xml:space="preserve"> AQ14</f>
        <v>35</v>
      </c>
      <c r="AS3" s="41">
        <f xml:space="preserve"> INDEX( AP3:AR3, IF( AP3&lt;&gt;LEER, 1, IF( AQ3&lt;&gt;LEER, 2, 3 ) )  )</f>
        <v>35</v>
      </c>
      <c r="AT3" s="70">
        <f xml:space="preserve"> IF(  COUNTIF( $AP3:$AR3, LEER  ) +  COUNTIF( $AP3:$AR3, AS3  ) = 3, AS3,   LEER  )</f>
        <v>35</v>
      </c>
      <c r="AU3" s="21" t="str">
        <f xml:space="preserve"> IF( AT3&lt;&gt;LEER,  $AO3 &amp; ": " &amp;  AT3, LEER  )</f>
        <v>x_0: 35</v>
      </c>
      <c r="AV3" s="19" t="str">
        <f xml:space="preserve"> IF( AU3&lt;&gt;LEER, TRIM( AV2 ) &amp; IF( TRIM( AV2 )="",""," | ") &amp; AU3,  AV2 )</f>
        <v>Frauen+Männer − λ_x: + 50,0 % − x_ω: 110 − r: 2,5 % − q_x: PKV 2017 − w_x: Sto BaFin N 2015 − K_x: Primo kompakt 2015 − x_KM: 70 − Δ_js: 8,6 % − Γ_js: 802 / 679 Euro − α^Z_x: 2 MB (ab 70 abzgl. 0,5 MB) | x_0: 35</v>
      </c>
      <c r="CD3" s="88" t="str">
        <f xml:space="preserve"> " " &amp; CD13 &amp; " = " &amp; CD14</f>
        <v xml:space="preserve"> x+m = 50</v>
      </c>
      <c r="CH3" s="41" t="str">
        <f t="shared" ref="CH3:CH13" si="17" xml:space="preserve"> A3</f>
        <v>λ_x</v>
      </c>
      <c r="CI3" s="41" t="str">
        <f t="shared" ref="CI3:CI13" si="18" xml:space="preserve"> B3</f>
        <v xml:space="preserve"> − </v>
      </c>
      <c r="CJ3" s="107" t="str">
        <f t="shared" si="0"/>
        <v>+ 50,0 %</v>
      </c>
      <c r="CK3" s="107" t="str">
        <f t="shared" si="1"/>
        <v>+ 50,0 %</v>
      </c>
      <c r="CL3" s="21" t="str">
        <f t="shared" si="10"/>
        <v>+ 50,0 %</v>
      </c>
      <c r="CM3" s="21" t="str">
        <f t="shared" si="11"/>
        <v>.</v>
      </c>
      <c r="CN3" s="21" t="str">
        <f t="shared" si="12"/>
        <v>.</v>
      </c>
      <c r="CP3" s="18" t="str">
        <f t="shared" si="13"/>
        <v>Frauen+Männer − λ_x: + 50,0 %</v>
      </c>
      <c r="CQ3" s="18" t="str">
        <f t="shared" si="14"/>
        <v/>
      </c>
      <c r="CR3" s="18" t="str">
        <f t="shared" si="15"/>
        <v/>
      </c>
    </row>
    <row r="4" spans="1:118" s="17" customFormat="1" x14ac:dyDescent="0.2">
      <c r="A4" s="69" t="str">
        <f xml:space="preserve"> xomega</f>
        <v>x_ω</v>
      </c>
      <c r="B4" s="59" t="s">
        <v>125</v>
      </c>
      <c r="D4" s="67" t="str">
        <f xml:space="preserve"> IF( ISERROR( 'i1'!$D4 ), LEER,  'i1'!$D4 )</f>
        <v>110</v>
      </c>
      <c r="E4" s="67" t="str">
        <f xml:space="preserve"> IF( ISERROR( 'i2'!$D4 ), LEER,  'i2'!$D4 )</f>
        <v>110</v>
      </c>
      <c r="F4" s="67" t="str">
        <f xml:space="preserve"> IF( ISERROR( 'i3'!$D4 ), LEER,  'i3'!$D4 )</f>
        <v>110</v>
      </c>
      <c r="G4" s="41" t="str">
        <f xml:space="preserve"> IF(     TRIM( INDEX( D4:F4, IF( D4&lt;&gt;LEER, 1, IF( E4&lt;&gt;LEER, 2, 3 ) ) ) ) = "",     LEER,      INDEX( D4:F4, IF( D4&lt;&gt;LEER, 1, IF( E4&lt;&gt;LEER, 2, 3 ) ) )             )</f>
        <v>110</v>
      </c>
      <c r="H4" s="68" t="str">
        <f xml:space="preserve"> IF(  COUNTIF( $D4:$F4, LEER  ) +  COUNTIF( $D4:$F4, G4  ) = 3, IF( TRIM(G4)="", LEER,  G4),   LEER  )</f>
        <v>110</v>
      </c>
      <c r="I4" s="21" t="str">
        <f xml:space="preserve"> IF(   H4&lt;&gt;LEER,     $A4  &amp;  IF( TRIM(A4)="", "", ": " )  &amp;  H4,    LEER     )</f>
        <v>x_ω: 110</v>
      </c>
      <c r="J4" s="19" t="str">
        <f t="shared" si="2"/>
        <v>Frauen+Männer − λ_x: + 50,0 % − x_ω: 110</v>
      </c>
      <c r="K4" s="19" t="str">
        <f t="shared" si="3"/>
        <v>Frauen+Männer − λ_x: + 50,0 % − x_ω: 110</v>
      </c>
      <c r="L4" s="36"/>
      <c r="N4" s="21" t="str">
        <f t="shared" si="4"/>
        <v>.</v>
      </c>
      <c r="O4" s="21" t="str">
        <f t="shared" si="5"/>
        <v>.</v>
      </c>
      <c r="P4" s="21" t="str">
        <f t="shared" si="6"/>
        <v>.</v>
      </c>
      <c r="S4" s="18" t="str">
        <f t="shared" ref="S4:U8" si="19" xml:space="preserve"> IF( N4&lt;&gt;LEER,  TRIM( $A4 &amp; IF( TRIM($A4)="", "", ": ") &amp; N4 ), LEER  )</f>
        <v>.</v>
      </c>
      <c r="T4" s="18" t="str">
        <f t="shared" si="19"/>
        <v>.</v>
      </c>
      <c r="U4" s="18" t="str">
        <f t="shared" si="19"/>
        <v>.</v>
      </c>
      <c r="V4" s="19" t="str">
        <f t="shared" si="7"/>
        <v/>
      </c>
      <c r="W4" s="19" t="str">
        <f t="shared" si="8"/>
        <v/>
      </c>
      <c r="X4" s="19" t="str">
        <f t="shared" si="9"/>
        <v/>
      </c>
      <c r="Z4" s="73"/>
      <c r="AG4" s="73"/>
      <c r="CD4" s="89">
        <f xml:space="preserve"> CD$14</f>
        <v>50</v>
      </c>
      <c r="CE4" s="90">
        <f xml:space="preserve"> MIN( 'i1'!$EL$20:$EO$120 )</f>
        <v>-1220.8499999999999</v>
      </c>
      <c r="CH4" s="41" t="str">
        <f t="shared" si="17"/>
        <v>x_ω</v>
      </c>
      <c r="CI4" s="41" t="str">
        <f t="shared" si="18"/>
        <v xml:space="preserve"> − </v>
      </c>
      <c r="CJ4" s="107" t="str">
        <f t="shared" si="0"/>
        <v>110</v>
      </c>
      <c r="CK4" s="107" t="str">
        <f t="shared" si="1"/>
        <v>110</v>
      </c>
      <c r="CL4" s="21" t="str">
        <f t="shared" si="10"/>
        <v>110</v>
      </c>
      <c r="CM4" s="21" t="str">
        <f t="shared" si="11"/>
        <v>.</v>
      </c>
      <c r="CN4" s="21" t="str">
        <f t="shared" si="12"/>
        <v>.</v>
      </c>
      <c r="CP4" s="18" t="str">
        <f t="shared" si="13"/>
        <v>Frauen+Männer − λ_x: + 50,0 % − x_ω: 110</v>
      </c>
      <c r="CQ4" s="18" t="str">
        <f t="shared" si="14"/>
        <v/>
      </c>
      <c r="CR4" s="18" t="str">
        <f t="shared" si="15"/>
        <v/>
      </c>
    </row>
    <row r="5" spans="1:118" s="17" customFormat="1" x14ac:dyDescent="0.2">
      <c r="A5" s="69" t="str">
        <f xml:space="preserve"> r_</f>
        <v>r</v>
      </c>
      <c r="B5" s="59" t="s">
        <v>125</v>
      </c>
      <c r="D5" s="67" t="str">
        <f xml:space="preserve"> IF( ISERROR( 'i1'!$D5 ), LEER,  'i1'!$D5 )</f>
        <v>2,5 %</v>
      </c>
      <c r="E5" s="67" t="str">
        <f xml:space="preserve"> IF( ISERROR( 'i2'!$D5 ), LEER,  'i2'!$D5 )</f>
        <v>2,5 %</v>
      </c>
      <c r="F5" s="67" t="str">
        <f xml:space="preserve"> IF( ISERROR( 'i3'!$D5 ), LEER,  'i3'!$D5 )</f>
        <v>2,5 %</v>
      </c>
      <c r="G5" s="41" t="str">
        <f xml:space="preserve"> IF(     TRIM( INDEX( D5:F5, IF( D5&lt;&gt;LEER, 1, IF( E5&lt;&gt;LEER, 2, 3 ) ) ) ) = "",     LEER,      INDEX( D5:F5, IF( D5&lt;&gt;LEER, 1, IF( E5&lt;&gt;LEER, 2, 3 ) ) )             )</f>
        <v>2,5 %</v>
      </c>
      <c r="H5" s="68" t="str">
        <f xml:space="preserve"> IF(  COUNTIF( $D5:$F5, LEER  ) +  COUNTIF( $D5:$F5, G5  ) = 3, IF( TRIM(G5)="", LEER,  G5),   LEER  )</f>
        <v>2,5 %</v>
      </c>
      <c r="I5" s="21" t="str">
        <f xml:space="preserve"> IF(   H5&lt;&gt;LEER,     $A5  &amp;  IF( TRIM(A5)="", "", ": " )  &amp;  H5,    LEER     )</f>
        <v>r: 2,5 %</v>
      </c>
      <c r="J5" s="19" t="str">
        <f t="shared" si="2"/>
        <v>Frauen+Männer − λ_x: + 50,0 % − x_ω: 110 − r: 2,5 %</v>
      </c>
      <c r="K5" s="19" t="str">
        <f t="shared" si="3"/>
        <v>Frauen+Männer − λ_x: + 50,0 % − x_ω: 110 − r: 2,5 %</v>
      </c>
      <c r="L5" s="36"/>
      <c r="N5" s="21" t="str">
        <f t="shared" si="4"/>
        <v>.</v>
      </c>
      <c r="O5" s="21" t="str">
        <f t="shared" si="5"/>
        <v>.</v>
      </c>
      <c r="P5" s="21" t="str">
        <f t="shared" si="6"/>
        <v>.</v>
      </c>
      <c r="S5" s="18" t="str">
        <f t="shared" si="19"/>
        <v>.</v>
      </c>
      <c r="T5" s="18" t="str">
        <f t="shared" si="19"/>
        <v>.</v>
      </c>
      <c r="U5" s="18" t="str">
        <f t="shared" si="19"/>
        <v>.</v>
      </c>
      <c r="V5" s="19" t="str">
        <f t="shared" si="7"/>
        <v/>
      </c>
      <c r="W5" s="19" t="str">
        <f t="shared" si="8"/>
        <v/>
      </c>
      <c r="X5" s="19" t="str">
        <f t="shared" si="9"/>
        <v/>
      </c>
      <c r="Z5" s="73"/>
      <c r="AG5" s="73"/>
      <c r="AH5" s="18" t="s">
        <v>158</v>
      </c>
      <c r="AI5" s="73"/>
      <c r="AJ5" s="73"/>
      <c r="CD5" s="89">
        <f xml:space="preserve"> CD$14</f>
        <v>50</v>
      </c>
      <c r="CE5" s="90">
        <f xml:space="preserve"> MAX( 'i1'!$EL$20:$EO$120 )</f>
        <v>83728.539999999994</v>
      </c>
      <c r="CH5" s="41" t="str">
        <f t="shared" si="17"/>
        <v>r</v>
      </c>
      <c r="CI5" s="41" t="str">
        <f t="shared" si="18"/>
        <v xml:space="preserve"> − </v>
      </c>
      <c r="CJ5" s="107" t="str">
        <f t="shared" si="0"/>
        <v>2,5 %</v>
      </c>
      <c r="CK5" s="107" t="str">
        <f t="shared" si="1"/>
        <v>2,5 %</v>
      </c>
      <c r="CL5" s="21" t="str">
        <f t="shared" si="10"/>
        <v>2,5 %</v>
      </c>
      <c r="CM5" s="21" t="str">
        <f t="shared" si="11"/>
        <v>.</v>
      </c>
      <c r="CN5" s="21" t="str">
        <f t="shared" si="12"/>
        <v>.</v>
      </c>
      <c r="CP5" s="18" t="str">
        <f t="shared" si="13"/>
        <v>Frauen+Männer − λ_x: + 50,0 % − x_ω: 110 − r: 2,5 %</v>
      </c>
      <c r="CQ5" s="18" t="str">
        <f t="shared" si="14"/>
        <v/>
      </c>
      <c r="CR5" s="18" t="str">
        <f t="shared" si="15"/>
        <v/>
      </c>
    </row>
    <row r="6" spans="1:118" s="17" customFormat="1" x14ac:dyDescent="0.2">
      <c r="A6" s="69" t="str">
        <f xml:space="preserve"> qx</f>
        <v>q_x</v>
      </c>
      <c r="B6" s="59" t="s">
        <v>125</v>
      </c>
      <c r="D6" s="67" t="str">
        <f xml:space="preserve"> IF( ISERROR( 'i1'!$D6 ), LEER,  'i1'!$D6 )</f>
        <v>PKV 2017</v>
      </c>
      <c r="E6" s="67" t="str">
        <f xml:space="preserve"> IF( ISERROR( 'i2'!$D6 ), LEER,  'i2'!$D6 )</f>
        <v>PKV 2017</v>
      </c>
      <c r="F6" s="67" t="str">
        <f xml:space="preserve"> IF( ISERROR( 'i3'!$D6 ), LEER,  'i3'!$D6 )</f>
        <v>PKV 2017</v>
      </c>
      <c r="G6" s="41" t="str">
        <f xml:space="preserve"> IF(     TRIM( INDEX( D6:F6, IF( D6&lt;&gt;LEER, 1, IF( E6&lt;&gt;LEER, 2, 3 ) ) ) ) = "",     LEER,      INDEX( D6:F6, IF( D6&lt;&gt;LEER, 1, IF( E6&lt;&gt;LEER, 2, 3 ) ) )             )</f>
        <v>PKV 2017</v>
      </c>
      <c r="H6" s="68" t="str">
        <f xml:space="preserve"> IF(  COUNTIF( $D6:$F6, LEER  ) +  COUNTIF( $D6:$F6, G6  ) = 3, IF( TRIM(G6)="", LEER,  G6),   LEER  )</f>
        <v>PKV 2017</v>
      </c>
      <c r="I6" s="21" t="str">
        <f xml:space="preserve"> IF(   H6&lt;&gt;LEER,     $A6  &amp;  IF( TRIM(A6)="", "", ": " )  &amp;  H6,    LEER     )</f>
        <v>q_x: PKV 2017</v>
      </c>
      <c r="J6" s="19" t="str">
        <f t="shared" si="2"/>
        <v>Frauen+Männer − λ_x: + 50,0 % − x_ω: 110 − r: 2,5 % − q_x: PKV 2017</v>
      </c>
      <c r="K6" s="19" t="str">
        <f t="shared" si="3"/>
        <v>Frauen+Männer − λ_x: + 50,0 % − x_ω: 110 − r: 2,5 % − q_x: PKV 2017</v>
      </c>
      <c r="L6" s="36"/>
      <c r="N6" s="21" t="str">
        <f t="shared" si="4"/>
        <v>.</v>
      </c>
      <c r="O6" s="21" t="str">
        <f t="shared" si="5"/>
        <v>.</v>
      </c>
      <c r="P6" s="21" t="str">
        <f t="shared" si="6"/>
        <v>.</v>
      </c>
      <c r="S6" s="18" t="str">
        <f t="shared" si="19"/>
        <v>.</v>
      </c>
      <c r="T6" s="18" t="str">
        <f t="shared" si="19"/>
        <v>.</v>
      </c>
      <c r="U6" s="18" t="str">
        <f t="shared" si="19"/>
        <v>.</v>
      </c>
      <c r="V6" s="19" t="str">
        <f t="shared" si="7"/>
        <v/>
      </c>
      <c r="W6" s="19" t="str">
        <f t="shared" si="8"/>
        <v/>
      </c>
      <c r="X6" s="19" t="str">
        <f t="shared" si="9"/>
        <v/>
      </c>
      <c r="Z6" s="73"/>
      <c r="AG6" s="73"/>
      <c r="AH6" s="378" t="str">
        <f xml:space="preserve"> D2</f>
        <v>Frauen+Männer</v>
      </c>
      <c r="AI6" s="378" t="str">
        <f xml:space="preserve"> E2</f>
        <v>Frauen+Männer</v>
      </c>
      <c r="AJ6" s="378" t="str">
        <f xml:space="preserve"> F2</f>
        <v>Frauen+Männer</v>
      </c>
      <c r="CH6" s="41" t="str">
        <f t="shared" si="17"/>
        <v>q_x</v>
      </c>
      <c r="CI6" s="41" t="str">
        <f t="shared" si="18"/>
        <v xml:space="preserve"> − </v>
      </c>
      <c r="CJ6" s="107" t="str">
        <f t="shared" si="0"/>
        <v>PKV 2017</v>
      </c>
      <c r="CK6" s="107" t="str">
        <f t="shared" si="1"/>
        <v>PKV 2017</v>
      </c>
      <c r="CL6" s="21" t="str">
        <f t="shared" si="10"/>
        <v>PKV 2017</v>
      </c>
      <c r="CM6" s="21" t="str">
        <f t="shared" si="11"/>
        <v>.</v>
      </c>
      <c r="CN6" s="21" t="str">
        <f t="shared" si="12"/>
        <v>.</v>
      </c>
      <c r="CP6" s="18" t="str">
        <f t="shared" si="13"/>
        <v>Frauen+Männer − λ_x: + 50,0 % − x_ω: 110 − r: 2,5 % − q_x: PKV 2017</v>
      </c>
      <c r="CQ6" s="18" t="str">
        <f t="shared" si="14"/>
        <v/>
      </c>
      <c r="CR6" s="18" t="str">
        <f t="shared" si="15"/>
        <v/>
      </c>
    </row>
    <row r="7" spans="1:118" s="17" customFormat="1" x14ac:dyDescent="0.2">
      <c r="A7" s="69" t="str">
        <f xml:space="preserve"> wx</f>
        <v>w_x</v>
      </c>
      <c r="B7" s="59" t="s">
        <v>125</v>
      </c>
      <c r="D7" s="67" t="str">
        <f xml:space="preserve"> IF( ISERROR( 'i1'!$D7 ), LEER,  'i1'!$D7 )</f>
        <v>Sto BaFin N 2015</v>
      </c>
      <c r="E7" s="67" t="str">
        <f xml:space="preserve"> IF( ISERROR( 'i2'!$D7 ), LEER,  'i2'!$D7 )</f>
        <v>Sto BaFin N 2015</v>
      </c>
      <c r="F7" s="67" t="str">
        <f xml:space="preserve"> IF( ISERROR( 'i3'!$D7 ), LEER,  'i3'!$D7 )</f>
        <v>Sto BaFin N 2015</v>
      </c>
      <c r="G7" s="41" t="str">
        <f xml:space="preserve"> IF(     TRIM( INDEX( D7:F7, IF( D7&lt;&gt;LEER, 1, IF( E7&lt;&gt;LEER, 2, 3 ) ) ) ) = "",     LEER,      INDEX( D7:F7, IF( D7&lt;&gt;LEER, 1, IF( E7&lt;&gt;LEER, 2, 3 ) ) )             )</f>
        <v>Sto BaFin N 2015</v>
      </c>
      <c r="H7" s="68" t="str">
        <f xml:space="preserve"> IF(  COUNTIF( $D7:$F7, LEER  ) +  COUNTIF( $D7:$F7, G7  ) = 3, IF( TRIM(G7)="", LEER,  G7),   LEER  )</f>
        <v>Sto BaFin N 2015</v>
      </c>
      <c r="I7" s="21" t="str">
        <f xml:space="preserve"> IF(   H7&lt;&gt;LEER,     $A7  &amp;  IF( TRIM(A7)="", "", ": " )  &amp;  H7,    LEER     )</f>
        <v>w_x: Sto BaFin N 2015</v>
      </c>
      <c r="J7" s="19" t="str">
        <f t="shared" si="2"/>
        <v>Frauen+Männer − λ_x: + 50,0 % − x_ω: 110 − r: 2,5 % − q_x: PKV 2017 − w_x: Sto BaFin N 2015</v>
      </c>
      <c r="K7" s="19" t="str">
        <f t="shared" si="3"/>
        <v>Frauen+Männer − λ_x: + 50,0 % − x_ω: 110 − r: 2,5 % − q_x: PKV 2017 − w_x: Sto BaFin N 2015</v>
      </c>
      <c r="L7" s="36"/>
      <c r="N7" s="21" t="str">
        <f t="shared" si="4"/>
        <v>.</v>
      </c>
      <c r="O7" s="21" t="str">
        <f t="shared" si="5"/>
        <v>.</v>
      </c>
      <c r="P7" s="21" t="str">
        <f t="shared" si="6"/>
        <v>.</v>
      </c>
      <c r="S7" s="18" t="str">
        <f t="shared" si="19"/>
        <v>.</v>
      </c>
      <c r="T7" s="18" t="str">
        <f t="shared" si="19"/>
        <v>.</v>
      </c>
      <c r="U7" s="18" t="str">
        <f t="shared" si="19"/>
        <v>.</v>
      </c>
      <c r="V7" s="19" t="str">
        <f t="shared" si="7"/>
        <v/>
      </c>
      <c r="W7" s="19" t="str">
        <f t="shared" si="8"/>
        <v/>
      </c>
      <c r="X7" s="19" t="str">
        <f t="shared" si="9"/>
        <v/>
      </c>
      <c r="Z7" s="73"/>
      <c r="AG7" s="73"/>
      <c r="AH7" s="378" t="str">
        <f xml:space="preserve"> D9</f>
        <v/>
      </c>
      <c r="AI7" s="378" t="str">
        <f xml:space="preserve"> E9</f>
        <v/>
      </c>
      <c r="AJ7" s="378" t="str">
        <f xml:space="preserve"> F9</f>
        <v/>
      </c>
      <c r="CH7" s="41" t="str">
        <f t="shared" si="17"/>
        <v>w_x</v>
      </c>
      <c r="CI7" s="41" t="str">
        <f t="shared" si="18"/>
        <v xml:space="preserve"> − </v>
      </c>
      <c r="CJ7" s="107" t="str">
        <f t="shared" si="0"/>
        <v>Sto BaFin N 2015</v>
      </c>
      <c r="CK7" s="107" t="str">
        <f t="shared" si="1"/>
        <v>Sto BaFin N 2015</v>
      </c>
      <c r="CL7" s="21" t="str">
        <f t="shared" si="10"/>
        <v>Sto BaFin N 2015</v>
      </c>
      <c r="CM7" s="21" t="str">
        <f t="shared" si="11"/>
        <v>.</v>
      </c>
      <c r="CN7" s="21" t="str">
        <f t="shared" si="12"/>
        <v>.</v>
      </c>
      <c r="CP7" s="18" t="str">
        <f t="shared" si="13"/>
        <v>Frauen+Männer − λ_x: + 50,0 % − x_ω: 110 − r: 2,5 % − q_x: PKV 2017 − w_x: Sto BaFin N 2015</v>
      </c>
      <c r="CQ7" s="18" t="str">
        <f t="shared" si="14"/>
        <v/>
      </c>
      <c r="CR7" s="18" t="str">
        <f t="shared" si="15"/>
        <v/>
      </c>
    </row>
    <row r="8" spans="1:118" s="17" customFormat="1" x14ac:dyDescent="0.2">
      <c r="A8" s="69" t="str">
        <f xml:space="preserve"> GrKx</f>
        <v>K_x</v>
      </c>
      <c r="B8" s="59" t="s">
        <v>125</v>
      </c>
      <c r="D8" s="67" t="str">
        <f xml:space="preserve"> IF( ISERROR( 'i1'!$D8 ), LEER,  'i1'!$D8 )</f>
        <v>Primo kompakt 2015</v>
      </c>
      <c r="E8" s="67" t="str">
        <f xml:space="preserve"> IF( ISERROR( 'i2'!$D8 ), LEER,  'i2'!$D8 )</f>
        <v>Primo kompakt 2015</v>
      </c>
      <c r="F8" s="67" t="str">
        <f xml:space="preserve"> IF( ISERROR( 'i3'!$D8 ), LEER,  'i3'!$D8 )</f>
        <v>Primo kompakt 2015</v>
      </c>
      <c r="G8" s="41" t="str">
        <f xml:space="preserve"> IF(     TRIM( INDEX( D8:F8, IF( D8&lt;&gt;LEER, 1, IF( E8&lt;&gt;LEER, 2, 3 ) ) ) ) = "",     LEER,      INDEX( D8:F8, IF( D8&lt;&gt;LEER, 1, IF( E8&lt;&gt;LEER, 2, 3 ) ) )             )</f>
        <v>Primo kompakt 2015</v>
      </c>
      <c r="H8" s="68" t="str">
        <f xml:space="preserve"> IF(  COUNTIF( $D8:$F8, LEER  ) +  COUNTIF( $D8:$F8, G8  ) = 3, IF( TRIM(G8)="", LEER,  G8),   LEER  )</f>
        <v>Primo kompakt 2015</v>
      </c>
      <c r="I8" s="21" t="str">
        <f xml:space="preserve"> IF(   H8&lt;&gt;LEER,     $A8  &amp;  IF( TRIM(A8)="", "", ": " )  &amp;  H8,    LEER     )</f>
        <v>K_x: Primo kompakt 2015</v>
      </c>
      <c r="J8" s="19" t="str">
        <f t="shared" si="2"/>
        <v>Frauen+Männer − λ_x: + 50,0 % − x_ω: 110 − r: 2,5 % − q_x: PKV 2017 − w_x: Sto BaFin N 2015 − K_x: Primo kompakt 2015</v>
      </c>
      <c r="K8" s="19" t="str">
        <f t="shared" si="3"/>
        <v>Frauen+Männer − λ_x: + 50,0 % − x_ω: 110 − r: 2,5 % − q_x: PKV 2017 − w_x: Sto BaFin N 2015 − K_x: Primo kompakt 2015</v>
      </c>
      <c r="L8" s="36"/>
      <c r="N8" s="21" t="str">
        <f t="shared" si="4"/>
        <v>.</v>
      </c>
      <c r="O8" s="21" t="str">
        <f t="shared" si="5"/>
        <v>.</v>
      </c>
      <c r="P8" s="21" t="str">
        <f t="shared" si="6"/>
        <v>.</v>
      </c>
      <c r="S8" s="18" t="str">
        <f t="shared" si="19"/>
        <v>.</v>
      </c>
      <c r="T8" s="18" t="str">
        <f t="shared" si="19"/>
        <v>.</v>
      </c>
      <c r="U8" s="18" t="str">
        <f t="shared" si="19"/>
        <v>.</v>
      </c>
      <c r="V8" s="19" t="str">
        <f t="shared" si="7"/>
        <v/>
      </c>
      <c r="W8" s="19" t="str">
        <f t="shared" si="8"/>
        <v/>
      </c>
      <c r="X8" s="19" t="str">
        <f t="shared" si="9"/>
        <v/>
      </c>
      <c r="Z8" s="73"/>
      <c r="AG8" s="73"/>
      <c r="AH8" s="376" t="str">
        <f xml:space="preserve"> IF(  AH6=BE_MF,  "",  IF(  AND( AH6=BE_M, AH7=SML_mSML), SML_oSML,  AH7  )  )</f>
        <v/>
      </c>
      <c r="AI8" s="376" t="str">
        <f xml:space="preserve"> IF(  AI6=BE_MF,  "",  IF(  AND( AI6=BE_M, AI7=SML_mSML), SML_oSML,  AI7  )  )</f>
        <v/>
      </c>
      <c r="AJ8" s="376" t="str">
        <f xml:space="preserve"> IF(  AJ6=BE_MF,  "",  IF(  AND( AJ6=BE_M, AJ7=SML_mSML), SML_oSML,  AJ7  )  )</f>
        <v/>
      </c>
      <c r="CH8" s="41" t="str">
        <f t="shared" si="17"/>
        <v>K_x</v>
      </c>
      <c r="CI8" s="41" t="str">
        <f t="shared" si="18"/>
        <v xml:space="preserve"> − </v>
      </c>
      <c r="CJ8" s="107" t="str">
        <f t="shared" si="0"/>
        <v>Primo kompakt 2015</v>
      </c>
      <c r="CK8" s="107" t="str">
        <f t="shared" si="1"/>
        <v>Primo kompakt 2015</v>
      </c>
      <c r="CL8" s="21" t="str">
        <f t="shared" si="10"/>
        <v>Primo kompakt 2015</v>
      </c>
      <c r="CM8" s="21" t="str">
        <f t="shared" si="11"/>
        <v>.</v>
      </c>
      <c r="CN8" s="21" t="str">
        <f t="shared" si="12"/>
        <v>.</v>
      </c>
      <c r="CP8" s="18" t="str">
        <f t="shared" si="13"/>
        <v>Frauen+Männer − λ_x: + 50,0 % − x_ω: 110 − r: 2,5 % − q_x: PKV 2017 − w_x: Sto BaFin N 2015 − K_x: Primo kompakt 2015</v>
      </c>
      <c r="CQ8" s="18" t="str">
        <f t="shared" si="14"/>
        <v/>
      </c>
      <c r="CR8" s="18" t="str">
        <f t="shared" si="15"/>
        <v/>
      </c>
    </row>
    <row r="9" spans="1:118" s="17" customFormat="1" x14ac:dyDescent="0.2">
      <c r="A9" s="69" t="str">
        <f xml:space="preserve"> SML</f>
        <v>SML</v>
      </c>
      <c r="B9" s="59" t="s">
        <v>178</v>
      </c>
      <c r="D9" s="67" t="str">
        <f xml:space="preserve"> IF( ISERROR( 'i1'!$D9 ), LEER,  'i1'!$D9 )</f>
        <v/>
      </c>
      <c r="E9" s="67" t="str">
        <f xml:space="preserve"> IF( ISERROR( 'i2'!$D9 ), LEER,  'i2'!$D9 )</f>
        <v/>
      </c>
      <c r="F9" s="67" t="str">
        <f xml:space="preserve"> IF( ISERROR( 'i3'!$D9 ), LEER,  'i3'!$D9 )</f>
        <v/>
      </c>
      <c r="G9" s="65" t="str">
        <f xml:space="preserve"> IF( G$1=BE_MF_,     LEER,   IF(     TRIM( INDEX( D9:F9, IF( D9&lt;&gt;LEER, 1, IF( E9&lt;&gt;LEER, 2, 3 ) ) ) ) = "",     LEER,      INDEX( D9:F9, IF( D9&lt;&gt;LEER, 1, IF( E9&lt;&gt;LEER, 2, 3 ) ) )             )       )</f>
        <v>.</v>
      </c>
      <c r="H9" s="65" t="str">
        <f xml:space="preserve"> IF( G$1=BE_MF_,     LEER,   IF(  COUNTIF( $D9:$F9, LEER  ) +  COUNTIF( $D9:$F9, G9  ) = 3, IF( TRIM(G9)="", LEER,  G9),   LEER  )       )</f>
        <v>.</v>
      </c>
      <c r="I9" s="71" t="str">
        <f xml:space="preserve"> IF( G$1=BE_MF_,     LEER,     IF(   H9&lt;&gt;LEER,     H9,    LEER     )    )</f>
        <v>.</v>
      </c>
      <c r="J9" s="19" t="str">
        <f t="shared" si="2"/>
        <v>Frauen+Männer − λ_x: + 50,0 % − x_ω: 110 − r: 2,5 % − q_x: PKV 2017 − w_x: Sto BaFin N 2015 − K_x: Primo kompakt 2015</v>
      </c>
      <c r="K9" s="19" t="str">
        <f t="shared" si="3"/>
        <v>Frauen+Männer − λ_x: + 50,0 % − x_ω: 110 − r: 2,5 % − q_x: PKV 2017 − w_x: Sto BaFin N 2015 − K_x: Primo kompakt 2015</v>
      </c>
      <c r="N9" s="21" t="str">
        <f t="shared" si="4"/>
        <v>.</v>
      </c>
      <c r="O9" s="21" t="str">
        <f t="shared" si="5"/>
        <v>.</v>
      </c>
      <c r="P9" s="21" t="str">
        <f t="shared" si="6"/>
        <v>.</v>
      </c>
      <c r="S9" s="72" t="str">
        <f xml:space="preserve"> IF( S$1=BE_MF_,     LEER,   IF( N9&lt;&gt;LEER,  TRIM( N9 ), LEER  )   )</f>
        <v>.</v>
      </c>
      <c r="T9" s="72" t="str">
        <f xml:space="preserve"> IF( T$1=BE_MF_,     LEER,   IF( O9&lt;&gt;LEER,  TRIM( O9 ), LEER  )   )</f>
        <v>.</v>
      </c>
      <c r="U9" s="72" t="str">
        <f xml:space="preserve"> IF( U$1=BE_MF_,     LEER,   IF( P9&lt;&gt;LEER,  TRIM( P9 ), LEER  )   )</f>
        <v>.</v>
      </c>
      <c r="V9" s="19" t="str">
        <f t="shared" si="7"/>
        <v/>
      </c>
      <c r="W9" s="19" t="str">
        <f t="shared" si="8"/>
        <v/>
      </c>
      <c r="X9" s="19" t="str">
        <f t="shared" si="9"/>
        <v/>
      </c>
      <c r="Z9" s="73"/>
      <c r="AG9" s="73"/>
      <c r="AH9" s="376" t="str">
        <f xml:space="preserve"> IF(     ISERROR( MATCH( AH8, SML_Auswahl, 0 )  ),      "",      INDEX( Basis!$O$46:$O$49, MATCH( AH8, SML_Auswahl, 0 ) )      )</f>
        <v/>
      </c>
      <c r="AI9" s="376" t="str">
        <f xml:space="preserve"> IF(     ISERROR( MATCH( AI8, SML_Auswahl, 0 )  ),      "",      INDEX( Basis!$O$46:$O$49, MATCH( AI8, SML_Auswahl, 0 ) )      )</f>
        <v/>
      </c>
      <c r="AJ9" s="376" t="str">
        <f xml:space="preserve"> IF(     ISERROR( MATCH( AJ8, SML_Auswahl, 0 )  ),      "",      INDEX( Basis!$O$46:$O$49, MATCH( AJ8, SML_Auswahl, 0 ) )      )</f>
        <v/>
      </c>
      <c r="CD9" s="17" t="str">
        <f xml:space="preserve"> 'i1'!EA9</f>
        <v>α^Z(i2;i1): 3 MB</v>
      </c>
      <c r="CH9" s="41" t="str">
        <f t="shared" si="17"/>
        <v>SML</v>
      </c>
      <c r="CI9" s="41" t="str">
        <f t="shared" si="18"/>
        <v xml:space="preserve">, </v>
      </c>
      <c r="CJ9" s="107" t="str">
        <f xml:space="preserve"> IF( CJ2=BE_MF, LEER, E9 )</f>
        <v>.</v>
      </c>
      <c r="CK9" s="107" t="str">
        <f xml:space="preserve"> IF( CK2=BE_MF, LEER, D9 )</f>
        <v>.</v>
      </c>
      <c r="CL9" s="21" t="str">
        <f t="shared" si="10"/>
        <v>.</v>
      </c>
      <c r="CM9" s="21" t="str">
        <f t="shared" si="11"/>
        <v>.</v>
      </c>
      <c r="CN9" s="21" t="str">
        <f t="shared" si="12"/>
        <v>.</v>
      </c>
      <c r="CP9" s="18" t="str">
        <f t="shared" si="13"/>
        <v>Frauen+Männer − λ_x: + 50,0 % − x_ω: 110 − r: 2,5 % − q_x: PKV 2017 − w_x: Sto BaFin N 2015 − K_x: Primo kompakt 2015</v>
      </c>
      <c r="CQ9" s="18" t="str">
        <f t="shared" si="14"/>
        <v/>
      </c>
      <c r="CR9" s="18" t="str">
        <f t="shared" si="15"/>
        <v/>
      </c>
    </row>
    <row r="10" spans="1:118" s="17" customFormat="1" x14ac:dyDescent="0.2">
      <c r="A10" s="69" t="str">
        <f xml:space="preserve"> xKM</f>
        <v>x_KM</v>
      </c>
      <c r="B10" s="59" t="s">
        <v>125</v>
      </c>
      <c r="D10" s="82">
        <f xml:space="preserve"> IF( ISERROR( 'i1'!$D10 ), LEER,  'i1'!$D10 )</f>
        <v>70</v>
      </c>
      <c r="E10" s="82">
        <f xml:space="preserve"> IF( ISERROR( 'i2'!$D10 ), LEER,  'i2'!$D10 )</f>
        <v>70</v>
      </c>
      <c r="F10" s="82">
        <f xml:space="preserve"> IF( ISERROR( 'i3'!$D10 ), LEER,  'i3'!$D10 )</f>
        <v>70</v>
      </c>
      <c r="G10" s="41">
        <f xml:space="preserve"> IF(     TRIM( INDEX( D10:F10, IF( D10&lt;&gt;LEER, 1, IF( E10&lt;&gt;LEER, 2, 3 ) ) ) ) = "",     LEER,      INDEX( D10:F10, IF( D10&lt;&gt;LEER, 1, IF( E10&lt;&gt;LEER, 2, 3 ) ) )             )</f>
        <v>70</v>
      </c>
      <c r="H10" s="70">
        <f xml:space="preserve"> IF(  COUNTIF( $D10:$F10, LEER  ) +  COUNTIF( $D10:$F10, G10  ) = 3, IF( TRIM(G10)="", LEER,  G10),   LEER  )</f>
        <v>70</v>
      </c>
      <c r="I10" s="21" t="str">
        <f xml:space="preserve"> IF(   H10&lt;&gt;LEER,     $A10  &amp;  IF( TRIM(A10)="", "", ": " )  &amp;  H10,    LEER     )</f>
        <v>x_KM: 70</v>
      </c>
      <c r="J10" s="19" t="str">
        <f t="shared" si="2"/>
        <v>Frauen+Männer − λ_x: + 50,0 % − x_ω: 110 − r: 2,5 % − q_x: PKV 2017 − w_x: Sto BaFin N 2015 − K_x: Primo kompakt 2015 − x_KM: 70</v>
      </c>
      <c r="K10" s="19" t="str">
        <f t="shared" si="3"/>
        <v>Frauen+Männer − λ_x: + 50,0 % − x_ω: 110 − r: 2,5 % − q_x: PKV 2017 − w_x: Sto BaFin N 2015 − K_x: Primo kompakt 2015 − x_KM: 70</v>
      </c>
      <c r="N10" s="21" t="str">
        <f t="shared" si="4"/>
        <v>.</v>
      </c>
      <c r="O10" s="21" t="str">
        <f t="shared" si="5"/>
        <v>.</v>
      </c>
      <c r="P10" s="21" t="str">
        <f t="shared" si="6"/>
        <v>.</v>
      </c>
      <c r="S10" s="18" t="str">
        <f t="shared" ref="S10:U13" si="20" xml:space="preserve"> IF( N10&lt;&gt;LEER,  TRIM( $A10 &amp; IF( TRIM($A10)="", "", ": ") &amp; N10 ), LEER  )</f>
        <v>.</v>
      </c>
      <c r="T10" s="18" t="str">
        <f t="shared" si="20"/>
        <v>.</v>
      </c>
      <c r="U10" s="18" t="str">
        <f t="shared" si="20"/>
        <v>.</v>
      </c>
      <c r="V10" s="19" t="str">
        <f t="shared" si="7"/>
        <v/>
      </c>
      <c r="W10" s="19" t="str">
        <f t="shared" si="8"/>
        <v/>
      </c>
      <c r="X10" s="19" t="str">
        <f t="shared" si="9"/>
        <v/>
      </c>
      <c r="AG10" s="380"/>
      <c r="AH10" s="379" t="str">
        <f xml:space="preserve"> " " &amp; SUBSTITUTE( TRIM(AH3), TRIM(AH7), AH9 )</f>
        <v xml:space="preserve"> .</v>
      </c>
      <c r="AI10" s="379" t="str">
        <f t="shared" ref="AI10:AJ10" si="21" xml:space="preserve"> " " &amp; SUBSTITUTE( TRIM(AI3), TRIM(AI7), AI9 )</f>
        <v xml:space="preserve"> .</v>
      </c>
      <c r="AJ10" s="379" t="str">
        <f t="shared" si="21"/>
        <v xml:space="preserve"> .</v>
      </c>
      <c r="CH10" s="41" t="str">
        <f t="shared" si="17"/>
        <v>x_KM</v>
      </c>
      <c r="CI10" s="41" t="str">
        <f t="shared" si="18"/>
        <v xml:space="preserve"> − </v>
      </c>
      <c r="CJ10" s="108">
        <f t="shared" si="0"/>
        <v>70</v>
      </c>
      <c r="CK10" s="108">
        <f t="shared" si="1"/>
        <v>70</v>
      </c>
      <c r="CL10" s="21">
        <f t="shared" si="10"/>
        <v>70</v>
      </c>
      <c r="CM10" s="21" t="str">
        <f t="shared" si="11"/>
        <v>.</v>
      </c>
      <c r="CN10" s="21" t="str">
        <f t="shared" si="12"/>
        <v>.</v>
      </c>
      <c r="CP10" s="18" t="str">
        <f t="shared" si="13"/>
        <v>Frauen+Männer − λ_x: + 50,0 % − x_ω: 110 − r: 2,5 % − q_x: PKV 2017 − w_x: Sto BaFin N 2015 − K_x: Primo kompakt 2015 − x_KM: 70</v>
      </c>
      <c r="CQ10" s="18" t="str">
        <f t="shared" si="14"/>
        <v/>
      </c>
      <c r="CR10" s="18" t="str">
        <f t="shared" si="15"/>
        <v/>
      </c>
    </row>
    <row r="11" spans="1:118" s="17" customFormat="1" x14ac:dyDescent="0.2">
      <c r="A11" s="69" t="str">
        <f xml:space="preserve"> Delta</f>
        <v>Δ_js</v>
      </c>
      <c r="B11" s="59" t="s">
        <v>125</v>
      </c>
      <c r="D11" s="67" t="str">
        <f xml:space="preserve"> IF( ISERROR( 'i1'!$D11 ), LEER,  'i1'!$D11 )</f>
        <v>8,6 %</v>
      </c>
      <c r="E11" s="67" t="str">
        <f xml:space="preserve"> IF( ISERROR( 'i2'!$D11 ), LEER,  'i2'!$D11 )</f>
        <v>8,6 %</v>
      </c>
      <c r="F11" s="67" t="str">
        <f xml:space="preserve"> IF( ISERROR( 'i3'!$D11 ), LEER,  'i3'!$D11 )</f>
        <v>8,6 %</v>
      </c>
      <c r="G11" s="41" t="str">
        <f xml:space="preserve"> IF(     TRIM( INDEX( D11:F11, IF( D11&lt;&gt;LEER, 1, IF( E11&lt;&gt;LEER, 2, 3 ) ) ) ) = "",     LEER,      INDEX( D11:F11, IF( D11&lt;&gt;LEER, 1, IF( E11&lt;&gt;LEER, 2, 3 ) ) )             )</f>
        <v>8,6 %</v>
      </c>
      <c r="H11" s="68" t="str">
        <f xml:space="preserve"> IF(  COUNTIF( $D11:$F11, LEER  ) +  COUNTIF( $D11:$F11, G11  ) = 3, IF( TRIM(G11)="", LEER,  G11),   LEER  )</f>
        <v>8,6 %</v>
      </c>
      <c r="I11" s="21" t="str">
        <f xml:space="preserve"> IF(   H11&lt;&gt;LEER,     $A11  &amp;  IF( TRIM(A11)="", "", ": " )  &amp;  H11,    LEER     )</f>
        <v>Δ_js: 8,6 %</v>
      </c>
      <c r="J11" s="19" t="str">
        <f t="shared" si="2"/>
        <v>Frauen+Männer − λ_x: + 50,0 % − x_ω: 110 − r: 2,5 % − q_x: PKV 2017 − w_x: Sto BaFin N 2015 − K_x: Primo kompakt 2015 − x_KM: 70 − Δ_js: 8,6 %</v>
      </c>
      <c r="K11" s="19" t="str">
        <f t="shared" si="3"/>
        <v>Frauen+Männer − λ_x: + 50,0 % − x_ω: 110 − r: 2,5 % − q_x: PKV 2017 − w_x: Sto BaFin N 2015 − K_x: Primo kompakt 2015 − x_KM: 70 − Δ_js: 8,6 %</v>
      </c>
      <c r="L11" s="36"/>
      <c r="N11" s="21" t="str">
        <f t="shared" si="4"/>
        <v>.</v>
      </c>
      <c r="O11" s="21" t="str">
        <f t="shared" si="5"/>
        <v>.</v>
      </c>
      <c r="P11" s="21" t="str">
        <f t="shared" si="6"/>
        <v>.</v>
      </c>
      <c r="S11" s="18" t="str">
        <f t="shared" si="20"/>
        <v>.</v>
      </c>
      <c r="T11" s="18" t="str">
        <f t="shared" si="20"/>
        <v>.</v>
      </c>
      <c r="U11" s="18" t="str">
        <f t="shared" si="20"/>
        <v>.</v>
      </c>
      <c r="V11" s="19" t="str">
        <f t="shared" si="7"/>
        <v/>
      </c>
      <c r="W11" s="19" t="str">
        <f t="shared" si="8"/>
        <v/>
      </c>
      <c r="X11" s="19" t="str">
        <f t="shared" si="9"/>
        <v/>
      </c>
      <c r="Z11" s="73"/>
      <c r="AG11" s="73"/>
      <c r="AH11" s="73"/>
      <c r="AI11" s="73"/>
      <c r="AJ11" s="73"/>
      <c r="CH11" s="41" t="str">
        <f t="shared" si="17"/>
        <v>Δ_js</v>
      </c>
      <c r="CI11" s="41" t="str">
        <f t="shared" si="18"/>
        <v xml:space="preserve"> − </v>
      </c>
      <c r="CJ11" s="107" t="str">
        <f t="shared" si="0"/>
        <v>8,6 %</v>
      </c>
      <c r="CK11" s="107" t="str">
        <f t="shared" si="1"/>
        <v>8,6 %</v>
      </c>
      <c r="CL11" s="21" t="str">
        <f t="shared" si="10"/>
        <v>8,6 %</v>
      </c>
      <c r="CM11" s="21" t="str">
        <f t="shared" si="11"/>
        <v>.</v>
      </c>
      <c r="CN11" s="21" t="str">
        <f t="shared" si="12"/>
        <v>.</v>
      </c>
      <c r="CP11" s="18" t="str">
        <f t="shared" si="13"/>
        <v>Frauen+Männer − λ_x: + 50,0 % − x_ω: 110 − r: 2,5 % − q_x: PKV 2017 − w_x: Sto BaFin N 2015 − K_x: Primo kompakt 2015 − x_KM: 70 − Δ_js: 8,6 %</v>
      </c>
      <c r="CQ11" s="18" t="str">
        <f t="shared" si="14"/>
        <v/>
      </c>
      <c r="CR11" s="18" t="str">
        <f t="shared" si="15"/>
        <v/>
      </c>
    </row>
    <row r="12" spans="1:118" x14ac:dyDescent="0.2">
      <c r="A12" s="167"/>
      <c r="B12" s="59" t="s">
        <v>125</v>
      </c>
      <c r="C12" s="17"/>
      <c r="D12" s="67" t="str">
        <f xml:space="preserve"> IF( ISERROR( 'i1'!$D12 ), LEER,  'i1'!$D12 )</f>
        <v>Γ_js: 802 / 679 Euro</v>
      </c>
      <c r="E12" s="67" t="str">
        <f xml:space="preserve"> IF( ISERROR( 'i2'!$D12 ), LEER,  'i2'!$D12 )</f>
        <v>Γ_js: 802 / 679 Euro</v>
      </c>
      <c r="F12" s="67" t="str">
        <f xml:space="preserve"> IF( ISERROR( 'i3'!$D12 ), LEER,  'i3'!$D12 )</f>
        <v>Γ_js: 802 / 679 Euro</v>
      </c>
      <c r="G12" s="41" t="str">
        <f xml:space="preserve"> IF(     TRIM( INDEX( D12:F12, IF( D12&lt;&gt;LEER, 1, IF( E12&lt;&gt;LEER, 2, 3 ) ) ) ) = "",     LEER,      INDEX( D12:F12, IF( D12&lt;&gt;LEER, 1, IF( E12&lt;&gt;LEER, 2, 3 ) ) )             )</f>
        <v>Γ_js: 802 / 679 Euro</v>
      </c>
      <c r="H12" s="68" t="str">
        <f xml:space="preserve"> IF(  COUNTIF( $D12:$F12, LEER  ) +  COUNTIF( $D12:$F12, G12  ) = 3, IF( TRIM(G12)="", LEER,  G12),   LEER  )</f>
        <v>Γ_js: 802 / 679 Euro</v>
      </c>
      <c r="I12" s="21" t="str">
        <f xml:space="preserve"> IF(   H12&lt;&gt;LEER,     $A12  &amp;  IF( TRIM(A12)="", "", ": " )  &amp;  H12,    LEER     )</f>
        <v>Γ_js: 802 / 679 Euro</v>
      </c>
      <c r="J12" s="19" t="str">
        <f t="shared" si="2"/>
        <v>Frauen+Männer − λ_x: + 50,0 % − x_ω: 110 − r: 2,5 % − q_x: PKV 2017 − w_x: Sto BaFin N 2015 − K_x: Primo kompakt 2015 − x_KM: 70 − Δ_js: 8,6 % − Γ_js: 802 / 679 Euro</v>
      </c>
      <c r="K12" s="19" t="str">
        <f t="shared" si="3"/>
        <v>Frauen+Männer − λ_x: + 50,0 % − x_ω: 110 − r: 2,5 % − q_x: PKV 2017 − w_x: Sto BaFin N 2015 − K_x: Primo kompakt 2015 − x_KM: 70 − Δ_js: 8,6 % − Γ_js: 802 / 679 Euro</v>
      </c>
      <c r="L12" s="36"/>
      <c r="M12" s="17"/>
      <c r="N12" s="21" t="str">
        <f t="shared" si="4"/>
        <v>.</v>
      </c>
      <c r="O12" s="21" t="str">
        <f t="shared" si="5"/>
        <v>.</v>
      </c>
      <c r="P12" s="21" t="str">
        <f t="shared" si="6"/>
        <v>.</v>
      </c>
      <c r="Q12" s="17"/>
      <c r="R12" s="17"/>
      <c r="S12" s="18" t="str">
        <f t="shared" si="20"/>
        <v>.</v>
      </c>
      <c r="T12" s="18" t="str">
        <f t="shared" si="20"/>
        <v>.</v>
      </c>
      <c r="U12" s="18" t="str">
        <f t="shared" si="20"/>
        <v>.</v>
      </c>
      <c r="V12" s="19" t="str">
        <f t="shared" si="7"/>
        <v/>
      </c>
      <c r="W12" s="19" t="str">
        <f t="shared" si="8"/>
        <v/>
      </c>
      <c r="X12" s="19" t="str">
        <f t="shared" si="9"/>
        <v/>
      </c>
      <c r="Y12" s="17"/>
      <c r="Z12" s="73"/>
      <c r="AG12" s="73"/>
      <c r="CH12" s="41">
        <f t="shared" si="17"/>
        <v>0</v>
      </c>
      <c r="CI12" s="41" t="str">
        <f t="shared" si="18"/>
        <v xml:space="preserve"> − </v>
      </c>
      <c r="CJ12" s="107" t="str">
        <f t="shared" si="0"/>
        <v>Γ_js: 802 / 679 Euro</v>
      </c>
      <c r="CK12" s="107" t="str">
        <f t="shared" si="1"/>
        <v>Γ_js: 802 / 679 Euro</v>
      </c>
      <c r="CL12" s="21" t="str">
        <f t="shared" si="10"/>
        <v>Γ_js: 802 / 679 Euro</v>
      </c>
      <c r="CM12" s="21" t="str">
        <f t="shared" si="11"/>
        <v>.</v>
      </c>
      <c r="CN12" s="21" t="str">
        <f t="shared" si="12"/>
        <v>.</v>
      </c>
      <c r="CP12" s="18" t="str">
        <f t="shared" si="13"/>
        <v>Frauen+Männer − λ_x: + 50,0 % − x_ω: 110 − r: 2,5 % − q_x: PKV 2017 − w_x: Sto BaFin N 2015 − K_x: Primo kompakt 2015 − x_KM: 70 − Δ_js: 8,6 % − 0: Γ_js: 802 / 679 Euro</v>
      </c>
      <c r="CQ12" s="18" t="str">
        <f t="shared" si="14"/>
        <v/>
      </c>
      <c r="CR12" s="18" t="str">
        <f t="shared" si="15"/>
        <v/>
      </c>
      <c r="CX12" s="115">
        <v>20</v>
      </c>
      <c r="CY12" s="1">
        <f t="shared" ref="CY12:DN12" si="22" xml:space="preserve"> CX12 + 5</f>
        <v>25</v>
      </c>
      <c r="CZ12" s="1">
        <f t="shared" si="22"/>
        <v>30</v>
      </c>
      <c r="DA12" s="1">
        <f t="shared" si="22"/>
        <v>35</v>
      </c>
      <c r="DB12" s="1">
        <f t="shared" si="22"/>
        <v>40</v>
      </c>
      <c r="DC12" s="1">
        <f t="shared" si="22"/>
        <v>45</v>
      </c>
      <c r="DD12" s="1">
        <f t="shared" si="22"/>
        <v>50</v>
      </c>
      <c r="DE12" s="1">
        <f t="shared" si="22"/>
        <v>55</v>
      </c>
      <c r="DF12" s="1">
        <f t="shared" si="22"/>
        <v>60</v>
      </c>
      <c r="DG12" s="1">
        <f t="shared" si="22"/>
        <v>65</v>
      </c>
      <c r="DH12" s="1">
        <f t="shared" si="22"/>
        <v>70</v>
      </c>
      <c r="DI12" s="1">
        <f t="shared" si="22"/>
        <v>75</v>
      </c>
      <c r="DJ12" s="1">
        <f t="shared" si="22"/>
        <v>80</v>
      </c>
      <c r="DK12" s="1">
        <f t="shared" si="22"/>
        <v>85</v>
      </c>
      <c r="DL12" s="1">
        <f t="shared" si="22"/>
        <v>90</v>
      </c>
      <c r="DM12" s="1">
        <f t="shared" si="22"/>
        <v>95</v>
      </c>
      <c r="DN12" s="1">
        <f t="shared" si="22"/>
        <v>100</v>
      </c>
    </row>
    <row r="13" spans="1:118" x14ac:dyDescent="0.2">
      <c r="A13" s="69" t="str">
        <f xml:space="preserve"> alphaZx</f>
        <v>α^Z_x</v>
      </c>
      <c r="B13" s="59" t="s">
        <v>125</v>
      </c>
      <c r="D13" s="67" t="str">
        <f xml:space="preserve"> IF( ISERROR( 'i1'!$D13 ), LEER,  'i1'!$D13 )</f>
        <v>2 MB (ab 70 abzgl. 0,5 MB)</v>
      </c>
      <c r="E13" s="67" t="str">
        <f xml:space="preserve"> IF( ISERROR( 'i2'!$D13 ), LEER,  'i2'!$D13 )</f>
        <v>2 MB (ab 70 abzgl. 0,5 MB)</v>
      </c>
      <c r="F13" s="67" t="str">
        <f xml:space="preserve"> IF( ISERROR( 'i3'!$D13 ), LEER,  'i3'!$D13 )</f>
        <v>2 MB (ab 70 abzgl. 0,5 MB)</v>
      </c>
      <c r="G13" s="41" t="str">
        <f xml:space="preserve"> IF(     TRIM( INDEX( D13:F13, IF( D13&lt;&gt;LEER, 1, IF( E13&lt;&gt;LEER, 2, 3 ) ) ) ) = "",     LEER,      INDEX( D13:F13, IF( D13&lt;&gt;LEER, 1, IF( E13&lt;&gt;LEER, 2, 3 ) ) )             )</f>
        <v>2 MB (ab 70 abzgl. 0,5 MB)</v>
      </c>
      <c r="H13" s="68" t="str">
        <f xml:space="preserve"> IF(  COUNTIF( $D13:$F13, LEER  ) +  COUNTIF( $D13:$F13, G13  ) = 3, IF( TRIM(G13)="", LEER,  G13),   LEER  )</f>
        <v>2 MB (ab 70 abzgl. 0,5 MB)</v>
      </c>
      <c r="I13" s="21" t="str">
        <f xml:space="preserve"> IF(   H13&lt;&gt;LEER,     $A13  &amp;  IF( TRIM(A13)="", "", ": " )  &amp;  H13,    LEER     )</f>
        <v>α^Z_x: 2 MB (ab 70 abzgl. 0,5 MB)</v>
      </c>
      <c r="J13" s="19" t="str">
        <f t="shared" si="2"/>
        <v>Frauen+Männer − λ_x: + 50,0 % − x_ω: 110 − r: 2,5 % − q_x: PKV 2017 − w_x: Sto BaFin N 2015 − K_x: Primo kompakt 2015 − x_KM: 70 − Δ_js: 8,6 % − Γ_js: 802 / 679 Euro − α^Z_x: 2 MB (ab 70 abzgl. 0,5 MB)</v>
      </c>
      <c r="K13" s="19" t="str">
        <f t="shared" si="3"/>
        <v>Frauen+Männer − λ_x: + 50,0 % − x_ω: 110 − r: 2,5 % − q_x: PKV 2017 − w_x: Sto BaFin N 2015 − K_x: Primo kompakt 2015 − x_KM: 70 − Δ_js: 8,6 % − Γ_js: 802 / 679 Euro − α^Z_x: 2 MB (ab 70 abzgl. 0,5 MB)</v>
      </c>
      <c r="L13" s="36"/>
      <c r="M13" s="17"/>
      <c r="N13" s="21" t="str">
        <f t="shared" si="4"/>
        <v>.</v>
      </c>
      <c r="O13" s="21" t="str">
        <f t="shared" si="5"/>
        <v>.</v>
      </c>
      <c r="P13" s="21" t="str">
        <f t="shared" si="6"/>
        <v>.</v>
      </c>
      <c r="Q13" s="17"/>
      <c r="S13" s="18" t="str">
        <f t="shared" si="20"/>
        <v>.</v>
      </c>
      <c r="T13" s="18" t="str">
        <f t="shared" si="20"/>
        <v>.</v>
      </c>
      <c r="U13" s="18" t="str">
        <f t="shared" si="20"/>
        <v>.</v>
      </c>
      <c r="V13" s="19" t="str">
        <f t="shared" si="7"/>
        <v/>
      </c>
      <c r="W13" s="19" t="str">
        <f t="shared" si="8"/>
        <v/>
      </c>
      <c r="X13" s="19" t="str">
        <f t="shared" si="9"/>
        <v/>
      </c>
      <c r="Y13" s="17"/>
      <c r="Z13" s="73"/>
      <c r="AG13" s="73"/>
      <c r="AO13" s="39" t="str">
        <f xml:space="preserve">    IF( 'i1'!$AN11=LEER,  #N/A,  'i1'!$AN11  )</f>
        <v>x_0</v>
      </c>
      <c r="AP13" s="39" t="str">
        <f xml:space="preserve">    IF( 'i2'!$AN11=LEER,  #N/A,  'i2'!$AN11  )</f>
        <v>x_0</v>
      </c>
      <c r="AQ13" s="39" t="str">
        <f xml:space="preserve">    IF( 'i3'!$AN11=LEER,  #N/A,  'i3'!$AN11  )</f>
        <v>x_0</v>
      </c>
      <c r="AR13" s="17"/>
      <c r="AS13" s="39" t="str">
        <f xml:space="preserve">    IF( 'i1'!$AO11=LEER,  #N/A,  'i1'!$AO11  )</f>
        <v>x_0</v>
      </c>
      <c r="AT13" s="39" t="str">
        <f xml:space="preserve">    IF( 'i2'!$AO11=LEER,  #N/A,  'i2'!$AO11  )</f>
        <v>x_0</v>
      </c>
      <c r="AU13" s="39" t="str">
        <f xml:space="preserve">    IF( 'i3'!$AO11=LEER,  #N/A,  'i3'!$AO11  )</f>
        <v>x_0</v>
      </c>
      <c r="AV13" s="17"/>
      <c r="AW13" s="109">
        <f xml:space="preserve"> klv_x_xplusm_Rd</f>
        <v>4</v>
      </c>
      <c r="AX13" s="109">
        <f xml:space="preserve"> klv_x_xplusm_Rd</f>
        <v>4</v>
      </c>
      <c r="AY13" s="109">
        <f xml:space="preserve"> klv_x_xplusm_Rd</f>
        <v>4</v>
      </c>
      <c r="AZ13" s="17"/>
      <c r="BA13" s="109">
        <f xml:space="preserve"> klvZ_x_xplusm_Rd</f>
        <v>4</v>
      </c>
      <c r="BB13" s="109">
        <f xml:space="preserve"> klvZ_x_xplusm_Rd</f>
        <v>4</v>
      </c>
      <c r="BC13" s="109">
        <f xml:space="preserve"> klvZ_x_xplusm_Rd</f>
        <v>4</v>
      </c>
      <c r="BD13" s="17"/>
      <c r="BE13" s="17"/>
      <c r="BF13" s="17"/>
      <c r="BG13" s="24" t="str">
        <f xml:space="preserve">    IF( 'i1'!BT11=LEER,  #N/A,  'i1'!BT11  )</f>
        <v>x_0</v>
      </c>
      <c r="BH13" s="17"/>
      <c r="BI13" s="17"/>
      <c r="BJ13" s="17"/>
      <c r="BK13" s="17"/>
      <c r="BL13" s="24" t="str">
        <f xml:space="preserve">    IF( 'i1'!CB11=LEER,  #N/A,  'i1'!CB11  )</f>
        <v>x_0</v>
      </c>
      <c r="BM13" s="17"/>
      <c r="BN13" s="17"/>
      <c r="BO13" s="17"/>
      <c r="BQ13" s="24" t="str">
        <f xml:space="preserve">    IF( 'i1'!CI11=LEER,  #N/A,  'i1'!CI11  )</f>
        <v>x_0</v>
      </c>
      <c r="BR13" s="17"/>
      <c r="BS13" s="17"/>
      <c r="BT13" s="17"/>
      <c r="BU13" s="17"/>
      <c r="BV13" s="24" t="str">
        <f xml:space="preserve">    IF( 'i1'!CO11=LEER,  #N/A,  'i1'!CO11  )</f>
        <v>x_0</v>
      </c>
      <c r="BW13" s="17"/>
      <c r="BX13" s="17"/>
      <c r="BY13" s="17"/>
      <c r="BZ13" s="17"/>
      <c r="CA13" s="17"/>
      <c r="CB13" s="17"/>
      <c r="CC13" s="17"/>
      <c r="CD13" s="110" t="str">
        <f xml:space="preserve"> 'i1'!EO11</f>
        <v>x+m</v>
      </c>
      <c r="CH13" s="41" t="str">
        <f t="shared" si="17"/>
        <v>α^Z_x</v>
      </c>
      <c r="CI13" s="41" t="str">
        <f t="shared" si="18"/>
        <v xml:space="preserve"> − </v>
      </c>
      <c r="CJ13" s="107" t="str">
        <f t="shared" si="0"/>
        <v>2 MB (ab 70 abzgl. 0,5 MB)</v>
      </c>
      <c r="CK13" s="107" t="str">
        <f t="shared" si="1"/>
        <v>2 MB (ab 70 abzgl. 0,5 MB)</v>
      </c>
      <c r="CL13" s="21" t="str">
        <f t="shared" si="10"/>
        <v>2 MB (ab 70 abzgl. 0,5 MB)</v>
      </c>
      <c r="CM13" s="21" t="str">
        <f t="shared" si="11"/>
        <v>.</v>
      </c>
      <c r="CN13" s="21" t="str">
        <f t="shared" si="12"/>
        <v>.</v>
      </c>
      <c r="CP13" s="18" t="str">
        <f t="shared" si="13"/>
        <v>Frauen+Männer − λ_x: + 50,0 % − x_ω: 110 − r: 2,5 % − q_x: PKV 2017 − w_x: Sto BaFin N 2015 − K_x: Primo kompakt 2015 − x_KM: 70 − Δ_js: 8,6 % − 0: Γ_js: 802 / 679 Euro − α^Z_x: 2 MB (ab 70 abzgl. 0,5 MB)</v>
      </c>
      <c r="CQ13" s="18" t="str">
        <f t="shared" si="14"/>
        <v/>
      </c>
      <c r="CR13" s="18" t="str">
        <f t="shared" si="15"/>
        <v/>
      </c>
      <c r="CX13" s="105">
        <f xml:space="preserve"> MATCH( CX12, 'i1'!$FS$18:$JO$18, 0 )</f>
        <v>1</v>
      </c>
      <c r="CY13" s="105">
        <f xml:space="preserve"> MATCH( CY12, 'i1'!$FS$18:$JO$18, 0 )</f>
        <v>6</v>
      </c>
      <c r="CZ13" s="105">
        <f xml:space="preserve"> MATCH( CZ12, 'i1'!$FS$18:$JO$18, 0 )</f>
        <v>11</v>
      </c>
      <c r="DA13" s="105">
        <f xml:space="preserve"> MATCH( DA12, 'i1'!$FS$18:$JO$18, 0 )</f>
        <v>16</v>
      </c>
      <c r="DB13" s="105">
        <f xml:space="preserve"> MATCH( DB12, 'i1'!$FS$18:$JO$18, 0 )</f>
        <v>21</v>
      </c>
      <c r="DC13" s="105">
        <f xml:space="preserve"> MATCH( DC12, 'i1'!$FS$18:$JO$18, 0 )</f>
        <v>26</v>
      </c>
      <c r="DD13" s="105">
        <f xml:space="preserve"> MATCH( DD12, 'i1'!$FS$18:$JO$18, 0 )</f>
        <v>31</v>
      </c>
      <c r="DE13" s="105">
        <f xml:space="preserve"> MATCH( DE12, 'i1'!$FS$18:$JO$18, 0 )</f>
        <v>36</v>
      </c>
      <c r="DF13" s="105">
        <f xml:space="preserve"> MATCH( DF12, 'i1'!$FS$18:$JO$18, 0 )</f>
        <v>41</v>
      </c>
      <c r="DG13" s="105">
        <f xml:space="preserve"> MATCH( DG12, 'i1'!$FS$18:$JO$18, 0 )</f>
        <v>46</v>
      </c>
      <c r="DH13" s="105">
        <f xml:space="preserve"> MATCH( DH12, 'i1'!$FS$18:$JO$18, 0 )</f>
        <v>51</v>
      </c>
      <c r="DI13" s="105">
        <f xml:space="preserve"> MATCH( DI12, 'i1'!$FS$18:$JO$18, 0 )</f>
        <v>56</v>
      </c>
      <c r="DJ13" s="105">
        <f xml:space="preserve"> MATCH( DJ12, 'i1'!$FS$18:$JO$18, 0 )</f>
        <v>61</v>
      </c>
      <c r="DK13" s="105">
        <f xml:space="preserve"> MATCH( DK12, 'i1'!$FS$18:$JO$18, 0 )</f>
        <v>66</v>
      </c>
      <c r="DL13" s="105">
        <f xml:space="preserve"> MATCH( DL12, 'i1'!$FS$18:$JO$18, 0 )</f>
        <v>71</v>
      </c>
      <c r="DM13" s="105">
        <f xml:space="preserve"> MATCH( DM12, 'i1'!$FS$18:$JO$18, 0 )</f>
        <v>76</v>
      </c>
      <c r="DN13" s="105">
        <f xml:space="preserve"> MATCH( DN12, 'i1'!$FS$18:$JO$18, 0 )</f>
        <v>81</v>
      </c>
    </row>
    <row r="14" spans="1:118" x14ac:dyDescent="0.2">
      <c r="A14" s="17"/>
      <c r="B14" s="17"/>
      <c r="C14" s="17"/>
      <c r="D14" s="84"/>
      <c r="E14" s="84"/>
      <c r="F14" s="84"/>
      <c r="G14" s="84"/>
      <c r="H14" s="84"/>
      <c r="I14" s="84"/>
      <c r="J14" s="20" t="str">
        <f xml:space="preserve"> TRIM( J13 )</f>
        <v>Frauen+Männer − λ_x: + 50,0 % − x_ω: 110 − r: 2,5 % − q_x: PKV 2017 − w_x: Sto BaFin N 2015 − K_x: Primo kompakt 2015 − x_KM: 70 − Δ_js: 8,6 % − Γ_js: 802 / 679 Euro − α^Z_x: 2 MB (ab 70 abzgl. 0,5 MB)</v>
      </c>
      <c r="K14" s="20" t="str">
        <f xml:space="preserve"> TRIM( K13 )</f>
        <v>Frauen+Männer − λ_x: + 50,0 % − x_ω: 110 − r: 2,5 % − q_x: PKV 2017 − w_x: Sto BaFin N 2015 − K_x: Primo kompakt 2015 − x_KM: 70 − Δ_js: 8,6 % − Γ_js: 802 / 679 Euro − α^Z_x: 2 MB (ab 70 abzgl. 0,5 MB)</v>
      </c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20" t="str">
        <f xml:space="preserve"> " " &amp; IF( TRIM( V13 )="", LEER, TRIM( V13 )  )</f>
        <v xml:space="preserve"> .</v>
      </c>
      <c r="W14" s="20" t="str">
        <f xml:space="preserve"> " " &amp; IF( TRIM( W13 )="", LEER, TRIM( W13 )  )</f>
        <v xml:space="preserve"> .</v>
      </c>
      <c r="X14" s="20" t="str">
        <f xml:space="preserve"> " " &amp; IF( TRIM( X13 )="", LEER, TRIM( X13 )  )</f>
        <v xml:space="preserve"> .</v>
      </c>
      <c r="Y14" s="17"/>
      <c r="Z14" s="73"/>
      <c r="AG14" s="73"/>
      <c r="AH14" s="73"/>
      <c r="AI14" s="73"/>
      <c r="AJ14" s="73"/>
      <c r="AO14" s="39">
        <f xml:space="preserve">    IF( 'i1'!$AN12=LEER,  #N/A,  'i1'!$AN12  )</f>
        <v>35</v>
      </c>
      <c r="AP14" s="39">
        <f xml:space="preserve">    IF( 'i2'!$AN12=LEER,  #N/A,  'i2'!$AN12  )</f>
        <v>35</v>
      </c>
      <c r="AQ14" s="39">
        <f xml:space="preserve">    IF( 'i3'!$AN12=LEER,  #N/A,  'i3'!$AN12  )</f>
        <v>35</v>
      </c>
      <c r="AS14" s="39">
        <f xml:space="preserve">    IF( 'i1'!$AO12=LEER,  #N/A,  'i1'!$AO12  )</f>
        <v>35</v>
      </c>
      <c r="AT14" s="39">
        <f xml:space="preserve">    IF( 'i2'!$AO12=LEER,  #N/A,  'i2'!$AO12  )</f>
        <v>35</v>
      </c>
      <c r="AU14" s="39">
        <f xml:space="preserve">    IF( 'i3'!$AO12=LEER,  #N/A,  'i3'!$AO12  )</f>
        <v>35</v>
      </c>
      <c r="BG14" s="24">
        <f xml:space="preserve">    IF( 'i1'!BT12=LEER,  #N/A,  'i1'!BT12  )</f>
        <v>35</v>
      </c>
      <c r="BL14" s="24">
        <f xml:space="preserve">    IF( 'i1'!CB12=LEER,  #N/A,  'i1'!CB12  )</f>
        <v>35</v>
      </c>
      <c r="BM14" s="17"/>
      <c r="BN14" s="17"/>
      <c r="BO14" s="17"/>
      <c r="BQ14" s="24">
        <f xml:space="preserve">    IF( 'i1'!CI12=LEER,  #N/A,  'i1'!CI12  )</f>
        <v>35</v>
      </c>
      <c r="BR14" s="17"/>
      <c r="BS14" s="17"/>
      <c r="BT14" s="17"/>
      <c r="BV14" s="24">
        <f xml:space="preserve">    IF( 'i1'!CO12=LEER,  #N/A,  'i1'!CO12  )</f>
        <v>35</v>
      </c>
      <c r="CD14" s="110">
        <f xml:space="preserve"> 'i1'!EO12</f>
        <v>50</v>
      </c>
      <c r="CH14" s="36"/>
      <c r="CI14" s="36"/>
      <c r="CP14" s="92" t="str">
        <f xml:space="preserve"> IF( TRIM(CP13) &lt;&gt;"", TRIM( CP13 ), "" )</f>
        <v>Frauen+Männer − λ_x: + 50,0 % − x_ω: 110 − r: 2,5 % − q_x: PKV 2017 − w_x: Sto BaFin N 2015 − K_x: Primo kompakt 2015 − x_KM: 70 − Δ_js: 8,6 % − 0: Γ_js: 802 / 679 Euro − α^Z_x: 2 MB (ab 70 abzgl. 0,5 MB)</v>
      </c>
      <c r="CQ14" s="40" t="str">
        <f xml:space="preserve"> IF( TRIM(CQ13) &lt;&gt;"", CM1 &amp; ": " &amp; TRIM( CQ13 ), "" )</f>
        <v/>
      </c>
      <c r="CR14" s="40" t="str">
        <f xml:space="preserve"> IF( TRIM(CR13) &lt;&gt;"", CN1 &amp; ": " &amp; TRIM( CR13 ), "" )</f>
        <v/>
      </c>
    </row>
    <row r="15" spans="1:118" x14ac:dyDescent="0.2">
      <c r="J15" s="1"/>
      <c r="K15" s="1"/>
      <c r="L15" s="1"/>
      <c r="M15" s="1"/>
      <c r="N15" s="1"/>
      <c r="O15" s="1"/>
      <c r="Z15" s="74"/>
      <c r="AH15" s="30">
        <f xml:space="preserve"> GrBTildeZx_Rd</f>
        <v>2</v>
      </c>
      <c r="AI15" s="30">
        <f xml:space="preserve"> GrBTildeZx_Rd</f>
        <v>2</v>
      </c>
      <c r="AJ15" s="30">
        <f xml:space="preserve"> GrBTildeZx_Rd</f>
        <v>2</v>
      </c>
      <c r="AL15" s="30">
        <f xml:space="preserve"> GrBTildeZx_Rd</f>
        <v>2</v>
      </c>
      <c r="AO15" s="40" t="e">
        <f xml:space="preserve"> IF( $AU$3=LEER, " | " &amp; AO13 &amp; ": " &amp; AO14, #N/A )</f>
        <v>#N/A</v>
      </c>
      <c r="AP15" s="40" t="e">
        <f xml:space="preserve"> IF( $AU$3=LEER, " | " &amp; AP13 &amp; ": " &amp; AP14, #N/A )</f>
        <v>#N/A</v>
      </c>
      <c r="AQ15" s="40" t="e">
        <f xml:space="preserve"> IF( $AU$3=LEER, " | " &amp; AQ13 &amp; ": " &amp; AQ14, #N/A )</f>
        <v>#N/A</v>
      </c>
      <c r="AS15" s="40" t="e">
        <f xml:space="preserve"> IF( $AU$3=LEER, " | " &amp; AS13 &amp; ": " &amp; AS14, #N/A )</f>
        <v>#N/A</v>
      </c>
      <c r="AT15" s="40" t="e">
        <f xml:space="preserve"> IF( $AU$3=LEER, " | " &amp; AT13 &amp; ": " &amp; AT14, #N/A )</f>
        <v>#N/A</v>
      </c>
      <c r="AU15" s="40" t="e">
        <f xml:space="preserve"> IF( $AU$3=LEER, " | " &amp; AU13 &amp; ": " &amp; AU14, #N/A )</f>
        <v>#N/A</v>
      </c>
      <c r="BG15" s="40" t="str">
        <f xml:space="preserve"> BG13 &amp; ": " &amp; BG14</f>
        <v>x_0: 35</v>
      </c>
      <c r="BL15" s="40" t="str">
        <f xml:space="preserve"> BL13 &amp; ": " &amp; BL14</f>
        <v>x_0: 35</v>
      </c>
      <c r="BQ15" s="40" t="str">
        <f xml:space="preserve"> BQ13 &amp; ": " &amp; BQ14</f>
        <v>x_0: 35</v>
      </c>
      <c r="BV15" s="40" t="str">
        <f xml:space="preserve"> BV13 &amp; ": " &amp; BV14</f>
        <v>x_0: 35</v>
      </c>
      <c r="CD15" s="91" t="str">
        <f xml:space="preserve"> IF( CQ14="", i1_ &amp; " = " &amp; i2_,  CQ14 &amp; "
" &amp; CR14) &amp; "
" &amp; CD9</f>
        <v>i1 = i2
α^Z(i2;i1): 3 MB</v>
      </c>
      <c r="CH15" s="36"/>
      <c r="CI15" s="36"/>
    </row>
    <row r="16" spans="1:118" x14ac:dyDescent="0.2">
      <c r="A16" s="69" t="e">
        <f xml:space="preserve"> IF(  Auswahl_KostensatzDynam,  DeltaTilde,  GrGamma  )</f>
        <v>#NAME?</v>
      </c>
      <c r="G16" s="2" t="s">
        <v>47</v>
      </c>
      <c r="K16" s="2" t="s">
        <v>177</v>
      </c>
      <c r="Q16" s="2" t="s">
        <v>48</v>
      </c>
      <c r="U16" s="2" t="s">
        <v>122</v>
      </c>
      <c r="Z16" s="2" t="s">
        <v>35</v>
      </c>
      <c r="AD16" s="2" t="s">
        <v>22</v>
      </c>
      <c r="AF16" s="1"/>
      <c r="AG16" s="1"/>
      <c r="AH16" s="2" t="str">
        <f xml:space="preserve"> "Monatsbeiträge" &amp; IF( AND(AH2:AJ2), " (monotonisiert)", "" )</f>
        <v>Monatsbeiträge (monotonisiert)</v>
      </c>
      <c r="AI16" s="1"/>
      <c r="AJ16" s="1"/>
      <c r="AO16" s="2" t="s">
        <v>63</v>
      </c>
      <c r="AS16" s="2" t="s">
        <v>149</v>
      </c>
      <c r="AV16" s="2"/>
      <c r="AW16" s="2" t="s">
        <v>142</v>
      </c>
      <c r="BA16" s="2" t="s">
        <v>132</v>
      </c>
      <c r="BG16" s="2" t="s">
        <v>124</v>
      </c>
      <c r="BL16" s="2" t="s">
        <v>70</v>
      </c>
      <c r="BQ16" s="2" t="s">
        <v>64</v>
      </c>
      <c r="BV16" s="2" t="s">
        <v>161</v>
      </c>
      <c r="CD16" s="1" t="str">
        <f xml:space="preserve"> "Tarifänderung " &amp; 'i1'!$DS$2 &amp; ": Alterungsrückstellung"</f>
        <v>Tarifänderung i2 → _35/50 i1: Alterungsrückstellung</v>
      </c>
      <c r="CV16" s="2"/>
      <c r="CX16" s="2" t="str">
        <f xml:space="preserve"> AS16</f>
        <v>gezillmerte Alterungsrückstellung</v>
      </c>
    </row>
    <row r="17" spans="1:118" x14ac:dyDescent="0.2">
      <c r="G17" s="1" t="str">
        <f xml:space="preserve"> TRIM( G16 &amp; "
" &amp; $J$14 )</f>
        <v>Ausscheideordnung
Frauen+Männer − λ_x: + 50,0 % − x_ω: 110 − r: 2,5 % − q_x: PKV 2017 − w_x: Sto BaFin N 2015 − K_x: Primo kompakt 2015 − x_KM: 70 − Δ_js: 8,6 % − Γ_js: 802 / 679 Euro − α^Z_x: 2 MB (ab 70 abzgl. 0,5 MB)</v>
      </c>
      <c r="K17" s="1" t="str">
        <f xml:space="preserve"> TRIM( K16 &amp; "
" &amp; $J$14 )</f>
        <v>Stornowahrscheinlichkeiten
Frauen+Männer − λ_x: + 50,0 % − x_ω: 110 − r: 2,5 % − q_x: PKV 2017 − w_x: Sto BaFin N 2015 − K_x: Primo kompakt 2015 − x_KM: 70 − Δ_js: 8,6 % − Γ_js: 802 / 679 Euro − α^Z_x: 2 MB (ab 70 abzgl. 0,5 MB)</v>
      </c>
      <c r="Q17" s="1" t="str">
        <f xml:space="preserve"> TRIM( Q16 &amp; "
" &amp; $J$14 )</f>
        <v>restliche Vertragsdauer
Frauen+Männer − λ_x: + 50,0 % − x_ω: 110 − r: 2,5 % − q_x: PKV 2017 − w_x: Sto BaFin N 2015 − K_x: Primo kompakt 2015 − x_KM: 70 − Δ_js: 8,6 % − Γ_js: 802 / 679 Euro − α^Z_x: 2 MB (ab 70 abzgl. 0,5 MB)</v>
      </c>
      <c r="U17" s="1" t="str">
        <f xml:space="preserve"> TRIM( U16 &amp; "
" &amp; $J$14 )</f>
        <v>Rechnungsmäßig-Lebende
Frauen+Männer − λ_x: + 50,0 % − x_ω: 110 − r: 2,5 % − q_x: PKV 2017 − w_x: Sto BaFin N 2015 − K_x: Primo kompakt 2015 − x_KM: 70 − Δ_js: 8,6 % − Γ_js: 802 / 679 Euro − α^Z_x: 2 MB (ab 70 abzgl. 0,5 MB)</v>
      </c>
      <c r="Z17" s="1" t="str">
        <f xml:space="preserve"> TRIM( Z16 &amp; "
" &amp; $J$14 )</f>
        <v>normierte Kopfschäden
Frauen+Männer − λ_x: + 50,0 % − x_ω: 110 − r: 2,5 % − q_x: PKV 2017 − w_x: Sto BaFin N 2015 − K_x: Primo kompakt 2015 − x_KM: 70 − Δ_js: 8,6 % − Γ_js: 802 / 679 Euro − α^Z_x: 2 MB (ab 70 abzgl. 0,5 MB)</v>
      </c>
      <c r="AD17" s="1" t="str">
        <f xml:space="preserve"> TRIM( AD16 &amp; "
" &amp; $J$14 )</f>
        <v>Kopfschäden
Frauen+Männer − λ_x: + 50,0 % − x_ω: 110 − r: 2,5 % − q_x: PKV 2017 − w_x: Sto BaFin N 2015 − K_x: Primo kompakt 2015 − x_KM: 70 − Δ_js: 8,6 % − Γ_js: 802 / 679 Euro − α^Z_x: 2 MB (ab 70 abzgl. 0,5 MB)</v>
      </c>
      <c r="AF17" s="1"/>
      <c r="AG17" s="1"/>
      <c r="AH17" s="1" t="str">
        <f xml:space="preserve"> TRIM( AH16 &amp; "
" &amp; $J$14 )</f>
        <v>Monatsbeiträge (monotonisiert)
Frauen+Männer − λ_x: + 50,0 % − x_ω: 110 − r: 2,5 % − q_x: PKV 2017 − w_x: Sto BaFin N 2015 − K_x: Primo kompakt 2015 − x_KM: 70 − Δ_js: 8,6 % − Γ_js: 802 / 679 Euro − α^Z_x: 2 MB (ab 70 abzgl. 0,5 MB)</v>
      </c>
      <c r="AI17" s="1"/>
      <c r="AJ17" s="1"/>
      <c r="AO17" s="1" t="str">
        <f xml:space="preserve"> TRIM( AO16 &amp; "
" &amp; $AV$3 )</f>
        <v>ungezillmerte Alterungsrückstellung
Frauen+Männer − λ_x: + 50,0 % − x_ω: 110 − r: 2,5 % − q_x: PKV 2017 − w_x: Sto BaFin N 2015 − K_x: Primo kompakt 2015 − x_KM: 70 − Δ_js: 8,6 % − Γ_js: 802 / 679 Euro − α^Z_x: 2 MB (ab 70 abzgl. 0,5 MB) | x_0: 35</v>
      </c>
      <c r="AS17" s="1" t="str">
        <f xml:space="preserve"> TRIM( AS16 &amp; "
" &amp; $AV$3 )</f>
        <v>gezillmerte Alterungsrückstellung
Frauen+Männer − λ_x: + 50,0 % − x_ω: 110 − r: 2,5 % − q_x: PKV 2017 − w_x: Sto BaFin N 2015 − K_x: Primo kompakt 2015 − x_KM: 70 − Δ_js: 8,6 % − Γ_js: 802 / 679 Euro − α^Z_x: 2 MB (ab 70 abzgl. 0,5 MB) | x_0: 35</v>
      </c>
      <c r="AW17" s="1" t="str">
        <f xml:space="preserve"> TRIM( AW16 &amp; "
" &amp; $AV$3 )</f>
        <v>normierte ungezillmerte Alterungsrückstellung
Frauen+Männer − λ_x: + 50,0 % − x_ω: 110 − r: 2,5 % − q_x: PKV 2017 − w_x: Sto BaFin N 2015 − K_x: Primo kompakt 2015 − x_KM: 70 − Δ_js: 8,6 % − Γ_js: 802 / 679 Euro − α^Z_x: 2 MB (ab 70 abzgl. 0,5 MB) | x_0: 35</v>
      </c>
      <c r="BA17" s="1" t="str">
        <f xml:space="preserve"> TRIM( BA16 &amp; "
" &amp; $AV$3 )</f>
        <v>normierte gez. Alterungsrückstellung
Frauen+Männer − λ_x: + 50,0 % − x_ω: 110 − r: 2,5 % − q_x: PKV 2017 − w_x: Sto BaFin N 2015 − K_x: Primo kompakt 2015 − x_KM: 70 − Δ_js: 8,6 % − Γ_js: 802 / 679 Euro − α^Z_x: 2 MB (ab 70 abzgl. 0,5 MB) | x_0: 35</v>
      </c>
      <c r="BG17" s="35" t="str">
        <f xml:space="preserve"> TRIM( BG16 &amp;"
" &amp; $K$14 &amp; " | " &amp; BG15 )</f>
        <v>ungezillmerte Alterungsrückstellung: Fortschreibung
Frauen+Männer − λ_x: + 50,0 % − x_ω: 110 − r: 2,5 % − q_x: PKV 2017 − w_x: Sto BaFin N 2015 − K_x: Primo kompakt 2015 − x_KM: 70 − Δ_js: 8,6 % − Γ_js: 802 / 679 Euro − α^Z_x: 2 MB (ab 70 abzgl. 0,5 MB) | x_0: 35</v>
      </c>
      <c r="BL17" s="35" t="str">
        <f xml:space="preserve"> TRIM( BL16 &amp;"
" &amp; $K$14 &amp; " | " &amp; BL15 )</f>
        <v>ungezillmerte Alterungsrückstellung: Zuführung
Frauen+Männer − λ_x: + 50,0 % − x_ω: 110 − r: 2,5 % − q_x: PKV 2017 − w_x: Sto BaFin N 2015 − K_x: Primo kompakt 2015 − x_KM: 70 − Δ_js: 8,6 % − Γ_js: 802 / 679 Euro − α^Z_x: 2 MB (ab 70 abzgl. 0,5 MB) | x_0: 35</v>
      </c>
      <c r="BQ17" s="35" t="str">
        <f xml:space="preserve"> TRIM( BQ16 &amp;"
" &amp; $K$14 &amp; " | " &amp; BQ15 )</f>
        <v>Nettoprämie: Aufteilung
Frauen+Männer − λ_x: + 50,0 % − x_ω: 110 − r: 2,5 % − q_x: PKV 2017 − w_x: Sto BaFin N 2015 − K_x: Primo kompakt 2015 − x_KM: 70 − Δ_js: 8,6 % − Γ_js: 802 / 679 Euro − α^Z_x: 2 MB (ab 70 abzgl. 0,5 MB) | x_0: 35</v>
      </c>
      <c r="BV17" s="35" t="str">
        <f xml:space="preserve"> TRIM( BV16 &amp;"
" &amp; $K$14 &amp; " | " &amp; BV15 )</f>
        <v>Gezillmerte Nettoprämie: Aufteilung
Frauen+Männer − λ_x: + 50,0 % − x_ω: 110 − r: 2,5 % − q_x: PKV 2017 − w_x: Sto BaFin N 2015 − K_x: Primo kompakt 2015 − x_KM: 70 − Δ_js: 8,6 % − Γ_js: 802 / 679 Euro − α^Z_x: 2 MB (ab 70 abzgl. 0,5 MB) | x_0: 35</v>
      </c>
      <c r="CD17" s="35" t="str">
        <f xml:space="preserve"> TRIM( CD16 &amp;"
" &amp;CP14 )</f>
        <v>Tarifänderung i2 → _35/50 i1: Alterungsrückstellung
Frauen+Männer − λ_x: + 50,0 % − x_ω: 110 − r: 2,5 % − q_x: PKV 2017 − w_x: Sto BaFin N 2015 − K_x: Primo kompakt 2015 − x_KM: 70 − Δ_js: 8,6 % − 0: Γ_js: 802 / 679 Euro − α^Z_x: 2 MB (ab 70 abzgl. 0,5 MB)</v>
      </c>
      <c r="CX17" s="35" t="str">
        <f xml:space="preserve"> TRIM( CX16 &amp; "
" &amp; $K$14 )</f>
        <v>gezillmerte Alterungsrückstellung
Frauen+Männer − λ_x: + 50,0 % − x_ω: 110 − r: 2,5 % − q_x: PKV 2017 − w_x: Sto BaFin N 2015 − K_x: Primo kompakt 2015 − x_KM: 70 − Δ_js: 8,6 % − Γ_js: 802 / 679 Euro − α^Z_x: 2 MB (ab 70 abzgl. 0,5 MB)</v>
      </c>
    </row>
    <row r="18" spans="1:118" x14ac:dyDescent="0.2">
      <c r="G18" s="16" t="str">
        <f xml:space="preserve"> $V14</f>
        <v xml:space="preserve"> .</v>
      </c>
      <c r="H18" s="16" t="str">
        <f xml:space="preserve"> $W14</f>
        <v xml:space="preserve"> .</v>
      </c>
      <c r="I18" s="16" t="str">
        <f xml:space="preserve"> $X14</f>
        <v xml:space="preserve"> .</v>
      </c>
      <c r="K18" s="16" t="str">
        <f xml:space="preserve"> $V14</f>
        <v xml:space="preserve"> .</v>
      </c>
      <c r="L18" s="16" t="str">
        <f xml:space="preserve"> $W14</f>
        <v xml:space="preserve"> .</v>
      </c>
      <c r="M18" s="16" t="str">
        <f xml:space="preserve"> $X14</f>
        <v xml:space="preserve"> .</v>
      </c>
      <c r="Q18" s="16" t="str">
        <f xml:space="preserve"> $V14</f>
        <v xml:space="preserve"> .</v>
      </c>
      <c r="R18" s="16" t="str">
        <f xml:space="preserve"> $W14</f>
        <v xml:space="preserve"> .</v>
      </c>
      <c r="S18" s="16" t="str">
        <f xml:space="preserve"> $X14</f>
        <v xml:space="preserve"> .</v>
      </c>
      <c r="U18" s="16" t="str">
        <f xml:space="preserve"> $V14</f>
        <v xml:space="preserve"> .</v>
      </c>
      <c r="V18" s="16" t="str">
        <f xml:space="preserve"> $W14</f>
        <v xml:space="preserve"> .</v>
      </c>
      <c r="W18" s="16" t="str">
        <f xml:space="preserve"> $X14</f>
        <v xml:space="preserve"> .</v>
      </c>
      <c r="Z18" s="16" t="str">
        <f xml:space="preserve"> $V14</f>
        <v xml:space="preserve"> .</v>
      </c>
      <c r="AA18" s="16" t="str">
        <f xml:space="preserve"> $W14</f>
        <v xml:space="preserve"> .</v>
      </c>
      <c r="AB18" s="16" t="str">
        <f xml:space="preserve"> $X14</f>
        <v xml:space="preserve"> .</v>
      </c>
      <c r="AD18" s="16" t="str">
        <f xml:space="preserve"> $V14</f>
        <v xml:space="preserve"> .</v>
      </c>
      <c r="AE18" s="16" t="str">
        <f xml:space="preserve"> $W14</f>
        <v xml:space="preserve"> .</v>
      </c>
      <c r="AF18" s="16" t="str">
        <f xml:space="preserve"> $X14</f>
        <v xml:space="preserve"> .</v>
      </c>
      <c r="AG18" s="1"/>
      <c r="AH18" s="45" t="str">
        <f xml:space="preserve"> IF(  TRIM( $AG$10 )&lt;&gt;"",  AH10,  AH3  )</f>
        <v xml:space="preserve"> .</v>
      </c>
      <c r="AI18" s="45" t="str">
        <f t="shared" ref="AI18:AJ18" si="23" xml:space="preserve"> IF(  TRIM( $AG$10 )&lt;&gt;"",  AI10,  AI3  )</f>
        <v xml:space="preserve"> .</v>
      </c>
      <c r="AJ18" s="45" t="str">
        <f t="shared" si="23"/>
        <v xml:space="preserve"> .</v>
      </c>
      <c r="AL18" s="1" t="s">
        <v>284</v>
      </c>
      <c r="AO18" s="16" t="str">
        <f xml:space="preserve"> $V14 &amp; IF( ISERROR(AO15), "", AO15 )</f>
        <v xml:space="preserve"> .</v>
      </c>
      <c r="AP18" s="16" t="str">
        <f xml:space="preserve"> $W14 &amp; IF( ISERROR(AP15), "", AP15 )</f>
        <v xml:space="preserve"> .</v>
      </c>
      <c r="AQ18" s="16" t="str">
        <f xml:space="preserve"> $X14 &amp; IF( ISERROR(AQ15), "", AQ15 )</f>
        <v xml:space="preserve"> .</v>
      </c>
      <c r="AS18" s="16" t="str">
        <f xml:space="preserve"> $V14 &amp; IF( ISERROR(AS15), "", AS15 )</f>
        <v xml:space="preserve"> .</v>
      </c>
      <c r="AT18" s="16" t="str">
        <f xml:space="preserve"> $W14 &amp; IF( ISERROR(AT15), "", AT15 )</f>
        <v xml:space="preserve"> .</v>
      </c>
      <c r="AU18" s="16" t="str">
        <f xml:space="preserve"> $X14 &amp; IF( ISERROR(AU15), "", AU15 )</f>
        <v xml:space="preserve"> .</v>
      </c>
      <c r="AW18" s="45" t="str">
        <f xml:space="preserve"> AO18</f>
        <v xml:space="preserve"> .</v>
      </c>
      <c r="AX18" s="45" t="str">
        <f xml:space="preserve"> AP18</f>
        <v xml:space="preserve"> .</v>
      </c>
      <c r="AY18" s="45" t="str">
        <f xml:space="preserve"> AQ18</f>
        <v xml:space="preserve"> .</v>
      </c>
      <c r="BA18" s="45" t="str">
        <f xml:space="preserve"> AS18</f>
        <v xml:space="preserve"> .</v>
      </c>
      <c r="BB18" s="45" t="str">
        <f xml:space="preserve"> AT18</f>
        <v xml:space="preserve"> .</v>
      </c>
      <c r="BC18" s="45" t="str">
        <f xml:space="preserve"> AU18</f>
        <v xml:space="preserve"> .</v>
      </c>
      <c r="BG18" s="77" t="str">
        <f xml:space="preserve"> " " &amp;   IF( 'i1'!BT15=LEER,  #N/A,  'i1'!BT15  )</f>
        <v xml:space="preserve"> Sparprämie des Vorjahres</v>
      </c>
      <c r="BH18" s="77" t="str">
        <f xml:space="preserve"> " " &amp;    IF( 'i1'!BR15=LEER,  #N/A,  'i1'!BR15  )</f>
        <v xml:space="preserve"> vorhandende AR des Vorjahres</v>
      </c>
      <c r="BI18" s="111" t="str">
        <f xml:space="preserve"> BH18</f>
        <v xml:space="preserve"> vorhandende AR des Vorjahres</v>
      </c>
      <c r="BJ18" s="24" t="str">
        <f xml:space="preserve"> " " &amp;    IF( 'i1'!BX15=LEER,  #N/A,  'i1'!BX15  )</f>
        <v xml:space="preserve"> Verzinsung und Vererbung</v>
      </c>
      <c r="BL18" s="34" t="str">
        <f xml:space="preserve"> " " &amp;    IF( 'i1'!CB15=LEER,  #N/A,  'i1'!CB15  )</f>
        <v xml:space="preserve"> verzinste Sparprämie</v>
      </c>
      <c r="BM18" s="34" t="str">
        <f xml:space="preserve"> " " &amp;    IF( 'i1'!CC15=LEER,  #N/A,  'i1'!CC15  )</f>
        <v xml:space="preserve"> Zins auf vorhandene AR</v>
      </c>
      <c r="BN18" s="34" t="str">
        <f xml:space="preserve"> " " &amp;    IF( 'i1'!CD15=LEER,  #N/A,  'i1'!CD15  )</f>
        <v xml:space="preserve"> geerbte AR</v>
      </c>
      <c r="BO18" s="34" t="str">
        <f xml:space="preserve"> " " &amp;    IF( 'i1'!CE15=LEER,  #N/A,  'i1'!CE15  )</f>
        <v xml:space="preserve"> Zuführung</v>
      </c>
      <c r="BQ18" s="24" t="str">
        <f xml:space="preserve"> " " &amp;    IF( 'i1'!CI15=LEER,  #N/A,  'i1'!CI15  )</f>
        <v xml:space="preserve"> Risikoanteil</v>
      </c>
      <c r="BR18" s="24" t="str">
        <f xml:space="preserve"> " " &amp;    IF( 'i1'!CJ15=LEER,  #N/A,  'i1'!CJ15  )</f>
        <v xml:space="preserve"> eigener Anteil an Sparbeitrag</v>
      </c>
      <c r="BS18" s="24" t="str">
        <f xml:space="preserve"> " " &amp;    IF( 'i1'!CK15=LEER,  #N/A,  'i1'!CK15  )</f>
        <v xml:space="preserve"> geerbte diskontierte AR</v>
      </c>
      <c r="BT18" s="38" t="str">
        <f xml:space="preserve"> " " &amp;    IF( 'i1'!CH15=LEER,  #N/A,  'i1'!CH15  )</f>
        <v xml:space="preserve"> Nettoprämie</v>
      </c>
      <c r="BV18" s="24" t="str">
        <f xml:space="preserve"> " " &amp;    IF( 'i1'!CO15=LEER,  #N/A,  'i1'!CO15  )</f>
        <v xml:space="preserve"> Risikoanteil</v>
      </c>
      <c r="BW18" s="24" t="str">
        <f xml:space="preserve"> " " &amp;    IF( 'i1'!CP15=LEER,  #N/A,  'i1'!CP15  )</f>
        <v xml:space="preserve"> eigener Anteil an Sparbeitrag</v>
      </c>
      <c r="BX18" s="24" t="str">
        <f xml:space="preserve"> " " &amp;    IF( 'i1'!CQ15=LEER,  #N/A,  'i1'!CQ15  )</f>
        <v xml:space="preserve"> geerbte diskontierte AR</v>
      </c>
      <c r="BY18" s="38" t="str">
        <f xml:space="preserve"> " " &amp;    IF( 'i1'!CN15=LEER,  #N/A,  'i1'!CN15  )</f>
        <v xml:space="preserve"> Gez. Nettoprämie</v>
      </c>
      <c r="CD18" s="112" t="str">
        <f xml:space="preserve"> " " &amp;  'i1'!EO14</f>
        <v xml:space="preserve"> V^Z_35;35+k (i2)</v>
      </c>
      <c r="CE18" s="112" t="str">
        <f xml:space="preserve"> " " &amp;  'i1'!EM14</f>
        <v xml:space="preserve"> V^Z_50;50+k (H(i2;i1))</v>
      </c>
      <c r="CF18" s="112" t="str">
        <f xml:space="preserve"> " " &amp;  'i1'!EN14</f>
        <v xml:space="preserve"> V^Z _(35/50);50+k (ges(i2;i1))</v>
      </c>
    </row>
    <row r="19" spans="1:118" x14ac:dyDescent="0.2">
      <c r="C19" s="25" t="b">
        <v>1</v>
      </c>
      <c r="D19" s="25" t="b">
        <v>1</v>
      </c>
      <c r="E19" s="25" t="b">
        <v>1</v>
      </c>
      <c r="K19" s="27" t="str">
        <f xml:space="preserve"> IF( $C20,   IF( 'i1'!$G14=LEER,  #N/A,  'i1'!$G14  ),   #N/A  )</f>
        <v>w_x</v>
      </c>
      <c r="L19" s="27" t="str">
        <f xml:space="preserve"> IF( $D20,   IF( 'i2'!$G14=LEER,  #N/A,  'i2'!$G14  ),   #N/A  )</f>
        <v>w_x</v>
      </c>
      <c r="M19" s="27" t="str">
        <f xml:space="preserve"> IF( $E20,   IF( 'i3'!$G14=LEER,  #N/A,  'i3'!$G14  ),   #N/A  )</f>
        <v>w_x</v>
      </c>
      <c r="Y19" s="33"/>
      <c r="Z19" s="31">
        <f xml:space="preserve"> IF( $C19,   IF( 'i1'!$J19=LEER,  #N/A,  'i1'!$J19  ),   #N/A  )</f>
        <v>2077.79</v>
      </c>
      <c r="AA19" s="31">
        <f xml:space="preserve"> IF( $D19,   IF( 'i2'!$J19=LEER,  #N/A,  'i2'!$J19  ),   #N/A  )</f>
        <v>2077.79</v>
      </c>
      <c r="AB19" s="31">
        <f xml:space="preserve"> IF( $E19,   IF( 'i3'!$J19=LEER,  #N/A,  'i3'!$J19  ),   #N/A  )</f>
        <v>2077.79</v>
      </c>
      <c r="AF19" s="1"/>
      <c r="AG19" s="1"/>
      <c r="AH19" s="1"/>
      <c r="AI19" s="1"/>
      <c r="AJ19" s="1"/>
      <c r="AL19" s="1" t="str">
        <f t="array" ref="AL19" xml:space="preserve">   IF(    SUM( IF( D2:D9=F2:F9, 0, -1 ) ) + SUM( IF( D11:D13=F11:F13, 0, -1 ) )   &lt;    0,   FEHLER,  D11    )</f>
        <v>8,6 %</v>
      </c>
      <c r="AW19" s="44">
        <f xml:space="preserve"> Z19</f>
        <v>2077.79</v>
      </c>
      <c r="AX19" s="44">
        <f xml:space="preserve"> AA19</f>
        <v>2077.79</v>
      </c>
      <c r="AY19" s="44">
        <f xml:space="preserve"> AB19</f>
        <v>2077.79</v>
      </c>
      <c r="BA19" s="44">
        <f xml:space="preserve"> Z19</f>
        <v>2077.79</v>
      </c>
      <c r="BB19" s="44">
        <f xml:space="preserve"> AA19</f>
        <v>2077.79</v>
      </c>
      <c r="BC19" s="44">
        <f xml:space="preserve"> AB19</f>
        <v>2077.79</v>
      </c>
      <c r="CW19" s="1" t="str">
        <f xml:space="preserve"> x0</f>
        <v>x_0</v>
      </c>
      <c r="CX19" s="1" t="str">
        <f t="shared" ref="CX19:DN19" si="24" xml:space="preserve"> " " &amp; $CW19 &amp; ": " &amp; CX$12 &amp; "  "</f>
        <v xml:space="preserve"> x_0: 20  </v>
      </c>
      <c r="CY19" s="1" t="str">
        <f t="shared" si="24"/>
        <v xml:space="preserve"> x_0: 25  </v>
      </c>
      <c r="CZ19" s="1" t="str">
        <f t="shared" si="24"/>
        <v xml:space="preserve"> x_0: 30  </v>
      </c>
      <c r="DA19" s="1" t="str">
        <f t="shared" si="24"/>
        <v xml:space="preserve"> x_0: 35  </v>
      </c>
      <c r="DB19" s="1" t="str">
        <f t="shared" si="24"/>
        <v xml:space="preserve"> x_0: 40  </v>
      </c>
      <c r="DC19" s="1" t="str">
        <f t="shared" si="24"/>
        <v xml:space="preserve"> x_0: 45  </v>
      </c>
      <c r="DD19" s="1" t="str">
        <f t="shared" si="24"/>
        <v xml:space="preserve"> x_0: 50  </v>
      </c>
      <c r="DE19" s="1" t="str">
        <f t="shared" si="24"/>
        <v xml:space="preserve"> x_0: 55  </v>
      </c>
      <c r="DF19" s="1" t="str">
        <f t="shared" si="24"/>
        <v xml:space="preserve"> x_0: 60  </v>
      </c>
      <c r="DG19" s="1" t="str">
        <f t="shared" si="24"/>
        <v xml:space="preserve"> x_0: 65  </v>
      </c>
      <c r="DH19" s="1" t="str">
        <f t="shared" si="24"/>
        <v xml:space="preserve"> x_0: 70  </v>
      </c>
      <c r="DI19" s="1" t="str">
        <f t="shared" si="24"/>
        <v xml:space="preserve"> x_0: 75  </v>
      </c>
      <c r="DJ19" s="1" t="str">
        <f t="shared" si="24"/>
        <v xml:space="preserve"> x_0: 80  </v>
      </c>
      <c r="DK19" s="1" t="str">
        <f t="shared" si="24"/>
        <v xml:space="preserve"> x_0: 85  </v>
      </c>
      <c r="DL19" s="1" t="str">
        <f t="shared" si="24"/>
        <v xml:space="preserve"> x_0: 90  </v>
      </c>
      <c r="DM19" s="1" t="str">
        <f t="shared" si="24"/>
        <v xml:space="preserve"> x_0: 95  </v>
      </c>
      <c r="DN19" s="1" t="str">
        <f t="shared" si="24"/>
        <v xml:space="preserve"> x_0: 100  </v>
      </c>
    </row>
    <row r="20" spans="1:118" x14ac:dyDescent="0.2">
      <c r="A20" s="15">
        <f xml:space="preserve"> Basis!A20</f>
        <v>20</v>
      </c>
      <c r="C20" s="24" t="b">
        <f xml:space="preserve"> 'i1'!$O20</f>
        <v>1</v>
      </c>
      <c r="D20" s="24" t="b">
        <f xml:space="preserve"> 'i2'!$O20</f>
        <v>1</v>
      </c>
      <c r="E20" s="24" t="b">
        <f xml:space="preserve"> 'i3'!$O20</f>
        <v>1</v>
      </c>
      <c r="G20" s="27">
        <f xml:space="preserve"> IF( $C21,   IF( 'i1'!$P20=LEER,  #N/A,  'i1'!$P20  ),   #N/A  )</f>
        <v>0.17119999999999999</v>
      </c>
      <c r="H20" s="27">
        <f xml:space="preserve"> IF( $D21,   IF( 'i2'!$P20=LEER,  #N/A,  'i2'!$P20  ),   #N/A  )</f>
        <v>0.17119999999999999</v>
      </c>
      <c r="I20" s="27">
        <f xml:space="preserve"> IF( $E21,   IF( 'i3'!$P20=LEER,  #N/A,  'i3'!$P20  ),   #N/A  )</f>
        <v>0.17119999999999999</v>
      </c>
      <c r="J20" s="158"/>
      <c r="K20" s="27">
        <f xml:space="preserve"> IF( $C21,   IF( 'i1'!$G20=LEER,  #N/A,  'i1'!$G20  ),   #N/A  )</f>
        <v>0.1709</v>
      </c>
      <c r="L20" s="27">
        <f xml:space="preserve"> IF( $D21,   IF( 'i2'!$G20=LEER,  #N/A,  'i2'!$G20  ),   #N/A  )</f>
        <v>0.1709</v>
      </c>
      <c r="M20" s="27">
        <f xml:space="preserve"> IF( $E21,   IF( 'i3'!$G20=LEER,  #N/A,  'i3'!$G20  ),   #N/A  )</f>
        <v>0.1709</v>
      </c>
      <c r="N20" s="158"/>
      <c r="O20" s="158"/>
      <c r="Q20" s="28">
        <f xml:space="preserve"> IF( C20,  ( 1 - IF( ISERROR( G20 ), 1, G20 ) ) * ( 1 + IF( ISERROR( Q21 ), 1, Q21 ) ) + 0.5 * IF( ISERROR( G20 ), 1, G20 ),  #N/A  )</f>
        <v>13.198912431175559</v>
      </c>
      <c r="R20" s="28">
        <f xml:space="preserve"> IF( D20,  ( 1 - IF( ISERROR( H20 ), 1, H20 ) ) * ( 1 + IF( ISERROR( R21 ), 1, R21 ) ) + 0.5 * IF( ISERROR( H20 ), 1, H20 ),  #N/A  )</f>
        <v>13.198912431175559</v>
      </c>
      <c r="S20" s="28">
        <f xml:space="preserve"> IF( E20,  ( 1 - IF( ISERROR( I20 ), 1, I20 ) ) * ( 1 + IF( ISERROR( S21 ), 1, S21 ) ) + 0.5 * IF( ISERROR( I20 ), 1, I20 ),  #N/A  )</f>
        <v>13.198912431175559</v>
      </c>
      <c r="U20" s="76">
        <f xml:space="preserve"> IF( $C19,   SUM('i1'!$R20),   #N/A  )</f>
        <v>5000000</v>
      </c>
      <c r="V20" s="76">
        <f xml:space="preserve"> IF( $C19,   SUM('i2'!$R20),   #N/A  )</f>
        <v>5000000</v>
      </c>
      <c r="W20" s="76">
        <f xml:space="preserve"> IF( $C19,   SUM('i3'!$R20),   #N/A  )</f>
        <v>5000000</v>
      </c>
      <c r="Y20" s="33"/>
      <c r="Z20" s="22">
        <f xml:space="preserve"> IF( $C20,   IF( 'i1'!$J20=LEER,  #N/A,  'i1'!$J20  ),   #N/A  )</f>
        <v>0.82199999999999995</v>
      </c>
      <c r="AA20" s="22">
        <f xml:space="preserve"> IF( $D20,   IF( 'i2'!$J20=LEER,  #N/A,  'i2'!$J20  ),   #N/A  )</f>
        <v>0.82199999999999995</v>
      </c>
      <c r="AB20" s="22">
        <f xml:space="preserve"> IF( $E20,   IF( 'i3'!$J20=LEER,  #N/A,  'i3'!$J20  ),   #N/A  )</f>
        <v>0.82199999999999995</v>
      </c>
      <c r="AC20" s="75"/>
      <c r="AD20" s="26">
        <f t="shared" ref="AD20:AD51" si="25" xml:space="preserve"> SUM(Z20) * SUM(Z$19)</f>
        <v>1707.9433799999999</v>
      </c>
      <c r="AE20" s="26">
        <f t="shared" ref="AE20:AE51" si="26" xml:space="preserve"> SUM(AA20) * SUM(AA$19)</f>
        <v>1707.9433799999999</v>
      </c>
      <c r="AF20" s="26">
        <f t="shared" ref="AF20:AF51" si="27" xml:space="preserve"> SUM(AB20) * SUM(AB$19)</f>
        <v>1707.9433799999999</v>
      </c>
      <c r="AG20" s="23"/>
      <c r="AH20" s="24">
        <f xml:space="preserve">    IF(  'i1'!$AK20=LEER,  #N/A,  ROUND( 'i1'!$AK20, AH$15 )  )</f>
        <v>300.54000000000002</v>
      </c>
      <c r="AI20" s="24">
        <f xml:space="preserve">    IF(  'i2'!$AK20=LEER,  #N/A,  ROUND( 'i2'!$AK20, AI$15 )  )</f>
        <v>300.54000000000002</v>
      </c>
      <c r="AJ20" s="24">
        <f xml:space="preserve">    IF(  'i3'!$AK20=LEER,  #N/A,  ROUND( 'i3'!$AK20, AJ$15 )  )</f>
        <v>300.54000000000002</v>
      </c>
      <c r="AL20" s="102">
        <f t="shared" ref="AL20:AL51" si="28" xml:space="preserve"> ROUND( AH20 + ( AF20 -AD20 ) / ( 12 * ( 1 - AL$19 ) ), AL$15 )</f>
        <v>300.54000000000002</v>
      </c>
      <c r="AO20" s="24" t="e">
        <f xml:space="preserve">    IF( 'i1'!$AN20=LEER,  #N/A,  'i1'!$AN20  )</f>
        <v>#N/A</v>
      </c>
      <c r="AP20" s="24" t="e">
        <f xml:space="preserve">    IF( 'i2'!$AN20=LEER,  #N/A,  'i2'!$AN20  )</f>
        <v>#N/A</v>
      </c>
      <c r="AQ20" s="24" t="e">
        <f xml:space="preserve">    IF( 'i3'!$AN20=LEER,  #N/A,  'i3'!$AN20  )</f>
        <v>#N/A</v>
      </c>
      <c r="AS20" s="24" t="e">
        <f xml:space="preserve">    IF( 'i1'!$AO20=LEER,  #N/A,  'i1'!$AO20  )</f>
        <v>#N/A</v>
      </c>
      <c r="AT20" s="24" t="e">
        <f xml:space="preserve">    IF( 'i2'!$AO20=LEER,  #N/A,  'i2'!$AO20  )</f>
        <v>#N/A</v>
      </c>
      <c r="AU20" s="24" t="e">
        <f xml:space="preserve">    IF( 'i3'!$AO20=LEER,  #N/A,  'i3'!$AO20  )</f>
        <v>#N/A</v>
      </c>
      <c r="AW20" s="28" t="e">
        <f xml:space="preserve"> ROUND( AO20 / AW$19, AW$13 )</f>
        <v>#N/A</v>
      </c>
      <c r="AX20" s="28" t="e">
        <f t="shared" ref="AX20:AX83" si="29" xml:space="preserve"> ROUND( AP20 / AX$19, AX$13 )</f>
        <v>#N/A</v>
      </c>
      <c r="AY20" s="28" t="e">
        <f t="shared" ref="AY20:AY83" si="30" xml:space="preserve"> ROUND( AQ20 / AY$19, AY$13 )</f>
        <v>#N/A</v>
      </c>
      <c r="BA20" s="28" t="e">
        <f t="shared" ref="BA20:BA51" si="31" xml:space="preserve"> ROUND( AS20 / BA$19, BA$13 )</f>
        <v>#N/A</v>
      </c>
      <c r="BB20" s="28" t="e">
        <f t="shared" ref="BB20:BB51" si="32" xml:space="preserve"> ROUND( AT20 / BB$19, BB$13 )</f>
        <v>#N/A</v>
      </c>
      <c r="BC20" s="28" t="e">
        <f t="shared" ref="BC20:BC51" si="33" xml:space="preserve"> ROUND( AU20 / BC$19, BC$13 )</f>
        <v>#N/A</v>
      </c>
      <c r="BG20" s="24" t="e">
        <f xml:space="preserve">    IF( 'i1'!BT20=LEER,  #N/A,  'i1'!BT20  )</f>
        <v>#N/A</v>
      </c>
      <c r="BH20" s="24" t="e">
        <f xml:space="preserve">    IF( 'i1'!BR20=LEER,  #N/A,  'i1'!BR20  )</f>
        <v>#N/A</v>
      </c>
      <c r="BI20" s="111" t="e">
        <f t="shared" ref="BI20:BI83" si="34" xml:space="preserve"> BG20 + BH20</f>
        <v>#N/A</v>
      </c>
      <c r="BJ20" s="24" t="e">
        <f xml:space="preserve">    IF( 'i1'!BX20=LEER,  #N/A,  'i1'!BX20  )</f>
        <v>#N/A</v>
      </c>
      <c r="BL20" s="24" t="e">
        <f xml:space="preserve">    IF( 'i1'!CB20=LEER,  #N/A,  'i1'!CB20  )</f>
        <v>#N/A</v>
      </c>
      <c r="BM20" s="24" t="e">
        <f xml:space="preserve">    IF( 'i1'!CC20=LEER,  #N/A,  'i1'!CC20  )</f>
        <v>#N/A</v>
      </c>
      <c r="BN20" s="24" t="e">
        <f xml:space="preserve">    IF( 'i1'!CD20=LEER,  #N/A,  'i1'!CD20  )</f>
        <v>#N/A</v>
      </c>
      <c r="BO20" s="24" t="e">
        <f xml:space="preserve">    IF( 'i1'!CE20=LEER,  #N/A,  'i1'!CE20  )</f>
        <v>#N/A</v>
      </c>
      <c r="BQ20" s="24" t="e">
        <f xml:space="preserve">    IF( 'i1'!CI20=LEER,  #N/A,  'i1'!CI20  )</f>
        <v>#N/A</v>
      </c>
      <c r="BR20" s="24" t="e">
        <f xml:space="preserve">    IF( 'i1'!CJ20=LEER,  #N/A,  'i1'!CJ20  )</f>
        <v>#N/A</v>
      </c>
      <c r="BS20" s="24" t="e">
        <f xml:space="preserve">    IF( 'i1'!CK20=LEER,  #N/A,  'i1'!CK20  )</f>
        <v>#N/A</v>
      </c>
      <c r="BT20" s="38" t="e">
        <f xml:space="preserve">    IF( 'i1'!CH20=LEER,  #N/A,  'i1'!CH20  )</f>
        <v>#N/A</v>
      </c>
      <c r="BV20" s="24" t="e">
        <f xml:space="preserve">    IF( 'i1'!CO20=LEER,  #N/A,  'i1'!CO20  )</f>
        <v>#N/A</v>
      </c>
      <c r="BW20" s="24" t="e">
        <f xml:space="preserve">    IF( 'i1'!CP20=LEER,  #N/A,  'i1'!CP20  )</f>
        <v>#N/A</v>
      </c>
      <c r="BX20" s="24" t="e">
        <f xml:space="preserve">    IF( 'i1'!CQ20=LEER,  #N/A,  'i1'!CQ20  )</f>
        <v>#N/A</v>
      </c>
      <c r="BY20" s="38" t="e">
        <f xml:space="preserve">    IF( 'i1'!CN20=LEER,  #N/A,  'i1'!CN20  )</f>
        <v>#N/A</v>
      </c>
      <c r="CD20" s="113" t="e">
        <f xml:space="preserve"> IF(  AND( $A20&lt;&gt;$CD$14, OR( 'i1'!EO20=LEER, 'i1'!EM20&lt;&gt;LEER ) ), #N/A, 'i1'!EO20 )</f>
        <v>#N/A</v>
      </c>
      <c r="CE20" s="113" t="e">
        <f xml:space="preserve"> IF(   'i1'!EM20=LEER, #N/A,  'i1'!EM20 )</f>
        <v>#N/A</v>
      </c>
      <c r="CF20" s="114" t="e">
        <f xml:space="preserve"> IF(   'i1'!EL20=LEER, #N/A, 'i1'!EL20 + 'i1'!EM20 )</f>
        <v>#N/A</v>
      </c>
      <c r="CW20" s="104">
        <f xml:space="preserve"> 'i1'!FN20</f>
        <v>20</v>
      </c>
      <c r="CX20" s="106">
        <f xml:space="preserve"> IF(  INDEX( 'i1'!$FS20:$JO20, CX$13 ) = LEER,  #N/A,  INDEX( 'i1'!$FS20:$JO20, CX$13 )  )</f>
        <v>-603.29999999999995</v>
      </c>
      <c r="CY20" s="106" t="e">
        <f xml:space="preserve"> IF(  INDEX( 'i1'!$FS20:$JO20, CY$13 ) = LEER,  #N/A,  INDEX( 'i1'!$FS20:$JO20, CY$13 )  )</f>
        <v>#N/A</v>
      </c>
      <c r="CZ20" s="106" t="e">
        <f xml:space="preserve"> IF(  INDEX( 'i1'!$FS20:$JO20, CZ$13 ) = LEER,  #N/A,  INDEX( 'i1'!$FS20:$JO20, CZ$13 )  )</f>
        <v>#N/A</v>
      </c>
      <c r="DA20" s="106" t="e">
        <f xml:space="preserve"> IF(  INDEX( 'i1'!$FS20:$JO20, DA$13 ) = LEER,  #N/A,  INDEX( 'i1'!$FS20:$JO20, DA$13 )  )</f>
        <v>#N/A</v>
      </c>
      <c r="DB20" s="106" t="e">
        <f xml:space="preserve"> IF(  INDEX( 'i1'!$FS20:$JO20, DB$13 ) = LEER,  #N/A,  INDEX( 'i1'!$FS20:$JO20, DB$13 )  )</f>
        <v>#N/A</v>
      </c>
      <c r="DC20" s="106" t="e">
        <f xml:space="preserve"> IF(  INDEX( 'i1'!$FS20:$JO20, DC$13 ) = LEER,  #N/A,  INDEX( 'i1'!$FS20:$JO20, DC$13 )  )</f>
        <v>#N/A</v>
      </c>
      <c r="DD20" s="106" t="e">
        <f xml:space="preserve"> IF(  INDEX( 'i1'!$FS20:$JO20, DD$13 ) = LEER,  #N/A,  INDEX( 'i1'!$FS20:$JO20, DD$13 )  )</f>
        <v>#N/A</v>
      </c>
      <c r="DE20" s="106" t="e">
        <f xml:space="preserve"> IF(  INDEX( 'i1'!$FS20:$JO20, DE$13 ) = LEER,  #N/A,  INDEX( 'i1'!$FS20:$JO20, DE$13 )  )</f>
        <v>#N/A</v>
      </c>
      <c r="DF20" s="106" t="e">
        <f xml:space="preserve"> IF(  INDEX( 'i1'!$FS20:$JO20, DF$13 ) = LEER,  #N/A,  INDEX( 'i1'!$FS20:$JO20, DF$13 )  )</f>
        <v>#N/A</v>
      </c>
      <c r="DG20" s="106" t="e">
        <f xml:space="preserve"> IF(  INDEX( 'i1'!$FS20:$JO20, DG$13 ) = LEER,  #N/A,  INDEX( 'i1'!$FS20:$JO20, DG$13 )  )</f>
        <v>#N/A</v>
      </c>
      <c r="DH20" s="106" t="e">
        <f xml:space="preserve"> IF(  INDEX( 'i1'!$FS20:$JO20, DH$13 ) = LEER,  #N/A,  INDEX( 'i1'!$FS20:$JO20, DH$13 )  )</f>
        <v>#N/A</v>
      </c>
      <c r="DI20" s="106" t="e">
        <f xml:space="preserve"> IF(  INDEX( 'i1'!$FS20:$JO20, DI$13 ) = LEER,  #N/A,  INDEX( 'i1'!$FS20:$JO20, DI$13 )  )</f>
        <v>#N/A</v>
      </c>
      <c r="DJ20" s="106" t="e">
        <f xml:space="preserve"> IF(  INDEX( 'i1'!$FS20:$JO20, DJ$13 ) = LEER,  #N/A,  INDEX( 'i1'!$FS20:$JO20, DJ$13 )  )</f>
        <v>#N/A</v>
      </c>
      <c r="DK20" s="106" t="e">
        <f xml:space="preserve"> IF(  INDEX( 'i1'!$FS20:$JO20, DK$13 ) = LEER,  #N/A,  INDEX( 'i1'!$FS20:$JO20, DK$13 )  )</f>
        <v>#N/A</v>
      </c>
      <c r="DL20" s="106" t="e">
        <f xml:space="preserve"> IF(  INDEX( 'i1'!$FS20:$JO20, DL$13 ) = LEER,  #N/A,  INDEX( 'i1'!$FS20:$JO20, DL$13 )  )</f>
        <v>#N/A</v>
      </c>
      <c r="DM20" s="106" t="e">
        <f xml:space="preserve"> IF(  INDEX( 'i1'!$FS20:$JO20, DM$13 ) = LEER,  #N/A,  INDEX( 'i1'!$FS20:$JO20, DM$13 )  )</f>
        <v>#N/A</v>
      </c>
      <c r="DN20" s="106" t="e">
        <f xml:space="preserve"> IF(  INDEX( 'i1'!$FS20:$JO20, DN$13 ) = LEER,  #N/A,  INDEX( 'i1'!$FS20:$JO20, DN$13 )  )</f>
        <v>#N/A</v>
      </c>
    </row>
    <row r="21" spans="1:118" x14ac:dyDescent="0.2">
      <c r="A21" s="15">
        <f xml:space="preserve"> Basis!A21</f>
        <v>21</v>
      </c>
      <c r="C21" s="24" t="b">
        <f xml:space="preserve"> 'i1'!$O21</f>
        <v>1</v>
      </c>
      <c r="D21" s="24" t="b">
        <f xml:space="preserve"> 'i2'!$O21</f>
        <v>1</v>
      </c>
      <c r="E21" s="24" t="b">
        <f xml:space="preserve"> 'i3'!$O21</f>
        <v>1</v>
      </c>
      <c r="G21" s="27">
        <f xml:space="preserve"> IF( $C22,   IF( 'i1'!$P21=LEER,  #N/A,  'i1'!$P21  ),   #N/A  )</f>
        <v>0.1474</v>
      </c>
      <c r="H21" s="27">
        <f xml:space="preserve"> IF( $D22,   IF( 'i2'!$P21=LEER,  #N/A,  'i2'!$P21  ),   #N/A  )</f>
        <v>0.1474</v>
      </c>
      <c r="I21" s="27">
        <f xml:space="preserve"> IF( $E22,   IF( 'i3'!$P21=LEER,  #N/A,  'i3'!$P21  ),   #N/A  )</f>
        <v>0.1474</v>
      </c>
      <c r="J21" s="158"/>
      <c r="K21" s="27">
        <f xml:space="preserve"> IF( $C22,   IF( 'i1'!$G21=LEER,  #N/A,  'i1'!$G21  ),   #N/A  )</f>
        <v>0.14710000000000001</v>
      </c>
      <c r="L21" s="27">
        <f xml:space="preserve"> IF( $D22,   IF( 'i2'!$G21=LEER,  #N/A,  'i2'!$G21  ),   #N/A  )</f>
        <v>0.14710000000000001</v>
      </c>
      <c r="M21" s="27">
        <f xml:space="preserve"> IF( $E22,   IF( 'i3'!$G21=LEER,  #N/A,  'i3'!$G21  ),   #N/A  )</f>
        <v>0.14710000000000001</v>
      </c>
      <c r="N21" s="158"/>
      <c r="O21" s="158"/>
      <c r="Q21" s="28">
        <f t="shared" ref="Q21:Q84" si="35" xml:space="preserve"> IF( C21,  ( 1 - IF( ISERROR( G21 ), 1, G21 ) ) * ( 1 + IF( ISERROR( Q22 ), 1, Q22 ) ) + 0.5 * IF( ISERROR( G21 ), 1, G21 ),  #N/A  )</f>
        <v>14.822046852287114</v>
      </c>
      <c r="R21" s="28">
        <f t="shared" ref="R21:R84" si="36" xml:space="preserve"> IF( D21,  ( 1 - IF( ISERROR( H21 ), 1, H21 ) ) * ( 1 + IF( ISERROR( R22 ), 1, R22 ) ) + 0.5 * IF( ISERROR( H21 ), 1, H21 ),  #N/A  )</f>
        <v>14.822046852287114</v>
      </c>
      <c r="S21" s="28">
        <f t="shared" ref="S21:S84" si="37" xml:space="preserve"> IF( E21,  ( 1 - IF( ISERROR( I21 ), 1, I21 ) ) * ( 1 + IF( ISERROR( S22 ), 1, S22 ) ) + 0.5 * IF( ISERROR( I21 ), 1, I21 ),  #N/A  )</f>
        <v>14.822046852287114</v>
      </c>
      <c r="U21" s="76">
        <f xml:space="preserve"> IF( $C20,   SUM('i1'!$R21),   #N/A  )</f>
        <v>4144000</v>
      </c>
      <c r="V21" s="76">
        <f xml:space="preserve"> IF( $C20,   SUM('i2'!$R21),   #N/A  )</f>
        <v>4144000</v>
      </c>
      <c r="W21" s="76">
        <f xml:space="preserve"> IF( $C20,   SUM('i3'!$R21),   #N/A  )</f>
        <v>4144000</v>
      </c>
      <c r="Y21" s="33"/>
      <c r="Z21" s="22">
        <f xml:space="preserve"> IF( $C21,   IF( 'i1'!$J21=LEER,  #N/A,  'i1'!$J21  ),   #N/A  )</f>
        <v>0.83099999999999996</v>
      </c>
      <c r="AA21" s="22">
        <f xml:space="preserve"> IF( $D21,   IF( 'i2'!$J21=LEER,  #N/A,  'i2'!$J21  ),   #N/A  )</f>
        <v>0.83099999999999996</v>
      </c>
      <c r="AB21" s="22">
        <f xml:space="preserve"> IF( $E21,   IF( 'i3'!$J21=LEER,  #N/A,  'i3'!$J21  ),   #N/A  )</f>
        <v>0.83099999999999996</v>
      </c>
      <c r="AC21" s="75"/>
      <c r="AD21" s="26">
        <f t="shared" si="25"/>
        <v>1726.6434899999999</v>
      </c>
      <c r="AE21" s="26">
        <f t="shared" si="26"/>
        <v>1726.6434899999999</v>
      </c>
      <c r="AF21" s="26">
        <f t="shared" si="27"/>
        <v>1726.6434899999999</v>
      </c>
      <c r="AG21" s="23"/>
      <c r="AH21" s="24">
        <f xml:space="preserve">    IF(  'i1'!$AK21=LEER,  #N/A,  ROUND( 'i1'!$AK21, AH$15 )  )</f>
        <v>308.20999999999998</v>
      </c>
      <c r="AI21" s="24">
        <f xml:space="preserve">    IF(  'i2'!$AK21=LEER,  #N/A,  ROUND( 'i2'!$AK21, AI$15 )  )</f>
        <v>308.20999999999998</v>
      </c>
      <c r="AJ21" s="24">
        <f xml:space="preserve">    IF(  'i3'!$AK21=LEER,  #N/A,  ROUND( 'i3'!$AK21, AJ$15 )  )</f>
        <v>308.20999999999998</v>
      </c>
      <c r="AL21" s="102">
        <f t="shared" si="28"/>
        <v>308.20999999999998</v>
      </c>
      <c r="AO21" s="24" t="e">
        <f xml:space="preserve">    IF( 'i1'!$AN21=LEER,  #N/A,  'i1'!$AN21  )</f>
        <v>#N/A</v>
      </c>
      <c r="AP21" s="24" t="e">
        <f xml:space="preserve">    IF( 'i2'!$AN21=LEER,  #N/A,  'i2'!$AN21  )</f>
        <v>#N/A</v>
      </c>
      <c r="AQ21" s="24" t="e">
        <f xml:space="preserve">    IF( 'i3'!$AN21=LEER,  #N/A,  'i3'!$AN21  )</f>
        <v>#N/A</v>
      </c>
      <c r="AS21" s="24" t="e">
        <f xml:space="preserve">    IF( 'i1'!$AO21=LEER,  #N/A,  'i1'!$AO21  )</f>
        <v>#N/A</v>
      </c>
      <c r="AT21" s="24" t="e">
        <f xml:space="preserve">    IF( 'i2'!$AO21=LEER,  #N/A,  'i2'!$AO21  )</f>
        <v>#N/A</v>
      </c>
      <c r="AU21" s="24" t="e">
        <f xml:space="preserve">    IF( 'i3'!$AO21=LEER,  #N/A,  'i3'!$AO21  )</f>
        <v>#N/A</v>
      </c>
      <c r="AW21" s="28" t="e">
        <f t="shared" ref="AW21:AW84" si="38" xml:space="preserve"> ROUND( AO21 / AW$19, AW$13 )</f>
        <v>#N/A</v>
      </c>
      <c r="AX21" s="28" t="e">
        <f t="shared" si="29"/>
        <v>#N/A</v>
      </c>
      <c r="AY21" s="28" t="e">
        <f t="shared" si="30"/>
        <v>#N/A</v>
      </c>
      <c r="BA21" s="28" t="e">
        <f t="shared" si="31"/>
        <v>#N/A</v>
      </c>
      <c r="BB21" s="28" t="e">
        <f t="shared" si="32"/>
        <v>#N/A</v>
      </c>
      <c r="BC21" s="28" t="e">
        <f t="shared" si="33"/>
        <v>#N/A</v>
      </c>
      <c r="BG21" s="24" t="e">
        <f xml:space="preserve">    IF( 'i1'!BT21=LEER,  #N/A,  'i1'!BT21  )</f>
        <v>#N/A</v>
      </c>
      <c r="BH21" s="24" t="e">
        <f xml:space="preserve">    IF( 'i1'!BR21=LEER,  #N/A,  'i1'!BR21  )</f>
        <v>#N/A</v>
      </c>
      <c r="BI21" s="111" t="e">
        <f t="shared" si="34"/>
        <v>#N/A</v>
      </c>
      <c r="BJ21" s="24" t="e">
        <f xml:space="preserve">    IF( 'i1'!BX21=LEER,  #N/A,  'i1'!BX21  )</f>
        <v>#N/A</v>
      </c>
      <c r="BL21" s="24" t="e">
        <f xml:space="preserve">    IF( 'i1'!CB21=LEER,  #N/A,  'i1'!CB21  )</f>
        <v>#N/A</v>
      </c>
      <c r="BM21" s="24" t="e">
        <f xml:space="preserve">    IF( 'i1'!CC21=LEER,  #N/A,  'i1'!CC21  )</f>
        <v>#N/A</v>
      </c>
      <c r="BN21" s="24" t="e">
        <f xml:space="preserve">    IF( 'i1'!CD21=LEER,  #N/A,  'i1'!CD21  )</f>
        <v>#N/A</v>
      </c>
      <c r="BO21" s="24" t="e">
        <f xml:space="preserve">    IF( 'i1'!CE21=LEER,  #N/A,  'i1'!CE21  )</f>
        <v>#N/A</v>
      </c>
      <c r="BQ21" s="24" t="e">
        <f xml:space="preserve">    IF( 'i1'!CI21=LEER,  #N/A,  'i1'!CI21  )</f>
        <v>#N/A</v>
      </c>
      <c r="BR21" s="24" t="e">
        <f xml:space="preserve">    IF( 'i1'!CJ21=LEER,  #N/A,  'i1'!CJ21  )</f>
        <v>#N/A</v>
      </c>
      <c r="BS21" s="24" t="e">
        <f xml:space="preserve">    IF( 'i1'!CK21=LEER,  #N/A,  'i1'!CK21  )</f>
        <v>#N/A</v>
      </c>
      <c r="BT21" s="38" t="e">
        <f xml:space="preserve">    IF( 'i1'!CH21=LEER,  #N/A,  'i1'!CH21  )</f>
        <v>#N/A</v>
      </c>
      <c r="BV21" s="24" t="e">
        <f xml:space="preserve">    IF( 'i1'!CO21=LEER,  #N/A,  'i1'!CO21  )</f>
        <v>#N/A</v>
      </c>
      <c r="BW21" s="24" t="e">
        <f xml:space="preserve">    IF( 'i1'!CP21=LEER,  #N/A,  'i1'!CP21  )</f>
        <v>#N/A</v>
      </c>
      <c r="BX21" s="24" t="e">
        <f xml:space="preserve">    IF( 'i1'!CQ21=LEER,  #N/A,  'i1'!CQ21  )</f>
        <v>#N/A</v>
      </c>
      <c r="BY21" s="38" t="e">
        <f xml:space="preserve">    IF( 'i1'!CN21=LEER,  #N/A,  'i1'!CN21  )</f>
        <v>#N/A</v>
      </c>
      <c r="CD21" s="113" t="e">
        <f xml:space="preserve"> IF(  AND( $A21&lt;&gt;$CD$14, OR( 'i1'!EO21=LEER, 'i1'!EM21&lt;&gt;LEER ) ), #N/A, 'i1'!EO21 )</f>
        <v>#N/A</v>
      </c>
      <c r="CE21" s="113" t="e">
        <f xml:space="preserve"> IF(   'i1'!EM21=LEER, #N/A,  'i1'!EM21 )</f>
        <v>#N/A</v>
      </c>
      <c r="CF21" s="114" t="e">
        <f xml:space="preserve"> IF(   'i1'!EL21=LEER, #N/A, 'i1'!EL21 + 'i1'!EM21 )</f>
        <v>#N/A</v>
      </c>
      <c r="CW21" s="104">
        <f xml:space="preserve"> 'i1'!FN21</f>
        <v>21</v>
      </c>
      <c r="CX21" s="106">
        <f xml:space="preserve"> IF(  INDEX( 'i1'!$FS21:$JO21, CX$13 ) = LEER,  #N/A,  INDEX( 'i1'!$FS21:$JO21, CX$13 )  )</f>
        <v>226.39</v>
      </c>
      <c r="CY21" s="106" t="e">
        <f xml:space="preserve"> IF(  INDEX( 'i1'!$FS21:$JO21, CY$13 ) = LEER,  #N/A,  INDEX( 'i1'!$FS21:$JO21, CY$13 )  )</f>
        <v>#N/A</v>
      </c>
      <c r="CZ21" s="106" t="e">
        <f xml:space="preserve"> IF(  INDEX( 'i1'!$FS21:$JO21, CZ$13 ) = LEER,  #N/A,  INDEX( 'i1'!$FS21:$JO21, CZ$13 )  )</f>
        <v>#N/A</v>
      </c>
      <c r="DA21" s="106" t="e">
        <f xml:space="preserve"> IF(  INDEX( 'i1'!$FS21:$JO21, DA$13 ) = LEER,  #N/A,  INDEX( 'i1'!$FS21:$JO21, DA$13 )  )</f>
        <v>#N/A</v>
      </c>
      <c r="DB21" s="106" t="e">
        <f xml:space="preserve"> IF(  INDEX( 'i1'!$FS21:$JO21, DB$13 ) = LEER,  #N/A,  INDEX( 'i1'!$FS21:$JO21, DB$13 )  )</f>
        <v>#N/A</v>
      </c>
      <c r="DC21" s="106" t="e">
        <f xml:space="preserve"> IF(  INDEX( 'i1'!$FS21:$JO21, DC$13 ) = LEER,  #N/A,  INDEX( 'i1'!$FS21:$JO21, DC$13 )  )</f>
        <v>#N/A</v>
      </c>
      <c r="DD21" s="106" t="e">
        <f xml:space="preserve"> IF(  INDEX( 'i1'!$FS21:$JO21, DD$13 ) = LEER,  #N/A,  INDEX( 'i1'!$FS21:$JO21, DD$13 )  )</f>
        <v>#N/A</v>
      </c>
      <c r="DE21" s="106" t="e">
        <f xml:space="preserve"> IF(  INDEX( 'i1'!$FS21:$JO21, DE$13 ) = LEER,  #N/A,  INDEX( 'i1'!$FS21:$JO21, DE$13 )  )</f>
        <v>#N/A</v>
      </c>
      <c r="DF21" s="106" t="e">
        <f xml:space="preserve"> IF(  INDEX( 'i1'!$FS21:$JO21, DF$13 ) = LEER,  #N/A,  INDEX( 'i1'!$FS21:$JO21, DF$13 )  )</f>
        <v>#N/A</v>
      </c>
      <c r="DG21" s="106" t="e">
        <f xml:space="preserve"> IF(  INDEX( 'i1'!$FS21:$JO21, DG$13 ) = LEER,  #N/A,  INDEX( 'i1'!$FS21:$JO21, DG$13 )  )</f>
        <v>#N/A</v>
      </c>
      <c r="DH21" s="106" t="e">
        <f xml:space="preserve"> IF(  INDEX( 'i1'!$FS21:$JO21, DH$13 ) = LEER,  #N/A,  INDEX( 'i1'!$FS21:$JO21, DH$13 )  )</f>
        <v>#N/A</v>
      </c>
      <c r="DI21" s="106" t="e">
        <f xml:space="preserve"> IF(  INDEX( 'i1'!$FS21:$JO21, DI$13 ) = LEER,  #N/A,  INDEX( 'i1'!$FS21:$JO21, DI$13 )  )</f>
        <v>#N/A</v>
      </c>
      <c r="DJ21" s="106" t="e">
        <f xml:space="preserve"> IF(  INDEX( 'i1'!$FS21:$JO21, DJ$13 ) = LEER,  #N/A,  INDEX( 'i1'!$FS21:$JO21, DJ$13 )  )</f>
        <v>#N/A</v>
      </c>
      <c r="DK21" s="106" t="e">
        <f xml:space="preserve"> IF(  INDEX( 'i1'!$FS21:$JO21, DK$13 ) = LEER,  #N/A,  INDEX( 'i1'!$FS21:$JO21, DK$13 )  )</f>
        <v>#N/A</v>
      </c>
      <c r="DL21" s="106" t="e">
        <f xml:space="preserve"> IF(  INDEX( 'i1'!$FS21:$JO21, DL$13 ) = LEER,  #N/A,  INDEX( 'i1'!$FS21:$JO21, DL$13 )  )</f>
        <v>#N/A</v>
      </c>
      <c r="DM21" s="106" t="e">
        <f xml:space="preserve"> IF(  INDEX( 'i1'!$FS21:$JO21, DM$13 ) = LEER,  #N/A,  INDEX( 'i1'!$FS21:$JO21, DM$13 )  )</f>
        <v>#N/A</v>
      </c>
      <c r="DN21" s="106" t="e">
        <f xml:space="preserve"> IF(  INDEX( 'i1'!$FS21:$JO21, DN$13 ) = LEER,  #N/A,  INDEX( 'i1'!$FS21:$JO21, DN$13 )  )</f>
        <v>#N/A</v>
      </c>
    </row>
    <row r="22" spans="1:118" x14ac:dyDescent="0.2">
      <c r="A22" s="15">
        <f xml:space="preserve"> Basis!A22</f>
        <v>22</v>
      </c>
      <c r="C22" s="24" t="b">
        <f xml:space="preserve"> 'i1'!$O22</f>
        <v>1</v>
      </c>
      <c r="D22" s="24" t="b">
        <f xml:space="preserve"> 'i2'!$O22</f>
        <v>1</v>
      </c>
      <c r="E22" s="24" t="b">
        <f xml:space="preserve"> 'i3'!$O22</f>
        <v>1</v>
      </c>
      <c r="G22" s="27">
        <f xml:space="preserve"> IF( $C23,   IF( 'i1'!$P22=LEER,  #N/A,  'i1'!$P22  ),   #N/A  )</f>
        <v>0.1116</v>
      </c>
      <c r="H22" s="27">
        <f xml:space="preserve"> IF( $D23,   IF( 'i2'!$P22=LEER,  #N/A,  'i2'!$P22  ),   #N/A  )</f>
        <v>0.1116</v>
      </c>
      <c r="I22" s="27">
        <f xml:space="preserve"> IF( $E23,   IF( 'i3'!$P22=LEER,  #N/A,  'i3'!$P22  ),   #N/A  )</f>
        <v>0.1116</v>
      </c>
      <c r="J22" s="158"/>
      <c r="K22" s="27">
        <f xml:space="preserve"> IF( $C23,   IF( 'i1'!$G22=LEER,  #N/A,  'i1'!$G22  ),   #N/A  )</f>
        <v>0.1113</v>
      </c>
      <c r="L22" s="27">
        <f xml:space="preserve"> IF( $D23,   IF( 'i2'!$G22=LEER,  #N/A,  'i2'!$G22  ),   #N/A  )</f>
        <v>0.1113</v>
      </c>
      <c r="M22" s="27">
        <f xml:space="preserve"> IF( $E23,   IF( 'i3'!$G22=LEER,  #N/A,  'i3'!$G22  ),   #N/A  )</f>
        <v>0.1113</v>
      </c>
      <c r="N22" s="158"/>
      <c r="O22" s="158"/>
      <c r="Q22" s="28">
        <f t="shared" si="35"/>
        <v>16.298084508898796</v>
      </c>
      <c r="R22" s="28">
        <f t="shared" si="36"/>
        <v>16.298084508898796</v>
      </c>
      <c r="S22" s="28">
        <f t="shared" si="37"/>
        <v>16.298084508898796</v>
      </c>
      <c r="U22" s="76">
        <f xml:space="preserve"> IF( $C21,   SUM('i1'!$R22),   #N/A  )</f>
        <v>3533174</v>
      </c>
      <c r="V22" s="76">
        <f xml:space="preserve"> IF( $C21,   SUM('i2'!$R22),   #N/A  )</f>
        <v>3533174</v>
      </c>
      <c r="W22" s="76">
        <f xml:space="preserve"> IF( $C21,   SUM('i3'!$R22),   #N/A  )</f>
        <v>3533174</v>
      </c>
      <c r="Y22" s="33"/>
      <c r="Z22" s="22">
        <f xml:space="preserve"> IF( $C22,   IF( 'i1'!$J22=LEER,  #N/A,  'i1'!$J22  ),   #N/A  )</f>
        <v>0.84799999999999998</v>
      </c>
      <c r="AA22" s="22">
        <f xml:space="preserve"> IF( $D22,   IF( 'i2'!$J22=LEER,  #N/A,  'i2'!$J22  ),   #N/A  )</f>
        <v>0.84799999999999998</v>
      </c>
      <c r="AB22" s="22">
        <f xml:space="preserve"> IF( $E22,   IF( 'i3'!$J22=LEER,  #N/A,  'i3'!$J22  ),   #N/A  )</f>
        <v>0.84799999999999998</v>
      </c>
      <c r="AC22" s="75"/>
      <c r="AD22" s="26">
        <f t="shared" si="25"/>
        <v>1761.9659199999999</v>
      </c>
      <c r="AE22" s="26">
        <f t="shared" si="26"/>
        <v>1761.9659199999999</v>
      </c>
      <c r="AF22" s="26">
        <f t="shared" si="27"/>
        <v>1761.9659199999999</v>
      </c>
      <c r="AG22" s="23"/>
      <c r="AH22" s="24">
        <f xml:space="preserve">    IF(  'i1'!$AK22=LEER,  #N/A,  ROUND( 'i1'!$AK22, AH$15 )  )</f>
        <v>315.89</v>
      </c>
      <c r="AI22" s="24">
        <f xml:space="preserve">    IF(  'i2'!$AK22=LEER,  #N/A,  ROUND( 'i2'!$AK22, AI$15 )  )</f>
        <v>315.89</v>
      </c>
      <c r="AJ22" s="24">
        <f xml:space="preserve">    IF(  'i3'!$AK22=LEER,  #N/A,  ROUND( 'i3'!$AK22, AJ$15 )  )</f>
        <v>315.89</v>
      </c>
      <c r="AL22" s="102">
        <f t="shared" si="28"/>
        <v>315.89</v>
      </c>
      <c r="AO22" s="24" t="e">
        <f xml:space="preserve">    IF( 'i1'!$AN22=LEER,  #N/A,  'i1'!$AN22  )</f>
        <v>#N/A</v>
      </c>
      <c r="AP22" s="24" t="e">
        <f xml:space="preserve">    IF( 'i2'!$AN22=LEER,  #N/A,  'i2'!$AN22  )</f>
        <v>#N/A</v>
      </c>
      <c r="AQ22" s="24" t="e">
        <f xml:space="preserve">    IF( 'i3'!$AN22=LEER,  #N/A,  'i3'!$AN22  )</f>
        <v>#N/A</v>
      </c>
      <c r="AS22" s="24" t="e">
        <f xml:space="preserve">    IF( 'i1'!$AO22=LEER,  #N/A,  'i1'!$AO22  )</f>
        <v>#N/A</v>
      </c>
      <c r="AT22" s="24" t="e">
        <f xml:space="preserve">    IF( 'i2'!$AO22=LEER,  #N/A,  'i2'!$AO22  )</f>
        <v>#N/A</v>
      </c>
      <c r="AU22" s="24" t="e">
        <f xml:space="preserve">    IF( 'i3'!$AO22=LEER,  #N/A,  'i3'!$AO22  )</f>
        <v>#N/A</v>
      </c>
      <c r="AW22" s="28" t="e">
        <f t="shared" si="38"/>
        <v>#N/A</v>
      </c>
      <c r="AX22" s="28" t="e">
        <f t="shared" si="29"/>
        <v>#N/A</v>
      </c>
      <c r="AY22" s="28" t="e">
        <f t="shared" si="30"/>
        <v>#N/A</v>
      </c>
      <c r="BA22" s="28" t="e">
        <f t="shared" si="31"/>
        <v>#N/A</v>
      </c>
      <c r="BB22" s="28" t="e">
        <f t="shared" si="32"/>
        <v>#N/A</v>
      </c>
      <c r="BC22" s="28" t="e">
        <f t="shared" si="33"/>
        <v>#N/A</v>
      </c>
      <c r="BG22" s="24" t="e">
        <f xml:space="preserve">    IF( 'i1'!BT22=LEER,  #N/A,  'i1'!BT22  )</f>
        <v>#N/A</v>
      </c>
      <c r="BH22" s="24" t="e">
        <f xml:space="preserve">    IF( 'i1'!BR22=LEER,  #N/A,  'i1'!BR22  )</f>
        <v>#N/A</v>
      </c>
      <c r="BI22" s="111" t="e">
        <f t="shared" si="34"/>
        <v>#N/A</v>
      </c>
      <c r="BJ22" s="24" t="e">
        <f xml:space="preserve">    IF( 'i1'!BX22=LEER,  #N/A,  'i1'!BX22  )</f>
        <v>#N/A</v>
      </c>
      <c r="BL22" s="24" t="e">
        <f xml:space="preserve">    IF( 'i1'!CB22=LEER,  #N/A,  'i1'!CB22  )</f>
        <v>#N/A</v>
      </c>
      <c r="BM22" s="24" t="e">
        <f xml:space="preserve">    IF( 'i1'!CC22=LEER,  #N/A,  'i1'!CC22  )</f>
        <v>#N/A</v>
      </c>
      <c r="BN22" s="24" t="e">
        <f xml:space="preserve">    IF( 'i1'!CD22=LEER,  #N/A,  'i1'!CD22  )</f>
        <v>#N/A</v>
      </c>
      <c r="BO22" s="24" t="e">
        <f xml:space="preserve">    IF( 'i1'!CE22=LEER,  #N/A,  'i1'!CE22  )</f>
        <v>#N/A</v>
      </c>
      <c r="BQ22" s="24" t="e">
        <f xml:space="preserve">    IF( 'i1'!CI22=LEER,  #N/A,  'i1'!CI22  )</f>
        <v>#N/A</v>
      </c>
      <c r="BR22" s="24" t="e">
        <f xml:space="preserve">    IF( 'i1'!CJ22=LEER,  #N/A,  'i1'!CJ22  )</f>
        <v>#N/A</v>
      </c>
      <c r="BS22" s="24" t="e">
        <f xml:space="preserve">    IF( 'i1'!CK22=LEER,  #N/A,  'i1'!CK22  )</f>
        <v>#N/A</v>
      </c>
      <c r="BT22" s="38" t="e">
        <f xml:space="preserve">    IF( 'i1'!CH22=LEER,  #N/A,  'i1'!CH22  )</f>
        <v>#N/A</v>
      </c>
      <c r="BV22" s="24" t="e">
        <f xml:space="preserve">    IF( 'i1'!CO22=LEER,  #N/A,  'i1'!CO22  )</f>
        <v>#N/A</v>
      </c>
      <c r="BW22" s="24" t="e">
        <f xml:space="preserve">    IF( 'i1'!CP22=LEER,  #N/A,  'i1'!CP22  )</f>
        <v>#N/A</v>
      </c>
      <c r="BX22" s="24" t="e">
        <f xml:space="preserve">    IF( 'i1'!CQ22=LEER,  #N/A,  'i1'!CQ22  )</f>
        <v>#N/A</v>
      </c>
      <c r="BY22" s="38" t="e">
        <f xml:space="preserve">    IF( 'i1'!CN22=LEER,  #N/A,  'i1'!CN22  )</f>
        <v>#N/A</v>
      </c>
      <c r="CD22" s="113" t="e">
        <f xml:space="preserve"> IF(  AND( $A22&lt;&gt;$CD$14, OR( 'i1'!EO22=LEER, 'i1'!EM22&lt;&gt;LEER ) ), #N/A, 'i1'!EO22 )</f>
        <v>#N/A</v>
      </c>
      <c r="CE22" s="113" t="e">
        <f xml:space="preserve"> IF(   'i1'!EM22=LEER, #N/A,  'i1'!EM22 )</f>
        <v>#N/A</v>
      </c>
      <c r="CF22" s="114" t="e">
        <f xml:space="preserve"> IF(   'i1'!EL22=LEER, #N/A, 'i1'!EL22 + 'i1'!EM22 )</f>
        <v>#N/A</v>
      </c>
      <c r="CW22" s="104">
        <f xml:space="preserve"> 'i1'!FN22</f>
        <v>22</v>
      </c>
      <c r="CX22" s="106">
        <f xml:space="preserve"> IF(  INDEX( 'i1'!$FS22:$JO22, CX$13 ) = LEER,  #N/A,  INDEX( 'i1'!$FS22:$JO22, CX$13 )  )</f>
        <v>1194.74</v>
      </c>
      <c r="CY22" s="106" t="e">
        <f xml:space="preserve"> IF(  INDEX( 'i1'!$FS22:$JO22, CY$13 ) = LEER,  #N/A,  INDEX( 'i1'!$FS22:$JO22, CY$13 )  )</f>
        <v>#N/A</v>
      </c>
      <c r="CZ22" s="106" t="e">
        <f xml:space="preserve"> IF(  INDEX( 'i1'!$FS22:$JO22, CZ$13 ) = LEER,  #N/A,  INDEX( 'i1'!$FS22:$JO22, CZ$13 )  )</f>
        <v>#N/A</v>
      </c>
      <c r="DA22" s="106" t="e">
        <f xml:space="preserve"> IF(  INDEX( 'i1'!$FS22:$JO22, DA$13 ) = LEER,  #N/A,  INDEX( 'i1'!$FS22:$JO22, DA$13 )  )</f>
        <v>#N/A</v>
      </c>
      <c r="DB22" s="106" t="e">
        <f xml:space="preserve"> IF(  INDEX( 'i1'!$FS22:$JO22, DB$13 ) = LEER,  #N/A,  INDEX( 'i1'!$FS22:$JO22, DB$13 )  )</f>
        <v>#N/A</v>
      </c>
      <c r="DC22" s="106" t="e">
        <f xml:space="preserve"> IF(  INDEX( 'i1'!$FS22:$JO22, DC$13 ) = LEER,  #N/A,  INDEX( 'i1'!$FS22:$JO22, DC$13 )  )</f>
        <v>#N/A</v>
      </c>
      <c r="DD22" s="106" t="e">
        <f xml:space="preserve"> IF(  INDEX( 'i1'!$FS22:$JO22, DD$13 ) = LEER,  #N/A,  INDEX( 'i1'!$FS22:$JO22, DD$13 )  )</f>
        <v>#N/A</v>
      </c>
      <c r="DE22" s="106" t="e">
        <f xml:space="preserve"> IF(  INDEX( 'i1'!$FS22:$JO22, DE$13 ) = LEER,  #N/A,  INDEX( 'i1'!$FS22:$JO22, DE$13 )  )</f>
        <v>#N/A</v>
      </c>
      <c r="DF22" s="106" t="e">
        <f xml:space="preserve"> IF(  INDEX( 'i1'!$FS22:$JO22, DF$13 ) = LEER,  #N/A,  INDEX( 'i1'!$FS22:$JO22, DF$13 )  )</f>
        <v>#N/A</v>
      </c>
      <c r="DG22" s="106" t="e">
        <f xml:space="preserve"> IF(  INDEX( 'i1'!$FS22:$JO22, DG$13 ) = LEER,  #N/A,  INDEX( 'i1'!$FS22:$JO22, DG$13 )  )</f>
        <v>#N/A</v>
      </c>
      <c r="DH22" s="106" t="e">
        <f xml:space="preserve"> IF(  INDEX( 'i1'!$FS22:$JO22, DH$13 ) = LEER,  #N/A,  INDEX( 'i1'!$FS22:$JO22, DH$13 )  )</f>
        <v>#N/A</v>
      </c>
      <c r="DI22" s="106" t="e">
        <f xml:space="preserve"> IF(  INDEX( 'i1'!$FS22:$JO22, DI$13 ) = LEER,  #N/A,  INDEX( 'i1'!$FS22:$JO22, DI$13 )  )</f>
        <v>#N/A</v>
      </c>
      <c r="DJ22" s="106" t="e">
        <f xml:space="preserve"> IF(  INDEX( 'i1'!$FS22:$JO22, DJ$13 ) = LEER,  #N/A,  INDEX( 'i1'!$FS22:$JO22, DJ$13 )  )</f>
        <v>#N/A</v>
      </c>
      <c r="DK22" s="106" t="e">
        <f xml:space="preserve"> IF(  INDEX( 'i1'!$FS22:$JO22, DK$13 ) = LEER,  #N/A,  INDEX( 'i1'!$FS22:$JO22, DK$13 )  )</f>
        <v>#N/A</v>
      </c>
      <c r="DL22" s="106" t="e">
        <f xml:space="preserve"> IF(  INDEX( 'i1'!$FS22:$JO22, DL$13 ) = LEER,  #N/A,  INDEX( 'i1'!$FS22:$JO22, DL$13 )  )</f>
        <v>#N/A</v>
      </c>
      <c r="DM22" s="106" t="e">
        <f xml:space="preserve"> IF(  INDEX( 'i1'!$FS22:$JO22, DM$13 ) = LEER,  #N/A,  INDEX( 'i1'!$FS22:$JO22, DM$13 )  )</f>
        <v>#N/A</v>
      </c>
      <c r="DN22" s="106" t="e">
        <f xml:space="preserve"> IF(  INDEX( 'i1'!$FS22:$JO22, DN$13 ) = LEER,  #N/A,  INDEX( 'i1'!$FS22:$JO22, DN$13 )  )</f>
        <v>#N/A</v>
      </c>
    </row>
    <row r="23" spans="1:118" x14ac:dyDescent="0.2">
      <c r="A23" s="15">
        <f xml:space="preserve"> Basis!A23</f>
        <v>23</v>
      </c>
      <c r="C23" s="24" t="b">
        <f xml:space="preserve"> 'i1'!$O23</f>
        <v>1</v>
      </c>
      <c r="D23" s="24" t="b">
        <f xml:space="preserve"> 'i2'!$O23</f>
        <v>1</v>
      </c>
      <c r="E23" s="24" t="b">
        <f xml:space="preserve"> 'i3'!$O23</f>
        <v>1</v>
      </c>
      <c r="G23" s="27">
        <f xml:space="preserve"> IF( $C24,   IF( 'i1'!$P23=LEER,  #N/A,  'i1'!$P23  ),   #N/A  )</f>
        <v>9.3299999999999994E-2</v>
      </c>
      <c r="H23" s="27">
        <f xml:space="preserve"> IF( $D24,   IF( 'i2'!$P23=LEER,  #N/A,  'i2'!$P23  ),   #N/A  )</f>
        <v>9.3299999999999994E-2</v>
      </c>
      <c r="I23" s="27">
        <f xml:space="preserve"> IF( $E24,   IF( 'i3'!$P23=LEER,  #N/A,  'i3'!$P23  ),   #N/A  )</f>
        <v>9.3299999999999994E-2</v>
      </c>
      <c r="J23" s="158"/>
      <c r="K23" s="27">
        <f xml:space="preserve"> IF( $C24,   IF( 'i1'!$G23=LEER,  #N/A,  'i1'!$G23  ),   #N/A  )</f>
        <v>9.2999999999999999E-2</v>
      </c>
      <c r="L23" s="27">
        <f xml:space="preserve"> IF( $D24,   IF( 'i2'!$G23=LEER,  #N/A,  'i2'!$G23  ),   #N/A  )</f>
        <v>9.2999999999999999E-2</v>
      </c>
      <c r="M23" s="27">
        <f xml:space="preserve"> IF( $E24,   IF( 'i3'!$G23=LEER,  #N/A,  'i3'!$G23  ),   #N/A  )</f>
        <v>9.2999999999999999E-2</v>
      </c>
      <c r="N23" s="158"/>
      <c r="O23" s="158"/>
      <c r="Q23" s="28">
        <f t="shared" si="35"/>
        <v>17.282625516545245</v>
      </c>
      <c r="R23" s="28">
        <f t="shared" si="36"/>
        <v>17.282625516545245</v>
      </c>
      <c r="S23" s="28">
        <f t="shared" si="37"/>
        <v>17.282625516545245</v>
      </c>
      <c r="U23" s="76">
        <f xml:space="preserve"> IF( $C22,   SUM('i1'!$R23),   #N/A  )</f>
        <v>3138871</v>
      </c>
      <c r="V23" s="76">
        <f xml:space="preserve"> IF( $C22,   SUM('i2'!$R23),   #N/A  )</f>
        <v>3138871</v>
      </c>
      <c r="W23" s="76">
        <f xml:space="preserve"> IF( $C22,   SUM('i3'!$R23),   #N/A  )</f>
        <v>3138871</v>
      </c>
      <c r="Y23" s="33"/>
      <c r="Z23" s="22">
        <f xml:space="preserve"> IF( $C23,   IF( 'i1'!$J23=LEER,  #N/A,  'i1'!$J23  ),   #N/A  )</f>
        <v>0.85799999999999998</v>
      </c>
      <c r="AA23" s="22">
        <f xml:space="preserve"> IF( $D23,   IF( 'i2'!$J23=LEER,  #N/A,  'i2'!$J23  ),   #N/A  )</f>
        <v>0.85799999999999998</v>
      </c>
      <c r="AB23" s="22">
        <f xml:space="preserve"> IF( $E23,   IF( 'i3'!$J23=LEER,  #N/A,  'i3'!$J23  ),   #N/A  )</f>
        <v>0.85799999999999998</v>
      </c>
      <c r="AC23" s="75"/>
      <c r="AD23" s="26">
        <f t="shared" si="25"/>
        <v>1782.7438199999999</v>
      </c>
      <c r="AE23" s="26">
        <f t="shared" si="26"/>
        <v>1782.7438199999999</v>
      </c>
      <c r="AF23" s="26">
        <f t="shared" si="27"/>
        <v>1782.7438199999999</v>
      </c>
      <c r="AG23" s="23"/>
      <c r="AH23" s="24">
        <f xml:space="preserve">    IF(  'i1'!$AK23=LEER,  #N/A,  ROUND( 'i1'!$AK23, AH$15 )  )</f>
        <v>323.58</v>
      </c>
      <c r="AI23" s="24">
        <f xml:space="preserve">    IF(  'i2'!$AK23=LEER,  #N/A,  ROUND( 'i2'!$AK23, AI$15 )  )</f>
        <v>323.58</v>
      </c>
      <c r="AJ23" s="24">
        <f xml:space="preserve">    IF(  'i3'!$AK23=LEER,  #N/A,  ROUND( 'i3'!$AK23, AJ$15 )  )</f>
        <v>323.58</v>
      </c>
      <c r="AL23" s="102">
        <f t="shared" si="28"/>
        <v>323.58</v>
      </c>
      <c r="AO23" s="24" t="e">
        <f xml:space="preserve">    IF( 'i1'!$AN23=LEER,  #N/A,  'i1'!$AN23  )</f>
        <v>#N/A</v>
      </c>
      <c r="AP23" s="24" t="e">
        <f xml:space="preserve">    IF( 'i2'!$AN23=LEER,  #N/A,  'i2'!$AN23  )</f>
        <v>#N/A</v>
      </c>
      <c r="AQ23" s="24" t="e">
        <f xml:space="preserve">    IF( 'i3'!$AN23=LEER,  #N/A,  'i3'!$AN23  )</f>
        <v>#N/A</v>
      </c>
      <c r="AS23" s="24" t="e">
        <f xml:space="preserve">    IF( 'i1'!$AO23=LEER,  #N/A,  'i1'!$AO23  )</f>
        <v>#N/A</v>
      </c>
      <c r="AT23" s="24" t="e">
        <f xml:space="preserve">    IF( 'i2'!$AO23=LEER,  #N/A,  'i2'!$AO23  )</f>
        <v>#N/A</v>
      </c>
      <c r="AU23" s="24" t="e">
        <f xml:space="preserve">    IF( 'i3'!$AO23=LEER,  #N/A,  'i3'!$AO23  )</f>
        <v>#N/A</v>
      </c>
      <c r="AW23" s="28" t="e">
        <f t="shared" si="38"/>
        <v>#N/A</v>
      </c>
      <c r="AX23" s="28" t="e">
        <f t="shared" si="29"/>
        <v>#N/A</v>
      </c>
      <c r="AY23" s="28" t="e">
        <f t="shared" si="30"/>
        <v>#N/A</v>
      </c>
      <c r="BA23" s="28" t="e">
        <f t="shared" si="31"/>
        <v>#N/A</v>
      </c>
      <c r="BB23" s="28" t="e">
        <f t="shared" si="32"/>
        <v>#N/A</v>
      </c>
      <c r="BC23" s="28" t="e">
        <f t="shared" si="33"/>
        <v>#N/A</v>
      </c>
      <c r="BG23" s="24" t="e">
        <f xml:space="preserve">    IF( 'i1'!BT23=LEER,  #N/A,  'i1'!BT23  )</f>
        <v>#N/A</v>
      </c>
      <c r="BH23" s="24" t="e">
        <f xml:space="preserve">    IF( 'i1'!BR23=LEER,  #N/A,  'i1'!BR23  )</f>
        <v>#N/A</v>
      </c>
      <c r="BI23" s="111" t="e">
        <f t="shared" si="34"/>
        <v>#N/A</v>
      </c>
      <c r="BJ23" s="24" t="e">
        <f xml:space="preserve">    IF( 'i1'!BX23=LEER,  #N/A,  'i1'!BX23  )</f>
        <v>#N/A</v>
      </c>
      <c r="BL23" s="24" t="e">
        <f xml:space="preserve">    IF( 'i1'!CB23=LEER,  #N/A,  'i1'!CB23  )</f>
        <v>#N/A</v>
      </c>
      <c r="BM23" s="24" t="e">
        <f xml:space="preserve">    IF( 'i1'!CC23=LEER,  #N/A,  'i1'!CC23  )</f>
        <v>#N/A</v>
      </c>
      <c r="BN23" s="24" t="e">
        <f xml:space="preserve">    IF( 'i1'!CD23=LEER,  #N/A,  'i1'!CD23  )</f>
        <v>#N/A</v>
      </c>
      <c r="BO23" s="24" t="e">
        <f xml:space="preserve">    IF( 'i1'!CE23=LEER,  #N/A,  'i1'!CE23  )</f>
        <v>#N/A</v>
      </c>
      <c r="BQ23" s="24" t="e">
        <f xml:space="preserve">    IF( 'i1'!CI23=LEER,  #N/A,  'i1'!CI23  )</f>
        <v>#N/A</v>
      </c>
      <c r="BR23" s="24" t="e">
        <f xml:space="preserve">    IF( 'i1'!CJ23=LEER,  #N/A,  'i1'!CJ23  )</f>
        <v>#N/A</v>
      </c>
      <c r="BS23" s="24" t="e">
        <f xml:space="preserve">    IF( 'i1'!CK23=LEER,  #N/A,  'i1'!CK23  )</f>
        <v>#N/A</v>
      </c>
      <c r="BT23" s="38" t="e">
        <f xml:space="preserve">    IF( 'i1'!CH23=LEER,  #N/A,  'i1'!CH23  )</f>
        <v>#N/A</v>
      </c>
      <c r="BV23" s="24" t="e">
        <f xml:space="preserve">    IF( 'i1'!CO23=LEER,  #N/A,  'i1'!CO23  )</f>
        <v>#N/A</v>
      </c>
      <c r="BW23" s="24" t="e">
        <f xml:space="preserve">    IF( 'i1'!CP23=LEER,  #N/A,  'i1'!CP23  )</f>
        <v>#N/A</v>
      </c>
      <c r="BX23" s="24" t="e">
        <f xml:space="preserve">    IF( 'i1'!CQ23=LEER,  #N/A,  'i1'!CQ23  )</f>
        <v>#N/A</v>
      </c>
      <c r="BY23" s="38" t="e">
        <f xml:space="preserve">    IF( 'i1'!CN23=LEER,  #N/A,  'i1'!CN23  )</f>
        <v>#N/A</v>
      </c>
      <c r="CD23" s="113" t="e">
        <f xml:space="preserve"> IF(  AND( $A23&lt;&gt;$CD$14, OR( 'i1'!EO23=LEER, 'i1'!EM23&lt;&gt;LEER ) ), #N/A, 'i1'!EO23 )</f>
        <v>#N/A</v>
      </c>
      <c r="CE23" s="113" t="e">
        <f xml:space="preserve"> IF(   'i1'!EM23=LEER, #N/A,  'i1'!EM23 )</f>
        <v>#N/A</v>
      </c>
      <c r="CF23" s="114" t="e">
        <f xml:space="preserve"> IF(   'i1'!EL23=LEER, #N/A, 'i1'!EL23 + 'i1'!EM23 )</f>
        <v>#N/A</v>
      </c>
      <c r="CW23" s="104">
        <f xml:space="preserve"> 'i1'!FN23</f>
        <v>23</v>
      </c>
      <c r="CX23" s="106">
        <f xml:space="preserve"> IF(  INDEX( 'i1'!$FS23:$JO23, CX$13 ) = LEER,  #N/A,  INDEX( 'i1'!$FS23:$JO23, CX$13 )  )</f>
        <v>2223.3200000000002</v>
      </c>
      <c r="CY23" s="106" t="e">
        <f xml:space="preserve"> IF(  INDEX( 'i1'!$FS23:$JO23, CY$13 ) = LEER,  #N/A,  INDEX( 'i1'!$FS23:$JO23, CY$13 )  )</f>
        <v>#N/A</v>
      </c>
      <c r="CZ23" s="106" t="e">
        <f xml:space="preserve"> IF(  INDEX( 'i1'!$FS23:$JO23, CZ$13 ) = LEER,  #N/A,  INDEX( 'i1'!$FS23:$JO23, CZ$13 )  )</f>
        <v>#N/A</v>
      </c>
      <c r="DA23" s="106" t="e">
        <f xml:space="preserve"> IF(  INDEX( 'i1'!$FS23:$JO23, DA$13 ) = LEER,  #N/A,  INDEX( 'i1'!$FS23:$JO23, DA$13 )  )</f>
        <v>#N/A</v>
      </c>
      <c r="DB23" s="106" t="e">
        <f xml:space="preserve"> IF(  INDEX( 'i1'!$FS23:$JO23, DB$13 ) = LEER,  #N/A,  INDEX( 'i1'!$FS23:$JO23, DB$13 )  )</f>
        <v>#N/A</v>
      </c>
      <c r="DC23" s="106" t="e">
        <f xml:space="preserve"> IF(  INDEX( 'i1'!$FS23:$JO23, DC$13 ) = LEER,  #N/A,  INDEX( 'i1'!$FS23:$JO23, DC$13 )  )</f>
        <v>#N/A</v>
      </c>
      <c r="DD23" s="106" t="e">
        <f xml:space="preserve"> IF(  INDEX( 'i1'!$FS23:$JO23, DD$13 ) = LEER,  #N/A,  INDEX( 'i1'!$FS23:$JO23, DD$13 )  )</f>
        <v>#N/A</v>
      </c>
      <c r="DE23" s="106" t="e">
        <f xml:space="preserve"> IF(  INDEX( 'i1'!$FS23:$JO23, DE$13 ) = LEER,  #N/A,  INDEX( 'i1'!$FS23:$JO23, DE$13 )  )</f>
        <v>#N/A</v>
      </c>
      <c r="DF23" s="106" t="e">
        <f xml:space="preserve"> IF(  INDEX( 'i1'!$FS23:$JO23, DF$13 ) = LEER,  #N/A,  INDEX( 'i1'!$FS23:$JO23, DF$13 )  )</f>
        <v>#N/A</v>
      </c>
      <c r="DG23" s="106" t="e">
        <f xml:space="preserve"> IF(  INDEX( 'i1'!$FS23:$JO23, DG$13 ) = LEER,  #N/A,  INDEX( 'i1'!$FS23:$JO23, DG$13 )  )</f>
        <v>#N/A</v>
      </c>
      <c r="DH23" s="106" t="e">
        <f xml:space="preserve"> IF(  INDEX( 'i1'!$FS23:$JO23, DH$13 ) = LEER,  #N/A,  INDEX( 'i1'!$FS23:$JO23, DH$13 )  )</f>
        <v>#N/A</v>
      </c>
      <c r="DI23" s="106" t="e">
        <f xml:space="preserve"> IF(  INDEX( 'i1'!$FS23:$JO23, DI$13 ) = LEER,  #N/A,  INDEX( 'i1'!$FS23:$JO23, DI$13 )  )</f>
        <v>#N/A</v>
      </c>
      <c r="DJ23" s="106" t="e">
        <f xml:space="preserve"> IF(  INDEX( 'i1'!$FS23:$JO23, DJ$13 ) = LEER,  #N/A,  INDEX( 'i1'!$FS23:$JO23, DJ$13 )  )</f>
        <v>#N/A</v>
      </c>
      <c r="DK23" s="106" t="e">
        <f xml:space="preserve"> IF(  INDEX( 'i1'!$FS23:$JO23, DK$13 ) = LEER,  #N/A,  INDEX( 'i1'!$FS23:$JO23, DK$13 )  )</f>
        <v>#N/A</v>
      </c>
      <c r="DL23" s="106" t="e">
        <f xml:space="preserve"> IF(  INDEX( 'i1'!$FS23:$JO23, DL$13 ) = LEER,  #N/A,  INDEX( 'i1'!$FS23:$JO23, DL$13 )  )</f>
        <v>#N/A</v>
      </c>
      <c r="DM23" s="106" t="e">
        <f xml:space="preserve"> IF(  INDEX( 'i1'!$FS23:$JO23, DM$13 ) = LEER,  #N/A,  INDEX( 'i1'!$FS23:$JO23, DM$13 )  )</f>
        <v>#N/A</v>
      </c>
      <c r="DN23" s="106" t="e">
        <f xml:space="preserve"> IF(  INDEX( 'i1'!$FS23:$JO23, DN$13 ) = LEER,  #N/A,  INDEX( 'i1'!$FS23:$JO23, DN$13 )  )</f>
        <v>#N/A</v>
      </c>
    </row>
    <row r="24" spans="1:118" x14ac:dyDescent="0.2">
      <c r="A24" s="15">
        <f xml:space="preserve"> Basis!A24</f>
        <v>24</v>
      </c>
      <c r="C24" s="24" t="b">
        <f xml:space="preserve"> 'i1'!$O24</f>
        <v>1</v>
      </c>
      <c r="D24" s="24" t="b">
        <f xml:space="preserve"> 'i2'!$O24</f>
        <v>1</v>
      </c>
      <c r="E24" s="24" t="b">
        <f xml:space="preserve"> 'i3'!$O24</f>
        <v>1</v>
      </c>
      <c r="G24" s="27">
        <f xml:space="preserve"> IF( $C25,   IF( 'i1'!$P24=LEER,  #N/A,  'i1'!$P24  ),   #N/A  )</f>
        <v>9.2999999999999999E-2</v>
      </c>
      <c r="H24" s="27">
        <f xml:space="preserve"> IF( $D25,   IF( 'i2'!$P24=LEER,  #N/A,  'i2'!$P24  ),   #N/A  )</f>
        <v>9.2999999999999999E-2</v>
      </c>
      <c r="I24" s="27">
        <f xml:space="preserve"> IF( $E25,   IF( 'i3'!$P24=LEER,  #N/A,  'i3'!$P24  ),   #N/A  )</f>
        <v>9.2999999999999999E-2</v>
      </c>
      <c r="J24" s="158"/>
      <c r="K24" s="27">
        <f xml:space="preserve"> IF( $C25,   IF( 'i1'!$G24=LEER,  #N/A,  'i1'!$G24  ),   #N/A  )</f>
        <v>9.2700000000000005E-2</v>
      </c>
      <c r="L24" s="27">
        <f xml:space="preserve"> IF( $D25,   IF( 'i2'!$G24=LEER,  #N/A,  'i2'!$G24  ),   #N/A  )</f>
        <v>9.2700000000000005E-2</v>
      </c>
      <c r="M24" s="27">
        <f xml:space="preserve"> IF( $E25,   IF( 'i3'!$G24=LEER,  #N/A,  'i3'!$G24  ),   #N/A  )</f>
        <v>9.2700000000000005E-2</v>
      </c>
      <c r="N24" s="158"/>
      <c r="O24" s="158"/>
      <c r="Q24" s="28">
        <f t="shared" si="35"/>
        <v>18.009568232651642</v>
      </c>
      <c r="R24" s="28">
        <f t="shared" si="36"/>
        <v>18.009568232651642</v>
      </c>
      <c r="S24" s="28">
        <f t="shared" si="37"/>
        <v>18.009568232651642</v>
      </c>
      <c r="U24" s="76">
        <f xml:space="preserve"> IF( $C23,   SUM('i1'!$R24),   #N/A  )</f>
        <v>2846014</v>
      </c>
      <c r="V24" s="76">
        <f xml:space="preserve"> IF( $C23,   SUM('i2'!$R24),   #N/A  )</f>
        <v>2846014</v>
      </c>
      <c r="W24" s="76">
        <f xml:space="preserve"> IF( $C23,   SUM('i3'!$R24),   #N/A  )</f>
        <v>2846014</v>
      </c>
      <c r="Y24" s="33"/>
      <c r="Z24" s="22">
        <f xml:space="preserve"> IF( $C24,   IF( 'i1'!$J24=LEER,  #N/A,  'i1'!$J24  ),   #N/A  )</f>
        <v>0.872</v>
      </c>
      <c r="AA24" s="22">
        <f xml:space="preserve"> IF( $D24,   IF( 'i2'!$J24=LEER,  #N/A,  'i2'!$J24  ),   #N/A  )</f>
        <v>0.872</v>
      </c>
      <c r="AB24" s="22">
        <f xml:space="preserve"> IF( $E24,   IF( 'i3'!$J24=LEER,  #N/A,  'i3'!$J24  ),   #N/A  )</f>
        <v>0.872</v>
      </c>
      <c r="AC24" s="75"/>
      <c r="AD24" s="26">
        <f t="shared" si="25"/>
        <v>1811.8328799999999</v>
      </c>
      <c r="AE24" s="26">
        <f t="shared" si="26"/>
        <v>1811.8328799999999</v>
      </c>
      <c r="AF24" s="26">
        <f t="shared" si="27"/>
        <v>1811.8328799999999</v>
      </c>
      <c r="AG24" s="23"/>
      <c r="AH24" s="24">
        <f xml:space="preserve">    IF(  'i1'!$AK24=LEER,  #N/A,  ROUND( 'i1'!$AK24, AH$15 )  )</f>
        <v>331.55</v>
      </c>
      <c r="AI24" s="24">
        <f xml:space="preserve">    IF(  'i2'!$AK24=LEER,  #N/A,  ROUND( 'i2'!$AK24, AI$15 )  )</f>
        <v>331.55</v>
      </c>
      <c r="AJ24" s="24">
        <f xml:space="preserve">    IF(  'i3'!$AK24=LEER,  #N/A,  ROUND( 'i3'!$AK24, AJ$15 )  )</f>
        <v>331.55</v>
      </c>
      <c r="AL24" s="102">
        <f t="shared" si="28"/>
        <v>331.55</v>
      </c>
      <c r="AO24" s="24" t="e">
        <f xml:space="preserve">    IF( 'i1'!$AN24=LEER,  #N/A,  'i1'!$AN24  )</f>
        <v>#N/A</v>
      </c>
      <c r="AP24" s="24" t="e">
        <f xml:space="preserve">    IF( 'i2'!$AN24=LEER,  #N/A,  'i2'!$AN24  )</f>
        <v>#N/A</v>
      </c>
      <c r="AQ24" s="24" t="e">
        <f xml:space="preserve">    IF( 'i3'!$AN24=LEER,  #N/A,  'i3'!$AN24  )</f>
        <v>#N/A</v>
      </c>
      <c r="AS24" s="24" t="e">
        <f xml:space="preserve">    IF( 'i1'!$AO24=LEER,  #N/A,  'i1'!$AO24  )</f>
        <v>#N/A</v>
      </c>
      <c r="AT24" s="24" t="e">
        <f xml:space="preserve">    IF( 'i2'!$AO24=LEER,  #N/A,  'i2'!$AO24  )</f>
        <v>#N/A</v>
      </c>
      <c r="AU24" s="24" t="e">
        <f xml:space="preserve">    IF( 'i3'!$AO24=LEER,  #N/A,  'i3'!$AO24  )</f>
        <v>#N/A</v>
      </c>
      <c r="AW24" s="28" t="e">
        <f t="shared" si="38"/>
        <v>#N/A</v>
      </c>
      <c r="AX24" s="28" t="e">
        <f t="shared" si="29"/>
        <v>#N/A</v>
      </c>
      <c r="AY24" s="28" t="e">
        <f t="shared" si="30"/>
        <v>#N/A</v>
      </c>
      <c r="BA24" s="28" t="e">
        <f t="shared" si="31"/>
        <v>#N/A</v>
      </c>
      <c r="BB24" s="28" t="e">
        <f t="shared" si="32"/>
        <v>#N/A</v>
      </c>
      <c r="BC24" s="28" t="e">
        <f t="shared" si="33"/>
        <v>#N/A</v>
      </c>
      <c r="BG24" s="24" t="e">
        <f xml:space="preserve">    IF( 'i1'!BT24=LEER,  #N/A,  'i1'!BT24  )</f>
        <v>#N/A</v>
      </c>
      <c r="BH24" s="24" t="e">
        <f xml:space="preserve">    IF( 'i1'!BR24=LEER,  #N/A,  'i1'!BR24  )</f>
        <v>#N/A</v>
      </c>
      <c r="BI24" s="111" t="e">
        <f t="shared" si="34"/>
        <v>#N/A</v>
      </c>
      <c r="BJ24" s="24" t="e">
        <f xml:space="preserve">    IF( 'i1'!BX24=LEER,  #N/A,  'i1'!BX24  )</f>
        <v>#N/A</v>
      </c>
      <c r="BL24" s="24" t="e">
        <f xml:space="preserve">    IF( 'i1'!CB24=LEER,  #N/A,  'i1'!CB24  )</f>
        <v>#N/A</v>
      </c>
      <c r="BM24" s="24" t="e">
        <f xml:space="preserve">    IF( 'i1'!CC24=LEER,  #N/A,  'i1'!CC24  )</f>
        <v>#N/A</v>
      </c>
      <c r="BN24" s="24" t="e">
        <f xml:space="preserve">    IF( 'i1'!CD24=LEER,  #N/A,  'i1'!CD24  )</f>
        <v>#N/A</v>
      </c>
      <c r="BO24" s="24" t="e">
        <f xml:space="preserve">    IF( 'i1'!CE24=LEER,  #N/A,  'i1'!CE24  )</f>
        <v>#N/A</v>
      </c>
      <c r="BQ24" s="24" t="e">
        <f xml:space="preserve">    IF( 'i1'!CI24=LEER,  #N/A,  'i1'!CI24  )</f>
        <v>#N/A</v>
      </c>
      <c r="BR24" s="24" t="e">
        <f xml:space="preserve">    IF( 'i1'!CJ24=LEER,  #N/A,  'i1'!CJ24  )</f>
        <v>#N/A</v>
      </c>
      <c r="BS24" s="24" t="e">
        <f xml:space="preserve">    IF( 'i1'!CK24=LEER,  #N/A,  'i1'!CK24  )</f>
        <v>#N/A</v>
      </c>
      <c r="BT24" s="38" t="e">
        <f xml:space="preserve">    IF( 'i1'!CH24=LEER,  #N/A,  'i1'!CH24  )</f>
        <v>#N/A</v>
      </c>
      <c r="BV24" s="24" t="e">
        <f xml:space="preserve">    IF( 'i1'!CO24=LEER,  #N/A,  'i1'!CO24  )</f>
        <v>#N/A</v>
      </c>
      <c r="BW24" s="24" t="e">
        <f xml:space="preserve">    IF( 'i1'!CP24=LEER,  #N/A,  'i1'!CP24  )</f>
        <v>#N/A</v>
      </c>
      <c r="BX24" s="24" t="e">
        <f xml:space="preserve">    IF( 'i1'!CQ24=LEER,  #N/A,  'i1'!CQ24  )</f>
        <v>#N/A</v>
      </c>
      <c r="BY24" s="38" t="e">
        <f xml:space="preserve">    IF( 'i1'!CN24=LEER,  #N/A,  'i1'!CN24  )</f>
        <v>#N/A</v>
      </c>
      <c r="CD24" s="113" t="e">
        <f xml:space="preserve"> IF(  AND( $A24&lt;&gt;$CD$14, OR( 'i1'!EO24=LEER, 'i1'!EM24&lt;&gt;LEER ) ), #N/A, 'i1'!EO24 )</f>
        <v>#N/A</v>
      </c>
      <c r="CE24" s="113" t="e">
        <f xml:space="preserve"> IF(   'i1'!EM24=LEER, #N/A,  'i1'!EM24 )</f>
        <v>#N/A</v>
      </c>
      <c r="CF24" s="114" t="e">
        <f xml:space="preserve"> IF(   'i1'!EL24=LEER, #N/A, 'i1'!EL24 + 'i1'!EM24 )</f>
        <v>#N/A</v>
      </c>
      <c r="CW24" s="104">
        <f xml:space="preserve"> 'i1'!FN24</f>
        <v>24</v>
      </c>
      <c r="CX24" s="106">
        <f xml:space="preserve"> IF(  INDEX( 'i1'!$FS24:$JO24, CX$13 ) = LEER,  #N/A,  INDEX( 'i1'!$FS24:$JO24, CX$13 )  )</f>
        <v>3317.53</v>
      </c>
      <c r="CY24" s="106" t="e">
        <f xml:space="preserve"> IF(  INDEX( 'i1'!$FS24:$JO24, CY$13 ) = LEER,  #N/A,  INDEX( 'i1'!$FS24:$JO24, CY$13 )  )</f>
        <v>#N/A</v>
      </c>
      <c r="CZ24" s="106" t="e">
        <f xml:space="preserve"> IF(  INDEX( 'i1'!$FS24:$JO24, CZ$13 ) = LEER,  #N/A,  INDEX( 'i1'!$FS24:$JO24, CZ$13 )  )</f>
        <v>#N/A</v>
      </c>
      <c r="DA24" s="106" t="e">
        <f xml:space="preserve"> IF(  INDEX( 'i1'!$FS24:$JO24, DA$13 ) = LEER,  #N/A,  INDEX( 'i1'!$FS24:$JO24, DA$13 )  )</f>
        <v>#N/A</v>
      </c>
      <c r="DB24" s="106" t="e">
        <f xml:space="preserve"> IF(  INDEX( 'i1'!$FS24:$JO24, DB$13 ) = LEER,  #N/A,  INDEX( 'i1'!$FS24:$JO24, DB$13 )  )</f>
        <v>#N/A</v>
      </c>
      <c r="DC24" s="106" t="e">
        <f xml:space="preserve"> IF(  INDEX( 'i1'!$FS24:$JO24, DC$13 ) = LEER,  #N/A,  INDEX( 'i1'!$FS24:$JO24, DC$13 )  )</f>
        <v>#N/A</v>
      </c>
      <c r="DD24" s="106" t="e">
        <f xml:space="preserve"> IF(  INDEX( 'i1'!$FS24:$JO24, DD$13 ) = LEER,  #N/A,  INDEX( 'i1'!$FS24:$JO24, DD$13 )  )</f>
        <v>#N/A</v>
      </c>
      <c r="DE24" s="106" t="e">
        <f xml:space="preserve"> IF(  INDEX( 'i1'!$FS24:$JO24, DE$13 ) = LEER,  #N/A,  INDEX( 'i1'!$FS24:$JO24, DE$13 )  )</f>
        <v>#N/A</v>
      </c>
      <c r="DF24" s="106" t="e">
        <f xml:space="preserve"> IF(  INDEX( 'i1'!$FS24:$JO24, DF$13 ) = LEER,  #N/A,  INDEX( 'i1'!$FS24:$JO24, DF$13 )  )</f>
        <v>#N/A</v>
      </c>
      <c r="DG24" s="106" t="e">
        <f xml:space="preserve"> IF(  INDEX( 'i1'!$FS24:$JO24, DG$13 ) = LEER,  #N/A,  INDEX( 'i1'!$FS24:$JO24, DG$13 )  )</f>
        <v>#N/A</v>
      </c>
      <c r="DH24" s="106" t="e">
        <f xml:space="preserve"> IF(  INDEX( 'i1'!$FS24:$JO24, DH$13 ) = LEER,  #N/A,  INDEX( 'i1'!$FS24:$JO24, DH$13 )  )</f>
        <v>#N/A</v>
      </c>
      <c r="DI24" s="106" t="e">
        <f xml:space="preserve"> IF(  INDEX( 'i1'!$FS24:$JO24, DI$13 ) = LEER,  #N/A,  INDEX( 'i1'!$FS24:$JO24, DI$13 )  )</f>
        <v>#N/A</v>
      </c>
      <c r="DJ24" s="106" t="e">
        <f xml:space="preserve"> IF(  INDEX( 'i1'!$FS24:$JO24, DJ$13 ) = LEER,  #N/A,  INDEX( 'i1'!$FS24:$JO24, DJ$13 )  )</f>
        <v>#N/A</v>
      </c>
      <c r="DK24" s="106" t="e">
        <f xml:space="preserve"> IF(  INDEX( 'i1'!$FS24:$JO24, DK$13 ) = LEER,  #N/A,  INDEX( 'i1'!$FS24:$JO24, DK$13 )  )</f>
        <v>#N/A</v>
      </c>
      <c r="DL24" s="106" t="e">
        <f xml:space="preserve"> IF(  INDEX( 'i1'!$FS24:$JO24, DL$13 ) = LEER,  #N/A,  INDEX( 'i1'!$FS24:$JO24, DL$13 )  )</f>
        <v>#N/A</v>
      </c>
      <c r="DM24" s="106" t="e">
        <f xml:space="preserve"> IF(  INDEX( 'i1'!$FS24:$JO24, DM$13 ) = LEER,  #N/A,  INDEX( 'i1'!$FS24:$JO24, DM$13 )  )</f>
        <v>#N/A</v>
      </c>
      <c r="DN24" s="106" t="e">
        <f xml:space="preserve"> IF(  INDEX( 'i1'!$FS24:$JO24, DN$13 ) = LEER,  #N/A,  INDEX( 'i1'!$FS24:$JO24, DN$13 )  )</f>
        <v>#N/A</v>
      </c>
    </row>
    <row r="25" spans="1:118" x14ac:dyDescent="0.2">
      <c r="A25" s="15">
        <f xml:space="preserve"> Basis!A25</f>
        <v>25</v>
      </c>
      <c r="C25" s="24" t="b">
        <f xml:space="preserve"> 'i1'!$O25</f>
        <v>1</v>
      </c>
      <c r="D25" s="24" t="b">
        <f xml:space="preserve"> 'i2'!$O25</f>
        <v>1</v>
      </c>
      <c r="E25" s="24" t="b">
        <f xml:space="preserve"> 'i3'!$O25</f>
        <v>1</v>
      </c>
      <c r="G25" s="27">
        <f xml:space="preserve"> IF( $C26,   IF( 'i1'!$P25=LEER,  #N/A,  'i1'!$P25  ),   #N/A  )</f>
        <v>0.1032</v>
      </c>
      <c r="H25" s="27">
        <f xml:space="preserve"> IF( $D26,   IF( 'i2'!$P25=LEER,  #N/A,  'i2'!$P25  ),   #N/A  )</f>
        <v>0.1032</v>
      </c>
      <c r="I25" s="27">
        <f xml:space="preserve"> IF( $E26,   IF( 'i3'!$P25=LEER,  #N/A,  'i3'!$P25  ),   #N/A  )</f>
        <v>0.1032</v>
      </c>
      <c r="J25" s="158"/>
      <c r="K25" s="27">
        <f xml:space="preserve"> IF( $C26,   IF( 'i1'!$G25=LEER,  #N/A,  'i1'!$G25  ),   #N/A  )</f>
        <v>0.10290000000000001</v>
      </c>
      <c r="L25" s="27">
        <f xml:space="preserve"> IF( $D26,   IF( 'i2'!$G25=LEER,  #N/A,  'i2'!$G25  ),   #N/A  )</f>
        <v>0.10290000000000001</v>
      </c>
      <c r="M25" s="27">
        <f xml:space="preserve"> IF( $E26,   IF( 'i3'!$G25=LEER,  #N/A,  'i3'!$G25  ),   #N/A  )</f>
        <v>0.10290000000000001</v>
      </c>
      <c r="N25" s="158"/>
      <c r="O25" s="158"/>
      <c r="Q25" s="28">
        <f t="shared" si="35"/>
        <v>18.804926386605995</v>
      </c>
      <c r="R25" s="28">
        <f t="shared" si="36"/>
        <v>18.804926386605995</v>
      </c>
      <c r="S25" s="28">
        <f t="shared" si="37"/>
        <v>18.804926386605995</v>
      </c>
      <c r="U25" s="76">
        <f xml:space="preserve"> IF( $C24,   SUM('i1'!$R25),   #N/A  )</f>
        <v>2581334</v>
      </c>
      <c r="V25" s="76">
        <f xml:space="preserve"> IF( $C24,   SUM('i2'!$R25),   #N/A  )</f>
        <v>2581334</v>
      </c>
      <c r="W25" s="76">
        <f xml:space="preserve"> IF( $C24,   SUM('i3'!$R25),   #N/A  )</f>
        <v>2581334</v>
      </c>
      <c r="Y25" s="33"/>
      <c r="Z25" s="22">
        <f xml:space="preserve"> IF( $C25,   IF( 'i1'!$J25=LEER,  #N/A,  'i1'!$J25  ),   #N/A  )</f>
        <v>0.89900000000000002</v>
      </c>
      <c r="AA25" s="22">
        <f xml:space="preserve"> IF( $D25,   IF( 'i2'!$J25=LEER,  #N/A,  'i2'!$J25  ),   #N/A  )</f>
        <v>0.89900000000000002</v>
      </c>
      <c r="AB25" s="22">
        <f xml:space="preserve"> IF( $E25,   IF( 'i3'!$J25=LEER,  #N/A,  'i3'!$J25  ),   #N/A  )</f>
        <v>0.89900000000000002</v>
      </c>
      <c r="AC25" s="75"/>
      <c r="AD25" s="26">
        <f t="shared" si="25"/>
        <v>1867.9332099999999</v>
      </c>
      <c r="AE25" s="26">
        <f t="shared" si="26"/>
        <v>1867.9332099999999</v>
      </c>
      <c r="AF25" s="26">
        <f t="shared" si="27"/>
        <v>1867.9332099999999</v>
      </c>
      <c r="AG25" s="23"/>
      <c r="AH25" s="24">
        <f xml:space="preserve">    IF(  'i1'!$AK25=LEER,  #N/A,  ROUND( 'i1'!$AK25, AH$15 )  )</f>
        <v>339.72</v>
      </c>
      <c r="AI25" s="24">
        <f xml:space="preserve">    IF(  'i2'!$AK25=LEER,  #N/A,  ROUND( 'i2'!$AK25, AI$15 )  )</f>
        <v>339.72</v>
      </c>
      <c r="AJ25" s="24">
        <f xml:space="preserve">    IF(  'i3'!$AK25=LEER,  #N/A,  ROUND( 'i3'!$AK25, AJ$15 )  )</f>
        <v>339.72</v>
      </c>
      <c r="AL25" s="102">
        <f t="shared" si="28"/>
        <v>339.72</v>
      </c>
      <c r="AO25" s="24" t="e">
        <f xml:space="preserve">    IF( 'i1'!$AN25=LEER,  #N/A,  'i1'!$AN25  )</f>
        <v>#N/A</v>
      </c>
      <c r="AP25" s="24" t="e">
        <f xml:space="preserve">    IF( 'i2'!$AN25=LEER,  #N/A,  'i2'!$AN25  )</f>
        <v>#N/A</v>
      </c>
      <c r="AQ25" s="24" t="e">
        <f xml:space="preserve">    IF( 'i3'!$AN25=LEER,  #N/A,  'i3'!$AN25  )</f>
        <v>#N/A</v>
      </c>
      <c r="AS25" s="24" t="e">
        <f xml:space="preserve">    IF( 'i1'!$AO25=LEER,  #N/A,  'i1'!$AO25  )</f>
        <v>#N/A</v>
      </c>
      <c r="AT25" s="24" t="e">
        <f xml:space="preserve">    IF( 'i2'!$AO25=LEER,  #N/A,  'i2'!$AO25  )</f>
        <v>#N/A</v>
      </c>
      <c r="AU25" s="24" t="e">
        <f xml:space="preserve">    IF( 'i3'!$AO25=LEER,  #N/A,  'i3'!$AO25  )</f>
        <v>#N/A</v>
      </c>
      <c r="AW25" s="28" t="e">
        <f t="shared" si="38"/>
        <v>#N/A</v>
      </c>
      <c r="AX25" s="28" t="e">
        <f t="shared" si="29"/>
        <v>#N/A</v>
      </c>
      <c r="AY25" s="28" t="e">
        <f t="shared" si="30"/>
        <v>#N/A</v>
      </c>
      <c r="BA25" s="28" t="e">
        <f t="shared" si="31"/>
        <v>#N/A</v>
      </c>
      <c r="BB25" s="28" t="e">
        <f t="shared" si="32"/>
        <v>#N/A</v>
      </c>
      <c r="BC25" s="28" t="e">
        <f t="shared" si="33"/>
        <v>#N/A</v>
      </c>
      <c r="BG25" s="24" t="e">
        <f xml:space="preserve">    IF( 'i1'!BT25=LEER,  #N/A,  'i1'!BT25  )</f>
        <v>#N/A</v>
      </c>
      <c r="BH25" s="24" t="e">
        <f xml:space="preserve">    IF( 'i1'!BR25=LEER,  #N/A,  'i1'!BR25  )</f>
        <v>#N/A</v>
      </c>
      <c r="BI25" s="111" t="e">
        <f t="shared" si="34"/>
        <v>#N/A</v>
      </c>
      <c r="BJ25" s="24" t="e">
        <f xml:space="preserve">    IF( 'i1'!BX25=LEER,  #N/A,  'i1'!BX25  )</f>
        <v>#N/A</v>
      </c>
      <c r="BL25" s="24" t="e">
        <f xml:space="preserve">    IF( 'i1'!CB25=LEER,  #N/A,  'i1'!CB25  )</f>
        <v>#N/A</v>
      </c>
      <c r="BM25" s="24" t="e">
        <f xml:space="preserve">    IF( 'i1'!CC25=LEER,  #N/A,  'i1'!CC25  )</f>
        <v>#N/A</v>
      </c>
      <c r="BN25" s="24" t="e">
        <f xml:space="preserve">    IF( 'i1'!CD25=LEER,  #N/A,  'i1'!CD25  )</f>
        <v>#N/A</v>
      </c>
      <c r="BO25" s="24" t="e">
        <f xml:space="preserve">    IF( 'i1'!CE25=LEER,  #N/A,  'i1'!CE25  )</f>
        <v>#N/A</v>
      </c>
      <c r="BQ25" s="24" t="e">
        <f xml:space="preserve">    IF( 'i1'!CI25=LEER,  #N/A,  'i1'!CI25  )</f>
        <v>#N/A</v>
      </c>
      <c r="BR25" s="24" t="e">
        <f xml:space="preserve">    IF( 'i1'!CJ25=LEER,  #N/A,  'i1'!CJ25  )</f>
        <v>#N/A</v>
      </c>
      <c r="BS25" s="24" t="e">
        <f xml:space="preserve">    IF( 'i1'!CK25=LEER,  #N/A,  'i1'!CK25  )</f>
        <v>#N/A</v>
      </c>
      <c r="BT25" s="38" t="e">
        <f xml:space="preserve">    IF( 'i1'!CH25=LEER,  #N/A,  'i1'!CH25  )</f>
        <v>#N/A</v>
      </c>
      <c r="BV25" s="24" t="e">
        <f xml:space="preserve">    IF( 'i1'!CO25=LEER,  #N/A,  'i1'!CO25  )</f>
        <v>#N/A</v>
      </c>
      <c r="BW25" s="24" t="e">
        <f xml:space="preserve">    IF( 'i1'!CP25=LEER,  #N/A,  'i1'!CP25  )</f>
        <v>#N/A</v>
      </c>
      <c r="BX25" s="24" t="e">
        <f xml:space="preserve">    IF( 'i1'!CQ25=LEER,  #N/A,  'i1'!CQ25  )</f>
        <v>#N/A</v>
      </c>
      <c r="BY25" s="38" t="e">
        <f xml:space="preserve">    IF( 'i1'!CN25=LEER,  #N/A,  'i1'!CN25  )</f>
        <v>#N/A</v>
      </c>
      <c r="CD25" s="113" t="e">
        <f xml:space="preserve"> IF(  AND( $A25&lt;&gt;$CD$14, OR( 'i1'!EO25=LEER, 'i1'!EM25&lt;&gt;LEER ) ), #N/A, 'i1'!EO25 )</f>
        <v>#N/A</v>
      </c>
      <c r="CE25" s="113" t="e">
        <f xml:space="preserve"> IF(   'i1'!EM25=LEER, #N/A,  'i1'!EM25 )</f>
        <v>#N/A</v>
      </c>
      <c r="CF25" s="114" t="e">
        <f xml:space="preserve"> IF(   'i1'!EL25=LEER, #N/A, 'i1'!EL25 + 'i1'!EM25 )</f>
        <v>#N/A</v>
      </c>
      <c r="CW25" s="104">
        <f xml:space="preserve"> 'i1'!FN25</f>
        <v>25</v>
      </c>
      <c r="CX25" s="106">
        <f xml:space="preserve"> IF(  INDEX( 'i1'!$FS25:$JO25, CX$13 ) = LEER,  #N/A,  INDEX( 'i1'!$FS25:$JO25, CX$13 )  )</f>
        <v>4520.32</v>
      </c>
      <c r="CY25" s="106">
        <f xml:space="preserve"> IF(  INDEX( 'i1'!$FS25:$JO25, CY$13 ) = LEER,  #N/A,  INDEX( 'i1'!$FS25:$JO25, CY$13 )  )</f>
        <v>-677.15</v>
      </c>
      <c r="CZ25" s="106" t="e">
        <f xml:space="preserve"> IF(  INDEX( 'i1'!$FS25:$JO25, CZ$13 ) = LEER,  #N/A,  INDEX( 'i1'!$FS25:$JO25, CZ$13 )  )</f>
        <v>#N/A</v>
      </c>
      <c r="DA25" s="106" t="e">
        <f xml:space="preserve"> IF(  INDEX( 'i1'!$FS25:$JO25, DA$13 ) = LEER,  #N/A,  INDEX( 'i1'!$FS25:$JO25, DA$13 )  )</f>
        <v>#N/A</v>
      </c>
      <c r="DB25" s="106" t="e">
        <f xml:space="preserve"> IF(  INDEX( 'i1'!$FS25:$JO25, DB$13 ) = LEER,  #N/A,  INDEX( 'i1'!$FS25:$JO25, DB$13 )  )</f>
        <v>#N/A</v>
      </c>
      <c r="DC25" s="106" t="e">
        <f xml:space="preserve"> IF(  INDEX( 'i1'!$FS25:$JO25, DC$13 ) = LEER,  #N/A,  INDEX( 'i1'!$FS25:$JO25, DC$13 )  )</f>
        <v>#N/A</v>
      </c>
      <c r="DD25" s="106" t="e">
        <f xml:space="preserve"> IF(  INDEX( 'i1'!$FS25:$JO25, DD$13 ) = LEER,  #N/A,  INDEX( 'i1'!$FS25:$JO25, DD$13 )  )</f>
        <v>#N/A</v>
      </c>
      <c r="DE25" s="106" t="e">
        <f xml:space="preserve"> IF(  INDEX( 'i1'!$FS25:$JO25, DE$13 ) = LEER,  #N/A,  INDEX( 'i1'!$FS25:$JO25, DE$13 )  )</f>
        <v>#N/A</v>
      </c>
      <c r="DF25" s="106" t="e">
        <f xml:space="preserve"> IF(  INDEX( 'i1'!$FS25:$JO25, DF$13 ) = LEER,  #N/A,  INDEX( 'i1'!$FS25:$JO25, DF$13 )  )</f>
        <v>#N/A</v>
      </c>
      <c r="DG25" s="106" t="e">
        <f xml:space="preserve"> IF(  INDEX( 'i1'!$FS25:$JO25, DG$13 ) = LEER,  #N/A,  INDEX( 'i1'!$FS25:$JO25, DG$13 )  )</f>
        <v>#N/A</v>
      </c>
      <c r="DH25" s="106" t="e">
        <f xml:space="preserve"> IF(  INDEX( 'i1'!$FS25:$JO25, DH$13 ) = LEER,  #N/A,  INDEX( 'i1'!$FS25:$JO25, DH$13 )  )</f>
        <v>#N/A</v>
      </c>
      <c r="DI25" s="106" t="e">
        <f xml:space="preserve"> IF(  INDEX( 'i1'!$FS25:$JO25, DI$13 ) = LEER,  #N/A,  INDEX( 'i1'!$FS25:$JO25, DI$13 )  )</f>
        <v>#N/A</v>
      </c>
      <c r="DJ25" s="106" t="e">
        <f xml:space="preserve"> IF(  INDEX( 'i1'!$FS25:$JO25, DJ$13 ) = LEER,  #N/A,  INDEX( 'i1'!$FS25:$JO25, DJ$13 )  )</f>
        <v>#N/A</v>
      </c>
      <c r="DK25" s="106" t="e">
        <f xml:space="preserve"> IF(  INDEX( 'i1'!$FS25:$JO25, DK$13 ) = LEER,  #N/A,  INDEX( 'i1'!$FS25:$JO25, DK$13 )  )</f>
        <v>#N/A</v>
      </c>
      <c r="DL25" s="106" t="e">
        <f xml:space="preserve"> IF(  INDEX( 'i1'!$FS25:$JO25, DL$13 ) = LEER,  #N/A,  INDEX( 'i1'!$FS25:$JO25, DL$13 )  )</f>
        <v>#N/A</v>
      </c>
      <c r="DM25" s="106" t="e">
        <f xml:space="preserve"> IF(  INDEX( 'i1'!$FS25:$JO25, DM$13 ) = LEER,  #N/A,  INDEX( 'i1'!$FS25:$JO25, DM$13 )  )</f>
        <v>#N/A</v>
      </c>
      <c r="DN25" s="106" t="e">
        <f xml:space="preserve"> IF(  INDEX( 'i1'!$FS25:$JO25, DN$13 ) = LEER,  #N/A,  INDEX( 'i1'!$FS25:$JO25, DN$13 )  )</f>
        <v>#N/A</v>
      </c>
    </row>
    <row r="26" spans="1:118" x14ac:dyDescent="0.2">
      <c r="A26" s="15">
        <f xml:space="preserve"> Basis!A26</f>
        <v>26</v>
      </c>
      <c r="C26" s="24" t="b">
        <f xml:space="preserve"> 'i1'!$O26</f>
        <v>1</v>
      </c>
      <c r="D26" s="24" t="b">
        <f xml:space="preserve"> 'i2'!$O26</f>
        <v>1</v>
      </c>
      <c r="E26" s="24" t="b">
        <f xml:space="preserve"> 'i3'!$O26</f>
        <v>1</v>
      </c>
      <c r="G26" s="27">
        <f xml:space="preserve"> IF( $C27,   IF( 'i1'!$P26=LEER,  #N/A,  'i1'!$P26  ),   #N/A  )</f>
        <v>0.1129</v>
      </c>
      <c r="H26" s="27">
        <f xml:space="preserve"> IF( $D27,   IF( 'i2'!$P26=LEER,  #N/A,  'i2'!$P26  ),   #N/A  )</f>
        <v>0.1129</v>
      </c>
      <c r="I26" s="27">
        <f xml:space="preserve"> IF( $E27,   IF( 'i3'!$P26=LEER,  #N/A,  'i3'!$P26  ),   #N/A  )</f>
        <v>0.1129</v>
      </c>
      <c r="J26" s="158"/>
      <c r="K26" s="27">
        <f xml:space="preserve"> IF( $C27,   IF( 'i1'!$G26=LEER,  #N/A,  'i1'!$G26  ),   #N/A  )</f>
        <v>0.11260000000000001</v>
      </c>
      <c r="L26" s="27">
        <f xml:space="preserve"> IF( $D27,   IF( 'i2'!$G26=LEER,  #N/A,  'i2'!$G26  ),   #N/A  )</f>
        <v>0.11260000000000001</v>
      </c>
      <c r="M26" s="27">
        <f xml:space="preserve"> IF( $E27,   IF( 'i3'!$G26=LEER,  #N/A,  'i3'!$G26  ),   #N/A  )</f>
        <v>0.11260000000000001</v>
      </c>
      <c r="N26" s="158"/>
      <c r="O26" s="158"/>
      <c r="Q26" s="28">
        <f t="shared" si="35"/>
        <v>19.911380894966541</v>
      </c>
      <c r="R26" s="28">
        <f t="shared" si="36"/>
        <v>19.911380894966541</v>
      </c>
      <c r="S26" s="28">
        <f t="shared" si="37"/>
        <v>19.911380894966541</v>
      </c>
      <c r="U26" s="76">
        <f xml:space="preserve"> IF( $C25,   SUM('i1'!$R26),   #N/A  )</f>
        <v>2314940</v>
      </c>
      <c r="V26" s="76">
        <f xml:space="preserve"> IF( $C25,   SUM('i2'!$R26),   #N/A  )</f>
        <v>2314940</v>
      </c>
      <c r="W26" s="76">
        <f xml:space="preserve"> IF( $C25,   SUM('i3'!$R26),   #N/A  )</f>
        <v>2314940</v>
      </c>
      <c r="Y26" s="33"/>
      <c r="Z26" s="22">
        <f xml:space="preserve"> IF( $C26,   IF( 'i1'!$J26=LEER,  #N/A,  'i1'!$J26  ),   #N/A  )</f>
        <v>0.90900000000000003</v>
      </c>
      <c r="AA26" s="22">
        <f xml:space="preserve"> IF( $D26,   IF( 'i2'!$J26=LEER,  #N/A,  'i2'!$J26  ),   #N/A  )</f>
        <v>0.90900000000000003</v>
      </c>
      <c r="AB26" s="22">
        <f xml:space="preserve"> IF( $E26,   IF( 'i3'!$J26=LEER,  #N/A,  'i3'!$J26  ),   #N/A  )</f>
        <v>0.90900000000000003</v>
      </c>
      <c r="AC26" s="75"/>
      <c r="AD26" s="26">
        <f t="shared" si="25"/>
        <v>1888.71111</v>
      </c>
      <c r="AE26" s="26">
        <f t="shared" si="26"/>
        <v>1888.71111</v>
      </c>
      <c r="AF26" s="26">
        <f t="shared" si="27"/>
        <v>1888.71111</v>
      </c>
      <c r="AG26" s="23"/>
      <c r="AH26" s="24">
        <f xml:space="preserve">    IF(  'i1'!$AK26=LEER,  #N/A,  ROUND( 'i1'!$AK26, AH$15 )  )</f>
        <v>347.84</v>
      </c>
      <c r="AI26" s="24">
        <f xml:space="preserve">    IF(  'i2'!$AK26=LEER,  #N/A,  ROUND( 'i2'!$AK26, AI$15 )  )</f>
        <v>347.84</v>
      </c>
      <c r="AJ26" s="24">
        <f xml:space="preserve">    IF(  'i3'!$AK26=LEER,  #N/A,  ROUND( 'i3'!$AK26, AJ$15 )  )</f>
        <v>347.84</v>
      </c>
      <c r="AL26" s="102">
        <f t="shared" si="28"/>
        <v>347.84</v>
      </c>
      <c r="AO26" s="24" t="e">
        <f xml:space="preserve">    IF( 'i1'!$AN26=LEER,  #N/A,  'i1'!$AN26  )</f>
        <v>#N/A</v>
      </c>
      <c r="AP26" s="24" t="e">
        <f xml:space="preserve">    IF( 'i2'!$AN26=LEER,  #N/A,  'i2'!$AN26  )</f>
        <v>#N/A</v>
      </c>
      <c r="AQ26" s="24" t="e">
        <f xml:space="preserve">    IF( 'i3'!$AN26=LEER,  #N/A,  'i3'!$AN26  )</f>
        <v>#N/A</v>
      </c>
      <c r="AS26" s="24" t="e">
        <f xml:space="preserve">    IF( 'i1'!$AO26=LEER,  #N/A,  'i1'!$AO26  )</f>
        <v>#N/A</v>
      </c>
      <c r="AT26" s="24" t="e">
        <f xml:space="preserve">    IF( 'i2'!$AO26=LEER,  #N/A,  'i2'!$AO26  )</f>
        <v>#N/A</v>
      </c>
      <c r="AU26" s="24" t="e">
        <f xml:space="preserve">    IF( 'i3'!$AO26=LEER,  #N/A,  'i3'!$AO26  )</f>
        <v>#N/A</v>
      </c>
      <c r="AW26" s="28" t="e">
        <f t="shared" si="38"/>
        <v>#N/A</v>
      </c>
      <c r="AX26" s="28" t="e">
        <f t="shared" si="29"/>
        <v>#N/A</v>
      </c>
      <c r="AY26" s="28" t="e">
        <f t="shared" si="30"/>
        <v>#N/A</v>
      </c>
      <c r="BA26" s="28" t="e">
        <f t="shared" si="31"/>
        <v>#N/A</v>
      </c>
      <c r="BB26" s="28" t="e">
        <f t="shared" si="32"/>
        <v>#N/A</v>
      </c>
      <c r="BC26" s="28" t="e">
        <f t="shared" si="33"/>
        <v>#N/A</v>
      </c>
      <c r="BG26" s="24" t="e">
        <f xml:space="preserve">    IF( 'i1'!BT26=LEER,  #N/A,  'i1'!BT26  )</f>
        <v>#N/A</v>
      </c>
      <c r="BH26" s="24" t="e">
        <f xml:space="preserve">    IF( 'i1'!BR26=LEER,  #N/A,  'i1'!BR26  )</f>
        <v>#N/A</v>
      </c>
      <c r="BI26" s="111" t="e">
        <f t="shared" si="34"/>
        <v>#N/A</v>
      </c>
      <c r="BJ26" s="24" t="e">
        <f xml:space="preserve">    IF( 'i1'!BX26=LEER,  #N/A,  'i1'!BX26  )</f>
        <v>#N/A</v>
      </c>
      <c r="BL26" s="24" t="e">
        <f xml:space="preserve">    IF( 'i1'!CB26=LEER,  #N/A,  'i1'!CB26  )</f>
        <v>#N/A</v>
      </c>
      <c r="BM26" s="24" t="e">
        <f xml:space="preserve">    IF( 'i1'!CC26=LEER,  #N/A,  'i1'!CC26  )</f>
        <v>#N/A</v>
      </c>
      <c r="BN26" s="24" t="e">
        <f xml:space="preserve">    IF( 'i1'!CD26=LEER,  #N/A,  'i1'!CD26  )</f>
        <v>#N/A</v>
      </c>
      <c r="BO26" s="24" t="e">
        <f xml:space="preserve">    IF( 'i1'!CE26=LEER,  #N/A,  'i1'!CE26  )</f>
        <v>#N/A</v>
      </c>
      <c r="BQ26" s="24" t="e">
        <f xml:space="preserve">    IF( 'i1'!CI26=LEER,  #N/A,  'i1'!CI26  )</f>
        <v>#N/A</v>
      </c>
      <c r="BR26" s="24" t="e">
        <f xml:space="preserve">    IF( 'i1'!CJ26=LEER,  #N/A,  'i1'!CJ26  )</f>
        <v>#N/A</v>
      </c>
      <c r="BS26" s="24" t="e">
        <f xml:space="preserve">    IF( 'i1'!CK26=LEER,  #N/A,  'i1'!CK26  )</f>
        <v>#N/A</v>
      </c>
      <c r="BT26" s="38" t="e">
        <f xml:space="preserve">    IF( 'i1'!CH26=LEER,  #N/A,  'i1'!CH26  )</f>
        <v>#N/A</v>
      </c>
      <c r="BV26" s="24" t="e">
        <f xml:space="preserve">    IF( 'i1'!CO26=LEER,  #N/A,  'i1'!CO26  )</f>
        <v>#N/A</v>
      </c>
      <c r="BW26" s="24" t="e">
        <f xml:space="preserve">    IF( 'i1'!CP26=LEER,  #N/A,  'i1'!CP26  )</f>
        <v>#N/A</v>
      </c>
      <c r="BX26" s="24" t="e">
        <f xml:space="preserve">    IF( 'i1'!CQ26=LEER,  #N/A,  'i1'!CQ26  )</f>
        <v>#N/A</v>
      </c>
      <c r="BY26" s="38" t="e">
        <f xml:space="preserve">    IF( 'i1'!CN26=LEER,  #N/A,  'i1'!CN26  )</f>
        <v>#N/A</v>
      </c>
      <c r="CD26" s="113" t="e">
        <f xml:space="preserve"> IF(  AND( $A26&lt;&gt;$CD$14, OR( 'i1'!EO26=LEER, 'i1'!EM26&lt;&gt;LEER ) ), #N/A, 'i1'!EO26 )</f>
        <v>#N/A</v>
      </c>
      <c r="CE26" s="113" t="e">
        <f xml:space="preserve"> IF(   'i1'!EM26=LEER, #N/A,  'i1'!EM26 )</f>
        <v>#N/A</v>
      </c>
      <c r="CF26" s="114" t="e">
        <f xml:space="preserve"> IF(   'i1'!EL26=LEER, #N/A, 'i1'!EL26 + 'i1'!EM26 )</f>
        <v>#N/A</v>
      </c>
      <c r="CW26" s="104">
        <f xml:space="preserve"> 'i1'!FN26</f>
        <v>26</v>
      </c>
      <c r="CX26" s="106">
        <f xml:space="preserve"> IF(  INDEX( 'i1'!$FS26:$JO26, CX$13 ) = LEER,  #N/A,  INDEX( 'i1'!$FS26:$JO26, CX$13 )  )</f>
        <v>5882.08</v>
      </c>
      <c r="CY26" s="106">
        <f xml:space="preserve"> IF(  INDEX( 'i1'!$FS26:$JO26, CY$13 ) = LEER,  #N/A,  INDEX( 'i1'!$FS26:$JO26, CY$13 )  )</f>
        <v>432.95</v>
      </c>
      <c r="CZ26" s="106" t="e">
        <f xml:space="preserve"> IF(  INDEX( 'i1'!$FS26:$JO26, CZ$13 ) = LEER,  #N/A,  INDEX( 'i1'!$FS26:$JO26, CZ$13 )  )</f>
        <v>#N/A</v>
      </c>
      <c r="DA26" s="106" t="e">
        <f xml:space="preserve"> IF(  INDEX( 'i1'!$FS26:$JO26, DA$13 ) = LEER,  #N/A,  INDEX( 'i1'!$FS26:$JO26, DA$13 )  )</f>
        <v>#N/A</v>
      </c>
      <c r="DB26" s="106" t="e">
        <f xml:space="preserve"> IF(  INDEX( 'i1'!$FS26:$JO26, DB$13 ) = LEER,  #N/A,  INDEX( 'i1'!$FS26:$JO26, DB$13 )  )</f>
        <v>#N/A</v>
      </c>
      <c r="DC26" s="106" t="e">
        <f xml:space="preserve"> IF(  INDEX( 'i1'!$FS26:$JO26, DC$13 ) = LEER,  #N/A,  INDEX( 'i1'!$FS26:$JO26, DC$13 )  )</f>
        <v>#N/A</v>
      </c>
      <c r="DD26" s="106" t="e">
        <f xml:space="preserve"> IF(  INDEX( 'i1'!$FS26:$JO26, DD$13 ) = LEER,  #N/A,  INDEX( 'i1'!$FS26:$JO26, DD$13 )  )</f>
        <v>#N/A</v>
      </c>
      <c r="DE26" s="106" t="e">
        <f xml:space="preserve"> IF(  INDEX( 'i1'!$FS26:$JO26, DE$13 ) = LEER,  #N/A,  INDEX( 'i1'!$FS26:$JO26, DE$13 )  )</f>
        <v>#N/A</v>
      </c>
      <c r="DF26" s="106" t="e">
        <f xml:space="preserve"> IF(  INDEX( 'i1'!$FS26:$JO26, DF$13 ) = LEER,  #N/A,  INDEX( 'i1'!$FS26:$JO26, DF$13 )  )</f>
        <v>#N/A</v>
      </c>
      <c r="DG26" s="106" t="e">
        <f xml:space="preserve"> IF(  INDEX( 'i1'!$FS26:$JO26, DG$13 ) = LEER,  #N/A,  INDEX( 'i1'!$FS26:$JO26, DG$13 )  )</f>
        <v>#N/A</v>
      </c>
      <c r="DH26" s="106" t="e">
        <f xml:space="preserve"> IF(  INDEX( 'i1'!$FS26:$JO26, DH$13 ) = LEER,  #N/A,  INDEX( 'i1'!$FS26:$JO26, DH$13 )  )</f>
        <v>#N/A</v>
      </c>
      <c r="DI26" s="106" t="e">
        <f xml:space="preserve"> IF(  INDEX( 'i1'!$FS26:$JO26, DI$13 ) = LEER,  #N/A,  INDEX( 'i1'!$FS26:$JO26, DI$13 )  )</f>
        <v>#N/A</v>
      </c>
      <c r="DJ26" s="106" t="e">
        <f xml:space="preserve"> IF(  INDEX( 'i1'!$FS26:$JO26, DJ$13 ) = LEER,  #N/A,  INDEX( 'i1'!$FS26:$JO26, DJ$13 )  )</f>
        <v>#N/A</v>
      </c>
      <c r="DK26" s="106" t="e">
        <f xml:space="preserve"> IF(  INDEX( 'i1'!$FS26:$JO26, DK$13 ) = LEER,  #N/A,  INDEX( 'i1'!$FS26:$JO26, DK$13 )  )</f>
        <v>#N/A</v>
      </c>
      <c r="DL26" s="106" t="e">
        <f xml:space="preserve"> IF(  INDEX( 'i1'!$FS26:$JO26, DL$13 ) = LEER,  #N/A,  INDEX( 'i1'!$FS26:$JO26, DL$13 )  )</f>
        <v>#N/A</v>
      </c>
      <c r="DM26" s="106" t="e">
        <f xml:space="preserve"> IF(  INDEX( 'i1'!$FS26:$JO26, DM$13 ) = LEER,  #N/A,  INDEX( 'i1'!$FS26:$JO26, DM$13 )  )</f>
        <v>#N/A</v>
      </c>
      <c r="DN26" s="106" t="e">
        <f xml:space="preserve"> IF(  INDEX( 'i1'!$FS26:$JO26, DN$13 ) = LEER,  #N/A,  INDEX( 'i1'!$FS26:$JO26, DN$13 )  )</f>
        <v>#N/A</v>
      </c>
    </row>
    <row r="27" spans="1:118" x14ac:dyDescent="0.2">
      <c r="A27" s="15">
        <f xml:space="preserve"> Basis!A27</f>
        <v>27</v>
      </c>
      <c r="C27" s="24" t="b">
        <f xml:space="preserve"> 'i1'!$O27</f>
        <v>1</v>
      </c>
      <c r="D27" s="24" t="b">
        <f xml:space="preserve"> 'i2'!$O27</f>
        <v>1</v>
      </c>
      <c r="E27" s="24" t="b">
        <f xml:space="preserve"> 'i3'!$O27</f>
        <v>1</v>
      </c>
      <c r="G27" s="27">
        <f xml:space="preserve"> IF( $C28,   IF( 'i1'!$P27=LEER,  #N/A,  'i1'!$P27  ),   #N/A  )</f>
        <v>0.1113</v>
      </c>
      <c r="H27" s="27">
        <f xml:space="preserve"> IF( $D28,   IF( 'i2'!$P27=LEER,  #N/A,  'i2'!$P27  ),   #N/A  )</f>
        <v>0.1113</v>
      </c>
      <c r="I27" s="27">
        <f xml:space="preserve"> IF( $E28,   IF( 'i3'!$P27=LEER,  #N/A,  'i3'!$P27  ),   #N/A  )</f>
        <v>0.1113</v>
      </c>
      <c r="J27" s="158"/>
      <c r="K27" s="27">
        <f xml:space="preserve"> IF( $C28,   IF( 'i1'!$G27=LEER,  #N/A,  'i1'!$G27  ),   #N/A  )</f>
        <v>0.111</v>
      </c>
      <c r="L27" s="27">
        <f xml:space="preserve"> IF( $D28,   IF( 'i2'!$G27=LEER,  #N/A,  'i2'!$G27  ),   #N/A  )</f>
        <v>0.111</v>
      </c>
      <c r="M27" s="27">
        <f xml:space="preserve"> IF( $E28,   IF( 'i3'!$G27=LEER,  #N/A,  'i3'!$G27  ),   #N/A  )</f>
        <v>0.111</v>
      </c>
      <c r="N27" s="158"/>
      <c r="O27" s="158"/>
      <c r="Q27" s="28">
        <f t="shared" si="35"/>
        <v>21.381840711268786</v>
      </c>
      <c r="R27" s="28">
        <f t="shared" si="36"/>
        <v>21.381840711268786</v>
      </c>
      <c r="S27" s="28">
        <f t="shared" si="37"/>
        <v>21.381840711268786</v>
      </c>
      <c r="U27" s="76">
        <f xml:space="preserve"> IF( $C26,   SUM('i1'!$R27),   #N/A  )</f>
        <v>2053583</v>
      </c>
      <c r="V27" s="76">
        <f xml:space="preserve"> IF( $C26,   SUM('i2'!$R27),   #N/A  )</f>
        <v>2053583</v>
      </c>
      <c r="W27" s="76">
        <f xml:space="preserve"> IF( $C26,   SUM('i3'!$R27),   #N/A  )</f>
        <v>2053583</v>
      </c>
      <c r="Y27" s="33"/>
      <c r="Z27" s="22">
        <f xml:space="preserve"> IF( $C27,   IF( 'i1'!$J27=LEER,  #N/A,  'i1'!$J27  ),   #N/A  )</f>
        <v>0.89800000000000002</v>
      </c>
      <c r="AA27" s="22">
        <f xml:space="preserve"> IF( $D27,   IF( 'i2'!$J27=LEER,  #N/A,  'i2'!$J27  ),   #N/A  )</f>
        <v>0.89800000000000002</v>
      </c>
      <c r="AB27" s="22">
        <f xml:space="preserve"> IF( $E27,   IF( 'i3'!$J27=LEER,  #N/A,  'i3'!$J27  ),   #N/A  )</f>
        <v>0.89800000000000002</v>
      </c>
      <c r="AC27" s="75"/>
      <c r="AD27" s="26">
        <f t="shared" si="25"/>
        <v>1865.8554200000001</v>
      </c>
      <c r="AE27" s="26">
        <f t="shared" si="26"/>
        <v>1865.8554200000001</v>
      </c>
      <c r="AF27" s="26">
        <f t="shared" si="27"/>
        <v>1865.8554200000001</v>
      </c>
      <c r="AG27" s="23"/>
      <c r="AH27" s="24">
        <f xml:space="preserve">    IF(  'i1'!$AK27=LEER,  #N/A,  ROUND( 'i1'!$AK27, AH$15 )  )</f>
        <v>356</v>
      </c>
      <c r="AI27" s="24">
        <f xml:space="preserve">    IF(  'i2'!$AK27=LEER,  #N/A,  ROUND( 'i2'!$AK27, AI$15 )  )</f>
        <v>356</v>
      </c>
      <c r="AJ27" s="24">
        <f xml:space="preserve">    IF(  'i3'!$AK27=LEER,  #N/A,  ROUND( 'i3'!$AK27, AJ$15 )  )</f>
        <v>356</v>
      </c>
      <c r="AL27" s="102">
        <f t="shared" si="28"/>
        <v>356</v>
      </c>
      <c r="AO27" s="24" t="e">
        <f xml:space="preserve">    IF( 'i1'!$AN27=LEER,  #N/A,  'i1'!$AN27  )</f>
        <v>#N/A</v>
      </c>
      <c r="AP27" s="24" t="e">
        <f xml:space="preserve">    IF( 'i2'!$AN27=LEER,  #N/A,  'i2'!$AN27  )</f>
        <v>#N/A</v>
      </c>
      <c r="AQ27" s="24" t="e">
        <f xml:space="preserve">    IF( 'i3'!$AN27=LEER,  #N/A,  'i3'!$AN27  )</f>
        <v>#N/A</v>
      </c>
      <c r="AS27" s="24" t="e">
        <f xml:space="preserve">    IF( 'i1'!$AO27=LEER,  #N/A,  'i1'!$AO27  )</f>
        <v>#N/A</v>
      </c>
      <c r="AT27" s="24" t="e">
        <f xml:space="preserve">    IF( 'i2'!$AO27=LEER,  #N/A,  'i2'!$AO27  )</f>
        <v>#N/A</v>
      </c>
      <c r="AU27" s="24" t="e">
        <f xml:space="preserve">    IF( 'i3'!$AO27=LEER,  #N/A,  'i3'!$AO27  )</f>
        <v>#N/A</v>
      </c>
      <c r="AW27" s="28" t="e">
        <f t="shared" si="38"/>
        <v>#N/A</v>
      </c>
      <c r="AX27" s="28" t="e">
        <f t="shared" si="29"/>
        <v>#N/A</v>
      </c>
      <c r="AY27" s="28" t="e">
        <f t="shared" si="30"/>
        <v>#N/A</v>
      </c>
      <c r="BA27" s="28" t="e">
        <f t="shared" si="31"/>
        <v>#N/A</v>
      </c>
      <c r="BB27" s="28" t="e">
        <f t="shared" si="32"/>
        <v>#N/A</v>
      </c>
      <c r="BC27" s="28" t="e">
        <f t="shared" si="33"/>
        <v>#N/A</v>
      </c>
      <c r="BG27" s="24" t="e">
        <f xml:space="preserve">    IF( 'i1'!BT27=LEER,  #N/A,  'i1'!BT27  )</f>
        <v>#N/A</v>
      </c>
      <c r="BH27" s="24" t="e">
        <f xml:space="preserve">    IF( 'i1'!BR27=LEER,  #N/A,  'i1'!BR27  )</f>
        <v>#N/A</v>
      </c>
      <c r="BI27" s="111" t="e">
        <f t="shared" si="34"/>
        <v>#N/A</v>
      </c>
      <c r="BJ27" s="24" t="e">
        <f xml:space="preserve">    IF( 'i1'!BX27=LEER,  #N/A,  'i1'!BX27  )</f>
        <v>#N/A</v>
      </c>
      <c r="BL27" s="24" t="e">
        <f xml:space="preserve">    IF( 'i1'!CB27=LEER,  #N/A,  'i1'!CB27  )</f>
        <v>#N/A</v>
      </c>
      <c r="BM27" s="24" t="e">
        <f xml:space="preserve">    IF( 'i1'!CC27=LEER,  #N/A,  'i1'!CC27  )</f>
        <v>#N/A</v>
      </c>
      <c r="BN27" s="24" t="e">
        <f xml:space="preserve">    IF( 'i1'!CD27=LEER,  #N/A,  'i1'!CD27  )</f>
        <v>#N/A</v>
      </c>
      <c r="BO27" s="24" t="e">
        <f xml:space="preserve">    IF( 'i1'!CE27=LEER,  #N/A,  'i1'!CE27  )</f>
        <v>#N/A</v>
      </c>
      <c r="BQ27" s="24" t="e">
        <f xml:space="preserve">    IF( 'i1'!CI27=LEER,  #N/A,  'i1'!CI27  )</f>
        <v>#N/A</v>
      </c>
      <c r="BR27" s="24" t="e">
        <f xml:space="preserve">    IF( 'i1'!CJ27=LEER,  #N/A,  'i1'!CJ27  )</f>
        <v>#N/A</v>
      </c>
      <c r="BS27" s="24" t="e">
        <f xml:space="preserve">    IF( 'i1'!CK27=LEER,  #N/A,  'i1'!CK27  )</f>
        <v>#N/A</v>
      </c>
      <c r="BT27" s="38" t="e">
        <f xml:space="preserve">    IF( 'i1'!CH27=LEER,  #N/A,  'i1'!CH27  )</f>
        <v>#N/A</v>
      </c>
      <c r="BV27" s="24" t="e">
        <f xml:space="preserve">    IF( 'i1'!CO27=LEER,  #N/A,  'i1'!CO27  )</f>
        <v>#N/A</v>
      </c>
      <c r="BW27" s="24" t="e">
        <f xml:space="preserve">    IF( 'i1'!CP27=LEER,  #N/A,  'i1'!CP27  )</f>
        <v>#N/A</v>
      </c>
      <c r="BX27" s="24" t="e">
        <f xml:space="preserve">    IF( 'i1'!CQ27=LEER,  #N/A,  'i1'!CQ27  )</f>
        <v>#N/A</v>
      </c>
      <c r="BY27" s="38" t="e">
        <f xml:space="preserve">    IF( 'i1'!CN27=LEER,  #N/A,  'i1'!CN27  )</f>
        <v>#N/A</v>
      </c>
      <c r="CD27" s="113" t="e">
        <f xml:space="preserve"> IF(  AND( $A27&lt;&gt;$CD$14, OR( 'i1'!EO27=LEER, 'i1'!EM27&lt;&gt;LEER ) ), #N/A, 'i1'!EO27 )</f>
        <v>#N/A</v>
      </c>
      <c r="CE27" s="113" t="e">
        <f xml:space="preserve"> IF(   'i1'!EM27=LEER, #N/A,  'i1'!EM27 )</f>
        <v>#N/A</v>
      </c>
      <c r="CF27" s="114" t="e">
        <f xml:space="preserve"> IF(   'i1'!EL27=LEER, #N/A, 'i1'!EL27 + 'i1'!EM27 )</f>
        <v>#N/A</v>
      </c>
      <c r="CW27" s="104">
        <f xml:space="preserve"> 'i1'!FN27</f>
        <v>27</v>
      </c>
      <c r="CX27" s="106">
        <f xml:space="preserve"> IF(  INDEX( 'i1'!$FS27:$JO27, CX$13 ) = LEER,  #N/A,  INDEX( 'i1'!$FS27:$JO27, CX$13 )  )</f>
        <v>7496.3</v>
      </c>
      <c r="CY27" s="106">
        <f xml:space="preserve"> IF(  INDEX( 'i1'!$FS27:$JO27, CY$13 ) = LEER,  #N/A,  INDEX( 'i1'!$FS27:$JO27, CY$13 )  )</f>
        <v>1696.85</v>
      </c>
      <c r="CZ27" s="106" t="e">
        <f xml:space="preserve"> IF(  INDEX( 'i1'!$FS27:$JO27, CZ$13 ) = LEER,  #N/A,  INDEX( 'i1'!$FS27:$JO27, CZ$13 )  )</f>
        <v>#N/A</v>
      </c>
      <c r="DA27" s="106" t="e">
        <f xml:space="preserve"> IF(  INDEX( 'i1'!$FS27:$JO27, DA$13 ) = LEER,  #N/A,  INDEX( 'i1'!$FS27:$JO27, DA$13 )  )</f>
        <v>#N/A</v>
      </c>
      <c r="DB27" s="106" t="e">
        <f xml:space="preserve"> IF(  INDEX( 'i1'!$FS27:$JO27, DB$13 ) = LEER,  #N/A,  INDEX( 'i1'!$FS27:$JO27, DB$13 )  )</f>
        <v>#N/A</v>
      </c>
      <c r="DC27" s="106" t="e">
        <f xml:space="preserve"> IF(  INDEX( 'i1'!$FS27:$JO27, DC$13 ) = LEER,  #N/A,  INDEX( 'i1'!$FS27:$JO27, DC$13 )  )</f>
        <v>#N/A</v>
      </c>
      <c r="DD27" s="106" t="e">
        <f xml:space="preserve"> IF(  INDEX( 'i1'!$FS27:$JO27, DD$13 ) = LEER,  #N/A,  INDEX( 'i1'!$FS27:$JO27, DD$13 )  )</f>
        <v>#N/A</v>
      </c>
      <c r="DE27" s="106" t="e">
        <f xml:space="preserve"> IF(  INDEX( 'i1'!$FS27:$JO27, DE$13 ) = LEER,  #N/A,  INDEX( 'i1'!$FS27:$JO27, DE$13 )  )</f>
        <v>#N/A</v>
      </c>
      <c r="DF27" s="106" t="e">
        <f xml:space="preserve"> IF(  INDEX( 'i1'!$FS27:$JO27, DF$13 ) = LEER,  #N/A,  INDEX( 'i1'!$FS27:$JO27, DF$13 )  )</f>
        <v>#N/A</v>
      </c>
      <c r="DG27" s="106" t="e">
        <f xml:space="preserve"> IF(  INDEX( 'i1'!$FS27:$JO27, DG$13 ) = LEER,  #N/A,  INDEX( 'i1'!$FS27:$JO27, DG$13 )  )</f>
        <v>#N/A</v>
      </c>
      <c r="DH27" s="106" t="e">
        <f xml:space="preserve"> IF(  INDEX( 'i1'!$FS27:$JO27, DH$13 ) = LEER,  #N/A,  INDEX( 'i1'!$FS27:$JO27, DH$13 )  )</f>
        <v>#N/A</v>
      </c>
      <c r="DI27" s="106" t="e">
        <f xml:space="preserve"> IF(  INDEX( 'i1'!$FS27:$JO27, DI$13 ) = LEER,  #N/A,  INDEX( 'i1'!$FS27:$JO27, DI$13 )  )</f>
        <v>#N/A</v>
      </c>
      <c r="DJ27" s="106" t="e">
        <f xml:space="preserve"> IF(  INDEX( 'i1'!$FS27:$JO27, DJ$13 ) = LEER,  #N/A,  INDEX( 'i1'!$FS27:$JO27, DJ$13 )  )</f>
        <v>#N/A</v>
      </c>
      <c r="DK27" s="106" t="e">
        <f xml:space="preserve"> IF(  INDEX( 'i1'!$FS27:$JO27, DK$13 ) = LEER,  #N/A,  INDEX( 'i1'!$FS27:$JO27, DK$13 )  )</f>
        <v>#N/A</v>
      </c>
      <c r="DL27" s="106" t="e">
        <f xml:space="preserve"> IF(  INDEX( 'i1'!$FS27:$JO27, DL$13 ) = LEER,  #N/A,  INDEX( 'i1'!$FS27:$JO27, DL$13 )  )</f>
        <v>#N/A</v>
      </c>
      <c r="DM27" s="106" t="e">
        <f xml:space="preserve"> IF(  INDEX( 'i1'!$FS27:$JO27, DM$13 ) = LEER,  #N/A,  INDEX( 'i1'!$FS27:$JO27, DM$13 )  )</f>
        <v>#N/A</v>
      </c>
      <c r="DN27" s="106" t="e">
        <f xml:space="preserve"> IF(  INDEX( 'i1'!$FS27:$JO27, DN$13 ) = LEER,  #N/A,  INDEX( 'i1'!$FS27:$JO27, DN$13 )  )</f>
        <v>#N/A</v>
      </c>
    </row>
    <row r="28" spans="1:118" x14ac:dyDescent="0.2">
      <c r="A28" s="15">
        <f xml:space="preserve"> Basis!A28</f>
        <v>28</v>
      </c>
      <c r="C28" s="24" t="b">
        <f xml:space="preserve"> 'i1'!$O28</f>
        <v>1</v>
      </c>
      <c r="D28" s="24" t="b">
        <f xml:space="preserve"> 'i2'!$O28</f>
        <v>1</v>
      </c>
      <c r="E28" s="24" t="b">
        <f xml:space="preserve"> 'i3'!$O28</f>
        <v>1</v>
      </c>
      <c r="G28" s="27">
        <f xml:space="preserve"> IF( $C29,   IF( 'i1'!$P28=LEER,  #N/A,  'i1'!$P28  ),   #N/A  )</f>
        <v>0.1</v>
      </c>
      <c r="H28" s="27">
        <f xml:space="preserve"> IF( $D29,   IF( 'i2'!$P28=LEER,  #N/A,  'i2'!$P28  ),   #N/A  )</f>
        <v>0.1</v>
      </c>
      <c r="I28" s="27">
        <f xml:space="preserve"> IF( $E29,   IF( 'i3'!$P28=LEER,  #N/A,  'i3'!$P28  ),   #N/A  )</f>
        <v>0.1</v>
      </c>
      <c r="J28" s="158"/>
      <c r="K28" s="27">
        <f xml:space="preserve"> IF( $C29,   IF( 'i1'!$G28=LEER,  #N/A,  'i1'!$G28  ),   #N/A  )</f>
        <v>9.9699999999999997E-2</v>
      </c>
      <c r="L28" s="27">
        <f xml:space="preserve"> IF( $D29,   IF( 'i2'!$G28=LEER,  #N/A,  'i2'!$G28  ),   #N/A  )</f>
        <v>9.9699999999999997E-2</v>
      </c>
      <c r="M28" s="27">
        <f xml:space="preserve"> IF( $E29,   IF( 'i3'!$G28=LEER,  #N/A,  'i3'!$G28  ),   #N/A  )</f>
        <v>9.9699999999999997E-2</v>
      </c>
      <c r="N28" s="158"/>
      <c r="O28" s="158"/>
      <c r="Q28" s="28">
        <f t="shared" si="35"/>
        <v>22.997063926261713</v>
      </c>
      <c r="R28" s="28">
        <f t="shared" si="36"/>
        <v>22.997063926261713</v>
      </c>
      <c r="S28" s="28">
        <f t="shared" si="37"/>
        <v>22.997063926261713</v>
      </c>
      <c r="U28" s="76">
        <f xml:space="preserve"> IF( $C27,   SUM('i1'!$R28),   #N/A  )</f>
        <v>1825019</v>
      </c>
      <c r="V28" s="76">
        <f xml:space="preserve"> IF( $C27,   SUM('i2'!$R28),   #N/A  )</f>
        <v>1825019</v>
      </c>
      <c r="W28" s="76">
        <f xml:space="preserve"> IF( $C27,   SUM('i3'!$R28),   #N/A  )</f>
        <v>1825019</v>
      </c>
      <c r="Y28" s="33"/>
      <c r="Z28" s="22">
        <f xml:space="preserve"> IF( $C28,   IF( 'i1'!$J28=LEER,  #N/A,  'i1'!$J28  ),   #N/A  )</f>
        <v>0.88100000000000001</v>
      </c>
      <c r="AA28" s="22">
        <f xml:space="preserve"> IF( $D28,   IF( 'i2'!$J28=LEER,  #N/A,  'i2'!$J28  ),   #N/A  )</f>
        <v>0.88100000000000001</v>
      </c>
      <c r="AB28" s="22">
        <f xml:space="preserve"> IF( $E28,   IF( 'i3'!$J28=LEER,  #N/A,  'i3'!$J28  ),   #N/A  )</f>
        <v>0.88100000000000001</v>
      </c>
      <c r="AC28" s="75"/>
      <c r="AD28" s="26">
        <f t="shared" si="25"/>
        <v>1830.5329899999999</v>
      </c>
      <c r="AE28" s="26">
        <f t="shared" si="26"/>
        <v>1830.5329899999999</v>
      </c>
      <c r="AF28" s="26">
        <f t="shared" si="27"/>
        <v>1830.5329899999999</v>
      </c>
      <c r="AG28" s="23"/>
      <c r="AH28" s="24">
        <f xml:space="preserve">    IF(  'i1'!$AK28=LEER,  #N/A,  ROUND( 'i1'!$AK28, AH$15 )  )</f>
        <v>364.44</v>
      </c>
      <c r="AI28" s="24">
        <f xml:space="preserve">    IF(  'i2'!$AK28=LEER,  #N/A,  ROUND( 'i2'!$AK28, AI$15 )  )</f>
        <v>364.44</v>
      </c>
      <c r="AJ28" s="24">
        <f xml:space="preserve">    IF(  'i3'!$AK28=LEER,  #N/A,  ROUND( 'i3'!$AK28, AJ$15 )  )</f>
        <v>364.44</v>
      </c>
      <c r="AL28" s="102">
        <f t="shared" si="28"/>
        <v>364.44</v>
      </c>
      <c r="AO28" s="24" t="e">
        <f xml:space="preserve">    IF( 'i1'!$AN28=LEER,  #N/A,  'i1'!$AN28  )</f>
        <v>#N/A</v>
      </c>
      <c r="AP28" s="24" t="e">
        <f xml:space="preserve">    IF( 'i2'!$AN28=LEER,  #N/A,  'i2'!$AN28  )</f>
        <v>#N/A</v>
      </c>
      <c r="AQ28" s="24" t="e">
        <f xml:space="preserve">    IF( 'i3'!$AN28=LEER,  #N/A,  'i3'!$AN28  )</f>
        <v>#N/A</v>
      </c>
      <c r="AS28" s="24" t="e">
        <f xml:space="preserve">    IF( 'i1'!$AO28=LEER,  #N/A,  'i1'!$AO28  )</f>
        <v>#N/A</v>
      </c>
      <c r="AT28" s="24" t="e">
        <f xml:space="preserve">    IF( 'i2'!$AO28=LEER,  #N/A,  'i2'!$AO28  )</f>
        <v>#N/A</v>
      </c>
      <c r="AU28" s="24" t="e">
        <f xml:space="preserve">    IF( 'i3'!$AO28=LEER,  #N/A,  'i3'!$AO28  )</f>
        <v>#N/A</v>
      </c>
      <c r="AW28" s="28" t="e">
        <f t="shared" si="38"/>
        <v>#N/A</v>
      </c>
      <c r="AX28" s="28" t="e">
        <f t="shared" si="29"/>
        <v>#N/A</v>
      </c>
      <c r="AY28" s="28" t="e">
        <f t="shared" si="30"/>
        <v>#N/A</v>
      </c>
      <c r="BA28" s="28" t="e">
        <f t="shared" si="31"/>
        <v>#N/A</v>
      </c>
      <c r="BB28" s="28" t="e">
        <f t="shared" si="32"/>
        <v>#N/A</v>
      </c>
      <c r="BC28" s="28" t="e">
        <f t="shared" si="33"/>
        <v>#N/A</v>
      </c>
      <c r="BG28" s="24" t="e">
        <f xml:space="preserve">    IF( 'i1'!BT28=LEER,  #N/A,  'i1'!BT28  )</f>
        <v>#N/A</v>
      </c>
      <c r="BH28" s="24" t="e">
        <f xml:space="preserve">    IF( 'i1'!BR28=LEER,  #N/A,  'i1'!BR28  )</f>
        <v>#N/A</v>
      </c>
      <c r="BI28" s="111" t="e">
        <f t="shared" si="34"/>
        <v>#N/A</v>
      </c>
      <c r="BJ28" s="24" t="e">
        <f xml:space="preserve">    IF( 'i1'!BX28=LEER,  #N/A,  'i1'!BX28  )</f>
        <v>#N/A</v>
      </c>
      <c r="BL28" s="24" t="e">
        <f xml:space="preserve">    IF( 'i1'!CB28=LEER,  #N/A,  'i1'!CB28  )</f>
        <v>#N/A</v>
      </c>
      <c r="BM28" s="24" t="e">
        <f xml:space="preserve">    IF( 'i1'!CC28=LEER,  #N/A,  'i1'!CC28  )</f>
        <v>#N/A</v>
      </c>
      <c r="BN28" s="24" t="e">
        <f xml:space="preserve">    IF( 'i1'!CD28=LEER,  #N/A,  'i1'!CD28  )</f>
        <v>#N/A</v>
      </c>
      <c r="BO28" s="24" t="e">
        <f xml:space="preserve">    IF( 'i1'!CE28=LEER,  #N/A,  'i1'!CE28  )</f>
        <v>#N/A</v>
      </c>
      <c r="BQ28" s="24" t="e">
        <f xml:space="preserve">    IF( 'i1'!CI28=LEER,  #N/A,  'i1'!CI28  )</f>
        <v>#N/A</v>
      </c>
      <c r="BR28" s="24" t="e">
        <f xml:space="preserve">    IF( 'i1'!CJ28=LEER,  #N/A,  'i1'!CJ28  )</f>
        <v>#N/A</v>
      </c>
      <c r="BS28" s="24" t="e">
        <f xml:space="preserve">    IF( 'i1'!CK28=LEER,  #N/A,  'i1'!CK28  )</f>
        <v>#N/A</v>
      </c>
      <c r="BT28" s="38" t="e">
        <f xml:space="preserve">    IF( 'i1'!CH28=LEER,  #N/A,  'i1'!CH28  )</f>
        <v>#N/A</v>
      </c>
      <c r="BV28" s="24" t="e">
        <f xml:space="preserve">    IF( 'i1'!CO28=LEER,  #N/A,  'i1'!CO28  )</f>
        <v>#N/A</v>
      </c>
      <c r="BW28" s="24" t="e">
        <f xml:space="preserve">    IF( 'i1'!CP28=LEER,  #N/A,  'i1'!CP28  )</f>
        <v>#N/A</v>
      </c>
      <c r="BX28" s="24" t="e">
        <f xml:space="preserve">    IF( 'i1'!CQ28=LEER,  #N/A,  'i1'!CQ28  )</f>
        <v>#N/A</v>
      </c>
      <c r="BY28" s="38" t="e">
        <f xml:space="preserve">    IF( 'i1'!CN28=LEER,  #N/A,  'i1'!CN28  )</f>
        <v>#N/A</v>
      </c>
      <c r="CD28" s="113" t="e">
        <f xml:space="preserve"> IF(  AND( $A28&lt;&gt;$CD$14, OR( 'i1'!EO28=LEER, 'i1'!EM28&lt;&gt;LEER ) ), #N/A, 'i1'!EO28 )</f>
        <v>#N/A</v>
      </c>
      <c r="CE28" s="113" t="e">
        <f xml:space="preserve"> IF(   'i1'!EM28=LEER, #N/A,  'i1'!EM28 )</f>
        <v>#N/A</v>
      </c>
      <c r="CF28" s="114" t="e">
        <f xml:space="preserve"> IF(   'i1'!EL28=LEER, #N/A, 'i1'!EL28 + 'i1'!EM28 )</f>
        <v>#N/A</v>
      </c>
      <c r="CW28" s="104">
        <f xml:space="preserve"> 'i1'!FN28</f>
        <v>28</v>
      </c>
      <c r="CX28" s="106">
        <f xml:space="preserve"> IF(  INDEX( 'i1'!$FS28:$JO28, CX$13 ) = LEER,  #N/A,  INDEX( 'i1'!$FS28:$JO28, CX$13 )  )</f>
        <v>9370.66</v>
      </c>
      <c r="CY28" s="106">
        <f xml:space="preserve"> IF(  INDEX( 'i1'!$FS28:$JO28, CY$13 ) = LEER,  #N/A,  INDEX( 'i1'!$FS28:$JO28, CY$13 )  )</f>
        <v>3177.55</v>
      </c>
      <c r="CZ28" s="106" t="e">
        <f xml:space="preserve"> IF(  INDEX( 'i1'!$FS28:$JO28, CZ$13 ) = LEER,  #N/A,  INDEX( 'i1'!$FS28:$JO28, CZ$13 )  )</f>
        <v>#N/A</v>
      </c>
      <c r="DA28" s="106" t="e">
        <f xml:space="preserve"> IF(  INDEX( 'i1'!$FS28:$JO28, DA$13 ) = LEER,  #N/A,  INDEX( 'i1'!$FS28:$JO28, DA$13 )  )</f>
        <v>#N/A</v>
      </c>
      <c r="DB28" s="106" t="e">
        <f xml:space="preserve"> IF(  INDEX( 'i1'!$FS28:$JO28, DB$13 ) = LEER,  #N/A,  INDEX( 'i1'!$FS28:$JO28, DB$13 )  )</f>
        <v>#N/A</v>
      </c>
      <c r="DC28" s="106" t="e">
        <f xml:space="preserve"> IF(  INDEX( 'i1'!$FS28:$JO28, DC$13 ) = LEER,  #N/A,  INDEX( 'i1'!$FS28:$JO28, DC$13 )  )</f>
        <v>#N/A</v>
      </c>
      <c r="DD28" s="106" t="e">
        <f xml:space="preserve"> IF(  INDEX( 'i1'!$FS28:$JO28, DD$13 ) = LEER,  #N/A,  INDEX( 'i1'!$FS28:$JO28, DD$13 )  )</f>
        <v>#N/A</v>
      </c>
      <c r="DE28" s="106" t="e">
        <f xml:space="preserve"> IF(  INDEX( 'i1'!$FS28:$JO28, DE$13 ) = LEER,  #N/A,  INDEX( 'i1'!$FS28:$JO28, DE$13 )  )</f>
        <v>#N/A</v>
      </c>
      <c r="DF28" s="106" t="e">
        <f xml:space="preserve"> IF(  INDEX( 'i1'!$FS28:$JO28, DF$13 ) = LEER,  #N/A,  INDEX( 'i1'!$FS28:$JO28, DF$13 )  )</f>
        <v>#N/A</v>
      </c>
      <c r="DG28" s="106" t="e">
        <f xml:space="preserve"> IF(  INDEX( 'i1'!$FS28:$JO28, DG$13 ) = LEER,  #N/A,  INDEX( 'i1'!$FS28:$JO28, DG$13 )  )</f>
        <v>#N/A</v>
      </c>
      <c r="DH28" s="106" t="e">
        <f xml:space="preserve"> IF(  INDEX( 'i1'!$FS28:$JO28, DH$13 ) = LEER,  #N/A,  INDEX( 'i1'!$FS28:$JO28, DH$13 )  )</f>
        <v>#N/A</v>
      </c>
      <c r="DI28" s="106" t="e">
        <f xml:space="preserve"> IF(  INDEX( 'i1'!$FS28:$JO28, DI$13 ) = LEER,  #N/A,  INDEX( 'i1'!$FS28:$JO28, DI$13 )  )</f>
        <v>#N/A</v>
      </c>
      <c r="DJ28" s="106" t="e">
        <f xml:space="preserve"> IF(  INDEX( 'i1'!$FS28:$JO28, DJ$13 ) = LEER,  #N/A,  INDEX( 'i1'!$FS28:$JO28, DJ$13 )  )</f>
        <v>#N/A</v>
      </c>
      <c r="DK28" s="106" t="e">
        <f xml:space="preserve"> IF(  INDEX( 'i1'!$FS28:$JO28, DK$13 ) = LEER,  #N/A,  INDEX( 'i1'!$FS28:$JO28, DK$13 )  )</f>
        <v>#N/A</v>
      </c>
      <c r="DL28" s="106" t="e">
        <f xml:space="preserve"> IF(  INDEX( 'i1'!$FS28:$JO28, DL$13 ) = LEER,  #N/A,  INDEX( 'i1'!$FS28:$JO28, DL$13 )  )</f>
        <v>#N/A</v>
      </c>
      <c r="DM28" s="106" t="e">
        <f xml:space="preserve"> IF(  INDEX( 'i1'!$FS28:$JO28, DM$13 ) = LEER,  #N/A,  INDEX( 'i1'!$FS28:$JO28, DM$13 )  )</f>
        <v>#N/A</v>
      </c>
      <c r="DN28" s="106" t="e">
        <f xml:space="preserve"> IF(  INDEX( 'i1'!$FS28:$JO28, DN$13 ) = LEER,  #N/A,  INDEX( 'i1'!$FS28:$JO28, DN$13 )  )</f>
        <v>#N/A</v>
      </c>
    </row>
    <row r="29" spans="1:118" x14ac:dyDescent="0.2">
      <c r="A29" s="15">
        <f xml:space="preserve"> Basis!A29</f>
        <v>29</v>
      </c>
      <c r="C29" s="24" t="b">
        <f xml:space="preserve"> 'i1'!$O29</f>
        <v>1</v>
      </c>
      <c r="D29" s="24" t="b">
        <f xml:space="preserve"> 'i2'!$O29</f>
        <v>1</v>
      </c>
      <c r="E29" s="24" t="b">
        <f xml:space="preserve"> 'i3'!$O29</f>
        <v>1</v>
      </c>
      <c r="G29" s="27">
        <f xml:space="preserve"> IF( $C30,   IF( 'i1'!$P29=LEER,  #N/A,  'i1'!$P29  ),   #N/A  )</f>
        <v>8.5400000000000004E-2</v>
      </c>
      <c r="H29" s="27">
        <f xml:space="preserve"> IF( $D30,   IF( 'i2'!$P29=LEER,  #N/A,  'i2'!$P29  ),   #N/A  )</f>
        <v>8.5400000000000004E-2</v>
      </c>
      <c r="I29" s="27">
        <f xml:space="preserve"> IF( $E30,   IF( 'i3'!$P29=LEER,  #N/A,  'i3'!$P29  ),   #N/A  )</f>
        <v>8.5400000000000004E-2</v>
      </c>
      <c r="J29" s="158"/>
      <c r="K29" s="27">
        <f xml:space="preserve"> IF( $C30,   IF( 'i1'!$G29=LEER,  #N/A,  'i1'!$G29  ),   #N/A  )</f>
        <v>8.5099999999999995E-2</v>
      </c>
      <c r="L29" s="27">
        <f xml:space="preserve"> IF( $D30,   IF( 'i2'!$G29=LEER,  #N/A,  'i2'!$G29  ),   #N/A  )</f>
        <v>8.5099999999999995E-2</v>
      </c>
      <c r="M29" s="27">
        <f xml:space="preserve"> IF( $E30,   IF( 'i3'!$G29=LEER,  #N/A,  'i3'!$G29  ),   #N/A  )</f>
        <v>8.5099999999999995E-2</v>
      </c>
      <c r="N29" s="158"/>
      <c r="O29" s="158"/>
      <c r="Q29" s="28">
        <f t="shared" si="35"/>
        <v>24.496737695846345</v>
      </c>
      <c r="R29" s="28">
        <f t="shared" si="36"/>
        <v>24.496737695846345</v>
      </c>
      <c r="S29" s="28">
        <f t="shared" si="37"/>
        <v>24.496737695846345</v>
      </c>
      <c r="U29" s="76">
        <f xml:space="preserve"> IF( $C28,   SUM('i1'!$R29),   #N/A  )</f>
        <v>1642517</v>
      </c>
      <c r="V29" s="76">
        <f xml:space="preserve"> IF( $C28,   SUM('i2'!$R29),   #N/A  )</f>
        <v>1642517</v>
      </c>
      <c r="W29" s="76">
        <f xml:space="preserve"> IF( $C28,   SUM('i3'!$R29),   #N/A  )</f>
        <v>1642517</v>
      </c>
      <c r="Y29" s="33"/>
      <c r="Z29" s="22">
        <f xml:space="preserve"> IF( $C29,   IF( 'i1'!$J29=LEER,  #N/A,  'i1'!$J29  ),   #N/A  )</f>
        <v>0.88500000000000001</v>
      </c>
      <c r="AA29" s="22">
        <f xml:space="preserve"> IF( $D29,   IF( 'i2'!$J29=LEER,  #N/A,  'i2'!$J29  ),   #N/A  )</f>
        <v>0.88500000000000001</v>
      </c>
      <c r="AB29" s="22">
        <f xml:space="preserve"> IF( $E29,   IF( 'i3'!$J29=LEER,  #N/A,  'i3'!$J29  ),   #N/A  )</f>
        <v>0.88500000000000001</v>
      </c>
      <c r="AC29" s="75"/>
      <c r="AD29" s="26">
        <f t="shared" si="25"/>
        <v>1838.8441499999999</v>
      </c>
      <c r="AE29" s="26">
        <f t="shared" si="26"/>
        <v>1838.8441499999999</v>
      </c>
      <c r="AF29" s="26">
        <f t="shared" si="27"/>
        <v>1838.8441499999999</v>
      </c>
      <c r="AG29" s="23"/>
      <c r="AH29" s="24">
        <f xml:space="preserve">    IF(  'i1'!$AK29=LEER,  #N/A,  ROUND( 'i1'!$AK29, AH$15 )  )</f>
        <v>373.24</v>
      </c>
      <c r="AI29" s="24">
        <f xml:space="preserve">    IF(  'i2'!$AK29=LEER,  #N/A,  ROUND( 'i2'!$AK29, AI$15 )  )</f>
        <v>373.24</v>
      </c>
      <c r="AJ29" s="24">
        <f xml:space="preserve">    IF(  'i3'!$AK29=LEER,  #N/A,  ROUND( 'i3'!$AK29, AJ$15 )  )</f>
        <v>373.24</v>
      </c>
      <c r="AL29" s="102">
        <f t="shared" si="28"/>
        <v>373.24</v>
      </c>
      <c r="AO29" s="24" t="e">
        <f xml:space="preserve">    IF( 'i1'!$AN29=LEER,  #N/A,  'i1'!$AN29  )</f>
        <v>#N/A</v>
      </c>
      <c r="AP29" s="24" t="e">
        <f xml:space="preserve">    IF( 'i2'!$AN29=LEER,  #N/A,  'i2'!$AN29  )</f>
        <v>#N/A</v>
      </c>
      <c r="AQ29" s="24" t="e">
        <f xml:space="preserve">    IF( 'i3'!$AN29=LEER,  #N/A,  'i3'!$AN29  )</f>
        <v>#N/A</v>
      </c>
      <c r="AS29" s="24" t="e">
        <f xml:space="preserve">    IF( 'i1'!$AO29=LEER,  #N/A,  'i1'!$AO29  )</f>
        <v>#N/A</v>
      </c>
      <c r="AT29" s="24" t="e">
        <f xml:space="preserve">    IF( 'i2'!$AO29=LEER,  #N/A,  'i2'!$AO29  )</f>
        <v>#N/A</v>
      </c>
      <c r="AU29" s="24" t="e">
        <f xml:space="preserve">    IF( 'i3'!$AO29=LEER,  #N/A,  'i3'!$AO29  )</f>
        <v>#N/A</v>
      </c>
      <c r="AW29" s="28" t="e">
        <f t="shared" si="38"/>
        <v>#N/A</v>
      </c>
      <c r="AX29" s="28" t="e">
        <f t="shared" si="29"/>
        <v>#N/A</v>
      </c>
      <c r="AY29" s="28" t="e">
        <f t="shared" si="30"/>
        <v>#N/A</v>
      </c>
      <c r="BA29" s="28" t="e">
        <f t="shared" si="31"/>
        <v>#N/A</v>
      </c>
      <c r="BB29" s="28" t="e">
        <f t="shared" si="32"/>
        <v>#N/A</v>
      </c>
      <c r="BC29" s="28" t="e">
        <f t="shared" si="33"/>
        <v>#N/A</v>
      </c>
      <c r="BG29" s="24" t="e">
        <f xml:space="preserve">    IF( 'i1'!BT29=LEER,  #N/A,  'i1'!BT29  )</f>
        <v>#N/A</v>
      </c>
      <c r="BH29" s="24" t="e">
        <f xml:space="preserve">    IF( 'i1'!BR29=LEER,  #N/A,  'i1'!BR29  )</f>
        <v>#N/A</v>
      </c>
      <c r="BI29" s="111" t="e">
        <f t="shared" si="34"/>
        <v>#N/A</v>
      </c>
      <c r="BJ29" s="24" t="e">
        <f xml:space="preserve">    IF( 'i1'!BX29=LEER,  #N/A,  'i1'!BX29  )</f>
        <v>#N/A</v>
      </c>
      <c r="BL29" s="24" t="e">
        <f xml:space="preserve">    IF( 'i1'!CB29=LEER,  #N/A,  'i1'!CB29  )</f>
        <v>#N/A</v>
      </c>
      <c r="BM29" s="24" t="e">
        <f xml:space="preserve">    IF( 'i1'!CC29=LEER,  #N/A,  'i1'!CC29  )</f>
        <v>#N/A</v>
      </c>
      <c r="BN29" s="24" t="e">
        <f xml:space="preserve">    IF( 'i1'!CD29=LEER,  #N/A,  'i1'!CD29  )</f>
        <v>#N/A</v>
      </c>
      <c r="BO29" s="24" t="e">
        <f xml:space="preserve">    IF( 'i1'!CE29=LEER,  #N/A,  'i1'!CE29  )</f>
        <v>#N/A</v>
      </c>
      <c r="BQ29" s="24" t="e">
        <f xml:space="preserve">    IF( 'i1'!CI29=LEER,  #N/A,  'i1'!CI29  )</f>
        <v>#N/A</v>
      </c>
      <c r="BR29" s="24" t="e">
        <f xml:space="preserve">    IF( 'i1'!CJ29=LEER,  #N/A,  'i1'!CJ29  )</f>
        <v>#N/A</v>
      </c>
      <c r="BS29" s="24" t="e">
        <f xml:space="preserve">    IF( 'i1'!CK29=LEER,  #N/A,  'i1'!CK29  )</f>
        <v>#N/A</v>
      </c>
      <c r="BT29" s="38" t="e">
        <f xml:space="preserve">    IF( 'i1'!CH29=LEER,  #N/A,  'i1'!CH29  )</f>
        <v>#N/A</v>
      </c>
      <c r="BV29" s="24" t="e">
        <f xml:space="preserve">    IF( 'i1'!CO29=LEER,  #N/A,  'i1'!CO29  )</f>
        <v>#N/A</v>
      </c>
      <c r="BW29" s="24" t="e">
        <f xml:space="preserve">    IF( 'i1'!CP29=LEER,  #N/A,  'i1'!CP29  )</f>
        <v>#N/A</v>
      </c>
      <c r="BX29" s="24" t="e">
        <f xml:space="preserve">    IF( 'i1'!CQ29=LEER,  #N/A,  'i1'!CQ29  )</f>
        <v>#N/A</v>
      </c>
      <c r="BY29" s="38" t="e">
        <f xml:space="preserve">    IF( 'i1'!CN29=LEER,  #N/A,  'i1'!CN29  )</f>
        <v>#N/A</v>
      </c>
      <c r="CD29" s="113" t="e">
        <f xml:space="preserve"> IF(  AND( $A29&lt;&gt;$CD$14, OR( 'i1'!EO29=LEER, 'i1'!EM29&lt;&gt;LEER ) ), #N/A, 'i1'!EO29 )</f>
        <v>#N/A</v>
      </c>
      <c r="CE29" s="113" t="e">
        <f xml:space="preserve"> IF(   'i1'!EM29=LEER, #N/A,  'i1'!EM29 )</f>
        <v>#N/A</v>
      </c>
      <c r="CF29" s="114" t="e">
        <f xml:space="preserve"> IF(   'i1'!EL29=LEER, #N/A, 'i1'!EL29 + 'i1'!EM29 )</f>
        <v>#N/A</v>
      </c>
      <c r="CW29" s="104">
        <f xml:space="preserve"> 'i1'!FN29</f>
        <v>29</v>
      </c>
      <c r="CX29" s="106">
        <f xml:space="preserve"> IF(  INDEX( 'i1'!$FS29:$JO29, CX$13 ) = LEER,  #N/A,  INDEX( 'i1'!$FS29:$JO29, CX$13 )  )</f>
        <v>11428.04</v>
      </c>
      <c r="CY29" s="106">
        <f xml:space="preserve"> IF(  INDEX( 'i1'!$FS29:$JO29, CY$13 ) = LEER,  #N/A,  INDEX( 'i1'!$FS29:$JO29, CY$13 )  )</f>
        <v>4864.3999999999996</v>
      </c>
      <c r="CZ29" s="106" t="e">
        <f xml:space="preserve"> IF(  INDEX( 'i1'!$FS29:$JO29, CZ$13 ) = LEER,  #N/A,  INDEX( 'i1'!$FS29:$JO29, CZ$13 )  )</f>
        <v>#N/A</v>
      </c>
      <c r="DA29" s="106" t="e">
        <f xml:space="preserve"> IF(  INDEX( 'i1'!$FS29:$JO29, DA$13 ) = LEER,  #N/A,  INDEX( 'i1'!$FS29:$JO29, DA$13 )  )</f>
        <v>#N/A</v>
      </c>
      <c r="DB29" s="106" t="e">
        <f xml:space="preserve"> IF(  INDEX( 'i1'!$FS29:$JO29, DB$13 ) = LEER,  #N/A,  INDEX( 'i1'!$FS29:$JO29, DB$13 )  )</f>
        <v>#N/A</v>
      </c>
      <c r="DC29" s="106" t="e">
        <f xml:space="preserve"> IF(  INDEX( 'i1'!$FS29:$JO29, DC$13 ) = LEER,  #N/A,  INDEX( 'i1'!$FS29:$JO29, DC$13 )  )</f>
        <v>#N/A</v>
      </c>
      <c r="DD29" s="106" t="e">
        <f xml:space="preserve"> IF(  INDEX( 'i1'!$FS29:$JO29, DD$13 ) = LEER,  #N/A,  INDEX( 'i1'!$FS29:$JO29, DD$13 )  )</f>
        <v>#N/A</v>
      </c>
      <c r="DE29" s="106" t="e">
        <f xml:space="preserve"> IF(  INDEX( 'i1'!$FS29:$JO29, DE$13 ) = LEER,  #N/A,  INDEX( 'i1'!$FS29:$JO29, DE$13 )  )</f>
        <v>#N/A</v>
      </c>
      <c r="DF29" s="106" t="e">
        <f xml:space="preserve"> IF(  INDEX( 'i1'!$FS29:$JO29, DF$13 ) = LEER,  #N/A,  INDEX( 'i1'!$FS29:$JO29, DF$13 )  )</f>
        <v>#N/A</v>
      </c>
      <c r="DG29" s="106" t="e">
        <f xml:space="preserve"> IF(  INDEX( 'i1'!$FS29:$JO29, DG$13 ) = LEER,  #N/A,  INDEX( 'i1'!$FS29:$JO29, DG$13 )  )</f>
        <v>#N/A</v>
      </c>
      <c r="DH29" s="106" t="e">
        <f xml:space="preserve"> IF(  INDEX( 'i1'!$FS29:$JO29, DH$13 ) = LEER,  #N/A,  INDEX( 'i1'!$FS29:$JO29, DH$13 )  )</f>
        <v>#N/A</v>
      </c>
      <c r="DI29" s="106" t="e">
        <f xml:space="preserve"> IF(  INDEX( 'i1'!$FS29:$JO29, DI$13 ) = LEER,  #N/A,  INDEX( 'i1'!$FS29:$JO29, DI$13 )  )</f>
        <v>#N/A</v>
      </c>
      <c r="DJ29" s="106" t="e">
        <f xml:space="preserve"> IF(  INDEX( 'i1'!$FS29:$JO29, DJ$13 ) = LEER,  #N/A,  INDEX( 'i1'!$FS29:$JO29, DJ$13 )  )</f>
        <v>#N/A</v>
      </c>
      <c r="DK29" s="106" t="e">
        <f xml:space="preserve"> IF(  INDEX( 'i1'!$FS29:$JO29, DK$13 ) = LEER,  #N/A,  INDEX( 'i1'!$FS29:$JO29, DK$13 )  )</f>
        <v>#N/A</v>
      </c>
      <c r="DL29" s="106" t="e">
        <f xml:space="preserve"> IF(  INDEX( 'i1'!$FS29:$JO29, DL$13 ) = LEER,  #N/A,  INDEX( 'i1'!$FS29:$JO29, DL$13 )  )</f>
        <v>#N/A</v>
      </c>
      <c r="DM29" s="106" t="e">
        <f xml:space="preserve"> IF(  INDEX( 'i1'!$FS29:$JO29, DM$13 ) = LEER,  #N/A,  INDEX( 'i1'!$FS29:$JO29, DM$13 )  )</f>
        <v>#N/A</v>
      </c>
      <c r="DN29" s="106" t="e">
        <f xml:space="preserve"> IF(  INDEX( 'i1'!$FS29:$JO29, DN$13 ) = LEER,  #N/A,  INDEX( 'i1'!$FS29:$JO29, DN$13 )  )</f>
        <v>#N/A</v>
      </c>
    </row>
    <row r="30" spans="1:118" x14ac:dyDescent="0.2">
      <c r="A30" s="15">
        <f xml:space="preserve"> Basis!A30</f>
        <v>30</v>
      </c>
      <c r="C30" s="24" t="b">
        <f xml:space="preserve"> 'i1'!$O30</f>
        <v>1</v>
      </c>
      <c r="D30" s="24" t="b">
        <f xml:space="preserve"> 'i2'!$O30</f>
        <v>1</v>
      </c>
      <c r="E30" s="24" t="b">
        <f xml:space="preserve"> 'i3'!$O30</f>
        <v>1</v>
      </c>
      <c r="G30" s="27">
        <f xml:space="preserve"> IF( $C31,   IF( 'i1'!$P30=LEER,  #N/A,  'i1'!$P30  ),   #N/A  )</f>
        <v>7.4700000000000003E-2</v>
      </c>
      <c r="H30" s="27">
        <f xml:space="preserve"> IF( $D31,   IF( 'i2'!$P30=LEER,  #N/A,  'i2'!$P30  ),   #N/A  )</f>
        <v>7.4700000000000003E-2</v>
      </c>
      <c r="I30" s="27">
        <f xml:space="preserve"> IF( $E31,   IF( 'i3'!$P30=LEER,  #N/A,  'i3'!$P30  ),   #N/A  )</f>
        <v>7.4700000000000003E-2</v>
      </c>
      <c r="J30" s="158"/>
      <c r="K30" s="27">
        <f xml:space="preserve"> IF( $C31,   IF( 'i1'!$G30=LEER,  #N/A,  'i1'!$G30  ),   #N/A  )</f>
        <v>7.4399999999999994E-2</v>
      </c>
      <c r="L30" s="27">
        <f xml:space="preserve"> IF( $D31,   IF( 'i2'!$G30=LEER,  #N/A,  'i2'!$G30  ),   #N/A  )</f>
        <v>7.4399999999999994E-2</v>
      </c>
      <c r="M30" s="27">
        <f xml:space="preserve"> IF( $E31,   IF( 'i3'!$G30=LEER,  #N/A,  'i3'!$G30  ),   #N/A  )</f>
        <v>7.4399999999999994E-2</v>
      </c>
      <c r="N30" s="158"/>
      <c r="O30" s="158"/>
      <c r="Q30" s="28">
        <f t="shared" si="35"/>
        <v>25.737412744201123</v>
      </c>
      <c r="R30" s="28">
        <f t="shared" si="36"/>
        <v>25.737412744201123</v>
      </c>
      <c r="S30" s="28">
        <f t="shared" si="37"/>
        <v>25.737412744201123</v>
      </c>
      <c r="U30" s="76">
        <f xml:space="preserve"> IF( $C29,   SUM('i1'!$R30),   #N/A  )</f>
        <v>1502246</v>
      </c>
      <c r="V30" s="76">
        <f xml:space="preserve"> IF( $C29,   SUM('i2'!$R30),   #N/A  )</f>
        <v>1502246</v>
      </c>
      <c r="W30" s="76">
        <f xml:space="preserve"> IF( $C29,   SUM('i3'!$R30),   #N/A  )</f>
        <v>1502246</v>
      </c>
      <c r="Y30" s="33"/>
      <c r="Z30" s="22">
        <f xml:space="preserve"> IF( $C30,   IF( 'i1'!$J30=LEER,  #N/A,  'i1'!$J30  ),   #N/A  )</f>
        <v>0.89400000000000002</v>
      </c>
      <c r="AA30" s="22">
        <f xml:space="preserve"> IF( $D30,   IF( 'i2'!$J30=LEER,  #N/A,  'i2'!$J30  ),   #N/A  )</f>
        <v>0.89400000000000002</v>
      </c>
      <c r="AB30" s="22">
        <f xml:space="preserve"> IF( $E30,   IF( 'i3'!$J30=LEER,  #N/A,  'i3'!$J30  ),   #N/A  )</f>
        <v>0.89400000000000002</v>
      </c>
      <c r="AC30" s="75"/>
      <c r="AD30" s="26">
        <f t="shared" si="25"/>
        <v>1857.5442599999999</v>
      </c>
      <c r="AE30" s="26">
        <f t="shared" si="26"/>
        <v>1857.5442599999999</v>
      </c>
      <c r="AF30" s="26">
        <f t="shared" si="27"/>
        <v>1857.5442599999999</v>
      </c>
      <c r="AG30" s="23"/>
      <c r="AH30" s="301">
        <f xml:space="preserve">    IF(  'i1'!$AK30=LEER,  #N/A,  ROUND( 'i1'!$AK30, AH$15 )  )</f>
        <v>382.09</v>
      </c>
      <c r="AI30" s="301">
        <f xml:space="preserve">    IF(  'i2'!$AK30=LEER,  #N/A,  ROUND( 'i2'!$AK30, AI$15 )  )</f>
        <v>382.09</v>
      </c>
      <c r="AJ30" s="301">
        <f xml:space="preserve">    IF(  'i3'!$AK30=LEER,  #N/A,  ROUND( 'i3'!$AK30, AJ$15 )  )</f>
        <v>382.09</v>
      </c>
      <c r="AL30" s="102">
        <f t="shared" si="28"/>
        <v>382.09</v>
      </c>
      <c r="AO30" s="24" t="e">
        <f xml:space="preserve">    IF( 'i1'!$AN30=LEER,  #N/A,  'i1'!$AN30  )</f>
        <v>#N/A</v>
      </c>
      <c r="AP30" s="24" t="e">
        <f xml:space="preserve">    IF( 'i2'!$AN30=LEER,  #N/A,  'i2'!$AN30  )</f>
        <v>#N/A</v>
      </c>
      <c r="AQ30" s="24" t="e">
        <f xml:space="preserve">    IF( 'i3'!$AN30=LEER,  #N/A,  'i3'!$AN30  )</f>
        <v>#N/A</v>
      </c>
      <c r="AS30" s="24" t="e">
        <f xml:space="preserve">    IF( 'i1'!$AO30=LEER,  #N/A,  'i1'!$AO30  )</f>
        <v>#N/A</v>
      </c>
      <c r="AT30" s="24" t="e">
        <f xml:space="preserve">    IF( 'i2'!$AO30=LEER,  #N/A,  'i2'!$AO30  )</f>
        <v>#N/A</v>
      </c>
      <c r="AU30" s="24" t="e">
        <f xml:space="preserve">    IF( 'i3'!$AO30=LEER,  #N/A,  'i3'!$AO30  )</f>
        <v>#N/A</v>
      </c>
      <c r="AW30" s="28" t="e">
        <f t="shared" si="38"/>
        <v>#N/A</v>
      </c>
      <c r="AX30" s="28" t="e">
        <f t="shared" si="29"/>
        <v>#N/A</v>
      </c>
      <c r="AY30" s="28" t="e">
        <f t="shared" si="30"/>
        <v>#N/A</v>
      </c>
      <c r="BA30" s="28" t="e">
        <f t="shared" si="31"/>
        <v>#N/A</v>
      </c>
      <c r="BB30" s="28" t="e">
        <f t="shared" si="32"/>
        <v>#N/A</v>
      </c>
      <c r="BC30" s="28" t="e">
        <f t="shared" si="33"/>
        <v>#N/A</v>
      </c>
      <c r="BG30" s="24" t="e">
        <f xml:space="preserve">    IF( 'i1'!BT30=LEER,  #N/A,  'i1'!BT30  )</f>
        <v>#N/A</v>
      </c>
      <c r="BH30" s="24" t="e">
        <f xml:space="preserve">    IF( 'i1'!BR30=LEER,  #N/A,  'i1'!BR30  )</f>
        <v>#N/A</v>
      </c>
      <c r="BI30" s="111" t="e">
        <f t="shared" si="34"/>
        <v>#N/A</v>
      </c>
      <c r="BJ30" s="24" t="e">
        <f xml:space="preserve">    IF( 'i1'!BX30=LEER,  #N/A,  'i1'!BX30  )</f>
        <v>#N/A</v>
      </c>
      <c r="BL30" s="24" t="e">
        <f xml:space="preserve">    IF( 'i1'!CB30=LEER,  #N/A,  'i1'!CB30  )</f>
        <v>#N/A</v>
      </c>
      <c r="BM30" s="24" t="e">
        <f xml:space="preserve">    IF( 'i1'!CC30=LEER,  #N/A,  'i1'!CC30  )</f>
        <v>#N/A</v>
      </c>
      <c r="BN30" s="24" t="e">
        <f xml:space="preserve">    IF( 'i1'!CD30=LEER,  #N/A,  'i1'!CD30  )</f>
        <v>#N/A</v>
      </c>
      <c r="BO30" s="24" t="e">
        <f xml:space="preserve">    IF( 'i1'!CE30=LEER,  #N/A,  'i1'!CE30  )</f>
        <v>#N/A</v>
      </c>
      <c r="BQ30" s="24" t="e">
        <f xml:space="preserve">    IF( 'i1'!CI30=LEER,  #N/A,  'i1'!CI30  )</f>
        <v>#N/A</v>
      </c>
      <c r="BR30" s="24" t="e">
        <f xml:space="preserve">    IF( 'i1'!CJ30=LEER,  #N/A,  'i1'!CJ30  )</f>
        <v>#N/A</v>
      </c>
      <c r="BS30" s="24" t="e">
        <f xml:space="preserve">    IF( 'i1'!CK30=LEER,  #N/A,  'i1'!CK30  )</f>
        <v>#N/A</v>
      </c>
      <c r="BT30" s="38" t="e">
        <f xml:space="preserve">    IF( 'i1'!CH30=LEER,  #N/A,  'i1'!CH30  )</f>
        <v>#N/A</v>
      </c>
      <c r="BV30" s="24" t="e">
        <f xml:space="preserve">    IF( 'i1'!CO30=LEER,  #N/A,  'i1'!CO30  )</f>
        <v>#N/A</v>
      </c>
      <c r="BW30" s="24" t="e">
        <f xml:space="preserve">    IF( 'i1'!CP30=LEER,  #N/A,  'i1'!CP30  )</f>
        <v>#N/A</v>
      </c>
      <c r="BX30" s="24" t="e">
        <f xml:space="preserve">    IF( 'i1'!CQ30=LEER,  #N/A,  'i1'!CQ30  )</f>
        <v>#N/A</v>
      </c>
      <c r="BY30" s="38" t="e">
        <f xml:space="preserve">    IF( 'i1'!CN30=LEER,  #N/A,  'i1'!CN30  )</f>
        <v>#N/A</v>
      </c>
      <c r="CD30" s="113" t="e">
        <f xml:space="preserve"> IF(  AND( $A30&lt;&gt;$CD$14, OR( 'i1'!EO30=LEER, 'i1'!EM30&lt;&gt;LEER ) ), #N/A, 'i1'!EO30 )</f>
        <v>#N/A</v>
      </c>
      <c r="CE30" s="113" t="e">
        <f xml:space="preserve"> IF(   'i1'!EM30=LEER, #N/A,  'i1'!EM30 )</f>
        <v>#N/A</v>
      </c>
      <c r="CF30" s="114" t="e">
        <f xml:space="preserve"> IF(   'i1'!EL30=LEER, #N/A, 'i1'!EL30 + 'i1'!EM30 )</f>
        <v>#N/A</v>
      </c>
      <c r="CW30" s="104">
        <f xml:space="preserve"> 'i1'!FN30</f>
        <v>30</v>
      </c>
      <c r="CX30" s="106">
        <f xml:space="preserve"> IF(  INDEX( 'i1'!$FS30:$JO30, CX$13 ) = LEER,  #N/A,  INDEX( 'i1'!$FS30:$JO30, CX$13 )  )</f>
        <v>13541.88</v>
      </c>
      <c r="CY30" s="106">
        <f xml:space="preserve"> IF(  INDEX( 'i1'!$FS30:$JO30, CY$13 ) = LEER,  #N/A,  INDEX( 'i1'!$FS30:$JO30, CY$13 )  )</f>
        <v>6667.73</v>
      </c>
      <c r="CZ30" s="106">
        <f xml:space="preserve"> IF(  INDEX( 'i1'!$FS30:$JO30, CZ$13 ) = LEER,  #N/A,  INDEX( 'i1'!$FS30:$JO30, CZ$13 )  )</f>
        <v>-761.26</v>
      </c>
      <c r="DA30" s="106" t="e">
        <f xml:space="preserve"> IF(  INDEX( 'i1'!$FS30:$JO30, DA$13 ) = LEER,  #N/A,  INDEX( 'i1'!$FS30:$JO30, DA$13 )  )</f>
        <v>#N/A</v>
      </c>
      <c r="DB30" s="106" t="e">
        <f xml:space="preserve"> IF(  INDEX( 'i1'!$FS30:$JO30, DB$13 ) = LEER,  #N/A,  INDEX( 'i1'!$FS30:$JO30, DB$13 )  )</f>
        <v>#N/A</v>
      </c>
      <c r="DC30" s="106" t="e">
        <f xml:space="preserve"> IF(  INDEX( 'i1'!$FS30:$JO30, DC$13 ) = LEER,  #N/A,  INDEX( 'i1'!$FS30:$JO30, DC$13 )  )</f>
        <v>#N/A</v>
      </c>
      <c r="DD30" s="106" t="e">
        <f xml:space="preserve"> IF(  INDEX( 'i1'!$FS30:$JO30, DD$13 ) = LEER,  #N/A,  INDEX( 'i1'!$FS30:$JO30, DD$13 )  )</f>
        <v>#N/A</v>
      </c>
      <c r="DE30" s="106" t="e">
        <f xml:space="preserve"> IF(  INDEX( 'i1'!$FS30:$JO30, DE$13 ) = LEER,  #N/A,  INDEX( 'i1'!$FS30:$JO30, DE$13 )  )</f>
        <v>#N/A</v>
      </c>
      <c r="DF30" s="106" t="e">
        <f xml:space="preserve"> IF(  INDEX( 'i1'!$FS30:$JO30, DF$13 ) = LEER,  #N/A,  INDEX( 'i1'!$FS30:$JO30, DF$13 )  )</f>
        <v>#N/A</v>
      </c>
      <c r="DG30" s="106" t="e">
        <f xml:space="preserve"> IF(  INDEX( 'i1'!$FS30:$JO30, DG$13 ) = LEER,  #N/A,  INDEX( 'i1'!$FS30:$JO30, DG$13 )  )</f>
        <v>#N/A</v>
      </c>
      <c r="DH30" s="106" t="e">
        <f xml:space="preserve"> IF(  INDEX( 'i1'!$FS30:$JO30, DH$13 ) = LEER,  #N/A,  INDEX( 'i1'!$FS30:$JO30, DH$13 )  )</f>
        <v>#N/A</v>
      </c>
      <c r="DI30" s="106" t="e">
        <f xml:space="preserve"> IF(  INDEX( 'i1'!$FS30:$JO30, DI$13 ) = LEER,  #N/A,  INDEX( 'i1'!$FS30:$JO30, DI$13 )  )</f>
        <v>#N/A</v>
      </c>
      <c r="DJ30" s="106" t="e">
        <f xml:space="preserve"> IF(  INDEX( 'i1'!$FS30:$JO30, DJ$13 ) = LEER,  #N/A,  INDEX( 'i1'!$FS30:$JO30, DJ$13 )  )</f>
        <v>#N/A</v>
      </c>
      <c r="DK30" s="106" t="e">
        <f xml:space="preserve"> IF(  INDEX( 'i1'!$FS30:$JO30, DK$13 ) = LEER,  #N/A,  INDEX( 'i1'!$FS30:$JO30, DK$13 )  )</f>
        <v>#N/A</v>
      </c>
      <c r="DL30" s="106" t="e">
        <f xml:space="preserve"> IF(  INDEX( 'i1'!$FS30:$JO30, DL$13 ) = LEER,  #N/A,  INDEX( 'i1'!$FS30:$JO30, DL$13 )  )</f>
        <v>#N/A</v>
      </c>
      <c r="DM30" s="106" t="e">
        <f xml:space="preserve"> IF(  INDEX( 'i1'!$FS30:$JO30, DM$13 ) = LEER,  #N/A,  INDEX( 'i1'!$FS30:$JO30, DM$13 )  )</f>
        <v>#N/A</v>
      </c>
      <c r="DN30" s="106" t="e">
        <f xml:space="preserve"> IF(  INDEX( 'i1'!$FS30:$JO30, DN$13 ) = LEER,  #N/A,  INDEX( 'i1'!$FS30:$JO30, DN$13 )  )</f>
        <v>#N/A</v>
      </c>
    </row>
    <row r="31" spans="1:118" x14ac:dyDescent="0.2">
      <c r="A31" s="15">
        <f xml:space="preserve"> Basis!A31</f>
        <v>31</v>
      </c>
      <c r="C31" s="24" t="b">
        <f xml:space="preserve"> 'i1'!$O31</f>
        <v>1</v>
      </c>
      <c r="D31" s="24" t="b">
        <f xml:space="preserve"> 'i2'!$O31</f>
        <v>1</v>
      </c>
      <c r="E31" s="24" t="b">
        <f xml:space="preserve"> 'i3'!$O31</f>
        <v>1</v>
      </c>
      <c r="G31" s="27">
        <f xml:space="preserve"> IF( $C32,   IF( 'i1'!$P31=LEER,  #N/A,  'i1'!$P31  ),   #N/A  )</f>
        <v>6.8199999999999997E-2</v>
      </c>
      <c r="H31" s="27">
        <f xml:space="preserve"> IF( $D32,   IF( 'i2'!$P31=LEER,  #N/A,  'i2'!$P31  ),   #N/A  )</f>
        <v>6.8199999999999997E-2</v>
      </c>
      <c r="I31" s="27">
        <f xml:space="preserve"> IF( $E32,   IF( 'i3'!$P31=LEER,  #N/A,  'i3'!$P31  ),   #N/A  )</f>
        <v>6.8199999999999997E-2</v>
      </c>
      <c r="J31" s="158"/>
      <c r="K31" s="27">
        <f xml:space="preserve"> IF( $C32,   IF( 'i1'!$G31=LEER,  #N/A,  'i1'!$G31  ),   #N/A  )</f>
        <v>6.7900000000000002E-2</v>
      </c>
      <c r="L31" s="27">
        <f xml:space="preserve"> IF( $D32,   IF( 'i2'!$G31=LEER,  #N/A,  'i2'!$G31  ),   #N/A  )</f>
        <v>6.7900000000000002E-2</v>
      </c>
      <c r="M31" s="27">
        <f xml:space="preserve"> IF( $E32,   IF( 'i3'!$G31=LEER,  #N/A,  'i3'!$G31  ),   #N/A  )</f>
        <v>6.7900000000000002E-2</v>
      </c>
      <c r="N31" s="158"/>
      <c r="O31" s="158"/>
      <c r="Q31" s="28">
        <f t="shared" si="35"/>
        <v>26.774843557982408</v>
      </c>
      <c r="R31" s="28">
        <f t="shared" si="36"/>
        <v>26.774843557982408</v>
      </c>
      <c r="S31" s="28">
        <f t="shared" si="37"/>
        <v>26.774843557982408</v>
      </c>
      <c r="U31" s="76">
        <f xml:space="preserve"> IF( $C30,   SUM('i1'!$R31),   #N/A  )</f>
        <v>1390028</v>
      </c>
      <c r="V31" s="76">
        <f xml:space="preserve"> IF( $C30,   SUM('i2'!$R31),   #N/A  )</f>
        <v>1390028</v>
      </c>
      <c r="W31" s="76">
        <f xml:space="preserve"> IF( $C30,   SUM('i3'!$R31),   #N/A  )</f>
        <v>1390028</v>
      </c>
      <c r="Y31" s="33"/>
      <c r="Z31" s="22">
        <f xml:space="preserve"> IF( $C31,   IF( 'i1'!$J31=LEER,  #N/A,  'i1'!$J31  ),   #N/A  )</f>
        <v>0.89400000000000002</v>
      </c>
      <c r="AA31" s="22">
        <f xml:space="preserve"> IF( $D31,   IF( 'i2'!$J31=LEER,  #N/A,  'i2'!$J31  ),   #N/A  )</f>
        <v>0.89400000000000002</v>
      </c>
      <c r="AB31" s="22">
        <f xml:space="preserve"> IF( $E31,   IF( 'i3'!$J31=LEER,  #N/A,  'i3'!$J31  ),   #N/A  )</f>
        <v>0.89400000000000002</v>
      </c>
      <c r="AC31" s="75"/>
      <c r="AD31" s="26">
        <f t="shared" si="25"/>
        <v>1857.5442599999999</v>
      </c>
      <c r="AE31" s="26">
        <f t="shared" si="26"/>
        <v>1857.5442599999999</v>
      </c>
      <c r="AF31" s="26">
        <f t="shared" si="27"/>
        <v>1857.5442599999999</v>
      </c>
      <c r="AG31" s="23"/>
      <c r="AH31" s="24">
        <f xml:space="preserve">    IF(  'i1'!$AK31=LEER,  #N/A,  ROUND( 'i1'!$AK31, AH$15 )  )</f>
        <v>391.06</v>
      </c>
      <c r="AI31" s="24">
        <f xml:space="preserve">    IF(  'i2'!$AK31=LEER,  #N/A,  ROUND( 'i2'!$AK31, AI$15 )  )</f>
        <v>391.06</v>
      </c>
      <c r="AJ31" s="24">
        <f xml:space="preserve">    IF(  'i3'!$AK31=LEER,  #N/A,  ROUND( 'i3'!$AK31, AJ$15 )  )</f>
        <v>391.06</v>
      </c>
      <c r="AL31" s="102">
        <f t="shared" si="28"/>
        <v>391.06</v>
      </c>
      <c r="AO31" s="24" t="e">
        <f xml:space="preserve">    IF( 'i1'!$AN31=LEER,  #N/A,  'i1'!$AN31  )</f>
        <v>#N/A</v>
      </c>
      <c r="AP31" s="24" t="e">
        <f xml:space="preserve">    IF( 'i2'!$AN31=LEER,  #N/A,  'i2'!$AN31  )</f>
        <v>#N/A</v>
      </c>
      <c r="AQ31" s="24" t="e">
        <f xml:space="preserve">    IF( 'i3'!$AN31=LEER,  #N/A,  'i3'!$AN31  )</f>
        <v>#N/A</v>
      </c>
      <c r="AS31" s="24" t="e">
        <f xml:space="preserve">    IF( 'i1'!$AO31=LEER,  #N/A,  'i1'!$AO31  )</f>
        <v>#N/A</v>
      </c>
      <c r="AT31" s="24" t="e">
        <f xml:space="preserve">    IF( 'i2'!$AO31=LEER,  #N/A,  'i2'!$AO31  )</f>
        <v>#N/A</v>
      </c>
      <c r="AU31" s="24" t="e">
        <f xml:space="preserve">    IF( 'i3'!$AO31=LEER,  #N/A,  'i3'!$AO31  )</f>
        <v>#N/A</v>
      </c>
      <c r="AW31" s="28" t="e">
        <f t="shared" si="38"/>
        <v>#N/A</v>
      </c>
      <c r="AX31" s="28" t="e">
        <f t="shared" si="29"/>
        <v>#N/A</v>
      </c>
      <c r="AY31" s="28" t="e">
        <f t="shared" si="30"/>
        <v>#N/A</v>
      </c>
      <c r="BA31" s="28" t="e">
        <f t="shared" si="31"/>
        <v>#N/A</v>
      </c>
      <c r="BB31" s="28" t="e">
        <f t="shared" si="32"/>
        <v>#N/A</v>
      </c>
      <c r="BC31" s="28" t="e">
        <f t="shared" si="33"/>
        <v>#N/A</v>
      </c>
      <c r="BG31" s="24" t="e">
        <f xml:space="preserve">    IF( 'i1'!BT31=LEER,  #N/A,  'i1'!BT31  )</f>
        <v>#N/A</v>
      </c>
      <c r="BH31" s="24" t="e">
        <f xml:space="preserve">    IF( 'i1'!BR31=LEER,  #N/A,  'i1'!BR31  )</f>
        <v>#N/A</v>
      </c>
      <c r="BI31" s="111" t="e">
        <f t="shared" si="34"/>
        <v>#N/A</v>
      </c>
      <c r="BJ31" s="24" t="e">
        <f xml:space="preserve">    IF( 'i1'!BX31=LEER,  #N/A,  'i1'!BX31  )</f>
        <v>#N/A</v>
      </c>
      <c r="BL31" s="24" t="e">
        <f xml:space="preserve">    IF( 'i1'!CB31=LEER,  #N/A,  'i1'!CB31  )</f>
        <v>#N/A</v>
      </c>
      <c r="BM31" s="24" t="e">
        <f xml:space="preserve">    IF( 'i1'!CC31=LEER,  #N/A,  'i1'!CC31  )</f>
        <v>#N/A</v>
      </c>
      <c r="BN31" s="24" t="e">
        <f xml:space="preserve">    IF( 'i1'!CD31=LEER,  #N/A,  'i1'!CD31  )</f>
        <v>#N/A</v>
      </c>
      <c r="BO31" s="24" t="e">
        <f xml:space="preserve">    IF( 'i1'!CE31=LEER,  #N/A,  'i1'!CE31  )</f>
        <v>#N/A</v>
      </c>
      <c r="BQ31" s="24" t="e">
        <f xml:space="preserve">    IF( 'i1'!CI31=LEER,  #N/A,  'i1'!CI31  )</f>
        <v>#N/A</v>
      </c>
      <c r="BR31" s="24" t="e">
        <f xml:space="preserve">    IF( 'i1'!CJ31=LEER,  #N/A,  'i1'!CJ31  )</f>
        <v>#N/A</v>
      </c>
      <c r="BS31" s="24" t="e">
        <f xml:space="preserve">    IF( 'i1'!CK31=LEER,  #N/A,  'i1'!CK31  )</f>
        <v>#N/A</v>
      </c>
      <c r="BT31" s="38" t="e">
        <f xml:space="preserve">    IF( 'i1'!CH31=LEER,  #N/A,  'i1'!CH31  )</f>
        <v>#N/A</v>
      </c>
      <c r="BV31" s="24" t="e">
        <f xml:space="preserve">    IF( 'i1'!CO31=LEER,  #N/A,  'i1'!CO31  )</f>
        <v>#N/A</v>
      </c>
      <c r="BW31" s="24" t="e">
        <f xml:space="preserve">    IF( 'i1'!CP31=LEER,  #N/A,  'i1'!CP31  )</f>
        <v>#N/A</v>
      </c>
      <c r="BX31" s="24" t="e">
        <f xml:space="preserve">    IF( 'i1'!CQ31=LEER,  #N/A,  'i1'!CQ31  )</f>
        <v>#N/A</v>
      </c>
      <c r="BY31" s="38" t="e">
        <f xml:space="preserve">    IF( 'i1'!CN31=LEER,  #N/A,  'i1'!CN31  )</f>
        <v>#N/A</v>
      </c>
      <c r="CD31" s="113" t="e">
        <f xml:space="preserve"> IF(  AND( $A31&lt;&gt;$CD$14, OR( 'i1'!EO31=LEER, 'i1'!EM31&lt;&gt;LEER ) ), #N/A, 'i1'!EO31 )</f>
        <v>#N/A</v>
      </c>
      <c r="CE31" s="113" t="e">
        <f xml:space="preserve"> IF(   'i1'!EM31=LEER, #N/A,  'i1'!EM31 )</f>
        <v>#N/A</v>
      </c>
      <c r="CF31" s="114" t="e">
        <f xml:space="preserve"> IF(   'i1'!EL31=LEER, #N/A, 'i1'!EL31 + 'i1'!EM31 )</f>
        <v>#N/A</v>
      </c>
      <c r="CW31" s="104">
        <f xml:space="preserve"> 'i1'!FN31</f>
        <v>31</v>
      </c>
      <c r="CX31" s="106">
        <f xml:space="preserve"> IF(  INDEX( 'i1'!$FS31:$JO31, CX$13 ) = LEER,  #N/A,  INDEX( 'i1'!$FS31:$JO31, CX$13 )  )</f>
        <v>15706.13</v>
      </c>
      <c r="CY31" s="106">
        <f xml:space="preserve"> IF(  INDEX( 'i1'!$FS31:$JO31, CY$13 ) = LEER,  #N/A,  INDEX( 'i1'!$FS31:$JO31, CY$13 )  )</f>
        <v>8567.52</v>
      </c>
      <c r="CZ31" s="106">
        <f xml:space="preserve"> IF(  INDEX( 'i1'!$FS31:$JO31, CZ$13 ) = LEER,  #N/A,  INDEX( 'i1'!$FS31:$JO31, CZ$13 )  )</f>
        <v>852.7</v>
      </c>
      <c r="DA31" s="106" t="e">
        <f xml:space="preserve"> IF(  INDEX( 'i1'!$FS31:$JO31, DA$13 ) = LEER,  #N/A,  INDEX( 'i1'!$FS31:$JO31, DA$13 )  )</f>
        <v>#N/A</v>
      </c>
      <c r="DB31" s="106" t="e">
        <f xml:space="preserve"> IF(  INDEX( 'i1'!$FS31:$JO31, DB$13 ) = LEER,  #N/A,  INDEX( 'i1'!$FS31:$JO31, DB$13 )  )</f>
        <v>#N/A</v>
      </c>
      <c r="DC31" s="106" t="e">
        <f xml:space="preserve"> IF(  INDEX( 'i1'!$FS31:$JO31, DC$13 ) = LEER,  #N/A,  INDEX( 'i1'!$FS31:$JO31, DC$13 )  )</f>
        <v>#N/A</v>
      </c>
      <c r="DD31" s="106" t="e">
        <f xml:space="preserve"> IF(  INDEX( 'i1'!$FS31:$JO31, DD$13 ) = LEER,  #N/A,  INDEX( 'i1'!$FS31:$JO31, DD$13 )  )</f>
        <v>#N/A</v>
      </c>
      <c r="DE31" s="106" t="e">
        <f xml:space="preserve"> IF(  INDEX( 'i1'!$FS31:$JO31, DE$13 ) = LEER,  #N/A,  INDEX( 'i1'!$FS31:$JO31, DE$13 )  )</f>
        <v>#N/A</v>
      </c>
      <c r="DF31" s="106" t="e">
        <f xml:space="preserve"> IF(  INDEX( 'i1'!$FS31:$JO31, DF$13 ) = LEER,  #N/A,  INDEX( 'i1'!$FS31:$JO31, DF$13 )  )</f>
        <v>#N/A</v>
      </c>
      <c r="DG31" s="106" t="e">
        <f xml:space="preserve"> IF(  INDEX( 'i1'!$FS31:$JO31, DG$13 ) = LEER,  #N/A,  INDEX( 'i1'!$FS31:$JO31, DG$13 )  )</f>
        <v>#N/A</v>
      </c>
      <c r="DH31" s="106" t="e">
        <f xml:space="preserve"> IF(  INDEX( 'i1'!$FS31:$JO31, DH$13 ) = LEER,  #N/A,  INDEX( 'i1'!$FS31:$JO31, DH$13 )  )</f>
        <v>#N/A</v>
      </c>
      <c r="DI31" s="106" t="e">
        <f xml:space="preserve"> IF(  INDEX( 'i1'!$FS31:$JO31, DI$13 ) = LEER,  #N/A,  INDEX( 'i1'!$FS31:$JO31, DI$13 )  )</f>
        <v>#N/A</v>
      </c>
      <c r="DJ31" s="106" t="e">
        <f xml:space="preserve"> IF(  INDEX( 'i1'!$FS31:$JO31, DJ$13 ) = LEER,  #N/A,  INDEX( 'i1'!$FS31:$JO31, DJ$13 )  )</f>
        <v>#N/A</v>
      </c>
      <c r="DK31" s="106" t="e">
        <f xml:space="preserve"> IF(  INDEX( 'i1'!$FS31:$JO31, DK$13 ) = LEER,  #N/A,  INDEX( 'i1'!$FS31:$JO31, DK$13 )  )</f>
        <v>#N/A</v>
      </c>
      <c r="DL31" s="106" t="e">
        <f xml:space="preserve"> IF(  INDEX( 'i1'!$FS31:$JO31, DL$13 ) = LEER,  #N/A,  INDEX( 'i1'!$FS31:$JO31, DL$13 )  )</f>
        <v>#N/A</v>
      </c>
      <c r="DM31" s="106" t="e">
        <f xml:space="preserve"> IF(  INDEX( 'i1'!$FS31:$JO31, DM$13 ) = LEER,  #N/A,  INDEX( 'i1'!$FS31:$JO31, DM$13 )  )</f>
        <v>#N/A</v>
      </c>
      <c r="DN31" s="106" t="e">
        <f xml:space="preserve"> IF(  INDEX( 'i1'!$FS31:$JO31, DN$13 ) = LEER,  #N/A,  INDEX( 'i1'!$FS31:$JO31, DN$13 )  )</f>
        <v>#N/A</v>
      </c>
    </row>
    <row r="32" spans="1:118" x14ac:dyDescent="0.2">
      <c r="A32" s="15">
        <f xml:space="preserve"> Basis!A32</f>
        <v>32</v>
      </c>
      <c r="C32" s="24" t="b">
        <f xml:space="preserve"> 'i1'!$O32</f>
        <v>1</v>
      </c>
      <c r="D32" s="24" t="b">
        <f xml:space="preserve"> 'i2'!$O32</f>
        <v>1</v>
      </c>
      <c r="E32" s="24" t="b">
        <f xml:space="preserve"> 'i3'!$O32</f>
        <v>1</v>
      </c>
      <c r="G32" s="27">
        <f xml:space="preserve"> IF( $C33,   IF( 'i1'!$P32=LEER,  #N/A,  'i1'!$P32  ),   #N/A  )</f>
        <v>6.2899999999999998E-2</v>
      </c>
      <c r="H32" s="27">
        <f xml:space="preserve"> IF( $D33,   IF( 'i2'!$P32=LEER,  #N/A,  'i2'!$P32  ),   #N/A  )</f>
        <v>6.2899999999999998E-2</v>
      </c>
      <c r="I32" s="27">
        <f xml:space="preserve"> IF( $E33,   IF( 'i3'!$P32=LEER,  #N/A,  'i3'!$P32  ),   #N/A  )</f>
        <v>6.2899999999999998E-2</v>
      </c>
      <c r="J32" s="158"/>
      <c r="K32" s="27">
        <f xml:space="preserve"> IF( $C33,   IF( 'i1'!$G32=LEER,  #N/A,  'i1'!$G32  ),   #N/A  )</f>
        <v>6.2600000000000003E-2</v>
      </c>
      <c r="L32" s="27">
        <f xml:space="preserve"> IF( $D33,   IF( 'i2'!$G32=LEER,  #N/A,  'i2'!$G32  ),   #N/A  )</f>
        <v>6.2600000000000003E-2</v>
      </c>
      <c r="M32" s="27">
        <f xml:space="preserve"> IF( $E33,   IF( 'i3'!$G32=LEER,  #N/A,  'i3'!$G32  ),   #N/A  )</f>
        <v>6.2600000000000003E-2</v>
      </c>
      <c r="N32" s="158"/>
      <c r="O32" s="158"/>
      <c r="Q32" s="28">
        <f t="shared" si="35"/>
        <v>27.697943290386789</v>
      </c>
      <c r="R32" s="28">
        <f t="shared" si="36"/>
        <v>27.697943290386789</v>
      </c>
      <c r="S32" s="28">
        <f t="shared" si="37"/>
        <v>27.697943290386789</v>
      </c>
      <c r="U32" s="76">
        <f xml:space="preserve"> IF( $C31,   SUM('i1'!$R32),   #N/A  )</f>
        <v>1295228</v>
      </c>
      <c r="V32" s="76">
        <f xml:space="preserve"> IF( $C31,   SUM('i2'!$R32),   #N/A  )</f>
        <v>1295228</v>
      </c>
      <c r="W32" s="76">
        <f xml:space="preserve"> IF( $C31,   SUM('i3'!$R32),   #N/A  )</f>
        <v>1295228</v>
      </c>
      <c r="Y32" s="33"/>
      <c r="Z32" s="22">
        <f xml:space="preserve"> IF( $C32,   IF( 'i1'!$J32=LEER,  #N/A,  'i1'!$J32  ),   #N/A  )</f>
        <v>0.91400000000000003</v>
      </c>
      <c r="AA32" s="22">
        <f xml:space="preserve"> IF( $D32,   IF( 'i2'!$J32=LEER,  #N/A,  'i2'!$J32  ),   #N/A  )</f>
        <v>0.91400000000000003</v>
      </c>
      <c r="AB32" s="22">
        <f xml:space="preserve"> IF( $E32,   IF( 'i3'!$J32=LEER,  #N/A,  'i3'!$J32  ),   #N/A  )</f>
        <v>0.91400000000000003</v>
      </c>
      <c r="AC32" s="75"/>
      <c r="AD32" s="26">
        <f t="shared" si="25"/>
        <v>1899.10006</v>
      </c>
      <c r="AE32" s="26">
        <f t="shared" si="26"/>
        <v>1899.10006</v>
      </c>
      <c r="AF32" s="26">
        <f t="shared" si="27"/>
        <v>1899.10006</v>
      </c>
      <c r="AG32" s="23"/>
      <c r="AH32" s="24">
        <f xml:space="preserve">    IF(  'i1'!$AK32=LEER,  #N/A,  ROUND( 'i1'!$AK32, AH$15 )  )</f>
        <v>400.25</v>
      </c>
      <c r="AI32" s="24">
        <f xml:space="preserve">    IF(  'i2'!$AK32=LEER,  #N/A,  ROUND( 'i2'!$AK32, AI$15 )  )</f>
        <v>400.25</v>
      </c>
      <c r="AJ32" s="24">
        <f xml:space="preserve">    IF(  'i3'!$AK32=LEER,  #N/A,  ROUND( 'i3'!$AK32, AJ$15 )  )</f>
        <v>400.25</v>
      </c>
      <c r="AL32" s="102">
        <f t="shared" si="28"/>
        <v>400.25</v>
      </c>
      <c r="AO32" s="24" t="e">
        <f xml:space="preserve">    IF( 'i1'!$AN32=LEER,  #N/A,  'i1'!$AN32  )</f>
        <v>#N/A</v>
      </c>
      <c r="AP32" s="24" t="e">
        <f xml:space="preserve">    IF( 'i2'!$AN32=LEER,  #N/A,  'i2'!$AN32  )</f>
        <v>#N/A</v>
      </c>
      <c r="AQ32" s="24" t="e">
        <f xml:space="preserve">    IF( 'i3'!$AN32=LEER,  #N/A,  'i3'!$AN32  )</f>
        <v>#N/A</v>
      </c>
      <c r="AS32" s="24" t="e">
        <f xml:space="preserve">    IF( 'i1'!$AO32=LEER,  #N/A,  'i1'!$AO32  )</f>
        <v>#N/A</v>
      </c>
      <c r="AT32" s="24" t="e">
        <f xml:space="preserve">    IF( 'i2'!$AO32=LEER,  #N/A,  'i2'!$AO32  )</f>
        <v>#N/A</v>
      </c>
      <c r="AU32" s="24" t="e">
        <f xml:space="preserve">    IF( 'i3'!$AO32=LEER,  #N/A,  'i3'!$AO32  )</f>
        <v>#N/A</v>
      </c>
      <c r="AW32" s="28" t="e">
        <f t="shared" si="38"/>
        <v>#N/A</v>
      </c>
      <c r="AX32" s="28" t="e">
        <f t="shared" si="29"/>
        <v>#N/A</v>
      </c>
      <c r="AY32" s="28" t="e">
        <f t="shared" si="30"/>
        <v>#N/A</v>
      </c>
      <c r="BA32" s="28" t="e">
        <f t="shared" si="31"/>
        <v>#N/A</v>
      </c>
      <c r="BB32" s="28" t="e">
        <f t="shared" si="32"/>
        <v>#N/A</v>
      </c>
      <c r="BC32" s="28" t="e">
        <f t="shared" si="33"/>
        <v>#N/A</v>
      </c>
      <c r="BG32" s="24" t="e">
        <f xml:space="preserve">    IF( 'i1'!BT32=LEER,  #N/A,  'i1'!BT32  )</f>
        <v>#N/A</v>
      </c>
      <c r="BH32" s="24" t="e">
        <f xml:space="preserve">    IF( 'i1'!BR32=LEER,  #N/A,  'i1'!BR32  )</f>
        <v>#N/A</v>
      </c>
      <c r="BI32" s="111" t="e">
        <f t="shared" si="34"/>
        <v>#N/A</v>
      </c>
      <c r="BJ32" s="24" t="e">
        <f xml:space="preserve">    IF( 'i1'!BX32=LEER,  #N/A,  'i1'!BX32  )</f>
        <v>#N/A</v>
      </c>
      <c r="BL32" s="24" t="e">
        <f xml:space="preserve">    IF( 'i1'!CB32=LEER,  #N/A,  'i1'!CB32  )</f>
        <v>#N/A</v>
      </c>
      <c r="BM32" s="24" t="e">
        <f xml:space="preserve">    IF( 'i1'!CC32=LEER,  #N/A,  'i1'!CC32  )</f>
        <v>#N/A</v>
      </c>
      <c r="BN32" s="24" t="e">
        <f xml:space="preserve">    IF( 'i1'!CD32=LEER,  #N/A,  'i1'!CD32  )</f>
        <v>#N/A</v>
      </c>
      <c r="BO32" s="24" t="e">
        <f xml:space="preserve">    IF( 'i1'!CE32=LEER,  #N/A,  'i1'!CE32  )</f>
        <v>#N/A</v>
      </c>
      <c r="BQ32" s="24" t="e">
        <f xml:space="preserve">    IF( 'i1'!CI32=LEER,  #N/A,  'i1'!CI32  )</f>
        <v>#N/A</v>
      </c>
      <c r="BR32" s="24" t="e">
        <f xml:space="preserve">    IF( 'i1'!CJ32=LEER,  #N/A,  'i1'!CJ32  )</f>
        <v>#N/A</v>
      </c>
      <c r="BS32" s="24" t="e">
        <f xml:space="preserve">    IF( 'i1'!CK32=LEER,  #N/A,  'i1'!CK32  )</f>
        <v>#N/A</v>
      </c>
      <c r="BT32" s="38" t="e">
        <f xml:space="preserve">    IF( 'i1'!CH32=LEER,  #N/A,  'i1'!CH32  )</f>
        <v>#N/A</v>
      </c>
      <c r="BV32" s="24" t="e">
        <f xml:space="preserve">    IF( 'i1'!CO32=LEER,  #N/A,  'i1'!CO32  )</f>
        <v>#N/A</v>
      </c>
      <c r="BW32" s="24" t="e">
        <f xml:space="preserve">    IF( 'i1'!CP32=LEER,  #N/A,  'i1'!CP32  )</f>
        <v>#N/A</v>
      </c>
      <c r="BX32" s="24" t="e">
        <f xml:space="preserve">    IF( 'i1'!CQ32=LEER,  #N/A,  'i1'!CQ32  )</f>
        <v>#N/A</v>
      </c>
      <c r="BY32" s="38" t="e">
        <f xml:space="preserve">    IF( 'i1'!CN32=LEER,  #N/A,  'i1'!CN32  )</f>
        <v>#N/A</v>
      </c>
      <c r="CD32" s="113" t="e">
        <f xml:space="preserve"> IF(  AND( $A32&lt;&gt;$CD$14, OR( 'i1'!EO32=LEER, 'i1'!EM32&lt;&gt;LEER ) ), #N/A, 'i1'!EO32 )</f>
        <v>#N/A</v>
      </c>
      <c r="CE32" s="113" t="e">
        <f xml:space="preserve"> IF(   'i1'!EM32=LEER, #N/A,  'i1'!EM32 )</f>
        <v>#N/A</v>
      </c>
      <c r="CF32" s="114" t="e">
        <f xml:space="preserve"> IF(   'i1'!EL32=LEER, #N/A, 'i1'!EL32 + 'i1'!EM32 )</f>
        <v>#N/A</v>
      </c>
      <c r="CW32" s="104">
        <f xml:space="preserve"> 'i1'!FN32</f>
        <v>32</v>
      </c>
      <c r="CX32" s="106">
        <f xml:space="preserve"> IF(  INDEX( 'i1'!$FS32:$JO32, CX$13 ) = LEER,  #N/A,  INDEX( 'i1'!$FS32:$JO32, CX$13 )  )</f>
        <v>17977.36</v>
      </c>
      <c r="CY32" s="106">
        <f xml:space="preserve"> IF(  INDEX( 'i1'!$FS32:$JO32, CY$13 ) = LEER,  #N/A,  INDEX( 'i1'!$FS32:$JO32, CY$13 )  )</f>
        <v>10597.61</v>
      </c>
      <c r="CZ32" s="106">
        <f xml:space="preserve"> IF(  INDEX( 'i1'!$FS32:$JO32, CZ$13 ) = LEER,  #N/A,  INDEX( 'i1'!$FS32:$JO32, CZ$13 )  )</f>
        <v>2622.21</v>
      </c>
      <c r="DA32" s="106" t="e">
        <f xml:space="preserve"> IF(  INDEX( 'i1'!$FS32:$JO32, DA$13 ) = LEER,  #N/A,  INDEX( 'i1'!$FS32:$JO32, DA$13 )  )</f>
        <v>#N/A</v>
      </c>
      <c r="DB32" s="106" t="e">
        <f xml:space="preserve"> IF(  INDEX( 'i1'!$FS32:$JO32, DB$13 ) = LEER,  #N/A,  INDEX( 'i1'!$FS32:$JO32, DB$13 )  )</f>
        <v>#N/A</v>
      </c>
      <c r="DC32" s="106" t="e">
        <f xml:space="preserve"> IF(  INDEX( 'i1'!$FS32:$JO32, DC$13 ) = LEER,  #N/A,  INDEX( 'i1'!$FS32:$JO32, DC$13 )  )</f>
        <v>#N/A</v>
      </c>
      <c r="DD32" s="106" t="e">
        <f xml:space="preserve"> IF(  INDEX( 'i1'!$FS32:$JO32, DD$13 ) = LEER,  #N/A,  INDEX( 'i1'!$FS32:$JO32, DD$13 )  )</f>
        <v>#N/A</v>
      </c>
      <c r="DE32" s="106" t="e">
        <f xml:space="preserve"> IF(  INDEX( 'i1'!$FS32:$JO32, DE$13 ) = LEER,  #N/A,  INDEX( 'i1'!$FS32:$JO32, DE$13 )  )</f>
        <v>#N/A</v>
      </c>
      <c r="DF32" s="106" t="e">
        <f xml:space="preserve"> IF(  INDEX( 'i1'!$FS32:$JO32, DF$13 ) = LEER,  #N/A,  INDEX( 'i1'!$FS32:$JO32, DF$13 )  )</f>
        <v>#N/A</v>
      </c>
      <c r="DG32" s="106" t="e">
        <f xml:space="preserve"> IF(  INDEX( 'i1'!$FS32:$JO32, DG$13 ) = LEER,  #N/A,  INDEX( 'i1'!$FS32:$JO32, DG$13 )  )</f>
        <v>#N/A</v>
      </c>
      <c r="DH32" s="106" t="e">
        <f xml:space="preserve"> IF(  INDEX( 'i1'!$FS32:$JO32, DH$13 ) = LEER,  #N/A,  INDEX( 'i1'!$FS32:$JO32, DH$13 )  )</f>
        <v>#N/A</v>
      </c>
      <c r="DI32" s="106" t="e">
        <f xml:space="preserve"> IF(  INDEX( 'i1'!$FS32:$JO32, DI$13 ) = LEER,  #N/A,  INDEX( 'i1'!$FS32:$JO32, DI$13 )  )</f>
        <v>#N/A</v>
      </c>
      <c r="DJ32" s="106" t="e">
        <f xml:space="preserve"> IF(  INDEX( 'i1'!$FS32:$JO32, DJ$13 ) = LEER,  #N/A,  INDEX( 'i1'!$FS32:$JO32, DJ$13 )  )</f>
        <v>#N/A</v>
      </c>
      <c r="DK32" s="106" t="e">
        <f xml:space="preserve"> IF(  INDEX( 'i1'!$FS32:$JO32, DK$13 ) = LEER,  #N/A,  INDEX( 'i1'!$FS32:$JO32, DK$13 )  )</f>
        <v>#N/A</v>
      </c>
      <c r="DL32" s="106" t="e">
        <f xml:space="preserve"> IF(  INDEX( 'i1'!$FS32:$JO32, DL$13 ) = LEER,  #N/A,  INDEX( 'i1'!$FS32:$JO32, DL$13 )  )</f>
        <v>#N/A</v>
      </c>
      <c r="DM32" s="106" t="e">
        <f xml:space="preserve"> IF(  INDEX( 'i1'!$FS32:$JO32, DM$13 ) = LEER,  #N/A,  INDEX( 'i1'!$FS32:$JO32, DM$13 )  )</f>
        <v>#N/A</v>
      </c>
      <c r="DN32" s="106" t="e">
        <f xml:space="preserve"> IF(  INDEX( 'i1'!$FS32:$JO32, DN$13 ) = LEER,  #N/A,  INDEX( 'i1'!$FS32:$JO32, DN$13 )  )</f>
        <v>#N/A</v>
      </c>
    </row>
    <row r="33" spans="1:118" x14ac:dyDescent="0.2">
      <c r="A33" s="15">
        <f xml:space="preserve"> Basis!A33</f>
        <v>33</v>
      </c>
      <c r="C33" s="24" t="b">
        <f xml:space="preserve"> 'i1'!$O33</f>
        <v>1</v>
      </c>
      <c r="D33" s="24" t="b">
        <f xml:space="preserve"> 'i2'!$O33</f>
        <v>1</v>
      </c>
      <c r="E33" s="24" t="b">
        <f xml:space="preserve"> 'i3'!$O33</f>
        <v>1</v>
      </c>
      <c r="G33" s="27">
        <f xml:space="preserve"> IF( $C34,   IF( 'i1'!$P33=LEER,  #N/A,  'i1'!$P33  ),   #N/A  )</f>
        <v>5.7599999999999998E-2</v>
      </c>
      <c r="H33" s="27">
        <f xml:space="preserve"> IF( $D34,   IF( 'i2'!$P33=LEER,  #N/A,  'i2'!$P33  ),   #N/A  )</f>
        <v>5.7599999999999998E-2</v>
      </c>
      <c r="I33" s="27">
        <f xml:space="preserve"> IF( $E34,   IF( 'i3'!$P33=LEER,  #N/A,  'i3'!$P33  ),   #N/A  )</f>
        <v>5.7599999999999998E-2</v>
      </c>
      <c r="J33" s="158"/>
      <c r="K33" s="27">
        <f xml:space="preserve"> IF( $C34,   IF( 'i1'!$G33=LEER,  #N/A,  'i1'!$G33  ),   #N/A  )</f>
        <v>5.7299999999999997E-2</v>
      </c>
      <c r="L33" s="27">
        <f xml:space="preserve"> IF( $D34,   IF( 'i2'!$G33=LEER,  #N/A,  'i2'!$G33  ),   #N/A  )</f>
        <v>5.7299999999999997E-2</v>
      </c>
      <c r="M33" s="27">
        <f xml:space="preserve"> IF( $E34,   IF( 'i3'!$G33=LEER,  #N/A,  'i3'!$G33  ),   #N/A  )</f>
        <v>5.7299999999999997E-2</v>
      </c>
      <c r="N33" s="158"/>
      <c r="O33" s="158"/>
      <c r="Q33" s="28">
        <f t="shared" si="35"/>
        <v>28.52352287950783</v>
      </c>
      <c r="R33" s="28">
        <f t="shared" si="36"/>
        <v>28.52352287950783</v>
      </c>
      <c r="S33" s="28">
        <f t="shared" si="37"/>
        <v>28.52352287950783</v>
      </c>
      <c r="U33" s="76">
        <f xml:space="preserve"> IF( $C32,   SUM('i1'!$R33),   #N/A  )</f>
        <v>1213758</v>
      </c>
      <c r="V33" s="76">
        <f xml:space="preserve"> IF( $C32,   SUM('i2'!$R33),   #N/A  )</f>
        <v>1213758</v>
      </c>
      <c r="W33" s="76">
        <f xml:space="preserve"> IF( $C32,   SUM('i3'!$R33),   #N/A  )</f>
        <v>1213758</v>
      </c>
      <c r="Y33" s="33"/>
      <c r="Z33" s="22">
        <f xml:space="preserve"> IF( $C33,   IF( 'i1'!$J33=LEER,  #N/A,  'i1'!$J33  ),   #N/A  )</f>
        <v>0.91800000000000004</v>
      </c>
      <c r="AA33" s="22">
        <f xml:space="preserve"> IF( $D33,   IF( 'i2'!$J33=LEER,  #N/A,  'i2'!$J33  ),   #N/A  )</f>
        <v>0.91800000000000004</v>
      </c>
      <c r="AB33" s="22">
        <f xml:space="preserve"> IF( $E33,   IF( 'i3'!$J33=LEER,  #N/A,  'i3'!$J33  ),   #N/A  )</f>
        <v>0.91800000000000004</v>
      </c>
      <c r="AC33" s="75"/>
      <c r="AD33" s="26">
        <f t="shared" si="25"/>
        <v>1907.41122</v>
      </c>
      <c r="AE33" s="26">
        <f t="shared" si="26"/>
        <v>1907.41122</v>
      </c>
      <c r="AF33" s="26">
        <f t="shared" si="27"/>
        <v>1907.41122</v>
      </c>
      <c r="AG33" s="23"/>
      <c r="AH33" s="24">
        <f xml:space="preserve">    IF(  'i1'!$AK33=LEER,  #N/A,  ROUND( 'i1'!$AK33, AH$15 )  )</f>
        <v>409.48</v>
      </c>
      <c r="AI33" s="24">
        <f xml:space="preserve">    IF(  'i2'!$AK33=LEER,  #N/A,  ROUND( 'i2'!$AK33, AI$15 )  )</f>
        <v>409.48</v>
      </c>
      <c r="AJ33" s="24">
        <f xml:space="preserve">    IF(  'i3'!$AK33=LEER,  #N/A,  ROUND( 'i3'!$AK33, AJ$15 )  )</f>
        <v>409.48</v>
      </c>
      <c r="AL33" s="102">
        <f t="shared" si="28"/>
        <v>409.48</v>
      </c>
      <c r="AO33" s="24" t="e">
        <f xml:space="preserve">    IF( 'i1'!$AN33=LEER,  #N/A,  'i1'!$AN33  )</f>
        <v>#N/A</v>
      </c>
      <c r="AP33" s="24" t="e">
        <f xml:space="preserve">    IF( 'i2'!$AN33=LEER,  #N/A,  'i2'!$AN33  )</f>
        <v>#N/A</v>
      </c>
      <c r="AQ33" s="24" t="e">
        <f xml:space="preserve">    IF( 'i3'!$AN33=LEER,  #N/A,  'i3'!$AN33  )</f>
        <v>#N/A</v>
      </c>
      <c r="AS33" s="24" t="e">
        <f xml:space="preserve">    IF( 'i1'!$AO33=LEER,  #N/A,  'i1'!$AO33  )</f>
        <v>#N/A</v>
      </c>
      <c r="AT33" s="24" t="e">
        <f xml:space="preserve">    IF( 'i2'!$AO33=LEER,  #N/A,  'i2'!$AO33  )</f>
        <v>#N/A</v>
      </c>
      <c r="AU33" s="24" t="e">
        <f xml:space="preserve">    IF( 'i3'!$AO33=LEER,  #N/A,  'i3'!$AO33  )</f>
        <v>#N/A</v>
      </c>
      <c r="AW33" s="28" t="e">
        <f t="shared" si="38"/>
        <v>#N/A</v>
      </c>
      <c r="AX33" s="28" t="e">
        <f t="shared" si="29"/>
        <v>#N/A</v>
      </c>
      <c r="AY33" s="28" t="e">
        <f t="shared" si="30"/>
        <v>#N/A</v>
      </c>
      <c r="BA33" s="28" t="e">
        <f t="shared" si="31"/>
        <v>#N/A</v>
      </c>
      <c r="BB33" s="28" t="e">
        <f t="shared" si="32"/>
        <v>#N/A</v>
      </c>
      <c r="BC33" s="28" t="e">
        <f t="shared" si="33"/>
        <v>#N/A</v>
      </c>
      <c r="BG33" s="24" t="e">
        <f xml:space="preserve">    IF( 'i1'!BT33=LEER,  #N/A,  'i1'!BT33  )</f>
        <v>#N/A</v>
      </c>
      <c r="BH33" s="24" t="e">
        <f xml:space="preserve">    IF( 'i1'!BR33=LEER,  #N/A,  'i1'!BR33  )</f>
        <v>#N/A</v>
      </c>
      <c r="BI33" s="111" t="e">
        <f t="shared" si="34"/>
        <v>#N/A</v>
      </c>
      <c r="BJ33" s="24" t="e">
        <f xml:space="preserve">    IF( 'i1'!BX33=LEER,  #N/A,  'i1'!BX33  )</f>
        <v>#N/A</v>
      </c>
      <c r="BL33" s="24" t="e">
        <f xml:space="preserve">    IF( 'i1'!CB33=LEER,  #N/A,  'i1'!CB33  )</f>
        <v>#N/A</v>
      </c>
      <c r="BM33" s="24" t="e">
        <f xml:space="preserve">    IF( 'i1'!CC33=LEER,  #N/A,  'i1'!CC33  )</f>
        <v>#N/A</v>
      </c>
      <c r="BN33" s="24" t="e">
        <f xml:space="preserve">    IF( 'i1'!CD33=LEER,  #N/A,  'i1'!CD33  )</f>
        <v>#N/A</v>
      </c>
      <c r="BO33" s="24" t="e">
        <f xml:space="preserve">    IF( 'i1'!CE33=LEER,  #N/A,  'i1'!CE33  )</f>
        <v>#N/A</v>
      </c>
      <c r="BQ33" s="24" t="e">
        <f xml:space="preserve">    IF( 'i1'!CI33=LEER,  #N/A,  'i1'!CI33  )</f>
        <v>#N/A</v>
      </c>
      <c r="BR33" s="24" t="e">
        <f xml:space="preserve">    IF( 'i1'!CJ33=LEER,  #N/A,  'i1'!CJ33  )</f>
        <v>#N/A</v>
      </c>
      <c r="BS33" s="24" t="e">
        <f xml:space="preserve">    IF( 'i1'!CK33=LEER,  #N/A,  'i1'!CK33  )</f>
        <v>#N/A</v>
      </c>
      <c r="BT33" s="38" t="e">
        <f xml:space="preserve">    IF( 'i1'!CH33=LEER,  #N/A,  'i1'!CH33  )</f>
        <v>#N/A</v>
      </c>
      <c r="BV33" s="24" t="e">
        <f xml:space="preserve">    IF( 'i1'!CO33=LEER,  #N/A,  'i1'!CO33  )</f>
        <v>#N/A</v>
      </c>
      <c r="BW33" s="24" t="e">
        <f xml:space="preserve">    IF( 'i1'!CP33=LEER,  #N/A,  'i1'!CP33  )</f>
        <v>#N/A</v>
      </c>
      <c r="BX33" s="24" t="e">
        <f xml:space="preserve">    IF( 'i1'!CQ33=LEER,  #N/A,  'i1'!CQ33  )</f>
        <v>#N/A</v>
      </c>
      <c r="BY33" s="38" t="e">
        <f xml:space="preserve">    IF( 'i1'!CN33=LEER,  #N/A,  'i1'!CN33  )</f>
        <v>#N/A</v>
      </c>
      <c r="CD33" s="113" t="e">
        <f xml:space="preserve"> IF(  AND( $A33&lt;&gt;$CD$14, OR( 'i1'!EO33=LEER, 'i1'!EM33&lt;&gt;LEER ) ), #N/A, 'i1'!EO33 )</f>
        <v>#N/A</v>
      </c>
      <c r="CE33" s="113" t="e">
        <f xml:space="preserve"> IF(   'i1'!EM33=LEER, #N/A,  'i1'!EM33 )</f>
        <v>#N/A</v>
      </c>
      <c r="CF33" s="114" t="e">
        <f xml:space="preserve"> IF(   'i1'!EL33=LEER, #N/A, 'i1'!EL33 + 'i1'!EM33 )</f>
        <v>#N/A</v>
      </c>
      <c r="CW33" s="104">
        <f xml:space="preserve"> 'i1'!FN33</f>
        <v>33</v>
      </c>
      <c r="CX33" s="106">
        <f xml:space="preserve"> IF(  INDEX( 'i1'!$FS33:$JO33, CX$13 ) = LEER,  #N/A,  INDEX( 'i1'!$FS33:$JO33, CX$13 )  )</f>
        <v>20314.48</v>
      </c>
      <c r="CY33" s="106">
        <f xml:space="preserve"> IF(  INDEX( 'i1'!$FS33:$JO33, CY$13 ) = LEER,  #N/A,  INDEX( 'i1'!$FS33:$JO33, CY$13 )  )</f>
        <v>12712.74</v>
      </c>
      <c r="CZ33" s="106">
        <f xml:space="preserve"> IF(  INDEX( 'i1'!$FS33:$JO33, CZ$13 ) = LEER,  #N/A,  INDEX( 'i1'!$FS33:$JO33, CZ$13 )  )</f>
        <v>4497.42</v>
      </c>
      <c r="DA33" s="106" t="e">
        <f xml:space="preserve"> IF(  INDEX( 'i1'!$FS33:$JO33, DA$13 ) = LEER,  #N/A,  INDEX( 'i1'!$FS33:$JO33, DA$13 )  )</f>
        <v>#N/A</v>
      </c>
      <c r="DB33" s="106" t="e">
        <f xml:space="preserve"> IF(  INDEX( 'i1'!$FS33:$JO33, DB$13 ) = LEER,  #N/A,  INDEX( 'i1'!$FS33:$JO33, DB$13 )  )</f>
        <v>#N/A</v>
      </c>
      <c r="DC33" s="106" t="e">
        <f xml:space="preserve"> IF(  INDEX( 'i1'!$FS33:$JO33, DC$13 ) = LEER,  #N/A,  INDEX( 'i1'!$FS33:$JO33, DC$13 )  )</f>
        <v>#N/A</v>
      </c>
      <c r="DD33" s="106" t="e">
        <f xml:space="preserve"> IF(  INDEX( 'i1'!$FS33:$JO33, DD$13 ) = LEER,  #N/A,  INDEX( 'i1'!$FS33:$JO33, DD$13 )  )</f>
        <v>#N/A</v>
      </c>
      <c r="DE33" s="106" t="e">
        <f xml:space="preserve"> IF(  INDEX( 'i1'!$FS33:$JO33, DE$13 ) = LEER,  #N/A,  INDEX( 'i1'!$FS33:$JO33, DE$13 )  )</f>
        <v>#N/A</v>
      </c>
      <c r="DF33" s="106" t="e">
        <f xml:space="preserve"> IF(  INDEX( 'i1'!$FS33:$JO33, DF$13 ) = LEER,  #N/A,  INDEX( 'i1'!$FS33:$JO33, DF$13 )  )</f>
        <v>#N/A</v>
      </c>
      <c r="DG33" s="106" t="e">
        <f xml:space="preserve"> IF(  INDEX( 'i1'!$FS33:$JO33, DG$13 ) = LEER,  #N/A,  INDEX( 'i1'!$FS33:$JO33, DG$13 )  )</f>
        <v>#N/A</v>
      </c>
      <c r="DH33" s="106" t="e">
        <f xml:space="preserve"> IF(  INDEX( 'i1'!$FS33:$JO33, DH$13 ) = LEER,  #N/A,  INDEX( 'i1'!$FS33:$JO33, DH$13 )  )</f>
        <v>#N/A</v>
      </c>
      <c r="DI33" s="106" t="e">
        <f xml:space="preserve"> IF(  INDEX( 'i1'!$FS33:$JO33, DI$13 ) = LEER,  #N/A,  INDEX( 'i1'!$FS33:$JO33, DI$13 )  )</f>
        <v>#N/A</v>
      </c>
      <c r="DJ33" s="106" t="e">
        <f xml:space="preserve"> IF(  INDEX( 'i1'!$FS33:$JO33, DJ$13 ) = LEER,  #N/A,  INDEX( 'i1'!$FS33:$JO33, DJ$13 )  )</f>
        <v>#N/A</v>
      </c>
      <c r="DK33" s="106" t="e">
        <f xml:space="preserve"> IF(  INDEX( 'i1'!$FS33:$JO33, DK$13 ) = LEER,  #N/A,  INDEX( 'i1'!$FS33:$JO33, DK$13 )  )</f>
        <v>#N/A</v>
      </c>
      <c r="DL33" s="106" t="e">
        <f xml:space="preserve"> IF(  INDEX( 'i1'!$FS33:$JO33, DL$13 ) = LEER,  #N/A,  INDEX( 'i1'!$FS33:$JO33, DL$13 )  )</f>
        <v>#N/A</v>
      </c>
      <c r="DM33" s="106" t="e">
        <f xml:space="preserve"> IF(  INDEX( 'i1'!$FS33:$JO33, DM$13 ) = LEER,  #N/A,  INDEX( 'i1'!$FS33:$JO33, DM$13 )  )</f>
        <v>#N/A</v>
      </c>
      <c r="DN33" s="106" t="e">
        <f xml:space="preserve"> IF(  INDEX( 'i1'!$FS33:$JO33, DN$13 ) = LEER,  #N/A,  INDEX( 'i1'!$FS33:$JO33, DN$13 )  )</f>
        <v>#N/A</v>
      </c>
    </row>
    <row r="34" spans="1:118" x14ac:dyDescent="0.2">
      <c r="A34" s="15">
        <f xml:space="preserve"> Basis!A34</f>
        <v>34</v>
      </c>
      <c r="C34" s="24" t="b">
        <f xml:space="preserve"> 'i1'!$O34</f>
        <v>1</v>
      </c>
      <c r="D34" s="24" t="b">
        <f xml:space="preserve"> 'i2'!$O34</f>
        <v>1</v>
      </c>
      <c r="E34" s="24" t="b">
        <f xml:space="preserve"> 'i3'!$O34</f>
        <v>1</v>
      </c>
      <c r="G34" s="27">
        <f xml:space="preserve"> IF( $C35,   IF( 'i1'!$P34=LEER,  #N/A,  'i1'!$P34  ),   #N/A  )</f>
        <v>5.2900000000000003E-2</v>
      </c>
      <c r="H34" s="27">
        <f xml:space="preserve"> IF( $D35,   IF( 'i2'!$P34=LEER,  #N/A,  'i2'!$P34  ),   #N/A  )</f>
        <v>5.2900000000000003E-2</v>
      </c>
      <c r="I34" s="27">
        <f xml:space="preserve"> IF( $E35,   IF( 'i3'!$P34=LEER,  #N/A,  'i3'!$P34  ),   #N/A  )</f>
        <v>5.2900000000000003E-2</v>
      </c>
      <c r="J34" s="158"/>
      <c r="K34" s="27">
        <f xml:space="preserve"> IF( $C35,   IF( 'i1'!$G34=LEER,  #N/A,  'i1'!$G34  ),   #N/A  )</f>
        <v>5.2600000000000001E-2</v>
      </c>
      <c r="L34" s="27">
        <f xml:space="preserve"> IF( $D35,   IF( 'i2'!$G34=LEER,  #N/A,  'i2'!$G34  ),   #N/A  )</f>
        <v>5.2600000000000001E-2</v>
      </c>
      <c r="M34" s="27">
        <f xml:space="preserve"> IF( $E35,   IF( 'i3'!$G34=LEER,  #N/A,  'i3'!$G34  ),   #N/A  )</f>
        <v>5.2600000000000001E-2</v>
      </c>
      <c r="N34" s="158"/>
      <c r="O34" s="158"/>
      <c r="Q34" s="28">
        <f t="shared" si="35"/>
        <v>29.236335822907289</v>
      </c>
      <c r="R34" s="28">
        <f t="shared" si="36"/>
        <v>29.236335822907289</v>
      </c>
      <c r="S34" s="28">
        <f t="shared" si="37"/>
        <v>29.236335822907289</v>
      </c>
      <c r="U34" s="76">
        <f xml:space="preserve"> IF( $C33,   SUM('i1'!$R34),   #N/A  )</f>
        <v>1143845</v>
      </c>
      <c r="V34" s="76">
        <f xml:space="preserve"> IF( $C33,   SUM('i2'!$R34),   #N/A  )</f>
        <v>1143845</v>
      </c>
      <c r="W34" s="76">
        <f xml:space="preserve"> IF( $C33,   SUM('i3'!$R34),   #N/A  )</f>
        <v>1143845</v>
      </c>
      <c r="Y34" s="33"/>
      <c r="Z34" s="22">
        <f xml:space="preserve"> IF( $C34,   IF( 'i1'!$J34=LEER,  #N/A,  'i1'!$J34  ),   #N/A  )</f>
        <v>0.93300000000000005</v>
      </c>
      <c r="AA34" s="22">
        <f xml:space="preserve"> IF( $D34,   IF( 'i2'!$J34=LEER,  #N/A,  'i2'!$J34  ),   #N/A  )</f>
        <v>0.93300000000000005</v>
      </c>
      <c r="AB34" s="22">
        <f xml:space="preserve"> IF( $E34,   IF( 'i3'!$J34=LEER,  #N/A,  'i3'!$J34  ),   #N/A  )</f>
        <v>0.93300000000000005</v>
      </c>
      <c r="AC34" s="75"/>
      <c r="AD34" s="26">
        <f t="shared" si="25"/>
        <v>1938.57807</v>
      </c>
      <c r="AE34" s="26">
        <f t="shared" si="26"/>
        <v>1938.57807</v>
      </c>
      <c r="AF34" s="26">
        <f t="shared" si="27"/>
        <v>1938.57807</v>
      </c>
      <c r="AG34" s="23"/>
      <c r="AH34" s="24">
        <f xml:space="preserve">    IF(  'i1'!$AK34=LEER,  #N/A,  ROUND( 'i1'!$AK34, AH$15 )  )</f>
        <v>418.99</v>
      </c>
      <c r="AI34" s="24">
        <f xml:space="preserve">    IF(  'i2'!$AK34=LEER,  #N/A,  ROUND( 'i2'!$AK34, AI$15 )  )</f>
        <v>418.99</v>
      </c>
      <c r="AJ34" s="24">
        <f xml:space="preserve">    IF(  'i3'!$AK34=LEER,  #N/A,  ROUND( 'i3'!$AK34, AJ$15 )  )</f>
        <v>418.99</v>
      </c>
      <c r="AL34" s="102">
        <f t="shared" si="28"/>
        <v>418.99</v>
      </c>
      <c r="AO34" s="24" t="e">
        <f xml:space="preserve">    IF( 'i1'!$AN34=LEER,  #N/A,  'i1'!$AN34  )</f>
        <v>#N/A</v>
      </c>
      <c r="AP34" s="24" t="e">
        <f xml:space="preserve">    IF( 'i2'!$AN34=LEER,  #N/A,  'i2'!$AN34  )</f>
        <v>#N/A</v>
      </c>
      <c r="AQ34" s="24" t="e">
        <f xml:space="preserve">    IF( 'i3'!$AN34=LEER,  #N/A,  'i3'!$AN34  )</f>
        <v>#N/A</v>
      </c>
      <c r="AS34" s="24" t="e">
        <f xml:space="preserve">    IF( 'i1'!$AO34=LEER,  #N/A,  'i1'!$AO34  )</f>
        <v>#N/A</v>
      </c>
      <c r="AT34" s="24" t="e">
        <f xml:space="preserve">    IF( 'i2'!$AO34=LEER,  #N/A,  'i2'!$AO34  )</f>
        <v>#N/A</v>
      </c>
      <c r="AU34" s="24" t="e">
        <f xml:space="preserve">    IF( 'i3'!$AO34=LEER,  #N/A,  'i3'!$AO34  )</f>
        <v>#N/A</v>
      </c>
      <c r="AW34" s="28" t="e">
        <f t="shared" si="38"/>
        <v>#N/A</v>
      </c>
      <c r="AX34" s="28" t="e">
        <f t="shared" si="29"/>
        <v>#N/A</v>
      </c>
      <c r="AY34" s="28" t="e">
        <f t="shared" si="30"/>
        <v>#N/A</v>
      </c>
      <c r="BA34" s="28" t="e">
        <f t="shared" si="31"/>
        <v>#N/A</v>
      </c>
      <c r="BB34" s="28" t="e">
        <f t="shared" si="32"/>
        <v>#N/A</v>
      </c>
      <c r="BC34" s="28" t="e">
        <f t="shared" si="33"/>
        <v>#N/A</v>
      </c>
      <c r="BG34" s="24" t="e">
        <f xml:space="preserve">    IF( 'i1'!BT34=LEER,  #N/A,  'i1'!BT34  )</f>
        <v>#N/A</v>
      </c>
      <c r="BH34" s="24" t="e">
        <f xml:space="preserve">    IF( 'i1'!BR34=LEER,  #N/A,  'i1'!BR34  )</f>
        <v>#N/A</v>
      </c>
      <c r="BI34" s="111" t="e">
        <f t="shared" si="34"/>
        <v>#N/A</v>
      </c>
      <c r="BJ34" s="24" t="e">
        <f xml:space="preserve">    IF( 'i1'!BX34=LEER,  #N/A,  'i1'!BX34  )</f>
        <v>#N/A</v>
      </c>
      <c r="BL34" s="24" t="e">
        <f xml:space="preserve">    IF( 'i1'!CB34=LEER,  #N/A,  'i1'!CB34  )</f>
        <v>#N/A</v>
      </c>
      <c r="BM34" s="24" t="e">
        <f xml:space="preserve">    IF( 'i1'!CC34=LEER,  #N/A,  'i1'!CC34  )</f>
        <v>#N/A</v>
      </c>
      <c r="BN34" s="24" t="e">
        <f xml:space="preserve">    IF( 'i1'!CD34=LEER,  #N/A,  'i1'!CD34  )</f>
        <v>#N/A</v>
      </c>
      <c r="BO34" s="24" t="e">
        <f xml:space="preserve">    IF( 'i1'!CE34=LEER,  #N/A,  'i1'!CE34  )</f>
        <v>#N/A</v>
      </c>
      <c r="BQ34" s="24" t="e">
        <f xml:space="preserve">    IF( 'i1'!CI34=LEER,  #N/A,  'i1'!CI34  )</f>
        <v>#N/A</v>
      </c>
      <c r="BR34" s="24" t="e">
        <f xml:space="preserve">    IF( 'i1'!CJ34=LEER,  #N/A,  'i1'!CJ34  )</f>
        <v>#N/A</v>
      </c>
      <c r="BS34" s="24" t="e">
        <f xml:space="preserve">    IF( 'i1'!CK34=LEER,  #N/A,  'i1'!CK34  )</f>
        <v>#N/A</v>
      </c>
      <c r="BT34" s="38" t="e">
        <f xml:space="preserve">    IF( 'i1'!CH34=LEER,  #N/A,  'i1'!CH34  )</f>
        <v>#N/A</v>
      </c>
      <c r="BV34" s="24" t="e">
        <f xml:space="preserve">    IF( 'i1'!CO34=LEER,  #N/A,  'i1'!CO34  )</f>
        <v>#N/A</v>
      </c>
      <c r="BW34" s="24" t="e">
        <f xml:space="preserve">    IF( 'i1'!CP34=LEER,  #N/A,  'i1'!CP34  )</f>
        <v>#N/A</v>
      </c>
      <c r="BX34" s="24" t="e">
        <f xml:space="preserve">    IF( 'i1'!CQ34=LEER,  #N/A,  'i1'!CQ34  )</f>
        <v>#N/A</v>
      </c>
      <c r="BY34" s="38" t="e">
        <f xml:space="preserve">    IF( 'i1'!CN34=LEER,  #N/A,  'i1'!CN34  )</f>
        <v>#N/A</v>
      </c>
      <c r="CD34" s="113" t="e">
        <f xml:space="preserve"> IF(  AND( $A34&lt;&gt;$CD$14, OR( 'i1'!EO34=LEER, 'i1'!EM34&lt;&gt;LEER ) ), #N/A, 'i1'!EO34 )</f>
        <v>#N/A</v>
      </c>
      <c r="CE34" s="113" t="e">
        <f xml:space="preserve"> IF(   'i1'!EM34=LEER, #N/A,  'i1'!EM34 )</f>
        <v>#N/A</v>
      </c>
      <c r="CF34" s="114" t="e">
        <f xml:space="preserve"> IF(   'i1'!EL34=LEER, #N/A, 'i1'!EL34 + 'i1'!EM34 )</f>
        <v>#N/A</v>
      </c>
      <c r="CW34" s="104">
        <f xml:space="preserve"> 'i1'!FN34</f>
        <v>34</v>
      </c>
      <c r="CX34" s="106">
        <f xml:space="preserve"> IF(  INDEX( 'i1'!$FS34:$JO34, CX$13 ) = LEER,  #N/A,  INDEX( 'i1'!$FS34:$JO34, CX$13 )  )</f>
        <v>22733.4</v>
      </c>
      <c r="CY34" s="106">
        <f xml:space="preserve"> IF(  INDEX( 'i1'!$FS34:$JO34, CY$13 ) = LEER,  #N/A,  INDEX( 'i1'!$FS34:$JO34, CY$13 )  )</f>
        <v>14932.96</v>
      </c>
      <c r="CZ34" s="106">
        <f xml:space="preserve"> IF(  INDEX( 'i1'!$FS34:$JO34, CZ$13 ) = LEER,  #N/A,  INDEX( 'i1'!$FS34:$JO34, CZ$13 )  )</f>
        <v>6502.9</v>
      </c>
      <c r="DA34" s="106" t="e">
        <f xml:space="preserve"> IF(  INDEX( 'i1'!$FS34:$JO34, DA$13 ) = LEER,  #N/A,  INDEX( 'i1'!$FS34:$JO34, DA$13 )  )</f>
        <v>#N/A</v>
      </c>
      <c r="DB34" s="106" t="e">
        <f xml:space="preserve"> IF(  INDEX( 'i1'!$FS34:$JO34, DB$13 ) = LEER,  #N/A,  INDEX( 'i1'!$FS34:$JO34, DB$13 )  )</f>
        <v>#N/A</v>
      </c>
      <c r="DC34" s="106" t="e">
        <f xml:space="preserve"> IF(  INDEX( 'i1'!$FS34:$JO34, DC$13 ) = LEER,  #N/A,  INDEX( 'i1'!$FS34:$JO34, DC$13 )  )</f>
        <v>#N/A</v>
      </c>
      <c r="DD34" s="106" t="e">
        <f xml:space="preserve"> IF(  INDEX( 'i1'!$FS34:$JO34, DD$13 ) = LEER,  #N/A,  INDEX( 'i1'!$FS34:$JO34, DD$13 )  )</f>
        <v>#N/A</v>
      </c>
      <c r="DE34" s="106" t="e">
        <f xml:space="preserve"> IF(  INDEX( 'i1'!$FS34:$JO34, DE$13 ) = LEER,  #N/A,  INDEX( 'i1'!$FS34:$JO34, DE$13 )  )</f>
        <v>#N/A</v>
      </c>
      <c r="DF34" s="106" t="e">
        <f xml:space="preserve"> IF(  INDEX( 'i1'!$FS34:$JO34, DF$13 ) = LEER,  #N/A,  INDEX( 'i1'!$FS34:$JO34, DF$13 )  )</f>
        <v>#N/A</v>
      </c>
      <c r="DG34" s="106" t="e">
        <f xml:space="preserve"> IF(  INDEX( 'i1'!$FS34:$JO34, DG$13 ) = LEER,  #N/A,  INDEX( 'i1'!$FS34:$JO34, DG$13 )  )</f>
        <v>#N/A</v>
      </c>
      <c r="DH34" s="106" t="e">
        <f xml:space="preserve"> IF(  INDEX( 'i1'!$FS34:$JO34, DH$13 ) = LEER,  #N/A,  INDEX( 'i1'!$FS34:$JO34, DH$13 )  )</f>
        <v>#N/A</v>
      </c>
      <c r="DI34" s="106" t="e">
        <f xml:space="preserve"> IF(  INDEX( 'i1'!$FS34:$JO34, DI$13 ) = LEER,  #N/A,  INDEX( 'i1'!$FS34:$JO34, DI$13 )  )</f>
        <v>#N/A</v>
      </c>
      <c r="DJ34" s="106" t="e">
        <f xml:space="preserve"> IF(  INDEX( 'i1'!$FS34:$JO34, DJ$13 ) = LEER,  #N/A,  INDEX( 'i1'!$FS34:$JO34, DJ$13 )  )</f>
        <v>#N/A</v>
      </c>
      <c r="DK34" s="106" t="e">
        <f xml:space="preserve"> IF(  INDEX( 'i1'!$FS34:$JO34, DK$13 ) = LEER,  #N/A,  INDEX( 'i1'!$FS34:$JO34, DK$13 )  )</f>
        <v>#N/A</v>
      </c>
      <c r="DL34" s="106" t="e">
        <f xml:space="preserve"> IF(  INDEX( 'i1'!$FS34:$JO34, DL$13 ) = LEER,  #N/A,  INDEX( 'i1'!$FS34:$JO34, DL$13 )  )</f>
        <v>#N/A</v>
      </c>
      <c r="DM34" s="106" t="e">
        <f xml:space="preserve"> IF(  INDEX( 'i1'!$FS34:$JO34, DM$13 ) = LEER,  #N/A,  INDEX( 'i1'!$FS34:$JO34, DM$13 )  )</f>
        <v>#N/A</v>
      </c>
      <c r="DN34" s="106" t="e">
        <f xml:space="preserve"> IF(  INDEX( 'i1'!$FS34:$JO34, DN$13 ) = LEER,  #N/A,  INDEX( 'i1'!$FS34:$JO34, DN$13 )  )</f>
        <v>#N/A</v>
      </c>
    </row>
    <row r="35" spans="1:118" x14ac:dyDescent="0.2">
      <c r="A35" s="15">
        <f xml:space="preserve"> Basis!A35</f>
        <v>35</v>
      </c>
      <c r="C35" s="24" t="b">
        <f xml:space="preserve"> 'i1'!$O35</f>
        <v>1</v>
      </c>
      <c r="D35" s="24" t="b">
        <f xml:space="preserve"> 'i2'!$O35</f>
        <v>1</v>
      </c>
      <c r="E35" s="24" t="b">
        <f xml:space="preserve"> 'i3'!$O35</f>
        <v>1</v>
      </c>
      <c r="G35" s="27">
        <f xml:space="preserve"> IF( $C36,   IF( 'i1'!$P35=LEER,  #N/A,  'i1'!$P35  ),   #N/A  )</f>
        <v>4.8300000000000003E-2</v>
      </c>
      <c r="H35" s="27">
        <f xml:space="preserve"> IF( $D36,   IF( 'i2'!$P35=LEER,  #N/A,  'i2'!$P35  ),   #N/A  )</f>
        <v>4.8300000000000003E-2</v>
      </c>
      <c r="I35" s="27">
        <f xml:space="preserve"> IF( $E36,   IF( 'i3'!$P35=LEER,  #N/A,  'i3'!$P35  ),   #N/A  )</f>
        <v>4.8300000000000003E-2</v>
      </c>
      <c r="J35" s="158"/>
      <c r="K35" s="27">
        <f xml:space="preserve"> IF( $C36,   IF( 'i1'!$G35=LEER,  #N/A,  'i1'!$G35  ),   #N/A  )</f>
        <v>4.8000000000000001E-2</v>
      </c>
      <c r="L35" s="27">
        <f xml:space="preserve"> IF( $D36,   IF( 'i2'!$G35=LEER,  #N/A,  'i2'!$G35  ),   #N/A  )</f>
        <v>4.8000000000000001E-2</v>
      </c>
      <c r="M35" s="27">
        <f xml:space="preserve"> IF( $E36,   IF( 'i3'!$G35=LEER,  #N/A,  'i3'!$G35  ),   #N/A  )</f>
        <v>4.8000000000000001E-2</v>
      </c>
      <c r="N35" s="158"/>
      <c r="O35" s="158"/>
      <c r="Q35" s="28">
        <f t="shared" si="35"/>
        <v>29.84139565294825</v>
      </c>
      <c r="R35" s="28">
        <f t="shared" si="36"/>
        <v>29.84139565294825</v>
      </c>
      <c r="S35" s="28">
        <f t="shared" si="37"/>
        <v>29.84139565294825</v>
      </c>
      <c r="U35" s="76">
        <f xml:space="preserve"> IF( $C34,   SUM('i1'!$R35),   #N/A  )</f>
        <v>1083335</v>
      </c>
      <c r="V35" s="76">
        <f xml:space="preserve"> IF( $C34,   SUM('i2'!$R35),   #N/A  )</f>
        <v>1083335</v>
      </c>
      <c r="W35" s="76">
        <f xml:space="preserve"> IF( $C34,   SUM('i3'!$R35),   #N/A  )</f>
        <v>1083335</v>
      </c>
      <c r="Y35" s="33"/>
      <c r="Z35" s="22">
        <f xml:space="preserve"> IF( $C35,   IF( 'i1'!$J35=LEER,  #N/A,  'i1'!$J35  ),   #N/A  )</f>
        <v>0.94099999999999995</v>
      </c>
      <c r="AA35" s="22">
        <f xml:space="preserve"> IF( $D35,   IF( 'i2'!$J35=LEER,  #N/A,  'i2'!$J35  ),   #N/A  )</f>
        <v>0.94099999999999995</v>
      </c>
      <c r="AB35" s="22">
        <f xml:space="preserve"> IF( $E35,   IF( 'i3'!$J35=LEER,  #N/A,  'i3'!$J35  ),   #N/A  )</f>
        <v>0.94099999999999995</v>
      </c>
      <c r="AC35" s="75"/>
      <c r="AD35" s="26">
        <f t="shared" si="25"/>
        <v>1955.20039</v>
      </c>
      <c r="AE35" s="26">
        <f t="shared" si="26"/>
        <v>1955.20039</v>
      </c>
      <c r="AF35" s="26">
        <f t="shared" si="27"/>
        <v>1955.20039</v>
      </c>
      <c r="AG35" s="23"/>
      <c r="AH35" s="24">
        <f xml:space="preserve">    IF(  'i1'!$AK35=LEER,  #N/A,  ROUND( 'i1'!$AK35, AH$15 )  )</f>
        <v>428.58</v>
      </c>
      <c r="AI35" s="24">
        <f xml:space="preserve">    IF(  'i2'!$AK35=LEER,  #N/A,  ROUND( 'i2'!$AK35, AI$15 )  )</f>
        <v>428.58</v>
      </c>
      <c r="AJ35" s="24">
        <f xml:space="preserve">    IF(  'i3'!$AK35=LEER,  #N/A,  ROUND( 'i3'!$AK35, AJ$15 )  )</f>
        <v>428.58</v>
      </c>
      <c r="AL35" s="102">
        <f t="shared" si="28"/>
        <v>428.58</v>
      </c>
      <c r="AO35" s="24">
        <f xml:space="preserve">    IF( 'i1'!$AN35=LEER,  #N/A,  'i1'!$AN35  )</f>
        <v>1.88</v>
      </c>
      <c r="AP35" s="24">
        <f xml:space="preserve">    IF( 'i2'!$AN35=LEER,  #N/A,  'i2'!$AN35  )</f>
        <v>1.88</v>
      </c>
      <c r="AQ35" s="24">
        <f xml:space="preserve">    IF( 'i3'!$AN35=LEER,  #N/A,  'i3'!$AN35  )</f>
        <v>1.88</v>
      </c>
      <c r="AS35" s="24">
        <f xml:space="preserve">    IF( 'i1'!$AO35=LEER,  #N/A,  'i1'!$AO35  )</f>
        <v>-854.02</v>
      </c>
      <c r="AT35" s="24">
        <f xml:space="preserve">    IF( 'i2'!$AO35=LEER,  #N/A,  'i2'!$AO35  )</f>
        <v>-854.02</v>
      </c>
      <c r="AU35" s="24">
        <f xml:space="preserve">    IF( 'i3'!$AO35=LEER,  #N/A,  'i3'!$AO35  )</f>
        <v>-854.02</v>
      </c>
      <c r="AW35" s="28">
        <f t="shared" si="38"/>
        <v>8.9999999999999998E-4</v>
      </c>
      <c r="AX35" s="28">
        <f t="shared" si="29"/>
        <v>8.9999999999999998E-4</v>
      </c>
      <c r="AY35" s="28">
        <f t="shared" si="30"/>
        <v>8.9999999999999998E-4</v>
      </c>
      <c r="BA35" s="28">
        <f t="shared" si="31"/>
        <v>-0.41099999999999998</v>
      </c>
      <c r="BB35" s="28">
        <f t="shared" si="32"/>
        <v>-0.41099999999999998</v>
      </c>
      <c r="BC35" s="28">
        <f t="shared" si="33"/>
        <v>-0.41099999999999998</v>
      </c>
      <c r="BG35" s="24" t="e">
        <f xml:space="preserve">    IF( 'i1'!BT35=LEER,  #N/A,  'i1'!BT35  )</f>
        <v>#N/A</v>
      </c>
      <c r="BH35" s="24" t="e">
        <f xml:space="preserve">    IF( 'i1'!BR35=LEER,  #N/A,  'i1'!BR35  )</f>
        <v>#N/A</v>
      </c>
      <c r="BI35" s="111" t="e">
        <f t="shared" si="34"/>
        <v>#N/A</v>
      </c>
      <c r="BJ35" s="24" t="e">
        <f xml:space="preserve">    IF( 'i1'!BX35=LEER,  #N/A,  'i1'!BX35  )</f>
        <v>#N/A</v>
      </c>
      <c r="BL35" s="24">
        <f xml:space="preserve">    IF( 'i1'!CB35=LEER,  #N/A,  'i1'!CB35  )</f>
        <v>1944.66</v>
      </c>
      <c r="BM35" s="24">
        <f xml:space="preserve">    IF( 'i1'!CC35=LEER,  #N/A,  'i1'!CC35  )</f>
        <v>0.05</v>
      </c>
      <c r="BN35" s="24">
        <f xml:space="preserve">    IF( 'i1'!CD35=LEER,  #N/A,  'i1'!CD35  )</f>
        <v>98.8</v>
      </c>
      <c r="BO35" s="24">
        <f xml:space="preserve">    IF( 'i1'!CE35=LEER,  #N/A,  'i1'!CE35  )</f>
        <v>2043.51</v>
      </c>
      <c r="BQ35" s="24">
        <f xml:space="preserve">    IF( 'i1'!CI35=LEER,  #N/A,  'i1'!CI35  )</f>
        <v>1955.2</v>
      </c>
      <c r="BR35" s="24">
        <f xml:space="preserve">    IF( 'i1'!CJ35=LEER,  #N/A,  'i1'!CJ35  )</f>
        <v>1993.76</v>
      </c>
      <c r="BS35" s="24">
        <f xml:space="preserve">    IF( 'i1'!CK35=LEER,  #N/A,  'i1'!CK35  )</f>
        <v>-96.39</v>
      </c>
      <c r="BT35" s="38">
        <f xml:space="preserve">    IF( 'i1'!CH35=LEER,  #N/A,  'i1'!CH35  )</f>
        <v>3852.4304390000002</v>
      </c>
      <c r="BV35" s="24">
        <f xml:space="preserve">    IF( 'i1'!CO35=LEER,  #N/A,  'i1'!CO35  )</f>
        <v>1955.2</v>
      </c>
      <c r="BW35" s="24">
        <f xml:space="preserve">    IF( 'i1'!CP35=LEER,  #N/A,  'i1'!CP35  )</f>
        <v>1998.8</v>
      </c>
      <c r="BX35" s="24">
        <f xml:space="preserve">    IF( 'i1'!CQ35=LEER,  #N/A,  'i1'!CQ35  )</f>
        <v>-55.29</v>
      </c>
      <c r="BY35" s="38">
        <f xml:space="preserve">    IF( 'i1'!CN35=LEER,  #N/A,  'i1'!CN35  )</f>
        <v>3898.5573770000001</v>
      </c>
      <c r="CD35" s="113">
        <f xml:space="preserve"> IF(  AND( $A35&lt;&gt;$CD$14, OR( 'i1'!EO35=LEER, 'i1'!EM35&lt;&gt;LEER ) ), #N/A, 'i1'!EO35 )</f>
        <v>-854.02</v>
      </c>
      <c r="CE35" s="113" t="e">
        <f xml:space="preserve"> IF(   'i1'!EM35=LEER, #N/A,  'i1'!EM35 )</f>
        <v>#N/A</v>
      </c>
      <c r="CF35" s="114" t="e">
        <f xml:space="preserve"> IF(   'i1'!EL35=LEER, #N/A, 'i1'!EL35 + 'i1'!EM35 )</f>
        <v>#N/A</v>
      </c>
      <c r="CW35" s="104">
        <f xml:space="preserve"> 'i1'!FN35</f>
        <v>35</v>
      </c>
      <c r="CX35" s="106">
        <f xml:space="preserve"> IF(  INDEX( 'i1'!$FS35:$JO35, CX$13 ) = LEER,  #N/A,  INDEX( 'i1'!$FS35:$JO35, CX$13 )  )</f>
        <v>25204.5</v>
      </c>
      <c r="CY35" s="106">
        <f xml:space="preserve"> IF(  INDEX( 'i1'!$FS35:$JO35, CY$13 ) = LEER,  #N/A,  INDEX( 'i1'!$FS35:$JO35, CY$13 )  )</f>
        <v>17227.72</v>
      </c>
      <c r="CZ35" s="106">
        <f xml:space="preserve"> IF(  INDEX( 'i1'!$FS35:$JO35, CZ$13 ) = LEER,  #N/A,  INDEX( 'i1'!$FS35:$JO35, CZ$13 )  )</f>
        <v>8607.09</v>
      </c>
      <c r="DA35" s="106">
        <f xml:space="preserve"> IF(  INDEX( 'i1'!$FS35:$JO35, DA$13 ) = LEER,  #N/A,  INDEX( 'i1'!$FS35:$JO35, DA$13 )  )</f>
        <v>-854.02</v>
      </c>
      <c r="DB35" s="106" t="e">
        <f xml:space="preserve"> IF(  INDEX( 'i1'!$FS35:$JO35, DB$13 ) = LEER,  #N/A,  INDEX( 'i1'!$FS35:$JO35, DB$13 )  )</f>
        <v>#N/A</v>
      </c>
      <c r="DC35" s="106" t="e">
        <f xml:space="preserve"> IF(  INDEX( 'i1'!$FS35:$JO35, DC$13 ) = LEER,  #N/A,  INDEX( 'i1'!$FS35:$JO35, DC$13 )  )</f>
        <v>#N/A</v>
      </c>
      <c r="DD35" s="106" t="e">
        <f xml:space="preserve"> IF(  INDEX( 'i1'!$FS35:$JO35, DD$13 ) = LEER,  #N/A,  INDEX( 'i1'!$FS35:$JO35, DD$13 )  )</f>
        <v>#N/A</v>
      </c>
      <c r="DE35" s="106" t="e">
        <f xml:space="preserve"> IF(  INDEX( 'i1'!$FS35:$JO35, DE$13 ) = LEER,  #N/A,  INDEX( 'i1'!$FS35:$JO35, DE$13 )  )</f>
        <v>#N/A</v>
      </c>
      <c r="DF35" s="106" t="e">
        <f xml:space="preserve"> IF(  INDEX( 'i1'!$FS35:$JO35, DF$13 ) = LEER,  #N/A,  INDEX( 'i1'!$FS35:$JO35, DF$13 )  )</f>
        <v>#N/A</v>
      </c>
      <c r="DG35" s="106" t="e">
        <f xml:space="preserve"> IF(  INDEX( 'i1'!$FS35:$JO35, DG$13 ) = LEER,  #N/A,  INDEX( 'i1'!$FS35:$JO35, DG$13 )  )</f>
        <v>#N/A</v>
      </c>
      <c r="DH35" s="106" t="e">
        <f xml:space="preserve"> IF(  INDEX( 'i1'!$FS35:$JO35, DH$13 ) = LEER,  #N/A,  INDEX( 'i1'!$FS35:$JO35, DH$13 )  )</f>
        <v>#N/A</v>
      </c>
      <c r="DI35" s="106" t="e">
        <f xml:space="preserve"> IF(  INDEX( 'i1'!$FS35:$JO35, DI$13 ) = LEER,  #N/A,  INDEX( 'i1'!$FS35:$JO35, DI$13 )  )</f>
        <v>#N/A</v>
      </c>
      <c r="DJ35" s="106" t="e">
        <f xml:space="preserve"> IF(  INDEX( 'i1'!$FS35:$JO35, DJ$13 ) = LEER,  #N/A,  INDEX( 'i1'!$FS35:$JO35, DJ$13 )  )</f>
        <v>#N/A</v>
      </c>
      <c r="DK35" s="106" t="e">
        <f xml:space="preserve"> IF(  INDEX( 'i1'!$FS35:$JO35, DK$13 ) = LEER,  #N/A,  INDEX( 'i1'!$FS35:$JO35, DK$13 )  )</f>
        <v>#N/A</v>
      </c>
      <c r="DL35" s="106" t="e">
        <f xml:space="preserve"> IF(  INDEX( 'i1'!$FS35:$JO35, DL$13 ) = LEER,  #N/A,  INDEX( 'i1'!$FS35:$JO35, DL$13 )  )</f>
        <v>#N/A</v>
      </c>
      <c r="DM35" s="106" t="e">
        <f xml:space="preserve"> IF(  INDEX( 'i1'!$FS35:$JO35, DM$13 ) = LEER,  #N/A,  INDEX( 'i1'!$FS35:$JO35, DM$13 )  )</f>
        <v>#N/A</v>
      </c>
      <c r="DN35" s="106" t="e">
        <f xml:space="preserve"> IF(  INDEX( 'i1'!$FS35:$JO35, DN$13 ) = LEER,  #N/A,  INDEX( 'i1'!$FS35:$JO35, DN$13 )  )</f>
        <v>#N/A</v>
      </c>
    </row>
    <row r="36" spans="1:118" x14ac:dyDescent="0.2">
      <c r="A36" s="15">
        <f xml:space="preserve"> Basis!A36</f>
        <v>36</v>
      </c>
      <c r="C36" s="24" t="b">
        <f xml:space="preserve"> 'i1'!$O36</f>
        <v>1</v>
      </c>
      <c r="D36" s="24" t="b">
        <f xml:space="preserve"> 'i2'!$O36</f>
        <v>1</v>
      </c>
      <c r="E36" s="24" t="b">
        <f xml:space="preserve"> 'i3'!$O36</f>
        <v>1</v>
      </c>
      <c r="G36" s="27">
        <f xml:space="preserve"> IF( $C37,   IF( 'i1'!$P36=LEER,  #N/A,  'i1'!$P36  ),   #N/A  )</f>
        <v>4.4400000000000002E-2</v>
      </c>
      <c r="H36" s="27">
        <f xml:space="preserve"> IF( $D37,   IF( 'i2'!$P36=LEER,  #N/A,  'i2'!$P36  ),   #N/A  )</f>
        <v>4.4400000000000002E-2</v>
      </c>
      <c r="I36" s="27">
        <f xml:space="preserve"> IF( $E37,   IF( 'i3'!$P36=LEER,  #N/A,  'i3'!$P36  ),   #N/A  )</f>
        <v>4.4400000000000002E-2</v>
      </c>
      <c r="J36" s="158"/>
      <c r="K36" s="27">
        <f xml:space="preserve"> IF( $C37,   IF( 'i1'!$G36=LEER,  #N/A,  'i1'!$G36  ),   #N/A  )</f>
        <v>4.41E-2</v>
      </c>
      <c r="L36" s="27">
        <f xml:space="preserve"> IF( $D37,   IF( 'i2'!$G36=LEER,  #N/A,  'i2'!$G36  ),   #N/A  )</f>
        <v>4.41E-2</v>
      </c>
      <c r="M36" s="27">
        <f xml:space="preserve"> IF( $E37,   IF( 'i3'!$G36=LEER,  #N/A,  'i3'!$G36  ),   #N/A  )</f>
        <v>4.41E-2</v>
      </c>
      <c r="N36" s="158"/>
      <c r="O36" s="158"/>
      <c r="Q36" s="28">
        <f t="shared" si="35"/>
        <v>30.330509249709205</v>
      </c>
      <c r="R36" s="28">
        <f t="shared" si="36"/>
        <v>30.330509249709205</v>
      </c>
      <c r="S36" s="28">
        <f t="shared" si="37"/>
        <v>30.330509249709205</v>
      </c>
      <c r="U36" s="76">
        <f xml:space="preserve"> IF( $C35,   SUM('i1'!$R36),   #N/A  )</f>
        <v>1031009</v>
      </c>
      <c r="V36" s="76">
        <f xml:space="preserve"> IF( $C35,   SUM('i2'!$R36),   #N/A  )</f>
        <v>1031009</v>
      </c>
      <c r="W36" s="76">
        <f xml:space="preserve"> IF( $C35,   SUM('i3'!$R36),   #N/A  )</f>
        <v>1031009</v>
      </c>
      <c r="Y36" s="33"/>
      <c r="Z36" s="22">
        <f xml:space="preserve"> IF( $C36,   IF( 'i1'!$J36=LEER,  #N/A,  'i1'!$J36  ),   #N/A  )</f>
        <v>0.95599999999999996</v>
      </c>
      <c r="AA36" s="22">
        <f xml:space="preserve"> IF( $D36,   IF( 'i2'!$J36=LEER,  #N/A,  'i2'!$J36  ),   #N/A  )</f>
        <v>0.95599999999999996</v>
      </c>
      <c r="AB36" s="22">
        <f xml:space="preserve"> IF( $E36,   IF( 'i3'!$J36=LEER,  #N/A,  'i3'!$J36  ),   #N/A  )</f>
        <v>0.95599999999999996</v>
      </c>
      <c r="AC36" s="75"/>
      <c r="AD36" s="26">
        <f t="shared" si="25"/>
        <v>1986.3672399999998</v>
      </c>
      <c r="AE36" s="26">
        <f t="shared" si="26"/>
        <v>1986.3672399999998</v>
      </c>
      <c r="AF36" s="26">
        <f t="shared" si="27"/>
        <v>1986.3672399999998</v>
      </c>
      <c r="AG36" s="23"/>
      <c r="AH36" s="24">
        <f xml:space="preserve">    IF(  'i1'!$AK36=LEER,  #N/A,  ROUND( 'i1'!$AK36, AH$15 )  )</f>
        <v>438.45</v>
      </c>
      <c r="AI36" s="24">
        <f xml:space="preserve">    IF(  'i2'!$AK36=LEER,  #N/A,  ROUND( 'i2'!$AK36, AI$15 )  )</f>
        <v>438.45</v>
      </c>
      <c r="AJ36" s="24">
        <f xml:space="preserve">    IF(  'i3'!$AK36=LEER,  #N/A,  ROUND( 'i3'!$AK36, AJ$15 )  )</f>
        <v>438.45</v>
      </c>
      <c r="AL36" s="102">
        <f t="shared" si="28"/>
        <v>438.45</v>
      </c>
      <c r="AO36" s="24">
        <f xml:space="preserve">    IF( 'i1'!$AN36=LEER,  #N/A,  'i1'!$AN36  )</f>
        <v>2045.53</v>
      </c>
      <c r="AP36" s="24">
        <f xml:space="preserve">    IF( 'i2'!$AN36=LEER,  #N/A,  'i2'!$AN36  )</f>
        <v>2045.53</v>
      </c>
      <c r="AQ36" s="24">
        <f xml:space="preserve">    IF( 'i3'!$AN36=LEER,  #N/A,  'i3'!$AN36  )</f>
        <v>2045.53</v>
      </c>
      <c r="AS36" s="24">
        <f xml:space="preserve">    IF( 'i1'!$AO36=LEER,  #N/A,  'i1'!$AO36  )</f>
        <v>1173.4000000000001</v>
      </c>
      <c r="AT36" s="24">
        <f xml:space="preserve">    IF( 'i2'!$AO36=LEER,  #N/A,  'i2'!$AO36  )</f>
        <v>1173.4000000000001</v>
      </c>
      <c r="AU36" s="24">
        <f xml:space="preserve">    IF( 'i3'!$AO36=LEER,  #N/A,  'i3'!$AO36  )</f>
        <v>1173.4000000000001</v>
      </c>
      <c r="AW36" s="28">
        <f t="shared" si="38"/>
        <v>0.98450000000000004</v>
      </c>
      <c r="AX36" s="28">
        <f t="shared" si="29"/>
        <v>0.98450000000000004</v>
      </c>
      <c r="AY36" s="28">
        <f t="shared" si="30"/>
        <v>0.98450000000000004</v>
      </c>
      <c r="BA36" s="28">
        <f t="shared" si="31"/>
        <v>0.56469999999999998</v>
      </c>
      <c r="BB36" s="28">
        <f t="shared" si="32"/>
        <v>0.56469999999999998</v>
      </c>
      <c r="BC36" s="28">
        <f t="shared" si="33"/>
        <v>0.56469999999999998</v>
      </c>
      <c r="BG36" s="24">
        <f xml:space="preserve">    IF( 'i1'!BT36=LEER,  #N/A,  'i1'!BT36  )</f>
        <v>1896.5</v>
      </c>
      <c r="BH36" s="24">
        <f xml:space="preserve">    IF( 'i1'!BR36=LEER,  #N/A,  'i1'!BR36  )</f>
        <v>0</v>
      </c>
      <c r="BI36" s="111">
        <f t="shared" si="34"/>
        <v>1896.5</v>
      </c>
      <c r="BJ36" s="24">
        <f xml:space="preserve">    IF( 'i1'!BX36=LEER,  #N/A,  'i1'!BX36  )</f>
        <v>149.02999999999997</v>
      </c>
      <c r="BL36" s="24">
        <f xml:space="preserve">    IF( 'i1'!CB36=LEER,  #N/A,  'i1'!CB36  )</f>
        <v>1912.71</v>
      </c>
      <c r="BM36" s="24">
        <f xml:space="preserve">    IF( 'i1'!CC36=LEER,  #N/A,  'i1'!CC36  )</f>
        <v>51.14</v>
      </c>
      <c r="BN36" s="24">
        <f xml:space="preserve">    IF( 'i1'!CD36=LEER,  #N/A,  'i1'!CD36  )</f>
        <v>186.29</v>
      </c>
      <c r="BO36" s="24">
        <f xml:space="preserve">    IF( 'i1'!CE36=LEER,  #N/A,  'i1'!CE36  )</f>
        <v>2150.1400000000003</v>
      </c>
      <c r="BQ36" s="24">
        <f xml:space="preserve">    IF( 'i1'!CI36=LEER,  #N/A,  'i1'!CI36  )</f>
        <v>1986.37</v>
      </c>
      <c r="BR36" s="24">
        <f xml:space="preserve">    IF( 'i1'!CJ36=LEER,  #N/A,  'i1'!CJ36  )</f>
        <v>2047.86</v>
      </c>
      <c r="BS36" s="24">
        <f xml:space="preserve">    IF( 'i1'!CK36=LEER,  #N/A,  'i1'!CK36  )</f>
        <v>-181.75</v>
      </c>
      <c r="BT36" s="38">
        <f xml:space="preserve">    IF( 'i1'!CH36=LEER,  #N/A,  'i1'!CH36  )</f>
        <v>3852.4304390000002</v>
      </c>
      <c r="BV36" s="24">
        <f xml:space="preserve">    IF( 'i1'!CO36=LEER,  #N/A,  'i1'!CO36  )</f>
        <v>1986.37</v>
      </c>
      <c r="BW36" s="24">
        <f xml:space="preserve">    IF( 'i1'!CP36=LEER,  #N/A,  'i1'!CP36  )</f>
        <v>2055.6</v>
      </c>
      <c r="BX36" s="24">
        <f xml:space="preserve">    IF( 'i1'!CQ36=LEER,  #N/A,  'i1'!CQ36  )</f>
        <v>-143.37</v>
      </c>
      <c r="BY36" s="38">
        <f xml:space="preserve">    IF( 'i1'!CN36=LEER,  #N/A,  'i1'!CN36  )</f>
        <v>3898.5573770000001</v>
      </c>
      <c r="CD36" s="113">
        <f xml:space="preserve"> IF(  AND( $A36&lt;&gt;$CD$14, OR( 'i1'!EO36=LEER, 'i1'!EM36&lt;&gt;LEER ) ), #N/A, 'i1'!EO36 )</f>
        <v>1173.4000000000001</v>
      </c>
      <c r="CE36" s="113" t="e">
        <f xml:space="preserve"> IF(   'i1'!EM36=LEER, #N/A,  'i1'!EM36 )</f>
        <v>#N/A</v>
      </c>
      <c r="CF36" s="114" t="e">
        <f xml:space="preserve"> IF(   'i1'!EL36=LEER, #N/A, 'i1'!EL36 + 'i1'!EM36 )</f>
        <v>#N/A</v>
      </c>
      <c r="CW36" s="104">
        <f xml:space="preserve"> 'i1'!FN36</f>
        <v>36</v>
      </c>
      <c r="CX36" s="106">
        <f xml:space="preserve"> IF(  INDEX( 'i1'!$FS36:$JO36, CX$13 ) = LEER,  #N/A,  INDEX( 'i1'!$FS36:$JO36, CX$13 )  )</f>
        <v>27726.400000000001</v>
      </c>
      <c r="CY36" s="106">
        <f xml:space="preserve"> IF(  INDEX( 'i1'!$FS36:$JO36, CY$13 ) = LEER,  #N/A,  INDEX( 'i1'!$FS36:$JO36, CY$13 )  )</f>
        <v>19598.25</v>
      </c>
      <c r="CZ36" s="106">
        <f xml:space="preserve"> IF(  INDEX( 'i1'!$FS36:$JO36, CZ$13 ) = LEER,  #N/A,  INDEX( 'i1'!$FS36:$JO36, CZ$13 )  )</f>
        <v>10814.03</v>
      </c>
      <c r="DA36" s="106">
        <f xml:space="preserve"> IF(  INDEX( 'i1'!$FS36:$JO36, DA$13 ) = LEER,  #N/A,  INDEX( 'i1'!$FS36:$JO36, DA$13 )  )</f>
        <v>1173.4000000000001</v>
      </c>
      <c r="DB36" s="106" t="e">
        <f xml:space="preserve"> IF(  INDEX( 'i1'!$FS36:$JO36, DB$13 ) = LEER,  #N/A,  INDEX( 'i1'!$FS36:$JO36, DB$13 )  )</f>
        <v>#N/A</v>
      </c>
      <c r="DC36" s="106" t="e">
        <f xml:space="preserve"> IF(  INDEX( 'i1'!$FS36:$JO36, DC$13 ) = LEER,  #N/A,  INDEX( 'i1'!$FS36:$JO36, DC$13 )  )</f>
        <v>#N/A</v>
      </c>
      <c r="DD36" s="106" t="e">
        <f xml:space="preserve"> IF(  INDEX( 'i1'!$FS36:$JO36, DD$13 ) = LEER,  #N/A,  INDEX( 'i1'!$FS36:$JO36, DD$13 )  )</f>
        <v>#N/A</v>
      </c>
      <c r="DE36" s="106" t="e">
        <f xml:space="preserve"> IF(  INDEX( 'i1'!$FS36:$JO36, DE$13 ) = LEER,  #N/A,  INDEX( 'i1'!$FS36:$JO36, DE$13 )  )</f>
        <v>#N/A</v>
      </c>
      <c r="DF36" s="106" t="e">
        <f xml:space="preserve"> IF(  INDEX( 'i1'!$FS36:$JO36, DF$13 ) = LEER,  #N/A,  INDEX( 'i1'!$FS36:$JO36, DF$13 )  )</f>
        <v>#N/A</v>
      </c>
      <c r="DG36" s="106" t="e">
        <f xml:space="preserve"> IF(  INDEX( 'i1'!$FS36:$JO36, DG$13 ) = LEER,  #N/A,  INDEX( 'i1'!$FS36:$JO36, DG$13 )  )</f>
        <v>#N/A</v>
      </c>
      <c r="DH36" s="106" t="e">
        <f xml:space="preserve"> IF(  INDEX( 'i1'!$FS36:$JO36, DH$13 ) = LEER,  #N/A,  INDEX( 'i1'!$FS36:$JO36, DH$13 )  )</f>
        <v>#N/A</v>
      </c>
      <c r="DI36" s="106" t="e">
        <f xml:space="preserve"> IF(  INDEX( 'i1'!$FS36:$JO36, DI$13 ) = LEER,  #N/A,  INDEX( 'i1'!$FS36:$JO36, DI$13 )  )</f>
        <v>#N/A</v>
      </c>
      <c r="DJ36" s="106" t="e">
        <f xml:space="preserve"> IF(  INDEX( 'i1'!$FS36:$JO36, DJ$13 ) = LEER,  #N/A,  INDEX( 'i1'!$FS36:$JO36, DJ$13 )  )</f>
        <v>#N/A</v>
      </c>
      <c r="DK36" s="106" t="e">
        <f xml:space="preserve"> IF(  INDEX( 'i1'!$FS36:$JO36, DK$13 ) = LEER,  #N/A,  INDEX( 'i1'!$FS36:$JO36, DK$13 )  )</f>
        <v>#N/A</v>
      </c>
      <c r="DL36" s="106" t="e">
        <f xml:space="preserve"> IF(  INDEX( 'i1'!$FS36:$JO36, DL$13 ) = LEER,  #N/A,  INDEX( 'i1'!$FS36:$JO36, DL$13 )  )</f>
        <v>#N/A</v>
      </c>
      <c r="DM36" s="106" t="e">
        <f xml:space="preserve"> IF(  INDEX( 'i1'!$FS36:$JO36, DM$13 ) = LEER,  #N/A,  INDEX( 'i1'!$FS36:$JO36, DM$13 )  )</f>
        <v>#N/A</v>
      </c>
      <c r="DN36" s="106" t="e">
        <f xml:space="preserve"> IF(  INDEX( 'i1'!$FS36:$JO36, DN$13 ) = LEER,  #N/A,  INDEX( 'i1'!$FS36:$JO36, DN$13 )  )</f>
        <v>#N/A</v>
      </c>
    </row>
    <row r="37" spans="1:118" x14ac:dyDescent="0.2">
      <c r="A37" s="15">
        <f xml:space="preserve"> Basis!A37</f>
        <v>37</v>
      </c>
      <c r="C37" s="24" t="b">
        <f xml:space="preserve"> 'i1'!$O37</f>
        <v>1</v>
      </c>
      <c r="D37" s="24" t="b">
        <f xml:space="preserve"> 'i2'!$O37</f>
        <v>1</v>
      </c>
      <c r="E37" s="24" t="b">
        <f xml:space="preserve"> 'i3'!$O37</f>
        <v>1</v>
      </c>
      <c r="G37" s="27">
        <f xml:space="preserve"> IF( $C38,   IF( 'i1'!$P37=LEER,  #N/A,  'i1'!$P37  ),   #N/A  )</f>
        <v>4.07E-2</v>
      </c>
      <c r="H37" s="27">
        <f xml:space="preserve"> IF( $D38,   IF( 'i2'!$P37=LEER,  #N/A,  'i2'!$P37  ),   #N/A  )</f>
        <v>4.07E-2</v>
      </c>
      <c r="I37" s="27">
        <f xml:space="preserve"> IF( $E38,   IF( 'i3'!$P37=LEER,  #N/A,  'i3'!$P37  ),   #N/A  )</f>
        <v>4.07E-2</v>
      </c>
      <c r="J37" s="158"/>
      <c r="K37" s="27">
        <f xml:space="preserve"> IF( $C38,   IF( 'i1'!$G37=LEER,  #N/A,  'i1'!$G37  ),   #N/A  )</f>
        <v>4.0399999999999998E-2</v>
      </c>
      <c r="L37" s="27">
        <f xml:space="preserve"> IF( $D38,   IF( 'i2'!$G37=LEER,  #N/A,  'i2'!$G37  ),   #N/A  )</f>
        <v>4.0399999999999998E-2</v>
      </c>
      <c r="M37" s="27">
        <f xml:space="preserve"> IF( $E38,   IF( 'i3'!$G37=LEER,  #N/A,  'i3'!$G37  ),   #N/A  )</f>
        <v>4.0399999999999998E-2</v>
      </c>
      <c r="N37" s="158"/>
      <c r="O37" s="158"/>
      <c r="Q37" s="28">
        <f t="shared" si="35"/>
        <v>30.716522864911266</v>
      </c>
      <c r="R37" s="28">
        <f t="shared" si="36"/>
        <v>30.716522864911266</v>
      </c>
      <c r="S37" s="28">
        <f t="shared" si="37"/>
        <v>30.716522864911266</v>
      </c>
      <c r="U37" s="76">
        <f xml:space="preserve"> IF( $C36,   SUM('i1'!$R37),   #N/A  )</f>
        <v>985232</v>
      </c>
      <c r="V37" s="76">
        <f xml:space="preserve"> IF( $C36,   SUM('i2'!$R37),   #N/A  )</f>
        <v>985232</v>
      </c>
      <c r="W37" s="76">
        <f xml:space="preserve"> IF( $C36,   SUM('i3'!$R37),   #N/A  )</f>
        <v>985232</v>
      </c>
      <c r="Y37" s="33"/>
      <c r="Z37" s="22">
        <f xml:space="preserve"> IF( $C37,   IF( 'i1'!$J37=LEER,  #N/A,  'i1'!$J37  ),   #N/A  )</f>
        <v>0.96699999999999997</v>
      </c>
      <c r="AA37" s="22">
        <f xml:space="preserve"> IF( $D37,   IF( 'i2'!$J37=LEER,  #N/A,  'i2'!$J37  ),   #N/A  )</f>
        <v>0.96699999999999997</v>
      </c>
      <c r="AB37" s="22">
        <f xml:space="preserve"> IF( $E37,   IF( 'i3'!$J37=LEER,  #N/A,  'i3'!$J37  ),   #N/A  )</f>
        <v>0.96699999999999997</v>
      </c>
      <c r="AC37" s="75"/>
      <c r="AD37" s="26">
        <f t="shared" si="25"/>
        <v>2009.2229299999999</v>
      </c>
      <c r="AE37" s="26">
        <f t="shared" si="26"/>
        <v>2009.2229299999999</v>
      </c>
      <c r="AF37" s="26">
        <f t="shared" si="27"/>
        <v>2009.2229299999999</v>
      </c>
      <c r="AG37" s="23"/>
      <c r="AH37" s="24">
        <f xml:space="preserve">    IF(  'i1'!$AK37=LEER,  #N/A,  ROUND( 'i1'!$AK37, AH$15 )  )</f>
        <v>448.54</v>
      </c>
      <c r="AI37" s="24">
        <f xml:space="preserve">    IF(  'i2'!$AK37=LEER,  #N/A,  ROUND( 'i2'!$AK37, AI$15 )  )</f>
        <v>448.54</v>
      </c>
      <c r="AJ37" s="24">
        <f xml:space="preserve">    IF(  'i3'!$AK37=LEER,  #N/A,  ROUND( 'i3'!$AK37, AJ$15 )  )</f>
        <v>448.54</v>
      </c>
      <c r="AL37" s="102">
        <f t="shared" si="28"/>
        <v>448.54</v>
      </c>
      <c r="AO37" s="24">
        <f xml:space="preserve">    IF( 'i1'!$AN37=LEER,  #N/A,  'i1'!$AN37  )</f>
        <v>4195.72</v>
      </c>
      <c r="AP37" s="24">
        <f xml:space="preserve">    IF( 'i2'!$AN37=LEER,  #N/A,  'i2'!$AN37  )</f>
        <v>4195.72</v>
      </c>
      <c r="AQ37" s="24">
        <f xml:space="preserve">    IF( 'i3'!$AN37=LEER,  #N/A,  'i3'!$AN37  )</f>
        <v>4195.72</v>
      </c>
      <c r="AS37" s="24">
        <f xml:space="preserve">    IF( 'i1'!$AO37=LEER,  #N/A,  'i1'!$AO37  )</f>
        <v>3309.72</v>
      </c>
      <c r="AT37" s="24">
        <f xml:space="preserve">    IF( 'i2'!$AO37=LEER,  #N/A,  'i2'!$AO37  )</f>
        <v>3309.72</v>
      </c>
      <c r="AU37" s="24">
        <f xml:space="preserve">    IF( 'i3'!$AO37=LEER,  #N/A,  'i3'!$AO37  )</f>
        <v>3309.72</v>
      </c>
      <c r="AW37" s="28">
        <f t="shared" si="38"/>
        <v>2.0192999999999999</v>
      </c>
      <c r="AX37" s="28">
        <f t="shared" si="29"/>
        <v>2.0192999999999999</v>
      </c>
      <c r="AY37" s="28">
        <f t="shared" si="30"/>
        <v>2.0192999999999999</v>
      </c>
      <c r="BA37" s="28">
        <f t="shared" si="31"/>
        <v>1.5929</v>
      </c>
      <c r="BB37" s="28">
        <f t="shared" si="32"/>
        <v>1.5929</v>
      </c>
      <c r="BC37" s="28">
        <f t="shared" si="33"/>
        <v>1.5929</v>
      </c>
      <c r="BG37" s="24">
        <f xml:space="preserve">    IF( 'i1'!BT37=LEER,  #N/A,  'i1'!BT37  )</f>
        <v>1865.13</v>
      </c>
      <c r="BH37" s="24">
        <f xml:space="preserve">    IF( 'i1'!BR37=LEER,  #N/A,  'i1'!BR37  )</f>
        <v>2045.53</v>
      </c>
      <c r="BI37" s="111">
        <f t="shared" si="34"/>
        <v>3910.66</v>
      </c>
      <c r="BJ37" s="24">
        <f xml:space="preserve">    IF( 'i1'!BX37=LEER,  #N/A,  'i1'!BX37  )</f>
        <v>285.0600000000004</v>
      </c>
      <c r="BL37" s="24">
        <f xml:space="preserve">    IF( 'i1'!CB37=LEER,  #N/A,  'i1'!CB37  )</f>
        <v>1889.29</v>
      </c>
      <c r="BM37" s="24">
        <f xml:space="preserve">    IF( 'i1'!CC37=LEER,  #N/A,  'i1'!CC37  )</f>
        <v>104.89</v>
      </c>
      <c r="BN37" s="24">
        <f xml:space="preserve">    IF( 'i1'!CD37=LEER,  #N/A,  'i1'!CD37  )</f>
        <v>262.60000000000002</v>
      </c>
      <c r="BO37" s="24">
        <f xml:space="preserve">    IF( 'i1'!CE37=LEER,  #N/A,  'i1'!CE37  )</f>
        <v>2256.7800000000002</v>
      </c>
      <c r="BQ37" s="24">
        <f xml:space="preserve">    IF( 'i1'!CI37=LEER,  #N/A,  'i1'!CI37  )</f>
        <v>2009.22</v>
      </c>
      <c r="BR37" s="24">
        <f xml:space="preserve">    IF( 'i1'!CJ37=LEER,  #N/A,  'i1'!CJ37  )</f>
        <v>2099.0100000000002</v>
      </c>
      <c r="BS37" s="24">
        <f xml:space="preserve">    IF( 'i1'!CK37=LEER,  #N/A,  'i1'!CK37  )</f>
        <v>-256.2</v>
      </c>
      <c r="BT37" s="38">
        <f xml:space="preserve">    IF( 'i1'!CH37=LEER,  #N/A,  'i1'!CH37  )</f>
        <v>3852.4304390000002</v>
      </c>
      <c r="BV37" s="24">
        <f xml:space="preserve">    IF( 'i1'!CO37=LEER,  #N/A,  'i1'!CO37  )</f>
        <v>2009.22</v>
      </c>
      <c r="BW37" s="24">
        <f xml:space="preserve">    IF( 'i1'!CP37=LEER,  #N/A,  'i1'!CP37  )</f>
        <v>2109.5</v>
      </c>
      <c r="BX37" s="24">
        <f xml:space="preserve">    IF( 'i1'!CQ37=LEER,  #N/A,  'i1'!CQ37  )</f>
        <v>-220.56</v>
      </c>
      <c r="BY37" s="38">
        <f xml:space="preserve">    IF( 'i1'!CN37=LEER,  #N/A,  'i1'!CN37  )</f>
        <v>3898.5573770000001</v>
      </c>
      <c r="CD37" s="113">
        <f xml:space="preserve"> IF(  AND( $A37&lt;&gt;$CD$14, OR( 'i1'!EO37=LEER, 'i1'!EM37&lt;&gt;LEER ) ), #N/A, 'i1'!EO37 )</f>
        <v>3309.72</v>
      </c>
      <c r="CE37" s="113" t="e">
        <f xml:space="preserve"> IF(   'i1'!EM37=LEER, #N/A,  'i1'!EM37 )</f>
        <v>#N/A</v>
      </c>
      <c r="CF37" s="114" t="e">
        <f xml:space="preserve"> IF(   'i1'!EL37=LEER, #N/A, 'i1'!EL37 + 'i1'!EM37 )</f>
        <v>#N/A</v>
      </c>
      <c r="CW37" s="104">
        <f xml:space="preserve"> 'i1'!FN37</f>
        <v>37</v>
      </c>
      <c r="CX37" s="106">
        <f xml:space="preserve"> IF(  INDEX( 'i1'!$FS37:$JO37, CX$13 ) = LEER,  #N/A,  INDEX( 'i1'!$FS37:$JO37, CX$13 )  )</f>
        <v>30284.74</v>
      </c>
      <c r="CY37" s="106">
        <f xml:space="preserve"> IF(  INDEX( 'i1'!$FS37:$JO37, CY$13 ) = LEER,  #N/A,  INDEX( 'i1'!$FS37:$JO37, CY$13 )  )</f>
        <v>22027.41</v>
      </c>
      <c r="CZ37" s="106">
        <f xml:space="preserve"> IF(  INDEX( 'i1'!$FS37:$JO37, CZ$13 ) = LEER,  #N/A,  INDEX( 'i1'!$FS37:$JO37, CZ$13 )  )</f>
        <v>13103.58</v>
      </c>
      <c r="DA37" s="106">
        <f xml:space="preserve"> IF(  INDEX( 'i1'!$FS37:$JO37, DA$13 ) = LEER,  #N/A,  INDEX( 'i1'!$FS37:$JO37, DA$13 )  )</f>
        <v>3309.72</v>
      </c>
      <c r="DB37" s="106" t="e">
        <f xml:space="preserve"> IF(  INDEX( 'i1'!$FS37:$JO37, DB$13 ) = LEER,  #N/A,  INDEX( 'i1'!$FS37:$JO37, DB$13 )  )</f>
        <v>#N/A</v>
      </c>
      <c r="DC37" s="106" t="e">
        <f xml:space="preserve"> IF(  INDEX( 'i1'!$FS37:$JO37, DC$13 ) = LEER,  #N/A,  INDEX( 'i1'!$FS37:$JO37, DC$13 )  )</f>
        <v>#N/A</v>
      </c>
      <c r="DD37" s="106" t="e">
        <f xml:space="preserve"> IF(  INDEX( 'i1'!$FS37:$JO37, DD$13 ) = LEER,  #N/A,  INDEX( 'i1'!$FS37:$JO37, DD$13 )  )</f>
        <v>#N/A</v>
      </c>
      <c r="DE37" s="106" t="e">
        <f xml:space="preserve"> IF(  INDEX( 'i1'!$FS37:$JO37, DE$13 ) = LEER,  #N/A,  INDEX( 'i1'!$FS37:$JO37, DE$13 )  )</f>
        <v>#N/A</v>
      </c>
      <c r="DF37" s="106" t="e">
        <f xml:space="preserve"> IF(  INDEX( 'i1'!$FS37:$JO37, DF$13 ) = LEER,  #N/A,  INDEX( 'i1'!$FS37:$JO37, DF$13 )  )</f>
        <v>#N/A</v>
      </c>
      <c r="DG37" s="106" t="e">
        <f xml:space="preserve"> IF(  INDEX( 'i1'!$FS37:$JO37, DG$13 ) = LEER,  #N/A,  INDEX( 'i1'!$FS37:$JO37, DG$13 )  )</f>
        <v>#N/A</v>
      </c>
      <c r="DH37" s="106" t="e">
        <f xml:space="preserve"> IF(  INDEX( 'i1'!$FS37:$JO37, DH$13 ) = LEER,  #N/A,  INDEX( 'i1'!$FS37:$JO37, DH$13 )  )</f>
        <v>#N/A</v>
      </c>
      <c r="DI37" s="106" t="e">
        <f xml:space="preserve"> IF(  INDEX( 'i1'!$FS37:$JO37, DI$13 ) = LEER,  #N/A,  INDEX( 'i1'!$FS37:$JO37, DI$13 )  )</f>
        <v>#N/A</v>
      </c>
      <c r="DJ37" s="106" t="e">
        <f xml:space="preserve"> IF(  INDEX( 'i1'!$FS37:$JO37, DJ$13 ) = LEER,  #N/A,  INDEX( 'i1'!$FS37:$JO37, DJ$13 )  )</f>
        <v>#N/A</v>
      </c>
      <c r="DK37" s="106" t="e">
        <f xml:space="preserve"> IF(  INDEX( 'i1'!$FS37:$JO37, DK$13 ) = LEER,  #N/A,  INDEX( 'i1'!$FS37:$JO37, DK$13 )  )</f>
        <v>#N/A</v>
      </c>
      <c r="DL37" s="106" t="e">
        <f xml:space="preserve"> IF(  INDEX( 'i1'!$FS37:$JO37, DL$13 ) = LEER,  #N/A,  INDEX( 'i1'!$FS37:$JO37, DL$13 )  )</f>
        <v>#N/A</v>
      </c>
      <c r="DM37" s="106" t="e">
        <f xml:space="preserve"> IF(  INDEX( 'i1'!$FS37:$JO37, DM$13 ) = LEER,  #N/A,  INDEX( 'i1'!$FS37:$JO37, DM$13 )  )</f>
        <v>#N/A</v>
      </c>
      <c r="DN37" s="106" t="e">
        <f xml:space="preserve"> IF(  INDEX( 'i1'!$FS37:$JO37, DN$13 ) = LEER,  #N/A,  INDEX( 'i1'!$FS37:$JO37, DN$13 )  )</f>
        <v>#N/A</v>
      </c>
    </row>
    <row r="38" spans="1:118" x14ac:dyDescent="0.2">
      <c r="A38" s="15">
        <f xml:space="preserve"> Basis!A38</f>
        <v>38</v>
      </c>
      <c r="C38" s="24" t="b">
        <f xml:space="preserve"> 'i1'!$O38</f>
        <v>1</v>
      </c>
      <c r="D38" s="24" t="b">
        <f xml:space="preserve"> 'i2'!$O38</f>
        <v>1</v>
      </c>
      <c r="E38" s="24" t="b">
        <f xml:space="preserve"> 'i3'!$O38</f>
        <v>1</v>
      </c>
      <c r="G38" s="27">
        <f xml:space="preserve"> IF( $C39,   IF( 'i1'!$P38=LEER,  #N/A,  'i1'!$P38  ),   #N/A  )</f>
        <v>3.7499999999999999E-2</v>
      </c>
      <c r="H38" s="27">
        <f xml:space="preserve"> IF( $D39,   IF( 'i2'!$P38=LEER,  #N/A,  'i2'!$P38  ),   #N/A  )</f>
        <v>3.7499999999999999E-2</v>
      </c>
      <c r="I38" s="27">
        <f xml:space="preserve"> IF( $E39,   IF( 'i3'!$P38=LEER,  #N/A,  'i3'!$P38  ),   #N/A  )</f>
        <v>3.7499999999999999E-2</v>
      </c>
      <c r="J38" s="158"/>
      <c r="K38" s="27">
        <f xml:space="preserve"> IF( $C39,   IF( 'i1'!$G38=LEER,  #N/A,  'i1'!$G38  ),   #N/A  )</f>
        <v>3.7100000000000001E-2</v>
      </c>
      <c r="L38" s="27">
        <f xml:space="preserve"> IF( $D39,   IF( 'i2'!$G38=LEER,  #N/A,  'i2'!$G38  ),   #N/A  )</f>
        <v>3.7100000000000001E-2</v>
      </c>
      <c r="M38" s="27">
        <f xml:space="preserve"> IF( $E39,   IF( 'i3'!$G38=LEER,  #N/A,  'i3'!$G38  ),   #N/A  )</f>
        <v>3.7100000000000001E-2</v>
      </c>
      <c r="N38" s="158"/>
      <c r="O38" s="158"/>
      <c r="Q38" s="28">
        <f t="shared" si="35"/>
        <v>30.998512316179781</v>
      </c>
      <c r="R38" s="28">
        <f t="shared" si="36"/>
        <v>30.998512316179781</v>
      </c>
      <c r="S38" s="28">
        <f t="shared" si="37"/>
        <v>30.998512316179781</v>
      </c>
      <c r="U38" s="76">
        <f xml:space="preserve"> IF( $C37,   SUM('i1'!$R38),   #N/A  )</f>
        <v>945133</v>
      </c>
      <c r="V38" s="76">
        <f xml:space="preserve"> IF( $C37,   SUM('i2'!$R38),   #N/A  )</f>
        <v>945133</v>
      </c>
      <c r="W38" s="76">
        <f xml:space="preserve"> IF( $C37,   SUM('i3'!$R38),   #N/A  )</f>
        <v>945133</v>
      </c>
      <c r="Y38" s="33"/>
      <c r="Z38" s="22">
        <f xml:space="preserve"> IF( $C38,   IF( 'i1'!$J38=LEER,  #N/A,  'i1'!$J38  ),   #N/A  )</f>
        <v>0.97899999999999998</v>
      </c>
      <c r="AA38" s="22">
        <f xml:space="preserve"> IF( $D38,   IF( 'i2'!$J38=LEER,  #N/A,  'i2'!$J38  ),   #N/A  )</f>
        <v>0.97899999999999998</v>
      </c>
      <c r="AB38" s="22">
        <f xml:space="preserve"> IF( $E38,   IF( 'i3'!$J38=LEER,  #N/A,  'i3'!$J38  ),   #N/A  )</f>
        <v>0.97899999999999998</v>
      </c>
      <c r="AC38" s="75"/>
      <c r="AD38" s="26">
        <f t="shared" si="25"/>
        <v>2034.1564099999998</v>
      </c>
      <c r="AE38" s="26">
        <f t="shared" si="26"/>
        <v>2034.1564099999998</v>
      </c>
      <c r="AF38" s="26">
        <f t="shared" si="27"/>
        <v>2034.1564099999998</v>
      </c>
      <c r="AG38" s="23"/>
      <c r="AH38" s="24">
        <f xml:space="preserve">    IF(  'i1'!$AK38=LEER,  #N/A,  ROUND( 'i1'!$AK38, AH$15 )  )</f>
        <v>458.91</v>
      </c>
      <c r="AI38" s="24">
        <f xml:space="preserve">    IF(  'i2'!$AK38=LEER,  #N/A,  ROUND( 'i2'!$AK38, AI$15 )  )</f>
        <v>458.91</v>
      </c>
      <c r="AJ38" s="24">
        <f xml:space="preserve">    IF(  'i3'!$AK38=LEER,  #N/A,  ROUND( 'i3'!$AK38, AJ$15 )  )</f>
        <v>458.91</v>
      </c>
      <c r="AL38" s="102">
        <f t="shared" si="28"/>
        <v>458.91</v>
      </c>
      <c r="AO38" s="24">
        <f xml:space="preserve">    IF( 'i1'!$AN38=LEER,  #N/A,  'i1'!$AN38  )</f>
        <v>6452.1</v>
      </c>
      <c r="AP38" s="24">
        <f xml:space="preserve">    IF( 'i2'!$AN38=LEER,  #N/A,  'i2'!$AN38  )</f>
        <v>6452.1</v>
      </c>
      <c r="AQ38" s="24">
        <f xml:space="preserve">    IF( 'i3'!$AN38=LEER,  #N/A,  'i3'!$AN38  )</f>
        <v>6452.1</v>
      </c>
      <c r="AS38" s="24">
        <f xml:space="preserve">    IF( 'i1'!$AO38=LEER,  #N/A,  'i1'!$AO38  )</f>
        <v>5554.7</v>
      </c>
      <c r="AT38" s="24">
        <f xml:space="preserve">    IF( 'i2'!$AO38=LEER,  #N/A,  'i2'!$AO38  )</f>
        <v>5554.7</v>
      </c>
      <c r="AU38" s="24">
        <f xml:space="preserve">    IF( 'i3'!$AO38=LEER,  #N/A,  'i3'!$AO38  )</f>
        <v>5554.7</v>
      </c>
      <c r="AW38" s="28">
        <f t="shared" si="38"/>
        <v>3.1053000000000002</v>
      </c>
      <c r="AX38" s="28">
        <f t="shared" si="29"/>
        <v>3.1053000000000002</v>
      </c>
      <c r="AY38" s="28">
        <f t="shared" si="30"/>
        <v>3.1053000000000002</v>
      </c>
      <c r="BA38" s="28">
        <f t="shared" si="31"/>
        <v>2.6734</v>
      </c>
      <c r="BB38" s="28">
        <f t="shared" si="32"/>
        <v>2.6734</v>
      </c>
      <c r="BC38" s="28">
        <f t="shared" si="33"/>
        <v>2.6734</v>
      </c>
      <c r="BG38" s="24">
        <f xml:space="preserve">    IF( 'i1'!BT38=LEER,  #N/A,  'i1'!BT38  )</f>
        <v>1843.41</v>
      </c>
      <c r="BH38" s="24">
        <f xml:space="preserve">    IF( 'i1'!BR38=LEER,  #N/A,  'i1'!BR38  )</f>
        <v>4195.72</v>
      </c>
      <c r="BI38" s="111">
        <f t="shared" si="34"/>
        <v>6039.13</v>
      </c>
      <c r="BJ38" s="24">
        <f xml:space="preserve">    IF( 'i1'!BX38=LEER,  #N/A,  'i1'!BX38  )</f>
        <v>412.97000000000025</v>
      </c>
      <c r="BL38" s="24">
        <f xml:space="preserve">    IF( 'i1'!CB38=LEER,  #N/A,  'i1'!CB38  )</f>
        <v>1863.73</v>
      </c>
      <c r="BM38" s="24">
        <f xml:space="preserve">    IF( 'i1'!CC38=LEER,  #N/A,  'i1'!CC38  )</f>
        <v>161.30000000000001</v>
      </c>
      <c r="BN38" s="24">
        <f xml:space="preserve">    IF( 'i1'!CD38=LEER,  #N/A,  'i1'!CD38  )</f>
        <v>330.29</v>
      </c>
      <c r="BO38" s="24">
        <f xml:space="preserve">    IF( 'i1'!CE38=LEER,  #N/A,  'i1'!CE38  )</f>
        <v>2355.3200000000002</v>
      </c>
      <c r="BQ38" s="24">
        <f xml:space="preserve">    IF( 'i1'!CI38=LEER,  #N/A,  'i1'!CI38  )</f>
        <v>2034.16</v>
      </c>
      <c r="BR38" s="24">
        <f xml:space="preserve">    IF( 'i1'!CJ38=LEER,  #N/A,  'i1'!CJ38  )</f>
        <v>2140.84</v>
      </c>
      <c r="BS38" s="24">
        <f xml:space="preserve">    IF( 'i1'!CK38=LEER,  #N/A,  'i1'!CK38  )</f>
        <v>-322.24</v>
      </c>
      <c r="BT38" s="38">
        <f xml:space="preserve">    IF( 'i1'!CH38=LEER,  #N/A,  'i1'!CH38  )</f>
        <v>3852.4304390000002</v>
      </c>
      <c r="BV38" s="24">
        <f xml:space="preserve">    IF( 'i1'!CO38=LEER,  #N/A,  'i1'!CO38  )</f>
        <v>2034.16</v>
      </c>
      <c r="BW38" s="24">
        <f xml:space="preserve">    IF( 'i1'!CP38=LEER,  #N/A,  'i1'!CP38  )</f>
        <v>2153.8000000000002</v>
      </c>
      <c r="BX38" s="24">
        <f xml:space="preserve">    IF( 'i1'!CQ38=LEER,  #N/A,  'i1'!CQ38  )</f>
        <v>-289.07</v>
      </c>
      <c r="BY38" s="38">
        <f xml:space="preserve">    IF( 'i1'!CN38=LEER,  #N/A,  'i1'!CN38  )</f>
        <v>3898.5573770000001</v>
      </c>
      <c r="CD38" s="113">
        <f xml:space="preserve"> IF(  AND( $A38&lt;&gt;$CD$14, OR( 'i1'!EO38=LEER, 'i1'!EM38&lt;&gt;LEER ) ), #N/A, 'i1'!EO38 )</f>
        <v>5554.7</v>
      </c>
      <c r="CE38" s="113" t="e">
        <f xml:space="preserve"> IF(   'i1'!EM38=LEER, #N/A,  'i1'!EM38 )</f>
        <v>#N/A</v>
      </c>
      <c r="CF38" s="114" t="e">
        <f xml:space="preserve"> IF(   'i1'!EL38=LEER, #N/A, 'i1'!EL38 + 'i1'!EM38 )</f>
        <v>#N/A</v>
      </c>
      <c r="CW38" s="104">
        <f xml:space="preserve"> 'i1'!FN38</f>
        <v>38</v>
      </c>
      <c r="CX38" s="106">
        <f xml:space="preserve"> IF(  INDEX( 'i1'!$FS38:$JO38, CX$13 ) = LEER,  #N/A,  INDEX( 'i1'!$FS38:$JO38, CX$13 )  )</f>
        <v>32876.74</v>
      </c>
      <c r="CY38" s="106">
        <f xml:space="preserve"> IF(  INDEX( 'i1'!$FS38:$JO38, CY$13 ) = LEER,  #N/A,  INDEX( 'i1'!$FS38:$JO38, CY$13 )  )</f>
        <v>24513.18</v>
      </c>
      <c r="CZ38" s="106">
        <f xml:space="preserve"> IF(  INDEX( 'i1'!$FS38:$JO38, CZ$13 ) = LEER,  #N/A,  INDEX( 'i1'!$FS38:$JO38, CZ$13 )  )</f>
        <v>15474.56</v>
      </c>
      <c r="DA38" s="106">
        <f xml:space="preserve"> IF(  INDEX( 'i1'!$FS38:$JO38, DA$13 ) = LEER,  #N/A,  INDEX( 'i1'!$FS38:$JO38, DA$13 )  )</f>
        <v>5554.7</v>
      </c>
      <c r="DB38" s="106" t="e">
        <f xml:space="preserve"> IF(  INDEX( 'i1'!$FS38:$JO38, DB$13 ) = LEER,  #N/A,  INDEX( 'i1'!$FS38:$JO38, DB$13 )  )</f>
        <v>#N/A</v>
      </c>
      <c r="DC38" s="106" t="e">
        <f xml:space="preserve"> IF(  INDEX( 'i1'!$FS38:$JO38, DC$13 ) = LEER,  #N/A,  INDEX( 'i1'!$FS38:$JO38, DC$13 )  )</f>
        <v>#N/A</v>
      </c>
      <c r="DD38" s="106" t="e">
        <f xml:space="preserve"> IF(  INDEX( 'i1'!$FS38:$JO38, DD$13 ) = LEER,  #N/A,  INDEX( 'i1'!$FS38:$JO38, DD$13 )  )</f>
        <v>#N/A</v>
      </c>
      <c r="DE38" s="106" t="e">
        <f xml:space="preserve"> IF(  INDEX( 'i1'!$FS38:$JO38, DE$13 ) = LEER,  #N/A,  INDEX( 'i1'!$FS38:$JO38, DE$13 )  )</f>
        <v>#N/A</v>
      </c>
      <c r="DF38" s="106" t="e">
        <f xml:space="preserve"> IF(  INDEX( 'i1'!$FS38:$JO38, DF$13 ) = LEER,  #N/A,  INDEX( 'i1'!$FS38:$JO38, DF$13 )  )</f>
        <v>#N/A</v>
      </c>
      <c r="DG38" s="106" t="e">
        <f xml:space="preserve"> IF(  INDEX( 'i1'!$FS38:$JO38, DG$13 ) = LEER,  #N/A,  INDEX( 'i1'!$FS38:$JO38, DG$13 )  )</f>
        <v>#N/A</v>
      </c>
      <c r="DH38" s="106" t="e">
        <f xml:space="preserve"> IF(  INDEX( 'i1'!$FS38:$JO38, DH$13 ) = LEER,  #N/A,  INDEX( 'i1'!$FS38:$JO38, DH$13 )  )</f>
        <v>#N/A</v>
      </c>
      <c r="DI38" s="106" t="e">
        <f xml:space="preserve"> IF(  INDEX( 'i1'!$FS38:$JO38, DI$13 ) = LEER,  #N/A,  INDEX( 'i1'!$FS38:$JO38, DI$13 )  )</f>
        <v>#N/A</v>
      </c>
      <c r="DJ38" s="106" t="e">
        <f xml:space="preserve"> IF(  INDEX( 'i1'!$FS38:$JO38, DJ$13 ) = LEER,  #N/A,  INDEX( 'i1'!$FS38:$JO38, DJ$13 )  )</f>
        <v>#N/A</v>
      </c>
      <c r="DK38" s="106" t="e">
        <f xml:space="preserve"> IF(  INDEX( 'i1'!$FS38:$JO38, DK$13 ) = LEER,  #N/A,  INDEX( 'i1'!$FS38:$JO38, DK$13 )  )</f>
        <v>#N/A</v>
      </c>
      <c r="DL38" s="106" t="e">
        <f xml:space="preserve"> IF(  INDEX( 'i1'!$FS38:$JO38, DL$13 ) = LEER,  #N/A,  INDEX( 'i1'!$FS38:$JO38, DL$13 )  )</f>
        <v>#N/A</v>
      </c>
      <c r="DM38" s="106" t="e">
        <f xml:space="preserve"> IF(  INDEX( 'i1'!$FS38:$JO38, DM$13 ) = LEER,  #N/A,  INDEX( 'i1'!$FS38:$JO38, DM$13 )  )</f>
        <v>#N/A</v>
      </c>
      <c r="DN38" s="106" t="e">
        <f xml:space="preserve"> IF(  INDEX( 'i1'!$FS38:$JO38, DN$13 ) = LEER,  #N/A,  INDEX( 'i1'!$FS38:$JO38, DN$13 )  )</f>
        <v>#N/A</v>
      </c>
    </row>
    <row r="39" spans="1:118" x14ac:dyDescent="0.2">
      <c r="A39" s="15">
        <f xml:space="preserve"> Basis!A39</f>
        <v>39</v>
      </c>
      <c r="C39" s="24" t="b">
        <f xml:space="preserve"> 'i1'!$O39</f>
        <v>1</v>
      </c>
      <c r="D39" s="24" t="b">
        <f xml:space="preserve"> 'i2'!$O39</f>
        <v>1</v>
      </c>
      <c r="E39" s="24" t="b">
        <f xml:space="preserve"> 'i3'!$O39</f>
        <v>1</v>
      </c>
      <c r="G39" s="27">
        <f xml:space="preserve"> IF( $C40,   IF( 'i1'!$P39=LEER,  #N/A,  'i1'!$P39  ),   #N/A  )</f>
        <v>3.4599999999999999E-2</v>
      </c>
      <c r="H39" s="27">
        <f xml:space="preserve"> IF( $D40,   IF( 'i2'!$P39=LEER,  #N/A,  'i2'!$P39  ),   #N/A  )</f>
        <v>3.4599999999999999E-2</v>
      </c>
      <c r="I39" s="27">
        <f xml:space="preserve"> IF( $E40,   IF( 'i3'!$P39=LEER,  #N/A,  'i3'!$P39  ),   #N/A  )</f>
        <v>3.4599999999999999E-2</v>
      </c>
      <c r="J39" s="158"/>
      <c r="K39" s="27">
        <f xml:space="preserve"> IF( $C40,   IF( 'i1'!$G39=LEER,  #N/A,  'i1'!$G39  ),   #N/A  )</f>
        <v>3.4200000000000001E-2</v>
      </c>
      <c r="L39" s="27">
        <f xml:space="preserve"> IF( $D40,   IF( 'i2'!$G39=LEER,  #N/A,  'i2'!$G39  ),   #N/A  )</f>
        <v>3.4200000000000001E-2</v>
      </c>
      <c r="M39" s="27">
        <f xml:space="preserve"> IF( $E40,   IF( 'i3'!$G39=LEER,  #N/A,  'i3'!$G39  ),   #N/A  )</f>
        <v>3.4200000000000001E-2</v>
      </c>
      <c r="N39" s="158"/>
      <c r="O39" s="158"/>
      <c r="Q39" s="28">
        <f t="shared" si="35"/>
        <v>31.186766042784189</v>
      </c>
      <c r="R39" s="28">
        <f t="shared" si="36"/>
        <v>31.186766042784189</v>
      </c>
      <c r="S39" s="28">
        <f t="shared" si="37"/>
        <v>31.186766042784189</v>
      </c>
      <c r="U39" s="76">
        <f xml:space="preserve"> IF( $C38,   SUM('i1'!$R39),   #N/A  )</f>
        <v>909690</v>
      </c>
      <c r="V39" s="76">
        <f xml:space="preserve"> IF( $C38,   SUM('i2'!$R39),   #N/A  )</f>
        <v>909690</v>
      </c>
      <c r="W39" s="76">
        <f xml:space="preserve"> IF( $C38,   SUM('i3'!$R39),   #N/A  )</f>
        <v>909690</v>
      </c>
      <c r="Y39" s="33"/>
      <c r="Z39" s="22">
        <f xml:space="preserve"> IF( $C39,   IF( 'i1'!$J39=LEER,  #N/A,  'i1'!$J39  ),   #N/A  )</f>
        <v>0.99099999999999999</v>
      </c>
      <c r="AA39" s="22">
        <f xml:space="preserve"> IF( $D39,   IF( 'i2'!$J39=LEER,  #N/A,  'i2'!$J39  ),   #N/A  )</f>
        <v>0.99099999999999999</v>
      </c>
      <c r="AB39" s="22">
        <f xml:space="preserve"> IF( $E39,   IF( 'i3'!$J39=LEER,  #N/A,  'i3'!$J39  ),   #N/A  )</f>
        <v>0.99099999999999999</v>
      </c>
      <c r="AC39" s="75"/>
      <c r="AD39" s="26">
        <f t="shared" si="25"/>
        <v>2059.0898899999997</v>
      </c>
      <c r="AE39" s="26">
        <f t="shared" si="26"/>
        <v>2059.0898899999997</v>
      </c>
      <c r="AF39" s="26">
        <f t="shared" si="27"/>
        <v>2059.0898899999997</v>
      </c>
      <c r="AG39" s="23"/>
      <c r="AH39" s="24">
        <f xml:space="preserve">    IF(  'i1'!$AK39=LEER,  #N/A,  ROUND( 'i1'!$AK39, AH$15 )  )</f>
        <v>469.6</v>
      </c>
      <c r="AI39" s="24">
        <f xml:space="preserve">    IF(  'i2'!$AK39=LEER,  #N/A,  ROUND( 'i2'!$AK39, AI$15 )  )</f>
        <v>469.6</v>
      </c>
      <c r="AJ39" s="24">
        <f xml:space="preserve">    IF(  'i3'!$AK39=LEER,  #N/A,  ROUND( 'i3'!$AK39, AJ$15 )  )</f>
        <v>469.6</v>
      </c>
      <c r="AL39" s="102">
        <f t="shared" si="28"/>
        <v>469.6</v>
      </c>
      <c r="AO39" s="24">
        <f xml:space="preserve">    IF( 'i1'!$AN39=LEER,  #N/A,  'i1'!$AN39  )</f>
        <v>8807.76</v>
      </c>
      <c r="AP39" s="24">
        <f xml:space="preserve">    IF( 'i2'!$AN39=LEER,  #N/A,  'i2'!$AN39  )</f>
        <v>8807.76</v>
      </c>
      <c r="AQ39" s="24">
        <f xml:space="preserve">    IF( 'i3'!$AN39=LEER,  #N/A,  'i3'!$AN39  )</f>
        <v>8807.76</v>
      </c>
      <c r="AS39" s="24">
        <f xml:space="preserve">    IF( 'i1'!$AO39=LEER,  #N/A,  'i1'!$AO39  )</f>
        <v>7901.21</v>
      </c>
      <c r="AT39" s="24">
        <f xml:space="preserve">    IF( 'i2'!$AO39=LEER,  #N/A,  'i2'!$AO39  )</f>
        <v>7901.21</v>
      </c>
      <c r="AU39" s="24">
        <f xml:space="preserve">    IF( 'i3'!$AO39=LEER,  #N/A,  'i3'!$AO39  )</f>
        <v>7901.21</v>
      </c>
      <c r="AW39" s="28">
        <f t="shared" si="38"/>
        <v>4.2389999999999999</v>
      </c>
      <c r="AX39" s="28">
        <f t="shared" si="29"/>
        <v>4.2389999999999999</v>
      </c>
      <c r="AY39" s="28">
        <f t="shared" si="30"/>
        <v>4.2389999999999999</v>
      </c>
      <c r="BA39" s="28">
        <f t="shared" si="31"/>
        <v>3.8027000000000002</v>
      </c>
      <c r="BB39" s="28">
        <f t="shared" si="32"/>
        <v>3.8027000000000002</v>
      </c>
      <c r="BC39" s="28">
        <f t="shared" si="33"/>
        <v>3.8027000000000002</v>
      </c>
      <c r="BG39" s="24">
        <f xml:space="preserve">    IF( 'i1'!BT39=LEER,  #N/A,  'i1'!BT39  )</f>
        <v>1818.21</v>
      </c>
      <c r="BH39" s="24">
        <f xml:space="preserve">    IF( 'i1'!BR39=LEER,  #N/A,  'i1'!BR39  )</f>
        <v>6452.1</v>
      </c>
      <c r="BI39" s="111">
        <f t="shared" si="34"/>
        <v>8270.3100000000013</v>
      </c>
      <c r="BJ39" s="24">
        <f xml:space="preserve">    IF( 'i1'!BX39=LEER,  #N/A,  'i1'!BX39  )</f>
        <v>537.44999999999891</v>
      </c>
      <c r="BL39" s="24">
        <f xml:space="preserve">    IF( 'i1'!CB39=LEER,  #N/A,  'i1'!CB39  )</f>
        <v>1838.17</v>
      </c>
      <c r="BM39" s="24">
        <f xml:space="preserve">    IF( 'i1'!CC39=LEER,  #N/A,  'i1'!CC39  )</f>
        <v>220.19</v>
      </c>
      <c r="BN39" s="24">
        <f xml:space="preserve">    IF( 'i1'!CD39=LEER,  #N/A,  'i1'!CD39  )</f>
        <v>389.45</v>
      </c>
      <c r="BO39" s="24">
        <f xml:space="preserve">    IF( 'i1'!CE39=LEER,  #N/A,  'i1'!CE39  )</f>
        <v>2447.81</v>
      </c>
      <c r="BQ39" s="24">
        <f xml:space="preserve">    IF( 'i1'!CI39=LEER,  #N/A,  'i1'!CI39  )</f>
        <v>2059.09</v>
      </c>
      <c r="BR39" s="24">
        <f xml:space="preserve">    IF( 'i1'!CJ39=LEER,  #N/A,  'i1'!CJ39  )</f>
        <v>2173.35</v>
      </c>
      <c r="BS39" s="24">
        <f xml:space="preserve">    IF( 'i1'!CK39=LEER,  #N/A,  'i1'!CK39  )</f>
        <v>-379.95</v>
      </c>
      <c r="BT39" s="38">
        <f xml:space="preserve">    IF( 'i1'!CH39=LEER,  #N/A,  'i1'!CH39  )</f>
        <v>3852.4304390000002</v>
      </c>
      <c r="BV39" s="24">
        <f xml:space="preserve">    IF( 'i1'!CO39=LEER,  #N/A,  'i1'!CO39  )</f>
        <v>2059.09</v>
      </c>
      <c r="BW39" s="24">
        <f xml:space="preserve">    IF( 'i1'!CP39=LEER,  #N/A,  'i1'!CP39  )</f>
        <v>2188.64</v>
      </c>
      <c r="BX39" s="24">
        <f xml:space="preserve">    IF( 'i1'!CQ39=LEER,  #N/A,  'i1'!CQ39  )</f>
        <v>-349.11</v>
      </c>
      <c r="BY39" s="38">
        <f xml:space="preserve">    IF( 'i1'!CN39=LEER,  #N/A,  'i1'!CN39  )</f>
        <v>3898.5573770000001</v>
      </c>
      <c r="CD39" s="113">
        <f xml:space="preserve"> IF(  AND( $A39&lt;&gt;$CD$14, OR( 'i1'!EO39=LEER, 'i1'!EM39&lt;&gt;LEER ) ), #N/A, 'i1'!EO39 )</f>
        <v>7901.21</v>
      </c>
      <c r="CE39" s="113" t="e">
        <f xml:space="preserve"> IF(   'i1'!EM39=LEER, #N/A,  'i1'!EM39 )</f>
        <v>#N/A</v>
      </c>
      <c r="CF39" s="114" t="e">
        <f xml:space="preserve"> IF(   'i1'!EL39=LEER, #N/A, 'i1'!EL39 + 'i1'!EM39 )</f>
        <v>#N/A</v>
      </c>
      <c r="CW39" s="104">
        <f xml:space="preserve"> 'i1'!FN39</f>
        <v>39</v>
      </c>
      <c r="CX39" s="106">
        <f xml:space="preserve"> IF(  INDEX( 'i1'!$FS39:$JO39, CX$13 ) = LEER,  #N/A,  INDEX( 'i1'!$FS39:$JO39, CX$13 )  )</f>
        <v>35501.74</v>
      </c>
      <c r="CY39" s="106">
        <f xml:space="preserve"> IF(  INDEX( 'i1'!$FS39:$JO39, CY$13 ) = LEER,  #N/A,  INDEX( 'i1'!$FS39:$JO39, CY$13 )  )</f>
        <v>27052.93</v>
      </c>
      <c r="CZ39" s="106">
        <f xml:space="preserve"> IF(  INDEX( 'i1'!$FS39:$JO39, CZ$13 ) = LEER,  #N/A,  INDEX( 'i1'!$FS39:$JO39, CZ$13 )  )</f>
        <v>17922.18</v>
      </c>
      <c r="DA39" s="106">
        <f xml:space="preserve"> IF(  INDEX( 'i1'!$FS39:$JO39, DA$13 ) = LEER,  #N/A,  INDEX( 'i1'!$FS39:$JO39, DA$13 )  )</f>
        <v>7901.21</v>
      </c>
      <c r="DB39" s="106" t="e">
        <f xml:space="preserve"> IF(  INDEX( 'i1'!$FS39:$JO39, DB$13 ) = LEER,  #N/A,  INDEX( 'i1'!$FS39:$JO39, DB$13 )  )</f>
        <v>#N/A</v>
      </c>
      <c r="DC39" s="106" t="e">
        <f xml:space="preserve"> IF(  INDEX( 'i1'!$FS39:$JO39, DC$13 ) = LEER,  #N/A,  INDEX( 'i1'!$FS39:$JO39, DC$13 )  )</f>
        <v>#N/A</v>
      </c>
      <c r="DD39" s="106" t="e">
        <f xml:space="preserve"> IF(  INDEX( 'i1'!$FS39:$JO39, DD$13 ) = LEER,  #N/A,  INDEX( 'i1'!$FS39:$JO39, DD$13 )  )</f>
        <v>#N/A</v>
      </c>
      <c r="DE39" s="106" t="e">
        <f xml:space="preserve"> IF(  INDEX( 'i1'!$FS39:$JO39, DE$13 ) = LEER,  #N/A,  INDEX( 'i1'!$FS39:$JO39, DE$13 )  )</f>
        <v>#N/A</v>
      </c>
      <c r="DF39" s="106" t="e">
        <f xml:space="preserve"> IF(  INDEX( 'i1'!$FS39:$JO39, DF$13 ) = LEER,  #N/A,  INDEX( 'i1'!$FS39:$JO39, DF$13 )  )</f>
        <v>#N/A</v>
      </c>
      <c r="DG39" s="106" t="e">
        <f xml:space="preserve"> IF(  INDEX( 'i1'!$FS39:$JO39, DG$13 ) = LEER,  #N/A,  INDEX( 'i1'!$FS39:$JO39, DG$13 )  )</f>
        <v>#N/A</v>
      </c>
      <c r="DH39" s="106" t="e">
        <f xml:space="preserve"> IF(  INDEX( 'i1'!$FS39:$JO39, DH$13 ) = LEER,  #N/A,  INDEX( 'i1'!$FS39:$JO39, DH$13 )  )</f>
        <v>#N/A</v>
      </c>
      <c r="DI39" s="106" t="e">
        <f xml:space="preserve"> IF(  INDEX( 'i1'!$FS39:$JO39, DI$13 ) = LEER,  #N/A,  INDEX( 'i1'!$FS39:$JO39, DI$13 )  )</f>
        <v>#N/A</v>
      </c>
      <c r="DJ39" s="106" t="e">
        <f xml:space="preserve"> IF(  INDEX( 'i1'!$FS39:$JO39, DJ$13 ) = LEER,  #N/A,  INDEX( 'i1'!$FS39:$JO39, DJ$13 )  )</f>
        <v>#N/A</v>
      </c>
      <c r="DK39" s="106" t="e">
        <f xml:space="preserve"> IF(  INDEX( 'i1'!$FS39:$JO39, DK$13 ) = LEER,  #N/A,  INDEX( 'i1'!$FS39:$JO39, DK$13 )  )</f>
        <v>#N/A</v>
      </c>
      <c r="DL39" s="106" t="e">
        <f xml:space="preserve"> IF(  INDEX( 'i1'!$FS39:$JO39, DL$13 ) = LEER,  #N/A,  INDEX( 'i1'!$FS39:$JO39, DL$13 )  )</f>
        <v>#N/A</v>
      </c>
      <c r="DM39" s="106" t="e">
        <f xml:space="preserve"> IF(  INDEX( 'i1'!$FS39:$JO39, DM$13 ) = LEER,  #N/A,  INDEX( 'i1'!$FS39:$JO39, DM$13 )  )</f>
        <v>#N/A</v>
      </c>
      <c r="DN39" s="106" t="e">
        <f xml:space="preserve"> IF(  INDEX( 'i1'!$FS39:$JO39, DN$13 ) = LEER,  #N/A,  INDEX( 'i1'!$FS39:$JO39, DN$13 )  )</f>
        <v>#N/A</v>
      </c>
    </row>
    <row r="40" spans="1:118" x14ac:dyDescent="0.2">
      <c r="A40" s="15">
        <f xml:space="preserve"> Basis!A40</f>
        <v>40</v>
      </c>
      <c r="C40" s="24" t="b">
        <f xml:space="preserve"> 'i1'!$O40</f>
        <v>1</v>
      </c>
      <c r="D40" s="24" t="b">
        <f xml:space="preserve"> 'i2'!$O40</f>
        <v>1</v>
      </c>
      <c r="E40" s="24" t="b">
        <f xml:space="preserve"> 'i3'!$O40</f>
        <v>1</v>
      </c>
      <c r="G40" s="27">
        <f xml:space="preserve"> IF( $C41,   IF( 'i1'!$P40=LEER,  #N/A,  'i1'!$P40  ),   #N/A  )</f>
        <v>3.2099999999999997E-2</v>
      </c>
      <c r="H40" s="27">
        <f xml:space="preserve"> IF( $D41,   IF( 'i2'!$P40=LEER,  #N/A,  'i2'!$P40  ),   #N/A  )</f>
        <v>3.2099999999999997E-2</v>
      </c>
      <c r="I40" s="27">
        <f xml:space="preserve"> IF( $E41,   IF( 'i3'!$P40=LEER,  #N/A,  'i3'!$P40  ),   #N/A  )</f>
        <v>3.2099999999999997E-2</v>
      </c>
      <c r="J40" s="158"/>
      <c r="K40" s="27">
        <f xml:space="preserve"> IF( $C41,   IF( 'i1'!$G40=LEER,  #N/A,  'i1'!$G40  ),   #N/A  )</f>
        <v>3.1699999999999999E-2</v>
      </c>
      <c r="L40" s="27">
        <f xml:space="preserve"> IF( $D41,   IF( 'i2'!$G40=LEER,  #N/A,  'i2'!$G40  ),   #N/A  )</f>
        <v>3.1699999999999999E-2</v>
      </c>
      <c r="M40" s="27">
        <f xml:space="preserve"> IF( $E41,   IF( 'i3'!$G40=LEER,  #N/A,  'i3'!$G40  ),   #N/A  )</f>
        <v>3.1699999999999999E-2</v>
      </c>
      <c r="N40" s="158"/>
      <c r="O40" s="158"/>
      <c r="Q40" s="28">
        <f t="shared" si="35"/>
        <v>31.286581772098806</v>
      </c>
      <c r="R40" s="28">
        <f t="shared" si="36"/>
        <v>31.286581772098806</v>
      </c>
      <c r="S40" s="28">
        <f t="shared" si="37"/>
        <v>31.286581772098806</v>
      </c>
      <c r="U40" s="76">
        <f xml:space="preserve"> IF( $C39,   SUM('i1'!$R40),   #N/A  )</f>
        <v>878214</v>
      </c>
      <c r="V40" s="76">
        <f xml:space="preserve"> IF( $C39,   SUM('i2'!$R40),   #N/A  )</f>
        <v>878214</v>
      </c>
      <c r="W40" s="76">
        <f xml:space="preserve"> IF( $C39,   SUM('i3'!$R40),   #N/A  )</f>
        <v>878214</v>
      </c>
      <c r="Y40" s="33"/>
      <c r="Z40" s="22">
        <f xml:space="preserve"> IF( $C40,   IF( 'i1'!$J40=LEER,  #N/A,  'i1'!$J40  ),   #N/A  )</f>
        <v>1</v>
      </c>
      <c r="AA40" s="22">
        <f xml:space="preserve"> IF( $D40,   IF( 'i2'!$J40=LEER,  #N/A,  'i2'!$J40  ),   #N/A  )</f>
        <v>1</v>
      </c>
      <c r="AB40" s="22">
        <f xml:space="preserve"> IF( $E40,   IF( 'i3'!$J40=LEER,  #N/A,  'i3'!$J40  ),   #N/A  )</f>
        <v>1</v>
      </c>
      <c r="AC40" s="75"/>
      <c r="AD40" s="26">
        <f t="shared" si="25"/>
        <v>2077.79</v>
      </c>
      <c r="AE40" s="26">
        <f t="shared" si="26"/>
        <v>2077.79</v>
      </c>
      <c r="AF40" s="26">
        <f t="shared" si="27"/>
        <v>2077.79</v>
      </c>
      <c r="AG40" s="23"/>
      <c r="AH40" s="24">
        <f xml:space="preserve">    IF(  'i1'!$AK40=LEER,  #N/A,  ROUND( 'i1'!$AK40, AH$15 )  )</f>
        <v>480.61</v>
      </c>
      <c r="AI40" s="24">
        <f xml:space="preserve">    IF(  'i2'!$AK40=LEER,  #N/A,  ROUND( 'i2'!$AK40, AI$15 )  )</f>
        <v>480.61</v>
      </c>
      <c r="AJ40" s="24">
        <f xml:space="preserve">    IF(  'i3'!$AK40=LEER,  #N/A,  ROUND( 'i3'!$AK40, AJ$15 )  )</f>
        <v>480.61</v>
      </c>
      <c r="AL40" s="102">
        <f t="shared" si="28"/>
        <v>480.61</v>
      </c>
      <c r="AO40" s="24">
        <f xml:space="preserve">    IF( 'i1'!$AN40=LEER,  #N/A,  'i1'!$AN40  )</f>
        <v>11255.64</v>
      </c>
      <c r="AP40" s="24">
        <f xml:space="preserve">    IF( 'i2'!$AN40=LEER,  #N/A,  'i2'!$AN40  )</f>
        <v>11255.64</v>
      </c>
      <c r="AQ40" s="24">
        <f xml:space="preserve">    IF( 'i3'!$AN40=LEER,  #N/A,  'i3'!$AN40  )</f>
        <v>11255.64</v>
      </c>
      <c r="AS40" s="24">
        <f xml:space="preserve">    IF( 'i1'!$AO40=LEER,  #N/A,  'i1'!$AO40  )</f>
        <v>10342.1</v>
      </c>
      <c r="AT40" s="24">
        <f xml:space="preserve">    IF( 'i2'!$AO40=LEER,  #N/A,  'i2'!$AO40  )</f>
        <v>10342.1</v>
      </c>
      <c r="AU40" s="24">
        <f xml:space="preserve">    IF( 'i3'!$AO40=LEER,  #N/A,  'i3'!$AO40  )</f>
        <v>10342.1</v>
      </c>
      <c r="AW40" s="28">
        <f t="shared" si="38"/>
        <v>5.4170999999999996</v>
      </c>
      <c r="AX40" s="28">
        <f t="shared" si="29"/>
        <v>5.4170999999999996</v>
      </c>
      <c r="AY40" s="28">
        <f t="shared" si="30"/>
        <v>5.4170999999999996</v>
      </c>
      <c r="BA40" s="28">
        <f t="shared" si="31"/>
        <v>4.9775</v>
      </c>
      <c r="BB40" s="28">
        <f t="shared" si="32"/>
        <v>4.9775</v>
      </c>
      <c r="BC40" s="28">
        <f t="shared" si="33"/>
        <v>4.9775</v>
      </c>
      <c r="BG40" s="24">
        <f xml:space="preserve">    IF( 'i1'!BT40=LEER,  #N/A,  'i1'!BT40  )</f>
        <v>1792.78</v>
      </c>
      <c r="BH40" s="24">
        <f xml:space="preserve">    IF( 'i1'!BR40=LEER,  #N/A,  'i1'!BR40  )</f>
        <v>8807.76</v>
      </c>
      <c r="BI40" s="111">
        <f t="shared" si="34"/>
        <v>10600.54</v>
      </c>
      <c r="BJ40" s="24">
        <f xml:space="preserve">    IF( 'i1'!BX40=LEER,  #N/A,  'i1'!BX40  )</f>
        <v>655.09999999999854</v>
      </c>
      <c r="BL40" s="24">
        <f xml:space="preserve">    IF( 'i1'!CB40=LEER,  #N/A,  'i1'!CB40  )</f>
        <v>1819.01</v>
      </c>
      <c r="BM40" s="24">
        <f xml:space="preserve">    IF( 'i1'!CC40=LEER,  #N/A,  'i1'!CC40  )</f>
        <v>281.39</v>
      </c>
      <c r="BN40" s="24">
        <f xml:space="preserve">    IF( 'i1'!CD40=LEER,  #N/A,  'i1'!CD40  )</f>
        <v>442.94</v>
      </c>
      <c r="BO40" s="24">
        <f xml:space="preserve">    IF( 'i1'!CE40=LEER,  #N/A,  'i1'!CE40  )</f>
        <v>2543.34</v>
      </c>
      <c r="BQ40" s="24">
        <f xml:space="preserve">    IF( 'i1'!CI40=LEER,  #N/A,  'i1'!CI40  )</f>
        <v>2077.79</v>
      </c>
      <c r="BR40" s="24">
        <f xml:space="preserve">    IF( 'i1'!CJ40=LEER,  #N/A,  'i1'!CJ40  )</f>
        <v>2206.5700000000002</v>
      </c>
      <c r="BS40" s="24">
        <f xml:space="preserve">    IF( 'i1'!CK40=LEER,  #N/A,  'i1'!CK40  )</f>
        <v>-432.14</v>
      </c>
      <c r="BT40" s="38">
        <f xml:space="preserve">    IF( 'i1'!CH40=LEER,  #N/A,  'i1'!CH40  )</f>
        <v>3852.4304390000002</v>
      </c>
      <c r="BV40" s="24">
        <f xml:space="preserve">    IF( 'i1'!CO40=LEER,  #N/A,  'i1'!CO40  )</f>
        <v>2077.79</v>
      </c>
      <c r="BW40" s="24">
        <f xml:space="preserve">    IF( 'i1'!CP40=LEER,  #N/A,  'i1'!CP40  )</f>
        <v>2223.94</v>
      </c>
      <c r="BX40" s="24">
        <f xml:space="preserve">    IF( 'i1'!CQ40=LEER,  #N/A,  'i1'!CQ40  )</f>
        <v>-403.37</v>
      </c>
      <c r="BY40" s="38">
        <f xml:space="preserve">    IF( 'i1'!CN40=LEER,  #N/A,  'i1'!CN40  )</f>
        <v>3898.5573770000001</v>
      </c>
      <c r="CD40" s="113">
        <f xml:space="preserve"> IF(  AND( $A40&lt;&gt;$CD$14, OR( 'i1'!EO40=LEER, 'i1'!EM40&lt;&gt;LEER ) ), #N/A, 'i1'!EO40 )</f>
        <v>10342.1</v>
      </c>
      <c r="CE40" s="113" t="e">
        <f xml:space="preserve"> IF(   'i1'!EM40=LEER, #N/A,  'i1'!EM40 )</f>
        <v>#N/A</v>
      </c>
      <c r="CF40" s="114" t="e">
        <f xml:space="preserve"> IF(   'i1'!EL40=LEER, #N/A, 'i1'!EL40 + 'i1'!EM40 )</f>
        <v>#N/A</v>
      </c>
      <c r="CW40" s="104">
        <f xml:space="preserve"> 'i1'!FN40</f>
        <v>40</v>
      </c>
      <c r="CX40" s="106">
        <f xml:space="preserve"> IF(  INDEX( 'i1'!$FS40:$JO40, CX$13 ) = LEER,  #N/A,  INDEX( 'i1'!$FS40:$JO40, CX$13 )  )</f>
        <v>38155.53</v>
      </c>
      <c r="CY40" s="106">
        <f xml:space="preserve"> IF(  INDEX( 'i1'!$FS40:$JO40, CY$13 ) = LEER,  #N/A,  INDEX( 'i1'!$FS40:$JO40, CY$13 )  )</f>
        <v>29641.55</v>
      </c>
      <c r="CZ40" s="106">
        <f xml:space="preserve"> IF(  INDEX( 'i1'!$FS40:$JO40, CZ$13 ) = LEER,  #N/A,  INDEX( 'i1'!$FS40:$JO40, CZ$13 )  )</f>
        <v>20440.37</v>
      </c>
      <c r="DA40" s="106">
        <f xml:space="preserve"> IF(  INDEX( 'i1'!$FS40:$JO40, DA$13 ) = LEER,  #N/A,  INDEX( 'i1'!$FS40:$JO40, DA$13 )  )</f>
        <v>10342.1</v>
      </c>
      <c r="DB40" s="106">
        <f xml:space="preserve"> IF(  INDEX( 'i1'!$FS40:$JO40, DB$13 ) = LEER,  #N/A,  INDEX( 'i1'!$FS40:$JO40, DB$13 )  )</f>
        <v>-961.86</v>
      </c>
      <c r="DC40" s="106" t="e">
        <f xml:space="preserve"> IF(  INDEX( 'i1'!$FS40:$JO40, DC$13 ) = LEER,  #N/A,  INDEX( 'i1'!$FS40:$JO40, DC$13 )  )</f>
        <v>#N/A</v>
      </c>
      <c r="DD40" s="106" t="e">
        <f xml:space="preserve"> IF(  INDEX( 'i1'!$FS40:$JO40, DD$13 ) = LEER,  #N/A,  INDEX( 'i1'!$FS40:$JO40, DD$13 )  )</f>
        <v>#N/A</v>
      </c>
      <c r="DE40" s="106" t="e">
        <f xml:space="preserve"> IF(  INDEX( 'i1'!$FS40:$JO40, DE$13 ) = LEER,  #N/A,  INDEX( 'i1'!$FS40:$JO40, DE$13 )  )</f>
        <v>#N/A</v>
      </c>
      <c r="DF40" s="106" t="e">
        <f xml:space="preserve"> IF(  INDEX( 'i1'!$FS40:$JO40, DF$13 ) = LEER,  #N/A,  INDEX( 'i1'!$FS40:$JO40, DF$13 )  )</f>
        <v>#N/A</v>
      </c>
      <c r="DG40" s="106" t="e">
        <f xml:space="preserve"> IF(  INDEX( 'i1'!$FS40:$JO40, DG$13 ) = LEER,  #N/A,  INDEX( 'i1'!$FS40:$JO40, DG$13 )  )</f>
        <v>#N/A</v>
      </c>
      <c r="DH40" s="106" t="e">
        <f xml:space="preserve"> IF(  INDEX( 'i1'!$FS40:$JO40, DH$13 ) = LEER,  #N/A,  INDEX( 'i1'!$FS40:$JO40, DH$13 )  )</f>
        <v>#N/A</v>
      </c>
      <c r="DI40" s="106" t="e">
        <f xml:space="preserve"> IF(  INDEX( 'i1'!$FS40:$JO40, DI$13 ) = LEER,  #N/A,  INDEX( 'i1'!$FS40:$JO40, DI$13 )  )</f>
        <v>#N/A</v>
      </c>
      <c r="DJ40" s="106" t="e">
        <f xml:space="preserve"> IF(  INDEX( 'i1'!$FS40:$JO40, DJ$13 ) = LEER,  #N/A,  INDEX( 'i1'!$FS40:$JO40, DJ$13 )  )</f>
        <v>#N/A</v>
      </c>
      <c r="DK40" s="106" t="e">
        <f xml:space="preserve"> IF(  INDEX( 'i1'!$FS40:$JO40, DK$13 ) = LEER,  #N/A,  INDEX( 'i1'!$FS40:$JO40, DK$13 )  )</f>
        <v>#N/A</v>
      </c>
      <c r="DL40" s="106" t="e">
        <f xml:space="preserve"> IF(  INDEX( 'i1'!$FS40:$JO40, DL$13 ) = LEER,  #N/A,  INDEX( 'i1'!$FS40:$JO40, DL$13 )  )</f>
        <v>#N/A</v>
      </c>
      <c r="DM40" s="106" t="e">
        <f xml:space="preserve"> IF(  INDEX( 'i1'!$FS40:$JO40, DM$13 ) = LEER,  #N/A,  INDEX( 'i1'!$FS40:$JO40, DM$13 )  )</f>
        <v>#N/A</v>
      </c>
      <c r="DN40" s="106" t="e">
        <f xml:space="preserve"> IF(  INDEX( 'i1'!$FS40:$JO40, DN$13 ) = LEER,  #N/A,  INDEX( 'i1'!$FS40:$JO40, DN$13 )  )</f>
        <v>#N/A</v>
      </c>
    </row>
    <row r="41" spans="1:118" x14ac:dyDescent="0.2">
      <c r="A41" s="15">
        <f xml:space="preserve"> Basis!A41</f>
        <v>41</v>
      </c>
      <c r="C41" s="24" t="b">
        <f xml:space="preserve"> 'i1'!$O41</f>
        <v>1</v>
      </c>
      <c r="D41" s="24" t="b">
        <f xml:space="preserve"> 'i2'!$O41</f>
        <v>1</v>
      </c>
      <c r="E41" s="24" t="b">
        <f xml:space="preserve"> 'i3'!$O41</f>
        <v>1</v>
      </c>
      <c r="G41" s="27">
        <f xml:space="preserve"> IF( $C42,   IF( 'i1'!$P41=LEER,  #N/A,  'i1'!$P41  ),   #N/A  )</f>
        <v>3.0200000000000001E-2</v>
      </c>
      <c r="H41" s="27">
        <f xml:space="preserve"> IF( $D42,   IF( 'i2'!$P41=LEER,  #N/A,  'i2'!$P41  ),   #N/A  )</f>
        <v>3.0200000000000001E-2</v>
      </c>
      <c r="I41" s="27">
        <f xml:space="preserve"> IF( $E42,   IF( 'i3'!$P41=LEER,  #N/A,  'i3'!$P41  ),   #N/A  )</f>
        <v>3.0200000000000001E-2</v>
      </c>
      <c r="J41" s="158"/>
      <c r="K41" s="27">
        <f xml:space="preserve"> IF( $C42,   IF( 'i1'!$G41=LEER,  #N/A,  'i1'!$G41  ),   #N/A  )</f>
        <v>2.9700000000000001E-2</v>
      </c>
      <c r="L41" s="27">
        <f xml:space="preserve"> IF( $D42,   IF( 'i2'!$G41=LEER,  #N/A,  'i2'!$G41  ),   #N/A  )</f>
        <v>2.9700000000000001E-2</v>
      </c>
      <c r="M41" s="27">
        <f xml:space="preserve"> IF( $E42,   IF( 'i3'!$G41=LEER,  #N/A,  'i3'!$G41  ),   #N/A  )</f>
        <v>2.9700000000000001E-2</v>
      </c>
      <c r="N41" s="158"/>
      <c r="O41" s="158"/>
      <c r="Q41" s="28">
        <f t="shared" si="35"/>
        <v>31.307605922201471</v>
      </c>
      <c r="R41" s="28">
        <f t="shared" si="36"/>
        <v>31.307605922201471</v>
      </c>
      <c r="S41" s="28">
        <f t="shared" si="37"/>
        <v>31.307605922201471</v>
      </c>
      <c r="U41" s="76">
        <f xml:space="preserve"> IF( $C40,   SUM('i1'!$R41),   #N/A  )</f>
        <v>850023</v>
      </c>
      <c r="V41" s="76">
        <f xml:space="preserve"> IF( $C40,   SUM('i2'!$R41),   #N/A  )</f>
        <v>850023</v>
      </c>
      <c r="W41" s="76">
        <f xml:space="preserve"> IF( $C40,   SUM('i3'!$R41),   #N/A  )</f>
        <v>850023</v>
      </c>
      <c r="Y41" s="33"/>
      <c r="Z41" s="22">
        <f xml:space="preserve"> IF( $C41,   IF( 'i1'!$J41=LEER,  #N/A,  'i1'!$J41  ),   #N/A  )</f>
        <v>1.014</v>
      </c>
      <c r="AA41" s="22">
        <f xml:space="preserve"> IF( $D41,   IF( 'i2'!$J41=LEER,  #N/A,  'i2'!$J41  ),   #N/A  )</f>
        <v>1.014</v>
      </c>
      <c r="AB41" s="22">
        <f xml:space="preserve"> IF( $E41,   IF( 'i3'!$J41=LEER,  #N/A,  'i3'!$J41  ),   #N/A  )</f>
        <v>1.014</v>
      </c>
      <c r="AC41" s="75"/>
      <c r="AD41" s="26">
        <f t="shared" si="25"/>
        <v>2106.8790600000002</v>
      </c>
      <c r="AE41" s="26">
        <f t="shared" si="26"/>
        <v>2106.8790600000002</v>
      </c>
      <c r="AF41" s="26">
        <f t="shared" si="27"/>
        <v>2106.8790600000002</v>
      </c>
      <c r="AG41" s="23"/>
      <c r="AH41" s="24">
        <f xml:space="preserve">    IF(  'i1'!$AK41=LEER,  #N/A,  ROUND( 'i1'!$AK41, AH$15 )  )</f>
        <v>492.04</v>
      </c>
      <c r="AI41" s="24">
        <f xml:space="preserve">    IF(  'i2'!$AK41=LEER,  #N/A,  ROUND( 'i2'!$AK41, AI$15 )  )</f>
        <v>492.04</v>
      </c>
      <c r="AJ41" s="24">
        <f xml:space="preserve">    IF(  'i3'!$AK41=LEER,  #N/A,  ROUND( 'i3'!$AK41, AJ$15 )  )</f>
        <v>492.04</v>
      </c>
      <c r="AL41" s="102">
        <f t="shared" si="28"/>
        <v>492.04</v>
      </c>
      <c r="AO41" s="24">
        <f xml:space="preserve">    IF( 'i1'!$AN41=LEER,  #N/A,  'i1'!$AN41  )</f>
        <v>13798.77</v>
      </c>
      <c r="AP41" s="24">
        <f xml:space="preserve">    IF( 'i2'!$AN41=LEER,  #N/A,  'i2'!$AN41  )</f>
        <v>13798.77</v>
      </c>
      <c r="AQ41" s="24">
        <f xml:space="preserve">    IF( 'i3'!$AN41=LEER,  #N/A,  'i3'!$AN41  )</f>
        <v>13798.77</v>
      </c>
      <c r="AS41" s="24">
        <f xml:space="preserve">    IF( 'i1'!$AO41=LEER,  #N/A,  'i1'!$AO41  )</f>
        <v>12880.19</v>
      </c>
      <c r="AT41" s="24">
        <f xml:space="preserve">    IF( 'i2'!$AO41=LEER,  #N/A,  'i2'!$AO41  )</f>
        <v>12880.19</v>
      </c>
      <c r="AU41" s="24">
        <f xml:space="preserve">    IF( 'i3'!$AO41=LEER,  #N/A,  'i3'!$AO41  )</f>
        <v>12880.19</v>
      </c>
      <c r="AW41" s="28">
        <f t="shared" si="38"/>
        <v>6.6410999999999998</v>
      </c>
      <c r="AX41" s="28">
        <f t="shared" si="29"/>
        <v>6.6410999999999998</v>
      </c>
      <c r="AY41" s="28">
        <f t="shared" si="30"/>
        <v>6.6410999999999998</v>
      </c>
      <c r="BA41" s="28">
        <f t="shared" si="31"/>
        <v>6.1989999999999998</v>
      </c>
      <c r="BB41" s="28">
        <f t="shared" si="32"/>
        <v>6.1989999999999998</v>
      </c>
      <c r="BC41" s="28">
        <f t="shared" si="33"/>
        <v>6.1989999999999998</v>
      </c>
      <c r="BG41" s="24">
        <f xml:space="preserve">    IF( 'i1'!BT41=LEER,  #N/A,  'i1'!BT41  )</f>
        <v>1774.64</v>
      </c>
      <c r="BH41" s="24">
        <f xml:space="preserve">    IF( 'i1'!BR41=LEER,  #N/A,  'i1'!BR41  )</f>
        <v>11255.64</v>
      </c>
      <c r="BI41" s="111">
        <f t="shared" si="34"/>
        <v>13030.279999999999</v>
      </c>
      <c r="BJ41" s="24">
        <f xml:space="preserve">    IF( 'i1'!BX41=LEER,  #N/A,  'i1'!BX41  )</f>
        <v>768.4900000000016</v>
      </c>
      <c r="BL41" s="24">
        <f xml:space="preserve">    IF( 'i1'!CB41=LEER,  #N/A,  'i1'!CB41  )</f>
        <v>1789.19</v>
      </c>
      <c r="BM41" s="24">
        <f xml:space="preserve">    IF( 'i1'!CC41=LEER,  #N/A,  'i1'!CC41  )</f>
        <v>344.97</v>
      </c>
      <c r="BN41" s="24">
        <f xml:space="preserve">    IF( 'i1'!CD41=LEER,  #N/A,  'i1'!CD41  )</f>
        <v>496.16</v>
      </c>
      <c r="BO41" s="24">
        <f xml:space="preserve">    IF( 'i1'!CE41=LEER,  #N/A,  'i1'!CE41  )</f>
        <v>2630.3199999999997</v>
      </c>
      <c r="BQ41" s="24">
        <f xml:space="preserve">    IF( 'i1'!CI41=LEER,  #N/A,  'i1'!CI41  )</f>
        <v>2106.88</v>
      </c>
      <c r="BR41" s="24">
        <f xml:space="preserve">    IF( 'i1'!CJ41=LEER,  #N/A,  'i1'!CJ41  )</f>
        <v>2229.73</v>
      </c>
      <c r="BS41" s="24">
        <f xml:space="preserve">    IF( 'i1'!CK41=LEER,  #N/A,  'i1'!CK41  )</f>
        <v>-484.06</v>
      </c>
      <c r="BT41" s="38">
        <f xml:space="preserve">    IF( 'i1'!CH41=LEER,  #N/A,  'i1'!CH41  )</f>
        <v>3852.4304390000002</v>
      </c>
      <c r="BV41" s="24">
        <f xml:space="preserve">    IF( 'i1'!CO41=LEER,  #N/A,  'i1'!CO41  )</f>
        <v>2106.88</v>
      </c>
      <c r="BW41" s="24">
        <f xml:space="preserve">    IF( 'i1'!CP41=LEER,  #N/A,  'i1'!CP41  )</f>
        <v>2248.6799999999998</v>
      </c>
      <c r="BX41" s="24">
        <f xml:space="preserve">    IF( 'i1'!CQ41=LEER,  #N/A,  'i1'!CQ41  )</f>
        <v>-456.89</v>
      </c>
      <c r="BY41" s="38">
        <f xml:space="preserve">    IF( 'i1'!CN41=LEER,  #N/A,  'i1'!CN41  )</f>
        <v>3898.5573770000001</v>
      </c>
      <c r="CD41" s="113">
        <f xml:space="preserve"> IF(  AND( $A41&lt;&gt;$CD$14, OR( 'i1'!EO41=LEER, 'i1'!EM41&lt;&gt;LEER ) ), #N/A, 'i1'!EO41 )</f>
        <v>12880.19</v>
      </c>
      <c r="CE41" s="113" t="e">
        <f xml:space="preserve"> IF(   'i1'!EM41=LEER, #N/A,  'i1'!EM41 )</f>
        <v>#N/A</v>
      </c>
      <c r="CF41" s="114" t="e">
        <f xml:space="preserve"> IF(   'i1'!EL41=LEER, #N/A, 'i1'!EL41 + 'i1'!EM41 )</f>
        <v>#N/A</v>
      </c>
      <c r="CW41" s="104">
        <f xml:space="preserve"> 'i1'!FN41</f>
        <v>41</v>
      </c>
      <c r="CX41" s="106">
        <f xml:space="preserve"> IF(  INDEX( 'i1'!$FS41:$JO41, CX$13 ) = LEER,  #N/A,  INDEX( 'i1'!$FS41:$JO41, CX$13 )  )</f>
        <v>40847.26</v>
      </c>
      <c r="CY41" s="106">
        <f xml:space="preserve"> IF(  INDEX( 'i1'!$FS41:$JO41, CY$13 ) = LEER,  #N/A,  INDEX( 'i1'!$FS41:$JO41, CY$13 )  )</f>
        <v>32286.25</v>
      </c>
      <c r="CZ41" s="106">
        <f xml:space="preserve"> IF(  INDEX( 'i1'!$FS41:$JO41, CZ$13 ) = LEER,  #N/A,  INDEX( 'i1'!$FS41:$JO41, CZ$13 )  )</f>
        <v>23034.240000000002</v>
      </c>
      <c r="DA41" s="106">
        <f xml:space="preserve"> IF(  INDEX( 'i1'!$FS41:$JO41, DA$13 ) = LEER,  #N/A,  INDEX( 'i1'!$FS41:$JO41, DA$13 )  )</f>
        <v>12880.19</v>
      </c>
      <c r="DB41" s="106">
        <f xml:space="preserve"> IF(  INDEX( 'i1'!$FS41:$JO41, DB$13 ) = LEER,  #N/A,  INDEX( 'i1'!$FS41:$JO41, DB$13 )  )</f>
        <v>1513.79</v>
      </c>
      <c r="DC41" s="106" t="e">
        <f xml:space="preserve"> IF(  INDEX( 'i1'!$FS41:$JO41, DC$13 ) = LEER,  #N/A,  INDEX( 'i1'!$FS41:$JO41, DC$13 )  )</f>
        <v>#N/A</v>
      </c>
      <c r="DD41" s="106" t="e">
        <f xml:space="preserve"> IF(  INDEX( 'i1'!$FS41:$JO41, DD$13 ) = LEER,  #N/A,  INDEX( 'i1'!$FS41:$JO41, DD$13 )  )</f>
        <v>#N/A</v>
      </c>
      <c r="DE41" s="106" t="e">
        <f xml:space="preserve"> IF(  INDEX( 'i1'!$FS41:$JO41, DE$13 ) = LEER,  #N/A,  INDEX( 'i1'!$FS41:$JO41, DE$13 )  )</f>
        <v>#N/A</v>
      </c>
      <c r="DF41" s="106" t="e">
        <f xml:space="preserve"> IF(  INDEX( 'i1'!$FS41:$JO41, DF$13 ) = LEER,  #N/A,  INDEX( 'i1'!$FS41:$JO41, DF$13 )  )</f>
        <v>#N/A</v>
      </c>
      <c r="DG41" s="106" t="e">
        <f xml:space="preserve"> IF(  INDEX( 'i1'!$FS41:$JO41, DG$13 ) = LEER,  #N/A,  INDEX( 'i1'!$FS41:$JO41, DG$13 )  )</f>
        <v>#N/A</v>
      </c>
      <c r="DH41" s="106" t="e">
        <f xml:space="preserve"> IF(  INDEX( 'i1'!$FS41:$JO41, DH$13 ) = LEER,  #N/A,  INDEX( 'i1'!$FS41:$JO41, DH$13 )  )</f>
        <v>#N/A</v>
      </c>
      <c r="DI41" s="106" t="e">
        <f xml:space="preserve"> IF(  INDEX( 'i1'!$FS41:$JO41, DI$13 ) = LEER,  #N/A,  INDEX( 'i1'!$FS41:$JO41, DI$13 )  )</f>
        <v>#N/A</v>
      </c>
      <c r="DJ41" s="106" t="e">
        <f xml:space="preserve"> IF(  INDEX( 'i1'!$FS41:$JO41, DJ$13 ) = LEER,  #N/A,  INDEX( 'i1'!$FS41:$JO41, DJ$13 )  )</f>
        <v>#N/A</v>
      </c>
      <c r="DK41" s="106" t="e">
        <f xml:space="preserve"> IF(  INDEX( 'i1'!$FS41:$JO41, DK$13 ) = LEER,  #N/A,  INDEX( 'i1'!$FS41:$JO41, DK$13 )  )</f>
        <v>#N/A</v>
      </c>
      <c r="DL41" s="106" t="e">
        <f xml:space="preserve"> IF(  INDEX( 'i1'!$FS41:$JO41, DL$13 ) = LEER,  #N/A,  INDEX( 'i1'!$FS41:$JO41, DL$13 )  )</f>
        <v>#N/A</v>
      </c>
      <c r="DM41" s="106" t="e">
        <f xml:space="preserve"> IF(  INDEX( 'i1'!$FS41:$JO41, DM$13 ) = LEER,  #N/A,  INDEX( 'i1'!$FS41:$JO41, DM$13 )  )</f>
        <v>#N/A</v>
      </c>
      <c r="DN41" s="106" t="e">
        <f xml:space="preserve"> IF(  INDEX( 'i1'!$FS41:$JO41, DN$13 ) = LEER,  #N/A,  INDEX( 'i1'!$FS41:$JO41, DN$13 )  )</f>
        <v>#N/A</v>
      </c>
    </row>
    <row r="42" spans="1:118" x14ac:dyDescent="0.2">
      <c r="A42" s="15">
        <f xml:space="preserve"> Basis!A42</f>
        <v>42</v>
      </c>
      <c r="C42" s="24" t="b">
        <f xml:space="preserve"> 'i1'!$O42</f>
        <v>1</v>
      </c>
      <c r="D42" s="24" t="b">
        <f xml:space="preserve"> 'i2'!$O42</f>
        <v>1</v>
      </c>
      <c r="E42" s="24" t="b">
        <f xml:space="preserve"> 'i3'!$O42</f>
        <v>1</v>
      </c>
      <c r="G42" s="27">
        <f xml:space="preserve"> IF( $C43,   IF( 'i1'!$P42=LEER,  #N/A,  'i1'!$P42  ),   #N/A  )</f>
        <v>2.8500000000000001E-2</v>
      </c>
      <c r="H42" s="27">
        <f xml:space="preserve"> IF( $D43,   IF( 'i2'!$P42=LEER,  #N/A,  'i2'!$P42  ),   #N/A  )</f>
        <v>2.8500000000000001E-2</v>
      </c>
      <c r="I42" s="27">
        <f xml:space="preserve"> IF( $E43,   IF( 'i3'!$P42=LEER,  #N/A,  'i3'!$P42  ),   #N/A  )</f>
        <v>2.8500000000000001E-2</v>
      </c>
      <c r="J42" s="158"/>
      <c r="K42" s="27">
        <f xml:space="preserve"> IF( $C43,   IF( 'i1'!$G42=LEER,  #N/A,  'i1'!$G42  ),   #N/A  )</f>
        <v>2.8000000000000001E-2</v>
      </c>
      <c r="L42" s="27">
        <f xml:space="preserve"> IF( $D43,   IF( 'i2'!$G42=LEER,  #N/A,  'i2'!$G42  ),   #N/A  )</f>
        <v>2.8000000000000001E-2</v>
      </c>
      <c r="M42" s="27">
        <f xml:space="preserve"> IF( $E43,   IF( 'i3'!$G42=LEER,  #N/A,  'i3'!$G42  ),   #N/A  )</f>
        <v>2.8000000000000001E-2</v>
      </c>
      <c r="N42" s="158"/>
      <c r="O42" s="158"/>
      <c r="Q42" s="28">
        <f t="shared" si="35"/>
        <v>31.266968366881283</v>
      </c>
      <c r="R42" s="28">
        <f t="shared" si="36"/>
        <v>31.266968366881283</v>
      </c>
      <c r="S42" s="28">
        <f t="shared" si="37"/>
        <v>31.266968366881283</v>
      </c>
      <c r="U42" s="76">
        <f xml:space="preserve"> IF( $C41,   SUM('i1'!$R42),   #N/A  )</f>
        <v>824352</v>
      </c>
      <c r="V42" s="76">
        <f xml:space="preserve"> IF( $C41,   SUM('i2'!$R42),   #N/A  )</f>
        <v>824352</v>
      </c>
      <c r="W42" s="76">
        <f xml:space="preserve"> IF( $C41,   SUM('i3'!$R42),   #N/A  )</f>
        <v>824352</v>
      </c>
      <c r="Y42" s="33"/>
      <c r="Z42" s="22">
        <f xml:space="preserve"> IF( $C42,   IF( 'i1'!$J42=LEER,  #N/A,  'i1'!$J42  ),   #N/A  )</f>
        <v>1.0309999999999999</v>
      </c>
      <c r="AA42" s="22">
        <f xml:space="preserve"> IF( $D42,   IF( 'i2'!$J42=LEER,  #N/A,  'i2'!$J42  ),   #N/A  )</f>
        <v>1.0309999999999999</v>
      </c>
      <c r="AB42" s="22">
        <f xml:space="preserve"> IF( $E42,   IF( 'i3'!$J42=LEER,  #N/A,  'i3'!$J42  ),   #N/A  )</f>
        <v>1.0309999999999999</v>
      </c>
      <c r="AC42" s="75"/>
      <c r="AD42" s="26">
        <f t="shared" si="25"/>
        <v>2142.2014899999999</v>
      </c>
      <c r="AE42" s="26">
        <f t="shared" si="26"/>
        <v>2142.2014899999999</v>
      </c>
      <c r="AF42" s="26">
        <f t="shared" si="27"/>
        <v>2142.2014899999999</v>
      </c>
      <c r="AG42" s="23"/>
      <c r="AH42" s="24">
        <f xml:space="preserve">    IF(  'i1'!$AK42=LEER,  #N/A,  ROUND( 'i1'!$AK42, AH$15 )  )</f>
        <v>503.88</v>
      </c>
      <c r="AI42" s="24">
        <f xml:space="preserve">    IF(  'i2'!$AK42=LEER,  #N/A,  ROUND( 'i2'!$AK42, AI$15 )  )</f>
        <v>503.88</v>
      </c>
      <c r="AJ42" s="24">
        <f xml:space="preserve">    IF(  'i3'!$AK42=LEER,  #N/A,  ROUND( 'i3'!$AK42, AJ$15 )  )</f>
        <v>503.88</v>
      </c>
      <c r="AL42" s="102">
        <f t="shared" si="28"/>
        <v>503.88</v>
      </c>
      <c r="AO42" s="24">
        <f xml:space="preserve">    IF( 'i1'!$AN42=LEER,  #N/A,  'i1'!$AN42  )</f>
        <v>16429.21</v>
      </c>
      <c r="AP42" s="24">
        <f xml:space="preserve">    IF( 'i2'!$AN42=LEER,  #N/A,  'i2'!$AN42  )</f>
        <v>16429.21</v>
      </c>
      <c r="AQ42" s="24">
        <f xml:space="preserve">    IF( 'i3'!$AN42=LEER,  #N/A,  'i3'!$AN42  )</f>
        <v>16429.21</v>
      </c>
      <c r="AS42" s="24">
        <f xml:space="preserve">    IF( 'i1'!$AO42=LEER,  #N/A,  'i1'!$AO42  )</f>
        <v>15507.09</v>
      </c>
      <c r="AT42" s="24">
        <f xml:space="preserve">    IF( 'i2'!$AO42=LEER,  #N/A,  'i2'!$AO42  )</f>
        <v>15507.09</v>
      </c>
      <c r="AU42" s="24">
        <f xml:space="preserve">    IF( 'i3'!$AO42=LEER,  #N/A,  'i3'!$AO42  )</f>
        <v>15507.09</v>
      </c>
      <c r="AW42" s="28">
        <f t="shared" si="38"/>
        <v>7.9070999999999998</v>
      </c>
      <c r="AX42" s="28">
        <f t="shared" si="29"/>
        <v>7.9070999999999998</v>
      </c>
      <c r="AY42" s="28">
        <f t="shared" si="30"/>
        <v>7.9070999999999998</v>
      </c>
      <c r="BA42" s="28">
        <f t="shared" si="31"/>
        <v>7.4633000000000003</v>
      </c>
      <c r="BB42" s="28">
        <f t="shared" si="32"/>
        <v>7.4633000000000003</v>
      </c>
      <c r="BC42" s="28">
        <f t="shared" si="33"/>
        <v>7.4633000000000003</v>
      </c>
      <c r="BG42" s="24">
        <f xml:space="preserve">    IF( 'i1'!BT42=LEER,  #N/A,  'i1'!BT42  )</f>
        <v>1745.81</v>
      </c>
      <c r="BH42" s="24">
        <f xml:space="preserve">    IF( 'i1'!BR42=LEER,  #N/A,  'i1'!BR42  )</f>
        <v>13798.77</v>
      </c>
      <c r="BI42" s="111">
        <f t="shared" si="34"/>
        <v>15544.58</v>
      </c>
      <c r="BJ42" s="24">
        <f xml:space="preserve">    IF( 'i1'!BX42=LEER,  #N/A,  'i1'!BX42  )</f>
        <v>884.6299999999992</v>
      </c>
      <c r="BL42" s="24">
        <f xml:space="preserve">    IF( 'i1'!CB42=LEER,  #N/A,  'i1'!CB42  )</f>
        <v>1752.98</v>
      </c>
      <c r="BM42" s="24">
        <f xml:space="preserve">    IF( 'i1'!CC42=LEER,  #N/A,  'i1'!CC42  )</f>
        <v>410.73</v>
      </c>
      <c r="BN42" s="24">
        <f xml:space="preserve">    IF( 'i1'!CD42=LEER,  #N/A,  'i1'!CD42  )</f>
        <v>545.44000000000005</v>
      </c>
      <c r="BO42" s="24">
        <f xml:space="preserve">    IF( 'i1'!CE42=LEER,  #N/A,  'i1'!CE42  )</f>
        <v>2709.15</v>
      </c>
      <c r="BQ42" s="24">
        <f xml:space="preserve">    IF( 'i1'!CI42=LEER,  #N/A,  'i1'!CI42  )</f>
        <v>2142.1999999999998</v>
      </c>
      <c r="BR42" s="24">
        <f xml:space="preserve">    IF( 'i1'!CJ42=LEER,  #N/A,  'i1'!CJ42  )</f>
        <v>2242.4</v>
      </c>
      <c r="BS42" s="24">
        <f xml:space="preserve">    IF( 'i1'!CK42=LEER,  #N/A,  'i1'!CK42  )</f>
        <v>-532.14</v>
      </c>
      <c r="BT42" s="38">
        <f xml:space="preserve">    IF( 'i1'!CH42=LEER,  #N/A,  'i1'!CH42  )</f>
        <v>3852.4304390000002</v>
      </c>
      <c r="BV42" s="24">
        <f xml:space="preserve">    IF( 'i1'!CO42=LEER,  #N/A,  'i1'!CO42  )</f>
        <v>2142.1999999999998</v>
      </c>
      <c r="BW42" s="24">
        <f xml:space="preserve">    IF( 'i1'!CP42=LEER,  #N/A,  'i1'!CP42  )</f>
        <v>2262.83</v>
      </c>
      <c r="BX42" s="24">
        <f xml:space="preserve">    IF( 'i1'!CQ42=LEER,  #N/A,  'i1'!CQ42  )</f>
        <v>-506.44</v>
      </c>
      <c r="BY42" s="38">
        <f xml:space="preserve">    IF( 'i1'!CN42=LEER,  #N/A,  'i1'!CN42  )</f>
        <v>3898.5573770000001</v>
      </c>
      <c r="CD42" s="113">
        <f xml:space="preserve"> IF(  AND( $A42&lt;&gt;$CD$14, OR( 'i1'!EO42=LEER, 'i1'!EM42&lt;&gt;LEER ) ), #N/A, 'i1'!EO42 )</f>
        <v>15507.09</v>
      </c>
      <c r="CE42" s="113" t="e">
        <f xml:space="preserve"> IF(   'i1'!EM42=LEER, #N/A,  'i1'!EM42 )</f>
        <v>#N/A</v>
      </c>
      <c r="CF42" s="114" t="e">
        <f xml:space="preserve"> IF(   'i1'!EL42=LEER, #N/A, 'i1'!EL42 + 'i1'!EM42 )</f>
        <v>#N/A</v>
      </c>
      <c r="CW42" s="104">
        <f xml:space="preserve"> 'i1'!FN42</f>
        <v>42</v>
      </c>
      <c r="CX42" s="106">
        <f xml:space="preserve"> IF(  INDEX( 'i1'!$FS42:$JO42, CX$13 ) = LEER,  #N/A,  INDEX( 'i1'!$FS42:$JO42, CX$13 )  )</f>
        <v>43581.74</v>
      </c>
      <c r="CY42" s="106">
        <f xml:space="preserve"> IF(  INDEX( 'i1'!$FS42:$JO42, CY$13 ) = LEER,  #N/A,  INDEX( 'i1'!$FS42:$JO42, CY$13 )  )</f>
        <v>34987.800000000003</v>
      </c>
      <c r="CZ42" s="106">
        <f xml:space="preserve"> IF(  INDEX( 'i1'!$FS42:$JO42, CZ$13 ) = LEER,  #N/A,  INDEX( 'i1'!$FS42:$JO42, CZ$13 )  )</f>
        <v>25700.19</v>
      </c>
      <c r="DA42" s="106">
        <f xml:space="preserve"> IF(  INDEX( 'i1'!$FS42:$JO42, DA$13 ) = LEER,  #N/A,  INDEX( 'i1'!$FS42:$JO42, DA$13 )  )</f>
        <v>15507.09</v>
      </c>
      <c r="DB42" s="106">
        <f xml:space="preserve"> IF(  INDEX( 'i1'!$FS42:$JO42, DB$13 ) = LEER,  #N/A,  INDEX( 'i1'!$FS42:$JO42, DB$13 )  )</f>
        <v>4096.96</v>
      </c>
      <c r="DC42" s="106" t="e">
        <f xml:space="preserve"> IF(  INDEX( 'i1'!$FS42:$JO42, DC$13 ) = LEER,  #N/A,  INDEX( 'i1'!$FS42:$JO42, DC$13 )  )</f>
        <v>#N/A</v>
      </c>
      <c r="DD42" s="106" t="e">
        <f xml:space="preserve"> IF(  INDEX( 'i1'!$FS42:$JO42, DD$13 ) = LEER,  #N/A,  INDEX( 'i1'!$FS42:$JO42, DD$13 )  )</f>
        <v>#N/A</v>
      </c>
      <c r="DE42" s="106" t="e">
        <f xml:space="preserve"> IF(  INDEX( 'i1'!$FS42:$JO42, DE$13 ) = LEER,  #N/A,  INDEX( 'i1'!$FS42:$JO42, DE$13 )  )</f>
        <v>#N/A</v>
      </c>
      <c r="DF42" s="106" t="e">
        <f xml:space="preserve"> IF(  INDEX( 'i1'!$FS42:$JO42, DF$13 ) = LEER,  #N/A,  INDEX( 'i1'!$FS42:$JO42, DF$13 )  )</f>
        <v>#N/A</v>
      </c>
      <c r="DG42" s="106" t="e">
        <f xml:space="preserve"> IF(  INDEX( 'i1'!$FS42:$JO42, DG$13 ) = LEER,  #N/A,  INDEX( 'i1'!$FS42:$JO42, DG$13 )  )</f>
        <v>#N/A</v>
      </c>
      <c r="DH42" s="106" t="e">
        <f xml:space="preserve"> IF(  INDEX( 'i1'!$FS42:$JO42, DH$13 ) = LEER,  #N/A,  INDEX( 'i1'!$FS42:$JO42, DH$13 )  )</f>
        <v>#N/A</v>
      </c>
      <c r="DI42" s="106" t="e">
        <f xml:space="preserve"> IF(  INDEX( 'i1'!$FS42:$JO42, DI$13 ) = LEER,  #N/A,  INDEX( 'i1'!$FS42:$JO42, DI$13 )  )</f>
        <v>#N/A</v>
      </c>
      <c r="DJ42" s="106" t="e">
        <f xml:space="preserve"> IF(  INDEX( 'i1'!$FS42:$JO42, DJ$13 ) = LEER,  #N/A,  INDEX( 'i1'!$FS42:$JO42, DJ$13 )  )</f>
        <v>#N/A</v>
      </c>
      <c r="DK42" s="106" t="e">
        <f xml:space="preserve"> IF(  INDEX( 'i1'!$FS42:$JO42, DK$13 ) = LEER,  #N/A,  INDEX( 'i1'!$FS42:$JO42, DK$13 )  )</f>
        <v>#N/A</v>
      </c>
      <c r="DL42" s="106" t="e">
        <f xml:space="preserve"> IF(  INDEX( 'i1'!$FS42:$JO42, DL$13 ) = LEER,  #N/A,  INDEX( 'i1'!$FS42:$JO42, DL$13 )  )</f>
        <v>#N/A</v>
      </c>
      <c r="DM42" s="106" t="e">
        <f xml:space="preserve"> IF(  INDEX( 'i1'!$FS42:$JO42, DM$13 ) = LEER,  #N/A,  INDEX( 'i1'!$FS42:$JO42, DM$13 )  )</f>
        <v>#N/A</v>
      </c>
      <c r="DN42" s="106" t="e">
        <f xml:space="preserve"> IF(  INDEX( 'i1'!$FS42:$JO42, DN$13 ) = LEER,  #N/A,  INDEX( 'i1'!$FS42:$JO42, DN$13 )  )</f>
        <v>#N/A</v>
      </c>
    </row>
    <row r="43" spans="1:118" x14ac:dyDescent="0.2">
      <c r="A43" s="15">
        <f xml:space="preserve"> Basis!A43</f>
        <v>43</v>
      </c>
      <c r="C43" s="24" t="b">
        <f xml:space="preserve"> 'i1'!$O43</f>
        <v>1</v>
      </c>
      <c r="D43" s="24" t="b">
        <f xml:space="preserve"> 'i2'!$O43</f>
        <v>1</v>
      </c>
      <c r="E43" s="24" t="b">
        <f xml:space="preserve"> 'i3'!$O43</f>
        <v>1</v>
      </c>
      <c r="G43" s="27">
        <f xml:space="preserve"> IF( $C44,   IF( 'i1'!$P43=LEER,  #N/A,  'i1'!$P43  ),   #N/A  )</f>
        <v>2.7300000000000001E-2</v>
      </c>
      <c r="H43" s="27">
        <f xml:space="preserve"> IF( $D44,   IF( 'i2'!$P43=LEER,  #N/A,  'i2'!$P43  ),   #N/A  )</f>
        <v>2.7300000000000001E-2</v>
      </c>
      <c r="I43" s="27">
        <f xml:space="preserve"> IF( $E44,   IF( 'i3'!$P43=LEER,  #N/A,  'i3'!$P43  ),   #N/A  )</f>
        <v>2.7300000000000001E-2</v>
      </c>
      <c r="J43" s="158"/>
      <c r="K43" s="27">
        <f xml:space="preserve"> IF( $C44,   IF( 'i1'!$G43=LEER,  #N/A,  'i1'!$G43  ),   #N/A  )</f>
        <v>2.6700000000000002E-2</v>
      </c>
      <c r="L43" s="27">
        <f xml:space="preserve"> IF( $D44,   IF( 'i2'!$G43=LEER,  #N/A,  'i2'!$G43  ),   #N/A  )</f>
        <v>2.6700000000000002E-2</v>
      </c>
      <c r="M43" s="27">
        <f xml:space="preserve"> IF( $E44,   IF( 'i3'!$G43=LEER,  #N/A,  'i3'!$G43  ),   #N/A  )</f>
        <v>2.6700000000000002E-2</v>
      </c>
      <c r="N43" s="158"/>
      <c r="O43" s="158"/>
      <c r="Q43" s="28">
        <f t="shared" si="35"/>
        <v>31.169550557777956</v>
      </c>
      <c r="R43" s="28">
        <f t="shared" si="36"/>
        <v>31.169550557777956</v>
      </c>
      <c r="S43" s="28">
        <f t="shared" si="37"/>
        <v>31.169550557777956</v>
      </c>
      <c r="U43" s="76">
        <f xml:space="preserve"> IF( $C42,   SUM('i1'!$R43),   #N/A  )</f>
        <v>800857</v>
      </c>
      <c r="V43" s="76">
        <f xml:space="preserve"> IF( $C42,   SUM('i2'!$R43),   #N/A  )</f>
        <v>800857</v>
      </c>
      <c r="W43" s="76">
        <f xml:space="preserve"> IF( $C42,   SUM('i3'!$R43),   #N/A  )</f>
        <v>800857</v>
      </c>
      <c r="Y43" s="33"/>
      <c r="Z43" s="22">
        <f xml:space="preserve"> IF( $C43,   IF( 'i1'!$J43=LEER,  #N/A,  'i1'!$J43  ),   #N/A  )</f>
        <v>1.0449999999999999</v>
      </c>
      <c r="AA43" s="22">
        <f xml:space="preserve"> IF( $D43,   IF( 'i2'!$J43=LEER,  #N/A,  'i2'!$J43  ),   #N/A  )</f>
        <v>1.0449999999999999</v>
      </c>
      <c r="AB43" s="22">
        <f xml:space="preserve"> IF( $E43,   IF( 'i3'!$J43=LEER,  #N/A,  'i3'!$J43  ),   #N/A  )</f>
        <v>1.0449999999999999</v>
      </c>
      <c r="AC43" s="75"/>
      <c r="AD43" s="26">
        <f t="shared" si="25"/>
        <v>2171.2905499999997</v>
      </c>
      <c r="AE43" s="26">
        <f t="shared" si="26"/>
        <v>2171.2905499999997</v>
      </c>
      <c r="AF43" s="26">
        <f t="shared" si="27"/>
        <v>2171.2905499999997</v>
      </c>
      <c r="AG43" s="23"/>
      <c r="AH43" s="24">
        <f xml:space="preserve">    IF(  'i1'!$AK43=LEER,  #N/A,  ROUND( 'i1'!$AK43, AH$15 )  )</f>
        <v>516.16</v>
      </c>
      <c r="AI43" s="24">
        <f xml:space="preserve">    IF(  'i2'!$AK43=LEER,  #N/A,  ROUND( 'i2'!$AK43, AI$15 )  )</f>
        <v>516.16</v>
      </c>
      <c r="AJ43" s="24">
        <f xml:space="preserve">    IF(  'i3'!$AK43=LEER,  #N/A,  ROUND( 'i3'!$AK43, AJ$15 )  )</f>
        <v>516.16</v>
      </c>
      <c r="AL43" s="102">
        <f t="shared" si="28"/>
        <v>516.16</v>
      </c>
      <c r="AO43" s="24">
        <f xml:space="preserve">    IF( 'i1'!$AN43=LEER,  #N/A,  'i1'!$AN43  )</f>
        <v>19138.400000000001</v>
      </c>
      <c r="AP43" s="24">
        <f xml:space="preserve">    IF( 'i2'!$AN43=LEER,  #N/A,  'i2'!$AN43  )</f>
        <v>19138.400000000001</v>
      </c>
      <c r="AQ43" s="24">
        <f xml:space="preserve">    IF( 'i3'!$AN43=LEER,  #N/A,  'i3'!$AN43  )</f>
        <v>19138.400000000001</v>
      </c>
      <c r="AS43" s="24">
        <f xml:space="preserve">    IF( 'i1'!$AO43=LEER,  #N/A,  'i1'!$AO43  )</f>
        <v>18214.169999999998</v>
      </c>
      <c r="AT43" s="24">
        <f xml:space="preserve">    IF( 'i2'!$AO43=LEER,  #N/A,  'i2'!$AO43  )</f>
        <v>18214.169999999998</v>
      </c>
      <c r="AU43" s="24">
        <f xml:space="preserve">    IF( 'i3'!$AO43=LEER,  #N/A,  'i3'!$AO43  )</f>
        <v>18214.169999999998</v>
      </c>
      <c r="AW43" s="28">
        <f t="shared" si="38"/>
        <v>9.2109000000000005</v>
      </c>
      <c r="AX43" s="28">
        <f t="shared" si="29"/>
        <v>9.2109000000000005</v>
      </c>
      <c r="AY43" s="28">
        <f t="shared" si="30"/>
        <v>9.2109000000000005</v>
      </c>
      <c r="BA43" s="28">
        <f t="shared" si="31"/>
        <v>8.7660999999999998</v>
      </c>
      <c r="BB43" s="28">
        <f t="shared" si="32"/>
        <v>8.7660999999999998</v>
      </c>
      <c r="BC43" s="28">
        <f t="shared" si="33"/>
        <v>8.7660999999999998</v>
      </c>
      <c r="BG43" s="24">
        <f xml:space="preserve">    IF( 'i1'!BT43=LEER,  #N/A,  'i1'!BT43  )</f>
        <v>1711.06</v>
      </c>
      <c r="BH43" s="24">
        <f xml:space="preserve">    IF( 'i1'!BR43=LEER,  #N/A,  'i1'!BR43  )</f>
        <v>16429.21</v>
      </c>
      <c r="BI43" s="111">
        <f t="shared" si="34"/>
        <v>18140.27</v>
      </c>
      <c r="BJ43" s="24">
        <f xml:space="preserve">    IF( 'i1'!BX43=LEER,  #N/A,  'i1'!BX43  )</f>
        <v>998.13000000000102</v>
      </c>
      <c r="BL43" s="24">
        <f xml:space="preserve">    IF( 'i1'!CB43=LEER,  #N/A,  'i1'!CB43  )</f>
        <v>1723.17</v>
      </c>
      <c r="BM43" s="24">
        <f xml:space="preserve">    IF( 'i1'!CC43=LEER,  #N/A,  'i1'!CC43  )</f>
        <v>478.46</v>
      </c>
      <c r="BN43" s="24">
        <f xml:space="preserve">    IF( 'i1'!CD43=LEER,  #N/A,  'i1'!CD43  )</f>
        <v>598.92999999999995</v>
      </c>
      <c r="BO43" s="24">
        <f xml:space="preserve">    IF( 'i1'!CE43=LEER,  #N/A,  'i1'!CE43  )</f>
        <v>2800.56</v>
      </c>
      <c r="BQ43" s="24">
        <f xml:space="preserve">    IF( 'i1'!CI43=LEER,  #N/A,  'i1'!CI43  )</f>
        <v>2171.29</v>
      </c>
      <c r="BR43" s="24">
        <f xml:space="preserve">    IF( 'i1'!CJ43=LEER,  #N/A,  'i1'!CJ43  )</f>
        <v>2265.4299999999998</v>
      </c>
      <c r="BS43" s="24">
        <f xml:space="preserve">    IF( 'i1'!CK43=LEER,  #N/A,  'i1'!CK43  )</f>
        <v>-584.32000000000005</v>
      </c>
      <c r="BT43" s="38">
        <f xml:space="preserve">    IF( 'i1'!CH43=LEER,  #N/A,  'i1'!CH43  )</f>
        <v>3852.4304390000002</v>
      </c>
      <c r="BV43" s="24">
        <f xml:space="preserve">    IF( 'i1'!CO43=LEER,  #N/A,  'i1'!CO43  )</f>
        <v>2171.29</v>
      </c>
      <c r="BW43" s="24">
        <f xml:space="preserve">    IF( 'i1'!CP43=LEER,  #N/A,  'i1'!CP43  )</f>
        <v>2286.92</v>
      </c>
      <c r="BX43" s="24">
        <f xml:space="preserve">    IF( 'i1'!CQ43=LEER,  #N/A,  'i1'!CQ43  )</f>
        <v>-559.67999999999995</v>
      </c>
      <c r="BY43" s="38">
        <f xml:space="preserve">    IF( 'i1'!CN43=LEER,  #N/A,  'i1'!CN43  )</f>
        <v>3898.5573770000001</v>
      </c>
      <c r="CD43" s="113">
        <f xml:space="preserve"> IF(  AND( $A43&lt;&gt;$CD$14, OR( 'i1'!EO43=LEER, 'i1'!EM43&lt;&gt;LEER ) ), #N/A, 'i1'!EO43 )</f>
        <v>18214.169999999998</v>
      </c>
      <c r="CE43" s="113" t="e">
        <f xml:space="preserve"> IF(   'i1'!EM43=LEER, #N/A,  'i1'!EM43 )</f>
        <v>#N/A</v>
      </c>
      <c r="CF43" s="114" t="e">
        <f xml:space="preserve"> IF(   'i1'!EL43=LEER, #N/A, 'i1'!EL43 + 'i1'!EM43 )</f>
        <v>#N/A</v>
      </c>
      <c r="CW43" s="104">
        <f xml:space="preserve"> 'i1'!FN43</f>
        <v>43</v>
      </c>
      <c r="CX43" s="106">
        <f xml:space="preserve"> IF(  INDEX( 'i1'!$FS43:$JO43, CX$13 ) = LEER,  #N/A,  INDEX( 'i1'!$FS43:$JO43, CX$13 )  )</f>
        <v>46353.14</v>
      </c>
      <c r="CY43" s="106">
        <f xml:space="preserve"> IF(  INDEX( 'i1'!$FS43:$JO43, CY$13 ) = LEER,  #N/A,  INDEX( 'i1'!$FS43:$JO43, CY$13 )  )</f>
        <v>37739.51</v>
      </c>
      <c r="CZ43" s="106">
        <f xml:space="preserve"> IF(  INDEX( 'i1'!$FS43:$JO43, CZ$13 ) = LEER,  #N/A,  INDEX( 'i1'!$FS43:$JO43, CZ$13 )  )</f>
        <v>28430.63</v>
      </c>
      <c r="DA43" s="106">
        <f xml:space="preserve"> IF(  INDEX( 'i1'!$FS43:$JO43, DA$13 ) = LEER,  #N/A,  INDEX( 'i1'!$FS43:$JO43, DA$13 )  )</f>
        <v>18214.169999999998</v>
      </c>
      <c r="DB43" s="106">
        <f xml:space="preserve"> IF(  INDEX( 'i1'!$FS43:$JO43, DB$13 ) = LEER,  #N/A,  INDEX( 'i1'!$FS43:$JO43, DB$13 )  )</f>
        <v>6777.9</v>
      </c>
      <c r="DC43" s="106" t="e">
        <f xml:space="preserve"> IF(  INDEX( 'i1'!$FS43:$JO43, DC$13 ) = LEER,  #N/A,  INDEX( 'i1'!$FS43:$JO43, DC$13 )  )</f>
        <v>#N/A</v>
      </c>
      <c r="DD43" s="106" t="e">
        <f xml:space="preserve"> IF(  INDEX( 'i1'!$FS43:$JO43, DD$13 ) = LEER,  #N/A,  INDEX( 'i1'!$FS43:$JO43, DD$13 )  )</f>
        <v>#N/A</v>
      </c>
      <c r="DE43" s="106" t="e">
        <f xml:space="preserve"> IF(  INDEX( 'i1'!$FS43:$JO43, DE$13 ) = LEER,  #N/A,  INDEX( 'i1'!$FS43:$JO43, DE$13 )  )</f>
        <v>#N/A</v>
      </c>
      <c r="DF43" s="106" t="e">
        <f xml:space="preserve"> IF(  INDEX( 'i1'!$FS43:$JO43, DF$13 ) = LEER,  #N/A,  INDEX( 'i1'!$FS43:$JO43, DF$13 )  )</f>
        <v>#N/A</v>
      </c>
      <c r="DG43" s="106" t="e">
        <f xml:space="preserve"> IF(  INDEX( 'i1'!$FS43:$JO43, DG$13 ) = LEER,  #N/A,  INDEX( 'i1'!$FS43:$JO43, DG$13 )  )</f>
        <v>#N/A</v>
      </c>
      <c r="DH43" s="106" t="e">
        <f xml:space="preserve"> IF(  INDEX( 'i1'!$FS43:$JO43, DH$13 ) = LEER,  #N/A,  INDEX( 'i1'!$FS43:$JO43, DH$13 )  )</f>
        <v>#N/A</v>
      </c>
      <c r="DI43" s="106" t="e">
        <f xml:space="preserve"> IF(  INDEX( 'i1'!$FS43:$JO43, DI$13 ) = LEER,  #N/A,  INDEX( 'i1'!$FS43:$JO43, DI$13 )  )</f>
        <v>#N/A</v>
      </c>
      <c r="DJ43" s="106" t="e">
        <f xml:space="preserve"> IF(  INDEX( 'i1'!$FS43:$JO43, DJ$13 ) = LEER,  #N/A,  INDEX( 'i1'!$FS43:$JO43, DJ$13 )  )</f>
        <v>#N/A</v>
      </c>
      <c r="DK43" s="106" t="e">
        <f xml:space="preserve"> IF(  INDEX( 'i1'!$FS43:$JO43, DK$13 ) = LEER,  #N/A,  INDEX( 'i1'!$FS43:$JO43, DK$13 )  )</f>
        <v>#N/A</v>
      </c>
      <c r="DL43" s="106" t="e">
        <f xml:space="preserve"> IF(  INDEX( 'i1'!$FS43:$JO43, DL$13 ) = LEER,  #N/A,  INDEX( 'i1'!$FS43:$JO43, DL$13 )  )</f>
        <v>#N/A</v>
      </c>
      <c r="DM43" s="106" t="e">
        <f xml:space="preserve"> IF(  INDEX( 'i1'!$FS43:$JO43, DM$13 ) = LEER,  #N/A,  INDEX( 'i1'!$FS43:$JO43, DM$13 )  )</f>
        <v>#N/A</v>
      </c>
      <c r="DN43" s="106" t="e">
        <f xml:space="preserve"> IF(  INDEX( 'i1'!$FS43:$JO43, DN$13 ) = LEER,  #N/A,  INDEX( 'i1'!$FS43:$JO43, DN$13 )  )</f>
        <v>#N/A</v>
      </c>
    </row>
    <row r="44" spans="1:118" x14ac:dyDescent="0.2">
      <c r="A44" s="15">
        <f xml:space="preserve"> Basis!A44</f>
        <v>44</v>
      </c>
      <c r="C44" s="24" t="b">
        <f xml:space="preserve"> 'i1'!$O44</f>
        <v>1</v>
      </c>
      <c r="D44" s="24" t="b">
        <f xml:space="preserve"> 'i2'!$O44</f>
        <v>1</v>
      </c>
      <c r="E44" s="24" t="b">
        <f xml:space="preserve"> 'i3'!$O44</f>
        <v>1</v>
      </c>
      <c r="G44" s="27">
        <f xml:space="preserve"> IF( $C45,   IF( 'i1'!$P44=LEER,  #N/A,  'i1'!$P44  ),   #N/A  )</f>
        <v>2.6200000000000001E-2</v>
      </c>
      <c r="H44" s="27">
        <f xml:space="preserve"> IF( $D45,   IF( 'i2'!$P44=LEER,  #N/A,  'i2'!$P44  ),   #N/A  )</f>
        <v>2.6200000000000001E-2</v>
      </c>
      <c r="I44" s="27">
        <f xml:space="preserve"> IF( $E45,   IF( 'i3'!$P44=LEER,  #N/A,  'i3'!$P44  ),   #N/A  )</f>
        <v>2.6200000000000001E-2</v>
      </c>
      <c r="J44" s="158"/>
      <c r="K44" s="27">
        <f xml:space="preserve"> IF( $C45,   IF( 'i1'!$G44=LEER,  #N/A,  'i1'!$G44  ),   #N/A  )</f>
        <v>2.5600000000000001E-2</v>
      </c>
      <c r="L44" s="27">
        <f xml:space="preserve"> IF( $D45,   IF( 'i2'!$G44=LEER,  #N/A,  'i2'!$G44  ),   #N/A  )</f>
        <v>2.5600000000000001E-2</v>
      </c>
      <c r="M44" s="27">
        <f xml:space="preserve"> IF( $E45,   IF( 'i3'!$G44=LEER,  #N/A,  'i3'!$G44  ),   #N/A  )</f>
        <v>2.5600000000000001E-2</v>
      </c>
      <c r="N44" s="158"/>
      <c r="O44" s="158"/>
      <c r="Q44" s="28">
        <f t="shared" si="35"/>
        <v>31.030328526552847</v>
      </c>
      <c r="R44" s="28">
        <f t="shared" si="36"/>
        <v>31.030328526552847</v>
      </c>
      <c r="S44" s="28">
        <f t="shared" si="37"/>
        <v>31.030328526552847</v>
      </c>
      <c r="U44" s="76">
        <f xml:space="preserve"> IF( $C43,   SUM('i1'!$R44),   #N/A  )</f>
        <v>778993</v>
      </c>
      <c r="V44" s="76">
        <f xml:space="preserve"> IF( $C43,   SUM('i2'!$R44),   #N/A  )</f>
        <v>778993</v>
      </c>
      <c r="W44" s="76">
        <f xml:space="preserve"> IF( $C43,   SUM('i3'!$R44),   #N/A  )</f>
        <v>778993</v>
      </c>
      <c r="Y44" s="33"/>
      <c r="Z44" s="22">
        <f xml:space="preserve"> IF( $C44,   IF( 'i1'!$J44=LEER,  #N/A,  'i1'!$J44  ),   #N/A  )</f>
        <v>1.0660000000000001</v>
      </c>
      <c r="AA44" s="22">
        <f xml:space="preserve"> IF( $D44,   IF( 'i2'!$J44=LEER,  #N/A,  'i2'!$J44  ),   #N/A  )</f>
        <v>1.0660000000000001</v>
      </c>
      <c r="AB44" s="22">
        <f xml:space="preserve"> IF( $E44,   IF( 'i3'!$J44=LEER,  #N/A,  'i3'!$J44  ),   #N/A  )</f>
        <v>1.0660000000000001</v>
      </c>
      <c r="AC44" s="75"/>
      <c r="AD44" s="26">
        <f t="shared" si="25"/>
        <v>2214.9241400000001</v>
      </c>
      <c r="AE44" s="26">
        <f t="shared" si="26"/>
        <v>2214.9241400000001</v>
      </c>
      <c r="AF44" s="26">
        <f t="shared" si="27"/>
        <v>2214.9241400000001</v>
      </c>
      <c r="AG44" s="23"/>
      <c r="AH44" s="24">
        <f xml:space="preserve">    IF(  'i1'!$AK44=LEER,  #N/A,  ROUND( 'i1'!$AK44, AH$15 )  )</f>
        <v>528.91999999999996</v>
      </c>
      <c r="AI44" s="24">
        <f xml:space="preserve">    IF(  'i2'!$AK44=LEER,  #N/A,  ROUND( 'i2'!$AK44, AI$15 )  )</f>
        <v>528.91999999999996</v>
      </c>
      <c r="AJ44" s="24">
        <f xml:space="preserve">    IF(  'i3'!$AK44=LEER,  #N/A,  ROUND( 'i3'!$AK44, AJ$15 )  )</f>
        <v>528.91999999999996</v>
      </c>
      <c r="AL44" s="102">
        <f t="shared" si="28"/>
        <v>528.91999999999996</v>
      </c>
      <c r="AO44" s="24">
        <f xml:space="preserve">    IF( 'i1'!$AN44=LEER,  #N/A,  'i1'!$AN44  )</f>
        <v>21938.93</v>
      </c>
      <c r="AP44" s="24">
        <f xml:space="preserve">    IF( 'i2'!$AN44=LEER,  #N/A,  'i2'!$AN44  )</f>
        <v>21938.93</v>
      </c>
      <c r="AQ44" s="24">
        <f xml:space="preserve">    IF( 'i3'!$AN44=LEER,  #N/A,  'i3'!$AN44  )</f>
        <v>21938.93</v>
      </c>
      <c r="AS44" s="24">
        <f xml:space="preserve">    IF( 'i1'!$AO44=LEER,  #N/A,  'i1'!$AO44  )</f>
        <v>21013.62</v>
      </c>
      <c r="AT44" s="24">
        <f xml:space="preserve">    IF( 'i2'!$AO44=LEER,  #N/A,  'i2'!$AO44  )</f>
        <v>21013.62</v>
      </c>
      <c r="AU44" s="24">
        <f xml:space="preserve">    IF( 'i3'!$AO44=LEER,  #N/A,  'i3'!$AO44  )</f>
        <v>21013.62</v>
      </c>
      <c r="AW44" s="28">
        <f t="shared" si="38"/>
        <v>10.5588</v>
      </c>
      <c r="AX44" s="28">
        <f t="shared" si="29"/>
        <v>10.5588</v>
      </c>
      <c r="AY44" s="28">
        <f t="shared" si="30"/>
        <v>10.5588</v>
      </c>
      <c r="BA44" s="28">
        <f t="shared" si="31"/>
        <v>10.1134</v>
      </c>
      <c r="BB44" s="28">
        <f t="shared" si="32"/>
        <v>10.1134</v>
      </c>
      <c r="BC44" s="28">
        <f t="shared" si="33"/>
        <v>10.1134</v>
      </c>
      <c r="BG44" s="24">
        <f xml:space="preserve">    IF( 'i1'!BT44=LEER,  #N/A,  'i1'!BT44  )</f>
        <v>1680.69</v>
      </c>
      <c r="BH44" s="24">
        <f xml:space="preserve">    IF( 'i1'!BR44=LEER,  #N/A,  'i1'!BR44  )</f>
        <v>19138.400000000001</v>
      </c>
      <c r="BI44" s="111">
        <f t="shared" si="34"/>
        <v>20819.09</v>
      </c>
      <c r="BJ44" s="24">
        <f xml:space="preserve">    IF( 'i1'!BX44=LEER,  #N/A,  'i1'!BX44  )</f>
        <v>1119.8400000000001</v>
      </c>
      <c r="BL44" s="24">
        <f xml:space="preserve">    IF( 'i1'!CB44=LEER,  #N/A,  'i1'!CB44  )</f>
        <v>1678.44</v>
      </c>
      <c r="BM44" s="24">
        <f xml:space="preserve">    IF( 'i1'!CC44=LEER,  #N/A,  'i1'!CC44  )</f>
        <v>548.47</v>
      </c>
      <c r="BN44" s="24">
        <f xml:space="preserve">    IF( 'i1'!CD44=LEER,  #N/A,  'i1'!CD44  )</f>
        <v>650.19000000000005</v>
      </c>
      <c r="BO44" s="24">
        <f xml:space="preserve">    IF( 'i1'!CE44=LEER,  #N/A,  'i1'!CE44  )</f>
        <v>2877.1</v>
      </c>
      <c r="BQ44" s="24">
        <f xml:space="preserve">    IF( 'i1'!CI44=LEER,  #N/A,  'i1'!CI44  )</f>
        <v>2214.92</v>
      </c>
      <c r="BR44" s="24">
        <f xml:space="preserve">    IF( 'i1'!CJ44=LEER,  #N/A,  'i1'!CJ44  )</f>
        <v>2272.0700000000002</v>
      </c>
      <c r="BS44" s="24">
        <f xml:space="preserve">    IF( 'i1'!CK44=LEER,  #N/A,  'i1'!CK44  )</f>
        <v>-634.33000000000004</v>
      </c>
      <c r="BT44" s="38">
        <f xml:space="preserve">    IF( 'i1'!CH44=LEER,  #N/A,  'i1'!CH44  )</f>
        <v>3852.4304390000002</v>
      </c>
      <c r="BV44" s="24">
        <f xml:space="preserve">    IF( 'i1'!CO44=LEER,  #N/A,  'i1'!CO44  )</f>
        <v>2214.92</v>
      </c>
      <c r="BW44" s="24">
        <f xml:space="preserve">    IF( 'i1'!CP44=LEER,  #N/A,  'i1'!CP44  )</f>
        <v>2294.54</v>
      </c>
      <c r="BX44" s="24">
        <f xml:space="preserve">    IF( 'i1'!CQ44=LEER,  #N/A,  'i1'!CQ44  )</f>
        <v>-610.66999999999996</v>
      </c>
      <c r="BY44" s="38">
        <f xml:space="preserve">    IF( 'i1'!CN44=LEER,  #N/A,  'i1'!CN44  )</f>
        <v>3898.5573770000001</v>
      </c>
      <c r="CD44" s="113">
        <f xml:space="preserve"> IF(  AND( $A44&lt;&gt;$CD$14, OR( 'i1'!EO44=LEER, 'i1'!EM44&lt;&gt;LEER ) ), #N/A, 'i1'!EO44 )</f>
        <v>21013.62</v>
      </c>
      <c r="CE44" s="113" t="e">
        <f xml:space="preserve"> IF(   'i1'!EM44=LEER, #N/A,  'i1'!EM44 )</f>
        <v>#N/A</v>
      </c>
      <c r="CF44" s="114" t="e">
        <f xml:space="preserve"> IF(   'i1'!EL44=LEER, #N/A, 'i1'!EL44 + 'i1'!EM44 )</f>
        <v>#N/A</v>
      </c>
      <c r="CW44" s="104">
        <f xml:space="preserve"> 'i1'!FN44</f>
        <v>44</v>
      </c>
      <c r="CX44" s="106">
        <f xml:space="preserve"> IF(  INDEX( 'i1'!$FS44:$JO44, CX$13 ) = LEER,  #N/A,  INDEX( 'i1'!$FS44:$JO44, CX$13 )  )</f>
        <v>49185.73</v>
      </c>
      <c r="CY44" s="106">
        <f xml:space="preserve"> IF(  INDEX( 'i1'!$FS44:$JO44, CY$13 ) = LEER,  #N/A,  INDEX( 'i1'!$FS44:$JO44, CY$13 )  )</f>
        <v>40561.949999999997</v>
      </c>
      <c r="CZ44" s="106">
        <f xml:space="preserve"> IF(  INDEX( 'i1'!$FS44:$JO44, CZ$13 ) = LEER,  #N/A,  INDEX( 'i1'!$FS44:$JO44, CZ$13 )  )</f>
        <v>31242.11</v>
      </c>
      <c r="DA44" s="106">
        <f xml:space="preserve"> IF(  INDEX( 'i1'!$FS44:$JO44, DA$13 ) = LEER,  #N/A,  INDEX( 'i1'!$FS44:$JO44, DA$13 )  )</f>
        <v>21013.62</v>
      </c>
      <c r="DB44" s="106">
        <f xml:space="preserve"> IF(  INDEX( 'i1'!$FS44:$JO44, DB$13 ) = LEER,  #N/A,  INDEX( 'i1'!$FS44:$JO44, DB$13 )  )</f>
        <v>9563.8799999999992</v>
      </c>
      <c r="DC44" s="106" t="e">
        <f xml:space="preserve"> IF(  INDEX( 'i1'!$FS44:$JO44, DC$13 ) = LEER,  #N/A,  INDEX( 'i1'!$FS44:$JO44, DC$13 )  )</f>
        <v>#N/A</v>
      </c>
      <c r="DD44" s="106" t="e">
        <f xml:space="preserve"> IF(  INDEX( 'i1'!$FS44:$JO44, DD$13 ) = LEER,  #N/A,  INDEX( 'i1'!$FS44:$JO44, DD$13 )  )</f>
        <v>#N/A</v>
      </c>
      <c r="DE44" s="106" t="e">
        <f xml:space="preserve"> IF(  INDEX( 'i1'!$FS44:$JO44, DE$13 ) = LEER,  #N/A,  INDEX( 'i1'!$FS44:$JO44, DE$13 )  )</f>
        <v>#N/A</v>
      </c>
      <c r="DF44" s="106" t="e">
        <f xml:space="preserve"> IF(  INDEX( 'i1'!$FS44:$JO44, DF$13 ) = LEER,  #N/A,  INDEX( 'i1'!$FS44:$JO44, DF$13 )  )</f>
        <v>#N/A</v>
      </c>
      <c r="DG44" s="106" t="e">
        <f xml:space="preserve"> IF(  INDEX( 'i1'!$FS44:$JO44, DG$13 ) = LEER,  #N/A,  INDEX( 'i1'!$FS44:$JO44, DG$13 )  )</f>
        <v>#N/A</v>
      </c>
      <c r="DH44" s="106" t="e">
        <f xml:space="preserve"> IF(  INDEX( 'i1'!$FS44:$JO44, DH$13 ) = LEER,  #N/A,  INDEX( 'i1'!$FS44:$JO44, DH$13 )  )</f>
        <v>#N/A</v>
      </c>
      <c r="DI44" s="106" t="e">
        <f xml:space="preserve"> IF(  INDEX( 'i1'!$FS44:$JO44, DI$13 ) = LEER,  #N/A,  INDEX( 'i1'!$FS44:$JO44, DI$13 )  )</f>
        <v>#N/A</v>
      </c>
      <c r="DJ44" s="106" t="e">
        <f xml:space="preserve"> IF(  INDEX( 'i1'!$FS44:$JO44, DJ$13 ) = LEER,  #N/A,  INDEX( 'i1'!$FS44:$JO44, DJ$13 )  )</f>
        <v>#N/A</v>
      </c>
      <c r="DK44" s="106" t="e">
        <f xml:space="preserve"> IF(  INDEX( 'i1'!$FS44:$JO44, DK$13 ) = LEER,  #N/A,  INDEX( 'i1'!$FS44:$JO44, DK$13 )  )</f>
        <v>#N/A</v>
      </c>
      <c r="DL44" s="106" t="e">
        <f xml:space="preserve"> IF(  INDEX( 'i1'!$FS44:$JO44, DL$13 ) = LEER,  #N/A,  INDEX( 'i1'!$FS44:$JO44, DL$13 )  )</f>
        <v>#N/A</v>
      </c>
      <c r="DM44" s="106" t="e">
        <f xml:space="preserve"> IF(  INDEX( 'i1'!$FS44:$JO44, DM$13 ) = LEER,  #N/A,  INDEX( 'i1'!$FS44:$JO44, DM$13 )  )</f>
        <v>#N/A</v>
      </c>
      <c r="DN44" s="106" t="e">
        <f xml:space="preserve"> IF(  INDEX( 'i1'!$FS44:$JO44, DN$13 ) = LEER,  #N/A,  INDEX( 'i1'!$FS44:$JO44, DN$13 )  )</f>
        <v>#N/A</v>
      </c>
    </row>
    <row r="45" spans="1:118" x14ac:dyDescent="0.2">
      <c r="A45" s="15">
        <f xml:space="preserve"> Basis!A45</f>
        <v>45</v>
      </c>
      <c r="C45" s="24" t="b">
        <f xml:space="preserve"> 'i1'!$O45</f>
        <v>1</v>
      </c>
      <c r="D45" s="24" t="b">
        <f xml:space="preserve"> 'i2'!$O45</f>
        <v>1</v>
      </c>
      <c r="E45" s="24" t="b">
        <f xml:space="preserve"> 'i3'!$O45</f>
        <v>1</v>
      </c>
      <c r="G45" s="27">
        <f xml:space="preserve"> IF( $C46,   IF( 'i1'!$P45=LEER,  #N/A,  'i1'!$P45  ),   #N/A  )</f>
        <v>2.5700000000000001E-2</v>
      </c>
      <c r="H45" s="27">
        <f xml:space="preserve"> IF( $D46,   IF( 'i2'!$P45=LEER,  #N/A,  'i2'!$P45  ),   #N/A  )</f>
        <v>2.5700000000000001E-2</v>
      </c>
      <c r="I45" s="27">
        <f xml:space="preserve"> IF( $E46,   IF( 'i3'!$P45=LEER,  #N/A,  'i3'!$P45  ),   #N/A  )</f>
        <v>2.5700000000000001E-2</v>
      </c>
      <c r="J45" s="158"/>
      <c r="K45" s="27">
        <f xml:space="preserve"> IF( $C46,   IF( 'i1'!$G45=LEER,  #N/A,  'i1'!$G45  ),   #N/A  )</f>
        <v>2.5000000000000001E-2</v>
      </c>
      <c r="L45" s="27">
        <f xml:space="preserve"> IF( $D46,   IF( 'i2'!$G45=LEER,  #N/A,  'i2'!$G45  ),   #N/A  )</f>
        <v>2.5000000000000001E-2</v>
      </c>
      <c r="M45" s="27">
        <f xml:space="preserve"> IF( $E46,   IF( 'i3'!$G45=LEER,  #N/A,  'i3'!$G45  ),   #N/A  )</f>
        <v>2.5000000000000001E-2</v>
      </c>
      <c r="N45" s="158"/>
      <c r="O45" s="158"/>
      <c r="Q45" s="28">
        <f t="shared" si="35"/>
        <v>30.851744225254514</v>
      </c>
      <c r="R45" s="28">
        <f t="shared" si="36"/>
        <v>30.851744225254514</v>
      </c>
      <c r="S45" s="28">
        <f t="shared" si="37"/>
        <v>30.851744225254514</v>
      </c>
      <c r="U45" s="76">
        <f xml:space="preserve"> IF( $C44,   SUM('i1'!$R45),   #N/A  )</f>
        <v>758583</v>
      </c>
      <c r="V45" s="76">
        <f xml:space="preserve"> IF( $C44,   SUM('i2'!$R45),   #N/A  )</f>
        <v>758583</v>
      </c>
      <c r="W45" s="76">
        <f xml:space="preserve"> IF( $C44,   SUM('i3'!$R45),   #N/A  )</f>
        <v>758583</v>
      </c>
      <c r="Y45" s="33"/>
      <c r="Z45" s="22">
        <f xml:space="preserve"> IF( $C45,   IF( 'i1'!$J45=LEER,  #N/A,  'i1'!$J45  ),   #N/A  )</f>
        <v>1.0900000000000001</v>
      </c>
      <c r="AA45" s="22">
        <f xml:space="preserve"> IF( $D45,   IF( 'i2'!$J45=LEER,  #N/A,  'i2'!$J45  ),   #N/A  )</f>
        <v>1.0900000000000001</v>
      </c>
      <c r="AB45" s="22">
        <f xml:space="preserve"> IF( $E45,   IF( 'i3'!$J45=LEER,  #N/A,  'i3'!$J45  ),   #N/A  )</f>
        <v>1.0900000000000001</v>
      </c>
      <c r="AC45" s="75"/>
      <c r="AD45" s="26">
        <f t="shared" si="25"/>
        <v>2264.7910999999999</v>
      </c>
      <c r="AE45" s="26">
        <f t="shared" si="26"/>
        <v>2264.7910999999999</v>
      </c>
      <c r="AF45" s="26">
        <f t="shared" si="27"/>
        <v>2264.7910999999999</v>
      </c>
      <c r="AG45" s="23"/>
      <c r="AH45" s="24">
        <f xml:space="preserve">    IF(  'i1'!$AK45=LEER,  #N/A,  ROUND( 'i1'!$AK45, AH$15 )  )</f>
        <v>542.08000000000004</v>
      </c>
      <c r="AI45" s="24">
        <f xml:space="preserve">    IF(  'i2'!$AK45=LEER,  #N/A,  ROUND( 'i2'!$AK45, AI$15 )  )</f>
        <v>542.08000000000004</v>
      </c>
      <c r="AJ45" s="24">
        <f xml:space="preserve">    IF(  'i3'!$AK45=LEER,  #N/A,  ROUND( 'i3'!$AK45, AJ$15 )  )</f>
        <v>542.08000000000004</v>
      </c>
      <c r="AL45" s="102">
        <f t="shared" si="28"/>
        <v>542.08000000000004</v>
      </c>
      <c r="AO45" s="24">
        <f xml:space="preserve">    IF( 'i1'!$AN45=LEER,  #N/A,  'i1'!$AN45  )</f>
        <v>24816.27</v>
      </c>
      <c r="AP45" s="24">
        <f xml:space="preserve">    IF( 'i2'!$AN45=LEER,  #N/A,  'i2'!$AN45  )</f>
        <v>24816.27</v>
      </c>
      <c r="AQ45" s="24">
        <f xml:space="preserve">    IF( 'i3'!$AN45=LEER,  #N/A,  'i3'!$AN45  )</f>
        <v>24816.27</v>
      </c>
      <c r="AS45" s="24">
        <f xml:space="preserve">    IF( 'i1'!$AO45=LEER,  #N/A,  'i1'!$AO45  )</f>
        <v>23890.86</v>
      </c>
      <c r="AT45" s="24">
        <f xml:space="preserve">    IF( 'i2'!$AO45=LEER,  #N/A,  'i2'!$AO45  )</f>
        <v>23890.86</v>
      </c>
      <c r="AU45" s="24">
        <f xml:space="preserve">    IF( 'i3'!$AO45=LEER,  #N/A,  'i3'!$AO45  )</f>
        <v>23890.86</v>
      </c>
      <c r="AW45" s="28">
        <f t="shared" si="38"/>
        <v>11.9436</v>
      </c>
      <c r="AX45" s="28">
        <f t="shared" si="29"/>
        <v>11.9436</v>
      </c>
      <c r="AY45" s="28">
        <f t="shared" si="30"/>
        <v>11.9436</v>
      </c>
      <c r="BA45" s="28">
        <f t="shared" si="31"/>
        <v>11.498200000000001</v>
      </c>
      <c r="BB45" s="28">
        <f t="shared" si="32"/>
        <v>11.498200000000001</v>
      </c>
      <c r="BC45" s="28">
        <f t="shared" si="33"/>
        <v>11.498200000000001</v>
      </c>
      <c r="BG45" s="24">
        <f xml:space="preserve">    IF( 'i1'!BT45=LEER,  #N/A,  'i1'!BT45  )</f>
        <v>1636.58</v>
      </c>
      <c r="BH45" s="24">
        <f xml:space="preserve">    IF( 'i1'!BR45=LEER,  #N/A,  'i1'!BR45  )</f>
        <v>21938.93</v>
      </c>
      <c r="BI45" s="111">
        <f t="shared" si="34"/>
        <v>23575.510000000002</v>
      </c>
      <c r="BJ45" s="24">
        <f xml:space="preserve">    IF( 'i1'!BX45=LEER,  #N/A,  'i1'!BX45  )</f>
        <v>1240.7599999999984</v>
      </c>
      <c r="BL45" s="24">
        <f xml:space="preserve">    IF( 'i1'!CB45=LEER,  #N/A,  'i1'!CB45  )</f>
        <v>1627.33</v>
      </c>
      <c r="BM45" s="24">
        <f xml:space="preserve">    IF( 'i1'!CC45=LEER,  #N/A,  'i1'!CC45  )</f>
        <v>620.41</v>
      </c>
      <c r="BN45" s="24">
        <f xml:space="preserve">    IF( 'i1'!CD45=LEER,  #N/A,  'i1'!CD45  )</f>
        <v>713.89</v>
      </c>
      <c r="BO45" s="24">
        <f xml:space="preserve">    IF( 'i1'!CE45=LEER,  #N/A,  'i1'!CE45  )</f>
        <v>2961.6299999999997</v>
      </c>
      <c r="BQ45" s="24">
        <f xml:space="preserve">    IF( 'i1'!CI45=LEER,  #N/A,  'i1'!CI45  )</f>
        <v>2264.79</v>
      </c>
      <c r="BR45" s="24">
        <f xml:space="preserve">    IF( 'i1'!CJ45=LEER,  #N/A,  'i1'!CJ45  )</f>
        <v>2284.0300000000002</v>
      </c>
      <c r="BS45" s="24">
        <f xml:space="preserve">    IF( 'i1'!CK45=LEER,  #N/A,  'i1'!CK45  )</f>
        <v>-696.48</v>
      </c>
      <c r="BT45" s="38">
        <f xml:space="preserve">    IF( 'i1'!CH45=LEER,  #N/A,  'i1'!CH45  )</f>
        <v>3852.4304390000002</v>
      </c>
      <c r="BV45" s="24">
        <f xml:space="preserve">    IF( 'i1'!CO45=LEER,  #N/A,  'i1'!CO45  )</f>
        <v>2264.79</v>
      </c>
      <c r="BW45" s="24">
        <f xml:space="preserve">    IF( 'i1'!CP45=LEER,  #N/A,  'i1'!CP45  )</f>
        <v>2306.96</v>
      </c>
      <c r="BX45" s="24">
        <f xml:space="preserve">    IF( 'i1'!CQ45=LEER,  #N/A,  'i1'!CQ45  )</f>
        <v>-673.28</v>
      </c>
      <c r="BY45" s="38">
        <f xml:space="preserve">    IF( 'i1'!CN45=LEER,  #N/A,  'i1'!CN45  )</f>
        <v>3898.5573770000001</v>
      </c>
      <c r="CD45" s="113">
        <f xml:space="preserve"> IF(  AND( $A45&lt;&gt;$CD$14, OR( 'i1'!EO45=LEER, 'i1'!EM45&lt;&gt;LEER ) ), #N/A, 'i1'!EO45 )</f>
        <v>23890.86</v>
      </c>
      <c r="CE45" s="113" t="e">
        <f xml:space="preserve"> IF(   'i1'!EM45=LEER, #N/A,  'i1'!EM45 )</f>
        <v>#N/A</v>
      </c>
      <c r="CF45" s="114" t="e">
        <f xml:space="preserve"> IF(   'i1'!EL45=LEER, #N/A, 'i1'!EL45 + 'i1'!EM45 )</f>
        <v>#N/A</v>
      </c>
      <c r="CW45" s="104">
        <f xml:space="preserve"> 'i1'!FN45</f>
        <v>45</v>
      </c>
      <c r="CX45" s="106">
        <f xml:space="preserve"> IF(  INDEX( 'i1'!$FS45:$JO45, CX$13 ) = LEER,  #N/A,  INDEX( 'i1'!$FS45:$JO45, CX$13 )  )</f>
        <v>52065.919999999998</v>
      </c>
      <c r="CY45" s="106">
        <f xml:space="preserve"> IF(  INDEX( 'i1'!$FS45:$JO45, CY$13 ) = LEER,  #N/A,  INDEX( 'i1'!$FS45:$JO45, CY$13 )  )</f>
        <v>43441.24</v>
      </c>
      <c r="CZ45" s="106">
        <f xml:space="preserve"> IF(  INDEX( 'i1'!$FS45:$JO45, CZ$13 ) = LEER,  #N/A,  INDEX( 'i1'!$FS45:$JO45, CZ$13 )  )</f>
        <v>34120.42</v>
      </c>
      <c r="DA45" s="106">
        <f xml:space="preserve"> IF(  INDEX( 'i1'!$FS45:$JO45, DA$13 ) = LEER,  #N/A,  INDEX( 'i1'!$FS45:$JO45, DA$13 )  )</f>
        <v>23890.86</v>
      </c>
      <c r="DB45" s="106">
        <f xml:space="preserve"> IF(  INDEX( 'i1'!$FS45:$JO45, DB$13 ) = LEER,  #N/A,  INDEX( 'i1'!$FS45:$JO45, DB$13 )  )</f>
        <v>12439.92</v>
      </c>
      <c r="DC45" s="106">
        <f xml:space="preserve"> IF(  INDEX( 'i1'!$FS45:$JO45, DC$13 ) = LEER,  #N/A,  INDEX( 'i1'!$FS45:$JO45, DC$13 )  )</f>
        <v>-1086.94</v>
      </c>
      <c r="DD45" s="106" t="e">
        <f xml:space="preserve"> IF(  INDEX( 'i1'!$FS45:$JO45, DD$13 ) = LEER,  #N/A,  INDEX( 'i1'!$FS45:$JO45, DD$13 )  )</f>
        <v>#N/A</v>
      </c>
      <c r="DE45" s="106" t="e">
        <f xml:space="preserve"> IF(  INDEX( 'i1'!$FS45:$JO45, DE$13 ) = LEER,  #N/A,  INDEX( 'i1'!$FS45:$JO45, DE$13 )  )</f>
        <v>#N/A</v>
      </c>
      <c r="DF45" s="106" t="e">
        <f xml:space="preserve"> IF(  INDEX( 'i1'!$FS45:$JO45, DF$13 ) = LEER,  #N/A,  INDEX( 'i1'!$FS45:$JO45, DF$13 )  )</f>
        <v>#N/A</v>
      </c>
      <c r="DG45" s="106" t="e">
        <f xml:space="preserve"> IF(  INDEX( 'i1'!$FS45:$JO45, DG$13 ) = LEER,  #N/A,  INDEX( 'i1'!$FS45:$JO45, DG$13 )  )</f>
        <v>#N/A</v>
      </c>
      <c r="DH45" s="106" t="e">
        <f xml:space="preserve"> IF(  INDEX( 'i1'!$FS45:$JO45, DH$13 ) = LEER,  #N/A,  INDEX( 'i1'!$FS45:$JO45, DH$13 )  )</f>
        <v>#N/A</v>
      </c>
      <c r="DI45" s="106" t="e">
        <f xml:space="preserve"> IF(  INDEX( 'i1'!$FS45:$JO45, DI$13 ) = LEER,  #N/A,  INDEX( 'i1'!$FS45:$JO45, DI$13 )  )</f>
        <v>#N/A</v>
      </c>
      <c r="DJ45" s="106" t="e">
        <f xml:space="preserve"> IF(  INDEX( 'i1'!$FS45:$JO45, DJ$13 ) = LEER,  #N/A,  INDEX( 'i1'!$FS45:$JO45, DJ$13 )  )</f>
        <v>#N/A</v>
      </c>
      <c r="DK45" s="106" t="e">
        <f xml:space="preserve"> IF(  INDEX( 'i1'!$FS45:$JO45, DK$13 ) = LEER,  #N/A,  INDEX( 'i1'!$FS45:$JO45, DK$13 )  )</f>
        <v>#N/A</v>
      </c>
      <c r="DL45" s="106" t="e">
        <f xml:space="preserve"> IF(  INDEX( 'i1'!$FS45:$JO45, DL$13 ) = LEER,  #N/A,  INDEX( 'i1'!$FS45:$JO45, DL$13 )  )</f>
        <v>#N/A</v>
      </c>
      <c r="DM45" s="106" t="e">
        <f xml:space="preserve"> IF(  INDEX( 'i1'!$FS45:$JO45, DM$13 ) = LEER,  #N/A,  INDEX( 'i1'!$FS45:$JO45, DM$13 )  )</f>
        <v>#N/A</v>
      </c>
      <c r="DN45" s="106" t="e">
        <f xml:space="preserve"> IF(  INDEX( 'i1'!$FS45:$JO45, DN$13 ) = LEER,  #N/A,  INDEX( 'i1'!$FS45:$JO45, DN$13 )  )</f>
        <v>#N/A</v>
      </c>
    </row>
    <row r="46" spans="1:118" x14ac:dyDescent="0.2">
      <c r="A46" s="15">
        <f xml:space="preserve"> Basis!A46</f>
        <v>46</v>
      </c>
      <c r="C46" s="24" t="b">
        <f xml:space="preserve"> 'i1'!$O46</f>
        <v>1</v>
      </c>
      <c r="D46" s="24" t="b">
        <f xml:space="preserve"> 'i2'!$O46</f>
        <v>1</v>
      </c>
      <c r="E46" s="24" t="b">
        <f xml:space="preserve"> 'i3'!$O46</f>
        <v>1</v>
      </c>
      <c r="G46" s="27">
        <f xml:space="preserve"> IF( $C47,   IF( 'i1'!$P46=LEER,  #N/A,  'i1'!$P46  ),   #N/A  )</f>
        <v>2.5000000000000001E-2</v>
      </c>
      <c r="H46" s="27">
        <f xml:space="preserve"> IF( $D47,   IF( 'i2'!$P46=LEER,  #N/A,  'i2'!$P46  ),   #N/A  )</f>
        <v>2.5000000000000001E-2</v>
      </c>
      <c r="I46" s="27">
        <f xml:space="preserve"> IF( $E47,   IF( 'i3'!$P46=LEER,  #N/A,  'i3'!$P46  ),   #N/A  )</f>
        <v>2.5000000000000001E-2</v>
      </c>
      <c r="J46" s="158"/>
      <c r="K46" s="27">
        <f xml:space="preserve"> IF( $C47,   IF( 'i1'!$G46=LEER,  #N/A,  'i1'!$G46  ),   #N/A  )</f>
        <v>2.4199999999999999E-2</v>
      </c>
      <c r="L46" s="27">
        <f xml:space="preserve"> IF( $D47,   IF( 'i2'!$G46=LEER,  #N/A,  'i2'!$G46  ),   #N/A  )</f>
        <v>2.4199999999999999E-2</v>
      </c>
      <c r="M46" s="27">
        <f xml:space="preserve"> IF( $E47,   IF( 'i3'!$G46=LEER,  #N/A,  'i3'!$G46  ),   #N/A  )</f>
        <v>2.4199999999999999E-2</v>
      </c>
      <c r="N46" s="158"/>
      <c r="O46" s="158"/>
      <c r="Q46" s="28">
        <f t="shared" si="35"/>
        <v>30.652359874016746</v>
      </c>
      <c r="R46" s="28">
        <f t="shared" si="36"/>
        <v>30.652359874016746</v>
      </c>
      <c r="S46" s="28">
        <f t="shared" si="37"/>
        <v>30.652359874016746</v>
      </c>
      <c r="U46" s="76">
        <f xml:space="preserve"> IF( $C45,   SUM('i1'!$R46),   #N/A  )</f>
        <v>739087</v>
      </c>
      <c r="V46" s="76">
        <f xml:space="preserve"> IF( $C45,   SUM('i2'!$R46),   #N/A  )</f>
        <v>739087</v>
      </c>
      <c r="W46" s="76">
        <f xml:space="preserve"> IF( $C45,   SUM('i3'!$R46),   #N/A  )</f>
        <v>739087</v>
      </c>
      <c r="Y46" s="33"/>
      <c r="Z46" s="22">
        <f xml:space="preserve"> IF( $C46,   IF( 'i1'!$J46=LEER,  #N/A,  'i1'!$J46  ),   #N/A  )</f>
        <v>1.123</v>
      </c>
      <c r="AA46" s="22">
        <f xml:space="preserve"> IF( $D46,   IF( 'i2'!$J46=LEER,  #N/A,  'i2'!$J46  ),   #N/A  )</f>
        <v>1.123</v>
      </c>
      <c r="AB46" s="22">
        <f xml:space="preserve"> IF( $E46,   IF( 'i3'!$J46=LEER,  #N/A,  'i3'!$J46  ),   #N/A  )</f>
        <v>1.123</v>
      </c>
      <c r="AC46" s="75"/>
      <c r="AD46" s="26">
        <f t="shared" si="25"/>
        <v>2333.35817</v>
      </c>
      <c r="AE46" s="26">
        <f t="shared" si="26"/>
        <v>2333.35817</v>
      </c>
      <c r="AF46" s="26">
        <f t="shared" si="27"/>
        <v>2333.35817</v>
      </c>
      <c r="AG46" s="23"/>
      <c r="AH46" s="24">
        <f xml:space="preserve">    IF(  'i1'!$AK46=LEER,  #N/A,  ROUND( 'i1'!$AK46, AH$15 )  )</f>
        <v>555.71</v>
      </c>
      <c r="AI46" s="24">
        <f xml:space="preserve">    IF(  'i2'!$AK46=LEER,  #N/A,  ROUND( 'i2'!$AK46, AI$15 )  )</f>
        <v>555.71</v>
      </c>
      <c r="AJ46" s="24">
        <f xml:space="preserve">    IF(  'i3'!$AK46=LEER,  #N/A,  ROUND( 'i3'!$AK46, AJ$15 )  )</f>
        <v>555.71</v>
      </c>
      <c r="AL46" s="102">
        <f t="shared" si="28"/>
        <v>555.71</v>
      </c>
      <c r="AO46" s="24">
        <f xml:space="preserve">    IF( 'i1'!$AN46=LEER,  #N/A,  'i1'!$AN46  )</f>
        <v>27777.81</v>
      </c>
      <c r="AP46" s="24">
        <f xml:space="preserve">    IF( 'i2'!$AN46=LEER,  #N/A,  'i2'!$AN46  )</f>
        <v>27777.81</v>
      </c>
      <c r="AQ46" s="24">
        <f xml:space="preserve">    IF( 'i3'!$AN46=LEER,  #N/A,  'i3'!$AN46  )</f>
        <v>27777.81</v>
      </c>
      <c r="AS46" s="24">
        <f xml:space="preserve">    IF( 'i1'!$AO46=LEER,  #N/A,  'i1'!$AO46  )</f>
        <v>26852.77</v>
      </c>
      <c r="AT46" s="24">
        <f xml:space="preserve">    IF( 'i2'!$AO46=LEER,  #N/A,  'i2'!$AO46  )</f>
        <v>26852.77</v>
      </c>
      <c r="AU46" s="24">
        <f xml:space="preserve">    IF( 'i3'!$AO46=LEER,  #N/A,  'i3'!$AO46  )</f>
        <v>26852.77</v>
      </c>
      <c r="AW46" s="28">
        <f t="shared" si="38"/>
        <v>13.3689</v>
      </c>
      <c r="AX46" s="28">
        <f t="shared" si="29"/>
        <v>13.3689</v>
      </c>
      <c r="AY46" s="28">
        <f t="shared" si="30"/>
        <v>13.3689</v>
      </c>
      <c r="BA46" s="28">
        <f t="shared" si="31"/>
        <v>12.9237</v>
      </c>
      <c r="BB46" s="28">
        <f t="shared" si="32"/>
        <v>12.9237</v>
      </c>
      <c r="BC46" s="28">
        <f t="shared" si="33"/>
        <v>12.9237</v>
      </c>
      <c r="BG46" s="24">
        <f xml:space="preserve">    IF( 'i1'!BT46=LEER,  #N/A,  'i1'!BT46  )</f>
        <v>1587.42</v>
      </c>
      <c r="BH46" s="24">
        <f xml:space="preserve">    IF( 'i1'!BR46=LEER,  #N/A,  'i1'!BR46  )</f>
        <v>24816.27</v>
      </c>
      <c r="BI46" s="111">
        <f t="shared" si="34"/>
        <v>26403.690000000002</v>
      </c>
      <c r="BJ46" s="24">
        <f xml:space="preserve">    IF( 'i1'!BX46=LEER,  #N/A,  'i1'!BX46  )</f>
        <v>1374.119999999999</v>
      </c>
      <c r="BL46" s="24">
        <f xml:space="preserve">    IF( 'i1'!CB46=LEER,  #N/A,  'i1'!CB46  )</f>
        <v>1557.05</v>
      </c>
      <c r="BM46" s="24">
        <f xml:space="preserve">    IF( 'i1'!CC46=LEER,  #N/A,  'i1'!CC46  )</f>
        <v>694.45</v>
      </c>
      <c r="BN46" s="24">
        <f xml:space="preserve">    IF( 'i1'!CD46=LEER,  #N/A,  'i1'!CD46  )</f>
        <v>769.98</v>
      </c>
      <c r="BO46" s="24">
        <f xml:space="preserve">    IF( 'i1'!CE46=LEER,  #N/A,  'i1'!CE46  )</f>
        <v>3021.48</v>
      </c>
      <c r="BQ46" s="24">
        <f xml:space="preserve">    IF( 'i1'!CI46=LEER,  #N/A,  'i1'!CI46  )</f>
        <v>2333.36</v>
      </c>
      <c r="BR46" s="24">
        <f xml:space="preserve">    IF( 'i1'!CJ46=LEER,  #N/A,  'i1'!CJ46  )</f>
        <v>2270.06</v>
      </c>
      <c r="BS46" s="24">
        <f xml:space="preserve">    IF( 'i1'!CK46=LEER,  #N/A,  'i1'!CK46  )</f>
        <v>-751.2</v>
      </c>
      <c r="BT46" s="38">
        <f xml:space="preserve">    IF( 'i1'!CH46=LEER,  #N/A,  'i1'!CH46  )</f>
        <v>3852.4304390000002</v>
      </c>
      <c r="BV46" s="24">
        <f xml:space="preserve">    IF( 'i1'!CO46=LEER,  #N/A,  'i1'!CO46  )</f>
        <v>2333.36</v>
      </c>
      <c r="BW46" s="24">
        <f xml:space="preserve">    IF( 'i1'!CP46=LEER,  #N/A,  'i1'!CP46  )</f>
        <v>2293.65</v>
      </c>
      <c r="BX46" s="24">
        <f xml:space="preserve">    IF( 'i1'!CQ46=LEER,  #N/A,  'i1'!CQ46  )</f>
        <v>-728.66</v>
      </c>
      <c r="BY46" s="38">
        <f xml:space="preserve">    IF( 'i1'!CN46=LEER,  #N/A,  'i1'!CN46  )</f>
        <v>3898.5573770000001</v>
      </c>
      <c r="CD46" s="113">
        <f xml:space="preserve"> IF(  AND( $A46&lt;&gt;$CD$14, OR( 'i1'!EO46=LEER, 'i1'!EM46&lt;&gt;LEER ) ), #N/A, 'i1'!EO46 )</f>
        <v>26852.77</v>
      </c>
      <c r="CE46" s="113" t="e">
        <f xml:space="preserve"> IF(   'i1'!EM46=LEER, #N/A,  'i1'!EM46 )</f>
        <v>#N/A</v>
      </c>
      <c r="CF46" s="114" t="e">
        <f xml:space="preserve"> IF(   'i1'!EL46=LEER, #N/A, 'i1'!EL46 + 'i1'!EM46 )</f>
        <v>#N/A</v>
      </c>
      <c r="CW46" s="104">
        <f xml:space="preserve"> 'i1'!FN46</f>
        <v>46</v>
      </c>
      <c r="CX46" s="106">
        <f xml:space="preserve"> IF(  INDEX( 'i1'!$FS46:$JO46, CX$13 ) = LEER,  #N/A,  INDEX( 'i1'!$FS46:$JO46, CX$13 )  )</f>
        <v>55016.59</v>
      </c>
      <c r="CY46" s="106">
        <f xml:space="preserve"> IF(  INDEX( 'i1'!$FS46:$JO46, CY$13 ) = LEER,  #N/A,  INDEX( 'i1'!$FS46:$JO46, CY$13 )  )</f>
        <v>46395.35</v>
      </c>
      <c r="CZ46" s="106">
        <f xml:space="preserve"> IF(  INDEX( 'i1'!$FS46:$JO46, CZ$13 ) = LEER,  #N/A,  INDEX( 'i1'!$FS46:$JO46, CZ$13 )  )</f>
        <v>37078.25</v>
      </c>
      <c r="DA46" s="106">
        <f xml:space="preserve"> IF(  INDEX( 'i1'!$FS46:$JO46, DA$13 ) = LEER,  #N/A,  INDEX( 'i1'!$FS46:$JO46, DA$13 )  )</f>
        <v>26852.77</v>
      </c>
      <c r="DB46" s="106">
        <f xml:space="preserve"> IF(  INDEX( 'i1'!$FS46:$JO46, DB$13 ) = LEER,  #N/A,  INDEX( 'i1'!$FS46:$JO46, DB$13 )  )</f>
        <v>15406.4</v>
      </c>
      <c r="DC46" s="106">
        <f xml:space="preserve"> IF(  INDEX( 'i1'!$FS46:$JO46, DC$13 ) = LEER,  #N/A,  INDEX( 'i1'!$FS46:$JO46, DC$13 )  )</f>
        <v>1884.93</v>
      </c>
      <c r="DD46" s="106" t="e">
        <f xml:space="preserve"> IF(  INDEX( 'i1'!$FS46:$JO46, DD$13 ) = LEER,  #N/A,  INDEX( 'i1'!$FS46:$JO46, DD$13 )  )</f>
        <v>#N/A</v>
      </c>
      <c r="DE46" s="106" t="e">
        <f xml:space="preserve"> IF(  INDEX( 'i1'!$FS46:$JO46, DE$13 ) = LEER,  #N/A,  INDEX( 'i1'!$FS46:$JO46, DE$13 )  )</f>
        <v>#N/A</v>
      </c>
      <c r="DF46" s="106" t="e">
        <f xml:space="preserve"> IF(  INDEX( 'i1'!$FS46:$JO46, DF$13 ) = LEER,  #N/A,  INDEX( 'i1'!$FS46:$JO46, DF$13 )  )</f>
        <v>#N/A</v>
      </c>
      <c r="DG46" s="106" t="e">
        <f xml:space="preserve"> IF(  INDEX( 'i1'!$FS46:$JO46, DG$13 ) = LEER,  #N/A,  INDEX( 'i1'!$FS46:$JO46, DG$13 )  )</f>
        <v>#N/A</v>
      </c>
      <c r="DH46" s="106" t="e">
        <f xml:space="preserve"> IF(  INDEX( 'i1'!$FS46:$JO46, DH$13 ) = LEER,  #N/A,  INDEX( 'i1'!$FS46:$JO46, DH$13 )  )</f>
        <v>#N/A</v>
      </c>
      <c r="DI46" s="106" t="e">
        <f xml:space="preserve"> IF(  INDEX( 'i1'!$FS46:$JO46, DI$13 ) = LEER,  #N/A,  INDEX( 'i1'!$FS46:$JO46, DI$13 )  )</f>
        <v>#N/A</v>
      </c>
      <c r="DJ46" s="106" t="e">
        <f xml:space="preserve"> IF(  INDEX( 'i1'!$FS46:$JO46, DJ$13 ) = LEER,  #N/A,  INDEX( 'i1'!$FS46:$JO46, DJ$13 )  )</f>
        <v>#N/A</v>
      </c>
      <c r="DK46" s="106" t="e">
        <f xml:space="preserve"> IF(  INDEX( 'i1'!$FS46:$JO46, DK$13 ) = LEER,  #N/A,  INDEX( 'i1'!$FS46:$JO46, DK$13 )  )</f>
        <v>#N/A</v>
      </c>
      <c r="DL46" s="106" t="e">
        <f xml:space="preserve"> IF(  INDEX( 'i1'!$FS46:$JO46, DL$13 ) = LEER,  #N/A,  INDEX( 'i1'!$FS46:$JO46, DL$13 )  )</f>
        <v>#N/A</v>
      </c>
      <c r="DM46" s="106" t="e">
        <f xml:space="preserve"> IF(  INDEX( 'i1'!$FS46:$JO46, DM$13 ) = LEER,  #N/A,  INDEX( 'i1'!$FS46:$JO46, DM$13 )  )</f>
        <v>#N/A</v>
      </c>
      <c r="DN46" s="106" t="e">
        <f xml:space="preserve"> IF(  INDEX( 'i1'!$FS46:$JO46, DN$13 ) = LEER,  #N/A,  INDEX( 'i1'!$FS46:$JO46, DN$13 )  )</f>
        <v>#N/A</v>
      </c>
    </row>
    <row r="47" spans="1:118" x14ac:dyDescent="0.2">
      <c r="A47" s="15">
        <f xml:space="preserve"> Basis!A47</f>
        <v>47</v>
      </c>
      <c r="C47" s="24" t="b">
        <f xml:space="preserve"> 'i1'!$O47</f>
        <v>1</v>
      </c>
      <c r="D47" s="24" t="b">
        <f xml:space="preserve"> 'i2'!$O47</f>
        <v>1</v>
      </c>
      <c r="E47" s="24" t="b">
        <f xml:space="preserve"> 'i3'!$O47</f>
        <v>1</v>
      </c>
      <c r="G47" s="27">
        <f xml:space="preserve"> IF( $C48,   IF( 'i1'!$P47=LEER,  #N/A,  'i1'!$P47  ),   #N/A  )</f>
        <v>2.4899999999999999E-2</v>
      </c>
      <c r="H47" s="27">
        <f xml:space="preserve"> IF( $D48,   IF( 'i2'!$P47=LEER,  #N/A,  'i2'!$P47  ),   #N/A  )</f>
        <v>2.4899999999999999E-2</v>
      </c>
      <c r="I47" s="27">
        <f xml:space="preserve"> IF( $E48,   IF( 'i3'!$P47=LEER,  #N/A,  'i3'!$P47  ),   #N/A  )</f>
        <v>2.4899999999999999E-2</v>
      </c>
      <c r="J47" s="158"/>
      <c r="K47" s="27">
        <f xml:space="preserve"> IF( $C48,   IF( 'i1'!$G47=LEER,  #N/A,  'i1'!$G47  ),   #N/A  )</f>
        <v>2.4E-2</v>
      </c>
      <c r="L47" s="27">
        <f xml:space="preserve"> IF( $D48,   IF( 'i2'!$G47=LEER,  #N/A,  'i2'!$G47  ),   #N/A  )</f>
        <v>2.4E-2</v>
      </c>
      <c r="M47" s="27">
        <f xml:space="preserve"> IF( $E48,   IF( 'i3'!$G47=LEER,  #N/A,  'i3'!$G47  ),   #N/A  )</f>
        <v>2.4E-2</v>
      </c>
      <c r="N47" s="158"/>
      <c r="O47" s="158"/>
      <c r="Q47" s="28">
        <f t="shared" si="35"/>
        <v>30.425497306683845</v>
      </c>
      <c r="R47" s="28">
        <f t="shared" si="36"/>
        <v>30.425497306683845</v>
      </c>
      <c r="S47" s="28">
        <f t="shared" si="37"/>
        <v>30.425497306683845</v>
      </c>
      <c r="U47" s="76">
        <f xml:space="preserve"> IF( $C46,   SUM('i1'!$R47),   #N/A  )</f>
        <v>720609</v>
      </c>
      <c r="V47" s="76">
        <f xml:space="preserve"> IF( $C46,   SUM('i2'!$R47),   #N/A  )</f>
        <v>720609</v>
      </c>
      <c r="W47" s="76">
        <f xml:space="preserve"> IF( $C46,   SUM('i3'!$R47),   #N/A  )</f>
        <v>720609</v>
      </c>
      <c r="Y47" s="33"/>
      <c r="Z47" s="22">
        <f xml:space="preserve"> IF( $C47,   IF( 'i1'!$J47=LEER,  #N/A,  'i1'!$J47  ),   #N/A  )</f>
        <v>1.159</v>
      </c>
      <c r="AA47" s="22">
        <f xml:space="preserve"> IF( $D47,   IF( 'i2'!$J47=LEER,  #N/A,  'i2'!$J47  ),   #N/A  )</f>
        <v>1.159</v>
      </c>
      <c r="AB47" s="22">
        <f xml:space="preserve"> IF( $E47,   IF( 'i3'!$J47=LEER,  #N/A,  'i3'!$J47  ),   #N/A  )</f>
        <v>1.159</v>
      </c>
      <c r="AC47" s="75"/>
      <c r="AD47" s="26">
        <f t="shared" si="25"/>
        <v>2408.15861</v>
      </c>
      <c r="AE47" s="26">
        <f t="shared" si="26"/>
        <v>2408.15861</v>
      </c>
      <c r="AF47" s="26">
        <f t="shared" si="27"/>
        <v>2408.15861</v>
      </c>
      <c r="AG47" s="23"/>
      <c r="AH47" s="24">
        <f xml:space="preserve">    IF(  'i1'!$AK47=LEER,  #N/A,  ROUND( 'i1'!$AK47, AH$15 )  )</f>
        <v>569.75</v>
      </c>
      <c r="AI47" s="24">
        <f xml:space="preserve">    IF(  'i2'!$AK47=LEER,  #N/A,  ROUND( 'i2'!$AK47, AI$15 )  )</f>
        <v>569.75</v>
      </c>
      <c r="AJ47" s="24">
        <f xml:space="preserve">    IF(  'i3'!$AK47=LEER,  #N/A,  ROUND( 'i3'!$AK47, AJ$15 )  )</f>
        <v>569.75</v>
      </c>
      <c r="AL47" s="102">
        <f t="shared" si="28"/>
        <v>569.75</v>
      </c>
      <c r="AO47" s="24">
        <f xml:space="preserve">    IF( 'i1'!$AN47=LEER,  #N/A,  'i1'!$AN47  )</f>
        <v>30799.07</v>
      </c>
      <c r="AP47" s="24">
        <f xml:space="preserve">    IF( 'i2'!$AN47=LEER,  #N/A,  'i2'!$AN47  )</f>
        <v>30799.07</v>
      </c>
      <c r="AQ47" s="24">
        <f xml:space="preserve">    IF( 'i3'!$AN47=LEER,  #N/A,  'i3'!$AN47  )</f>
        <v>30799.07</v>
      </c>
      <c r="AS47" s="24">
        <f xml:space="preserve">    IF( 'i1'!$AO47=LEER,  #N/A,  'i1'!$AO47  )</f>
        <v>29875.08</v>
      </c>
      <c r="AT47" s="24">
        <f xml:space="preserve">    IF( 'i2'!$AO47=LEER,  #N/A,  'i2'!$AO47  )</f>
        <v>29875.08</v>
      </c>
      <c r="AU47" s="24">
        <f xml:space="preserve">    IF( 'i3'!$AO47=LEER,  #N/A,  'i3'!$AO47  )</f>
        <v>29875.08</v>
      </c>
      <c r="AW47" s="28">
        <f t="shared" si="38"/>
        <v>14.823</v>
      </c>
      <c r="AX47" s="28">
        <f t="shared" si="29"/>
        <v>14.823</v>
      </c>
      <c r="AY47" s="28">
        <f t="shared" si="30"/>
        <v>14.823</v>
      </c>
      <c r="BA47" s="28">
        <f t="shared" si="31"/>
        <v>14.378299999999999</v>
      </c>
      <c r="BB47" s="28">
        <f t="shared" si="32"/>
        <v>14.378299999999999</v>
      </c>
      <c r="BC47" s="28">
        <f t="shared" si="33"/>
        <v>14.378299999999999</v>
      </c>
      <c r="BG47" s="24">
        <f xml:space="preserve">    IF( 'i1'!BT47=LEER,  #N/A,  'i1'!BT47  )</f>
        <v>1518.73</v>
      </c>
      <c r="BH47" s="24">
        <f xml:space="preserve">    IF( 'i1'!BR47=LEER,  #N/A,  'i1'!BR47  )</f>
        <v>27777.81</v>
      </c>
      <c r="BI47" s="111">
        <f t="shared" si="34"/>
        <v>29296.54</v>
      </c>
      <c r="BJ47" s="24">
        <f xml:space="preserve">    IF( 'i1'!BX47=LEER,  #N/A,  'i1'!BX47  )</f>
        <v>1502.5299999999988</v>
      </c>
      <c r="BL47" s="24">
        <f xml:space="preserve">    IF( 'i1'!CB47=LEER,  #N/A,  'i1'!CB47  )</f>
        <v>1480.38</v>
      </c>
      <c r="BM47" s="24">
        <f xml:space="preserve">    IF( 'i1'!CC47=LEER,  #N/A,  'i1'!CC47  )</f>
        <v>769.98</v>
      </c>
      <c r="BN47" s="24">
        <f xml:space="preserve">    IF( 'i1'!CD47=LEER,  #N/A,  'i1'!CD47  )</f>
        <v>843.95</v>
      </c>
      <c r="BO47" s="24">
        <f xml:space="preserve">    IF( 'i1'!CE47=LEER,  #N/A,  'i1'!CE47  )</f>
        <v>3094.3100000000004</v>
      </c>
      <c r="BQ47" s="24">
        <f xml:space="preserve">    IF( 'i1'!CI47=LEER,  #N/A,  'i1'!CI47  )</f>
        <v>2408.16</v>
      </c>
      <c r="BR47" s="24">
        <f xml:space="preserve">    IF( 'i1'!CJ47=LEER,  #N/A,  'i1'!CJ47  )</f>
        <v>2267.9699999999998</v>
      </c>
      <c r="BS47" s="24">
        <f xml:space="preserve">    IF( 'i1'!CK47=LEER,  #N/A,  'i1'!CK47  )</f>
        <v>-823.37</v>
      </c>
      <c r="BT47" s="38">
        <f xml:space="preserve">    IF( 'i1'!CH47=LEER,  #N/A,  'i1'!CH47  )</f>
        <v>3852.4304390000002</v>
      </c>
      <c r="BV47" s="24">
        <f xml:space="preserve">    IF( 'i1'!CO47=LEER,  #N/A,  'i1'!CO47  )</f>
        <v>2408.16</v>
      </c>
      <c r="BW47" s="24">
        <f xml:space="preserve">    IF( 'i1'!CP47=LEER,  #N/A,  'i1'!CP47  )</f>
        <v>2291.6799999999998</v>
      </c>
      <c r="BX47" s="24">
        <f xml:space="preserve">    IF( 'i1'!CQ47=LEER,  #N/A,  'i1'!CQ47  )</f>
        <v>-800.95</v>
      </c>
      <c r="BY47" s="38">
        <f xml:space="preserve">    IF( 'i1'!CN47=LEER,  #N/A,  'i1'!CN47  )</f>
        <v>3898.5573770000001</v>
      </c>
      <c r="CD47" s="113">
        <f xml:space="preserve"> IF(  AND( $A47&lt;&gt;$CD$14, OR( 'i1'!EO47=LEER, 'i1'!EM47&lt;&gt;LEER ) ), #N/A, 'i1'!EO47 )</f>
        <v>29875.08</v>
      </c>
      <c r="CE47" s="113" t="e">
        <f xml:space="preserve"> IF(   'i1'!EM47=LEER, #N/A,  'i1'!EM47 )</f>
        <v>#N/A</v>
      </c>
      <c r="CF47" s="114" t="e">
        <f xml:space="preserve"> IF(   'i1'!EL47=LEER, #N/A, 'i1'!EL47 + 'i1'!EM47 )</f>
        <v>#N/A</v>
      </c>
      <c r="CW47" s="104">
        <f xml:space="preserve"> 'i1'!FN47</f>
        <v>47</v>
      </c>
      <c r="CX47" s="106">
        <f xml:space="preserve"> IF(  INDEX( 'i1'!$FS47:$JO47, CX$13 ) = LEER,  #N/A,  INDEX( 'i1'!$FS47:$JO47, CX$13 )  )</f>
        <v>58006.879999999997</v>
      </c>
      <c r="CY47" s="106">
        <f xml:space="preserve"> IF(  INDEX( 'i1'!$FS47:$JO47, CY$13 ) = LEER,  #N/A,  INDEX( 'i1'!$FS47:$JO47, CY$13 )  )</f>
        <v>49395.45</v>
      </c>
      <c r="CZ47" s="106">
        <f xml:space="preserve"> IF(  INDEX( 'i1'!$FS47:$JO47, CZ$13 ) = LEER,  #N/A,  INDEX( 'i1'!$FS47:$JO47, CZ$13 )  )</f>
        <v>40088.94</v>
      </c>
      <c r="DA47" s="106">
        <f xml:space="preserve"> IF(  INDEX( 'i1'!$FS47:$JO47, DA$13 ) = LEER,  #N/A,  INDEX( 'i1'!$FS47:$JO47, DA$13 )  )</f>
        <v>29875.08</v>
      </c>
      <c r="DB47" s="106">
        <f xml:space="preserve"> IF(  INDEX( 'i1'!$FS47:$JO47, DB$13 ) = LEER,  #N/A,  INDEX( 'i1'!$FS47:$JO47, DB$13 )  )</f>
        <v>18441.72</v>
      </c>
      <c r="DC47" s="106">
        <f xml:space="preserve"> IF(  INDEX( 'i1'!$FS47:$JO47, DC$13 ) = LEER,  #N/A,  INDEX( 'i1'!$FS47:$JO47, DC$13 )  )</f>
        <v>4935.63</v>
      </c>
      <c r="DD47" s="106" t="e">
        <f xml:space="preserve"> IF(  INDEX( 'i1'!$FS47:$JO47, DD$13 ) = LEER,  #N/A,  INDEX( 'i1'!$FS47:$JO47, DD$13 )  )</f>
        <v>#N/A</v>
      </c>
      <c r="DE47" s="106" t="e">
        <f xml:space="preserve"> IF(  INDEX( 'i1'!$FS47:$JO47, DE$13 ) = LEER,  #N/A,  INDEX( 'i1'!$FS47:$JO47, DE$13 )  )</f>
        <v>#N/A</v>
      </c>
      <c r="DF47" s="106" t="e">
        <f xml:space="preserve"> IF(  INDEX( 'i1'!$FS47:$JO47, DF$13 ) = LEER,  #N/A,  INDEX( 'i1'!$FS47:$JO47, DF$13 )  )</f>
        <v>#N/A</v>
      </c>
      <c r="DG47" s="106" t="e">
        <f xml:space="preserve"> IF(  INDEX( 'i1'!$FS47:$JO47, DG$13 ) = LEER,  #N/A,  INDEX( 'i1'!$FS47:$JO47, DG$13 )  )</f>
        <v>#N/A</v>
      </c>
      <c r="DH47" s="106" t="e">
        <f xml:space="preserve"> IF(  INDEX( 'i1'!$FS47:$JO47, DH$13 ) = LEER,  #N/A,  INDEX( 'i1'!$FS47:$JO47, DH$13 )  )</f>
        <v>#N/A</v>
      </c>
      <c r="DI47" s="106" t="e">
        <f xml:space="preserve"> IF(  INDEX( 'i1'!$FS47:$JO47, DI$13 ) = LEER,  #N/A,  INDEX( 'i1'!$FS47:$JO47, DI$13 )  )</f>
        <v>#N/A</v>
      </c>
      <c r="DJ47" s="106" t="e">
        <f xml:space="preserve"> IF(  INDEX( 'i1'!$FS47:$JO47, DJ$13 ) = LEER,  #N/A,  INDEX( 'i1'!$FS47:$JO47, DJ$13 )  )</f>
        <v>#N/A</v>
      </c>
      <c r="DK47" s="106" t="e">
        <f xml:space="preserve"> IF(  INDEX( 'i1'!$FS47:$JO47, DK$13 ) = LEER,  #N/A,  INDEX( 'i1'!$FS47:$JO47, DK$13 )  )</f>
        <v>#N/A</v>
      </c>
      <c r="DL47" s="106" t="e">
        <f xml:space="preserve"> IF(  INDEX( 'i1'!$FS47:$JO47, DL$13 ) = LEER,  #N/A,  INDEX( 'i1'!$FS47:$JO47, DL$13 )  )</f>
        <v>#N/A</v>
      </c>
      <c r="DM47" s="106" t="e">
        <f xml:space="preserve"> IF(  INDEX( 'i1'!$FS47:$JO47, DM$13 ) = LEER,  #N/A,  INDEX( 'i1'!$FS47:$JO47, DM$13 )  )</f>
        <v>#N/A</v>
      </c>
      <c r="DN47" s="106" t="e">
        <f xml:space="preserve"> IF(  INDEX( 'i1'!$FS47:$JO47, DN$13 ) = LEER,  #N/A,  INDEX( 'i1'!$FS47:$JO47, DN$13 )  )</f>
        <v>#N/A</v>
      </c>
    </row>
    <row r="48" spans="1:118" x14ac:dyDescent="0.2">
      <c r="A48" s="15">
        <f xml:space="preserve"> Basis!A48</f>
        <v>48</v>
      </c>
      <c r="C48" s="24" t="b">
        <f xml:space="preserve"> 'i1'!$O48</f>
        <v>1</v>
      </c>
      <c r="D48" s="24" t="b">
        <f xml:space="preserve"> 'i2'!$O48</f>
        <v>1</v>
      </c>
      <c r="E48" s="24" t="b">
        <f xml:space="preserve"> 'i3'!$O48</f>
        <v>1</v>
      </c>
      <c r="G48" s="27">
        <f xml:space="preserve"> IF( $C49,   IF( 'i1'!$P48=LEER,  #N/A,  'i1'!$P48  ),   #N/A  )</f>
        <v>2.4799999999999999E-2</v>
      </c>
      <c r="H48" s="27">
        <f xml:space="preserve"> IF( $D49,   IF( 'i2'!$P48=LEER,  #N/A,  'i2'!$P48  ),   #N/A  )</f>
        <v>2.4799999999999999E-2</v>
      </c>
      <c r="I48" s="27">
        <f xml:space="preserve"> IF( $E49,   IF( 'i3'!$P48=LEER,  #N/A,  'i3'!$P48  ),   #N/A  )</f>
        <v>2.4799999999999999E-2</v>
      </c>
      <c r="J48" s="158"/>
      <c r="K48" s="27">
        <f xml:space="preserve"> IF( $C49,   IF( 'i1'!$G48=LEER,  #N/A,  'i1'!$G48  ),   #N/A  )</f>
        <v>2.3800000000000002E-2</v>
      </c>
      <c r="L48" s="27">
        <f xml:space="preserve"> IF( $D49,   IF( 'i2'!$G48=LEER,  #N/A,  'i2'!$G48  ),   #N/A  )</f>
        <v>2.3800000000000002E-2</v>
      </c>
      <c r="M48" s="27">
        <f xml:space="preserve"> IF( $E49,   IF( 'i3'!$G48=LEER,  #N/A,  'i3'!$G48  ),   #N/A  )</f>
        <v>2.3800000000000002E-2</v>
      </c>
      <c r="N48" s="158"/>
      <c r="O48" s="158"/>
      <c r="Q48" s="28">
        <f t="shared" si="35"/>
        <v>30.189670091973998</v>
      </c>
      <c r="R48" s="28">
        <f t="shared" si="36"/>
        <v>30.189670091973998</v>
      </c>
      <c r="S48" s="28">
        <f t="shared" si="37"/>
        <v>30.189670091973998</v>
      </c>
      <c r="U48" s="76">
        <f xml:space="preserve"> IF( $C47,   SUM('i1'!$R48),   #N/A  )</f>
        <v>702665</v>
      </c>
      <c r="V48" s="76">
        <f xml:space="preserve"> IF( $C47,   SUM('i2'!$R48),   #N/A  )</f>
        <v>702665</v>
      </c>
      <c r="W48" s="76">
        <f xml:space="preserve"> IF( $C47,   SUM('i3'!$R48),   #N/A  )</f>
        <v>702665</v>
      </c>
      <c r="Y48" s="33"/>
      <c r="Z48" s="22">
        <f xml:space="preserve"> IF( $C48,   IF( 'i1'!$J48=LEER,  #N/A,  'i1'!$J48  ),   #N/A  )</f>
        <v>1.2010000000000001</v>
      </c>
      <c r="AA48" s="22">
        <f xml:space="preserve"> IF( $D48,   IF( 'i2'!$J48=LEER,  #N/A,  'i2'!$J48  ),   #N/A  )</f>
        <v>1.2010000000000001</v>
      </c>
      <c r="AB48" s="22">
        <f xml:space="preserve"> IF( $E48,   IF( 'i3'!$J48=LEER,  #N/A,  'i3'!$J48  ),   #N/A  )</f>
        <v>1.2010000000000001</v>
      </c>
      <c r="AC48" s="75"/>
      <c r="AD48" s="26">
        <f t="shared" si="25"/>
        <v>2495.4257900000002</v>
      </c>
      <c r="AE48" s="26">
        <f t="shared" si="26"/>
        <v>2495.4257900000002</v>
      </c>
      <c r="AF48" s="26">
        <f t="shared" si="27"/>
        <v>2495.4257900000002</v>
      </c>
      <c r="AG48" s="23"/>
      <c r="AH48" s="24">
        <f xml:space="preserve">    IF(  'i1'!$AK48=LEER,  #N/A,  ROUND( 'i1'!$AK48, AH$15 )  )</f>
        <v>584.15</v>
      </c>
      <c r="AI48" s="24">
        <f xml:space="preserve">    IF(  'i2'!$AK48=LEER,  #N/A,  ROUND( 'i2'!$AK48, AI$15 )  )</f>
        <v>584.15</v>
      </c>
      <c r="AJ48" s="24">
        <f xml:space="preserve">    IF(  'i3'!$AK48=LEER,  #N/A,  ROUND( 'i3'!$AK48, AJ$15 )  )</f>
        <v>584.15</v>
      </c>
      <c r="AL48" s="102">
        <f t="shared" si="28"/>
        <v>584.15</v>
      </c>
      <c r="AO48" s="24">
        <f xml:space="preserve">    IF( 'i1'!$AN48=LEER,  #N/A,  'i1'!$AN48  )</f>
        <v>33893.72</v>
      </c>
      <c r="AP48" s="24">
        <f xml:space="preserve">    IF( 'i2'!$AN48=LEER,  #N/A,  'i2'!$AN48  )</f>
        <v>33893.72</v>
      </c>
      <c r="AQ48" s="24">
        <f xml:space="preserve">    IF( 'i3'!$AN48=LEER,  #N/A,  'i3'!$AN48  )</f>
        <v>33893.72</v>
      </c>
      <c r="AS48" s="24">
        <f xml:space="preserve">    IF( 'i1'!$AO48=LEER,  #N/A,  'i1'!$AO48  )</f>
        <v>32970.93</v>
      </c>
      <c r="AT48" s="24">
        <f xml:space="preserve">    IF( 'i2'!$AO48=LEER,  #N/A,  'i2'!$AO48  )</f>
        <v>32970.93</v>
      </c>
      <c r="AU48" s="24">
        <f xml:space="preserve">    IF( 'i3'!$AO48=LEER,  #N/A,  'i3'!$AO48  )</f>
        <v>32970.93</v>
      </c>
      <c r="AW48" s="28">
        <f t="shared" si="38"/>
        <v>16.3124</v>
      </c>
      <c r="AX48" s="28">
        <f t="shared" si="29"/>
        <v>16.3124</v>
      </c>
      <c r="AY48" s="28">
        <f t="shared" si="30"/>
        <v>16.3124</v>
      </c>
      <c r="BA48" s="28">
        <f t="shared" si="31"/>
        <v>15.8683</v>
      </c>
      <c r="BB48" s="28">
        <f t="shared" si="32"/>
        <v>15.8683</v>
      </c>
      <c r="BC48" s="28">
        <f t="shared" si="33"/>
        <v>15.8683</v>
      </c>
      <c r="BG48" s="24">
        <f xml:space="preserve">    IF( 'i1'!BT48=LEER,  #N/A,  'i1'!BT48  )</f>
        <v>1443.73</v>
      </c>
      <c r="BH48" s="24">
        <f xml:space="preserve">    IF( 'i1'!BR48=LEER,  #N/A,  'i1'!BR48  )</f>
        <v>30799.07</v>
      </c>
      <c r="BI48" s="111">
        <f t="shared" si="34"/>
        <v>32242.799999999999</v>
      </c>
      <c r="BJ48" s="24">
        <f xml:space="preserve">    IF( 'i1'!BX48=LEER,  #N/A,  'i1'!BX48  )</f>
        <v>1650.9200000000019</v>
      </c>
      <c r="BL48" s="24">
        <f xml:space="preserve">    IF( 'i1'!CB48=LEER,  #N/A,  'i1'!CB48  )</f>
        <v>1390.93</v>
      </c>
      <c r="BM48" s="24">
        <f xml:space="preserve">    IF( 'i1'!CC48=LEER,  #N/A,  'i1'!CC48  )</f>
        <v>847.34</v>
      </c>
      <c r="BN48" s="24">
        <f xml:space="preserve">    IF( 'i1'!CD48=LEER,  #N/A,  'i1'!CD48  )</f>
        <v>918.86</v>
      </c>
      <c r="BO48" s="24">
        <f xml:space="preserve">    IF( 'i1'!CE48=LEER,  #N/A,  'i1'!CE48  )</f>
        <v>3157.13</v>
      </c>
      <c r="BQ48" s="24">
        <f xml:space="preserve">    IF( 'i1'!CI48=LEER,  #N/A,  'i1'!CI48  )</f>
        <v>2495.4299999999998</v>
      </c>
      <c r="BR48" s="24">
        <f xml:space="preserve">    IF( 'i1'!CJ48=LEER,  #N/A,  'i1'!CJ48  )</f>
        <v>2253.33</v>
      </c>
      <c r="BS48" s="24">
        <f xml:space="preserve">    IF( 'i1'!CK48=LEER,  #N/A,  'i1'!CK48  )</f>
        <v>-896.45</v>
      </c>
      <c r="BT48" s="38">
        <f xml:space="preserve">    IF( 'i1'!CH48=LEER,  #N/A,  'i1'!CH48  )</f>
        <v>3852.4304390000002</v>
      </c>
      <c r="BV48" s="24">
        <f xml:space="preserve">    IF( 'i1'!CO48=LEER,  #N/A,  'i1'!CO48  )</f>
        <v>2495.4299999999998</v>
      </c>
      <c r="BW48" s="24">
        <f xml:space="preserve">    IF( 'i1'!CP48=LEER,  #N/A,  'i1'!CP48  )</f>
        <v>2277.17</v>
      </c>
      <c r="BX48" s="24">
        <f xml:space="preserve">    IF( 'i1'!CQ48=LEER,  #N/A,  'i1'!CQ48  )</f>
        <v>-874.15</v>
      </c>
      <c r="BY48" s="38">
        <f xml:space="preserve">    IF( 'i1'!CN48=LEER,  #N/A,  'i1'!CN48  )</f>
        <v>3898.5573770000001</v>
      </c>
      <c r="CD48" s="113">
        <f xml:space="preserve"> IF(  AND( $A48&lt;&gt;$CD$14, OR( 'i1'!EO48=LEER, 'i1'!EM48&lt;&gt;LEER ) ), #N/A, 'i1'!EO48 )</f>
        <v>32970.93</v>
      </c>
      <c r="CE48" s="113" t="e">
        <f xml:space="preserve"> IF(   'i1'!EM48=LEER, #N/A,  'i1'!EM48 )</f>
        <v>#N/A</v>
      </c>
      <c r="CF48" s="114" t="e">
        <f xml:space="preserve"> IF(   'i1'!EL48=LEER, #N/A, 'i1'!EL48 + 'i1'!EM48 )</f>
        <v>#N/A</v>
      </c>
      <c r="CW48" s="104">
        <f xml:space="preserve"> 'i1'!FN48</f>
        <v>48</v>
      </c>
      <c r="CX48" s="106">
        <f xml:space="preserve"> IF(  INDEX( 'i1'!$FS48:$JO48, CX$13 ) = LEER,  #N/A,  INDEX( 'i1'!$FS48:$JO48, CX$13 )  )</f>
        <v>61066.080000000002</v>
      </c>
      <c r="CY48" s="106">
        <f xml:space="preserve"> IF(  INDEX( 'i1'!$FS48:$JO48, CY$13 ) = LEER,  #N/A,  INDEX( 'i1'!$FS48:$JO48, CY$13 )  )</f>
        <v>52465.86</v>
      </c>
      <c r="CZ48" s="106">
        <f xml:space="preserve"> IF(  INDEX( 'i1'!$FS48:$JO48, CZ$13 ) = LEER,  #N/A,  INDEX( 'i1'!$FS48:$JO48, CZ$13 )  )</f>
        <v>43171.48</v>
      </c>
      <c r="DA48" s="106">
        <f xml:space="preserve"> IF(  INDEX( 'i1'!$FS48:$JO48, DA$13 ) = LEER,  #N/A,  INDEX( 'i1'!$FS48:$JO48, DA$13 )  )</f>
        <v>32970.93</v>
      </c>
      <c r="DB48" s="106">
        <f xml:space="preserve"> IF(  INDEX( 'i1'!$FS48:$JO48, DB$13 ) = LEER,  #N/A,  INDEX( 'i1'!$FS48:$JO48, DB$13 )  )</f>
        <v>21552.47</v>
      </c>
      <c r="DC48" s="106">
        <f xml:space="preserve"> IF(  INDEX( 'i1'!$FS48:$JO48, DC$13 ) = LEER,  #N/A,  INDEX( 'i1'!$FS48:$JO48, DC$13 )  )</f>
        <v>8063.97</v>
      </c>
      <c r="DD48" s="106" t="e">
        <f xml:space="preserve"> IF(  INDEX( 'i1'!$FS48:$JO48, DD$13 ) = LEER,  #N/A,  INDEX( 'i1'!$FS48:$JO48, DD$13 )  )</f>
        <v>#N/A</v>
      </c>
      <c r="DE48" s="106" t="e">
        <f xml:space="preserve"> IF(  INDEX( 'i1'!$FS48:$JO48, DE$13 ) = LEER,  #N/A,  INDEX( 'i1'!$FS48:$JO48, DE$13 )  )</f>
        <v>#N/A</v>
      </c>
      <c r="DF48" s="106" t="e">
        <f xml:space="preserve"> IF(  INDEX( 'i1'!$FS48:$JO48, DF$13 ) = LEER,  #N/A,  INDEX( 'i1'!$FS48:$JO48, DF$13 )  )</f>
        <v>#N/A</v>
      </c>
      <c r="DG48" s="106" t="e">
        <f xml:space="preserve"> IF(  INDEX( 'i1'!$FS48:$JO48, DG$13 ) = LEER,  #N/A,  INDEX( 'i1'!$FS48:$JO48, DG$13 )  )</f>
        <v>#N/A</v>
      </c>
      <c r="DH48" s="106" t="e">
        <f xml:space="preserve"> IF(  INDEX( 'i1'!$FS48:$JO48, DH$13 ) = LEER,  #N/A,  INDEX( 'i1'!$FS48:$JO48, DH$13 )  )</f>
        <v>#N/A</v>
      </c>
      <c r="DI48" s="106" t="e">
        <f xml:space="preserve"> IF(  INDEX( 'i1'!$FS48:$JO48, DI$13 ) = LEER,  #N/A,  INDEX( 'i1'!$FS48:$JO48, DI$13 )  )</f>
        <v>#N/A</v>
      </c>
      <c r="DJ48" s="106" t="e">
        <f xml:space="preserve"> IF(  INDEX( 'i1'!$FS48:$JO48, DJ$13 ) = LEER,  #N/A,  INDEX( 'i1'!$FS48:$JO48, DJ$13 )  )</f>
        <v>#N/A</v>
      </c>
      <c r="DK48" s="106" t="e">
        <f xml:space="preserve"> IF(  INDEX( 'i1'!$FS48:$JO48, DK$13 ) = LEER,  #N/A,  INDEX( 'i1'!$FS48:$JO48, DK$13 )  )</f>
        <v>#N/A</v>
      </c>
      <c r="DL48" s="106" t="e">
        <f xml:space="preserve"> IF(  INDEX( 'i1'!$FS48:$JO48, DL$13 ) = LEER,  #N/A,  INDEX( 'i1'!$FS48:$JO48, DL$13 )  )</f>
        <v>#N/A</v>
      </c>
      <c r="DM48" s="106" t="e">
        <f xml:space="preserve"> IF(  INDEX( 'i1'!$FS48:$JO48, DM$13 ) = LEER,  #N/A,  INDEX( 'i1'!$FS48:$JO48, DM$13 )  )</f>
        <v>#N/A</v>
      </c>
      <c r="DN48" s="106" t="e">
        <f xml:space="preserve"> IF(  INDEX( 'i1'!$FS48:$JO48, DN$13 ) = LEER,  #N/A,  INDEX( 'i1'!$FS48:$JO48, DN$13 )  )</f>
        <v>#N/A</v>
      </c>
    </row>
    <row r="49" spans="1:118" x14ac:dyDescent="0.2">
      <c r="A49" s="15">
        <f xml:space="preserve"> Basis!A49</f>
        <v>49</v>
      </c>
      <c r="C49" s="24" t="b">
        <f xml:space="preserve"> 'i1'!$O49</f>
        <v>1</v>
      </c>
      <c r="D49" s="24" t="b">
        <f xml:space="preserve"> 'i2'!$O49</f>
        <v>1</v>
      </c>
      <c r="E49" s="24" t="b">
        <f xml:space="preserve"> 'i3'!$O49</f>
        <v>1</v>
      </c>
      <c r="G49" s="27">
        <f xml:space="preserve"> IF( $C50,   IF( 'i1'!$P49=LEER,  #N/A,  'i1'!$P49  ),   #N/A  )</f>
        <v>2.5000000000000001E-2</v>
      </c>
      <c r="H49" s="27">
        <f xml:space="preserve"> IF( $D50,   IF( 'i2'!$P49=LEER,  #N/A,  'i2'!$P49  ),   #N/A  )</f>
        <v>2.5000000000000001E-2</v>
      </c>
      <c r="I49" s="27">
        <f xml:space="preserve"> IF( $E50,   IF( 'i3'!$P49=LEER,  #N/A,  'i3'!$P49  ),   #N/A  )</f>
        <v>2.5000000000000001E-2</v>
      </c>
      <c r="J49" s="158"/>
      <c r="K49" s="27">
        <f xml:space="preserve"> IF( $C50,   IF( 'i1'!$G49=LEER,  #N/A,  'i1'!$G49  ),   #N/A  )</f>
        <v>2.3800000000000002E-2</v>
      </c>
      <c r="L49" s="27">
        <f xml:space="preserve"> IF( $D50,   IF( 'i2'!$G49=LEER,  #N/A,  'i2'!$G49  ),   #N/A  )</f>
        <v>2.3800000000000002E-2</v>
      </c>
      <c r="M49" s="27">
        <f xml:space="preserve"> IF( $E50,   IF( 'i3'!$G49=LEER,  #N/A,  'i3'!$G49  ),   #N/A  )</f>
        <v>2.3800000000000002E-2</v>
      </c>
      <c r="N49" s="158"/>
      <c r="O49" s="158"/>
      <c r="Q49" s="28">
        <f t="shared" si="35"/>
        <v>29.944698617692779</v>
      </c>
      <c r="R49" s="28">
        <f t="shared" si="36"/>
        <v>29.944698617692779</v>
      </c>
      <c r="S49" s="28">
        <f t="shared" si="37"/>
        <v>29.944698617692779</v>
      </c>
      <c r="U49" s="76">
        <f xml:space="preserve"> IF( $C48,   SUM('i1'!$R49),   #N/A  )</f>
        <v>685238</v>
      </c>
      <c r="V49" s="76">
        <f xml:space="preserve"> IF( $C48,   SUM('i2'!$R49),   #N/A  )</f>
        <v>685238</v>
      </c>
      <c r="W49" s="76">
        <f xml:space="preserve"> IF( $C48,   SUM('i3'!$R49),   #N/A  )</f>
        <v>685238</v>
      </c>
      <c r="Y49" s="33"/>
      <c r="Z49" s="22">
        <f xml:space="preserve"> IF( $C49,   IF( 'i1'!$J49=LEER,  #N/A,  'i1'!$J49  ),   #N/A  )</f>
        <v>1.248</v>
      </c>
      <c r="AA49" s="22">
        <f xml:space="preserve"> IF( $D49,   IF( 'i2'!$J49=LEER,  #N/A,  'i2'!$J49  ),   #N/A  )</f>
        <v>1.248</v>
      </c>
      <c r="AB49" s="22">
        <f xml:space="preserve"> IF( $E49,   IF( 'i3'!$J49=LEER,  #N/A,  'i3'!$J49  ),   #N/A  )</f>
        <v>1.248</v>
      </c>
      <c r="AC49" s="75"/>
      <c r="AD49" s="26">
        <f t="shared" si="25"/>
        <v>2593.0819200000001</v>
      </c>
      <c r="AE49" s="26">
        <f t="shared" si="26"/>
        <v>2593.0819200000001</v>
      </c>
      <c r="AF49" s="26">
        <f t="shared" si="27"/>
        <v>2593.0819200000001</v>
      </c>
      <c r="AG49" s="23"/>
      <c r="AH49" s="24">
        <f xml:space="preserve">    IF(  'i1'!$AK49=LEER,  #N/A,  ROUND( 'i1'!$AK49, AH$15 )  )</f>
        <v>598.94000000000005</v>
      </c>
      <c r="AI49" s="24">
        <f xml:space="preserve">    IF(  'i2'!$AK49=LEER,  #N/A,  ROUND( 'i2'!$AK49, AI$15 )  )</f>
        <v>598.94000000000005</v>
      </c>
      <c r="AJ49" s="24">
        <f xml:space="preserve">    IF(  'i3'!$AK49=LEER,  #N/A,  ROUND( 'i3'!$AK49, AJ$15 )  )</f>
        <v>598.94000000000005</v>
      </c>
      <c r="AL49" s="102">
        <f t="shared" si="28"/>
        <v>598.94000000000005</v>
      </c>
      <c r="AO49" s="24">
        <f xml:space="preserve">    IF( 'i1'!$AN49=LEER,  #N/A,  'i1'!$AN49  )</f>
        <v>37050.730000000003</v>
      </c>
      <c r="AP49" s="24">
        <f xml:space="preserve">    IF( 'i2'!$AN49=LEER,  #N/A,  'i2'!$AN49  )</f>
        <v>37050.730000000003</v>
      </c>
      <c r="AQ49" s="24">
        <f xml:space="preserve">    IF( 'i3'!$AN49=LEER,  #N/A,  'i3'!$AN49  )</f>
        <v>37050.730000000003</v>
      </c>
      <c r="AS49" s="24">
        <f xml:space="preserve">    IF( 'i1'!$AO49=LEER,  #N/A,  'i1'!$AO49  )</f>
        <v>36129.300000000003</v>
      </c>
      <c r="AT49" s="24">
        <f xml:space="preserve">    IF( 'i2'!$AO49=LEER,  #N/A,  'i2'!$AO49  )</f>
        <v>36129.300000000003</v>
      </c>
      <c r="AU49" s="24">
        <f xml:space="preserve">    IF( 'i3'!$AO49=LEER,  #N/A,  'i3'!$AO49  )</f>
        <v>36129.300000000003</v>
      </c>
      <c r="AW49" s="28">
        <f t="shared" si="38"/>
        <v>17.831800000000001</v>
      </c>
      <c r="AX49" s="28">
        <f t="shared" si="29"/>
        <v>17.831800000000001</v>
      </c>
      <c r="AY49" s="28">
        <f t="shared" si="30"/>
        <v>17.831800000000001</v>
      </c>
      <c r="BA49" s="28">
        <f t="shared" si="31"/>
        <v>17.388300000000001</v>
      </c>
      <c r="BB49" s="28">
        <f t="shared" si="32"/>
        <v>17.388300000000001</v>
      </c>
      <c r="BC49" s="28">
        <f t="shared" si="33"/>
        <v>17.388300000000001</v>
      </c>
      <c r="BG49" s="24">
        <f xml:space="preserve">    IF( 'i1'!BT49=LEER,  #N/A,  'i1'!BT49  )</f>
        <v>1357.6</v>
      </c>
      <c r="BH49" s="24">
        <f xml:space="preserve">    IF( 'i1'!BR49=LEER,  #N/A,  'i1'!BR49  )</f>
        <v>33893.72</v>
      </c>
      <c r="BI49" s="111">
        <f t="shared" si="34"/>
        <v>35251.32</v>
      </c>
      <c r="BJ49" s="24">
        <f xml:space="preserve">    IF( 'i1'!BX49=LEER,  #N/A,  'i1'!BX49  )</f>
        <v>1799.4100000000035</v>
      </c>
      <c r="BL49" s="24">
        <f xml:space="preserve">    IF( 'i1'!CB49=LEER,  #N/A,  'i1'!CB49  )</f>
        <v>1290.83</v>
      </c>
      <c r="BM49" s="24">
        <f xml:space="preserve">    IF( 'i1'!CC49=LEER,  #N/A,  'i1'!CC49  )</f>
        <v>926.27</v>
      </c>
      <c r="BN49" s="24">
        <f xml:space="preserve">    IF( 'i1'!CD49=LEER,  #N/A,  'i1'!CD49  )</f>
        <v>1006.87</v>
      </c>
      <c r="BO49" s="24">
        <f xml:space="preserve">    IF( 'i1'!CE49=LEER,  #N/A,  'i1'!CE49  )</f>
        <v>3223.97</v>
      </c>
      <c r="BQ49" s="24">
        <f xml:space="preserve">    IF( 'i1'!CI49=LEER,  #N/A,  'i1'!CI49  )</f>
        <v>2593.08</v>
      </c>
      <c r="BR49" s="24">
        <f xml:space="preserve">    IF( 'i1'!CJ49=LEER,  #N/A,  'i1'!CJ49  )</f>
        <v>2241.75</v>
      </c>
      <c r="BS49" s="24">
        <f xml:space="preserve">    IF( 'i1'!CK49=LEER,  #N/A,  'i1'!CK49  )</f>
        <v>-982.31</v>
      </c>
      <c r="BT49" s="38">
        <f xml:space="preserve">    IF( 'i1'!CH49=LEER,  #N/A,  'i1'!CH49  )</f>
        <v>3852.4304390000002</v>
      </c>
      <c r="BV49" s="24">
        <f xml:space="preserve">    IF( 'i1'!CO49=LEER,  #N/A,  'i1'!CO49  )</f>
        <v>2593.08</v>
      </c>
      <c r="BW49" s="24">
        <f xml:space="preserve">    IF( 'i1'!CP49=LEER,  #N/A,  'i1'!CP49  )</f>
        <v>2265.4299999999998</v>
      </c>
      <c r="BX49" s="24">
        <f xml:space="preserve">    IF( 'i1'!CQ49=LEER,  #N/A,  'i1'!CQ49  )</f>
        <v>-959.87</v>
      </c>
      <c r="BY49" s="38">
        <f xml:space="preserve">    IF( 'i1'!CN49=LEER,  #N/A,  'i1'!CN49  )</f>
        <v>3898.5573770000001</v>
      </c>
      <c r="CD49" s="113">
        <f xml:space="preserve"> IF(  AND( $A49&lt;&gt;$CD$14, OR( 'i1'!EO49=LEER, 'i1'!EM49&lt;&gt;LEER ) ), #N/A, 'i1'!EO49 )</f>
        <v>36129.300000000003</v>
      </c>
      <c r="CE49" s="113" t="e">
        <f xml:space="preserve"> IF(   'i1'!EM49=LEER, #N/A,  'i1'!EM49 )</f>
        <v>#N/A</v>
      </c>
      <c r="CF49" s="114" t="e">
        <f xml:space="preserve"> IF(   'i1'!EL49=LEER, #N/A, 'i1'!EL49 + 'i1'!EM49 )</f>
        <v>#N/A</v>
      </c>
      <c r="CW49" s="104">
        <f xml:space="preserve"> 'i1'!FN49</f>
        <v>49</v>
      </c>
      <c r="CX49" s="106">
        <f xml:space="preserve"> IF(  INDEX( 'i1'!$FS49:$JO49, CX$13 ) = LEER,  #N/A,  INDEX( 'i1'!$FS49:$JO49, CX$13 )  )</f>
        <v>64183.16</v>
      </c>
      <c r="CY49" s="106">
        <f xml:space="preserve"> IF(  INDEX( 'i1'!$FS49:$JO49, CY$13 ) = LEER,  #N/A,  INDEX( 'i1'!$FS49:$JO49, CY$13 )  )</f>
        <v>55595.58</v>
      </c>
      <c r="CZ49" s="106">
        <f xml:space="preserve"> IF(  INDEX( 'i1'!$FS49:$JO49, CZ$13 ) = LEER,  #N/A,  INDEX( 'i1'!$FS49:$JO49, CZ$13 )  )</f>
        <v>46314.86</v>
      </c>
      <c r="DA49" s="106">
        <f xml:space="preserve"> IF(  INDEX( 'i1'!$FS49:$JO49, DA$13 ) = LEER,  #N/A,  INDEX( 'i1'!$FS49:$JO49, DA$13 )  )</f>
        <v>36129.300000000003</v>
      </c>
      <c r="DB49" s="106">
        <f xml:space="preserve"> IF(  INDEX( 'i1'!$FS49:$JO49, DB$13 ) = LEER,  #N/A,  INDEX( 'i1'!$FS49:$JO49, DB$13 )  )</f>
        <v>24727.62</v>
      </c>
      <c r="DC49" s="106">
        <f xml:space="preserve"> IF(  INDEX( 'i1'!$FS49:$JO49, DC$13 ) = LEER,  #N/A,  INDEX( 'i1'!$FS49:$JO49, DC$13 )  )</f>
        <v>11258.95</v>
      </c>
      <c r="DD49" s="106" t="e">
        <f xml:space="preserve"> IF(  INDEX( 'i1'!$FS49:$JO49, DD$13 ) = LEER,  #N/A,  INDEX( 'i1'!$FS49:$JO49, DD$13 )  )</f>
        <v>#N/A</v>
      </c>
      <c r="DE49" s="106" t="e">
        <f xml:space="preserve"> IF(  INDEX( 'i1'!$FS49:$JO49, DE$13 ) = LEER,  #N/A,  INDEX( 'i1'!$FS49:$JO49, DE$13 )  )</f>
        <v>#N/A</v>
      </c>
      <c r="DF49" s="106" t="e">
        <f xml:space="preserve"> IF(  INDEX( 'i1'!$FS49:$JO49, DF$13 ) = LEER,  #N/A,  INDEX( 'i1'!$FS49:$JO49, DF$13 )  )</f>
        <v>#N/A</v>
      </c>
      <c r="DG49" s="106" t="e">
        <f xml:space="preserve"> IF(  INDEX( 'i1'!$FS49:$JO49, DG$13 ) = LEER,  #N/A,  INDEX( 'i1'!$FS49:$JO49, DG$13 )  )</f>
        <v>#N/A</v>
      </c>
      <c r="DH49" s="106" t="e">
        <f xml:space="preserve"> IF(  INDEX( 'i1'!$FS49:$JO49, DH$13 ) = LEER,  #N/A,  INDEX( 'i1'!$FS49:$JO49, DH$13 )  )</f>
        <v>#N/A</v>
      </c>
      <c r="DI49" s="106" t="e">
        <f xml:space="preserve"> IF(  INDEX( 'i1'!$FS49:$JO49, DI$13 ) = LEER,  #N/A,  INDEX( 'i1'!$FS49:$JO49, DI$13 )  )</f>
        <v>#N/A</v>
      </c>
      <c r="DJ49" s="106" t="e">
        <f xml:space="preserve"> IF(  INDEX( 'i1'!$FS49:$JO49, DJ$13 ) = LEER,  #N/A,  INDEX( 'i1'!$FS49:$JO49, DJ$13 )  )</f>
        <v>#N/A</v>
      </c>
      <c r="DK49" s="106" t="e">
        <f xml:space="preserve"> IF(  INDEX( 'i1'!$FS49:$JO49, DK$13 ) = LEER,  #N/A,  INDEX( 'i1'!$FS49:$JO49, DK$13 )  )</f>
        <v>#N/A</v>
      </c>
      <c r="DL49" s="106" t="e">
        <f xml:space="preserve"> IF(  INDEX( 'i1'!$FS49:$JO49, DL$13 ) = LEER,  #N/A,  INDEX( 'i1'!$FS49:$JO49, DL$13 )  )</f>
        <v>#N/A</v>
      </c>
      <c r="DM49" s="106" t="e">
        <f xml:space="preserve"> IF(  INDEX( 'i1'!$FS49:$JO49, DM$13 ) = LEER,  #N/A,  INDEX( 'i1'!$FS49:$JO49, DM$13 )  )</f>
        <v>#N/A</v>
      </c>
      <c r="DN49" s="106" t="e">
        <f xml:space="preserve"> IF(  INDEX( 'i1'!$FS49:$JO49, DN$13 ) = LEER,  #N/A,  INDEX( 'i1'!$FS49:$JO49, DN$13 )  )</f>
        <v>#N/A</v>
      </c>
    </row>
    <row r="50" spans="1:118" x14ac:dyDescent="0.2">
      <c r="A50" s="15">
        <f xml:space="preserve"> Basis!A50</f>
        <v>50</v>
      </c>
      <c r="C50" s="24" t="b">
        <f xml:space="preserve"> 'i1'!$O50</f>
        <v>1</v>
      </c>
      <c r="D50" s="24" t="b">
        <f xml:space="preserve"> 'i2'!$O50</f>
        <v>1</v>
      </c>
      <c r="E50" s="24" t="b">
        <f xml:space="preserve"> 'i3'!$O50</f>
        <v>1</v>
      </c>
      <c r="G50" s="27">
        <f xml:space="preserve"> IF( $C51,   IF( 'i1'!$P50=LEER,  #N/A,  'i1'!$P50  ),   #N/A  )</f>
        <v>2.52E-2</v>
      </c>
      <c r="H50" s="27">
        <f xml:space="preserve"> IF( $D51,   IF( 'i2'!$P50=LEER,  #N/A,  'i2'!$P50  ),   #N/A  )</f>
        <v>2.52E-2</v>
      </c>
      <c r="I50" s="27">
        <f xml:space="preserve"> IF( $E51,   IF( 'i3'!$P50=LEER,  #N/A,  'i3'!$P50  ),   #N/A  )</f>
        <v>2.52E-2</v>
      </c>
      <c r="J50" s="158"/>
      <c r="K50" s="27">
        <f xml:space="preserve"> IF( $C51,   IF( 'i1'!$G50=LEER,  #N/A,  'i1'!$G50  ),   #N/A  )</f>
        <v>2.3900000000000001E-2</v>
      </c>
      <c r="L50" s="27">
        <f xml:space="preserve"> IF( $D51,   IF( 'i2'!$G50=LEER,  #N/A,  'i2'!$G50  ),   #N/A  )</f>
        <v>2.3900000000000001E-2</v>
      </c>
      <c r="M50" s="27">
        <f xml:space="preserve"> IF( $E51,   IF( 'i3'!$G50=LEER,  #N/A,  'i3'!$G50  ),   #N/A  )</f>
        <v>2.3900000000000001E-2</v>
      </c>
      <c r="N50" s="158"/>
      <c r="O50" s="158"/>
      <c r="Q50" s="28">
        <f t="shared" si="35"/>
        <v>29.699690889941312</v>
      </c>
      <c r="R50" s="28">
        <f t="shared" si="36"/>
        <v>29.699690889941312</v>
      </c>
      <c r="S50" s="28">
        <f t="shared" si="37"/>
        <v>29.699690889941312</v>
      </c>
      <c r="U50" s="76">
        <f xml:space="preserve"> IF( $C49,   SUM('i1'!$R50),   #N/A  )</f>
        <v>668107</v>
      </c>
      <c r="V50" s="76">
        <f xml:space="preserve"> IF( $C49,   SUM('i2'!$R50),   #N/A  )</f>
        <v>668107</v>
      </c>
      <c r="W50" s="76">
        <f xml:space="preserve"> IF( $C49,   SUM('i3'!$R50),   #N/A  )</f>
        <v>668107</v>
      </c>
      <c r="Y50" s="33"/>
      <c r="Z50" s="22">
        <f xml:space="preserve"> IF( $C50,   IF( 'i1'!$J50=LEER,  #N/A,  'i1'!$J50  ),   #N/A  )</f>
        <v>1.298</v>
      </c>
      <c r="AA50" s="22">
        <f xml:space="preserve"> IF( $D50,   IF( 'i2'!$J50=LEER,  #N/A,  'i2'!$J50  ),   #N/A  )</f>
        <v>1.298</v>
      </c>
      <c r="AB50" s="22">
        <f xml:space="preserve"> IF( $E50,   IF( 'i3'!$J50=LEER,  #N/A,  'i3'!$J50  ),   #N/A  )</f>
        <v>1.298</v>
      </c>
      <c r="AC50" s="75"/>
      <c r="AD50" s="26">
        <f t="shared" si="25"/>
        <v>2696.9714199999999</v>
      </c>
      <c r="AE50" s="26">
        <f t="shared" si="26"/>
        <v>2696.9714199999999</v>
      </c>
      <c r="AF50" s="26">
        <f t="shared" si="27"/>
        <v>2696.9714199999999</v>
      </c>
      <c r="AG50" s="23"/>
      <c r="AH50" s="24">
        <f xml:space="preserve">    IF(  'i1'!$AK50=LEER,  #N/A,  ROUND( 'i1'!$AK50, AH$15 )  )</f>
        <v>614.02</v>
      </c>
      <c r="AI50" s="24">
        <f xml:space="preserve">    IF(  'i2'!$AK50=LEER,  #N/A,  ROUND( 'i2'!$AK50, AI$15 )  )</f>
        <v>614.02</v>
      </c>
      <c r="AJ50" s="24">
        <f xml:space="preserve">    IF(  'i3'!$AK50=LEER,  #N/A,  ROUND( 'i3'!$AK50, AJ$15 )  )</f>
        <v>614.02</v>
      </c>
      <c r="AL50" s="102">
        <f t="shared" si="28"/>
        <v>614.02</v>
      </c>
      <c r="AO50" s="24">
        <f xml:space="preserve">    IF( 'i1'!$AN50=LEER,  #N/A,  'i1'!$AN50  )</f>
        <v>40274.79</v>
      </c>
      <c r="AP50" s="24">
        <f xml:space="preserve">    IF( 'i2'!$AN50=LEER,  #N/A,  'i2'!$AN50  )</f>
        <v>40274.79</v>
      </c>
      <c r="AQ50" s="24">
        <f xml:space="preserve">    IF( 'i3'!$AN50=LEER,  #N/A,  'i3'!$AN50  )</f>
        <v>40274.79</v>
      </c>
      <c r="AS50" s="24">
        <f xml:space="preserve">    IF( 'i1'!$AO50=LEER,  #N/A,  'i1'!$AO50  )</f>
        <v>39354.6</v>
      </c>
      <c r="AT50" s="24">
        <f xml:space="preserve">    IF( 'i2'!$AO50=LEER,  #N/A,  'i2'!$AO50  )</f>
        <v>39354.6</v>
      </c>
      <c r="AU50" s="24">
        <f xml:space="preserve">    IF( 'i3'!$AO50=LEER,  #N/A,  'i3'!$AO50  )</f>
        <v>39354.6</v>
      </c>
      <c r="AW50" s="28">
        <f t="shared" si="38"/>
        <v>19.383500000000002</v>
      </c>
      <c r="AX50" s="28">
        <f t="shared" si="29"/>
        <v>19.383500000000002</v>
      </c>
      <c r="AY50" s="28">
        <f t="shared" si="30"/>
        <v>19.383500000000002</v>
      </c>
      <c r="BA50" s="28">
        <f t="shared" si="31"/>
        <v>18.9406</v>
      </c>
      <c r="BB50" s="28">
        <f t="shared" si="32"/>
        <v>18.9406</v>
      </c>
      <c r="BC50" s="28">
        <f t="shared" si="33"/>
        <v>18.9406</v>
      </c>
      <c r="BG50" s="24">
        <f xml:space="preserve">    IF( 'i1'!BT50=LEER,  #N/A,  'i1'!BT50  )</f>
        <v>1258.54</v>
      </c>
      <c r="BH50" s="24">
        <f xml:space="preserve">    IF( 'i1'!BR50=LEER,  #N/A,  'i1'!BR50  )</f>
        <v>37050.730000000003</v>
      </c>
      <c r="BI50" s="111">
        <f t="shared" si="34"/>
        <v>38309.270000000004</v>
      </c>
      <c r="BJ50" s="24">
        <f xml:space="preserve">    IF( 'i1'!BX50=LEER,  #N/A,  'i1'!BX50  )</f>
        <v>1965.5199999999968</v>
      </c>
      <c r="BL50" s="24">
        <f xml:space="preserve">    IF( 'i1'!CB50=LEER,  #N/A,  'i1'!CB50  )</f>
        <v>1184.3499999999999</v>
      </c>
      <c r="BM50" s="24">
        <f xml:space="preserve">    IF( 'i1'!CC50=LEER,  #N/A,  'i1'!CC50  )</f>
        <v>1006.87</v>
      </c>
      <c r="BN50" s="24">
        <f xml:space="preserve">    IF( 'i1'!CD50=LEER,  #N/A,  'i1'!CD50  )</f>
        <v>1097.8</v>
      </c>
      <c r="BO50" s="24">
        <f xml:space="preserve">    IF( 'i1'!CE50=LEER,  #N/A,  'i1'!CE50  )</f>
        <v>3289.0199999999995</v>
      </c>
      <c r="BQ50" s="24">
        <f xml:space="preserve">    IF( 'i1'!CI50=LEER,  #N/A,  'i1'!CI50  )</f>
        <v>2696.97</v>
      </c>
      <c r="BR50" s="24">
        <f xml:space="preserve">    IF( 'i1'!CJ50=LEER,  #N/A,  'i1'!CJ50  )</f>
        <v>2226.37</v>
      </c>
      <c r="BS50" s="24">
        <f xml:space="preserve">    IF( 'i1'!CK50=LEER,  #N/A,  'i1'!CK50  )</f>
        <v>-1071.03</v>
      </c>
      <c r="BT50" s="38">
        <f xml:space="preserve">    IF( 'i1'!CH50=LEER,  #N/A,  'i1'!CH50  )</f>
        <v>3852.4304390000002</v>
      </c>
      <c r="BV50" s="24">
        <f xml:space="preserve">    IF( 'i1'!CO50=LEER,  #N/A,  'i1'!CO50  )</f>
        <v>2696.97</v>
      </c>
      <c r="BW50" s="24">
        <f xml:space="preserve">    IF( 'i1'!CP50=LEER,  #N/A,  'i1'!CP50  )</f>
        <v>2249.9</v>
      </c>
      <c r="BX50" s="24">
        <f xml:space="preserve">    IF( 'i1'!CQ50=LEER,  #N/A,  'i1'!CQ50  )</f>
        <v>-1048.43</v>
      </c>
      <c r="BY50" s="38">
        <f xml:space="preserve">    IF( 'i1'!CN50=LEER,  #N/A,  'i1'!CN50  )</f>
        <v>3898.5573770000001</v>
      </c>
      <c r="CD50" s="113">
        <f xml:space="preserve"> IF(  AND( $A50&lt;&gt;$CD$14, OR( 'i1'!EO50=LEER, 'i1'!EM50&lt;&gt;LEER ) ), #N/A, 'i1'!EO50 )</f>
        <v>39354.6</v>
      </c>
      <c r="CE50" s="113">
        <f xml:space="preserve"> IF(   'i1'!EM50=LEER, #N/A,  'i1'!EM50 )</f>
        <v>40582.800000000003</v>
      </c>
      <c r="CF50" s="114">
        <f xml:space="preserve"> IF(   'i1'!EL50=LEER, #N/A, 'i1'!EL50 + 'i1'!EM50 )</f>
        <v>39361.950000000004</v>
      </c>
      <c r="CW50" s="104">
        <f xml:space="preserve"> 'i1'!FN50</f>
        <v>50</v>
      </c>
      <c r="CX50" s="106">
        <f xml:space="preserve"> IF(  INDEX( 'i1'!$FS50:$JO50, CX$13 ) = LEER,  #N/A,  INDEX( 'i1'!$FS50:$JO50, CX$13 )  )</f>
        <v>67370.679999999993</v>
      </c>
      <c r="CY50" s="106">
        <f xml:space="preserve"> IF(  INDEX( 'i1'!$FS50:$JO50, CY$13 ) = LEER,  #N/A,  INDEX( 'i1'!$FS50:$JO50, CY$13 )  )</f>
        <v>58794.67</v>
      </c>
      <c r="CZ50" s="106">
        <f xml:space="preserve"> IF(  INDEX( 'i1'!$FS50:$JO50, CZ$13 ) = LEER,  #N/A,  INDEX( 'i1'!$FS50:$JO50, CZ$13 )  )</f>
        <v>49526.44</v>
      </c>
      <c r="DA50" s="106">
        <f xml:space="preserve"> IF(  INDEX( 'i1'!$FS50:$JO50, DA$13 ) = LEER,  #N/A,  INDEX( 'i1'!$FS50:$JO50, DA$13 )  )</f>
        <v>39354.6</v>
      </c>
      <c r="DB50" s="106">
        <f xml:space="preserve"> IF(  INDEX( 'i1'!$FS50:$JO50, DB$13 ) = LEER,  #N/A,  INDEX( 'i1'!$FS50:$JO50, DB$13 )  )</f>
        <v>27968.27</v>
      </c>
      <c r="DC50" s="106">
        <f xml:space="preserve"> IF(  INDEX( 'i1'!$FS50:$JO50, DC$13 ) = LEER,  #N/A,  INDEX( 'i1'!$FS50:$JO50, DC$13 )  )</f>
        <v>14517.73</v>
      </c>
      <c r="DD50" s="106">
        <f xml:space="preserve"> IF(  INDEX( 'i1'!$FS50:$JO50, DD$13 ) = LEER,  #N/A,  INDEX( 'i1'!$FS50:$JO50, DD$13 )  )</f>
        <v>-1220.8499999999999</v>
      </c>
      <c r="DE50" s="106" t="e">
        <f xml:space="preserve"> IF(  INDEX( 'i1'!$FS50:$JO50, DE$13 ) = LEER,  #N/A,  INDEX( 'i1'!$FS50:$JO50, DE$13 )  )</f>
        <v>#N/A</v>
      </c>
      <c r="DF50" s="106" t="e">
        <f xml:space="preserve"> IF(  INDEX( 'i1'!$FS50:$JO50, DF$13 ) = LEER,  #N/A,  INDEX( 'i1'!$FS50:$JO50, DF$13 )  )</f>
        <v>#N/A</v>
      </c>
      <c r="DG50" s="106" t="e">
        <f xml:space="preserve"> IF(  INDEX( 'i1'!$FS50:$JO50, DG$13 ) = LEER,  #N/A,  INDEX( 'i1'!$FS50:$JO50, DG$13 )  )</f>
        <v>#N/A</v>
      </c>
      <c r="DH50" s="106" t="e">
        <f xml:space="preserve"> IF(  INDEX( 'i1'!$FS50:$JO50, DH$13 ) = LEER,  #N/A,  INDEX( 'i1'!$FS50:$JO50, DH$13 )  )</f>
        <v>#N/A</v>
      </c>
      <c r="DI50" s="106" t="e">
        <f xml:space="preserve"> IF(  INDEX( 'i1'!$FS50:$JO50, DI$13 ) = LEER,  #N/A,  INDEX( 'i1'!$FS50:$JO50, DI$13 )  )</f>
        <v>#N/A</v>
      </c>
      <c r="DJ50" s="106" t="e">
        <f xml:space="preserve"> IF(  INDEX( 'i1'!$FS50:$JO50, DJ$13 ) = LEER,  #N/A,  INDEX( 'i1'!$FS50:$JO50, DJ$13 )  )</f>
        <v>#N/A</v>
      </c>
      <c r="DK50" s="106" t="e">
        <f xml:space="preserve"> IF(  INDEX( 'i1'!$FS50:$JO50, DK$13 ) = LEER,  #N/A,  INDEX( 'i1'!$FS50:$JO50, DK$13 )  )</f>
        <v>#N/A</v>
      </c>
      <c r="DL50" s="106" t="e">
        <f xml:space="preserve"> IF(  INDEX( 'i1'!$FS50:$JO50, DL$13 ) = LEER,  #N/A,  INDEX( 'i1'!$FS50:$JO50, DL$13 )  )</f>
        <v>#N/A</v>
      </c>
      <c r="DM50" s="106" t="e">
        <f xml:space="preserve"> IF(  INDEX( 'i1'!$FS50:$JO50, DM$13 ) = LEER,  #N/A,  INDEX( 'i1'!$FS50:$JO50, DM$13 )  )</f>
        <v>#N/A</v>
      </c>
      <c r="DN50" s="106" t="e">
        <f xml:space="preserve"> IF(  INDEX( 'i1'!$FS50:$JO50, DN$13 ) = LEER,  #N/A,  INDEX( 'i1'!$FS50:$JO50, DN$13 )  )</f>
        <v>#N/A</v>
      </c>
    </row>
    <row r="51" spans="1:118" x14ac:dyDescent="0.2">
      <c r="A51" s="15">
        <f xml:space="preserve"> Basis!A51</f>
        <v>51</v>
      </c>
      <c r="C51" s="24" t="b">
        <f xml:space="preserve"> 'i1'!$O51</f>
        <v>1</v>
      </c>
      <c r="D51" s="24" t="b">
        <f xml:space="preserve"> 'i2'!$O51</f>
        <v>1</v>
      </c>
      <c r="E51" s="24" t="b">
        <f xml:space="preserve"> 'i3'!$O51</f>
        <v>1</v>
      </c>
      <c r="G51" s="27">
        <f xml:space="preserve"> IF( $C52,   IF( 'i1'!$P51=LEER,  #N/A,  'i1'!$P51  ),   #N/A  )</f>
        <v>2.5499999999999998E-2</v>
      </c>
      <c r="H51" s="27">
        <f xml:space="preserve"> IF( $D52,   IF( 'i2'!$P51=LEER,  #N/A,  'i2'!$P51  ),   #N/A  )</f>
        <v>2.5499999999999998E-2</v>
      </c>
      <c r="I51" s="27">
        <f xml:space="preserve"> IF( $E52,   IF( 'i3'!$P51=LEER,  #N/A,  'i3'!$P51  ),   #N/A  )</f>
        <v>2.5499999999999998E-2</v>
      </c>
      <c r="J51" s="158"/>
      <c r="K51" s="27">
        <f xml:space="preserve"> IF( $C52,   IF( 'i1'!$G51=LEER,  #N/A,  'i1'!$G51  ),   #N/A  )</f>
        <v>2.41E-2</v>
      </c>
      <c r="L51" s="27">
        <f xml:space="preserve"> IF( $D52,   IF( 'i2'!$G51=LEER,  #N/A,  'i2'!$G51  ),   #N/A  )</f>
        <v>2.41E-2</v>
      </c>
      <c r="M51" s="27">
        <f xml:space="preserve"> IF( $E52,   IF( 'i3'!$G51=LEER,  #N/A,  'i3'!$G51  ),   #N/A  )</f>
        <v>2.41E-2</v>
      </c>
      <c r="N51" s="158"/>
      <c r="O51" s="158"/>
      <c r="Q51" s="28">
        <f t="shared" si="35"/>
        <v>29.454545434900815</v>
      </c>
      <c r="R51" s="28">
        <f t="shared" si="36"/>
        <v>29.454545434900815</v>
      </c>
      <c r="S51" s="28">
        <f t="shared" si="37"/>
        <v>29.454545434900815</v>
      </c>
      <c r="U51" s="76">
        <f xml:space="preserve"> IF( $C50,   SUM('i1'!$R51),   #N/A  )</f>
        <v>651270</v>
      </c>
      <c r="V51" s="76">
        <f xml:space="preserve"> IF( $C50,   SUM('i2'!$R51),   #N/A  )</f>
        <v>651270</v>
      </c>
      <c r="W51" s="76">
        <f xml:space="preserve"> IF( $C50,   SUM('i3'!$R51),   #N/A  )</f>
        <v>651270</v>
      </c>
      <c r="Y51" s="33"/>
      <c r="Z51" s="22">
        <f xml:space="preserve"> IF( $C51,   IF( 'i1'!$J51=LEER,  #N/A,  'i1'!$J51  ),   #N/A  )</f>
        <v>1.355</v>
      </c>
      <c r="AA51" s="22">
        <f xml:space="preserve"> IF( $D51,   IF( 'i2'!$J51=LEER,  #N/A,  'i2'!$J51  ),   #N/A  )</f>
        <v>1.355</v>
      </c>
      <c r="AB51" s="22">
        <f xml:space="preserve"> IF( $E51,   IF( 'i3'!$J51=LEER,  #N/A,  'i3'!$J51  ),   #N/A  )</f>
        <v>1.355</v>
      </c>
      <c r="AC51" s="75"/>
      <c r="AD51" s="26">
        <f t="shared" si="25"/>
        <v>2815.4054499999997</v>
      </c>
      <c r="AE51" s="26">
        <f t="shared" si="26"/>
        <v>2815.4054499999997</v>
      </c>
      <c r="AF51" s="26">
        <f t="shared" si="27"/>
        <v>2815.4054499999997</v>
      </c>
      <c r="AG51" s="23"/>
      <c r="AH51" s="24">
        <f xml:space="preserve">    IF(  'i1'!$AK51=LEER,  #N/A,  ROUND( 'i1'!$AK51, AH$15 )  )</f>
        <v>629.45000000000005</v>
      </c>
      <c r="AI51" s="24">
        <f xml:space="preserve">    IF(  'i2'!$AK51=LEER,  #N/A,  ROUND( 'i2'!$AK51, AI$15 )  )</f>
        <v>629.45000000000005</v>
      </c>
      <c r="AJ51" s="24">
        <f xml:space="preserve">    IF(  'i3'!$AK51=LEER,  #N/A,  ROUND( 'i3'!$AK51, AJ$15 )  )</f>
        <v>629.45000000000005</v>
      </c>
      <c r="AL51" s="102">
        <f t="shared" si="28"/>
        <v>629.45000000000005</v>
      </c>
      <c r="AO51" s="24">
        <f xml:space="preserve">    IF( 'i1'!$AN51=LEER,  #N/A,  'i1'!$AN51  )</f>
        <v>43563.69</v>
      </c>
      <c r="AP51" s="24">
        <f xml:space="preserve">    IF( 'i2'!$AN51=LEER,  #N/A,  'i2'!$AN51  )</f>
        <v>43563.69</v>
      </c>
      <c r="AQ51" s="24">
        <f xml:space="preserve">    IF( 'i3'!$AN51=LEER,  #N/A,  'i3'!$AN51  )</f>
        <v>43563.69</v>
      </c>
      <c r="AS51" s="24">
        <f xml:space="preserve">    IF( 'i1'!$AO51=LEER,  #N/A,  'i1'!$AO51  )</f>
        <v>42644.61</v>
      </c>
      <c r="AT51" s="24">
        <f xml:space="preserve">    IF( 'i2'!$AO51=LEER,  #N/A,  'i2'!$AO51  )</f>
        <v>42644.61</v>
      </c>
      <c r="AU51" s="24">
        <f xml:space="preserve">    IF( 'i3'!$AO51=LEER,  #N/A,  'i3'!$AO51  )</f>
        <v>42644.61</v>
      </c>
      <c r="AW51" s="28">
        <f t="shared" si="38"/>
        <v>20.9664</v>
      </c>
      <c r="AX51" s="28">
        <f t="shared" si="29"/>
        <v>20.9664</v>
      </c>
      <c r="AY51" s="28">
        <f t="shared" si="30"/>
        <v>20.9664</v>
      </c>
      <c r="BA51" s="28">
        <f t="shared" si="31"/>
        <v>20.524000000000001</v>
      </c>
      <c r="BB51" s="28">
        <f t="shared" si="32"/>
        <v>20.524000000000001</v>
      </c>
      <c r="BC51" s="28">
        <f t="shared" si="33"/>
        <v>20.524000000000001</v>
      </c>
      <c r="BG51" s="24">
        <f xml:space="preserve">    IF( 'i1'!BT51=LEER,  #N/A,  'i1'!BT51  )</f>
        <v>1154.44</v>
      </c>
      <c r="BH51" s="24">
        <f xml:space="preserve">    IF( 'i1'!BR51=LEER,  #N/A,  'i1'!BR51  )</f>
        <v>40274.79</v>
      </c>
      <c r="BI51" s="111">
        <f t="shared" si="34"/>
        <v>41429.230000000003</v>
      </c>
      <c r="BJ51" s="24">
        <f xml:space="preserve">    IF( 'i1'!BX51=LEER,  #N/A,  'i1'!BX51  )</f>
        <v>2134.4599999999991</v>
      </c>
      <c r="BL51" s="24">
        <f xml:space="preserve">    IF( 'i1'!CB51=LEER,  #N/A,  'i1'!CB51  )</f>
        <v>1062.95</v>
      </c>
      <c r="BM51" s="24">
        <f xml:space="preserve">    IF( 'i1'!CC51=LEER,  #N/A,  'i1'!CC51  )</f>
        <v>1089.0899999999999</v>
      </c>
      <c r="BN51" s="24">
        <f xml:space="preserve">    IF( 'i1'!CD51=LEER,  #N/A,  'i1'!CD51  )</f>
        <v>1196.26</v>
      </c>
      <c r="BO51" s="24">
        <f xml:space="preserve">    IF( 'i1'!CE51=LEER,  #N/A,  'i1'!CE51  )</f>
        <v>3348.3</v>
      </c>
      <c r="BQ51" s="24">
        <f xml:space="preserve">    IF( 'i1'!CI51=LEER,  #N/A,  'i1'!CI51  )</f>
        <v>2815.41</v>
      </c>
      <c r="BR51" s="24">
        <f xml:space="preserve">    IF( 'i1'!CJ51=LEER,  #N/A,  'i1'!CJ51  )</f>
        <v>2204.33</v>
      </c>
      <c r="BS51" s="24">
        <f xml:space="preserve">    IF( 'i1'!CK51=LEER,  #N/A,  'i1'!CK51  )</f>
        <v>-1167.08</v>
      </c>
      <c r="BT51" s="38">
        <f xml:space="preserve">    IF( 'i1'!CH51=LEER,  #N/A,  'i1'!CH51  )</f>
        <v>3852.4304390000002</v>
      </c>
      <c r="BV51" s="24">
        <f xml:space="preserve">    IF( 'i1'!CO51=LEER,  #N/A,  'i1'!CO51  )</f>
        <v>2815.41</v>
      </c>
      <c r="BW51" s="24">
        <f xml:space="preserve">    IF( 'i1'!CP51=LEER,  #N/A,  'i1'!CP51  )</f>
        <v>2227.61</v>
      </c>
      <c r="BX51" s="24">
        <f xml:space="preserve">    IF( 'i1'!CQ51=LEER,  #N/A,  'i1'!CQ51  )</f>
        <v>-1144.24</v>
      </c>
      <c r="BY51" s="38">
        <f xml:space="preserve">    IF( 'i1'!CN51=LEER,  #N/A,  'i1'!CN51  )</f>
        <v>3898.5573770000001</v>
      </c>
      <c r="CD51" s="113" t="e">
        <f xml:space="preserve"> IF(  AND( $A51&lt;&gt;$CD$14, OR( 'i1'!EO51=LEER, 'i1'!EM51&lt;&gt;LEER ) ), #N/A, 'i1'!EO51 )</f>
        <v>#N/A</v>
      </c>
      <c r="CE51" s="113">
        <f xml:space="preserve"> IF(   'i1'!EM51=LEER, #N/A,  'i1'!EM51 )</f>
        <v>40533.769999999997</v>
      </c>
      <c r="CF51" s="114">
        <f xml:space="preserve"> IF(   'i1'!EL51=LEER, #N/A, 'i1'!EL51 + 'i1'!EM51 )</f>
        <v>42651.95</v>
      </c>
      <c r="CW51" s="104">
        <f xml:space="preserve"> 'i1'!FN51</f>
        <v>51</v>
      </c>
      <c r="CX51" s="106">
        <f xml:space="preserve"> IF(  INDEX( 'i1'!$FS51:$JO51, CX$13 ) = LEER,  #N/A,  INDEX( 'i1'!$FS51:$JO51, CX$13 )  )</f>
        <v>70626.850000000006</v>
      </c>
      <c r="CY51" s="106">
        <f xml:space="preserve"> IF(  INDEX( 'i1'!$FS51:$JO51, CY$13 ) = LEER,  #N/A,  INDEX( 'i1'!$FS51:$JO51, CY$13 )  )</f>
        <v>62061.19</v>
      </c>
      <c r="CZ51" s="106">
        <f xml:space="preserve"> IF(  INDEX( 'i1'!$FS51:$JO51, CZ$13 ) = LEER,  #N/A,  INDEX( 'i1'!$FS51:$JO51, CZ$13 )  )</f>
        <v>52804.160000000003</v>
      </c>
      <c r="DA51" s="106">
        <f xml:space="preserve"> IF(  INDEX( 'i1'!$FS51:$JO51, DA$13 ) = LEER,  #N/A,  INDEX( 'i1'!$FS51:$JO51, DA$13 )  )</f>
        <v>42644.61</v>
      </c>
      <c r="DB51" s="106">
        <f xml:space="preserve"> IF(  INDEX( 'i1'!$FS51:$JO51, DB$13 ) = LEER,  #N/A,  INDEX( 'i1'!$FS51:$JO51, DB$13 )  )</f>
        <v>31272.04</v>
      </c>
      <c r="DC51" s="106">
        <f xml:space="preserve"> IF(  INDEX( 'i1'!$FS51:$JO51, DC$13 ) = LEER,  #N/A,  INDEX( 'i1'!$FS51:$JO51, DC$13 )  )</f>
        <v>17837.75</v>
      </c>
      <c r="DD51" s="106">
        <f xml:space="preserve"> IF(  INDEX( 'i1'!$FS51:$JO51, DD$13 ) = LEER,  #N/A,  INDEX( 'i1'!$FS51:$JO51, DD$13 )  )</f>
        <v>2118.1799999999998</v>
      </c>
      <c r="DE51" s="106" t="e">
        <f xml:space="preserve"> IF(  INDEX( 'i1'!$FS51:$JO51, DE$13 ) = LEER,  #N/A,  INDEX( 'i1'!$FS51:$JO51, DE$13 )  )</f>
        <v>#N/A</v>
      </c>
      <c r="DF51" s="106" t="e">
        <f xml:space="preserve"> IF(  INDEX( 'i1'!$FS51:$JO51, DF$13 ) = LEER,  #N/A,  INDEX( 'i1'!$FS51:$JO51, DF$13 )  )</f>
        <v>#N/A</v>
      </c>
      <c r="DG51" s="106" t="e">
        <f xml:space="preserve"> IF(  INDEX( 'i1'!$FS51:$JO51, DG$13 ) = LEER,  #N/A,  INDEX( 'i1'!$FS51:$JO51, DG$13 )  )</f>
        <v>#N/A</v>
      </c>
      <c r="DH51" s="106" t="e">
        <f xml:space="preserve"> IF(  INDEX( 'i1'!$FS51:$JO51, DH$13 ) = LEER,  #N/A,  INDEX( 'i1'!$FS51:$JO51, DH$13 )  )</f>
        <v>#N/A</v>
      </c>
      <c r="DI51" s="106" t="e">
        <f xml:space="preserve"> IF(  INDEX( 'i1'!$FS51:$JO51, DI$13 ) = LEER,  #N/A,  INDEX( 'i1'!$FS51:$JO51, DI$13 )  )</f>
        <v>#N/A</v>
      </c>
      <c r="DJ51" s="106" t="e">
        <f xml:space="preserve"> IF(  INDEX( 'i1'!$FS51:$JO51, DJ$13 ) = LEER,  #N/A,  INDEX( 'i1'!$FS51:$JO51, DJ$13 )  )</f>
        <v>#N/A</v>
      </c>
      <c r="DK51" s="106" t="e">
        <f xml:space="preserve"> IF(  INDEX( 'i1'!$FS51:$JO51, DK$13 ) = LEER,  #N/A,  INDEX( 'i1'!$FS51:$JO51, DK$13 )  )</f>
        <v>#N/A</v>
      </c>
      <c r="DL51" s="106" t="e">
        <f xml:space="preserve"> IF(  INDEX( 'i1'!$FS51:$JO51, DL$13 ) = LEER,  #N/A,  INDEX( 'i1'!$FS51:$JO51, DL$13 )  )</f>
        <v>#N/A</v>
      </c>
      <c r="DM51" s="106" t="e">
        <f xml:space="preserve"> IF(  INDEX( 'i1'!$FS51:$JO51, DM$13 ) = LEER,  #N/A,  INDEX( 'i1'!$FS51:$JO51, DM$13 )  )</f>
        <v>#N/A</v>
      </c>
      <c r="DN51" s="106" t="e">
        <f xml:space="preserve"> IF(  INDEX( 'i1'!$FS51:$JO51, DN$13 ) = LEER,  #N/A,  INDEX( 'i1'!$FS51:$JO51, DN$13 )  )</f>
        <v>#N/A</v>
      </c>
    </row>
    <row r="52" spans="1:118" x14ac:dyDescent="0.2">
      <c r="A52" s="15">
        <f xml:space="preserve"> Basis!A52</f>
        <v>52</v>
      </c>
      <c r="C52" s="24" t="b">
        <f xml:space="preserve"> 'i1'!$O52</f>
        <v>1</v>
      </c>
      <c r="D52" s="24" t="b">
        <f xml:space="preserve"> 'i2'!$O52</f>
        <v>1</v>
      </c>
      <c r="E52" s="24" t="b">
        <f xml:space="preserve"> 'i3'!$O52</f>
        <v>1</v>
      </c>
      <c r="G52" s="27">
        <f xml:space="preserve"> IF( $C53,   IF( 'i1'!$P52=LEER,  #N/A,  'i1'!$P52  ),   #N/A  )</f>
        <v>2.6100000000000002E-2</v>
      </c>
      <c r="H52" s="27">
        <f xml:space="preserve"> IF( $D53,   IF( 'i2'!$P52=LEER,  #N/A,  'i2'!$P52  ),   #N/A  )</f>
        <v>2.6100000000000002E-2</v>
      </c>
      <c r="I52" s="27">
        <f xml:space="preserve"> IF( $E53,   IF( 'i3'!$P52=LEER,  #N/A,  'i3'!$P52  ),   #N/A  )</f>
        <v>2.6100000000000002E-2</v>
      </c>
      <c r="J52" s="158"/>
      <c r="K52" s="27">
        <f xml:space="preserve"> IF( $C53,   IF( 'i1'!$G52=LEER,  #N/A,  'i1'!$G52  ),   #N/A  )</f>
        <v>2.4500000000000001E-2</v>
      </c>
      <c r="L52" s="27">
        <f xml:space="preserve"> IF( $D53,   IF( 'i2'!$G52=LEER,  #N/A,  'i2'!$G52  ),   #N/A  )</f>
        <v>2.4500000000000001E-2</v>
      </c>
      <c r="M52" s="27">
        <f xml:space="preserve"> IF( $E53,   IF( 'i3'!$G52=LEER,  #N/A,  'i3'!$G52  ),   #N/A  )</f>
        <v>2.4500000000000001E-2</v>
      </c>
      <c r="N52" s="158"/>
      <c r="O52" s="158"/>
      <c r="Q52" s="28">
        <f t="shared" si="35"/>
        <v>29.212206705901298</v>
      </c>
      <c r="R52" s="28">
        <f t="shared" si="36"/>
        <v>29.212206705901298</v>
      </c>
      <c r="S52" s="28">
        <f t="shared" si="37"/>
        <v>29.212206705901298</v>
      </c>
      <c r="U52" s="76">
        <f xml:space="preserve"> IF( $C51,   SUM('i1'!$R52),   #N/A  )</f>
        <v>634662</v>
      </c>
      <c r="V52" s="76">
        <f xml:space="preserve"> IF( $C51,   SUM('i2'!$R52),   #N/A  )</f>
        <v>634662</v>
      </c>
      <c r="W52" s="76">
        <f xml:space="preserve"> IF( $C51,   SUM('i3'!$R52),   #N/A  )</f>
        <v>634662</v>
      </c>
      <c r="Y52" s="33"/>
      <c r="Z52" s="22">
        <f xml:space="preserve"> IF( $C52,   IF( 'i1'!$J52=LEER,  #N/A,  'i1'!$J52  ),   #N/A  )</f>
        <v>1.415</v>
      </c>
      <c r="AA52" s="22">
        <f xml:space="preserve"> IF( $D52,   IF( 'i2'!$J52=LEER,  #N/A,  'i2'!$J52  ),   #N/A  )</f>
        <v>1.415</v>
      </c>
      <c r="AB52" s="22">
        <f xml:space="preserve"> IF( $E52,   IF( 'i3'!$J52=LEER,  #N/A,  'i3'!$J52  ),   #N/A  )</f>
        <v>1.415</v>
      </c>
      <c r="AC52" s="75"/>
      <c r="AD52" s="26">
        <f t="shared" ref="AD52:AD83" si="39" xml:space="preserve"> SUM(Z52) * SUM(Z$19)</f>
        <v>2940.07285</v>
      </c>
      <c r="AE52" s="26">
        <f t="shared" ref="AE52:AE83" si="40" xml:space="preserve"> SUM(AA52) * SUM(AA$19)</f>
        <v>2940.07285</v>
      </c>
      <c r="AF52" s="26">
        <f t="shared" ref="AF52:AF83" si="41" xml:space="preserve"> SUM(AB52) * SUM(AB$19)</f>
        <v>2940.07285</v>
      </c>
      <c r="AG52" s="23"/>
      <c r="AH52" s="24">
        <f xml:space="preserve">    IF(  'i1'!$AK52=LEER,  #N/A,  ROUND( 'i1'!$AK52, AH$15 )  )</f>
        <v>645.1</v>
      </c>
      <c r="AI52" s="24">
        <f xml:space="preserve">    IF(  'i2'!$AK52=LEER,  #N/A,  ROUND( 'i2'!$AK52, AI$15 )  )</f>
        <v>645.1</v>
      </c>
      <c r="AJ52" s="24">
        <f xml:space="preserve">    IF(  'i3'!$AK52=LEER,  #N/A,  ROUND( 'i3'!$AK52, AJ$15 )  )</f>
        <v>645.1</v>
      </c>
      <c r="AL52" s="102">
        <f t="shared" ref="AL52:AL83" si="42" xml:space="preserve"> ROUND( AH52 + ( AF52 -AD52 ) / ( 12 * ( 1 - AL$19 ) ), AL$15 )</f>
        <v>645.1</v>
      </c>
      <c r="AO52" s="24">
        <f xml:space="preserve">    IF( 'i1'!$AN52=LEER,  #N/A,  'i1'!$AN52  )</f>
        <v>46912.22</v>
      </c>
      <c r="AP52" s="24">
        <f xml:space="preserve">    IF( 'i2'!$AN52=LEER,  #N/A,  'i2'!$AN52  )</f>
        <v>46912.22</v>
      </c>
      <c r="AQ52" s="24">
        <f xml:space="preserve">    IF( 'i3'!$AN52=LEER,  #N/A,  'i3'!$AN52  )</f>
        <v>46912.22</v>
      </c>
      <c r="AS52" s="24">
        <f xml:space="preserve">    IF( 'i1'!$AO52=LEER,  #N/A,  'i1'!$AO52  )</f>
        <v>45994.03</v>
      </c>
      <c r="AT52" s="24">
        <f xml:space="preserve">    IF( 'i2'!$AO52=LEER,  #N/A,  'i2'!$AO52  )</f>
        <v>45994.03</v>
      </c>
      <c r="AU52" s="24">
        <f xml:space="preserve">    IF( 'i3'!$AO52=LEER,  #N/A,  'i3'!$AO52  )</f>
        <v>45994.03</v>
      </c>
      <c r="AW52" s="28">
        <f t="shared" si="38"/>
        <v>22.5779</v>
      </c>
      <c r="AX52" s="28">
        <f t="shared" si="29"/>
        <v>22.5779</v>
      </c>
      <c r="AY52" s="28">
        <f t="shared" si="30"/>
        <v>22.5779</v>
      </c>
      <c r="BA52" s="28">
        <f t="shared" ref="BA52:BA83" si="43" xml:space="preserve"> ROUND( AS52 / BA$19, BA$13 )</f>
        <v>22.135999999999999</v>
      </c>
      <c r="BB52" s="28">
        <f t="shared" ref="BB52:BB83" si="44" xml:space="preserve"> ROUND( AT52 / BB$19, BB$13 )</f>
        <v>22.135999999999999</v>
      </c>
      <c r="BC52" s="28">
        <f t="shared" ref="BC52:BC83" si="45" xml:space="preserve"> ROUND( AU52 / BC$19, BC$13 )</f>
        <v>22.135999999999999</v>
      </c>
      <c r="BG52" s="24">
        <f xml:space="preserve">    IF( 'i1'!BT52=LEER,  #N/A,  'i1'!BT52  )</f>
        <v>1037.5</v>
      </c>
      <c r="BH52" s="24">
        <f xml:space="preserve">    IF( 'i1'!BR52=LEER,  #N/A,  'i1'!BR52  )</f>
        <v>43563.69</v>
      </c>
      <c r="BI52" s="111">
        <f t="shared" si="34"/>
        <v>44601.19</v>
      </c>
      <c r="BJ52" s="24">
        <f xml:space="preserve">    IF( 'i1'!BX52=LEER,  #N/A,  'i1'!BX52  )</f>
        <v>2311.0299999999988</v>
      </c>
      <c r="BL52" s="24">
        <f xml:space="preserve">    IF( 'i1'!CB52=LEER,  #N/A,  'i1'!CB52  )</f>
        <v>935.17</v>
      </c>
      <c r="BM52" s="24">
        <f xml:space="preserve">    IF( 'i1'!CC52=LEER,  #N/A,  'i1'!CC52  )</f>
        <v>1172.81</v>
      </c>
      <c r="BN52" s="24">
        <f xml:space="preserve">    IF( 'i1'!CD52=LEER,  #N/A,  'i1'!CD52  )</f>
        <v>1313.71</v>
      </c>
      <c r="BO52" s="24">
        <f xml:space="preserve">    IF( 'i1'!CE52=LEER,  #N/A,  'i1'!CE52  )</f>
        <v>3421.69</v>
      </c>
      <c r="BQ52" s="24">
        <f xml:space="preserve">    IF( 'i1'!CI52=LEER,  #N/A,  'i1'!CI52  )</f>
        <v>2940.07</v>
      </c>
      <c r="BR52" s="24">
        <f xml:space="preserve">    IF( 'i1'!CJ52=LEER,  #N/A,  'i1'!CJ52  )</f>
        <v>2193.92</v>
      </c>
      <c r="BS52" s="24">
        <f xml:space="preserve">    IF( 'i1'!CK52=LEER,  #N/A,  'i1'!CK52  )</f>
        <v>-1281.67</v>
      </c>
      <c r="BT52" s="38">
        <f xml:space="preserve">    IF( 'i1'!CH52=LEER,  #N/A,  'i1'!CH52  )</f>
        <v>3852.4304390000002</v>
      </c>
      <c r="BV52" s="24">
        <f xml:space="preserve">    IF( 'i1'!CO52=LEER,  #N/A,  'i1'!CO52  )</f>
        <v>2940.07</v>
      </c>
      <c r="BW52" s="24">
        <f xml:space="preserve">    IF( 'i1'!CP52=LEER,  #N/A,  'i1'!CP52  )</f>
        <v>2216.67</v>
      </c>
      <c r="BX52" s="24">
        <f xml:space="preserve">    IF( 'i1'!CQ52=LEER,  #N/A,  'i1'!CQ52  )</f>
        <v>-1258.3</v>
      </c>
      <c r="BY52" s="38">
        <f xml:space="preserve">    IF( 'i1'!CN52=LEER,  #N/A,  'i1'!CN52  )</f>
        <v>3898.5573770000001</v>
      </c>
      <c r="CD52" s="113" t="e">
        <f xml:space="preserve"> IF(  AND( $A52&lt;&gt;$CD$14, OR( 'i1'!EO52=LEER, 'i1'!EM52&lt;&gt;LEER ) ), #N/A, 'i1'!EO52 )</f>
        <v>#N/A</v>
      </c>
      <c r="CE52" s="113">
        <f xml:space="preserve"> IF(   'i1'!EM52=LEER, #N/A,  'i1'!EM52 )</f>
        <v>40494.51</v>
      </c>
      <c r="CF52" s="114">
        <f xml:space="preserve"> IF(   'i1'!EL52=LEER, #N/A, 'i1'!EL52 + 'i1'!EM52 )</f>
        <v>46001.37</v>
      </c>
      <c r="CW52" s="104">
        <f xml:space="preserve"> 'i1'!FN52</f>
        <v>52</v>
      </c>
      <c r="CX52" s="106">
        <f xml:space="preserve"> IF(  INDEX( 'i1'!$FS52:$JO52, CX$13 ) = LEER,  #N/A,  INDEX( 'i1'!$FS52:$JO52, CX$13 )  )</f>
        <v>73949.16</v>
      </c>
      <c r="CY52" s="106">
        <f xml:space="preserve"> IF(  INDEX( 'i1'!$FS52:$JO52, CY$13 ) = LEER,  #N/A,  INDEX( 'i1'!$FS52:$JO52, CY$13 )  )</f>
        <v>65391.81</v>
      </c>
      <c r="CZ52" s="106">
        <f xml:space="preserve"> IF(  INDEX( 'i1'!$FS52:$JO52, CZ$13 ) = LEER,  #N/A,  INDEX( 'i1'!$FS52:$JO52, CZ$13 )  )</f>
        <v>56143.74</v>
      </c>
      <c r="DA52" s="106">
        <f xml:space="preserve"> IF(  INDEX( 'i1'!$FS52:$JO52, DA$13 ) = LEER,  #N/A,  INDEX( 'i1'!$FS52:$JO52, DA$13 )  )</f>
        <v>45994.03</v>
      </c>
      <c r="DB52" s="106">
        <f xml:space="preserve"> IF(  INDEX( 'i1'!$FS52:$JO52, DB$13 ) = LEER,  #N/A,  INDEX( 'i1'!$FS52:$JO52, DB$13 )  )</f>
        <v>34632.480000000003</v>
      </c>
      <c r="DC52" s="106">
        <f xml:space="preserve"> IF(  INDEX( 'i1'!$FS52:$JO52, DC$13 ) = LEER,  #N/A,  INDEX( 'i1'!$FS52:$JO52, DC$13 )  )</f>
        <v>21211.200000000001</v>
      </c>
      <c r="DD52" s="106">
        <f xml:space="preserve"> IF(  INDEX( 'i1'!$FS52:$JO52, DD$13 ) = LEER,  #N/A,  INDEX( 'i1'!$FS52:$JO52, DD$13 )  )</f>
        <v>5506.86</v>
      </c>
      <c r="DE52" s="106" t="e">
        <f xml:space="preserve"> IF(  INDEX( 'i1'!$FS52:$JO52, DE$13 ) = LEER,  #N/A,  INDEX( 'i1'!$FS52:$JO52, DE$13 )  )</f>
        <v>#N/A</v>
      </c>
      <c r="DF52" s="106" t="e">
        <f xml:space="preserve"> IF(  INDEX( 'i1'!$FS52:$JO52, DF$13 ) = LEER,  #N/A,  INDEX( 'i1'!$FS52:$JO52, DF$13 )  )</f>
        <v>#N/A</v>
      </c>
      <c r="DG52" s="106" t="e">
        <f xml:space="preserve"> IF(  INDEX( 'i1'!$FS52:$JO52, DG$13 ) = LEER,  #N/A,  INDEX( 'i1'!$FS52:$JO52, DG$13 )  )</f>
        <v>#N/A</v>
      </c>
      <c r="DH52" s="106" t="e">
        <f xml:space="preserve"> IF(  INDEX( 'i1'!$FS52:$JO52, DH$13 ) = LEER,  #N/A,  INDEX( 'i1'!$FS52:$JO52, DH$13 )  )</f>
        <v>#N/A</v>
      </c>
      <c r="DI52" s="106" t="e">
        <f xml:space="preserve"> IF(  INDEX( 'i1'!$FS52:$JO52, DI$13 ) = LEER,  #N/A,  INDEX( 'i1'!$FS52:$JO52, DI$13 )  )</f>
        <v>#N/A</v>
      </c>
      <c r="DJ52" s="106" t="e">
        <f xml:space="preserve"> IF(  INDEX( 'i1'!$FS52:$JO52, DJ$13 ) = LEER,  #N/A,  INDEX( 'i1'!$FS52:$JO52, DJ$13 )  )</f>
        <v>#N/A</v>
      </c>
      <c r="DK52" s="106" t="e">
        <f xml:space="preserve"> IF(  INDEX( 'i1'!$FS52:$JO52, DK$13 ) = LEER,  #N/A,  INDEX( 'i1'!$FS52:$JO52, DK$13 )  )</f>
        <v>#N/A</v>
      </c>
      <c r="DL52" s="106" t="e">
        <f xml:space="preserve"> IF(  INDEX( 'i1'!$FS52:$JO52, DL$13 ) = LEER,  #N/A,  INDEX( 'i1'!$FS52:$JO52, DL$13 )  )</f>
        <v>#N/A</v>
      </c>
      <c r="DM52" s="106" t="e">
        <f xml:space="preserve"> IF(  INDEX( 'i1'!$FS52:$JO52, DM$13 ) = LEER,  #N/A,  INDEX( 'i1'!$FS52:$JO52, DM$13 )  )</f>
        <v>#N/A</v>
      </c>
      <c r="DN52" s="106" t="e">
        <f xml:space="preserve"> IF(  INDEX( 'i1'!$FS52:$JO52, DN$13 ) = LEER,  #N/A,  INDEX( 'i1'!$FS52:$JO52, DN$13 )  )</f>
        <v>#N/A</v>
      </c>
    </row>
    <row r="53" spans="1:118" x14ac:dyDescent="0.2">
      <c r="A53" s="15">
        <f xml:space="preserve"> Basis!A53</f>
        <v>53</v>
      </c>
      <c r="C53" s="24" t="b">
        <f xml:space="preserve"> 'i1'!$O53</f>
        <v>1</v>
      </c>
      <c r="D53" s="24" t="b">
        <f xml:space="preserve"> 'i2'!$O53</f>
        <v>1</v>
      </c>
      <c r="E53" s="24" t="b">
        <f xml:space="preserve"> 'i3'!$O53</f>
        <v>1</v>
      </c>
      <c r="G53" s="27">
        <f xml:space="preserve"> IF( $C54,   IF( 'i1'!$P53=LEER,  #N/A,  'i1'!$P53  ),   #N/A  )</f>
        <v>2.6800000000000001E-2</v>
      </c>
      <c r="H53" s="27">
        <f xml:space="preserve"> IF( $D54,   IF( 'i2'!$P53=LEER,  #N/A,  'i2'!$P53  ),   #N/A  )</f>
        <v>2.6800000000000001E-2</v>
      </c>
      <c r="I53" s="27">
        <f xml:space="preserve"> IF( $E54,   IF( 'i3'!$P53=LEER,  #N/A,  'i3'!$P53  ),   #N/A  )</f>
        <v>2.6800000000000001E-2</v>
      </c>
      <c r="J53" s="158"/>
      <c r="K53" s="27">
        <f xml:space="preserve"> IF( $C54,   IF( 'i1'!$G53=LEER,  #N/A,  'i1'!$G53  ),   #N/A  )</f>
        <v>2.4899999999999999E-2</v>
      </c>
      <c r="L53" s="27">
        <f xml:space="preserve"> IF( $D54,   IF( 'i2'!$G53=LEER,  #N/A,  'i2'!$G53  ),   #N/A  )</f>
        <v>2.4899999999999999E-2</v>
      </c>
      <c r="M53" s="27">
        <f xml:space="preserve"> IF( $E54,   IF( 'i3'!$G53=LEER,  #N/A,  'i3'!$G53  ),   #N/A  )</f>
        <v>2.4899999999999999E-2</v>
      </c>
      <c r="N53" s="158"/>
      <c r="O53" s="158"/>
      <c r="Q53" s="28">
        <f t="shared" si="35"/>
        <v>28.981678515146626</v>
      </c>
      <c r="R53" s="28">
        <f t="shared" si="36"/>
        <v>28.981678515146626</v>
      </c>
      <c r="S53" s="28">
        <f t="shared" si="37"/>
        <v>28.981678515146626</v>
      </c>
      <c r="U53" s="76">
        <f xml:space="preserve"> IF( $C52,   SUM('i1'!$R53),   #N/A  )</f>
        <v>618097</v>
      </c>
      <c r="V53" s="76">
        <f xml:space="preserve"> IF( $C52,   SUM('i2'!$R53),   #N/A  )</f>
        <v>618097</v>
      </c>
      <c r="W53" s="76">
        <f xml:space="preserve"> IF( $C52,   SUM('i3'!$R53),   #N/A  )</f>
        <v>618097</v>
      </c>
      <c r="Y53" s="33"/>
      <c r="Z53" s="22">
        <f xml:space="preserve"> IF( $C53,   IF( 'i1'!$J53=LEER,  #N/A,  'i1'!$J53  ),   #N/A  )</f>
        <v>1.4790000000000001</v>
      </c>
      <c r="AA53" s="22">
        <f xml:space="preserve"> IF( $D53,   IF( 'i2'!$J53=LEER,  #N/A,  'i2'!$J53  ),   #N/A  )</f>
        <v>1.4790000000000001</v>
      </c>
      <c r="AB53" s="22">
        <f xml:space="preserve"> IF( $E53,   IF( 'i3'!$J53=LEER,  #N/A,  'i3'!$J53  ),   #N/A  )</f>
        <v>1.4790000000000001</v>
      </c>
      <c r="AC53" s="75"/>
      <c r="AD53" s="26">
        <f t="shared" si="39"/>
        <v>3073.05141</v>
      </c>
      <c r="AE53" s="26">
        <f t="shared" si="40"/>
        <v>3073.05141</v>
      </c>
      <c r="AF53" s="26">
        <f t="shared" si="41"/>
        <v>3073.05141</v>
      </c>
      <c r="AG53" s="23"/>
      <c r="AH53" s="24">
        <f xml:space="preserve">    IF(  'i1'!$AK53=LEER,  #N/A,  ROUND( 'i1'!$AK53, AH$15 )  )</f>
        <v>661.03</v>
      </c>
      <c r="AI53" s="24">
        <f xml:space="preserve">    IF(  'i2'!$AK53=LEER,  #N/A,  ROUND( 'i2'!$AK53, AI$15 )  )</f>
        <v>661.03</v>
      </c>
      <c r="AJ53" s="24">
        <f xml:space="preserve">    IF(  'i3'!$AK53=LEER,  #N/A,  ROUND( 'i3'!$AK53, AJ$15 )  )</f>
        <v>661.03</v>
      </c>
      <c r="AL53" s="102">
        <f t="shared" si="42"/>
        <v>661.03</v>
      </c>
      <c r="AO53" s="24">
        <f xml:space="preserve">    IF( 'i1'!$AN53=LEER,  #N/A,  'i1'!$AN53  )</f>
        <v>50333.79</v>
      </c>
      <c r="AP53" s="24">
        <f xml:space="preserve">    IF( 'i2'!$AN53=LEER,  #N/A,  'i2'!$AN53  )</f>
        <v>50333.79</v>
      </c>
      <c r="AQ53" s="24">
        <f xml:space="preserve">    IF( 'i3'!$AN53=LEER,  #N/A,  'i3'!$AN53  )</f>
        <v>50333.79</v>
      </c>
      <c r="AS53" s="24">
        <f xml:space="preserve">    IF( 'i1'!$AO53=LEER,  #N/A,  'i1'!$AO53  )</f>
        <v>49415.97</v>
      </c>
      <c r="AT53" s="24">
        <f xml:space="preserve">    IF( 'i2'!$AO53=LEER,  #N/A,  'i2'!$AO53  )</f>
        <v>49415.97</v>
      </c>
      <c r="AU53" s="24">
        <f xml:space="preserve">    IF( 'i3'!$AO53=LEER,  #N/A,  'i3'!$AO53  )</f>
        <v>49415.97</v>
      </c>
      <c r="AW53" s="28">
        <f t="shared" si="38"/>
        <v>24.224699999999999</v>
      </c>
      <c r="AX53" s="28">
        <f t="shared" si="29"/>
        <v>24.224699999999999</v>
      </c>
      <c r="AY53" s="28">
        <f t="shared" si="30"/>
        <v>24.224699999999999</v>
      </c>
      <c r="BA53" s="28">
        <f t="shared" si="43"/>
        <v>23.782900000000001</v>
      </c>
      <c r="BB53" s="28">
        <f t="shared" si="44"/>
        <v>23.782900000000001</v>
      </c>
      <c r="BC53" s="28">
        <f t="shared" si="45"/>
        <v>23.782900000000001</v>
      </c>
      <c r="BG53" s="24">
        <f xml:space="preserve">    IF( 'i1'!BT53=LEER,  #N/A,  'i1'!BT53  )</f>
        <v>911.54</v>
      </c>
      <c r="BH53" s="24">
        <f xml:space="preserve">    IF( 'i1'!BR53=LEER,  #N/A,  'i1'!BR53  )</f>
        <v>46912.22</v>
      </c>
      <c r="BI53" s="111">
        <f t="shared" si="34"/>
        <v>47823.76</v>
      </c>
      <c r="BJ53" s="24">
        <f xml:space="preserve">    IF( 'i1'!BX53=LEER,  #N/A,  'i1'!BX53  )</f>
        <v>2510.0299999999988</v>
      </c>
      <c r="BL53" s="24">
        <f xml:space="preserve">    IF( 'i1'!CB53=LEER,  #N/A,  'i1'!CB53  )</f>
        <v>798.86</v>
      </c>
      <c r="BM53" s="24">
        <f xml:space="preserve">    IF( 'i1'!CC53=LEER,  #N/A,  'i1'!CC53  )</f>
        <v>1258.3399999999999</v>
      </c>
      <c r="BN53" s="24">
        <f xml:space="preserve">    IF( 'i1'!CD53=LEER,  #N/A,  'i1'!CD53  )</f>
        <v>1442.75</v>
      </c>
      <c r="BO53" s="24">
        <f xml:space="preserve">    IF( 'i1'!CE53=LEER,  #N/A,  'i1'!CE53  )</f>
        <v>3499.95</v>
      </c>
      <c r="BQ53" s="24">
        <f xml:space="preserve">    IF( 'i1'!CI53=LEER,  #N/A,  'i1'!CI53  )</f>
        <v>3073.05</v>
      </c>
      <c r="BR53" s="24">
        <f xml:space="preserve">    IF( 'i1'!CJ53=LEER,  #N/A,  'i1'!CJ53  )</f>
        <v>2187.11</v>
      </c>
      <c r="BS53" s="24">
        <f xml:space="preserve">    IF( 'i1'!CK53=LEER,  #N/A,  'i1'!CK53  )</f>
        <v>-1407.56</v>
      </c>
      <c r="BT53" s="38">
        <f xml:space="preserve">    IF( 'i1'!CH53=LEER,  #N/A,  'i1'!CH53  )</f>
        <v>3852.4304390000002</v>
      </c>
      <c r="BV53" s="24">
        <f xml:space="preserve">    IF( 'i1'!CO53=LEER,  #N/A,  'i1'!CO53  )</f>
        <v>3073.05</v>
      </c>
      <c r="BW53" s="24">
        <f xml:space="preserve">    IF( 'i1'!CP53=LEER,  #N/A,  'i1'!CP53  )</f>
        <v>2209.23</v>
      </c>
      <c r="BX53" s="24">
        <f xml:space="preserve">    IF( 'i1'!CQ53=LEER,  #N/A,  'i1'!CQ53  )</f>
        <v>-1383.56</v>
      </c>
      <c r="BY53" s="38">
        <f xml:space="preserve">    IF( 'i1'!CN53=LEER,  #N/A,  'i1'!CN53  )</f>
        <v>3898.5573770000001</v>
      </c>
      <c r="CD53" s="113" t="e">
        <f xml:space="preserve"> IF(  AND( $A53&lt;&gt;$CD$14, OR( 'i1'!EO53=LEER, 'i1'!EM53&lt;&gt;LEER ) ), #N/A, 'i1'!EO53 )</f>
        <v>#N/A</v>
      </c>
      <c r="CE53" s="113">
        <f xml:space="preserve"> IF(   'i1'!EM53=LEER, #N/A,  'i1'!EM53 )</f>
        <v>40478.230000000003</v>
      </c>
      <c r="CF53" s="114">
        <f xml:space="preserve"> IF(   'i1'!EL53=LEER, #N/A, 'i1'!EL53 + 'i1'!EM53 )</f>
        <v>49423.3</v>
      </c>
      <c r="CW53" s="104">
        <f xml:space="preserve"> 'i1'!FN53</f>
        <v>53</v>
      </c>
      <c r="CX53" s="106">
        <f xml:space="preserve"> IF(  INDEX( 'i1'!$FS53:$JO53, CX$13 ) = LEER,  #N/A,  INDEX( 'i1'!$FS53:$JO53, CX$13 )  )</f>
        <v>77359.86</v>
      </c>
      <c r="CY53" s="106">
        <f xml:space="preserve"> IF(  INDEX( 'i1'!$FS53:$JO53, CY$13 ) = LEER,  #N/A,  INDEX( 'i1'!$FS53:$JO53, CY$13 )  )</f>
        <v>68805.95</v>
      </c>
      <c r="CZ53" s="106">
        <f xml:space="preserve"> IF(  INDEX( 'i1'!$FS53:$JO53, CZ$13 ) = LEER,  #N/A,  INDEX( 'i1'!$FS53:$JO53, CZ$13 )  )</f>
        <v>59561.599999999999</v>
      </c>
      <c r="DA53" s="106">
        <f xml:space="preserve"> IF(  INDEX( 'i1'!$FS53:$JO53, DA$13 ) = LEER,  #N/A,  INDEX( 'i1'!$FS53:$JO53, DA$13 )  )</f>
        <v>49415.97</v>
      </c>
      <c r="DB53" s="106">
        <f xml:space="preserve"> IF(  INDEX( 'i1'!$FS53:$JO53, DB$13 ) = LEER,  #N/A,  INDEX( 'i1'!$FS53:$JO53, DB$13 )  )</f>
        <v>38058.980000000003</v>
      </c>
      <c r="DC53" s="106">
        <f xml:space="preserve"> IF(  INDEX( 'i1'!$FS53:$JO53, DC$13 ) = LEER,  #N/A,  INDEX( 'i1'!$FS53:$JO53, DC$13 )  )</f>
        <v>24643.1</v>
      </c>
      <c r="DD53" s="106">
        <f xml:space="preserve"> IF(  INDEX( 'i1'!$FS53:$JO53, DD$13 ) = LEER,  #N/A,  INDEX( 'i1'!$FS53:$JO53, DD$13 )  )</f>
        <v>8945.07</v>
      </c>
      <c r="DE53" s="106" t="e">
        <f xml:space="preserve"> IF(  INDEX( 'i1'!$FS53:$JO53, DE$13 ) = LEER,  #N/A,  INDEX( 'i1'!$FS53:$JO53, DE$13 )  )</f>
        <v>#N/A</v>
      </c>
      <c r="DF53" s="106" t="e">
        <f xml:space="preserve"> IF(  INDEX( 'i1'!$FS53:$JO53, DF$13 ) = LEER,  #N/A,  INDEX( 'i1'!$FS53:$JO53, DF$13 )  )</f>
        <v>#N/A</v>
      </c>
      <c r="DG53" s="106" t="e">
        <f xml:space="preserve"> IF(  INDEX( 'i1'!$FS53:$JO53, DG$13 ) = LEER,  #N/A,  INDEX( 'i1'!$FS53:$JO53, DG$13 )  )</f>
        <v>#N/A</v>
      </c>
      <c r="DH53" s="106" t="e">
        <f xml:space="preserve"> IF(  INDEX( 'i1'!$FS53:$JO53, DH$13 ) = LEER,  #N/A,  INDEX( 'i1'!$FS53:$JO53, DH$13 )  )</f>
        <v>#N/A</v>
      </c>
      <c r="DI53" s="106" t="e">
        <f xml:space="preserve"> IF(  INDEX( 'i1'!$FS53:$JO53, DI$13 ) = LEER,  #N/A,  INDEX( 'i1'!$FS53:$JO53, DI$13 )  )</f>
        <v>#N/A</v>
      </c>
      <c r="DJ53" s="106" t="e">
        <f xml:space="preserve"> IF(  INDEX( 'i1'!$FS53:$JO53, DJ$13 ) = LEER,  #N/A,  INDEX( 'i1'!$FS53:$JO53, DJ$13 )  )</f>
        <v>#N/A</v>
      </c>
      <c r="DK53" s="106" t="e">
        <f xml:space="preserve"> IF(  INDEX( 'i1'!$FS53:$JO53, DK$13 ) = LEER,  #N/A,  INDEX( 'i1'!$FS53:$JO53, DK$13 )  )</f>
        <v>#N/A</v>
      </c>
      <c r="DL53" s="106" t="e">
        <f xml:space="preserve"> IF(  INDEX( 'i1'!$FS53:$JO53, DL$13 ) = LEER,  #N/A,  INDEX( 'i1'!$FS53:$JO53, DL$13 )  )</f>
        <v>#N/A</v>
      </c>
      <c r="DM53" s="106" t="e">
        <f xml:space="preserve"> IF(  INDEX( 'i1'!$FS53:$JO53, DM$13 ) = LEER,  #N/A,  INDEX( 'i1'!$FS53:$JO53, DM$13 )  )</f>
        <v>#N/A</v>
      </c>
      <c r="DN53" s="106" t="e">
        <f xml:space="preserve"> IF(  INDEX( 'i1'!$FS53:$JO53, DN$13 ) = LEER,  #N/A,  INDEX( 'i1'!$FS53:$JO53, DN$13 )  )</f>
        <v>#N/A</v>
      </c>
    </row>
    <row r="54" spans="1:118" x14ac:dyDescent="0.2">
      <c r="A54" s="15">
        <f xml:space="preserve"> Basis!A54</f>
        <v>54</v>
      </c>
      <c r="C54" s="24" t="b">
        <f xml:space="preserve"> 'i1'!$O54</f>
        <v>1</v>
      </c>
      <c r="D54" s="24" t="b">
        <f xml:space="preserve"> 'i2'!$O54</f>
        <v>1</v>
      </c>
      <c r="E54" s="24" t="b">
        <f xml:space="preserve"> 'i3'!$O54</f>
        <v>1</v>
      </c>
      <c r="G54" s="27">
        <f xml:space="preserve"> IF( $C55,   IF( 'i1'!$P54=LEER,  #N/A,  'i1'!$P54  ),   #N/A  )</f>
        <v>2.6700000000000002E-2</v>
      </c>
      <c r="H54" s="27">
        <f xml:space="preserve"> IF( $D55,   IF( 'i2'!$P54=LEER,  #N/A,  'i2'!$P54  ),   #N/A  )</f>
        <v>2.6700000000000002E-2</v>
      </c>
      <c r="I54" s="27">
        <f xml:space="preserve"> IF( $E55,   IF( 'i3'!$P54=LEER,  #N/A,  'i3'!$P54  ),   #N/A  )</f>
        <v>2.6700000000000002E-2</v>
      </c>
      <c r="J54" s="158"/>
      <c r="K54" s="27">
        <f xml:space="preserve"> IF( $C55,   IF( 'i1'!$G54=LEER,  #N/A,  'i1'!$G54  ),   #N/A  )</f>
        <v>2.47E-2</v>
      </c>
      <c r="L54" s="27">
        <f xml:space="preserve"> IF( $D55,   IF( 'i2'!$G54=LEER,  #N/A,  'i2'!$G54  ),   #N/A  )</f>
        <v>2.47E-2</v>
      </c>
      <c r="M54" s="27">
        <f xml:space="preserve"> IF( $E55,   IF( 'i3'!$G54=LEER,  #N/A,  'i3'!$G54  ),   #N/A  )</f>
        <v>2.47E-2</v>
      </c>
      <c r="N54" s="158"/>
      <c r="O54" s="158"/>
      <c r="Q54" s="28">
        <f t="shared" si="35"/>
        <v>28.766007516591273</v>
      </c>
      <c r="R54" s="28">
        <f t="shared" si="36"/>
        <v>28.766007516591273</v>
      </c>
      <c r="S54" s="28">
        <f t="shared" si="37"/>
        <v>28.766007516591273</v>
      </c>
      <c r="U54" s="76">
        <f xml:space="preserve"> IF( $C53,   SUM('i1'!$R54),   #N/A  )</f>
        <v>601532</v>
      </c>
      <c r="V54" s="76">
        <f xml:space="preserve"> IF( $C53,   SUM('i2'!$R54),   #N/A  )</f>
        <v>601532</v>
      </c>
      <c r="W54" s="76">
        <f xml:space="preserve"> IF( $C53,   SUM('i3'!$R54),   #N/A  )</f>
        <v>601532</v>
      </c>
      <c r="Y54" s="33"/>
      <c r="Z54" s="22">
        <f xml:space="preserve"> IF( $C54,   IF( 'i1'!$J54=LEER,  #N/A,  'i1'!$J54  ),   #N/A  )</f>
        <v>1.548</v>
      </c>
      <c r="AA54" s="22">
        <f xml:space="preserve"> IF( $D54,   IF( 'i2'!$J54=LEER,  #N/A,  'i2'!$J54  ),   #N/A  )</f>
        <v>1.548</v>
      </c>
      <c r="AB54" s="22">
        <f xml:space="preserve"> IF( $E54,   IF( 'i3'!$J54=LEER,  #N/A,  'i3'!$J54  ),   #N/A  )</f>
        <v>1.548</v>
      </c>
      <c r="AC54" s="75"/>
      <c r="AD54" s="26">
        <f t="shared" si="39"/>
        <v>3216.4189200000001</v>
      </c>
      <c r="AE54" s="26">
        <f t="shared" si="40"/>
        <v>3216.4189200000001</v>
      </c>
      <c r="AF54" s="26">
        <f t="shared" si="41"/>
        <v>3216.4189200000001</v>
      </c>
      <c r="AG54" s="23"/>
      <c r="AH54" s="24">
        <f xml:space="preserve">    IF(  'i1'!$AK54=LEER,  #N/A,  ROUND( 'i1'!$AK54, AH$15 )  )</f>
        <v>677.13</v>
      </c>
      <c r="AI54" s="24">
        <f xml:space="preserve">    IF(  'i2'!$AK54=LEER,  #N/A,  ROUND( 'i2'!$AK54, AI$15 )  )</f>
        <v>677.13</v>
      </c>
      <c r="AJ54" s="24">
        <f xml:space="preserve">    IF(  'i3'!$AK54=LEER,  #N/A,  ROUND( 'i3'!$AK54, AJ$15 )  )</f>
        <v>677.13</v>
      </c>
      <c r="AL54" s="102">
        <f t="shared" si="42"/>
        <v>677.13</v>
      </c>
      <c r="AO54" s="24">
        <f xml:space="preserve">    IF( 'i1'!$AN54=LEER,  #N/A,  'i1'!$AN54  )</f>
        <v>53833.919999999998</v>
      </c>
      <c r="AP54" s="24">
        <f xml:space="preserve">    IF( 'i2'!$AN54=LEER,  #N/A,  'i2'!$AN54  )</f>
        <v>53833.919999999998</v>
      </c>
      <c r="AQ54" s="24">
        <f xml:space="preserve">    IF( 'i3'!$AN54=LEER,  #N/A,  'i3'!$AN54  )</f>
        <v>53833.919999999998</v>
      </c>
      <c r="AS54" s="24">
        <f xml:space="preserve">    IF( 'i1'!$AO54=LEER,  #N/A,  'i1'!$AO54  )</f>
        <v>52915.83</v>
      </c>
      <c r="AT54" s="24">
        <f xml:space="preserve">    IF( 'i2'!$AO54=LEER,  #N/A,  'i2'!$AO54  )</f>
        <v>52915.83</v>
      </c>
      <c r="AU54" s="24">
        <f xml:space="preserve">    IF( 'i3'!$AO54=LEER,  #N/A,  'i3'!$AO54  )</f>
        <v>52915.83</v>
      </c>
      <c r="AW54" s="28">
        <f t="shared" si="38"/>
        <v>25.909199999999998</v>
      </c>
      <c r="AX54" s="28">
        <f t="shared" si="29"/>
        <v>25.909199999999998</v>
      </c>
      <c r="AY54" s="28">
        <f t="shared" si="30"/>
        <v>25.909199999999998</v>
      </c>
      <c r="BA54" s="28">
        <f t="shared" si="43"/>
        <v>25.467400000000001</v>
      </c>
      <c r="BB54" s="28">
        <f t="shared" si="44"/>
        <v>25.467400000000001</v>
      </c>
      <c r="BC54" s="28">
        <f t="shared" si="45"/>
        <v>25.467400000000001</v>
      </c>
      <c r="BG54" s="24">
        <f xml:space="preserve">    IF( 'i1'!BT54=LEER,  #N/A,  'i1'!BT54  )</f>
        <v>779.18</v>
      </c>
      <c r="BH54" s="24">
        <f xml:space="preserve">    IF( 'i1'!BR54=LEER,  #N/A,  'i1'!BR54  )</f>
        <v>50333.79</v>
      </c>
      <c r="BI54" s="111">
        <f t="shared" si="34"/>
        <v>51112.97</v>
      </c>
      <c r="BJ54" s="24">
        <f xml:space="preserve">    IF( 'i1'!BX54=LEER,  #N/A,  'i1'!BX54  )</f>
        <v>2720.9499999999971</v>
      </c>
      <c r="BL54" s="24">
        <f xml:space="preserve">    IF( 'i1'!CB54=LEER,  #N/A,  'i1'!CB54  )</f>
        <v>651.91</v>
      </c>
      <c r="BM54" s="24">
        <f xml:space="preserve">    IF( 'i1'!CC54=LEER,  #N/A,  'i1'!CC54  )</f>
        <v>1345.85</v>
      </c>
      <c r="BN54" s="24">
        <f xml:space="preserve">    IF( 'i1'!CD54=LEER,  #N/A,  'i1'!CD54  )</f>
        <v>1531.59</v>
      </c>
      <c r="BO54" s="24">
        <f xml:space="preserve">    IF( 'i1'!CE54=LEER,  #N/A,  'i1'!CE54  )</f>
        <v>3529.3499999999995</v>
      </c>
      <c r="BQ54" s="24">
        <f xml:space="preserve">    IF( 'i1'!CI54=LEER,  #N/A,  'i1'!CI54  )</f>
        <v>3216.42</v>
      </c>
      <c r="BR54" s="24">
        <f xml:space="preserve">    IF( 'i1'!CJ54=LEER,  #N/A,  'i1'!CJ54  )</f>
        <v>2130.0500000000002</v>
      </c>
      <c r="BS54" s="24">
        <f xml:space="preserve">    IF( 'i1'!CK54=LEER,  #N/A,  'i1'!CK54  )</f>
        <v>-1494.24</v>
      </c>
      <c r="BT54" s="38">
        <f xml:space="preserve">    IF( 'i1'!CH54=LEER,  #N/A,  'i1'!CH54  )</f>
        <v>3852.4304390000002</v>
      </c>
      <c r="BV54" s="24">
        <f xml:space="preserve">    IF( 'i1'!CO54=LEER,  #N/A,  'i1'!CO54  )</f>
        <v>3216.42</v>
      </c>
      <c r="BW54" s="24">
        <f xml:space="preserve">    IF( 'i1'!CP54=LEER,  #N/A,  'i1'!CP54  )</f>
        <v>2152.2600000000002</v>
      </c>
      <c r="BX54" s="24">
        <f xml:space="preserve">    IF( 'i1'!CQ54=LEER,  #N/A,  'i1'!CQ54  )</f>
        <v>-1470.32</v>
      </c>
      <c r="BY54" s="38">
        <f xml:space="preserve">    IF( 'i1'!CN54=LEER,  #N/A,  'i1'!CN54  )</f>
        <v>3898.5573770000001</v>
      </c>
      <c r="CD54" s="113" t="e">
        <f xml:space="preserve"> IF(  AND( $A54&lt;&gt;$CD$14, OR( 'i1'!EO54=LEER, 'i1'!EM54&lt;&gt;LEER ) ), #N/A, 'i1'!EO54 )</f>
        <v>#N/A</v>
      </c>
      <c r="CE54" s="113">
        <f xml:space="preserve"> IF(   'i1'!EM54=LEER, #N/A,  'i1'!EM54 )</f>
        <v>40490.03</v>
      </c>
      <c r="CF54" s="114">
        <f xml:space="preserve"> IF(   'i1'!EL54=LEER, #N/A, 'i1'!EL54 + 'i1'!EM54 )</f>
        <v>52923.17</v>
      </c>
      <c r="CW54" s="104">
        <f xml:space="preserve"> 'i1'!FN54</f>
        <v>54</v>
      </c>
      <c r="CX54" s="106">
        <f xml:space="preserve"> IF(  INDEX( 'i1'!$FS54:$JO54, CX$13 ) = LEER,  #N/A,  INDEX( 'i1'!$FS54:$JO54, CX$13 )  )</f>
        <v>80867.87</v>
      </c>
      <c r="CY54" s="106">
        <f xml:space="preserve"> IF(  INDEX( 'i1'!$FS54:$JO54, CY$13 ) = LEER,  #N/A,  INDEX( 'i1'!$FS54:$JO54, CY$13 )  )</f>
        <v>72311.460000000006</v>
      </c>
      <c r="CZ54" s="106">
        <f xml:space="preserve"> IF(  INDEX( 'i1'!$FS54:$JO54, CZ$13 ) = LEER,  #N/A,  INDEX( 'i1'!$FS54:$JO54, CZ$13 )  )</f>
        <v>63064.42</v>
      </c>
      <c r="DA54" s="106">
        <f xml:space="preserve"> IF(  INDEX( 'i1'!$FS54:$JO54, DA$13 ) = LEER,  #N/A,  INDEX( 'i1'!$FS54:$JO54, DA$13 )  )</f>
        <v>52915.83</v>
      </c>
      <c r="DB54" s="106">
        <f xml:space="preserve"> IF(  INDEX( 'i1'!$FS54:$JO54, DB$13 ) = LEER,  #N/A,  INDEX( 'i1'!$FS54:$JO54, DB$13 )  )</f>
        <v>41555.53</v>
      </c>
      <c r="DC54" s="106">
        <f xml:space="preserve"> IF(  INDEX( 'i1'!$FS54:$JO54, DC$13 ) = LEER,  #N/A,  INDEX( 'i1'!$FS54:$JO54, DC$13 )  )</f>
        <v>28135.74</v>
      </c>
      <c r="DD54" s="106">
        <f xml:space="preserve"> IF(  INDEX( 'i1'!$FS54:$JO54, DD$13 ) = LEER,  #N/A,  INDEX( 'i1'!$FS54:$JO54, DD$13 )  )</f>
        <v>12433.14</v>
      </c>
      <c r="DE54" s="106" t="e">
        <f xml:space="preserve"> IF(  INDEX( 'i1'!$FS54:$JO54, DE$13 ) = LEER,  #N/A,  INDEX( 'i1'!$FS54:$JO54, DE$13 )  )</f>
        <v>#N/A</v>
      </c>
      <c r="DF54" s="106" t="e">
        <f xml:space="preserve"> IF(  INDEX( 'i1'!$FS54:$JO54, DF$13 ) = LEER,  #N/A,  INDEX( 'i1'!$FS54:$JO54, DF$13 )  )</f>
        <v>#N/A</v>
      </c>
      <c r="DG54" s="106" t="e">
        <f xml:space="preserve"> IF(  INDEX( 'i1'!$FS54:$JO54, DG$13 ) = LEER,  #N/A,  INDEX( 'i1'!$FS54:$JO54, DG$13 )  )</f>
        <v>#N/A</v>
      </c>
      <c r="DH54" s="106" t="e">
        <f xml:space="preserve"> IF(  INDEX( 'i1'!$FS54:$JO54, DH$13 ) = LEER,  #N/A,  INDEX( 'i1'!$FS54:$JO54, DH$13 )  )</f>
        <v>#N/A</v>
      </c>
      <c r="DI54" s="106" t="e">
        <f xml:space="preserve"> IF(  INDEX( 'i1'!$FS54:$JO54, DI$13 ) = LEER,  #N/A,  INDEX( 'i1'!$FS54:$JO54, DI$13 )  )</f>
        <v>#N/A</v>
      </c>
      <c r="DJ54" s="106" t="e">
        <f xml:space="preserve"> IF(  INDEX( 'i1'!$FS54:$JO54, DJ$13 ) = LEER,  #N/A,  INDEX( 'i1'!$FS54:$JO54, DJ$13 )  )</f>
        <v>#N/A</v>
      </c>
      <c r="DK54" s="106" t="e">
        <f xml:space="preserve"> IF(  INDEX( 'i1'!$FS54:$JO54, DK$13 ) = LEER,  #N/A,  INDEX( 'i1'!$FS54:$JO54, DK$13 )  )</f>
        <v>#N/A</v>
      </c>
      <c r="DL54" s="106" t="e">
        <f xml:space="preserve"> IF(  INDEX( 'i1'!$FS54:$JO54, DL$13 ) = LEER,  #N/A,  INDEX( 'i1'!$FS54:$JO54, DL$13 )  )</f>
        <v>#N/A</v>
      </c>
      <c r="DM54" s="106" t="e">
        <f xml:space="preserve"> IF(  INDEX( 'i1'!$FS54:$JO54, DM$13 ) = LEER,  #N/A,  INDEX( 'i1'!$FS54:$JO54, DM$13 )  )</f>
        <v>#N/A</v>
      </c>
      <c r="DN54" s="106" t="e">
        <f xml:space="preserve"> IF(  INDEX( 'i1'!$FS54:$JO54, DN$13 ) = LEER,  #N/A,  INDEX( 'i1'!$FS54:$JO54, DN$13 )  )</f>
        <v>#N/A</v>
      </c>
    </row>
    <row r="55" spans="1:118" x14ac:dyDescent="0.2">
      <c r="A55" s="15">
        <f xml:space="preserve"> Basis!A55</f>
        <v>55</v>
      </c>
      <c r="C55" s="24" t="b">
        <f xml:space="preserve"> 'i1'!$O55</f>
        <v>1</v>
      </c>
      <c r="D55" s="24" t="b">
        <f xml:space="preserve"> 'i2'!$O55</f>
        <v>1</v>
      </c>
      <c r="E55" s="24" t="b">
        <f xml:space="preserve"> 'i3'!$O55</f>
        <v>1</v>
      </c>
      <c r="G55" s="27">
        <f xml:space="preserve"> IF( $C56,   IF( 'i1'!$P55=LEER,  #N/A,  'i1'!$P55  ),   #N/A  )</f>
        <v>2.41E-2</v>
      </c>
      <c r="H55" s="27">
        <f xml:space="preserve"> IF( $D56,   IF( 'i2'!$P55=LEER,  #N/A,  'i2'!$P55  ),   #N/A  )</f>
        <v>2.41E-2</v>
      </c>
      <c r="I55" s="27">
        <f xml:space="preserve"> IF( $E56,   IF( 'i3'!$P55=LEER,  #N/A,  'i3'!$P55  ),   #N/A  )</f>
        <v>2.41E-2</v>
      </c>
      <c r="J55" s="158"/>
      <c r="K55" s="27">
        <f xml:space="preserve"> IF( $C56,   IF( 'i1'!$G55=LEER,  #N/A,  'i1'!$G55  ),   #N/A  )</f>
        <v>2.18E-2</v>
      </c>
      <c r="L55" s="27">
        <f xml:space="preserve"> IF( $D56,   IF( 'i2'!$G55=LEER,  #N/A,  'i2'!$G55  ),   #N/A  )</f>
        <v>2.18E-2</v>
      </c>
      <c r="M55" s="27">
        <f xml:space="preserve"> IF( $E56,   IF( 'i3'!$G55=LEER,  #N/A,  'i3'!$G55  ),   #N/A  )</f>
        <v>2.18E-2</v>
      </c>
      <c r="N55" s="158"/>
      <c r="O55" s="158"/>
      <c r="Q55" s="28">
        <f t="shared" si="35"/>
        <v>28.541413250376319</v>
      </c>
      <c r="R55" s="28">
        <f t="shared" si="36"/>
        <v>28.541413250376319</v>
      </c>
      <c r="S55" s="28">
        <f t="shared" si="37"/>
        <v>28.541413250376319</v>
      </c>
      <c r="U55" s="76">
        <f xml:space="preserve"> IF( $C54,   SUM('i1'!$R55),   #N/A  )</f>
        <v>585471</v>
      </c>
      <c r="V55" s="76">
        <f xml:space="preserve"> IF( $C54,   SUM('i2'!$R55),   #N/A  )</f>
        <v>585471</v>
      </c>
      <c r="W55" s="76">
        <f xml:space="preserve"> IF( $C54,   SUM('i3'!$R55),   #N/A  )</f>
        <v>585471</v>
      </c>
      <c r="Y55" s="33"/>
      <c r="Z55" s="22">
        <f xml:space="preserve"> IF( $C55,   IF( 'i1'!$J55=LEER,  #N/A,  'i1'!$J55  ),   #N/A  )</f>
        <v>1.6180000000000001</v>
      </c>
      <c r="AA55" s="22">
        <f xml:space="preserve"> IF( $D55,   IF( 'i2'!$J55=LEER,  #N/A,  'i2'!$J55  ),   #N/A  )</f>
        <v>1.6180000000000001</v>
      </c>
      <c r="AB55" s="22">
        <f xml:space="preserve"> IF( $E55,   IF( 'i3'!$J55=LEER,  #N/A,  'i3'!$J55  ),   #N/A  )</f>
        <v>1.6180000000000001</v>
      </c>
      <c r="AC55" s="75"/>
      <c r="AD55" s="26">
        <f t="shared" si="39"/>
        <v>3361.8642199999999</v>
      </c>
      <c r="AE55" s="26">
        <f t="shared" si="40"/>
        <v>3361.8642199999999</v>
      </c>
      <c r="AF55" s="26">
        <f t="shared" si="41"/>
        <v>3361.8642199999999</v>
      </c>
      <c r="AG55" s="23"/>
      <c r="AH55" s="24">
        <f xml:space="preserve">    IF(  'i1'!$AK55=LEER,  #N/A,  ROUND( 'i1'!$AK55, AH$15 )  )</f>
        <v>693.41</v>
      </c>
      <c r="AI55" s="24">
        <f xml:space="preserve">    IF(  'i2'!$AK55=LEER,  #N/A,  ROUND( 'i2'!$AK55, AI$15 )  )</f>
        <v>693.41</v>
      </c>
      <c r="AJ55" s="24">
        <f xml:space="preserve">    IF(  'i3'!$AK55=LEER,  #N/A,  ROUND( 'i3'!$AK55, AJ$15 )  )</f>
        <v>693.41</v>
      </c>
      <c r="AL55" s="102">
        <f t="shared" si="42"/>
        <v>693.41</v>
      </c>
      <c r="AO55" s="24">
        <f xml:space="preserve">    IF( 'i1'!$AN55=LEER,  #N/A,  'i1'!$AN55  )</f>
        <v>57363.07</v>
      </c>
      <c r="AP55" s="24">
        <f xml:space="preserve">    IF( 'i2'!$AN55=LEER,  #N/A,  'i2'!$AN55  )</f>
        <v>57363.07</v>
      </c>
      <c r="AQ55" s="24">
        <f xml:space="preserve">    IF( 'i3'!$AN55=LEER,  #N/A,  'i3'!$AN55  )</f>
        <v>57363.07</v>
      </c>
      <c r="AS55" s="24">
        <f xml:space="preserve">    IF( 'i1'!$AO55=LEER,  #N/A,  'i1'!$AO55  )</f>
        <v>56444.79</v>
      </c>
      <c r="AT55" s="24">
        <f xml:space="preserve">    IF( 'i2'!$AO55=LEER,  #N/A,  'i2'!$AO55  )</f>
        <v>56444.79</v>
      </c>
      <c r="AU55" s="24">
        <f xml:space="preserve">    IF( 'i3'!$AO55=LEER,  #N/A,  'i3'!$AO55  )</f>
        <v>56444.79</v>
      </c>
      <c r="AW55" s="28">
        <f t="shared" si="38"/>
        <v>27.607700000000001</v>
      </c>
      <c r="AX55" s="28">
        <f t="shared" si="29"/>
        <v>27.607700000000001</v>
      </c>
      <c r="AY55" s="28">
        <f t="shared" si="30"/>
        <v>27.607700000000001</v>
      </c>
      <c r="BA55" s="28">
        <f t="shared" si="43"/>
        <v>27.165800000000001</v>
      </c>
      <c r="BB55" s="28">
        <f t="shared" si="44"/>
        <v>27.165800000000001</v>
      </c>
      <c r="BC55" s="28">
        <f t="shared" si="45"/>
        <v>27.165800000000001</v>
      </c>
      <c r="BG55" s="24">
        <f xml:space="preserve">    IF( 'i1'!BT55=LEER,  #N/A,  'i1'!BT55  )</f>
        <v>636.94000000000005</v>
      </c>
      <c r="BH55" s="24">
        <f xml:space="preserve">    IF( 'i1'!BR55=LEER,  #N/A,  'i1'!BR55  )</f>
        <v>53833.919999999998</v>
      </c>
      <c r="BI55" s="111">
        <f t="shared" si="34"/>
        <v>54470.86</v>
      </c>
      <c r="BJ55" s="24">
        <f xml:space="preserve">    IF( 'i1'!BX55=LEER,  #N/A,  'i1'!BX55  )</f>
        <v>2892.2099999999991</v>
      </c>
      <c r="BL55" s="24">
        <f xml:space="preserve">    IF( 'i1'!CB55=LEER,  #N/A,  'i1'!CB55  )</f>
        <v>502.83</v>
      </c>
      <c r="BM55" s="24">
        <f xml:space="preserve">    IF( 'i1'!CC55=LEER,  #N/A,  'i1'!CC55  )</f>
        <v>1434.08</v>
      </c>
      <c r="BN55" s="24">
        <f xml:space="preserve">    IF( 'i1'!CD55=LEER,  #N/A,  'i1'!CD55  )</f>
        <v>1464.42</v>
      </c>
      <c r="BO55" s="24">
        <f xml:space="preserve">    IF( 'i1'!CE55=LEER,  #N/A,  'i1'!CE55  )</f>
        <v>3401.33</v>
      </c>
      <c r="BQ55" s="24">
        <f xml:space="preserve">    IF( 'i1'!CI55=LEER,  #N/A,  'i1'!CI55  )</f>
        <v>3361.86</v>
      </c>
      <c r="BR55" s="24">
        <f xml:space="preserve">    IF( 'i1'!CJ55=LEER,  #N/A,  'i1'!CJ55  )</f>
        <v>1919.27</v>
      </c>
      <c r="BS55" s="24">
        <f xml:space="preserve">    IF( 'i1'!CK55=LEER,  #N/A,  'i1'!CK55  )</f>
        <v>-1428.7</v>
      </c>
      <c r="BT55" s="38">
        <f xml:space="preserve">    IF( 'i1'!CH55=LEER,  #N/A,  'i1'!CH55  )</f>
        <v>3852.4304390000002</v>
      </c>
      <c r="BV55" s="24">
        <f xml:space="preserve">    IF( 'i1'!CO55=LEER,  #N/A,  'i1'!CO55  )</f>
        <v>3361.86</v>
      </c>
      <c r="BW55" s="24">
        <f xml:space="preserve">    IF( 'i1'!CP55=LEER,  #N/A,  'i1'!CP55  )</f>
        <v>1943.86</v>
      </c>
      <c r="BX55" s="24">
        <f xml:space="preserve">    IF( 'i1'!CQ55=LEER,  #N/A,  'i1'!CQ55  )</f>
        <v>-1407.17</v>
      </c>
      <c r="BY55" s="38">
        <f xml:space="preserve">    IF( 'i1'!CN55=LEER,  #N/A,  'i1'!CN55  )</f>
        <v>3898.5573770000001</v>
      </c>
      <c r="CD55" s="113" t="e">
        <f xml:space="preserve"> IF(  AND( $A55&lt;&gt;$CD$14, OR( 'i1'!EO55=LEER, 'i1'!EM55&lt;&gt;LEER ) ), #N/A, 'i1'!EO55 )</f>
        <v>#N/A</v>
      </c>
      <c r="CE55" s="113">
        <f xml:space="preserve"> IF(   'i1'!EM55=LEER, #N/A,  'i1'!EM55 )</f>
        <v>40498.58</v>
      </c>
      <c r="CF55" s="114">
        <f xml:space="preserve"> IF(   'i1'!EL55=LEER, #N/A, 'i1'!EL55 + 'i1'!EM55 )</f>
        <v>56452.130000000005</v>
      </c>
      <c r="CW55" s="104">
        <f xml:space="preserve"> 'i1'!FN55</f>
        <v>55</v>
      </c>
      <c r="CX55" s="106">
        <f xml:space="preserve"> IF(  INDEX( 'i1'!$FS55:$JO55, CX$13 ) = LEER,  #N/A,  INDEX( 'i1'!$FS55:$JO55, CX$13 )  )</f>
        <v>84402.73</v>
      </c>
      <c r="CY55" s="106">
        <f xml:space="preserve"> IF(  INDEX( 'i1'!$FS55:$JO55, CY$13 ) = LEER,  #N/A,  INDEX( 'i1'!$FS55:$JO55, CY$13 )  )</f>
        <v>75844.52</v>
      </c>
      <c r="CZ55" s="106">
        <f xml:space="preserve"> IF(  INDEX( 'i1'!$FS55:$JO55, CZ$13 ) = LEER,  #N/A,  INDEX( 'i1'!$FS55:$JO55, CZ$13 )  )</f>
        <v>66595.520000000004</v>
      </c>
      <c r="DA55" s="106">
        <f xml:space="preserve"> IF(  INDEX( 'i1'!$FS55:$JO55, DA$13 ) = LEER,  #N/A,  INDEX( 'i1'!$FS55:$JO55, DA$13 )  )</f>
        <v>56444.79</v>
      </c>
      <c r="DB55" s="106">
        <f xml:space="preserve"> IF(  INDEX( 'i1'!$FS55:$JO55, DB$13 ) = LEER,  #N/A,  INDEX( 'i1'!$FS55:$JO55, DB$13 )  )</f>
        <v>45082.09</v>
      </c>
      <c r="DC55" s="106">
        <f xml:space="preserve"> IF(  INDEX( 'i1'!$FS55:$JO55, DC$13 ) = LEER,  #N/A,  INDEX( 'i1'!$FS55:$JO55, DC$13 )  )</f>
        <v>31659.47</v>
      </c>
      <c r="DD55" s="106">
        <f xml:space="preserve"> IF(  INDEX( 'i1'!$FS55:$JO55, DD$13 ) = LEER,  #N/A,  INDEX( 'i1'!$FS55:$JO55, DD$13 )  )</f>
        <v>15953.55</v>
      </c>
      <c r="DE55" s="106">
        <f xml:space="preserve"> IF(  INDEX( 'i1'!$FS55:$JO55, DE$13 ) = LEER,  #N/A,  INDEX( 'i1'!$FS55:$JO55, DE$13 )  )</f>
        <v>-1382.11</v>
      </c>
      <c r="DF55" s="106" t="e">
        <f xml:space="preserve"> IF(  INDEX( 'i1'!$FS55:$JO55, DF$13 ) = LEER,  #N/A,  INDEX( 'i1'!$FS55:$JO55, DF$13 )  )</f>
        <v>#N/A</v>
      </c>
      <c r="DG55" s="106" t="e">
        <f xml:space="preserve"> IF(  INDEX( 'i1'!$FS55:$JO55, DG$13 ) = LEER,  #N/A,  INDEX( 'i1'!$FS55:$JO55, DG$13 )  )</f>
        <v>#N/A</v>
      </c>
      <c r="DH55" s="106" t="e">
        <f xml:space="preserve"> IF(  INDEX( 'i1'!$FS55:$JO55, DH$13 ) = LEER,  #N/A,  INDEX( 'i1'!$FS55:$JO55, DH$13 )  )</f>
        <v>#N/A</v>
      </c>
      <c r="DI55" s="106" t="e">
        <f xml:space="preserve"> IF(  INDEX( 'i1'!$FS55:$JO55, DI$13 ) = LEER,  #N/A,  INDEX( 'i1'!$FS55:$JO55, DI$13 )  )</f>
        <v>#N/A</v>
      </c>
      <c r="DJ55" s="106" t="e">
        <f xml:space="preserve"> IF(  INDEX( 'i1'!$FS55:$JO55, DJ$13 ) = LEER,  #N/A,  INDEX( 'i1'!$FS55:$JO55, DJ$13 )  )</f>
        <v>#N/A</v>
      </c>
      <c r="DK55" s="106" t="e">
        <f xml:space="preserve"> IF(  INDEX( 'i1'!$FS55:$JO55, DK$13 ) = LEER,  #N/A,  INDEX( 'i1'!$FS55:$JO55, DK$13 )  )</f>
        <v>#N/A</v>
      </c>
      <c r="DL55" s="106" t="e">
        <f xml:space="preserve"> IF(  INDEX( 'i1'!$FS55:$JO55, DL$13 ) = LEER,  #N/A,  INDEX( 'i1'!$FS55:$JO55, DL$13 )  )</f>
        <v>#N/A</v>
      </c>
      <c r="DM55" s="106" t="e">
        <f xml:space="preserve"> IF(  INDEX( 'i1'!$FS55:$JO55, DM$13 ) = LEER,  #N/A,  INDEX( 'i1'!$FS55:$JO55, DM$13 )  )</f>
        <v>#N/A</v>
      </c>
      <c r="DN55" s="106" t="e">
        <f xml:space="preserve"> IF(  INDEX( 'i1'!$FS55:$JO55, DN$13 ) = LEER,  #N/A,  INDEX( 'i1'!$FS55:$JO55, DN$13 )  )</f>
        <v>#N/A</v>
      </c>
    </row>
    <row r="56" spans="1:118" x14ac:dyDescent="0.2">
      <c r="A56" s="15">
        <f xml:space="preserve"> Basis!A56</f>
        <v>56</v>
      </c>
      <c r="C56" s="24" t="b">
        <f xml:space="preserve"> 'i1'!$O56</f>
        <v>1</v>
      </c>
      <c r="D56" s="24" t="b">
        <f xml:space="preserve"> 'i2'!$O56</f>
        <v>1</v>
      </c>
      <c r="E56" s="24" t="b">
        <f xml:space="preserve"> 'i3'!$O56</f>
        <v>1</v>
      </c>
      <c r="G56" s="27">
        <f xml:space="preserve"> IF( $C57,   IF( 'i1'!$P56=LEER,  #N/A,  'i1'!$P56  ),   #N/A  )</f>
        <v>1.9800000000000002E-2</v>
      </c>
      <c r="H56" s="27">
        <f xml:space="preserve"> IF( $D57,   IF( 'i2'!$P56=LEER,  #N/A,  'i2'!$P56  ),   #N/A  )</f>
        <v>1.9800000000000002E-2</v>
      </c>
      <c r="I56" s="27">
        <f xml:space="preserve"> IF( $E57,   IF( 'i3'!$P56=LEER,  #N/A,  'i3'!$P56  ),   #N/A  )</f>
        <v>1.9800000000000002E-2</v>
      </c>
      <c r="J56" s="158"/>
      <c r="K56" s="27">
        <f xml:space="preserve"> IF( $C57,   IF( 'i1'!$G56=LEER,  #N/A,  'i1'!$G56  ),   #N/A  )</f>
        <v>1.72E-2</v>
      </c>
      <c r="L56" s="27">
        <f xml:space="preserve"> IF( $D57,   IF( 'i2'!$G56=LEER,  #N/A,  'i2'!$G56  ),   #N/A  )</f>
        <v>1.72E-2</v>
      </c>
      <c r="M56" s="27">
        <f xml:space="preserve"> IF( $E57,   IF( 'i3'!$G56=LEER,  #N/A,  'i3'!$G56  ),   #N/A  )</f>
        <v>1.72E-2</v>
      </c>
      <c r="N56" s="158"/>
      <c r="O56" s="158"/>
      <c r="Q56" s="28">
        <f t="shared" si="35"/>
        <v>28.233900246312452</v>
      </c>
      <c r="R56" s="28">
        <f t="shared" si="36"/>
        <v>28.233900246312452</v>
      </c>
      <c r="S56" s="28">
        <f t="shared" si="37"/>
        <v>28.233900246312452</v>
      </c>
      <c r="U56" s="76">
        <f xml:space="preserve"> IF( $C55,   SUM('i1'!$R56),   #N/A  )</f>
        <v>571361</v>
      </c>
      <c r="V56" s="76">
        <f xml:space="preserve"> IF( $C55,   SUM('i2'!$R56),   #N/A  )</f>
        <v>571361</v>
      </c>
      <c r="W56" s="76">
        <f xml:space="preserve"> IF( $C55,   SUM('i3'!$R56),   #N/A  )</f>
        <v>571361</v>
      </c>
      <c r="Y56" s="33"/>
      <c r="Z56" s="22">
        <f xml:space="preserve"> IF( $C56,   IF( 'i1'!$J56=LEER,  #N/A,  'i1'!$J56  ),   #N/A  )</f>
        <v>1.6910000000000001</v>
      </c>
      <c r="AA56" s="22">
        <f xml:space="preserve"> IF( $D56,   IF( 'i2'!$J56=LEER,  #N/A,  'i2'!$J56  ),   #N/A  )</f>
        <v>1.6910000000000001</v>
      </c>
      <c r="AB56" s="22">
        <f xml:space="preserve"> IF( $E56,   IF( 'i3'!$J56=LEER,  #N/A,  'i3'!$J56  ),   #N/A  )</f>
        <v>1.6910000000000001</v>
      </c>
      <c r="AC56" s="75"/>
      <c r="AD56" s="26">
        <f t="shared" si="39"/>
        <v>3513.5428900000002</v>
      </c>
      <c r="AE56" s="26">
        <f t="shared" si="40"/>
        <v>3513.5428900000002</v>
      </c>
      <c r="AF56" s="26">
        <f t="shared" si="41"/>
        <v>3513.5428900000002</v>
      </c>
      <c r="AG56" s="23"/>
      <c r="AH56" s="24">
        <f xml:space="preserve">    IF(  'i1'!$AK56=LEER,  #N/A,  ROUND( 'i1'!$AK56, AH$15 )  )</f>
        <v>709.88</v>
      </c>
      <c r="AI56" s="24">
        <f xml:space="preserve">    IF(  'i2'!$AK56=LEER,  #N/A,  ROUND( 'i2'!$AK56, AI$15 )  )</f>
        <v>709.88</v>
      </c>
      <c r="AJ56" s="24">
        <f xml:space="preserve">    IF(  'i3'!$AK56=LEER,  #N/A,  ROUND( 'i3'!$AK56, AJ$15 )  )</f>
        <v>709.88</v>
      </c>
      <c r="AL56" s="102">
        <f t="shared" si="42"/>
        <v>709.88</v>
      </c>
      <c r="AO56" s="24">
        <f xml:space="preserve">    IF( 'i1'!$AN56=LEER,  #N/A,  'i1'!$AN56  )</f>
        <v>60764.4</v>
      </c>
      <c r="AP56" s="24">
        <f xml:space="preserve">    IF( 'i2'!$AN56=LEER,  #N/A,  'i2'!$AN56  )</f>
        <v>60764.4</v>
      </c>
      <c r="AQ56" s="24">
        <f xml:space="preserve">    IF( 'i3'!$AN56=LEER,  #N/A,  'i3'!$AN56  )</f>
        <v>60764.4</v>
      </c>
      <c r="AS56" s="24">
        <f xml:space="preserve">    IF( 'i1'!$AO56=LEER,  #N/A,  'i1'!$AO56  )</f>
        <v>59848.37</v>
      </c>
      <c r="AT56" s="24">
        <f xml:space="preserve">    IF( 'i2'!$AO56=LEER,  #N/A,  'i2'!$AO56  )</f>
        <v>59848.37</v>
      </c>
      <c r="AU56" s="24">
        <f xml:space="preserve">    IF( 'i3'!$AO56=LEER,  #N/A,  'i3'!$AO56  )</f>
        <v>59848.37</v>
      </c>
      <c r="AW56" s="28">
        <f t="shared" si="38"/>
        <v>29.244700000000002</v>
      </c>
      <c r="AX56" s="28">
        <f t="shared" si="29"/>
        <v>29.244700000000002</v>
      </c>
      <c r="AY56" s="28">
        <f t="shared" si="30"/>
        <v>29.244700000000002</v>
      </c>
      <c r="BA56" s="28">
        <f t="shared" si="43"/>
        <v>28.803899999999999</v>
      </c>
      <c r="BB56" s="28">
        <f t="shared" si="44"/>
        <v>28.803899999999999</v>
      </c>
      <c r="BC56" s="28">
        <f t="shared" si="45"/>
        <v>28.803899999999999</v>
      </c>
      <c r="BG56" s="24">
        <f xml:space="preserve">    IF( 'i1'!BT56=LEER,  #N/A,  'i1'!BT56  )</f>
        <v>490.69</v>
      </c>
      <c r="BH56" s="24">
        <f xml:space="preserve">    IF( 'i1'!BR56=LEER,  #N/A,  'i1'!BR56  )</f>
        <v>57363.07</v>
      </c>
      <c r="BI56" s="111">
        <f t="shared" si="34"/>
        <v>57853.760000000002</v>
      </c>
      <c r="BJ56" s="24">
        <f xml:space="preserve">    IF( 'i1'!BX56=LEER,  #N/A,  'i1'!BX56  )</f>
        <v>2910.6399999999994</v>
      </c>
      <c r="BL56" s="24">
        <f xml:space="preserve">    IF( 'i1'!CB56=LEER,  #N/A,  'i1'!CB56  )</f>
        <v>347.36</v>
      </c>
      <c r="BM56" s="24">
        <f xml:space="preserve">    IF( 'i1'!CC56=LEER,  #N/A,  'i1'!CC56  )</f>
        <v>1519.11</v>
      </c>
      <c r="BN56" s="24">
        <f xml:space="preserve">    IF( 'i1'!CD56=LEER,  #N/A,  'i1'!CD56  )</f>
        <v>1265.1400000000001</v>
      </c>
      <c r="BO56" s="24">
        <f xml:space="preserve">    IF( 'i1'!CE56=LEER,  #N/A,  'i1'!CE56  )</f>
        <v>3131.6099999999997</v>
      </c>
      <c r="BQ56" s="24">
        <f xml:space="preserve">    IF( 'i1'!CI56=LEER,  #N/A,  'i1'!CI56  )</f>
        <v>3513.54</v>
      </c>
      <c r="BR56" s="24">
        <f xml:space="preserve">    IF( 'i1'!CJ56=LEER,  #N/A,  'i1'!CJ56  )</f>
        <v>1573.32</v>
      </c>
      <c r="BS56" s="24">
        <f xml:space="preserve">    IF( 'i1'!CK56=LEER,  #N/A,  'i1'!CK56  )</f>
        <v>-1234.29</v>
      </c>
      <c r="BT56" s="38">
        <f xml:space="preserve">    IF( 'i1'!CH56=LEER,  #N/A,  'i1'!CH56  )</f>
        <v>3852.4304390000002</v>
      </c>
      <c r="BV56" s="24">
        <f xml:space="preserve">    IF( 'i1'!CO56=LEER,  #N/A,  'i1'!CO56  )</f>
        <v>3513.54</v>
      </c>
      <c r="BW56" s="24">
        <f xml:space="preserve">    IF( 'i1'!CP56=LEER,  #N/A,  'i1'!CP56  )</f>
        <v>1601.86</v>
      </c>
      <c r="BX56" s="24">
        <f xml:space="preserve">    IF( 'i1'!CQ56=LEER,  #N/A,  'i1'!CQ56  )</f>
        <v>-1216.71</v>
      </c>
      <c r="BY56" s="38">
        <f xml:space="preserve">    IF( 'i1'!CN56=LEER,  #N/A,  'i1'!CN56  )</f>
        <v>3898.5573770000001</v>
      </c>
      <c r="CD56" s="113" t="e">
        <f xml:space="preserve"> IF(  AND( $A56&lt;&gt;$CD$14, OR( 'i1'!EO56=LEER, 'i1'!EM56&lt;&gt;LEER ) ), #N/A, 'i1'!EO56 )</f>
        <v>#N/A</v>
      </c>
      <c r="CE56" s="113">
        <f xml:space="preserve"> IF(   'i1'!EM56=LEER, #N/A,  'i1'!EM56 )</f>
        <v>40399.51</v>
      </c>
      <c r="CF56" s="114">
        <f xml:space="preserve"> IF(   'i1'!EL56=LEER, #N/A, 'i1'!EL56 + 'i1'!EM56 )</f>
        <v>59855.69</v>
      </c>
      <c r="CW56" s="104">
        <f xml:space="preserve"> 'i1'!FN56</f>
        <v>56</v>
      </c>
      <c r="CX56" s="106">
        <f xml:space="preserve"> IF(  INDEX( 'i1'!$FS56:$JO56, CX$13 ) = LEER,  #N/A,  INDEX( 'i1'!$FS56:$JO56, CX$13 )  )</f>
        <v>87737.919999999998</v>
      </c>
      <c r="CY56" s="106">
        <f xml:space="preserve"> IF(  INDEX( 'i1'!$FS56:$JO56, CY$13 ) = LEER,  #N/A,  INDEX( 'i1'!$FS56:$JO56, CY$13 )  )</f>
        <v>79200.639999999999</v>
      </c>
      <c r="CZ56" s="106">
        <f xml:space="preserve"> IF(  INDEX( 'i1'!$FS56:$JO56, CZ$13 ) = LEER,  #N/A,  INDEX( 'i1'!$FS56:$JO56, CZ$13 )  )</f>
        <v>69974.27</v>
      </c>
      <c r="DA56" s="106">
        <f xml:space="preserve"> IF(  INDEX( 'i1'!$FS56:$JO56, DA$13 ) = LEER,  #N/A,  INDEX( 'i1'!$FS56:$JO56, DA$13 )  )</f>
        <v>59848.37</v>
      </c>
      <c r="DB56" s="106">
        <f xml:space="preserve"> IF(  INDEX( 'i1'!$FS56:$JO56, DB$13 ) = LEER,  #N/A,  INDEX( 'i1'!$FS56:$JO56, DB$13 )  )</f>
        <v>48513.47</v>
      </c>
      <c r="DC56" s="106">
        <f xml:space="preserve"> IF(  INDEX( 'i1'!$FS56:$JO56, DC$13 ) = LEER,  #N/A,  INDEX( 'i1'!$FS56:$JO56, DC$13 )  )</f>
        <v>35123.68</v>
      </c>
      <c r="DD56" s="106">
        <f xml:space="preserve"> IF(  INDEX( 'i1'!$FS56:$JO56, DD$13 ) = LEER,  #N/A,  INDEX( 'i1'!$FS56:$JO56, DD$13 )  )</f>
        <v>19456.18</v>
      </c>
      <c r="DE56" s="106">
        <f xml:space="preserve"> IF(  INDEX( 'i1'!$FS56:$JO56, DE$13 ) = LEER,  #N/A,  INDEX( 'i1'!$FS56:$JO56, DE$13 )  )</f>
        <v>2162.9299999999998</v>
      </c>
      <c r="DF56" s="106" t="e">
        <f xml:space="preserve"> IF(  INDEX( 'i1'!$FS56:$JO56, DF$13 ) = LEER,  #N/A,  INDEX( 'i1'!$FS56:$JO56, DF$13 )  )</f>
        <v>#N/A</v>
      </c>
      <c r="DG56" s="106" t="e">
        <f xml:space="preserve"> IF(  INDEX( 'i1'!$FS56:$JO56, DG$13 ) = LEER,  #N/A,  INDEX( 'i1'!$FS56:$JO56, DG$13 )  )</f>
        <v>#N/A</v>
      </c>
      <c r="DH56" s="106" t="e">
        <f xml:space="preserve"> IF(  INDEX( 'i1'!$FS56:$JO56, DH$13 ) = LEER,  #N/A,  INDEX( 'i1'!$FS56:$JO56, DH$13 )  )</f>
        <v>#N/A</v>
      </c>
      <c r="DI56" s="106" t="e">
        <f xml:space="preserve"> IF(  INDEX( 'i1'!$FS56:$JO56, DI$13 ) = LEER,  #N/A,  INDEX( 'i1'!$FS56:$JO56, DI$13 )  )</f>
        <v>#N/A</v>
      </c>
      <c r="DJ56" s="106" t="e">
        <f xml:space="preserve"> IF(  INDEX( 'i1'!$FS56:$JO56, DJ$13 ) = LEER,  #N/A,  INDEX( 'i1'!$FS56:$JO56, DJ$13 )  )</f>
        <v>#N/A</v>
      </c>
      <c r="DK56" s="106" t="e">
        <f xml:space="preserve"> IF(  INDEX( 'i1'!$FS56:$JO56, DK$13 ) = LEER,  #N/A,  INDEX( 'i1'!$FS56:$JO56, DK$13 )  )</f>
        <v>#N/A</v>
      </c>
      <c r="DL56" s="106" t="e">
        <f xml:space="preserve"> IF(  INDEX( 'i1'!$FS56:$JO56, DL$13 ) = LEER,  #N/A,  INDEX( 'i1'!$FS56:$JO56, DL$13 )  )</f>
        <v>#N/A</v>
      </c>
      <c r="DM56" s="106" t="e">
        <f xml:space="preserve"> IF(  INDEX( 'i1'!$FS56:$JO56, DM$13 ) = LEER,  #N/A,  INDEX( 'i1'!$FS56:$JO56, DM$13 )  )</f>
        <v>#N/A</v>
      </c>
      <c r="DN56" s="106" t="e">
        <f xml:space="preserve"> IF(  INDEX( 'i1'!$FS56:$JO56, DN$13 ) = LEER,  #N/A,  INDEX( 'i1'!$FS56:$JO56, DN$13 )  )</f>
        <v>#N/A</v>
      </c>
    </row>
    <row r="57" spans="1:118" x14ac:dyDescent="0.2">
      <c r="A57" s="15">
        <f xml:space="preserve"> Basis!A57</f>
        <v>57</v>
      </c>
      <c r="C57" s="24" t="b">
        <f xml:space="preserve"> 'i1'!$O57</f>
        <v>1</v>
      </c>
      <c r="D57" s="24" t="b">
        <f xml:space="preserve"> 'i2'!$O57</f>
        <v>1</v>
      </c>
      <c r="E57" s="24" t="b">
        <f xml:space="preserve"> 'i3'!$O57</f>
        <v>1</v>
      </c>
      <c r="G57" s="27">
        <f xml:space="preserve"> IF( $C58,   IF( 'i1'!$P57=LEER,  #N/A,  'i1'!$P57  ),   #N/A  )</f>
        <v>1.55E-2</v>
      </c>
      <c r="H57" s="27">
        <f xml:space="preserve"> IF( $D58,   IF( 'i2'!$P57=LEER,  #N/A,  'i2'!$P57  ),   #N/A  )</f>
        <v>1.55E-2</v>
      </c>
      <c r="I57" s="27">
        <f xml:space="preserve"> IF( $E58,   IF( 'i3'!$P57=LEER,  #N/A,  'i3'!$P57  ),   #N/A  )</f>
        <v>1.55E-2</v>
      </c>
      <c r="J57" s="158"/>
      <c r="K57" s="27">
        <f xml:space="preserve"> IF( $C58,   IF( 'i1'!$G57=LEER,  #N/A,  'i1'!$G57  ),   #N/A  )</f>
        <v>1.2699999999999999E-2</v>
      </c>
      <c r="L57" s="27">
        <f xml:space="preserve"> IF( $D58,   IF( 'i2'!$G57=LEER,  #N/A,  'i2'!$G57  ),   #N/A  )</f>
        <v>1.2699999999999999E-2</v>
      </c>
      <c r="M57" s="27">
        <f xml:space="preserve"> IF( $E58,   IF( 'i3'!$G57=LEER,  #N/A,  'i3'!$G57  ),   #N/A  )</f>
        <v>1.2699999999999999E-2</v>
      </c>
      <c r="N57" s="158"/>
      <c r="O57" s="158"/>
      <c r="Q57" s="28">
        <f t="shared" si="35"/>
        <v>27.794123899523012</v>
      </c>
      <c r="R57" s="28">
        <f t="shared" si="36"/>
        <v>27.794123899523012</v>
      </c>
      <c r="S57" s="28">
        <f t="shared" si="37"/>
        <v>27.794123899523012</v>
      </c>
      <c r="U57" s="76">
        <f xml:space="preserve"> IF( $C56,   SUM('i1'!$R57),   #N/A  )</f>
        <v>560048</v>
      </c>
      <c r="V57" s="76">
        <f xml:space="preserve"> IF( $C56,   SUM('i2'!$R57),   #N/A  )</f>
        <v>560048</v>
      </c>
      <c r="W57" s="76">
        <f xml:space="preserve"> IF( $C56,   SUM('i3'!$R57),   #N/A  )</f>
        <v>560048</v>
      </c>
      <c r="Y57" s="33"/>
      <c r="Z57" s="22">
        <f xml:space="preserve"> IF( $C57,   IF( 'i1'!$J57=LEER,  #N/A,  'i1'!$J57  ),   #N/A  )</f>
        <v>1.77</v>
      </c>
      <c r="AA57" s="22">
        <f xml:space="preserve"> IF( $D57,   IF( 'i2'!$J57=LEER,  #N/A,  'i2'!$J57  ),   #N/A  )</f>
        <v>1.77</v>
      </c>
      <c r="AB57" s="22">
        <f xml:space="preserve"> IF( $E57,   IF( 'i3'!$J57=LEER,  #N/A,  'i3'!$J57  ),   #N/A  )</f>
        <v>1.77</v>
      </c>
      <c r="AC57" s="75"/>
      <c r="AD57" s="26">
        <f t="shared" si="39"/>
        <v>3677.6882999999998</v>
      </c>
      <c r="AE57" s="26">
        <f t="shared" si="40"/>
        <v>3677.6882999999998</v>
      </c>
      <c r="AF57" s="26">
        <f t="shared" si="41"/>
        <v>3677.6882999999998</v>
      </c>
      <c r="AG57" s="23"/>
      <c r="AH57" s="24">
        <f xml:space="preserve">    IF(  'i1'!$AK57=LEER,  #N/A,  ROUND( 'i1'!$AK57, AH$15 )  )</f>
        <v>726.47</v>
      </c>
      <c r="AI57" s="24">
        <f xml:space="preserve">    IF(  'i2'!$AK57=LEER,  #N/A,  ROUND( 'i2'!$AK57, AI$15 )  )</f>
        <v>726.47</v>
      </c>
      <c r="AJ57" s="24">
        <f xml:space="preserve">    IF(  'i3'!$AK57=LEER,  #N/A,  ROUND( 'i3'!$AK57, AJ$15 )  )</f>
        <v>726.47</v>
      </c>
      <c r="AL57" s="102">
        <f t="shared" si="42"/>
        <v>726.47</v>
      </c>
      <c r="AO57" s="24">
        <f xml:space="preserve">    IF( 'i1'!$AN57=LEER,  #N/A,  'i1'!$AN57  )</f>
        <v>63896.160000000003</v>
      </c>
      <c r="AP57" s="24">
        <f xml:space="preserve">    IF( 'i2'!$AN57=LEER,  #N/A,  'i2'!$AN57  )</f>
        <v>63896.160000000003</v>
      </c>
      <c r="AQ57" s="24">
        <f xml:space="preserve">    IF( 'i3'!$AN57=LEER,  #N/A,  'i3'!$AN57  )</f>
        <v>63896.160000000003</v>
      </c>
      <c r="AS57" s="24">
        <f xml:space="preserve">    IF( 'i1'!$AO57=LEER,  #N/A,  'i1'!$AO57  )</f>
        <v>62986.49</v>
      </c>
      <c r="AT57" s="24">
        <f xml:space="preserve">    IF( 'i2'!$AO57=LEER,  #N/A,  'i2'!$AO57  )</f>
        <v>62986.49</v>
      </c>
      <c r="AU57" s="24">
        <f xml:space="preserve">    IF( 'i3'!$AO57=LEER,  #N/A,  'i3'!$AO57  )</f>
        <v>62986.49</v>
      </c>
      <c r="AW57" s="28">
        <f t="shared" si="38"/>
        <v>30.751999999999999</v>
      </c>
      <c r="AX57" s="28">
        <f t="shared" si="29"/>
        <v>30.751999999999999</v>
      </c>
      <c r="AY57" s="28">
        <f t="shared" si="30"/>
        <v>30.751999999999999</v>
      </c>
      <c r="BA57" s="28">
        <f t="shared" si="43"/>
        <v>30.3142</v>
      </c>
      <c r="BB57" s="28">
        <f t="shared" si="44"/>
        <v>30.3142</v>
      </c>
      <c r="BC57" s="28">
        <f t="shared" si="45"/>
        <v>30.3142</v>
      </c>
      <c r="BG57" s="24">
        <f xml:space="preserve">    IF( 'i1'!BT57=LEER,  #N/A,  'i1'!BT57  )</f>
        <v>339.59</v>
      </c>
      <c r="BH57" s="24">
        <f xml:space="preserve">    IF( 'i1'!BR57=LEER,  #N/A,  'i1'!BR57  )</f>
        <v>60764.4</v>
      </c>
      <c r="BI57" s="111">
        <f t="shared" si="34"/>
        <v>61103.99</v>
      </c>
      <c r="BJ57" s="24">
        <f xml:space="preserve">    IF( 'i1'!BX57=LEER,  #N/A,  'i1'!BX57  )</f>
        <v>2792.1700000000055</v>
      </c>
      <c r="BL57" s="24">
        <f xml:space="preserve">    IF( 'i1'!CB57=LEER,  #N/A,  'i1'!CB57  )</f>
        <v>179.11</v>
      </c>
      <c r="BM57" s="24">
        <f xml:space="preserve">    IF( 'i1'!CC57=LEER,  #N/A,  'i1'!CC57  )</f>
        <v>1597.4</v>
      </c>
      <c r="BN57" s="24">
        <f xml:space="preserve">    IF( 'i1'!CD57=LEER,  #N/A,  'i1'!CD57  )</f>
        <v>1033.95</v>
      </c>
      <c r="BO57" s="24">
        <f xml:space="preserve">    IF( 'i1'!CE57=LEER,  #N/A,  'i1'!CE57  )</f>
        <v>2810.46</v>
      </c>
      <c r="BQ57" s="24">
        <f xml:space="preserve">    IF( 'i1'!CI57=LEER,  #N/A,  'i1'!CI57  )</f>
        <v>3677.69</v>
      </c>
      <c r="BR57" s="24">
        <f xml:space="preserve">    IF( 'i1'!CJ57=LEER,  #N/A,  'i1'!CJ57  )</f>
        <v>1183.3699999999999</v>
      </c>
      <c r="BS57" s="24">
        <f xml:space="preserve">    IF( 'i1'!CK57=LEER,  #N/A,  'i1'!CK57  )</f>
        <v>-1008.73</v>
      </c>
      <c r="BT57" s="38">
        <f xml:space="preserve">    IF( 'i1'!CH57=LEER,  #N/A,  'i1'!CH57  )</f>
        <v>3852.4304390000002</v>
      </c>
      <c r="BV57" s="24">
        <f xml:space="preserve">    IF( 'i1'!CO57=LEER,  #N/A,  'i1'!CO57  )</f>
        <v>3677.69</v>
      </c>
      <c r="BW57" s="24">
        <f xml:space="preserve">    IF( 'i1'!CP57=LEER,  #N/A,  'i1'!CP57  )</f>
        <v>1215.9000000000001</v>
      </c>
      <c r="BX57" s="24">
        <f xml:space="preserve">    IF( 'i1'!CQ57=LEER,  #N/A,  'i1'!CQ57  )</f>
        <v>-995.14</v>
      </c>
      <c r="BY57" s="38">
        <f xml:space="preserve">    IF( 'i1'!CN57=LEER,  #N/A,  'i1'!CN57  )</f>
        <v>3898.5573770000001</v>
      </c>
      <c r="CD57" s="113" t="e">
        <f xml:space="preserve"> IF(  AND( $A57&lt;&gt;$CD$14, OR( 'i1'!EO57=LEER, 'i1'!EM57&lt;&gt;LEER ) ), #N/A, 'i1'!EO57 )</f>
        <v>#N/A</v>
      </c>
      <c r="CE57" s="113">
        <f xml:space="preserve"> IF(   'i1'!EM57=LEER, #N/A,  'i1'!EM57 )</f>
        <v>40118.57</v>
      </c>
      <c r="CF57" s="114">
        <f xml:space="preserve"> IF(   'i1'!EL57=LEER, #N/A, 'i1'!EL57 + 'i1'!EM57 )</f>
        <v>62993.759999999995</v>
      </c>
      <c r="CW57" s="104">
        <f xml:space="preserve"> 'i1'!FN57</f>
        <v>57</v>
      </c>
      <c r="CX57" s="106">
        <f xml:space="preserve"> IF(  INDEX( 'i1'!$FS57:$JO57, CX$13 ) = LEER,  #N/A,  INDEX( 'i1'!$FS57:$JO57, CX$13 )  )</f>
        <v>90682.09</v>
      </c>
      <c r="CY57" s="106">
        <f xml:space="preserve"> IF(  INDEX( 'i1'!$FS57:$JO57, CY$13 ) = LEER,  #N/A,  INDEX( 'i1'!$FS57:$JO57, CY$13 )  )</f>
        <v>82204.179999999993</v>
      </c>
      <c r="CZ57" s="106">
        <f xml:space="preserve"> IF(  INDEX( 'i1'!$FS57:$JO57, CZ$13 ) = LEER,  #N/A,  INDEX( 'i1'!$FS57:$JO57, CZ$13 )  )</f>
        <v>73041.97</v>
      </c>
      <c r="DA57" s="106">
        <f xml:space="preserve"> IF(  INDEX( 'i1'!$FS57:$JO57, DA$13 ) = LEER,  #N/A,  INDEX( 'i1'!$FS57:$JO57, DA$13 )  )</f>
        <v>62986.49</v>
      </c>
      <c r="DB57" s="106">
        <f xml:space="preserve"> IF(  INDEX( 'i1'!$FS57:$JO57, DB$13 ) = LEER,  #N/A,  INDEX( 'i1'!$FS57:$JO57, DB$13 )  )</f>
        <v>51730.41</v>
      </c>
      <c r="DC57" s="106">
        <f xml:space="preserve"> IF(  INDEX( 'i1'!$FS57:$JO57, DC$13 ) = LEER,  #N/A,  INDEX( 'i1'!$FS57:$JO57, DC$13 )  )</f>
        <v>38433.74</v>
      </c>
      <c r="DD57" s="106">
        <f xml:space="preserve"> IF(  INDEX( 'i1'!$FS57:$JO57, DD$13 ) = LEER,  #N/A,  INDEX( 'i1'!$FS57:$JO57, DD$13 )  )</f>
        <v>22875.19</v>
      </c>
      <c r="DE57" s="106">
        <f xml:space="preserve"> IF(  INDEX( 'i1'!$FS57:$JO57, DE$13 ) = LEER,  #N/A,  INDEX( 'i1'!$FS57:$JO57, DE$13 )  )</f>
        <v>5702.2</v>
      </c>
      <c r="DF57" s="106" t="e">
        <f xml:space="preserve"> IF(  INDEX( 'i1'!$FS57:$JO57, DF$13 ) = LEER,  #N/A,  INDEX( 'i1'!$FS57:$JO57, DF$13 )  )</f>
        <v>#N/A</v>
      </c>
      <c r="DG57" s="106" t="e">
        <f xml:space="preserve"> IF(  INDEX( 'i1'!$FS57:$JO57, DG$13 ) = LEER,  #N/A,  INDEX( 'i1'!$FS57:$JO57, DG$13 )  )</f>
        <v>#N/A</v>
      </c>
      <c r="DH57" s="106" t="e">
        <f xml:space="preserve"> IF(  INDEX( 'i1'!$FS57:$JO57, DH$13 ) = LEER,  #N/A,  INDEX( 'i1'!$FS57:$JO57, DH$13 )  )</f>
        <v>#N/A</v>
      </c>
      <c r="DI57" s="106" t="e">
        <f xml:space="preserve"> IF(  INDEX( 'i1'!$FS57:$JO57, DI$13 ) = LEER,  #N/A,  INDEX( 'i1'!$FS57:$JO57, DI$13 )  )</f>
        <v>#N/A</v>
      </c>
      <c r="DJ57" s="106" t="e">
        <f xml:space="preserve"> IF(  INDEX( 'i1'!$FS57:$JO57, DJ$13 ) = LEER,  #N/A,  INDEX( 'i1'!$FS57:$JO57, DJ$13 )  )</f>
        <v>#N/A</v>
      </c>
      <c r="DK57" s="106" t="e">
        <f xml:space="preserve"> IF(  INDEX( 'i1'!$FS57:$JO57, DK$13 ) = LEER,  #N/A,  INDEX( 'i1'!$FS57:$JO57, DK$13 )  )</f>
        <v>#N/A</v>
      </c>
      <c r="DL57" s="106" t="e">
        <f xml:space="preserve"> IF(  INDEX( 'i1'!$FS57:$JO57, DL$13 ) = LEER,  #N/A,  INDEX( 'i1'!$FS57:$JO57, DL$13 )  )</f>
        <v>#N/A</v>
      </c>
      <c r="DM57" s="106" t="e">
        <f xml:space="preserve"> IF(  INDEX( 'i1'!$FS57:$JO57, DM$13 ) = LEER,  #N/A,  INDEX( 'i1'!$FS57:$JO57, DM$13 )  )</f>
        <v>#N/A</v>
      </c>
      <c r="DN57" s="106" t="e">
        <f xml:space="preserve"> IF(  INDEX( 'i1'!$FS57:$JO57, DN$13 ) = LEER,  #N/A,  INDEX( 'i1'!$FS57:$JO57, DN$13 )  )</f>
        <v>#N/A</v>
      </c>
    </row>
    <row r="58" spans="1:118" x14ac:dyDescent="0.2">
      <c r="A58" s="15">
        <f xml:space="preserve"> Basis!A58</f>
        <v>58</v>
      </c>
      <c r="C58" s="24" t="b">
        <f xml:space="preserve"> 'i1'!$O58</f>
        <v>1</v>
      </c>
      <c r="D58" s="24" t="b">
        <f xml:space="preserve"> 'i2'!$O58</f>
        <v>1</v>
      </c>
      <c r="E58" s="24" t="b">
        <f xml:space="preserve"> 'i3'!$O58</f>
        <v>1</v>
      </c>
      <c r="G58" s="27">
        <f xml:space="preserve"> IF( $C59,   IF( 'i1'!$P58=LEER,  #N/A,  'i1'!$P58  ),   #N/A  )</f>
        <v>1.29E-2</v>
      </c>
      <c r="H58" s="27">
        <f xml:space="preserve"> IF( $D59,   IF( 'i2'!$P58=LEER,  #N/A,  'i2'!$P58  ),   #N/A  )</f>
        <v>1.29E-2</v>
      </c>
      <c r="I58" s="27">
        <f xml:space="preserve"> IF( $E59,   IF( 'i3'!$P58=LEER,  #N/A,  'i3'!$P58  ),   #N/A  )</f>
        <v>1.29E-2</v>
      </c>
      <c r="J58" s="158"/>
      <c r="K58" s="27">
        <f xml:space="preserve"> IF( $C59,   IF( 'i1'!$G58=LEER,  #N/A,  'i1'!$G58  ),   #N/A  )</f>
        <v>9.7999999999999997E-3</v>
      </c>
      <c r="L58" s="27">
        <f xml:space="preserve"> IF( $D59,   IF( 'i2'!$G58=LEER,  #N/A,  'i2'!$G58  ),   #N/A  )</f>
        <v>9.7999999999999997E-3</v>
      </c>
      <c r="M58" s="27">
        <f xml:space="preserve"> IF( $E59,   IF( 'i3'!$G58=LEER,  #N/A,  'i3'!$G58  ),   #N/A  )</f>
        <v>9.7999999999999997E-3</v>
      </c>
      <c r="N58" s="158"/>
      <c r="O58" s="158"/>
      <c r="Q58" s="28">
        <f t="shared" si="35"/>
        <v>27.223843473360091</v>
      </c>
      <c r="R58" s="28">
        <f t="shared" si="36"/>
        <v>27.223843473360091</v>
      </c>
      <c r="S58" s="28">
        <f t="shared" si="37"/>
        <v>27.223843473360091</v>
      </c>
      <c r="U58" s="76">
        <f xml:space="preserve"> IF( $C57,   SUM('i1'!$R58),   #N/A  )</f>
        <v>551367</v>
      </c>
      <c r="V58" s="76">
        <f xml:space="preserve"> IF( $C57,   SUM('i2'!$R58),   #N/A  )</f>
        <v>551367</v>
      </c>
      <c r="W58" s="76">
        <f xml:space="preserve"> IF( $C57,   SUM('i3'!$R58),   #N/A  )</f>
        <v>551367</v>
      </c>
      <c r="Y58" s="33"/>
      <c r="Z58" s="22">
        <f xml:space="preserve"> IF( $C58,   IF( 'i1'!$J58=LEER,  #N/A,  'i1'!$J58  ),   #N/A  )</f>
        <v>1.855</v>
      </c>
      <c r="AA58" s="22">
        <f xml:space="preserve"> IF( $D58,   IF( 'i2'!$J58=LEER,  #N/A,  'i2'!$J58  ),   #N/A  )</f>
        <v>1.855</v>
      </c>
      <c r="AB58" s="22">
        <f xml:space="preserve"> IF( $E58,   IF( 'i3'!$J58=LEER,  #N/A,  'i3'!$J58  ),   #N/A  )</f>
        <v>1.855</v>
      </c>
      <c r="AC58" s="75"/>
      <c r="AD58" s="26">
        <f t="shared" si="39"/>
        <v>3854.3004499999997</v>
      </c>
      <c r="AE58" s="26">
        <f t="shared" si="40"/>
        <v>3854.3004499999997</v>
      </c>
      <c r="AF58" s="26">
        <f t="shared" si="41"/>
        <v>3854.3004499999997</v>
      </c>
      <c r="AG58" s="23"/>
      <c r="AH58" s="24">
        <f xml:space="preserve">    IF(  'i1'!$AK58=LEER,  #N/A,  ROUND( 'i1'!$AK58, AH$15 )  )</f>
        <v>743.31</v>
      </c>
      <c r="AI58" s="24">
        <f xml:space="preserve">    IF(  'i2'!$AK58=LEER,  #N/A,  ROUND( 'i2'!$AK58, AI$15 )  )</f>
        <v>743.31</v>
      </c>
      <c r="AJ58" s="24">
        <f xml:space="preserve">    IF(  'i3'!$AK58=LEER,  #N/A,  ROUND( 'i3'!$AK58, AJ$15 )  )</f>
        <v>743.31</v>
      </c>
      <c r="AL58" s="102">
        <f t="shared" si="42"/>
        <v>743.31</v>
      </c>
      <c r="AO58" s="24">
        <f xml:space="preserve">    IF( 'i1'!$AN58=LEER,  #N/A,  'i1'!$AN58  )</f>
        <v>66706.52</v>
      </c>
      <c r="AP58" s="24">
        <f xml:space="preserve">    IF( 'i2'!$AN58=LEER,  #N/A,  'i2'!$AN58  )</f>
        <v>66706.52</v>
      </c>
      <c r="AQ58" s="24">
        <f xml:space="preserve">    IF( 'i3'!$AN58=LEER,  #N/A,  'i3'!$AN58  )</f>
        <v>66706.52</v>
      </c>
      <c r="AS58" s="24">
        <f xml:space="preserve">    IF( 'i1'!$AO58=LEER,  #N/A,  'i1'!$AO58  )</f>
        <v>65807.45</v>
      </c>
      <c r="AT58" s="24">
        <f xml:space="preserve">    IF( 'i2'!$AO58=LEER,  #N/A,  'i2'!$AO58  )</f>
        <v>65807.45</v>
      </c>
      <c r="AU58" s="24">
        <f xml:space="preserve">    IF( 'i3'!$AO58=LEER,  #N/A,  'i3'!$AO58  )</f>
        <v>65807.45</v>
      </c>
      <c r="AW58" s="28">
        <f t="shared" si="38"/>
        <v>32.104599999999998</v>
      </c>
      <c r="AX58" s="28">
        <f t="shared" si="29"/>
        <v>32.104599999999998</v>
      </c>
      <c r="AY58" s="28">
        <f t="shared" si="30"/>
        <v>32.104599999999998</v>
      </c>
      <c r="BA58" s="28">
        <f t="shared" si="43"/>
        <v>31.671800000000001</v>
      </c>
      <c r="BB58" s="28">
        <f t="shared" si="44"/>
        <v>31.671800000000001</v>
      </c>
      <c r="BC58" s="28">
        <f t="shared" si="45"/>
        <v>31.671800000000001</v>
      </c>
      <c r="BG58" s="24">
        <f xml:space="preserve">    IF( 'i1'!BT58=LEER,  #N/A,  'i1'!BT58  )</f>
        <v>174.46</v>
      </c>
      <c r="BH58" s="24">
        <f xml:space="preserve">    IF( 'i1'!BR58=LEER,  #N/A,  'i1'!BR58  )</f>
        <v>63896.160000000003</v>
      </c>
      <c r="BI58" s="111">
        <f t="shared" si="34"/>
        <v>64070.62</v>
      </c>
      <c r="BJ58" s="24">
        <f xml:space="preserve">    IF( 'i1'!BX58=LEER,  #N/A,  'i1'!BX58  )</f>
        <v>2635.9000000000015</v>
      </c>
      <c r="BL58" s="24">
        <f xml:space="preserve">    IF( 'i1'!CB58=LEER,  #N/A,  'i1'!CB58  )</f>
        <v>-1.92</v>
      </c>
      <c r="BM58" s="24">
        <f xml:space="preserve">    IF( 'i1'!CC58=LEER,  #N/A,  'i1'!CC58  )</f>
        <v>1667.66</v>
      </c>
      <c r="BN58" s="24">
        <f xml:space="preserve">    IF( 'i1'!CD58=LEER,  #N/A,  'i1'!CD58  )</f>
        <v>893.53</v>
      </c>
      <c r="BO58" s="24">
        <f xml:space="preserve">    IF( 'i1'!CE58=LEER,  #N/A,  'i1'!CE58  )</f>
        <v>2559.27</v>
      </c>
      <c r="BQ58" s="24">
        <f xml:space="preserve">    IF( 'i1'!CI58=LEER,  #N/A,  'i1'!CI58  )</f>
        <v>3854.3</v>
      </c>
      <c r="BR58" s="24">
        <f xml:space="preserve">    IF( 'i1'!CJ58=LEER,  #N/A,  'i1'!CJ58  )</f>
        <v>870.15</v>
      </c>
      <c r="BS58" s="24">
        <f xml:space="preserve">    IF( 'i1'!CK58=LEER,  #N/A,  'i1'!CK58  )</f>
        <v>-871.74</v>
      </c>
      <c r="BT58" s="38">
        <f xml:space="preserve">    IF( 'i1'!CH58=LEER,  #N/A,  'i1'!CH58  )</f>
        <v>3852.4304390000002</v>
      </c>
      <c r="BV58" s="24">
        <f xml:space="preserve">    IF( 'i1'!CO58=LEER,  #N/A,  'i1'!CO58  )</f>
        <v>3854.3</v>
      </c>
      <c r="BW58" s="24">
        <f xml:space="preserve">    IF( 'i1'!CP58=LEER,  #N/A,  'i1'!CP58  )</f>
        <v>905.15</v>
      </c>
      <c r="BX58" s="24">
        <f xml:space="preserve">    IF( 'i1'!CQ58=LEER,  #N/A,  'i1'!CQ58  )</f>
        <v>-860.59</v>
      </c>
      <c r="BY58" s="38">
        <f xml:space="preserve">    IF( 'i1'!CN58=LEER,  #N/A,  'i1'!CN58  )</f>
        <v>3898.5573770000001</v>
      </c>
      <c r="CD58" s="113" t="e">
        <f xml:space="preserve"> IF(  AND( $A58&lt;&gt;$CD$14, OR( 'i1'!EO58=LEER, 'i1'!EM58&lt;&gt;LEER ) ), #N/A, 'i1'!EO58 )</f>
        <v>#N/A</v>
      </c>
      <c r="CE58" s="113">
        <f xml:space="preserve"> IF(   'i1'!EM58=LEER, #N/A,  'i1'!EM58 )</f>
        <v>39651.08</v>
      </c>
      <c r="CF58" s="114">
        <f xml:space="preserve"> IF(   'i1'!EL58=LEER, #N/A, 'i1'!EL58 + 'i1'!EM58 )</f>
        <v>65814.64</v>
      </c>
      <c r="CW58" s="104">
        <f xml:space="preserve"> 'i1'!FN58</f>
        <v>58</v>
      </c>
      <c r="CX58" s="106">
        <f xml:space="preserve"> IF(  INDEX( 'i1'!$FS58:$JO58, CX$13 ) = LEER,  #N/A,  INDEX( 'i1'!$FS58:$JO58, CX$13 )  )</f>
        <v>93180.33</v>
      </c>
      <c r="CY58" s="106">
        <f xml:space="preserve"> IF(  INDEX( 'i1'!$FS58:$JO58, CY$13 ) = LEER,  #N/A,  INDEX( 'i1'!$FS58:$JO58, CY$13 )  )</f>
        <v>84801.21</v>
      </c>
      <c r="CZ58" s="106">
        <f xml:space="preserve"> IF(  INDEX( 'i1'!$FS58:$JO58, CZ$13 ) = LEER,  #N/A,  INDEX( 'i1'!$FS58:$JO58, CZ$13 )  )</f>
        <v>75745.759999999995</v>
      </c>
      <c r="DA58" s="106">
        <f xml:space="preserve"> IF(  INDEX( 'i1'!$FS58:$JO58, DA$13 ) = LEER,  #N/A,  INDEX( 'i1'!$FS58:$JO58, DA$13 )  )</f>
        <v>65807.45</v>
      </c>
      <c r="DB58" s="106">
        <f xml:space="preserve"> IF(  INDEX( 'i1'!$FS58:$JO58, DB$13 ) = LEER,  #N/A,  INDEX( 'i1'!$FS58:$JO58, DB$13 )  )</f>
        <v>54682.54</v>
      </c>
      <c r="DC58" s="106">
        <f xml:space="preserve"> IF(  INDEX( 'i1'!$FS58:$JO58, DC$13 ) = LEER,  #N/A,  INDEX( 'i1'!$FS58:$JO58, DC$13 )  )</f>
        <v>41540.800000000003</v>
      </c>
      <c r="DD58" s="106">
        <f xml:space="preserve"> IF(  INDEX( 'i1'!$FS58:$JO58, DD$13 ) = LEER,  #N/A,  INDEX( 'i1'!$FS58:$JO58, DD$13 )  )</f>
        <v>26163.56</v>
      </c>
      <c r="DE58" s="106">
        <f xml:space="preserve"> IF(  INDEX( 'i1'!$FS58:$JO58, DE$13 ) = LEER,  #N/A,  INDEX( 'i1'!$FS58:$JO58, DE$13 )  )</f>
        <v>9190.67</v>
      </c>
      <c r="DF58" s="106" t="e">
        <f xml:space="preserve"> IF(  INDEX( 'i1'!$FS58:$JO58, DF$13 ) = LEER,  #N/A,  INDEX( 'i1'!$FS58:$JO58, DF$13 )  )</f>
        <v>#N/A</v>
      </c>
      <c r="DG58" s="106" t="e">
        <f xml:space="preserve"> IF(  INDEX( 'i1'!$FS58:$JO58, DG$13 ) = LEER,  #N/A,  INDEX( 'i1'!$FS58:$JO58, DG$13 )  )</f>
        <v>#N/A</v>
      </c>
      <c r="DH58" s="106" t="e">
        <f xml:space="preserve"> IF(  INDEX( 'i1'!$FS58:$JO58, DH$13 ) = LEER,  #N/A,  INDEX( 'i1'!$FS58:$JO58, DH$13 )  )</f>
        <v>#N/A</v>
      </c>
      <c r="DI58" s="106" t="e">
        <f xml:space="preserve"> IF(  INDEX( 'i1'!$FS58:$JO58, DI$13 ) = LEER,  #N/A,  INDEX( 'i1'!$FS58:$JO58, DI$13 )  )</f>
        <v>#N/A</v>
      </c>
      <c r="DJ58" s="106" t="e">
        <f xml:space="preserve"> IF(  INDEX( 'i1'!$FS58:$JO58, DJ$13 ) = LEER,  #N/A,  INDEX( 'i1'!$FS58:$JO58, DJ$13 )  )</f>
        <v>#N/A</v>
      </c>
      <c r="DK58" s="106" t="e">
        <f xml:space="preserve"> IF(  INDEX( 'i1'!$FS58:$JO58, DK$13 ) = LEER,  #N/A,  INDEX( 'i1'!$FS58:$JO58, DK$13 )  )</f>
        <v>#N/A</v>
      </c>
      <c r="DL58" s="106" t="e">
        <f xml:space="preserve"> IF(  INDEX( 'i1'!$FS58:$JO58, DL$13 ) = LEER,  #N/A,  INDEX( 'i1'!$FS58:$JO58, DL$13 )  )</f>
        <v>#N/A</v>
      </c>
      <c r="DM58" s="106" t="e">
        <f xml:space="preserve"> IF(  INDEX( 'i1'!$FS58:$JO58, DM$13 ) = LEER,  #N/A,  INDEX( 'i1'!$FS58:$JO58, DM$13 )  )</f>
        <v>#N/A</v>
      </c>
      <c r="DN58" s="106" t="e">
        <f xml:space="preserve"> IF(  INDEX( 'i1'!$FS58:$JO58, DN$13 ) = LEER,  #N/A,  INDEX( 'i1'!$FS58:$JO58, DN$13 )  )</f>
        <v>#N/A</v>
      </c>
    </row>
    <row r="59" spans="1:118" x14ac:dyDescent="0.2">
      <c r="A59" s="15">
        <f xml:space="preserve"> Basis!A59</f>
        <v>59</v>
      </c>
      <c r="C59" s="24" t="b">
        <f xml:space="preserve"> 'i1'!$O59</f>
        <v>1</v>
      </c>
      <c r="D59" s="24" t="b">
        <f xml:space="preserve"> 'i2'!$O59</f>
        <v>1</v>
      </c>
      <c r="E59" s="24" t="b">
        <f xml:space="preserve"> 'i3'!$O59</f>
        <v>1</v>
      </c>
      <c r="G59" s="27">
        <f xml:space="preserve"> IF( $C60,   IF( 'i1'!$P59=LEER,  #N/A,  'i1'!$P59  ),   #N/A  )</f>
        <v>1.18E-2</v>
      </c>
      <c r="H59" s="27">
        <f xml:space="preserve"> IF( $D60,   IF( 'i2'!$P59=LEER,  #N/A,  'i2'!$P59  ),   #N/A  )</f>
        <v>1.18E-2</v>
      </c>
      <c r="I59" s="27">
        <f xml:space="preserve"> IF( $E60,   IF( 'i3'!$P59=LEER,  #N/A,  'i3'!$P59  ),   #N/A  )</f>
        <v>1.18E-2</v>
      </c>
      <c r="J59" s="158"/>
      <c r="K59" s="27">
        <f xml:space="preserve"> IF( $C60,   IF( 'i1'!$G59=LEER,  #N/A,  'i1'!$G59  ),   #N/A  )</f>
        <v>8.3999999999999995E-3</v>
      </c>
      <c r="L59" s="27">
        <f xml:space="preserve"> IF( $D60,   IF( 'i2'!$G59=LEER,  #N/A,  'i2'!$G59  ),   #N/A  )</f>
        <v>8.3999999999999995E-3</v>
      </c>
      <c r="M59" s="27">
        <f xml:space="preserve"> IF( $E60,   IF( 'i3'!$G59=LEER,  #N/A,  'i3'!$G59  ),   #N/A  )</f>
        <v>8.3999999999999995E-3</v>
      </c>
      <c r="N59" s="158"/>
      <c r="O59" s="158"/>
      <c r="Q59" s="28">
        <f t="shared" si="35"/>
        <v>26.573086286455364</v>
      </c>
      <c r="R59" s="28">
        <f t="shared" si="36"/>
        <v>26.573086286455364</v>
      </c>
      <c r="S59" s="28">
        <f t="shared" si="37"/>
        <v>26.573086286455364</v>
      </c>
      <c r="U59" s="76">
        <f xml:space="preserve"> IF( $C58,   SUM('i1'!$R59),   #N/A  )</f>
        <v>544254</v>
      </c>
      <c r="V59" s="76">
        <f xml:space="preserve"> IF( $C58,   SUM('i2'!$R59),   #N/A  )</f>
        <v>544254</v>
      </c>
      <c r="W59" s="76">
        <f xml:space="preserve"> IF( $C58,   SUM('i3'!$R59),   #N/A  )</f>
        <v>544254</v>
      </c>
      <c r="Y59" s="33"/>
      <c r="Z59" s="22">
        <f xml:space="preserve"> IF( $C59,   IF( 'i1'!$J59=LEER,  #N/A,  'i1'!$J59  ),   #N/A  )</f>
        <v>1.9450000000000001</v>
      </c>
      <c r="AA59" s="22">
        <f xml:space="preserve"> IF( $D59,   IF( 'i2'!$J59=LEER,  #N/A,  'i2'!$J59  ),   #N/A  )</f>
        <v>1.9450000000000001</v>
      </c>
      <c r="AB59" s="22">
        <f xml:space="preserve"> IF( $E59,   IF( 'i3'!$J59=LEER,  #N/A,  'i3'!$J59  ),   #N/A  )</f>
        <v>1.9450000000000001</v>
      </c>
      <c r="AC59" s="75"/>
      <c r="AD59" s="26">
        <f t="shared" si="39"/>
        <v>4041.3015500000001</v>
      </c>
      <c r="AE59" s="26">
        <f t="shared" si="40"/>
        <v>4041.3015500000001</v>
      </c>
      <c r="AF59" s="26">
        <f t="shared" si="41"/>
        <v>4041.3015500000001</v>
      </c>
      <c r="AG59" s="23"/>
      <c r="AH59" s="24">
        <f xml:space="preserve">    IF(  'i1'!$AK59=LEER,  #N/A,  ROUND( 'i1'!$AK59, AH$15 )  )</f>
        <v>760.51</v>
      </c>
      <c r="AI59" s="24">
        <f xml:space="preserve">    IF(  'i2'!$AK59=LEER,  #N/A,  ROUND( 'i2'!$AK59, AI$15 )  )</f>
        <v>760.51</v>
      </c>
      <c r="AJ59" s="24">
        <f xml:space="preserve">    IF(  'i3'!$AK59=LEER,  #N/A,  ROUND( 'i3'!$AK59, AJ$15 )  )</f>
        <v>760.51</v>
      </c>
      <c r="AL59" s="102">
        <f t="shared" si="42"/>
        <v>760.51</v>
      </c>
      <c r="AO59" s="24">
        <f xml:space="preserve">    IF( 'i1'!$AN59=LEER,  #N/A,  'i1'!$AN59  )</f>
        <v>69266.09</v>
      </c>
      <c r="AP59" s="24">
        <f xml:space="preserve">    IF( 'i2'!$AN59=LEER,  #N/A,  'i2'!$AN59  )</f>
        <v>69266.09</v>
      </c>
      <c r="AQ59" s="24">
        <f xml:space="preserve">    IF( 'i3'!$AN59=LEER,  #N/A,  'i3'!$AN59  )</f>
        <v>69266.09</v>
      </c>
      <c r="AS59" s="24">
        <f xml:space="preserve">    IF( 'i1'!$AO59=LEER,  #N/A,  'i1'!$AO59  )</f>
        <v>68380.41</v>
      </c>
      <c r="AT59" s="24">
        <f xml:space="preserve">    IF( 'i2'!$AO59=LEER,  #N/A,  'i2'!$AO59  )</f>
        <v>68380.41</v>
      </c>
      <c r="AU59" s="24">
        <f xml:space="preserve">    IF( 'i3'!$AO59=LEER,  #N/A,  'i3'!$AO59  )</f>
        <v>68380.41</v>
      </c>
      <c r="AW59" s="28">
        <f t="shared" si="38"/>
        <v>33.336399999999998</v>
      </c>
      <c r="AX59" s="28">
        <f t="shared" si="29"/>
        <v>33.336399999999998</v>
      </c>
      <c r="AY59" s="28">
        <f t="shared" si="30"/>
        <v>33.336399999999998</v>
      </c>
      <c r="BA59" s="28">
        <f t="shared" si="43"/>
        <v>32.910200000000003</v>
      </c>
      <c r="BB59" s="28">
        <f t="shared" si="44"/>
        <v>32.910200000000003</v>
      </c>
      <c r="BC59" s="28">
        <f t="shared" si="45"/>
        <v>32.910200000000003</v>
      </c>
      <c r="BG59" s="24">
        <f xml:space="preserve">    IF( 'i1'!BT59=LEER,  #N/A,  'i1'!BT59  )</f>
        <v>-0.95</v>
      </c>
      <c r="BH59" s="24">
        <f xml:space="preserve">    IF( 'i1'!BR59=LEER,  #N/A,  'i1'!BR59  )</f>
        <v>66706.52</v>
      </c>
      <c r="BI59" s="111">
        <f t="shared" si="34"/>
        <v>66705.570000000007</v>
      </c>
      <c r="BJ59" s="24">
        <f xml:space="preserve">    IF( 'i1'!BX59=LEER,  #N/A,  'i1'!BX59  )</f>
        <v>2560.5199999999895</v>
      </c>
      <c r="BL59" s="24">
        <f xml:space="preserve">    IF( 'i1'!CB59=LEER,  #N/A,  'i1'!CB59  )</f>
        <v>-193.59</v>
      </c>
      <c r="BM59" s="24">
        <f xml:space="preserve">    IF( 'i1'!CC59=LEER,  #N/A,  'i1'!CC59  )</f>
        <v>1731.65</v>
      </c>
      <c r="BN59" s="24">
        <f xml:space="preserve">    IF( 'i1'!CD59=LEER,  #N/A,  'i1'!CD59  )</f>
        <v>845.46</v>
      </c>
      <c r="BO59" s="24">
        <f xml:space="preserve">    IF( 'i1'!CE59=LEER,  #N/A,  'i1'!CE59  )</f>
        <v>2383.5200000000004</v>
      </c>
      <c r="BQ59" s="24">
        <f xml:space="preserve">    IF( 'i1'!CI59=LEER,  #N/A,  'i1'!CI59  )</f>
        <v>4041.3</v>
      </c>
      <c r="BR59" s="24">
        <f xml:space="preserve">    IF( 'i1'!CJ59=LEER,  #N/A,  'i1'!CJ59  )</f>
        <v>635.9</v>
      </c>
      <c r="BS59" s="24">
        <f xml:space="preserve">    IF( 'i1'!CK59=LEER,  #N/A,  'i1'!CK59  )</f>
        <v>-824.84</v>
      </c>
      <c r="BT59" s="38">
        <f xml:space="preserve">    IF( 'i1'!CH59=LEER,  #N/A,  'i1'!CH59  )</f>
        <v>3852.4304390000002</v>
      </c>
      <c r="BV59" s="24">
        <f xml:space="preserve">    IF( 'i1'!CO59=LEER,  #N/A,  'i1'!CO59  )</f>
        <v>4041.3</v>
      </c>
      <c r="BW59" s="24">
        <f xml:space="preserve">    IF( 'i1'!CP59=LEER,  #N/A,  'i1'!CP59  )</f>
        <v>671.99</v>
      </c>
      <c r="BX59" s="24">
        <f xml:space="preserve">    IF( 'i1'!CQ59=LEER,  #N/A,  'i1'!CQ59  )</f>
        <v>-814.82</v>
      </c>
      <c r="BY59" s="38">
        <f xml:space="preserve">    IF( 'i1'!CN59=LEER,  #N/A,  'i1'!CN59  )</f>
        <v>3898.5573770000001</v>
      </c>
      <c r="CD59" s="113" t="e">
        <f xml:space="preserve"> IF(  AND( $A59&lt;&gt;$CD$14, OR( 'i1'!EO59=LEER, 'i1'!EM59&lt;&gt;LEER ) ), #N/A, 'i1'!EO59 )</f>
        <v>#N/A</v>
      </c>
      <c r="CE59" s="113">
        <f xml:space="preserve"> IF(   'i1'!EM59=LEER, #N/A,  'i1'!EM59 )</f>
        <v>39060.92</v>
      </c>
      <c r="CF59" s="114">
        <f xml:space="preserve"> IF(   'i1'!EL59=LEER, #N/A, 'i1'!EL59 + 'i1'!EM59 )</f>
        <v>68387.48</v>
      </c>
      <c r="CW59" s="104">
        <f xml:space="preserve"> 'i1'!FN59</f>
        <v>59</v>
      </c>
      <c r="CX59" s="106">
        <f xml:space="preserve"> IF(  INDEX( 'i1'!$FS59:$JO59, CX$13 ) = LEER,  #N/A,  INDEX( 'i1'!$FS59:$JO59, CX$13 )  )</f>
        <v>95345.88</v>
      </c>
      <c r="CY59" s="106">
        <f xml:space="preserve"> IF(  INDEX( 'i1'!$FS59:$JO59, CY$13 ) = LEER,  #N/A,  INDEX( 'i1'!$FS59:$JO59, CY$13 )  )</f>
        <v>87091.47</v>
      </c>
      <c r="CZ59" s="106">
        <f xml:space="preserve"> IF(  INDEX( 'i1'!$FS59:$JO59, CZ$13 ) = LEER,  #N/A,  INDEX( 'i1'!$FS59:$JO59, CZ$13 )  )</f>
        <v>78170.8</v>
      </c>
      <c r="DA59" s="106">
        <f xml:space="preserve"> IF(  INDEX( 'i1'!$FS59:$JO59, DA$13 ) = LEER,  #N/A,  INDEX( 'i1'!$FS59:$JO59, DA$13 )  )</f>
        <v>68380.41</v>
      </c>
      <c r="DB59" s="106">
        <f xml:space="preserve"> IF(  INDEX( 'i1'!$FS59:$JO59, DB$13 ) = LEER,  #N/A,  INDEX( 'i1'!$FS59:$JO59, DB$13 )  )</f>
        <v>57421.08</v>
      </c>
      <c r="DC59" s="106">
        <f xml:space="preserve"> IF(  INDEX( 'i1'!$FS59:$JO59, DC$13 ) = LEER,  #N/A,  INDEX( 'i1'!$FS59:$JO59, DC$13 )  )</f>
        <v>44474.94</v>
      </c>
      <c r="DD59" s="106">
        <f xml:space="preserve"> IF(  INDEX( 'i1'!$FS59:$JO59, DD$13 ) = LEER,  #N/A,  INDEX( 'i1'!$FS59:$JO59, DD$13 )  )</f>
        <v>29326.560000000001</v>
      </c>
      <c r="DE59" s="106">
        <f xml:space="preserve"> IF(  INDEX( 'i1'!$FS59:$JO59, DE$13 ) = LEER,  #N/A,  INDEX( 'i1'!$FS59:$JO59, DE$13 )  )</f>
        <v>12606.3</v>
      </c>
      <c r="DF59" s="106" t="e">
        <f xml:space="preserve"> IF(  INDEX( 'i1'!$FS59:$JO59, DF$13 ) = LEER,  #N/A,  INDEX( 'i1'!$FS59:$JO59, DF$13 )  )</f>
        <v>#N/A</v>
      </c>
      <c r="DG59" s="106" t="e">
        <f xml:space="preserve"> IF(  INDEX( 'i1'!$FS59:$JO59, DG$13 ) = LEER,  #N/A,  INDEX( 'i1'!$FS59:$JO59, DG$13 )  )</f>
        <v>#N/A</v>
      </c>
      <c r="DH59" s="106" t="e">
        <f xml:space="preserve"> IF(  INDEX( 'i1'!$FS59:$JO59, DH$13 ) = LEER,  #N/A,  INDEX( 'i1'!$FS59:$JO59, DH$13 )  )</f>
        <v>#N/A</v>
      </c>
      <c r="DI59" s="106" t="e">
        <f xml:space="preserve"> IF(  INDEX( 'i1'!$FS59:$JO59, DI$13 ) = LEER,  #N/A,  INDEX( 'i1'!$FS59:$JO59, DI$13 )  )</f>
        <v>#N/A</v>
      </c>
      <c r="DJ59" s="106" t="e">
        <f xml:space="preserve"> IF(  INDEX( 'i1'!$FS59:$JO59, DJ$13 ) = LEER,  #N/A,  INDEX( 'i1'!$FS59:$JO59, DJ$13 )  )</f>
        <v>#N/A</v>
      </c>
      <c r="DK59" s="106" t="e">
        <f xml:space="preserve"> IF(  INDEX( 'i1'!$FS59:$JO59, DK$13 ) = LEER,  #N/A,  INDEX( 'i1'!$FS59:$JO59, DK$13 )  )</f>
        <v>#N/A</v>
      </c>
      <c r="DL59" s="106" t="e">
        <f xml:space="preserve"> IF(  INDEX( 'i1'!$FS59:$JO59, DL$13 ) = LEER,  #N/A,  INDEX( 'i1'!$FS59:$JO59, DL$13 )  )</f>
        <v>#N/A</v>
      </c>
      <c r="DM59" s="106" t="e">
        <f xml:space="preserve"> IF(  INDEX( 'i1'!$FS59:$JO59, DM$13 ) = LEER,  #N/A,  INDEX( 'i1'!$FS59:$JO59, DM$13 )  )</f>
        <v>#N/A</v>
      </c>
      <c r="DN59" s="106" t="e">
        <f xml:space="preserve"> IF(  INDEX( 'i1'!$FS59:$JO59, DN$13 ) = LEER,  #N/A,  INDEX( 'i1'!$FS59:$JO59, DN$13 )  )</f>
        <v>#N/A</v>
      </c>
    </row>
    <row r="60" spans="1:118" x14ac:dyDescent="0.2">
      <c r="A60" s="15">
        <f xml:space="preserve"> Basis!A60</f>
        <v>60</v>
      </c>
      <c r="C60" s="24" t="b">
        <f xml:space="preserve"> 'i1'!$O60</f>
        <v>1</v>
      </c>
      <c r="D60" s="24" t="b">
        <f xml:space="preserve"> 'i2'!$O60</f>
        <v>1</v>
      </c>
      <c r="E60" s="24" t="b">
        <f xml:space="preserve"> 'i3'!$O60</f>
        <v>1</v>
      </c>
      <c r="G60" s="27">
        <f xml:space="preserve"> IF( $C61,   IF( 'i1'!$P60=LEER,  #N/A,  'i1'!$P60  ),   #N/A  )</f>
        <v>1.14E-2</v>
      </c>
      <c r="H60" s="27">
        <f xml:space="preserve"> IF( $D61,   IF( 'i2'!$P60=LEER,  #N/A,  'i2'!$P60  ),   #N/A  )</f>
        <v>1.14E-2</v>
      </c>
      <c r="I60" s="27">
        <f xml:space="preserve"> IF( $E61,   IF( 'i3'!$P60=LEER,  #N/A,  'i3'!$P60  ),   #N/A  )</f>
        <v>1.14E-2</v>
      </c>
      <c r="J60" s="158"/>
      <c r="K60" s="27">
        <f xml:space="preserve"> IF( $C61,   IF( 'i1'!$G60=LEER,  #N/A,  'i1'!$G60  ),   #N/A  )</f>
        <v>7.7000000000000002E-3</v>
      </c>
      <c r="L60" s="27">
        <f xml:space="preserve"> IF( $D61,   IF( 'i2'!$G60=LEER,  #N/A,  'i2'!$G60  ),   #N/A  )</f>
        <v>7.7000000000000002E-3</v>
      </c>
      <c r="M60" s="27">
        <f xml:space="preserve"> IF( $E61,   IF( 'i3'!$G60=LEER,  #N/A,  'i3'!$G60  ),   #N/A  )</f>
        <v>7.7000000000000002E-3</v>
      </c>
      <c r="N60" s="158"/>
      <c r="O60" s="158"/>
      <c r="Q60" s="28">
        <f t="shared" si="35"/>
        <v>25.884422471620486</v>
      </c>
      <c r="R60" s="28">
        <f t="shared" si="36"/>
        <v>25.884422471620486</v>
      </c>
      <c r="S60" s="28">
        <f t="shared" si="37"/>
        <v>25.884422471620486</v>
      </c>
      <c r="U60" s="76">
        <f xml:space="preserve"> IF( $C59,   SUM('i1'!$R60),   #N/A  )</f>
        <v>537831</v>
      </c>
      <c r="V60" s="76">
        <f xml:space="preserve"> IF( $C59,   SUM('i2'!$R60),   #N/A  )</f>
        <v>537831</v>
      </c>
      <c r="W60" s="76">
        <f xml:space="preserve"> IF( $C59,   SUM('i3'!$R60),   #N/A  )</f>
        <v>537831</v>
      </c>
      <c r="Y60" s="33"/>
      <c r="Z60" s="22">
        <f xml:space="preserve"> IF( $C60,   IF( 'i1'!$J60=LEER,  #N/A,  'i1'!$J60  ),   #N/A  )</f>
        <v>2.0409999999999999</v>
      </c>
      <c r="AA60" s="22">
        <f xml:space="preserve"> IF( $D60,   IF( 'i2'!$J60=LEER,  #N/A,  'i2'!$J60  ),   #N/A  )</f>
        <v>2.0409999999999999</v>
      </c>
      <c r="AB60" s="22">
        <f xml:space="preserve"> IF( $E60,   IF( 'i3'!$J60=LEER,  #N/A,  'i3'!$J60  ),   #N/A  )</f>
        <v>2.0409999999999999</v>
      </c>
      <c r="AC60" s="75"/>
      <c r="AD60" s="26">
        <f t="shared" si="39"/>
        <v>4240.7693899999995</v>
      </c>
      <c r="AE60" s="26">
        <f t="shared" si="40"/>
        <v>4240.7693899999995</v>
      </c>
      <c r="AF60" s="26">
        <f t="shared" si="41"/>
        <v>4240.7693899999995</v>
      </c>
      <c r="AG60" s="23"/>
      <c r="AH60" s="24">
        <f xml:space="preserve">    IF(  'i1'!$AK60=LEER,  #N/A,  ROUND( 'i1'!$AK60, AH$15 )  )</f>
        <v>777.96</v>
      </c>
      <c r="AI60" s="24">
        <f xml:space="preserve">    IF(  'i2'!$AK60=LEER,  #N/A,  ROUND( 'i2'!$AK60, AI$15 )  )</f>
        <v>777.96</v>
      </c>
      <c r="AJ60" s="24">
        <f xml:space="preserve">    IF(  'i3'!$AK60=LEER,  #N/A,  ROUND( 'i3'!$AK60, AJ$15 )  )</f>
        <v>777.96</v>
      </c>
      <c r="AL60" s="102">
        <f t="shared" si="42"/>
        <v>777.96</v>
      </c>
      <c r="AO60" s="24">
        <f xml:space="preserve">    IF( 'i1'!$AN60=LEER,  #N/A,  'i1'!$AN60  )</f>
        <v>71649.539999999994</v>
      </c>
      <c r="AP60" s="24">
        <f xml:space="preserve">    IF( 'i2'!$AN60=LEER,  #N/A,  'i2'!$AN60  )</f>
        <v>71649.539999999994</v>
      </c>
      <c r="AQ60" s="24">
        <f xml:space="preserve">    IF( 'i3'!$AN60=LEER,  #N/A,  'i3'!$AN60  )</f>
        <v>71649.539999999994</v>
      </c>
      <c r="AS60" s="24">
        <f xml:space="preserve">    IF( 'i1'!$AO60=LEER,  #N/A,  'i1'!$AO60  )</f>
        <v>70778.710000000006</v>
      </c>
      <c r="AT60" s="24">
        <f xml:space="preserve">    IF( 'i2'!$AO60=LEER,  #N/A,  'i2'!$AO60  )</f>
        <v>70778.710000000006</v>
      </c>
      <c r="AU60" s="24">
        <f xml:space="preserve">    IF( 'i3'!$AO60=LEER,  #N/A,  'i3'!$AO60  )</f>
        <v>70778.710000000006</v>
      </c>
      <c r="AW60" s="28">
        <f t="shared" si="38"/>
        <v>34.483499999999999</v>
      </c>
      <c r="AX60" s="28">
        <f t="shared" si="29"/>
        <v>34.483499999999999</v>
      </c>
      <c r="AY60" s="28">
        <f t="shared" si="30"/>
        <v>34.483499999999999</v>
      </c>
      <c r="BA60" s="28">
        <f t="shared" si="43"/>
        <v>34.064399999999999</v>
      </c>
      <c r="BB60" s="28">
        <f t="shared" si="44"/>
        <v>34.064399999999999</v>
      </c>
      <c r="BC60" s="28">
        <f t="shared" si="45"/>
        <v>34.064399999999999</v>
      </c>
      <c r="BG60" s="24">
        <f xml:space="preserve">    IF( 'i1'!BT60=LEER,  #N/A,  'i1'!BT60  )</f>
        <v>-189.71</v>
      </c>
      <c r="BH60" s="24">
        <f xml:space="preserve">    IF( 'i1'!BR60=LEER,  #N/A,  'i1'!BR60  )</f>
        <v>69266.09</v>
      </c>
      <c r="BI60" s="111">
        <f t="shared" si="34"/>
        <v>69076.37999999999</v>
      </c>
      <c r="BJ60" s="24">
        <f xml:space="preserve">    IF( 'i1'!BX60=LEER,  #N/A,  'i1'!BX60  )</f>
        <v>2573.1600000000035</v>
      </c>
      <c r="BL60" s="24">
        <f xml:space="preserve">    IF( 'i1'!CB60=LEER,  #N/A,  'i1'!CB60  )</f>
        <v>-398.05</v>
      </c>
      <c r="BM60" s="24">
        <f xml:space="preserve">    IF( 'i1'!CC60=LEER,  #N/A,  'i1'!CC60  )</f>
        <v>1791.24</v>
      </c>
      <c r="BN60" s="24">
        <f xml:space="preserve">    IF( 'i1'!CD60=LEER,  #N/A,  'i1'!CD60  )</f>
        <v>842.29</v>
      </c>
      <c r="BO60" s="24">
        <f xml:space="preserve">    IF( 'i1'!CE60=LEER,  #N/A,  'i1'!CE60  )</f>
        <v>2235.48</v>
      </c>
      <c r="BQ60" s="24">
        <f xml:space="preserve">    IF( 'i1'!CI60=LEER,  #N/A,  'i1'!CI60  )</f>
        <v>4240.7700000000004</v>
      </c>
      <c r="BR60" s="24">
        <f xml:space="preserve">    IF( 'i1'!CJ60=LEER,  #N/A,  'i1'!CJ60  )</f>
        <v>433.51</v>
      </c>
      <c r="BS60" s="24">
        <f xml:space="preserve">    IF( 'i1'!CK60=LEER,  #N/A,  'i1'!CK60  )</f>
        <v>-821.75</v>
      </c>
      <c r="BT60" s="38">
        <f xml:space="preserve">    IF( 'i1'!CH60=LEER,  #N/A,  'i1'!CH60  )</f>
        <v>3852.4304390000002</v>
      </c>
      <c r="BV60" s="24">
        <f xml:space="preserve">    IF( 'i1'!CO60=LEER,  #N/A,  'i1'!CO60  )</f>
        <v>4240.7700000000004</v>
      </c>
      <c r="BW60" s="24">
        <f xml:space="preserve">    IF( 'i1'!CP60=LEER,  #N/A,  'i1'!CP60  )</f>
        <v>470.13</v>
      </c>
      <c r="BX60" s="24">
        <f xml:space="preserve">    IF( 'i1'!CQ60=LEER,  #N/A,  'i1'!CQ60  )</f>
        <v>-812.24</v>
      </c>
      <c r="BY60" s="38">
        <f xml:space="preserve">    IF( 'i1'!CN60=LEER,  #N/A,  'i1'!CN60  )</f>
        <v>3898.5573770000001</v>
      </c>
      <c r="CD60" s="113" t="e">
        <f xml:space="preserve"> IF(  AND( $A60&lt;&gt;$CD$14, OR( 'i1'!EO60=LEER, 'i1'!EM60&lt;&gt;LEER ) ), #N/A, 'i1'!EO60 )</f>
        <v>#N/A</v>
      </c>
      <c r="CE60" s="113">
        <f xml:space="preserve"> IF(   'i1'!EM60=LEER, #N/A,  'i1'!EM60 )</f>
        <v>38405.67</v>
      </c>
      <c r="CF60" s="114">
        <f xml:space="preserve"> IF(   'i1'!EL60=LEER, #N/A, 'i1'!EL60 + 'i1'!EM60 )</f>
        <v>70785.67</v>
      </c>
      <c r="CW60" s="104">
        <f xml:space="preserve"> 'i1'!FN60</f>
        <v>60</v>
      </c>
      <c r="CX60" s="106">
        <f xml:space="preserve"> IF(  INDEX( 'i1'!$FS60:$JO60, CX$13 ) = LEER,  #N/A,  INDEX( 'i1'!$FS60:$JO60, CX$13 )  )</f>
        <v>97291.83</v>
      </c>
      <c r="CY60" s="106">
        <f xml:space="preserve"> IF(  INDEX( 'i1'!$FS60:$JO60, CY$13 ) = LEER,  #N/A,  INDEX( 'i1'!$FS60:$JO60, CY$13 )  )</f>
        <v>89175.89</v>
      </c>
      <c r="CZ60" s="106">
        <f xml:space="preserve"> IF(  INDEX( 'i1'!$FS60:$JO60, CZ$13 ) = LEER,  #N/A,  INDEX( 'i1'!$FS60:$JO60, CZ$13 )  )</f>
        <v>80404.87</v>
      </c>
      <c r="DA60" s="106">
        <f xml:space="preserve"> IF(  INDEX( 'i1'!$FS60:$JO60, DA$13 ) = LEER,  #N/A,  INDEX( 'i1'!$FS60:$JO60, DA$13 )  )</f>
        <v>70778.710000000006</v>
      </c>
      <c r="DB60" s="106">
        <f xml:space="preserve"> IF(  INDEX( 'i1'!$FS60:$JO60, DB$13 ) = LEER,  #N/A,  INDEX( 'i1'!$FS60:$JO60, DB$13 )  )</f>
        <v>60003.22</v>
      </c>
      <c r="DC60" s="106">
        <f xml:space="preserve"> IF(  INDEX( 'i1'!$FS60:$JO60, DC$13 ) = LEER,  #N/A,  INDEX( 'i1'!$FS60:$JO60, DC$13 )  )</f>
        <v>47274.26</v>
      </c>
      <c r="DD60" s="106">
        <f xml:space="preserve"> IF(  INDEX( 'i1'!$FS60:$JO60, DD$13 ) = LEER,  #N/A,  INDEX( 'i1'!$FS60:$JO60, DD$13 )  )</f>
        <v>32380</v>
      </c>
      <c r="DE60" s="106">
        <f xml:space="preserve"> IF(  INDEX( 'i1'!$FS60:$JO60, DE$13 ) = LEER,  #N/A,  INDEX( 'i1'!$FS60:$JO60, DE$13 )  )</f>
        <v>15940.22</v>
      </c>
      <c r="DF60" s="106">
        <f xml:space="preserve"> IF(  INDEX( 'i1'!$FS60:$JO60, DF$13 ) = LEER,  #N/A,  INDEX( 'i1'!$FS60:$JO60, DF$13 )  )</f>
        <v>-1566.52</v>
      </c>
      <c r="DG60" s="106" t="e">
        <f xml:space="preserve"> IF(  INDEX( 'i1'!$FS60:$JO60, DG$13 ) = LEER,  #N/A,  INDEX( 'i1'!$FS60:$JO60, DG$13 )  )</f>
        <v>#N/A</v>
      </c>
      <c r="DH60" s="106" t="e">
        <f xml:space="preserve"> IF(  INDEX( 'i1'!$FS60:$JO60, DH$13 ) = LEER,  #N/A,  INDEX( 'i1'!$FS60:$JO60, DH$13 )  )</f>
        <v>#N/A</v>
      </c>
      <c r="DI60" s="106" t="e">
        <f xml:space="preserve"> IF(  INDEX( 'i1'!$FS60:$JO60, DI$13 ) = LEER,  #N/A,  INDEX( 'i1'!$FS60:$JO60, DI$13 )  )</f>
        <v>#N/A</v>
      </c>
      <c r="DJ60" s="106" t="e">
        <f xml:space="preserve"> IF(  INDEX( 'i1'!$FS60:$JO60, DJ$13 ) = LEER,  #N/A,  INDEX( 'i1'!$FS60:$JO60, DJ$13 )  )</f>
        <v>#N/A</v>
      </c>
      <c r="DK60" s="106" t="e">
        <f xml:space="preserve"> IF(  INDEX( 'i1'!$FS60:$JO60, DK$13 ) = LEER,  #N/A,  INDEX( 'i1'!$FS60:$JO60, DK$13 )  )</f>
        <v>#N/A</v>
      </c>
      <c r="DL60" s="106" t="e">
        <f xml:space="preserve"> IF(  INDEX( 'i1'!$FS60:$JO60, DL$13 ) = LEER,  #N/A,  INDEX( 'i1'!$FS60:$JO60, DL$13 )  )</f>
        <v>#N/A</v>
      </c>
      <c r="DM60" s="106" t="e">
        <f xml:space="preserve"> IF(  INDEX( 'i1'!$FS60:$JO60, DM$13 ) = LEER,  #N/A,  INDEX( 'i1'!$FS60:$JO60, DM$13 )  )</f>
        <v>#N/A</v>
      </c>
      <c r="DN60" s="106" t="e">
        <f xml:space="preserve"> IF(  INDEX( 'i1'!$FS60:$JO60, DN$13 ) = LEER,  #N/A,  INDEX( 'i1'!$FS60:$JO60, DN$13 )  )</f>
        <v>#N/A</v>
      </c>
    </row>
    <row r="61" spans="1:118" x14ac:dyDescent="0.2">
      <c r="A61" s="15">
        <f xml:space="preserve"> Basis!A61</f>
        <v>61</v>
      </c>
      <c r="C61" s="24" t="b">
        <f xml:space="preserve"> 'i1'!$O61</f>
        <v>1</v>
      </c>
      <c r="D61" s="24" t="b">
        <f xml:space="preserve"> 'i2'!$O61</f>
        <v>1</v>
      </c>
      <c r="E61" s="24" t="b">
        <f xml:space="preserve"> 'i3'!$O61</f>
        <v>1</v>
      </c>
      <c r="G61" s="27">
        <f xml:space="preserve"> IF( $C62,   IF( 'i1'!$P61=LEER,  #N/A,  'i1'!$P61  ),   #N/A  )</f>
        <v>1.12E-2</v>
      </c>
      <c r="H61" s="27">
        <f xml:space="preserve"> IF( $D62,   IF( 'i2'!$P61=LEER,  #N/A,  'i2'!$P61  ),   #N/A  )</f>
        <v>1.12E-2</v>
      </c>
      <c r="I61" s="27">
        <f xml:space="preserve"> IF( $E62,   IF( 'i3'!$P61=LEER,  #N/A,  'i3'!$P61  ),   #N/A  )</f>
        <v>1.12E-2</v>
      </c>
      <c r="J61" s="158"/>
      <c r="K61" s="27">
        <f xml:space="preserve"> IF( $C62,   IF( 'i1'!$G61=LEER,  #N/A,  'i1'!$G61  ),   #N/A  )</f>
        <v>7.1999999999999998E-3</v>
      </c>
      <c r="L61" s="27">
        <f xml:space="preserve"> IF( $D62,   IF( 'i2'!$G61=LEER,  #N/A,  'i2'!$G61  ),   #N/A  )</f>
        <v>7.1999999999999998E-3</v>
      </c>
      <c r="M61" s="27">
        <f xml:space="preserve"> IF( $E62,   IF( 'i3'!$G61=LEER,  #N/A,  'i3'!$G61  ),   #N/A  )</f>
        <v>7.1999999999999998E-3</v>
      </c>
      <c r="N61" s="158"/>
      <c r="O61" s="158"/>
      <c r="Q61" s="28">
        <f t="shared" si="35"/>
        <v>25.177141889156871</v>
      </c>
      <c r="R61" s="28">
        <f t="shared" si="36"/>
        <v>25.177141889156871</v>
      </c>
      <c r="S61" s="28">
        <f t="shared" si="37"/>
        <v>25.177141889156871</v>
      </c>
      <c r="U61" s="76">
        <f xml:space="preserve"> IF( $C60,   SUM('i1'!$R61),   #N/A  )</f>
        <v>531699</v>
      </c>
      <c r="V61" s="76">
        <f xml:space="preserve"> IF( $C60,   SUM('i2'!$R61),   #N/A  )</f>
        <v>531699</v>
      </c>
      <c r="W61" s="76">
        <f xml:space="preserve"> IF( $C60,   SUM('i3'!$R61),   #N/A  )</f>
        <v>531699</v>
      </c>
      <c r="Y61" s="33"/>
      <c r="Z61" s="22">
        <f xml:space="preserve"> IF( $C61,   IF( 'i1'!$J61=LEER,  #N/A,  'i1'!$J61  ),   #N/A  )</f>
        <v>2.15</v>
      </c>
      <c r="AA61" s="22">
        <f xml:space="preserve"> IF( $D61,   IF( 'i2'!$J61=LEER,  #N/A,  'i2'!$J61  ),   #N/A  )</f>
        <v>2.15</v>
      </c>
      <c r="AB61" s="22">
        <f xml:space="preserve"> IF( $E61,   IF( 'i3'!$J61=LEER,  #N/A,  'i3'!$J61  ),   #N/A  )</f>
        <v>2.15</v>
      </c>
      <c r="AC61" s="75"/>
      <c r="AD61" s="26">
        <f t="shared" si="39"/>
        <v>4467.2484999999997</v>
      </c>
      <c r="AE61" s="26">
        <f t="shared" si="40"/>
        <v>4467.2484999999997</v>
      </c>
      <c r="AF61" s="26">
        <f t="shared" si="41"/>
        <v>4467.2484999999997</v>
      </c>
      <c r="AG61" s="23"/>
      <c r="AH61" s="24">
        <f xml:space="preserve">    IF(  'i1'!$AK61=LEER,  #N/A,  ROUND( 'i1'!$AK61, AH$15 )  )</f>
        <v>795.57</v>
      </c>
      <c r="AI61" s="24">
        <f xml:space="preserve">    IF(  'i2'!$AK61=LEER,  #N/A,  ROUND( 'i2'!$AK61, AI$15 )  )</f>
        <v>795.57</v>
      </c>
      <c r="AJ61" s="24">
        <f xml:space="preserve">    IF(  'i3'!$AK61=LEER,  #N/A,  ROUND( 'i3'!$AK61, AJ$15 )  )</f>
        <v>795.57</v>
      </c>
      <c r="AL61" s="102">
        <f t="shared" si="42"/>
        <v>795.57</v>
      </c>
      <c r="AO61" s="24">
        <f xml:space="preserve">    IF( 'i1'!$AN61=LEER,  #N/A,  'i1'!$AN61  )</f>
        <v>73885.13</v>
      </c>
      <c r="AP61" s="24">
        <f xml:space="preserve">    IF( 'i2'!$AN61=LEER,  #N/A,  'i2'!$AN61  )</f>
        <v>73885.13</v>
      </c>
      <c r="AQ61" s="24">
        <f xml:space="preserve">    IF( 'i3'!$AN61=LEER,  #N/A,  'i3'!$AN61  )</f>
        <v>73885.13</v>
      </c>
      <c r="AS61" s="24">
        <f xml:space="preserve">    IF( 'i1'!$AO61=LEER,  #N/A,  'i1'!$AO61  )</f>
        <v>73030.06</v>
      </c>
      <c r="AT61" s="24">
        <f xml:space="preserve">    IF( 'i2'!$AO61=LEER,  #N/A,  'i2'!$AO61  )</f>
        <v>73030.06</v>
      </c>
      <c r="AU61" s="24">
        <f xml:space="preserve">    IF( 'i3'!$AO61=LEER,  #N/A,  'i3'!$AO61  )</f>
        <v>73030.06</v>
      </c>
      <c r="AW61" s="28">
        <f t="shared" si="38"/>
        <v>35.5595</v>
      </c>
      <c r="AX61" s="28">
        <f t="shared" si="29"/>
        <v>35.5595</v>
      </c>
      <c r="AY61" s="28">
        <f t="shared" si="30"/>
        <v>35.5595</v>
      </c>
      <c r="BA61" s="28">
        <f t="shared" si="43"/>
        <v>35.148000000000003</v>
      </c>
      <c r="BB61" s="28">
        <f t="shared" si="44"/>
        <v>35.148000000000003</v>
      </c>
      <c r="BC61" s="28">
        <f t="shared" si="45"/>
        <v>35.148000000000003</v>
      </c>
      <c r="BG61" s="24">
        <f xml:space="preserve">    IF( 'i1'!BT61=LEER,  #N/A,  'i1'!BT61  )</f>
        <v>-388.83</v>
      </c>
      <c r="BH61" s="24">
        <f xml:space="preserve">    IF( 'i1'!BR61=LEER,  #N/A,  'i1'!BR61  )</f>
        <v>71649.539999999994</v>
      </c>
      <c r="BI61" s="111">
        <f t="shared" si="34"/>
        <v>71260.709999999992</v>
      </c>
      <c r="BJ61" s="24">
        <f xml:space="preserve">    IF( 'i1'!BX61=LEER,  #N/A,  'i1'!BX61  )</f>
        <v>2624.4200000000128</v>
      </c>
      <c r="BL61" s="24">
        <f xml:space="preserve">    IF( 'i1'!CB61=LEER,  #N/A,  'i1'!CB61  )</f>
        <v>-630.19000000000005</v>
      </c>
      <c r="BM61" s="24">
        <f xml:space="preserve">    IF( 'i1'!CC61=LEER,  #N/A,  'i1'!CC61  )</f>
        <v>1847.13</v>
      </c>
      <c r="BN61" s="24">
        <f xml:space="preserve">    IF( 'i1'!CD61=LEER,  #N/A,  'i1'!CD61  )</f>
        <v>850.67</v>
      </c>
      <c r="BO61" s="24">
        <f xml:space="preserve">    IF( 'i1'!CE61=LEER,  #N/A,  'i1'!CE61  )</f>
        <v>2067.61</v>
      </c>
      <c r="BQ61" s="24">
        <f xml:space="preserve">    IF( 'i1'!CI61=LEER,  #N/A,  'i1'!CI61  )</f>
        <v>4467.25</v>
      </c>
      <c r="BR61" s="24">
        <f xml:space="preserve">    IF( 'i1'!CJ61=LEER,  #N/A,  'i1'!CJ61  )</f>
        <v>215.07</v>
      </c>
      <c r="BS61" s="24">
        <f xml:space="preserve">    IF( 'i1'!CK61=LEER,  #N/A,  'i1'!CK61  )</f>
        <v>-829.92</v>
      </c>
      <c r="BT61" s="38">
        <f xml:space="preserve">    IF( 'i1'!CH61=LEER,  #N/A,  'i1'!CH61  )</f>
        <v>3852.4304390000002</v>
      </c>
      <c r="BV61" s="24">
        <f xml:space="preserve">    IF( 'i1'!CO61=LEER,  #N/A,  'i1'!CO61  )</f>
        <v>4467.25</v>
      </c>
      <c r="BW61" s="24">
        <f xml:space="preserve">    IF( 'i1'!CP61=LEER,  #N/A,  'i1'!CP61  )</f>
        <v>252.03</v>
      </c>
      <c r="BX61" s="24">
        <f xml:space="preserve">    IF( 'i1'!CQ61=LEER,  #N/A,  'i1'!CQ61  )</f>
        <v>-820.76</v>
      </c>
      <c r="BY61" s="38">
        <f xml:space="preserve">    IF( 'i1'!CN61=LEER,  #N/A,  'i1'!CN61  )</f>
        <v>3898.5573770000001</v>
      </c>
      <c r="CD61" s="113" t="e">
        <f xml:space="preserve"> IF(  AND( $A61&lt;&gt;$CD$14, OR( 'i1'!EO61=LEER, 'i1'!EM61&lt;&gt;LEER ) ), #N/A, 'i1'!EO61 )</f>
        <v>#N/A</v>
      </c>
      <c r="CE61" s="113">
        <f xml:space="preserve"> IF(   'i1'!EM61=LEER, #N/A,  'i1'!EM61 )</f>
        <v>37710.550000000003</v>
      </c>
      <c r="CF61" s="114">
        <f xml:space="preserve"> IF(   'i1'!EL61=LEER, #N/A, 'i1'!EL61 + 'i1'!EM61 )</f>
        <v>73036.899999999994</v>
      </c>
      <c r="CW61" s="104">
        <f xml:space="preserve"> 'i1'!FN61</f>
        <v>61</v>
      </c>
      <c r="CX61" s="106">
        <f xml:space="preserve"> IF(  INDEX( 'i1'!$FS61:$JO61, CX$13 ) = LEER,  #N/A,  INDEX( 'i1'!$FS61:$JO61, CX$13 )  )</f>
        <v>99063.3</v>
      </c>
      <c r="CY61" s="106">
        <f xml:space="preserve"> IF(  INDEX( 'i1'!$FS61:$JO61, CY$13 ) = LEER,  #N/A,  INDEX( 'i1'!$FS61:$JO61, CY$13 )  )</f>
        <v>91094.26</v>
      </c>
      <c r="CZ61" s="106">
        <f xml:space="preserve"> IF(  INDEX( 'i1'!$FS61:$JO61, CZ$13 ) = LEER,  #N/A,  INDEX( 'i1'!$FS61:$JO61, CZ$13 )  )</f>
        <v>82481.990000000005</v>
      </c>
      <c r="DA61" s="106">
        <f xml:space="preserve"> IF(  INDEX( 'i1'!$FS61:$JO61, DA$13 ) = LEER,  #N/A,  INDEX( 'i1'!$FS61:$JO61, DA$13 )  )</f>
        <v>73030.06</v>
      </c>
      <c r="DB61" s="106">
        <f xml:space="preserve"> IF(  INDEX( 'i1'!$FS61:$JO61, DB$13 ) = LEER,  #N/A,  INDEX( 'i1'!$FS61:$JO61, DB$13 )  )</f>
        <v>62449.599999999999</v>
      </c>
      <c r="DC61" s="106">
        <f xml:space="preserve"> IF(  INDEX( 'i1'!$FS61:$JO61, DC$13 ) = LEER,  #N/A,  INDEX( 'i1'!$FS61:$JO61, DC$13 )  )</f>
        <v>49951.03</v>
      </c>
      <c r="DD61" s="106">
        <f xml:space="preserve"> IF(  INDEX( 'i1'!$FS61:$JO61, DD$13 ) = LEER,  #N/A,  INDEX( 'i1'!$FS61:$JO61, DD$13 )  )</f>
        <v>35326.35</v>
      </c>
      <c r="DE61" s="106">
        <f xml:space="preserve"> IF(  INDEX( 'i1'!$FS61:$JO61, DE$13 ) = LEER,  #N/A,  INDEX( 'i1'!$FS61:$JO61, DE$13 )  )</f>
        <v>19184.12</v>
      </c>
      <c r="DF61" s="106">
        <f xml:space="preserve"> IF(  INDEX( 'i1'!$FS61:$JO61, DF$13 ) = LEER,  #N/A,  INDEX( 'i1'!$FS61:$JO61, DF$13 )  )</f>
        <v>1994.25</v>
      </c>
      <c r="DG61" s="106" t="e">
        <f xml:space="preserve"> IF(  INDEX( 'i1'!$FS61:$JO61, DG$13 ) = LEER,  #N/A,  INDEX( 'i1'!$FS61:$JO61, DG$13 )  )</f>
        <v>#N/A</v>
      </c>
      <c r="DH61" s="106" t="e">
        <f xml:space="preserve"> IF(  INDEX( 'i1'!$FS61:$JO61, DH$13 ) = LEER,  #N/A,  INDEX( 'i1'!$FS61:$JO61, DH$13 )  )</f>
        <v>#N/A</v>
      </c>
      <c r="DI61" s="106" t="e">
        <f xml:space="preserve"> IF(  INDEX( 'i1'!$FS61:$JO61, DI$13 ) = LEER,  #N/A,  INDEX( 'i1'!$FS61:$JO61, DI$13 )  )</f>
        <v>#N/A</v>
      </c>
      <c r="DJ61" s="106" t="e">
        <f xml:space="preserve"> IF(  INDEX( 'i1'!$FS61:$JO61, DJ$13 ) = LEER,  #N/A,  INDEX( 'i1'!$FS61:$JO61, DJ$13 )  )</f>
        <v>#N/A</v>
      </c>
      <c r="DK61" s="106" t="e">
        <f xml:space="preserve"> IF(  INDEX( 'i1'!$FS61:$JO61, DK$13 ) = LEER,  #N/A,  INDEX( 'i1'!$FS61:$JO61, DK$13 )  )</f>
        <v>#N/A</v>
      </c>
      <c r="DL61" s="106" t="e">
        <f xml:space="preserve"> IF(  INDEX( 'i1'!$FS61:$JO61, DL$13 ) = LEER,  #N/A,  INDEX( 'i1'!$FS61:$JO61, DL$13 )  )</f>
        <v>#N/A</v>
      </c>
      <c r="DM61" s="106" t="e">
        <f xml:space="preserve"> IF(  INDEX( 'i1'!$FS61:$JO61, DM$13 ) = LEER,  #N/A,  INDEX( 'i1'!$FS61:$JO61, DM$13 )  )</f>
        <v>#N/A</v>
      </c>
      <c r="DN61" s="106" t="e">
        <f xml:space="preserve"> IF(  INDEX( 'i1'!$FS61:$JO61, DN$13 ) = LEER,  #N/A,  INDEX( 'i1'!$FS61:$JO61, DN$13 )  )</f>
        <v>#N/A</v>
      </c>
    </row>
    <row r="62" spans="1:118" x14ac:dyDescent="0.2">
      <c r="A62" s="15">
        <f xml:space="preserve"> Basis!A62</f>
        <v>62</v>
      </c>
      <c r="C62" s="24" t="b">
        <f xml:space="preserve"> 'i1'!$O62</f>
        <v>1</v>
      </c>
      <c r="D62" s="24" t="b">
        <f xml:space="preserve"> 'i2'!$O62</f>
        <v>1</v>
      </c>
      <c r="E62" s="24" t="b">
        <f xml:space="preserve"> 'i3'!$O62</f>
        <v>1</v>
      </c>
      <c r="G62" s="27">
        <f xml:space="preserve"> IF( $C63,   IF( 'i1'!$P62=LEER,  #N/A,  'i1'!$P62  ),   #N/A  )</f>
        <v>1.11E-2</v>
      </c>
      <c r="H62" s="27">
        <f xml:space="preserve"> IF( $D63,   IF( 'i2'!$P62=LEER,  #N/A,  'i2'!$P62  ),   #N/A  )</f>
        <v>1.11E-2</v>
      </c>
      <c r="I62" s="27">
        <f xml:space="preserve"> IF( $E63,   IF( 'i3'!$P62=LEER,  #N/A,  'i3'!$P62  ),   #N/A  )</f>
        <v>1.11E-2</v>
      </c>
      <c r="J62" s="158"/>
      <c r="K62" s="27">
        <f xml:space="preserve"> IF( $C63,   IF( 'i1'!$G62=LEER,  #N/A,  'i1'!$G62  ),   #N/A  )</f>
        <v>6.7000000000000002E-3</v>
      </c>
      <c r="L62" s="27">
        <f xml:space="preserve"> IF( $D63,   IF( 'i2'!$G62=LEER,  #N/A,  'i2'!$G62  ),   #N/A  )</f>
        <v>6.7000000000000002E-3</v>
      </c>
      <c r="M62" s="27">
        <f xml:space="preserve"> IF( $E63,   IF( 'i3'!$G62=LEER,  #N/A,  'i3'!$G62  ),   #N/A  )</f>
        <v>6.7000000000000002E-3</v>
      </c>
      <c r="N62" s="158"/>
      <c r="O62" s="158"/>
      <c r="Q62" s="28">
        <f t="shared" si="35"/>
        <v>24.456656441299423</v>
      </c>
      <c r="R62" s="28">
        <f t="shared" si="36"/>
        <v>24.456656441299423</v>
      </c>
      <c r="S62" s="28">
        <f t="shared" si="37"/>
        <v>24.456656441299423</v>
      </c>
      <c r="U62" s="76">
        <f xml:space="preserve"> IF( $C61,   SUM('i1'!$R62),   #N/A  )</f>
        <v>525743</v>
      </c>
      <c r="V62" s="76">
        <f xml:space="preserve"> IF( $C61,   SUM('i2'!$R62),   #N/A  )</f>
        <v>525743</v>
      </c>
      <c r="W62" s="76">
        <f xml:space="preserve"> IF( $C61,   SUM('i3'!$R62),   #N/A  )</f>
        <v>525743</v>
      </c>
      <c r="Y62" s="33"/>
      <c r="Z62" s="22">
        <f xml:space="preserve"> IF( $C62,   IF( 'i1'!$J62=LEER,  #N/A,  'i1'!$J62  ),   #N/A  )</f>
        <v>2.2650000000000001</v>
      </c>
      <c r="AA62" s="22">
        <f xml:space="preserve"> IF( $D62,   IF( 'i2'!$J62=LEER,  #N/A,  'i2'!$J62  ),   #N/A  )</f>
        <v>2.2650000000000001</v>
      </c>
      <c r="AB62" s="22">
        <f xml:space="preserve"> IF( $E62,   IF( 'i3'!$J62=LEER,  #N/A,  'i3'!$J62  ),   #N/A  )</f>
        <v>2.2650000000000001</v>
      </c>
      <c r="AC62" s="75"/>
      <c r="AD62" s="26">
        <f t="shared" si="39"/>
        <v>4706.1943499999998</v>
      </c>
      <c r="AE62" s="26">
        <f t="shared" si="40"/>
        <v>4706.1943499999998</v>
      </c>
      <c r="AF62" s="26">
        <f t="shared" si="41"/>
        <v>4706.1943499999998</v>
      </c>
      <c r="AG62" s="23"/>
      <c r="AH62" s="24">
        <f xml:space="preserve">    IF(  'i1'!$AK62=LEER,  #N/A,  ROUND( 'i1'!$AK62, AH$15 )  )</f>
        <v>813.42</v>
      </c>
      <c r="AI62" s="24">
        <f xml:space="preserve">    IF(  'i2'!$AK62=LEER,  #N/A,  ROUND( 'i2'!$AK62, AI$15 )  )</f>
        <v>813.42</v>
      </c>
      <c r="AJ62" s="24">
        <f xml:space="preserve">    IF(  'i3'!$AK62=LEER,  #N/A,  ROUND( 'i3'!$AK62, AJ$15 )  )</f>
        <v>813.42</v>
      </c>
      <c r="AL62" s="102">
        <f t="shared" si="42"/>
        <v>813.42</v>
      </c>
      <c r="AO62" s="24">
        <f xml:space="preserve">    IF( 'i1'!$AN62=LEER,  #N/A,  'i1'!$AN62  )</f>
        <v>75952.7</v>
      </c>
      <c r="AP62" s="24">
        <f xml:space="preserve">    IF( 'i2'!$AN62=LEER,  #N/A,  'i2'!$AN62  )</f>
        <v>75952.7</v>
      </c>
      <c r="AQ62" s="24">
        <f xml:space="preserve">    IF( 'i3'!$AN62=LEER,  #N/A,  'i3'!$AN62  )</f>
        <v>75952.7</v>
      </c>
      <c r="AS62" s="24">
        <f xml:space="preserve">    IF( 'i1'!$AO62=LEER,  #N/A,  'i1'!$AO62  )</f>
        <v>75114.14</v>
      </c>
      <c r="AT62" s="24">
        <f xml:space="preserve">    IF( 'i2'!$AO62=LEER,  #N/A,  'i2'!$AO62  )</f>
        <v>75114.14</v>
      </c>
      <c r="AU62" s="24">
        <f xml:space="preserve">    IF( 'i3'!$AO62=LEER,  #N/A,  'i3'!$AO62  )</f>
        <v>75114.14</v>
      </c>
      <c r="AW62" s="28">
        <f t="shared" si="38"/>
        <v>36.554600000000001</v>
      </c>
      <c r="AX62" s="28">
        <f t="shared" si="29"/>
        <v>36.554600000000001</v>
      </c>
      <c r="AY62" s="28">
        <f t="shared" si="30"/>
        <v>36.554600000000001</v>
      </c>
      <c r="BA62" s="28">
        <f t="shared" si="43"/>
        <v>36.151000000000003</v>
      </c>
      <c r="BB62" s="28">
        <f t="shared" si="44"/>
        <v>36.151000000000003</v>
      </c>
      <c r="BC62" s="28">
        <f t="shared" si="45"/>
        <v>36.151000000000003</v>
      </c>
      <c r="BG62" s="24">
        <f xml:space="preserve">    IF( 'i1'!BT62=LEER,  #N/A,  'i1'!BT62  )</f>
        <v>-615.01</v>
      </c>
      <c r="BH62" s="24">
        <f xml:space="preserve">    IF( 'i1'!BR62=LEER,  #N/A,  'i1'!BR62  )</f>
        <v>73885.13</v>
      </c>
      <c r="BI62" s="111">
        <f t="shared" si="34"/>
        <v>73270.12000000001</v>
      </c>
      <c r="BJ62" s="24">
        <f xml:space="preserve">    IF( 'i1'!BX62=LEER,  #N/A,  'i1'!BX62  )</f>
        <v>2682.5799999999872</v>
      </c>
      <c r="BL62" s="24">
        <f xml:space="preserve">    IF( 'i1'!CB62=LEER,  #N/A,  'i1'!CB62  )</f>
        <v>-875.11</v>
      </c>
      <c r="BM62" s="24">
        <f xml:space="preserve">    IF( 'i1'!CC62=LEER,  #N/A,  'i1'!CC62  )</f>
        <v>1898.82</v>
      </c>
      <c r="BN62" s="24">
        <f xml:space="preserve">    IF( 'i1'!CD62=LEER,  #N/A,  'i1'!CD62  )</f>
        <v>864.03</v>
      </c>
      <c r="BO62" s="24">
        <f xml:space="preserve">    IF( 'i1'!CE62=LEER,  #N/A,  'i1'!CE62  )</f>
        <v>1887.7399999999998</v>
      </c>
      <c r="BQ62" s="24">
        <f xml:space="preserve">    IF( 'i1'!CI62=LEER,  #N/A,  'i1'!CI62  )</f>
        <v>4706.1899999999996</v>
      </c>
      <c r="BR62" s="24">
        <f xml:space="preserve">    IF( 'i1'!CJ62=LEER,  #N/A,  'i1'!CJ62  )</f>
        <v>-10.49</v>
      </c>
      <c r="BS62" s="24">
        <f xml:space="preserve">    IF( 'i1'!CK62=LEER,  #N/A,  'i1'!CK62  )</f>
        <v>-842.96</v>
      </c>
      <c r="BT62" s="38">
        <f xml:space="preserve">    IF( 'i1'!CH62=LEER,  #N/A,  'i1'!CH62  )</f>
        <v>3852.4304390000002</v>
      </c>
      <c r="BV62" s="24">
        <f xml:space="preserve">    IF( 'i1'!CO62=LEER,  #N/A,  'i1'!CO62  )</f>
        <v>4706.1899999999996</v>
      </c>
      <c r="BW62" s="24">
        <f xml:space="preserve">    IF( 'i1'!CP62=LEER,  #N/A,  'i1'!CP62  )</f>
        <v>26.76</v>
      </c>
      <c r="BX62" s="24">
        <f xml:space="preserve">    IF( 'i1'!CQ62=LEER,  #N/A,  'i1'!CQ62  )</f>
        <v>-834.06</v>
      </c>
      <c r="BY62" s="38">
        <f xml:space="preserve">    IF( 'i1'!CN62=LEER,  #N/A,  'i1'!CN62  )</f>
        <v>3898.5573770000001</v>
      </c>
      <c r="CD62" s="113" t="e">
        <f xml:space="preserve"> IF(  AND( $A62&lt;&gt;$CD$14, OR( 'i1'!EO62=LEER, 'i1'!EM62&lt;&gt;LEER ) ), #N/A, 'i1'!EO62 )</f>
        <v>#N/A</v>
      </c>
      <c r="CE62" s="113">
        <f xml:space="preserve"> IF(   'i1'!EM62=LEER, #N/A,  'i1'!EM62 )</f>
        <v>36982.46</v>
      </c>
      <c r="CF62" s="114">
        <f xml:space="preserve"> IF(   'i1'!EL62=LEER, #N/A, 'i1'!EL62 + 'i1'!EM62 )</f>
        <v>75120.84</v>
      </c>
      <c r="CW62" s="104">
        <f xml:space="preserve"> 'i1'!FN62</f>
        <v>62</v>
      </c>
      <c r="CX62" s="106">
        <f xml:space="preserve"> IF(  INDEX( 'i1'!$FS62:$JO62, CX$13 ) = LEER,  #N/A,  INDEX( 'i1'!$FS62:$JO62, CX$13 )  )</f>
        <v>100644.76</v>
      </c>
      <c r="CY62" s="106">
        <f xml:space="preserve"> IF(  INDEX( 'i1'!$FS62:$JO62, CY$13 ) = LEER,  #N/A,  INDEX( 'i1'!$FS62:$JO62, CY$13 )  )</f>
        <v>92829.57</v>
      </c>
      <c r="CZ62" s="106">
        <f xml:space="preserve"> IF(  INDEX( 'i1'!$FS62:$JO62, CZ$13 ) = LEER,  #N/A,  INDEX( 'i1'!$FS62:$JO62, CZ$13 )  )</f>
        <v>84383.58</v>
      </c>
      <c r="DA62" s="106">
        <f xml:space="preserve"> IF(  INDEX( 'i1'!$FS62:$JO62, DA$13 ) = LEER,  #N/A,  INDEX( 'i1'!$FS62:$JO62, DA$13 )  )</f>
        <v>75114.14</v>
      </c>
      <c r="DB62" s="106">
        <f xml:space="preserve"> IF(  INDEX( 'i1'!$FS62:$JO62, DB$13 ) = LEER,  #N/A,  INDEX( 'i1'!$FS62:$JO62, DB$13 )  )</f>
        <v>64737.96</v>
      </c>
      <c r="DC62" s="106">
        <f xml:space="preserve"> IF(  INDEX( 'i1'!$FS62:$JO62, DC$13 ) = LEER,  #N/A,  INDEX( 'i1'!$FS62:$JO62, DC$13 )  )</f>
        <v>52480.7</v>
      </c>
      <c r="DD62" s="106">
        <f xml:space="preserve"> IF(  INDEX( 'i1'!$FS62:$JO62, DD$13 ) = LEER,  #N/A,  INDEX( 'i1'!$FS62:$JO62, DD$13 )  )</f>
        <v>38138.379999999997</v>
      </c>
      <c r="DE62" s="106">
        <f xml:space="preserve"> IF(  INDEX( 'i1'!$FS62:$JO62, DE$13 ) = LEER,  #N/A,  INDEX( 'i1'!$FS62:$JO62, DE$13 )  )</f>
        <v>22307.81</v>
      </c>
      <c r="DF62" s="106">
        <f xml:space="preserve"> IF(  INDEX( 'i1'!$FS62:$JO62, DF$13 ) = LEER,  #N/A,  INDEX( 'i1'!$FS62:$JO62, DF$13 )  )</f>
        <v>5449.83</v>
      </c>
      <c r="DG62" s="106" t="e">
        <f xml:space="preserve"> IF(  INDEX( 'i1'!$FS62:$JO62, DG$13 ) = LEER,  #N/A,  INDEX( 'i1'!$FS62:$JO62, DG$13 )  )</f>
        <v>#N/A</v>
      </c>
      <c r="DH62" s="106" t="e">
        <f xml:space="preserve"> IF(  INDEX( 'i1'!$FS62:$JO62, DH$13 ) = LEER,  #N/A,  INDEX( 'i1'!$FS62:$JO62, DH$13 )  )</f>
        <v>#N/A</v>
      </c>
      <c r="DI62" s="106" t="e">
        <f xml:space="preserve"> IF(  INDEX( 'i1'!$FS62:$JO62, DI$13 ) = LEER,  #N/A,  INDEX( 'i1'!$FS62:$JO62, DI$13 )  )</f>
        <v>#N/A</v>
      </c>
      <c r="DJ62" s="106" t="e">
        <f xml:space="preserve"> IF(  INDEX( 'i1'!$FS62:$JO62, DJ$13 ) = LEER,  #N/A,  INDEX( 'i1'!$FS62:$JO62, DJ$13 )  )</f>
        <v>#N/A</v>
      </c>
      <c r="DK62" s="106" t="e">
        <f xml:space="preserve"> IF(  INDEX( 'i1'!$FS62:$JO62, DK$13 ) = LEER,  #N/A,  INDEX( 'i1'!$FS62:$JO62, DK$13 )  )</f>
        <v>#N/A</v>
      </c>
      <c r="DL62" s="106" t="e">
        <f xml:space="preserve"> IF(  INDEX( 'i1'!$FS62:$JO62, DL$13 ) = LEER,  #N/A,  INDEX( 'i1'!$FS62:$JO62, DL$13 )  )</f>
        <v>#N/A</v>
      </c>
      <c r="DM62" s="106" t="e">
        <f xml:space="preserve"> IF(  INDEX( 'i1'!$FS62:$JO62, DM$13 ) = LEER,  #N/A,  INDEX( 'i1'!$FS62:$JO62, DM$13 )  )</f>
        <v>#N/A</v>
      </c>
      <c r="DN62" s="106" t="e">
        <f xml:space="preserve"> IF(  INDEX( 'i1'!$FS62:$JO62, DN$13 ) = LEER,  #N/A,  INDEX( 'i1'!$FS62:$JO62, DN$13 )  )</f>
        <v>#N/A</v>
      </c>
    </row>
    <row r="63" spans="1:118" x14ac:dyDescent="0.2">
      <c r="A63" s="15">
        <f xml:space="preserve"> Basis!A63</f>
        <v>63</v>
      </c>
      <c r="C63" s="24" t="b">
        <f xml:space="preserve"> 'i1'!$O63</f>
        <v>1</v>
      </c>
      <c r="D63" s="24" t="b">
        <f xml:space="preserve"> 'i2'!$O63</f>
        <v>1</v>
      </c>
      <c r="E63" s="24" t="b">
        <f xml:space="preserve"> 'i3'!$O63</f>
        <v>1</v>
      </c>
      <c r="G63" s="27">
        <f xml:space="preserve"> IF( $C64,   IF( 'i1'!$P63=LEER,  #N/A,  'i1'!$P63  ),   #N/A  )</f>
        <v>1.11E-2</v>
      </c>
      <c r="H63" s="27">
        <f xml:space="preserve"> IF( $D64,   IF( 'i2'!$P63=LEER,  #N/A,  'i2'!$P63  ),   #N/A  )</f>
        <v>1.11E-2</v>
      </c>
      <c r="I63" s="27">
        <f xml:space="preserve"> IF( $E64,   IF( 'i3'!$P63=LEER,  #N/A,  'i3'!$P63  ),   #N/A  )</f>
        <v>1.11E-2</v>
      </c>
      <c r="J63" s="158"/>
      <c r="K63" s="27">
        <f xml:space="preserve"> IF( $C64,   IF( 'i1'!$G63=LEER,  #N/A,  'i1'!$G63  ),   #N/A  )</f>
        <v>6.4000000000000003E-3</v>
      </c>
      <c r="L63" s="27">
        <f xml:space="preserve"> IF( $D64,   IF( 'i2'!$G63=LEER,  #N/A,  'i2'!$G63  ),   #N/A  )</f>
        <v>6.4000000000000003E-3</v>
      </c>
      <c r="M63" s="27">
        <f xml:space="preserve"> IF( $E64,   IF( 'i3'!$G63=LEER,  #N/A,  'i3'!$G63  ),   #N/A  )</f>
        <v>6.4000000000000003E-3</v>
      </c>
      <c r="N63" s="158"/>
      <c r="O63" s="158"/>
      <c r="Q63" s="28">
        <f t="shared" si="35"/>
        <v>23.725560159065044</v>
      </c>
      <c r="R63" s="28">
        <f t="shared" si="36"/>
        <v>23.725560159065044</v>
      </c>
      <c r="S63" s="28">
        <f t="shared" si="37"/>
        <v>23.725560159065044</v>
      </c>
      <c r="U63" s="76">
        <f xml:space="preserve"> IF( $C62,   SUM('i1'!$R63),   #N/A  )</f>
        <v>519907</v>
      </c>
      <c r="V63" s="76">
        <f xml:space="preserve"> IF( $C62,   SUM('i2'!$R63),   #N/A  )</f>
        <v>519907</v>
      </c>
      <c r="W63" s="76">
        <f xml:space="preserve"> IF( $C62,   SUM('i3'!$R63),   #N/A  )</f>
        <v>519907</v>
      </c>
      <c r="Y63" s="33"/>
      <c r="Z63" s="22">
        <f xml:space="preserve"> IF( $C63,   IF( 'i1'!$J63=LEER,  #N/A,  'i1'!$J63  ),   #N/A  )</f>
        <v>2.3849999999999998</v>
      </c>
      <c r="AA63" s="22">
        <f xml:space="preserve"> IF( $D63,   IF( 'i2'!$J63=LEER,  #N/A,  'i2'!$J63  ),   #N/A  )</f>
        <v>2.3849999999999998</v>
      </c>
      <c r="AB63" s="22">
        <f xml:space="preserve"> IF( $E63,   IF( 'i3'!$J63=LEER,  #N/A,  'i3'!$J63  ),   #N/A  )</f>
        <v>2.3849999999999998</v>
      </c>
      <c r="AC63" s="75"/>
      <c r="AD63" s="26">
        <f t="shared" si="39"/>
        <v>4955.5291499999994</v>
      </c>
      <c r="AE63" s="26">
        <f t="shared" si="40"/>
        <v>4955.5291499999994</v>
      </c>
      <c r="AF63" s="26">
        <f t="shared" si="41"/>
        <v>4955.5291499999994</v>
      </c>
      <c r="AG63" s="23"/>
      <c r="AH63" s="24">
        <f xml:space="preserve">    IF(  'i1'!$AK63=LEER,  #N/A,  ROUND( 'i1'!$AK63, AH$15 )  )</f>
        <v>831.39</v>
      </c>
      <c r="AI63" s="24">
        <f xml:space="preserve">    IF(  'i2'!$AK63=LEER,  #N/A,  ROUND( 'i2'!$AK63, AI$15 )  )</f>
        <v>831.39</v>
      </c>
      <c r="AJ63" s="24">
        <f xml:space="preserve">    IF(  'i3'!$AK63=LEER,  #N/A,  ROUND( 'i3'!$AK63, AJ$15 )  )</f>
        <v>831.39</v>
      </c>
      <c r="AL63" s="102">
        <f t="shared" si="42"/>
        <v>831.39</v>
      </c>
      <c r="AO63" s="24">
        <f xml:space="preserve">    IF( 'i1'!$AN63=LEER,  #N/A,  'i1'!$AN63  )</f>
        <v>77840.77</v>
      </c>
      <c r="AP63" s="24">
        <f xml:space="preserve">    IF( 'i2'!$AN63=LEER,  #N/A,  'i2'!$AN63  )</f>
        <v>77840.77</v>
      </c>
      <c r="AQ63" s="24">
        <f xml:space="preserve">    IF( 'i3'!$AN63=LEER,  #N/A,  'i3'!$AN63  )</f>
        <v>77840.77</v>
      </c>
      <c r="AS63" s="24">
        <f xml:space="preserve">    IF( 'i1'!$AO63=LEER,  #N/A,  'i1'!$AO63  )</f>
        <v>77019.42</v>
      </c>
      <c r="AT63" s="24">
        <f xml:space="preserve">    IF( 'i2'!$AO63=LEER,  #N/A,  'i2'!$AO63  )</f>
        <v>77019.42</v>
      </c>
      <c r="AU63" s="24">
        <f xml:space="preserve">    IF( 'i3'!$AO63=LEER,  #N/A,  'i3'!$AO63  )</f>
        <v>77019.42</v>
      </c>
      <c r="AW63" s="28">
        <f t="shared" si="38"/>
        <v>37.463299999999997</v>
      </c>
      <c r="AX63" s="28">
        <f t="shared" si="29"/>
        <v>37.463299999999997</v>
      </c>
      <c r="AY63" s="28">
        <f t="shared" si="30"/>
        <v>37.463299999999997</v>
      </c>
      <c r="BA63" s="28">
        <f t="shared" si="43"/>
        <v>37.067999999999998</v>
      </c>
      <c r="BB63" s="28">
        <f t="shared" si="44"/>
        <v>37.067999999999998</v>
      </c>
      <c r="BC63" s="28">
        <f t="shared" si="45"/>
        <v>37.067999999999998</v>
      </c>
      <c r="BG63" s="24">
        <f xml:space="preserve">    IF( 'i1'!BT63=LEER,  #N/A,  'i1'!BT63  )</f>
        <v>-853.61</v>
      </c>
      <c r="BH63" s="24">
        <f xml:space="preserve">    IF( 'i1'!BR63=LEER,  #N/A,  'i1'!BR63  )</f>
        <v>75952.7</v>
      </c>
      <c r="BI63" s="111">
        <f t="shared" si="34"/>
        <v>75099.09</v>
      </c>
      <c r="BJ63" s="24">
        <f xml:space="preserve">    IF( 'i1'!BX63=LEER,  #N/A,  'i1'!BX63  )</f>
        <v>2741.6800000000076</v>
      </c>
      <c r="BL63" s="24">
        <f xml:space="preserve">    IF( 'i1'!CB63=LEER,  #N/A,  'i1'!CB63  )</f>
        <v>-1130.68</v>
      </c>
      <c r="BM63" s="24">
        <f xml:space="preserve">    IF( 'i1'!CC63=LEER,  #N/A,  'i1'!CC63  )</f>
        <v>1946.02</v>
      </c>
      <c r="BN63" s="24">
        <f xml:space="preserve">    IF( 'i1'!CD63=LEER,  #N/A,  'i1'!CD63  )</f>
        <v>882.88</v>
      </c>
      <c r="BO63" s="24">
        <f xml:space="preserve">    IF( 'i1'!CE63=LEER,  #N/A,  'i1'!CE63  )</f>
        <v>1698.2199999999998</v>
      </c>
      <c r="BQ63" s="24">
        <f xml:space="preserve">    IF( 'i1'!CI63=LEER,  #N/A,  'i1'!CI63  )</f>
        <v>4955.53</v>
      </c>
      <c r="BR63" s="24">
        <f xml:space="preserve">    IF( 'i1'!CJ63=LEER,  #N/A,  'i1'!CJ63  )</f>
        <v>-241.77</v>
      </c>
      <c r="BS63" s="24">
        <f xml:space="preserve">    IF( 'i1'!CK63=LEER,  #N/A,  'i1'!CK63  )</f>
        <v>-861.35</v>
      </c>
      <c r="BT63" s="38">
        <f xml:space="preserve">    IF( 'i1'!CH63=LEER,  #N/A,  'i1'!CH63  )</f>
        <v>3852.4304390000002</v>
      </c>
      <c r="BV63" s="24">
        <f xml:space="preserve">    IF( 'i1'!CO63=LEER,  #N/A,  'i1'!CO63  )</f>
        <v>4955.53</v>
      </c>
      <c r="BW63" s="24">
        <f xml:space="preserve">    IF( 'i1'!CP63=LEER,  #N/A,  'i1'!CP63  )</f>
        <v>-204.35</v>
      </c>
      <c r="BX63" s="24">
        <f xml:space="preserve">    IF( 'i1'!CQ63=LEER,  #N/A,  'i1'!CQ63  )</f>
        <v>-852.65</v>
      </c>
      <c r="BY63" s="38">
        <f xml:space="preserve">    IF( 'i1'!CN63=LEER,  #N/A,  'i1'!CN63  )</f>
        <v>3898.5573770000001</v>
      </c>
      <c r="CD63" s="113" t="e">
        <f xml:space="preserve"> IF(  AND( $A63&lt;&gt;$CD$14, OR( 'i1'!EO63=LEER, 'i1'!EM63&lt;&gt;LEER ) ), #N/A, 'i1'!EO63 )</f>
        <v>#N/A</v>
      </c>
      <c r="CE63" s="113">
        <f xml:space="preserve"> IF(   'i1'!EM63=LEER, #N/A,  'i1'!EM63 )</f>
        <v>36223.870000000003</v>
      </c>
      <c r="CF63" s="114">
        <f xml:space="preserve"> IF(   'i1'!EL63=LEER, #N/A, 'i1'!EL63 + 'i1'!EM63 )</f>
        <v>77025.990000000005</v>
      </c>
      <c r="CW63" s="104">
        <f xml:space="preserve"> 'i1'!FN63</f>
        <v>63</v>
      </c>
      <c r="CX63" s="106">
        <f xml:space="preserve"> IF(  INDEX( 'i1'!$FS63:$JO63, CX$13 ) = LEER,  #N/A,  INDEX( 'i1'!$FS63:$JO63, CX$13 )  )</f>
        <v>102026.34</v>
      </c>
      <c r="CY63" s="106">
        <f xml:space="preserve"> IF(  INDEX( 'i1'!$FS63:$JO63, CY$13 ) = LEER,  #N/A,  INDEX( 'i1'!$FS63:$JO63, CY$13 )  )</f>
        <v>94371.46</v>
      </c>
      <c r="CZ63" s="106">
        <f xml:space="preserve"> IF(  INDEX( 'i1'!$FS63:$JO63, CZ$13 ) = LEER,  #N/A,  INDEX( 'i1'!$FS63:$JO63, CZ$13 )  )</f>
        <v>86098.72</v>
      </c>
      <c r="DA63" s="106">
        <f xml:space="preserve"> IF(  INDEX( 'i1'!$FS63:$JO63, DA$13 ) = LEER,  #N/A,  INDEX( 'i1'!$FS63:$JO63, DA$13 )  )</f>
        <v>77019.42</v>
      </c>
      <c r="DB63" s="106">
        <f xml:space="preserve"> IF(  INDEX( 'i1'!$FS63:$JO63, DB$13 ) = LEER,  #N/A,  INDEX( 'i1'!$FS63:$JO63, DB$13 )  )</f>
        <v>66856.08</v>
      </c>
      <c r="DC63" s="106">
        <f xml:space="preserve"> IF(  INDEX( 'i1'!$FS63:$JO63, DC$13 ) = LEER,  #N/A,  INDEX( 'i1'!$FS63:$JO63, DC$13 )  )</f>
        <v>54850.239999999998</v>
      </c>
      <c r="DD63" s="106">
        <f xml:space="preserve"> IF(  INDEX( 'i1'!$FS63:$JO63, DD$13 ) = LEER,  #N/A,  INDEX( 'i1'!$FS63:$JO63, DD$13 )  )</f>
        <v>40802.120000000003</v>
      </c>
      <c r="DE63" s="106">
        <f xml:space="preserve"> IF(  INDEX( 'i1'!$FS63:$JO63, DE$13 ) = LEER,  #N/A,  INDEX( 'i1'!$FS63:$JO63, DE$13 )  )</f>
        <v>25296.27</v>
      </c>
      <c r="DF63" s="106">
        <f xml:space="preserve"> IF(  INDEX( 'i1'!$FS63:$JO63, DF$13 ) = LEER,  #N/A,  INDEX( 'i1'!$FS63:$JO63, DF$13 )  )</f>
        <v>8784.08</v>
      </c>
      <c r="DG63" s="106" t="e">
        <f xml:space="preserve"> IF(  INDEX( 'i1'!$FS63:$JO63, DG$13 ) = LEER,  #N/A,  INDEX( 'i1'!$FS63:$JO63, DG$13 )  )</f>
        <v>#N/A</v>
      </c>
      <c r="DH63" s="106" t="e">
        <f xml:space="preserve"> IF(  INDEX( 'i1'!$FS63:$JO63, DH$13 ) = LEER,  #N/A,  INDEX( 'i1'!$FS63:$JO63, DH$13 )  )</f>
        <v>#N/A</v>
      </c>
      <c r="DI63" s="106" t="e">
        <f xml:space="preserve"> IF(  INDEX( 'i1'!$FS63:$JO63, DI$13 ) = LEER,  #N/A,  INDEX( 'i1'!$FS63:$JO63, DI$13 )  )</f>
        <v>#N/A</v>
      </c>
      <c r="DJ63" s="106" t="e">
        <f xml:space="preserve"> IF(  INDEX( 'i1'!$FS63:$JO63, DJ$13 ) = LEER,  #N/A,  INDEX( 'i1'!$FS63:$JO63, DJ$13 )  )</f>
        <v>#N/A</v>
      </c>
      <c r="DK63" s="106" t="e">
        <f xml:space="preserve"> IF(  INDEX( 'i1'!$FS63:$JO63, DK$13 ) = LEER,  #N/A,  INDEX( 'i1'!$FS63:$JO63, DK$13 )  )</f>
        <v>#N/A</v>
      </c>
      <c r="DL63" s="106" t="e">
        <f xml:space="preserve"> IF(  INDEX( 'i1'!$FS63:$JO63, DL$13 ) = LEER,  #N/A,  INDEX( 'i1'!$FS63:$JO63, DL$13 )  )</f>
        <v>#N/A</v>
      </c>
      <c r="DM63" s="106" t="e">
        <f xml:space="preserve"> IF(  INDEX( 'i1'!$FS63:$JO63, DM$13 ) = LEER,  #N/A,  INDEX( 'i1'!$FS63:$JO63, DM$13 )  )</f>
        <v>#N/A</v>
      </c>
      <c r="DN63" s="106" t="e">
        <f xml:space="preserve"> IF(  INDEX( 'i1'!$FS63:$JO63, DN$13 ) = LEER,  #N/A,  INDEX( 'i1'!$FS63:$JO63, DN$13 )  )</f>
        <v>#N/A</v>
      </c>
    </row>
    <row r="64" spans="1:118" x14ac:dyDescent="0.2">
      <c r="A64" s="15">
        <f xml:space="preserve"> Basis!A64</f>
        <v>64</v>
      </c>
      <c r="C64" s="24" t="b">
        <f xml:space="preserve"> 'i1'!$O64</f>
        <v>1</v>
      </c>
      <c r="D64" s="24" t="b">
        <f xml:space="preserve"> 'i2'!$O64</f>
        <v>1</v>
      </c>
      <c r="E64" s="24" t="b">
        <f xml:space="preserve"> 'i3'!$O64</f>
        <v>1</v>
      </c>
      <c r="G64" s="27">
        <f xml:space="preserve"> IF( $C65,   IF( 'i1'!$P64=LEER,  #N/A,  'i1'!$P64  ),   #N/A  )</f>
        <v>1.0999999999999999E-2</v>
      </c>
      <c r="H64" s="27">
        <f xml:space="preserve"> IF( $D65,   IF( 'i2'!$P64=LEER,  #N/A,  'i2'!$P64  ),   #N/A  )</f>
        <v>1.0999999999999999E-2</v>
      </c>
      <c r="I64" s="27">
        <f xml:space="preserve"> IF( $E65,   IF( 'i3'!$P64=LEER,  #N/A,  'i3'!$P64  ),   #N/A  )</f>
        <v>1.0999999999999999E-2</v>
      </c>
      <c r="J64" s="158"/>
      <c r="K64" s="27">
        <f xml:space="preserve"> IF( $C65,   IF( 'i1'!$G64=LEER,  #N/A,  'i1'!$G64  ),   #N/A  )</f>
        <v>5.8999999999999999E-3</v>
      </c>
      <c r="L64" s="27">
        <f xml:space="preserve"> IF( $D65,   IF( 'i2'!$G64=LEER,  #N/A,  'i2'!$G64  ),   #N/A  )</f>
        <v>5.8999999999999999E-3</v>
      </c>
      <c r="M64" s="27">
        <f xml:space="preserve"> IF( $E65,   IF( 'i3'!$G64=LEER,  #N/A,  'i3'!$G64  ),   #N/A  )</f>
        <v>5.8999999999999999E-3</v>
      </c>
      <c r="N64" s="158"/>
      <c r="O64" s="158"/>
      <c r="Q64" s="28">
        <f t="shared" si="35"/>
        <v>22.986257618631857</v>
      </c>
      <c r="R64" s="28">
        <f t="shared" si="36"/>
        <v>22.986257618631857</v>
      </c>
      <c r="S64" s="28">
        <f t="shared" si="37"/>
        <v>22.986257618631857</v>
      </c>
      <c r="U64" s="76">
        <f xml:space="preserve"> IF( $C63,   SUM('i1'!$R64),   #N/A  )</f>
        <v>514136</v>
      </c>
      <c r="V64" s="76">
        <f xml:space="preserve"> IF( $C63,   SUM('i2'!$R64),   #N/A  )</f>
        <v>514136</v>
      </c>
      <c r="W64" s="76">
        <f xml:space="preserve"> IF( $C63,   SUM('i3'!$R64),   #N/A  )</f>
        <v>514136</v>
      </c>
      <c r="Y64" s="33"/>
      <c r="Z64" s="22">
        <f xml:space="preserve"> IF( $C64,   IF( 'i1'!$J64=LEER,  #N/A,  'i1'!$J64  ),   #N/A  )</f>
        <v>2.5129999999999999</v>
      </c>
      <c r="AA64" s="22">
        <f xml:space="preserve"> IF( $D64,   IF( 'i2'!$J64=LEER,  #N/A,  'i2'!$J64  ),   #N/A  )</f>
        <v>2.5129999999999999</v>
      </c>
      <c r="AB64" s="22">
        <f xml:space="preserve"> IF( $E64,   IF( 'i3'!$J64=LEER,  #N/A,  'i3'!$J64  ),   #N/A  )</f>
        <v>2.5129999999999999</v>
      </c>
      <c r="AC64" s="75"/>
      <c r="AD64" s="26">
        <f t="shared" si="39"/>
        <v>5221.4862699999994</v>
      </c>
      <c r="AE64" s="26">
        <f t="shared" si="40"/>
        <v>5221.4862699999994</v>
      </c>
      <c r="AF64" s="26">
        <f t="shared" si="41"/>
        <v>5221.4862699999994</v>
      </c>
      <c r="AG64" s="23"/>
      <c r="AH64" s="24">
        <f xml:space="preserve">    IF(  'i1'!$AK64=LEER,  #N/A,  ROUND( 'i1'!$AK64, AH$15 )  )</f>
        <v>849.57</v>
      </c>
      <c r="AI64" s="24">
        <f xml:space="preserve">    IF(  'i2'!$AK64=LEER,  #N/A,  ROUND( 'i2'!$AK64, AI$15 )  )</f>
        <v>849.57</v>
      </c>
      <c r="AJ64" s="24">
        <f xml:space="preserve">    IF(  'i3'!$AK64=LEER,  #N/A,  ROUND( 'i3'!$AK64, AJ$15 )  )</f>
        <v>849.57</v>
      </c>
      <c r="AL64" s="102">
        <f t="shared" si="42"/>
        <v>849.57</v>
      </c>
      <c r="AO64" s="24">
        <f xml:space="preserve">    IF( 'i1'!$AN64=LEER,  #N/A,  'i1'!$AN64  )</f>
        <v>79538.97</v>
      </c>
      <c r="AP64" s="24">
        <f xml:space="preserve">    IF( 'i2'!$AN64=LEER,  #N/A,  'i2'!$AN64  )</f>
        <v>79538.97</v>
      </c>
      <c r="AQ64" s="24">
        <f xml:space="preserve">    IF( 'i3'!$AN64=LEER,  #N/A,  'i3'!$AN64  )</f>
        <v>79538.97</v>
      </c>
      <c r="AS64" s="24">
        <f xml:space="preserve">    IF( 'i1'!$AO64=LEER,  #N/A,  'i1'!$AO64  )</f>
        <v>78735.45</v>
      </c>
      <c r="AT64" s="24">
        <f xml:space="preserve">    IF( 'i2'!$AO64=LEER,  #N/A,  'i2'!$AO64  )</f>
        <v>78735.45</v>
      </c>
      <c r="AU64" s="24">
        <f xml:space="preserve">    IF( 'i3'!$AO64=LEER,  #N/A,  'i3'!$AO64  )</f>
        <v>78735.45</v>
      </c>
      <c r="AW64" s="28">
        <f t="shared" si="38"/>
        <v>38.2806</v>
      </c>
      <c r="AX64" s="28">
        <f t="shared" si="29"/>
        <v>38.2806</v>
      </c>
      <c r="AY64" s="28">
        <f t="shared" si="30"/>
        <v>38.2806</v>
      </c>
      <c r="BA64" s="28">
        <f t="shared" si="43"/>
        <v>37.893799999999999</v>
      </c>
      <c r="BB64" s="28">
        <f t="shared" si="44"/>
        <v>37.893799999999999</v>
      </c>
      <c r="BC64" s="28">
        <f t="shared" si="45"/>
        <v>37.893799999999999</v>
      </c>
      <c r="BG64" s="24">
        <f xml:space="preserve">    IF( 'i1'!BT64=LEER,  #N/A,  'i1'!BT64  )</f>
        <v>-1103.52</v>
      </c>
      <c r="BH64" s="24">
        <f xml:space="preserve">    IF( 'i1'!BR64=LEER,  #N/A,  'i1'!BR64  )</f>
        <v>77840.77</v>
      </c>
      <c r="BI64" s="111">
        <f t="shared" si="34"/>
        <v>76737.25</v>
      </c>
      <c r="BJ64" s="24">
        <f xml:space="preserve">    IF( 'i1'!BX64=LEER,  #N/A,  'i1'!BX64  )</f>
        <v>2801.7200000000012</v>
      </c>
      <c r="BL64" s="24">
        <f xml:space="preserve">    IF( 'i1'!CB64=LEER,  #N/A,  'i1'!CB64  )</f>
        <v>-1403.28</v>
      </c>
      <c r="BM64" s="24">
        <f xml:space="preserve">    IF( 'i1'!CC64=LEER,  #N/A,  'i1'!CC64  )</f>
        <v>1988.47</v>
      </c>
      <c r="BN64" s="24">
        <f xml:space="preserve">    IF( 'i1'!CD64=LEER,  #N/A,  'i1'!CD64  )</f>
        <v>891.17</v>
      </c>
      <c r="BO64" s="24">
        <f xml:space="preserve">    IF( 'i1'!CE64=LEER,  #N/A,  'i1'!CE64  )</f>
        <v>1476.3600000000001</v>
      </c>
      <c r="BQ64" s="24">
        <f xml:space="preserve">    IF( 'i1'!CI64=LEER,  #N/A,  'i1'!CI64  )</f>
        <v>5221.49</v>
      </c>
      <c r="BR64" s="24">
        <f xml:space="preserve">    IF( 'i1'!CJ64=LEER,  #N/A,  'i1'!CJ64  )</f>
        <v>-499.5</v>
      </c>
      <c r="BS64" s="24">
        <f xml:space="preserve">    IF( 'i1'!CK64=LEER,  #N/A,  'i1'!CK64  )</f>
        <v>-869.43</v>
      </c>
      <c r="BT64" s="38">
        <f xml:space="preserve">    IF( 'i1'!CH64=LEER,  #N/A,  'i1'!CH64  )</f>
        <v>3852.4304390000002</v>
      </c>
      <c r="BV64" s="24">
        <f xml:space="preserve">    IF( 'i1'!CO64=LEER,  #N/A,  'i1'!CO64  )</f>
        <v>5221.49</v>
      </c>
      <c r="BW64" s="24">
        <f xml:space="preserve">    IF( 'i1'!CP64=LEER,  #N/A,  'i1'!CP64  )</f>
        <v>-461.8</v>
      </c>
      <c r="BX64" s="24">
        <f xml:space="preserve">    IF( 'i1'!CQ64=LEER,  #N/A,  'i1'!CQ64  )</f>
        <v>-861.01</v>
      </c>
      <c r="BY64" s="38">
        <f xml:space="preserve">    IF( 'i1'!CN64=LEER,  #N/A,  'i1'!CN64  )</f>
        <v>3898.5573770000001</v>
      </c>
      <c r="CD64" s="113" t="e">
        <f xml:space="preserve"> IF(  AND( $A64&lt;&gt;$CD$14, OR( 'i1'!EO64=LEER, 'i1'!EM64&lt;&gt;LEER ) ), #N/A, 'i1'!EO64 )</f>
        <v>#N/A</v>
      </c>
      <c r="CE64" s="113">
        <f xml:space="preserve"> IF(   'i1'!EM64=LEER, #N/A,  'i1'!EM64 )</f>
        <v>35437.599999999999</v>
      </c>
      <c r="CF64" s="114">
        <f xml:space="preserve"> IF(   'i1'!EL64=LEER, #N/A, 'i1'!EL64 + 'i1'!EM64 )</f>
        <v>78741.86</v>
      </c>
      <c r="CW64" s="104">
        <f xml:space="preserve"> 'i1'!FN64</f>
        <v>64</v>
      </c>
      <c r="CX64" s="106">
        <f xml:space="preserve"> IF(  INDEX( 'i1'!$FS64:$JO64, CX$13 ) = LEER,  #N/A,  INDEX( 'i1'!$FS64:$JO64, CX$13 )  )</f>
        <v>103199.57</v>
      </c>
      <c r="CY64" s="106">
        <f xml:space="preserve"> IF(  INDEX( 'i1'!$FS64:$JO64, CY$13 ) = LEER,  #N/A,  INDEX( 'i1'!$FS64:$JO64, CY$13 )  )</f>
        <v>95710.85</v>
      </c>
      <c r="CZ64" s="106">
        <f xml:space="preserve"> IF(  INDEX( 'i1'!$FS64:$JO64, CZ$13 ) = LEER,  #N/A,  INDEX( 'i1'!$FS64:$JO64, CZ$13 )  )</f>
        <v>87617.67</v>
      </c>
      <c r="DA64" s="106">
        <f xml:space="preserve"> IF(  INDEX( 'i1'!$FS64:$JO64, DA$13 ) = LEER,  #N/A,  INDEX( 'i1'!$FS64:$JO64, DA$13 )  )</f>
        <v>78735.45</v>
      </c>
      <c r="DB64" s="106">
        <f xml:space="preserve"> IF(  INDEX( 'i1'!$FS64:$JO64, DB$13 ) = LEER,  #N/A,  INDEX( 'i1'!$FS64:$JO64, DB$13 )  )</f>
        <v>68792.710000000006</v>
      </c>
      <c r="DC64" s="106">
        <f xml:space="preserve"> IF(  INDEX( 'i1'!$FS64:$JO64, DC$13 ) = LEER,  #N/A,  INDEX( 'i1'!$FS64:$JO64, DC$13 )  )</f>
        <v>57047.46</v>
      </c>
      <c r="DD64" s="106">
        <f xml:space="preserve"> IF(  INDEX( 'i1'!$FS64:$JO64, DD$13 ) = LEER,  #N/A,  INDEX( 'i1'!$FS64:$JO64, DD$13 )  )</f>
        <v>43304.26</v>
      </c>
      <c r="DE64" s="106">
        <f xml:space="preserve"> IF(  INDEX( 'i1'!$FS64:$JO64, DE$13 ) = LEER,  #N/A,  INDEX( 'i1'!$FS64:$JO64, DE$13 )  )</f>
        <v>28134.98</v>
      </c>
      <c r="DF64" s="106">
        <f xml:space="preserve"> IF(  INDEX( 'i1'!$FS64:$JO64, DF$13 ) = LEER,  #N/A,  INDEX( 'i1'!$FS64:$JO64, DF$13 )  )</f>
        <v>11981.2</v>
      </c>
      <c r="DG64" s="106" t="e">
        <f xml:space="preserve"> IF(  INDEX( 'i1'!$FS64:$JO64, DG$13 ) = LEER,  #N/A,  INDEX( 'i1'!$FS64:$JO64, DG$13 )  )</f>
        <v>#N/A</v>
      </c>
      <c r="DH64" s="106" t="e">
        <f xml:space="preserve"> IF(  INDEX( 'i1'!$FS64:$JO64, DH$13 ) = LEER,  #N/A,  INDEX( 'i1'!$FS64:$JO64, DH$13 )  )</f>
        <v>#N/A</v>
      </c>
      <c r="DI64" s="106" t="e">
        <f xml:space="preserve"> IF(  INDEX( 'i1'!$FS64:$JO64, DI$13 ) = LEER,  #N/A,  INDEX( 'i1'!$FS64:$JO64, DI$13 )  )</f>
        <v>#N/A</v>
      </c>
      <c r="DJ64" s="106" t="e">
        <f xml:space="preserve"> IF(  INDEX( 'i1'!$FS64:$JO64, DJ$13 ) = LEER,  #N/A,  INDEX( 'i1'!$FS64:$JO64, DJ$13 )  )</f>
        <v>#N/A</v>
      </c>
      <c r="DK64" s="106" t="e">
        <f xml:space="preserve"> IF(  INDEX( 'i1'!$FS64:$JO64, DK$13 ) = LEER,  #N/A,  INDEX( 'i1'!$FS64:$JO64, DK$13 )  )</f>
        <v>#N/A</v>
      </c>
      <c r="DL64" s="106" t="e">
        <f xml:space="preserve"> IF(  INDEX( 'i1'!$FS64:$JO64, DL$13 ) = LEER,  #N/A,  INDEX( 'i1'!$FS64:$JO64, DL$13 )  )</f>
        <v>#N/A</v>
      </c>
      <c r="DM64" s="106" t="e">
        <f xml:space="preserve"> IF(  INDEX( 'i1'!$FS64:$JO64, DM$13 ) = LEER,  #N/A,  INDEX( 'i1'!$FS64:$JO64, DM$13 )  )</f>
        <v>#N/A</v>
      </c>
      <c r="DN64" s="106" t="e">
        <f xml:space="preserve"> IF(  INDEX( 'i1'!$FS64:$JO64, DN$13 ) = LEER,  #N/A,  INDEX( 'i1'!$FS64:$JO64, DN$13 )  )</f>
        <v>#N/A</v>
      </c>
    </row>
    <row r="65" spans="1:118" x14ac:dyDescent="0.2">
      <c r="A65" s="15">
        <f xml:space="preserve"> Basis!A65</f>
        <v>65</v>
      </c>
      <c r="C65" s="24" t="b">
        <f xml:space="preserve"> 'i1'!$O65</f>
        <v>1</v>
      </c>
      <c r="D65" s="24" t="b">
        <f xml:space="preserve"> 'i2'!$O65</f>
        <v>1</v>
      </c>
      <c r="E65" s="24" t="b">
        <f xml:space="preserve"> 'i3'!$O65</f>
        <v>1</v>
      </c>
      <c r="G65" s="27">
        <f xml:space="preserve"> IF( $C66,   IF( 'i1'!$P65=LEER,  #N/A,  'i1'!$P65  ),   #N/A  )</f>
        <v>1.09E-2</v>
      </c>
      <c r="H65" s="27">
        <f xml:space="preserve"> IF( $D66,   IF( 'i2'!$P65=LEER,  #N/A,  'i2'!$P65  ),   #N/A  )</f>
        <v>1.09E-2</v>
      </c>
      <c r="I65" s="27">
        <f xml:space="preserve"> IF( $E66,   IF( 'i3'!$P65=LEER,  #N/A,  'i3'!$P65  ),   #N/A  )</f>
        <v>1.09E-2</v>
      </c>
      <c r="J65" s="158"/>
      <c r="K65" s="27">
        <f xml:space="preserve"> IF( $C66,   IF( 'i1'!$G65=LEER,  #N/A,  'i1'!$G65  ),   #N/A  )</f>
        <v>5.3E-3</v>
      </c>
      <c r="L65" s="27">
        <f xml:space="preserve"> IF( $D66,   IF( 'i2'!$G65=LEER,  #N/A,  'i2'!$G65  ),   #N/A  )</f>
        <v>5.3E-3</v>
      </c>
      <c r="M65" s="27">
        <f xml:space="preserve"> IF( $E66,   IF( 'i3'!$G65=LEER,  #N/A,  'i3'!$G65  ),   #N/A  )</f>
        <v>5.3E-3</v>
      </c>
      <c r="N65" s="158"/>
      <c r="O65" s="158"/>
      <c r="Q65" s="28">
        <f t="shared" si="35"/>
        <v>22.236357551700561</v>
      </c>
      <c r="R65" s="28">
        <f t="shared" si="36"/>
        <v>22.236357551700561</v>
      </c>
      <c r="S65" s="28">
        <f t="shared" si="37"/>
        <v>22.236357551700561</v>
      </c>
      <c r="U65" s="76">
        <f xml:space="preserve"> IF( $C64,   SUM('i1'!$R65),   #N/A  )</f>
        <v>508480</v>
      </c>
      <c r="V65" s="76">
        <f xml:space="preserve"> IF( $C64,   SUM('i2'!$R65),   #N/A  )</f>
        <v>508480</v>
      </c>
      <c r="W65" s="76">
        <f xml:space="preserve"> IF( $C64,   SUM('i3'!$R65),   #N/A  )</f>
        <v>508480</v>
      </c>
      <c r="Y65" s="33"/>
      <c r="Z65" s="22">
        <f xml:space="preserve"> IF( $C65,   IF( 'i1'!$J65=LEER,  #N/A,  'i1'!$J65  ),   #N/A  )</f>
        <v>2.65</v>
      </c>
      <c r="AA65" s="22">
        <f xml:space="preserve"> IF( $D65,   IF( 'i2'!$J65=LEER,  #N/A,  'i2'!$J65  ),   #N/A  )</f>
        <v>2.65</v>
      </c>
      <c r="AB65" s="22">
        <f xml:space="preserve"> IF( $E65,   IF( 'i3'!$J65=LEER,  #N/A,  'i3'!$J65  ),   #N/A  )</f>
        <v>2.65</v>
      </c>
      <c r="AC65" s="75"/>
      <c r="AD65" s="26">
        <f t="shared" si="39"/>
        <v>5506.1435000000001</v>
      </c>
      <c r="AE65" s="26">
        <f t="shared" si="40"/>
        <v>5506.1435000000001</v>
      </c>
      <c r="AF65" s="26">
        <f t="shared" si="41"/>
        <v>5506.1435000000001</v>
      </c>
      <c r="AG65" s="23"/>
      <c r="AH65" s="24">
        <f xml:space="preserve">    IF(  'i1'!$AK65=LEER,  #N/A,  ROUND( 'i1'!$AK65, AH$15 )  )</f>
        <v>856.34</v>
      </c>
      <c r="AI65" s="24">
        <f xml:space="preserve">    IF(  'i2'!$AK65=LEER,  #N/A,  ROUND( 'i2'!$AK65, AI$15 )  )</f>
        <v>856.34</v>
      </c>
      <c r="AJ65" s="24">
        <f xml:space="preserve">    IF(  'i3'!$AK65=LEER,  #N/A,  ROUND( 'i3'!$AK65, AJ$15 )  )</f>
        <v>856.34</v>
      </c>
      <c r="AL65" s="102">
        <f t="shared" si="42"/>
        <v>856.34</v>
      </c>
      <c r="AO65" s="24">
        <f xml:space="preserve">    IF( 'i1'!$AN65=LEER,  #N/A,  'i1'!$AN65  )</f>
        <v>81015.460000000006</v>
      </c>
      <c r="AP65" s="24">
        <f xml:space="preserve">    IF( 'i2'!$AN65=LEER,  #N/A,  'i2'!$AN65  )</f>
        <v>81015.460000000006</v>
      </c>
      <c r="AQ65" s="24">
        <f xml:space="preserve">    IF( 'i3'!$AN65=LEER,  #N/A,  'i3'!$AN65  )</f>
        <v>81015.460000000006</v>
      </c>
      <c r="AS65" s="24">
        <f xml:space="preserve">    IF( 'i1'!$AO65=LEER,  #N/A,  'i1'!$AO65  )</f>
        <v>80230.490000000005</v>
      </c>
      <c r="AT65" s="24">
        <f xml:space="preserve">    IF( 'i2'!$AO65=LEER,  #N/A,  'i2'!$AO65  )</f>
        <v>80230.490000000005</v>
      </c>
      <c r="AU65" s="24">
        <f xml:space="preserve">    IF( 'i3'!$AO65=LEER,  #N/A,  'i3'!$AO65  )</f>
        <v>80230.490000000005</v>
      </c>
      <c r="AW65" s="28">
        <f t="shared" si="38"/>
        <v>38.991199999999999</v>
      </c>
      <c r="AX65" s="28">
        <f t="shared" si="29"/>
        <v>38.991199999999999</v>
      </c>
      <c r="AY65" s="28">
        <f t="shared" si="30"/>
        <v>38.991199999999999</v>
      </c>
      <c r="BA65" s="28">
        <f t="shared" si="43"/>
        <v>38.613399999999999</v>
      </c>
      <c r="BB65" s="28">
        <f t="shared" si="44"/>
        <v>38.613399999999999</v>
      </c>
      <c r="BC65" s="28">
        <f t="shared" si="45"/>
        <v>38.613399999999999</v>
      </c>
      <c r="BG65" s="24">
        <f xml:space="preserve">    IF( 'i1'!BT65=LEER,  #N/A,  'i1'!BT65  )</f>
        <v>-1369.74</v>
      </c>
      <c r="BH65" s="24">
        <f xml:space="preserve">    IF( 'i1'!BR65=LEER,  #N/A,  'i1'!BR65  )</f>
        <v>79538.97</v>
      </c>
      <c r="BI65" s="111">
        <f t="shared" si="34"/>
        <v>78169.23</v>
      </c>
      <c r="BJ65" s="24">
        <f xml:space="preserve">    IF( 'i1'!BX65=LEER,  #N/A,  'i1'!BX65  )</f>
        <v>2846.2300000000105</v>
      </c>
      <c r="BL65" s="24">
        <f xml:space="preserve">    IF( 'i1'!CB65=LEER,  #N/A,  'i1'!CB65  )</f>
        <v>-1695.06</v>
      </c>
      <c r="BM65" s="24">
        <f xml:space="preserve">    IF( 'i1'!CC65=LEER,  #N/A,  'i1'!CC65  )</f>
        <v>2025.39</v>
      </c>
      <c r="BN65" s="24">
        <f xml:space="preserve">    IF( 'i1'!CD65=LEER,  #N/A,  'i1'!CD65  )</f>
        <v>896.44</v>
      </c>
      <c r="BO65" s="24">
        <f xml:space="preserve">    IF( 'i1'!CE65=LEER,  #N/A,  'i1'!CE65  )</f>
        <v>1226.7700000000002</v>
      </c>
      <c r="BQ65" s="24">
        <f xml:space="preserve">    IF( 'i1'!CI65=LEER,  #N/A,  'i1'!CI65  )</f>
        <v>5506.14</v>
      </c>
      <c r="BR65" s="24">
        <f xml:space="preserve">    IF( 'i1'!CJ65=LEER,  #N/A,  'i1'!CJ65  )</f>
        <v>-779.13</v>
      </c>
      <c r="BS65" s="24">
        <f xml:space="preserve">    IF( 'i1'!CK65=LEER,  #N/A,  'i1'!CK65  )</f>
        <v>-874.58</v>
      </c>
      <c r="BT65" s="38">
        <f xml:space="preserve">    IF( 'i1'!CH65=LEER,  #N/A,  'i1'!CH65  )</f>
        <v>3852.4304390000002</v>
      </c>
      <c r="BV65" s="24">
        <f xml:space="preserve">    IF( 'i1'!CO65=LEER,  #N/A,  'i1'!CO65  )</f>
        <v>5506.14</v>
      </c>
      <c r="BW65" s="24">
        <f xml:space="preserve">    IF( 'i1'!CP65=LEER,  #N/A,  'i1'!CP65  )</f>
        <v>-741.14</v>
      </c>
      <c r="BX65" s="24">
        <f xml:space="preserve">    IF( 'i1'!CQ65=LEER,  #N/A,  'i1'!CQ65  )</f>
        <v>-866.43</v>
      </c>
      <c r="BY65" s="38">
        <f xml:space="preserve">    IF( 'i1'!CN65=LEER,  #N/A,  'i1'!CN65  )</f>
        <v>3898.5573770000001</v>
      </c>
      <c r="CD65" s="113" t="e">
        <f xml:space="preserve"> IF(  AND( $A65&lt;&gt;$CD$14, OR( 'i1'!EO65=LEER, 'i1'!EM65&lt;&gt;LEER ) ), #N/A, 'i1'!EO65 )</f>
        <v>#N/A</v>
      </c>
      <c r="CE65" s="113">
        <f xml:space="preserve"> IF(   'i1'!EM65=LEER, #N/A,  'i1'!EM65 )</f>
        <v>34619.199999999997</v>
      </c>
      <c r="CF65" s="114">
        <f xml:space="preserve"> IF(   'i1'!EL65=LEER, #N/A, 'i1'!EL65 + 'i1'!EM65 )</f>
        <v>80236.759999999995</v>
      </c>
      <c r="CW65" s="104">
        <f xml:space="preserve"> 'i1'!FN65</f>
        <v>65</v>
      </c>
      <c r="CX65" s="106">
        <f xml:space="preserve"> IF(  INDEX( 'i1'!$FS65:$JO65, CX$13 ) = LEER,  #N/A,  INDEX( 'i1'!$FS65:$JO65, CX$13 )  )</f>
        <v>104129.64</v>
      </c>
      <c r="CY65" s="106">
        <f xml:space="preserve"> IF(  INDEX( 'i1'!$FS65:$JO65, CY$13 ) = LEER,  #N/A,  INDEX( 'i1'!$FS65:$JO65, CY$13 )  )</f>
        <v>96813.86</v>
      </c>
      <c r="CZ65" s="106">
        <f xml:space="preserve"> IF(  INDEX( 'i1'!$FS65:$JO65, CZ$13 ) = LEER,  #N/A,  INDEX( 'i1'!$FS65:$JO65, CZ$13 )  )</f>
        <v>88907.59</v>
      </c>
      <c r="DA65" s="106">
        <f xml:space="preserve"> IF(  INDEX( 'i1'!$FS65:$JO65, DA$13 ) = LEER,  #N/A,  INDEX( 'i1'!$FS65:$JO65, DA$13 )  )</f>
        <v>80230.490000000005</v>
      </c>
      <c r="DB65" s="106">
        <f xml:space="preserve"> IF(  INDEX( 'i1'!$FS65:$JO65, DB$13 ) = LEER,  #N/A,  INDEX( 'i1'!$FS65:$JO65, DB$13 )  )</f>
        <v>70517.37</v>
      </c>
      <c r="DC65" s="106">
        <f xml:space="preserve"> IF(  INDEX( 'i1'!$FS65:$JO65, DC$13 ) = LEER,  #N/A,  INDEX( 'i1'!$FS65:$JO65, DC$13 )  )</f>
        <v>59043.38</v>
      </c>
      <c r="DD65" s="106">
        <f xml:space="preserve"> IF(  INDEX( 'i1'!$FS65:$JO65, DD$13 ) = LEER,  #N/A,  INDEX( 'i1'!$FS65:$JO65, DD$13 )  )</f>
        <v>45617.56</v>
      </c>
      <c r="DE65" s="106">
        <f xml:space="preserve"> IF(  INDEX( 'i1'!$FS65:$JO65, DE$13 ) = LEER,  #N/A,  INDEX( 'i1'!$FS65:$JO65, DE$13 )  )</f>
        <v>30798.61</v>
      </c>
      <c r="DF65" s="106">
        <f xml:space="preserve"> IF(  INDEX( 'i1'!$FS65:$JO65, DF$13 ) = LEER,  #N/A,  INDEX( 'i1'!$FS65:$JO65, DF$13 )  )</f>
        <v>15017.89</v>
      </c>
      <c r="DG65" s="106">
        <f xml:space="preserve"> IF(  INDEX( 'i1'!$FS65:$JO65, DG$13 ) = LEER,  #N/A,  INDEX( 'i1'!$FS65:$JO65, DG$13 )  )</f>
        <v>-1706.92</v>
      </c>
      <c r="DH65" s="106" t="e">
        <f xml:space="preserve"> IF(  INDEX( 'i1'!$FS65:$JO65, DH$13 ) = LEER,  #N/A,  INDEX( 'i1'!$FS65:$JO65, DH$13 )  )</f>
        <v>#N/A</v>
      </c>
      <c r="DI65" s="106" t="e">
        <f xml:space="preserve"> IF(  INDEX( 'i1'!$FS65:$JO65, DI$13 ) = LEER,  #N/A,  INDEX( 'i1'!$FS65:$JO65, DI$13 )  )</f>
        <v>#N/A</v>
      </c>
      <c r="DJ65" s="106" t="e">
        <f xml:space="preserve"> IF(  INDEX( 'i1'!$FS65:$JO65, DJ$13 ) = LEER,  #N/A,  INDEX( 'i1'!$FS65:$JO65, DJ$13 )  )</f>
        <v>#N/A</v>
      </c>
      <c r="DK65" s="106" t="e">
        <f xml:space="preserve"> IF(  INDEX( 'i1'!$FS65:$JO65, DK$13 ) = LEER,  #N/A,  INDEX( 'i1'!$FS65:$JO65, DK$13 )  )</f>
        <v>#N/A</v>
      </c>
      <c r="DL65" s="106" t="e">
        <f xml:space="preserve"> IF(  INDEX( 'i1'!$FS65:$JO65, DL$13 ) = LEER,  #N/A,  INDEX( 'i1'!$FS65:$JO65, DL$13 )  )</f>
        <v>#N/A</v>
      </c>
      <c r="DM65" s="106" t="e">
        <f xml:space="preserve"> IF(  INDEX( 'i1'!$FS65:$JO65, DM$13 ) = LEER,  #N/A,  INDEX( 'i1'!$FS65:$JO65, DM$13 )  )</f>
        <v>#N/A</v>
      </c>
      <c r="DN65" s="106" t="e">
        <f xml:space="preserve"> IF(  INDEX( 'i1'!$FS65:$JO65, DN$13 ) = LEER,  #N/A,  INDEX( 'i1'!$FS65:$JO65, DN$13 )  )</f>
        <v>#N/A</v>
      </c>
    </row>
    <row r="66" spans="1:118" x14ac:dyDescent="0.2">
      <c r="A66" s="15">
        <f xml:space="preserve"> Basis!A66</f>
        <v>66</v>
      </c>
      <c r="C66" s="24" t="b">
        <f xml:space="preserve"> 'i1'!$O66</f>
        <v>1</v>
      </c>
      <c r="D66" s="24" t="b">
        <f xml:space="preserve"> 'i2'!$O66</f>
        <v>1</v>
      </c>
      <c r="E66" s="24" t="b">
        <f xml:space="preserve"> 'i3'!$O66</f>
        <v>1</v>
      </c>
      <c r="G66" s="27">
        <f xml:space="preserve"> IF( $C67,   IF( 'i1'!$P66=LEER,  #N/A,  'i1'!$P66  ),   #N/A  )</f>
        <v>1.0800000000000001E-2</v>
      </c>
      <c r="H66" s="27">
        <f xml:space="preserve"> IF( $D67,   IF( 'i2'!$P66=LEER,  #N/A,  'i2'!$P66  ),   #N/A  )</f>
        <v>1.0800000000000001E-2</v>
      </c>
      <c r="I66" s="27">
        <f xml:space="preserve"> IF( $E67,   IF( 'i3'!$P66=LEER,  #N/A,  'i3'!$P66  ),   #N/A  )</f>
        <v>1.0800000000000001E-2</v>
      </c>
      <c r="J66" s="158"/>
      <c r="K66" s="27">
        <f xml:space="preserve"> IF( $C67,   IF( 'i1'!$G66=LEER,  #N/A,  'i1'!$G66  ),   #N/A  )</f>
        <v>4.7000000000000002E-3</v>
      </c>
      <c r="L66" s="27">
        <f xml:space="preserve"> IF( $D67,   IF( 'i2'!$G66=LEER,  #N/A,  'i2'!$G66  ),   #N/A  )</f>
        <v>4.7000000000000002E-3</v>
      </c>
      <c r="M66" s="27">
        <f xml:space="preserve"> IF( $E67,   IF( 'i3'!$G66=LEER,  #N/A,  'i3'!$G66  ),   #N/A  )</f>
        <v>4.7000000000000002E-3</v>
      </c>
      <c r="N66" s="158"/>
      <c r="O66" s="158"/>
      <c r="Q66" s="28">
        <f t="shared" si="35"/>
        <v>21.475894805075889</v>
      </c>
      <c r="R66" s="28">
        <f t="shared" si="36"/>
        <v>21.475894805075889</v>
      </c>
      <c r="S66" s="28">
        <f t="shared" si="37"/>
        <v>21.475894805075889</v>
      </c>
      <c r="U66" s="76">
        <f xml:space="preserve"> IF( $C65,   SUM('i1'!$R66),   #N/A  )</f>
        <v>502937</v>
      </c>
      <c r="V66" s="76">
        <f xml:space="preserve"> IF( $C65,   SUM('i2'!$R66),   #N/A  )</f>
        <v>502937</v>
      </c>
      <c r="W66" s="76">
        <f xml:space="preserve"> IF( $C65,   SUM('i3'!$R66),   #N/A  )</f>
        <v>502937</v>
      </c>
      <c r="Y66" s="33"/>
      <c r="Z66" s="22">
        <f xml:space="preserve"> IF( $C66,   IF( 'i1'!$J66=LEER,  #N/A,  'i1'!$J66  ),   #N/A  )</f>
        <v>2.7909999999999999</v>
      </c>
      <c r="AA66" s="22">
        <f xml:space="preserve"> IF( $D66,   IF( 'i2'!$J66=LEER,  #N/A,  'i2'!$J66  ),   #N/A  )</f>
        <v>2.7909999999999999</v>
      </c>
      <c r="AB66" s="22">
        <f xml:space="preserve"> IF( $E66,   IF( 'i3'!$J66=LEER,  #N/A,  'i3'!$J66  ),   #N/A  )</f>
        <v>2.7909999999999999</v>
      </c>
      <c r="AC66" s="75"/>
      <c r="AD66" s="26">
        <f t="shared" si="39"/>
        <v>5799.1118900000001</v>
      </c>
      <c r="AE66" s="26">
        <f t="shared" si="40"/>
        <v>5799.1118900000001</v>
      </c>
      <c r="AF66" s="26">
        <f t="shared" si="41"/>
        <v>5799.1118900000001</v>
      </c>
      <c r="AG66" s="23"/>
      <c r="AH66" s="24">
        <f xml:space="preserve">    IF(  'i1'!$AK66=LEER,  #N/A,  ROUND( 'i1'!$AK66, AH$15 )  )</f>
        <v>874.49</v>
      </c>
      <c r="AI66" s="24">
        <f xml:space="preserve">    IF(  'i2'!$AK66=LEER,  #N/A,  ROUND( 'i2'!$AK66, AI$15 )  )</f>
        <v>874.49</v>
      </c>
      <c r="AJ66" s="24">
        <f xml:space="preserve">    IF(  'i3'!$AK66=LEER,  #N/A,  ROUND( 'i3'!$AK66, AJ$15 )  )</f>
        <v>874.49</v>
      </c>
      <c r="AL66" s="102">
        <f t="shared" si="42"/>
        <v>874.49</v>
      </c>
      <c r="AO66" s="24">
        <f xml:space="preserve">    IF( 'i1'!$AN66=LEER,  #N/A,  'i1'!$AN66  )</f>
        <v>82242.240000000005</v>
      </c>
      <c r="AP66" s="24">
        <f xml:space="preserve">    IF( 'i2'!$AN66=LEER,  #N/A,  'i2'!$AN66  )</f>
        <v>82242.240000000005</v>
      </c>
      <c r="AQ66" s="24">
        <f xml:space="preserve">    IF( 'i3'!$AN66=LEER,  #N/A,  'i3'!$AN66  )</f>
        <v>82242.240000000005</v>
      </c>
      <c r="AS66" s="24">
        <f xml:space="preserve">    IF( 'i1'!$AO66=LEER,  #N/A,  'i1'!$AO66  )</f>
        <v>81476.58</v>
      </c>
      <c r="AT66" s="24">
        <f xml:space="preserve">    IF( 'i2'!$AO66=LEER,  #N/A,  'i2'!$AO66  )</f>
        <v>81476.58</v>
      </c>
      <c r="AU66" s="24">
        <f xml:space="preserve">    IF( 'i3'!$AO66=LEER,  #N/A,  'i3'!$AO66  )</f>
        <v>81476.58</v>
      </c>
      <c r="AW66" s="28">
        <f t="shared" si="38"/>
        <v>39.581600000000002</v>
      </c>
      <c r="AX66" s="28">
        <f t="shared" si="29"/>
        <v>39.581600000000002</v>
      </c>
      <c r="AY66" s="28">
        <f t="shared" si="30"/>
        <v>39.581600000000002</v>
      </c>
      <c r="BA66" s="28">
        <f t="shared" si="43"/>
        <v>39.213099999999997</v>
      </c>
      <c r="BB66" s="28">
        <f t="shared" si="44"/>
        <v>39.213099999999997</v>
      </c>
      <c r="BC66" s="28">
        <f t="shared" si="45"/>
        <v>39.213099999999997</v>
      </c>
      <c r="BG66" s="24">
        <f xml:space="preserve">    IF( 'i1'!BT66=LEER,  #N/A,  'i1'!BT66  )</f>
        <v>-1652.96</v>
      </c>
      <c r="BH66" s="24">
        <f xml:space="preserve">    IF( 'i1'!BR66=LEER,  #N/A,  'i1'!BR66  )</f>
        <v>81015.460000000006</v>
      </c>
      <c r="BI66" s="111">
        <f t="shared" si="34"/>
        <v>79362.5</v>
      </c>
      <c r="BJ66" s="24">
        <f xml:space="preserve">    IF( 'i1'!BX66=LEER,  #N/A,  'i1'!BX66  )</f>
        <v>2879.7400000000052</v>
      </c>
      <c r="BL66" s="24">
        <f xml:space="preserve">    IF( 'i1'!CB66=LEER,  #N/A,  'i1'!CB66  )</f>
        <v>-1995.35</v>
      </c>
      <c r="BM66" s="24">
        <f xml:space="preserve">    IF( 'i1'!CC66=LEER,  #N/A,  'i1'!CC66  )</f>
        <v>2056.06</v>
      </c>
      <c r="BN66" s="24">
        <f xml:space="preserve">    IF( 'i1'!CD66=LEER,  #N/A,  'i1'!CD66  )</f>
        <v>898.58</v>
      </c>
      <c r="BO66" s="24">
        <f xml:space="preserve">    IF( 'i1'!CE66=LEER,  #N/A,  'i1'!CE66  )</f>
        <v>959.29000000000008</v>
      </c>
      <c r="BQ66" s="24">
        <f xml:space="preserve">    IF( 'i1'!CI66=LEER,  #N/A,  'i1'!CI66  )</f>
        <v>5799.11</v>
      </c>
      <c r="BR66" s="24">
        <f xml:space="preserve">    IF( 'i1'!CJ66=LEER,  #N/A,  'i1'!CJ66  )</f>
        <v>-1070.04</v>
      </c>
      <c r="BS66" s="24">
        <f xml:space="preserve">    IF( 'i1'!CK66=LEER,  #N/A,  'i1'!CK66  )</f>
        <v>-876.66</v>
      </c>
      <c r="BT66" s="38">
        <f xml:space="preserve">    IF( 'i1'!CH66=LEER,  #N/A,  'i1'!CH66  )</f>
        <v>3852.4304390000002</v>
      </c>
      <c r="BV66" s="24">
        <f xml:space="preserve">    IF( 'i1'!CO66=LEER,  #N/A,  'i1'!CO66  )</f>
        <v>5799.11</v>
      </c>
      <c r="BW66" s="24">
        <f xml:space="preserve">    IF( 'i1'!CP66=LEER,  #N/A,  'i1'!CP66  )</f>
        <v>-1031.77</v>
      </c>
      <c r="BX66" s="24">
        <f xml:space="preserve">    IF( 'i1'!CQ66=LEER,  #N/A,  'i1'!CQ66  )</f>
        <v>-868.8</v>
      </c>
      <c r="BY66" s="38">
        <f xml:space="preserve">    IF( 'i1'!CN66=LEER,  #N/A,  'i1'!CN66  )</f>
        <v>3898.5573770000001</v>
      </c>
      <c r="CD66" s="113" t="e">
        <f xml:space="preserve"> IF(  AND( $A66&lt;&gt;$CD$14, OR( 'i1'!EO66=LEER, 'i1'!EM66&lt;&gt;LEER ) ), #N/A, 'i1'!EO66 )</f>
        <v>#N/A</v>
      </c>
      <c r="CE66" s="113">
        <f xml:space="preserve"> IF(   'i1'!EM66=LEER, #N/A,  'i1'!EM66 )</f>
        <v>33767.629999999997</v>
      </c>
      <c r="CF66" s="114">
        <f xml:space="preserve"> IF(   'i1'!EL66=LEER, #N/A, 'i1'!EL66 + 'i1'!EM66 )</f>
        <v>81482.7</v>
      </c>
      <c r="CW66" s="104">
        <f xml:space="preserve"> 'i1'!FN66</f>
        <v>66</v>
      </c>
      <c r="CX66" s="106">
        <f xml:space="preserve"> IF(  INDEX( 'i1'!$FS66:$JO66, CX$13 ) = LEER,  #N/A,  INDEX( 'i1'!$FS66:$JO66, CX$13 )  )</f>
        <v>104787.85</v>
      </c>
      <c r="CY66" s="106">
        <f xml:space="preserve"> IF(  INDEX( 'i1'!$FS66:$JO66, CY$13 ) = LEER,  #N/A,  INDEX( 'i1'!$FS66:$JO66, CY$13 )  )</f>
        <v>97652.03</v>
      </c>
      <c r="CZ66" s="106">
        <f xml:space="preserve"> IF(  INDEX( 'i1'!$FS66:$JO66, CZ$13 ) = LEER,  #N/A,  INDEX( 'i1'!$FS66:$JO66, CZ$13 )  )</f>
        <v>89940.24</v>
      </c>
      <c r="DA66" s="106">
        <f xml:space="preserve"> IF(  INDEX( 'i1'!$FS66:$JO66, DA$13 ) = LEER,  #N/A,  INDEX( 'i1'!$FS66:$JO66, DA$13 )  )</f>
        <v>81476.58</v>
      </c>
      <c r="DB66" s="106">
        <f xml:space="preserve"> IF(  INDEX( 'i1'!$FS66:$JO66, DB$13 ) = LEER,  #N/A,  INDEX( 'i1'!$FS66:$JO66, DB$13 )  )</f>
        <v>72002.39</v>
      </c>
      <c r="DC66" s="106">
        <f xml:space="preserve"> IF(  INDEX( 'i1'!$FS66:$JO66, DC$13 ) = LEER,  #N/A,  INDEX( 'i1'!$FS66:$JO66, DC$13 )  )</f>
        <v>60810.63</v>
      </c>
      <c r="DD66" s="106">
        <f xml:space="preserve"> IF(  INDEX( 'i1'!$FS66:$JO66, DD$13 ) = LEER,  #N/A,  INDEX( 'i1'!$FS66:$JO66, DD$13 )  )</f>
        <v>47715.07</v>
      </c>
      <c r="DE66" s="106">
        <f xml:space="preserve"> IF(  INDEX( 'i1'!$FS66:$JO66, DE$13 ) = LEER,  #N/A,  INDEX( 'i1'!$FS66:$JO66, DE$13 )  )</f>
        <v>33260.629999999997</v>
      </c>
      <c r="DF66" s="106">
        <f xml:space="preserve"> IF(  INDEX( 'i1'!$FS66:$JO66, DF$13 ) = LEER,  #N/A,  INDEX( 'i1'!$FS66:$JO66, DF$13 )  )</f>
        <v>17868.080000000002</v>
      </c>
      <c r="DG66" s="106">
        <f xml:space="preserve"> IF(  INDEX( 'i1'!$FS66:$JO66, DG$13 ) = LEER,  #N/A,  INDEX( 'i1'!$FS66:$JO66, DG$13 )  )</f>
        <v>1554.67</v>
      </c>
      <c r="DH66" s="106" t="e">
        <f xml:space="preserve"> IF(  INDEX( 'i1'!$FS66:$JO66, DH$13 ) = LEER,  #N/A,  INDEX( 'i1'!$FS66:$JO66, DH$13 )  )</f>
        <v>#N/A</v>
      </c>
      <c r="DI66" s="106" t="e">
        <f xml:space="preserve"> IF(  INDEX( 'i1'!$FS66:$JO66, DI$13 ) = LEER,  #N/A,  INDEX( 'i1'!$FS66:$JO66, DI$13 )  )</f>
        <v>#N/A</v>
      </c>
      <c r="DJ66" s="106" t="e">
        <f xml:space="preserve"> IF(  INDEX( 'i1'!$FS66:$JO66, DJ$13 ) = LEER,  #N/A,  INDEX( 'i1'!$FS66:$JO66, DJ$13 )  )</f>
        <v>#N/A</v>
      </c>
      <c r="DK66" s="106" t="e">
        <f xml:space="preserve"> IF(  INDEX( 'i1'!$FS66:$JO66, DK$13 ) = LEER,  #N/A,  INDEX( 'i1'!$FS66:$JO66, DK$13 )  )</f>
        <v>#N/A</v>
      </c>
      <c r="DL66" s="106" t="e">
        <f xml:space="preserve"> IF(  INDEX( 'i1'!$FS66:$JO66, DL$13 ) = LEER,  #N/A,  INDEX( 'i1'!$FS66:$JO66, DL$13 )  )</f>
        <v>#N/A</v>
      </c>
      <c r="DM66" s="106" t="e">
        <f xml:space="preserve"> IF(  INDEX( 'i1'!$FS66:$JO66, DM$13 ) = LEER,  #N/A,  INDEX( 'i1'!$FS66:$JO66, DM$13 )  )</f>
        <v>#N/A</v>
      </c>
      <c r="DN66" s="106" t="e">
        <f xml:space="preserve"> IF(  INDEX( 'i1'!$FS66:$JO66, DN$13 ) = LEER,  #N/A,  INDEX( 'i1'!$FS66:$JO66, DN$13 )  )</f>
        <v>#N/A</v>
      </c>
    </row>
    <row r="67" spans="1:118" x14ac:dyDescent="0.2">
      <c r="A67" s="15">
        <f xml:space="preserve"> Basis!A67</f>
        <v>67</v>
      </c>
      <c r="C67" s="24" t="b">
        <f xml:space="preserve"> 'i1'!$O67</f>
        <v>1</v>
      </c>
      <c r="D67" s="24" t="b">
        <f xml:space="preserve"> 'i2'!$O67</f>
        <v>1</v>
      </c>
      <c r="E67" s="24" t="b">
        <f xml:space="preserve"> 'i3'!$O67</f>
        <v>1</v>
      </c>
      <c r="G67" s="27">
        <f xml:space="preserve"> IF( $C68,   IF( 'i1'!$P67=LEER,  #N/A,  'i1'!$P67  ),   #N/A  )</f>
        <v>1.0800000000000001E-2</v>
      </c>
      <c r="H67" s="27">
        <f xml:space="preserve"> IF( $D68,   IF( 'i2'!$P67=LEER,  #N/A,  'i2'!$P67  ),   #N/A  )</f>
        <v>1.0800000000000001E-2</v>
      </c>
      <c r="I67" s="27">
        <f xml:space="preserve"> IF( $E68,   IF( 'i3'!$P67=LEER,  #N/A,  'i3'!$P67  ),   #N/A  )</f>
        <v>1.0800000000000001E-2</v>
      </c>
      <c r="J67" s="158"/>
      <c r="K67" s="27">
        <f xml:space="preserve"> IF( $C68,   IF( 'i1'!$G67=LEER,  #N/A,  'i1'!$G67  ),   #N/A  )</f>
        <v>4.1000000000000003E-3</v>
      </c>
      <c r="L67" s="27">
        <f xml:space="preserve"> IF( $D68,   IF( 'i2'!$G67=LEER,  #N/A,  'i2'!$G67  ),   #N/A  )</f>
        <v>4.1000000000000003E-3</v>
      </c>
      <c r="M67" s="27">
        <f xml:space="preserve"> IF( $E68,   IF( 'i3'!$G67=LEER,  #N/A,  'i3'!$G67  ),   #N/A  )</f>
        <v>4.1000000000000003E-3</v>
      </c>
      <c r="N67" s="158"/>
      <c r="O67" s="158"/>
      <c r="Q67" s="28">
        <f t="shared" si="35"/>
        <v>20.704907809417598</v>
      </c>
      <c r="R67" s="28">
        <f t="shared" si="36"/>
        <v>20.704907809417598</v>
      </c>
      <c r="S67" s="28">
        <f t="shared" si="37"/>
        <v>20.704907809417598</v>
      </c>
      <c r="U67" s="76">
        <f xml:space="preserve"> IF( $C66,   SUM('i1'!$R67),   #N/A  )</f>
        <v>497505</v>
      </c>
      <c r="V67" s="76">
        <f xml:space="preserve"> IF( $C66,   SUM('i2'!$R67),   #N/A  )</f>
        <v>497505</v>
      </c>
      <c r="W67" s="76">
        <f xml:space="preserve"> IF( $C66,   SUM('i3'!$R67),   #N/A  )</f>
        <v>497505</v>
      </c>
      <c r="Y67" s="33"/>
      <c r="Z67" s="22">
        <f xml:space="preserve"> IF( $C67,   IF( 'i1'!$J67=LEER,  #N/A,  'i1'!$J67  ),   #N/A  )</f>
        <v>2.9359999999999999</v>
      </c>
      <c r="AA67" s="22">
        <f xml:space="preserve"> IF( $D67,   IF( 'i2'!$J67=LEER,  #N/A,  'i2'!$J67  ),   #N/A  )</f>
        <v>2.9359999999999999</v>
      </c>
      <c r="AB67" s="22">
        <f xml:space="preserve"> IF( $E67,   IF( 'i3'!$J67=LEER,  #N/A,  'i3'!$J67  ),   #N/A  )</f>
        <v>2.9359999999999999</v>
      </c>
      <c r="AC67" s="75"/>
      <c r="AD67" s="26">
        <f t="shared" si="39"/>
        <v>6100.3914399999994</v>
      </c>
      <c r="AE67" s="26">
        <f t="shared" si="40"/>
        <v>6100.3914399999994</v>
      </c>
      <c r="AF67" s="26">
        <f t="shared" si="41"/>
        <v>6100.3914399999994</v>
      </c>
      <c r="AG67" s="23"/>
      <c r="AH67" s="24">
        <f xml:space="preserve">    IF(  'i1'!$AK67=LEER,  #N/A,  ROUND( 'i1'!$AK67, AH$15 )  )</f>
        <v>892.53</v>
      </c>
      <c r="AI67" s="24">
        <f xml:space="preserve">    IF(  'i2'!$AK67=LEER,  #N/A,  ROUND( 'i2'!$AK67, AI$15 )  )</f>
        <v>892.53</v>
      </c>
      <c r="AJ67" s="24">
        <f xml:space="preserve">    IF(  'i3'!$AK67=LEER,  #N/A,  ROUND( 'i3'!$AK67, AJ$15 )  )</f>
        <v>892.53</v>
      </c>
      <c r="AL67" s="102">
        <f t="shared" si="42"/>
        <v>892.53</v>
      </c>
      <c r="AO67" s="24">
        <f xml:space="preserve">    IF( 'i1'!$AN67=LEER,  #N/A,  'i1'!$AN67  )</f>
        <v>83201.5</v>
      </c>
      <c r="AP67" s="24">
        <f xml:space="preserve">    IF( 'i2'!$AN67=LEER,  #N/A,  'i2'!$AN67  )</f>
        <v>83201.5</v>
      </c>
      <c r="AQ67" s="24">
        <f xml:space="preserve">    IF( 'i3'!$AN67=LEER,  #N/A,  'i3'!$AN67  )</f>
        <v>83201.5</v>
      </c>
      <c r="AS67" s="24">
        <f xml:space="preserve">    IF( 'i1'!$AO67=LEER,  #N/A,  'i1'!$AO67  )</f>
        <v>82455.929999999993</v>
      </c>
      <c r="AT67" s="24">
        <f xml:space="preserve">    IF( 'i2'!$AO67=LEER,  #N/A,  'i2'!$AO67  )</f>
        <v>82455.929999999993</v>
      </c>
      <c r="AU67" s="24">
        <f xml:space="preserve">    IF( 'i3'!$AO67=LEER,  #N/A,  'i3'!$AO67  )</f>
        <v>82455.929999999993</v>
      </c>
      <c r="AW67" s="28">
        <f t="shared" si="38"/>
        <v>40.043300000000002</v>
      </c>
      <c r="AX67" s="28">
        <f t="shared" si="29"/>
        <v>40.043300000000002</v>
      </c>
      <c r="AY67" s="28">
        <f t="shared" si="30"/>
        <v>40.043300000000002</v>
      </c>
      <c r="BA67" s="28">
        <f t="shared" si="43"/>
        <v>39.684399999999997</v>
      </c>
      <c r="BB67" s="28">
        <f t="shared" si="44"/>
        <v>39.684399999999997</v>
      </c>
      <c r="BC67" s="28">
        <f t="shared" si="45"/>
        <v>39.684399999999997</v>
      </c>
      <c r="BG67" s="24">
        <f xml:space="preserve">    IF( 'i1'!BT67=LEER,  #N/A,  'i1'!BT67  )</f>
        <v>-1945.99</v>
      </c>
      <c r="BH67" s="24">
        <f xml:space="preserve">    IF( 'i1'!BR67=LEER,  #N/A,  'i1'!BR67  )</f>
        <v>82242.240000000005</v>
      </c>
      <c r="BI67" s="111">
        <f t="shared" si="34"/>
        <v>80296.25</v>
      </c>
      <c r="BJ67" s="24">
        <f xml:space="preserve">    IF( 'i1'!BX67=LEER,  #N/A,  'i1'!BX67  )</f>
        <v>2905.25</v>
      </c>
      <c r="BL67" s="24">
        <f xml:space="preserve">    IF( 'i1'!CB67=LEER,  #N/A,  'i1'!CB67  )</f>
        <v>-2304.16</v>
      </c>
      <c r="BM67" s="24">
        <f xml:space="preserve">    IF( 'i1'!CC67=LEER,  #N/A,  'i1'!CC67  )</f>
        <v>2080.04</v>
      </c>
      <c r="BN67" s="24">
        <f xml:space="preserve">    IF( 'i1'!CD67=LEER,  #N/A,  'i1'!CD67  )</f>
        <v>905.94</v>
      </c>
      <c r="BO67" s="24">
        <f xml:space="preserve">    IF( 'i1'!CE67=LEER,  #N/A,  'i1'!CE67  )</f>
        <v>681.82000000000016</v>
      </c>
      <c r="BQ67" s="24">
        <f xml:space="preserve">    IF( 'i1'!CI67=LEER,  #N/A,  'i1'!CI67  )</f>
        <v>6100.39</v>
      </c>
      <c r="BR67" s="24">
        <f xml:space="preserve">    IF( 'i1'!CJ67=LEER,  #N/A,  'i1'!CJ67  )</f>
        <v>-1364.07</v>
      </c>
      <c r="BS67" s="24">
        <f xml:space="preserve">    IF( 'i1'!CK67=LEER,  #N/A,  'i1'!CK67  )</f>
        <v>-883.84</v>
      </c>
      <c r="BT67" s="38">
        <f xml:space="preserve">    IF( 'i1'!CH67=LEER,  #N/A,  'i1'!CH67  )</f>
        <v>3852.4304390000002</v>
      </c>
      <c r="BV67" s="24">
        <f xml:space="preserve">    IF( 'i1'!CO67=LEER,  #N/A,  'i1'!CO67  )</f>
        <v>6100.39</v>
      </c>
      <c r="BW67" s="24">
        <f xml:space="preserve">    IF( 'i1'!CP67=LEER,  #N/A,  'i1'!CP67  )</f>
        <v>-1325.58</v>
      </c>
      <c r="BX67" s="24">
        <f xml:space="preserve">    IF( 'i1'!CQ67=LEER,  #N/A,  'i1'!CQ67  )</f>
        <v>-876.21</v>
      </c>
      <c r="BY67" s="38">
        <f xml:space="preserve">    IF( 'i1'!CN67=LEER,  #N/A,  'i1'!CN67  )</f>
        <v>3898.5573770000001</v>
      </c>
      <c r="CD67" s="113" t="e">
        <f xml:space="preserve"> IF(  AND( $A67&lt;&gt;$CD$14, OR( 'i1'!EO67=LEER, 'i1'!EM67&lt;&gt;LEER ) ), #N/A, 'i1'!EO67 )</f>
        <v>#N/A</v>
      </c>
      <c r="CE67" s="113">
        <f xml:space="preserve"> IF(   'i1'!EM67=LEER, #N/A,  'i1'!EM67 )</f>
        <v>32881.89</v>
      </c>
      <c r="CF67" s="114">
        <f xml:space="preserve"> IF(   'i1'!EL67=LEER, #N/A, 'i1'!EL67 + 'i1'!EM67 )</f>
        <v>82461.88</v>
      </c>
      <c r="CW67" s="104">
        <f xml:space="preserve"> 'i1'!FN67</f>
        <v>67</v>
      </c>
      <c r="CX67" s="106">
        <f xml:space="preserve"> IF(  INDEX( 'i1'!$FS67:$JO67, CX$13 ) = LEER,  #N/A,  INDEX( 'i1'!$FS67:$JO67, CX$13 )  )</f>
        <v>105155.74</v>
      </c>
      <c r="CY67" s="106">
        <f xml:space="preserve"> IF(  INDEX( 'i1'!$FS67:$JO67, CY$13 ) = LEER,  #N/A,  INDEX( 'i1'!$FS67:$JO67, CY$13 )  )</f>
        <v>98207.09</v>
      </c>
      <c r="CZ67" s="106">
        <f xml:space="preserve"> IF(  INDEX( 'i1'!$FS67:$JO67, CZ$13 ) = LEER,  #N/A,  INDEX( 'i1'!$FS67:$JO67, CZ$13 )  )</f>
        <v>90697.58</v>
      </c>
      <c r="DA67" s="106">
        <f xml:space="preserve"> IF(  INDEX( 'i1'!$FS67:$JO67, DA$13 ) = LEER,  #N/A,  INDEX( 'i1'!$FS67:$JO67, DA$13 )  )</f>
        <v>82455.929999999993</v>
      </c>
      <c r="DB67" s="106">
        <f xml:space="preserve"> IF(  INDEX( 'i1'!$FS67:$JO67, DB$13 ) = LEER,  #N/A,  INDEX( 'i1'!$FS67:$JO67, DB$13 )  )</f>
        <v>73230.25</v>
      </c>
      <c r="DC67" s="106">
        <f xml:space="preserve"> IF(  INDEX( 'i1'!$FS67:$JO67, DC$13 ) = LEER,  #N/A,  INDEX( 'i1'!$FS67:$JO67, DC$13 )  )</f>
        <v>62332.05</v>
      </c>
      <c r="DD67" s="106">
        <f xml:space="preserve"> IF(  INDEX( 'i1'!$FS67:$JO67, DD$13 ) = LEER,  #N/A,  INDEX( 'i1'!$FS67:$JO67, DD$13 )  )</f>
        <v>49579.99</v>
      </c>
      <c r="DE67" s="106">
        <f xml:space="preserve"> IF(  INDEX( 'i1'!$FS67:$JO67, DE$13 ) = LEER,  #N/A,  INDEX( 'i1'!$FS67:$JO67, DE$13 )  )</f>
        <v>35504.699999999997</v>
      </c>
      <c r="DF67" s="106">
        <f xml:space="preserve"> IF(  INDEX( 'i1'!$FS67:$JO67, DF$13 ) = LEER,  #N/A,  INDEX( 'i1'!$FS67:$JO67, DF$13 )  )</f>
        <v>20515.91</v>
      </c>
      <c r="DG67" s="106">
        <f xml:space="preserve"> IF(  INDEX( 'i1'!$FS67:$JO67, DG$13 ) = LEER,  #N/A,  INDEX( 'i1'!$FS67:$JO67, DG$13 )  )</f>
        <v>4630.41</v>
      </c>
      <c r="DH67" s="106" t="e">
        <f xml:space="preserve"> IF(  INDEX( 'i1'!$FS67:$JO67, DH$13 ) = LEER,  #N/A,  INDEX( 'i1'!$FS67:$JO67, DH$13 )  )</f>
        <v>#N/A</v>
      </c>
      <c r="DI67" s="106" t="e">
        <f xml:space="preserve"> IF(  INDEX( 'i1'!$FS67:$JO67, DI$13 ) = LEER,  #N/A,  INDEX( 'i1'!$FS67:$JO67, DI$13 )  )</f>
        <v>#N/A</v>
      </c>
      <c r="DJ67" s="106" t="e">
        <f xml:space="preserve"> IF(  INDEX( 'i1'!$FS67:$JO67, DJ$13 ) = LEER,  #N/A,  INDEX( 'i1'!$FS67:$JO67, DJ$13 )  )</f>
        <v>#N/A</v>
      </c>
      <c r="DK67" s="106" t="e">
        <f xml:space="preserve"> IF(  INDEX( 'i1'!$FS67:$JO67, DK$13 ) = LEER,  #N/A,  INDEX( 'i1'!$FS67:$JO67, DK$13 )  )</f>
        <v>#N/A</v>
      </c>
      <c r="DL67" s="106" t="e">
        <f xml:space="preserve"> IF(  INDEX( 'i1'!$FS67:$JO67, DL$13 ) = LEER,  #N/A,  INDEX( 'i1'!$FS67:$JO67, DL$13 )  )</f>
        <v>#N/A</v>
      </c>
      <c r="DM67" s="106" t="e">
        <f xml:space="preserve"> IF(  INDEX( 'i1'!$FS67:$JO67, DM$13 ) = LEER,  #N/A,  INDEX( 'i1'!$FS67:$JO67, DM$13 )  )</f>
        <v>#N/A</v>
      </c>
      <c r="DN67" s="106" t="e">
        <f xml:space="preserve"> IF(  INDEX( 'i1'!$FS67:$JO67, DN$13 ) = LEER,  #N/A,  INDEX( 'i1'!$FS67:$JO67, DN$13 )  )</f>
        <v>#N/A</v>
      </c>
    </row>
    <row r="68" spans="1:118" x14ac:dyDescent="0.2">
      <c r="A68" s="15">
        <f xml:space="preserve"> Basis!A68</f>
        <v>68</v>
      </c>
      <c r="C68" s="24" t="b">
        <f xml:space="preserve"> 'i1'!$O68</f>
        <v>1</v>
      </c>
      <c r="D68" s="24" t="b">
        <f xml:space="preserve"> 'i2'!$O68</f>
        <v>1</v>
      </c>
      <c r="E68" s="24" t="b">
        <f xml:space="preserve"> 'i3'!$O68</f>
        <v>1</v>
      </c>
      <c r="G68" s="27">
        <f xml:space="preserve"> IF( $C69,   IF( 'i1'!$P68=LEER,  #N/A,  'i1'!$P68  ),   #N/A  )</f>
        <v>1.09E-2</v>
      </c>
      <c r="H68" s="27">
        <f xml:space="preserve"> IF( $D69,   IF( 'i2'!$P68=LEER,  #N/A,  'i2'!$P68  ),   #N/A  )</f>
        <v>1.09E-2</v>
      </c>
      <c r="I68" s="27">
        <f xml:space="preserve"> IF( $E69,   IF( 'i3'!$P68=LEER,  #N/A,  'i3'!$P68  ),   #N/A  )</f>
        <v>1.09E-2</v>
      </c>
      <c r="J68" s="158"/>
      <c r="K68" s="27">
        <f xml:space="preserve"> IF( $C69,   IF( 'i1'!$G68=LEER,  #N/A,  'i1'!$G68  ),   #N/A  )</f>
        <v>3.7000000000000002E-3</v>
      </c>
      <c r="L68" s="27">
        <f xml:space="preserve"> IF( $D69,   IF( 'i2'!$G68=LEER,  #N/A,  'i2'!$G68  ),   #N/A  )</f>
        <v>3.7000000000000002E-3</v>
      </c>
      <c r="M68" s="27">
        <f xml:space="preserve"> IF( $E69,   IF( 'i3'!$G68=LEER,  #N/A,  'i3'!$G68  ),   #N/A  )</f>
        <v>3.7000000000000002E-3</v>
      </c>
      <c r="N68" s="158"/>
      <c r="O68" s="158"/>
      <c r="Q68" s="28">
        <f t="shared" si="35"/>
        <v>19.92550324445774</v>
      </c>
      <c r="R68" s="28">
        <f t="shared" si="36"/>
        <v>19.92550324445774</v>
      </c>
      <c r="S68" s="28">
        <f t="shared" si="37"/>
        <v>19.92550324445774</v>
      </c>
      <c r="U68" s="76">
        <f xml:space="preserve"> IF( $C67,   SUM('i1'!$R68),   #N/A  )</f>
        <v>492131</v>
      </c>
      <c r="V68" s="76">
        <f xml:space="preserve"> IF( $C67,   SUM('i2'!$R68),   #N/A  )</f>
        <v>492131</v>
      </c>
      <c r="W68" s="76">
        <f xml:space="preserve"> IF( $C67,   SUM('i3'!$R68),   #N/A  )</f>
        <v>492131</v>
      </c>
      <c r="Y68" s="33"/>
      <c r="Z68" s="22">
        <f xml:space="preserve"> IF( $C68,   IF( 'i1'!$J68=LEER,  #N/A,  'i1'!$J68  ),   #N/A  )</f>
        <v>3.0830000000000002</v>
      </c>
      <c r="AA68" s="22">
        <f xml:space="preserve"> IF( $D68,   IF( 'i2'!$J68=LEER,  #N/A,  'i2'!$J68  ),   #N/A  )</f>
        <v>3.0830000000000002</v>
      </c>
      <c r="AB68" s="22">
        <f xml:space="preserve"> IF( $E68,   IF( 'i3'!$J68=LEER,  #N/A,  'i3'!$J68  ),   #N/A  )</f>
        <v>3.0830000000000002</v>
      </c>
      <c r="AC68" s="75"/>
      <c r="AD68" s="26">
        <f t="shared" si="39"/>
        <v>6405.8265700000002</v>
      </c>
      <c r="AE68" s="26">
        <f t="shared" si="40"/>
        <v>6405.8265700000002</v>
      </c>
      <c r="AF68" s="26">
        <f t="shared" si="41"/>
        <v>6405.8265700000002</v>
      </c>
      <c r="AG68" s="23"/>
      <c r="AH68" s="24">
        <f xml:space="preserve">    IF(  'i1'!$AK68=LEER,  #N/A,  ROUND( 'i1'!$AK68, AH$15 )  )</f>
        <v>910.44</v>
      </c>
      <c r="AI68" s="24">
        <f xml:space="preserve">    IF(  'i2'!$AK68=LEER,  #N/A,  ROUND( 'i2'!$AK68, AI$15 )  )</f>
        <v>910.44</v>
      </c>
      <c r="AJ68" s="24">
        <f xml:space="preserve">    IF(  'i3'!$AK68=LEER,  #N/A,  ROUND( 'i3'!$AK68, AJ$15 )  )</f>
        <v>910.44</v>
      </c>
      <c r="AL68" s="102">
        <f t="shared" si="42"/>
        <v>910.44</v>
      </c>
      <c r="AO68" s="24">
        <f xml:space="preserve">    IF( 'i1'!$AN68=LEER,  #N/A,  'i1'!$AN68  )</f>
        <v>83883.37</v>
      </c>
      <c r="AP68" s="24">
        <f xml:space="preserve">    IF( 'i2'!$AN68=LEER,  #N/A,  'i2'!$AN68  )</f>
        <v>83883.37</v>
      </c>
      <c r="AQ68" s="24">
        <f xml:space="preserve">    IF( 'i3'!$AN68=LEER,  #N/A,  'i3'!$AN68  )</f>
        <v>83883.37</v>
      </c>
      <c r="AS68" s="24">
        <f xml:space="preserve">    IF( 'i1'!$AO68=LEER,  #N/A,  'i1'!$AO68  )</f>
        <v>83158.61</v>
      </c>
      <c r="AT68" s="24">
        <f xml:space="preserve">    IF( 'i2'!$AO68=LEER,  #N/A,  'i2'!$AO68  )</f>
        <v>83158.61</v>
      </c>
      <c r="AU68" s="24">
        <f xml:space="preserve">    IF( 'i3'!$AO68=LEER,  #N/A,  'i3'!$AO68  )</f>
        <v>83158.61</v>
      </c>
      <c r="AW68" s="28">
        <f t="shared" si="38"/>
        <v>40.371400000000001</v>
      </c>
      <c r="AX68" s="28">
        <f t="shared" si="29"/>
        <v>40.371400000000001</v>
      </c>
      <c r="AY68" s="28">
        <f t="shared" si="30"/>
        <v>40.371400000000001</v>
      </c>
      <c r="BA68" s="28">
        <f t="shared" si="43"/>
        <v>40.022599999999997</v>
      </c>
      <c r="BB68" s="28">
        <f t="shared" si="44"/>
        <v>40.022599999999997</v>
      </c>
      <c r="BC68" s="28">
        <f t="shared" si="45"/>
        <v>40.022599999999997</v>
      </c>
      <c r="BG68" s="24">
        <f xml:space="preserve">    IF( 'i1'!BT68=LEER,  #N/A,  'i1'!BT68  )</f>
        <v>-2248.9699999999998</v>
      </c>
      <c r="BH68" s="24">
        <f xml:space="preserve">    IF( 'i1'!BR68=LEER,  #N/A,  'i1'!BR68  )</f>
        <v>83201.5</v>
      </c>
      <c r="BI68" s="111">
        <f t="shared" si="34"/>
        <v>80952.53</v>
      </c>
      <c r="BJ68" s="24">
        <f xml:space="preserve">    IF( 'i1'!BX68=LEER,  #N/A,  'i1'!BX68  )</f>
        <v>2930.8399999999965</v>
      </c>
      <c r="BL68" s="24">
        <f xml:space="preserve">    IF( 'i1'!CB68=LEER,  #N/A,  'i1'!CB68  )</f>
        <v>-2617.23</v>
      </c>
      <c r="BM68" s="24">
        <f xml:space="preserve">    IF( 'i1'!CC68=LEER,  #N/A,  'i1'!CC68  )</f>
        <v>2097.08</v>
      </c>
      <c r="BN68" s="24">
        <f xml:space="preserve">    IF( 'i1'!CD68=LEER,  #N/A,  'i1'!CD68  )</f>
        <v>918.68</v>
      </c>
      <c r="BO68" s="24">
        <f xml:space="preserve">    IF( 'i1'!CE68=LEER,  #N/A,  'i1'!CE68  )</f>
        <v>398.52999999999986</v>
      </c>
      <c r="BQ68" s="24">
        <f xml:space="preserve">    IF( 'i1'!CI68=LEER,  #N/A,  'i1'!CI68  )</f>
        <v>6405.83</v>
      </c>
      <c r="BR68" s="24">
        <f xml:space="preserve">    IF( 'i1'!CJ68=LEER,  #N/A,  'i1'!CJ68  )</f>
        <v>-1656.91</v>
      </c>
      <c r="BS68" s="24">
        <f xml:space="preserve">    IF( 'i1'!CK68=LEER,  #N/A,  'i1'!CK68  )</f>
        <v>-896.27</v>
      </c>
      <c r="BT68" s="38">
        <f xml:space="preserve">    IF( 'i1'!CH68=LEER,  #N/A,  'i1'!CH68  )</f>
        <v>3852.4304390000002</v>
      </c>
      <c r="BV68" s="24">
        <f xml:space="preserve">    IF( 'i1'!CO68=LEER,  #N/A,  'i1'!CO68  )</f>
        <v>6405.83</v>
      </c>
      <c r="BW68" s="24">
        <f xml:space="preserve">    IF( 'i1'!CP68=LEER,  #N/A,  'i1'!CP68  )</f>
        <v>-1618.27</v>
      </c>
      <c r="BX68" s="24">
        <f xml:space="preserve">    IF( 'i1'!CQ68=LEER,  #N/A,  'i1'!CQ68  )</f>
        <v>-888.79</v>
      </c>
      <c r="BY68" s="38">
        <f xml:space="preserve">    IF( 'i1'!CN68=LEER,  #N/A,  'i1'!CN68  )</f>
        <v>3898.5573770000001</v>
      </c>
      <c r="CD68" s="113" t="e">
        <f xml:space="preserve"> IF(  AND( $A68&lt;&gt;$CD$14, OR( 'i1'!EO68=LEER, 'i1'!EM68&lt;&gt;LEER ) ), #N/A, 'i1'!EO68 )</f>
        <v>#N/A</v>
      </c>
      <c r="CE68" s="113">
        <f xml:space="preserve"> IF(   'i1'!EM68=LEER, #N/A,  'i1'!EM68 )</f>
        <v>31964.01</v>
      </c>
      <c r="CF68" s="114">
        <f xml:space="preserve"> IF(   'i1'!EL68=LEER, #N/A, 'i1'!EL68 + 'i1'!EM68 )</f>
        <v>83164.399999999994</v>
      </c>
      <c r="CW68" s="104">
        <f xml:space="preserve"> 'i1'!FN68</f>
        <v>68</v>
      </c>
      <c r="CX68" s="106">
        <f xml:space="preserve"> IF(  INDEX( 'i1'!$FS68:$JO68, CX$13 ) = LEER,  #N/A,  INDEX( 'i1'!$FS68:$JO68, CX$13 )  )</f>
        <v>105224.76</v>
      </c>
      <c r="CY68" s="106">
        <f xml:space="preserve"> IF(  INDEX( 'i1'!$FS68:$JO68, CY$13 ) = LEER,  #N/A,  INDEX( 'i1'!$FS68:$JO68, CY$13 )  )</f>
        <v>98470.080000000002</v>
      </c>
      <c r="CZ68" s="106">
        <f xml:space="preserve"> IF(  INDEX( 'i1'!$FS68:$JO68, CZ$13 ) = LEER,  #N/A,  INDEX( 'i1'!$FS68:$JO68, CZ$13 )  )</f>
        <v>91170.2</v>
      </c>
      <c r="DA68" s="106">
        <f xml:space="preserve"> IF(  INDEX( 'i1'!$FS68:$JO68, DA$13 ) = LEER,  #N/A,  INDEX( 'i1'!$FS68:$JO68, DA$13 )  )</f>
        <v>83158.61</v>
      </c>
      <c r="DB68" s="106">
        <f xml:space="preserve"> IF(  INDEX( 'i1'!$FS68:$JO68, DB$13 ) = LEER,  #N/A,  INDEX( 'i1'!$FS68:$JO68, DB$13 )  )</f>
        <v>74190.460000000006</v>
      </c>
      <c r="DC68" s="106">
        <f xml:space="preserve"> IF(  INDEX( 'i1'!$FS68:$JO68, DC$13 ) = LEER,  #N/A,  INDEX( 'i1'!$FS68:$JO68, DC$13 )  )</f>
        <v>63596.480000000003</v>
      </c>
      <c r="DD68" s="106">
        <f xml:space="preserve"> IF(  INDEX( 'i1'!$FS68:$JO68, DD$13 ) = LEER,  #N/A,  INDEX( 'i1'!$FS68:$JO68, DD$13 )  )</f>
        <v>51200.39</v>
      </c>
      <c r="DE68" s="106">
        <f xml:space="preserve"> IF(  INDEX( 'i1'!$FS68:$JO68, DE$13 ) = LEER,  #N/A,  INDEX( 'i1'!$FS68:$JO68, DE$13 )  )</f>
        <v>37518.01</v>
      </c>
      <c r="DF68" s="106">
        <f xml:space="preserve"> IF(  INDEX( 'i1'!$FS68:$JO68, DF$13 ) = LEER,  #N/A,  INDEX( 'i1'!$FS68:$JO68, DF$13 )  )</f>
        <v>22947.62</v>
      </c>
      <c r="DG68" s="106">
        <f xml:space="preserve"> IF(  INDEX( 'i1'!$FS68:$JO68, DG$13 ) = LEER,  #N/A,  INDEX( 'i1'!$FS68:$JO68, DG$13 )  )</f>
        <v>7505.56</v>
      </c>
      <c r="DH68" s="106" t="e">
        <f xml:space="preserve"> IF(  INDEX( 'i1'!$FS68:$JO68, DH$13 ) = LEER,  #N/A,  INDEX( 'i1'!$FS68:$JO68, DH$13 )  )</f>
        <v>#N/A</v>
      </c>
      <c r="DI68" s="106" t="e">
        <f xml:space="preserve"> IF(  INDEX( 'i1'!$FS68:$JO68, DI$13 ) = LEER,  #N/A,  INDEX( 'i1'!$FS68:$JO68, DI$13 )  )</f>
        <v>#N/A</v>
      </c>
      <c r="DJ68" s="106" t="e">
        <f xml:space="preserve"> IF(  INDEX( 'i1'!$FS68:$JO68, DJ$13 ) = LEER,  #N/A,  INDEX( 'i1'!$FS68:$JO68, DJ$13 )  )</f>
        <v>#N/A</v>
      </c>
      <c r="DK68" s="106" t="e">
        <f xml:space="preserve"> IF(  INDEX( 'i1'!$FS68:$JO68, DK$13 ) = LEER,  #N/A,  INDEX( 'i1'!$FS68:$JO68, DK$13 )  )</f>
        <v>#N/A</v>
      </c>
      <c r="DL68" s="106" t="e">
        <f xml:space="preserve"> IF(  INDEX( 'i1'!$FS68:$JO68, DL$13 ) = LEER,  #N/A,  INDEX( 'i1'!$FS68:$JO68, DL$13 )  )</f>
        <v>#N/A</v>
      </c>
      <c r="DM68" s="106" t="e">
        <f xml:space="preserve"> IF(  INDEX( 'i1'!$FS68:$JO68, DM$13 ) = LEER,  #N/A,  INDEX( 'i1'!$FS68:$JO68, DM$13 )  )</f>
        <v>#N/A</v>
      </c>
      <c r="DN68" s="106" t="e">
        <f xml:space="preserve"> IF(  INDEX( 'i1'!$FS68:$JO68, DN$13 ) = LEER,  #N/A,  INDEX( 'i1'!$FS68:$JO68, DN$13 )  )</f>
        <v>#N/A</v>
      </c>
    </row>
    <row r="69" spans="1:118" x14ac:dyDescent="0.2">
      <c r="A69" s="15">
        <f xml:space="preserve"> Basis!A69</f>
        <v>69</v>
      </c>
      <c r="C69" s="24" t="b">
        <f xml:space="preserve"> 'i1'!$O69</f>
        <v>1</v>
      </c>
      <c r="D69" s="24" t="b">
        <f xml:space="preserve"> 'i2'!$O69</f>
        <v>1</v>
      </c>
      <c r="E69" s="24" t="b">
        <f xml:space="preserve"> 'i3'!$O69</f>
        <v>1</v>
      </c>
      <c r="G69" s="27">
        <f xml:space="preserve"> IF( $C70,   IF( 'i1'!$P69=LEER,  #N/A,  'i1'!$P69  ),   #N/A  )</f>
        <v>1.12E-2</v>
      </c>
      <c r="H69" s="27">
        <f xml:space="preserve"> IF( $D70,   IF( 'i2'!$P69=LEER,  #N/A,  'i2'!$P69  ),   #N/A  )</f>
        <v>1.12E-2</v>
      </c>
      <c r="I69" s="27">
        <f xml:space="preserve"> IF( $E70,   IF( 'i3'!$P69=LEER,  #N/A,  'i3'!$P69  ),   #N/A  )</f>
        <v>1.12E-2</v>
      </c>
      <c r="J69" s="158"/>
      <c r="K69" s="27">
        <f xml:space="preserve"> IF( $C70,   IF( 'i1'!$G69=LEER,  #N/A,  'i1'!$G69  ),   #N/A  )</f>
        <v>3.3E-3</v>
      </c>
      <c r="L69" s="27">
        <f xml:space="preserve"> IF( $D70,   IF( 'i2'!$G69=LEER,  #N/A,  'i2'!$G69  ),   #N/A  )</f>
        <v>3.3E-3</v>
      </c>
      <c r="M69" s="27">
        <f xml:space="preserve"> IF( $E70,   IF( 'i3'!$G69=LEER,  #N/A,  'i3'!$G69  ),   #N/A  )</f>
        <v>3.3E-3</v>
      </c>
      <c r="N69" s="158"/>
      <c r="O69" s="158"/>
      <c r="Q69" s="28">
        <f t="shared" si="35"/>
        <v>19.139574607681467</v>
      </c>
      <c r="R69" s="28">
        <f t="shared" si="36"/>
        <v>19.139574607681467</v>
      </c>
      <c r="S69" s="28">
        <f t="shared" si="37"/>
        <v>19.139574607681467</v>
      </c>
      <c r="U69" s="76">
        <f xml:space="preserve"> IF( $C68,   SUM('i1'!$R69),   #N/A  )</f>
        <v>486766</v>
      </c>
      <c r="V69" s="76">
        <f xml:space="preserve"> IF( $C68,   SUM('i2'!$R69),   #N/A  )</f>
        <v>486766</v>
      </c>
      <c r="W69" s="76">
        <f xml:space="preserve"> IF( $C68,   SUM('i3'!$R69),   #N/A  )</f>
        <v>486766</v>
      </c>
      <c r="Y69" s="33"/>
      <c r="Z69" s="22">
        <f xml:space="preserve"> IF( $C69,   IF( 'i1'!$J69=LEER,  #N/A,  'i1'!$J69  ),   #N/A  )</f>
        <v>3.23</v>
      </c>
      <c r="AA69" s="22">
        <f xml:space="preserve"> IF( $D69,   IF( 'i2'!$J69=LEER,  #N/A,  'i2'!$J69  ),   #N/A  )</f>
        <v>3.23</v>
      </c>
      <c r="AB69" s="22">
        <f xml:space="preserve"> IF( $E69,   IF( 'i3'!$J69=LEER,  #N/A,  'i3'!$J69  ),   #N/A  )</f>
        <v>3.23</v>
      </c>
      <c r="AC69" s="75"/>
      <c r="AD69" s="26">
        <f t="shared" si="39"/>
        <v>6711.2617</v>
      </c>
      <c r="AE69" s="26">
        <f t="shared" si="40"/>
        <v>6711.2617</v>
      </c>
      <c r="AF69" s="26">
        <f t="shared" si="41"/>
        <v>6711.2617</v>
      </c>
      <c r="AG69" s="23"/>
      <c r="AH69" s="24">
        <f xml:space="preserve">    IF(  'i1'!$AK69=LEER,  #N/A,  ROUND( 'i1'!$AK69, AH$15 )  )</f>
        <v>928.27</v>
      </c>
      <c r="AI69" s="24">
        <f xml:space="preserve">    IF(  'i2'!$AK69=LEER,  #N/A,  ROUND( 'i2'!$AK69, AI$15 )  )</f>
        <v>928.27</v>
      </c>
      <c r="AJ69" s="24">
        <f xml:space="preserve">    IF(  'i3'!$AK69=LEER,  #N/A,  ROUND( 'i3'!$AK69, AJ$15 )  )</f>
        <v>928.27</v>
      </c>
      <c r="AL69" s="102">
        <f t="shared" si="42"/>
        <v>928.27</v>
      </c>
      <c r="AO69" s="24">
        <f xml:space="preserve">    IF( 'i1'!$AN69=LEER,  #N/A,  'i1'!$AN69  )</f>
        <v>84282.12</v>
      </c>
      <c r="AP69" s="24">
        <f xml:space="preserve">    IF( 'i2'!$AN69=LEER,  #N/A,  'i2'!$AN69  )</f>
        <v>84282.12</v>
      </c>
      <c r="AQ69" s="24">
        <f xml:space="preserve">    IF( 'i3'!$AN69=LEER,  #N/A,  'i3'!$AN69  )</f>
        <v>84282.12</v>
      </c>
      <c r="AS69" s="24">
        <f xml:space="preserve">    IF( 'i1'!$AO69=LEER,  #N/A,  'i1'!$AO69  )</f>
        <v>83578.850000000006</v>
      </c>
      <c r="AT69" s="24">
        <f xml:space="preserve">    IF( 'i2'!$AO69=LEER,  #N/A,  'i2'!$AO69  )</f>
        <v>83578.850000000006</v>
      </c>
      <c r="AU69" s="24">
        <f xml:space="preserve">    IF( 'i3'!$AO69=LEER,  #N/A,  'i3'!$AO69  )</f>
        <v>83578.850000000006</v>
      </c>
      <c r="AW69" s="28">
        <f t="shared" si="38"/>
        <v>40.563299999999998</v>
      </c>
      <c r="AX69" s="28">
        <f t="shared" si="29"/>
        <v>40.563299999999998</v>
      </c>
      <c r="AY69" s="28">
        <f t="shared" si="30"/>
        <v>40.563299999999998</v>
      </c>
      <c r="BA69" s="28">
        <f t="shared" si="43"/>
        <v>40.224899999999998</v>
      </c>
      <c r="BB69" s="28">
        <f t="shared" si="44"/>
        <v>40.224899999999998</v>
      </c>
      <c r="BC69" s="28">
        <f t="shared" si="45"/>
        <v>40.224899999999998</v>
      </c>
      <c r="BG69" s="24">
        <f xml:space="preserve">    IF( 'i1'!BT69=LEER,  #N/A,  'i1'!BT69  )</f>
        <v>-2552.5500000000002</v>
      </c>
      <c r="BH69" s="24">
        <f xml:space="preserve">    IF( 'i1'!BR69=LEER,  #N/A,  'i1'!BR69  )</f>
        <v>83883.37</v>
      </c>
      <c r="BI69" s="111">
        <f t="shared" si="34"/>
        <v>81330.819999999992</v>
      </c>
      <c r="BJ69" s="24">
        <f xml:space="preserve">    IF( 'i1'!BX69=LEER,  #N/A,  'i1'!BX69  )</f>
        <v>2951.3000000000029</v>
      </c>
      <c r="BL69" s="24">
        <f xml:space="preserve">    IF( 'i1'!CB69=LEER,  #N/A,  'i1'!CB69  )</f>
        <v>-2930.3</v>
      </c>
      <c r="BM69" s="24">
        <f xml:space="preserve">    IF( 'i1'!CC69=LEER,  #N/A,  'i1'!CC69  )</f>
        <v>2107.0500000000002</v>
      </c>
      <c r="BN69" s="24">
        <f xml:space="preserve">    IF( 'i1'!CD69=LEER,  #N/A,  'i1'!CD69  )</f>
        <v>945.33</v>
      </c>
      <c r="BO69" s="24">
        <f xml:space="preserve">    IF( 'i1'!CE69=LEER,  #N/A,  'i1'!CE69  )</f>
        <v>122.08000000000004</v>
      </c>
      <c r="BQ69" s="24">
        <f xml:space="preserve">    IF( 'i1'!CI69=LEER,  #N/A,  'i1'!CI69  )</f>
        <v>6711.26</v>
      </c>
      <c r="BR69" s="24">
        <f xml:space="preserve">    IF( 'i1'!CJ69=LEER,  #N/A,  'i1'!CJ69  )</f>
        <v>-1936.46</v>
      </c>
      <c r="BS69" s="24">
        <f xml:space="preserve">    IF( 'i1'!CK69=LEER,  #N/A,  'i1'!CK69  )</f>
        <v>-922.27</v>
      </c>
      <c r="BT69" s="38">
        <f xml:space="preserve">    IF( 'i1'!CH69=LEER,  #N/A,  'i1'!CH69  )</f>
        <v>3852.4304390000002</v>
      </c>
      <c r="BV69" s="24">
        <f xml:space="preserve">    IF( 'i1'!CO69=LEER,  #N/A,  'i1'!CO69  )</f>
        <v>6711.26</v>
      </c>
      <c r="BW69" s="24">
        <f xml:space="preserve">    IF( 'i1'!CP69=LEER,  #N/A,  'i1'!CP69  )</f>
        <v>-1897.78</v>
      </c>
      <c r="BX69" s="24">
        <f xml:space="preserve">    IF( 'i1'!CQ69=LEER,  #N/A,  'i1'!CQ69  )</f>
        <v>-914.83</v>
      </c>
      <c r="BY69" s="38">
        <f xml:space="preserve">    IF( 'i1'!CN69=LEER,  #N/A,  'i1'!CN69  )</f>
        <v>3898.5573770000001</v>
      </c>
      <c r="CD69" s="113" t="e">
        <f xml:space="preserve"> IF(  AND( $A69&lt;&gt;$CD$14, OR( 'i1'!EO69=LEER, 'i1'!EM69&lt;&gt;LEER ) ), #N/A, 'i1'!EO69 )</f>
        <v>#N/A</v>
      </c>
      <c r="CE69" s="113">
        <f xml:space="preserve"> IF(   'i1'!EM69=LEER, #N/A,  'i1'!EM69 )</f>
        <v>31016.01</v>
      </c>
      <c r="CF69" s="114">
        <f xml:space="preserve"> IF(   'i1'!EL69=LEER, #N/A, 'i1'!EL69 + 'i1'!EM69 )</f>
        <v>83584.47</v>
      </c>
      <c r="CW69" s="104">
        <f xml:space="preserve"> 'i1'!FN69</f>
        <v>69</v>
      </c>
      <c r="CX69" s="106">
        <f xml:space="preserve"> IF(  INDEX( 'i1'!$FS69:$JO69, CX$13 ) = LEER,  #N/A,  INDEX( 'i1'!$FS69:$JO69, CX$13 )  )</f>
        <v>104990.57</v>
      </c>
      <c r="CY69" s="106">
        <f xml:space="preserve"> IF(  INDEX( 'i1'!$FS69:$JO69, CY$13 ) = LEER,  #N/A,  INDEX( 'i1'!$FS69:$JO69, CY$13 )  )</f>
        <v>98436.22</v>
      </c>
      <c r="CZ69" s="106">
        <f xml:space="preserve"> IF(  INDEX( 'i1'!$FS69:$JO69, CZ$13 ) = LEER,  #N/A,  INDEX( 'i1'!$FS69:$JO69, CZ$13 )  )</f>
        <v>91352.83</v>
      </c>
      <c r="DA69" s="106">
        <f xml:space="preserve"> IF(  INDEX( 'i1'!$FS69:$JO69, DA$13 ) = LEER,  #N/A,  INDEX( 'i1'!$FS69:$JO69, DA$13 )  )</f>
        <v>83578.850000000006</v>
      </c>
      <c r="DB69" s="106">
        <f xml:space="preserve"> IF(  INDEX( 'i1'!$FS69:$JO69, DB$13 ) = LEER,  #N/A,  INDEX( 'i1'!$FS69:$JO69, DB$13 )  )</f>
        <v>74876.679999999993</v>
      </c>
      <c r="DC69" s="106">
        <f xml:space="preserve"> IF(  INDEX( 'i1'!$FS69:$JO69, DC$13 ) = LEER,  #N/A,  INDEX( 'i1'!$FS69:$JO69, DC$13 )  )</f>
        <v>64596.91</v>
      </c>
      <c r="DD69" s="106">
        <f xml:space="preserve"> IF(  INDEX( 'i1'!$FS69:$JO69, DD$13 ) = LEER,  #N/A,  INDEX( 'i1'!$FS69:$JO69, DD$13 )  )</f>
        <v>52568.46</v>
      </c>
      <c r="DE69" s="106">
        <f xml:space="preserve"> IF(  INDEX( 'i1'!$FS69:$JO69, DE$13 ) = LEER,  #N/A,  INDEX( 'i1'!$FS69:$JO69, DE$13 )  )</f>
        <v>39291.870000000003</v>
      </c>
      <c r="DF69" s="106">
        <f xml:space="preserve"> IF(  INDEX( 'i1'!$FS69:$JO69, DF$13 ) = LEER,  #N/A,  INDEX( 'i1'!$FS69:$JO69, DF$13 )  )</f>
        <v>25153.61</v>
      </c>
      <c r="DG69" s="106">
        <f xml:space="preserve"> IF(  INDEX( 'i1'!$FS69:$JO69, DG$13 ) = LEER,  #N/A,  INDEX( 'i1'!$FS69:$JO69, DG$13 )  )</f>
        <v>10169.530000000001</v>
      </c>
      <c r="DH69" s="106" t="e">
        <f xml:space="preserve"> IF(  INDEX( 'i1'!$FS69:$JO69, DH$13 ) = LEER,  #N/A,  INDEX( 'i1'!$FS69:$JO69, DH$13 )  )</f>
        <v>#N/A</v>
      </c>
      <c r="DI69" s="106" t="e">
        <f xml:space="preserve"> IF(  INDEX( 'i1'!$FS69:$JO69, DI$13 ) = LEER,  #N/A,  INDEX( 'i1'!$FS69:$JO69, DI$13 )  )</f>
        <v>#N/A</v>
      </c>
      <c r="DJ69" s="106" t="e">
        <f xml:space="preserve"> IF(  INDEX( 'i1'!$FS69:$JO69, DJ$13 ) = LEER,  #N/A,  INDEX( 'i1'!$FS69:$JO69, DJ$13 )  )</f>
        <v>#N/A</v>
      </c>
      <c r="DK69" s="106" t="e">
        <f xml:space="preserve"> IF(  INDEX( 'i1'!$FS69:$JO69, DK$13 ) = LEER,  #N/A,  INDEX( 'i1'!$FS69:$JO69, DK$13 )  )</f>
        <v>#N/A</v>
      </c>
      <c r="DL69" s="106" t="e">
        <f xml:space="preserve"> IF(  INDEX( 'i1'!$FS69:$JO69, DL$13 ) = LEER,  #N/A,  INDEX( 'i1'!$FS69:$JO69, DL$13 )  )</f>
        <v>#N/A</v>
      </c>
      <c r="DM69" s="106" t="e">
        <f xml:space="preserve"> IF(  INDEX( 'i1'!$FS69:$JO69, DM$13 ) = LEER,  #N/A,  INDEX( 'i1'!$FS69:$JO69, DM$13 )  )</f>
        <v>#N/A</v>
      </c>
      <c r="DN69" s="106" t="e">
        <f xml:space="preserve"> IF(  INDEX( 'i1'!$FS69:$JO69, DN$13 ) = LEER,  #N/A,  INDEX( 'i1'!$FS69:$JO69, DN$13 )  )</f>
        <v>#N/A</v>
      </c>
    </row>
    <row r="70" spans="1:118" x14ac:dyDescent="0.2">
      <c r="A70" s="15">
        <f xml:space="preserve"> Basis!A70</f>
        <v>70</v>
      </c>
      <c r="C70" s="24" t="b">
        <f xml:space="preserve"> 'i1'!$O70</f>
        <v>1</v>
      </c>
      <c r="D70" s="24" t="b">
        <f xml:space="preserve"> 'i2'!$O70</f>
        <v>1</v>
      </c>
      <c r="E70" s="24" t="b">
        <f xml:space="preserve"> 'i3'!$O70</f>
        <v>1</v>
      </c>
      <c r="G70" s="27">
        <f xml:space="preserve"> IF( $C71,   IF( 'i1'!$P70=LEER,  #N/A,  'i1'!$P70  ),   #N/A  )</f>
        <v>1.1599999999999999E-2</v>
      </c>
      <c r="H70" s="27">
        <f xml:space="preserve"> IF( $D71,   IF( 'i2'!$P70=LEER,  #N/A,  'i2'!$P70  ),   #N/A  )</f>
        <v>1.1599999999999999E-2</v>
      </c>
      <c r="I70" s="27">
        <f xml:space="preserve"> IF( $E71,   IF( 'i3'!$P70=LEER,  #N/A,  'i3'!$P70  ),   #N/A  )</f>
        <v>1.1599999999999999E-2</v>
      </c>
      <c r="J70" s="158"/>
      <c r="K70" s="27">
        <f xml:space="preserve"> IF( $C71,   IF( 'i1'!$G70=LEER,  #N/A,  'i1'!$G70  ),   #N/A  )</f>
        <v>3.0000000000000001E-3</v>
      </c>
      <c r="L70" s="27">
        <f xml:space="preserve"> IF( $D71,   IF( 'i2'!$G70=LEER,  #N/A,  'i2'!$G70  ),   #N/A  )</f>
        <v>3.0000000000000001E-3</v>
      </c>
      <c r="M70" s="27">
        <f xml:space="preserve"> IF( $E71,   IF( 'i3'!$G70=LEER,  #N/A,  'i3'!$G70  ),   #N/A  )</f>
        <v>3.0000000000000001E-3</v>
      </c>
      <c r="N70" s="158"/>
      <c r="O70" s="158"/>
      <c r="Q70" s="28">
        <f t="shared" si="35"/>
        <v>18.350702475406013</v>
      </c>
      <c r="R70" s="28">
        <f t="shared" si="36"/>
        <v>18.350702475406013</v>
      </c>
      <c r="S70" s="28">
        <f t="shared" si="37"/>
        <v>18.350702475406013</v>
      </c>
      <c r="U70" s="76">
        <f xml:space="preserve"> IF( $C69,   SUM('i1'!$R70),   #N/A  )</f>
        <v>481314</v>
      </c>
      <c r="V70" s="76">
        <f xml:space="preserve"> IF( $C69,   SUM('i2'!$R70),   #N/A  )</f>
        <v>481314</v>
      </c>
      <c r="W70" s="76">
        <f xml:space="preserve"> IF( $C69,   SUM('i3'!$R70),   #N/A  )</f>
        <v>481314</v>
      </c>
      <c r="Y70" s="33"/>
      <c r="Z70" s="22">
        <f xml:space="preserve"> IF( $C70,   IF( 'i1'!$J70=LEER,  #N/A,  'i1'!$J70  ),   #N/A  )</f>
        <v>3.3809999999999998</v>
      </c>
      <c r="AA70" s="22">
        <f xml:space="preserve"> IF( $D70,   IF( 'i2'!$J70=LEER,  #N/A,  'i2'!$J70  ),   #N/A  )</f>
        <v>3.3809999999999998</v>
      </c>
      <c r="AB70" s="22">
        <f xml:space="preserve"> IF( $E70,   IF( 'i3'!$J70=LEER,  #N/A,  'i3'!$J70  ),   #N/A  )</f>
        <v>3.3809999999999998</v>
      </c>
      <c r="AC70" s="75"/>
      <c r="AD70" s="26">
        <f t="shared" si="39"/>
        <v>7025.0079899999992</v>
      </c>
      <c r="AE70" s="26">
        <f t="shared" si="40"/>
        <v>7025.0079899999992</v>
      </c>
      <c r="AF70" s="26">
        <f t="shared" si="41"/>
        <v>7025.0079899999992</v>
      </c>
      <c r="AG70" s="23"/>
      <c r="AH70" s="24">
        <f xml:space="preserve">    IF(  'i1'!$AK70=LEER,  #N/A,  ROUND( 'i1'!$AK70, AH$15 )  )</f>
        <v>942.94</v>
      </c>
      <c r="AI70" s="24">
        <f xml:space="preserve">    IF(  'i2'!$AK70=LEER,  #N/A,  ROUND( 'i2'!$AK70, AI$15 )  )</f>
        <v>942.94</v>
      </c>
      <c r="AJ70" s="24">
        <f xml:space="preserve">    IF(  'i3'!$AK70=LEER,  #N/A,  ROUND( 'i3'!$AK70, AJ$15 )  )</f>
        <v>942.94</v>
      </c>
      <c r="AL70" s="102">
        <f t="shared" si="42"/>
        <v>942.94</v>
      </c>
      <c r="AO70" s="24">
        <f xml:space="preserve">    IF( 'i1'!$AN70=LEER,  #N/A,  'i1'!$AN70  )</f>
        <v>84404.3</v>
      </c>
      <c r="AP70" s="24">
        <f xml:space="preserve">    IF( 'i2'!$AN70=LEER,  #N/A,  'i2'!$AN70  )</f>
        <v>84404.3</v>
      </c>
      <c r="AQ70" s="24">
        <f xml:space="preserve">    IF( 'i3'!$AN70=LEER,  #N/A,  'i3'!$AN70  )</f>
        <v>84404.3</v>
      </c>
      <c r="AS70" s="24">
        <f xml:space="preserve">    IF( 'i1'!$AO70=LEER,  #N/A,  'i1'!$AO70  )</f>
        <v>83723.100000000006</v>
      </c>
      <c r="AT70" s="24">
        <f xml:space="preserve">    IF( 'i2'!$AO70=LEER,  #N/A,  'i2'!$AO70  )</f>
        <v>83723.100000000006</v>
      </c>
      <c r="AU70" s="24">
        <f xml:space="preserve">    IF( 'i3'!$AO70=LEER,  #N/A,  'i3'!$AO70  )</f>
        <v>83723.100000000006</v>
      </c>
      <c r="AW70" s="28">
        <f t="shared" si="38"/>
        <v>40.622199999999999</v>
      </c>
      <c r="AX70" s="28">
        <f t="shared" si="29"/>
        <v>40.622199999999999</v>
      </c>
      <c r="AY70" s="28">
        <f t="shared" si="30"/>
        <v>40.622199999999999</v>
      </c>
      <c r="BA70" s="28">
        <f t="shared" si="43"/>
        <v>40.2943</v>
      </c>
      <c r="BB70" s="28">
        <f t="shared" si="44"/>
        <v>40.2943</v>
      </c>
      <c r="BC70" s="28">
        <f t="shared" si="45"/>
        <v>40.2943</v>
      </c>
      <c r="BG70" s="24">
        <f xml:space="preserve">    IF( 'i1'!BT70=LEER,  #N/A,  'i1'!BT70  )</f>
        <v>-2859.5</v>
      </c>
      <c r="BH70" s="24">
        <f xml:space="preserve">    IF( 'i1'!BR70=LEER,  #N/A,  'i1'!BR70  )</f>
        <v>84282.12</v>
      </c>
      <c r="BI70" s="111">
        <f t="shared" si="34"/>
        <v>81422.62</v>
      </c>
      <c r="BJ70" s="24">
        <f xml:space="preserve">    IF( 'i1'!BX70=LEER,  #N/A,  'i1'!BX70  )</f>
        <v>2981.6800000000076</v>
      </c>
      <c r="BL70" s="24">
        <f xml:space="preserve">    IF( 'i1'!CB70=LEER,  #N/A,  'i1'!CB70  )</f>
        <v>-3251.89</v>
      </c>
      <c r="BM70" s="24">
        <f xml:space="preserve">    IF( 'i1'!CC70=LEER,  #N/A,  'i1'!CC70  )</f>
        <v>2110.11</v>
      </c>
      <c r="BN70" s="24">
        <f xml:space="preserve">    IF( 'i1'!CD70=LEER,  #N/A,  'i1'!CD70  )</f>
        <v>977.18</v>
      </c>
      <c r="BO70" s="24">
        <f xml:space="preserve">    IF( 'i1'!CE70=LEER,  #N/A,  'i1'!CE70  )</f>
        <v>-164.5999999999998</v>
      </c>
      <c r="BQ70" s="24">
        <f xml:space="preserve">    IF( 'i1'!CI70=LEER,  #N/A,  'i1'!CI70  )</f>
        <v>7025.01</v>
      </c>
      <c r="BR70" s="24">
        <f xml:space="preserve">    IF( 'i1'!CJ70=LEER,  #N/A,  'i1'!CJ70  )</f>
        <v>-2219.0300000000002</v>
      </c>
      <c r="BS70" s="24">
        <f xml:space="preserve">    IF( 'i1'!CK70=LEER,  #N/A,  'i1'!CK70  )</f>
        <v>-953.35</v>
      </c>
      <c r="BT70" s="38">
        <f xml:space="preserve">    IF( 'i1'!CH70=LEER,  #N/A,  'i1'!CH70  )</f>
        <v>3852.4304390000002</v>
      </c>
      <c r="BV70" s="24">
        <f xml:space="preserve">    IF( 'i1'!CO70=LEER,  #N/A,  'i1'!CO70  )</f>
        <v>7025.01</v>
      </c>
      <c r="BW70" s="24">
        <f xml:space="preserve">    IF( 'i1'!CP70=LEER,  #N/A,  'i1'!CP70  )</f>
        <v>-2180.36</v>
      </c>
      <c r="BX70" s="24">
        <f xml:space="preserve">    IF( 'i1'!CQ70=LEER,  #N/A,  'i1'!CQ70  )</f>
        <v>-945.9</v>
      </c>
      <c r="BY70" s="38">
        <f xml:space="preserve">    IF( 'i1'!CN70=LEER,  #N/A,  'i1'!CN70  )</f>
        <v>3898.5573770000001</v>
      </c>
      <c r="CD70" s="113" t="e">
        <f xml:space="preserve"> IF(  AND( $A70&lt;&gt;$CD$14, OR( 'i1'!EO70=LEER, 'i1'!EM70&lt;&gt;LEER ) ), #N/A, 'i1'!EO70 )</f>
        <v>#N/A</v>
      </c>
      <c r="CE70" s="113">
        <f xml:space="preserve"> IF(   'i1'!EM70=LEER, #N/A,  'i1'!EM70 )</f>
        <v>30042.799999999999</v>
      </c>
      <c r="CF70" s="114">
        <f xml:space="preserve"> IF(   'i1'!EL70=LEER, #N/A, 'i1'!EL70 + 'i1'!EM70 )</f>
        <v>83728.539999999994</v>
      </c>
      <c r="CW70" s="104">
        <f xml:space="preserve"> 'i1'!FN70</f>
        <v>70</v>
      </c>
      <c r="CX70" s="106">
        <f xml:space="preserve"> IF(  INDEX( 'i1'!$FS70:$JO70, CX$13 ) = LEER,  #N/A,  INDEX( 'i1'!$FS70:$JO70, CX$13 )  )</f>
        <v>104462.96</v>
      </c>
      <c r="CY70" s="106">
        <f xml:space="preserve"> IF(  INDEX( 'i1'!$FS70:$JO70, CY$13 ) = LEER,  #N/A,  INDEX( 'i1'!$FS70:$JO70, CY$13 )  )</f>
        <v>98114.27</v>
      </c>
      <c r="CZ70" s="106">
        <f xml:space="preserve"> IF(  INDEX( 'i1'!$FS70:$JO70, CZ$13 ) = LEER,  #N/A,  INDEX( 'i1'!$FS70:$JO70, CZ$13 )  )</f>
        <v>91253.15</v>
      </c>
      <c r="DA70" s="106">
        <f xml:space="preserve"> IF(  INDEX( 'i1'!$FS70:$JO70, DA$13 ) = LEER,  #N/A,  INDEX( 'i1'!$FS70:$JO70, DA$13 )  )</f>
        <v>83723.100000000006</v>
      </c>
      <c r="DB70" s="106">
        <f xml:space="preserve"> IF(  INDEX( 'i1'!$FS70:$JO70, DB$13 ) = LEER,  #N/A,  INDEX( 'i1'!$FS70:$JO70, DB$13 )  )</f>
        <v>75293.98</v>
      </c>
      <c r="DC70" s="106">
        <f xml:space="preserve"> IF(  INDEX( 'i1'!$FS70:$JO70, DC$13 ) = LEER,  #N/A,  INDEX( 'i1'!$FS70:$JO70, DC$13 )  )</f>
        <v>65336.76</v>
      </c>
      <c r="DD70" s="106">
        <f xml:space="preserve"> IF(  INDEX( 'i1'!$FS70:$JO70, DD$13 ) = LEER,  #N/A,  INDEX( 'i1'!$FS70:$JO70, DD$13 )  )</f>
        <v>53685.74</v>
      </c>
      <c r="DE70" s="106">
        <f xml:space="preserve"> IF(  INDEX( 'i1'!$FS70:$JO70, DE$13 ) = LEER,  #N/A,  INDEX( 'i1'!$FS70:$JO70, DE$13 )  )</f>
        <v>40825.74</v>
      </c>
      <c r="DF70" s="106">
        <f xml:space="preserve"> IF(  INDEX( 'i1'!$FS70:$JO70, DF$13 ) = LEER,  #N/A,  INDEX( 'i1'!$FS70:$JO70, DF$13 )  )</f>
        <v>27131.119999999999</v>
      </c>
      <c r="DG70" s="106">
        <f xml:space="preserve"> IF(  INDEX( 'i1'!$FS70:$JO70, DG$13 ) = LEER,  #N/A,  INDEX( 'i1'!$FS70:$JO70, DG$13 )  )</f>
        <v>12617.2</v>
      </c>
      <c r="DH70" s="106">
        <f xml:space="preserve"> IF(  INDEX( 'i1'!$FS70:$JO70, DH$13 ) = LEER,  #N/A,  INDEX( 'i1'!$FS70:$JO70, DH$13 )  )</f>
        <v>-1408.82</v>
      </c>
      <c r="DI70" s="106" t="e">
        <f xml:space="preserve"> IF(  INDEX( 'i1'!$FS70:$JO70, DI$13 ) = LEER,  #N/A,  INDEX( 'i1'!$FS70:$JO70, DI$13 )  )</f>
        <v>#N/A</v>
      </c>
      <c r="DJ70" s="106" t="e">
        <f xml:space="preserve"> IF(  INDEX( 'i1'!$FS70:$JO70, DJ$13 ) = LEER,  #N/A,  INDEX( 'i1'!$FS70:$JO70, DJ$13 )  )</f>
        <v>#N/A</v>
      </c>
      <c r="DK70" s="106" t="e">
        <f xml:space="preserve"> IF(  INDEX( 'i1'!$FS70:$JO70, DK$13 ) = LEER,  #N/A,  INDEX( 'i1'!$FS70:$JO70, DK$13 )  )</f>
        <v>#N/A</v>
      </c>
      <c r="DL70" s="106" t="e">
        <f xml:space="preserve"> IF(  INDEX( 'i1'!$FS70:$JO70, DL$13 ) = LEER,  #N/A,  INDEX( 'i1'!$FS70:$JO70, DL$13 )  )</f>
        <v>#N/A</v>
      </c>
      <c r="DM70" s="106" t="e">
        <f xml:space="preserve"> IF(  INDEX( 'i1'!$FS70:$JO70, DM$13 ) = LEER,  #N/A,  INDEX( 'i1'!$FS70:$JO70, DM$13 )  )</f>
        <v>#N/A</v>
      </c>
      <c r="DN70" s="106" t="e">
        <f xml:space="preserve"> IF(  INDEX( 'i1'!$FS70:$JO70, DN$13 ) = LEER,  #N/A,  INDEX( 'i1'!$FS70:$JO70, DN$13 )  )</f>
        <v>#N/A</v>
      </c>
    </row>
    <row r="71" spans="1:118" x14ac:dyDescent="0.2">
      <c r="A71" s="15">
        <f xml:space="preserve"> Basis!A71</f>
        <v>71</v>
      </c>
      <c r="C71" s="24" t="b">
        <f xml:space="preserve"> 'i1'!$O71</f>
        <v>1</v>
      </c>
      <c r="D71" s="24" t="b">
        <f xml:space="preserve"> 'i2'!$O71</f>
        <v>1</v>
      </c>
      <c r="E71" s="24" t="b">
        <f xml:space="preserve"> 'i3'!$O71</f>
        <v>1</v>
      </c>
      <c r="G71" s="27">
        <f xml:space="preserve"> IF( $C72,   IF( 'i1'!$P71=LEER,  #N/A,  'i1'!$P71  ),   #N/A  )</f>
        <v>1.2200000000000001E-2</v>
      </c>
      <c r="H71" s="27">
        <f xml:space="preserve"> IF( $D72,   IF( 'i2'!$P71=LEER,  #N/A,  'i2'!$P71  ),   #N/A  )</f>
        <v>1.2200000000000001E-2</v>
      </c>
      <c r="I71" s="27">
        <f xml:space="preserve"> IF( $E72,   IF( 'i3'!$P71=LEER,  #N/A,  'i3'!$P71  ),   #N/A  )</f>
        <v>1.2200000000000001E-2</v>
      </c>
      <c r="J71" s="158"/>
      <c r="K71" s="27">
        <f xml:space="preserve"> IF( $C72,   IF( 'i1'!$G71=LEER,  #N/A,  'i1'!$G71  ),   #N/A  )</f>
        <v>2.8E-3</v>
      </c>
      <c r="L71" s="27">
        <f xml:space="preserve"> IF( $D72,   IF( 'i2'!$G71=LEER,  #N/A,  'i2'!$G71  ),   #N/A  )</f>
        <v>2.8E-3</v>
      </c>
      <c r="M71" s="27">
        <f xml:space="preserve"> IF( $E72,   IF( 'i3'!$G71=LEER,  #N/A,  'i3'!$G71  ),   #N/A  )</f>
        <v>2.8E-3</v>
      </c>
      <c r="N71" s="158"/>
      <c r="O71" s="158"/>
      <c r="Q71" s="28">
        <f t="shared" si="35"/>
        <v>17.560200804741008</v>
      </c>
      <c r="R71" s="28">
        <f t="shared" si="36"/>
        <v>17.560200804741008</v>
      </c>
      <c r="S71" s="28">
        <f t="shared" si="37"/>
        <v>17.560200804741008</v>
      </c>
      <c r="U71" s="76">
        <f xml:space="preserve"> IF( $C70,   SUM('i1'!$R71),   #N/A  )</f>
        <v>475730</v>
      </c>
      <c r="V71" s="76">
        <f xml:space="preserve"> IF( $C70,   SUM('i2'!$R71),   #N/A  )</f>
        <v>475730</v>
      </c>
      <c r="W71" s="76">
        <f xml:space="preserve"> IF( $C70,   SUM('i3'!$R71),   #N/A  )</f>
        <v>475730</v>
      </c>
      <c r="Y71" s="33"/>
      <c r="Z71" s="22">
        <f xml:space="preserve"> IF( $C71,   IF( 'i1'!$J71=LEER,  #N/A,  'i1'!$J71  ),   #N/A  )</f>
        <v>3.5369999999999999</v>
      </c>
      <c r="AA71" s="22">
        <f xml:space="preserve"> IF( $D71,   IF( 'i2'!$J71=LEER,  #N/A,  'i2'!$J71  ),   #N/A  )</f>
        <v>3.5369999999999999</v>
      </c>
      <c r="AB71" s="22">
        <f xml:space="preserve"> IF( $E71,   IF( 'i3'!$J71=LEER,  #N/A,  'i3'!$J71  ),   #N/A  )</f>
        <v>3.5369999999999999</v>
      </c>
      <c r="AC71" s="75"/>
      <c r="AD71" s="26">
        <f t="shared" si="39"/>
        <v>7349.1432299999997</v>
      </c>
      <c r="AE71" s="26">
        <f t="shared" si="40"/>
        <v>7349.1432299999997</v>
      </c>
      <c r="AF71" s="26">
        <f t="shared" si="41"/>
        <v>7349.1432299999997</v>
      </c>
      <c r="AG71" s="23"/>
      <c r="AH71" s="24">
        <f xml:space="preserve">    IF(  'i1'!$AK71=LEER,  #N/A,  ROUND( 'i1'!$AK71, AH$15 )  )</f>
        <v>957.17</v>
      </c>
      <c r="AI71" s="24">
        <f xml:space="preserve">    IF(  'i2'!$AK71=LEER,  #N/A,  ROUND( 'i2'!$AK71, AI$15 )  )</f>
        <v>957.17</v>
      </c>
      <c r="AJ71" s="24">
        <f xml:space="preserve">    IF(  'i3'!$AK71=LEER,  #N/A,  ROUND( 'i3'!$AK71, AJ$15 )  )</f>
        <v>957.17</v>
      </c>
      <c r="AL71" s="102">
        <f t="shared" si="42"/>
        <v>957.17</v>
      </c>
      <c r="AO71" s="24">
        <f xml:space="preserve">    IF( 'i1'!$AN71=LEER,  #N/A,  'i1'!$AN71  )</f>
        <v>84239.9</v>
      </c>
      <c r="AP71" s="24">
        <f xml:space="preserve">    IF( 'i2'!$AN71=LEER,  #N/A,  'i2'!$AN71  )</f>
        <v>84239.9</v>
      </c>
      <c r="AQ71" s="24">
        <f xml:space="preserve">    IF( 'i3'!$AN71=LEER,  #N/A,  'i3'!$AN71  )</f>
        <v>84239.9</v>
      </c>
      <c r="AS71" s="24">
        <f xml:space="preserve">    IF( 'i1'!$AO71=LEER,  #N/A,  'i1'!$AO71  )</f>
        <v>83581.31</v>
      </c>
      <c r="AT71" s="24">
        <f xml:space="preserve">    IF( 'i2'!$AO71=LEER,  #N/A,  'i2'!$AO71  )</f>
        <v>83581.31</v>
      </c>
      <c r="AU71" s="24">
        <f xml:space="preserve">    IF( 'i3'!$AO71=LEER,  #N/A,  'i3'!$AO71  )</f>
        <v>83581.31</v>
      </c>
      <c r="AW71" s="28">
        <f t="shared" si="38"/>
        <v>40.542999999999999</v>
      </c>
      <c r="AX71" s="28">
        <f t="shared" si="29"/>
        <v>40.542999999999999</v>
      </c>
      <c r="AY71" s="28">
        <f t="shared" si="30"/>
        <v>40.542999999999999</v>
      </c>
      <c r="BA71" s="28">
        <f t="shared" si="43"/>
        <v>40.226100000000002</v>
      </c>
      <c r="BB71" s="28">
        <f t="shared" si="44"/>
        <v>40.226100000000002</v>
      </c>
      <c r="BC71" s="28">
        <f t="shared" si="45"/>
        <v>40.226100000000002</v>
      </c>
      <c r="BG71" s="24">
        <f xml:space="preserve">    IF( 'i1'!BT71=LEER,  #N/A,  'i1'!BT71  )</f>
        <v>-3172.36</v>
      </c>
      <c r="BH71" s="24">
        <f xml:space="preserve">    IF( 'i1'!BR71=LEER,  #N/A,  'i1'!BR71  )</f>
        <v>84404.3</v>
      </c>
      <c r="BI71" s="111">
        <f t="shared" si="34"/>
        <v>81231.94</v>
      </c>
      <c r="BJ71" s="24">
        <f xml:space="preserve">    IF( 'i1'!BX71=LEER,  #N/A,  'i1'!BX71  )</f>
        <v>3007.9599999999919</v>
      </c>
      <c r="BL71" s="24">
        <f xml:space="preserve">    IF( 'i1'!CB71=LEER,  #N/A,  'i1'!CB71  )</f>
        <v>-3584.13</v>
      </c>
      <c r="BM71" s="24">
        <f xml:space="preserve">    IF( 'i1'!CC71=LEER,  #N/A,  'i1'!CC71  )</f>
        <v>2106</v>
      </c>
      <c r="BN71" s="24">
        <f xml:space="preserve">    IF( 'i1'!CD71=LEER,  #N/A,  'i1'!CD71  )</f>
        <v>1022.16</v>
      </c>
      <c r="BO71" s="24">
        <f xml:space="preserve">    IF( 'i1'!CE71=LEER,  #N/A,  'i1'!CE71  )</f>
        <v>-455.97000000000014</v>
      </c>
      <c r="BQ71" s="24">
        <f xml:space="preserve">    IF( 'i1'!CI71=LEER,  #N/A,  'i1'!CI71  )</f>
        <v>7349.14</v>
      </c>
      <c r="BR71" s="24">
        <f xml:space="preserve">    IF( 'i1'!CJ71=LEER,  #N/A,  'i1'!CJ71  )</f>
        <v>-2499.65</v>
      </c>
      <c r="BS71" s="24">
        <f xml:space="preserve">    IF( 'i1'!CK71=LEER,  #N/A,  'i1'!CK71  )</f>
        <v>-997.23</v>
      </c>
      <c r="BT71" s="38">
        <f xml:space="preserve">    IF( 'i1'!CH71=LEER,  #N/A,  'i1'!CH71  )</f>
        <v>3852.4304390000002</v>
      </c>
      <c r="BV71" s="24">
        <f xml:space="preserve">    IF( 'i1'!CO71=LEER,  #N/A,  'i1'!CO71  )</f>
        <v>7349.14</v>
      </c>
      <c r="BW71" s="24">
        <f xml:space="preserve">    IF( 'i1'!CP71=LEER,  #N/A,  'i1'!CP71  )</f>
        <v>-2461.1</v>
      </c>
      <c r="BX71" s="24">
        <f xml:space="preserve">    IF( 'i1'!CQ71=LEER,  #N/A,  'i1'!CQ71  )</f>
        <v>-989.67</v>
      </c>
      <c r="BY71" s="38">
        <f xml:space="preserve">    IF( 'i1'!CN71=LEER,  #N/A,  'i1'!CN71  )</f>
        <v>3898.5573770000001</v>
      </c>
      <c r="CD71" s="113" t="e">
        <f xml:space="preserve"> IF(  AND( $A71&lt;&gt;$CD$14, OR( 'i1'!EO71=LEER, 'i1'!EM71&lt;&gt;LEER ) ), #N/A, 'i1'!EO71 )</f>
        <v>#N/A</v>
      </c>
      <c r="CE71" s="113">
        <f xml:space="preserve"> IF(   'i1'!EM71=LEER, #N/A,  'i1'!EM71 )</f>
        <v>29045.57</v>
      </c>
      <c r="CF71" s="114">
        <f xml:space="preserve"> IF(   'i1'!EL71=LEER, #N/A, 'i1'!EL71 + 'i1'!EM71 )</f>
        <v>83586.570000000007</v>
      </c>
      <c r="CW71" s="104">
        <f xml:space="preserve"> 'i1'!FN71</f>
        <v>71</v>
      </c>
      <c r="CX71" s="106">
        <f xml:space="preserve"> IF(  INDEX( 'i1'!$FS71:$JO71, CX$13 ) = LEER,  #N/A,  INDEX( 'i1'!$FS71:$JO71, CX$13 )  )</f>
        <v>103632.75</v>
      </c>
      <c r="CY71" s="106">
        <f xml:space="preserve"> IF(  INDEX( 'i1'!$FS71:$JO71, CY$13 ) = LEER,  #N/A,  INDEX( 'i1'!$FS71:$JO71, CY$13 )  )</f>
        <v>97494.79</v>
      </c>
      <c r="CZ71" s="106">
        <f xml:space="preserve"> IF(  INDEX( 'i1'!$FS71:$JO71, CZ$13 ) = LEER,  #N/A,  INDEX( 'i1'!$FS71:$JO71, CZ$13 )  )</f>
        <v>90861.42</v>
      </c>
      <c r="DA71" s="106">
        <f xml:space="preserve"> IF(  INDEX( 'i1'!$FS71:$JO71, DA$13 ) = LEER,  #N/A,  INDEX( 'i1'!$FS71:$JO71, DA$13 )  )</f>
        <v>83581.31</v>
      </c>
      <c r="DB71" s="106">
        <f xml:space="preserve"> IF(  INDEX( 'i1'!$FS71:$JO71, DB$13 ) = LEER,  #N/A,  INDEX( 'i1'!$FS71:$JO71, DB$13 )  )</f>
        <v>75431.990000000005</v>
      </c>
      <c r="DC71" s="106">
        <f xml:space="preserve"> IF(  INDEX( 'i1'!$FS71:$JO71, DC$13 ) = LEER,  #N/A,  INDEX( 'i1'!$FS71:$JO71, DC$13 )  )</f>
        <v>65805.279999999999</v>
      </c>
      <c r="DD71" s="106">
        <f xml:space="preserve"> IF(  INDEX( 'i1'!$FS71:$JO71, DD$13 ) = LEER,  #N/A,  INDEX( 'i1'!$FS71:$JO71, DD$13 )  )</f>
        <v>54541</v>
      </c>
      <c r="DE71" s="106">
        <f xml:space="preserve"> IF(  INDEX( 'i1'!$FS71:$JO71, DE$13 ) = LEER,  #N/A,  INDEX( 'i1'!$FS71:$JO71, DE$13 )  )</f>
        <v>42107.87</v>
      </c>
      <c r="DF71" s="106">
        <f xml:space="preserve"> IF(  INDEX( 'i1'!$FS71:$JO71, DF$13 ) = LEER,  #N/A,  INDEX( 'i1'!$FS71:$JO71, DF$13 )  )</f>
        <v>28867.81</v>
      </c>
      <c r="DG71" s="106">
        <f xml:space="preserve"> IF(  INDEX( 'i1'!$FS71:$JO71, DG$13 ) = LEER,  #N/A,  INDEX( 'i1'!$FS71:$JO71, DG$13 )  )</f>
        <v>14835.67</v>
      </c>
      <c r="DH71" s="106">
        <f xml:space="preserve"> IF(  INDEX( 'i1'!$FS71:$JO71, DH$13 ) = LEER,  #N/A,  INDEX( 'i1'!$FS71:$JO71, DH$13 )  )</f>
        <v>1275.21</v>
      </c>
      <c r="DI71" s="106" t="e">
        <f xml:space="preserve"> IF(  INDEX( 'i1'!$FS71:$JO71, DI$13 ) = LEER,  #N/A,  INDEX( 'i1'!$FS71:$JO71, DI$13 )  )</f>
        <v>#N/A</v>
      </c>
      <c r="DJ71" s="106" t="e">
        <f xml:space="preserve"> IF(  INDEX( 'i1'!$FS71:$JO71, DJ$13 ) = LEER,  #N/A,  INDEX( 'i1'!$FS71:$JO71, DJ$13 )  )</f>
        <v>#N/A</v>
      </c>
      <c r="DK71" s="106" t="e">
        <f xml:space="preserve"> IF(  INDEX( 'i1'!$FS71:$JO71, DK$13 ) = LEER,  #N/A,  INDEX( 'i1'!$FS71:$JO71, DK$13 )  )</f>
        <v>#N/A</v>
      </c>
      <c r="DL71" s="106" t="e">
        <f xml:space="preserve"> IF(  INDEX( 'i1'!$FS71:$JO71, DL$13 ) = LEER,  #N/A,  INDEX( 'i1'!$FS71:$JO71, DL$13 )  )</f>
        <v>#N/A</v>
      </c>
      <c r="DM71" s="106" t="e">
        <f xml:space="preserve"> IF(  INDEX( 'i1'!$FS71:$JO71, DM$13 ) = LEER,  #N/A,  INDEX( 'i1'!$FS71:$JO71, DM$13 )  )</f>
        <v>#N/A</v>
      </c>
      <c r="DN71" s="106" t="e">
        <f xml:space="preserve"> IF(  INDEX( 'i1'!$FS71:$JO71, DN$13 ) = LEER,  #N/A,  INDEX( 'i1'!$FS71:$JO71, DN$13 )  )</f>
        <v>#N/A</v>
      </c>
    </row>
    <row r="72" spans="1:118" x14ac:dyDescent="0.2">
      <c r="A72" s="15">
        <f xml:space="preserve"> Basis!A72</f>
        <v>72</v>
      </c>
      <c r="C72" s="24" t="b">
        <f xml:space="preserve"> 'i1'!$O72</f>
        <v>1</v>
      </c>
      <c r="D72" s="24" t="b">
        <f xml:space="preserve"> 'i2'!$O72</f>
        <v>1</v>
      </c>
      <c r="E72" s="24" t="b">
        <f xml:space="preserve"> 'i3'!$O72</f>
        <v>1</v>
      </c>
      <c r="G72" s="27">
        <f xml:space="preserve"> IF( $C73,   IF( 'i1'!$P72=LEER,  #N/A,  'i1'!$P72  ),   #N/A  )</f>
        <v>1.3100000000000001E-2</v>
      </c>
      <c r="H72" s="27">
        <f xml:space="preserve"> IF( $D73,   IF( 'i2'!$P72=LEER,  #N/A,  'i2'!$P72  ),   #N/A  )</f>
        <v>1.3100000000000001E-2</v>
      </c>
      <c r="I72" s="27">
        <f xml:space="preserve"> IF( $E73,   IF( 'i3'!$P72=LEER,  #N/A,  'i3'!$P72  ),   #N/A  )</f>
        <v>1.3100000000000001E-2</v>
      </c>
      <c r="J72" s="158"/>
      <c r="K72" s="27">
        <f xml:space="preserve"> IF( $C73,   IF( 'i1'!$G72=LEER,  #N/A,  'i1'!$G72  ),   #N/A  )</f>
        <v>2.7000000000000001E-3</v>
      </c>
      <c r="L72" s="27">
        <f xml:space="preserve"> IF( $D73,   IF( 'i2'!$G72=LEER,  #N/A,  'i2'!$G72  ),   #N/A  )</f>
        <v>2.7000000000000001E-3</v>
      </c>
      <c r="M72" s="27">
        <f xml:space="preserve"> IF( $E73,   IF( 'i3'!$G72=LEER,  #N/A,  'i3'!$G72  ),   #N/A  )</f>
        <v>2.7000000000000001E-3</v>
      </c>
      <c r="N72" s="158"/>
      <c r="O72" s="158"/>
      <c r="Q72" s="28">
        <f t="shared" si="35"/>
        <v>16.770905856186484</v>
      </c>
      <c r="R72" s="28">
        <f t="shared" si="36"/>
        <v>16.770905856186484</v>
      </c>
      <c r="S72" s="28">
        <f t="shared" si="37"/>
        <v>16.770905856186484</v>
      </c>
      <c r="U72" s="76">
        <f xml:space="preserve"> IF( $C71,   SUM('i1'!$R72),   #N/A  )</f>
        <v>469926</v>
      </c>
      <c r="V72" s="76">
        <f xml:space="preserve"> IF( $C71,   SUM('i2'!$R72),   #N/A  )</f>
        <v>469926</v>
      </c>
      <c r="W72" s="76">
        <f xml:space="preserve"> IF( $C71,   SUM('i3'!$R72),   #N/A  )</f>
        <v>469926</v>
      </c>
      <c r="Y72" s="33"/>
      <c r="Z72" s="22">
        <f xml:space="preserve"> IF( $C72,   IF( 'i1'!$J72=LEER,  #N/A,  'i1'!$J72  ),   #N/A  )</f>
        <v>3.6949999999999998</v>
      </c>
      <c r="AA72" s="22">
        <f xml:space="preserve"> IF( $D72,   IF( 'i2'!$J72=LEER,  #N/A,  'i2'!$J72  ),   #N/A  )</f>
        <v>3.6949999999999998</v>
      </c>
      <c r="AB72" s="22">
        <f xml:space="preserve"> IF( $E72,   IF( 'i3'!$J72=LEER,  #N/A,  'i3'!$J72  ),   #N/A  )</f>
        <v>3.6949999999999998</v>
      </c>
      <c r="AC72" s="75"/>
      <c r="AD72" s="26">
        <f t="shared" si="39"/>
        <v>7677.4340499999998</v>
      </c>
      <c r="AE72" s="26">
        <f t="shared" si="40"/>
        <v>7677.4340499999998</v>
      </c>
      <c r="AF72" s="26">
        <f t="shared" si="41"/>
        <v>7677.4340499999998</v>
      </c>
      <c r="AG72" s="23"/>
      <c r="AH72" s="24">
        <f xml:space="preserve">    IF(  'i1'!$AK72=LEER,  #N/A,  ROUND( 'i1'!$AK72, AH$15 )  )</f>
        <v>970.8</v>
      </c>
      <c r="AI72" s="24">
        <f xml:space="preserve">    IF(  'i2'!$AK72=LEER,  #N/A,  ROUND( 'i2'!$AK72, AI$15 )  )</f>
        <v>970.8</v>
      </c>
      <c r="AJ72" s="24">
        <f xml:space="preserve">    IF(  'i3'!$AK72=LEER,  #N/A,  ROUND( 'i3'!$AK72, AJ$15 )  )</f>
        <v>970.8</v>
      </c>
      <c r="AL72" s="102">
        <f t="shared" si="42"/>
        <v>970.8</v>
      </c>
      <c r="AO72" s="24">
        <f xml:space="preserve">    IF( 'i1'!$AN72=LEER,  #N/A,  'i1'!$AN72  )</f>
        <v>83783.759999999995</v>
      </c>
      <c r="AP72" s="24">
        <f xml:space="preserve">    IF( 'i2'!$AN72=LEER,  #N/A,  'i2'!$AN72  )</f>
        <v>83783.759999999995</v>
      </c>
      <c r="AQ72" s="24">
        <f xml:space="preserve">    IF( 'i3'!$AN72=LEER,  #N/A,  'i3'!$AN72  )</f>
        <v>83783.759999999995</v>
      </c>
      <c r="AS72" s="24">
        <f xml:space="preserve">    IF( 'i1'!$AO72=LEER,  #N/A,  'i1'!$AO72  )</f>
        <v>83148.22</v>
      </c>
      <c r="AT72" s="24">
        <f xml:space="preserve">    IF( 'i2'!$AO72=LEER,  #N/A,  'i2'!$AO72  )</f>
        <v>83148.22</v>
      </c>
      <c r="AU72" s="24">
        <f xml:space="preserve">    IF( 'i3'!$AO72=LEER,  #N/A,  'i3'!$AO72  )</f>
        <v>83148.22</v>
      </c>
      <c r="AW72" s="28">
        <f t="shared" si="38"/>
        <v>40.323500000000003</v>
      </c>
      <c r="AX72" s="28">
        <f t="shared" si="29"/>
        <v>40.323500000000003</v>
      </c>
      <c r="AY72" s="28">
        <f t="shared" si="30"/>
        <v>40.323500000000003</v>
      </c>
      <c r="BA72" s="28">
        <f t="shared" si="43"/>
        <v>40.017600000000002</v>
      </c>
      <c r="BB72" s="28">
        <f t="shared" si="44"/>
        <v>40.017600000000002</v>
      </c>
      <c r="BC72" s="28">
        <f t="shared" si="45"/>
        <v>40.017600000000002</v>
      </c>
      <c r="BG72" s="24">
        <f xml:space="preserve">    IF( 'i1'!BT72=LEER,  #N/A,  'i1'!BT72  )</f>
        <v>-3497.13</v>
      </c>
      <c r="BH72" s="24">
        <f xml:space="preserve">    IF( 'i1'!BR72=LEER,  #N/A,  'i1'!BR72  )</f>
        <v>84239.9</v>
      </c>
      <c r="BI72" s="111">
        <f t="shared" si="34"/>
        <v>80742.76999999999</v>
      </c>
      <c r="BJ72" s="24">
        <f xml:space="preserve">    IF( 'i1'!BX72=LEER,  #N/A,  'i1'!BX72  )</f>
        <v>3040.9900000000052</v>
      </c>
      <c r="BL72" s="24">
        <f xml:space="preserve">    IF( 'i1'!CB72=LEER,  #N/A,  'i1'!CB72  )</f>
        <v>-3920.63</v>
      </c>
      <c r="BM72" s="24">
        <f xml:space="preserve">    IF( 'i1'!CC72=LEER,  #N/A,  'i1'!CC72  )</f>
        <v>2094.59</v>
      </c>
      <c r="BN72" s="24">
        <f xml:space="preserve">    IF( 'i1'!CD72=LEER,  #N/A,  'i1'!CD72  )</f>
        <v>1087.9000000000001</v>
      </c>
      <c r="BO72" s="24">
        <f xml:space="preserve">    IF( 'i1'!CE72=LEER,  #N/A,  'i1'!CE72  )</f>
        <v>-738.13999999999987</v>
      </c>
      <c r="BQ72" s="24">
        <f xml:space="preserve">    IF( 'i1'!CI72=LEER,  #N/A,  'i1'!CI72  )</f>
        <v>7677.43</v>
      </c>
      <c r="BR72" s="24">
        <f xml:space="preserve">    IF( 'i1'!CJ72=LEER,  #N/A,  'i1'!CJ72  )</f>
        <v>-2763.39</v>
      </c>
      <c r="BS72" s="24">
        <f xml:space="preserve">    IF( 'i1'!CK72=LEER,  #N/A,  'i1'!CK72  )</f>
        <v>-1061.3699999999999</v>
      </c>
      <c r="BT72" s="38">
        <f xml:space="preserve">    IF( 'i1'!CH72=LEER,  #N/A,  'i1'!CH72  )</f>
        <v>3852.4304390000002</v>
      </c>
      <c r="BV72" s="24">
        <f xml:space="preserve">    IF( 'i1'!CO72=LEER,  #N/A,  'i1'!CO72  )</f>
        <v>7677.43</v>
      </c>
      <c r="BW72" s="24">
        <f xml:space="preserve">    IF( 'i1'!CP72=LEER,  #N/A,  'i1'!CP72  )</f>
        <v>-2725.08</v>
      </c>
      <c r="BX72" s="24">
        <f xml:space="preserve">    IF( 'i1'!CQ72=LEER,  #N/A,  'i1'!CQ72  )</f>
        <v>-1053.54</v>
      </c>
      <c r="BY72" s="38">
        <f xml:space="preserve">    IF( 'i1'!CN72=LEER,  #N/A,  'i1'!CN72  )</f>
        <v>3898.5573770000001</v>
      </c>
      <c r="CD72" s="113" t="e">
        <f xml:space="preserve"> IF(  AND( $A72&lt;&gt;$CD$14, OR( 'i1'!EO72=LEER, 'i1'!EM72&lt;&gt;LEER ) ), #N/A, 'i1'!EO72 )</f>
        <v>#N/A</v>
      </c>
      <c r="CE72" s="113">
        <f xml:space="preserve"> IF(   'i1'!EM72=LEER, #N/A,  'i1'!EM72 )</f>
        <v>28028.62</v>
      </c>
      <c r="CF72" s="114">
        <f xml:space="preserve"> IF(   'i1'!EL72=LEER, #N/A, 'i1'!EL72 + 'i1'!EM72 )</f>
        <v>83153.3</v>
      </c>
      <c r="CW72" s="104">
        <f xml:space="preserve"> 'i1'!FN72</f>
        <v>72</v>
      </c>
      <c r="CX72" s="106">
        <f xml:space="preserve"> IF(  INDEX( 'i1'!$FS72:$JO72, CX$13 ) = LEER,  #N/A,  INDEX( 'i1'!$FS72:$JO72, CX$13 )  )</f>
        <v>102497.61</v>
      </c>
      <c r="CY72" s="106">
        <f xml:space="preserve"> IF(  INDEX( 'i1'!$FS72:$JO72, CY$13 ) = LEER,  #N/A,  INDEX( 'i1'!$FS72:$JO72, CY$13 )  )</f>
        <v>96574.56</v>
      </c>
      <c r="CZ72" s="106">
        <f xml:space="preserve"> IF(  INDEX( 'i1'!$FS72:$JO72, CZ$13 ) = LEER,  #N/A,  INDEX( 'i1'!$FS72:$JO72, CZ$13 )  )</f>
        <v>90173.43</v>
      </c>
      <c r="DA72" s="106">
        <f xml:space="preserve"> IF(  INDEX( 'i1'!$FS72:$JO72, DA$13 ) = LEER,  #N/A,  INDEX( 'i1'!$FS72:$JO72, DA$13 )  )</f>
        <v>83148.22</v>
      </c>
      <c r="DB72" s="106">
        <f xml:space="preserve"> IF(  INDEX( 'i1'!$FS72:$JO72, DB$13 ) = LEER,  #N/A,  INDEX( 'i1'!$FS72:$JO72, DB$13 )  )</f>
        <v>75284.23</v>
      </c>
      <c r="DC72" s="106">
        <f xml:space="preserve"> IF(  INDEX( 'i1'!$FS72:$JO72, DC$13 ) = LEER,  #N/A,  INDEX( 'i1'!$FS72:$JO72, DC$13 )  )</f>
        <v>65994.58</v>
      </c>
      <c r="DD72" s="106">
        <f xml:space="preserve"> IF(  INDEX( 'i1'!$FS72:$JO72, DD$13 ) = LEER,  #N/A,  INDEX( 'i1'!$FS72:$JO72, DD$13 )  )</f>
        <v>55124.68</v>
      </c>
      <c r="DE72" s="106">
        <f xml:space="preserve"> IF(  INDEX( 'i1'!$FS72:$JO72, DE$13 ) = LEER,  #N/A,  INDEX( 'i1'!$FS72:$JO72, DE$13 )  )</f>
        <v>43126.86</v>
      </c>
      <c r="DF72" s="106">
        <f xml:space="preserve"> IF(  INDEX( 'i1'!$FS72:$JO72, DF$13 ) = LEER,  #N/A,  INDEX( 'i1'!$FS72:$JO72, DF$13 )  )</f>
        <v>30350.37</v>
      </c>
      <c r="DG72" s="106">
        <f xml:space="preserve"> IF(  INDEX( 'i1'!$FS72:$JO72, DG$13 ) = LEER,  #N/A,  INDEX( 'i1'!$FS72:$JO72, DG$13 )  )</f>
        <v>16809.53</v>
      </c>
      <c r="DH72" s="106">
        <f xml:space="preserve"> IF(  INDEX( 'i1'!$FS72:$JO72, DH$13 ) = LEER,  #N/A,  INDEX( 'i1'!$FS72:$JO72, DH$13 )  )</f>
        <v>3723.86</v>
      </c>
      <c r="DI72" s="106" t="e">
        <f xml:space="preserve"> IF(  INDEX( 'i1'!$FS72:$JO72, DI$13 ) = LEER,  #N/A,  INDEX( 'i1'!$FS72:$JO72, DI$13 )  )</f>
        <v>#N/A</v>
      </c>
      <c r="DJ72" s="106" t="e">
        <f xml:space="preserve"> IF(  INDEX( 'i1'!$FS72:$JO72, DJ$13 ) = LEER,  #N/A,  INDEX( 'i1'!$FS72:$JO72, DJ$13 )  )</f>
        <v>#N/A</v>
      </c>
      <c r="DK72" s="106" t="e">
        <f xml:space="preserve"> IF(  INDEX( 'i1'!$FS72:$JO72, DK$13 ) = LEER,  #N/A,  INDEX( 'i1'!$FS72:$JO72, DK$13 )  )</f>
        <v>#N/A</v>
      </c>
      <c r="DL72" s="106" t="e">
        <f xml:space="preserve"> IF(  INDEX( 'i1'!$FS72:$JO72, DL$13 ) = LEER,  #N/A,  INDEX( 'i1'!$FS72:$JO72, DL$13 )  )</f>
        <v>#N/A</v>
      </c>
      <c r="DM72" s="106" t="e">
        <f xml:space="preserve"> IF(  INDEX( 'i1'!$FS72:$JO72, DM$13 ) = LEER,  #N/A,  INDEX( 'i1'!$FS72:$JO72, DM$13 )  )</f>
        <v>#N/A</v>
      </c>
      <c r="DN72" s="106" t="e">
        <f xml:space="preserve"> IF(  INDEX( 'i1'!$FS72:$JO72, DN$13 ) = LEER,  #N/A,  INDEX( 'i1'!$FS72:$JO72, DN$13 )  )</f>
        <v>#N/A</v>
      </c>
    </row>
    <row r="73" spans="1:118" x14ac:dyDescent="0.2">
      <c r="A73" s="15">
        <f xml:space="preserve"> Basis!A73</f>
        <v>73</v>
      </c>
      <c r="C73" s="24" t="b">
        <f xml:space="preserve"> 'i1'!$O73</f>
        <v>1</v>
      </c>
      <c r="D73" s="24" t="b">
        <f xml:space="preserve"> 'i2'!$O73</f>
        <v>1</v>
      </c>
      <c r="E73" s="24" t="b">
        <f xml:space="preserve"> 'i3'!$O73</f>
        <v>1</v>
      </c>
      <c r="G73" s="27">
        <f xml:space="preserve"> IF( $C74,   IF( 'i1'!$P73=LEER,  #N/A,  'i1'!$P73  ),   #N/A  )</f>
        <v>1.4200000000000001E-2</v>
      </c>
      <c r="H73" s="27">
        <f xml:space="preserve"> IF( $D74,   IF( 'i2'!$P73=LEER,  #N/A,  'i2'!$P73  ),   #N/A  )</f>
        <v>1.4200000000000001E-2</v>
      </c>
      <c r="I73" s="27">
        <f xml:space="preserve"> IF( $E74,   IF( 'i3'!$P73=LEER,  #N/A,  'i3'!$P73  ),   #N/A  )</f>
        <v>1.4200000000000001E-2</v>
      </c>
      <c r="J73" s="158"/>
      <c r="K73" s="27">
        <f xml:space="preserve"> IF( $C74,   IF( 'i1'!$G73=LEER,  #N/A,  'i1'!$G73  ),   #N/A  )</f>
        <v>2.5999999999999999E-3</v>
      </c>
      <c r="L73" s="27">
        <f xml:space="preserve"> IF( $D74,   IF( 'i2'!$G73=LEER,  #N/A,  'i2'!$G73  ),   #N/A  )</f>
        <v>2.5999999999999999E-3</v>
      </c>
      <c r="M73" s="27">
        <f xml:space="preserve"> IF( $E74,   IF( 'i3'!$G73=LEER,  #N/A,  'i3'!$G73  ),   #N/A  )</f>
        <v>2.5999999999999999E-3</v>
      </c>
      <c r="N73" s="158"/>
      <c r="O73" s="158"/>
      <c r="Q73" s="28">
        <f t="shared" si="35"/>
        <v>15.98688403707213</v>
      </c>
      <c r="R73" s="28">
        <f t="shared" si="36"/>
        <v>15.98688403707213</v>
      </c>
      <c r="S73" s="28">
        <f t="shared" si="37"/>
        <v>15.98688403707213</v>
      </c>
      <c r="U73" s="76">
        <f xml:space="preserve"> IF( $C72,   SUM('i1'!$R73),   #N/A  )</f>
        <v>463769</v>
      </c>
      <c r="V73" s="76">
        <f xml:space="preserve"> IF( $C72,   SUM('i2'!$R73),   #N/A  )</f>
        <v>463769</v>
      </c>
      <c r="W73" s="76">
        <f xml:space="preserve"> IF( $C72,   SUM('i3'!$R73),   #N/A  )</f>
        <v>463769</v>
      </c>
      <c r="Y73" s="33"/>
      <c r="Z73" s="22">
        <f xml:space="preserve"> IF( $C73,   IF( 'i1'!$J73=LEER,  #N/A,  'i1'!$J73  ),   #N/A  )</f>
        <v>3.8559999999999999</v>
      </c>
      <c r="AA73" s="22">
        <f xml:space="preserve"> IF( $D73,   IF( 'i2'!$J73=LEER,  #N/A,  'i2'!$J73  ),   #N/A  )</f>
        <v>3.8559999999999999</v>
      </c>
      <c r="AB73" s="22">
        <f xml:space="preserve"> IF( $E73,   IF( 'i3'!$J73=LEER,  #N/A,  'i3'!$J73  ),   #N/A  )</f>
        <v>3.8559999999999999</v>
      </c>
      <c r="AC73" s="75"/>
      <c r="AD73" s="26">
        <f t="shared" si="39"/>
        <v>8011.9582399999999</v>
      </c>
      <c r="AE73" s="26">
        <f t="shared" si="40"/>
        <v>8011.9582399999999</v>
      </c>
      <c r="AF73" s="26">
        <f t="shared" si="41"/>
        <v>8011.9582399999999</v>
      </c>
      <c r="AG73" s="23"/>
      <c r="AH73" s="24">
        <f xml:space="preserve">    IF(  'i1'!$AK73=LEER,  #N/A,  ROUND( 'i1'!$AK73, AH$15 )  )</f>
        <v>983.7</v>
      </c>
      <c r="AI73" s="24">
        <f xml:space="preserve">    IF(  'i2'!$AK73=LEER,  #N/A,  ROUND( 'i2'!$AK73, AI$15 )  )</f>
        <v>983.7</v>
      </c>
      <c r="AJ73" s="24">
        <f xml:space="preserve">    IF(  'i3'!$AK73=LEER,  #N/A,  ROUND( 'i3'!$AK73, AJ$15 )  )</f>
        <v>983.7</v>
      </c>
      <c r="AL73" s="102">
        <f t="shared" si="42"/>
        <v>983.7</v>
      </c>
      <c r="AO73" s="24">
        <f xml:space="preserve">    IF( 'i1'!$AN73=LEER,  #N/A,  'i1'!$AN73  )</f>
        <v>83045.88</v>
      </c>
      <c r="AP73" s="24">
        <f xml:space="preserve">    IF( 'i2'!$AN73=LEER,  #N/A,  'i2'!$AN73  )</f>
        <v>83045.88</v>
      </c>
      <c r="AQ73" s="24">
        <f xml:space="preserve">    IF( 'i3'!$AN73=LEER,  #N/A,  'i3'!$AN73  )</f>
        <v>83045.88</v>
      </c>
      <c r="AS73" s="24">
        <f xml:space="preserve">    IF( 'i1'!$AO73=LEER,  #N/A,  'i1'!$AO73  )</f>
        <v>82433.72</v>
      </c>
      <c r="AT73" s="24">
        <f xml:space="preserve">    IF( 'i2'!$AO73=LEER,  #N/A,  'i2'!$AO73  )</f>
        <v>82433.72</v>
      </c>
      <c r="AU73" s="24">
        <f xml:space="preserve">    IF( 'i3'!$AO73=LEER,  #N/A,  'i3'!$AO73  )</f>
        <v>82433.72</v>
      </c>
      <c r="AW73" s="28">
        <f t="shared" si="38"/>
        <v>39.968400000000003</v>
      </c>
      <c r="AX73" s="28">
        <f t="shared" si="29"/>
        <v>39.968400000000003</v>
      </c>
      <c r="AY73" s="28">
        <f t="shared" si="30"/>
        <v>39.968400000000003</v>
      </c>
      <c r="BA73" s="28">
        <f t="shared" si="43"/>
        <v>39.673699999999997</v>
      </c>
      <c r="BB73" s="28">
        <f t="shared" si="44"/>
        <v>39.673699999999997</v>
      </c>
      <c r="BC73" s="28">
        <f t="shared" si="45"/>
        <v>39.673699999999997</v>
      </c>
      <c r="BG73" s="24">
        <f xml:space="preserve">    IF( 'i1'!BT73=LEER,  #N/A,  'i1'!BT73  )</f>
        <v>-3825.51</v>
      </c>
      <c r="BH73" s="24">
        <f xml:space="preserve">    IF( 'i1'!BR73=LEER,  #N/A,  'i1'!BR73  )</f>
        <v>83783.759999999995</v>
      </c>
      <c r="BI73" s="111">
        <f t="shared" si="34"/>
        <v>79958.25</v>
      </c>
      <c r="BJ73" s="24">
        <f xml:space="preserve">    IF( 'i1'!BX73=LEER,  #N/A,  'i1'!BX73  )</f>
        <v>3087.6300000000047</v>
      </c>
      <c r="BL73" s="24">
        <f xml:space="preserve">    IF( 'i1'!CB73=LEER,  #N/A,  'i1'!CB73  )</f>
        <v>-4263.5200000000004</v>
      </c>
      <c r="BM73" s="24">
        <f xml:space="preserve">    IF( 'i1'!CC73=LEER,  #N/A,  'i1'!CC73  )</f>
        <v>2076.15</v>
      </c>
      <c r="BN73" s="24">
        <f xml:space="preserve">    IF( 'i1'!CD73=LEER,  #N/A,  'i1'!CD73  )</f>
        <v>1164.73</v>
      </c>
      <c r="BO73" s="24">
        <f xml:space="preserve">    IF( 'i1'!CE73=LEER,  #N/A,  'i1'!CE73  )</f>
        <v>-1022.6400000000003</v>
      </c>
      <c r="BQ73" s="24">
        <f xml:space="preserve">    IF( 'i1'!CI73=LEER,  #N/A,  'i1'!CI73  )</f>
        <v>8011.96</v>
      </c>
      <c r="BR73" s="24">
        <f xml:space="preserve">    IF( 'i1'!CJ73=LEER,  #N/A,  'i1'!CJ73  )</f>
        <v>-3023.26</v>
      </c>
      <c r="BS73" s="24">
        <f xml:space="preserve">    IF( 'i1'!CK73=LEER,  #N/A,  'i1'!CK73  )</f>
        <v>-1136.32</v>
      </c>
      <c r="BT73" s="38">
        <f xml:space="preserve">    IF( 'i1'!CH73=LEER,  #N/A,  'i1'!CH73  )</f>
        <v>3852.4304390000002</v>
      </c>
      <c r="BV73" s="24">
        <f xml:space="preserve">    IF( 'i1'!CO73=LEER,  #N/A,  'i1'!CO73  )</f>
        <v>8011.96</v>
      </c>
      <c r="BW73" s="24">
        <f xml:space="preserve">    IF( 'i1'!CP73=LEER,  #N/A,  'i1'!CP73  )</f>
        <v>-2985.29</v>
      </c>
      <c r="BX73" s="24">
        <f xml:space="preserve">    IF( 'i1'!CQ73=LEER,  #N/A,  'i1'!CQ73  )</f>
        <v>-1128.17</v>
      </c>
      <c r="BY73" s="38">
        <f xml:space="preserve">    IF( 'i1'!CN73=LEER,  #N/A,  'i1'!CN73  )</f>
        <v>3898.5573770000001</v>
      </c>
      <c r="CD73" s="113" t="e">
        <f xml:space="preserve"> IF(  AND( $A73&lt;&gt;$CD$14, OR( 'i1'!EO73=LEER, 'i1'!EM73&lt;&gt;LEER ) ), #N/A, 'i1'!EO73 )</f>
        <v>#N/A</v>
      </c>
      <c r="CE73" s="113">
        <f xml:space="preserve"> IF(   'i1'!EM73=LEER, #N/A,  'i1'!EM73 )</f>
        <v>26997.83</v>
      </c>
      <c r="CF73" s="114">
        <f xml:space="preserve"> IF(   'i1'!EL73=LEER, #N/A, 'i1'!EL73 + 'i1'!EM73 )</f>
        <v>82438.61</v>
      </c>
      <c r="CW73" s="104">
        <f xml:space="preserve"> 'i1'!FN73</f>
        <v>73</v>
      </c>
      <c r="CX73" s="106">
        <f xml:space="preserve"> IF(  INDEX( 'i1'!$FS73:$JO73, CX$13 ) = LEER,  #N/A,  INDEX( 'i1'!$FS73:$JO73, CX$13 )  )</f>
        <v>101071.5</v>
      </c>
      <c r="CY73" s="106">
        <f xml:space="preserve"> IF(  INDEX( 'i1'!$FS73:$JO73, CY$13 ) = LEER,  #N/A,  INDEX( 'i1'!$FS73:$JO73, CY$13 )  )</f>
        <v>95366.28</v>
      </c>
      <c r="CZ73" s="106">
        <f xml:space="preserve"> IF(  INDEX( 'i1'!$FS73:$JO73, CZ$13 ) = LEER,  #N/A,  INDEX( 'i1'!$FS73:$JO73, CZ$13 )  )</f>
        <v>89200.56</v>
      </c>
      <c r="DA73" s="106">
        <f xml:space="preserve"> IF(  INDEX( 'i1'!$FS73:$JO73, DA$13 ) = LEER,  #N/A,  INDEX( 'i1'!$FS73:$JO73, DA$13 )  )</f>
        <v>82433.72</v>
      </c>
      <c r="DB73" s="106">
        <f xml:space="preserve"> IF(  INDEX( 'i1'!$FS73:$JO73, DB$13 ) = LEER,  #N/A,  INDEX( 'i1'!$FS73:$JO73, DB$13 )  )</f>
        <v>74858.929999999993</v>
      </c>
      <c r="DC73" s="106">
        <f xml:space="preserve"> IF(  INDEX( 'i1'!$FS73:$JO73, DC$13 ) = LEER,  #N/A,  INDEX( 'i1'!$FS73:$JO73, DC$13 )  )</f>
        <v>65910.92</v>
      </c>
      <c r="DD73" s="106">
        <f xml:space="preserve"> IF(  INDEX( 'i1'!$FS73:$JO73, DD$13 ) = LEER,  #N/A,  INDEX( 'i1'!$FS73:$JO73, DD$13 )  )</f>
        <v>55440.78</v>
      </c>
      <c r="DE73" s="106">
        <f xml:space="preserve"> IF(  INDEX( 'i1'!$FS73:$JO73, DE$13 ) = LEER,  #N/A,  INDEX( 'i1'!$FS73:$JO73, DE$13 )  )</f>
        <v>43884.19</v>
      </c>
      <c r="DF73" s="106">
        <f xml:space="preserve"> IF(  INDEX( 'i1'!$FS73:$JO73, DF$13 ) = LEER,  #N/A,  INDEX( 'i1'!$FS73:$JO73, DF$13 )  )</f>
        <v>31577.57</v>
      </c>
      <c r="DG73" s="106">
        <f xml:space="preserve"> IF(  INDEX( 'i1'!$FS73:$JO73, DG$13 ) = LEER,  #N/A,  INDEX( 'i1'!$FS73:$JO73, DG$13 )  )</f>
        <v>18534.71</v>
      </c>
      <c r="DH73" s="106">
        <f xml:space="preserve"> IF(  INDEX( 'i1'!$FS73:$JO73, DH$13 ) = LEER,  #N/A,  INDEX( 'i1'!$FS73:$JO73, DH$13 )  )</f>
        <v>5930.28</v>
      </c>
      <c r="DI73" s="106" t="e">
        <f xml:space="preserve"> IF(  INDEX( 'i1'!$FS73:$JO73, DI$13 ) = LEER,  #N/A,  INDEX( 'i1'!$FS73:$JO73, DI$13 )  )</f>
        <v>#N/A</v>
      </c>
      <c r="DJ73" s="106" t="e">
        <f xml:space="preserve"> IF(  INDEX( 'i1'!$FS73:$JO73, DJ$13 ) = LEER,  #N/A,  INDEX( 'i1'!$FS73:$JO73, DJ$13 )  )</f>
        <v>#N/A</v>
      </c>
      <c r="DK73" s="106" t="e">
        <f xml:space="preserve"> IF(  INDEX( 'i1'!$FS73:$JO73, DK$13 ) = LEER,  #N/A,  INDEX( 'i1'!$FS73:$JO73, DK$13 )  )</f>
        <v>#N/A</v>
      </c>
      <c r="DL73" s="106" t="e">
        <f xml:space="preserve"> IF(  INDEX( 'i1'!$FS73:$JO73, DL$13 ) = LEER,  #N/A,  INDEX( 'i1'!$FS73:$JO73, DL$13 )  )</f>
        <v>#N/A</v>
      </c>
      <c r="DM73" s="106" t="e">
        <f xml:space="preserve"> IF(  INDEX( 'i1'!$FS73:$JO73, DM$13 ) = LEER,  #N/A,  INDEX( 'i1'!$FS73:$JO73, DM$13 )  )</f>
        <v>#N/A</v>
      </c>
      <c r="DN73" s="106" t="e">
        <f xml:space="preserve"> IF(  INDEX( 'i1'!$FS73:$JO73, DN$13 ) = LEER,  #N/A,  INDEX( 'i1'!$FS73:$JO73, DN$13 )  )</f>
        <v>#N/A</v>
      </c>
    </row>
    <row r="74" spans="1:118" x14ac:dyDescent="0.2">
      <c r="A74" s="15">
        <f xml:space="preserve"> Basis!A74</f>
        <v>74</v>
      </c>
      <c r="C74" s="24" t="b">
        <f xml:space="preserve"> 'i1'!$O74</f>
        <v>1</v>
      </c>
      <c r="D74" s="24" t="b">
        <f xml:space="preserve"> 'i2'!$O74</f>
        <v>1</v>
      </c>
      <c r="E74" s="24" t="b">
        <f xml:space="preserve"> 'i3'!$O74</f>
        <v>1</v>
      </c>
      <c r="G74" s="27">
        <f xml:space="preserve"> IF( $C75,   IF( 'i1'!$P74=LEER,  #N/A,  'i1'!$P74  ),   #N/A  )</f>
        <v>1.54E-2</v>
      </c>
      <c r="H74" s="27">
        <f xml:space="preserve"> IF( $D75,   IF( 'i2'!$P74=LEER,  #N/A,  'i2'!$P74  ),   #N/A  )</f>
        <v>1.54E-2</v>
      </c>
      <c r="I74" s="27">
        <f xml:space="preserve"> IF( $E75,   IF( 'i3'!$P74=LEER,  #N/A,  'i3'!$P74  ),   #N/A  )</f>
        <v>1.54E-2</v>
      </c>
      <c r="J74" s="158"/>
      <c r="K74" s="27">
        <f xml:space="preserve"> IF( $C75,   IF( 'i1'!$G74=LEER,  #N/A,  'i1'!$G74  ),   #N/A  )</f>
        <v>2.5000000000000001E-3</v>
      </c>
      <c r="L74" s="27">
        <f xml:space="preserve"> IF( $D75,   IF( 'i2'!$G74=LEER,  #N/A,  'i2'!$G74  ),   #N/A  )</f>
        <v>2.5000000000000001E-3</v>
      </c>
      <c r="M74" s="27">
        <f xml:space="preserve"> IF( $E75,   IF( 'i3'!$G74=LEER,  #N/A,  'i3'!$G74  ),   #N/A  )</f>
        <v>2.5000000000000001E-3</v>
      </c>
      <c r="N74" s="158"/>
      <c r="O74" s="158"/>
      <c r="Q74" s="28">
        <f t="shared" si="35"/>
        <v>15.209965547851624</v>
      </c>
      <c r="R74" s="28">
        <f t="shared" si="36"/>
        <v>15.209965547851624</v>
      </c>
      <c r="S74" s="28">
        <f t="shared" si="37"/>
        <v>15.209965547851624</v>
      </c>
      <c r="U74" s="76">
        <f xml:space="preserve"> IF( $C73,   SUM('i1'!$R74),   #N/A  )</f>
        <v>457183</v>
      </c>
      <c r="V74" s="76">
        <f xml:space="preserve"> IF( $C73,   SUM('i2'!$R74),   #N/A  )</f>
        <v>457183</v>
      </c>
      <c r="W74" s="76">
        <f xml:space="preserve"> IF( $C73,   SUM('i3'!$R74),   #N/A  )</f>
        <v>457183</v>
      </c>
      <c r="Y74" s="33"/>
      <c r="Z74" s="22">
        <f xml:space="preserve"> IF( $C74,   IF( 'i1'!$J74=LEER,  #N/A,  'i1'!$J74  ),   #N/A  )</f>
        <v>4.0190000000000001</v>
      </c>
      <c r="AA74" s="22">
        <f xml:space="preserve"> IF( $D74,   IF( 'i2'!$J74=LEER,  #N/A,  'i2'!$J74  ),   #N/A  )</f>
        <v>4.0190000000000001</v>
      </c>
      <c r="AB74" s="22">
        <f xml:space="preserve"> IF( $E74,   IF( 'i3'!$J74=LEER,  #N/A,  'i3'!$J74  ),   #N/A  )</f>
        <v>4.0190000000000001</v>
      </c>
      <c r="AC74" s="75"/>
      <c r="AD74" s="26">
        <f t="shared" si="39"/>
        <v>8350.6380100000006</v>
      </c>
      <c r="AE74" s="26">
        <f t="shared" si="40"/>
        <v>8350.6380100000006</v>
      </c>
      <c r="AF74" s="26">
        <f t="shared" si="41"/>
        <v>8350.6380100000006</v>
      </c>
      <c r="AG74" s="23"/>
      <c r="AH74" s="24">
        <f xml:space="preserve">    IF(  'i1'!$AK74=LEER,  #N/A,  ROUND( 'i1'!$AK74, AH$15 )  )</f>
        <v>999.26</v>
      </c>
      <c r="AI74" s="24">
        <f xml:space="preserve">    IF(  'i2'!$AK74=LEER,  #N/A,  ROUND( 'i2'!$AK74, AI$15 )  )</f>
        <v>999.26</v>
      </c>
      <c r="AJ74" s="24">
        <f xml:space="preserve">    IF(  'i3'!$AK74=LEER,  #N/A,  ROUND( 'i3'!$AK74, AJ$15 )  )</f>
        <v>999.26</v>
      </c>
      <c r="AL74" s="102">
        <f t="shared" si="42"/>
        <v>999.26</v>
      </c>
      <c r="AO74" s="24">
        <f xml:space="preserve">    IF( 'i1'!$AN74=LEER,  #N/A,  'i1'!$AN74  )</f>
        <v>82023.19</v>
      </c>
      <c r="AP74" s="24">
        <f xml:space="preserve">    IF( 'i2'!$AN74=LEER,  #N/A,  'i2'!$AN74  )</f>
        <v>82023.19</v>
      </c>
      <c r="AQ74" s="24">
        <f xml:space="preserve">    IF( 'i3'!$AN74=LEER,  #N/A,  'i3'!$AN74  )</f>
        <v>82023.19</v>
      </c>
      <c r="AS74" s="24">
        <f xml:space="preserve">    IF( 'i1'!$AO74=LEER,  #N/A,  'i1'!$AO74  )</f>
        <v>81434.64</v>
      </c>
      <c r="AT74" s="24">
        <f xml:space="preserve">    IF( 'i2'!$AO74=LEER,  #N/A,  'i2'!$AO74  )</f>
        <v>81434.64</v>
      </c>
      <c r="AU74" s="24">
        <f xml:space="preserve">    IF( 'i3'!$AO74=LEER,  #N/A,  'i3'!$AO74  )</f>
        <v>81434.64</v>
      </c>
      <c r="AW74" s="28">
        <f t="shared" si="38"/>
        <v>39.476199999999999</v>
      </c>
      <c r="AX74" s="28">
        <f t="shared" si="29"/>
        <v>39.476199999999999</v>
      </c>
      <c r="AY74" s="28">
        <f t="shared" si="30"/>
        <v>39.476199999999999</v>
      </c>
      <c r="BA74" s="28">
        <f t="shared" si="43"/>
        <v>39.192900000000002</v>
      </c>
      <c r="BB74" s="28">
        <f t="shared" si="44"/>
        <v>39.192900000000002</v>
      </c>
      <c r="BC74" s="28">
        <f t="shared" si="45"/>
        <v>39.192900000000002</v>
      </c>
      <c r="BG74" s="24">
        <f xml:space="preserve">    IF( 'i1'!BT74=LEER,  #N/A,  'i1'!BT74  )</f>
        <v>-4159.43</v>
      </c>
      <c r="BH74" s="24">
        <f xml:space="preserve">    IF( 'i1'!BR74=LEER,  #N/A,  'i1'!BR74  )</f>
        <v>83045.88</v>
      </c>
      <c r="BI74" s="111">
        <f t="shared" si="34"/>
        <v>78886.450000000012</v>
      </c>
      <c r="BJ74" s="24">
        <f xml:space="preserve">    IF( 'i1'!BX74=LEER,  #N/A,  'i1'!BX74  )</f>
        <v>3136.7399999999907</v>
      </c>
      <c r="BL74" s="24">
        <f xml:space="preserve">    IF( 'i1'!CB74=LEER,  #N/A,  'i1'!CB74  )</f>
        <v>-4610.66</v>
      </c>
      <c r="BM74" s="24">
        <f xml:space="preserve">    IF( 'i1'!CC74=LEER,  #N/A,  'i1'!CC74  )</f>
        <v>2050.58</v>
      </c>
      <c r="BN74" s="24">
        <f xml:space="preserve">    IF( 'i1'!CD74=LEER,  #N/A,  'i1'!CD74  )</f>
        <v>1242.8699999999999</v>
      </c>
      <c r="BO74" s="24">
        <f xml:space="preserve">    IF( 'i1'!CE74=LEER,  #N/A,  'i1'!CE74  )</f>
        <v>-1317.21</v>
      </c>
      <c r="BQ74" s="24">
        <f xml:space="preserve">    IF( 'i1'!CI74=LEER,  #N/A,  'i1'!CI74  )</f>
        <v>8350.64</v>
      </c>
      <c r="BR74" s="24">
        <f xml:space="preserve">    IF( 'i1'!CJ74=LEER,  #N/A,  'i1'!CJ74  )</f>
        <v>-3285.56</v>
      </c>
      <c r="BS74" s="24">
        <f xml:space="preserve">    IF( 'i1'!CK74=LEER,  #N/A,  'i1'!CK74  )</f>
        <v>-1212.56</v>
      </c>
      <c r="BT74" s="38">
        <f xml:space="preserve">    IF( 'i1'!CH74=LEER,  #N/A,  'i1'!CH74  )</f>
        <v>3852.4304390000002</v>
      </c>
      <c r="BV74" s="24">
        <f xml:space="preserve">    IF( 'i1'!CO74=LEER,  #N/A,  'i1'!CO74  )</f>
        <v>8350.64</v>
      </c>
      <c r="BW74" s="24">
        <f xml:space="preserve">    IF( 'i1'!CP74=LEER,  #N/A,  'i1'!CP74  )</f>
        <v>-3247.91</v>
      </c>
      <c r="BX74" s="24">
        <f xml:space="preserve">    IF( 'i1'!CQ74=LEER,  #N/A,  'i1'!CQ74  )</f>
        <v>-1204.08</v>
      </c>
      <c r="BY74" s="38">
        <f xml:space="preserve">    IF( 'i1'!CN74=LEER,  #N/A,  'i1'!CN74  )</f>
        <v>3898.5573770000001</v>
      </c>
      <c r="CD74" s="113" t="e">
        <f xml:space="preserve"> IF(  AND( $A74&lt;&gt;$CD$14, OR( 'i1'!EO74=LEER, 'i1'!EM74&lt;&gt;LEER ) ), #N/A, 'i1'!EO74 )</f>
        <v>#N/A</v>
      </c>
      <c r="CE74" s="113">
        <f xml:space="preserve"> IF(   'i1'!EM74=LEER, #N/A,  'i1'!EM74 )</f>
        <v>25956.26</v>
      </c>
      <c r="CF74" s="114">
        <f xml:space="preserve"> IF(   'i1'!EL74=LEER, #N/A, 'i1'!EL74 + 'i1'!EM74 )</f>
        <v>81439.349999999991</v>
      </c>
      <c r="CW74" s="104">
        <f xml:space="preserve"> 'i1'!FN74</f>
        <v>74</v>
      </c>
      <c r="CX74" s="106">
        <f xml:space="preserve"> IF(  INDEX( 'i1'!$FS74:$JO74, CX$13 ) = LEER,  #N/A,  INDEX( 'i1'!$FS74:$JO74, CX$13 )  )</f>
        <v>99353.39</v>
      </c>
      <c r="CY74" s="106">
        <f xml:space="preserve"> IF(  INDEX( 'i1'!$FS74:$JO74, CY$13 ) = LEER,  #N/A,  INDEX( 'i1'!$FS74:$JO74, CY$13 )  )</f>
        <v>93868.27</v>
      </c>
      <c r="CZ74" s="106">
        <f xml:space="preserve"> IF(  INDEX( 'i1'!$FS74:$JO74, CZ$13 ) = LEER,  #N/A,  INDEX( 'i1'!$FS74:$JO74, CZ$13 )  )</f>
        <v>87940.43</v>
      </c>
      <c r="DA74" s="106">
        <f xml:space="preserve"> IF(  INDEX( 'i1'!$FS74:$JO74, DA$13 ) = LEER,  #N/A,  INDEX( 'i1'!$FS74:$JO74, DA$13 )  )</f>
        <v>81434.64</v>
      </c>
      <c r="DB74" s="106">
        <f xml:space="preserve"> IF(  INDEX( 'i1'!$FS74:$JO74, DB$13 ) = LEER,  #N/A,  INDEX( 'i1'!$FS74:$JO74, DB$13 )  )</f>
        <v>74152.09</v>
      </c>
      <c r="DC74" s="106">
        <f xml:space="preserve"> IF(  INDEX( 'i1'!$FS74:$JO74, DC$13 ) = LEER,  #N/A,  INDEX( 'i1'!$FS74:$JO74, DC$13 )  )</f>
        <v>65549.289999999994</v>
      </c>
      <c r="DD74" s="106">
        <f xml:space="preserve"> IF(  INDEX( 'i1'!$FS74:$JO74, DD$13 ) = LEER,  #N/A,  INDEX( 'i1'!$FS74:$JO74, DD$13 )  )</f>
        <v>55483.09</v>
      </c>
      <c r="DE74" s="106">
        <f xml:space="preserve"> IF(  INDEX( 'i1'!$FS74:$JO74, DE$13 ) = LEER,  #N/A,  INDEX( 'i1'!$FS74:$JO74, DE$13 )  )</f>
        <v>44372.35</v>
      </c>
      <c r="DF74" s="106">
        <f xml:space="preserve"> IF(  INDEX( 'i1'!$FS74:$JO74, DF$13 ) = LEER,  #N/A,  INDEX( 'i1'!$FS74:$JO74, DF$13 )  )</f>
        <v>32540.52</v>
      </c>
      <c r="DG74" s="106">
        <f xml:space="preserve"> IF(  INDEX( 'i1'!$FS74:$JO74, DG$13 ) = LEER,  #N/A,  INDEX( 'i1'!$FS74:$JO74, DG$13 )  )</f>
        <v>20000.849999999999</v>
      </c>
      <c r="DH74" s="106">
        <f xml:space="preserve"> IF(  INDEX( 'i1'!$FS74:$JO74, DH$13 ) = LEER,  #N/A,  INDEX( 'i1'!$FS74:$JO74, DH$13 )  )</f>
        <v>7882.7</v>
      </c>
      <c r="DI74" s="106" t="e">
        <f xml:space="preserve"> IF(  INDEX( 'i1'!$FS74:$JO74, DI$13 ) = LEER,  #N/A,  INDEX( 'i1'!$FS74:$JO74, DI$13 )  )</f>
        <v>#N/A</v>
      </c>
      <c r="DJ74" s="106" t="e">
        <f xml:space="preserve"> IF(  INDEX( 'i1'!$FS74:$JO74, DJ$13 ) = LEER,  #N/A,  INDEX( 'i1'!$FS74:$JO74, DJ$13 )  )</f>
        <v>#N/A</v>
      </c>
      <c r="DK74" s="106" t="e">
        <f xml:space="preserve"> IF(  INDEX( 'i1'!$FS74:$JO74, DK$13 ) = LEER,  #N/A,  INDEX( 'i1'!$FS74:$JO74, DK$13 )  )</f>
        <v>#N/A</v>
      </c>
      <c r="DL74" s="106" t="e">
        <f xml:space="preserve"> IF(  INDEX( 'i1'!$FS74:$JO74, DL$13 ) = LEER,  #N/A,  INDEX( 'i1'!$FS74:$JO74, DL$13 )  )</f>
        <v>#N/A</v>
      </c>
      <c r="DM74" s="106" t="e">
        <f xml:space="preserve"> IF(  INDEX( 'i1'!$FS74:$JO74, DM$13 ) = LEER,  #N/A,  INDEX( 'i1'!$FS74:$JO74, DM$13 )  )</f>
        <v>#N/A</v>
      </c>
      <c r="DN74" s="106" t="e">
        <f xml:space="preserve"> IF(  INDEX( 'i1'!$FS74:$JO74, DN$13 ) = LEER,  #N/A,  INDEX( 'i1'!$FS74:$JO74, DN$13 )  )</f>
        <v>#N/A</v>
      </c>
    </row>
    <row r="75" spans="1:118" x14ac:dyDescent="0.2">
      <c r="A75" s="15">
        <f xml:space="preserve"> Basis!A75</f>
        <v>75</v>
      </c>
      <c r="C75" s="24" t="b">
        <f xml:space="preserve"> 'i1'!$O75</f>
        <v>1</v>
      </c>
      <c r="D75" s="24" t="b">
        <f xml:space="preserve"> 'i2'!$O75</f>
        <v>1</v>
      </c>
      <c r="E75" s="24" t="b">
        <f xml:space="preserve"> 'i3'!$O75</f>
        <v>1</v>
      </c>
      <c r="G75" s="27">
        <f xml:space="preserve"> IF( $C76,   IF( 'i1'!$P75=LEER,  #N/A,  'i1'!$P75  ),   #N/A  )</f>
        <v>1.6899999999999998E-2</v>
      </c>
      <c r="H75" s="27">
        <f xml:space="preserve"> IF( $D76,   IF( 'i2'!$P75=LEER,  #N/A,  'i2'!$P75  ),   #N/A  )</f>
        <v>1.6899999999999998E-2</v>
      </c>
      <c r="I75" s="27">
        <f xml:space="preserve"> IF( $E76,   IF( 'i3'!$P75=LEER,  #N/A,  'i3'!$P75  ),   #N/A  )</f>
        <v>1.6899999999999998E-2</v>
      </c>
      <c r="J75" s="158"/>
      <c r="K75" s="27">
        <f xml:space="preserve"> IF( $C76,   IF( 'i1'!$G75=LEER,  #N/A,  'i1'!$G75  ),   #N/A  )</f>
        <v>2.3E-3</v>
      </c>
      <c r="L75" s="27">
        <f xml:space="preserve"> IF( $D76,   IF( 'i2'!$G75=LEER,  #N/A,  'i2'!$G75  ),   #N/A  )</f>
        <v>2.3E-3</v>
      </c>
      <c r="M75" s="27">
        <f xml:space="preserve"> IF( $E76,   IF( 'i3'!$G75=LEER,  #N/A,  'i3'!$G75  ),   #N/A  )</f>
        <v>2.3E-3</v>
      </c>
      <c r="N75" s="158"/>
      <c r="O75" s="158"/>
      <c r="Q75" s="28">
        <f t="shared" si="35"/>
        <v>14.440042197696144</v>
      </c>
      <c r="R75" s="28">
        <f t="shared" si="36"/>
        <v>14.440042197696144</v>
      </c>
      <c r="S75" s="28">
        <f t="shared" si="37"/>
        <v>14.440042197696144</v>
      </c>
      <c r="U75" s="76">
        <f xml:space="preserve"> IF( $C74,   SUM('i1'!$R75),   #N/A  )</f>
        <v>450142</v>
      </c>
      <c r="V75" s="76">
        <f xml:space="preserve"> IF( $C74,   SUM('i2'!$R75),   #N/A  )</f>
        <v>450142</v>
      </c>
      <c r="W75" s="76">
        <f xml:space="preserve"> IF( $C74,   SUM('i3'!$R75),   #N/A  )</f>
        <v>450142</v>
      </c>
      <c r="Y75" s="33"/>
      <c r="Z75" s="22">
        <f xml:space="preserve"> IF( $C75,   IF( 'i1'!$J75=LEER,  #N/A,  'i1'!$J75  ),   #N/A  )</f>
        <v>4.181</v>
      </c>
      <c r="AA75" s="22">
        <f xml:space="preserve"> IF( $D75,   IF( 'i2'!$J75=LEER,  #N/A,  'i2'!$J75  ),   #N/A  )</f>
        <v>4.181</v>
      </c>
      <c r="AB75" s="22">
        <f xml:space="preserve"> IF( $E75,   IF( 'i3'!$J75=LEER,  #N/A,  'i3'!$J75  ),   #N/A  )</f>
        <v>4.181</v>
      </c>
      <c r="AC75" s="75"/>
      <c r="AD75" s="26">
        <f t="shared" si="39"/>
        <v>8687.23999</v>
      </c>
      <c r="AE75" s="26">
        <f t="shared" si="40"/>
        <v>8687.23999</v>
      </c>
      <c r="AF75" s="26">
        <f t="shared" si="41"/>
        <v>8687.23999</v>
      </c>
      <c r="AG75" s="23"/>
      <c r="AH75" s="24">
        <f xml:space="preserve">    IF(  'i1'!$AK75=LEER,  #N/A,  ROUND( 'i1'!$AK75, AH$15 )  )</f>
        <v>1014.22</v>
      </c>
      <c r="AI75" s="24">
        <f xml:space="preserve">    IF(  'i2'!$AK75=LEER,  #N/A,  ROUND( 'i2'!$AK75, AI$15 )  )</f>
        <v>1014.22</v>
      </c>
      <c r="AJ75" s="24">
        <f xml:space="preserve">    IF(  'i3'!$AK75=LEER,  #N/A,  ROUND( 'i3'!$AK75, AJ$15 )  )</f>
        <v>1014.22</v>
      </c>
      <c r="AL75" s="102">
        <f t="shared" si="42"/>
        <v>1014.22</v>
      </c>
      <c r="AO75" s="24">
        <f xml:space="preserve">    IF( 'i1'!$AN75=LEER,  #N/A,  'i1'!$AN75  )</f>
        <v>80706.070000000007</v>
      </c>
      <c r="AP75" s="24">
        <f xml:space="preserve">    IF( 'i2'!$AN75=LEER,  #N/A,  'i2'!$AN75  )</f>
        <v>80706.070000000007</v>
      </c>
      <c r="AQ75" s="24">
        <f xml:space="preserve">    IF( 'i3'!$AN75=LEER,  #N/A,  'i3'!$AN75  )</f>
        <v>80706.070000000007</v>
      </c>
      <c r="AS75" s="24">
        <f xml:space="preserve">    IF( 'i1'!$AO75=LEER,  #N/A,  'i1'!$AO75  )</f>
        <v>80141.399999999994</v>
      </c>
      <c r="AT75" s="24">
        <f xml:space="preserve">    IF( 'i2'!$AO75=LEER,  #N/A,  'i2'!$AO75  )</f>
        <v>80141.399999999994</v>
      </c>
      <c r="AU75" s="24">
        <f xml:space="preserve">    IF( 'i3'!$AO75=LEER,  #N/A,  'i3'!$AO75  )</f>
        <v>80141.399999999994</v>
      </c>
      <c r="AW75" s="28">
        <f t="shared" si="38"/>
        <v>38.842300000000002</v>
      </c>
      <c r="AX75" s="28">
        <f t="shared" si="29"/>
        <v>38.842300000000002</v>
      </c>
      <c r="AY75" s="28">
        <f t="shared" si="30"/>
        <v>38.842300000000002</v>
      </c>
      <c r="BA75" s="28">
        <f t="shared" si="43"/>
        <v>38.570500000000003</v>
      </c>
      <c r="BB75" s="28">
        <f t="shared" si="44"/>
        <v>38.570500000000003</v>
      </c>
      <c r="BC75" s="28">
        <f t="shared" si="45"/>
        <v>38.570500000000003</v>
      </c>
      <c r="BG75" s="24">
        <f xml:space="preserve">    IF( 'i1'!BT75=LEER,  #N/A,  'i1'!BT75  )</f>
        <v>-4498.54</v>
      </c>
      <c r="BH75" s="24">
        <f xml:space="preserve">    IF( 'i1'!BR75=LEER,  #N/A,  'i1'!BR75  )</f>
        <v>82023.19</v>
      </c>
      <c r="BI75" s="111">
        <f t="shared" si="34"/>
        <v>77524.650000000009</v>
      </c>
      <c r="BJ75" s="24">
        <f xml:space="preserve">    IF( 'i1'!BX75=LEER,  #N/A,  'i1'!BX75  )</f>
        <v>3181.4199999999983</v>
      </c>
      <c r="BL75" s="24">
        <f xml:space="preserve">    IF( 'i1'!CB75=LEER,  #N/A,  'i1'!CB75  )</f>
        <v>-4955.68</v>
      </c>
      <c r="BM75" s="24">
        <f xml:space="preserve">    IF( 'i1'!CC75=LEER,  #N/A,  'i1'!CC75  )</f>
        <v>2017.65</v>
      </c>
      <c r="BN75" s="24">
        <f xml:space="preserve">    IF( 'i1'!CD75=LEER,  #N/A,  'i1'!CD75  )</f>
        <v>1336.88</v>
      </c>
      <c r="BO75" s="24">
        <f xml:space="preserve">    IF( 'i1'!CE75=LEER,  #N/A,  'i1'!CE75  )</f>
        <v>-1601.15</v>
      </c>
      <c r="BQ75" s="24">
        <f xml:space="preserve">    IF( 'i1'!CI75=LEER,  #N/A,  'i1'!CI75  )</f>
        <v>8687.24</v>
      </c>
      <c r="BR75" s="24">
        <f xml:space="preserve">    IF( 'i1'!CJ75=LEER,  #N/A,  'i1'!CJ75  )</f>
        <v>-3530.33</v>
      </c>
      <c r="BS75" s="24">
        <f xml:space="preserve">    IF( 'i1'!CK75=LEER,  #N/A,  'i1'!CK75  )</f>
        <v>-1304.27</v>
      </c>
      <c r="BT75" s="38">
        <f xml:space="preserve">    IF( 'i1'!CH75=LEER,  #N/A,  'i1'!CH75  )</f>
        <v>3852.4304390000002</v>
      </c>
      <c r="BV75" s="24">
        <f xml:space="preserve">    IF( 'i1'!CO75=LEER,  #N/A,  'i1'!CO75  )</f>
        <v>8687.24</v>
      </c>
      <c r="BW75" s="24">
        <f xml:space="preserve">    IF( 'i1'!CP75=LEER,  #N/A,  'i1'!CP75  )</f>
        <v>-3493.12</v>
      </c>
      <c r="BX75" s="24">
        <f xml:space="preserve">    IF( 'i1'!CQ75=LEER,  #N/A,  'i1'!CQ75  )</f>
        <v>-1295.3599999999999</v>
      </c>
      <c r="BY75" s="38">
        <f xml:space="preserve">    IF( 'i1'!CN75=LEER,  #N/A,  'i1'!CN75  )</f>
        <v>3898.5573770000001</v>
      </c>
      <c r="CD75" s="113" t="e">
        <f xml:space="preserve"> IF(  AND( $A75&lt;&gt;$CD$14, OR( 'i1'!EO75=LEER, 'i1'!EM75&lt;&gt;LEER ) ), #N/A, 'i1'!EO75 )</f>
        <v>#N/A</v>
      </c>
      <c r="CE75" s="113">
        <f xml:space="preserve"> IF(   'i1'!EM75=LEER, #N/A,  'i1'!EM75 )</f>
        <v>24903.5</v>
      </c>
      <c r="CF75" s="114">
        <f xml:space="preserve"> IF(   'i1'!EL75=LEER, #N/A, 'i1'!EL75 + 'i1'!EM75 )</f>
        <v>80145.91</v>
      </c>
      <c r="CW75" s="104">
        <f xml:space="preserve"> 'i1'!FN75</f>
        <v>75</v>
      </c>
      <c r="CX75" s="106">
        <f xml:space="preserve"> IF(  INDEX( 'i1'!$FS75:$JO75, CX$13 ) = LEER,  #N/A,  INDEX( 'i1'!$FS75:$JO75, CX$13 )  )</f>
        <v>97333.37</v>
      </c>
      <c r="CY75" s="106">
        <f xml:space="preserve"> IF(  INDEX( 'i1'!$FS75:$JO75, CY$13 ) = LEER,  #N/A,  INDEX( 'i1'!$FS75:$JO75, CY$13 )  )</f>
        <v>92070.73</v>
      </c>
      <c r="CZ75" s="106">
        <f xml:space="preserve"> IF(  INDEX( 'i1'!$FS75:$JO75, CZ$13 ) = LEER,  #N/A,  INDEX( 'i1'!$FS75:$JO75, CZ$13 )  )</f>
        <v>86383.31</v>
      </c>
      <c r="DA75" s="106">
        <f xml:space="preserve"> IF(  INDEX( 'i1'!$FS75:$JO75, DA$13 ) = LEER,  #N/A,  INDEX( 'i1'!$FS75:$JO75, DA$13 )  )</f>
        <v>80141.399999999994</v>
      </c>
      <c r="DB75" s="106">
        <f xml:space="preserve"> IF(  INDEX( 'i1'!$FS75:$JO75, DB$13 ) = LEER,  #N/A,  INDEX( 'i1'!$FS75:$JO75, DB$13 )  )</f>
        <v>73154.210000000006</v>
      </c>
      <c r="DC75" s="106">
        <f xml:space="preserve"> IF(  INDEX( 'i1'!$FS75:$JO75, DC$13 ) = LEER,  #N/A,  INDEX( 'i1'!$FS75:$JO75, DC$13 )  )</f>
        <v>64900.34</v>
      </c>
      <c r="DD75" s="106">
        <f xml:space="preserve"> IF(  INDEX( 'i1'!$FS75:$JO75, DD$13 ) = LEER,  #N/A,  INDEX( 'i1'!$FS75:$JO75, DD$13 )  )</f>
        <v>55242.41</v>
      </c>
      <c r="DE75" s="106">
        <f xml:space="preserve"> IF(  INDEX( 'i1'!$FS75:$JO75, DE$13 ) = LEER,  #N/A,  INDEX( 'i1'!$FS75:$JO75, DE$13 )  )</f>
        <v>44582.31</v>
      </c>
      <c r="DF75" s="106">
        <f xml:space="preserve"> IF(  INDEX( 'i1'!$FS75:$JO75, DF$13 ) = LEER,  #N/A,  INDEX( 'i1'!$FS75:$JO75, DF$13 )  )</f>
        <v>33230.370000000003</v>
      </c>
      <c r="DG75" s="106">
        <f xml:space="preserve"> IF(  INDEX( 'i1'!$FS75:$JO75, DG$13 ) = LEER,  #N/A,  INDEX( 'i1'!$FS75:$JO75, DG$13 )  )</f>
        <v>21199.29</v>
      </c>
      <c r="DH75" s="106">
        <f xml:space="preserve"> IF(  INDEX( 'i1'!$FS75:$JO75, DH$13 ) = LEER,  #N/A,  INDEX( 'i1'!$FS75:$JO75, DH$13 )  )</f>
        <v>9572.64</v>
      </c>
      <c r="DI75" s="106">
        <f xml:space="preserve"> IF(  INDEX( 'i1'!$FS75:$JO75, DI$13 ) = LEER,  #N/A,  INDEX( 'i1'!$FS75:$JO75, DI$13 )  )</f>
        <v>1.19</v>
      </c>
      <c r="DJ75" s="106" t="e">
        <f xml:space="preserve"> IF(  INDEX( 'i1'!$FS75:$JO75, DJ$13 ) = LEER,  #N/A,  INDEX( 'i1'!$FS75:$JO75, DJ$13 )  )</f>
        <v>#N/A</v>
      </c>
      <c r="DK75" s="106" t="e">
        <f xml:space="preserve"> IF(  INDEX( 'i1'!$FS75:$JO75, DK$13 ) = LEER,  #N/A,  INDEX( 'i1'!$FS75:$JO75, DK$13 )  )</f>
        <v>#N/A</v>
      </c>
      <c r="DL75" s="106" t="e">
        <f xml:space="preserve"> IF(  INDEX( 'i1'!$FS75:$JO75, DL$13 ) = LEER,  #N/A,  INDEX( 'i1'!$FS75:$JO75, DL$13 )  )</f>
        <v>#N/A</v>
      </c>
      <c r="DM75" s="106" t="e">
        <f xml:space="preserve"> IF(  INDEX( 'i1'!$FS75:$JO75, DM$13 ) = LEER,  #N/A,  INDEX( 'i1'!$FS75:$JO75, DM$13 )  )</f>
        <v>#N/A</v>
      </c>
      <c r="DN75" s="106" t="e">
        <f xml:space="preserve"> IF(  INDEX( 'i1'!$FS75:$JO75, DN$13 ) = LEER,  #N/A,  INDEX( 'i1'!$FS75:$JO75, DN$13 )  )</f>
        <v>#N/A</v>
      </c>
    </row>
    <row r="76" spans="1:118" x14ac:dyDescent="0.2">
      <c r="A76" s="15">
        <f xml:space="preserve"> Basis!A76</f>
        <v>76</v>
      </c>
      <c r="C76" s="24" t="b">
        <f xml:space="preserve"> 'i1'!$O76</f>
        <v>1</v>
      </c>
      <c r="D76" s="24" t="b">
        <f xml:space="preserve"> 'i2'!$O76</f>
        <v>1</v>
      </c>
      <c r="E76" s="24" t="b">
        <f xml:space="preserve"> 'i3'!$O76</f>
        <v>1</v>
      </c>
      <c r="G76" s="27">
        <f xml:space="preserve"> IF( $C77,   IF( 'i1'!$P76=LEER,  #N/A,  'i1'!$P76  ),   #N/A  )</f>
        <v>1.8700000000000001E-2</v>
      </c>
      <c r="H76" s="27">
        <f xml:space="preserve"> IF( $D77,   IF( 'i2'!$P76=LEER,  #N/A,  'i2'!$P76  ),   #N/A  )</f>
        <v>1.8700000000000001E-2</v>
      </c>
      <c r="I76" s="27">
        <f xml:space="preserve"> IF( $E77,   IF( 'i3'!$P76=LEER,  #N/A,  'i3'!$P76  ),   #N/A  )</f>
        <v>1.8700000000000001E-2</v>
      </c>
      <c r="J76" s="158"/>
      <c r="K76" s="27">
        <f xml:space="preserve"> IF( $C77,   IF( 'i1'!$G76=LEER,  #N/A,  'i1'!$G76  ),   #N/A  )</f>
        <v>2.2000000000000001E-3</v>
      </c>
      <c r="L76" s="27">
        <f xml:space="preserve"> IF( $D77,   IF( 'i2'!$G76=LEER,  #N/A,  'i2'!$G76  ),   #N/A  )</f>
        <v>2.2000000000000001E-3</v>
      </c>
      <c r="M76" s="27">
        <f xml:space="preserve"> IF( $E77,   IF( 'i3'!$G76=LEER,  #N/A,  'i3'!$G76  ),   #N/A  )</f>
        <v>2.2000000000000001E-3</v>
      </c>
      <c r="N76" s="158"/>
      <c r="O76" s="158"/>
      <c r="Q76" s="28">
        <f t="shared" si="35"/>
        <v>13.679678768890392</v>
      </c>
      <c r="R76" s="28">
        <f t="shared" si="36"/>
        <v>13.679678768890392</v>
      </c>
      <c r="S76" s="28">
        <f t="shared" si="37"/>
        <v>13.679678768890392</v>
      </c>
      <c r="U76" s="76">
        <f xml:space="preserve"> IF( $C75,   SUM('i1'!$R76),   #N/A  )</f>
        <v>442534</v>
      </c>
      <c r="V76" s="76">
        <f xml:space="preserve"> IF( $C75,   SUM('i2'!$R76),   #N/A  )</f>
        <v>442534</v>
      </c>
      <c r="W76" s="76">
        <f xml:space="preserve"> IF( $C75,   SUM('i3'!$R76),   #N/A  )</f>
        <v>442534</v>
      </c>
      <c r="Y76" s="33"/>
      <c r="Z76" s="22">
        <f xml:space="preserve"> IF( $C76,   IF( 'i1'!$J76=LEER,  #N/A,  'i1'!$J76  ),   #N/A  )</f>
        <v>4.3609999999999998</v>
      </c>
      <c r="AA76" s="22">
        <f xml:space="preserve"> IF( $D76,   IF( 'i2'!$J76=LEER,  #N/A,  'i2'!$J76  ),   #N/A  )</f>
        <v>4.3609999999999998</v>
      </c>
      <c r="AB76" s="22">
        <f xml:space="preserve"> IF( $E76,   IF( 'i3'!$J76=LEER,  #N/A,  'i3'!$J76  ),   #N/A  )</f>
        <v>4.3609999999999998</v>
      </c>
      <c r="AC76" s="75"/>
      <c r="AD76" s="26">
        <f t="shared" si="39"/>
        <v>9061.242189999999</v>
      </c>
      <c r="AE76" s="26">
        <f t="shared" si="40"/>
        <v>9061.242189999999</v>
      </c>
      <c r="AF76" s="26">
        <f t="shared" si="41"/>
        <v>9061.242189999999</v>
      </c>
      <c r="AG76" s="23"/>
      <c r="AH76" s="24">
        <f xml:space="preserve">    IF(  'i1'!$AK76=LEER,  #N/A,  ROUND( 'i1'!$AK76, AH$15 )  )</f>
        <v>1028.49</v>
      </c>
      <c r="AI76" s="24">
        <f xml:space="preserve">    IF(  'i2'!$AK76=LEER,  #N/A,  ROUND( 'i2'!$AK76, AI$15 )  )</f>
        <v>1028.49</v>
      </c>
      <c r="AJ76" s="24">
        <f xml:space="preserve">    IF(  'i3'!$AK76=LEER,  #N/A,  ROUND( 'i3'!$AK76, AJ$15 )  )</f>
        <v>1028.49</v>
      </c>
      <c r="AL76" s="102">
        <f t="shared" si="42"/>
        <v>1028.49</v>
      </c>
      <c r="AO76" s="24">
        <f xml:space="preserve">    IF( 'i1'!$AN76=LEER,  #N/A,  'i1'!$AN76  )</f>
        <v>79105.13</v>
      </c>
      <c r="AP76" s="24">
        <f xml:space="preserve">    IF( 'i2'!$AN76=LEER,  #N/A,  'i2'!$AN76  )</f>
        <v>79105.13</v>
      </c>
      <c r="AQ76" s="24">
        <f xml:space="preserve">    IF( 'i3'!$AN76=LEER,  #N/A,  'i3'!$AN76  )</f>
        <v>79105.13</v>
      </c>
      <c r="AS76" s="24">
        <f xml:space="preserve">    IF( 'i1'!$AO76=LEER,  #N/A,  'i1'!$AO76  )</f>
        <v>78564.490000000005</v>
      </c>
      <c r="AT76" s="24">
        <f xml:space="preserve">    IF( 'i2'!$AO76=LEER,  #N/A,  'i2'!$AO76  )</f>
        <v>78564.490000000005</v>
      </c>
      <c r="AU76" s="24">
        <f xml:space="preserve">    IF( 'i3'!$AO76=LEER,  #N/A,  'i3'!$AO76  )</f>
        <v>78564.490000000005</v>
      </c>
      <c r="AW76" s="28">
        <f t="shared" si="38"/>
        <v>38.071800000000003</v>
      </c>
      <c r="AX76" s="28">
        <f t="shared" si="29"/>
        <v>38.071800000000003</v>
      </c>
      <c r="AY76" s="28">
        <f t="shared" si="30"/>
        <v>38.071800000000003</v>
      </c>
      <c r="BA76" s="28">
        <f t="shared" si="43"/>
        <v>37.811599999999999</v>
      </c>
      <c r="BB76" s="28">
        <f t="shared" si="44"/>
        <v>37.811599999999999</v>
      </c>
      <c r="BC76" s="28">
        <f t="shared" si="45"/>
        <v>37.811599999999999</v>
      </c>
      <c r="BG76" s="24">
        <f xml:space="preserve">    IF( 'i1'!BT76=LEER,  #N/A,  'i1'!BT76  )</f>
        <v>-4835.6099999999997</v>
      </c>
      <c r="BH76" s="24">
        <f xml:space="preserve">    IF( 'i1'!BR76=LEER,  #N/A,  'i1'!BR76  )</f>
        <v>80706.070000000007</v>
      </c>
      <c r="BI76" s="111">
        <f t="shared" si="34"/>
        <v>75870.460000000006</v>
      </c>
      <c r="BJ76" s="24">
        <f xml:space="preserve">    IF( 'i1'!BX76=LEER,  #N/A,  'i1'!BX76  )</f>
        <v>3234.6699999999983</v>
      </c>
      <c r="BL76" s="24">
        <f xml:space="preserve">    IF( 'i1'!CB76=LEER,  #N/A,  'i1'!CB76  )</f>
        <v>-5339.03</v>
      </c>
      <c r="BM76" s="24">
        <f xml:space="preserve">    IF( 'i1'!CC76=LEER,  #N/A,  'i1'!CC76  )</f>
        <v>1977.63</v>
      </c>
      <c r="BN76" s="24">
        <f xml:space="preserve">    IF( 'i1'!CD76=LEER,  #N/A,  'i1'!CD76  )</f>
        <v>1443.41</v>
      </c>
      <c r="BO76" s="24">
        <f xml:space="preserve">    IF( 'i1'!CE76=LEER,  #N/A,  'i1'!CE76  )</f>
        <v>-1917.9899999999996</v>
      </c>
      <c r="BQ76" s="24">
        <f xml:space="preserve">    IF( 'i1'!CI76=LEER,  #N/A,  'i1'!CI76  )</f>
        <v>9061.24</v>
      </c>
      <c r="BR76" s="24">
        <f xml:space="preserve">    IF( 'i1'!CJ76=LEER,  #N/A,  'i1'!CJ76  )</f>
        <v>-3800.31</v>
      </c>
      <c r="BS76" s="24">
        <f xml:space="preserve">    IF( 'i1'!CK76=LEER,  #N/A,  'i1'!CK76  )</f>
        <v>-1408.2</v>
      </c>
      <c r="BT76" s="38">
        <f xml:space="preserve">    IF( 'i1'!CH76=LEER,  #N/A,  'i1'!CH76  )</f>
        <v>3852.4304390000002</v>
      </c>
      <c r="BV76" s="24">
        <f xml:space="preserve">    IF( 'i1'!CO76=LEER,  #N/A,  'i1'!CO76  )</f>
        <v>9061.24</v>
      </c>
      <c r="BW76" s="24">
        <f xml:space="preserve">    IF( 'i1'!CP76=LEER,  #N/A,  'i1'!CP76  )</f>
        <v>-3763.61</v>
      </c>
      <c r="BX76" s="24">
        <f xml:space="preserve">    IF( 'i1'!CQ76=LEER,  #N/A,  'i1'!CQ76  )</f>
        <v>-1398.78</v>
      </c>
      <c r="BY76" s="38">
        <f xml:space="preserve">    IF( 'i1'!CN76=LEER,  #N/A,  'i1'!CN76  )</f>
        <v>3898.5573770000001</v>
      </c>
      <c r="CD76" s="113" t="e">
        <f xml:space="preserve"> IF(  AND( $A76&lt;&gt;$CD$14, OR( 'i1'!EO76=LEER, 'i1'!EM76&lt;&gt;LEER ) ), #N/A, 'i1'!EO76 )</f>
        <v>#N/A</v>
      </c>
      <c r="CE76" s="113">
        <f xml:space="preserve"> IF(   'i1'!EM76=LEER, #N/A,  'i1'!EM76 )</f>
        <v>23843.83</v>
      </c>
      <c r="CF76" s="114">
        <f xml:space="preserve"> IF(   'i1'!EL76=LEER, #N/A, 'i1'!EL76 + 'i1'!EM76 )</f>
        <v>78568.81</v>
      </c>
      <c r="CW76" s="104">
        <f xml:space="preserve"> 'i1'!FN76</f>
        <v>76</v>
      </c>
      <c r="CX76" s="106">
        <f xml:space="preserve"> IF(  INDEX( 'i1'!$FS76:$JO76, CX$13 ) = LEER,  #N/A,  INDEX( 'i1'!$FS76:$JO76, CX$13 )  )</f>
        <v>95024.92</v>
      </c>
      <c r="CY76" s="106">
        <f xml:space="preserve"> IF(  INDEX( 'i1'!$FS76:$JO76, CY$13 ) = LEER,  #N/A,  INDEX( 'i1'!$FS76:$JO76, CY$13 )  )</f>
        <v>89986.21</v>
      </c>
      <c r="CZ76" s="106">
        <f xml:space="preserve"> IF(  INDEX( 'i1'!$FS76:$JO76, CZ$13 ) = LEER,  #N/A,  INDEX( 'i1'!$FS76:$JO76, CZ$13 )  )</f>
        <v>84540.800000000003</v>
      </c>
      <c r="DA76" s="106">
        <f xml:space="preserve"> IF(  INDEX( 'i1'!$FS76:$JO76, DA$13 ) = LEER,  #N/A,  INDEX( 'i1'!$FS76:$JO76, DA$13 )  )</f>
        <v>78564.490000000005</v>
      </c>
      <c r="DB76" s="106">
        <f xml:space="preserve"> IF(  INDEX( 'i1'!$FS76:$JO76, DB$13 ) = LEER,  #N/A,  INDEX( 'i1'!$FS76:$JO76, DB$13 )  )</f>
        <v>71874.62</v>
      </c>
      <c r="DC76" s="106">
        <f xml:space="preserve"> IF(  INDEX( 'i1'!$FS76:$JO76, DC$13 ) = LEER,  #N/A,  INDEX( 'i1'!$FS76:$JO76, DC$13 )  )</f>
        <v>63971.95</v>
      </c>
      <c r="DD76" s="106">
        <f xml:space="preserve"> IF(  INDEX( 'i1'!$FS76:$JO76, DD$13 ) = LEER,  #N/A,  INDEX( 'i1'!$FS76:$JO76, DD$13 )  )</f>
        <v>54724.98</v>
      </c>
      <c r="DE76" s="106">
        <f xml:space="preserve"> IF(  INDEX( 'i1'!$FS76:$JO76, DE$13 ) = LEER,  #N/A,  INDEX( 'i1'!$FS76:$JO76, DE$13 )  )</f>
        <v>44518.49</v>
      </c>
      <c r="DF76" s="106">
        <f xml:space="preserve"> IF(  INDEX( 'i1'!$FS76:$JO76, DF$13 ) = LEER,  #N/A,  INDEX( 'i1'!$FS76:$JO76, DF$13 )  )</f>
        <v>33649.58</v>
      </c>
      <c r="DG76" s="106">
        <f xml:space="preserve"> IF(  INDEX( 'i1'!$FS76:$JO76, DG$13 ) = LEER,  #N/A,  INDEX( 'i1'!$FS76:$JO76, DG$13 )  )</f>
        <v>22130.44</v>
      </c>
      <c r="DH76" s="106">
        <f xml:space="preserve"> IF(  INDEX( 'i1'!$FS76:$JO76, DH$13 ) = LEER,  #N/A,  INDEX( 'i1'!$FS76:$JO76, DH$13 )  )</f>
        <v>10998.52</v>
      </c>
      <c r="DI76" s="106">
        <f xml:space="preserve"> IF(  INDEX( 'i1'!$FS76:$JO76, DI$13 ) = LEER,  #N/A,  INDEX( 'i1'!$FS76:$JO76, DI$13 )  )</f>
        <v>1834.35</v>
      </c>
      <c r="DJ76" s="106" t="e">
        <f xml:space="preserve"> IF(  INDEX( 'i1'!$FS76:$JO76, DJ$13 ) = LEER,  #N/A,  INDEX( 'i1'!$FS76:$JO76, DJ$13 )  )</f>
        <v>#N/A</v>
      </c>
      <c r="DK76" s="106" t="e">
        <f xml:space="preserve"> IF(  INDEX( 'i1'!$FS76:$JO76, DK$13 ) = LEER,  #N/A,  INDEX( 'i1'!$FS76:$JO76, DK$13 )  )</f>
        <v>#N/A</v>
      </c>
      <c r="DL76" s="106" t="e">
        <f xml:space="preserve"> IF(  INDEX( 'i1'!$FS76:$JO76, DL$13 ) = LEER,  #N/A,  INDEX( 'i1'!$FS76:$JO76, DL$13 )  )</f>
        <v>#N/A</v>
      </c>
      <c r="DM76" s="106" t="e">
        <f xml:space="preserve"> IF(  INDEX( 'i1'!$FS76:$JO76, DM$13 ) = LEER,  #N/A,  INDEX( 'i1'!$FS76:$JO76, DM$13 )  )</f>
        <v>#N/A</v>
      </c>
      <c r="DN76" s="106" t="e">
        <f xml:space="preserve"> IF(  INDEX( 'i1'!$FS76:$JO76, DN$13 ) = LEER,  #N/A,  INDEX( 'i1'!$FS76:$JO76, DN$13 )  )</f>
        <v>#N/A</v>
      </c>
    </row>
    <row r="77" spans="1:118" x14ac:dyDescent="0.2">
      <c r="A77" s="15">
        <f xml:space="preserve"> Basis!A77</f>
        <v>77</v>
      </c>
      <c r="C77" s="24" t="b">
        <f xml:space="preserve"> 'i1'!$O77</f>
        <v>1</v>
      </c>
      <c r="D77" s="24" t="b">
        <f xml:space="preserve"> 'i2'!$O77</f>
        <v>1</v>
      </c>
      <c r="E77" s="24" t="b">
        <f xml:space="preserve"> 'i3'!$O77</f>
        <v>1</v>
      </c>
      <c r="G77" s="27">
        <f xml:space="preserve"> IF( $C78,   IF( 'i1'!$P77=LEER,  #N/A,  'i1'!$P77  ),   #N/A  )</f>
        <v>2.07E-2</v>
      </c>
      <c r="H77" s="27">
        <f xml:space="preserve"> IF( $D78,   IF( 'i2'!$P77=LEER,  #N/A,  'i2'!$P77  ),   #N/A  )</f>
        <v>2.07E-2</v>
      </c>
      <c r="I77" s="27">
        <f xml:space="preserve"> IF( $E78,   IF( 'i3'!$P77=LEER,  #N/A,  'i3'!$P77  ),   #N/A  )</f>
        <v>2.07E-2</v>
      </c>
      <c r="J77" s="158"/>
      <c r="K77" s="27">
        <f xml:space="preserve"> IF( $C78,   IF( 'i1'!$G77=LEER,  #N/A,  'i1'!$G77  ),   #N/A  )</f>
        <v>2E-3</v>
      </c>
      <c r="L77" s="27">
        <f xml:space="preserve"> IF( $D78,   IF( 'i2'!$G77=LEER,  #N/A,  'i2'!$G77  ),   #N/A  )</f>
        <v>2E-3</v>
      </c>
      <c r="M77" s="27">
        <f xml:space="preserve"> IF( $E78,   IF( 'i3'!$G77=LEER,  #N/A,  'i3'!$G77  ),   #N/A  )</f>
        <v>2E-3</v>
      </c>
      <c r="N77" s="158"/>
      <c r="O77" s="158"/>
      <c r="Q77" s="28">
        <f t="shared" si="35"/>
        <v>12.930835390696416</v>
      </c>
      <c r="R77" s="28">
        <f t="shared" si="36"/>
        <v>12.930835390696416</v>
      </c>
      <c r="S77" s="28">
        <f t="shared" si="37"/>
        <v>12.930835390696416</v>
      </c>
      <c r="U77" s="76">
        <f xml:space="preserve"> IF( $C76,   SUM('i1'!$R77),   #N/A  )</f>
        <v>434258</v>
      </c>
      <c r="V77" s="76">
        <f xml:space="preserve"> IF( $C76,   SUM('i2'!$R77),   #N/A  )</f>
        <v>434258</v>
      </c>
      <c r="W77" s="76">
        <f xml:space="preserve"> IF( $C76,   SUM('i3'!$R77),   #N/A  )</f>
        <v>434258</v>
      </c>
      <c r="Y77" s="33"/>
      <c r="Z77" s="22">
        <f xml:space="preserve"> IF( $C77,   IF( 'i1'!$J77=LEER,  #N/A,  'i1'!$J77  ),   #N/A  )</f>
        <v>4.5209999999999999</v>
      </c>
      <c r="AA77" s="22">
        <f xml:space="preserve"> IF( $D77,   IF( 'i2'!$J77=LEER,  #N/A,  'i2'!$J77  ),   #N/A  )</f>
        <v>4.5209999999999999</v>
      </c>
      <c r="AB77" s="22">
        <f xml:space="preserve"> IF( $E77,   IF( 'i3'!$J77=LEER,  #N/A,  'i3'!$J77  ),   #N/A  )</f>
        <v>4.5209999999999999</v>
      </c>
      <c r="AC77" s="75"/>
      <c r="AD77" s="26">
        <f t="shared" si="39"/>
        <v>9393.6885899999997</v>
      </c>
      <c r="AE77" s="26">
        <f t="shared" si="40"/>
        <v>9393.6885899999997</v>
      </c>
      <c r="AF77" s="26">
        <f t="shared" si="41"/>
        <v>9393.6885899999997</v>
      </c>
      <c r="AG77" s="23"/>
      <c r="AH77" s="24">
        <f xml:space="preserve">    IF(  'i1'!$AK77=LEER,  #N/A,  ROUND( 'i1'!$AK77, AH$15 )  )</f>
        <v>1041.5999999999999</v>
      </c>
      <c r="AI77" s="24">
        <f xml:space="preserve">    IF(  'i2'!$AK77=LEER,  #N/A,  ROUND( 'i2'!$AK77, AI$15 )  )</f>
        <v>1041.5999999999999</v>
      </c>
      <c r="AJ77" s="24">
        <f xml:space="preserve">    IF(  'i3'!$AK77=LEER,  #N/A,  ROUND( 'i3'!$AK77, AJ$15 )  )</f>
        <v>1041.5999999999999</v>
      </c>
      <c r="AL77" s="102">
        <f t="shared" si="42"/>
        <v>1041.5999999999999</v>
      </c>
      <c r="AO77" s="24">
        <f xml:space="preserve">    IF( 'i1'!$AN77=LEER,  #N/A,  'i1'!$AN77  )</f>
        <v>77187.44</v>
      </c>
      <c r="AP77" s="24">
        <f xml:space="preserve">    IF( 'i2'!$AN77=LEER,  #N/A,  'i2'!$AN77  )</f>
        <v>77187.44</v>
      </c>
      <c r="AQ77" s="24">
        <f xml:space="preserve">    IF( 'i3'!$AN77=LEER,  #N/A,  'i3'!$AN77  )</f>
        <v>77187.44</v>
      </c>
      <c r="AS77" s="24">
        <f xml:space="preserve">    IF( 'i1'!$AO77=LEER,  #N/A,  'i1'!$AO77  )</f>
        <v>76670.899999999994</v>
      </c>
      <c r="AT77" s="24">
        <f xml:space="preserve">    IF( 'i2'!$AO77=LEER,  #N/A,  'i2'!$AO77  )</f>
        <v>76670.899999999994</v>
      </c>
      <c r="AU77" s="24">
        <f xml:space="preserve">    IF( 'i3'!$AO77=LEER,  #N/A,  'i3'!$AO77  )</f>
        <v>76670.899999999994</v>
      </c>
      <c r="AW77" s="28">
        <f t="shared" si="38"/>
        <v>37.148800000000001</v>
      </c>
      <c r="AX77" s="28">
        <f t="shared" si="29"/>
        <v>37.148800000000001</v>
      </c>
      <c r="AY77" s="28">
        <f t="shared" si="30"/>
        <v>37.148800000000001</v>
      </c>
      <c r="BA77" s="28">
        <f t="shared" si="43"/>
        <v>36.900199999999998</v>
      </c>
      <c r="BB77" s="28">
        <f t="shared" si="44"/>
        <v>36.900199999999998</v>
      </c>
      <c r="BC77" s="28">
        <f t="shared" si="45"/>
        <v>36.900199999999998</v>
      </c>
      <c r="BG77" s="24">
        <f xml:space="preserve">    IF( 'i1'!BT77=LEER,  #N/A,  'i1'!BT77  )</f>
        <v>-5209.8500000000004</v>
      </c>
      <c r="BH77" s="24">
        <f xml:space="preserve">    IF( 'i1'!BR77=LEER,  #N/A,  'i1'!BR77  )</f>
        <v>79105.13</v>
      </c>
      <c r="BI77" s="111">
        <f t="shared" si="34"/>
        <v>73895.28</v>
      </c>
      <c r="BJ77" s="24">
        <f xml:space="preserve">    IF( 'i1'!BX77=LEER,  #N/A,  'i1'!BX77  )</f>
        <v>3292.1600000000035</v>
      </c>
      <c r="BL77" s="24">
        <f xml:space="preserve">    IF( 'i1'!CB77=LEER,  #N/A,  'i1'!CB77  )</f>
        <v>-5679.79</v>
      </c>
      <c r="BM77" s="24">
        <f xml:space="preserve">    IF( 'i1'!CC77=LEER,  #N/A,  'i1'!CC77  )</f>
        <v>1929.69</v>
      </c>
      <c r="BN77" s="24">
        <f xml:space="preserve">    IF( 'i1'!CD77=LEER,  #N/A,  'i1'!CD77  )</f>
        <v>1552.28</v>
      </c>
      <c r="BO77" s="24">
        <f xml:space="preserve">    IF( 'i1'!CE77=LEER,  #N/A,  'i1'!CE77  )</f>
        <v>-2197.8199999999997</v>
      </c>
      <c r="BQ77" s="24">
        <f xml:space="preserve">    IF( 'i1'!CI77=LEER,  #N/A,  'i1'!CI77  )</f>
        <v>9393.69</v>
      </c>
      <c r="BR77" s="24">
        <f xml:space="preserve">    IF( 'i1'!CJ77=LEER,  #N/A,  'i1'!CJ77  )</f>
        <v>-4027</v>
      </c>
      <c r="BS77" s="24">
        <f xml:space="preserve">    IF( 'i1'!CK77=LEER,  #N/A,  'i1'!CK77  )</f>
        <v>-1514.42</v>
      </c>
      <c r="BT77" s="38">
        <f xml:space="preserve">    IF( 'i1'!CH77=LEER,  #N/A,  'i1'!CH77  )</f>
        <v>3852.4304390000002</v>
      </c>
      <c r="BV77" s="24">
        <f xml:space="preserve">    IF( 'i1'!CO77=LEER,  #N/A,  'i1'!CO77  )</f>
        <v>9393.69</v>
      </c>
      <c r="BW77" s="24">
        <f xml:space="preserve">    IF( 'i1'!CP77=LEER,  #N/A,  'i1'!CP77  )</f>
        <v>-3990.82</v>
      </c>
      <c r="BX77" s="24">
        <f xml:space="preserve">    IF( 'i1'!CQ77=LEER,  #N/A,  'i1'!CQ77  )</f>
        <v>-1504.48</v>
      </c>
      <c r="BY77" s="38">
        <f xml:space="preserve">    IF( 'i1'!CN77=LEER,  #N/A,  'i1'!CN77  )</f>
        <v>3898.5573770000001</v>
      </c>
      <c r="CD77" s="113" t="e">
        <f xml:space="preserve"> IF(  AND( $A77&lt;&gt;$CD$14, OR( 'i1'!EO77=LEER, 'i1'!EM77&lt;&gt;LEER ) ), #N/A, 'i1'!EO77 )</f>
        <v>#N/A</v>
      </c>
      <c r="CE77" s="113">
        <f xml:space="preserve"> IF(   'i1'!EM77=LEER, #N/A,  'i1'!EM77 )</f>
        <v>22780.69</v>
      </c>
      <c r="CF77" s="114">
        <f xml:space="preserve"> IF(   'i1'!EL77=LEER, #N/A, 'i1'!EL77 + 'i1'!EM77 )</f>
        <v>76675.03</v>
      </c>
      <c r="CW77" s="104">
        <f xml:space="preserve"> 'i1'!FN77</f>
        <v>77</v>
      </c>
      <c r="CX77" s="106">
        <f xml:space="preserve"> IF(  INDEX( 'i1'!$FS77:$JO77, CX$13 ) = LEER,  #N/A,  INDEX( 'i1'!$FS77:$JO77, CX$13 )  )</f>
        <v>92397.41</v>
      </c>
      <c r="CY77" s="106">
        <f xml:space="preserve"> IF(  INDEX( 'i1'!$FS77:$JO77, CY$13 ) = LEER,  #N/A,  INDEX( 'i1'!$FS77:$JO77, CY$13 )  )</f>
        <v>87583.360000000001</v>
      </c>
      <c r="CZ77" s="106">
        <f xml:space="preserve"> IF(  INDEX( 'i1'!$FS77:$JO77, CZ$13 ) = LEER,  #N/A,  INDEX( 'i1'!$FS77:$JO77, CZ$13 )  )</f>
        <v>82380.75</v>
      </c>
      <c r="DA77" s="106">
        <f xml:space="preserve"> IF(  INDEX( 'i1'!$FS77:$JO77, DA$13 ) = LEER,  #N/A,  INDEX( 'i1'!$FS77:$JO77, DA$13 )  )</f>
        <v>76670.899999999994</v>
      </c>
      <c r="DB77" s="106">
        <f xml:space="preserve"> IF(  INDEX( 'i1'!$FS77:$JO77, DB$13 ) = LEER,  #N/A,  INDEX( 'i1'!$FS77:$JO77, DB$13 )  )</f>
        <v>70279.320000000007</v>
      </c>
      <c r="DC77" s="106">
        <f xml:space="preserve"> IF(  INDEX( 'i1'!$FS77:$JO77, DC$13 ) = LEER,  #N/A,  INDEX( 'i1'!$FS77:$JO77, DC$13 )  )</f>
        <v>62729.01</v>
      </c>
      <c r="DD77" s="106">
        <f xml:space="preserve"> IF(  INDEX( 'i1'!$FS77:$JO77, DD$13 ) = LEER,  #N/A,  INDEX( 'i1'!$FS77:$JO77, DD$13 )  )</f>
        <v>53894.34</v>
      </c>
      <c r="DE77" s="106">
        <f xml:space="preserve"> IF(  INDEX( 'i1'!$FS77:$JO77, DE$13 ) = LEER,  #N/A,  INDEX( 'i1'!$FS77:$JO77, DE$13 )  )</f>
        <v>44142.93</v>
      </c>
      <c r="DF77" s="106">
        <f xml:space="preserve"> IF(  INDEX( 'i1'!$FS77:$JO77, DF$13 ) = LEER,  #N/A,  INDEX( 'i1'!$FS77:$JO77, DF$13 )  )</f>
        <v>33758.639999999999</v>
      </c>
      <c r="DG77" s="106">
        <f xml:space="preserve"> IF(  INDEX( 'i1'!$FS77:$JO77, DG$13 ) = LEER,  #N/A,  INDEX( 'i1'!$FS77:$JO77, DG$13 )  )</f>
        <v>22753.11</v>
      </c>
      <c r="DH77" s="106">
        <f xml:space="preserve"> IF(  INDEX( 'i1'!$FS77:$JO77, DH$13 ) = LEER,  #N/A,  INDEX( 'i1'!$FS77:$JO77, DH$13 )  )</f>
        <v>12117.53</v>
      </c>
      <c r="DI77" s="106">
        <f xml:space="preserve"> IF(  INDEX( 'i1'!$FS77:$JO77, DI$13 ) = LEER,  #N/A,  INDEX( 'i1'!$FS77:$JO77, DI$13 )  )</f>
        <v>3361.97</v>
      </c>
      <c r="DJ77" s="106" t="e">
        <f xml:space="preserve"> IF(  INDEX( 'i1'!$FS77:$JO77, DJ$13 ) = LEER,  #N/A,  INDEX( 'i1'!$FS77:$JO77, DJ$13 )  )</f>
        <v>#N/A</v>
      </c>
      <c r="DK77" s="106" t="e">
        <f xml:space="preserve"> IF(  INDEX( 'i1'!$FS77:$JO77, DK$13 ) = LEER,  #N/A,  INDEX( 'i1'!$FS77:$JO77, DK$13 )  )</f>
        <v>#N/A</v>
      </c>
      <c r="DL77" s="106" t="e">
        <f xml:space="preserve"> IF(  INDEX( 'i1'!$FS77:$JO77, DL$13 ) = LEER,  #N/A,  INDEX( 'i1'!$FS77:$JO77, DL$13 )  )</f>
        <v>#N/A</v>
      </c>
      <c r="DM77" s="106" t="e">
        <f xml:space="preserve"> IF(  INDEX( 'i1'!$FS77:$JO77, DM$13 ) = LEER,  #N/A,  INDEX( 'i1'!$FS77:$JO77, DM$13 )  )</f>
        <v>#N/A</v>
      </c>
      <c r="DN77" s="106" t="e">
        <f xml:space="preserve"> IF(  INDEX( 'i1'!$FS77:$JO77, DN$13 ) = LEER,  #N/A,  INDEX( 'i1'!$FS77:$JO77, DN$13 )  )</f>
        <v>#N/A</v>
      </c>
    </row>
    <row r="78" spans="1:118" x14ac:dyDescent="0.2">
      <c r="A78" s="15">
        <f xml:space="preserve"> Basis!A78</f>
        <v>78</v>
      </c>
      <c r="C78" s="24" t="b">
        <f xml:space="preserve"> 'i1'!$O78</f>
        <v>1</v>
      </c>
      <c r="D78" s="24" t="b">
        <f xml:space="preserve"> 'i2'!$O78</f>
        <v>1</v>
      </c>
      <c r="E78" s="24" t="b">
        <f xml:space="preserve"> 'i3'!$O78</f>
        <v>1</v>
      </c>
      <c r="G78" s="27">
        <f xml:space="preserve"> IF( $C79,   IF( 'i1'!$P78=LEER,  #N/A,  'i1'!$P78  ),   #N/A  )</f>
        <v>2.3199999999999998E-2</v>
      </c>
      <c r="H78" s="27">
        <f xml:space="preserve"> IF( $D79,   IF( 'i2'!$P78=LEER,  #N/A,  'i2'!$P78  ),   #N/A  )</f>
        <v>2.3199999999999998E-2</v>
      </c>
      <c r="I78" s="27">
        <f xml:space="preserve"> IF( $E79,   IF( 'i3'!$P78=LEER,  #N/A,  'i3'!$P78  ),   #N/A  )</f>
        <v>2.3199999999999998E-2</v>
      </c>
      <c r="J78" s="158"/>
      <c r="K78" s="27">
        <f xml:space="preserve"> IF( $C79,   IF( 'i1'!$G78=LEER,  #N/A,  'i1'!$G78  ),   #N/A  )</f>
        <v>1.9E-3</v>
      </c>
      <c r="L78" s="27">
        <f xml:space="preserve"> IF( $D79,   IF( 'i2'!$G78=LEER,  #N/A,  'i2'!$G78  ),   #N/A  )</f>
        <v>1.9E-3</v>
      </c>
      <c r="M78" s="27">
        <f xml:space="preserve"> IF( $E79,   IF( 'i3'!$G78=LEER,  #N/A,  'i3'!$G78  ),   #N/A  )</f>
        <v>1.9E-3</v>
      </c>
      <c r="N78" s="158"/>
      <c r="O78" s="158"/>
      <c r="Q78" s="28">
        <f t="shared" si="35"/>
        <v>12.193592760845926</v>
      </c>
      <c r="R78" s="28">
        <f t="shared" si="36"/>
        <v>12.193592760845926</v>
      </c>
      <c r="S78" s="28">
        <f t="shared" si="37"/>
        <v>12.193592760845926</v>
      </c>
      <c r="U78" s="76">
        <f xml:space="preserve"> IF( $C77,   SUM('i1'!$R78),   #N/A  )</f>
        <v>425268</v>
      </c>
      <c r="V78" s="76">
        <f xml:space="preserve"> IF( $C77,   SUM('i2'!$R78),   #N/A  )</f>
        <v>425268</v>
      </c>
      <c r="W78" s="76">
        <f xml:space="preserve"> IF( $C77,   SUM('i3'!$R78),   #N/A  )</f>
        <v>425268</v>
      </c>
      <c r="Y78" s="33"/>
      <c r="Z78" s="22">
        <f xml:space="preserve"> IF( $C78,   IF( 'i1'!$J78=LEER,  #N/A,  'i1'!$J78  ),   #N/A  )</f>
        <v>4.6749999999999998</v>
      </c>
      <c r="AA78" s="22">
        <f xml:space="preserve"> IF( $D78,   IF( 'i2'!$J78=LEER,  #N/A,  'i2'!$J78  ),   #N/A  )</f>
        <v>4.6749999999999998</v>
      </c>
      <c r="AB78" s="22">
        <f xml:space="preserve"> IF( $E78,   IF( 'i3'!$J78=LEER,  #N/A,  'i3'!$J78  ),   #N/A  )</f>
        <v>4.6749999999999998</v>
      </c>
      <c r="AC78" s="75"/>
      <c r="AD78" s="26">
        <f t="shared" si="39"/>
        <v>9713.6682499999988</v>
      </c>
      <c r="AE78" s="26">
        <f t="shared" si="40"/>
        <v>9713.6682499999988</v>
      </c>
      <c r="AF78" s="26">
        <f t="shared" si="41"/>
        <v>9713.6682499999988</v>
      </c>
      <c r="AG78" s="23"/>
      <c r="AH78" s="24">
        <f xml:space="preserve">    IF(  'i1'!$AK78=LEER,  #N/A,  ROUND( 'i1'!$AK78, AH$15 )  )</f>
        <v>1053.67</v>
      </c>
      <c r="AI78" s="24">
        <f xml:space="preserve">    IF(  'i2'!$AK78=LEER,  #N/A,  ROUND( 'i2'!$AK78, AI$15 )  )</f>
        <v>1053.67</v>
      </c>
      <c r="AJ78" s="24">
        <f xml:space="preserve">    IF(  'i3'!$AK78=LEER,  #N/A,  ROUND( 'i3'!$AK78, AJ$15 )  )</f>
        <v>1053.67</v>
      </c>
      <c r="AL78" s="102">
        <f t="shared" si="42"/>
        <v>1053.67</v>
      </c>
      <c r="AO78" s="24">
        <f xml:space="preserve">    IF( 'i1'!$AN78=LEER,  #N/A,  'i1'!$AN78  )</f>
        <v>74989.45</v>
      </c>
      <c r="AP78" s="24">
        <f xml:space="preserve">    IF( 'i2'!$AN78=LEER,  #N/A,  'i2'!$AN78  )</f>
        <v>74989.45</v>
      </c>
      <c r="AQ78" s="24">
        <f xml:space="preserve">    IF( 'i3'!$AN78=LEER,  #N/A,  'i3'!$AN78  )</f>
        <v>74989.45</v>
      </c>
      <c r="AS78" s="24">
        <f xml:space="preserve">    IF( 'i1'!$AO78=LEER,  #N/A,  'i1'!$AO78  )</f>
        <v>74497.08</v>
      </c>
      <c r="AT78" s="24">
        <f xml:space="preserve">    IF( 'i2'!$AO78=LEER,  #N/A,  'i2'!$AO78  )</f>
        <v>74497.08</v>
      </c>
      <c r="AU78" s="24">
        <f xml:space="preserve">    IF( 'i3'!$AO78=LEER,  #N/A,  'i3'!$AO78  )</f>
        <v>74497.08</v>
      </c>
      <c r="AW78" s="28">
        <f t="shared" si="38"/>
        <v>36.091000000000001</v>
      </c>
      <c r="AX78" s="28">
        <f t="shared" si="29"/>
        <v>36.091000000000001</v>
      </c>
      <c r="AY78" s="28">
        <f t="shared" si="30"/>
        <v>36.091000000000001</v>
      </c>
      <c r="BA78" s="28">
        <f t="shared" si="43"/>
        <v>35.853999999999999</v>
      </c>
      <c r="BB78" s="28">
        <f t="shared" si="44"/>
        <v>35.853999999999999</v>
      </c>
      <c r="BC78" s="28">
        <f t="shared" si="45"/>
        <v>35.853999999999999</v>
      </c>
      <c r="BG78" s="24">
        <f xml:space="preserve">    IF( 'i1'!BT78=LEER,  #N/A,  'i1'!BT78  )</f>
        <v>-5541.93</v>
      </c>
      <c r="BH78" s="24">
        <f xml:space="preserve">    IF( 'i1'!BR78=LEER,  #N/A,  'i1'!BR78  )</f>
        <v>77187.44</v>
      </c>
      <c r="BI78" s="111">
        <f t="shared" si="34"/>
        <v>71645.510000000009</v>
      </c>
      <c r="BJ78" s="24">
        <f xml:space="preserve">    IF( 'i1'!BX78=LEER,  #N/A,  'i1'!BX78  )</f>
        <v>3343.9399999999878</v>
      </c>
      <c r="BL78" s="24">
        <f xml:space="preserve">    IF( 'i1'!CB78=LEER,  #N/A,  'i1'!CB78  )</f>
        <v>-6007.77</v>
      </c>
      <c r="BM78" s="24">
        <f xml:space="preserve">    IF( 'i1'!CC78=LEER,  #N/A,  'i1'!CC78  )</f>
        <v>1874.74</v>
      </c>
      <c r="BN78" s="24">
        <f xml:space="preserve">    IF( 'i1'!CD78=LEER,  #N/A,  'i1'!CD78  )</f>
        <v>1682.91</v>
      </c>
      <c r="BO78" s="24">
        <f xml:space="preserve">    IF( 'i1'!CE78=LEER,  #N/A,  'i1'!CE78  )</f>
        <v>-2450.1200000000008</v>
      </c>
      <c r="BQ78" s="24">
        <f xml:space="preserve">    IF( 'i1'!CI78=LEER,  #N/A,  'i1'!CI78  )</f>
        <v>9713.67</v>
      </c>
      <c r="BR78" s="24">
        <f xml:space="preserve">    IF( 'i1'!CJ78=LEER,  #N/A,  'i1'!CJ78  )</f>
        <v>-4219.2700000000004</v>
      </c>
      <c r="BS78" s="24">
        <f xml:space="preserve">    IF( 'i1'!CK78=LEER,  #N/A,  'i1'!CK78  )</f>
        <v>-1641.87</v>
      </c>
      <c r="BT78" s="38">
        <f xml:space="preserve">    IF( 'i1'!CH78=LEER,  #N/A,  'i1'!CH78  )</f>
        <v>3852.4304390000002</v>
      </c>
      <c r="BV78" s="24">
        <f xml:space="preserve">    IF( 'i1'!CO78=LEER,  #N/A,  'i1'!CO78  )</f>
        <v>9713.67</v>
      </c>
      <c r="BW78" s="24">
        <f xml:space="preserve">    IF( 'i1'!CP78=LEER,  #N/A,  'i1'!CP78  )</f>
        <v>-4183.74</v>
      </c>
      <c r="BX78" s="24">
        <f xml:space="preserve">    IF( 'i1'!CQ78=LEER,  #N/A,  'i1'!CQ78  )</f>
        <v>-1631.27</v>
      </c>
      <c r="BY78" s="38">
        <f xml:space="preserve">    IF( 'i1'!CN78=LEER,  #N/A,  'i1'!CN78  )</f>
        <v>3898.5573770000001</v>
      </c>
      <c r="CD78" s="113" t="e">
        <f xml:space="preserve"> IF(  AND( $A78&lt;&gt;$CD$14, OR( 'i1'!EO78=LEER, 'i1'!EM78&lt;&gt;LEER ) ), #N/A, 'i1'!EO78 )</f>
        <v>#N/A</v>
      </c>
      <c r="CE78" s="113">
        <f xml:space="preserve"> IF(   'i1'!EM78=LEER, #N/A,  'i1'!EM78 )</f>
        <v>21714.71</v>
      </c>
      <c r="CF78" s="114">
        <f xml:space="preserve"> IF(   'i1'!EL78=LEER, #N/A, 'i1'!EL78 + 'i1'!EM78 )</f>
        <v>74501.01999999999</v>
      </c>
      <c r="CW78" s="104">
        <f xml:space="preserve"> 'i1'!FN78</f>
        <v>78</v>
      </c>
      <c r="CX78" s="106">
        <f xml:space="preserve"> IF(  INDEX( 'i1'!$FS78:$JO78, CX$13 ) = LEER,  #N/A,  INDEX( 'i1'!$FS78:$JO78, CX$13 )  )</f>
        <v>89487.69</v>
      </c>
      <c r="CY78" s="106">
        <f xml:space="preserve"> IF(  INDEX( 'i1'!$FS78:$JO78, CY$13 ) = LEER,  #N/A,  INDEX( 'i1'!$FS78:$JO78, CY$13 )  )</f>
        <v>84898.91</v>
      </c>
      <c r="CZ78" s="106">
        <f xml:space="preserve"> IF(  INDEX( 'i1'!$FS78:$JO78, CZ$13 ) = LEER,  #N/A,  INDEX( 'i1'!$FS78:$JO78, CZ$13 )  )</f>
        <v>79939.740000000005</v>
      </c>
      <c r="DA78" s="106">
        <f xml:space="preserve"> IF(  INDEX( 'i1'!$FS78:$JO78, DA$13 ) = LEER,  #N/A,  INDEX( 'i1'!$FS78:$JO78, DA$13 )  )</f>
        <v>74497.08</v>
      </c>
      <c r="DB78" s="106">
        <f xml:space="preserve"> IF(  INDEX( 'i1'!$FS78:$JO78, DB$13 ) = LEER,  #N/A,  INDEX( 'i1'!$FS78:$JO78, DB$13 )  )</f>
        <v>68404.58</v>
      </c>
      <c r="DC78" s="106">
        <f xml:space="preserve"> IF(  INDEX( 'i1'!$FS78:$JO78, DC$13 ) = LEER,  #N/A,  INDEX( 'i1'!$FS78:$JO78, DC$13 )  )</f>
        <v>61207.58</v>
      </c>
      <c r="DD78" s="106">
        <f xml:space="preserve"> IF(  INDEX( 'i1'!$FS78:$JO78, DD$13 ) = LEER,  #N/A,  INDEX( 'i1'!$FS78:$JO78, DD$13 )  )</f>
        <v>52786.31</v>
      </c>
      <c r="DE78" s="106">
        <f xml:space="preserve"> IF(  INDEX( 'i1'!$FS78:$JO78, DE$13 ) = LEER,  #N/A,  INDEX( 'i1'!$FS78:$JO78, DE$13 )  )</f>
        <v>43491.19</v>
      </c>
      <c r="DF78" s="106">
        <f xml:space="preserve"> IF(  INDEX( 'i1'!$FS78:$JO78, DF$13 ) = LEER,  #N/A,  INDEX( 'i1'!$FS78:$JO78, DF$13 )  )</f>
        <v>33592.82</v>
      </c>
      <c r="DG78" s="106">
        <f xml:space="preserve"> IF(  INDEX( 'i1'!$FS78:$JO78, DG$13 ) = LEER,  #N/A,  INDEX( 'i1'!$FS78:$JO78, DG$13 )  )</f>
        <v>23102.27</v>
      </c>
      <c r="DH78" s="106">
        <f xml:space="preserve"> IF(  INDEX( 'i1'!$FS78:$JO78, DH$13 ) = LEER,  #N/A,  INDEX( 'i1'!$FS78:$JO78, DH$13 )  )</f>
        <v>12964.37</v>
      </c>
      <c r="DI78" s="106">
        <f xml:space="preserve"> IF(  INDEX( 'i1'!$FS78:$JO78, DI$13 ) = LEER,  #N/A,  INDEX( 'i1'!$FS78:$JO78, DI$13 )  )</f>
        <v>4618.5</v>
      </c>
      <c r="DJ78" s="106" t="e">
        <f xml:space="preserve"> IF(  INDEX( 'i1'!$FS78:$JO78, DJ$13 ) = LEER,  #N/A,  INDEX( 'i1'!$FS78:$JO78, DJ$13 )  )</f>
        <v>#N/A</v>
      </c>
      <c r="DK78" s="106" t="e">
        <f xml:space="preserve"> IF(  INDEX( 'i1'!$FS78:$JO78, DK$13 ) = LEER,  #N/A,  INDEX( 'i1'!$FS78:$JO78, DK$13 )  )</f>
        <v>#N/A</v>
      </c>
      <c r="DL78" s="106" t="e">
        <f xml:space="preserve"> IF(  INDEX( 'i1'!$FS78:$JO78, DL$13 ) = LEER,  #N/A,  INDEX( 'i1'!$FS78:$JO78, DL$13 )  )</f>
        <v>#N/A</v>
      </c>
      <c r="DM78" s="106" t="e">
        <f xml:space="preserve"> IF(  INDEX( 'i1'!$FS78:$JO78, DM$13 ) = LEER,  #N/A,  INDEX( 'i1'!$FS78:$JO78, DM$13 )  )</f>
        <v>#N/A</v>
      </c>
      <c r="DN78" s="106" t="e">
        <f xml:space="preserve"> IF(  INDEX( 'i1'!$FS78:$JO78, DN$13 ) = LEER,  #N/A,  INDEX( 'i1'!$FS78:$JO78, DN$13 )  )</f>
        <v>#N/A</v>
      </c>
    </row>
    <row r="79" spans="1:118" x14ac:dyDescent="0.2">
      <c r="A79" s="15">
        <f xml:space="preserve"> Basis!A79</f>
        <v>79</v>
      </c>
      <c r="C79" s="24" t="b">
        <f xml:space="preserve"> 'i1'!$O79</f>
        <v>1</v>
      </c>
      <c r="D79" s="24" t="b">
        <f xml:space="preserve"> 'i2'!$O79</f>
        <v>1</v>
      </c>
      <c r="E79" s="24" t="b">
        <f xml:space="preserve"> 'i3'!$O79</f>
        <v>1</v>
      </c>
      <c r="G79" s="27">
        <f xml:space="preserve"> IF( $C80,   IF( 'i1'!$P79=LEER,  #N/A,  'i1'!$P79  ),   #N/A  )</f>
        <v>2.6499999999999999E-2</v>
      </c>
      <c r="H79" s="27">
        <f xml:space="preserve"> IF( $D80,   IF( 'i2'!$P79=LEER,  #N/A,  'i2'!$P79  ),   #N/A  )</f>
        <v>2.6499999999999999E-2</v>
      </c>
      <c r="I79" s="27">
        <f xml:space="preserve"> IF( $E80,   IF( 'i3'!$P79=LEER,  #N/A,  'i3'!$P79  ),   #N/A  )</f>
        <v>2.6499999999999999E-2</v>
      </c>
      <c r="J79" s="158"/>
      <c r="K79" s="27">
        <f xml:space="preserve"> IF( $C80,   IF( 'i1'!$G79=LEER,  #N/A,  'i1'!$G79  ),   #N/A  )</f>
        <v>1.8E-3</v>
      </c>
      <c r="L79" s="27">
        <f xml:space="preserve"> IF( $D80,   IF( 'i2'!$G79=LEER,  #N/A,  'i2'!$G79  ),   #N/A  )</f>
        <v>1.8E-3</v>
      </c>
      <c r="M79" s="27">
        <f xml:space="preserve"> IF( $E80,   IF( 'i3'!$G79=LEER,  #N/A,  'i3'!$G79  ),   #N/A  )</f>
        <v>1.8E-3</v>
      </c>
      <c r="N79" s="158"/>
      <c r="O79" s="158"/>
      <c r="Q79" s="28">
        <f t="shared" si="35"/>
        <v>11.471327560243576</v>
      </c>
      <c r="R79" s="28">
        <f t="shared" si="36"/>
        <v>11.471327560243576</v>
      </c>
      <c r="S79" s="28">
        <f t="shared" si="37"/>
        <v>11.471327560243576</v>
      </c>
      <c r="U79" s="76">
        <f xml:space="preserve"> IF( $C78,   SUM('i1'!$R79),   #N/A  )</f>
        <v>415401</v>
      </c>
      <c r="V79" s="76">
        <f xml:space="preserve"> IF( $C78,   SUM('i2'!$R79),   #N/A  )</f>
        <v>415401</v>
      </c>
      <c r="W79" s="76">
        <f xml:space="preserve"> IF( $C78,   SUM('i3'!$R79),   #N/A  )</f>
        <v>415401</v>
      </c>
      <c r="Y79" s="33"/>
      <c r="Z79" s="22">
        <f xml:space="preserve"> IF( $C79,   IF( 'i1'!$J79=LEER,  #N/A,  'i1'!$J79  ),   #N/A  )</f>
        <v>4.83</v>
      </c>
      <c r="AA79" s="22">
        <f xml:space="preserve"> IF( $D79,   IF( 'i2'!$J79=LEER,  #N/A,  'i2'!$J79  ),   #N/A  )</f>
        <v>4.83</v>
      </c>
      <c r="AB79" s="22">
        <f xml:space="preserve"> IF( $E79,   IF( 'i3'!$J79=LEER,  #N/A,  'i3'!$J79  ),   #N/A  )</f>
        <v>4.83</v>
      </c>
      <c r="AC79" s="75"/>
      <c r="AD79" s="26">
        <f t="shared" si="39"/>
        <v>10035.725700000001</v>
      </c>
      <c r="AE79" s="26">
        <f t="shared" si="40"/>
        <v>10035.725700000001</v>
      </c>
      <c r="AF79" s="26">
        <f t="shared" si="41"/>
        <v>10035.725700000001</v>
      </c>
      <c r="AG79" s="23"/>
      <c r="AH79" s="24">
        <f xml:space="preserve">    IF(  'i1'!$AK79=LEER,  #N/A,  ROUND( 'i1'!$AK79, AH$15 )  )</f>
        <v>1064.6400000000001</v>
      </c>
      <c r="AI79" s="24">
        <f xml:space="preserve">    IF(  'i2'!$AK79=LEER,  #N/A,  ROUND( 'i2'!$AK79, AI$15 )  )</f>
        <v>1064.6400000000001</v>
      </c>
      <c r="AJ79" s="24">
        <f xml:space="preserve">    IF(  'i3'!$AK79=LEER,  #N/A,  ROUND( 'i3'!$AK79, AJ$15 )  )</f>
        <v>1064.6400000000001</v>
      </c>
      <c r="AL79" s="102">
        <f t="shared" si="42"/>
        <v>1064.6400000000001</v>
      </c>
      <c r="AO79" s="24">
        <f xml:space="preserve">    IF( 'i1'!$AN79=LEER,  #N/A,  'i1'!$AN79  )</f>
        <v>72539.429999999993</v>
      </c>
      <c r="AP79" s="24">
        <f xml:space="preserve">    IF( 'i2'!$AN79=LEER,  #N/A,  'i2'!$AN79  )</f>
        <v>72539.429999999993</v>
      </c>
      <c r="AQ79" s="24">
        <f xml:space="preserve">    IF( 'i3'!$AN79=LEER,  #N/A,  'i3'!$AN79  )</f>
        <v>72539.429999999993</v>
      </c>
      <c r="AS79" s="24">
        <f xml:space="preserve">    IF( 'i1'!$AO79=LEER,  #N/A,  'i1'!$AO79  )</f>
        <v>72071.17</v>
      </c>
      <c r="AT79" s="24">
        <f xml:space="preserve">    IF( 'i2'!$AO79=LEER,  #N/A,  'i2'!$AO79  )</f>
        <v>72071.17</v>
      </c>
      <c r="AU79" s="24">
        <f xml:space="preserve">    IF( 'i3'!$AO79=LEER,  #N/A,  'i3'!$AO79  )</f>
        <v>72071.17</v>
      </c>
      <c r="AW79" s="28">
        <f t="shared" si="38"/>
        <v>34.911799999999999</v>
      </c>
      <c r="AX79" s="28">
        <f t="shared" si="29"/>
        <v>34.911799999999999</v>
      </c>
      <c r="AY79" s="28">
        <f t="shared" si="30"/>
        <v>34.911799999999999</v>
      </c>
      <c r="BA79" s="28">
        <f t="shared" si="43"/>
        <v>34.686500000000002</v>
      </c>
      <c r="BB79" s="28">
        <f t="shared" si="44"/>
        <v>34.686500000000002</v>
      </c>
      <c r="BC79" s="28">
        <f t="shared" si="45"/>
        <v>34.686500000000002</v>
      </c>
      <c r="BG79" s="24">
        <f xml:space="preserve">    IF( 'i1'!BT79=LEER,  #N/A,  'i1'!BT79  )</f>
        <v>-5861.55</v>
      </c>
      <c r="BH79" s="24">
        <f xml:space="preserve">    IF( 'i1'!BR79=LEER,  #N/A,  'i1'!BR79  )</f>
        <v>74989.45</v>
      </c>
      <c r="BI79" s="111">
        <f t="shared" si="34"/>
        <v>69127.899999999994</v>
      </c>
      <c r="BJ79" s="24">
        <f xml:space="preserve">    IF( 'i1'!BX79=LEER,  #N/A,  'i1'!BX79  )</f>
        <v>3411.5299999999988</v>
      </c>
      <c r="BL79" s="24">
        <f xml:space="preserve">    IF( 'i1'!CB79=LEER,  #N/A,  'i1'!CB79  )</f>
        <v>-6337.88</v>
      </c>
      <c r="BM79" s="24">
        <f xml:space="preserve">    IF( 'i1'!CC79=LEER,  #N/A,  'i1'!CC79  )</f>
        <v>1813.49</v>
      </c>
      <c r="BN79" s="24">
        <f xml:space="preserve">    IF( 'i1'!CD79=LEER,  #N/A,  'i1'!CD79  )</f>
        <v>1851.48</v>
      </c>
      <c r="BO79" s="24">
        <f xml:space="preserve">    IF( 'i1'!CE79=LEER,  #N/A,  'i1'!CE79  )</f>
        <v>-2672.9100000000003</v>
      </c>
      <c r="BQ79" s="24">
        <f xml:space="preserve">    IF( 'i1'!CI79=LEER,  #N/A,  'i1'!CI79  )</f>
        <v>10035.73</v>
      </c>
      <c r="BR79" s="24">
        <f xml:space="preserve">    IF( 'i1'!CJ79=LEER,  #N/A,  'i1'!CJ79  )</f>
        <v>-4376.46</v>
      </c>
      <c r="BS79" s="24">
        <f xml:space="preserve">    IF( 'i1'!CK79=LEER,  #N/A,  'i1'!CK79  )</f>
        <v>-1806.32</v>
      </c>
      <c r="BT79" s="38">
        <f xml:space="preserve">    IF( 'i1'!CH79=LEER,  #N/A,  'i1'!CH79  )</f>
        <v>3852.4304390000002</v>
      </c>
      <c r="BV79" s="24">
        <f xml:space="preserve">    IF( 'i1'!CO79=LEER,  #N/A,  'i1'!CO79  )</f>
        <v>10035.73</v>
      </c>
      <c r="BW79" s="24">
        <f xml:space="preserve">    IF( 'i1'!CP79=LEER,  #N/A,  'i1'!CP79  )</f>
        <v>-4341.83</v>
      </c>
      <c r="BX79" s="24">
        <f xml:space="preserve">    IF( 'i1'!CQ79=LEER,  #N/A,  'i1'!CQ79  )</f>
        <v>-1794.83</v>
      </c>
      <c r="BY79" s="38">
        <f xml:space="preserve">    IF( 'i1'!CN79=LEER,  #N/A,  'i1'!CN79  )</f>
        <v>3898.5573770000001</v>
      </c>
      <c r="CD79" s="113" t="e">
        <f xml:space="preserve"> IF(  AND( $A79&lt;&gt;$CD$14, OR( 'i1'!EO79=LEER, 'i1'!EM79&lt;&gt;LEER ) ), #N/A, 'i1'!EO79 )</f>
        <v>#N/A</v>
      </c>
      <c r="CE79" s="113">
        <f xml:space="preserve"> IF(   'i1'!EM79=LEER, #N/A,  'i1'!EM79 )</f>
        <v>20651.57</v>
      </c>
      <c r="CF79" s="114">
        <f xml:space="preserve"> IF(   'i1'!EL79=LEER, #N/A, 'i1'!EL79 + 'i1'!EM79 )</f>
        <v>72074.899999999994</v>
      </c>
      <c r="CW79" s="104">
        <f xml:space="preserve"> 'i1'!FN79</f>
        <v>79</v>
      </c>
      <c r="CX79" s="106">
        <f xml:space="preserve"> IF(  INDEX( 'i1'!$FS79:$JO79, CX$13 ) = LEER,  #N/A,  INDEX( 'i1'!$FS79:$JO79, CX$13 )  )</f>
        <v>86327.85</v>
      </c>
      <c r="CY79" s="106">
        <f xml:space="preserve"> IF(  INDEX( 'i1'!$FS79:$JO79, CY$13 ) = LEER,  #N/A,  INDEX( 'i1'!$FS79:$JO79, CY$13 )  )</f>
        <v>81963.73</v>
      </c>
      <c r="CZ79" s="106">
        <f xml:space="preserve"> IF(  INDEX( 'i1'!$FS79:$JO79, CZ$13 ) = LEER,  #N/A,  INDEX( 'i1'!$FS79:$JO79, CZ$13 )  )</f>
        <v>77247.360000000001</v>
      </c>
      <c r="DA79" s="106">
        <f xml:space="preserve"> IF(  INDEX( 'i1'!$FS79:$JO79, DA$13 ) = LEER,  #N/A,  INDEX( 'i1'!$FS79:$JO79, DA$13 )  )</f>
        <v>72071.17</v>
      </c>
      <c r="DB79" s="106">
        <f xml:space="preserve"> IF(  INDEX( 'i1'!$FS79:$JO79, DB$13 ) = LEER,  #N/A,  INDEX( 'i1'!$FS79:$JO79, DB$13 )  )</f>
        <v>66276.95</v>
      </c>
      <c r="DC79" s="106">
        <f xml:space="preserve"> IF(  INDEX( 'i1'!$FS79:$JO79, DC$13 ) = LEER,  #N/A,  INDEX( 'i1'!$FS79:$JO79, DC$13 )  )</f>
        <v>59432.3</v>
      </c>
      <c r="DD79" s="106">
        <f xml:space="preserve"> IF(  INDEX( 'i1'!$FS79:$JO79, DD$13 ) = LEER,  #N/A,  INDEX( 'i1'!$FS79:$JO79, DD$13 )  )</f>
        <v>51423.33</v>
      </c>
      <c r="DE79" s="106">
        <f xml:space="preserve"> IF(  INDEX( 'i1'!$FS79:$JO79, DE$13 ) = LEER,  #N/A,  INDEX( 'i1'!$FS79:$JO79, DE$13 )  )</f>
        <v>42583.3</v>
      </c>
      <c r="DF79" s="106">
        <f xml:space="preserve"> IF(  INDEX( 'i1'!$FS79:$JO79, DF$13 ) = LEER,  #N/A,  INDEX( 'i1'!$FS79:$JO79, DF$13 )  )</f>
        <v>33169.54</v>
      </c>
      <c r="DG79" s="106">
        <f xml:space="preserve"> IF(  INDEX( 'i1'!$FS79:$JO79, DG$13 ) = LEER,  #N/A,  INDEX( 'i1'!$FS79:$JO79, DG$13 )  )</f>
        <v>23192.6</v>
      </c>
      <c r="DH79" s="106">
        <f xml:space="preserve"> IF(  INDEX( 'i1'!$FS79:$JO79, DH$13 ) = LEER,  #N/A,  INDEX( 'i1'!$FS79:$JO79, DH$13 )  )</f>
        <v>13551.04</v>
      </c>
      <c r="DI79" s="106">
        <f xml:space="preserve"> IF(  INDEX( 'i1'!$FS79:$JO79, DI$13 ) = LEER,  #N/A,  INDEX( 'i1'!$FS79:$JO79, DI$13 )  )</f>
        <v>5613.79</v>
      </c>
      <c r="DJ79" s="106" t="e">
        <f xml:space="preserve"> IF(  INDEX( 'i1'!$FS79:$JO79, DJ$13 ) = LEER,  #N/A,  INDEX( 'i1'!$FS79:$JO79, DJ$13 )  )</f>
        <v>#N/A</v>
      </c>
      <c r="DK79" s="106" t="e">
        <f xml:space="preserve"> IF(  INDEX( 'i1'!$FS79:$JO79, DK$13 ) = LEER,  #N/A,  INDEX( 'i1'!$FS79:$JO79, DK$13 )  )</f>
        <v>#N/A</v>
      </c>
      <c r="DL79" s="106" t="e">
        <f xml:space="preserve"> IF(  INDEX( 'i1'!$FS79:$JO79, DL$13 ) = LEER,  #N/A,  INDEX( 'i1'!$FS79:$JO79, DL$13 )  )</f>
        <v>#N/A</v>
      </c>
      <c r="DM79" s="106" t="e">
        <f xml:space="preserve"> IF(  INDEX( 'i1'!$FS79:$JO79, DM$13 ) = LEER,  #N/A,  INDEX( 'i1'!$FS79:$JO79, DM$13 )  )</f>
        <v>#N/A</v>
      </c>
      <c r="DN79" s="106" t="e">
        <f xml:space="preserve"> IF(  INDEX( 'i1'!$FS79:$JO79, DN$13 ) = LEER,  #N/A,  INDEX( 'i1'!$FS79:$JO79, DN$13 )  )</f>
        <v>#N/A</v>
      </c>
    </row>
    <row r="80" spans="1:118" x14ac:dyDescent="0.2">
      <c r="A80" s="15">
        <f xml:space="preserve"> Basis!A80</f>
        <v>80</v>
      </c>
      <c r="C80" s="24" t="b">
        <f xml:space="preserve"> 'i1'!$O80</f>
        <v>1</v>
      </c>
      <c r="D80" s="24" t="b">
        <f xml:space="preserve"> 'i2'!$O80</f>
        <v>1</v>
      </c>
      <c r="E80" s="24" t="b">
        <f xml:space="preserve"> 'i3'!$O80</f>
        <v>1</v>
      </c>
      <c r="G80" s="27">
        <f xml:space="preserve"> IF( $C81,   IF( 'i1'!$P80=LEER,  #N/A,  'i1'!$P80  ),   #N/A  )</f>
        <v>0.03</v>
      </c>
      <c r="H80" s="27">
        <f xml:space="preserve"> IF( $D81,   IF( 'i2'!$P80=LEER,  #N/A,  'i2'!$P80  ),   #N/A  )</f>
        <v>0.03</v>
      </c>
      <c r="I80" s="27">
        <f xml:space="preserve"> IF( $E81,   IF( 'i3'!$P80=LEER,  #N/A,  'i3'!$P80  ),   #N/A  )</f>
        <v>0.03</v>
      </c>
      <c r="J80" s="158"/>
      <c r="K80" s="27">
        <f xml:space="preserve"> IF( $C81,   IF( 'i1'!$G80=LEER,  #N/A,  'i1'!$G80  ),   #N/A  )</f>
        <v>1.6999999999999999E-3</v>
      </c>
      <c r="L80" s="27">
        <f xml:space="preserve"> IF( $D81,   IF( 'i2'!$G80=LEER,  #N/A,  'i2'!$G80  ),   #N/A  )</f>
        <v>1.6999999999999999E-3</v>
      </c>
      <c r="M80" s="27">
        <f xml:space="preserve"> IF( $E81,   IF( 'i3'!$G80=LEER,  #N/A,  'i3'!$G80  ),   #N/A  )</f>
        <v>1.6999999999999999E-3</v>
      </c>
      <c r="N80" s="158"/>
      <c r="O80" s="158"/>
      <c r="Q80" s="28">
        <f t="shared" si="35"/>
        <v>10.76998208550958</v>
      </c>
      <c r="R80" s="28">
        <f t="shared" si="36"/>
        <v>10.76998208550958</v>
      </c>
      <c r="S80" s="28">
        <f t="shared" si="37"/>
        <v>10.76998208550958</v>
      </c>
      <c r="U80" s="76">
        <f xml:space="preserve"> IF( $C79,   SUM('i1'!$R80),   #N/A  )</f>
        <v>404392</v>
      </c>
      <c r="V80" s="76">
        <f xml:space="preserve"> IF( $C79,   SUM('i2'!$R80),   #N/A  )</f>
        <v>404392</v>
      </c>
      <c r="W80" s="76">
        <f xml:space="preserve"> IF( $C79,   SUM('i3'!$R80),   #N/A  )</f>
        <v>404392</v>
      </c>
      <c r="Y80" s="33"/>
      <c r="Z80" s="22">
        <f xml:space="preserve"> IF( $C80,   IF( 'i1'!$J80=LEER,  #N/A,  'i1'!$J80  ),   #N/A  )</f>
        <v>4.9580000000000002</v>
      </c>
      <c r="AA80" s="22">
        <f xml:space="preserve"> IF( $D80,   IF( 'i2'!$J80=LEER,  #N/A,  'i2'!$J80  ),   #N/A  )</f>
        <v>4.9580000000000002</v>
      </c>
      <c r="AB80" s="22">
        <f xml:space="preserve"> IF( $E80,   IF( 'i3'!$J80=LEER,  #N/A,  'i3'!$J80  ),   #N/A  )</f>
        <v>4.9580000000000002</v>
      </c>
      <c r="AC80" s="75"/>
      <c r="AD80" s="26">
        <f t="shared" si="39"/>
        <v>10301.68282</v>
      </c>
      <c r="AE80" s="26">
        <f t="shared" si="40"/>
        <v>10301.68282</v>
      </c>
      <c r="AF80" s="26">
        <f t="shared" si="41"/>
        <v>10301.68282</v>
      </c>
      <c r="AG80" s="23"/>
      <c r="AH80" s="24">
        <f xml:space="preserve">    IF(  'i1'!$AK80=LEER,  #N/A,  ROUND( 'i1'!$AK80, AH$15 )  )</f>
        <v>1074.25</v>
      </c>
      <c r="AI80" s="24">
        <f xml:space="preserve">    IF(  'i2'!$AK80=LEER,  #N/A,  ROUND( 'i2'!$AK80, AI$15 )  )</f>
        <v>1074.25</v>
      </c>
      <c r="AJ80" s="24">
        <f xml:space="preserve">    IF(  'i3'!$AK80=LEER,  #N/A,  ROUND( 'i3'!$AK80, AJ$15 )  )</f>
        <v>1074.25</v>
      </c>
      <c r="AL80" s="102">
        <f t="shared" si="42"/>
        <v>1074.25</v>
      </c>
      <c r="AO80" s="24">
        <f xml:space="preserve">    IF( 'i1'!$AN80=LEER,  #N/A,  'i1'!$AN80  )</f>
        <v>69867.039999999994</v>
      </c>
      <c r="AP80" s="24">
        <f xml:space="preserve">    IF( 'i2'!$AN80=LEER,  #N/A,  'i2'!$AN80  )</f>
        <v>69867.039999999994</v>
      </c>
      <c r="AQ80" s="24">
        <f xml:space="preserve">    IF( 'i3'!$AN80=LEER,  #N/A,  'i3'!$AN80  )</f>
        <v>69867.039999999994</v>
      </c>
      <c r="AS80" s="24">
        <f xml:space="preserve">    IF( 'i1'!$AO80=LEER,  #N/A,  'i1'!$AO80  )</f>
        <v>69422.570000000007</v>
      </c>
      <c r="AT80" s="24">
        <f xml:space="preserve">    IF( 'i2'!$AO80=LEER,  #N/A,  'i2'!$AO80  )</f>
        <v>69422.570000000007</v>
      </c>
      <c r="AU80" s="24">
        <f xml:space="preserve">    IF( 'i3'!$AO80=LEER,  #N/A,  'i3'!$AO80  )</f>
        <v>69422.570000000007</v>
      </c>
      <c r="AW80" s="28">
        <f t="shared" si="38"/>
        <v>33.625700000000002</v>
      </c>
      <c r="AX80" s="28">
        <f t="shared" si="29"/>
        <v>33.625700000000002</v>
      </c>
      <c r="AY80" s="28">
        <f t="shared" si="30"/>
        <v>33.625700000000002</v>
      </c>
      <c r="BA80" s="28">
        <f t="shared" si="43"/>
        <v>33.411700000000003</v>
      </c>
      <c r="BB80" s="28">
        <f t="shared" si="44"/>
        <v>33.411700000000003</v>
      </c>
      <c r="BC80" s="28">
        <f t="shared" si="45"/>
        <v>33.411700000000003</v>
      </c>
      <c r="BG80" s="24">
        <f xml:space="preserve">    IF( 'i1'!BT80=LEER,  #N/A,  'i1'!BT80  )</f>
        <v>-6183.8</v>
      </c>
      <c r="BH80" s="24">
        <f xml:space="preserve">    IF( 'i1'!BR80=LEER,  #N/A,  'i1'!BR80  )</f>
        <v>72539.429999999993</v>
      </c>
      <c r="BI80" s="111">
        <f t="shared" si="34"/>
        <v>66355.62999999999</v>
      </c>
      <c r="BJ80" s="24">
        <f xml:space="preserve">    IF( 'i1'!BX80=LEER,  #N/A,  'i1'!BX80  )</f>
        <v>3511.4100000000035</v>
      </c>
      <c r="BL80" s="24">
        <f xml:space="preserve">    IF( 'i1'!CB80=LEER,  #N/A,  'i1'!CB80  )</f>
        <v>-6610.48</v>
      </c>
      <c r="BM80" s="24">
        <f xml:space="preserve">    IF( 'i1'!CC80=LEER,  #N/A,  'i1'!CC80  )</f>
        <v>1746.68</v>
      </c>
      <c r="BN80" s="24">
        <f xml:space="preserve">    IF( 'i1'!CD80=LEER,  #N/A,  'i1'!CD80  )</f>
        <v>2010.41</v>
      </c>
      <c r="BO80" s="24">
        <f xml:space="preserve">    IF( 'i1'!CE80=LEER,  #N/A,  'i1'!CE80  )</f>
        <v>-2853.3899999999994</v>
      </c>
      <c r="BQ80" s="24">
        <f xml:space="preserve">    IF( 'i1'!CI80=LEER,  #N/A,  'i1'!CI80  )</f>
        <v>10301.68</v>
      </c>
      <c r="BR80" s="24">
        <f xml:space="preserve">    IF( 'i1'!CJ80=LEER,  #N/A,  'i1'!CJ80  )</f>
        <v>-4488.0200000000004</v>
      </c>
      <c r="BS80" s="24">
        <f xml:space="preserve">    IF( 'i1'!CK80=LEER,  #N/A,  'i1'!CK80  )</f>
        <v>-1961.37</v>
      </c>
      <c r="BT80" s="38">
        <f xml:space="preserve">    IF( 'i1'!CH80=LEER,  #N/A,  'i1'!CH80  )</f>
        <v>3852.4304390000002</v>
      </c>
      <c r="BV80" s="24">
        <f xml:space="preserve">    IF( 'i1'!CO80=LEER,  #N/A,  'i1'!CO80  )</f>
        <v>10301.68</v>
      </c>
      <c r="BW80" s="24">
        <f xml:space="preserve">    IF( 'i1'!CP80=LEER,  #N/A,  'i1'!CP80  )</f>
        <v>-4454.21</v>
      </c>
      <c r="BX80" s="24">
        <f xml:space="preserve">    IF( 'i1'!CQ80=LEER,  #N/A,  'i1'!CQ80  )</f>
        <v>-1949.05</v>
      </c>
      <c r="BY80" s="38">
        <f xml:space="preserve">    IF( 'i1'!CN80=LEER,  #N/A,  'i1'!CN80  )</f>
        <v>3898.5573770000001</v>
      </c>
      <c r="CD80" s="113" t="e">
        <f xml:space="preserve"> IF(  AND( $A80&lt;&gt;$CD$14, OR( 'i1'!EO80=LEER, 'i1'!EM80&lt;&gt;LEER ) ), #N/A, 'i1'!EO80 )</f>
        <v>#N/A</v>
      </c>
      <c r="CE80" s="113">
        <f xml:space="preserve"> IF(   'i1'!EM80=LEER, #N/A,  'i1'!EM80 )</f>
        <v>19602.07</v>
      </c>
      <c r="CF80" s="114">
        <f xml:space="preserve"> IF(   'i1'!EL80=LEER, #N/A, 'i1'!EL80 + 'i1'!EM80 )</f>
        <v>69426.12</v>
      </c>
      <c r="CW80" s="104">
        <f xml:space="preserve"> 'i1'!FN80</f>
        <v>80</v>
      </c>
      <c r="CX80" s="106">
        <f xml:space="preserve"> IF(  INDEX( 'i1'!$FS80:$JO80, CX$13 ) = LEER,  #N/A,  INDEX( 'i1'!$FS80:$JO80, CX$13 )  )</f>
        <v>82954.740000000005</v>
      </c>
      <c r="CY80" s="106">
        <f xml:space="preserve"> IF(  INDEX( 'i1'!$FS80:$JO80, CY$13 ) = LEER,  #N/A,  INDEX( 'i1'!$FS80:$JO80, CY$13 )  )</f>
        <v>78812.399999999994</v>
      </c>
      <c r="CZ80" s="106">
        <f xml:space="preserve"> IF(  INDEX( 'i1'!$FS80:$JO80, CZ$13 ) = LEER,  #N/A,  INDEX( 'i1'!$FS80:$JO80, CZ$13 )  )</f>
        <v>74335.710000000006</v>
      </c>
      <c r="DA80" s="106">
        <f xml:space="preserve"> IF(  INDEX( 'i1'!$FS80:$JO80, DA$13 ) = LEER,  #N/A,  INDEX( 'i1'!$FS80:$JO80, DA$13 )  )</f>
        <v>69422.570000000007</v>
      </c>
      <c r="DB80" s="106">
        <f xml:space="preserve"> IF(  INDEX( 'i1'!$FS80:$JO80, DB$13 ) = LEER,  #N/A,  INDEX( 'i1'!$FS80:$JO80, DB$13 )  )</f>
        <v>63922.81</v>
      </c>
      <c r="DC80" s="106">
        <f xml:space="preserve"> IF(  INDEX( 'i1'!$FS80:$JO80, DC$13 ) = LEER,  #N/A,  INDEX( 'i1'!$FS80:$JO80, DC$13 )  )</f>
        <v>57426.01</v>
      </c>
      <c r="DD80" s="106">
        <f xml:space="preserve"> IF(  INDEX( 'i1'!$FS80:$JO80, DD$13 ) = LEER,  #N/A,  INDEX( 'i1'!$FS80:$JO80, DD$13 )  )</f>
        <v>49824.05</v>
      </c>
      <c r="DE80" s="106">
        <f xml:space="preserve"> IF(  INDEX( 'i1'!$FS80:$JO80, DE$13 ) = LEER,  #N/A,  INDEX( 'i1'!$FS80:$JO80, DE$13 )  )</f>
        <v>41433.269999999997</v>
      </c>
      <c r="DF80" s="106">
        <f xml:space="preserve"> IF(  INDEX( 'i1'!$FS80:$JO80, DF$13 ) = LEER,  #N/A,  INDEX( 'i1'!$FS80:$JO80, DF$13 )  )</f>
        <v>32497.91</v>
      </c>
      <c r="DG80" s="106">
        <f xml:space="preserve"> IF(  INDEX( 'i1'!$FS80:$JO80, DG$13 ) = LEER,  #N/A,  INDEX( 'i1'!$FS80:$JO80, DG$13 )  )</f>
        <v>23028</v>
      </c>
      <c r="DH80" s="106">
        <f xml:space="preserve"> IF(  INDEX( 'i1'!$FS80:$JO80, DH$13 ) = LEER,  #N/A,  INDEX( 'i1'!$FS80:$JO80, DH$13 )  )</f>
        <v>13876.42</v>
      </c>
      <c r="DI80" s="106">
        <f xml:space="preserve"> IF(  INDEX( 'i1'!$FS80:$JO80, DI$13 ) = LEER,  #N/A,  INDEX( 'i1'!$FS80:$JO80, DI$13 )  )</f>
        <v>6342.53</v>
      </c>
      <c r="DJ80" s="106">
        <f xml:space="preserve"> IF(  INDEX( 'i1'!$FS80:$JO80, DJ$13 ) = LEER,  #N/A,  INDEX( 'i1'!$FS80:$JO80, DJ$13 )  )</f>
        <v>-0.11</v>
      </c>
      <c r="DK80" s="106" t="e">
        <f xml:space="preserve"> IF(  INDEX( 'i1'!$FS80:$JO80, DK$13 ) = LEER,  #N/A,  INDEX( 'i1'!$FS80:$JO80, DK$13 )  )</f>
        <v>#N/A</v>
      </c>
      <c r="DL80" s="106" t="e">
        <f xml:space="preserve"> IF(  INDEX( 'i1'!$FS80:$JO80, DL$13 ) = LEER,  #N/A,  INDEX( 'i1'!$FS80:$JO80, DL$13 )  )</f>
        <v>#N/A</v>
      </c>
      <c r="DM80" s="106" t="e">
        <f xml:space="preserve"> IF(  INDEX( 'i1'!$FS80:$JO80, DM$13 ) = LEER,  #N/A,  INDEX( 'i1'!$FS80:$JO80, DM$13 )  )</f>
        <v>#N/A</v>
      </c>
      <c r="DN80" s="106" t="e">
        <f xml:space="preserve"> IF(  INDEX( 'i1'!$FS80:$JO80, DN$13 ) = LEER,  #N/A,  INDEX( 'i1'!$FS80:$JO80, DN$13 )  )</f>
        <v>#N/A</v>
      </c>
    </row>
    <row r="81" spans="1:118" x14ac:dyDescent="0.2">
      <c r="A81" s="15">
        <f xml:space="preserve"> Basis!A81</f>
        <v>81</v>
      </c>
      <c r="C81" s="24" t="b">
        <f xml:space="preserve"> 'i1'!$O81</f>
        <v>1</v>
      </c>
      <c r="D81" s="24" t="b">
        <f xml:space="preserve"> 'i2'!$O81</f>
        <v>1</v>
      </c>
      <c r="E81" s="24" t="b">
        <f xml:space="preserve"> 'i3'!$O81</f>
        <v>1</v>
      </c>
      <c r="G81" s="27">
        <f xml:space="preserve"> IF( $C82,   IF( 'i1'!$P81=LEER,  #N/A,  'i1'!$P81  ),   #N/A  )</f>
        <v>3.4700000000000002E-2</v>
      </c>
      <c r="H81" s="27">
        <f xml:space="preserve"> IF( $D82,   IF( 'i2'!$P81=LEER,  #N/A,  'i2'!$P81  ),   #N/A  )</f>
        <v>3.4700000000000002E-2</v>
      </c>
      <c r="I81" s="27">
        <f xml:space="preserve"> IF( $E82,   IF( 'i3'!$P81=LEER,  #N/A,  'i3'!$P81  ),   #N/A  )</f>
        <v>3.4700000000000002E-2</v>
      </c>
      <c r="J81" s="158"/>
      <c r="K81" s="27">
        <f xml:space="preserve"> IF( $C82,   IF( 'i1'!$G81=LEER,  #N/A,  'i1'!$G81  ),   #N/A  )</f>
        <v>1.6999999999999999E-3</v>
      </c>
      <c r="L81" s="27">
        <f xml:space="preserve"> IF( $D82,   IF( 'i2'!$G81=LEER,  #N/A,  'i2'!$G81  ),   #N/A  )</f>
        <v>1.6999999999999999E-3</v>
      </c>
      <c r="M81" s="27">
        <f xml:space="preserve"> IF( $E82,   IF( 'i3'!$G81=LEER,  #N/A,  'i3'!$G81  ),   #N/A  )</f>
        <v>1.6999999999999999E-3</v>
      </c>
      <c r="N81" s="158"/>
      <c r="O81" s="158"/>
      <c r="Q81" s="28">
        <f t="shared" si="35"/>
        <v>10.087610397432558</v>
      </c>
      <c r="R81" s="28">
        <f t="shared" si="36"/>
        <v>10.087610397432558</v>
      </c>
      <c r="S81" s="28">
        <f t="shared" si="37"/>
        <v>10.087610397432558</v>
      </c>
      <c r="U81" s="76">
        <f xml:space="preserve"> IF( $C80,   SUM('i1'!$R81),   #N/A  )</f>
        <v>392260</v>
      </c>
      <c r="V81" s="76">
        <f xml:space="preserve"> IF( $C80,   SUM('i2'!$R81),   #N/A  )</f>
        <v>392260</v>
      </c>
      <c r="W81" s="76">
        <f xml:space="preserve"> IF( $C80,   SUM('i3'!$R81),   #N/A  )</f>
        <v>392260</v>
      </c>
      <c r="Y81" s="33"/>
      <c r="Z81" s="22">
        <f xml:space="preserve"> IF( $C81,   IF( 'i1'!$J81=LEER,  #N/A,  'i1'!$J81  ),   #N/A  )</f>
        <v>5.0940000000000003</v>
      </c>
      <c r="AA81" s="22">
        <f xml:space="preserve"> IF( $D81,   IF( 'i2'!$J81=LEER,  #N/A,  'i2'!$J81  ),   #N/A  )</f>
        <v>5.0940000000000003</v>
      </c>
      <c r="AB81" s="22">
        <f xml:space="preserve"> IF( $E81,   IF( 'i3'!$J81=LEER,  #N/A,  'i3'!$J81  ),   #N/A  )</f>
        <v>5.0940000000000003</v>
      </c>
      <c r="AC81" s="75"/>
      <c r="AD81" s="26">
        <f t="shared" si="39"/>
        <v>10584.262260000001</v>
      </c>
      <c r="AE81" s="26">
        <f t="shared" si="40"/>
        <v>10584.262260000001</v>
      </c>
      <c r="AF81" s="26">
        <f t="shared" si="41"/>
        <v>10584.262260000001</v>
      </c>
      <c r="AG81" s="23"/>
      <c r="AH81" s="24">
        <f xml:space="preserve">    IF(  'i1'!$AK81=LEER,  #N/A,  ROUND( 'i1'!$AK81, AH$15 )  )</f>
        <v>1082.7</v>
      </c>
      <c r="AI81" s="24">
        <f xml:space="preserve">    IF(  'i2'!$AK81=LEER,  #N/A,  ROUND( 'i2'!$AK81, AI$15 )  )</f>
        <v>1082.7</v>
      </c>
      <c r="AJ81" s="24">
        <f xml:space="preserve">    IF(  'i3'!$AK81=LEER,  #N/A,  ROUND( 'i3'!$AK81, AJ$15 )  )</f>
        <v>1082.7</v>
      </c>
      <c r="AL81" s="102">
        <f t="shared" si="42"/>
        <v>1082.7</v>
      </c>
      <c r="AO81" s="24">
        <f xml:space="preserve">    IF( 'i1'!$AN81=LEER,  #N/A,  'i1'!$AN81  )</f>
        <v>67013.5</v>
      </c>
      <c r="AP81" s="24">
        <f xml:space="preserve">    IF( 'i2'!$AN81=LEER,  #N/A,  'i2'!$AN81  )</f>
        <v>67013.5</v>
      </c>
      <c r="AQ81" s="24">
        <f xml:space="preserve">    IF( 'i3'!$AN81=LEER,  #N/A,  'i3'!$AN81  )</f>
        <v>67013.5</v>
      </c>
      <c r="AS81" s="24">
        <f xml:space="preserve">    IF( 'i1'!$AO81=LEER,  #N/A,  'i1'!$AO81  )</f>
        <v>66592.570000000007</v>
      </c>
      <c r="AT81" s="24">
        <f xml:space="preserve">    IF( 'i2'!$AO81=LEER,  #N/A,  'i2'!$AO81  )</f>
        <v>66592.570000000007</v>
      </c>
      <c r="AU81" s="24">
        <f xml:space="preserve">    IF( 'i3'!$AO81=LEER,  #N/A,  'i3'!$AO81  )</f>
        <v>66592.570000000007</v>
      </c>
      <c r="AW81" s="28">
        <f t="shared" si="38"/>
        <v>32.252299999999998</v>
      </c>
      <c r="AX81" s="28">
        <f t="shared" si="29"/>
        <v>32.252299999999998</v>
      </c>
      <c r="AY81" s="28">
        <f t="shared" si="30"/>
        <v>32.252299999999998</v>
      </c>
      <c r="BA81" s="28">
        <f t="shared" si="43"/>
        <v>32.049700000000001</v>
      </c>
      <c r="BB81" s="28">
        <f t="shared" si="44"/>
        <v>32.049700000000001</v>
      </c>
      <c r="BC81" s="28">
        <f t="shared" si="45"/>
        <v>32.049700000000001</v>
      </c>
      <c r="BG81" s="24">
        <f xml:space="preserve">    IF( 'i1'!BT81=LEER,  #N/A,  'i1'!BT81  )</f>
        <v>-6449.43</v>
      </c>
      <c r="BH81" s="24">
        <f xml:space="preserve">    IF( 'i1'!BR81=LEER,  #N/A,  'i1'!BR81  )</f>
        <v>69867.039999999994</v>
      </c>
      <c r="BI81" s="111">
        <f t="shared" si="34"/>
        <v>63417.609999999993</v>
      </c>
      <c r="BJ81" s="24">
        <f xml:space="preserve">    IF( 'i1'!BX81=LEER,  #N/A,  'i1'!BX81  )</f>
        <v>3595.8900000000067</v>
      </c>
      <c r="BL81" s="24">
        <f xml:space="preserve">    IF( 'i1'!CB81=LEER,  #N/A,  'i1'!CB81  )</f>
        <v>-6900.13</v>
      </c>
      <c r="BM81" s="24">
        <f xml:space="preserve">    IF( 'i1'!CC81=LEER,  #N/A,  'i1'!CC81  )</f>
        <v>1675.34</v>
      </c>
      <c r="BN81" s="24">
        <f xml:space="preserve">    IF( 'i1'!CD81=LEER,  #N/A,  'i1'!CD81  )</f>
        <v>2221.15</v>
      </c>
      <c r="BO81" s="24">
        <f xml:space="preserve">    IF( 'i1'!CE81=LEER,  #N/A,  'i1'!CE81  )</f>
        <v>-3003.64</v>
      </c>
      <c r="BQ81" s="24">
        <f xml:space="preserve">    IF( 'i1'!CI81=LEER,  #N/A,  'i1'!CI81  )</f>
        <v>10584.26</v>
      </c>
      <c r="BR81" s="24">
        <f xml:space="preserve">    IF( 'i1'!CJ81=LEER,  #N/A,  'i1'!CJ81  )</f>
        <v>-4564.6400000000003</v>
      </c>
      <c r="BS81" s="24">
        <f xml:space="preserve">    IF( 'i1'!CK81=LEER,  #N/A,  'i1'!CK81  )</f>
        <v>-2166.98</v>
      </c>
      <c r="BT81" s="38">
        <f xml:space="preserve">    IF( 'i1'!CH81=LEER,  #N/A,  'i1'!CH81  )</f>
        <v>3852.4304390000002</v>
      </c>
      <c r="BV81" s="24">
        <f xml:space="preserve">    IF( 'i1'!CO81=LEER,  #N/A,  'i1'!CO81  )</f>
        <v>10584.26</v>
      </c>
      <c r="BW81" s="24">
        <f xml:space="preserve">    IF( 'i1'!CP81=LEER,  #N/A,  'i1'!CP81  )</f>
        <v>-4531.9799999999996</v>
      </c>
      <c r="BX81" s="24">
        <f xml:space="preserve">    IF( 'i1'!CQ81=LEER,  #N/A,  'i1'!CQ81  )</f>
        <v>-2153.5</v>
      </c>
      <c r="BY81" s="38">
        <f xml:space="preserve">    IF( 'i1'!CN81=LEER,  #N/A,  'i1'!CN81  )</f>
        <v>3898.5573770000001</v>
      </c>
      <c r="CD81" s="113" t="e">
        <f xml:space="preserve"> IF(  AND( $A81&lt;&gt;$CD$14, OR( 'i1'!EO81=LEER, 'i1'!EM81&lt;&gt;LEER ) ), #N/A, 'i1'!EO81 )</f>
        <v>#N/A</v>
      </c>
      <c r="CE81" s="113">
        <f xml:space="preserve"> IF(   'i1'!EM81=LEER, #N/A,  'i1'!EM81 )</f>
        <v>18563.96</v>
      </c>
      <c r="CF81" s="114">
        <f xml:space="preserve"> IF(   'i1'!EL81=LEER, #N/A, 'i1'!EL81 + 'i1'!EM81 )</f>
        <v>66595.94</v>
      </c>
      <c r="CW81" s="104">
        <f xml:space="preserve"> 'i1'!FN81</f>
        <v>81</v>
      </c>
      <c r="CX81" s="106">
        <f xml:space="preserve"> IF(  INDEX( 'i1'!$FS81:$JO81, CX$13 ) = LEER,  #N/A,  INDEX( 'i1'!$FS81:$JO81, CX$13 )  )</f>
        <v>79408.08</v>
      </c>
      <c r="CY81" s="106">
        <f xml:space="preserve"> IF(  INDEX( 'i1'!$FS81:$JO81, CY$13 ) = LEER,  #N/A,  INDEX( 'i1'!$FS81:$JO81, CY$13 )  )</f>
        <v>75485.119999999995</v>
      </c>
      <c r="CZ81" s="106">
        <f xml:space="preserve"> IF(  INDEX( 'i1'!$FS81:$JO81, CZ$13 ) = LEER,  #N/A,  INDEX( 'i1'!$FS81:$JO81, CZ$13 )  )</f>
        <v>71245.52</v>
      </c>
      <c r="DA81" s="106">
        <f xml:space="preserve"> IF(  INDEX( 'i1'!$FS81:$JO81, DA$13 ) = LEER,  #N/A,  INDEX( 'i1'!$FS81:$JO81, DA$13 )  )</f>
        <v>66592.570000000007</v>
      </c>
      <c r="DB81" s="106">
        <f xml:space="preserve"> IF(  INDEX( 'i1'!$FS81:$JO81, DB$13 ) = LEER,  #N/A,  INDEX( 'i1'!$FS81:$JO81, DB$13 )  )</f>
        <v>61384.08</v>
      </c>
      <c r="DC81" s="106">
        <f xml:space="preserve"> IF(  INDEX( 'i1'!$FS81:$JO81, DC$13 ) = LEER,  #N/A,  INDEX( 'i1'!$FS81:$JO81, DC$13 )  )</f>
        <v>55231.34</v>
      </c>
      <c r="DD81" s="106">
        <f xml:space="preserve"> IF(  INDEX( 'i1'!$FS81:$JO81, DD$13 ) = LEER,  #N/A,  INDEX( 'i1'!$FS81:$JO81, DD$13 )  )</f>
        <v>48031.98</v>
      </c>
      <c r="DE81" s="106">
        <f xml:space="preserve"> IF(  INDEX( 'i1'!$FS81:$JO81, DE$13 ) = LEER,  #N/A,  INDEX( 'i1'!$FS81:$JO81, DE$13 )  )</f>
        <v>40085.56</v>
      </c>
      <c r="DF81" s="106">
        <f xml:space="preserve"> IF(  INDEX( 'i1'!$FS81:$JO81, DF$13 ) = LEER,  #N/A,  INDEX( 'i1'!$FS81:$JO81, DF$13 )  )</f>
        <v>31623.42</v>
      </c>
      <c r="DG81" s="106">
        <f xml:space="preserve"> IF(  INDEX( 'i1'!$FS81:$JO81, DG$13 ) = LEER,  #N/A,  INDEX( 'i1'!$FS81:$JO81, DG$13 )  )</f>
        <v>22655.02</v>
      </c>
      <c r="DH81" s="106">
        <f xml:space="preserve"> IF(  INDEX( 'i1'!$FS81:$JO81, DH$13 ) = LEER,  #N/A,  INDEX( 'i1'!$FS81:$JO81, DH$13 )  )</f>
        <v>13988.1</v>
      </c>
      <c r="DI81" s="106">
        <f xml:space="preserve"> IF(  INDEX( 'i1'!$FS81:$JO81, DI$13 ) = LEER,  #N/A,  INDEX( 'i1'!$FS81:$JO81, DI$13 )  )</f>
        <v>6853.2</v>
      </c>
      <c r="DJ81" s="106">
        <f xml:space="preserve"> IF(  INDEX( 'i1'!$FS81:$JO81, DJ$13 ) = LEER,  #N/A,  INDEX( 'i1'!$FS81:$JO81, DJ$13 )  )</f>
        <v>846.47</v>
      </c>
      <c r="DK81" s="106" t="e">
        <f xml:space="preserve"> IF(  INDEX( 'i1'!$FS81:$JO81, DK$13 ) = LEER,  #N/A,  INDEX( 'i1'!$FS81:$JO81, DK$13 )  )</f>
        <v>#N/A</v>
      </c>
      <c r="DL81" s="106" t="e">
        <f xml:space="preserve"> IF(  INDEX( 'i1'!$FS81:$JO81, DL$13 ) = LEER,  #N/A,  INDEX( 'i1'!$FS81:$JO81, DL$13 )  )</f>
        <v>#N/A</v>
      </c>
      <c r="DM81" s="106" t="e">
        <f xml:space="preserve"> IF(  INDEX( 'i1'!$FS81:$JO81, DM$13 ) = LEER,  #N/A,  INDEX( 'i1'!$FS81:$JO81, DM$13 )  )</f>
        <v>#N/A</v>
      </c>
      <c r="DN81" s="106" t="e">
        <f xml:space="preserve"> IF(  INDEX( 'i1'!$FS81:$JO81, DN$13 ) = LEER,  #N/A,  INDEX( 'i1'!$FS81:$JO81, DN$13 )  )</f>
        <v>#N/A</v>
      </c>
    </row>
    <row r="82" spans="1:118" x14ac:dyDescent="0.2">
      <c r="A82" s="15">
        <f xml:space="preserve"> Basis!A82</f>
        <v>82</v>
      </c>
      <c r="C82" s="24" t="b">
        <f xml:space="preserve"> 'i1'!$O82</f>
        <v>1</v>
      </c>
      <c r="D82" s="24" t="b">
        <f xml:space="preserve"> 'i2'!$O82</f>
        <v>1</v>
      </c>
      <c r="E82" s="24" t="b">
        <f xml:space="preserve"> 'i3'!$O82</f>
        <v>1</v>
      </c>
      <c r="G82" s="27">
        <f xml:space="preserve"> IF( $C83,   IF( 'i1'!$P82=LEER,  #N/A,  'i1'!$P82  ),   #N/A  )</f>
        <v>3.9600000000000003E-2</v>
      </c>
      <c r="H82" s="27">
        <f xml:space="preserve"> IF( $D83,   IF( 'i2'!$P82=LEER,  #N/A,  'i2'!$P82  ),   #N/A  )</f>
        <v>3.9600000000000003E-2</v>
      </c>
      <c r="I82" s="27">
        <f xml:space="preserve"> IF( $E83,   IF( 'i3'!$P82=LEER,  #N/A,  'i3'!$P82  ),   #N/A  )</f>
        <v>3.9600000000000003E-2</v>
      </c>
      <c r="J82" s="158"/>
      <c r="K82" s="27">
        <f xml:space="preserve"> IF( $C83,   IF( 'i1'!$G82=LEER,  #N/A,  'i1'!$G82  ),   #N/A  )</f>
        <v>1.6000000000000001E-3</v>
      </c>
      <c r="L82" s="27">
        <f xml:space="preserve"> IF( $D83,   IF( 'i2'!$G82=LEER,  #N/A,  'i2'!$G82  ),   #N/A  )</f>
        <v>1.6000000000000001E-3</v>
      </c>
      <c r="M82" s="27">
        <f xml:space="preserve"> IF( $E83,   IF( 'i3'!$G82=LEER,  #N/A,  'i3'!$G82  ),   #N/A  )</f>
        <v>1.6000000000000001E-3</v>
      </c>
      <c r="N82" s="158"/>
      <c r="O82" s="158"/>
      <c r="Q82" s="28">
        <f t="shared" si="35"/>
        <v>9.4322598129416306</v>
      </c>
      <c r="R82" s="28">
        <f t="shared" si="36"/>
        <v>9.4322598129416306</v>
      </c>
      <c r="S82" s="28">
        <f t="shared" si="37"/>
        <v>9.4322598129416306</v>
      </c>
      <c r="U82" s="76">
        <f xml:space="preserve"> IF( $C81,   SUM('i1'!$R82),   #N/A  )</f>
        <v>378648</v>
      </c>
      <c r="V82" s="76">
        <f xml:space="preserve"> IF( $C81,   SUM('i2'!$R82),   #N/A  )</f>
        <v>378648</v>
      </c>
      <c r="W82" s="76">
        <f xml:space="preserve"> IF( $C81,   SUM('i3'!$R82),   #N/A  )</f>
        <v>378648</v>
      </c>
      <c r="Y82" s="33"/>
      <c r="Z82" s="22">
        <f xml:space="preserve"> IF( $C82,   IF( 'i1'!$J82=LEER,  #N/A,  'i1'!$J82  ),   #N/A  )</f>
        <v>5.202</v>
      </c>
      <c r="AA82" s="22">
        <f xml:space="preserve"> IF( $D82,   IF( 'i2'!$J82=LEER,  #N/A,  'i2'!$J82  ),   #N/A  )</f>
        <v>5.202</v>
      </c>
      <c r="AB82" s="22">
        <f xml:space="preserve"> IF( $E82,   IF( 'i3'!$J82=LEER,  #N/A,  'i3'!$J82  ),   #N/A  )</f>
        <v>5.202</v>
      </c>
      <c r="AC82" s="75"/>
      <c r="AD82" s="26">
        <f t="shared" si="39"/>
        <v>10808.66358</v>
      </c>
      <c r="AE82" s="26">
        <f t="shared" si="40"/>
        <v>10808.66358</v>
      </c>
      <c r="AF82" s="26">
        <f t="shared" si="41"/>
        <v>10808.66358</v>
      </c>
      <c r="AG82" s="23"/>
      <c r="AH82" s="24">
        <f xml:space="preserve">    IF(  'i1'!$AK82=LEER,  #N/A,  ROUND( 'i1'!$AK82, AH$15 )  )</f>
        <v>1089.58</v>
      </c>
      <c r="AI82" s="24">
        <f xml:space="preserve">    IF(  'i2'!$AK82=LEER,  #N/A,  ROUND( 'i2'!$AK82, AI$15 )  )</f>
        <v>1089.58</v>
      </c>
      <c r="AJ82" s="24">
        <f xml:space="preserve">    IF(  'i3'!$AK82=LEER,  #N/A,  ROUND( 'i3'!$AK82, AJ$15 )  )</f>
        <v>1089.58</v>
      </c>
      <c r="AL82" s="102">
        <f t="shared" si="42"/>
        <v>1089.58</v>
      </c>
      <c r="AO82" s="24">
        <f xml:space="preserve">    IF( 'i1'!$AN82=LEER,  #N/A,  'i1'!$AN82  )</f>
        <v>64010.080000000002</v>
      </c>
      <c r="AP82" s="24">
        <f xml:space="preserve">    IF( 'i2'!$AN82=LEER,  #N/A,  'i2'!$AN82  )</f>
        <v>64010.080000000002</v>
      </c>
      <c r="AQ82" s="24">
        <f xml:space="preserve">    IF( 'i3'!$AN82=LEER,  #N/A,  'i3'!$AN82  )</f>
        <v>64010.080000000002</v>
      </c>
      <c r="AS82" s="24">
        <f xml:space="preserve">    IF( 'i1'!$AO82=LEER,  #N/A,  'i1'!$AO82  )</f>
        <v>63612.1</v>
      </c>
      <c r="AT82" s="24">
        <f xml:space="preserve">    IF( 'i2'!$AO82=LEER,  #N/A,  'i2'!$AO82  )</f>
        <v>63612.1</v>
      </c>
      <c r="AU82" s="24">
        <f xml:space="preserve">    IF( 'i3'!$AO82=LEER,  #N/A,  'i3'!$AO82  )</f>
        <v>63612.1</v>
      </c>
      <c r="AW82" s="28">
        <f t="shared" si="38"/>
        <v>30.806799999999999</v>
      </c>
      <c r="AX82" s="28">
        <f t="shared" si="29"/>
        <v>30.806799999999999</v>
      </c>
      <c r="AY82" s="28">
        <f t="shared" si="30"/>
        <v>30.806799999999999</v>
      </c>
      <c r="BA82" s="28">
        <f t="shared" si="43"/>
        <v>30.615300000000001</v>
      </c>
      <c r="BB82" s="28">
        <f t="shared" si="44"/>
        <v>30.615300000000001</v>
      </c>
      <c r="BC82" s="28">
        <f t="shared" si="45"/>
        <v>30.615300000000001</v>
      </c>
      <c r="BG82" s="24">
        <f xml:space="preserve">    IF( 'i1'!BT82=LEER,  #N/A,  'i1'!BT82  )</f>
        <v>-6731.43</v>
      </c>
      <c r="BH82" s="24">
        <f xml:space="preserve">    IF( 'i1'!BR82=LEER,  #N/A,  'i1'!BR82  )</f>
        <v>67013.5</v>
      </c>
      <c r="BI82" s="111">
        <f t="shared" si="34"/>
        <v>60282.07</v>
      </c>
      <c r="BJ82" s="24">
        <f xml:space="preserve">    IF( 'i1'!BX82=LEER,  #N/A,  'i1'!BX82  )</f>
        <v>3728.010000000002</v>
      </c>
      <c r="BL82" s="24">
        <f xml:space="preserve">    IF( 'i1'!CB82=LEER,  #N/A,  'i1'!CB82  )</f>
        <v>-7130.14</v>
      </c>
      <c r="BM82" s="24">
        <f xml:space="preserve">    IF( 'i1'!CC82=LEER,  #N/A,  'i1'!CC82  )</f>
        <v>1600.25</v>
      </c>
      <c r="BN82" s="24">
        <f xml:space="preserve">    IF( 'i1'!CD82=LEER,  #N/A,  'i1'!CD82  )</f>
        <v>2411.3000000000002</v>
      </c>
      <c r="BO82" s="24">
        <f xml:space="preserve">    IF( 'i1'!CE82=LEER,  #N/A,  'i1'!CE82  )</f>
        <v>-3118.59</v>
      </c>
      <c r="BQ82" s="24">
        <f xml:space="preserve">    IF( 'i1'!CI82=LEER,  #N/A,  'i1'!CI82  )</f>
        <v>10808.66</v>
      </c>
      <c r="BR82" s="24">
        <f xml:space="preserve">    IF( 'i1'!CJ82=LEER,  #N/A,  'i1'!CJ82  )</f>
        <v>-4603.79</v>
      </c>
      <c r="BS82" s="24">
        <f xml:space="preserve">    IF( 'i1'!CK82=LEER,  #N/A,  'i1'!CK82  )</f>
        <v>-2352.4899999999998</v>
      </c>
      <c r="BT82" s="38">
        <f xml:space="preserve">    IF( 'i1'!CH82=LEER,  #N/A,  'i1'!CH82  )</f>
        <v>3852.4304390000002</v>
      </c>
      <c r="BV82" s="24">
        <f xml:space="preserve">    IF( 'i1'!CO82=LEER,  #N/A,  'i1'!CO82  )</f>
        <v>10808.66</v>
      </c>
      <c r="BW82" s="24">
        <f xml:space="preserve">    IF( 'i1'!CP82=LEER,  #N/A,  'i1'!CP82  )</f>
        <v>-4572.17</v>
      </c>
      <c r="BX82" s="24">
        <f xml:space="preserve">    IF( 'i1'!CQ82=LEER,  #N/A,  'i1'!CQ82  )</f>
        <v>-2337.98</v>
      </c>
      <c r="BY82" s="38">
        <f xml:space="preserve">    IF( 'i1'!CN82=LEER,  #N/A,  'i1'!CN82  )</f>
        <v>3898.5573770000001</v>
      </c>
      <c r="CD82" s="113" t="e">
        <f xml:space="preserve"> IF(  AND( $A82&lt;&gt;$CD$14, OR( 'i1'!EO82=LEER, 'i1'!EM82&lt;&gt;LEER ) ), #N/A, 'i1'!EO82 )</f>
        <v>#N/A</v>
      </c>
      <c r="CE82" s="113">
        <f xml:space="preserve"> IF(   'i1'!EM82=LEER, #N/A,  'i1'!EM82 )</f>
        <v>17551.89</v>
      </c>
      <c r="CF82" s="114">
        <f xml:space="preserve"> IF(   'i1'!EL82=LEER, #N/A, 'i1'!EL82 + 'i1'!EM82 )</f>
        <v>63615.29</v>
      </c>
      <c r="CW82" s="104">
        <f xml:space="preserve"> 'i1'!FN82</f>
        <v>82</v>
      </c>
      <c r="CX82" s="106">
        <f xml:space="preserve"> IF(  INDEX( 'i1'!$FS82:$JO82, CX$13 ) = LEER,  #N/A,  INDEX( 'i1'!$FS82:$JO82, CX$13 )  )</f>
        <v>75728.94</v>
      </c>
      <c r="CY82" s="106">
        <f xml:space="preserve"> IF(  INDEX( 'i1'!$FS82:$JO82, CY$13 ) = LEER,  #N/A,  INDEX( 'i1'!$FS82:$JO82, CY$13 )  )</f>
        <v>72019.850000000006</v>
      </c>
      <c r="CZ82" s="106">
        <f xml:space="preserve"> IF(  INDEX( 'i1'!$FS82:$JO82, CZ$13 ) = LEER,  #N/A,  INDEX( 'i1'!$FS82:$JO82, CZ$13 )  )</f>
        <v>68011.38</v>
      </c>
      <c r="DA82" s="106">
        <f xml:space="preserve"> IF(  INDEX( 'i1'!$FS82:$JO82, DA$13 ) = LEER,  #N/A,  INDEX( 'i1'!$FS82:$JO82, DA$13 )  )</f>
        <v>63612.1</v>
      </c>
      <c r="DB82" s="106">
        <f xml:space="preserve"> IF(  INDEX( 'i1'!$FS82:$JO82, DB$13 ) = LEER,  #N/A,  INDEX( 'i1'!$FS82:$JO82, DB$13 )  )</f>
        <v>58687.57</v>
      </c>
      <c r="DC82" s="106">
        <f xml:space="preserve"> IF(  INDEX( 'i1'!$FS82:$JO82, DC$13 ) = LEER,  #N/A,  INDEX( 'i1'!$FS82:$JO82, DC$13 )  )</f>
        <v>52870.27</v>
      </c>
      <c r="DD82" s="106">
        <f xml:space="preserve"> IF(  INDEX( 'i1'!$FS82:$JO82, DD$13 ) = LEER,  #N/A,  INDEX( 'i1'!$FS82:$JO82, DD$13 )  )</f>
        <v>46063.4</v>
      </c>
      <c r="DE82" s="106">
        <f xml:space="preserve"> IF(  INDEX( 'i1'!$FS82:$JO82, DE$13 ) = LEER,  #N/A,  INDEX( 'i1'!$FS82:$JO82, DE$13 )  )</f>
        <v>38550.21</v>
      </c>
      <c r="DF82" s="106">
        <f xml:space="preserve"> IF(  INDEX( 'i1'!$FS82:$JO82, DF$13 ) = LEER,  #N/A,  INDEX( 'i1'!$FS82:$JO82, DF$13 )  )</f>
        <v>30549.4</v>
      </c>
      <c r="DG82" s="106">
        <f xml:space="preserve"> IF(  INDEX( 'i1'!$FS82:$JO82, DG$13 ) = LEER,  #N/A,  INDEX( 'i1'!$FS82:$JO82, DG$13 )  )</f>
        <v>22069.95</v>
      </c>
      <c r="DH82" s="106">
        <f xml:space="preserve"> IF(  INDEX( 'i1'!$FS82:$JO82, DH$13 ) = LEER,  #N/A,  INDEX( 'i1'!$FS82:$JO82, DH$13 )  )</f>
        <v>13875.53</v>
      </c>
      <c r="DI82" s="106">
        <f xml:space="preserve"> IF(  INDEX( 'i1'!$FS82:$JO82, DI$13 ) = LEER,  #N/A,  INDEX( 'i1'!$FS82:$JO82, DI$13 )  )</f>
        <v>7129.62</v>
      </c>
      <c r="DJ82" s="106">
        <f xml:space="preserve"> IF(  INDEX( 'i1'!$FS82:$JO82, DJ$13 ) = LEER,  #N/A,  INDEX( 'i1'!$FS82:$JO82, DJ$13 )  )</f>
        <v>1450.36</v>
      </c>
      <c r="DK82" s="106" t="e">
        <f xml:space="preserve"> IF(  INDEX( 'i1'!$FS82:$JO82, DK$13 ) = LEER,  #N/A,  INDEX( 'i1'!$FS82:$JO82, DK$13 )  )</f>
        <v>#N/A</v>
      </c>
      <c r="DL82" s="106" t="e">
        <f xml:space="preserve"> IF(  INDEX( 'i1'!$FS82:$JO82, DL$13 ) = LEER,  #N/A,  INDEX( 'i1'!$FS82:$JO82, DL$13 )  )</f>
        <v>#N/A</v>
      </c>
      <c r="DM82" s="106" t="e">
        <f xml:space="preserve"> IF(  INDEX( 'i1'!$FS82:$JO82, DM$13 ) = LEER,  #N/A,  INDEX( 'i1'!$FS82:$JO82, DM$13 )  )</f>
        <v>#N/A</v>
      </c>
      <c r="DN82" s="106" t="e">
        <f xml:space="preserve"> IF(  INDEX( 'i1'!$FS82:$JO82, DN$13 ) = LEER,  #N/A,  INDEX( 'i1'!$FS82:$JO82, DN$13 )  )</f>
        <v>#N/A</v>
      </c>
    </row>
    <row r="83" spans="1:118" x14ac:dyDescent="0.2">
      <c r="A83" s="15">
        <f xml:space="preserve"> Basis!A83</f>
        <v>83</v>
      </c>
      <c r="C83" s="24" t="b">
        <f xml:space="preserve"> 'i1'!$O83</f>
        <v>1</v>
      </c>
      <c r="D83" s="24" t="b">
        <f xml:space="preserve"> 'i2'!$O83</f>
        <v>1</v>
      </c>
      <c r="E83" s="24" t="b">
        <f xml:space="preserve"> 'i3'!$O83</f>
        <v>1</v>
      </c>
      <c r="G83" s="27">
        <f xml:space="preserve"> IF( $C84,   IF( 'i1'!$P83=LEER,  #N/A,  'i1'!$P83  ),   #N/A  )</f>
        <v>4.5499999999999999E-2</v>
      </c>
      <c r="H83" s="27">
        <f xml:space="preserve"> IF( $D84,   IF( 'i2'!$P83=LEER,  #N/A,  'i2'!$P83  ),   #N/A  )</f>
        <v>4.5499999999999999E-2</v>
      </c>
      <c r="I83" s="27">
        <f xml:space="preserve"> IF( $E84,   IF( 'i3'!$P83=LEER,  #N/A,  'i3'!$P83  ),   #N/A  )</f>
        <v>4.5499999999999999E-2</v>
      </c>
      <c r="J83" s="158"/>
      <c r="K83" s="27">
        <f xml:space="preserve"> IF( $C84,   IF( 'i1'!$G83=LEER,  #N/A,  'i1'!$G83  ),   #N/A  )</f>
        <v>1.5E-3</v>
      </c>
      <c r="L83" s="27">
        <f xml:space="preserve"> IF( $D84,   IF( 'i2'!$G83=LEER,  #N/A,  'i2'!$G83  ),   #N/A  )</f>
        <v>1.5E-3</v>
      </c>
      <c r="M83" s="27">
        <f xml:space="preserve"> IF( $E84,   IF( 'i3'!$G83=LEER,  #N/A,  'i3'!$G83  ),   #N/A  )</f>
        <v>1.5E-3</v>
      </c>
      <c r="N83" s="158"/>
      <c r="O83" s="158"/>
      <c r="Q83" s="28">
        <f t="shared" si="35"/>
        <v>8.8005620709513011</v>
      </c>
      <c r="R83" s="28">
        <f t="shared" si="36"/>
        <v>8.8005620709513011</v>
      </c>
      <c r="S83" s="28">
        <f t="shared" si="37"/>
        <v>8.8005620709513011</v>
      </c>
      <c r="U83" s="76">
        <f xml:space="preserve"> IF( $C82,   SUM('i1'!$R83),   #N/A  )</f>
        <v>363653</v>
      </c>
      <c r="V83" s="76">
        <f xml:space="preserve"> IF( $C82,   SUM('i2'!$R83),   #N/A  )</f>
        <v>363653</v>
      </c>
      <c r="W83" s="76">
        <f xml:space="preserve"> IF( $C82,   SUM('i3'!$R83),   #N/A  )</f>
        <v>363653</v>
      </c>
      <c r="Y83" s="33"/>
      <c r="Z83" s="22">
        <f xml:space="preserve"> IF( $C83,   IF( 'i1'!$J83=LEER,  #N/A,  'i1'!$J83  ),   #N/A  )</f>
        <v>5.298</v>
      </c>
      <c r="AA83" s="22">
        <f xml:space="preserve"> IF( $D83,   IF( 'i2'!$J83=LEER,  #N/A,  'i2'!$J83  ),   #N/A  )</f>
        <v>5.298</v>
      </c>
      <c r="AB83" s="22">
        <f xml:space="preserve"> IF( $E83,   IF( 'i3'!$J83=LEER,  #N/A,  'i3'!$J83  ),   #N/A  )</f>
        <v>5.298</v>
      </c>
      <c r="AC83" s="75"/>
      <c r="AD83" s="26">
        <f t="shared" si="39"/>
        <v>11008.13142</v>
      </c>
      <c r="AE83" s="26">
        <f t="shared" si="40"/>
        <v>11008.13142</v>
      </c>
      <c r="AF83" s="26">
        <f t="shared" si="41"/>
        <v>11008.13142</v>
      </c>
      <c r="AG83" s="23"/>
      <c r="AH83" s="24">
        <f xml:space="preserve">    IF(  'i1'!$AK83=LEER,  #N/A,  ROUND( 'i1'!$AK83, AH$15 )  )</f>
        <v>1095.0999999999999</v>
      </c>
      <c r="AI83" s="24">
        <f xml:space="preserve">    IF(  'i2'!$AK83=LEER,  #N/A,  ROUND( 'i2'!$AK83, AI$15 )  )</f>
        <v>1095.0999999999999</v>
      </c>
      <c r="AJ83" s="24">
        <f xml:space="preserve">    IF(  'i3'!$AK83=LEER,  #N/A,  ROUND( 'i3'!$AK83, AJ$15 )  )</f>
        <v>1095.0999999999999</v>
      </c>
      <c r="AL83" s="102">
        <f t="shared" si="42"/>
        <v>1095.0999999999999</v>
      </c>
      <c r="AO83" s="24">
        <f xml:space="preserve">    IF( 'i1'!$AN83=LEER,  #N/A,  'i1'!$AN83  )</f>
        <v>60891.45</v>
      </c>
      <c r="AP83" s="24">
        <f xml:space="preserve">    IF( 'i2'!$AN83=LEER,  #N/A,  'i2'!$AN83  )</f>
        <v>60891.45</v>
      </c>
      <c r="AQ83" s="24">
        <f xml:space="preserve">    IF( 'i3'!$AN83=LEER,  #N/A,  'i3'!$AN83  )</f>
        <v>60891.45</v>
      </c>
      <c r="AS83" s="24">
        <f xml:space="preserve">    IF( 'i1'!$AO83=LEER,  #N/A,  'i1'!$AO83  )</f>
        <v>60515.93</v>
      </c>
      <c r="AT83" s="24">
        <f xml:space="preserve">    IF( 'i2'!$AO83=LEER,  #N/A,  'i2'!$AO83  )</f>
        <v>60515.93</v>
      </c>
      <c r="AU83" s="24">
        <f xml:space="preserve">    IF( 'i3'!$AO83=LEER,  #N/A,  'i3'!$AO83  )</f>
        <v>60515.93</v>
      </c>
      <c r="AW83" s="28">
        <f t="shared" si="38"/>
        <v>29.305900000000001</v>
      </c>
      <c r="AX83" s="28">
        <f t="shared" si="29"/>
        <v>29.305900000000001</v>
      </c>
      <c r="AY83" s="28">
        <f t="shared" si="30"/>
        <v>29.305900000000001</v>
      </c>
      <c r="BA83" s="28">
        <f t="shared" si="43"/>
        <v>29.1251</v>
      </c>
      <c r="BB83" s="28">
        <f t="shared" si="44"/>
        <v>29.1251</v>
      </c>
      <c r="BC83" s="28">
        <f t="shared" si="45"/>
        <v>29.1251</v>
      </c>
      <c r="BG83" s="24">
        <f xml:space="preserve">    IF( 'i1'!BT83=LEER,  #N/A,  'i1'!BT83  )</f>
        <v>-6956.77</v>
      </c>
      <c r="BH83" s="24">
        <f xml:space="preserve">    IF( 'i1'!BR83=LEER,  #N/A,  'i1'!BR83  )</f>
        <v>64010.080000000002</v>
      </c>
      <c r="BI83" s="111">
        <f t="shared" si="34"/>
        <v>57053.31</v>
      </c>
      <c r="BJ83" s="24">
        <f xml:space="preserve">    IF( 'i1'!BX83=LEER,  #N/A,  'i1'!BX83  )</f>
        <v>3838.1399999999994</v>
      </c>
      <c r="BL83" s="24">
        <f xml:space="preserve">    IF( 'i1'!CB83=LEER,  #N/A,  'i1'!CB83  )</f>
        <v>-7334.59</v>
      </c>
      <c r="BM83" s="24">
        <f xml:space="preserve">    IF( 'i1'!CC83=LEER,  #N/A,  'i1'!CC83  )</f>
        <v>1522.29</v>
      </c>
      <c r="BN83" s="24">
        <f xml:space="preserve">    IF( 'i1'!CD83=LEER,  #N/A,  'i1'!CD83  )</f>
        <v>2625.56</v>
      </c>
      <c r="BO83" s="24">
        <f xml:space="preserve">    IF( 'i1'!CE83=LEER,  #N/A,  'i1'!CE83  )</f>
        <v>-3186.7400000000002</v>
      </c>
      <c r="BQ83" s="24">
        <f xml:space="preserve">    IF( 'i1'!CI83=LEER,  #N/A,  'i1'!CI83  )</f>
        <v>11008.13</v>
      </c>
      <c r="BR83" s="24">
        <f xml:space="preserve">    IF( 'i1'!CJ83=LEER,  #N/A,  'i1'!CJ83  )</f>
        <v>-4594.22</v>
      </c>
      <c r="BS83" s="24">
        <f xml:space="preserve">    IF( 'i1'!CK83=LEER,  #N/A,  'i1'!CK83  )</f>
        <v>-2561.52</v>
      </c>
      <c r="BT83" s="38">
        <f xml:space="preserve">    IF( 'i1'!CH83=LEER,  #N/A,  'i1'!CH83  )</f>
        <v>3852.4304390000002</v>
      </c>
      <c r="BV83" s="24">
        <f xml:space="preserve">    IF( 'i1'!CO83=LEER,  #N/A,  'i1'!CO83  )</f>
        <v>11008.13</v>
      </c>
      <c r="BW83" s="24">
        <f xml:space="preserve">    IF( 'i1'!CP83=LEER,  #N/A,  'i1'!CP83  )</f>
        <v>-4563.79</v>
      </c>
      <c r="BX83" s="24">
        <f xml:space="preserve">    IF( 'i1'!CQ83=LEER,  #N/A,  'i1'!CQ83  )</f>
        <v>-2545.8200000000002</v>
      </c>
      <c r="BY83" s="38">
        <f xml:space="preserve">    IF( 'i1'!CN83=LEER,  #N/A,  'i1'!CN83  )</f>
        <v>3898.5573770000001</v>
      </c>
      <c r="CD83" s="113" t="e">
        <f xml:space="preserve"> IF(  AND( $A83&lt;&gt;$CD$14, OR( 'i1'!EO83=LEER, 'i1'!EM83&lt;&gt;LEER ) ), #N/A, 'i1'!EO83 )</f>
        <v>#N/A</v>
      </c>
      <c r="CE83" s="113">
        <f xml:space="preserve"> IF(   'i1'!EM83=LEER, #N/A,  'i1'!EM83 )</f>
        <v>16561.38</v>
      </c>
      <c r="CF83" s="114">
        <f xml:space="preserve"> IF(   'i1'!EL83=LEER, #N/A, 'i1'!EL83 + 'i1'!EM83 )</f>
        <v>60518.930000000008</v>
      </c>
      <c r="CW83" s="104">
        <f xml:space="preserve"> 'i1'!FN83</f>
        <v>83</v>
      </c>
      <c r="CX83" s="106">
        <f xml:space="preserve"> IF(  INDEX( 'i1'!$FS83:$JO83, CX$13 ) = LEER,  #N/A,  INDEX( 'i1'!$FS83:$JO83, CX$13 )  )</f>
        <v>71948.97</v>
      </c>
      <c r="CY83" s="106">
        <f xml:space="preserve"> IF(  INDEX( 'i1'!$FS83:$JO83, CY$13 ) = LEER,  #N/A,  INDEX( 'i1'!$FS83:$JO83, CY$13 )  )</f>
        <v>68449.2</v>
      </c>
      <c r="CZ83" s="106">
        <f xml:space="preserve"> IF(  INDEX( 'i1'!$FS83:$JO83, CZ$13 ) = LEER,  #N/A,  INDEX( 'i1'!$FS83:$JO83, CZ$13 )  )</f>
        <v>64666.94</v>
      </c>
      <c r="DA83" s="106">
        <f xml:space="preserve"> IF(  INDEX( 'i1'!$FS83:$JO83, DA$13 ) = LEER,  #N/A,  INDEX( 'i1'!$FS83:$JO83, DA$13 )  )</f>
        <v>60515.93</v>
      </c>
      <c r="DB83" s="106">
        <f xml:space="preserve"> IF(  INDEX( 'i1'!$FS83:$JO83, DB$13 ) = LEER,  #N/A,  INDEX( 'i1'!$FS83:$JO83, DB$13 )  )</f>
        <v>55869.3</v>
      </c>
      <c r="DC83" s="106">
        <f xml:space="preserve"> IF(  INDEX( 'i1'!$FS83:$JO83, DC$13 ) = LEER,  #N/A,  INDEX( 'i1'!$FS83:$JO83, DC$13 )  )</f>
        <v>50380.29</v>
      </c>
      <c r="DD83" s="106">
        <f xml:space="preserve"> IF(  INDEX( 'i1'!$FS83:$JO83, DD$13 ) = LEER,  #N/A,  INDEX( 'i1'!$FS83:$JO83, DD$13 )  )</f>
        <v>43957.55</v>
      </c>
      <c r="DE83" s="106">
        <f xml:space="preserve"> IF(  INDEX( 'i1'!$FS83:$JO83, DE$13 ) = LEER,  #N/A,  INDEX( 'i1'!$FS83:$JO83, DE$13 )  )</f>
        <v>36868.36</v>
      </c>
      <c r="DF83" s="106">
        <f xml:space="preserve"> IF(  INDEX( 'i1'!$FS83:$JO83, DF$13 ) = LEER,  #N/A,  INDEX( 'i1'!$FS83:$JO83, DF$13 )  )</f>
        <v>29319.06</v>
      </c>
      <c r="DG83" s="106">
        <f xml:space="preserve"> IF(  INDEX( 'i1'!$FS83:$JO83, DG$13 ) = LEER,  #N/A,  INDEX( 'i1'!$FS83:$JO83, DG$13 )  )</f>
        <v>21318.13</v>
      </c>
      <c r="DH83" s="106">
        <f xml:space="preserve"> IF(  INDEX( 'i1'!$FS83:$JO83, DH$13 ) = LEER,  #N/A,  INDEX( 'i1'!$FS83:$JO83, DH$13 )  )</f>
        <v>13586.15</v>
      </c>
      <c r="DI83" s="106">
        <f xml:space="preserve"> IF(  INDEX( 'i1'!$FS83:$JO83, DI$13 ) = LEER,  #N/A,  INDEX( 'i1'!$FS83:$JO83, DI$13 )  )</f>
        <v>7220.93</v>
      </c>
      <c r="DJ83" s="106">
        <f xml:space="preserve"> IF(  INDEX( 'i1'!$FS83:$JO83, DJ$13 ) = LEER,  #N/A,  INDEX( 'i1'!$FS83:$JO83, DJ$13 )  )</f>
        <v>1862.17</v>
      </c>
      <c r="DK83" s="106" t="e">
        <f xml:space="preserve"> IF(  INDEX( 'i1'!$FS83:$JO83, DK$13 ) = LEER,  #N/A,  INDEX( 'i1'!$FS83:$JO83, DK$13 )  )</f>
        <v>#N/A</v>
      </c>
      <c r="DL83" s="106" t="e">
        <f xml:space="preserve"> IF(  INDEX( 'i1'!$FS83:$JO83, DL$13 ) = LEER,  #N/A,  INDEX( 'i1'!$FS83:$JO83, DL$13 )  )</f>
        <v>#N/A</v>
      </c>
      <c r="DM83" s="106" t="e">
        <f xml:space="preserve"> IF(  INDEX( 'i1'!$FS83:$JO83, DM$13 ) = LEER,  #N/A,  INDEX( 'i1'!$FS83:$JO83, DM$13 )  )</f>
        <v>#N/A</v>
      </c>
      <c r="DN83" s="106" t="e">
        <f xml:space="preserve"> IF(  INDEX( 'i1'!$FS83:$JO83, DN$13 ) = LEER,  #N/A,  INDEX( 'i1'!$FS83:$JO83, DN$13 )  )</f>
        <v>#N/A</v>
      </c>
    </row>
    <row r="84" spans="1:118" x14ac:dyDescent="0.2">
      <c r="A84" s="15">
        <f xml:space="preserve"> Basis!A84</f>
        <v>84</v>
      </c>
      <c r="C84" s="24" t="b">
        <f xml:space="preserve"> 'i1'!$O84</f>
        <v>1</v>
      </c>
      <c r="D84" s="24" t="b">
        <f xml:space="preserve"> 'i2'!$O84</f>
        <v>1</v>
      </c>
      <c r="E84" s="24" t="b">
        <f xml:space="preserve"> 'i3'!$O84</f>
        <v>1</v>
      </c>
      <c r="G84" s="27">
        <f xml:space="preserve"> IF( $C85,   IF( 'i1'!$P84=LEER,  #N/A,  'i1'!$P84  ),   #N/A  )</f>
        <v>5.2400000000000002E-2</v>
      </c>
      <c r="H84" s="27">
        <f xml:space="preserve"> IF( $D85,   IF( 'i2'!$P84=LEER,  #N/A,  'i2'!$P84  ),   #N/A  )</f>
        <v>5.2400000000000002E-2</v>
      </c>
      <c r="I84" s="27">
        <f xml:space="preserve"> IF( $E85,   IF( 'i3'!$P84=LEER,  #N/A,  'i3'!$P84  ),   #N/A  )</f>
        <v>5.2400000000000002E-2</v>
      </c>
      <c r="J84" s="158"/>
      <c r="K84" s="27">
        <f xml:space="preserve"> IF( $C85,   IF( 'i1'!$G84=LEER,  #N/A,  'i1'!$G84  ),   #N/A  )</f>
        <v>1.5E-3</v>
      </c>
      <c r="L84" s="27">
        <f xml:space="preserve"> IF( $D85,   IF( 'i2'!$G84=LEER,  #N/A,  'i2'!$G84  ),   #N/A  )</f>
        <v>1.5E-3</v>
      </c>
      <c r="M84" s="27">
        <f xml:space="preserve"> IF( $E85,   IF( 'i3'!$G84=LEER,  #N/A,  'i3'!$G84  ),   #N/A  )</f>
        <v>1.5E-3</v>
      </c>
      <c r="N84" s="158"/>
      <c r="O84" s="158"/>
      <c r="Q84" s="28">
        <f t="shared" si="35"/>
        <v>8.1962410381888962</v>
      </c>
      <c r="R84" s="28">
        <f t="shared" si="36"/>
        <v>8.1962410381888962</v>
      </c>
      <c r="S84" s="28">
        <f t="shared" si="37"/>
        <v>8.1962410381888962</v>
      </c>
      <c r="U84" s="76">
        <f xml:space="preserve"> IF( $C83,   SUM('i1'!$R84),   #N/A  )</f>
        <v>347106</v>
      </c>
      <c r="V84" s="76">
        <f xml:space="preserve"> IF( $C83,   SUM('i2'!$R84),   #N/A  )</f>
        <v>347106</v>
      </c>
      <c r="W84" s="76">
        <f xml:space="preserve"> IF( $C83,   SUM('i3'!$R84),   #N/A  )</f>
        <v>347106</v>
      </c>
      <c r="Y84" s="33"/>
      <c r="Z84" s="22">
        <f xml:space="preserve"> IF( $C84,   IF( 'i1'!$J84=LEER,  #N/A,  'i1'!$J84  ),   #N/A  )</f>
        <v>5.3789999999999996</v>
      </c>
      <c r="AA84" s="22">
        <f xml:space="preserve"> IF( $D84,   IF( 'i2'!$J84=LEER,  #N/A,  'i2'!$J84  ),   #N/A  )</f>
        <v>5.3789999999999996</v>
      </c>
      <c r="AB84" s="22">
        <f xml:space="preserve"> IF( $E84,   IF( 'i3'!$J84=LEER,  #N/A,  'i3'!$J84  ),   #N/A  )</f>
        <v>5.3789999999999996</v>
      </c>
      <c r="AC84" s="75"/>
      <c r="AD84" s="26">
        <f t="shared" ref="AD84:AD120" si="46" xml:space="preserve"> SUM(Z84) * SUM(Z$19)</f>
        <v>11176.432409999999</v>
      </c>
      <c r="AE84" s="26">
        <f t="shared" ref="AE84:AE120" si="47" xml:space="preserve"> SUM(AA84) * SUM(AA$19)</f>
        <v>11176.432409999999</v>
      </c>
      <c r="AF84" s="26">
        <f t="shared" ref="AF84:AF120" si="48" xml:space="preserve"> SUM(AB84) * SUM(AB$19)</f>
        <v>11176.432409999999</v>
      </c>
      <c r="AG84" s="23"/>
      <c r="AH84" s="24">
        <f xml:space="preserve">    IF(  'i1'!$AK84=LEER,  #N/A,  ROUND( 'i1'!$AK84, AH$15 )  )</f>
        <v>1099.24</v>
      </c>
      <c r="AI84" s="24">
        <f xml:space="preserve">    IF(  'i2'!$AK84=LEER,  #N/A,  ROUND( 'i2'!$AK84, AI$15 )  )</f>
        <v>1099.24</v>
      </c>
      <c r="AJ84" s="24">
        <f xml:space="preserve">    IF(  'i3'!$AK84=LEER,  #N/A,  ROUND( 'i3'!$AK84, AJ$15 )  )</f>
        <v>1099.24</v>
      </c>
      <c r="AL84" s="102">
        <f t="shared" ref="AL84:AL120" si="49" xml:space="preserve"> ROUND( AH84 + ( AF84 -AD84 ) / ( 12 * ( 1 - AL$19 ) ), AL$15 )</f>
        <v>1099.24</v>
      </c>
      <c r="AO84" s="24">
        <f xml:space="preserve">    IF( 'i1'!$AN84=LEER,  #N/A,  'i1'!$AN84  )</f>
        <v>57704.66</v>
      </c>
      <c r="AP84" s="24">
        <f xml:space="preserve">    IF( 'i2'!$AN84=LEER,  #N/A,  'i2'!$AN84  )</f>
        <v>57704.66</v>
      </c>
      <c r="AQ84" s="24">
        <f xml:space="preserve">    IF( 'i3'!$AN84=LEER,  #N/A,  'i3'!$AN84  )</f>
        <v>57704.66</v>
      </c>
      <c r="AS84" s="24">
        <f xml:space="preserve">    IF( 'i1'!$AO84=LEER,  #N/A,  'i1'!$AO84  )</f>
        <v>57350.94</v>
      </c>
      <c r="AT84" s="24">
        <f xml:space="preserve">    IF( 'i2'!$AO84=LEER,  #N/A,  'i2'!$AO84  )</f>
        <v>57350.94</v>
      </c>
      <c r="AU84" s="24">
        <f xml:space="preserve">    IF( 'i3'!$AO84=LEER,  #N/A,  'i3'!$AO84  )</f>
        <v>57350.94</v>
      </c>
      <c r="AW84" s="28">
        <f t="shared" si="38"/>
        <v>27.772099999999998</v>
      </c>
      <c r="AX84" s="28">
        <f t="shared" ref="AX84:AX120" si="50" xml:space="preserve"> ROUND( AP84 / AX$19, AX$13 )</f>
        <v>27.772099999999998</v>
      </c>
      <c r="AY84" s="28">
        <f t="shared" ref="AY84:AY120" si="51" xml:space="preserve"> ROUND( AQ84 / AY$19, AY$13 )</f>
        <v>27.772099999999998</v>
      </c>
      <c r="BA84" s="28">
        <f t="shared" ref="BA84:BA120" si="52" xml:space="preserve"> ROUND( AS84 / BA$19, BA$13 )</f>
        <v>27.601900000000001</v>
      </c>
      <c r="BB84" s="28">
        <f t="shared" ref="BB84:BB120" si="53" xml:space="preserve"> ROUND( AT84 / BB$19, BB$13 )</f>
        <v>27.601900000000001</v>
      </c>
      <c r="BC84" s="28">
        <f t="shared" ref="BC84:BC120" si="54" xml:space="preserve"> ROUND( AU84 / BC$19, BC$13 )</f>
        <v>27.601900000000001</v>
      </c>
      <c r="BG84" s="24">
        <f xml:space="preserve">    IF( 'i1'!BT84=LEER,  #N/A,  'i1'!BT84  )</f>
        <v>-7156.22</v>
      </c>
      <c r="BH84" s="24">
        <f xml:space="preserve">    IF( 'i1'!BR84=LEER,  #N/A,  'i1'!BR84  )</f>
        <v>60891.45</v>
      </c>
      <c r="BI84" s="111">
        <f t="shared" ref="BI84:BI104" si="55" xml:space="preserve"> BG84 + BH84</f>
        <v>53735.229999999996</v>
      </c>
      <c r="BJ84" s="24">
        <f xml:space="preserve">    IF( 'i1'!BX84=LEER,  #N/A,  'i1'!BX84  )</f>
        <v>3969.4300000000076</v>
      </c>
      <c r="BL84" s="24">
        <f xml:space="preserve">    IF( 'i1'!CB84=LEER,  #N/A,  'i1'!CB84  )</f>
        <v>-7507.1</v>
      </c>
      <c r="BM84" s="24">
        <f xml:space="preserve">    IF( 'i1'!CC84=LEER,  #N/A,  'i1'!CC84  )</f>
        <v>1442.62</v>
      </c>
      <c r="BN84" s="24">
        <f xml:space="preserve">    IF( 'i1'!CD84=LEER,  #N/A,  'i1'!CD84  )</f>
        <v>2855.58</v>
      </c>
      <c r="BO84" s="24">
        <f xml:space="preserve">    IF( 'i1'!CE84=LEER,  #N/A,  'i1'!CE84  )</f>
        <v>-3208.9000000000005</v>
      </c>
      <c r="BQ84" s="24">
        <f xml:space="preserve">    IF( 'i1'!CI84=LEER,  #N/A,  'i1'!CI84  )</f>
        <v>11176.43</v>
      </c>
      <c r="BR84" s="24">
        <f xml:space="preserve">    IF( 'i1'!CJ84=LEER,  #N/A,  'i1'!CJ84  )</f>
        <v>-4537.96</v>
      </c>
      <c r="BS84" s="24">
        <f xml:space="preserve">    IF( 'i1'!CK84=LEER,  #N/A,  'i1'!CK84  )</f>
        <v>-2785.94</v>
      </c>
      <c r="BT84" s="38">
        <f xml:space="preserve">    IF( 'i1'!CH84=LEER,  #N/A,  'i1'!CH84  )</f>
        <v>3852.4304390000002</v>
      </c>
      <c r="BV84" s="24">
        <f xml:space="preserve">    IF( 'i1'!CO84=LEER,  #N/A,  'i1'!CO84  )</f>
        <v>11176.43</v>
      </c>
      <c r="BW84" s="24">
        <f xml:space="preserve">    IF( 'i1'!CP84=LEER,  #N/A,  'i1'!CP84  )</f>
        <v>-4508.84</v>
      </c>
      <c r="BX84" s="24">
        <f xml:space="preserve">    IF( 'i1'!CQ84=LEER,  #N/A,  'i1'!CQ84  )</f>
        <v>-2768.93</v>
      </c>
      <c r="BY84" s="38">
        <f xml:space="preserve">    IF( 'i1'!CN84=LEER,  #N/A,  'i1'!CN84  )</f>
        <v>3898.5573770000001</v>
      </c>
      <c r="CD84" s="113" t="e">
        <f xml:space="preserve"> IF(  AND( $A84&lt;&gt;$CD$14, OR( 'i1'!EO84=LEER, 'i1'!EM84&lt;&gt;LEER ) ), #N/A, 'i1'!EO84 )</f>
        <v>#N/A</v>
      </c>
      <c r="CE84" s="113">
        <f xml:space="preserve"> IF(   'i1'!EM84=LEER, #N/A,  'i1'!EM84 )</f>
        <v>15600.16</v>
      </c>
      <c r="CF84" s="114">
        <f xml:space="preserve"> IF(   'i1'!EL84=LEER, #N/A, 'i1'!EL84 + 'i1'!EM84 )</f>
        <v>57353.759999999995</v>
      </c>
      <c r="CW84" s="104">
        <f xml:space="preserve"> 'i1'!FN84</f>
        <v>84</v>
      </c>
      <c r="CX84" s="106">
        <f xml:space="preserve"> IF(  INDEX( 'i1'!$FS84:$JO84, CX$13 ) = LEER,  #N/A,  INDEX( 'i1'!$FS84:$JO84, CX$13 )  )</f>
        <v>68120.41</v>
      </c>
      <c r="CY84" s="106">
        <f xml:space="preserve"> IF(  INDEX( 'i1'!$FS84:$JO84, CY$13 ) = LEER,  #N/A,  INDEX( 'i1'!$FS84:$JO84, CY$13 )  )</f>
        <v>64823.76</v>
      </c>
      <c r="CZ84" s="106">
        <f xml:space="preserve"> IF(  INDEX( 'i1'!$FS84:$JO84, CZ$13 ) = LEER,  #N/A,  INDEX( 'i1'!$FS84:$JO84, CZ$13 )  )</f>
        <v>61261.03</v>
      </c>
      <c r="DA84" s="106">
        <f xml:space="preserve"> IF(  INDEX( 'i1'!$FS84:$JO84, DA$13 ) = LEER,  #N/A,  INDEX( 'i1'!$FS84:$JO84, DA$13 )  )</f>
        <v>57350.94</v>
      </c>
      <c r="DB84" s="106">
        <f xml:space="preserve"> IF(  INDEX( 'i1'!$FS84:$JO84, DB$13 ) = LEER,  #N/A,  INDEX( 'i1'!$FS84:$JO84, DB$13 )  )</f>
        <v>52974</v>
      </c>
      <c r="DC84" s="106">
        <f xml:space="preserve"> IF(  INDEX( 'i1'!$FS84:$JO84, DC$13 ) = LEER,  #N/A,  INDEX( 'i1'!$FS84:$JO84, DC$13 )  )</f>
        <v>47803.57</v>
      </c>
      <c r="DD84" s="106">
        <f xml:space="preserve"> IF(  INDEX( 'i1'!$FS84:$JO84, DD$13 ) = LEER,  #N/A,  INDEX( 'i1'!$FS84:$JO84, DD$13 )  )</f>
        <v>41753.599999999999</v>
      </c>
      <c r="DE84" s="106">
        <f xml:space="preserve"> IF(  INDEX( 'i1'!$FS84:$JO84, DE$13 ) = LEER,  #N/A,  INDEX( 'i1'!$FS84:$JO84, DE$13 )  )</f>
        <v>35075.86</v>
      </c>
      <c r="DF84" s="106">
        <f xml:space="preserve"> IF(  INDEX( 'i1'!$FS84:$JO84, DF$13 ) = LEER,  #N/A,  INDEX( 'i1'!$FS84:$JO84, DF$13 )  )</f>
        <v>27964.720000000001</v>
      </c>
      <c r="DG84" s="106">
        <f xml:space="preserve"> IF(  INDEX( 'i1'!$FS84:$JO84, DG$13 ) = LEER,  #N/A,  INDEX( 'i1'!$FS84:$JO84, DG$13 )  )</f>
        <v>20428.16</v>
      </c>
      <c r="DH84" s="106">
        <f xml:space="preserve"> IF(  INDEX( 'i1'!$FS84:$JO84, DH$13 ) = LEER,  #N/A,  INDEX( 'i1'!$FS84:$JO84, DH$13 )  )</f>
        <v>13144.95</v>
      </c>
      <c r="DI84" s="106">
        <f xml:space="preserve"> IF(  INDEX( 'i1'!$FS84:$JO84, DI$13 ) = LEER,  #N/A,  INDEX( 'i1'!$FS84:$JO84, DI$13 )  )</f>
        <v>7149.16</v>
      </c>
      <c r="DJ84" s="106">
        <f xml:space="preserve"> IF(  INDEX( 'i1'!$FS84:$JO84, DJ$13 ) = LEER,  #N/A,  INDEX( 'i1'!$FS84:$JO84, DJ$13 )  )</f>
        <v>2101.41</v>
      </c>
      <c r="DK84" s="106" t="e">
        <f xml:space="preserve"> IF(  INDEX( 'i1'!$FS84:$JO84, DK$13 ) = LEER,  #N/A,  INDEX( 'i1'!$FS84:$JO84, DK$13 )  )</f>
        <v>#N/A</v>
      </c>
      <c r="DL84" s="106" t="e">
        <f xml:space="preserve"> IF(  INDEX( 'i1'!$FS84:$JO84, DL$13 ) = LEER,  #N/A,  INDEX( 'i1'!$FS84:$JO84, DL$13 )  )</f>
        <v>#N/A</v>
      </c>
      <c r="DM84" s="106" t="e">
        <f xml:space="preserve"> IF(  INDEX( 'i1'!$FS84:$JO84, DM$13 ) = LEER,  #N/A,  INDEX( 'i1'!$FS84:$JO84, DM$13 )  )</f>
        <v>#N/A</v>
      </c>
      <c r="DN84" s="106" t="e">
        <f xml:space="preserve"> IF(  INDEX( 'i1'!$FS84:$JO84, DN$13 ) = LEER,  #N/A,  INDEX( 'i1'!$FS84:$JO84, DN$13 )  )</f>
        <v>#N/A</v>
      </c>
    </row>
    <row r="85" spans="1:118" x14ac:dyDescent="0.2">
      <c r="A85" s="15">
        <f xml:space="preserve"> Basis!A85</f>
        <v>85</v>
      </c>
      <c r="C85" s="24" t="b">
        <f xml:space="preserve"> 'i1'!$O85</f>
        <v>1</v>
      </c>
      <c r="D85" s="24" t="b">
        <f xml:space="preserve"> 'i2'!$O85</f>
        <v>1</v>
      </c>
      <c r="E85" s="24" t="b">
        <f xml:space="preserve"> 'i3'!$O85</f>
        <v>1</v>
      </c>
      <c r="G85" s="27">
        <f xml:space="preserve"> IF( $C86,   IF( 'i1'!$P85=LEER,  #N/A,  'i1'!$P85  ),   #N/A  )</f>
        <v>6.0100000000000001E-2</v>
      </c>
      <c r="H85" s="27">
        <f xml:space="preserve"> IF( $D86,   IF( 'i2'!$P85=LEER,  #N/A,  'i2'!$P85  ),   #N/A  )</f>
        <v>6.0100000000000001E-2</v>
      </c>
      <c r="I85" s="27">
        <f xml:space="preserve"> IF( $E86,   IF( 'i3'!$P85=LEER,  #N/A,  'i3'!$P85  ),   #N/A  )</f>
        <v>6.0100000000000001E-2</v>
      </c>
      <c r="J85" s="158"/>
      <c r="K85" s="27">
        <f xml:space="preserve"> IF( $C86,   IF( 'i1'!$G85=LEER,  #N/A,  'i1'!$G85  ),   #N/A  )</f>
        <v>1.4E-3</v>
      </c>
      <c r="L85" s="27">
        <f xml:space="preserve"> IF( $D86,   IF( 'i2'!$G85=LEER,  #N/A,  'i2'!$G85  ),   #N/A  )</f>
        <v>1.4E-3</v>
      </c>
      <c r="M85" s="27">
        <f xml:space="preserve"> IF( $E86,   IF( 'i3'!$G85=LEER,  #N/A,  'i3'!$G85  ),   #N/A  )</f>
        <v>1.4E-3</v>
      </c>
      <c r="N85" s="158"/>
      <c r="O85" s="158"/>
      <c r="Q85" s="28">
        <f t="shared" ref="Q85:Q120" si="56" xml:space="preserve"> IF( C85,  ( 1 - IF( ISERROR( G85 ), 1, G85 ) ) * ( 1 + IF( ISERROR( Q86 ), 1, Q86 ) ) + 0.5 * IF( ISERROR( G85 ), 1, G85 ),  #N/A  )</f>
        <v>7.6218246498405398</v>
      </c>
      <c r="R85" s="28">
        <f t="shared" ref="R85:R120" si="57" xml:space="preserve"> IF( D85,  ( 1 - IF( ISERROR( H85 ), 1, H85 ) ) * ( 1 + IF( ISERROR( R86 ), 1, R86 ) ) + 0.5 * IF( ISERROR( H85 ), 1, H85 ),  #N/A  )</f>
        <v>7.6218246498405398</v>
      </c>
      <c r="S85" s="28">
        <f t="shared" ref="S85:S120" si="58" xml:space="preserve"> IF( E85,  ( 1 - IF( ISERROR( I85 ), 1, I85 ) ) * ( 1 + IF( ISERROR( S86 ), 1, S86 ) ) + 0.5 * IF( ISERROR( I85 ), 1, I85 ),  #N/A  )</f>
        <v>7.6218246498405398</v>
      </c>
      <c r="U85" s="76">
        <f xml:space="preserve"> IF( $C84,   SUM('i1'!$R85),   #N/A  )</f>
        <v>328917</v>
      </c>
      <c r="V85" s="76">
        <f xml:space="preserve"> IF( $C84,   SUM('i2'!$R85),   #N/A  )</f>
        <v>328917</v>
      </c>
      <c r="W85" s="76">
        <f xml:space="preserve"> IF( $C84,   SUM('i3'!$R85),   #N/A  )</f>
        <v>328917</v>
      </c>
      <c r="Y85" s="33"/>
      <c r="Z85" s="22">
        <f xml:space="preserve"> IF( $C85,   IF( 'i1'!$J85=LEER,  #N/A,  'i1'!$J85  ),   #N/A  )</f>
        <v>5.431</v>
      </c>
      <c r="AA85" s="22">
        <f xml:space="preserve"> IF( $D85,   IF( 'i2'!$J85=LEER,  #N/A,  'i2'!$J85  ),   #N/A  )</f>
        <v>5.431</v>
      </c>
      <c r="AB85" s="22">
        <f xml:space="preserve"> IF( $E85,   IF( 'i3'!$J85=LEER,  #N/A,  'i3'!$J85  ),   #N/A  )</f>
        <v>5.431</v>
      </c>
      <c r="AC85" s="75"/>
      <c r="AD85" s="26">
        <f t="shared" si="46"/>
        <v>11284.477489999999</v>
      </c>
      <c r="AE85" s="26">
        <f t="shared" si="47"/>
        <v>11284.477489999999</v>
      </c>
      <c r="AF85" s="26">
        <f t="shared" si="48"/>
        <v>11284.477489999999</v>
      </c>
      <c r="AG85" s="23"/>
      <c r="AH85" s="24">
        <f xml:space="preserve">    IF(  'i1'!$AK85=LEER,  #N/A,  ROUND( 'i1'!$AK85, AH$15 )  )</f>
        <v>1101.97</v>
      </c>
      <c r="AI85" s="24">
        <f xml:space="preserve">    IF(  'i2'!$AK85=LEER,  #N/A,  ROUND( 'i2'!$AK85, AI$15 )  )</f>
        <v>1101.97</v>
      </c>
      <c r="AJ85" s="24">
        <f xml:space="preserve">    IF(  'i3'!$AK85=LEER,  #N/A,  ROUND( 'i3'!$AK85, AJ$15 )  )</f>
        <v>1101.97</v>
      </c>
      <c r="AL85" s="102">
        <f t="shared" si="49"/>
        <v>1101.97</v>
      </c>
      <c r="AO85" s="24">
        <f xml:space="preserve">    IF( 'i1'!$AN85=LEER,  #N/A,  'i1'!$AN85  )</f>
        <v>54495.87</v>
      </c>
      <c r="AP85" s="24">
        <f xml:space="preserve">    IF( 'i2'!$AN85=LEER,  #N/A,  'i2'!$AN85  )</f>
        <v>54495.87</v>
      </c>
      <c r="AQ85" s="24">
        <f xml:space="preserve">    IF( 'i3'!$AN85=LEER,  #N/A,  'i3'!$AN85  )</f>
        <v>54495.87</v>
      </c>
      <c r="AS85" s="24">
        <f xml:space="preserve">    IF( 'i1'!$AO85=LEER,  #N/A,  'i1'!$AO85  )</f>
        <v>54163.15</v>
      </c>
      <c r="AT85" s="24">
        <f xml:space="preserve">    IF( 'i2'!$AO85=LEER,  #N/A,  'i2'!$AO85  )</f>
        <v>54163.15</v>
      </c>
      <c r="AU85" s="24">
        <f xml:space="preserve">    IF( 'i3'!$AO85=LEER,  #N/A,  'i3'!$AO85  )</f>
        <v>54163.15</v>
      </c>
      <c r="AW85" s="28">
        <f t="shared" ref="AW85:AW120" si="59" xml:space="preserve"> ROUND( AO85 / AW$19, AW$13 )</f>
        <v>26.227799999999998</v>
      </c>
      <c r="AX85" s="28">
        <f t="shared" si="50"/>
        <v>26.227799999999998</v>
      </c>
      <c r="AY85" s="28">
        <f t="shared" si="51"/>
        <v>26.227799999999998</v>
      </c>
      <c r="BA85" s="28">
        <f t="shared" si="52"/>
        <v>26.067699999999999</v>
      </c>
      <c r="BB85" s="28">
        <f t="shared" si="53"/>
        <v>26.067699999999999</v>
      </c>
      <c r="BC85" s="28">
        <f t="shared" si="54"/>
        <v>26.067699999999999</v>
      </c>
      <c r="BG85" s="24">
        <f xml:space="preserve">    IF( 'i1'!BT85=LEER,  #N/A,  'i1'!BT85  )</f>
        <v>-7323.44</v>
      </c>
      <c r="BH85" s="24">
        <f xml:space="preserve">    IF( 'i1'!BR85=LEER,  #N/A,  'i1'!BR85  )</f>
        <v>57704.66</v>
      </c>
      <c r="BI85" s="111">
        <f t="shared" si="55"/>
        <v>50381.22</v>
      </c>
      <c r="BJ85" s="24">
        <f xml:space="preserve">    IF( 'i1'!BX85=LEER,  #N/A,  'i1'!BX85  )</f>
        <v>4114.6500000000015</v>
      </c>
      <c r="BL85" s="24">
        <f xml:space="preserve">    IF( 'i1'!CB85=LEER,  #N/A,  'i1'!CB85  )</f>
        <v>-7617.85</v>
      </c>
      <c r="BM85" s="24">
        <f xml:space="preserve">    IF( 'i1'!CC85=LEER,  #N/A,  'i1'!CC85  )</f>
        <v>1362.4</v>
      </c>
      <c r="BN85" s="24">
        <f xml:space="preserve">    IF( 'i1'!CD85=LEER,  #N/A,  'i1'!CD85  )</f>
        <v>3084.65</v>
      </c>
      <c r="BO85" s="24">
        <f xml:space="preserve">    IF( 'i1'!CE85=LEER,  #N/A,  'i1'!CE85  )</f>
        <v>-3170.8000000000006</v>
      </c>
      <c r="BQ85" s="24">
        <f xml:space="preserve">    IF( 'i1'!CI85=LEER,  #N/A,  'i1'!CI85  )</f>
        <v>11284.48</v>
      </c>
      <c r="BR85" s="24">
        <f xml:space="preserve">    IF( 'i1'!CJ85=LEER,  #N/A,  'i1'!CJ85  )</f>
        <v>-4422.3999999999996</v>
      </c>
      <c r="BS85" s="24">
        <f xml:space="preserve">    IF( 'i1'!CK85=LEER,  #N/A,  'i1'!CK85  )</f>
        <v>-3009.42</v>
      </c>
      <c r="BT85" s="38">
        <f xml:space="preserve">    IF( 'i1'!CH85=LEER,  #N/A,  'i1'!CH85  )</f>
        <v>3852.4304390000002</v>
      </c>
      <c r="BV85" s="24">
        <f xml:space="preserve">    IF( 'i1'!CO85=LEER,  #N/A,  'i1'!CO85  )</f>
        <v>11284.48</v>
      </c>
      <c r="BW85" s="24">
        <f xml:space="preserve">    IF( 'i1'!CP85=LEER,  #N/A,  'i1'!CP85  )</f>
        <v>-4394.59</v>
      </c>
      <c r="BX85" s="24">
        <f xml:space="preserve">    IF( 'i1'!CQ85=LEER,  #N/A,  'i1'!CQ85  )</f>
        <v>-2991.09</v>
      </c>
      <c r="BY85" s="38">
        <f xml:space="preserve">    IF( 'i1'!CN85=LEER,  #N/A,  'i1'!CN85  )</f>
        <v>3898.5573770000001</v>
      </c>
      <c r="CD85" s="113" t="e">
        <f xml:space="preserve"> IF(  AND( $A85&lt;&gt;$CD$14, OR( 'i1'!EO85=LEER, 'i1'!EM85&lt;&gt;LEER ) ), #N/A, 'i1'!EO85 )</f>
        <v>#N/A</v>
      </c>
      <c r="CE85" s="113">
        <f xml:space="preserve"> IF(   'i1'!EM85=LEER, #N/A,  'i1'!EM85 )</f>
        <v>14673.94</v>
      </c>
      <c r="CF85" s="114">
        <f xml:space="preserve"> IF(   'i1'!EL85=LEER, #N/A, 'i1'!EL85 + 'i1'!EM85 )</f>
        <v>54165.810000000005</v>
      </c>
      <c r="CW85" s="104">
        <f xml:space="preserve"> 'i1'!FN85</f>
        <v>85</v>
      </c>
      <c r="CX85" s="106">
        <f xml:space="preserve"> IF(  INDEX( 'i1'!$FS85:$JO85, CX$13 ) = LEER,  #N/A,  INDEX( 'i1'!$FS85:$JO85, CX$13 )  )</f>
        <v>64293.21</v>
      </c>
      <c r="CY85" s="106">
        <f xml:space="preserve"> IF(  INDEX( 'i1'!$FS85:$JO85, CY$13 ) = LEER,  #N/A,  INDEX( 'i1'!$FS85:$JO85, CY$13 )  )</f>
        <v>61192.29</v>
      </c>
      <c r="CZ85" s="106">
        <f xml:space="preserve"> IF(  INDEX( 'i1'!$FS85:$JO85, CZ$13 ) = LEER,  #N/A,  INDEX( 'i1'!$FS85:$JO85, CZ$13 )  )</f>
        <v>57841.09</v>
      </c>
      <c r="DA85" s="106">
        <f xml:space="preserve"> IF(  INDEX( 'i1'!$FS85:$JO85, DA$13 ) = LEER,  #N/A,  INDEX( 'i1'!$FS85:$JO85, DA$13 )  )</f>
        <v>54163.15</v>
      </c>
      <c r="DB85" s="106">
        <f xml:space="preserve"> IF(  INDEX( 'i1'!$FS85:$JO85, DB$13 ) = LEER,  #N/A,  INDEX( 'i1'!$FS85:$JO85, DB$13 )  )</f>
        <v>50046.080000000002</v>
      </c>
      <c r="DC85" s="106">
        <f xml:space="preserve"> IF(  INDEX( 'i1'!$FS85:$JO85, DC$13 ) = LEER,  #N/A,  INDEX( 'i1'!$FS85:$JO85, DC$13 )  )</f>
        <v>45182.63</v>
      </c>
      <c r="DD85" s="106">
        <f xml:space="preserve"> IF(  INDEX( 'i1'!$FS85:$JO85, DD$13 ) = LEER,  #N/A,  INDEX( 'i1'!$FS85:$JO85, DD$13 )  )</f>
        <v>39491.870000000003</v>
      </c>
      <c r="DE85" s="106">
        <f xml:space="preserve"> IF(  INDEX( 'i1'!$FS85:$JO85, DE$13 ) = LEER,  #N/A,  INDEX( 'i1'!$FS85:$JO85, DE$13 )  )</f>
        <v>33210.6</v>
      </c>
      <c r="DF85" s="106">
        <f xml:space="preserve"> IF(  INDEX( 'i1'!$FS85:$JO85, DF$13 ) = LEER,  #N/A,  INDEX( 'i1'!$FS85:$JO85, DF$13 )  )</f>
        <v>26521.68</v>
      </c>
      <c r="DG85" s="106">
        <f xml:space="preserve"> IF(  INDEX( 'i1'!$FS85:$JO85, DG$13 ) = LEER,  #N/A,  INDEX( 'i1'!$FS85:$JO85, DG$13 )  )</f>
        <v>19432.580000000002</v>
      </c>
      <c r="DH85" s="106">
        <f xml:space="preserve"> IF(  INDEX( 'i1'!$FS85:$JO85, DH$13 ) = LEER,  #N/A,  INDEX( 'i1'!$FS85:$JO85, DH$13 )  )</f>
        <v>12581.79</v>
      </c>
      <c r="DI85" s="106">
        <f xml:space="preserve"> IF(  INDEX( 'i1'!$FS85:$JO85, DI$13 ) = LEER,  #N/A,  INDEX( 'i1'!$FS85:$JO85, DI$13 )  )</f>
        <v>6941.99</v>
      </c>
      <c r="DJ85" s="106">
        <f xml:space="preserve"> IF(  INDEX( 'i1'!$FS85:$JO85, DJ$13 ) = LEER,  #N/A,  INDEX( 'i1'!$FS85:$JO85, DJ$13 )  )</f>
        <v>2193.94</v>
      </c>
      <c r="DK85" s="106">
        <f xml:space="preserve"> IF(  INDEX( 'i1'!$FS85:$JO85, DK$13 ) = LEER,  #N/A,  INDEX( 'i1'!$FS85:$JO85, DK$13 )  )</f>
        <v>-0.23</v>
      </c>
      <c r="DL85" s="106" t="e">
        <f xml:space="preserve"> IF(  INDEX( 'i1'!$FS85:$JO85, DL$13 ) = LEER,  #N/A,  INDEX( 'i1'!$FS85:$JO85, DL$13 )  )</f>
        <v>#N/A</v>
      </c>
      <c r="DM85" s="106" t="e">
        <f xml:space="preserve"> IF(  INDEX( 'i1'!$FS85:$JO85, DM$13 ) = LEER,  #N/A,  INDEX( 'i1'!$FS85:$JO85, DM$13 )  )</f>
        <v>#N/A</v>
      </c>
      <c r="DN85" s="106" t="e">
        <f xml:space="preserve"> IF(  INDEX( 'i1'!$FS85:$JO85, DN$13 ) = LEER,  #N/A,  INDEX( 'i1'!$FS85:$JO85, DN$13 )  )</f>
        <v>#N/A</v>
      </c>
    </row>
    <row r="86" spans="1:118" x14ac:dyDescent="0.2">
      <c r="A86" s="15">
        <f xml:space="preserve"> Basis!A86</f>
        <v>86</v>
      </c>
      <c r="C86" s="24" t="b">
        <f xml:space="preserve"> 'i1'!$O86</f>
        <v>1</v>
      </c>
      <c r="D86" s="24" t="b">
        <f xml:space="preserve"> 'i2'!$O86</f>
        <v>1</v>
      </c>
      <c r="E86" s="24" t="b">
        <f xml:space="preserve"> 'i3'!$O86</f>
        <v>1</v>
      </c>
      <c r="G86" s="27">
        <f xml:space="preserve"> IF( $C87,   IF( 'i1'!$P86=LEER,  #N/A,  'i1'!$P86  ),   #N/A  )</f>
        <v>6.8900000000000003E-2</v>
      </c>
      <c r="H86" s="27">
        <f xml:space="preserve"> IF( $D87,   IF( 'i2'!$P86=LEER,  #N/A,  'i2'!$P86  ),   #N/A  )</f>
        <v>6.8900000000000003E-2</v>
      </c>
      <c r="I86" s="27">
        <f xml:space="preserve"> IF( $E87,   IF( 'i3'!$P86=LEER,  #N/A,  'i3'!$P86  ),   #N/A  )</f>
        <v>6.8900000000000003E-2</v>
      </c>
      <c r="J86" s="158"/>
      <c r="K86" s="27">
        <f xml:space="preserve"> IF( $C87,   IF( 'i1'!$G86=LEER,  #N/A,  'i1'!$G86  ),   #N/A  )</f>
        <v>1.5E-3</v>
      </c>
      <c r="L86" s="27">
        <f xml:space="preserve"> IF( $D87,   IF( 'i2'!$G86=LEER,  #N/A,  'i2'!$G86  ),   #N/A  )</f>
        <v>1.5E-3</v>
      </c>
      <c r="M86" s="27">
        <f xml:space="preserve"> IF( $E87,   IF( 'i3'!$G86=LEER,  #N/A,  'i3'!$G86  ),   #N/A  )</f>
        <v>1.5E-3</v>
      </c>
      <c r="N86" s="158"/>
      <c r="O86" s="158"/>
      <c r="Q86" s="28">
        <f t="shared" si="56"/>
        <v>7.0772152886908604</v>
      </c>
      <c r="R86" s="28">
        <f t="shared" si="57"/>
        <v>7.0772152886908604</v>
      </c>
      <c r="S86" s="28">
        <f t="shared" si="58"/>
        <v>7.0772152886908604</v>
      </c>
      <c r="U86" s="76">
        <f xml:space="preserve"> IF( $C85,   SUM('i1'!$R86),   #N/A  )</f>
        <v>309149</v>
      </c>
      <c r="V86" s="76">
        <f xml:space="preserve"> IF( $C85,   SUM('i2'!$R86),   #N/A  )</f>
        <v>309149</v>
      </c>
      <c r="W86" s="76">
        <f xml:space="preserve"> IF( $C85,   SUM('i3'!$R86),   #N/A  )</f>
        <v>309149</v>
      </c>
      <c r="Y86" s="33"/>
      <c r="Z86" s="22">
        <f xml:space="preserve"> IF( $C86,   IF( 'i1'!$J86=LEER,  #N/A,  'i1'!$J86  ),   #N/A  )</f>
        <v>5.4610000000000003</v>
      </c>
      <c r="AA86" s="22">
        <f xml:space="preserve"> IF( $D86,   IF( 'i2'!$J86=LEER,  #N/A,  'i2'!$J86  ),   #N/A  )</f>
        <v>5.4610000000000003</v>
      </c>
      <c r="AB86" s="22">
        <f xml:space="preserve"> IF( $E86,   IF( 'i3'!$J86=LEER,  #N/A,  'i3'!$J86  ),   #N/A  )</f>
        <v>5.4610000000000003</v>
      </c>
      <c r="AC86" s="75"/>
      <c r="AD86" s="26">
        <f t="shared" si="46"/>
        <v>11346.81119</v>
      </c>
      <c r="AE86" s="26">
        <f t="shared" si="47"/>
        <v>11346.81119</v>
      </c>
      <c r="AF86" s="26">
        <f t="shared" si="48"/>
        <v>11346.81119</v>
      </c>
      <c r="AG86" s="23"/>
      <c r="AH86" s="24">
        <f xml:space="preserve">    IF(  'i1'!$AK86=LEER,  #N/A,  ROUND( 'i1'!$AK86, AH$15 )  )</f>
        <v>1103.79</v>
      </c>
      <c r="AI86" s="24">
        <f xml:space="preserve">    IF(  'i2'!$AK86=LEER,  #N/A,  ROUND( 'i2'!$AK86, AI$15 )  )</f>
        <v>1103.79</v>
      </c>
      <c r="AJ86" s="24">
        <f xml:space="preserve">    IF(  'i3'!$AK86=LEER,  #N/A,  ROUND( 'i3'!$AK86, AJ$15 )  )</f>
        <v>1103.79</v>
      </c>
      <c r="AL86" s="102">
        <f t="shared" si="49"/>
        <v>1103.79</v>
      </c>
      <c r="AO86" s="24">
        <f xml:space="preserve">    IF( 'i1'!$AN86=LEER,  #N/A,  'i1'!$AN86  )</f>
        <v>51325.31</v>
      </c>
      <c r="AP86" s="24">
        <f xml:space="preserve">    IF( 'i2'!$AN86=LEER,  #N/A,  'i2'!$AN86  )</f>
        <v>51325.31</v>
      </c>
      <c r="AQ86" s="24">
        <f xml:space="preserve">    IF( 'i3'!$AN86=LEER,  #N/A,  'i3'!$AN86  )</f>
        <v>51325.31</v>
      </c>
      <c r="AS86" s="24">
        <f xml:space="preserve">    IF( 'i1'!$AO86=LEER,  #N/A,  'i1'!$AO86  )</f>
        <v>51012.77</v>
      </c>
      <c r="AT86" s="24">
        <f xml:space="preserve">    IF( 'i2'!$AO86=LEER,  #N/A,  'i2'!$AO86  )</f>
        <v>51012.77</v>
      </c>
      <c r="AU86" s="24">
        <f xml:space="preserve">    IF( 'i3'!$AO86=LEER,  #N/A,  'i3'!$AO86  )</f>
        <v>51012.77</v>
      </c>
      <c r="AW86" s="28">
        <f t="shared" si="59"/>
        <v>24.701899999999998</v>
      </c>
      <c r="AX86" s="28">
        <f t="shared" si="50"/>
        <v>24.701899999999998</v>
      </c>
      <c r="AY86" s="28">
        <f t="shared" si="51"/>
        <v>24.701899999999998</v>
      </c>
      <c r="BA86" s="28">
        <f t="shared" si="52"/>
        <v>24.551500000000001</v>
      </c>
      <c r="BB86" s="28">
        <f t="shared" si="53"/>
        <v>24.551500000000001</v>
      </c>
      <c r="BC86" s="28">
        <f t="shared" si="54"/>
        <v>24.551500000000001</v>
      </c>
      <c r="BG86" s="24">
        <f xml:space="preserve">    IF( 'i1'!BT86=LEER,  #N/A,  'i1'!BT86  )</f>
        <v>-7431.06</v>
      </c>
      <c r="BH86" s="24">
        <f xml:space="preserve">    IF( 'i1'!BR86=LEER,  #N/A,  'i1'!BR86  )</f>
        <v>54495.87</v>
      </c>
      <c r="BI86" s="111">
        <f t="shared" si="55"/>
        <v>47064.810000000005</v>
      </c>
      <c r="BJ86" s="24">
        <f xml:space="preserve">    IF( 'i1'!BX86=LEER,  #N/A,  'i1'!BX86  )</f>
        <v>4260.4999999999927</v>
      </c>
      <c r="BL86" s="24">
        <f xml:space="preserve">    IF( 'i1'!CB86=LEER,  #N/A,  'i1'!CB86  )</f>
        <v>-7681.74</v>
      </c>
      <c r="BM86" s="24">
        <f xml:space="preserve">    IF( 'i1'!CC86=LEER,  #N/A,  'i1'!CC86  )</f>
        <v>1283.1300000000001</v>
      </c>
      <c r="BN86" s="24">
        <f xml:space="preserve">    IF( 'i1'!CD86=LEER,  #N/A,  'i1'!CD86  )</f>
        <v>3324.52</v>
      </c>
      <c r="BO86" s="24">
        <f xml:space="preserve">    IF( 'i1'!CE86=LEER,  #N/A,  'i1'!CE86  )</f>
        <v>-3074.0899999999997</v>
      </c>
      <c r="BQ86" s="24">
        <f xml:space="preserve">    IF( 'i1'!CI86=LEER,  #N/A,  'i1'!CI86  )</f>
        <v>11346.81</v>
      </c>
      <c r="BR86" s="24">
        <f xml:space="preserve">    IF( 'i1'!CJ86=LEER,  #N/A,  'i1'!CJ86  )</f>
        <v>-4250.7700000000004</v>
      </c>
      <c r="BS86" s="24">
        <f xml:space="preserve">    IF( 'i1'!CK86=LEER,  #N/A,  'i1'!CK86  )</f>
        <v>-3243.44</v>
      </c>
      <c r="BT86" s="38">
        <f xml:space="preserve">    IF( 'i1'!CH86=LEER,  #N/A,  'i1'!CH86  )</f>
        <v>3852.4304390000002</v>
      </c>
      <c r="BV86" s="24">
        <f xml:space="preserve">    IF( 'i1'!CO86=LEER,  #N/A,  'i1'!CO86  )</f>
        <v>11346.81</v>
      </c>
      <c r="BW86" s="24">
        <f xml:space="preserve">    IF( 'i1'!CP86=LEER,  #N/A,  'i1'!CP86  )</f>
        <v>-4224.37</v>
      </c>
      <c r="BX86" s="24">
        <f xml:space="preserve">    IF( 'i1'!CQ86=LEER,  #N/A,  'i1'!CQ86  )</f>
        <v>-3223.72</v>
      </c>
      <c r="BY86" s="38">
        <f xml:space="preserve">    IF( 'i1'!CN86=LEER,  #N/A,  'i1'!CN86  )</f>
        <v>3898.5573770000001</v>
      </c>
      <c r="CD86" s="113" t="e">
        <f xml:space="preserve"> IF(  AND( $A86&lt;&gt;$CD$14, OR( 'i1'!EO86=LEER, 'i1'!EM86&lt;&gt;LEER ) ), #N/A, 'i1'!EO86 )</f>
        <v>#N/A</v>
      </c>
      <c r="CE86" s="113">
        <f xml:space="preserve"> IF(   'i1'!EM86=LEER, #N/A,  'i1'!EM86 )</f>
        <v>13783.92</v>
      </c>
      <c r="CF86" s="114">
        <f xml:space="preserve"> IF(   'i1'!EL86=LEER, #N/A, 'i1'!EL86 + 'i1'!EM86 )</f>
        <v>51015.259999999995</v>
      </c>
      <c r="CW86" s="104">
        <f xml:space="preserve"> 'i1'!FN86</f>
        <v>86</v>
      </c>
      <c r="CX86" s="106">
        <f xml:space="preserve"> IF(  INDEX( 'i1'!$FS86:$JO86, CX$13 ) = LEER,  #N/A,  INDEX( 'i1'!$FS86:$JO86, CX$13 )  )</f>
        <v>60528.41</v>
      </c>
      <c r="CY86" s="106">
        <f xml:space="preserve"> IF(  INDEX( 'i1'!$FS86:$JO86, CY$13 ) = LEER,  #N/A,  INDEX( 'i1'!$FS86:$JO86, CY$13 )  )</f>
        <v>57615.57</v>
      </c>
      <c r="CZ86" s="106">
        <f xml:space="preserve"> IF(  INDEX( 'i1'!$FS86:$JO86, CZ$13 ) = LEER,  #N/A,  INDEX( 'i1'!$FS86:$JO86, CZ$13 )  )</f>
        <v>54467.63</v>
      </c>
      <c r="DA86" s="106">
        <f xml:space="preserve"> IF(  INDEX( 'i1'!$FS86:$JO86, DA$13 ) = LEER,  #N/A,  INDEX( 'i1'!$FS86:$JO86, DA$13 )  )</f>
        <v>51012.77</v>
      </c>
      <c r="DB86" s="106">
        <f xml:space="preserve"> IF(  INDEX( 'i1'!$FS86:$JO86, DB$13 ) = LEER,  #N/A,  INDEX( 'i1'!$FS86:$JO86, DB$13 )  )</f>
        <v>47145.41</v>
      </c>
      <c r="DC86" s="106">
        <f xml:space="preserve"> IF(  INDEX( 'i1'!$FS86:$JO86, DC$13 ) = LEER,  #N/A,  INDEX( 'i1'!$FS86:$JO86, DC$13 )  )</f>
        <v>42576.94</v>
      </c>
      <c r="DD86" s="106">
        <f xml:space="preserve"> IF(  INDEX( 'i1'!$FS86:$JO86, DD$13 ) = LEER,  #N/A,  INDEX( 'i1'!$FS86:$JO86, DD$13 )  )</f>
        <v>37231.339999999997</v>
      </c>
      <c r="DE86" s="106">
        <f xml:space="preserve"> IF(  INDEX( 'i1'!$FS86:$JO86, DE$13 ) = LEER,  #N/A,  INDEX( 'i1'!$FS86:$JO86, DE$13 )  )</f>
        <v>31331.05</v>
      </c>
      <c r="DF86" s="106">
        <f xml:space="preserve"> IF(  INDEX( 'i1'!$FS86:$JO86, DF$13 ) = LEER,  #N/A,  INDEX( 'i1'!$FS86:$JO86, DF$13 )  )</f>
        <v>25047.82</v>
      </c>
      <c r="DG86" s="106">
        <f xml:space="preserve"> IF(  INDEX( 'i1'!$FS86:$JO86, DG$13 ) = LEER,  #N/A,  INDEX( 'i1'!$FS86:$JO86, DG$13 )  )</f>
        <v>18388.7</v>
      </c>
      <c r="DH86" s="106">
        <f xml:space="preserve"> IF(  INDEX( 'i1'!$FS86:$JO86, DH$13 ) = LEER,  #N/A,  INDEX( 'i1'!$FS86:$JO86, DH$13 )  )</f>
        <v>11953.43</v>
      </c>
      <c r="DI86" s="106">
        <f xml:space="preserve"> IF(  INDEX( 'i1'!$FS86:$JO86, DI$13 ) = LEER,  #N/A,  INDEX( 'i1'!$FS86:$JO86, DI$13 )  )</f>
        <v>6655.69</v>
      </c>
      <c r="DJ86" s="106">
        <f xml:space="preserve"> IF(  INDEX( 'i1'!$FS86:$JO86, DJ$13 ) = LEER,  #N/A,  INDEX( 'i1'!$FS86:$JO86, DJ$13 )  )</f>
        <v>2195.63</v>
      </c>
      <c r="DK86" s="106">
        <f xml:space="preserve"> IF(  INDEX( 'i1'!$FS86:$JO86, DK$13 ) = LEER,  #N/A,  INDEX( 'i1'!$FS86:$JO86, DK$13 )  )</f>
        <v>134.54</v>
      </c>
      <c r="DL86" s="106" t="e">
        <f xml:space="preserve"> IF(  INDEX( 'i1'!$FS86:$JO86, DL$13 ) = LEER,  #N/A,  INDEX( 'i1'!$FS86:$JO86, DL$13 )  )</f>
        <v>#N/A</v>
      </c>
      <c r="DM86" s="106" t="e">
        <f xml:space="preserve"> IF(  INDEX( 'i1'!$FS86:$JO86, DM$13 ) = LEER,  #N/A,  INDEX( 'i1'!$FS86:$JO86, DM$13 )  )</f>
        <v>#N/A</v>
      </c>
      <c r="DN86" s="106" t="e">
        <f xml:space="preserve"> IF(  INDEX( 'i1'!$FS86:$JO86, DN$13 ) = LEER,  #N/A,  INDEX( 'i1'!$FS86:$JO86, DN$13 )  )</f>
        <v>#N/A</v>
      </c>
    </row>
    <row r="87" spans="1:118" x14ac:dyDescent="0.2">
      <c r="A87" s="15">
        <f xml:space="preserve"> Basis!A87</f>
        <v>87</v>
      </c>
      <c r="C87" s="24" t="b">
        <f xml:space="preserve"> 'i1'!$O87</f>
        <v>1</v>
      </c>
      <c r="D87" s="24" t="b">
        <f xml:space="preserve"> 'i2'!$O87</f>
        <v>1</v>
      </c>
      <c r="E87" s="24" t="b">
        <f xml:space="preserve"> 'i3'!$O87</f>
        <v>1</v>
      </c>
      <c r="G87" s="27">
        <f xml:space="preserve"> IF( $C88,   IF( 'i1'!$P87=LEER,  #N/A,  'i1'!$P87  ),   #N/A  )</f>
        <v>7.9399999999999998E-2</v>
      </c>
      <c r="H87" s="27">
        <f xml:space="preserve"> IF( $D88,   IF( 'i2'!$P87=LEER,  #N/A,  'i2'!$P87  ),   #N/A  )</f>
        <v>7.9399999999999998E-2</v>
      </c>
      <c r="I87" s="27">
        <f xml:space="preserve"> IF( $E88,   IF( 'i3'!$P87=LEER,  #N/A,  'i3'!$P87  ),   #N/A  )</f>
        <v>7.9399999999999998E-2</v>
      </c>
      <c r="J87" s="158"/>
      <c r="K87" s="27">
        <f xml:space="preserve"> IF( $C88,   IF( 'i1'!$G87=LEER,  #N/A,  'i1'!$G87  ),   #N/A  )</f>
        <v>1.4E-3</v>
      </c>
      <c r="L87" s="27">
        <f xml:space="preserve"> IF( $D88,   IF( 'i2'!$G87=LEER,  #N/A,  'i2'!$G87  ),   #N/A  )</f>
        <v>1.4E-3</v>
      </c>
      <c r="M87" s="27">
        <f xml:space="preserve"> IF( $E88,   IF( 'i3'!$G87=LEER,  #N/A,  'i3'!$G87  ),   #N/A  )</f>
        <v>1.4E-3</v>
      </c>
      <c r="N87" s="158"/>
      <c r="O87" s="158"/>
      <c r="Q87" s="28">
        <f t="shared" si="56"/>
        <v>6.5639193305669217</v>
      </c>
      <c r="R87" s="28">
        <f t="shared" si="57"/>
        <v>6.5639193305669217</v>
      </c>
      <c r="S87" s="28">
        <f t="shared" si="58"/>
        <v>6.5639193305669217</v>
      </c>
      <c r="U87" s="76">
        <f xml:space="preserve"> IF( $C86,   SUM('i1'!$R87),   #N/A  )</f>
        <v>287848</v>
      </c>
      <c r="V87" s="76">
        <f xml:space="preserve"> IF( $C86,   SUM('i2'!$R87),   #N/A  )</f>
        <v>287848</v>
      </c>
      <c r="W87" s="76">
        <f xml:space="preserve"> IF( $C86,   SUM('i3'!$R87),   #N/A  )</f>
        <v>287848</v>
      </c>
      <c r="Y87" s="33"/>
      <c r="Z87" s="22">
        <f xml:space="preserve"> IF( $C87,   IF( 'i1'!$J87=LEER,  #N/A,  'i1'!$J87  ),   #N/A  )</f>
        <v>5.5049999999999999</v>
      </c>
      <c r="AA87" s="22">
        <f xml:space="preserve"> IF( $D87,   IF( 'i2'!$J87=LEER,  #N/A,  'i2'!$J87  ),   #N/A  )</f>
        <v>5.5049999999999999</v>
      </c>
      <c r="AB87" s="22">
        <f xml:space="preserve"> IF( $E87,   IF( 'i3'!$J87=LEER,  #N/A,  'i3'!$J87  ),   #N/A  )</f>
        <v>5.5049999999999999</v>
      </c>
      <c r="AC87" s="75"/>
      <c r="AD87" s="26">
        <f t="shared" si="46"/>
        <v>11438.23395</v>
      </c>
      <c r="AE87" s="26">
        <f t="shared" si="47"/>
        <v>11438.23395</v>
      </c>
      <c r="AF87" s="26">
        <f t="shared" si="48"/>
        <v>11438.23395</v>
      </c>
      <c r="AG87" s="23"/>
      <c r="AH87" s="24">
        <f xml:space="preserve">    IF(  'i1'!$AK87=LEER,  #N/A,  ROUND( 'i1'!$AK87, AH$15 )  )</f>
        <v>1105.07</v>
      </c>
      <c r="AI87" s="24">
        <f xml:space="preserve">    IF(  'i2'!$AK87=LEER,  #N/A,  ROUND( 'i2'!$AK87, AI$15 )  )</f>
        <v>1105.07</v>
      </c>
      <c r="AJ87" s="24">
        <f xml:space="preserve">    IF(  'i3'!$AK87=LEER,  #N/A,  ROUND( 'i3'!$AK87, AJ$15 )  )</f>
        <v>1105.07</v>
      </c>
      <c r="AL87" s="102">
        <f t="shared" si="49"/>
        <v>1105.07</v>
      </c>
      <c r="AO87" s="24">
        <f xml:space="preserve">    IF( 'i1'!$AN87=LEER,  #N/A,  'i1'!$AN87  )</f>
        <v>48251.4</v>
      </c>
      <c r="AP87" s="24">
        <f xml:space="preserve">    IF( 'i2'!$AN87=LEER,  #N/A,  'i2'!$AN87  )</f>
        <v>48251.4</v>
      </c>
      <c r="AQ87" s="24">
        <f xml:space="preserve">    IF( 'i3'!$AN87=LEER,  #N/A,  'i3'!$AN87  )</f>
        <v>48251.4</v>
      </c>
      <c r="AS87" s="24">
        <f xml:space="preserve">    IF( 'i1'!$AO87=LEER,  #N/A,  'i1'!$AO87  )</f>
        <v>47958.11</v>
      </c>
      <c r="AT87" s="24">
        <f xml:space="preserve">    IF( 'i2'!$AO87=LEER,  #N/A,  'i2'!$AO87  )</f>
        <v>47958.11</v>
      </c>
      <c r="AU87" s="24">
        <f xml:space="preserve">    IF( 'i3'!$AO87=LEER,  #N/A,  'i3'!$AO87  )</f>
        <v>47958.11</v>
      </c>
      <c r="AW87" s="28">
        <f t="shared" si="59"/>
        <v>23.2225</v>
      </c>
      <c r="AX87" s="28">
        <f t="shared" si="50"/>
        <v>23.2225</v>
      </c>
      <c r="AY87" s="28">
        <f t="shared" si="51"/>
        <v>23.2225</v>
      </c>
      <c r="BA87" s="28">
        <f t="shared" si="52"/>
        <v>23.081299999999999</v>
      </c>
      <c r="BB87" s="28">
        <f t="shared" si="53"/>
        <v>23.081299999999999</v>
      </c>
      <c r="BC87" s="28">
        <f t="shared" si="54"/>
        <v>23.081299999999999</v>
      </c>
      <c r="BG87" s="24">
        <f xml:space="preserve">    IF( 'i1'!BT87=LEER,  #N/A,  'i1'!BT87  )</f>
        <v>-7494.83</v>
      </c>
      <c r="BH87" s="24">
        <f xml:space="preserve">    IF( 'i1'!BR87=LEER,  #N/A,  'i1'!BR87  )</f>
        <v>51325.31</v>
      </c>
      <c r="BI87" s="111">
        <f t="shared" si="55"/>
        <v>43830.479999999996</v>
      </c>
      <c r="BJ87" s="24">
        <f xml:space="preserve">    IF( 'i1'!BX87=LEER,  #N/A,  'i1'!BX87  )</f>
        <v>4420.9200000000055</v>
      </c>
      <c r="BL87" s="24">
        <f xml:space="preserve">    IF( 'i1'!CB87=LEER,  #N/A,  'i1'!CB87  )</f>
        <v>-7775.45</v>
      </c>
      <c r="BM87" s="24">
        <f xml:space="preserve">    IF( 'i1'!CC87=LEER,  #N/A,  'i1'!CC87  )</f>
        <v>1206.29</v>
      </c>
      <c r="BN87" s="24">
        <f xml:space="preserve">    IF( 'i1'!CD87=LEER,  #N/A,  'i1'!CD87  )</f>
        <v>3595.01</v>
      </c>
      <c r="BO87" s="24">
        <f xml:space="preserve">    IF( 'i1'!CE87=LEER,  #N/A,  'i1'!CE87  )</f>
        <v>-2974.1499999999996</v>
      </c>
      <c r="BQ87" s="24">
        <f xml:space="preserve">    IF( 'i1'!CI87=LEER,  #N/A,  'i1'!CI87  )</f>
        <v>11438.23</v>
      </c>
      <c r="BR87" s="24">
        <f xml:space="preserve">    IF( 'i1'!CJ87=LEER,  #N/A,  'i1'!CJ87  )</f>
        <v>-4078.55</v>
      </c>
      <c r="BS87" s="24">
        <f xml:space="preserve">    IF( 'i1'!CK87=LEER,  #N/A,  'i1'!CK87  )</f>
        <v>-3507.32</v>
      </c>
      <c r="BT87" s="38">
        <f xml:space="preserve">    IF( 'i1'!CH87=LEER,  #N/A,  'i1'!CH87  )</f>
        <v>3852.4304390000002</v>
      </c>
      <c r="BV87" s="24">
        <f xml:space="preserve">    IF( 'i1'!CO87=LEER,  #N/A,  'i1'!CO87  )</f>
        <v>11438.23</v>
      </c>
      <c r="BW87" s="24">
        <f xml:space="preserve">    IF( 'i1'!CP87=LEER,  #N/A,  'i1'!CP87  )</f>
        <v>-4053.74</v>
      </c>
      <c r="BX87" s="24">
        <f xml:space="preserve">    IF( 'i1'!CQ87=LEER,  #N/A,  'i1'!CQ87  )</f>
        <v>-3486.01</v>
      </c>
      <c r="BY87" s="38">
        <f xml:space="preserve">    IF( 'i1'!CN87=LEER,  #N/A,  'i1'!CN87  )</f>
        <v>3898.5573770000001</v>
      </c>
      <c r="CD87" s="113" t="e">
        <f xml:space="preserve"> IF(  AND( $A87&lt;&gt;$CD$14, OR( 'i1'!EO87=LEER, 'i1'!EM87&lt;&gt;LEER ) ), #N/A, 'i1'!EO87 )</f>
        <v>#N/A</v>
      </c>
      <c r="CE87" s="113">
        <f xml:space="preserve"> IF(   'i1'!EM87=LEER, #N/A,  'i1'!EM87 )</f>
        <v>12934.6</v>
      </c>
      <c r="CF87" s="114">
        <f xml:space="preserve"> IF(   'i1'!EL87=LEER, #N/A, 'i1'!EL87 + 'i1'!EM87 )</f>
        <v>47960.46</v>
      </c>
      <c r="CW87" s="104">
        <f xml:space="preserve"> 'i1'!FN87</f>
        <v>87</v>
      </c>
      <c r="CX87" s="106">
        <f xml:space="preserve"> IF(  INDEX( 'i1'!$FS87:$JO87, CX$13 ) = LEER,  #N/A,  INDEX( 'i1'!$FS87:$JO87, CX$13 )  )</f>
        <v>56887.43</v>
      </c>
      <c r="CY87" s="106">
        <f xml:space="preserve"> IF(  INDEX( 'i1'!$FS87:$JO87, CY$13 ) = LEER,  #N/A,  INDEX( 'i1'!$FS87:$JO87, CY$13 )  )</f>
        <v>54154.07</v>
      </c>
      <c r="CZ87" s="106">
        <f xml:space="preserve"> IF(  INDEX( 'i1'!$FS87:$JO87, CZ$13 ) = LEER,  #N/A,  INDEX( 'i1'!$FS87:$JO87, CZ$13 )  )</f>
        <v>51200.09</v>
      </c>
      <c r="DA87" s="106">
        <f xml:space="preserve"> IF(  INDEX( 'i1'!$FS87:$JO87, DA$13 ) = LEER,  #N/A,  INDEX( 'i1'!$FS87:$JO87, DA$13 )  )</f>
        <v>47958.11</v>
      </c>
      <c r="DB87" s="106">
        <f xml:space="preserve"> IF(  INDEX( 'i1'!$FS87:$JO87, DB$13 ) = LEER,  #N/A,  INDEX( 'i1'!$FS87:$JO87, DB$13 )  )</f>
        <v>44329.05</v>
      </c>
      <c r="DC87" s="106">
        <f xml:space="preserve"> IF(  INDEX( 'i1'!$FS87:$JO87, DC$13 ) = LEER,  #N/A,  INDEX( 'i1'!$FS87:$JO87, DC$13 )  )</f>
        <v>40042.080000000002</v>
      </c>
      <c r="DD87" s="106">
        <f xml:space="preserve"> IF(  INDEX( 'i1'!$FS87:$JO87, DD$13 ) = LEER,  #N/A,  INDEX( 'i1'!$FS87:$JO87, DD$13 )  )</f>
        <v>35025.86</v>
      </c>
      <c r="DE87" s="106">
        <f xml:space="preserve"> IF(  INDEX( 'i1'!$FS87:$JO87, DE$13 ) = LEER,  #N/A,  INDEX( 'i1'!$FS87:$JO87, DE$13 )  )</f>
        <v>29489.13</v>
      </c>
      <c r="DF87" s="106">
        <f xml:space="preserve"> IF(  INDEX( 'i1'!$FS87:$JO87, DF$13 ) = LEER,  #N/A,  INDEX( 'i1'!$FS87:$JO87, DF$13 )  )</f>
        <v>23593.06</v>
      </c>
      <c r="DG87" s="106">
        <f xml:space="preserve"> IF(  INDEX( 'i1'!$FS87:$JO87, DG$13 ) = LEER,  #N/A,  INDEX( 'i1'!$FS87:$JO87, DG$13 )  )</f>
        <v>17344.25</v>
      </c>
      <c r="DH87" s="106">
        <f xml:space="preserve"> IF(  INDEX( 'i1'!$FS87:$JO87, DH$13 ) = LEER,  #N/A,  INDEX( 'i1'!$FS87:$JO87, DH$13 )  )</f>
        <v>11305.5</v>
      </c>
      <c r="DI87" s="106">
        <f xml:space="preserve"> IF(  INDEX( 'i1'!$FS87:$JO87, DI$13 ) = LEER,  #N/A,  INDEX( 'i1'!$FS87:$JO87, DI$13 )  )</f>
        <v>6334.2</v>
      </c>
      <c r="DJ87" s="106">
        <f xml:space="preserve"> IF(  INDEX( 'i1'!$FS87:$JO87, DJ$13 ) = LEER,  #N/A,  INDEX( 'i1'!$FS87:$JO87, DJ$13 )  )</f>
        <v>2148.96</v>
      </c>
      <c r="DK87" s="106">
        <f xml:space="preserve"> IF(  INDEX( 'i1'!$FS87:$JO87, DK$13 ) = LEER,  #N/A,  INDEX( 'i1'!$FS87:$JO87, DK$13 )  )</f>
        <v>214.87</v>
      </c>
      <c r="DL87" s="106" t="e">
        <f xml:space="preserve"> IF(  INDEX( 'i1'!$FS87:$JO87, DL$13 ) = LEER,  #N/A,  INDEX( 'i1'!$FS87:$JO87, DL$13 )  )</f>
        <v>#N/A</v>
      </c>
      <c r="DM87" s="106" t="e">
        <f xml:space="preserve"> IF(  INDEX( 'i1'!$FS87:$JO87, DM$13 ) = LEER,  #N/A,  INDEX( 'i1'!$FS87:$JO87, DM$13 )  )</f>
        <v>#N/A</v>
      </c>
      <c r="DN87" s="106" t="e">
        <f xml:space="preserve"> IF(  INDEX( 'i1'!$FS87:$JO87, DN$13 ) = LEER,  #N/A,  INDEX( 'i1'!$FS87:$JO87, DN$13 )  )</f>
        <v>#N/A</v>
      </c>
    </row>
    <row r="88" spans="1:118" x14ac:dyDescent="0.2">
      <c r="A88" s="15">
        <f xml:space="preserve"> Basis!A88</f>
        <v>88</v>
      </c>
      <c r="C88" s="24" t="b">
        <f xml:space="preserve"> 'i1'!$O88</f>
        <v>1</v>
      </c>
      <c r="D88" s="24" t="b">
        <f xml:space="preserve"> 'i2'!$O88</f>
        <v>1</v>
      </c>
      <c r="E88" s="24" t="b">
        <f xml:space="preserve"> 'i3'!$O88</f>
        <v>1</v>
      </c>
      <c r="G88" s="27">
        <f xml:space="preserve"> IF( $C89,   IF( 'i1'!$P88=LEER,  #N/A,  'i1'!$P88  ),   #N/A  )</f>
        <v>0.09</v>
      </c>
      <c r="H88" s="27">
        <f xml:space="preserve"> IF( $D89,   IF( 'i2'!$P88=LEER,  #N/A,  'i2'!$P88  ),   #N/A  )</f>
        <v>0.09</v>
      </c>
      <c r="I88" s="27">
        <f xml:space="preserve"> IF( $E89,   IF( 'i3'!$P88=LEER,  #N/A,  'i3'!$P88  ),   #N/A  )</f>
        <v>0.09</v>
      </c>
      <c r="J88" s="158"/>
      <c r="K88" s="27">
        <f xml:space="preserve"> IF( $C89,   IF( 'i1'!$G88=LEER,  #N/A,  'i1'!$G88  ),   #N/A  )</f>
        <v>1.4E-3</v>
      </c>
      <c r="L88" s="27">
        <f xml:space="preserve"> IF( $D89,   IF( 'i2'!$G88=LEER,  #N/A,  'i2'!$G88  ),   #N/A  )</f>
        <v>1.4E-3</v>
      </c>
      <c r="M88" s="27">
        <f xml:space="preserve"> IF( $E89,   IF( 'i3'!$G88=LEER,  #N/A,  'i3'!$G88  ),   #N/A  )</f>
        <v>1.4E-3</v>
      </c>
      <c r="N88" s="158"/>
      <c r="O88" s="158"/>
      <c r="Q88" s="28">
        <f t="shared" si="56"/>
        <v>6.0869208457168389</v>
      </c>
      <c r="R88" s="28">
        <f t="shared" si="57"/>
        <v>6.0869208457168389</v>
      </c>
      <c r="S88" s="28">
        <f t="shared" si="58"/>
        <v>6.0869208457168389</v>
      </c>
      <c r="U88" s="76">
        <f xml:space="preserve"> IF( $C87,   SUM('i1'!$R88),   #N/A  )</f>
        <v>264992</v>
      </c>
      <c r="V88" s="76">
        <f xml:space="preserve"> IF( $C87,   SUM('i2'!$R88),   #N/A  )</f>
        <v>264992</v>
      </c>
      <c r="W88" s="76">
        <f xml:space="preserve"> IF( $C87,   SUM('i3'!$R88),   #N/A  )</f>
        <v>264992</v>
      </c>
      <c r="Y88" s="33"/>
      <c r="Z88" s="22">
        <f xml:space="preserve"> IF( $C88,   IF( 'i1'!$J88=LEER,  #N/A,  'i1'!$J88  ),   #N/A  )</f>
        <v>5.5049999999999999</v>
      </c>
      <c r="AA88" s="22">
        <f xml:space="preserve"> IF( $D88,   IF( 'i2'!$J88=LEER,  #N/A,  'i2'!$J88  ),   #N/A  )</f>
        <v>5.5049999999999999</v>
      </c>
      <c r="AB88" s="22">
        <f xml:space="preserve"> IF( $E88,   IF( 'i3'!$J88=LEER,  #N/A,  'i3'!$J88  ),   #N/A  )</f>
        <v>5.5049999999999999</v>
      </c>
      <c r="AC88" s="75"/>
      <c r="AD88" s="26">
        <f t="shared" si="46"/>
        <v>11438.23395</v>
      </c>
      <c r="AE88" s="26">
        <f t="shared" si="47"/>
        <v>11438.23395</v>
      </c>
      <c r="AF88" s="26">
        <f t="shared" si="48"/>
        <v>11438.23395</v>
      </c>
      <c r="AG88" s="23"/>
      <c r="AH88" s="24">
        <f xml:space="preserve">    IF(  'i1'!$AK88=LEER,  #N/A,  ROUND( 'i1'!$AK88, AH$15 )  )</f>
        <v>1105.1099999999999</v>
      </c>
      <c r="AI88" s="24">
        <f xml:space="preserve">    IF(  'i2'!$AK88=LEER,  #N/A,  ROUND( 'i2'!$AK88, AI$15 )  )</f>
        <v>1105.1099999999999</v>
      </c>
      <c r="AJ88" s="24">
        <f xml:space="preserve">    IF(  'i3'!$AK88=LEER,  #N/A,  ROUND( 'i3'!$AK88, AJ$15 )  )</f>
        <v>1105.1099999999999</v>
      </c>
      <c r="AL88" s="102">
        <f t="shared" si="49"/>
        <v>1105.1099999999999</v>
      </c>
      <c r="AO88" s="24">
        <f xml:space="preserve">    IF( 'i1'!$AN88=LEER,  #N/A,  'i1'!$AN88  )</f>
        <v>45277.17</v>
      </c>
      <c r="AP88" s="24">
        <f xml:space="preserve">    IF( 'i2'!$AN88=LEER,  #N/A,  'i2'!$AN88  )</f>
        <v>45277.17</v>
      </c>
      <c r="AQ88" s="24">
        <f xml:space="preserve">    IF( 'i3'!$AN88=LEER,  #N/A,  'i3'!$AN88  )</f>
        <v>45277.17</v>
      </c>
      <c r="AS88" s="24">
        <f xml:space="preserve">    IF( 'i1'!$AO88=LEER,  #N/A,  'i1'!$AO88  )</f>
        <v>45001.98</v>
      </c>
      <c r="AT88" s="24">
        <f xml:space="preserve">    IF( 'i2'!$AO88=LEER,  #N/A,  'i2'!$AO88  )</f>
        <v>45001.98</v>
      </c>
      <c r="AU88" s="24">
        <f xml:space="preserve">    IF( 'i3'!$AO88=LEER,  #N/A,  'i3'!$AO88  )</f>
        <v>45001.98</v>
      </c>
      <c r="AW88" s="28">
        <f t="shared" si="59"/>
        <v>21.791</v>
      </c>
      <c r="AX88" s="28">
        <f t="shared" si="50"/>
        <v>21.791</v>
      </c>
      <c r="AY88" s="28">
        <f t="shared" si="51"/>
        <v>21.791</v>
      </c>
      <c r="BA88" s="28">
        <f t="shared" si="52"/>
        <v>21.6586</v>
      </c>
      <c r="BB88" s="28">
        <f t="shared" si="53"/>
        <v>21.6586</v>
      </c>
      <c r="BC88" s="28">
        <f t="shared" si="54"/>
        <v>21.6586</v>
      </c>
      <c r="BG88" s="24">
        <f xml:space="preserve">    IF( 'i1'!BT88=LEER,  #N/A,  'i1'!BT88  )</f>
        <v>-7585.24</v>
      </c>
      <c r="BH88" s="24">
        <f xml:space="preserve">    IF( 'i1'!BR88=LEER,  #N/A,  'i1'!BR88  )</f>
        <v>48251.4</v>
      </c>
      <c r="BI88" s="111">
        <f t="shared" si="55"/>
        <v>40666.160000000003</v>
      </c>
      <c r="BJ88" s="24">
        <f xml:space="preserve">    IF( 'i1'!BX88=LEER,  #N/A,  'i1'!BX88  )</f>
        <v>4611.0099999999948</v>
      </c>
      <c r="BL88" s="24">
        <f xml:space="preserve">    IF( 'i1'!CB88=LEER,  #N/A,  'i1'!CB88  )</f>
        <v>-7775.45</v>
      </c>
      <c r="BM88" s="24">
        <f xml:space="preserve">    IF( 'i1'!CC88=LEER,  #N/A,  'i1'!CC88  )</f>
        <v>1131.93</v>
      </c>
      <c r="BN88" s="24">
        <f xml:space="preserve">    IF( 'i1'!CD88=LEER,  #N/A,  'i1'!CD88  )</f>
        <v>3820.95</v>
      </c>
      <c r="BO88" s="24">
        <f xml:space="preserve">    IF( 'i1'!CE88=LEER,  #N/A,  'i1'!CE88  )</f>
        <v>-2822.5699999999997</v>
      </c>
      <c r="BQ88" s="24">
        <f xml:space="preserve">    IF( 'i1'!CI88=LEER,  #N/A,  'i1'!CI88  )</f>
        <v>11438.23</v>
      </c>
      <c r="BR88" s="24">
        <f xml:space="preserve">    IF( 'i1'!CJ88=LEER,  #N/A,  'i1'!CJ88  )</f>
        <v>-3857.64</v>
      </c>
      <c r="BS88" s="24">
        <f xml:space="preserve">    IF( 'i1'!CK88=LEER,  #N/A,  'i1'!CK88  )</f>
        <v>-3727.76</v>
      </c>
      <c r="BT88" s="38">
        <f xml:space="preserve">    IF( 'i1'!CH88=LEER,  #N/A,  'i1'!CH88  )</f>
        <v>3852.4304390000002</v>
      </c>
      <c r="BV88" s="24">
        <f xml:space="preserve">    IF( 'i1'!CO88=LEER,  #N/A,  'i1'!CO88  )</f>
        <v>11438.23</v>
      </c>
      <c r="BW88" s="24">
        <f xml:space="preserve">    IF( 'i1'!CP88=LEER,  #N/A,  'i1'!CP88  )</f>
        <v>-3834.17</v>
      </c>
      <c r="BX88" s="24">
        <f xml:space="preserve">    IF( 'i1'!CQ88=LEER,  #N/A,  'i1'!CQ88  )</f>
        <v>-3705.1</v>
      </c>
      <c r="BY88" s="38">
        <f xml:space="preserve">    IF( 'i1'!CN88=LEER,  #N/A,  'i1'!CN88  )</f>
        <v>3898.5573770000001</v>
      </c>
      <c r="CD88" s="113" t="e">
        <f xml:space="preserve"> IF(  AND( $A88&lt;&gt;$CD$14, OR( 'i1'!EO88=LEER, 'i1'!EM88&lt;&gt;LEER ) ), #N/A, 'i1'!EO88 )</f>
        <v>#N/A</v>
      </c>
      <c r="CE88" s="113">
        <f xml:space="preserve"> IF(   'i1'!EM88=LEER, #N/A,  'i1'!EM88 )</f>
        <v>12136.53</v>
      </c>
      <c r="CF88" s="114">
        <f xml:space="preserve"> IF(   'i1'!EL88=LEER, #N/A, 'i1'!EL88 + 'i1'!EM88 )</f>
        <v>45004.18</v>
      </c>
      <c r="CW88" s="104">
        <f xml:space="preserve"> 'i1'!FN88</f>
        <v>88</v>
      </c>
      <c r="CX88" s="106">
        <f xml:space="preserve"> IF(  INDEX( 'i1'!$FS88:$JO88, CX$13 ) = LEER,  #N/A,  INDEX( 'i1'!$FS88:$JO88, CX$13 )  )</f>
        <v>53380.37</v>
      </c>
      <c r="CY88" s="106">
        <f xml:space="preserve"> IF(  INDEX( 'i1'!$FS88:$JO88, CY$13 ) = LEER,  #N/A,  INDEX( 'i1'!$FS88:$JO88, CY$13 )  )</f>
        <v>50815.66</v>
      </c>
      <c r="CZ88" s="106">
        <f xml:space="preserve"> IF(  INDEX( 'i1'!$FS88:$JO88, CZ$13 ) = LEER,  #N/A,  INDEX( 'i1'!$FS88:$JO88, CZ$13 )  )</f>
        <v>48043.94</v>
      </c>
      <c r="DA88" s="106">
        <f xml:space="preserve"> IF(  INDEX( 'i1'!$FS88:$JO88, DA$13 ) = LEER,  #N/A,  INDEX( 'i1'!$FS88:$JO88, DA$13 )  )</f>
        <v>45001.98</v>
      </c>
      <c r="DB88" s="106">
        <f xml:space="preserve"> IF(  INDEX( 'i1'!$FS88:$JO88, DB$13 ) = LEER,  #N/A,  INDEX( 'i1'!$FS88:$JO88, DB$13 )  )</f>
        <v>41596.83</v>
      </c>
      <c r="DC88" s="106">
        <f xml:space="preserve"> IF(  INDEX( 'i1'!$FS88:$JO88, DC$13 ) = LEER,  #N/A,  INDEX( 'i1'!$FS88:$JO88, DC$13 )  )</f>
        <v>37574.370000000003</v>
      </c>
      <c r="DD88" s="106">
        <f xml:space="preserve"> IF(  INDEX( 'i1'!$FS88:$JO88, DD$13 ) = LEER,  #N/A,  INDEX( 'i1'!$FS88:$JO88, DD$13 )  )</f>
        <v>32867.65</v>
      </c>
      <c r="DE88" s="106">
        <f xml:space="preserve"> IF(  INDEX( 'i1'!$FS88:$JO88, DE$13 ) = LEER,  #N/A,  INDEX( 'i1'!$FS88:$JO88, DE$13 )  )</f>
        <v>27672.53</v>
      </c>
      <c r="DF88" s="106">
        <f xml:space="preserve"> IF(  INDEX( 'i1'!$FS88:$JO88, DF$13 ) = LEER,  #N/A,  INDEX( 'i1'!$FS88:$JO88, DF$13 )  )</f>
        <v>22140.25</v>
      </c>
      <c r="DG88" s="106">
        <f xml:space="preserve"> IF(  INDEX( 'i1'!$FS88:$JO88, DG$13 ) = LEER,  #N/A,  INDEX( 'i1'!$FS88:$JO88, DG$13 )  )</f>
        <v>16276.99</v>
      </c>
      <c r="DH88" s="106">
        <f xml:space="preserve"> IF(  INDEX( 'i1'!$FS88:$JO88, DH$13 ) = LEER,  #N/A,  INDEX( 'i1'!$FS88:$JO88, DH$13 )  )</f>
        <v>10610.83</v>
      </c>
      <c r="DI88" s="106">
        <f xml:space="preserve"> IF(  INDEX( 'i1'!$FS88:$JO88, DI$13 ) = LEER,  #N/A,  INDEX( 'i1'!$FS88:$JO88, DI$13 )  )</f>
        <v>5946.26</v>
      </c>
      <c r="DJ88" s="106">
        <f xml:space="preserve"> IF(  INDEX( 'i1'!$FS88:$JO88, DJ$13 ) = LEER,  #N/A,  INDEX( 'i1'!$FS88:$JO88, DJ$13 )  )</f>
        <v>2019.25</v>
      </c>
      <c r="DK88" s="106">
        <f xml:space="preserve"> IF(  INDEX( 'i1'!$FS88:$JO88, DK$13 ) = LEER,  #N/A,  INDEX( 'i1'!$FS88:$JO88, DK$13 )  )</f>
        <v>204.49</v>
      </c>
      <c r="DL88" s="106" t="e">
        <f xml:space="preserve"> IF(  INDEX( 'i1'!$FS88:$JO88, DL$13 ) = LEER,  #N/A,  INDEX( 'i1'!$FS88:$JO88, DL$13 )  )</f>
        <v>#N/A</v>
      </c>
      <c r="DM88" s="106" t="e">
        <f xml:space="preserve"> IF(  INDEX( 'i1'!$FS88:$JO88, DM$13 ) = LEER,  #N/A,  INDEX( 'i1'!$FS88:$JO88, DM$13 )  )</f>
        <v>#N/A</v>
      </c>
      <c r="DN88" s="106" t="e">
        <f xml:space="preserve"> IF(  INDEX( 'i1'!$FS88:$JO88, DN$13 ) = LEER,  #N/A,  INDEX( 'i1'!$FS88:$JO88, DN$13 )  )</f>
        <v>#N/A</v>
      </c>
    </row>
    <row r="89" spans="1:118" x14ac:dyDescent="0.2">
      <c r="A89" s="15">
        <f xml:space="preserve"> Basis!A89</f>
        <v>89</v>
      </c>
      <c r="C89" s="24" t="b">
        <f xml:space="preserve"> 'i1'!$O89</f>
        <v>1</v>
      </c>
      <c r="D89" s="24" t="b">
        <f xml:space="preserve"> 'i2'!$O89</f>
        <v>1</v>
      </c>
      <c r="E89" s="24" t="b">
        <f xml:space="preserve"> 'i3'!$O89</f>
        <v>1</v>
      </c>
      <c r="G89" s="27">
        <f xml:space="preserve"> IF( $C90,   IF( 'i1'!$P89=LEER,  #N/A,  'i1'!$P89  ),   #N/A  )</f>
        <v>0.1028</v>
      </c>
      <c r="H89" s="27">
        <f xml:space="preserve"> IF( $D90,   IF( 'i2'!$P89=LEER,  #N/A,  'i2'!$P89  ),   #N/A  )</f>
        <v>0.1028</v>
      </c>
      <c r="I89" s="27">
        <f xml:space="preserve"> IF( $E90,   IF( 'i3'!$P89=LEER,  #N/A,  'i3'!$P89  ),   #N/A  )</f>
        <v>0.1028</v>
      </c>
      <c r="J89" s="158"/>
      <c r="K89" s="27">
        <f xml:space="preserve"> IF( $C90,   IF( 'i1'!$G89=LEER,  #N/A,  'i1'!$G89  ),   #N/A  )</f>
        <v>1.4E-3</v>
      </c>
      <c r="L89" s="27">
        <f xml:space="preserve"> IF( $D90,   IF( 'i2'!$G89=LEER,  #N/A,  'i2'!$G89  ),   #N/A  )</f>
        <v>1.4E-3</v>
      </c>
      <c r="M89" s="27">
        <f xml:space="preserve"> IF( $E90,   IF( 'i3'!$G89=LEER,  #N/A,  'i3'!$G89  ),   #N/A  )</f>
        <v>1.4E-3</v>
      </c>
      <c r="N89" s="158"/>
      <c r="O89" s="158"/>
      <c r="Q89" s="28">
        <f t="shared" si="56"/>
        <v>5.6394734568316913</v>
      </c>
      <c r="R89" s="28">
        <f t="shared" si="57"/>
        <v>5.6394734568316913</v>
      </c>
      <c r="S89" s="28">
        <f t="shared" si="58"/>
        <v>5.6394734568316913</v>
      </c>
      <c r="U89" s="76">
        <f xml:space="preserve"> IF( $C88,   SUM('i1'!$R89),   #N/A  )</f>
        <v>241142</v>
      </c>
      <c r="V89" s="76">
        <f xml:space="preserve"> IF( $C88,   SUM('i2'!$R89),   #N/A  )</f>
        <v>241142</v>
      </c>
      <c r="W89" s="76">
        <f xml:space="preserve"> IF( $C88,   SUM('i3'!$R89),   #N/A  )</f>
        <v>241142</v>
      </c>
      <c r="Y89" s="33"/>
      <c r="Z89" s="22">
        <f xml:space="preserve"> IF( $C89,   IF( 'i1'!$J89=LEER,  #N/A,  'i1'!$J89  ),   #N/A  )</f>
        <v>5.5049999999999999</v>
      </c>
      <c r="AA89" s="22">
        <f xml:space="preserve"> IF( $D89,   IF( 'i2'!$J89=LEER,  #N/A,  'i2'!$J89  ),   #N/A  )</f>
        <v>5.5049999999999999</v>
      </c>
      <c r="AB89" s="22">
        <f xml:space="preserve"> IF( $E89,   IF( 'i3'!$J89=LEER,  #N/A,  'i3'!$J89  ),   #N/A  )</f>
        <v>5.5049999999999999</v>
      </c>
      <c r="AC89" s="75"/>
      <c r="AD89" s="26">
        <f t="shared" si="46"/>
        <v>11438.23395</v>
      </c>
      <c r="AE89" s="26">
        <f t="shared" si="47"/>
        <v>11438.23395</v>
      </c>
      <c r="AF89" s="26">
        <f t="shared" si="48"/>
        <v>11438.23395</v>
      </c>
      <c r="AG89" s="23"/>
      <c r="AH89" s="24">
        <f xml:space="preserve">    IF(  'i1'!$AK89=LEER,  #N/A,  ROUND( 'i1'!$AK89, AH$15 )  )</f>
        <v>1105.18</v>
      </c>
      <c r="AI89" s="24">
        <f xml:space="preserve">    IF(  'i2'!$AK89=LEER,  #N/A,  ROUND( 'i2'!$AK89, AI$15 )  )</f>
        <v>1105.18</v>
      </c>
      <c r="AJ89" s="24">
        <f xml:space="preserve">    IF(  'i3'!$AK89=LEER,  #N/A,  ROUND( 'i3'!$AK89, AJ$15 )  )</f>
        <v>1105.18</v>
      </c>
      <c r="AL89" s="102">
        <f t="shared" si="49"/>
        <v>1105.18</v>
      </c>
      <c r="AO89" s="24">
        <f xml:space="preserve">    IF( 'i1'!$AN89=LEER,  #N/A,  'i1'!$AN89  )</f>
        <v>42455.02</v>
      </c>
      <c r="AP89" s="24">
        <f xml:space="preserve">    IF( 'i2'!$AN89=LEER,  #N/A,  'i2'!$AN89  )</f>
        <v>42455.02</v>
      </c>
      <c r="AQ89" s="24">
        <f xml:space="preserve">    IF( 'i3'!$AN89=LEER,  #N/A,  'i3'!$AN89  )</f>
        <v>42455.02</v>
      </c>
      <c r="AS89" s="24">
        <f xml:space="preserve">    IF( 'i1'!$AO89=LEER,  #N/A,  'i1'!$AO89  )</f>
        <v>42197.01</v>
      </c>
      <c r="AT89" s="24">
        <f xml:space="preserve">    IF( 'i2'!$AO89=LEER,  #N/A,  'i2'!$AO89  )</f>
        <v>42197.01</v>
      </c>
      <c r="AU89" s="24">
        <f xml:space="preserve">    IF( 'i3'!$AO89=LEER,  #N/A,  'i3'!$AO89  )</f>
        <v>42197.01</v>
      </c>
      <c r="AW89" s="28">
        <f t="shared" si="59"/>
        <v>20.4328</v>
      </c>
      <c r="AX89" s="28">
        <f t="shared" si="50"/>
        <v>20.4328</v>
      </c>
      <c r="AY89" s="28">
        <f t="shared" si="51"/>
        <v>20.4328</v>
      </c>
      <c r="BA89" s="28">
        <f t="shared" si="52"/>
        <v>20.308599999999998</v>
      </c>
      <c r="BB89" s="28">
        <f t="shared" si="53"/>
        <v>20.308599999999998</v>
      </c>
      <c r="BC89" s="28">
        <f t="shared" si="54"/>
        <v>20.308599999999998</v>
      </c>
      <c r="BG89" s="24">
        <f xml:space="preserve">    IF( 'i1'!BT89=LEER,  #N/A,  'i1'!BT89  )</f>
        <v>-7585.24</v>
      </c>
      <c r="BH89" s="24">
        <f xml:space="preserve">    IF( 'i1'!BR89=LEER,  #N/A,  'i1'!BR89  )</f>
        <v>45277.17</v>
      </c>
      <c r="BI89" s="111">
        <f t="shared" si="55"/>
        <v>37691.93</v>
      </c>
      <c r="BJ89" s="24">
        <f xml:space="preserve">    IF( 'i1'!BX89=LEER,  #N/A,  'i1'!BX89  )</f>
        <v>4763.0899999999965</v>
      </c>
      <c r="BL89" s="24">
        <f xml:space="preserve">    IF( 'i1'!CB89=LEER,  #N/A,  'i1'!CB89  )</f>
        <v>-7775.45</v>
      </c>
      <c r="BM89" s="24">
        <f xml:space="preserve">    IF( 'i1'!CC89=LEER,  #N/A,  'i1'!CC89  )</f>
        <v>1061.3800000000001</v>
      </c>
      <c r="BN89" s="24">
        <f xml:space="preserve">    IF( 'i1'!CD89=LEER,  #N/A,  'i1'!CD89  )</f>
        <v>4095.13</v>
      </c>
      <c r="BO89" s="24">
        <f xml:space="preserve">    IF( 'i1'!CE89=LEER,  #N/A,  'i1'!CE89  )</f>
        <v>-2618.9399999999996</v>
      </c>
      <c r="BQ89" s="24">
        <f xml:space="preserve">    IF( 'i1'!CI89=LEER,  #N/A,  'i1'!CI89  )</f>
        <v>11438.23</v>
      </c>
      <c r="BR89" s="24">
        <f xml:space="preserve">    IF( 'i1'!CJ89=LEER,  #N/A,  'i1'!CJ89  )</f>
        <v>-3590.71</v>
      </c>
      <c r="BS89" s="24">
        <f xml:space="preserve">    IF( 'i1'!CK89=LEER,  #N/A,  'i1'!CK89  )</f>
        <v>-3995.25</v>
      </c>
      <c r="BT89" s="38">
        <f xml:space="preserve">    IF( 'i1'!CH89=LEER,  #N/A,  'i1'!CH89  )</f>
        <v>3852.4304390000002</v>
      </c>
      <c r="BV89" s="24">
        <f xml:space="preserve">    IF( 'i1'!CO89=LEER,  #N/A,  'i1'!CO89  )</f>
        <v>11438.23</v>
      </c>
      <c r="BW89" s="24">
        <f xml:space="preserve">    IF( 'i1'!CP89=LEER,  #N/A,  'i1'!CP89  )</f>
        <v>-3568.86</v>
      </c>
      <c r="BX89" s="24">
        <f xml:space="preserve">    IF( 'i1'!CQ89=LEER,  #N/A,  'i1'!CQ89  )</f>
        <v>-3970.97</v>
      </c>
      <c r="BY89" s="38">
        <f xml:space="preserve">    IF( 'i1'!CN89=LEER,  #N/A,  'i1'!CN89  )</f>
        <v>3898.5573770000001</v>
      </c>
      <c r="CD89" s="113" t="e">
        <f xml:space="preserve"> IF(  AND( $A89&lt;&gt;$CD$14, OR( 'i1'!EO89=LEER, 'i1'!EM89&lt;&gt;LEER ) ), #N/A, 'i1'!EO89 )</f>
        <v>#N/A</v>
      </c>
      <c r="CE89" s="113">
        <f xml:space="preserve"> IF(   'i1'!EM89=LEER, #N/A,  'i1'!EM89 )</f>
        <v>11378.75</v>
      </c>
      <c r="CF89" s="114">
        <f xml:space="preserve"> IF(   'i1'!EL89=LEER, #N/A, 'i1'!EL89 + 'i1'!EM89 )</f>
        <v>42199.08</v>
      </c>
      <c r="CW89" s="104">
        <f xml:space="preserve"> 'i1'!FN89</f>
        <v>89</v>
      </c>
      <c r="CX89" s="106">
        <f xml:space="preserve"> IF(  INDEX( 'i1'!$FS89:$JO89, CX$13 ) = LEER,  #N/A,  INDEX( 'i1'!$FS89:$JO89, CX$13 )  )</f>
        <v>50052.26</v>
      </c>
      <c r="CY89" s="106">
        <f xml:space="preserve"> IF(  INDEX( 'i1'!$FS89:$JO89, CY$13 ) = LEER,  #N/A,  INDEX( 'i1'!$FS89:$JO89, CY$13 )  )</f>
        <v>47647.69</v>
      </c>
      <c r="CZ89" s="106">
        <f xml:space="preserve"> IF(  INDEX( 'i1'!$FS89:$JO89, CZ$13 ) = LEER,  #N/A,  INDEX( 'i1'!$FS89:$JO89, CZ$13 )  )</f>
        <v>45049.03</v>
      </c>
      <c r="DA89" s="106">
        <f xml:space="preserve"> IF(  INDEX( 'i1'!$FS89:$JO89, DA$13 ) = LEER,  #N/A,  INDEX( 'i1'!$FS89:$JO89, DA$13 )  )</f>
        <v>42197.01</v>
      </c>
      <c r="DB89" s="106">
        <f xml:space="preserve"> IF(  INDEX( 'i1'!$FS89:$JO89, DB$13 ) = LEER,  #N/A,  INDEX( 'i1'!$FS89:$JO89, DB$13 )  )</f>
        <v>39004.47</v>
      </c>
      <c r="DC89" s="106">
        <f xml:space="preserve"> IF(  INDEX( 'i1'!$FS89:$JO89, DC$13 ) = LEER,  #N/A,  INDEX( 'i1'!$FS89:$JO89, DC$13 )  )</f>
        <v>35233.160000000003</v>
      </c>
      <c r="DD89" s="106">
        <f xml:space="preserve"> IF(  INDEX( 'i1'!$FS89:$JO89, DD$13 ) = LEER,  #N/A,  INDEX( 'i1'!$FS89:$JO89, DD$13 )  )</f>
        <v>30820.33</v>
      </c>
      <c r="DE89" s="106">
        <f xml:space="preserve"> IF(  INDEX( 'i1'!$FS89:$JO89, DE$13 ) = LEER,  #N/A,  INDEX( 'i1'!$FS89:$JO89, DE$13 )  )</f>
        <v>25949.58</v>
      </c>
      <c r="DF89" s="106">
        <f xml:space="preserve"> IF(  INDEX( 'i1'!$FS89:$JO89, DF$13 ) = LEER,  #N/A,  INDEX( 'i1'!$FS89:$JO89, DF$13 )  )</f>
        <v>20762.72</v>
      </c>
      <c r="DG89" s="106">
        <f xml:space="preserve"> IF(  INDEX( 'i1'!$FS89:$JO89, DG$13 ) = LEER,  #N/A,  INDEX( 'i1'!$FS89:$JO89, DG$13 )  )</f>
        <v>15265.56</v>
      </c>
      <c r="DH89" s="106">
        <f xml:space="preserve"> IF(  INDEX( 'i1'!$FS89:$JO89, DH$13 ) = LEER,  #N/A,  INDEX( 'i1'!$FS89:$JO89, DH$13 )  )</f>
        <v>9953.18</v>
      </c>
      <c r="DI89" s="106">
        <f xml:space="preserve"> IF(  INDEX( 'i1'!$FS89:$JO89, DI$13 ) = LEER,  #N/A,  INDEX( 'i1'!$FS89:$JO89, DI$13 )  )</f>
        <v>5579.86</v>
      </c>
      <c r="DJ89" s="106">
        <f xml:space="preserve"> IF(  INDEX( 'i1'!$FS89:$JO89, DJ$13 ) = LEER,  #N/A,  INDEX( 'i1'!$FS89:$JO89, DJ$13 )  )</f>
        <v>1898.04</v>
      </c>
      <c r="DK89" s="106">
        <f xml:space="preserve"> IF(  INDEX( 'i1'!$FS89:$JO89, DK$13 ) = LEER,  #N/A,  INDEX( 'i1'!$FS89:$JO89, DK$13 )  )</f>
        <v>196.59</v>
      </c>
      <c r="DL89" s="106" t="e">
        <f xml:space="preserve"> IF(  INDEX( 'i1'!$FS89:$JO89, DL$13 ) = LEER,  #N/A,  INDEX( 'i1'!$FS89:$JO89, DL$13 )  )</f>
        <v>#N/A</v>
      </c>
      <c r="DM89" s="106" t="e">
        <f xml:space="preserve"> IF(  INDEX( 'i1'!$FS89:$JO89, DM$13 ) = LEER,  #N/A,  INDEX( 'i1'!$FS89:$JO89, DM$13 )  )</f>
        <v>#N/A</v>
      </c>
      <c r="DN89" s="106" t="e">
        <f xml:space="preserve"> IF(  INDEX( 'i1'!$FS89:$JO89, DN$13 ) = LEER,  #N/A,  INDEX( 'i1'!$FS89:$JO89, DN$13 )  )</f>
        <v>#N/A</v>
      </c>
    </row>
    <row r="90" spans="1:118" x14ac:dyDescent="0.2">
      <c r="A90" s="15">
        <f xml:space="preserve"> Basis!A90</f>
        <v>90</v>
      </c>
      <c r="C90" s="24" t="b">
        <f xml:space="preserve"> 'i1'!$O90</f>
        <v>1</v>
      </c>
      <c r="D90" s="24" t="b">
        <f xml:space="preserve"> 'i2'!$O90</f>
        <v>1</v>
      </c>
      <c r="E90" s="24" t="b">
        <f xml:space="preserve"> 'i3'!$O90</f>
        <v>1</v>
      </c>
      <c r="G90" s="27">
        <f xml:space="preserve"> IF( $C91,   IF( 'i1'!$P90=LEER,  #N/A,  'i1'!$P90  ),   #N/A  )</f>
        <v>0.11700000000000001</v>
      </c>
      <c r="H90" s="27">
        <f xml:space="preserve"> IF( $D91,   IF( 'i2'!$P90=LEER,  #N/A,  'i2'!$P90  ),   #N/A  )</f>
        <v>0.11700000000000001</v>
      </c>
      <c r="I90" s="27">
        <f xml:space="preserve"> IF( $E91,   IF( 'i3'!$P90=LEER,  #N/A,  'i3'!$P90  ),   #N/A  )</f>
        <v>0.11700000000000001</v>
      </c>
      <c r="J90" s="158"/>
      <c r="K90" s="27">
        <f xml:space="preserve"> IF( $C91,   IF( 'i1'!$G90=LEER,  #N/A,  'i1'!$G90  ),   #N/A  )</f>
        <v>1.4E-3</v>
      </c>
      <c r="L90" s="27">
        <f xml:space="preserve"> IF( $D91,   IF( 'i2'!$G90=LEER,  #N/A,  'i2'!$G90  ),   #N/A  )</f>
        <v>1.4E-3</v>
      </c>
      <c r="M90" s="27">
        <f xml:space="preserve"> IF( $E91,   IF( 'i3'!$G90=LEER,  #N/A,  'i3'!$G90  ),   #N/A  )</f>
        <v>1.4E-3</v>
      </c>
      <c r="N90" s="158"/>
      <c r="O90" s="158"/>
      <c r="Q90" s="28">
        <f t="shared" si="56"/>
        <v>5.2283475889787017</v>
      </c>
      <c r="R90" s="28">
        <f t="shared" si="57"/>
        <v>5.2283475889787017</v>
      </c>
      <c r="S90" s="28">
        <f t="shared" si="58"/>
        <v>5.2283475889787017</v>
      </c>
      <c r="U90" s="76">
        <f xml:space="preserve"> IF( $C89,   SUM('i1'!$R90),   #N/A  )</f>
        <v>216352</v>
      </c>
      <c r="V90" s="76">
        <f xml:space="preserve"> IF( $C89,   SUM('i2'!$R90),   #N/A  )</f>
        <v>216352</v>
      </c>
      <c r="W90" s="76">
        <f xml:space="preserve"> IF( $C89,   SUM('i3'!$R90),   #N/A  )</f>
        <v>216352</v>
      </c>
      <c r="Y90" s="33"/>
      <c r="Z90" s="22">
        <f xml:space="preserve"> IF( $C90,   IF( 'i1'!$J90=LEER,  #N/A,  'i1'!$J90  ),   #N/A  )</f>
        <v>5.5049999999999999</v>
      </c>
      <c r="AA90" s="22">
        <f xml:space="preserve"> IF( $D90,   IF( 'i2'!$J90=LEER,  #N/A,  'i2'!$J90  ),   #N/A  )</f>
        <v>5.5049999999999999</v>
      </c>
      <c r="AB90" s="22">
        <f xml:space="preserve"> IF( $E90,   IF( 'i3'!$J90=LEER,  #N/A,  'i3'!$J90  ),   #N/A  )</f>
        <v>5.5049999999999999</v>
      </c>
      <c r="AC90" s="75"/>
      <c r="AD90" s="26">
        <f t="shared" si="46"/>
        <v>11438.23395</v>
      </c>
      <c r="AE90" s="26">
        <f t="shared" si="47"/>
        <v>11438.23395</v>
      </c>
      <c r="AF90" s="26">
        <f t="shared" si="48"/>
        <v>11438.23395</v>
      </c>
      <c r="AG90" s="23"/>
      <c r="AH90" s="24">
        <f xml:space="preserve">    IF(  'i1'!$AK90=LEER,  #N/A,  ROUND( 'i1'!$AK90, AH$15 )  )</f>
        <v>1105.26</v>
      </c>
      <c r="AI90" s="24">
        <f xml:space="preserve">    IF(  'i2'!$AK90=LEER,  #N/A,  ROUND( 'i2'!$AK90, AI$15 )  )</f>
        <v>1105.26</v>
      </c>
      <c r="AJ90" s="24">
        <f xml:space="preserve">    IF(  'i3'!$AK90=LEER,  #N/A,  ROUND( 'i3'!$AK90, AJ$15 )  )</f>
        <v>1105.26</v>
      </c>
      <c r="AL90" s="102">
        <f t="shared" si="49"/>
        <v>1105.26</v>
      </c>
      <c r="AO90" s="24">
        <f xml:space="preserve">    IF( 'i1'!$AN90=LEER,  #N/A,  'i1'!$AN90  )</f>
        <v>39835.919999999998</v>
      </c>
      <c r="AP90" s="24">
        <f xml:space="preserve">    IF( 'i2'!$AN90=LEER,  #N/A,  'i2'!$AN90  )</f>
        <v>39835.919999999998</v>
      </c>
      <c r="AQ90" s="24">
        <f xml:space="preserve">    IF( 'i3'!$AN90=LEER,  #N/A,  'i3'!$AN90  )</f>
        <v>39835.919999999998</v>
      </c>
      <c r="AS90" s="24">
        <f xml:space="preserve">    IF( 'i1'!$AO90=LEER,  #N/A,  'i1'!$AO90  )</f>
        <v>39593.85</v>
      </c>
      <c r="AT90" s="24">
        <f xml:space="preserve">    IF( 'i2'!$AO90=LEER,  #N/A,  'i2'!$AO90  )</f>
        <v>39593.85</v>
      </c>
      <c r="AU90" s="24">
        <f xml:space="preserve">    IF( 'i3'!$AO90=LEER,  #N/A,  'i3'!$AO90  )</f>
        <v>39593.85</v>
      </c>
      <c r="AW90" s="28">
        <f t="shared" si="59"/>
        <v>19.1723</v>
      </c>
      <c r="AX90" s="28">
        <f t="shared" si="50"/>
        <v>19.1723</v>
      </c>
      <c r="AY90" s="28">
        <f t="shared" si="51"/>
        <v>19.1723</v>
      </c>
      <c r="BA90" s="28">
        <f t="shared" si="52"/>
        <v>19.055800000000001</v>
      </c>
      <c r="BB90" s="28">
        <f t="shared" si="53"/>
        <v>19.055800000000001</v>
      </c>
      <c r="BC90" s="28">
        <f t="shared" si="54"/>
        <v>19.055800000000001</v>
      </c>
      <c r="BG90" s="24">
        <f xml:space="preserve">    IF( 'i1'!BT90=LEER,  #N/A,  'i1'!BT90  )</f>
        <v>-7585.24</v>
      </c>
      <c r="BH90" s="24">
        <f xml:space="preserve">    IF( 'i1'!BR90=LEER,  #N/A,  'i1'!BR90  )</f>
        <v>42455.02</v>
      </c>
      <c r="BI90" s="111">
        <f t="shared" si="55"/>
        <v>34869.78</v>
      </c>
      <c r="BJ90" s="24">
        <f xml:space="preserve">    IF( 'i1'!BX90=LEER,  #N/A,  'i1'!BX90  )</f>
        <v>4966.1399999999994</v>
      </c>
      <c r="BL90" s="24">
        <f xml:space="preserve">    IF( 'i1'!CB90=LEER,  #N/A,  'i1'!CB90  )</f>
        <v>-7775.45</v>
      </c>
      <c r="BM90" s="24">
        <f xml:space="preserve">    IF( 'i1'!CC90=LEER,  #N/A,  'i1'!CC90  )</f>
        <v>995.9</v>
      </c>
      <c r="BN90" s="24">
        <f xml:space="preserve">    IF( 'i1'!CD90=LEER,  #N/A,  'i1'!CD90  )</f>
        <v>4380.08</v>
      </c>
      <c r="BO90" s="24">
        <f xml:space="preserve">    IF( 'i1'!CE90=LEER,  #N/A,  'i1'!CE90  )</f>
        <v>-2399.4700000000003</v>
      </c>
      <c r="BQ90" s="24">
        <f xml:space="preserve">    IF( 'i1'!CI90=LEER,  #N/A,  'i1'!CI90  )</f>
        <v>11438.23</v>
      </c>
      <c r="BR90" s="24">
        <f xml:space="preserve">    IF( 'i1'!CJ90=LEER,  #N/A,  'i1'!CJ90  )</f>
        <v>-3312.39</v>
      </c>
      <c r="BS90" s="24">
        <f xml:space="preserve">    IF( 'i1'!CK90=LEER,  #N/A,  'i1'!CK90  )</f>
        <v>-4273.25</v>
      </c>
      <c r="BT90" s="38">
        <f xml:space="preserve">    IF( 'i1'!CH90=LEER,  #N/A,  'i1'!CH90  )</f>
        <v>3852.4304390000002</v>
      </c>
      <c r="BV90" s="24">
        <f xml:space="preserve">    IF( 'i1'!CO90=LEER,  #N/A,  'i1'!CO90  )</f>
        <v>11438.23</v>
      </c>
      <c r="BW90" s="24">
        <f xml:space="preserve">    IF( 'i1'!CP90=LEER,  #N/A,  'i1'!CP90  )</f>
        <v>-3292.22</v>
      </c>
      <c r="BX90" s="24">
        <f xml:space="preserve">    IF( 'i1'!CQ90=LEER,  #N/A,  'i1'!CQ90  )</f>
        <v>-4247.29</v>
      </c>
      <c r="BY90" s="38">
        <f xml:space="preserve">    IF( 'i1'!CN90=LEER,  #N/A,  'i1'!CN90  )</f>
        <v>3898.5573770000001</v>
      </c>
      <c r="CD90" s="113" t="e">
        <f xml:space="preserve"> IF(  AND( $A90&lt;&gt;$CD$14, OR( 'i1'!EO90=LEER, 'i1'!EM90&lt;&gt;LEER ) ), #N/A, 'i1'!EO90 )</f>
        <v>#N/A</v>
      </c>
      <c r="CE90" s="113">
        <f xml:space="preserve"> IF(   'i1'!EM90=LEER, #N/A,  'i1'!EM90 )</f>
        <v>10675.69</v>
      </c>
      <c r="CF90" s="114">
        <f xml:space="preserve"> IF(   'i1'!EL90=LEER, #N/A, 'i1'!EL90 + 'i1'!EM90 )</f>
        <v>39595.79</v>
      </c>
      <c r="CW90" s="104">
        <f xml:space="preserve"> 'i1'!FN90</f>
        <v>90</v>
      </c>
      <c r="CX90" s="106">
        <f xml:space="preserve"> IF(  INDEX( 'i1'!$FS90:$JO90, CX$13 ) = LEER,  #N/A,  INDEX( 'i1'!$FS90:$JO90, CX$13 )  )</f>
        <v>46963.75</v>
      </c>
      <c r="CY90" s="106">
        <f xml:space="preserve"> IF(  INDEX( 'i1'!$FS90:$JO90, CY$13 ) = LEER,  #N/A,  INDEX( 'i1'!$FS90:$JO90, CY$13 )  )</f>
        <v>44707.75</v>
      </c>
      <c r="CZ90" s="106">
        <f xml:space="preserve"> IF(  INDEX( 'i1'!$FS90:$JO90, CZ$13 ) = LEER,  #N/A,  INDEX( 'i1'!$FS90:$JO90, CZ$13 )  )</f>
        <v>42269.65</v>
      </c>
      <c r="DA90" s="106">
        <f xml:space="preserve"> IF(  INDEX( 'i1'!$FS90:$JO90, DA$13 ) = LEER,  #N/A,  INDEX( 'i1'!$FS90:$JO90, DA$13 )  )</f>
        <v>39593.85</v>
      </c>
      <c r="DB90" s="106">
        <f xml:space="preserve"> IF(  INDEX( 'i1'!$FS90:$JO90, DB$13 ) = LEER,  #N/A,  INDEX( 'i1'!$FS90:$JO90, DB$13 )  )</f>
        <v>36598.57</v>
      </c>
      <c r="DC90" s="106">
        <f xml:space="preserve"> IF(  INDEX( 'i1'!$FS90:$JO90, DC$13 ) = LEER,  #N/A,  INDEX( 'i1'!$FS90:$JO90, DC$13 )  )</f>
        <v>33060.28</v>
      </c>
      <c r="DD90" s="106">
        <f xml:space="preserve"> IF(  INDEX( 'i1'!$FS90:$JO90, DD$13 ) = LEER,  #N/A,  INDEX( 'i1'!$FS90:$JO90, DD$13 )  )</f>
        <v>28920.1</v>
      </c>
      <c r="DE90" s="106">
        <f xml:space="preserve"> IF(  INDEX( 'i1'!$FS90:$JO90, DE$13 ) = LEER,  #N/A,  INDEX( 'i1'!$FS90:$JO90, DE$13 )  )</f>
        <v>24350.3</v>
      </c>
      <c r="DF90" s="106">
        <f xml:space="preserve"> IF(  INDEX( 'i1'!$FS90:$JO90, DF$13 ) = LEER,  #N/A,  INDEX( 'i1'!$FS90:$JO90, DF$13 )  )</f>
        <v>19483.93</v>
      </c>
      <c r="DG90" s="106">
        <f xml:space="preserve"> IF(  INDEX( 'i1'!$FS90:$JO90, DG$13 ) = LEER,  #N/A,  INDEX( 'i1'!$FS90:$JO90, DG$13 )  )</f>
        <v>14326.42</v>
      </c>
      <c r="DH90" s="106">
        <f xml:space="preserve"> IF(  INDEX( 'i1'!$FS90:$JO90, DH$13 ) = LEER,  #N/A,  INDEX( 'i1'!$FS90:$JO90, DH$13 )  )</f>
        <v>9342.2800000000007</v>
      </c>
      <c r="DI90" s="106">
        <f xml:space="preserve"> IF(  INDEX( 'i1'!$FS90:$JO90, DI$13 ) = LEER,  #N/A,  INDEX( 'i1'!$FS90:$JO90, DI$13 )  )</f>
        <v>5239.17</v>
      </c>
      <c r="DJ90" s="106">
        <f xml:space="preserve"> IF(  INDEX( 'i1'!$FS90:$JO90, DJ$13 ) = LEER,  #N/A,  INDEX( 'i1'!$FS90:$JO90, DJ$13 )  )</f>
        <v>1784.83</v>
      </c>
      <c r="DK90" s="106">
        <f xml:space="preserve"> IF(  INDEX( 'i1'!$FS90:$JO90, DK$13 ) = LEER,  #N/A,  INDEX( 'i1'!$FS90:$JO90, DK$13 )  )</f>
        <v>188.51</v>
      </c>
      <c r="DL90" s="106">
        <f xml:space="preserve"> IF(  INDEX( 'i1'!$FS90:$JO90, DL$13 ) = LEER,  #N/A,  INDEX( 'i1'!$FS90:$JO90, DL$13 )  )</f>
        <v>-0.12</v>
      </c>
      <c r="DM90" s="106" t="e">
        <f xml:space="preserve"> IF(  INDEX( 'i1'!$FS90:$JO90, DM$13 ) = LEER,  #N/A,  INDEX( 'i1'!$FS90:$JO90, DM$13 )  )</f>
        <v>#N/A</v>
      </c>
      <c r="DN90" s="106" t="e">
        <f xml:space="preserve"> IF(  INDEX( 'i1'!$FS90:$JO90, DN$13 ) = LEER,  #N/A,  INDEX( 'i1'!$FS90:$JO90, DN$13 )  )</f>
        <v>#N/A</v>
      </c>
    </row>
    <row r="91" spans="1:118" x14ac:dyDescent="0.2">
      <c r="A91" s="15">
        <f xml:space="preserve"> Basis!A91</f>
        <v>91</v>
      </c>
      <c r="C91" s="24" t="b">
        <f xml:space="preserve"> 'i1'!$O91</f>
        <v>1</v>
      </c>
      <c r="D91" s="24" t="b">
        <f xml:space="preserve"> 'i2'!$O91</f>
        <v>1</v>
      </c>
      <c r="E91" s="24" t="b">
        <f xml:space="preserve"> 'i3'!$O91</f>
        <v>1</v>
      </c>
      <c r="G91" s="27">
        <f xml:space="preserve"> IF( $C92,   IF( 'i1'!$P91=LEER,  #N/A,  'i1'!$P91  ),   #N/A  )</f>
        <v>0.13059999999999999</v>
      </c>
      <c r="H91" s="27">
        <f xml:space="preserve"> IF( $D92,   IF( 'i2'!$P91=LEER,  #N/A,  'i2'!$P91  ),   #N/A  )</f>
        <v>0.13059999999999999</v>
      </c>
      <c r="I91" s="27">
        <f xml:space="preserve"> IF( $E92,   IF( 'i3'!$P91=LEER,  #N/A,  'i3'!$P91  ),   #N/A  )</f>
        <v>0.13059999999999999</v>
      </c>
      <c r="J91" s="158"/>
      <c r="K91" s="27">
        <f xml:space="preserve"> IF( $C92,   IF( 'i1'!$G91=LEER,  #N/A,  'i1'!$G91  ),   #N/A  )</f>
        <v>1.5E-3</v>
      </c>
      <c r="L91" s="27">
        <f xml:space="preserve"> IF( $D92,   IF( 'i2'!$G91=LEER,  #N/A,  'i2'!$G91  ),   #N/A  )</f>
        <v>1.5E-3</v>
      </c>
      <c r="M91" s="27">
        <f xml:space="preserve"> IF( $E92,   IF( 'i3'!$G91=LEER,  #N/A,  'i3'!$G91  ),   #N/A  )</f>
        <v>1.5E-3</v>
      </c>
      <c r="N91" s="158"/>
      <c r="O91" s="158"/>
      <c r="Q91" s="28">
        <f t="shared" si="56"/>
        <v>4.8548670316859583</v>
      </c>
      <c r="R91" s="28">
        <f t="shared" si="57"/>
        <v>4.8548670316859583</v>
      </c>
      <c r="S91" s="28">
        <f t="shared" si="58"/>
        <v>4.8548670316859583</v>
      </c>
      <c r="U91" s="76">
        <f xml:space="preserve"> IF( $C90,   SUM('i1'!$R91),   #N/A  )</f>
        <v>191038</v>
      </c>
      <c r="V91" s="76">
        <f xml:space="preserve"> IF( $C90,   SUM('i2'!$R91),   #N/A  )</f>
        <v>191038</v>
      </c>
      <c r="W91" s="76">
        <f xml:space="preserve"> IF( $C90,   SUM('i3'!$R91),   #N/A  )</f>
        <v>191038</v>
      </c>
      <c r="Y91" s="33"/>
      <c r="Z91" s="22">
        <f xml:space="preserve"> IF( $C91,   IF( 'i1'!$J91=LEER,  #N/A,  'i1'!$J91  ),   #N/A  )</f>
        <v>5.5049999999999999</v>
      </c>
      <c r="AA91" s="22">
        <f xml:space="preserve"> IF( $D91,   IF( 'i2'!$J91=LEER,  #N/A,  'i2'!$J91  ),   #N/A  )</f>
        <v>5.5049999999999999</v>
      </c>
      <c r="AB91" s="22">
        <f xml:space="preserve"> IF( $E91,   IF( 'i3'!$J91=LEER,  #N/A,  'i3'!$J91  ),   #N/A  )</f>
        <v>5.5049999999999999</v>
      </c>
      <c r="AC91" s="75"/>
      <c r="AD91" s="26">
        <f t="shared" si="46"/>
        <v>11438.23395</v>
      </c>
      <c r="AE91" s="26">
        <f t="shared" si="47"/>
        <v>11438.23395</v>
      </c>
      <c r="AF91" s="26">
        <f t="shared" si="48"/>
        <v>11438.23395</v>
      </c>
      <c r="AG91" s="23"/>
      <c r="AH91" s="24">
        <f xml:space="preserve">    IF(  'i1'!$AK91=LEER,  #N/A,  ROUND( 'i1'!$AK91, AH$15 )  )</f>
        <v>1105.3699999999999</v>
      </c>
      <c r="AI91" s="24">
        <f xml:space="preserve">    IF(  'i2'!$AK91=LEER,  #N/A,  ROUND( 'i2'!$AK91, AI$15 )  )</f>
        <v>1105.3699999999999</v>
      </c>
      <c r="AJ91" s="24">
        <f xml:space="preserve">    IF(  'i3'!$AK91=LEER,  #N/A,  ROUND( 'i3'!$AK91, AJ$15 )  )</f>
        <v>1105.3699999999999</v>
      </c>
      <c r="AL91" s="102">
        <f t="shared" si="49"/>
        <v>1105.3699999999999</v>
      </c>
      <c r="AO91" s="24">
        <f xml:space="preserve">    IF( 'i1'!$AN91=LEER,  #N/A,  'i1'!$AN91  )</f>
        <v>37436.620000000003</v>
      </c>
      <c r="AP91" s="24">
        <f xml:space="preserve">    IF( 'i2'!$AN91=LEER,  #N/A,  'i2'!$AN91  )</f>
        <v>37436.620000000003</v>
      </c>
      <c r="AQ91" s="24">
        <f xml:space="preserve">    IF( 'i3'!$AN91=LEER,  #N/A,  'i3'!$AN91  )</f>
        <v>37436.620000000003</v>
      </c>
      <c r="AS91" s="24">
        <f xml:space="preserve">    IF( 'i1'!$AO91=LEER,  #N/A,  'i1'!$AO91  )</f>
        <v>37209.17</v>
      </c>
      <c r="AT91" s="24">
        <f xml:space="preserve">    IF( 'i2'!$AO91=LEER,  #N/A,  'i2'!$AO91  )</f>
        <v>37209.17</v>
      </c>
      <c r="AU91" s="24">
        <f xml:space="preserve">    IF( 'i3'!$AO91=LEER,  #N/A,  'i3'!$AO91  )</f>
        <v>37209.17</v>
      </c>
      <c r="AW91" s="28">
        <f t="shared" si="59"/>
        <v>18.017499999999998</v>
      </c>
      <c r="AX91" s="28">
        <f t="shared" si="50"/>
        <v>18.017499999999998</v>
      </c>
      <c r="AY91" s="28">
        <f t="shared" si="51"/>
        <v>18.017499999999998</v>
      </c>
      <c r="BA91" s="28">
        <f t="shared" si="52"/>
        <v>17.908100000000001</v>
      </c>
      <c r="BB91" s="28">
        <f t="shared" si="53"/>
        <v>17.908100000000001</v>
      </c>
      <c r="BC91" s="28">
        <f t="shared" si="54"/>
        <v>17.908100000000001</v>
      </c>
      <c r="BG91" s="24">
        <f xml:space="preserve">    IF( 'i1'!BT91=LEER,  #N/A,  'i1'!BT91  )</f>
        <v>-7585.24</v>
      </c>
      <c r="BH91" s="24">
        <f xml:space="preserve">    IF( 'i1'!BR91=LEER,  #N/A,  'i1'!BR91  )</f>
        <v>39835.919999999998</v>
      </c>
      <c r="BI91" s="111">
        <f t="shared" si="55"/>
        <v>32250.68</v>
      </c>
      <c r="BJ91" s="24">
        <f xml:space="preserve">    IF( 'i1'!BX91=LEER,  #N/A,  'i1'!BX91  )</f>
        <v>5185.9400000000023</v>
      </c>
      <c r="BL91" s="24">
        <f xml:space="preserve">    IF( 'i1'!CB91=LEER,  #N/A,  'i1'!CB91  )</f>
        <v>-7775.45</v>
      </c>
      <c r="BM91" s="24">
        <f xml:space="preserve">    IF( 'i1'!CC91=LEER,  #N/A,  'i1'!CC91  )</f>
        <v>935.92</v>
      </c>
      <c r="BN91" s="24">
        <f xml:space="preserve">    IF( 'i1'!CD91=LEER,  #N/A,  'i1'!CD91  )</f>
        <v>4596.2700000000004</v>
      </c>
      <c r="BO91" s="24">
        <f xml:space="preserve">    IF( 'i1'!CE91=LEER,  #N/A,  'i1'!CE91  )</f>
        <v>-2243.2599999999993</v>
      </c>
      <c r="BQ91" s="24">
        <f xml:space="preserve">    IF( 'i1'!CI91=LEER,  #N/A,  'i1'!CI91  )</f>
        <v>11438.23</v>
      </c>
      <c r="BR91" s="24">
        <f xml:space="preserve">    IF( 'i1'!CJ91=LEER,  #N/A,  'i1'!CJ91  )</f>
        <v>-3101.48</v>
      </c>
      <c r="BS91" s="24">
        <f xml:space="preserve">    IF( 'i1'!CK91=LEER,  #N/A,  'i1'!CK91  )</f>
        <v>-4484.17</v>
      </c>
      <c r="BT91" s="38">
        <f xml:space="preserve">    IF( 'i1'!CH91=LEER,  #N/A,  'i1'!CH91  )</f>
        <v>3852.4304390000002</v>
      </c>
      <c r="BV91" s="24">
        <f xml:space="preserve">    IF( 'i1'!CO91=LEER,  #N/A,  'i1'!CO91  )</f>
        <v>11438.23</v>
      </c>
      <c r="BW91" s="24">
        <f xml:space="preserve">    IF( 'i1'!CP91=LEER,  #N/A,  'i1'!CP91  )</f>
        <v>-3082.58</v>
      </c>
      <c r="BX91" s="24">
        <f xml:space="preserve">    IF( 'i1'!CQ91=LEER,  #N/A,  'i1'!CQ91  )</f>
        <v>-4456.93</v>
      </c>
      <c r="BY91" s="38">
        <f xml:space="preserve">    IF( 'i1'!CN91=LEER,  #N/A,  'i1'!CN91  )</f>
        <v>3898.5573770000001</v>
      </c>
      <c r="CD91" s="113" t="e">
        <f xml:space="preserve"> IF(  AND( $A91&lt;&gt;$CD$14, OR( 'i1'!EO91=LEER, 'i1'!EM91&lt;&gt;LEER ) ), #N/A, 'i1'!EO91 )</f>
        <v>#N/A</v>
      </c>
      <c r="CE91" s="113">
        <f xml:space="preserve"> IF(   'i1'!EM91=LEER, #N/A,  'i1'!EM91 )</f>
        <v>10031.01</v>
      </c>
      <c r="CF91" s="114">
        <f xml:space="preserve"> IF(   'i1'!EL91=LEER, #N/A, 'i1'!EL91 + 'i1'!EM91 )</f>
        <v>37210.980000000003</v>
      </c>
      <c r="CW91" s="104">
        <f xml:space="preserve"> 'i1'!FN91</f>
        <v>91</v>
      </c>
      <c r="CX91" s="106">
        <f xml:space="preserve"> IF(  INDEX( 'i1'!$FS91:$JO91, CX$13 ) = LEER,  #N/A,  INDEX( 'i1'!$FS91:$JO91, CX$13 )  )</f>
        <v>44134.02</v>
      </c>
      <c r="CY91" s="106">
        <f xml:space="preserve"> IF(  INDEX( 'i1'!$FS91:$JO91, CY$13 ) = LEER,  #N/A,  INDEX( 'i1'!$FS91:$JO91, CY$13 )  )</f>
        <v>42014.25</v>
      </c>
      <c r="CZ91" s="106">
        <f xml:space="preserve"> IF(  INDEX( 'i1'!$FS91:$JO91, CZ$13 ) = LEER,  #N/A,  INDEX( 'i1'!$FS91:$JO91, CZ$13 )  )</f>
        <v>39723.39</v>
      </c>
      <c r="DA91" s="106">
        <f xml:space="preserve"> IF(  INDEX( 'i1'!$FS91:$JO91, DA$13 ) = LEER,  #N/A,  INDEX( 'i1'!$FS91:$JO91, DA$13 )  )</f>
        <v>37209.17</v>
      </c>
      <c r="DB91" s="106">
        <f xml:space="preserve"> IF(  INDEX( 'i1'!$FS91:$JO91, DB$13 ) = LEER,  #N/A,  INDEX( 'i1'!$FS91:$JO91, DB$13 )  )</f>
        <v>34394.769999999997</v>
      </c>
      <c r="DC91" s="106">
        <f xml:space="preserve"> IF(  INDEX( 'i1'!$FS91:$JO91, DC$13 ) = LEER,  #N/A,  INDEX( 'i1'!$FS91:$JO91, DC$13 )  )</f>
        <v>31070.14</v>
      </c>
      <c r="DD91" s="106">
        <f xml:space="preserve"> IF(  INDEX( 'i1'!$FS91:$JO91, DD$13 ) = LEER,  #N/A,  INDEX( 'i1'!$FS91:$JO91, DD$13 )  )</f>
        <v>27179.97</v>
      </c>
      <c r="DE91" s="106">
        <f xml:space="preserve"> IF(  INDEX( 'i1'!$FS91:$JO91, DE$13 ) = LEER,  #N/A,  INDEX( 'i1'!$FS91:$JO91, DE$13 )  )</f>
        <v>22886.14</v>
      </c>
      <c r="DF91" s="106">
        <f xml:space="preserve"> IF(  INDEX( 'i1'!$FS91:$JO91, DF$13 ) = LEER,  #N/A,  INDEX( 'i1'!$FS91:$JO91, DF$13 )  )</f>
        <v>18313.63</v>
      </c>
      <c r="DG91" s="106">
        <f xml:space="preserve"> IF(  INDEX( 'i1'!$FS91:$JO91, DG$13 ) = LEER,  #N/A,  INDEX( 'i1'!$FS91:$JO91, DG$13 )  )</f>
        <v>13467.57</v>
      </c>
      <c r="DH91" s="106">
        <f xml:space="preserve"> IF(  INDEX( 'i1'!$FS91:$JO91, DH$13 ) = LEER,  #N/A,  INDEX( 'i1'!$FS91:$JO91, DH$13 )  )</f>
        <v>8784.4</v>
      </c>
      <c r="DI91" s="106">
        <f xml:space="preserve"> IF(  INDEX( 'i1'!$FS91:$JO91, DI$13 ) = LEER,  #N/A,  INDEX( 'i1'!$FS91:$JO91, DI$13 )  )</f>
        <v>4929.07</v>
      </c>
      <c r="DJ91" s="106">
        <f xml:space="preserve"> IF(  INDEX( 'i1'!$FS91:$JO91, DJ$13 ) = LEER,  #N/A,  INDEX( 'i1'!$FS91:$JO91, DJ$13 )  )</f>
        <v>1683.34</v>
      </c>
      <c r="DK91" s="106">
        <f xml:space="preserve"> IF(  INDEX( 'i1'!$FS91:$JO91, DK$13 ) = LEER,  #N/A,  INDEX( 'i1'!$FS91:$JO91, DK$13 )  )</f>
        <v>183.41</v>
      </c>
      <c r="DL91" s="106">
        <f xml:space="preserve"> IF(  INDEX( 'i1'!$FS91:$JO91, DL$13 ) = LEER,  #N/A,  INDEX( 'i1'!$FS91:$JO91, DL$13 )  )</f>
        <v>6.17</v>
      </c>
      <c r="DM91" s="106" t="e">
        <f xml:space="preserve"> IF(  INDEX( 'i1'!$FS91:$JO91, DM$13 ) = LEER,  #N/A,  INDEX( 'i1'!$FS91:$JO91, DM$13 )  )</f>
        <v>#N/A</v>
      </c>
      <c r="DN91" s="106" t="e">
        <f xml:space="preserve"> IF(  INDEX( 'i1'!$FS91:$JO91, DN$13 ) = LEER,  #N/A,  INDEX( 'i1'!$FS91:$JO91, DN$13 )  )</f>
        <v>#N/A</v>
      </c>
    </row>
    <row r="92" spans="1:118" x14ac:dyDescent="0.2">
      <c r="A92" s="15">
        <f xml:space="preserve"> Basis!A92</f>
        <v>92</v>
      </c>
      <c r="C92" s="24" t="b">
        <f xml:space="preserve"> 'i1'!$O92</f>
        <v>1</v>
      </c>
      <c r="D92" s="24" t="b">
        <f xml:space="preserve"> 'i2'!$O92</f>
        <v>1</v>
      </c>
      <c r="E92" s="24" t="b">
        <f xml:space="preserve"> 'i3'!$O92</f>
        <v>1</v>
      </c>
      <c r="G92" s="27">
        <f xml:space="preserve"> IF( $C93,   IF( 'i1'!$P92=LEER,  #N/A,  'i1'!$P92  ),   #N/A  )</f>
        <v>0.14649999999999999</v>
      </c>
      <c r="H92" s="27">
        <f xml:space="preserve"> IF( $D93,   IF( 'i2'!$P92=LEER,  #N/A,  'i2'!$P92  ),   #N/A  )</f>
        <v>0.14649999999999999</v>
      </c>
      <c r="I92" s="27">
        <f xml:space="preserve"> IF( $E93,   IF( 'i3'!$P92=LEER,  #N/A,  'i3'!$P92  ),   #N/A  )</f>
        <v>0.14649999999999999</v>
      </c>
      <c r="J92" s="158"/>
      <c r="K92" s="27">
        <f xml:space="preserve"> IF( $C93,   IF( 'i1'!$G92=LEER,  #N/A,  'i1'!$G92  ),   #N/A  )</f>
        <v>1.4E-3</v>
      </c>
      <c r="L92" s="27">
        <f xml:space="preserve"> IF( $D93,   IF( 'i2'!$G92=LEER,  #N/A,  'i2'!$G92  ),   #N/A  )</f>
        <v>1.4E-3</v>
      </c>
      <c r="M92" s="27">
        <f xml:space="preserve"> IF( $E93,   IF( 'i3'!$G92=LEER,  #N/A,  'i3'!$G92  ),   #N/A  )</f>
        <v>1.4E-3</v>
      </c>
      <c r="N92" s="158"/>
      <c r="O92" s="158"/>
      <c r="Q92" s="28">
        <f t="shared" si="56"/>
        <v>4.509048805711938</v>
      </c>
      <c r="R92" s="28">
        <f t="shared" si="57"/>
        <v>4.509048805711938</v>
      </c>
      <c r="S92" s="28">
        <f t="shared" si="58"/>
        <v>4.509048805711938</v>
      </c>
      <c r="U92" s="76">
        <f xml:space="preserve"> IF( $C91,   SUM('i1'!$R92),   #N/A  )</f>
        <v>166088</v>
      </c>
      <c r="V92" s="76">
        <f xml:space="preserve"> IF( $C91,   SUM('i2'!$R92),   #N/A  )</f>
        <v>166088</v>
      </c>
      <c r="W92" s="76">
        <f xml:space="preserve"> IF( $C91,   SUM('i3'!$R92),   #N/A  )</f>
        <v>166088</v>
      </c>
      <c r="Y92" s="33"/>
      <c r="Z92" s="22">
        <f xml:space="preserve"> IF( $C92,   IF( 'i1'!$J92=LEER,  #N/A,  'i1'!$J92  ),   #N/A  )</f>
        <v>5.5049999999999999</v>
      </c>
      <c r="AA92" s="22">
        <f xml:space="preserve"> IF( $D92,   IF( 'i2'!$J92=LEER,  #N/A,  'i2'!$J92  ),   #N/A  )</f>
        <v>5.5049999999999999</v>
      </c>
      <c r="AB92" s="22">
        <f xml:space="preserve"> IF( $E92,   IF( 'i3'!$J92=LEER,  #N/A,  'i3'!$J92  ),   #N/A  )</f>
        <v>5.5049999999999999</v>
      </c>
      <c r="AC92" s="75"/>
      <c r="AD92" s="26">
        <f t="shared" si="46"/>
        <v>11438.23395</v>
      </c>
      <c r="AE92" s="26">
        <f t="shared" si="47"/>
        <v>11438.23395</v>
      </c>
      <c r="AF92" s="26">
        <f t="shared" si="48"/>
        <v>11438.23395</v>
      </c>
      <c r="AG92" s="23"/>
      <c r="AH92" s="24">
        <f xml:space="preserve">    IF(  'i1'!$AK92=LEER,  #N/A,  ROUND( 'i1'!$AK92, AH$15 )  )</f>
        <v>1105.52</v>
      </c>
      <c r="AI92" s="24">
        <f xml:space="preserve">    IF(  'i2'!$AK92=LEER,  #N/A,  ROUND( 'i2'!$AK92, AI$15 )  )</f>
        <v>1105.52</v>
      </c>
      <c r="AJ92" s="24">
        <f xml:space="preserve">    IF(  'i3'!$AK92=LEER,  #N/A,  ROUND( 'i3'!$AK92, AJ$15 )  )</f>
        <v>1105.52</v>
      </c>
      <c r="AL92" s="102">
        <f t="shared" si="49"/>
        <v>1105.52</v>
      </c>
      <c r="AO92" s="24">
        <f xml:space="preserve">    IF( 'i1'!$AN92=LEER,  #N/A,  'i1'!$AN92  )</f>
        <v>35193.519999999997</v>
      </c>
      <c r="AP92" s="24">
        <f xml:space="preserve">    IF( 'i2'!$AN92=LEER,  #N/A,  'i2'!$AN92  )</f>
        <v>35193.519999999997</v>
      </c>
      <c r="AQ92" s="24">
        <f xml:space="preserve">    IF( 'i3'!$AN92=LEER,  #N/A,  'i3'!$AN92  )</f>
        <v>35193.519999999997</v>
      </c>
      <c r="AS92" s="24">
        <f xml:space="preserve">    IF( 'i1'!$AO92=LEER,  #N/A,  'i1'!$AO92  )</f>
        <v>34979.75</v>
      </c>
      <c r="AT92" s="24">
        <f xml:space="preserve">    IF( 'i2'!$AO92=LEER,  #N/A,  'i2'!$AO92  )</f>
        <v>34979.75</v>
      </c>
      <c r="AU92" s="24">
        <f xml:space="preserve">    IF( 'i3'!$AO92=LEER,  #N/A,  'i3'!$AO92  )</f>
        <v>34979.75</v>
      </c>
      <c r="AW92" s="28">
        <f t="shared" si="59"/>
        <v>16.937999999999999</v>
      </c>
      <c r="AX92" s="28">
        <f t="shared" si="50"/>
        <v>16.937999999999999</v>
      </c>
      <c r="AY92" s="28">
        <f t="shared" si="51"/>
        <v>16.937999999999999</v>
      </c>
      <c r="BA92" s="28">
        <f t="shared" si="52"/>
        <v>16.835100000000001</v>
      </c>
      <c r="BB92" s="28">
        <f t="shared" si="53"/>
        <v>16.835100000000001</v>
      </c>
      <c r="BC92" s="28">
        <f t="shared" si="54"/>
        <v>16.835100000000001</v>
      </c>
      <c r="BG92" s="24">
        <f xml:space="preserve">    IF( 'i1'!BT92=LEER,  #N/A,  'i1'!BT92  )</f>
        <v>-7585.24</v>
      </c>
      <c r="BH92" s="24">
        <f xml:space="preserve">    IF( 'i1'!BR92=LEER,  #N/A,  'i1'!BR92  )</f>
        <v>37436.620000000003</v>
      </c>
      <c r="BI92" s="111">
        <f t="shared" si="55"/>
        <v>29851.380000000005</v>
      </c>
      <c r="BJ92" s="24">
        <f xml:space="preserve">    IF( 'i1'!BX92=LEER,  #N/A,  'i1'!BX92  )</f>
        <v>5342.1399999999921</v>
      </c>
      <c r="BL92" s="24">
        <f xml:space="preserve">    IF( 'i1'!CB92=LEER,  #N/A,  'i1'!CB92  )</f>
        <v>-7775.45</v>
      </c>
      <c r="BM92" s="24">
        <f xml:space="preserve">    IF( 'i1'!CC92=LEER,  #N/A,  'i1'!CC92  )</f>
        <v>879.84</v>
      </c>
      <c r="BN92" s="24">
        <f xml:space="preserve">    IF( 'i1'!CD92=LEER,  #N/A,  'i1'!CD92  )</f>
        <v>4857.22</v>
      </c>
      <c r="BO92" s="24">
        <f xml:space="preserve">    IF( 'i1'!CE92=LEER,  #N/A,  'i1'!CE92  )</f>
        <v>-2038.3899999999994</v>
      </c>
      <c r="BQ92" s="24">
        <f xml:space="preserve">    IF( 'i1'!CI92=LEER,  #N/A,  'i1'!CI92  )</f>
        <v>11438.23</v>
      </c>
      <c r="BR92" s="24">
        <f xml:space="preserve">    IF( 'i1'!CJ92=LEER,  #N/A,  'i1'!CJ92  )</f>
        <v>-2847.07</v>
      </c>
      <c r="BS92" s="24">
        <f xml:space="preserve">    IF( 'i1'!CK92=LEER,  #N/A,  'i1'!CK92  )</f>
        <v>-4738.75</v>
      </c>
      <c r="BT92" s="38">
        <f xml:space="preserve">    IF( 'i1'!CH92=LEER,  #N/A,  'i1'!CH92  )</f>
        <v>3852.4304390000002</v>
      </c>
      <c r="BV92" s="24">
        <f xml:space="preserve">    IF( 'i1'!CO92=LEER,  #N/A,  'i1'!CO92  )</f>
        <v>11438.23</v>
      </c>
      <c r="BW92" s="24">
        <f xml:space="preserve">    IF( 'i1'!CP92=LEER,  #N/A,  'i1'!CP92  )</f>
        <v>-2829.72</v>
      </c>
      <c r="BX92" s="24">
        <f xml:space="preserve">    IF( 'i1'!CQ92=LEER,  #N/A,  'i1'!CQ92  )</f>
        <v>-4709.9799999999996</v>
      </c>
      <c r="BY92" s="38">
        <f xml:space="preserve">    IF( 'i1'!CN92=LEER,  #N/A,  'i1'!CN92  )</f>
        <v>3898.5573770000001</v>
      </c>
      <c r="CD92" s="113" t="e">
        <f xml:space="preserve"> IF(  AND( $A92&lt;&gt;$CD$14, OR( 'i1'!EO92=LEER, 'i1'!EM92&lt;&gt;LEER ) ), #N/A, 'i1'!EO92 )</f>
        <v>#N/A</v>
      </c>
      <c r="CE92" s="113">
        <f xml:space="preserve"> IF(   'i1'!EM92=LEER, #N/A,  'i1'!EM92 )</f>
        <v>9427.84</v>
      </c>
      <c r="CF92" s="114">
        <f xml:space="preserve"> IF(   'i1'!EL92=LEER, #N/A, 'i1'!EL92 + 'i1'!EM92 )</f>
        <v>34981.46</v>
      </c>
      <c r="CW92" s="104">
        <f xml:space="preserve"> 'i1'!FN92</f>
        <v>92</v>
      </c>
      <c r="CX92" s="106">
        <f xml:space="preserve"> IF(  INDEX( 'i1'!$FS92:$JO92, CX$13 ) = LEER,  #N/A,  INDEX( 'i1'!$FS92:$JO92, CX$13 )  )</f>
        <v>41488.199999999997</v>
      </c>
      <c r="CY92" s="106">
        <f xml:space="preserve"> IF(  INDEX( 'i1'!$FS92:$JO92, CY$13 ) = LEER,  #N/A,  INDEX( 'i1'!$FS92:$JO92, CY$13 )  )</f>
        <v>39495.9</v>
      </c>
      <c r="CZ92" s="106">
        <f xml:space="preserve"> IF(  INDEX( 'i1'!$FS92:$JO92, CZ$13 ) = LEER,  #N/A,  INDEX( 'i1'!$FS92:$JO92, CZ$13 )  )</f>
        <v>37342.78</v>
      </c>
      <c r="DA92" s="106">
        <f xml:space="preserve"> IF(  INDEX( 'i1'!$FS92:$JO92, DA$13 ) = LEER,  #N/A,  INDEX( 'i1'!$FS92:$JO92, DA$13 )  )</f>
        <v>34979.75</v>
      </c>
      <c r="DB92" s="106">
        <f xml:space="preserve"> IF(  INDEX( 'i1'!$FS92:$JO92, DB$13 ) = LEER,  #N/A,  INDEX( 'i1'!$FS92:$JO92, DB$13 )  )</f>
        <v>32334.58</v>
      </c>
      <c r="DC92" s="106">
        <f xml:space="preserve"> IF(  INDEX( 'i1'!$FS92:$JO92, DC$13 ) = LEER,  #N/A,  INDEX( 'i1'!$FS92:$JO92, DC$13 )  )</f>
        <v>29209.87</v>
      </c>
      <c r="DD92" s="106">
        <f xml:space="preserve"> IF(  INDEX( 'i1'!$FS92:$JO92, DD$13 ) = LEER,  #N/A,  INDEX( 'i1'!$FS92:$JO92, DD$13 )  )</f>
        <v>25553.62</v>
      </c>
      <c r="DE92" s="106">
        <f xml:space="preserve"> IF(  INDEX( 'i1'!$FS92:$JO92, DE$13 ) = LEER,  #N/A,  INDEX( 'i1'!$FS92:$JO92, DE$13 )  )</f>
        <v>21517.98</v>
      </c>
      <c r="DF92" s="106">
        <f xml:space="preserve"> IF(  INDEX( 'i1'!$FS92:$JO92, DF$13 ) = LEER,  #N/A,  INDEX( 'i1'!$FS92:$JO92, DF$13 )  )</f>
        <v>17220.41</v>
      </c>
      <c r="DG92" s="106">
        <f xml:space="preserve"> IF(  INDEX( 'i1'!$FS92:$JO92, DG$13 ) = LEER,  #N/A,  INDEX( 'i1'!$FS92:$JO92, DG$13 )  )</f>
        <v>12665.75</v>
      </c>
      <c r="DH92" s="106">
        <f xml:space="preserve"> IF(  INDEX( 'i1'!$FS92:$JO92, DH$13 ) = LEER,  #N/A,  INDEX( 'i1'!$FS92:$JO92, DH$13 )  )</f>
        <v>8264.19</v>
      </c>
      <c r="DI92" s="106">
        <f xml:space="preserve"> IF(  INDEX( 'i1'!$FS92:$JO92, DI$13 ) = LEER,  #N/A,  INDEX( 'i1'!$FS92:$JO92, DI$13 )  )</f>
        <v>4640.68</v>
      </c>
      <c r="DJ92" s="106">
        <f xml:space="preserve"> IF(  INDEX( 'i1'!$FS92:$JO92, DJ$13 ) = LEER,  #N/A,  INDEX( 'i1'!$FS92:$JO92, DJ$13 )  )</f>
        <v>1590.12</v>
      </c>
      <c r="DK92" s="106">
        <f xml:space="preserve"> IF(  INDEX( 'i1'!$FS92:$JO92, DK$13 ) = LEER,  #N/A,  INDEX( 'i1'!$FS92:$JO92, DK$13 )  )</f>
        <v>180.39</v>
      </c>
      <c r="DL92" s="106">
        <f xml:space="preserve"> IF(  INDEX( 'i1'!$FS92:$JO92, DL$13 ) = LEER,  #N/A,  INDEX( 'i1'!$FS92:$JO92, DL$13 )  )</f>
        <v>13.8</v>
      </c>
      <c r="DM92" s="106" t="e">
        <f xml:space="preserve"> IF(  INDEX( 'i1'!$FS92:$JO92, DM$13 ) = LEER,  #N/A,  INDEX( 'i1'!$FS92:$JO92, DM$13 )  )</f>
        <v>#N/A</v>
      </c>
      <c r="DN92" s="106" t="e">
        <f xml:space="preserve"> IF(  INDEX( 'i1'!$FS92:$JO92, DN$13 ) = LEER,  #N/A,  INDEX( 'i1'!$FS92:$JO92, DN$13 )  )</f>
        <v>#N/A</v>
      </c>
    </row>
    <row r="93" spans="1:118" x14ac:dyDescent="0.2">
      <c r="A93" s="15">
        <f xml:space="preserve"> Basis!A93</f>
        <v>93</v>
      </c>
      <c r="C93" s="24" t="b">
        <f xml:space="preserve"> 'i1'!$O93</f>
        <v>1</v>
      </c>
      <c r="D93" s="24" t="b">
        <f xml:space="preserve"> 'i2'!$O93</f>
        <v>1</v>
      </c>
      <c r="E93" s="24" t="b">
        <f xml:space="preserve"> 'i3'!$O93</f>
        <v>1</v>
      </c>
      <c r="G93" s="27">
        <f xml:space="preserve"> IF( $C94,   IF( 'i1'!$P93=LEER,  #N/A,  'i1'!$P93  ),   #N/A  )</f>
        <v>0.1643</v>
      </c>
      <c r="H93" s="27">
        <f xml:space="preserve"> IF( $D94,   IF( 'i2'!$P93=LEER,  #N/A,  'i2'!$P93  ),   #N/A  )</f>
        <v>0.1643</v>
      </c>
      <c r="I93" s="27">
        <f xml:space="preserve"> IF( $E94,   IF( 'i3'!$P93=LEER,  #N/A,  'i3'!$P93  ),   #N/A  )</f>
        <v>0.1643</v>
      </c>
      <c r="J93" s="158"/>
      <c r="K93" s="27">
        <f xml:space="preserve"> IF( $C94,   IF( 'i1'!$G93=LEER,  #N/A,  'i1'!$G93  ),   #N/A  )</f>
        <v>1.4E-3</v>
      </c>
      <c r="L93" s="27">
        <f xml:space="preserve"> IF( $D94,   IF( 'i2'!$G93=LEER,  #N/A,  'i2'!$G93  ),   #N/A  )</f>
        <v>1.4E-3</v>
      </c>
      <c r="M93" s="27">
        <f xml:space="preserve"> IF( $E94,   IF( 'i3'!$G93=LEER,  #N/A,  'i3'!$G93  ),   #N/A  )</f>
        <v>1.4E-3</v>
      </c>
      <c r="N93" s="158"/>
      <c r="O93" s="158"/>
      <c r="Q93" s="28">
        <f t="shared" si="56"/>
        <v>4.1971866499261132</v>
      </c>
      <c r="R93" s="28">
        <f t="shared" si="57"/>
        <v>4.1971866499261132</v>
      </c>
      <c r="S93" s="28">
        <f t="shared" si="58"/>
        <v>4.1971866499261132</v>
      </c>
      <c r="U93" s="76">
        <f xml:space="preserve"> IF( $C92,   SUM('i1'!$R93),   #N/A  )</f>
        <v>141756</v>
      </c>
      <c r="V93" s="76">
        <f xml:space="preserve"> IF( $C92,   SUM('i2'!$R93),   #N/A  )</f>
        <v>141756</v>
      </c>
      <c r="W93" s="76">
        <f xml:space="preserve"> IF( $C92,   SUM('i3'!$R93),   #N/A  )</f>
        <v>141756</v>
      </c>
      <c r="Y93" s="33"/>
      <c r="Z93" s="22">
        <f xml:space="preserve"> IF( $C93,   IF( 'i1'!$J93=LEER,  #N/A,  'i1'!$J93  ),   #N/A  )</f>
        <v>5.5049999999999999</v>
      </c>
      <c r="AA93" s="22">
        <f xml:space="preserve"> IF( $D93,   IF( 'i2'!$J93=LEER,  #N/A,  'i2'!$J93  ),   #N/A  )</f>
        <v>5.5049999999999999</v>
      </c>
      <c r="AB93" s="22">
        <f xml:space="preserve"> IF( $E93,   IF( 'i3'!$J93=LEER,  #N/A,  'i3'!$J93  ),   #N/A  )</f>
        <v>5.5049999999999999</v>
      </c>
      <c r="AC93" s="75"/>
      <c r="AD93" s="26">
        <f t="shared" si="46"/>
        <v>11438.23395</v>
      </c>
      <c r="AE93" s="26">
        <f t="shared" si="47"/>
        <v>11438.23395</v>
      </c>
      <c r="AF93" s="26">
        <f t="shared" si="48"/>
        <v>11438.23395</v>
      </c>
      <c r="AG93" s="23"/>
      <c r="AH93" s="24">
        <f xml:space="preserve">    IF(  'i1'!$AK93=LEER,  #N/A,  ROUND( 'i1'!$AK93, AH$15 )  )</f>
        <v>1105.73</v>
      </c>
      <c r="AI93" s="24">
        <f xml:space="preserve">    IF(  'i2'!$AK93=LEER,  #N/A,  ROUND( 'i2'!$AK93, AI$15 )  )</f>
        <v>1105.73</v>
      </c>
      <c r="AJ93" s="24">
        <f xml:space="preserve">    IF(  'i3'!$AK93=LEER,  #N/A,  ROUND( 'i3'!$AK93, AJ$15 )  )</f>
        <v>1105.73</v>
      </c>
      <c r="AL93" s="102">
        <f t="shared" si="49"/>
        <v>1105.73</v>
      </c>
      <c r="AO93" s="24">
        <f xml:space="preserve">    IF( 'i1'!$AN93=LEER,  #N/A,  'i1'!$AN93  )</f>
        <v>33155.11</v>
      </c>
      <c r="AP93" s="24">
        <f xml:space="preserve">    IF( 'i2'!$AN93=LEER,  #N/A,  'i2'!$AN93  )</f>
        <v>33155.11</v>
      </c>
      <c r="AQ93" s="24">
        <f xml:space="preserve">    IF( 'i3'!$AN93=LEER,  #N/A,  'i3'!$AN93  )</f>
        <v>33155.11</v>
      </c>
      <c r="AS93" s="24">
        <f xml:space="preserve">    IF( 'i1'!$AO93=LEER,  #N/A,  'i1'!$AO93  )</f>
        <v>32953.78</v>
      </c>
      <c r="AT93" s="24">
        <f xml:space="preserve">    IF( 'i2'!$AO93=LEER,  #N/A,  'i2'!$AO93  )</f>
        <v>32953.78</v>
      </c>
      <c r="AU93" s="24">
        <f xml:space="preserve">    IF( 'i3'!$AO93=LEER,  #N/A,  'i3'!$AO93  )</f>
        <v>32953.78</v>
      </c>
      <c r="AW93" s="28">
        <f t="shared" si="59"/>
        <v>15.956899999999999</v>
      </c>
      <c r="AX93" s="28">
        <f t="shared" si="50"/>
        <v>15.956899999999999</v>
      </c>
      <c r="AY93" s="28">
        <f t="shared" si="51"/>
        <v>15.956899999999999</v>
      </c>
      <c r="BA93" s="28">
        <f t="shared" si="52"/>
        <v>15.86</v>
      </c>
      <c r="BB93" s="28">
        <f t="shared" si="53"/>
        <v>15.86</v>
      </c>
      <c r="BC93" s="28">
        <f t="shared" si="54"/>
        <v>15.86</v>
      </c>
      <c r="BG93" s="24">
        <f xml:space="preserve">    IF( 'i1'!BT93=LEER,  #N/A,  'i1'!BT93  )</f>
        <v>-7585.24</v>
      </c>
      <c r="BH93" s="24">
        <f xml:space="preserve">    IF( 'i1'!BR93=LEER,  #N/A,  'i1'!BR93  )</f>
        <v>35193.519999999997</v>
      </c>
      <c r="BI93" s="111">
        <f t="shared" si="55"/>
        <v>27608.28</v>
      </c>
      <c r="BJ93" s="24">
        <f xml:space="preserve">    IF( 'i1'!BX93=LEER,  #N/A,  'i1'!BX93  )</f>
        <v>5546.8300000000017</v>
      </c>
      <c r="BL93" s="24">
        <f xml:space="preserve">    IF( 'i1'!CB93=LEER,  #N/A,  'i1'!CB93  )</f>
        <v>-7775.45</v>
      </c>
      <c r="BM93" s="24">
        <f xml:space="preserve">    IF( 'i1'!CC93=LEER,  #N/A,  'i1'!CC93  )</f>
        <v>828.88</v>
      </c>
      <c r="BN93" s="24">
        <f xml:space="preserve">    IF( 'i1'!CD93=LEER,  #N/A,  'i1'!CD93  )</f>
        <v>5152.67</v>
      </c>
      <c r="BO93" s="24">
        <f xml:space="preserve">    IF( 'i1'!CE93=LEER,  #N/A,  'i1'!CE93  )</f>
        <v>-1793.8999999999996</v>
      </c>
      <c r="BQ93" s="24">
        <f xml:space="preserve">    IF( 'i1'!CI93=LEER,  #N/A,  'i1'!CI93  )</f>
        <v>11438.23</v>
      </c>
      <c r="BR93" s="24">
        <f xml:space="preserve">    IF( 'i1'!CJ93=LEER,  #N/A,  'i1'!CJ93  )</f>
        <v>-2558.66</v>
      </c>
      <c r="BS93" s="24">
        <f xml:space="preserve">    IF( 'i1'!CK93=LEER,  #N/A,  'i1'!CK93  )</f>
        <v>-5027</v>
      </c>
      <c r="BT93" s="38">
        <f xml:space="preserve">    IF( 'i1'!CH93=LEER,  #N/A,  'i1'!CH93  )</f>
        <v>3852.4304390000002</v>
      </c>
      <c r="BV93" s="24">
        <f xml:space="preserve">    IF( 'i1'!CO93=LEER,  #N/A,  'i1'!CO93  )</f>
        <v>11438.23</v>
      </c>
      <c r="BW93" s="24">
        <f xml:space="preserve">    IF( 'i1'!CP93=LEER,  #N/A,  'i1'!CP93  )</f>
        <v>-2543.0500000000002</v>
      </c>
      <c r="BX93" s="24">
        <f xml:space="preserve">    IF( 'i1'!CQ93=LEER,  #N/A,  'i1'!CQ93  )</f>
        <v>-4996.4799999999996</v>
      </c>
      <c r="BY93" s="38">
        <f xml:space="preserve">    IF( 'i1'!CN93=LEER,  #N/A,  'i1'!CN93  )</f>
        <v>3898.5573770000001</v>
      </c>
      <c r="CD93" s="113" t="e">
        <f xml:space="preserve"> IF(  AND( $A93&lt;&gt;$CD$14, OR( 'i1'!EO93=LEER, 'i1'!EM93&lt;&gt;LEER ) ), #N/A, 'i1'!EO93 )</f>
        <v>#N/A</v>
      </c>
      <c r="CE93" s="113">
        <f xml:space="preserve"> IF(   'i1'!EM93=LEER, #N/A,  'i1'!EM93 )</f>
        <v>8879.18</v>
      </c>
      <c r="CF93" s="114">
        <f xml:space="preserve"> IF(   'i1'!EL93=LEER, #N/A, 'i1'!EL93 + 'i1'!EM93 )</f>
        <v>32955.380000000005</v>
      </c>
      <c r="CW93" s="104">
        <f xml:space="preserve"> 'i1'!FN93</f>
        <v>93</v>
      </c>
      <c r="CX93" s="106">
        <f xml:space="preserve"> IF(  INDEX( 'i1'!$FS93:$JO93, CX$13 ) = LEER,  #N/A,  INDEX( 'i1'!$FS93:$JO93, CX$13 )  )</f>
        <v>39083.47</v>
      </c>
      <c r="CY93" s="106">
        <f xml:space="preserve"> IF(  INDEX( 'i1'!$FS93:$JO93, CY$13 ) = LEER,  #N/A,  INDEX( 'i1'!$FS93:$JO93, CY$13 )  )</f>
        <v>37207.11</v>
      </c>
      <c r="CZ93" s="106">
        <f xml:space="preserve"> IF(  INDEX( 'i1'!$FS93:$JO93, CZ$13 ) = LEER,  #N/A,  INDEX( 'i1'!$FS93:$JO93, CZ$13 )  )</f>
        <v>35179.29</v>
      </c>
      <c r="DA93" s="106">
        <f xml:space="preserve"> IF(  INDEX( 'i1'!$FS93:$JO93, DA$13 ) = LEER,  #N/A,  INDEX( 'i1'!$FS93:$JO93, DA$13 )  )</f>
        <v>32953.78</v>
      </c>
      <c r="DB93" s="106">
        <f xml:space="preserve"> IF(  INDEX( 'i1'!$FS93:$JO93, DB$13 ) = LEER,  #N/A,  INDEX( 'i1'!$FS93:$JO93, DB$13 )  )</f>
        <v>30462.54</v>
      </c>
      <c r="DC93" s="106">
        <f xml:space="preserve"> IF(  INDEX( 'i1'!$FS93:$JO93, DC$13 ) = LEER,  #N/A,  INDEX( 'i1'!$FS93:$JO93, DC$13 )  )</f>
        <v>27519.67</v>
      </c>
      <c r="DD93" s="106">
        <f xml:space="preserve"> IF(  INDEX( 'i1'!$FS93:$JO93, DD$13 ) = LEER,  #N/A,  INDEX( 'i1'!$FS93:$JO93, DD$13 )  )</f>
        <v>24076.2</v>
      </c>
      <c r="DE93" s="106">
        <f xml:space="preserve"> IF(  INDEX( 'i1'!$FS93:$JO93, DE$13 ) = LEER,  #N/A,  INDEX( 'i1'!$FS93:$JO93, DE$13 )  )</f>
        <v>20275.41</v>
      </c>
      <c r="DF93" s="106">
        <f xml:space="preserve"> IF(  INDEX( 'i1'!$FS93:$JO93, DF$13 ) = LEER,  #N/A,  INDEX( 'i1'!$FS93:$JO93, DF$13 )  )</f>
        <v>16227.95</v>
      </c>
      <c r="DG93" s="106">
        <f xml:space="preserve"> IF(  INDEX( 'i1'!$FS93:$JO93, DG$13 ) = LEER,  #N/A,  INDEX( 'i1'!$FS93:$JO93, DG$13 )  )</f>
        <v>11938.35</v>
      </c>
      <c r="DH93" s="106">
        <f xml:space="preserve"> IF(  INDEX( 'i1'!$FS93:$JO93, DH$13 ) = LEER,  #N/A,  INDEX( 'i1'!$FS93:$JO93, DH$13 )  )</f>
        <v>7792.94</v>
      </c>
      <c r="DI93" s="106">
        <f xml:space="preserve"> IF(  INDEX( 'i1'!$FS93:$JO93, DI$13 ) = LEER,  #N/A,  INDEX( 'i1'!$FS93:$JO93, DI$13 )  )</f>
        <v>4380.3</v>
      </c>
      <c r="DJ93" s="106">
        <f xml:space="preserve"> IF(  INDEX( 'i1'!$FS93:$JO93, DJ$13 ) = LEER,  #N/A,  INDEX( 'i1'!$FS93:$JO93, DJ$13 )  )</f>
        <v>1507.26</v>
      </c>
      <c r="DK93" s="106">
        <f xml:space="preserve"> IF(  INDEX( 'i1'!$FS93:$JO93, DK$13 ) = LEER,  #N/A,  INDEX( 'i1'!$FS93:$JO93, DK$13 )  )</f>
        <v>179.57</v>
      </c>
      <c r="DL93" s="106">
        <f xml:space="preserve"> IF(  INDEX( 'i1'!$FS93:$JO93, DL$13 ) = LEER,  #N/A,  INDEX( 'i1'!$FS93:$JO93, DL$13 )  )</f>
        <v>22.68</v>
      </c>
      <c r="DM93" s="106" t="e">
        <f xml:space="preserve"> IF(  INDEX( 'i1'!$FS93:$JO93, DM$13 ) = LEER,  #N/A,  INDEX( 'i1'!$FS93:$JO93, DM$13 )  )</f>
        <v>#N/A</v>
      </c>
      <c r="DN93" s="106" t="e">
        <f xml:space="preserve"> IF(  INDEX( 'i1'!$FS93:$JO93, DN$13 ) = LEER,  #N/A,  INDEX( 'i1'!$FS93:$JO93, DN$13 )  )</f>
        <v>#N/A</v>
      </c>
    </row>
    <row r="94" spans="1:118" x14ac:dyDescent="0.2">
      <c r="A94" s="15">
        <f xml:space="preserve"> Basis!A94</f>
        <v>94</v>
      </c>
      <c r="C94" s="24" t="b">
        <f xml:space="preserve"> 'i1'!$O94</f>
        <v>1</v>
      </c>
      <c r="D94" s="24" t="b">
        <f xml:space="preserve"> 'i2'!$O94</f>
        <v>1</v>
      </c>
      <c r="E94" s="24" t="b">
        <f xml:space="preserve"> 'i3'!$O94</f>
        <v>1</v>
      </c>
      <c r="G94" s="27">
        <f xml:space="preserve"> IF( $C95,   IF( 'i1'!$P94=LEER,  #N/A,  'i1'!$P94  ),   #N/A  )</f>
        <v>0.18149999999999999</v>
      </c>
      <c r="H94" s="27">
        <f xml:space="preserve"> IF( $D95,   IF( 'i2'!$P94=LEER,  #N/A,  'i2'!$P94  ),   #N/A  )</f>
        <v>0.18149999999999999</v>
      </c>
      <c r="I94" s="27">
        <f xml:space="preserve"> IF( $E95,   IF( 'i3'!$P94=LEER,  #N/A,  'i3'!$P94  ),   #N/A  )</f>
        <v>0.18149999999999999</v>
      </c>
      <c r="J94" s="158"/>
      <c r="K94" s="27">
        <f xml:space="preserve"> IF( $C95,   IF( 'i1'!$G94=LEER,  #N/A,  'i1'!$G94  ),   #N/A  )</f>
        <v>1.5E-3</v>
      </c>
      <c r="L94" s="27">
        <f xml:space="preserve"> IF( $D95,   IF( 'i2'!$G94=LEER,  #N/A,  'i2'!$G94  ),   #N/A  )</f>
        <v>1.5E-3</v>
      </c>
      <c r="M94" s="27">
        <f xml:space="preserve"> IF( $E95,   IF( 'i3'!$G94=LEER,  #N/A,  'i3'!$G94  ),   #N/A  )</f>
        <v>1.5E-3</v>
      </c>
      <c r="N94" s="158"/>
      <c r="O94" s="158"/>
      <c r="Q94" s="28">
        <f t="shared" si="56"/>
        <v>3.9240596505039038</v>
      </c>
      <c r="R94" s="28">
        <f t="shared" si="57"/>
        <v>3.9240596505039038</v>
      </c>
      <c r="S94" s="28">
        <f t="shared" si="58"/>
        <v>3.9240596505039038</v>
      </c>
      <c r="U94" s="76">
        <f xml:space="preserve"> IF( $C93,   SUM('i1'!$R94),   #N/A  )</f>
        <v>118465</v>
      </c>
      <c r="V94" s="76">
        <f xml:space="preserve"> IF( $C93,   SUM('i2'!$R94),   #N/A  )</f>
        <v>118465</v>
      </c>
      <c r="W94" s="76">
        <f xml:space="preserve"> IF( $C93,   SUM('i3'!$R94),   #N/A  )</f>
        <v>118465</v>
      </c>
      <c r="Y94" s="33"/>
      <c r="Z94" s="22">
        <f xml:space="preserve"> IF( $C94,   IF( 'i1'!$J94=LEER,  #N/A,  'i1'!$J94  ),   #N/A  )</f>
        <v>5.5049999999999999</v>
      </c>
      <c r="AA94" s="22">
        <f xml:space="preserve"> IF( $D94,   IF( 'i2'!$J94=LEER,  #N/A,  'i2'!$J94  ),   #N/A  )</f>
        <v>5.5049999999999999</v>
      </c>
      <c r="AB94" s="22">
        <f xml:space="preserve"> IF( $E94,   IF( 'i3'!$J94=LEER,  #N/A,  'i3'!$J94  ),   #N/A  )</f>
        <v>5.5049999999999999</v>
      </c>
      <c r="AC94" s="75"/>
      <c r="AD94" s="26">
        <f t="shared" si="46"/>
        <v>11438.23395</v>
      </c>
      <c r="AE94" s="26">
        <f t="shared" si="47"/>
        <v>11438.23395</v>
      </c>
      <c r="AF94" s="26">
        <f t="shared" si="48"/>
        <v>11438.23395</v>
      </c>
      <c r="AG94" s="23"/>
      <c r="AH94" s="24">
        <f xml:space="preserve">    IF(  'i1'!$AK94=LEER,  #N/A,  ROUND( 'i1'!$AK94, AH$15 )  )</f>
        <v>1106.01</v>
      </c>
      <c r="AI94" s="24">
        <f xml:space="preserve">    IF(  'i2'!$AK94=LEER,  #N/A,  ROUND( 'i2'!$AK94, AI$15 )  )</f>
        <v>1106.01</v>
      </c>
      <c r="AJ94" s="24">
        <f xml:space="preserve">    IF(  'i3'!$AK94=LEER,  #N/A,  ROUND( 'i3'!$AK94, AJ$15 )  )</f>
        <v>1106.01</v>
      </c>
      <c r="AL94" s="102">
        <f t="shared" si="49"/>
        <v>1106.01</v>
      </c>
      <c r="AO94" s="24">
        <f xml:space="preserve">    IF( 'i1'!$AN94=LEER,  #N/A,  'i1'!$AN94  )</f>
        <v>31361.360000000001</v>
      </c>
      <c r="AP94" s="24">
        <f xml:space="preserve">    IF( 'i2'!$AN94=LEER,  #N/A,  'i2'!$AN94  )</f>
        <v>31361.360000000001</v>
      </c>
      <c r="AQ94" s="24">
        <f xml:space="preserve">    IF( 'i3'!$AN94=LEER,  #N/A,  'i3'!$AN94  )</f>
        <v>31361.360000000001</v>
      </c>
      <c r="AS94" s="24">
        <f xml:space="preserve">    IF( 'i1'!$AO94=LEER,  #N/A,  'i1'!$AO94  )</f>
        <v>31171</v>
      </c>
      <c r="AT94" s="24">
        <f xml:space="preserve">    IF( 'i2'!$AO94=LEER,  #N/A,  'i2'!$AO94  )</f>
        <v>31171</v>
      </c>
      <c r="AU94" s="24">
        <f xml:space="preserve">    IF( 'i3'!$AO94=LEER,  #N/A,  'i3'!$AO94  )</f>
        <v>31171</v>
      </c>
      <c r="AW94" s="28">
        <f t="shared" si="59"/>
        <v>15.0936</v>
      </c>
      <c r="AX94" s="28">
        <f t="shared" si="50"/>
        <v>15.0936</v>
      </c>
      <c r="AY94" s="28">
        <f t="shared" si="51"/>
        <v>15.0936</v>
      </c>
      <c r="BA94" s="28">
        <f t="shared" si="52"/>
        <v>15.002000000000001</v>
      </c>
      <c r="BB94" s="28">
        <f t="shared" si="53"/>
        <v>15.002000000000001</v>
      </c>
      <c r="BC94" s="28">
        <f t="shared" si="54"/>
        <v>15.002000000000001</v>
      </c>
      <c r="BG94" s="24">
        <f xml:space="preserve">    IF( 'i1'!BT94=LEER,  #N/A,  'i1'!BT94  )</f>
        <v>-7585.24</v>
      </c>
      <c r="BH94" s="24">
        <f xml:space="preserve">    IF( 'i1'!BR94=LEER,  #N/A,  'i1'!BR94  )</f>
        <v>33155.11</v>
      </c>
      <c r="BI94" s="111">
        <f t="shared" si="55"/>
        <v>25569.870000000003</v>
      </c>
      <c r="BJ94" s="24">
        <f xml:space="preserve">    IF( 'i1'!BX94=LEER,  #N/A,  'i1'!BX94  )</f>
        <v>5791.489999999998</v>
      </c>
      <c r="BL94" s="24">
        <f xml:space="preserve">    IF( 'i1'!CB94=LEER,  #N/A,  'i1'!CB94  )</f>
        <v>-7775.45</v>
      </c>
      <c r="BM94" s="24">
        <f xml:space="preserve">    IF( 'i1'!CC94=LEER,  #N/A,  'i1'!CC94  )</f>
        <v>784.03</v>
      </c>
      <c r="BN94" s="24">
        <f xml:space="preserve">    IF( 'i1'!CD94=LEER,  #N/A,  'i1'!CD94  )</f>
        <v>5404.01</v>
      </c>
      <c r="BO94" s="24">
        <f xml:space="preserve">    IF( 'i1'!CE94=LEER,  #N/A,  'i1'!CE94  )</f>
        <v>-1587.4099999999999</v>
      </c>
      <c r="BQ94" s="24">
        <f xml:space="preserve">    IF( 'i1'!CI94=LEER,  #N/A,  'i1'!CI94  )</f>
        <v>11438.23</v>
      </c>
      <c r="BR94" s="24">
        <f xml:space="preserve">    IF( 'i1'!CJ94=LEER,  #N/A,  'i1'!CJ94  )</f>
        <v>-2313.42</v>
      </c>
      <c r="BS94" s="24">
        <f xml:space="preserve">    IF( 'i1'!CK94=LEER,  #N/A,  'i1'!CK94  )</f>
        <v>-5272.2</v>
      </c>
      <c r="BT94" s="38">
        <f xml:space="preserve">    IF( 'i1'!CH94=LEER,  #N/A,  'i1'!CH94  )</f>
        <v>3852.4304390000002</v>
      </c>
      <c r="BV94" s="24">
        <f xml:space="preserve">    IF( 'i1'!CO94=LEER,  #N/A,  'i1'!CO94  )</f>
        <v>11438.23</v>
      </c>
      <c r="BW94" s="24">
        <f xml:space="preserve">    IF( 'i1'!CP94=LEER,  #N/A,  'i1'!CP94  )</f>
        <v>-2299.27</v>
      </c>
      <c r="BX94" s="24">
        <f xml:space="preserve">    IF( 'i1'!CQ94=LEER,  #N/A,  'i1'!CQ94  )</f>
        <v>-5240.22</v>
      </c>
      <c r="BY94" s="38">
        <f xml:space="preserve">    IF( 'i1'!CN94=LEER,  #N/A,  'i1'!CN94  )</f>
        <v>3898.5573770000001</v>
      </c>
      <c r="CD94" s="113" t="e">
        <f xml:space="preserve"> IF(  AND( $A94&lt;&gt;$CD$14, OR( 'i1'!EO94=LEER, 'i1'!EM94&lt;&gt;LEER ) ), #N/A, 'i1'!EO94 )</f>
        <v>#N/A</v>
      </c>
      <c r="CE94" s="113">
        <f xml:space="preserve"> IF(   'i1'!EM94=LEER, #N/A,  'i1'!EM94 )</f>
        <v>8395.42</v>
      </c>
      <c r="CF94" s="114">
        <f xml:space="preserve"> IF(   'i1'!EL94=LEER, #N/A, 'i1'!EL94 + 'i1'!EM94 )</f>
        <v>31172.519999999997</v>
      </c>
      <c r="CW94" s="104">
        <f xml:space="preserve"> 'i1'!FN94</f>
        <v>94</v>
      </c>
      <c r="CX94" s="106">
        <f xml:space="preserve"> IF(  INDEX( 'i1'!$FS94:$JO94, CX$13 ) = LEER,  #N/A,  INDEX( 'i1'!$FS94:$JO94, CX$13 )  )</f>
        <v>36966.730000000003</v>
      </c>
      <c r="CY94" s="106">
        <f xml:space="preserve"> IF(  INDEX( 'i1'!$FS94:$JO94, CY$13 ) = LEER,  #N/A,  INDEX( 'i1'!$FS94:$JO94, CY$13 )  )</f>
        <v>35192.6</v>
      </c>
      <c r="CZ94" s="106">
        <f xml:space="preserve"> IF(  INDEX( 'i1'!$FS94:$JO94, CZ$13 ) = LEER,  #N/A,  INDEX( 'i1'!$FS94:$JO94, CZ$13 )  )</f>
        <v>33275.26</v>
      </c>
      <c r="DA94" s="106">
        <f xml:space="preserve"> IF(  INDEX( 'i1'!$FS94:$JO94, DA$13 ) = LEER,  #N/A,  INDEX( 'i1'!$FS94:$JO94, DA$13 )  )</f>
        <v>31171</v>
      </c>
      <c r="DB94" s="106">
        <f xml:space="preserve"> IF(  INDEX( 'i1'!$FS94:$JO94, DB$13 ) = LEER,  #N/A,  INDEX( 'i1'!$FS94:$JO94, DB$13 )  )</f>
        <v>28815.49</v>
      </c>
      <c r="DC94" s="106">
        <f xml:space="preserve"> IF(  INDEX( 'i1'!$FS94:$JO94, DC$13 ) = LEER,  #N/A,  INDEX( 'i1'!$FS94:$JO94, DC$13 )  )</f>
        <v>26032.959999999999</v>
      </c>
      <c r="DD94" s="106">
        <f xml:space="preserve"> IF(  INDEX( 'i1'!$FS94:$JO94, DD$13 ) = LEER,  #N/A,  INDEX( 'i1'!$FS94:$JO94, DD$13 )  )</f>
        <v>22777.1</v>
      </c>
      <c r="DE94" s="106">
        <f xml:space="preserve"> IF(  INDEX( 'i1'!$FS94:$JO94, DE$13 ) = LEER,  #N/A,  INDEX( 'i1'!$FS94:$JO94, DE$13 )  )</f>
        <v>19183.39</v>
      </c>
      <c r="DF94" s="106">
        <f xml:space="preserve"> IF(  INDEX( 'i1'!$FS94:$JO94, DF$13 ) = LEER,  #N/A,  INDEX( 'i1'!$FS94:$JO94, DF$13 )  )</f>
        <v>15356.44</v>
      </c>
      <c r="DG94" s="106">
        <f xml:space="preserve"> IF(  INDEX( 'i1'!$FS94:$JO94, DG$13 ) = LEER,  #N/A,  INDEX( 'i1'!$FS94:$JO94, DG$13 )  )</f>
        <v>11300.54</v>
      </c>
      <c r="DH94" s="106">
        <f xml:space="preserve"> IF(  INDEX( 'i1'!$FS94:$JO94, DH$13 ) = LEER,  #N/A,  INDEX( 'i1'!$FS94:$JO94, DH$13 )  )</f>
        <v>7380.99</v>
      </c>
      <c r="DI94" s="106">
        <f xml:space="preserve"> IF(  INDEX( 'i1'!$FS94:$JO94, DI$13 ) = LEER,  #N/A,  INDEX( 'i1'!$FS94:$JO94, DI$13 )  )</f>
        <v>4154.28</v>
      </c>
      <c r="DJ94" s="106">
        <f xml:space="preserve"> IF(  INDEX( 'i1'!$FS94:$JO94, DJ$13 ) = LEER,  #N/A,  INDEX( 'i1'!$FS94:$JO94, DJ$13 )  )</f>
        <v>1437.77</v>
      </c>
      <c r="DK94" s="106">
        <f xml:space="preserve"> IF(  INDEX( 'i1'!$FS94:$JO94, DK$13 ) = LEER,  #N/A,  INDEX( 'i1'!$FS94:$JO94, DK$13 )  )</f>
        <v>182.42</v>
      </c>
      <c r="DL94" s="106">
        <f xml:space="preserve"> IF(  INDEX( 'i1'!$FS94:$JO94, DL$13 ) = LEER,  #N/A,  INDEX( 'i1'!$FS94:$JO94, DL$13 )  )</f>
        <v>34.07</v>
      </c>
      <c r="DM94" s="106" t="e">
        <f xml:space="preserve"> IF(  INDEX( 'i1'!$FS94:$JO94, DM$13 ) = LEER,  #N/A,  INDEX( 'i1'!$FS94:$JO94, DM$13 )  )</f>
        <v>#N/A</v>
      </c>
      <c r="DN94" s="106" t="e">
        <f xml:space="preserve"> IF(  INDEX( 'i1'!$FS94:$JO94, DN$13 ) = LEER,  #N/A,  INDEX( 'i1'!$FS94:$JO94, DN$13 )  )</f>
        <v>#N/A</v>
      </c>
    </row>
    <row r="95" spans="1:118" x14ac:dyDescent="0.2">
      <c r="A95" s="15">
        <f xml:space="preserve"> Basis!A95</f>
        <v>95</v>
      </c>
      <c r="C95" s="24" t="b">
        <f xml:space="preserve"> 'i1'!$O95</f>
        <v>1</v>
      </c>
      <c r="D95" s="24" t="b">
        <f xml:space="preserve"> 'i2'!$O95</f>
        <v>1</v>
      </c>
      <c r="E95" s="24" t="b">
        <f xml:space="preserve"> 'i3'!$O95</f>
        <v>1</v>
      </c>
      <c r="G95" s="27">
        <f xml:space="preserve"> IF( $C96,   IF( 'i1'!$P95=LEER,  #N/A,  'i1'!$P95  ),   #N/A  )</f>
        <v>0.20069999999999999</v>
      </c>
      <c r="H95" s="27">
        <f xml:space="preserve"> IF( $D96,   IF( 'i2'!$P95=LEER,  #N/A,  'i2'!$P95  ),   #N/A  )</f>
        <v>0.20069999999999999</v>
      </c>
      <c r="I95" s="27">
        <f xml:space="preserve"> IF( $E96,   IF( 'i3'!$P95=LEER,  #N/A,  'i3'!$P95  ),   #N/A  )</f>
        <v>0.20069999999999999</v>
      </c>
      <c r="J95" s="158"/>
      <c r="K95" s="27">
        <f xml:space="preserve"> IF( $C96,   IF( 'i1'!$G95=LEER,  #N/A,  'i1'!$G95  ),   #N/A  )</f>
        <v>1.4E-3</v>
      </c>
      <c r="L95" s="27">
        <f xml:space="preserve"> IF( $D96,   IF( 'i2'!$G95=LEER,  #N/A,  'i2'!$G95  ),   #N/A  )</f>
        <v>1.4E-3</v>
      </c>
      <c r="M95" s="27">
        <f xml:space="preserve"> IF( $E96,   IF( 'i3'!$G95=LEER,  #N/A,  'i3'!$G95  ),   #N/A  )</f>
        <v>1.4E-3</v>
      </c>
      <c r="N95" s="158"/>
      <c r="O95" s="158"/>
      <c r="Q95" s="28">
        <f t="shared" si="56"/>
        <v>3.6833349425826563</v>
      </c>
      <c r="R95" s="28">
        <f t="shared" si="57"/>
        <v>3.6833349425826563</v>
      </c>
      <c r="S95" s="28">
        <f t="shared" si="58"/>
        <v>3.6833349425826563</v>
      </c>
      <c r="U95" s="76">
        <f xml:space="preserve"> IF( $C94,   SUM('i1'!$R95),   #N/A  )</f>
        <v>96963</v>
      </c>
      <c r="V95" s="76">
        <f xml:space="preserve"> IF( $C94,   SUM('i2'!$R95),   #N/A  )</f>
        <v>96963</v>
      </c>
      <c r="W95" s="76">
        <f xml:space="preserve"> IF( $C94,   SUM('i3'!$R95),   #N/A  )</f>
        <v>96963</v>
      </c>
      <c r="Y95" s="33"/>
      <c r="Z95" s="22">
        <f xml:space="preserve"> IF( $C95,   IF( 'i1'!$J95=LEER,  #N/A,  'i1'!$J95  ),   #N/A  )</f>
        <v>5.5049999999999999</v>
      </c>
      <c r="AA95" s="22">
        <f xml:space="preserve"> IF( $D95,   IF( 'i2'!$J95=LEER,  #N/A,  'i2'!$J95  ),   #N/A  )</f>
        <v>5.5049999999999999</v>
      </c>
      <c r="AB95" s="22">
        <f xml:space="preserve"> IF( $E95,   IF( 'i3'!$J95=LEER,  #N/A,  'i3'!$J95  ),   #N/A  )</f>
        <v>5.5049999999999999</v>
      </c>
      <c r="AC95" s="75"/>
      <c r="AD95" s="26">
        <f t="shared" si="46"/>
        <v>11438.23395</v>
      </c>
      <c r="AE95" s="26">
        <f t="shared" si="47"/>
        <v>11438.23395</v>
      </c>
      <c r="AF95" s="26">
        <f t="shared" si="48"/>
        <v>11438.23395</v>
      </c>
      <c r="AG95" s="23"/>
      <c r="AH95" s="24">
        <f xml:space="preserve">    IF(  'i1'!$AK95=LEER,  #N/A,  ROUND( 'i1'!$AK95, AH$15 )  )</f>
        <v>1106.4100000000001</v>
      </c>
      <c r="AI95" s="24">
        <f xml:space="preserve">    IF(  'i2'!$AK95=LEER,  #N/A,  ROUND( 'i2'!$AK95, AI$15 )  )</f>
        <v>1106.4100000000001</v>
      </c>
      <c r="AJ95" s="24">
        <f xml:space="preserve">    IF(  'i3'!$AK95=LEER,  #N/A,  ROUND( 'i3'!$AK95, AJ$15 )  )</f>
        <v>1106.4100000000001</v>
      </c>
      <c r="AL95" s="102">
        <f t="shared" si="49"/>
        <v>1106.4100000000001</v>
      </c>
      <c r="AO95" s="24">
        <f xml:space="preserve">    IF( 'i1'!$AN95=LEER,  #N/A,  'i1'!$AN95  )</f>
        <v>29774.14</v>
      </c>
      <c r="AP95" s="24">
        <f xml:space="preserve">    IF( 'i2'!$AN95=LEER,  #N/A,  'i2'!$AN95  )</f>
        <v>29774.14</v>
      </c>
      <c r="AQ95" s="24">
        <f xml:space="preserve">    IF( 'i3'!$AN95=LEER,  #N/A,  'i3'!$AN95  )</f>
        <v>29774.14</v>
      </c>
      <c r="AS95" s="24">
        <f xml:space="preserve">    IF( 'i1'!$AO95=LEER,  #N/A,  'i1'!$AO95  )</f>
        <v>29593.52</v>
      </c>
      <c r="AT95" s="24">
        <f xml:space="preserve">    IF( 'i2'!$AO95=LEER,  #N/A,  'i2'!$AO95  )</f>
        <v>29593.52</v>
      </c>
      <c r="AU95" s="24">
        <f xml:space="preserve">    IF( 'i3'!$AO95=LEER,  #N/A,  'i3'!$AO95  )</f>
        <v>29593.52</v>
      </c>
      <c r="AW95" s="28">
        <f t="shared" si="59"/>
        <v>14.329700000000001</v>
      </c>
      <c r="AX95" s="28">
        <f t="shared" si="50"/>
        <v>14.329700000000001</v>
      </c>
      <c r="AY95" s="28">
        <f t="shared" si="51"/>
        <v>14.329700000000001</v>
      </c>
      <c r="BA95" s="28">
        <f t="shared" si="52"/>
        <v>14.242800000000001</v>
      </c>
      <c r="BB95" s="28">
        <f t="shared" si="53"/>
        <v>14.242800000000001</v>
      </c>
      <c r="BC95" s="28">
        <f t="shared" si="54"/>
        <v>14.242800000000001</v>
      </c>
      <c r="BG95" s="24">
        <f xml:space="preserve">    IF( 'i1'!BT95=LEER,  #N/A,  'i1'!BT95  )</f>
        <v>-7585.24</v>
      </c>
      <c r="BH95" s="24">
        <f xml:space="preserve">    IF( 'i1'!BR95=LEER,  #N/A,  'i1'!BR95  )</f>
        <v>31361.360000000001</v>
      </c>
      <c r="BI95" s="111">
        <f t="shared" si="55"/>
        <v>23776.120000000003</v>
      </c>
      <c r="BJ95" s="24">
        <f xml:space="preserve">    IF( 'i1'!BX95=LEER,  #N/A,  'i1'!BX95  )</f>
        <v>5998.0199999999968</v>
      </c>
      <c r="BL95" s="24">
        <f xml:space="preserve">    IF( 'i1'!CB95=LEER,  #N/A,  'i1'!CB95  )</f>
        <v>-7775.45</v>
      </c>
      <c r="BM95" s="24">
        <f xml:space="preserve">    IF( 'i1'!CC95=LEER,  #N/A,  'i1'!CC95  )</f>
        <v>744.35</v>
      </c>
      <c r="BN95" s="24">
        <f xml:space="preserve">    IF( 'i1'!CD95=LEER,  #N/A,  'i1'!CD95  )</f>
        <v>5710.67</v>
      </c>
      <c r="BO95" s="24">
        <f xml:space="preserve">    IF( 'i1'!CE95=LEER,  #N/A,  'i1'!CE95  )</f>
        <v>-1320.4299999999994</v>
      </c>
      <c r="BQ95" s="24">
        <f xml:space="preserve">    IF( 'i1'!CI95=LEER,  #N/A,  'i1'!CI95  )</f>
        <v>11438.23</v>
      </c>
      <c r="BR95" s="24">
        <f xml:space="preserve">    IF( 'i1'!CJ95=LEER,  #N/A,  'i1'!CJ95  )</f>
        <v>-2014.36</v>
      </c>
      <c r="BS95" s="24">
        <f xml:space="preserve">    IF( 'i1'!CK95=LEER,  #N/A,  'i1'!CK95  )</f>
        <v>-5571.39</v>
      </c>
      <c r="BT95" s="38">
        <f xml:space="preserve">    IF( 'i1'!CH95=LEER,  #N/A,  'i1'!CH95  )</f>
        <v>3852.4304390000002</v>
      </c>
      <c r="BV95" s="24">
        <f xml:space="preserve">    IF( 'i1'!CO95=LEER,  #N/A,  'i1'!CO95  )</f>
        <v>11438.23</v>
      </c>
      <c r="BW95" s="24">
        <f xml:space="preserve">    IF( 'i1'!CP95=LEER,  #N/A,  'i1'!CP95  )</f>
        <v>-2002.01</v>
      </c>
      <c r="BX95" s="24">
        <f xml:space="preserve">    IF( 'i1'!CQ95=LEER,  #N/A,  'i1'!CQ95  )</f>
        <v>-5537.62</v>
      </c>
      <c r="BY95" s="38">
        <f xml:space="preserve">    IF( 'i1'!CN95=LEER,  #N/A,  'i1'!CN95  )</f>
        <v>3898.5573770000001</v>
      </c>
      <c r="CD95" s="113" t="e">
        <f xml:space="preserve"> IF(  AND( $A95&lt;&gt;$CD$14, OR( 'i1'!EO95=LEER, 'i1'!EM95&lt;&gt;LEER ) ), #N/A, 'i1'!EO95 )</f>
        <v>#N/A</v>
      </c>
      <c r="CE95" s="113">
        <f xml:space="preserve"> IF(   'i1'!EM95=LEER, #N/A,  'i1'!EM95 )</f>
        <v>7965.98</v>
      </c>
      <c r="CF95" s="114">
        <f xml:space="preserve"> IF(   'i1'!EL95=LEER, #N/A, 'i1'!EL95 + 'i1'!EM95 )</f>
        <v>29594.959999999999</v>
      </c>
      <c r="CW95" s="104">
        <f xml:space="preserve"> 'i1'!FN95</f>
        <v>95</v>
      </c>
      <c r="CX95" s="106">
        <f xml:space="preserve"> IF(  INDEX( 'i1'!$FS95:$JO95, CX$13 ) = LEER,  #N/A,  INDEX( 'i1'!$FS95:$JO95, CX$13 )  )</f>
        <v>35092.78</v>
      </c>
      <c r="CY95" s="106">
        <f xml:space="preserve"> IF(  INDEX( 'i1'!$FS95:$JO95, CY$13 ) = LEER,  #N/A,  INDEX( 'i1'!$FS95:$JO95, CY$13 )  )</f>
        <v>33409.4</v>
      </c>
      <c r="CZ95" s="106">
        <f xml:space="preserve"> IF(  INDEX( 'i1'!$FS95:$JO95, CZ$13 ) = LEER,  #N/A,  INDEX( 'i1'!$FS95:$JO95, CZ$13 )  )</f>
        <v>31590.14</v>
      </c>
      <c r="DA95" s="106">
        <f xml:space="preserve"> IF(  INDEX( 'i1'!$FS95:$JO95, DA$13 ) = LEER,  #N/A,  INDEX( 'i1'!$FS95:$JO95, DA$13 )  )</f>
        <v>29593.52</v>
      </c>
      <c r="DB95" s="106">
        <f xml:space="preserve"> IF(  INDEX( 'i1'!$FS95:$JO95, DB$13 ) = LEER,  #N/A,  INDEX( 'i1'!$FS95:$JO95, DB$13 )  )</f>
        <v>27358.5</v>
      </c>
      <c r="DC95" s="106">
        <f xml:space="preserve"> IF(  INDEX( 'i1'!$FS95:$JO95, DC$13 ) = LEER,  #N/A,  INDEX( 'i1'!$FS95:$JO95, DC$13 )  )</f>
        <v>24718.3</v>
      </c>
      <c r="DD95" s="106">
        <f xml:space="preserve"> IF(  INDEX( 'i1'!$FS95:$JO95, DD$13 ) = LEER,  #N/A,  INDEX( 'i1'!$FS95:$JO95, DD$13 )  )</f>
        <v>21628.98</v>
      </c>
      <c r="DE95" s="106">
        <f xml:space="preserve"> IF(  INDEX( 'i1'!$FS95:$JO95, DE$13 ) = LEER,  #N/A,  INDEX( 'i1'!$FS95:$JO95, DE$13 )  )</f>
        <v>18219.09</v>
      </c>
      <c r="DF95" s="106">
        <f xml:space="preserve"> IF(  INDEX( 'i1'!$FS95:$JO95, DF$13 ) = LEER,  #N/A,  INDEX( 'i1'!$FS95:$JO95, DF$13 )  )</f>
        <v>14587.9</v>
      </c>
      <c r="DG95" s="106">
        <f xml:space="preserve"> IF(  INDEX( 'i1'!$FS95:$JO95, DG$13 ) = LEER,  #N/A,  INDEX( 'i1'!$FS95:$JO95, DG$13 )  )</f>
        <v>10739.48</v>
      </c>
      <c r="DH95" s="106">
        <f xml:space="preserve"> IF(  INDEX( 'i1'!$FS95:$JO95, DH$13 ) = LEER,  #N/A,  INDEX( 'i1'!$FS95:$JO95, DH$13 )  )</f>
        <v>7020.41</v>
      </c>
      <c r="DI95" s="106">
        <f xml:space="preserve"> IF(  INDEX( 'i1'!$FS95:$JO95, DI$13 ) = LEER,  #N/A,  INDEX( 'i1'!$FS95:$JO95, DI$13 )  )</f>
        <v>3958.76</v>
      </c>
      <c r="DJ95" s="106">
        <f xml:space="preserve"> IF(  INDEX( 'i1'!$FS95:$JO95, DJ$13 ) = LEER,  #N/A,  INDEX( 'i1'!$FS95:$JO95, DJ$13 )  )</f>
        <v>1381.21</v>
      </c>
      <c r="DK95" s="106">
        <f xml:space="preserve"> IF(  INDEX( 'i1'!$FS95:$JO95, DK$13 ) = LEER,  #N/A,  INDEX( 'i1'!$FS95:$JO95, DK$13 )  )</f>
        <v>190.07</v>
      </c>
      <c r="DL95" s="106">
        <f xml:space="preserve"> IF(  INDEX( 'i1'!$FS95:$JO95, DL$13 ) = LEER,  #N/A,  INDEX( 'i1'!$FS95:$JO95, DL$13 )  )</f>
        <v>49.31</v>
      </c>
      <c r="DM95" s="106">
        <f xml:space="preserve"> IF(  INDEX( 'i1'!$FS95:$JO95, DM$13 ) = LEER,  #N/A,  INDEX( 'i1'!$FS95:$JO95, DM$13 )  )</f>
        <v>-0.32</v>
      </c>
      <c r="DN95" s="106" t="e">
        <f xml:space="preserve"> IF(  INDEX( 'i1'!$FS95:$JO95, DN$13 ) = LEER,  #N/A,  INDEX( 'i1'!$FS95:$JO95, DN$13 )  )</f>
        <v>#N/A</v>
      </c>
    </row>
    <row r="96" spans="1:118" x14ac:dyDescent="0.2">
      <c r="A96" s="15">
        <f xml:space="preserve"> Basis!A96</f>
        <v>96</v>
      </c>
      <c r="C96" s="24" t="b">
        <f xml:space="preserve"> 'i1'!$O96</f>
        <v>1</v>
      </c>
      <c r="D96" s="24" t="b">
        <f xml:space="preserve"> 'i2'!$O96</f>
        <v>1</v>
      </c>
      <c r="E96" s="24" t="b">
        <f xml:space="preserve"> 'i3'!$O96</f>
        <v>1</v>
      </c>
      <c r="G96" s="27">
        <f xml:space="preserve"> IF( $C97,   IF( 'i1'!$P96=LEER,  #N/A,  'i1'!$P96  ),   #N/A  )</f>
        <v>0.2185</v>
      </c>
      <c r="H96" s="27">
        <f xml:space="preserve"> IF( $D97,   IF( 'i2'!$P96=LEER,  #N/A,  'i2'!$P96  ),   #N/A  )</f>
        <v>0.2185</v>
      </c>
      <c r="I96" s="27">
        <f xml:space="preserve"> IF( $E97,   IF( 'i3'!$P96=LEER,  #N/A,  'i3'!$P96  ),   #N/A  )</f>
        <v>0.2185</v>
      </c>
      <c r="J96" s="158"/>
      <c r="K96" s="27">
        <f xml:space="preserve"> IF( $C97,   IF( 'i1'!$G96=LEER,  #N/A,  'i1'!$G96  ),   #N/A  )</f>
        <v>1.4E-3</v>
      </c>
      <c r="L96" s="27">
        <f xml:space="preserve"> IF( $D97,   IF( 'i2'!$G96=LEER,  #N/A,  'i2'!$G96  ),   #N/A  )</f>
        <v>1.4E-3</v>
      </c>
      <c r="M96" s="27">
        <f xml:space="preserve"> IF( $E97,   IF( 'i3'!$G96=LEER,  #N/A,  'i3'!$G96  ),   #N/A  )</f>
        <v>1.4E-3</v>
      </c>
      <c r="N96" s="158"/>
      <c r="O96" s="158"/>
      <c r="Q96" s="28">
        <f t="shared" si="56"/>
        <v>3.4826535000408558</v>
      </c>
      <c r="R96" s="28">
        <f t="shared" si="57"/>
        <v>3.4826535000408558</v>
      </c>
      <c r="S96" s="28">
        <f t="shared" si="58"/>
        <v>3.4826535000408558</v>
      </c>
      <c r="U96" s="76">
        <f xml:space="preserve"> IF( $C95,   SUM('i1'!$R96),   #N/A  )</f>
        <v>77502</v>
      </c>
      <c r="V96" s="76">
        <f xml:space="preserve"> IF( $C95,   SUM('i2'!$R96),   #N/A  )</f>
        <v>77502</v>
      </c>
      <c r="W96" s="76">
        <f xml:space="preserve"> IF( $C95,   SUM('i3'!$R96),   #N/A  )</f>
        <v>77502</v>
      </c>
      <c r="Y96" s="33"/>
      <c r="Z96" s="22">
        <f xml:space="preserve"> IF( $C96,   IF( 'i1'!$J96=LEER,  #N/A,  'i1'!$J96  ),   #N/A  )</f>
        <v>5.5049999999999999</v>
      </c>
      <c r="AA96" s="22">
        <f xml:space="preserve"> IF( $D96,   IF( 'i2'!$J96=LEER,  #N/A,  'i2'!$J96  ),   #N/A  )</f>
        <v>5.5049999999999999</v>
      </c>
      <c r="AB96" s="22">
        <f xml:space="preserve"> IF( $E96,   IF( 'i3'!$J96=LEER,  #N/A,  'i3'!$J96  ),   #N/A  )</f>
        <v>5.5049999999999999</v>
      </c>
      <c r="AC96" s="75"/>
      <c r="AD96" s="26">
        <f t="shared" si="46"/>
        <v>11438.23395</v>
      </c>
      <c r="AE96" s="26">
        <f t="shared" si="47"/>
        <v>11438.23395</v>
      </c>
      <c r="AF96" s="26">
        <f t="shared" si="48"/>
        <v>11438.23395</v>
      </c>
      <c r="AG96" s="23"/>
      <c r="AH96" s="24">
        <f xml:space="preserve">    IF(  'i1'!$AK96=LEER,  #N/A,  ROUND( 'i1'!$AK96, AH$15 )  )</f>
        <v>1106.94</v>
      </c>
      <c r="AI96" s="24">
        <f xml:space="preserve">    IF(  'i2'!$AK96=LEER,  #N/A,  ROUND( 'i2'!$AK96, AI$15 )  )</f>
        <v>1106.94</v>
      </c>
      <c r="AJ96" s="24">
        <f xml:space="preserve">    IF(  'i3'!$AK96=LEER,  #N/A,  ROUND( 'i3'!$AK96, AJ$15 )  )</f>
        <v>1106.94</v>
      </c>
      <c r="AL96" s="102">
        <f t="shared" si="49"/>
        <v>1106.94</v>
      </c>
      <c r="AO96" s="24">
        <f xml:space="preserve">    IF( 'i1'!$AN96=LEER,  #N/A,  'i1'!$AN96  )</f>
        <v>28453.77</v>
      </c>
      <c r="AP96" s="24">
        <f xml:space="preserve">    IF( 'i2'!$AN96=LEER,  #N/A,  'i2'!$AN96  )</f>
        <v>28453.77</v>
      </c>
      <c r="AQ96" s="24">
        <f xml:space="preserve">    IF( 'i3'!$AN96=LEER,  #N/A,  'i3'!$AN96  )</f>
        <v>28453.77</v>
      </c>
      <c r="AS96" s="24">
        <f xml:space="preserve">    IF( 'i1'!$AO96=LEER,  #N/A,  'i1'!$AO96  )</f>
        <v>28281.3</v>
      </c>
      <c r="AT96" s="24">
        <f xml:space="preserve">    IF( 'i2'!$AO96=LEER,  #N/A,  'i2'!$AO96  )</f>
        <v>28281.3</v>
      </c>
      <c r="AU96" s="24">
        <f xml:space="preserve">    IF( 'i3'!$AO96=LEER,  #N/A,  'i3'!$AO96  )</f>
        <v>28281.3</v>
      </c>
      <c r="AW96" s="28">
        <f t="shared" si="59"/>
        <v>13.6942</v>
      </c>
      <c r="AX96" s="28">
        <f t="shared" si="50"/>
        <v>13.6942</v>
      </c>
      <c r="AY96" s="28">
        <f t="shared" si="51"/>
        <v>13.6942</v>
      </c>
      <c r="BA96" s="28">
        <f t="shared" si="52"/>
        <v>13.6112</v>
      </c>
      <c r="BB96" s="28">
        <f t="shared" si="53"/>
        <v>13.6112</v>
      </c>
      <c r="BC96" s="28">
        <f t="shared" si="54"/>
        <v>13.6112</v>
      </c>
      <c r="BG96" s="24">
        <f xml:space="preserve">    IF( 'i1'!BT96=LEER,  #N/A,  'i1'!BT96  )</f>
        <v>-7585.24</v>
      </c>
      <c r="BH96" s="24">
        <f xml:space="preserve">    IF( 'i1'!BR96=LEER,  #N/A,  'i1'!BR96  )</f>
        <v>29774.14</v>
      </c>
      <c r="BI96" s="111">
        <f t="shared" si="55"/>
        <v>22188.9</v>
      </c>
      <c r="BJ96" s="24">
        <f xml:space="preserve">    IF( 'i1'!BX96=LEER,  #N/A,  'i1'!BX96  )</f>
        <v>6264.869999999999</v>
      </c>
      <c r="BL96" s="24">
        <f xml:space="preserve">    IF( 'i1'!CB96=LEER,  #N/A,  'i1'!CB96  )</f>
        <v>-7775.45</v>
      </c>
      <c r="BM96" s="24">
        <f xml:space="preserve">    IF( 'i1'!CC96=LEER,  #N/A,  'i1'!CC96  )</f>
        <v>711.34</v>
      </c>
      <c r="BN96" s="24">
        <f xml:space="preserve">    IF( 'i1'!CD96=LEER,  #N/A,  'i1'!CD96  )</f>
        <v>5980.36</v>
      </c>
      <c r="BO96" s="24">
        <f xml:space="preserve">    IF( 'i1'!CE96=LEER,  #N/A,  'i1'!CE96  )</f>
        <v>-1083.75</v>
      </c>
      <c r="BQ96" s="24">
        <f xml:space="preserve">    IF( 'i1'!CI96=LEER,  #N/A,  'i1'!CI96  )</f>
        <v>11438.23</v>
      </c>
      <c r="BR96" s="24">
        <f xml:space="preserve">    IF( 'i1'!CJ96=LEER,  #N/A,  'i1'!CJ96  )</f>
        <v>-1751.25</v>
      </c>
      <c r="BS96" s="24">
        <f xml:space="preserve">    IF( 'i1'!CK96=LEER,  #N/A,  'i1'!CK96  )</f>
        <v>-5834.5</v>
      </c>
      <c r="BT96" s="38">
        <f xml:space="preserve">    IF( 'i1'!CH96=LEER,  #N/A,  'i1'!CH96  )</f>
        <v>3852.4304390000002</v>
      </c>
      <c r="BV96" s="24">
        <f xml:space="preserve">    IF( 'i1'!CO96=LEER,  #N/A,  'i1'!CO96  )</f>
        <v>11438.23</v>
      </c>
      <c r="BW96" s="24">
        <f xml:space="preserve">    IF( 'i1'!CP96=LEER,  #N/A,  'i1'!CP96  )</f>
        <v>-1740.46</v>
      </c>
      <c r="BX96" s="24">
        <f xml:space="preserve">    IF( 'i1'!CQ96=LEER,  #N/A,  'i1'!CQ96  )</f>
        <v>-5799.17</v>
      </c>
      <c r="BY96" s="38">
        <f xml:space="preserve">    IF( 'i1'!CN96=LEER,  #N/A,  'i1'!CN96  )</f>
        <v>3898.5573770000001</v>
      </c>
      <c r="CD96" s="113" t="e">
        <f xml:space="preserve"> IF(  AND( $A96&lt;&gt;$CD$14, OR( 'i1'!EO96=LEER, 'i1'!EM96&lt;&gt;LEER ) ), #N/A, 'i1'!EO96 )</f>
        <v>#N/A</v>
      </c>
      <c r="CE96" s="113">
        <f xml:space="preserve"> IF(   'i1'!EM96=LEER, #N/A,  'i1'!EM96 )</f>
        <v>7606.72</v>
      </c>
      <c r="CF96" s="114">
        <f xml:space="preserve"> IF(   'i1'!EL96=LEER, #N/A, 'i1'!EL96 + 'i1'!EM96 )</f>
        <v>28282.68</v>
      </c>
      <c r="CW96" s="104">
        <f xml:space="preserve"> 'i1'!FN96</f>
        <v>96</v>
      </c>
      <c r="CX96" s="106">
        <f xml:space="preserve"> IF(  INDEX( 'i1'!$FS96:$JO96, CX$13 ) = LEER,  #N/A,  INDEX( 'i1'!$FS96:$JO96, CX$13 )  )</f>
        <v>33532.550000000003</v>
      </c>
      <c r="CY96" s="106">
        <f xml:space="preserve"> IF(  INDEX( 'i1'!$FS96:$JO96, CY$13 ) = LEER,  #N/A,  INDEX( 'i1'!$FS96:$JO96, CY$13 )  )</f>
        <v>31925.09</v>
      </c>
      <c r="CZ96" s="106">
        <f xml:space="preserve"> IF(  INDEX( 'i1'!$FS96:$JO96, CZ$13 ) = LEER,  #N/A,  INDEX( 'i1'!$FS96:$JO96, CZ$13 )  )</f>
        <v>30187.88</v>
      </c>
      <c r="DA96" s="106">
        <f xml:space="preserve"> IF(  INDEX( 'i1'!$FS96:$JO96, DA$13 ) = LEER,  #N/A,  INDEX( 'i1'!$FS96:$JO96, DA$13 )  )</f>
        <v>28281.3</v>
      </c>
      <c r="DB96" s="106">
        <f xml:space="preserve"> IF(  INDEX( 'i1'!$FS96:$JO96, DB$13 ) = LEER,  #N/A,  INDEX( 'i1'!$FS96:$JO96, DB$13 )  )</f>
        <v>26147.08</v>
      </c>
      <c r="DC96" s="106">
        <f xml:space="preserve"> IF(  INDEX( 'i1'!$FS96:$JO96, DC$13 ) = LEER,  #N/A,  INDEX( 'i1'!$FS96:$JO96, DC$13 )  )</f>
        <v>23625.95</v>
      </c>
      <c r="DD96" s="106">
        <f xml:space="preserve"> IF(  INDEX( 'i1'!$FS96:$JO96, DD$13 ) = LEER,  #N/A,  INDEX( 'i1'!$FS96:$JO96, DD$13 )  )</f>
        <v>20675.96</v>
      </c>
      <c r="DE96" s="106">
        <f xml:space="preserve"> IF(  INDEX( 'i1'!$FS96:$JO96, DE$13 ) = LEER,  #N/A,  INDEX( 'i1'!$FS96:$JO96, DE$13 )  )</f>
        <v>17419.849999999999</v>
      </c>
      <c r="DF96" s="106">
        <f xml:space="preserve"> IF(  INDEX( 'i1'!$FS96:$JO96, DF$13 ) = LEER,  #N/A,  INDEX( 'i1'!$FS96:$JO96, DF$13 )  )</f>
        <v>13952.43</v>
      </c>
      <c r="DG96" s="106">
        <f xml:space="preserve"> IF(  INDEX( 'i1'!$FS96:$JO96, DG$13 ) = LEER,  #N/A,  INDEX( 'i1'!$FS96:$JO96, DG$13 )  )</f>
        <v>10277.56</v>
      </c>
      <c r="DH96" s="106">
        <f xml:space="preserve"> IF(  INDEX( 'i1'!$FS96:$JO96, DH$13 ) = LEER,  #N/A,  INDEX( 'i1'!$FS96:$JO96, DH$13 )  )</f>
        <v>6726.23</v>
      </c>
      <c r="DI96" s="106">
        <f xml:space="preserve"> IF(  INDEX( 'i1'!$FS96:$JO96, DI$13 ) = LEER,  #N/A,  INDEX( 'i1'!$FS96:$JO96, DI$13 )  )</f>
        <v>3802.65</v>
      </c>
      <c r="DJ96" s="106">
        <f xml:space="preserve"> IF(  INDEX( 'i1'!$FS96:$JO96, DJ$13 ) = LEER,  #N/A,  INDEX( 'i1'!$FS96:$JO96, DJ$13 )  )</f>
        <v>1341.34</v>
      </c>
      <c r="DK96" s="106">
        <f xml:space="preserve"> IF(  INDEX( 'i1'!$FS96:$JO96, DK$13 ) = LEER,  #N/A,  INDEX( 'i1'!$FS96:$JO96, DK$13 )  )</f>
        <v>203.92</v>
      </c>
      <c r="DL96" s="106">
        <f xml:space="preserve"> IF(  INDEX( 'i1'!$FS96:$JO96, DL$13 ) = LEER,  #N/A,  INDEX( 'i1'!$FS96:$JO96, DL$13 )  )</f>
        <v>69.510000000000005</v>
      </c>
      <c r="DM96" s="106">
        <f xml:space="preserve"> IF(  INDEX( 'i1'!$FS96:$JO96, DM$13 ) = LEER,  #N/A,  INDEX( 'i1'!$FS96:$JO96, DM$13 )  )</f>
        <v>22.12</v>
      </c>
      <c r="DN96" s="106" t="e">
        <f xml:space="preserve"> IF(  INDEX( 'i1'!$FS96:$JO96, DN$13 ) = LEER,  #N/A,  INDEX( 'i1'!$FS96:$JO96, DN$13 )  )</f>
        <v>#N/A</v>
      </c>
    </row>
    <row r="97" spans="1:118" x14ac:dyDescent="0.2">
      <c r="A97" s="15">
        <f xml:space="preserve"> Basis!A97</f>
        <v>97</v>
      </c>
      <c r="C97" s="24" t="b">
        <f xml:space="preserve"> 'i1'!$O97</f>
        <v>1</v>
      </c>
      <c r="D97" s="24" t="b">
        <f xml:space="preserve"> 'i2'!$O97</f>
        <v>1</v>
      </c>
      <c r="E97" s="24" t="b">
        <f xml:space="preserve"> 'i3'!$O97</f>
        <v>1</v>
      </c>
      <c r="G97" s="27">
        <f xml:space="preserve"> IF( $C98,   IF( 'i1'!$P97=LEER,  #N/A,  'i1'!$P97  ),   #N/A  )</f>
        <v>0.23580000000000001</v>
      </c>
      <c r="H97" s="27">
        <f xml:space="preserve"> IF( $D98,   IF( 'i2'!$P97=LEER,  #N/A,  'i2'!$P97  ),   #N/A  )</f>
        <v>0.23580000000000001</v>
      </c>
      <c r="I97" s="27">
        <f xml:space="preserve"> IF( $E98,   IF( 'i3'!$P97=LEER,  #N/A,  'i3'!$P97  ),   #N/A  )</f>
        <v>0.23580000000000001</v>
      </c>
      <c r="J97" s="158"/>
      <c r="K97" s="27">
        <f xml:space="preserve"> IF( $C98,   IF( 'i1'!$G97=LEER,  #N/A,  'i1'!$G97  ),   #N/A  )</f>
        <v>1.2999999999999999E-3</v>
      </c>
      <c r="L97" s="27">
        <f xml:space="preserve"> IF( $D98,   IF( 'i2'!$G97=LEER,  #N/A,  'i2'!$G97  ),   #N/A  )</f>
        <v>1.2999999999999999E-3</v>
      </c>
      <c r="M97" s="27">
        <f xml:space="preserve"> IF( $E98,   IF( 'i3'!$G97=LEER,  #N/A,  'i3'!$G97  ),   #N/A  )</f>
        <v>1.2999999999999999E-3</v>
      </c>
      <c r="N97" s="158"/>
      <c r="O97" s="158"/>
      <c r="Q97" s="28">
        <f t="shared" si="56"/>
        <v>3.3165751759959776</v>
      </c>
      <c r="R97" s="28">
        <f t="shared" si="57"/>
        <v>3.3165751759959776</v>
      </c>
      <c r="S97" s="28">
        <f t="shared" si="58"/>
        <v>3.3165751759959776</v>
      </c>
      <c r="U97" s="76">
        <f xml:space="preserve"> IF( $C96,   SUM('i1'!$R97),   #N/A  )</f>
        <v>60567</v>
      </c>
      <c r="V97" s="76">
        <f xml:space="preserve"> IF( $C96,   SUM('i2'!$R97),   #N/A  )</f>
        <v>60567</v>
      </c>
      <c r="W97" s="76">
        <f xml:space="preserve"> IF( $C96,   SUM('i3'!$R97),   #N/A  )</f>
        <v>60567</v>
      </c>
      <c r="Y97" s="33"/>
      <c r="Z97" s="22">
        <f xml:space="preserve"> IF( $C97,   IF( 'i1'!$J97=LEER,  #N/A,  'i1'!$J97  ),   #N/A  )</f>
        <v>5.52</v>
      </c>
      <c r="AA97" s="22">
        <f xml:space="preserve"> IF( $D97,   IF( 'i2'!$J97=LEER,  #N/A,  'i2'!$J97  ),   #N/A  )</f>
        <v>5.52</v>
      </c>
      <c r="AB97" s="22">
        <f xml:space="preserve"> IF( $E97,   IF( 'i3'!$J97=LEER,  #N/A,  'i3'!$J97  ),   #N/A  )</f>
        <v>5.52</v>
      </c>
      <c r="AC97" s="75"/>
      <c r="AD97" s="26">
        <f t="shared" si="46"/>
        <v>11469.400799999999</v>
      </c>
      <c r="AE97" s="26">
        <f t="shared" si="47"/>
        <v>11469.400799999999</v>
      </c>
      <c r="AF97" s="26">
        <f t="shared" si="48"/>
        <v>11469.400799999999</v>
      </c>
      <c r="AG97" s="23"/>
      <c r="AH97" s="24">
        <f xml:space="preserve">    IF(  'i1'!$AK97=LEER,  #N/A,  ROUND( 'i1'!$AK97, AH$15 )  )</f>
        <v>1107.72</v>
      </c>
      <c r="AI97" s="24">
        <f xml:space="preserve">    IF(  'i2'!$AK97=LEER,  #N/A,  ROUND( 'i2'!$AK97, AI$15 )  )</f>
        <v>1107.72</v>
      </c>
      <c r="AJ97" s="24">
        <f xml:space="preserve">    IF(  'i3'!$AK97=LEER,  #N/A,  ROUND( 'i3'!$AK97, AJ$15 )  )</f>
        <v>1107.72</v>
      </c>
      <c r="AL97" s="102">
        <f t="shared" si="49"/>
        <v>1107.72</v>
      </c>
      <c r="AO97" s="24">
        <f xml:space="preserve">    IF( 'i1'!$AN97=LEER,  #N/A,  'i1'!$AN97  )</f>
        <v>27370.080000000002</v>
      </c>
      <c r="AP97" s="24">
        <f xml:space="preserve">    IF( 'i2'!$AN97=LEER,  #N/A,  'i2'!$AN97  )</f>
        <v>27370.080000000002</v>
      </c>
      <c r="AQ97" s="24">
        <f xml:space="preserve">    IF( 'i3'!$AN97=LEER,  #N/A,  'i3'!$AN97  )</f>
        <v>27370.080000000002</v>
      </c>
      <c r="AS97" s="24">
        <f xml:space="preserve">    IF( 'i1'!$AO97=LEER,  #N/A,  'i1'!$AO97  )</f>
        <v>27204.36</v>
      </c>
      <c r="AT97" s="24">
        <f xml:space="preserve">    IF( 'i2'!$AO97=LEER,  #N/A,  'i2'!$AO97  )</f>
        <v>27204.36</v>
      </c>
      <c r="AU97" s="24">
        <f xml:space="preserve">    IF( 'i3'!$AO97=LEER,  #N/A,  'i3'!$AO97  )</f>
        <v>27204.36</v>
      </c>
      <c r="AW97" s="28">
        <f t="shared" si="59"/>
        <v>13.172700000000001</v>
      </c>
      <c r="AX97" s="28">
        <f t="shared" si="50"/>
        <v>13.172700000000001</v>
      </c>
      <c r="AY97" s="28">
        <f t="shared" si="51"/>
        <v>13.172700000000001</v>
      </c>
      <c r="BA97" s="28">
        <f t="shared" si="52"/>
        <v>13.0929</v>
      </c>
      <c r="BB97" s="28">
        <f t="shared" si="53"/>
        <v>13.0929</v>
      </c>
      <c r="BC97" s="28">
        <f t="shared" si="54"/>
        <v>13.0929</v>
      </c>
      <c r="BG97" s="24">
        <f xml:space="preserve">    IF( 'i1'!BT97=LEER,  #N/A,  'i1'!BT97  )</f>
        <v>-7585.24</v>
      </c>
      <c r="BH97" s="24">
        <f xml:space="preserve">    IF( 'i1'!BR97=LEER,  #N/A,  'i1'!BR97  )</f>
        <v>28453.77</v>
      </c>
      <c r="BI97" s="111">
        <f t="shared" si="55"/>
        <v>20868.53</v>
      </c>
      <c r="BJ97" s="24">
        <f xml:space="preserve">    IF( 'i1'!BX97=LEER,  #N/A,  'i1'!BX97  )</f>
        <v>6501.5500000000029</v>
      </c>
      <c r="BL97" s="24">
        <f xml:space="preserve">    IF( 'i1'!CB97=LEER,  #N/A,  'i1'!CB97  )</f>
        <v>-7807.39</v>
      </c>
      <c r="BM97" s="24">
        <f xml:space="preserve">    IF( 'i1'!CC97=LEER,  #N/A,  'i1'!CC97  )</f>
        <v>684.25</v>
      </c>
      <c r="BN97" s="24">
        <f xml:space="preserve">    IF( 'i1'!CD97=LEER,  #N/A,  'i1'!CD97  )</f>
        <v>6247.45</v>
      </c>
      <c r="BO97" s="24">
        <f xml:space="preserve">    IF( 'i1'!CE97=LEER,  #N/A,  'i1'!CE97  )</f>
        <v>-875.69000000000051</v>
      </c>
      <c r="BQ97" s="24">
        <f xml:space="preserve">    IF( 'i1'!CI97=LEER,  #N/A,  'i1'!CI97  )</f>
        <v>11469.4</v>
      </c>
      <c r="BR97" s="24">
        <f xml:space="preserve">    IF( 'i1'!CJ97=LEER,  #N/A,  'i1'!CJ97  )</f>
        <v>-1521.6</v>
      </c>
      <c r="BS97" s="24">
        <f xml:space="preserve">    IF( 'i1'!CK97=LEER,  #N/A,  'i1'!CK97  )</f>
        <v>-6095.07</v>
      </c>
      <c r="BT97" s="38">
        <f xml:space="preserve">    IF( 'i1'!CH97=LEER,  #N/A,  'i1'!CH97  )</f>
        <v>3852.4304390000002</v>
      </c>
      <c r="BV97" s="24">
        <f xml:space="preserve">    IF( 'i1'!CO97=LEER,  #N/A,  'i1'!CO97  )</f>
        <v>11469.4</v>
      </c>
      <c r="BW97" s="24">
        <f xml:space="preserve">    IF( 'i1'!CP97=LEER,  #N/A,  'i1'!CP97  )</f>
        <v>-1512.38</v>
      </c>
      <c r="BX97" s="24">
        <f xml:space="preserve">    IF( 'i1'!CQ97=LEER,  #N/A,  'i1'!CQ97  )</f>
        <v>-6058.17</v>
      </c>
      <c r="BY97" s="38">
        <f xml:space="preserve">    IF( 'i1'!CN97=LEER,  #N/A,  'i1'!CN97  )</f>
        <v>3898.5573770000001</v>
      </c>
      <c r="CD97" s="113" t="e">
        <f xml:space="preserve"> IF(  AND( $A97&lt;&gt;$CD$14, OR( 'i1'!EO97=LEER, 'i1'!EM97&lt;&gt;LEER ) ), #N/A, 'i1'!EO97 )</f>
        <v>#N/A</v>
      </c>
      <c r="CE97" s="113">
        <f xml:space="preserve"> IF(   'i1'!EM97=LEER, #N/A,  'i1'!EM97 )</f>
        <v>7308.89</v>
      </c>
      <c r="CF97" s="114">
        <f xml:space="preserve"> IF(   'i1'!EL97=LEER, #N/A, 'i1'!EL97 + 'i1'!EM97 )</f>
        <v>27205.68</v>
      </c>
      <c r="CW97" s="104">
        <f xml:space="preserve"> 'i1'!FN97</f>
        <v>97</v>
      </c>
      <c r="CX97" s="106">
        <f xml:space="preserve"> IF(  INDEX( 'i1'!$FS97:$JO97, CX$13 ) = LEER,  #N/A,  INDEX( 'i1'!$FS97:$JO97, CX$13 )  )</f>
        <v>32250.01</v>
      </c>
      <c r="CY97" s="106">
        <f xml:space="preserve"> IF(  INDEX( 'i1'!$FS97:$JO97, CY$13 ) = LEER,  #N/A,  INDEX( 'i1'!$FS97:$JO97, CY$13 )  )</f>
        <v>30705.48</v>
      </c>
      <c r="CZ97" s="106">
        <f xml:space="preserve"> IF(  INDEX( 'i1'!$FS97:$JO97, CZ$13 ) = LEER,  #N/A,  INDEX( 'i1'!$FS97:$JO97, CZ$13 )  )</f>
        <v>29036.29</v>
      </c>
      <c r="DA97" s="106">
        <f xml:space="preserve"> IF(  INDEX( 'i1'!$FS97:$JO97, DA$13 ) = LEER,  #N/A,  INDEX( 'i1'!$FS97:$JO97, DA$13 )  )</f>
        <v>27204.36</v>
      </c>
      <c r="DB97" s="106">
        <f xml:space="preserve"> IF(  INDEX( 'i1'!$FS97:$JO97, DB$13 ) = LEER,  #N/A,  INDEX( 'i1'!$FS97:$JO97, DB$13 )  )</f>
        <v>25153.7</v>
      </c>
      <c r="DC97" s="106">
        <f xml:space="preserve"> IF(  INDEX( 'i1'!$FS97:$JO97, DC$13 ) = LEER,  #N/A,  INDEX( 'i1'!$FS97:$JO97, DC$13 )  )</f>
        <v>22731.279999999999</v>
      </c>
      <c r="DD97" s="106">
        <f xml:space="preserve"> IF(  INDEX( 'i1'!$FS97:$JO97, DD$13 ) = LEER,  #N/A,  INDEX( 'i1'!$FS97:$JO97, DD$13 )  )</f>
        <v>19896.79</v>
      </c>
      <c r="DE97" s="106">
        <f xml:space="preserve"> IF(  INDEX( 'i1'!$FS97:$JO97, DE$13 ) = LEER,  #N/A,  INDEX( 'i1'!$FS97:$JO97, DE$13 )  )</f>
        <v>16768.169999999998</v>
      </c>
      <c r="DF97" s="106">
        <f xml:space="preserve"> IF(  INDEX( 'i1'!$FS97:$JO97, DF$13 ) = LEER,  #N/A,  INDEX( 'i1'!$FS97:$JO97, DF$13 )  )</f>
        <v>13436.5</v>
      </c>
      <c r="DG97" s="106">
        <f xml:space="preserve"> IF(  INDEX( 'i1'!$FS97:$JO97, DG$13 ) = LEER,  #N/A,  INDEX( 'i1'!$FS97:$JO97, DG$13 )  )</f>
        <v>9905.52</v>
      </c>
      <c r="DH97" s="106">
        <f xml:space="preserve"> IF(  INDEX( 'i1'!$FS97:$JO97, DH$13 ) = LEER,  #N/A,  INDEX( 'i1'!$FS97:$JO97, DH$13 )  )</f>
        <v>6493.23</v>
      </c>
      <c r="DI97" s="106">
        <f xml:space="preserve"> IF(  INDEX( 'i1'!$FS97:$JO97, DI$13 ) = LEER,  #N/A,  INDEX( 'i1'!$FS97:$JO97, DI$13 )  )</f>
        <v>3684.12</v>
      </c>
      <c r="DJ97" s="106">
        <f xml:space="preserve"> IF(  INDEX( 'i1'!$FS97:$JO97, DJ$13 ) = LEER,  #N/A,  INDEX( 'i1'!$FS97:$JO97, DJ$13 )  )</f>
        <v>1319.18</v>
      </c>
      <c r="DK97" s="106">
        <f xml:space="preserve"> IF(  INDEX( 'i1'!$FS97:$JO97, DK$13 ) = LEER,  #N/A,  INDEX( 'i1'!$FS97:$JO97, DK$13 )  )</f>
        <v>226.29</v>
      </c>
      <c r="DL97" s="106">
        <f xml:space="preserve"> IF(  INDEX( 'i1'!$FS97:$JO97, DL$13 ) = LEER,  #N/A,  INDEX( 'i1'!$FS97:$JO97, DL$13 )  )</f>
        <v>97.14</v>
      </c>
      <c r="DM97" s="106">
        <f xml:space="preserve"> IF(  INDEX( 'i1'!$FS97:$JO97, DM$13 ) = LEER,  #N/A,  INDEX( 'i1'!$FS97:$JO97, DM$13 )  )</f>
        <v>51.61</v>
      </c>
      <c r="DN97" s="106" t="e">
        <f xml:space="preserve"> IF(  INDEX( 'i1'!$FS97:$JO97, DN$13 ) = LEER,  #N/A,  INDEX( 'i1'!$FS97:$JO97, DN$13 )  )</f>
        <v>#N/A</v>
      </c>
    </row>
    <row r="98" spans="1:118" x14ac:dyDescent="0.2">
      <c r="A98" s="15">
        <f xml:space="preserve"> Basis!A98</f>
        <v>98</v>
      </c>
      <c r="C98" s="24" t="b">
        <f xml:space="preserve"> 'i1'!$O98</f>
        <v>1</v>
      </c>
      <c r="D98" s="24" t="b">
        <f xml:space="preserve"> 'i2'!$O98</f>
        <v>1</v>
      </c>
      <c r="E98" s="24" t="b">
        <f xml:space="preserve"> 'i3'!$O98</f>
        <v>1</v>
      </c>
      <c r="G98" s="27">
        <f xml:space="preserve"> IF( $C99,   IF( 'i1'!$P98=LEER,  #N/A,  'i1'!$P98  ),   #N/A  )</f>
        <v>0.2525</v>
      </c>
      <c r="H98" s="27">
        <f xml:space="preserve"> IF( $D99,   IF( 'i2'!$P98=LEER,  #N/A,  'i2'!$P98  ),   #N/A  )</f>
        <v>0.2525</v>
      </c>
      <c r="I98" s="27">
        <f xml:space="preserve"> IF( $E99,   IF( 'i3'!$P98=LEER,  #N/A,  'i3'!$P98  ),   #N/A  )</f>
        <v>0.2525</v>
      </c>
      <c r="J98" s="158"/>
      <c r="K98" s="27">
        <f xml:space="preserve"> IF( $C99,   IF( 'i1'!$G98=LEER,  #N/A,  'i1'!$G98  ),   #N/A  )</f>
        <v>1.5E-3</v>
      </c>
      <c r="L98" s="27">
        <f xml:space="preserve"> IF( $D99,   IF( 'i2'!$G98=LEER,  #N/A,  'i2'!$G98  ),   #N/A  )</f>
        <v>1.5E-3</v>
      </c>
      <c r="M98" s="27">
        <f xml:space="preserve"> IF( $E99,   IF( 'i3'!$G98=LEER,  #N/A,  'i3'!$G98  ),   #N/A  )</f>
        <v>1.5E-3</v>
      </c>
      <c r="N98" s="158"/>
      <c r="O98" s="158"/>
      <c r="Q98" s="28">
        <f t="shared" si="56"/>
        <v>3.1856518921695591</v>
      </c>
      <c r="R98" s="28">
        <f t="shared" si="57"/>
        <v>3.1856518921695591</v>
      </c>
      <c r="S98" s="28">
        <f t="shared" si="58"/>
        <v>3.1856518921695591</v>
      </c>
      <c r="U98" s="76">
        <f xml:space="preserve"> IF( $C97,   SUM('i1'!$R98),   #N/A  )</f>
        <v>46285</v>
      </c>
      <c r="V98" s="76">
        <f xml:space="preserve"> IF( $C97,   SUM('i2'!$R98),   #N/A  )</f>
        <v>46285</v>
      </c>
      <c r="W98" s="76">
        <f xml:space="preserve"> IF( $C97,   SUM('i3'!$R98),   #N/A  )</f>
        <v>46285</v>
      </c>
      <c r="Y98" s="33"/>
      <c r="Z98" s="22">
        <f xml:space="preserve"> IF( $C98,   IF( 'i1'!$J98=LEER,  #N/A,  'i1'!$J98  ),   #N/A  )</f>
        <v>5.52</v>
      </c>
      <c r="AA98" s="22">
        <f xml:space="preserve"> IF( $D98,   IF( 'i2'!$J98=LEER,  #N/A,  'i2'!$J98  ),   #N/A  )</f>
        <v>5.52</v>
      </c>
      <c r="AB98" s="22">
        <f xml:space="preserve"> IF( $E98,   IF( 'i3'!$J98=LEER,  #N/A,  'i3'!$J98  ),   #N/A  )</f>
        <v>5.52</v>
      </c>
      <c r="AC98" s="75"/>
      <c r="AD98" s="26">
        <f t="shared" si="46"/>
        <v>11469.400799999999</v>
      </c>
      <c r="AE98" s="26">
        <f t="shared" si="47"/>
        <v>11469.400799999999</v>
      </c>
      <c r="AF98" s="26">
        <f t="shared" si="48"/>
        <v>11469.400799999999</v>
      </c>
      <c r="AG98" s="23"/>
      <c r="AH98" s="24">
        <f xml:space="preserve">    IF(  'i1'!$AK98=LEER,  #N/A,  ROUND( 'i1'!$AK98, AH$15 )  )</f>
        <v>1107.77</v>
      </c>
      <c r="AI98" s="24">
        <f xml:space="preserve">    IF(  'i2'!$AK98=LEER,  #N/A,  ROUND( 'i2'!$AK98, AI$15 )  )</f>
        <v>1107.77</v>
      </c>
      <c r="AJ98" s="24">
        <f xml:space="preserve">    IF(  'i3'!$AK98=LEER,  #N/A,  ROUND( 'i3'!$AK98, AJ$15 )  )</f>
        <v>1107.77</v>
      </c>
      <c r="AL98" s="102">
        <f t="shared" si="49"/>
        <v>1107.77</v>
      </c>
      <c r="AO98" s="24">
        <f xml:space="preserve">    IF( 'i1'!$AN98=LEER,  #N/A,  'i1'!$AN98  )</f>
        <v>26494.69</v>
      </c>
      <c r="AP98" s="24">
        <f xml:space="preserve">    IF( 'i2'!$AN98=LEER,  #N/A,  'i2'!$AN98  )</f>
        <v>26494.69</v>
      </c>
      <c r="AQ98" s="24">
        <f xml:space="preserve">    IF( 'i3'!$AN98=LEER,  #N/A,  'i3'!$AN98  )</f>
        <v>26494.69</v>
      </c>
      <c r="AS98" s="24">
        <f xml:space="preserve">    IF( 'i1'!$AO98=LEER,  #N/A,  'i1'!$AO98  )</f>
        <v>26334.28</v>
      </c>
      <c r="AT98" s="24">
        <f xml:space="preserve">    IF( 'i2'!$AO98=LEER,  #N/A,  'i2'!$AO98  )</f>
        <v>26334.28</v>
      </c>
      <c r="AU98" s="24">
        <f xml:space="preserve">    IF( 'i3'!$AO98=LEER,  #N/A,  'i3'!$AO98  )</f>
        <v>26334.28</v>
      </c>
      <c r="AW98" s="28">
        <f t="shared" si="59"/>
        <v>12.7514</v>
      </c>
      <c r="AX98" s="28">
        <f t="shared" si="50"/>
        <v>12.7514</v>
      </c>
      <c r="AY98" s="28">
        <f t="shared" si="51"/>
        <v>12.7514</v>
      </c>
      <c r="BA98" s="28">
        <f t="shared" si="52"/>
        <v>12.674200000000001</v>
      </c>
      <c r="BB98" s="28">
        <f t="shared" si="53"/>
        <v>12.674200000000001</v>
      </c>
      <c r="BC98" s="28">
        <f t="shared" si="54"/>
        <v>12.674200000000001</v>
      </c>
      <c r="BG98" s="24">
        <f xml:space="preserve">    IF( 'i1'!BT98=LEER,  #N/A,  'i1'!BT98  )</f>
        <v>-7616.97</v>
      </c>
      <c r="BH98" s="24">
        <f xml:space="preserve">    IF( 'i1'!BR98=LEER,  #N/A,  'i1'!BR98  )</f>
        <v>27370.080000000002</v>
      </c>
      <c r="BI98" s="111">
        <f t="shared" si="55"/>
        <v>19753.11</v>
      </c>
      <c r="BJ98" s="24">
        <f xml:space="preserve">    IF( 'i1'!BX98=LEER,  #N/A,  'i1'!BX98  )</f>
        <v>6741.5799999999981</v>
      </c>
      <c r="BL98" s="24">
        <f xml:space="preserve">    IF( 'i1'!CB98=LEER,  #N/A,  'i1'!CB98  )</f>
        <v>-7807.39</v>
      </c>
      <c r="BM98" s="24">
        <f xml:space="preserve">    IF( 'i1'!CC98=LEER,  #N/A,  'i1'!CC98  )</f>
        <v>662.37</v>
      </c>
      <c r="BN98" s="24">
        <f xml:space="preserve">    IF( 'i1'!CD98=LEER,  #N/A,  'i1'!CD98  )</f>
        <v>6536.14</v>
      </c>
      <c r="BO98" s="24">
        <f xml:space="preserve">    IF( 'i1'!CE98=LEER,  #N/A,  'i1'!CE98  )</f>
        <v>-608.88000000000011</v>
      </c>
      <c r="BQ98" s="24">
        <f xml:space="preserve">    IF( 'i1'!CI98=LEER,  #N/A,  'i1'!CI98  )</f>
        <v>11469.4</v>
      </c>
      <c r="BR98" s="24">
        <f xml:space="preserve">    IF( 'i1'!CJ98=LEER,  #N/A,  'i1'!CJ98  )</f>
        <v>-1240.3599999999999</v>
      </c>
      <c r="BS98" s="24">
        <f xml:space="preserve">    IF( 'i1'!CK98=LEER,  #N/A,  'i1'!CK98  )</f>
        <v>-6376.72</v>
      </c>
      <c r="BT98" s="38">
        <f xml:space="preserve">    IF( 'i1'!CH98=LEER,  #N/A,  'i1'!CH98  )</f>
        <v>3852.4304390000002</v>
      </c>
      <c r="BV98" s="24">
        <f xml:space="preserve">    IF( 'i1'!CO98=LEER,  #N/A,  'i1'!CO98  )</f>
        <v>11469.4</v>
      </c>
      <c r="BW98" s="24">
        <f xml:space="preserve">    IF( 'i1'!CP98=LEER,  #N/A,  'i1'!CP98  )</f>
        <v>-1232.8399999999999</v>
      </c>
      <c r="BX98" s="24">
        <f xml:space="preserve">    IF( 'i1'!CQ98=LEER,  #N/A,  'i1'!CQ98  )</f>
        <v>-6338.11</v>
      </c>
      <c r="BY98" s="38">
        <f xml:space="preserve">    IF( 'i1'!CN98=LEER,  #N/A,  'i1'!CN98  )</f>
        <v>3898.5573770000001</v>
      </c>
      <c r="CD98" s="113" t="e">
        <f xml:space="preserve"> IF(  AND( $A98&lt;&gt;$CD$14, OR( 'i1'!EO98=LEER, 'i1'!EM98&lt;&gt;LEER ) ), #N/A, 'i1'!EO98 )</f>
        <v>#N/A</v>
      </c>
      <c r="CE98" s="113">
        <f xml:space="preserve"> IF(   'i1'!EM98=LEER, #N/A,  'i1'!EM98 )</f>
        <v>7074.54</v>
      </c>
      <c r="CF98" s="114">
        <f xml:space="preserve"> IF(   'i1'!EL98=LEER, #N/A, 'i1'!EL98 + 'i1'!EM98 )</f>
        <v>26335.56</v>
      </c>
      <c r="CW98" s="104">
        <f xml:space="preserve"> 'i1'!FN98</f>
        <v>98</v>
      </c>
      <c r="CX98" s="106">
        <f xml:space="preserve"> IF(  INDEX( 'i1'!$FS98:$JO98, CX$13 ) = LEER,  #N/A,  INDEX( 'i1'!$FS98:$JO98, CX$13 )  )</f>
        <v>31218.15</v>
      </c>
      <c r="CY98" s="106">
        <f xml:space="preserve"> IF(  INDEX( 'i1'!$FS98:$JO98, CY$13 ) = LEER,  #N/A,  INDEX( 'i1'!$FS98:$JO98, CY$13 )  )</f>
        <v>29723.15</v>
      </c>
      <c r="CZ98" s="106">
        <f xml:space="preserve"> IF(  INDEX( 'i1'!$FS98:$JO98, CZ$13 ) = LEER,  #N/A,  INDEX( 'i1'!$FS98:$JO98, CZ$13 )  )</f>
        <v>28107.47</v>
      </c>
      <c r="DA98" s="106">
        <f xml:space="preserve"> IF(  INDEX( 'i1'!$FS98:$JO98, DA$13 ) = LEER,  #N/A,  INDEX( 'i1'!$FS98:$JO98, DA$13 )  )</f>
        <v>26334.28</v>
      </c>
      <c r="DB98" s="106">
        <f xml:space="preserve"> IF(  INDEX( 'i1'!$FS98:$JO98, DB$13 ) = LEER,  #N/A,  INDEX( 'i1'!$FS98:$JO98, DB$13 )  )</f>
        <v>24349.38</v>
      </c>
      <c r="DC98" s="106">
        <f xml:space="preserve"> IF(  INDEX( 'i1'!$FS98:$JO98, DC$13 ) = LEER,  #N/A,  INDEX( 'i1'!$FS98:$JO98, DC$13 )  )</f>
        <v>22004.63</v>
      </c>
      <c r="DD98" s="106">
        <f xml:space="preserve"> IF(  INDEX( 'i1'!$FS98:$JO98, DD$13 ) = LEER,  #N/A,  INDEX( 'i1'!$FS98:$JO98, DD$13 )  )</f>
        <v>19261.02</v>
      </c>
      <c r="DE98" s="106">
        <f xml:space="preserve"> IF(  INDEX( 'i1'!$FS98:$JO98, DE$13 ) = LEER,  #N/A,  INDEX( 'i1'!$FS98:$JO98, DE$13 )  )</f>
        <v>16232.72</v>
      </c>
      <c r="DF98" s="106">
        <f xml:space="preserve"> IF(  INDEX( 'i1'!$FS98:$JO98, DF$13 ) = LEER,  #N/A,  INDEX( 'i1'!$FS98:$JO98, DF$13 )  )</f>
        <v>13007.88</v>
      </c>
      <c r="DG98" s="106">
        <f xml:space="preserve"> IF(  INDEX( 'i1'!$FS98:$JO98, DG$13 ) = LEER,  #N/A,  INDEX( 'i1'!$FS98:$JO98, DG$13 )  )</f>
        <v>9590.1200000000008</v>
      </c>
      <c r="DH98" s="106">
        <f xml:space="preserve"> IF(  INDEX( 'i1'!$FS98:$JO98, DH$13 ) = LEER,  #N/A,  INDEX( 'i1'!$FS98:$JO98, DH$13 )  )</f>
        <v>6287.24</v>
      </c>
      <c r="DI98" s="106">
        <f xml:space="preserve"> IF(  INDEX( 'i1'!$FS98:$JO98, DI$13 ) = LEER,  #N/A,  INDEX( 'i1'!$FS98:$JO98, DI$13 )  )</f>
        <v>3568.2</v>
      </c>
      <c r="DJ98" s="106">
        <f xml:space="preserve"> IF(  INDEX( 'i1'!$FS98:$JO98, DJ$13 ) = LEER,  #N/A,  INDEX( 'i1'!$FS98:$JO98, DJ$13 )  )</f>
        <v>1279.0899999999999</v>
      </c>
      <c r="DK98" s="106">
        <f xml:space="preserve"> IF(  INDEX( 'i1'!$FS98:$JO98, DK$13 ) = LEER,  #N/A,  INDEX( 'i1'!$FS98:$JO98, DK$13 )  )</f>
        <v>221.24</v>
      </c>
      <c r="DL98" s="106">
        <f xml:space="preserve"> IF(  INDEX( 'i1'!$FS98:$JO98, DL$13 ) = LEER,  #N/A,  INDEX( 'i1'!$FS98:$JO98, DL$13 )  )</f>
        <v>96.24</v>
      </c>
      <c r="DM98" s="106">
        <f xml:space="preserve"> IF(  INDEX( 'i1'!$FS98:$JO98, DM$13 ) = LEER,  #N/A,  INDEX( 'i1'!$FS98:$JO98, DM$13 )  )</f>
        <v>52.16</v>
      </c>
      <c r="DN98" s="106" t="e">
        <f xml:space="preserve"> IF(  INDEX( 'i1'!$FS98:$JO98, DN$13 ) = LEER,  #N/A,  INDEX( 'i1'!$FS98:$JO98, DN$13 )  )</f>
        <v>#N/A</v>
      </c>
    </row>
    <row r="99" spans="1:118" x14ac:dyDescent="0.2">
      <c r="A99" s="15">
        <f xml:space="preserve"> Basis!A99</f>
        <v>99</v>
      </c>
      <c r="C99" s="24" t="b">
        <f xml:space="preserve"> 'i1'!$O99</f>
        <v>1</v>
      </c>
      <c r="D99" s="24" t="b">
        <f xml:space="preserve"> 'i2'!$O99</f>
        <v>1</v>
      </c>
      <c r="E99" s="24" t="b">
        <f xml:space="preserve"> 'i3'!$O99</f>
        <v>1</v>
      </c>
      <c r="G99" s="27">
        <f xml:space="preserve"> IF( $C100,   IF( 'i1'!$P99=LEER,  #N/A,  'i1'!$P99  ),   #N/A  )</f>
        <v>0.26150000000000001</v>
      </c>
      <c r="H99" s="27">
        <f xml:space="preserve"> IF( $D100,   IF( 'i2'!$P99=LEER,  #N/A,  'i2'!$P99  ),   #N/A  )</f>
        <v>0.26150000000000001</v>
      </c>
      <c r="I99" s="27">
        <f xml:space="preserve"> IF( $E100,   IF( 'i3'!$P99=LEER,  #N/A,  'i3'!$P99  ),   #N/A  )</f>
        <v>0.26150000000000001</v>
      </c>
      <c r="J99" s="158"/>
      <c r="K99" s="27">
        <f xml:space="preserve"> IF( $C100,   IF( 'i1'!$G99=LEER,  #N/A,  'i1'!$G99  ),   #N/A  )</f>
        <v>1.4E-3</v>
      </c>
      <c r="L99" s="27">
        <f xml:space="preserve"> IF( $D100,   IF( 'i2'!$G99=LEER,  #N/A,  'i2'!$G99  ),   #N/A  )</f>
        <v>1.4E-3</v>
      </c>
      <c r="M99" s="27">
        <f xml:space="preserve"> IF( $E100,   IF( 'i3'!$G99=LEER,  #N/A,  'i3'!$G99  ),   #N/A  )</f>
        <v>1.4E-3</v>
      </c>
      <c r="N99" s="158"/>
      <c r="O99" s="158"/>
      <c r="Q99" s="28">
        <f t="shared" si="56"/>
        <v>3.0928453406950625</v>
      </c>
      <c r="R99" s="28">
        <f t="shared" si="57"/>
        <v>3.0928453406950625</v>
      </c>
      <c r="S99" s="28">
        <f t="shared" si="58"/>
        <v>3.0928453406950625</v>
      </c>
      <c r="U99" s="76">
        <f xml:space="preserve"> IF( $C98,   SUM('i1'!$R99),   #N/A  )</f>
        <v>34598</v>
      </c>
      <c r="V99" s="76">
        <f xml:space="preserve"> IF( $C98,   SUM('i2'!$R99),   #N/A  )</f>
        <v>34598</v>
      </c>
      <c r="W99" s="76">
        <f xml:space="preserve"> IF( $C98,   SUM('i3'!$R99),   #N/A  )</f>
        <v>34598</v>
      </c>
      <c r="Y99" s="33"/>
      <c r="Z99" s="22">
        <f xml:space="preserve"> IF( $C99,   IF( 'i1'!$J99=LEER,  #N/A,  'i1'!$J99  ),   #N/A  )</f>
        <v>5.52</v>
      </c>
      <c r="AA99" s="22">
        <f xml:space="preserve"> IF( $D99,   IF( 'i2'!$J99=LEER,  #N/A,  'i2'!$J99  ),   #N/A  )</f>
        <v>5.52</v>
      </c>
      <c r="AB99" s="22">
        <f xml:space="preserve"> IF( $E99,   IF( 'i3'!$J99=LEER,  #N/A,  'i3'!$J99  ),   #N/A  )</f>
        <v>5.52</v>
      </c>
      <c r="AC99" s="75"/>
      <c r="AD99" s="26">
        <f t="shared" si="46"/>
        <v>11469.400799999999</v>
      </c>
      <c r="AE99" s="26">
        <f t="shared" si="47"/>
        <v>11469.400799999999</v>
      </c>
      <c r="AF99" s="26">
        <f t="shared" si="48"/>
        <v>11469.400799999999</v>
      </c>
      <c r="AG99" s="23"/>
      <c r="AH99" s="24">
        <f xml:space="preserve">    IF(  'i1'!$AK99=LEER,  #N/A,  ROUND( 'i1'!$AK99, AH$15 )  )</f>
        <v>1107.83</v>
      </c>
      <c r="AI99" s="24">
        <f xml:space="preserve">    IF(  'i2'!$AK99=LEER,  #N/A,  ROUND( 'i2'!$AK99, AI$15 )  )</f>
        <v>1107.83</v>
      </c>
      <c r="AJ99" s="24">
        <f xml:space="preserve">    IF(  'i3'!$AK99=LEER,  #N/A,  ROUND( 'i3'!$AK99, AJ$15 )  )</f>
        <v>1107.83</v>
      </c>
      <c r="AL99" s="102">
        <f t="shared" si="49"/>
        <v>1107.83</v>
      </c>
      <c r="AO99" s="24">
        <f xml:space="preserve">    IF( 'i1'!$AN99=LEER,  #N/A,  'i1'!$AN99  )</f>
        <v>25885.69</v>
      </c>
      <c r="AP99" s="24">
        <f xml:space="preserve">    IF( 'i2'!$AN99=LEER,  #N/A,  'i2'!$AN99  )</f>
        <v>25885.69</v>
      </c>
      <c r="AQ99" s="24">
        <f xml:space="preserve">    IF( 'i3'!$AN99=LEER,  #N/A,  'i3'!$AN99  )</f>
        <v>25885.69</v>
      </c>
      <c r="AS99" s="24">
        <f xml:space="preserve">    IF( 'i1'!$AO99=LEER,  #N/A,  'i1'!$AO99  )</f>
        <v>25728.98</v>
      </c>
      <c r="AT99" s="24">
        <f xml:space="preserve">    IF( 'i2'!$AO99=LEER,  #N/A,  'i2'!$AO99  )</f>
        <v>25728.98</v>
      </c>
      <c r="AU99" s="24">
        <f xml:space="preserve">    IF( 'i3'!$AO99=LEER,  #N/A,  'i3'!$AO99  )</f>
        <v>25728.98</v>
      </c>
      <c r="AW99" s="28">
        <f t="shared" si="59"/>
        <v>12.458299999999999</v>
      </c>
      <c r="AX99" s="28">
        <f t="shared" si="50"/>
        <v>12.458299999999999</v>
      </c>
      <c r="AY99" s="28">
        <f t="shared" si="51"/>
        <v>12.458299999999999</v>
      </c>
      <c r="BA99" s="28">
        <f t="shared" si="52"/>
        <v>12.382899999999999</v>
      </c>
      <c r="BB99" s="28">
        <f t="shared" si="53"/>
        <v>12.382899999999999</v>
      </c>
      <c r="BC99" s="28">
        <f t="shared" si="54"/>
        <v>12.382899999999999</v>
      </c>
      <c r="BG99" s="24">
        <f xml:space="preserve">    IF( 'i1'!BT99=LEER,  #N/A,  'i1'!BT99  )</f>
        <v>-7616.97</v>
      </c>
      <c r="BH99" s="24">
        <f xml:space="preserve">    IF( 'i1'!BR99=LEER,  #N/A,  'i1'!BR99  )</f>
        <v>26494.69</v>
      </c>
      <c r="BI99" s="111">
        <f t="shared" si="55"/>
        <v>18877.719999999998</v>
      </c>
      <c r="BJ99" s="24">
        <f xml:space="preserve">    IF( 'i1'!BX99=LEER,  #N/A,  'i1'!BX99  )</f>
        <v>7007.9700000000012</v>
      </c>
      <c r="BL99" s="24">
        <f xml:space="preserve">    IF( 'i1'!CB99=LEER,  #N/A,  'i1'!CB99  )</f>
        <v>-7807.39</v>
      </c>
      <c r="BM99" s="24">
        <f xml:space="preserve">    IF( 'i1'!CC99=LEER,  #N/A,  'i1'!CC99  )</f>
        <v>647.14</v>
      </c>
      <c r="BN99" s="24">
        <f xml:space="preserve">    IF( 'i1'!CD99=LEER,  #N/A,  'i1'!CD99  )</f>
        <v>6630.83</v>
      </c>
      <c r="BO99" s="24">
        <f xml:space="preserve">    IF( 'i1'!CE99=LEER,  #N/A,  'i1'!CE99  )</f>
        <v>-529.42000000000007</v>
      </c>
      <c r="BQ99" s="24">
        <f xml:space="preserve">    IF( 'i1'!CI99=LEER,  #N/A,  'i1'!CI99  )</f>
        <v>11469.4</v>
      </c>
      <c r="BR99" s="24">
        <f xml:space="preserve">    IF( 'i1'!CJ99=LEER,  #N/A,  'i1'!CJ99  )</f>
        <v>-1147.25</v>
      </c>
      <c r="BS99" s="24">
        <f xml:space="preserve">    IF( 'i1'!CK99=LEER,  #N/A,  'i1'!CK99  )</f>
        <v>-6469.1</v>
      </c>
      <c r="BT99" s="38">
        <f xml:space="preserve">    IF( 'i1'!CH99=LEER,  #N/A,  'i1'!CH99  )</f>
        <v>3852.4304390000002</v>
      </c>
      <c r="BV99" s="24">
        <f xml:space="preserve">    IF( 'i1'!CO99=LEER,  #N/A,  'i1'!CO99  )</f>
        <v>11469.4</v>
      </c>
      <c r="BW99" s="24">
        <f xml:space="preserve">    IF( 'i1'!CP99=LEER,  #N/A,  'i1'!CP99  )</f>
        <v>-1140.29</v>
      </c>
      <c r="BX99" s="24">
        <f xml:space="preserve">    IF( 'i1'!CQ99=LEER,  #N/A,  'i1'!CQ99  )</f>
        <v>-6429.94</v>
      </c>
      <c r="BY99" s="38">
        <f xml:space="preserve">    IF( 'i1'!CN99=LEER,  #N/A,  'i1'!CN99  )</f>
        <v>3898.5573770000001</v>
      </c>
      <c r="CD99" s="113" t="e">
        <f xml:space="preserve"> IF(  AND( $A99&lt;&gt;$CD$14, OR( 'i1'!EO99=LEER, 'i1'!EM99&lt;&gt;LEER ) ), #N/A, 'i1'!EO99 )</f>
        <v>#N/A</v>
      </c>
      <c r="CE99" s="113">
        <f xml:space="preserve"> IF(   'i1'!EM99=LEER, #N/A,  'i1'!EM99 )</f>
        <v>6911.39</v>
      </c>
      <c r="CF99" s="114">
        <f xml:space="preserve"> IF(   'i1'!EL99=LEER, #N/A, 'i1'!EL99 + 'i1'!EM99 )</f>
        <v>25730.23</v>
      </c>
      <c r="CW99" s="104">
        <f xml:space="preserve"> 'i1'!FN99</f>
        <v>99</v>
      </c>
      <c r="CX99" s="106">
        <f xml:space="preserve"> IF(  INDEX( 'i1'!$FS99:$JO99, CX$13 ) = LEER,  #N/A,  INDEX( 'i1'!$FS99:$JO99, CX$13 )  )</f>
        <v>30500.21</v>
      </c>
      <c r="CY99" s="106">
        <f xml:space="preserve"> IF(  INDEX( 'i1'!$FS99:$JO99, CY$13 ) = LEER,  #N/A,  INDEX( 'i1'!$FS99:$JO99, CY$13 )  )</f>
        <v>29039.69</v>
      </c>
      <c r="CZ99" s="106">
        <f xml:space="preserve"> IF(  INDEX( 'i1'!$FS99:$JO99, CZ$13 ) = LEER,  #N/A,  INDEX( 'i1'!$FS99:$JO99, CZ$13 )  )</f>
        <v>27461.279999999999</v>
      </c>
      <c r="DA99" s="106">
        <f xml:space="preserve"> IF(  INDEX( 'i1'!$FS99:$JO99, DA$13 ) = LEER,  #N/A,  INDEX( 'i1'!$FS99:$JO99, DA$13 )  )</f>
        <v>25728.98</v>
      </c>
      <c r="DB99" s="106">
        <f xml:space="preserve"> IF(  INDEX( 'i1'!$FS99:$JO99, DB$13 ) = LEER,  #N/A,  INDEX( 'i1'!$FS99:$JO99, DB$13 )  )</f>
        <v>23789.85</v>
      </c>
      <c r="DC99" s="106">
        <f xml:space="preserve"> IF(  INDEX( 'i1'!$FS99:$JO99, DC$13 ) = LEER,  #N/A,  INDEX( 'i1'!$FS99:$JO99, DC$13 )  )</f>
        <v>21499.18</v>
      </c>
      <c r="DD99" s="106">
        <f xml:space="preserve"> IF(  INDEX( 'i1'!$FS99:$JO99, DD$13 ) = LEER,  #N/A,  INDEX( 'i1'!$FS99:$JO99, DD$13 )  )</f>
        <v>18818.84</v>
      </c>
      <c r="DE99" s="106">
        <f xml:space="preserve"> IF(  INDEX( 'i1'!$FS99:$JO99, DE$13 ) = LEER,  #N/A,  INDEX( 'i1'!$FS99:$JO99, DE$13 )  )</f>
        <v>15860.38</v>
      </c>
      <c r="DF99" s="106">
        <f xml:space="preserve"> IF(  INDEX( 'i1'!$FS99:$JO99, DF$13 ) = LEER,  #N/A,  INDEX( 'i1'!$FS99:$JO99, DF$13 )  )</f>
        <v>12709.91</v>
      </c>
      <c r="DG99" s="106">
        <f xml:space="preserve"> IF(  INDEX( 'i1'!$FS99:$JO99, DG$13 ) = LEER,  #N/A,  INDEX( 'i1'!$FS99:$JO99, DG$13 )  )</f>
        <v>9370.9599999999991</v>
      </c>
      <c r="DH99" s="106">
        <f xml:space="preserve"> IF(  INDEX( 'i1'!$FS99:$JO99, DH$13 ) = LEER,  #N/A,  INDEX( 'i1'!$FS99:$JO99, DH$13 )  )</f>
        <v>6144.26</v>
      </c>
      <c r="DI99" s="106">
        <f xml:space="preserve"> IF(  INDEX( 'i1'!$FS99:$JO99, DI$13 ) = LEER,  #N/A,  INDEX( 'i1'!$FS99:$JO99, DI$13 )  )</f>
        <v>3487.92</v>
      </c>
      <c r="DJ99" s="106">
        <f xml:space="preserve"> IF(  INDEX( 'i1'!$FS99:$JO99, DJ$13 ) = LEER,  #N/A,  INDEX( 'i1'!$FS99:$JO99, DJ$13 )  )</f>
        <v>1251.6099999999999</v>
      </c>
      <c r="DK99" s="106">
        <f xml:space="preserve"> IF(  INDEX( 'i1'!$FS99:$JO99, DK$13 ) = LEER,  #N/A,  INDEX( 'i1'!$FS99:$JO99, DK$13 )  )</f>
        <v>218.16</v>
      </c>
      <c r="DL99" s="106">
        <f xml:space="preserve"> IF(  INDEX( 'i1'!$FS99:$JO99, DL$13 ) = LEER,  #N/A,  INDEX( 'i1'!$FS99:$JO99, DL$13 )  )</f>
        <v>96.03</v>
      </c>
      <c r="DM99" s="106">
        <f xml:space="preserve"> IF(  INDEX( 'i1'!$FS99:$JO99, DM$13 ) = LEER,  #N/A,  INDEX( 'i1'!$FS99:$JO99, DM$13 )  )</f>
        <v>52.97</v>
      </c>
      <c r="DN99" s="106" t="e">
        <f xml:space="preserve"> IF(  INDEX( 'i1'!$FS99:$JO99, DN$13 ) = LEER,  #N/A,  INDEX( 'i1'!$FS99:$JO99, DN$13 )  )</f>
        <v>#N/A</v>
      </c>
    </row>
    <row r="100" spans="1:118" x14ac:dyDescent="0.2">
      <c r="A100" s="15">
        <f xml:space="preserve"> Basis!A100</f>
        <v>100</v>
      </c>
      <c r="C100" s="24" t="b">
        <f xml:space="preserve"> 'i1'!$O100</f>
        <v>1</v>
      </c>
      <c r="D100" s="24" t="b">
        <f xml:space="preserve"> 'i2'!$O100</f>
        <v>1</v>
      </c>
      <c r="E100" s="24" t="b">
        <f xml:space="preserve"> 'i3'!$O100</f>
        <v>1</v>
      </c>
      <c r="G100" s="27">
        <f xml:space="preserve"> IF( $C101,   IF( 'i1'!$P100=LEER,  #N/A,  'i1'!$P100  ),   #N/A  )</f>
        <v>0.26629999999999998</v>
      </c>
      <c r="H100" s="27">
        <f xml:space="preserve"> IF( $D101,   IF( 'i2'!$P100=LEER,  #N/A,  'i2'!$P100  ),   #N/A  )</f>
        <v>0.26629999999999998</v>
      </c>
      <c r="I100" s="27">
        <f xml:space="preserve"> IF( $E101,   IF( 'i3'!$P100=LEER,  #N/A,  'i3'!$P100  ),   #N/A  )</f>
        <v>0.26629999999999998</v>
      </c>
      <c r="J100" s="158"/>
      <c r="K100" s="27">
        <f xml:space="preserve"> IF( $C101,   IF( 'i1'!$G100=LEER,  #N/A,  'i1'!$G100  ),   #N/A  )</f>
        <v>1.5E-3</v>
      </c>
      <c r="L100" s="27">
        <f xml:space="preserve"> IF( $D101,   IF( 'i2'!$G100=LEER,  #N/A,  'i2'!$G100  ),   #N/A  )</f>
        <v>1.5E-3</v>
      </c>
      <c r="M100" s="27">
        <f xml:space="preserve"> IF( $E101,   IF( 'i3'!$G100=LEER,  #N/A,  'i3'!$G100  ),   #N/A  )</f>
        <v>1.5E-3</v>
      </c>
      <c r="N100" s="158"/>
      <c r="O100" s="158"/>
      <c r="Q100" s="28">
        <f t="shared" si="56"/>
        <v>3.010961869593856</v>
      </c>
      <c r="R100" s="28">
        <f t="shared" si="57"/>
        <v>3.010961869593856</v>
      </c>
      <c r="S100" s="28">
        <f t="shared" si="58"/>
        <v>3.010961869593856</v>
      </c>
      <c r="U100" s="76">
        <f xml:space="preserve"> IF( $C99,   SUM('i1'!$R100),   #N/A  )</f>
        <v>25550</v>
      </c>
      <c r="V100" s="76">
        <f xml:space="preserve"> IF( $C99,   SUM('i2'!$R100),   #N/A  )</f>
        <v>25550</v>
      </c>
      <c r="W100" s="76">
        <f xml:space="preserve"> IF( $C99,   SUM('i3'!$R100),   #N/A  )</f>
        <v>25550</v>
      </c>
      <c r="Y100" s="33"/>
      <c r="Z100" s="22">
        <f xml:space="preserve"> IF( $C100,   IF( 'i1'!$J100=LEER,  #N/A,  'i1'!$J100  ),   #N/A  )</f>
        <v>5.52</v>
      </c>
      <c r="AA100" s="22">
        <f xml:space="preserve"> IF( $D100,   IF( 'i2'!$J100=LEER,  #N/A,  'i2'!$J100  ),   #N/A  )</f>
        <v>5.52</v>
      </c>
      <c r="AB100" s="22">
        <f xml:space="preserve"> IF( $E100,   IF( 'i3'!$J100=LEER,  #N/A,  'i3'!$J100  ),   #N/A  )</f>
        <v>5.52</v>
      </c>
      <c r="AC100" s="75"/>
      <c r="AD100" s="26">
        <f t="shared" si="46"/>
        <v>11469.400799999999</v>
      </c>
      <c r="AE100" s="26">
        <f t="shared" si="47"/>
        <v>11469.400799999999</v>
      </c>
      <c r="AF100" s="26">
        <f t="shared" si="48"/>
        <v>11469.400799999999</v>
      </c>
      <c r="AG100" s="23"/>
      <c r="AH100" s="24">
        <f xml:space="preserve">    IF(  'i1'!$AK100=LEER,  #N/A,  ROUND( 'i1'!$AK100, AH$15 )  )</f>
        <v>1107.95</v>
      </c>
      <c r="AI100" s="24">
        <f xml:space="preserve">    IF(  'i2'!$AK100=LEER,  #N/A,  ROUND( 'i2'!$AK100, AI$15 )  )</f>
        <v>1107.95</v>
      </c>
      <c r="AJ100" s="24">
        <f xml:space="preserve">    IF(  'i3'!$AK100=LEER,  #N/A,  ROUND( 'i3'!$AK100, AJ$15 )  )</f>
        <v>1107.95</v>
      </c>
      <c r="AL100" s="102">
        <f t="shared" si="49"/>
        <v>1107.95</v>
      </c>
      <c r="AO100" s="24">
        <f xml:space="preserve">    IF( 'i1'!$AN100=LEER,  #N/A,  'i1'!$AN100  )</f>
        <v>25356.9</v>
      </c>
      <c r="AP100" s="24">
        <f xml:space="preserve">    IF( 'i2'!$AN100=LEER,  #N/A,  'i2'!$AN100  )</f>
        <v>25356.9</v>
      </c>
      <c r="AQ100" s="24">
        <f xml:space="preserve">    IF( 'i3'!$AN100=LEER,  #N/A,  'i3'!$AN100  )</f>
        <v>25356.9</v>
      </c>
      <c r="AS100" s="24">
        <f xml:space="preserve">    IF( 'i1'!$AO100=LEER,  #N/A,  'i1'!$AO100  )</f>
        <v>25203.41</v>
      </c>
      <c r="AT100" s="24">
        <f xml:space="preserve">    IF( 'i2'!$AO100=LEER,  #N/A,  'i2'!$AO100  )</f>
        <v>25203.41</v>
      </c>
      <c r="AU100" s="24">
        <f xml:space="preserve">    IF( 'i3'!$AO100=LEER,  #N/A,  'i3'!$AO100  )</f>
        <v>25203.41</v>
      </c>
      <c r="AW100" s="28">
        <f t="shared" si="59"/>
        <v>12.203799999999999</v>
      </c>
      <c r="AX100" s="28">
        <f t="shared" si="50"/>
        <v>12.203799999999999</v>
      </c>
      <c r="AY100" s="28">
        <f t="shared" si="51"/>
        <v>12.203799999999999</v>
      </c>
      <c r="BA100" s="28">
        <f t="shared" si="52"/>
        <v>12.129899999999999</v>
      </c>
      <c r="BB100" s="28">
        <f t="shared" si="53"/>
        <v>12.129899999999999</v>
      </c>
      <c r="BC100" s="28">
        <f t="shared" si="54"/>
        <v>12.129899999999999</v>
      </c>
      <c r="BG100" s="24">
        <f xml:space="preserve">    IF( 'i1'!BT100=LEER,  #N/A,  'i1'!BT100  )</f>
        <v>-7616.97</v>
      </c>
      <c r="BH100" s="24">
        <f xml:space="preserve">    IF( 'i1'!BR100=LEER,  #N/A,  'i1'!BR100  )</f>
        <v>25885.69</v>
      </c>
      <c r="BI100" s="111">
        <f t="shared" si="55"/>
        <v>18268.719999999998</v>
      </c>
      <c r="BJ100" s="24">
        <f xml:space="preserve">    IF( 'i1'!BX100=LEER,  #N/A,  'i1'!BX100  )</f>
        <v>7088.1800000000039</v>
      </c>
      <c r="BL100" s="24">
        <f xml:space="preserve">    IF( 'i1'!CB100=LEER,  #N/A,  'i1'!CB100  )</f>
        <v>-7807.39</v>
      </c>
      <c r="BM100" s="24">
        <f xml:space="preserve">    IF( 'i1'!CC100=LEER,  #N/A,  'i1'!CC100  )</f>
        <v>633.91999999999996</v>
      </c>
      <c r="BN100" s="24">
        <f xml:space="preserve">    IF( 'i1'!CD100=LEER,  #N/A,  'i1'!CD100  )</f>
        <v>6599.73</v>
      </c>
      <c r="BO100" s="24">
        <f xml:space="preserve">    IF( 'i1'!CE100=LEER,  #N/A,  'i1'!CE100  )</f>
        <v>-573.74000000000069</v>
      </c>
      <c r="BQ100" s="24">
        <f xml:space="preserve">    IF( 'i1'!CI100=LEER,  #N/A,  'i1'!CI100  )</f>
        <v>11469.4</v>
      </c>
      <c r="BR100" s="24">
        <f xml:space="preserve">    IF( 'i1'!CJ100=LEER,  #N/A,  'i1'!CJ100  )</f>
        <v>-1178.3</v>
      </c>
      <c r="BS100" s="24">
        <f xml:space="preserve">    IF( 'i1'!CK100=LEER,  #N/A,  'i1'!CK100  )</f>
        <v>-6438.76</v>
      </c>
      <c r="BT100" s="38">
        <f xml:space="preserve">    IF( 'i1'!CH100=LEER,  #N/A,  'i1'!CH100  )</f>
        <v>3852.4304390000002</v>
      </c>
      <c r="BV100" s="24">
        <f xml:space="preserve">    IF( 'i1'!CO100=LEER,  #N/A,  'i1'!CO100  )</f>
        <v>11469.4</v>
      </c>
      <c r="BW100" s="24">
        <f xml:space="preserve">    IF( 'i1'!CP100=LEER,  #N/A,  'i1'!CP100  )</f>
        <v>-1171.1400000000001</v>
      </c>
      <c r="BX100" s="24">
        <f xml:space="preserve">    IF( 'i1'!CQ100=LEER,  #N/A,  'i1'!CQ100  )</f>
        <v>-6399.79</v>
      </c>
      <c r="BY100" s="38">
        <f xml:space="preserve">    IF( 'i1'!CN100=LEER,  #N/A,  'i1'!CN100  )</f>
        <v>3898.5573770000001</v>
      </c>
      <c r="CD100" s="113" t="e">
        <f xml:space="preserve"> IF(  AND( $A100&lt;&gt;$CD$14, OR( 'i1'!EO100=LEER, 'i1'!EM100&lt;&gt;LEER ) ), #N/A, 'i1'!EO100 )</f>
        <v>#N/A</v>
      </c>
      <c r="CE100" s="113">
        <f xml:space="preserve"> IF(   'i1'!EM100=LEER, #N/A,  'i1'!EM100 )</f>
        <v>6769.19</v>
      </c>
      <c r="CF100" s="114">
        <f xml:space="preserve"> IF(   'i1'!EL100=LEER, #N/A, 'i1'!EL100 + 'i1'!EM100 )</f>
        <v>25204.639999999999</v>
      </c>
      <c r="CW100" s="104">
        <f xml:space="preserve"> 'i1'!FN100</f>
        <v>100</v>
      </c>
      <c r="CX100" s="106">
        <f xml:space="preserve"> IF(  INDEX( 'i1'!$FS100:$JO100, CX$13 ) = LEER,  #N/A,  INDEX( 'i1'!$FS100:$JO100, CX$13 )  )</f>
        <v>29876.48</v>
      </c>
      <c r="CY100" s="106">
        <f xml:space="preserve"> IF(  INDEX( 'i1'!$FS100:$JO100, CY$13 ) = LEER,  #N/A,  INDEX( 'i1'!$FS100:$JO100, CY$13 )  )</f>
        <v>28446</v>
      </c>
      <c r="CZ100" s="106">
        <f xml:space="preserve"> IF(  INDEX( 'i1'!$FS100:$JO100, CZ$13 ) = LEER,  #N/A,  INDEX( 'i1'!$FS100:$JO100, CZ$13 )  )</f>
        <v>26900.07</v>
      </c>
      <c r="DA100" s="106">
        <f xml:space="preserve"> IF(  INDEX( 'i1'!$FS100:$JO100, DA$13 ) = LEER,  #N/A,  INDEX( 'i1'!$FS100:$JO100, DA$13 )  )</f>
        <v>25203.41</v>
      </c>
      <c r="DB100" s="106">
        <f xml:space="preserve"> IF(  INDEX( 'i1'!$FS100:$JO100, DB$13 ) = LEER,  #N/A,  INDEX( 'i1'!$FS100:$JO100, DB$13 )  )</f>
        <v>23304.18</v>
      </c>
      <c r="DC100" s="106">
        <f xml:space="preserve"> IF(  INDEX( 'i1'!$FS100:$JO100, DC$13 ) = LEER,  #N/A,  INDEX( 'i1'!$FS100:$JO100, DC$13 )  )</f>
        <v>21060.63</v>
      </c>
      <c r="DD100" s="106">
        <f xml:space="preserve"> IF(  INDEX( 'i1'!$FS100:$JO100, DD$13 ) = LEER,  #N/A,  INDEX( 'i1'!$FS100:$JO100, DD$13 )  )</f>
        <v>18435.45</v>
      </c>
      <c r="DE100" s="106">
        <f xml:space="preserve"> IF(  INDEX( 'i1'!$FS100:$JO100, DE$13 ) = LEER,  #N/A,  INDEX( 'i1'!$FS100:$JO100, DE$13 )  )</f>
        <v>15537.85</v>
      </c>
      <c r="DF100" s="106">
        <f xml:space="preserve"> IF(  INDEX( 'i1'!$FS100:$JO100, DF$13 ) = LEER,  #N/A,  INDEX( 'i1'!$FS100:$JO100, DF$13 )  )</f>
        <v>12452.2</v>
      </c>
      <c r="DG100" s="106">
        <f xml:space="preserve"> IF(  INDEX( 'i1'!$FS100:$JO100, DG$13 ) = LEER,  #N/A,  INDEX( 'i1'!$FS100:$JO100, DG$13 )  )</f>
        <v>9181.9500000000007</v>
      </c>
      <c r="DH100" s="106">
        <f xml:space="preserve"> IF(  INDEX( 'i1'!$FS100:$JO100, DH$13 ) = LEER,  #N/A,  INDEX( 'i1'!$FS100:$JO100, DH$13 )  )</f>
        <v>6021.63</v>
      </c>
      <c r="DI100" s="106">
        <f xml:space="preserve"> IF(  INDEX( 'i1'!$FS100:$JO100, DI$13 ) = LEER,  #N/A,  INDEX( 'i1'!$FS100:$JO100, DI$13 )  )</f>
        <v>3419.95</v>
      </c>
      <c r="DJ100" s="106">
        <f xml:space="preserve"> IF(  INDEX( 'i1'!$FS100:$JO100, DJ$13 ) = LEER,  #N/A,  INDEX( 'i1'!$FS100:$JO100, DJ$13 )  )</f>
        <v>1229.6500000000001</v>
      </c>
      <c r="DK100" s="106">
        <f xml:space="preserve"> IF(  INDEX( 'i1'!$FS100:$JO100, DK$13 ) = LEER,  #N/A,  INDEX( 'i1'!$FS100:$JO100, DK$13 )  )</f>
        <v>217.46</v>
      </c>
      <c r="DL100" s="106">
        <f xml:space="preserve"> IF(  INDEX( 'i1'!$FS100:$JO100, DL$13 ) = LEER,  #N/A,  INDEX( 'i1'!$FS100:$JO100, DL$13 )  )</f>
        <v>97.85</v>
      </c>
      <c r="DM100" s="106">
        <f xml:space="preserve"> IF(  INDEX( 'i1'!$FS100:$JO100, DM$13 ) = LEER,  #N/A,  INDEX( 'i1'!$FS100:$JO100, DM$13 )  )</f>
        <v>55.68</v>
      </c>
      <c r="DN100" s="106">
        <f xml:space="preserve"> IF(  INDEX( 'i1'!$FS100:$JO100, DN$13 ) = LEER,  #N/A,  INDEX( 'i1'!$FS100:$JO100, DN$13 )  )</f>
        <v>-0.33</v>
      </c>
    </row>
    <row r="101" spans="1:118" x14ac:dyDescent="0.2">
      <c r="A101" s="15">
        <f xml:space="preserve"> Basis!A101</f>
        <v>101</v>
      </c>
      <c r="C101" s="24" t="b">
        <f xml:space="preserve"> 'i1'!$O101</f>
        <v>1</v>
      </c>
      <c r="D101" s="24" t="b">
        <f xml:space="preserve"> 'i2'!$O101</f>
        <v>1</v>
      </c>
      <c r="E101" s="24" t="b">
        <f xml:space="preserve"> 'i3'!$O101</f>
        <v>1</v>
      </c>
      <c r="G101" s="27">
        <f xml:space="preserve"> IF( $C102,   IF( 'i1'!$P101=LEER,  #N/A,  'i1'!$P101  ),   #N/A  )</f>
        <v>0.27150000000000002</v>
      </c>
      <c r="H101" s="27">
        <f xml:space="preserve"> IF( $D102,   IF( 'i2'!$P101=LEER,  #N/A,  'i2'!$P101  ),   #N/A  )</f>
        <v>0.27150000000000002</v>
      </c>
      <c r="I101" s="27">
        <f xml:space="preserve"> IF( $E102,   IF( 'i3'!$P101=LEER,  #N/A,  'i3'!$P101  ),   #N/A  )</f>
        <v>0.27150000000000002</v>
      </c>
      <c r="J101" s="158"/>
      <c r="K101" s="27">
        <f xml:space="preserve"> IF( $C102,   IF( 'i1'!$G101=LEER,  #N/A,  'i1'!$G101  ),   #N/A  )</f>
        <v>1.4E-3</v>
      </c>
      <c r="L101" s="27">
        <f xml:space="preserve"> IF( $D102,   IF( 'i2'!$G101=LEER,  #N/A,  'i2'!$G101  ),   #N/A  )</f>
        <v>1.4E-3</v>
      </c>
      <c r="M101" s="27">
        <f xml:space="preserve"> IF( $E102,   IF( 'i3'!$G101=LEER,  #N/A,  'i3'!$G101  ),   #N/A  )</f>
        <v>1.4E-3</v>
      </c>
      <c r="N101" s="158"/>
      <c r="O101" s="158"/>
      <c r="Q101" s="28">
        <f t="shared" si="56"/>
        <v>2.9223277492079265</v>
      </c>
      <c r="R101" s="28">
        <f t="shared" si="57"/>
        <v>2.9223277492079265</v>
      </c>
      <c r="S101" s="28">
        <f t="shared" si="58"/>
        <v>2.9223277492079265</v>
      </c>
      <c r="U101" s="76">
        <f xml:space="preserve"> IF( $C100,   SUM('i1'!$R101),   #N/A  )</f>
        <v>18746</v>
      </c>
      <c r="V101" s="76">
        <f xml:space="preserve"> IF( $C100,   SUM('i2'!$R101),   #N/A  )</f>
        <v>18746</v>
      </c>
      <c r="W101" s="76">
        <f xml:space="preserve"> IF( $C100,   SUM('i3'!$R101),   #N/A  )</f>
        <v>18746</v>
      </c>
      <c r="Y101" s="33"/>
      <c r="Z101" s="22">
        <f xml:space="preserve"> IF( $C101,   IF( 'i1'!$J101=LEER,  #N/A,  'i1'!$J101  ),   #N/A  )</f>
        <v>5.52</v>
      </c>
      <c r="AA101" s="22">
        <f xml:space="preserve"> IF( $D101,   IF( 'i2'!$J101=LEER,  #N/A,  'i2'!$J101  ),   #N/A  )</f>
        <v>5.52</v>
      </c>
      <c r="AB101" s="22">
        <f xml:space="preserve"> IF( $E101,   IF( 'i3'!$J101=LEER,  #N/A,  'i3'!$J101  ),   #N/A  )</f>
        <v>5.52</v>
      </c>
      <c r="AC101" s="75"/>
      <c r="AD101" s="26">
        <f t="shared" si="46"/>
        <v>11469.400799999999</v>
      </c>
      <c r="AE101" s="26">
        <f t="shared" si="47"/>
        <v>11469.400799999999</v>
      </c>
      <c r="AF101" s="26">
        <f t="shared" si="48"/>
        <v>11469.400799999999</v>
      </c>
      <c r="AG101" s="23"/>
      <c r="AH101" s="24">
        <f xml:space="preserve">    IF(  'i1'!$AK101=LEER,  #N/A,  ROUND( 'i1'!$AK101, AH$15 )  )</f>
        <v>1108.07</v>
      </c>
      <c r="AI101" s="24">
        <f xml:space="preserve">    IF(  'i2'!$AK101=LEER,  #N/A,  ROUND( 'i2'!$AK101, AI$15 )  )</f>
        <v>1108.07</v>
      </c>
      <c r="AJ101" s="24">
        <f xml:space="preserve">    IF(  'i3'!$AK101=LEER,  #N/A,  ROUND( 'i3'!$AK101, AJ$15 )  )</f>
        <v>1108.07</v>
      </c>
      <c r="AL101" s="102">
        <f t="shared" si="49"/>
        <v>1108.07</v>
      </c>
      <c r="AO101" s="24">
        <f xml:space="preserve">    IF( 'i1'!$AN101=LEER,  #N/A,  'i1'!$AN101  )</f>
        <v>24783.07</v>
      </c>
      <c r="AP101" s="24">
        <f xml:space="preserve">    IF( 'i2'!$AN101=LEER,  #N/A,  'i2'!$AN101  )</f>
        <v>24783.07</v>
      </c>
      <c r="AQ101" s="24">
        <f xml:space="preserve">    IF( 'i3'!$AN101=LEER,  #N/A,  'i3'!$AN101  )</f>
        <v>24783.07</v>
      </c>
      <c r="AS101" s="24">
        <f xml:space="preserve">    IF( 'i1'!$AO101=LEER,  #N/A,  'i1'!$AO101  )</f>
        <v>24633.08</v>
      </c>
      <c r="AT101" s="24">
        <f xml:space="preserve">    IF( 'i2'!$AO101=LEER,  #N/A,  'i2'!$AO101  )</f>
        <v>24633.08</v>
      </c>
      <c r="AU101" s="24">
        <f xml:space="preserve">    IF( 'i3'!$AO101=LEER,  #N/A,  'i3'!$AO101  )</f>
        <v>24633.08</v>
      </c>
      <c r="AW101" s="28">
        <f t="shared" si="59"/>
        <v>11.9276</v>
      </c>
      <c r="AX101" s="28">
        <f t="shared" si="50"/>
        <v>11.9276</v>
      </c>
      <c r="AY101" s="28">
        <f t="shared" si="51"/>
        <v>11.9276</v>
      </c>
      <c r="BA101" s="28">
        <f t="shared" si="52"/>
        <v>11.855399999999999</v>
      </c>
      <c r="BB101" s="28">
        <f t="shared" si="53"/>
        <v>11.855399999999999</v>
      </c>
      <c r="BC101" s="28">
        <f t="shared" si="54"/>
        <v>11.855399999999999</v>
      </c>
      <c r="BG101" s="24">
        <f xml:space="preserve">    IF( 'i1'!BT101=LEER,  #N/A,  'i1'!BT101  )</f>
        <v>-7616.97</v>
      </c>
      <c r="BH101" s="24">
        <f xml:space="preserve">    IF( 'i1'!BR101=LEER,  #N/A,  'i1'!BR101  )</f>
        <v>25356.9</v>
      </c>
      <c r="BI101" s="111">
        <f t="shared" si="55"/>
        <v>17739.93</v>
      </c>
      <c r="BJ101" s="24">
        <f xml:space="preserve">    IF( 'i1'!BX101=LEER,  #N/A,  'i1'!BX101  )</f>
        <v>7043.1399999999994</v>
      </c>
      <c r="BL101" s="24">
        <f xml:space="preserve">    IF( 'i1'!CB101=LEER,  #N/A,  'i1'!CB101  )</f>
        <v>-7807.39</v>
      </c>
      <c r="BM101" s="24">
        <f xml:space="preserve">    IF( 'i1'!CC101=LEER,  #N/A,  'i1'!CC101  )</f>
        <v>619.58000000000004</v>
      </c>
      <c r="BN101" s="24">
        <f xml:space="preserve">    IF( 'i1'!CD101=LEER,  #N/A,  'i1'!CD101  )</f>
        <v>6557.69</v>
      </c>
      <c r="BO101" s="24">
        <f xml:space="preserve">    IF( 'i1'!CE101=LEER,  #N/A,  'i1'!CE101  )</f>
        <v>-630.1200000000008</v>
      </c>
      <c r="BQ101" s="24">
        <f xml:space="preserve">    IF( 'i1'!CI101=LEER,  #N/A,  'i1'!CI101  )</f>
        <v>11469.4</v>
      </c>
      <c r="BR101" s="24">
        <f xml:space="preserve">    IF( 'i1'!CJ101=LEER,  #N/A,  'i1'!CJ101  )</f>
        <v>-1218.6199999999999</v>
      </c>
      <c r="BS101" s="24">
        <f xml:space="preserve">    IF( 'i1'!CK101=LEER,  #N/A,  'i1'!CK101  )</f>
        <v>-6397.75</v>
      </c>
      <c r="BT101" s="38">
        <f xml:space="preserve">    IF( 'i1'!CH101=LEER,  #N/A,  'i1'!CH101  )</f>
        <v>3852.4304390000002</v>
      </c>
      <c r="BV101" s="24">
        <f xml:space="preserve">    IF( 'i1'!CO101=LEER,  #N/A,  'i1'!CO101  )</f>
        <v>11469.4</v>
      </c>
      <c r="BW101" s="24">
        <f xml:space="preserve">    IF( 'i1'!CP101=LEER,  #N/A,  'i1'!CP101  )</f>
        <v>-1211.21</v>
      </c>
      <c r="BX101" s="24">
        <f xml:space="preserve">    IF( 'i1'!CQ101=LEER,  #N/A,  'i1'!CQ101  )</f>
        <v>-6359.04</v>
      </c>
      <c r="BY101" s="38">
        <f xml:space="preserve">    IF( 'i1'!CN101=LEER,  #N/A,  'i1'!CN101  )</f>
        <v>3898.5573770000001</v>
      </c>
      <c r="CD101" s="113" t="e">
        <f xml:space="preserve"> IF(  AND( $A101&lt;&gt;$CD$14, OR( 'i1'!EO101=LEER, 'i1'!EM101&lt;&gt;LEER ) ), #N/A, 'i1'!EO101 )</f>
        <v>#N/A</v>
      </c>
      <c r="CE101" s="113">
        <f xml:space="preserve"> IF(   'i1'!EM101=LEER, #N/A,  'i1'!EM101 )</f>
        <v>6614.79</v>
      </c>
      <c r="CF101" s="114">
        <f xml:space="preserve"> IF(   'i1'!EL101=LEER, #N/A, 'i1'!EL101 + 'i1'!EM101 )</f>
        <v>24634.280000000002</v>
      </c>
      <c r="CW101" s="104">
        <f xml:space="preserve"> 'i1'!FN101</f>
        <v>101</v>
      </c>
      <c r="CX101" s="106">
        <f xml:space="preserve"> IF(  INDEX( 'i1'!$FS101:$JO101, CX$13 ) = LEER,  #N/A,  INDEX( 'i1'!$FS101:$JO101, CX$13 )  )</f>
        <v>29199.56</v>
      </c>
      <c r="CY101" s="106">
        <f xml:space="preserve"> IF(  INDEX( 'i1'!$FS101:$JO101, CY$13 ) = LEER,  #N/A,  INDEX( 'i1'!$FS101:$JO101, CY$13 )  )</f>
        <v>27801.71</v>
      </c>
      <c r="CZ101" s="106">
        <f xml:space="preserve"> IF(  INDEX( 'i1'!$FS101:$JO101, CZ$13 ) = LEER,  #N/A,  INDEX( 'i1'!$FS101:$JO101, CZ$13 )  )</f>
        <v>26291.040000000001</v>
      </c>
      <c r="DA101" s="106">
        <f xml:space="preserve"> IF(  INDEX( 'i1'!$FS101:$JO101, DA$13 ) = LEER,  #N/A,  INDEX( 'i1'!$FS101:$JO101, DA$13 )  )</f>
        <v>24633.08</v>
      </c>
      <c r="DB101" s="106">
        <f xml:space="preserve"> IF(  INDEX( 'i1'!$FS101:$JO101, DB$13 ) = LEER,  #N/A,  INDEX( 'i1'!$FS101:$JO101, DB$13 )  )</f>
        <v>22777.17</v>
      </c>
      <c r="DC101" s="106">
        <f xml:space="preserve"> IF(  INDEX( 'i1'!$FS101:$JO101, DC$13 ) = LEER,  #N/A,  INDEX( 'i1'!$FS101:$JO101, DC$13 )  )</f>
        <v>20584.8</v>
      </c>
      <c r="DD101" s="106">
        <f xml:space="preserve"> IF(  INDEX( 'i1'!$FS101:$JO101, DD$13 ) = LEER,  #N/A,  INDEX( 'i1'!$FS101:$JO101, DD$13 )  )</f>
        <v>18019.490000000002</v>
      </c>
      <c r="DE101" s="106">
        <f xml:space="preserve"> IF(  INDEX( 'i1'!$FS101:$JO101, DE$13 ) = LEER,  #N/A,  INDEX( 'i1'!$FS101:$JO101, DE$13 )  )</f>
        <v>15187.99</v>
      </c>
      <c r="DF101" s="106">
        <f xml:space="preserve"> IF(  INDEX( 'i1'!$FS101:$JO101, DF$13 ) = LEER,  #N/A,  INDEX( 'i1'!$FS101:$JO101, DF$13 )  )</f>
        <v>12172.73</v>
      </c>
      <c r="DG101" s="106">
        <f xml:space="preserve"> IF(  INDEX( 'i1'!$FS101:$JO101, DG$13 ) = LEER,  #N/A,  INDEX( 'i1'!$FS101:$JO101, DG$13 )  )</f>
        <v>8977.07</v>
      </c>
      <c r="DH101" s="106">
        <f xml:space="preserve"> IF(  INDEX( 'i1'!$FS101:$JO101, DH$13 ) = LEER,  #N/A,  INDEX( 'i1'!$FS101:$JO101, DH$13 )  )</f>
        <v>5888.84</v>
      </c>
      <c r="DI101" s="106">
        <f xml:space="preserve"> IF(  INDEX( 'i1'!$FS101:$JO101, DI$13 ) = LEER,  #N/A,  INDEX( 'i1'!$FS101:$JO101, DI$13 )  )</f>
        <v>3346.5</v>
      </c>
      <c r="DJ101" s="106">
        <f xml:space="preserve"> IF(  INDEX( 'i1'!$FS101:$JO101, DJ$13 ) = LEER,  #N/A,  INDEX( 'i1'!$FS101:$JO101, DJ$13 )  )</f>
        <v>1206.1600000000001</v>
      </c>
      <c r="DK101" s="106">
        <f xml:space="preserve"> IF(  INDEX( 'i1'!$FS101:$JO101, DK$13 ) = LEER,  #N/A,  INDEX( 'i1'!$FS101:$JO101, DK$13 )  )</f>
        <v>217.06</v>
      </c>
      <c r="DL101" s="106">
        <f xml:space="preserve"> IF(  INDEX( 'i1'!$FS101:$JO101, DL$13 ) = LEER,  #N/A,  INDEX( 'i1'!$FS101:$JO101, DL$13 )  )</f>
        <v>100.18</v>
      </c>
      <c r="DM101" s="106">
        <f xml:space="preserve"> IF(  INDEX( 'i1'!$FS101:$JO101, DM$13 ) = LEER,  #N/A,  INDEX( 'i1'!$FS101:$JO101, DM$13 )  )</f>
        <v>58.96</v>
      </c>
      <c r="DN101" s="106">
        <f xml:space="preserve"> IF(  INDEX( 'i1'!$FS101:$JO101, DN$13 ) = LEER,  #N/A,  INDEX( 'i1'!$FS101:$JO101, DN$13 )  )</f>
        <v>4.24</v>
      </c>
    </row>
    <row r="102" spans="1:118" x14ac:dyDescent="0.2">
      <c r="A102" s="15">
        <f xml:space="preserve"> Basis!A102</f>
        <v>102</v>
      </c>
      <c r="C102" s="24" t="b">
        <f xml:space="preserve"> 'i1'!$O102</f>
        <v>1</v>
      </c>
      <c r="D102" s="24" t="b">
        <f xml:space="preserve"> 'i2'!$O102</f>
        <v>1</v>
      </c>
      <c r="E102" s="24" t="b">
        <f xml:space="preserve"> 'i3'!$O102</f>
        <v>1</v>
      </c>
      <c r="G102" s="27">
        <f xml:space="preserve"> IF( $C103,   IF( 'i1'!$P102=LEER,  #N/A,  'i1'!$P102  ),   #N/A  )</f>
        <v>0.27650000000000002</v>
      </c>
      <c r="H102" s="27">
        <f xml:space="preserve"> IF( $D103,   IF( 'i2'!$P102=LEER,  #N/A,  'i2'!$P102  ),   #N/A  )</f>
        <v>0.27650000000000002</v>
      </c>
      <c r="I102" s="27">
        <f xml:space="preserve"> IF( $E103,   IF( 'i3'!$P102=LEER,  #N/A,  'i3'!$P102  ),   #N/A  )</f>
        <v>0.27650000000000002</v>
      </c>
      <c r="J102" s="158"/>
      <c r="K102" s="27">
        <f xml:space="preserve"> IF( $C103,   IF( 'i1'!$G102=LEER,  #N/A,  'i1'!$G102  ),   #N/A  )</f>
        <v>1.4E-3</v>
      </c>
      <c r="L102" s="27">
        <f xml:space="preserve"> IF( $D103,   IF( 'i2'!$G102=LEER,  #N/A,  'i2'!$G102  ),   #N/A  )</f>
        <v>1.4E-3</v>
      </c>
      <c r="M102" s="27">
        <f xml:space="preserve"> IF( $E103,   IF( 'i3'!$G102=LEER,  #N/A,  'i3'!$G102  ),   #N/A  )</f>
        <v>1.4E-3</v>
      </c>
      <c r="N102" s="158"/>
      <c r="O102" s="158"/>
      <c r="Q102" s="28">
        <f t="shared" si="56"/>
        <v>2.8250895665174012</v>
      </c>
      <c r="R102" s="28">
        <f t="shared" si="57"/>
        <v>2.8250895665174012</v>
      </c>
      <c r="S102" s="28">
        <f t="shared" si="58"/>
        <v>2.8250895665174012</v>
      </c>
      <c r="U102" s="76">
        <f xml:space="preserve"> IF( $C101,   SUM('i1'!$R102),   #N/A  )</f>
        <v>13656</v>
      </c>
      <c r="V102" s="76">
        <f xml:space="preserve"> IF( $C101,   SUM('i2'!$R102),   #N/A  )</f>
        <v>13656</v>
      </c>
      <c r="W102" s="76">
        <f xml:space="preserve"> IF( $C101,   SUM('i3'!$R102),   #N/A  )</f>
        <v>13656</v>
      </c>
      <c r="Y102" s="33"/>
      <c r="Z102" s="22">
        <f xml:space="preserve"> IF( $C102,   IF( 'i1'!$J102=LEER,  #N/A,  'i1'!$J102  ),   #N/A  )</f>
        <v>5.52</v>
      </c>
      <c r="AA102" s="22">
        <f xml:space="preserve"> IF( $D102,   IF( 'i2'!$J102=LEER,  #N/A,  'i2'!$J102  ),   #N/A  )</f>
        <v>5.52</v>
      </c>
      <c r="AB102" s="22">
        <f xml:space="preserve"> IF( $E102,   IF( 'i3'!$J102=LEER,  #N/A,  'i3'!$J102  ),   #N/A  )</f>
        <v>5.52</v>
      </c>
      <c r="AC102" s="75"/>
      <c r="AD102" s="26">
        <f t="shared" si="46"/>
        <v>11469.400799999999</v>
      </c>
      <c r="AE102" s="26">
        <f t="shared" si="47"/>
        <v>11469.400799999999</v>
      </c>
      <c r="AF102" s="26">
        <f t="shared" si="48"/>
        <v>11469.400799999999</v>
      </c>
      <c r="AG102" s="23"/>
      <c r="AH102" s="24">
        <f xml:space="preserve">    IF(  'i1'!$AK102=LEER,  #N/A,  ROUND( 'i1'!$AK102, AH$15 )  )</f>
        <v>1108.24</v>
      </c>
      <c r="AI102" s="24">
        <f xml:space="preserve">    IF(  'i2'!$AK102=LEER,  #N/A,  ROUND( 'i2'!$AK102, AI$15 )  )</f>
        <v>1108.24</v>
      </c>
      <c r="AJ102" s="24">
        <f xml:space="preserve">    IF(  'i3'!$AK102=LEER,  #N/A,  ROUND( 'i3'!$AK102, AJ$15 )  )</f>
        <v>1108.24</v>
      </c>
      <c r="AL102" s="102">
        <f t="shared" si="49"/>
        <v>1108.24</v>
      </c>
      <c r="AO102" s="24">
        <f xml:space="preserve">    IF( 'i1'!$AN102=LEER,  #N/A,  'i1'!$AN102  )</f>
        <v>24153.56</v>
      </c>
      <c r="AP102" s="24">
        <f xml:space="preserve">    IF( 'i2'!$AN102=LEER,  #N/A,  'i2'!$AN102  )</f>
        <v>24153.56</v>
      </c>
      <c r="AQ102" s="24">
        <f xml:space="preserve">    IF( 'i3'!$AN102=LEER,  #N/A,  'i3'!$AN102  )</f>
        <v>24153.56</v>
      </c>
      <c r="AS102" s="24">
        <f xml:space="preserve">    IF( 'i1'!$AO102=LEER,  #N/A,  'i1'!$AO102  )</f>
        <v>24007.42</v>
      </c>
      <c r="AT102" s="24">
        <f xml:space="preserve">    IF( 'i2'!$AO102=LEER,  #N/A,  'i2'!$AO102  )</f>
        <v>24007.42</v>
      </c>
      <c r="AU102" s="24">
        <f xml:space="preserve">    IF( 'i3'!$AO102=LEER,  #N/A,  'i3'!$AO102  )</f>
        <v>24007.42</v>
      </c>
      <c r="AW102" s="28">
        <f t="shared" si="59"/>
        <v>11.624599999999999</v>
      </c>
      <c r="AX102" s="28">
        <f t="shared" si="50"/>
        <v>11.624599999999999</v>
      </c>
      <c r="AY102" s="28">
        <f t="shared" si="51"/>
        <v>11.624599999999999</v>
      </c>
      <c r="BA102" s="28">
        <f t="shared" si="52"/>
        <v>11.5543</v>
      </c>
      <c r="BB102" s="28">
        <f t="shared" si="53"/>
        <v>11.5543</v>
      </c>
      <c r="BC102" s="28">
        <f t="shared" si="54"/>
        <v>11.5543</v>
      </c>
      <c r="BG102" s="24">
        <f xml:space="preserve">    IF( 'i1'!BT102=LEER,  #N/A,  'i1'!BT102  )</f>
        <v>-7616.97</v>
      </c>
      <c r="BH102" s="24">
        <f xml:space="preserve">    IF( 'i1'!BR102=LEER,  #N/A,  'i1'!BR102  )</f>
        <v>24783.07</v>
      </c>
      <c r="BI102" s="111">
        <f t="shared" si="55"/>
        <v>17166.099999999999</v>
      </c>
      <c r="BJ102" s="24">
        <f xml:space="preserve">    IF( 'i1'!BX102=LEER,  #N/A,  'i1'!BX102  )</f>
        <v>6987.4600000000028</v>
      </c>
      <c r="BL102" s="24">
        <f xml:space="preserve">    IF( 'i1'!CB102=LEER,  #N/A,  'i1'!CB102  )</f>
        <v>-7807.39</v>
      </c>
      <c r="BM102" s="24">
        <f xml:space="preserve">    IF( 'i1'!CC102=LEER,  #N/A,  'i1'!CC102  )</f>
        <v>603.84</v>
      </c>
      <c r="BN102" s="24">
        <f xml:space="preserve">    IF( 'i1'!CD102=LEER,  #N/A,  'i1'!CD102  )</f>
        <v>6477.91</v>
      </c>
      <c r="BO102" s="24">
        <f xml:space="preserve">    IF( 'i1'!CE102=LEER,  #N/A,  'i1'!CE102  )</f>
        <v>-725.64000000000033</v>
      </c>
      <c r="BQ102" s="24">
        <f xml:space="preserve">    IF( 'i1'!CI102=LEER,  #N/A,  'i1'!CI102  )</f>
        <v>11469.4</v>
      </c>
      <c r="BR102" s="24">
        <f xml:space="preserve">    IF( 'i1'!CJ102=LEER,  #N/A,  'i1'!CJ102  )</f>
        <v>-1296.73</v>
      </c>
      <c r="BS102" s="24">
        <f xml:space="preserve">    IF( 'i1'!CK102=LEER,  #N/A,  'i1'!CK102  )</f>
        <v>-6319.91</v>
      </c>
      <c r="BT102" s="38">
        <f xml:space="preserve">    IF( 'i1'!CH102=LEER,  #N/A,  'i1'!CH102  )</f>
        <v>3852.4304390000002</v>
      </c>
      <c r="BV102" s="24">
        <f xml:space="preserve">    IF( 'i1'!CO102=LEER,  #N/A,  'i1'!CO102  )</f>
        <v>11469.4</v>
      </c>
      <c r="BW102" s="24">
        <f xml:space="preserve">    IF( 'i1'!CP102=LEER,  #N/A,  'i1'!CP102  )</f>
        <v>-1288.82</v>
      </c>
      <c r="BX102" s="24">
        <f xml:space="preserve">    IF( 'i1'!CQ102=LEER,  #N/A,  'i1'!CQ102  )</f>
        <v>-6281.69</v>
      </c>
      <c r="BY102" s="38">
        <f xml:space="preserve">    IF( 'i1'!CN102=LEER,  #N/A,  'i1'!CN102  )</f>
        <v>3898.5573770000001</v>
      </c>
      <c r="CD102" s="113" t="e">
        <f xml:space="preserve"> IF(  AND( $A102&lt;&gt;$CD$14, OR( 'i1'!EO102=LEER, 'i1'!EM102&lt;&gt;LEER ) ), #N/A, 'i1'!EO102 )</f>
        <v>#N/A</v>
      </c>
      <c r="CE102" s="113">
        <f xml:space="preserve"> IF(   'i1'!EM102=LEER, #N/A,  'i1'!EM102 )</f>
        <v>6445.12</v>
      </c>
      <c r="CF102" s="114">
        <f xml:space="preserve"> IF(   'i1'!EL102=LEER, #N/A, 'i1'!EL102 + 'i1'!EM102 )</f>
        <v>24008.59</v>
      </c>
      <c r="CW102" s="104">
        <f xml:space="preserve"> 'i1'!FN102</f>
        <v>102</v>
      </c>
      <c r="CX102" s="106">
        <f xml:space="preserve"> IF(  INDEX( 'i1'!$FS102:$JO102, CX$13 ) = LEER,  #N/A,  INDEX( 'i1'!$FS102:$JO102, CX$13 )  )</f>
        <v>28456.77</v>
      </c>
      <c r="CY102" s="106">
        <f xml:space="preserve"> IF(  INDEX( 'i1'!$FS102:$JO102, CY$13 ) = LEER,  #N/A,  INDEX( 'i1'!$FS102:$JO102, CY$13 )  )</f>
        <v>27094.78</v>
      </c>
      <c r="CZ102" s="106">
        <f xml:space="preserve"> IF(  INDEX( 'i1'!$FS102:$JO102, CZ$13 ) = LEER,  #N/A,  INDEX( 'i1'!$FS102:$JO102, CZ$13 )  )</f>
        <v>25622.85</v>
      </c>
      <c r="DA102" s="106">
        <f xml:space="preserve"> IF(  INDEX( 'i1'!$FS102:$JO102, DA$13 ) = LEER,  #N/A,  INDEX( 'i1'!$FS102:$JO102, DA$13 )  )</f>
        <v>24007.42</v>
      </c>
      <c r="DB102" s="106">
        <f xml:space="preserve"> IF(  INDEX( 'i1'!$FS102:$JO102, DB$13 ) = LEER,  #N/A,  INDEX( 'i1'!$FS102:$JO102, DB$13 )  )</f>
        <v>22199.11</v>
      </c>
      <c r="DC102" s="106">
        <f xml:space="preserve"> IF(  INDEX( 'i1'!$FS102:$JO102, DC$13 ) = LEER,  #N/A,  INDEX( 'i1'!$FS102:$JO102, DC$13 )  )</f>
        <v>20062.98</v>
      </c>
      <c r="DD102" s="106">
        <f xml:space="preserve"> IF(  INDEX( 'i1'!$FS102:$JO102, DD$13 ) = LEER,  #N/A,  INDEX( 'i1'!$FS102:$JO102, DD$13 )  )</f>
        <v>17563.47</v>
      </c>
      <c r="DE102" s="106">
        <f xml:space="preserve"> IF(  INDEX( 'i1'!$FS102:$JO102, DE$13 ) = LEER,  #N/A,  INDEX( 'i1'!$FS102:$JO102, DE$13 )  )</f>
        <v>14804.59</v>
      </c>
      <c r="DF102" s="106">
        <f xml:space="preserve"> IF(  INDEX( 'i1'!$FS102:$JO102, DF$13 ) = LEER,  #N/A,  INDEX( 'i1'!$FS102:$JO102, DF$13 )  )</f>
        <v>11866.66</v>
      </c>
      <c r="DG102" s="106">
        <f xml:space="preserve"> IF(  INDEX( 'i1'!$FS102:$JO102, DG$13 ) = LEER,  #N/A,  INDEX( 'i1'!$FS102:$JO102, DG$13 )  )</f>
        <v>8752.9699999999993</v>
      </c>
      <c r="DH102" s="106">
        <f xml:space="preserve"> IF(  INDEX( 'i1'!$FS102:$JO102, DH$13 ) = LEER,  #N/A,  INDEX( 'i1'!$FS102:$JO102, DH$13 )  )</f>
        <v>5743.95</v>
      </c>
      <c r="DI102" s="106">
        <f xml:space="preserve"> IF(  INDEX( 'i1'!$FS102:$JO102, DI$13 ) = LEER,  #N/A,  INDEX( 'i1'!$FS102:$JO102, DI$13 )  )</f>
        <v>3266.82</v>
      </c>
      <c r="DJ102" s="106">
        <f xml:space="preserve"> IF(  INDEX( 'i1'!$FS102:$JO102, DJ$13 ) = LEER,  #N/A,  INDEX( 'i1'!$FS102:$JO102, DJ$13 )  )</f>
        <v>1181.3699999999999</v>
      </c>
      <c r="DK102" s="106">
        <f xml:space="preserve"> IF(  INDEX( 'i1'!$FS102:$JO102, DK$13 ) = LEER,  #N/A,  INDEX( 'i1'!$FS102:$JO102, DK$13 )  )</f>
        <v>217.65</v>
      </c>
      <c r="DL102" s="106">
        <f xml:space="preserve"> IF(  INDEX( 'i1'!$FS102:$JO102, DL$13 ) = LEER,  #N/A,  INDEX( 'i1'!$FS102:$JO102, DL$13 )  )</f>
        <v>103.76</v>
      </c>
      <c r="DM102" s="106">
        <f xml:space="preserve"> IF(  INDEX( 'i1'!$FS102:$JO102, DM$13 ) = LEER,  #N/A,  INDEX( 'i1'!$FS102:$JO102, DM$13 )  )</f>
        <v>63.61</v>
      </c>
      <c r="DN102" s="106">
        <f xml:space="preserve"> IF(  INDEX( 'i1'!$FS102:$JO102, DN$13 ) = LEER,  #N/A,  INDEX( 'i1'!$FS102:$JO102, DN$13 )  )</f>
        <v>10.29</v>
      </c>
    </row>
    <row r="103" spans="1:118" x14ac:dyDescent="0.2">
      <c r="A103" s="15">
        <f xml:space="preserve"> Basis!A103</f>
        <v>103</v>
      </c>
      <c r="C103" s="24" t="b">
        <f xml:space="preserve"> 'i1'!$O103</f>
        <v>1</v>
      </c>
      <c r="D103" s="24" t="b">
        <f xml:space="preserve"> 'i2'!$O103</f>
        <v>1</v>
      </c>
      <c r="E103" s="24" t="b">
        <f xml:space="preserve"> 'i3'!$O103</f>
        <v>1</v>
      </c>
      <c r="G103" s="27">
        <f xml:space="preserve"> IF( $C104,   IF( 'i1'!$P103=LEER,  #N/A,  'i1'!$P103  ),   #N/A  )</f>
        <v>0.28310000000000002</v>
      </c>
      <c r="H103" s="27">
        <f xml:space="preserve"> IF( $D104,   IF( 'i2'!$P103=LEER,  #N/A,  'i2'!$P103  ),   #N/A  )</f>
        <v>0.28310000000000002</v>
      </c>
      <c r="I103" s="27">
        <f xml:space="preserve"> IF( $E104,   IF( 'i3'!$P103=LEER,  #N/A,  'i3'!$P103  ),   #N/A  )</f>
        <v>0.28310000000000002</v>
      </c>
      <c r="J103" s="158"/>
      <c r="K103" s="27">
        <f xml:space="preserve"> IF( $C104,   IF( 'i1'!$G103=LEER,  #N/A,  'i1'!$G103  ),   #N/A  )</f>
        <v>1.4E-3</v>
      </c>
      <c r="L103" s="27">
        <f xml:space="preserve"> IF( $D104,   IF( 'i2'!$G103=LEER,  #N/A,  'i2'!$G103  ),   #N/A  )</f>
        <v>1.4E-3</v>
      </c>
      <c r="M103" s="27">
        <f xml:space="preserve"> IF( $E104,   IF( 'i3'!$G103=LEER,  #N/A,  'i3'!$G103  ),   #N/A  )</f>
        <v>1.4E-3</v>
      </c>
      <c r="N103" s="158"/>
      <c r="O103" s="158"/>
      <c r="Q103" s="28">
        <f t="shared" si="56"/>
        <v>2.713669062221701</v>
      </c>
      <c r="R103" s="28">
        <f t="shared" si="57"/>
        <v>2.713669062221701</v>
      </c>
      <c r="S103" s="28">
        <f t="shared" si="58"/>
        <v>2.713669062221701</v>
      </c>
      <c r="U103" s="76">
        <f xml:space="preserve"> IF( $C102,   SUM('i1'!$R103),   #N/A  )</f>
        <v>9880</v>
      </c>
      <c r="V103" s="76">
        <f xml:space="preserve"> IF( $C102,   SUM('i2'!$R103),   #N/A  )</f>
        <v>9880</v>
      </c>
      <c r="W103" s="76">
        <f xml:space="preserve"> IF( $C102,   SUM('i3'!$R103),   #N/A  )</f>
        <v>9880</v>
      </c>
      <c r="Y103" s="33"/>
      <c r="Z103" s="22">
        <f xml:space="preserve"> IF( $C103,   IF( 'i1'!$J103=LEER,  #N/A,  'i1'!$J103  ),   #N/A  )</f>
        <v>5.52</v>
      </c>
      <c r="AA103" s="22">
        <f xml:space="preserve"> IF( $D103,   IF( 'i2'!$J103=LEER,  #N/A,  'i2'!$J103  ),   #N/A  )</f>
        <v>5.52</v>
      </c>
      <c r="AB103" s="22">
        <f xml:space="preserve"> IF( $E103,   IF( 'i3'!$J103=LEER,  #N/A,  'i3'!$J103  ),   #N/A  )</f>
        <v>5.52</v>
      </c>
      <c r="AC103" s="75"/>
      <c r="AD103" s="26">
        <f t="shared" si="46"/>
        <v>11469.400799999999</v>
      </c>
      <c r="AE103" s="26">
        <f t="shared" si="47"/>
        <v>11469.400799999999</v>
      </c>
      <c r="AF103" s="26">
        <f t="shared" si="48"/>
        <v>11469.400799999999</v>
      </c>
      <c r="AG103" s="23"/>
      <c r="AH103" s="24">
        <f xml:space="preserve">    IF(  'i1'!$AK103=LEER,  #N/A,  ROUND( 'i1'!$AK103, AH$15 )  )</f>
        <v>1108.55</v>
      </c>
      <c r="AI103" s="24">
        <f xml:space="preserve">    IF(  'i2'!$AK103=LEER,  #N/A,  ROUND( 'i2'!$AK103, AI$15 )  )</f>
        <v>1108.55</v>
      </c>
      <c r="AJ103" s="24">
        <f xml:space="preserve">    IF(  'i3'!$AK103=LEER,  #N/A,  ROUND( 'i3'!$AK103, AJ$15 )  )</f>
        <v>1108.55</v>
      </c>
      <c r="AL103" s="102">
        <f t="shared" si="49"/>
        <v>1108.55</v>
      </c>
      <c r="AO103" s="24">
        <f xml:space="preserve">    IF( 'i1'!$AN103=LEER,  #N/A,  'i1'!$AN103  )</f>
        <v>23428.25</v>
      </c>
      <c r="AP103" s="24">
        <f xml:space="preserve">    IF( 'i2'!$AN103=LEER,  #N/A,  'i2'!$AN103  )</f>
        <v>23428.25</v>
      </c>
      <c r="AQ103" s="24">
        <f xml:space="preserve">    IF( 'i3'!$AN103=LEER,  #N/A,  'i3'!$AN103  )</f>
        <v>23428.25</v>
      </c>
      <c r="AS103" s="24">
        <f xml:space="preserve">    IF( 'i1'!$AO103=LEER,  #N/A,  'i1'!$AO103  )</f>
        <v>23286.560000000001</v>
      </c>
      <c r="AT103" s="24">
        <f xml:space="preserve">    IF( 'i2'!$AO103=LEER,  #N/A,  'i2'!$AO103  )</f>
        <v>23286.560000000001</v>
      </c>
      <c r="AU103" s="24">
        <f xml:space="preserve">    IF( 'i3'!$AO103=LEER,  #N/A,  'i3'!$AO103  )</f>
        <v>23286.560000000001</v>
      </c>
      <c r="AW103" s="28">
        <f t="shared" si="59"/>
        <v>11.275600000000001</v>
      </c>
      <c r="AX103" s="28">
        <f t="shared" si="50"/>
        <v>11.275600000000001</v>
      </c>
      <c r="AY103" s="28">
        <f t="shared" si="51"/>
        <v>11.275600000000001</v>
      </c>
      <c r="BA103" s="28">
        <f t="shared" si="52"/>
        <v>11.2074</v>
      </c>
      <c r="BB103" s="28">
        <f t="shared" si="53"/>
        <v>11.2074</v>
      </c>
      <c r="BC103" s="28">
        <f t="shared" si="54"/>
        <v>11.2074</v>
      </c>
      <c r="BG103" s="24">
        <f xml:space="preserve">    IF( 'i1'!BT103=LEER,  #N/A,  'i1'!BT103  )</f>
        <v>-7616.97</v>
      </c>
      <c r="BH103" s="24">
        <f xml:space="preserve">    IF( 'i1'!BR103=LEER,  #N/A,  'i1'!BR103  )</f>
        <v>24153.56</v>
      </c>
      <c r="BI103" s="111">
        <f t="shared" si="55"/>
        <v>16536.59</v>
      </c>
      <c r="BJ103" s="24">
        <f xml:space="preserve">    IF( 'i1'!BX103=LEER,  #N/A,  'i1'!BX103  )</f>
        <v>6891.66</v>
      </c>
      <c r="BL103" s="24">
        <f xml:space="preserve">    IF( 'i1'!CB103=LEER,  #N/A,  'i1'!CB103  )</f>
        <v>-7807.39</v>
      </c>
      <c r="BM103" s="24">
        <f xml:space="preserve">    IF( 'i1'!CC103=LEER,  #N/A,  'i1'!CC103  )</f>
        <v>585.71</v>
      </c>
      <c r="BN103" s="24">
        <f xml:space="preserve">    IF( 'i1'!CD103=LEER,  #N/A,  'i1'!CD103  )</f>
        <v>6400.76</v>
      </c>
      <c r="BO103" s="24">
        <f xml:space="preserve">    IF( 'i1'!CE103=LEER,  #N/A,  'i1'!CE103  )</f>
        <v>-820.92000000000007</v>
      </c>
      <c r="BQ103" s="24">
        <f xml:space="preserve">    IF( 'i1'!CI103=LEER,  #N/A,  'i1'!CI103  )</f>
        <v>11469.4</v>
      </c>
      <c r="BR103" s="24">
        <f xml:space="preserve">    IF( 'i1'!CJ103=LEER,  #N/A,  'i1'!CJ103  )</f>
        <v>-1370.17</v>
      </c>
      <c r="BS103" s="24">
        <f xml:space="preserve">    IF( 'i1'!CK103=LEER,  #N/A,  'i1'!CK103  )</f>
        <v>-6244.64</v>
      </c>
      <c r="BT103" s="38">
        <f xml:space="preserve">    IF( 'i1'!CH103=LEER,  #N/A,  'i1'!CH103  )</f>
        <v>3852.4304390000002</v>
      </c>
      <c r="BV103" s="24">
        <f xml:space="preserve">    IF( 'i1'!CO103=LEER,  #N/A,  'i1'!CO103  )</f>
        <v>11469.4</v>
      </c>
      <c r="BW103" s="24">
        <f xml:space="preserve">    IF( 'i1'!CP103=LEER,  #N/A,  'i1'!CP103  )</f>
        <v>-1361.8</v>
      </c>
      <c r="BX103" s="24">
        <f xml:space="preserve">    IF( 'i1'!CQ103=LEER,  #N/A,  'i1'!CQ103  )</f>
        <v>-6206.9</v>
      </c>
      <c r="BY103" s="38">
        <f xml:space="preserve">    IF( 'i1'!CN103=LEER,  #N/A,  'i1'!CN103  )</f>
        <v>3898.5573770000001</v>
      </c>
      <c r="CD103" s="113" t="e">
        <f xml:space="preserve"> IF(  AND( $A103&lt;&gt;$CD$14, OR( 'i1'!EO103=LEER, 'i1'!EM103&lt;&gt;LEER ) ), #N/A, 'i1'!EO103 )</f>
        <v>#N/A</v>
      </c>
      <c r="CE103" s="113">
        <f xml:space="preserve"> IF(   'i1'!EM103=LEER, #N/A,  'i1'!EM103 )</f>
        <v>6248.81</v>
      </c>
      <c r="CF103" s="114">
        <f xml:space="preserve"> IF(   'i1'!EL103=LEER, #N/A, 'i1'!EL103 + 'i1'!EM103 )</f>
        <v>23287.690000000002</v>
      </c>
      <c r="CW103" s="104">
        <f xml:space="preserve"> 'i1'!FN103</f>
        <v>103</v>
      </c>
      <c r="CX103" s="106">
        <f xml:space="preserve"> IF(  INDEX( 'i1'!$FS103:$JO103, CX$13 ) = LEER,  #N/A,  INDEX( 'i1'!$FS103:$JO103, CX$13 )  )</f>
        <v>27600.39</v>
      </c>
      <c r="CY103" s="106">
        <f xml:space="preserve"> IF(  INDEX( 'i1'!$FS103:$JO103, CY$13 ) = LEER,  #N/A,  INDEX( 'i1'!$FS103:$JO103, CY$13 )  )</f>
        <v>26279.88</v>
      </c>
      <c r="CZ103" s="106">
        <f xml:space="preserve"> IF(  INDEX( 'i1'!$FS103:$JO103, CZ$13 ) = LEER,  #N/A,  INDEX( 'i1'!$FS103:$JO103, CZ$13 )  )</f>
        <v>24852.79</v>
      </c>
      <c r="DA103" s="106">
        <f xml:space="preserve"> IF(  INDEX( 'i1'!$FS103:$JO103, DA$13 ) = LEER,  #N/A,  INDEX( 'i1'!$FS103:$JO103, DA$13 )  )</f>
        <v>23286.560000000001</v>
      </c>
      <c r="DB103" s="106">
        <f xml:space="preserve"> IF(  INDEX( 'i1'!$FS103:$JO103, DB$13 ) = LEER,  #N/A,  INDEX( 'i1'!$FS103:$JO103, DB$13 )  )</f>
        <v>21533.33</v>
      </c>
      <c r="DC103" s="106">
        <f xml:space="preserve"> IF(  INDEX( 'i1'!$FS103:$JO103, DC$13 ) = LEER,  #N/A,  INDEX( 'i1'!$FS103:$JO103, DC$13 )  )</f>
        <v>19462.259999999998</v>
      </c>
      <c r="DD103" s="106">
        <f xml:space="preserve"> IF(  INDEX( 'i1'!$FS103:$JO103, DD$13 ) = LEER,  #N/A,  INDEX( 'i1'!$FS103:$JO103, DD$13 )  )</f>
        <v>17038.88</v>
      </c>
      <c r="DE103" s="106">
        <f xml:space="preserve"> IF(  INDEX( 'i1'!$FS103:$JO103, DE$13 ) = LEER,  #N/A,  INDEX( 'i1'!$FS103:$JO103, DE$13 )  )</f>
        <v>14364.04</v>
      </c>
      <c r="DF103" s="106">
        <f xml:space="preserve"> IF(  INDEX( 'i1'!$FS103:$JO103, DF$13 ) = LEER,  #N/A,  INDEX( 'i1'!$FS103:$JO103, DF$13 )  )</f>
        <v>11515.6</v>
      </c>
      <c r="DG103" s="106">
        <f xml:space="preserve"> IF(  INDEX( 'i1'!$FS103:$JO103, DG$13 ) = LEER,  #N/A,  INDEX( 'i1'!$FS103:$JO103, DG$13 )  )</f>
        <v>8496.75</v>
      </c>
      <c r="DH103" s="106">
        <f xml:space="preserve"> IF(  INDEX( 'i1'!$FS103:$JO103, DH$13 ) = LEER,  #N/A,  INDEX( 'i1'!$FS103:$JO103, DH$13 )  )</f>
        <v>5579.37</v>
      </c>
      <c r="DI103" s="106">
        <f xml:space="preserve"> IF(  INDEX( 'i1'!$FS103:$JO103, DI$13 ) = LEER,  #N/A,  INDEX( 'i1'!$FS103:$JO103, DI$13 )  )</f>
        <v>3177.7</v>
      </c>
      <c r="DJ103" s="106">
        <f xml:space="preserve"> IF(  INDEX( 'i1'!$FS103:$JO103, DJ$13 ) = LEER,  #N/A,  INDEX( 'i1'!$FS103:$JO103, DJ$13 )  )</f>
        <v>1155.77</v>
      </c>
      <c r="DK103" s="106">
        <f xml:space="preserve"> IF(  INDEX( 'i1'!$FS103:$JO103, DK$13 ) = LEER,  #N/A,  INDEX( 'i1'!$FS103:$JO103, DK$13 )  )</f>
        <v>221.39</v>
      </c>
      <c r="DL103" s="106">
        <f xml:space="preserve"> IF(  INDEX( 'i1'!$FS103:$JO103, DL$13 ) = LEER,  #N/A,  INDEX( 'i1'!$FS103:$JO103, DL$13 )  )</f>
        <v>110.98</v>
      </c>
      <c r="DM103" s="106">
        <f xml:space="preserve"> IF(  INDEX( 'i1'!$FS103:$JO103, DM$13 ) = LEER,  #N/A,  INDEX( 'i1'!$FS103:$JO103, DM$13 )  )</f>
        <v>72.05</v>
      </c>
      <c r="DN103" s="106">
        <f xml:space="preserve"> IF(  INDEX( 'i1'!$FS103:$JO103, DN$13 ) = LEER,  #N/A,  INDEX( 'i1'!$FS103:$JO103, DN$13 )  )</f>
        <v>20.350000000000001</v>
      </c>
    </row>
    <row r="104" spans="1:118" x14ac:dyDescent="0.2">
      <c r="A104" s="15">
        <f xml:space="preserve"> Basis!A104</f>
        <v>104</v>
      </c>
      <c r="C104" s="24" t="b">
        <f xml:space="preserve"> 'i1'!$O104</f>
        <v>1</v>
      </c>
      <c r="D104" s="24" t="b">
        <f xml:space="preserve"> 'i2'!$O104</f>
        <v>1</v>
      </c>
      <c r="E104" s="24" t="b">
        <f xml:space="preserve"> 'i3'!$O104</f>
        <v>1</v>
      </c>
      <c r="G104" s="27">
        <f xml:space="preserve"> IF( $C105,   IF( 'i1'!$P104=LEER,  #N/A,  'i1'!$P104  ),   #N/A  )</f>
        <v>0.28889999999999999</v>
      </c>
      <c r="H104" s="27">
        <f xml:space="preserve"> IF( $D105,   IF( 'i2'!$P104=LEER,  #N/A,  'i2'!$P104  ),   #N/A  )</f>
        <v>0.28889999999999999</v>
      </c>
      <c r="I104" s="27">
        <f xml:space="preserve"> IF( $E105,   IF( 'i3'!$P104=LEER,  #N/A,  'i3'!$P104  ),   #N/A  )</f>
        <v>0.28889999999999999</v>
      </c>
      <c r="J104" s="158"/>
      <c r="K104" s="27">
        <f xml:space="preserve"> IF( $C105,   IF( 'i1'!$G104=LEER,  #N/A,  'i1'!$G104  ),   #N/A  )</f>
        <v>1.4E-3</v>
      </c>
      <c r="L104" s="27">
        <f xml:space="preserve"> IF( $D105,   IF( 'i2'!$G104=LEER,  #N/A,  'i2'!$G104  ),   #N/A  )</f>
        <v>1.4E-3</v>
      </c>
      <c r="M104" s="27">
        <f xml:space="preserve"> IF( $E105,   IF( 'i3'!$G104=LEER,  #N/A,  'i3'!$G104  ),   #N/A  )</f>
        <v>1.4E-3</v>
      </c>
      <c r="N104" s="158"/>
      <c r="O104" s="158"/>
      <c r="Q104" s="28">
        <f t="shared" si="56"/>
        <v>2.5878352102408995</v>
      </c>
      <c r="R104" s="28">
        <f t="shared" si="57"/>
        <v>2.5878352102408995</v>
      </c>
      <c r="S104" s="28">
        <f t="shared" si="58"/>
        <v>2.5878352102408995</v>
      </c>
      <c r="U104" s="76">
        <f xml:space="preserve"> IF( $C103,   SUM('i1'!$R104),   #N/A  )</f>
        <v>7082</v>
      </c>
      <c r="V104" s="76">
        <f xml:space="preserve"> IF( $C103,   SUM('i2'!$R104),   #N/A  )</f>
        <v>7082</v>
      </c>
      <c r="W104" s="76">
        <f xml:space="preserve"> IF( $C103,   SUM('i3'!$R104),   #N/A  )</f>
        <v>7082</v>
      </c>
      <c r="Y104" s="33"/>
      <c r="Z104" s="22">
        <f xml:space="preserve"> IF( $C104,   IF( 'i1'!$J104=LEER,  #N/A,  'i1'!$J104  ),   #N/A  )</f>
        <v>5.52</v>
      </c>
      <c r="AA104" s="22">
        <f xml:space="preserve"> IF( $D104,   IF( 'i2'!$J104=LEER,  #N/A,  'i2'!$J104  ),   #N/A  )</f>
        <v>5.52</v>
      </c>
      <c r="AB104" s="22">
        <f xml:space="preserve"> IF( $E104,   IF( 'i3'!$J104=LEER,  #N/A,  'i3'!$J104  ),   #N/A  )</f>
        <v>5.52</v>
      </c>
      <c r="AC104" s="75"/>
      <c r="AD104" s="26">
        <f t="shared" si="46"/>
        <v>11469.400799999999</v>
      </c>
      <c r="AE104" s="26">
        <f t="shared" si="47"/>
        <v>11469.400799999999</v>
      </c>
      <c r="AF104" s="26">
        <f t="shared" si="48"/>
        <v>11469.400799999999</v>
      </c>
      <c r="AG104" s="23"/>
      <c r="AH104" s="24">
        <f xml:space="preserve">    IF(  'i1'!$AK104=LEER,  #N/A,  ROUND( 'i1'!$AK104, AH$15 )  )</f>
        <v>1108.99</v>
      </c>
      <c r="AI104" s="24">
        <f xml:space="preserve">    IF(  'i2'!$AK104=LEER,  #N/A,  ROUND( 'i2'!$AK104, AI$15 )  )</f>
        <v>1108.99</v>
      </c>
      <c r="AJ104" s="24">
        <f xml:space="preserve">    IF(  'i3'!$AK104=LEER,  #N/A,  ROUND( 'i3'!$AK104, AJ$15 )  )</f>
        <v>1108.99</v>
      </c>
      <c r="AL104" s="102">
        <f t="shared" si="49"/>
        <v>1108.99</v>
      </c>
      <c r="AO104" s="24">
        <f xml:space="preserve">    IF( 'i1'!$AN104=LEER,  #N/A,  'i1'!$AN104  )</f>
        <v>22609.53</v>
      </c>
      <c r="AP104" s="24">
        <f xml:space="preserve">    IF( 'i2'!$AN104=LEER,  #N/A,  'i2'!$AN104  )</f>
        <v>22609.53</v>
      </c>
      <c r="AQ104" s="24">
        <f xml:space="preserve">    IF( 'i3'!$AN104=LEER,  #N/A,  'i3'!$AN104  )</f>
        <v>22609.53</v>
      </c>
      <c r="AS104" s="24">
        <f xml:space="preserve">    IF( 'i1'!$AO104=LEER,  #N/A,  'i1'!$AO104  )</f>
        <v>22472.880000000001</v>
      </c>
      <c r="AT104" s="24">
        <f xml:space="preserve">    IF( 'i2'!$AO104=LEER,  #N/A,  'i2'!$AO104  )</f>
        <v>22472.880000000001</v>
      </c>
      <c r="AU104" s="24">
        <f xml:space="preserve">    IF( 'i3'!$AO104=LEER,  #N/A,  'i3'!$AO104  )</f>
        <v>22472.880000000001</v>
      </c>
      <c r="AW104" s="28">
        <f t="shared" si="59"/>
        <v>10.881500000000001</v>
      </c>
      <c r="AX104" s="28">
        <f t="shared" si="50"/>
        <v>10.881500000000001</v>
      </c>
      <c r="AY104" s="28">
        <f t="shared" si="51"/>
        <v>10.881500000000001</v>
      </c>
      <c r="BA104" s="28">
        <f t="shared" si="52"/>
        <v>10.815799999999999</v>
      </c>
      <c r="BB104" s="28">
        <f t="shared" si="53"/>
        <v>10.815799999999999</v>
      </c>
      <c r="BC104" s="28">
        <f t="shared" si="54"/>
        <v>10.815799999999999</v>
      </c>
      <c r="BG104" s="24">
        <f xml:space="preserve">    IF( 'i1'!BT104=LEER,  #N/A,  'i1'!BT104  )</f>
        <v>-7616.97</v>
      </c>
      <c r="BH104" s="24">
        <f xml:space="preserve">    IF( 'i1'!BR104=LEER,  #N/A,  'i1'!BR104  )</f>
        <v>23428.25</v>
      </c>
      <c r="BI104" s="111">
        <f t="shared" si="55"/>
        <v>15811.279999999999</v>
      </c>
      <c r="BJ104" s="24">
        <f xml:space="preserve">    IF( 'i1'!BX104=LEER,  #N/A,  'i1'!BX104  )</f>
        <v>6798.25</v>
      </c>
      <c r="BL104" s="24">
        <f xml:space="preserve">    IF( 'i1'!CB104=LEER,  #N/A,  'i1'!CB104  )</f>
        <v>-7807.39</v>
      </c>
      <c r="BM104" s="24">
        <f xml:space="preserve">    IF( 'i1'!CC104=LEER,  #N/A,  'i1'!CC104  )</f>
        <v>565.24</v>
      </c>
      <c r="BN104" s="24">
        <f xml:space="preserve">    IF( 'i1'!CD104=LEER,  #N/A,  'i1'!CD104  )</f>
        <v>6243.34</v>
      </c>
      <c r="BO104" s="24">
        <f xml:space="preserve">    IF( 'i1'!CE104=LEER,  #N/A,  'i1'!CE104  )</f>
        <v>-998.8100000000004</v>
      </c>
      <c r="BQ104" s="24">
        <f xml:space="preserve">    IF( 'i1'!CI104=LEER,  #N/A,  'i1'!CI104  )</f>
        <v>11469.4</v>
      </c>
      <c r="BR104" s="24">
        <f xml:space="preserve">    IF( 'i1'!CJ104=LEER,  #N/A,  'i1'!CJ104  )</f>
        <v>-1525.9</v>
      </c>
      <c r="BS104" s="24">
        <f xml:space="preserve">    IF( 'i1'!CK104=LEER,  #N/A,  'i1'!CK104  )</f>
        <v>-6091.06</v>
      </c>
      <c r="BT104" s="38">
        <f xml:space="preserve">    IF( 'i1'!CH104=LEER,  #N/A,  'i1'!CH104  )</f>
        <v>3852.4304390000002</v>
      </c>
      <c r="BV104" s="24">
        <f xml:space="preserve">    IF( 'i1'!CO104=LEER,  #N/A,  'i1'!CO104  )</f>
        <v>11469.4</v>
      </c>
      <c r="BW104" s="24">
        <f xml:space="preserve">    IF( 'i1'!CP104=LEER,  #N/A,  'i1'!CP104  )</f>
        <v>-1516.55</v>
      </c>
      <c r="BX104" s="24">
        <f xml:space="preserve">    IF( 'i1'!CQ104=LEER,  #N/A,  'i1'!CQ104  )</f>
        <v>-6054.28</v>
      </c>
      <c r="BY104" s="38">
        <f xml:space="preserve">    IF( 'i1'!CN104=LEER,  #N/A,  'i1'!CN104  )</f>
        <v>3898.5573770000001</v>
      </c>
      <c r="CD104" s="113" t="e">
        <f xml:space="preserve"> IF(  AND( $A104&lt;&gt;$CD$14, OR( 'i1'!EO104=LEER, 'i1'!EM104&lt;&gt;LEER ) ), #N/A, 'i1'!EO104 )</f>
        <v>#N/A</v>
      </c>
      <c r="CE104" s="113">
        <f xml:space="preserve"> IF(   'i1'!EM104=LEER, #N/A,  'i1'!EM104 )</f>
        <v>6026.66</v>
      </c>
      <c r="CF104" s="114">
        <f xml:space="preserve"> IF(   'i1'!EL104=LEER, #N/A, 'i1'!EL104 + 'i1'!EM104 )</f>
        <v>22473.97</v>
      </c>
      <c r="CW104" s="104">
        <f xml:space="preserve"> 'i1'!FN104</f>
        <v>104</v>
      </c>
      <c r="CX104" s="106">
        <f xml:space="preserve"> IF(  INDEX( 'i1'!$FS104:$JO104, CX$13 ) = LEER,  #N/A,  INDEX( 'i1'!$FS104:$JO104, CX$13 )  )</f>
        <v>26633.35</v>
      </c>
      <c r="CY104" s="106">
        <f xml:space="preserve"> IF(  INDEX( 'i1'!$FS104:$JO104, CY$13 ) = LEER,  #N/A,  INDEX( 'i1'!$FS104:$JO104, CY$13 )  )</f>
        <v>25359.79</v>
      </c>
      <c r="CZ104" s="106">
        <f xml:space="preserve"> IF(  INDEX( 'i1'!$FS104:$JO104, CZ$13 ) = LEER,  #N/A,  INDEX( 'i1'!$FS104:$JO104, CZ$13 )  )</f>
        <v>23983.43</v>
      </c>
      <c r="DA104" s="106">
        <f xml:space="preserve"> IF(  INDEX( 'i1'!$FS104:$JO104, DA$13 ) = LEER,  #N/A,  INDEX( 'i1'!$FS104:$JO104, DA$13 )  )</f>
        <v>22472.880000000001</v>
      </c>
      <c r="DB104" s="106">
        <f xml:space="preserve"> IF(  INDEX( 'i1'!$FS104:$JO104, DB$13 ) = LEER,  #N/A,  INDEX( 'i1'!$FS104:$JO104, DB$13 )  )</f>
        <v>20781.98</v>
      </c>
      <c r="DC104" s="106">
        <f xml:space="preserve"> IF(  INDEX( 'i1'!$FS104:$JO104, DC$13 ) = LEER,  #N/A,  INDEX( 'i1'!$FS104:$JO104, DC$13 )  )</f>
        <v>18784.53</v>
      </c>
      <c r="DD104" s="106">
        <f xml:space="preserve"> IF(  INDEX( 'i1'!$FS104:$JO104, DD$13 ) = LEER,  #N/A,  INDEX( 'i1'!$FS104:$JO104, DD$13 )  )</f>
        <v>16447.310000000001</v>
      </c>
      <c r="DE104" s="106">
        <f xml:space="preserve"> IF(  INDEX( 'i1'!$FS104:$JO104, DE$13 ) = LEER,  #N/A,  INDEX( 'i1'!$FS104:$JO104, DE$13 )  )</f>
        <v>13867.56</v>
      </c>
      <c r="DF104" s="106">
        <f xml:space="preserve"> IF(  INDEX( 'i1'!$FS104:$JO104, DF$13 ) = LEER,  #N/A,  INDEX( 'i1'!$FS104:$JO104, DF$13 )  )</f>
        <v>11120.38</v>
      </c>
      <c r="DG104" s="106">
        <f xml:space="preserve"> IF(  INDEX( 'i1'!$FS104:$JO104, DG$13 ) = LEER,  #N/A,  INDEX( 'i1'!$FS104:$JO104, DG$13 )  )</f>
        <v>8208.85</v>
      </c>
      <c r="DH104" s="106">
        <f xml:space="preserve"> IF(  INDEX( 'i1'!$FS104:$JO104, DH$13 ) = LEER,  #N/A,  INDEX( 'i1'!$FS104:$JO104, DH$13 )  )</f>
        <v>5395.19</v>
      </c>
      <c r="DI104" s="106">
        <f xml:space="preserve"> IF(  INDEX( 'i1'!$FS104:$JO104, DI$13 ) = LEER,  #N/A,  INDEX( 'i1'!$FS104:$JO104, DI$13 )  )</f>
        <v>3078.9</v>
      </c>
      <c r="DJ104" s="106">
        <f xml:space="preserve"> IF(  INDEX( 'i1'!$FS104:$JO104, DJ$13 ) = LEER,  #N/A,  INDEX( 'i1'!$FS104:$JO104, DJ$13 )  )</f>
        <v>1128.8499999999999</v>
      </c>
      <c r="DK104" s="106">
        <f xml:space="preserve"> IF(  INDEX( 'i1'!$FS104:$JO104, DK$13 ) = LEER,  #N/A,  INDEX( 'i1'!$FS104:$JO104, DK$13 )  )</f>
        <v>227.69</v>
      </c>
      <c r="DL104" s="106">
        <f xml:space="preserve"> IF(  INDEX( 'i1'!$FS104:$JO104, DL$13 ) = LEER,  #N/A,  INDEX( 'i1'!$FS104:$JO104, DL$13 )  )</f>
        <v>121.2</v>
      </c>
      <c r="DM104" s="106">
        <f xml:space="preserve"> IF(  INDEX( 'i1'!$FS104:$JO104, DM$13 ) = LEER,  #N/A,  INDEX( 'i1'!$FS104:$JO104, DM$13 )  )</f>
        <v>83.65</v>
      </c>
      <c r="DN104" s="106">
        <f xml:space="preserve"> IF(  INDEX( 'i1'!$FS104:$JO104, DN$13 ) = LEER,  #N/A,  INDEX( 'i1'!$FS104:$JO104, DN$13 )  )</f>
        <v>33.79</v>
      </c>
    </row>
    <row r="105" spans="1:118" x14ac:dyDescent="0.2">
      <c r="A105" s="15">
        <f xml:space="preserve"> Basis!A105</f>
        <v>105</v>
      </c>
      <c r="C105" s="24" t="b">
        <f xml:space="preserve"> 'i1'!$O105</f>
        <v>1</v>
      </c>
      <c r="D105" s="24" t="b">
        <f xml:space="preserve"> 'i2'!$O105</f>
        <v>1</v>
      </c>
      <c r="E105" s="24" t="b">
        <f xml:space="preserve"> 'i3'!$O105</f>
        <v>1</v>
      </c>
      <c r="G105" s="27">
        <f xml:space="preserve"> IF( $C106,   IF( 'i1'!$P105=LEER,  #N/A,  'i1'!$P105  ),   #N/A  )</f>
        <v>0.29480000000000001</v>
      </c>
      <c r="H105" s="27">
        <f xml:space="preserve"> IF( $D106,   IF( 'i2'!$P105=LEER,  #N/A,  'i2'!$P105  ),   #N/A  )</f>
        <v>0.29480000000000001</v>
      </c>
      <c r="I105" s="27">
        <f xml:space="preserve"> IF( $E106,   IF( 'i3'!$P105=LEER,  #N/A,  'i3'!$P105  ),   #N/A  )</f>
        <v>0.29480000000000001</v>
      </c>
      <c r="J105" s="158"/>
      <c r="K105" s="27">
        <f xml:space="preserve"> IF( $C106,   IF( 'i1'!$G105=LEER,  #N/A,  'i1'!$G105  ),   #N/A  )</f>
        <v>1.4E-3</v>
      </c>
      <c r="L105" s="27">
        <f xml:space="preserve"> IF( $D106,   IF( 'i2'!$G105=LEER,  #N/A,  'i2'!$G105  ),   #N/A  )</f>
        <v>1.4E-3</v>
      </c>
      <c r="M105" s="27">
        <f xml:space="preserve"> IF( $E106,   IF( 'i3'!$G105=LEER,  #N/A,  'i3'!$G105  ),   #N/A  )</f>
        <v>1.4E-3</v>
      </c>
      <c r="N105" s="158"/>
      <c r="O105" s="158"/>
      <c r="Q105" s="28">
        <f t="shared" si="56"/>
        <v>2.4360641404034582</v>
      </c>
      <c r="R105" s="28">
        <f t="shared" si="57"/>
        <v>2.4360641404034582</v>
      </c>
      <c r="S105" s="28">
        <f t="shared" si="58"/>
        <v>2.4360641404034582</v>
      </c>
      <c r="U105" s="76">
        <f xml:space="preserve"> IF( $C104,   SUM('i1'!$R105),   #N/A  )</f>
        <v>5036</v>
      </c>
      <c r="V105" s="76">
        <f xml:space="preserve"> IF( $C104,   SUM('i2'!$R105),   #N/A  )</f>
        <v>5036</v>
      </c>
      <c r="W105" s="76">
        <f xml:space="preserve"> IF( $C104,   SUM('i3'!$R105),   #N/A  )</f>
        <v>5036</v>
      </c>
      <c r="Y105" s="33"/>
      <c r="Z105" s="22">
        <f xml:space="preserve"> IF( $C105,   IF( 'i1'!$J105=LEER,  #N/A,  'i1'!$J105  ),   #N/A  )</f>
        <v>5.52</v>
      </c>
      <c r="AA105" s="22">
        <f xml:space="preserve"> IF( $D105,   IF( 'i2'!$J105=LEER,  #N/A,  'i2'!$J105  ),   #N/A  )</f>
        <v>5.52</v>
      </c>
      <c r="AB105" s="22">
        <f xml:space="preserve"> IF( $E105,   IF( 'i3'!$J105=LEER,  #N/A,  'i3'!$J105  ),   #N/A  )</f>
        <v>5.52</v>
      </c>
      <c r="AC105" s="75"/>
      <c r="AD105" s="26">
        <f t="shared" si="46"/>
        <v>11469.400799999999</v>
      </c>
      <c r="AE105" s="26">
        <f t="shared" si="47"/>
        <v>11469.400799999999</v>
      </c>
      <c r="AF105" s="26">
        <f t="shared" si="48"/>
        <v>11469.400799999999</v>
      </c>
      <c r="AG105" s="23"/>
      <c r="AH105" s="24">
        <f xml:space="preserve">    IF(  'i1'!$AK105=LEER,  #N/A,  ROUND( 'i1'!$AK105, AH$15 )  )</f>
        <v>1109.7</v>
      </c>
      <c r="AI105" s="24">
        <f xml:space="preserve">    IF(  'i2'!$AK105=LEER,  #N/A,  ROUND( 'i2'!$AK105, AI$15 )  )</f>
        <v>1109.7</v>
      </c>
      <c r="AJ105" s="24">
        <f xml:space="preserve">    IF(  'i3'!$AK105=LEER,  #N/A,  ROUND( 'i3'!$AK105, AJ$15 )  )</f>
        <v>1109.7</v>
      </c>
      <c r="AL105" s="102">
        <f t="shared" si="49"/>
        <v>1109.7</v>
      </c>
      <c r="AO105" s="24">
        <f xml:space="preserve">    IF( 'i1'!$AN105=LEER,  #N/A,  'i1'!$AN105  )</f>
        <v>21610.720000000001</v>
      </c>
      <c r="AP105" s="24">
        <f xml:space="preserve">    IF( 'i2'!$AN105=LEER,  #N/A,  'i2'!$AN105  )</f>
        <v>21610.720000000001</v>
      </c>
      <c r="AQ105" s="24">
        <f xml:space="preserve">    IF( 'i3'!$AN105=LEER,  #N/A,  'i3'!$AN105  )</f>
        <v>21610.720000000001</v>
      </c>
      <c r="AS105" s="24">
        <f xml:space="preserve">    IF( 'i1'!$AO105=LEER,  #N/A,  'i1'!$AO105  )</f>
        <v>21480.240000000002</v>
      </c>
      <c r="AT105" s="24">
        <f xml:space="preserve">    IF( 'i2'!$AO105=LEER,  #N/A,  'i2'!$AO105  )</f>
        <v>21480.240000000002</v>
      </c>
      <c r="AU105" s="24">
        <f xml:space="preserve">    IF( 'i3'!$AO105=LEER,  #N/A,  'i3'!$AO105  )</f>
        <v>21480.240000000002</v>
      </c>
      <c r="AW105" s="28">
        <f t="shared" si="59"/>
        <v>10.4008</v>
      </c>
      <c r="AX105" s="28">
        <f t="shared" si="50"/>
        <v>10.4008</v>
      </c>
      <c r="AY105" s="28">
        <f t="shared" si="51"/>
        <v>10.4008</v>
      </c>
      <c r="BA105" s="28">
        <f t="shared" si="52"/>
        <v>10.337999999999999</v>
      </c>
      <c r="BB105" s="28">
        <f t="shared" si="53"/>
        <v>10.337999999999999</v>
      </c>
      <c r="BC105" s="28">
        <f t="shared" si="54"/>
        <v>10.337999999999999</v>
      </c>
      <c r="BG105" s="24">
        <f xml:space="preserve">    IF( 'i1'!BT105=LEER,  #N/A,  'i1'!BT105  )</f>
        <v>-7616.97</v>
      </c>
      <c r="BH105" s="24">
        <f xml:space="preserve">    IF( 'i1'!BR105=LEER,  #N/A,  'i1'!BR105  )</f>
        <v>22609.53</v>
      </c>
      <c r="BI105" s="111">
        <f t="shared" ref="BI105:BI120" si="60" xml:space="preserve"> BG105 + BH105</f>
        <v>14992.559999999998</v>
      </c>
      <c r="BJ105" s="24">
        <f xml:space="preserve">    IF( 'i1'!BX105=LEER,  #N/A,  'i1'!BX105  )</f>
        <v>6618.1600000000035</v>
      </c>
      <c r="BL105" s="24">
        <f xml:space="preserve">    IF( 'i1'!CB105=LEER,  #N/A,  'i1'!CB105  )</f>
        <v>-7807.39</v>
      </c>
      <c r="BM105" s="24">
        <f xml:space="preserve">    IF( 'i1'!CC105=LEER,  #N/A,  'i1'!CC105  )</f>
        <v>540.27</v>
      </c>
      <c r="BN105" s="24">
        <f xml:space="preserve">    IF( 'i1'!CD105=LEER,  #N/A,  'i1'!CD105  )</f>
        <v>5996.74</v>
      </c>
      <c r="BO105" s="24">
        <f xml:space="preserve">    IF( 'i1'!CE105=LEER,  #N/A,  'i1'!CE105  )</f>
        <v>-1270.380000000001</v>
      </c>
      <c r="BQ105" s="24">
        <f xml:space="preserve">    IF( 'i1'!CI105=LEER,  #N/A,  'i1'!CI105  )</f>
        <v>11469.4</v>
      </c>
      <c r="BR105" s="24">
        <f xml:space="preserve">    IF( 'i1'!CJ105=LEER,  #N/A,  'i1'!CJ105  )</f>
        <v>-1765.14</v>
      </c>
      <c r="BS105" s="24">
        <f xml:space="preserve">    IF( 'i1'!CK105=LEER,  #N/A,  'i1'!CK105  )</f>
        <v>-5850.48</v>
      </c>
      <c r="BT105" s="38">
        <f xml:space="preserve">    IF( 'i1'!CH105=LEER,  #N/A,  'i1'!CH105  )</f>
        <v>3852.4304390000002</v>
      </c>
      <c r="BV105" s="24">
        <f xml:space="preserve">    IF( 'i1'!CO105=LEER,  #N/A,  'i1'!CO105  )</f>
        <v>11469.4</v>
      </c>
      <c r="BW105" s="24">
        <f xml:space="preserve">    IF( 'i1'!CP105=LEER,  #N/A,  'i1'!CP105  )</f>
        <v>-1754.3</v>
      </c>
      <c r="BX105" s="24">
        <f xml:space="preserve">    IF( 'i1'!CQ105=LEER,  #N/A,  'i1'!CQ105  )</f>
        <v>-5815.21</v>
      </c>
      <c r="BY105" s="38">
        <f xml:space="preserve">    IF( 'i1'!CN105=LEER,  #N/A,  'i1'!CN105  )</f>
        <v>3898.5573770000001</v>
      </c>
      <c r="CD105" s="113" t="e">
        <f xml:space="preserve"> IF(  AND( $A105&lt;&gt;$CD$14, OR( 'i1'!EO105=LEER, 'i1'!EM105&lt;&gt;LEER ) ), #N/A, 'i1'!EO105 )</f>
        <v>#N/A</v>
      </c>
      <c r="CE105" s="113">
        <f xml:space="preserve"> IF(   'i1'!EM105=LEER, #N/A,  'i1'!EM105 )</f>
        <v>5754.68</v>
      </c>
      <c r="CF105" s="114">
        <f xml:space="preserve"> IF(   'i1'!EL105=LEER, #N/A, 'i1'!EL105 + 'i1'!EM105 )</f>
        <v>21481.29</v>
      </c>
      <c r="CW105" s="104">
        <f xml:space="preserve"> 'i1'!FN105</f>
        <v>105</v>
      </c>
      <c r="CX105" s="106">
        <f xml:space="preserve"> IF(  INDEX( 'i1'!$FS105:$JO105, CX$13 ) = LEER,  #N/A,  INDEX( 'i1'!$FS105:$JO105, CX$13 )  )</f>
        <v>25452.95</v>
      </c>
      <c r="CY105" s="106">
        <f xml:space="preserve"> IF(  INDEX( 'i1'!$FS105:$JO105, CY$13 ) = LEER,  #N/A,  INDEX( 'i1'!$FS105:$JO105, CY$13 )  )</f>
        <v>24236.86</v>
      </c>
      <c r="CZ105" s="106">
        <f xml:space="preserve"> IF(  INDEX( 'i1'!$FS105:$JO105, CZ$13 ) = LEER,  #N/A,  INDEX( 'i1'!$FS105:$JO105, CZ$13 )  )</f>
        <v>22922.62</v>
      </c>
      <c r="DA105" s="106">
        <f xml:space="preserve"> IF(  INDEX( 'i1'!$FS105:$JO105, DA$13 ) = LEER,  #N/A,  INDEX( 'i1'!$FS105:$JO105, DA$13 )  )</f>
        <v>21480.240000000002</v>
      </c>
      <c r="DB105" s="106">
        <f xml:space="preserve"> IF(  INDEX( 'i1'!$FS105:$JO105, DB$13 ) = LEER,  #N/A,  INDEX( 'i1'!$FS105:$JO105, DB$13 )  )</f>
        <v>19865.650000000001</v>
      </c>
      <c r="DC105" s="106">
        <f xml:space="preserve"> IF(  INDEX( 'i1'!$FS105:$JO105, DC$13 ) = LEER,  #N/A,  INDEX( 'i1'!$FS105:$JO105, DC$13 )  )</f>
        <v>17958.349999999999</v>
      </c>
      <c r="DD105" s="106">
        <f xml:space="preserve"> IF(  INDEX( 'i1'!$FS105:$JO105, DD$13 ) = LEER,  #N/A,  INDEX( 'i1'!$FS105:$JO105, DD$13 )  )</f>
        <v>15726.61</v>
      </c>
      <c r="DE105" s="106">
        <f xml:space="preserve"> IF(  INDEX( 'i1'!$FS105:$JO105, DE$13 ) = LEER,  #N/A,  INDEX( 'i1'!$FS105:$JO105, DE$13 )  )</f>
        <v>13263.28</v>
      </c>
      <c r="DF105" s="106">
        <f xml:space="preserve"> IF(  INDEX( 'i1'!$FS105:$JO105, DF$13 ) = LEER,  #N/A,  INDEX( 'i1'!$FS105:$JO105, DF$13 )  )</f>
        <v>10640.09</v>
      </c>
      <c r="DG105" s="106">
        <f xml:space="preserve"> IF(  INDEX( 'i1'!$FS105:$JO105, DG$13 ) = LEER,  #N/A,  INDEX( 'i1'!$FS105:$JO105, DG$13 )  )</f>
        <v>7859.96</v>
      </c>
      <c r="DH105" s="106">
        <f xml:space="preserve"> IF(  INDEX( 'i1'!$FS105:$JO105, DH$13 ) = LEER,  #N/A,  INDEX( 'i1'!$FS105:$JO105, DH$13 )  )</f>
        <v>5173.28</v>
      </c>
      <c r="DI105" s="106">
        <f xml:space="preserve"> IF(  INDEX( 'i1'!$FS105:$JO105, DI$13 ) = LEER,  #N/A,  INDEX( 'i1'!$FS105:$JO105, DI$13 )  )</f>
        <v>2961.52</v>
      </c>
      <c r="DJ105" s="106">
        <f xml:space="preserve"> IF(  INDEX( 'i1'!$FS105:$JO105, DJ$13 ) = LEER,  #N/A,  INDEX( 'i1'!$FS105:$JO105, DJ$13 )  )</f>
        <v>1099.48</v>
      </c>
      <c r="DK105" s="106">
        <f xml:space="preserve"> IF(  INDEX( 'i1'!$FS105:$JO105, DK$13 ) = LEER,  #N/A,  INDEX( 'i1'!$FS105:$JO105, DK$13 )  )</f>
        <v>238.99</v>
      </c>
      <c r="DL105" s="106">
        <f xml:space="preserve"> IF(  INDEX( 'i1'!$FS105:$JO105, DL$13 ) = LEER,  #N/A,  INDEX( 'i1'!$FS105:$JO105, DL$13 )  )</f>
        <v>137.31</v>
      </c>
      <c r="DM105" s="106">
        <f xml:space="preserve"> IF(  INDEX( 'i1'!$FS105:$JO105, DM$13 ) = LEER,  #N/A,  INDEX( 'i1'!$FS105:$JO105, DM$13 )  )</f>
        <v>101.45</v>
      </c>
      <c r="DN105" s="106">
        <f xml:space="preserve"> IF(  INDEX( 'i1'!$FS105:$JO105, DN$13 ) = LEER,  #N/A,  INDEX( 'i1'!$FS105:$JO105, DN$13 )  )</f>
        <v>53.85</v>
      </c>
    </row>
    <row r="106" spans="1:118" x14ac:dyDescent="0.2">
      <c r="A106" s="15">
        <f xml:space="preserve"> Basis!A106</f>
        <v>106</v>
      </c>
      <c r="C106" s="24" t="b">
        <f xml:space="preserve"> 'i1'!$O106</f>
        <v>1</v>
      </c>
      <c r="D106" s="24" t="b">
        <f xml:space="preserve"> 'i2'!$O106</f>
        <v>1</v>
      </c>
      <c r="E106" s="24" t="b">
        <f xml:space="preserve"> 'i3'!$O106</f>
        <v>1</v>
      </c>
      <c r="G106" s="27">
        <f xml:space="preserve"> IF( $C107,   IF( 'i1'!$P106=LEER,  #N/A,  'i1'!$P106  ),   #N/A  )</f>
        <v>0.30059999999999998</v>
      </c>
      <c r="H106" s="27">
        <f xml:space="preserve"> IF( $D107,   IF( 'i2'!$P106=LEER,  #N/A,  'i2'!$P106  ),   #N/A  )</f>
        <v>0.30059999999999998</v>
      </c>
      <c r="I106" s="27">
        <f xml:space="preserve"> IF( $E107,   IF( 'i3'!$P106=LEER,  #N/A,  'i3'!$P106  ),   #N/A  )</f>
        <v>0.30059999999999998</v>
      </c>
      <c r="J106" s="158"/>
      <c r="K106" s="27">
        <f xml:space="preserve"> IF( $C107,   IF( 'i1'!$G106=LEER,  #N/A,  'i1'!$G106  ),   #N/A  )</f>
        <v>1.4E-3</v>
      </c>
      <c r="L106" s="27">
        <f xml:space="preserve"> IF( $D107,   IF( 'i2'!$G106=LEER,  #N/A,  'i2'!$G106  ),   #N/A  )</f>
        <v>1.4E-3</v>
      </c>
      <c r="M106" s="27">
        <f xml:space="preserve"> IF( $E107,   IF( 'i3'!$G106=LEER,  #N/A,  'i3'!$G106  ),   #N/A  )</f>
        <v>1.4E-3</v>
      </c>
      <c r="N106" s="158"/>
      <c r="O106" s="158"/>
      <c r="Q106" s="28">
        <f t="shared" si="56"/>
        <v>2.2454114299538541</v>
      </c>
      <c r="R106" s="28">
        <f t="shared" si="57"/>
        <v>2.2454114299538541</v>
      </c>
      <c r="S106" s="28">
        <f t="shared" si="58"/>
        <v>2.2454114299538541</v>
      </c>
      <c r="U106" s="76">
        <f xml:space="preserve"> IF( $C105,   SUM('i1'!$R106),   #N/A  )</f>
        <v>3551</v>
      </c>
      <c r="V106" s="76">
        <f xml:space="preserve"> IF( $C105,   SUM('i2'!$R106),   #N/A  )</f>
        <v>3551</v>
      </c>
      <c r="W106" s="76">
        <f xml:space="preserve"> IF( $C105,   SUM('i3'!$R106),   #N/A  )</f>
        <v>3551</v>
      </c>
      <c r="Y106" s="33"/>
      <c r="Z106" s="22">
        <f xml:space="preserve"> IF( $C106,   IF( 'i1'!$J106=LEER,  #N/A,  'i1'!$J106  ),   #N/A  )</f>
        <v>5.52</v>
      </c>
      <c r="AA106" s="22">
        <f xml:space="preserve"> IF( $D106,   IF( 'i2'!$J106=LEER,  #N/A,  'i2'!$J106  ),   #N/A  )</f>
        <v>5.52</v>
      </c>
      <c r="AB106" s="22">
        <f xml:space="preserve"> IF( $E106,   IF( 'i3'!$J106=LEER,  #N/A,  'i3'!$J106  ),   #N/A  )</f>
        <v>5.52</v>
      </c>
      <c r="AC106" s="75"/>
      <c r="AD106" s="26">
        <f t="shared" si="46"/>
        <v>11469.400799999999</v>
      </c>
      <c r="AE106" s="26">
        <f t="shared" si="47"/>
        <v>11469.400799999999</v>
      </c>
      <c r="AF106" s="26">
        <f t="shared" si="48"/>
        <v>11469.400799999999</v>
      </c>
      <c r="AG106" s="23"/>
      <c r="AH106" s="24">
        <f xml:space="preserve">    IF(  'i1'!$AK106=LEER,  #N/A,  ROUND( 'i1'!$AK106, AH$15 )  )</f>
        <v>1110.79</v>
      </c>
      <c r="AI106" s="24">
        <f xml:space="preserve">    IF(  'i2'!$AK106=LEER,  #N/A,  ROUND( 'i2'!$AK106, AI$15 )  )</f>
        <v>1110.79</v>
      </c>
      <c r="AJ106" s="24">
        <f xml:space="preserve">    IF(  'i3'!$AK106=LEER,  #N/A,  ROUND( 'i3'!$AK106, AJ$15 )  )</f>
        <v>1110.79</v>
      </c>
      <c r="AL106" s="102">
        <f t="shared" si="49"/>
        <v>1110.79</v>
      </c>
      <c r="AO106" s="24">
        <f xml:space="preserve">    IF( 'i1'!$AN106=LEER,  #N/A,  'i1'!$AN106  )</f>
        <v>20341.72</v>
      </c>
      <c r="AP106" s="24">
        <f xml:space="preserve">    IF( 'i2'!$AN106=LEER,  #N/A,  'i2'!$AN106  )</f>
        <v>20341.72</v>
      </c>
      <c r="AQ106" s="24">
        <f xml:space="preserve">    IF( 'i3'!$AN106=LEER,  #N/A,  'i3'!$AN106  )</f>
        <v>20341.72</v>
      </c>
      <c r="AS106" s="24">
        <f xml:space="preserve">    IF( 'i1'!$AO106=LEER,  #N/A,  'i1'!$AO106  )</f>
        <v>20219.09</v>
      </c>
      <c r="AT106" s="24">
        <f xml:space="preserve">    IF( 'i2'!$AO106=LEER,  #N/A,  'i2'!$AO106  )</f>
        <v>20219.09</v>
      </c>
      <c r="AU106" s="24">
        <f xml:space="preserve">    IF( 'i3'!$AO106=LEER,  #N/A,  'i3'!$AO106  )</f>
        <v>20219.09</v>
      </c>
      <c r="AW106" s="28">
        <f t="shared" si="59"/>
        <v>9.7901000000000007</v>
      </c>
      <c r="AX106" s="28">
        <f t="shared" si="50"/>
        <v>9.7901000000000007</v>
      </c>
      <c r="AY106" s="28">
        <f t="shared" si="51"/>
        <v>9.7901000000000007</v>
      </c>
      <c r="BA106" s="28">
        <f t="shared" si="52"/>
        <v>9.7310999999999996</v>
      </c>
      <c r="BB106" s="28">
        <f t="shared" si="53"/>
        <v>9.7310999999999996</v>
      </c>
      <c r="BC106" s="28">
        <f t="shared" si="54"/>
        <v>9.7310999999999996</v>
      </c>
      <c r="BG106" s="24">
        <f xml:space="preserve">    IF( 'i1'!BT106=LEER,  #N/A,  'i1'!BT106  )</f>
        <v>-7616.97</v>
      </c>
      <c r="BH106" s="24">
        <f xml:space="preserve">    IF( 'i1'!BR106=LEER,  #N/A,  'i1'!BR106  )</f>
        <v>21610.720000000001</v>
      </c>
      <c r="BI106" s="111">
        <f t="shared" si="60"/>
        <v>13993.75</v>
      </c>
      <c r="BJ106" s="24">
        <f xml:space="preserve">    IF( 'i1'!BX106=LEER,  #N/A,  'i1'!BX106  )</f>
        <v>6347.9700000000012</v>
      </c>
      <c r="BL106" s="24">
        <f xml:space="preserve">    IF( 'i1'!CB106=LEER,  #N/A,  'i1'!CB106  )</f>
        <v>-7807.39</v>
      </c>
      <c r="BM106" s="24">
        <f xml:space="preserve">    IF( 'i1'!CC106=LEER,  #N/A,  'i1'!CC106  )</f>
        <v>508.54</v>
      </c>
      <c r="BN106" s="24">
        <f xml:space="preserve">    IF( 'i1'!CD106=LEER,  #N/A,  'i1'!CD106  )</f>
        <v>5606.95</v>
      </c>
      <c r="BO106" s="24">
        <f xml:space="preserve">    IF( 'i1'!CE106=LEER,  #N/A,  'i1'!CE106  )</f>
        <v>-1691.9000000000005</v>
      </c>
      <c r="BQ106" s="24">
        <f xml:space="preserve">    IF( 'i1'!CI106=LEER,  #N/A,  'i1'!CI106  )</f>
        <v>11469.4</v>
      </c>
      <c r="BR106" s="24">
        <f xml:space="preserve">    IF( 'i1'!CJ106=LEER,  #N/A,  'i1'!CJ106  )</f>
        <v>-2144.14</v>
      </c>
      <c r="BS106" s="24">
        <f xml:space="preserve">    IF( 'i1'!CK106=LEER,  #N/A,  'i1'!CK106  )</f>
        <v>-5470.19</v>
      </c>
      <c r="BT106" s="38">
        <f xml:space="preserve">    IF( 'i1'!CH106=LEER,  #N/A,  'i1'!CH106  )</f>
        <v>3852.4304390000002</v>
      </c>
      <c r="BV106" s="24">
        <f xml:space="preserve">    IF( 'i1'!CO106=LEER,  #N/A,  'i1'!CO106  )</f>
        <v>11469.4</v>
      </c>
      <c r="BW106" s="24">
        <f xml:space="preserve">    IF( 'i1'!CP106=LEER,  #N/A,  'i1'!CP106  )</f>
        <v>-2130.91</v>
      </c>
      <c r="BX106" s="24">
        <f xml:space="preserve">    IF( 'i1'!CQ106=LEER,  #N/A,  'i1'!CQ106  )</f>
        <v>-5437.31</v>
      </c>
      <c r="BY106" s="38">
        <f xml:space="preserve">    IF( 'i1'!CN106=LEER,  #N/A,  'i1'!CN106  )</f>
        <v>3898.5573770000001</v>
      </c>
      <c r="CD106" s="113" t="e">
        <f xml:space="preserve"> IF(  AND( $A106&lt;&gt;$CD$14, OR( 'i1'!EO106=LEER, 'i1'!EM106&lt;&gt;LEER ) ), #N/A, 'i1'!EO106 )</f>
        <v>#N/A</v>
      </c>
      <c r="CE106" s="113">
        <f xml:space="preserve"> IF(   'i1'!EM106=LEER, #N/A,  'i1'!EM106 )</f>
        <v>5408.23</v>
      </c>
      <c r="CF106" s="114">
        <f xml:space="preserve"> IF(   'i1'!EL106=LEER, #N/A, 'i1'!EL106 + 'i1'!EM106 )</f>
        <v>20220.07</v>
      </c>
      <c r="CW106" s="104">
        <f xml:space="preserve"> 'i1'!FN106</f>
        <v>106</v>
      </c>
      <c r="CX106" s="106">
        <f xml:space="preserve"> IF(  INDEX( 'i1'!$FS106:$JO106, CX$13 ) = LEER,  #N/A,  INDEX( 'i1'!$FS106:$JO106, CX$13 )  )</f>
        <v>23952.63</v>
      </c>
      <c r="CY106" s="106">
        <f xml:space="preserve"> IF(  INDEX( 'i1'!$FS106:$JO106, CY$13 ) = LEER,  #N/A,  INDEX( 'i1'!$FS106:$JO106, CY$13 )  )</f>
        <v>22809.759999999998</v>
      </c>
      <c r="CZ106" s="106">
        <f xml:space="preserve"> IF(  INDEX( 'i1'!$FS106:$JO106, CZ$13 ) = LEER,  #N/A,  INDEX( 'i1'!$FS106:$JO106, CZ$13 )  )</f>
        <v>21574.63</v>
      </c>
      <c r="DA106" s="106">
        <f xml:space="preserve"> IF(  INDEX( 'i1'!$FS106:$JO106, DA$13 ) = LEER,  #N/A,  INDEX( 'i1'!$FS106:$JO106, DA$13 )  )</f>
        <v>20219.09</v>
      </c>
      <c r="DB106" s="106">
        <f xml:space="preserve"> IF(  INDEX( 'i1'!$FS106:$JO106, DB$13 ) = LEER,  #N/A,  INDEX( 'i1'!$FS106:$JO106, DB$13 )  )</f>
        <v>18701.7</v>
      </c>
      <c r="DC106" s="106">
        <f xml:space="preserve"> IF(  INDEX( 'i1'!$FS106:$JO106, DC$13 ) = LEER,  #N/A,  INDEX( 'i1'!$FS106:$JO106, DC$13 )  )</f>
        <v>16909.23</v>
      </c>
      <c r="DD106" s="106">
        <f xml:space="preserve"> IF(  INDEX( 'i1'!$FS106:$JO106, DD$13 ) = LEER,  #N/A,  INDEX( 'i1'!$FS106:$JO106, DD$13 )  )</f>
        <v>14811.84</v>
      </c>
      <c r="DE106" s="106">
        <f xml:space="preserve"> IF(  INDEX( 'i1'!$FS106:$JO106, DE$13 ) = LEER,  #N/A,  INDEX( 'i1'!$FS106:$JO106, DE$13 )  )</f>
        <v>12496.81</v>
      </c>
      <c r="DF106" s="106">
        <f xml:space="preserve"> IF(  INDEX( 'i1'!$FS106:$JO106, DF$13 ) = LEER,  #N/A,  INDEX( 'i1'!$FS106:$JO106, DF$13 )  )</f>
        <v>10031.540000000001</v>
      </c>
      <c r="DG106" s="106">
        <f xml:space="preserve"> IF(  INDEX( 'i1'!$FS106:$JO106, DG$13 ) = LEER,  #N/A,  INDEX( 'i1'!$FS106:$JO106, DG$13 )  )</f>
        <v>7418.78</v>
      </c>
      <c r="DH106" s="106">
        <f xml:space="preserve"> IF(  INDEX( 'i1'!$FS106:$JO106, DH$13 ) = LEER,  #N/A,  INDEX( 'i1'!$FS106:$JO106, DH$13 )  )</f>
        <v>4893.8500000000004</v>
      </c>
      <c r="DI106" s="106">
        <f xml:space="preserve"> IF(  INDEX( 'i1'!$FS106:$JO106, DI$13 ) = LEER,  #N/A,  INDEX( 'i1'!$FS106:$JO106, DI$13 )  )</f>
        <v>2815.24</v>
      </c>
      <c r="DJ106" s="106">
        <f xml:space="preserve"> IF(  INDEX( 'i1'!$FS106:$JO106, DJ$13 ) = LEER,  #N/A,  INDEX( 'i1'!$FS106:$JO106, DJ$13 )  )</f>
        <v>1065.3</v>
      </c>
      <c r="DK106" s="106">
        <f xml:space="preserve"> IF(  INDEX( 'i1'!$FS106:$JO106, DK$13 ) = LEER,  #N/A,  INDEX( 'i1'!$FS106:$JO106, DK$13 )  )</f>
        <v>256.61</v>
      </c>
      <c r="DL106" s="106">
        <f xml:space="preserve"> IF(  INDEX( 'i1'!$FS106:$JO106, DL$13 ) = LEER,  #N/A,  INDEX( 'i1'!$FS106:$JO106, DL$13 )  )</f>
        <v>161.05000000000001</v>
      </c>
      <c r="DM106" s="106">
        <f xml:space="preserve"> IF(  INDEX( 'i1'!$FS106:$JO106, DM$13 ) = LEER,  #N/A,  INDEX( 'i1'!$FS106:$JO106, DM$13 )  )</f>
        <v>127.36</v>
      </c>
      <c r="DN106" s="106">
        <f xml:space="preserve"> IF(  INDEX( 'i1'!$FS106:$JO106, DN$13 ) = LEER,  #N/A,  INDEX( 'i1'!$FS106:$JO106, DN$13 )  )</f>
        <v>82.61</v>
      </c>
    </row>
    <row r="107" spans="1:118" x14ac:dyDescent="0.2">
      <c r="A107" s="15">
        <f xml:space="preserve"> Basis!A107</f>
        <v>107</v>
      </c>
      <c r="C107" s="24" t="b">
        <f xml:space="preserve"> 'i1'!$O107</f>
        <v>1</v>
      </c>
      <c r="D107" s="24" t="b">
        <f xml:space="preserve"> 'i2'!$O107</f>
        <v>1</v>
      </c>
      <c r="E107" s="24" t="b">
        <f xml:space="preserve"> 'i3'!$O107</f>
        <v>1</v>
      </c>
      <c r="G107" s="27">
        <f xml:space="preserve"> IF( $C108,   IF( 'i1'!$P107=LEER,  #N/A,  'i1'!$P107  ),   #N/A  )</f>
        <v>0.30649999999999999</v>
      </c>
      <c r="H107" s="27">
        <f xml:space="preserve"> IF( $D108,   IF( 'i2'!$P107=LEER,  #N/A,  'i2'!$P107  ),   #N/A  )</f>
        <v>0.30649999999999999</v>
      </c>
      <c r="I107" s="27">
        <f xml:space="preserve"> IF( $E108,   IF( 'i3'!$P107=LEER,  #N/A,  'i3'!$P107  ),   #N/A  )</f>
        <v>0.30649999999999999</v>
      </c>
      <c r="J107" s="158"/>
      <c r="K107" s="27">
        <f xml:space="preserve"> IF( $C108,   IF( 'i1'!$G107=LEER,  #N/A,  'i1'!$G107  ),   #N/A  )</f>
        <v>1.4E-3</v>
      </c>
      <c r="L107" s="27">
        <f xml:space="preserve"> IF( $D108,   IF( 'i2'!$G107=LEER,  #N/A,  'i2'!$G107  ),   #N/A  )</f>
        <v>1.4E-3</v>
      </c>
      <c r="M107" s="27">
        <f xml:space="preserve"> IF( $E108,   IF( 'i3'!$G107=LEER,  #N/A,  'i3'!$G107  ),   #N/A  )</f>
        <v>1.4E-3</v>
      </c>
      <c r="N107" s="158"/>
      <c r="O107" s="158"/>
      <c r="Q107" s="28">
        <f t="shared" si="56"/>
        <v>1.9955839719099999</v>
      </c>
      <c r="R107" s="28">
        <f t="shared" si="57"/>
        <v>1.9955839719099999</v>
      </c>
      <c r="S107" s="28">
        <f t="shared" si="58"/>
        <v>1.9955839719099999</v>
      </c>
      <c r="U107" s="76">
        <f xml:space="preserve"> IF( $C106,   SUM('i1'!$R107),   #N/A  )</f>
        <v>2483</v>
      </c>
      <c r="V107" s="76">
        <f xml:space="preserve"> IF( $C106,   SUM('i2'!$R107),   #N/A  )</f>
        <v>2483</v>
      </c>
      <c r="W107" s="76">
        <f xml:space="preserve"> IF( $C106,   SUM('i3'!$R107),   #N/A  )</f>
        <v>2483</v>
      </c>
      <c r="Y107" s="33"/>
      <c r="Z107" s="22">
        <f xml:space="preserve"> IF( $C107,   IF( 'i1'!$J107=LEER,  #N/A,  'i1'!$J107  ),   #N/A  )</f>
        <v>5.53</v>
      </c>
      <c r="AA107" s="22">
        <f xml:space="preserve"> IF( $D107,   IF( 'i2'!$J107=LEER,  #N/A,  'i2'!$J107  ),   #N/A  )</f>
        <v>5.53</v>
      </c>
      <c r="AB107" s="22">
        <f xml:space="preserve"> IF( $E107,   IF( 'i3'!$J107=LEER,  #N/A,  'i3'!$J107  ),   #N/A  )</f>
        <v>5.53</v>
      </c>
      <c r="AC107" s="75"/>
      <c r="AD107" s="26">
        <f t="shared" si="46"/>
        <v>11490.1787</v>
      </c>
      <c r="AE107" s="26">
        <f t="shared" si="47"/>
        <v>11490.1787</v>
      </c>
      <c r="AF107" s="26">
        <f t="shared" si="48"/>
        <v>11490.1787</v>
      </c>
      <c r="AG107" s="23"/>
      <c r="AH107" s="24">
        <f xml:space="preserve">    IF(  'i1'!$AK107=LEER,  #N/A,  ROUND( 'i1'!$AK107, AH$15 )  )</f>
        <v>1112.67</v>
      </c>
      <c r="AI107" s="24">
        <f xml:space="preserve">    IF(  'i2'!$AK107=LEER,  #N/A,  ROUND( 'i2'!$AK107, AI$15 )  )</f>
        <v>1112.67</v>
      </c>
      <c r="AJ107" s="24">
        <f xml:space="preserve">    IF(  'i3'!$AK107=LEER,  #N/A,  ROUND( 'i3'!$AK107, AJ$15 )  )</f>
        <v>1112.67</v>
      </c>
      <c r="AL107" s="102">
        <f t="shared" si="49"/>
        <v>1112.67</v>
      </c>
      <c r="AO107" s="24">
        <f xml:space="preserve">    IF( 'i1'!$AN107=LEER,  #N/A,  'i1'!$AN107  )</f>
        <v>18652.52</v>
      </c>
      <c r="AP107" s="24">
        <f xml:space="preserve">    IF( 'i2'!$AN107=LEER,  #N/A,  'i2'!$AN107  )</f>
        <v>18652.52</v>
      </c>
      <c r="AQ107" s="24">
        <f xml:space="preserve">    IF( 'i3'!$AN107=LEER,  #N/A,  'i3'!$AN107  )</f>
        <v>18652.52</v>
      </c>
      <c r="AS107" s="24">
        <f xml:space="preserve">    IF( 'i1'!$AO107=LEER,  #N/A,  'i1'!$AO107  )</f>
        <v>18540.38</v>
      </c>
      <c r="AT107" s="24">
        <f xml:space="preserve">    IF( 'i2'!$AO107=LEER,  #N/A,  'i2'!$AO107  )</f>
        <v>18540.38</v>
      </c>
      <c r="AU107" s="24">
        <f xml:space="preserve">    IF( 'i3'!$AO107=LEER,  #N/A,  'i3'!$AO107  )</f>
        <v>18540.38</v>
      </c>
      <c r="AW107" s="28">
        <f t="shared" si="59"/>
        <v>8.9771000000000001</v>
      </c>
      <c r="AX107" s="28">
        <f t="shared" si="50"/>
        <v>8.9771000000000001</v>
      </c>
      <c r="AY107" s="28">
        <f t="shared" si="51"/>
        <v>8.9771000000000001</v>
      </c>
      <c r="BA107" s="28">
        <f t="shared" si="52"/>
        <v>8.9230999999999998</v>
      </c>
      <c r="BB107" s="28">
        <f t="shared" si="53"/>
        <v>8.9230999999999998</v>
      </c>
      <c r="BC107" s="28">
        <f t="shared" si="54"/>
        <v>8.9230999999999998</v>
      </c>
      <c r="BG107" s="24">
        <f xml:space="preserve">    IF( 'i1'!BT107=LEER,  #N/A,  'i1'!BT107  )</f>
        <v>-7616.97</v>
      </c>
      <c r="BH107" s="24">
        <f xml:space="preserve">    IF( 'i1'!BR107=LEER,  #N/A,  'i1'!BR107  )</f>
        <v>20341.72</v>
      </c>
      <c r="BI107" s="111">
        <f t="shared" si="60"/>
        <v>12724.75</v>
      </c>
      <c r="BJ107" s="24">
        <f xml:space="preserve">    IF( 'i1'!BX107=LEER,  #N/A,  'i1'!BX107  )</f>
        <v>5927.77</v>
      </c>
      <c r="BL107" s="24">
        <f xml:space="preserve">    IF( 'i1'!CB107=LEER,  #N/A,  'i1'!CB107  )</f>
        <v>-7828.69</v>
      </c>
      <c r="BM107" s="24">
        <f xml:space="preserve">    IF( 'i1'!CC107=LEER,  #N/A,  'i1'!CC107  )</f>
        <v>466.31</v>
      </c>
      <c r="BN107" s="24">
        <f xml:space="preserve">    IF( 'i1'!CD107=LEER,  #N/A,  'i1'!CD107  )</f>
        <v>4992.96</v>
      </c>
      <c r="BO107" s="24">
        <f xml:space="preserve">    IF( 'i1'!CE107=LEER,  #N/A,  'i1'!CE107  )</f>
        <v>-2369.4199999999992</v>
      </c>
      <c r="BQ107" s="24">
        <f xml:space="preserve">    IF( 'i1'!CI107=LEER,  #N/A,  'i1'!CI107  )</f>
        <v>11490.18</v>
      </c>
      <c r="BR107" s="24">
        <f xml:space="preserve">    IF( 'i1'!CJ107=LEER,  #N/A,  'i1'!CJ107  )</f>
        <v>-2759.59</v>
      </c>
      <c r="BS107" s="24">
        <f xml:space="preserve">    IF( 'i1'!CK107=LEER,  #N/A,  'i1'!CK107  )</f>
        <v>-4871.18</v>
      </c>
      <c r="BT107" s="38">
        <f xml:space="preserve">    IF( 'i1'!CH107=LEER,  #N/A,  'i1'!CH107  )</f>
        <v>3852.4304390000002</v>
      </c>
      <c r="BV107" s="24">
        <f xml:space="preserve">    IF( 'i1'!CO107=LEER,  #N/A,  'i1'!CO107  )</f>
        <v>11490.18</v>
      </c>
      <c r="BW107" s="24">
        <f xml:space="preserve">    IF( 'i1'!CP107=LEER,  #N/A,  'i1'!CP107  )</f>
        <v>-2742.69</v>
      </c>
      <c r="BX107" s="24">
        <f xml:space="preserve">    IF( 'i1'!CQ107=LEER,  #N/A,  'i1'!CQ107  )</f>
        <v>-4841.99</v>
      </c>
      <c r="BY107" s="38">
        <f xml:space="preserve">    IF( 'i1'!CN107=LEER,  #N/A,  'i1'!CN107  )</f>
        <v>3898.5573770000001</v>
      </c>
      <c r="CD107" s="113" t="e">
        <f xml:space="preserve"> IF(  AND( $A107&lt;&gt;$CD$14, OR( 'i1'!EO107=LEER, 'i1'!EM107&lt;&gt;LEER ) ), #N/A, 'i1'!EO107 )</f>
        <v>#N/A</v>
      </c>
      <c r="CE107" s="113">
        <f xml:space="preserve"> IF(   'i1'!EM107=LEER, #N/A,  'i1'!EM107 )</f>
        <v>4945.63</v>
      </c>
      <c r="CF107" s="114">
        <f xml:space="preserve"> IF(   'i1'!EL107=LEER, #N/A, 'i1'!EL107 + 'i1'!EM107 )</f>
        <v>18541.28</v>
      </c>
      <c r="CW107" s="104">
        <f xml:space="preserve"> 'i1'!FN107</f>
        <v>107</v>
      </c>
      <c r="CX107" s="106">
        <f xml:space="preserve"> IF(  INDEX( 'i1'!$FS107:$JO107, CX$13 ) = LEER,  #N/A,  INDEX( 'i1'!$FS107:$JO107, CX$13 )  )</f>
        <v>21954.57</v>
      </c>
      <c r="CY107" s="106">
        <f xml:space="preserve"> IF(  INDEX( 'i1'!$FS107:$JO107, CY$13 ) = LEER,  #N/A,  INDEX( 'i1'!$FS107:$JO107, CY$13 )  )</f>
        <v>20909.45</v>
      </c>
      <c r="CZ107" s="106">
        <f xml:space="preserve"> IF(  INDEX( 'i1'!$FS107:$JO107, CZ$13 ) = LEER,  #N/A,  INDEX( 'i1'!$FS107:$JO107, CZ$13 )  )</f>
        <v>19779.98</v>
      </c>
      <c r="DA107" s="106">
        <f xml:space="preserve"> IF(  INDEX( 'i1'!$FS107:$JO107, DA$13 ) = LEER,  #N/A,  INDEX( 'i1'!$FS107:$JO107, DA$13 )  )</f>
        <v>18540.38</v>
      </c>
      <c r="DB107" s="106">
        <f xml:space="preserve"> IF(  INDEX( 'i1'!$FS107:$JO107, DB$13 ) = LEER,  #N/A,  INDEX( 'i1'!$FS107:$JO107, DB$13 )  )</f>
        <v>17152.79</v>
      </c>
      <c r="DC107" s="106">
        <f xml:space="preserve"> IF(  INDEX( 'i1'!$FS107:$JO107, DC$13 ) = LEER,  #N/A,  INDEX( 'i1'!$FS107:$JO107, DC$13 )  )</f>
        <v>15513.64</v>
      </c>
      <c r="DD107" s="106">
        <f xml:space="preserve"> IF(  INDEX( 'i1'!$FS107:$JO107, DD$13 ) = LEER,  #N/A,  INDEX( 'i1'!$FS107:$JO107, DD$13 )  )</f>
        <v>13595.65</v>
      </c>
      <c r="DE107" s="106">
        <f xml:space="preserve"> IF(  INDEX( 'i1'!$FS107:$JO107, DE$13 ) = LEER,  #N/A,  INDEX( 'i1'!$FS107:$JO107, DE$13 )  )</f>
        <v>11478.65</v>
      </c>
      <c r="DF107" s="106">
        <f xml:space="preserve"> IF(  INDEX( 'i1'!$FS107:$JO107, DF$13 ) = LEER,  #N/A,  INDEX( 'i1'!$FS107:$JO107, DF$13 )  )</f>
        <v>9224.24</v>
      </c>
      <c r="DG107" s="106">
        <f xml:space="preserve"> IF(  INDEX( 'i1'!$FS107:$JO107, DG$13 ) = LEER,  #N/A,  INDEX( 'i1'!$FS107:$JO107, DG$13 )  )</f>
        <v>6834.97</v>
      </c>
      <c r="DH107" s="106">
        <f xml:space="preserve"> IF(  INDEX( 'i1'!$FS107:$JO107, DH$13 ) = LEER,  #N/A,  INDEX( 'i1'!$FS107:$JO107, DH$13 )  )</f>
        <v>4526.0200000000004</v>
      </c>
      <c r="DI107" s="106">
        <f xml:space="preserve"> IF(  INDEX( 'i1'!$FS107:$JO107, DI$13 ) = LEER,  #N/A,  INDEX( 'i1'!$FS107:$JO107, DI$13 )  )</f>
        <v>2625.21</v>
      </c>
      <c r="DJ107" s="106">
        <f xml:space="preserve"> IF(  INDEX( 'i1'!$FS107:$JO107, DJ$13 ) = LEER,  #N/A,  INDEX( 'i1'!$FS107:$JO107, DJ$13 )  )</f>
        <v>1024.95</v>
      </c>
      <c r="DK107" s="106">
        <f xml:space="preserve"> IF(  INDEX( 'i1'!$FS107:$JO107, DK$13 ) = LEER,  #N/A,  INDEX( 'i1'!$FS107:$JO107, DK$13 )  )</f>
        <v>285.44</v>
      </c>
      <c r="DL107" s="106">
        <f xml:space="preserve"> IF(  INDEX( 'i1'!$FS107:$JO107, DL$13 ) = LEER,  #N/A,  INDEX( 'i1'!$FS107:$JO107, DL$13 )  )</f>
        <v>198.05</v>
      </c>
      <c r="DM107" s="106">
        <f xml:space="preserve"> IF(  INDEX( 'i1'!$FS107:$JO107, DM$13 ) = LEER,  #N/A,  INDEX( 'i1'!$FS107:$JO107, DM$13 )  )</f>
        <v>167.24</v>
      </c>
      <c r="DN107" s="106">
        <f xml:space="preserve"> IF(  INDEX( 'i1'!$FS107:$JO107, DN$13 ) = LEER,  #N/A,  INDEX( 'i1'!$FS107:$JO107, DN$13 )  )</f>
        <v>126.32</v>
      </c>
    </row>
    <row r="108" spans="1:118" x14ac:dyDescent="0.2">
      <c r="A108" s="15">
        <f xml:space="preserve"> Basis!A108</f>
        <v>108</v>
      </c>
      <c r="C108" s="24" t="b">
        <f xml:space="preserve"> 'i1'!$O108</f>
        <v>1</v>
      </c>
      <c r="D108" s="24" t="b">
        <f xml:space="preserve"> 'i2'!$O108</f>
        <v>1</v>
      </c>
      <c r="E108" s="24" t="b">
        <f xml:space="preserve"> 'i3'!$O108</f>
        <v>1</v>
      </c>
      <c r="G108" s="27">
        <f xml:space="preserve"> IF( $C109,   IF( 'i1'!$P108=LEER,  #N/A,  'i1'!$P108  ),   #N/A  )</f>
        <v>0.31230000000000002</v>
      </c>
      <c r="H108" s="27">
        <f xml:space="preserve"> IF( $D109,   IF( 'i2'!$P108=LEER,  #N/A,  'i2'!$P108  ),   #N/A  )</f>
        <v>0.31230000000000002</v>
      </c>
      <c r="I108" s="27">
        <f xml:space="preserve"> IF( $E109,   IF( 'i3'!$P108=LEER,  #N/A,  'i3'!$P108  ),   #N/A  )</f>
        <v>0.31230000000000002</v>
      </c>
      <c r="J108" s="158"/>
      <c r="K108" s="27">
        <f xml:space="preserve"> IF( $C109,   IF( 'i1'!$G108=LEER,  #N/A,  'i1'!$G108  ),   #N/A  )</f>
        <v>1.4E-3</v>
      </c>
      <c r="L108" s="27">
        <f xml:space="preserve"> IF( $D109,   IF( 'i2'!$G108=LEER,  #N/A,  'i2'!$G108  ),   #N/A  )</f>
        <v>1.4E-3</v>
      </c>
      <c r="M108" s="27">
        <f xml:space="preserve"> IF( $E109,   IF( 'i3'!$G108=LEER,  #N/A,  'i3'!$G108  ),   #N/A  )</f>
        <v>1.4E-3</v>
      </c>
      <c r="N108" s="158"/>
      <c r="O108" s="158"/>
      <c r="Q108" s="28">
        <f t="shared" si="56"/>
        <v>1.65657386</v>
      </c>
      <c r="R108" s="28">
        <f t="shared" si="57"/>
        <v>1.65657386</v>
      </c>
      <c r="S108" s="28">
        <f t="shared" si="58"/>
        <v>1.65657386</v>
      </c>
      <c r="U108" s="76">
        <f xml:space="preserve"> IF( $C107,   SUM('i1'!$R108),   #N/A  )</f>
        <v>1721</v>
      </c>
      <c r="V108" s="76">
        <f xml:space="preserve"> IF( $C107,   SUM('i2'!$R108),   #N/A  )</f>
        <v>1721</v>
      </c>
      <c r="W108" s="76">
        <f xml:space="preserve"> IF( $C107,   SUM('i3'!$R108),   #N/A  )</f>
        <v>1721</v>
      </c>
      <c r="Y108" s="33"/>
      <c r="Z108" s="22">
        <f xml:space="preserve"> IF( $C108,   IF( 'i1'!$J108=LEER,  #N/A,  'i1'!$J108  ),   #N/A  )</f>
        <v>5.5460000000000003</v>
      </c>
      <c r="AA108" s="22">
        <f xml:space="preserve"> IF( $D108,   IF( 'i2'!$J108=LEER,  #N/A,  'i2'!$J108  ),   #N/A  )</f>
        <v>5.5460000000000003</v>
      </c>
      <c r="AB108" s="22">
        <f xml:space="preserve"> IF( $E108,   IF( 'i3'!$J108=LEER,  #N/A,  'i3'!$J108  ),   #N/A  )</f>
        <v>5.5460000000000003</v>
      </c>
      <c r="AC108" s="75"/>
      <c r="AD108" s="26">
        <f t="shared" si="46"/>
        <v>11523.423340000001</v>
      </c>
      <c r="AE108" s="26">
        <f t="shared" si="47"/>
        <v>11523.423340000001</v>
      </c>
      <c r="AF108" s="26">
        <f t="shared" si="48"/>
        <v>11523.423340000001</v>
      </c>
      <c r="AG108" s="23"/>
      <c r="AH108" s="24">
        <f xml:space="preserve">    IF(  'i1'!$AK108=LEER,  #N/A,  ROUND( 'i1'!$AK108, AH$15 )  )</f>
        <v>1114.94</v>
      </c>
      <c r="AI108" s="24">
        <f xml:space="preserve">    IF(  'i2'!$AK108=LEER,  #N/A,  ROUND( 'i2'!$AK108, AI$15 )  )</f>
        <v>1114.94</v>
      </c>
      <c r="AJ108" s="24">
        <f xml:space="preserve">    IF(  'i3'!$AK108=LEER,  #N/A,  ROUND( 'i3'!$AK108, AJ$15 )  )</f>
        <v>1114.94</v>
      </c>
      <c r="AL108" s="102">
        <f t="shared" si="49"/>
        <v>1114.94</v>
      </c>
      <c r="AO108" s="24">
        <f xml:space="preserve">    IF( 'i1'!$AN108=LEER,  #N/A,  'i1'!$AN108  )</f>
        <v>16290.25</v>
      </c>
      <c r="AP108" s="24">
        <f xml:space="preserve">    IF( 'i2'!$AN108=LEER,  #N/A,  'i2'!$AN108  )</f>
        <v>16290.25</v>
      </c>
      <c r="AQ108" s="24">
        <f xml:space="preserve">    IF( 'i3'!$AN108=LEER,  #N/A,  'i3'!$AN108  )</f>
        <v>16290.25</v>
      </c>
      <c r="AS108" s="24">
        <f xml:space="preserve">    IF( 'i1'!$AO108=LEER,  #N/A,  'i1'!$AO108  )</f>
        <v>16192.63</v>
      </c>
      <c r="AT108" s="24">
        <f xml:space="preserve">    IF( 'i2'!$AO108=LEER,  #N/A,  'i2'!$AO108  )</f>
        <v>16192.63</v>
      </c>
      <c r="AU108" s="24">
        <f xml:space="preserve">    IF( 'i3'!$AO108=LEER,  #N/A,  'i3'!$AO108  )</f>
        <v>16192.63</v>
      </c>
      <c r="AW108" s="28">
        <f t="shared" si="59"/>
        <v>7.8402000000000003</v>
      </c>
      <c r="AX108" s="28">
        <f t="shared" si="50"/>
        <v>7.8402000000000003</v>
      </c>
      <c r="AY108" s="28">
        <f t="shared" si="51"/>
        <v>7.8402000000000003</v>
      </c>
      <c r="BA108" s="28">
        <f t="shared" si="52"/>
        <v>7.7931999999999997</v>
      </c>
      <c r="BB108" s="28">
        <f t="shared" si="53"/>
        <v>7.7931999999999997</v>
      </c>
      <c r="BC108" s="28">
        <f t="shared" si="54"/>
        <v>7.7931999999999997</v>
      </c>
      <c r="BG108" s="24">
        <f xml:space="preserve">    IF( 'i1'!BT108=LEER,  #N/A,  'i1'!BT108  )</f>
        <v>-7637.5</v>
      </c>
      <c r="BH108" s="24">
        <f xml:space="preserve">    IF( 'i1'!BR108=LEER,  #N/A,  'i1'!BR108  )</f>
        <v>18652.52</v>
      </c>
      <c r="BI108" s="111">
        <f t="shared" si="60"/>
        <v>11015.02</v>
      </c>
      <c r="BJ108" s="24">
        <f xml:space="preserve">    IF( 'i1'!BX108=LEER,  #N/A,  'i1'!BX108  )</f>
        <v>5275.23</v>
      </c>
      <c r="BL108" s="24">
        <f xml:space="preserve">    IF( 'i1'!CB108=LEER,  #N/A,  'i1'!CB108  )</f>
        <v>-7862.77</v>
      </c>
      <c r="BM108" s="24">
        <f xml:space="preserve">    IF( 'i1'!CC108=LEER,  #N/A,  'i1'!CC108  )</f>
        <v>407.26</v>
      </c>
      <c r="BN108" s="24">
        <f xml:space="preserve">    IF( 'i1'!CD108=LEER,  #N/A,  'i1'!CD108  )</f>
        <v>4013.8</v>
      </c>
      <c r="BO108" s="24">
        <f xml:space="preserve">    IF( 'i1'!CE108=LEER,  #N/A,  'i1'!CE108  )</f>
        <v>-3441.71</v>
      </c>
      <c r="BQ108" s="24">
        <f xml:space="preserve">    IF( 'i1'!CI108=LEER,  #N/A,  'i1'!CI108  )</f>
        <v>11523.42</v>
      </c>
      <c r="BR108" s="24">
        <f xml:space="preserve">    IF( 'i1'!CJ108=LEER,  #N/A,  'i1'!CJ108  )</f>
        <v>-3751.35</v>
      </c>
      <c r="BS108" s="24">
        <f xml:space="preserve">    IF( 'i1'!CK108=LEER,  #N/A,  'i1'!CK108  )</f>
        <v>-3915.9</v>
      </c>
      <c r="BT108" s="38">
        <f xml:space="preserve">    IF( 'i1'!CH108=LEER,  #N/A,  'i1'!CH108  )</f>
        <v>3852.4304390000002</v>
      </c>
      <c r="BV108" s="24">
        <f xml:space="preserve">    IF( 'i1'!CO108=LEER,  #N/A,  'i1'!CO108  )</f>
        <v>11523.42</v>
      </c>
      <c r="BW108" s="24">
        <f xml:space="preserve">    IF( 'i1'!CP108=LEER,  #N/A,  'i1'!CP108  )</f>
        <v>-3728.66</v>
      </c>
      <c r="BX108" s="24">
        <f xml:space="preserve">    IF( 'i1'!CQ108=LEER,  #N/A,  'i1'!CQ108  )</f>
        <v>-3892.5</v>
      </c>
      <c r="BY108" s="38">
        <f xml:space="preserve">    IF( 'i1'!CN108=LEER,  #N/A,  'i1'!CN108  )</f>
        <v>3898.5573770000001</v>
      </c>
      <c r="CD108" s="113" t="e">
        <f xml:space="preserve"> IF(  AND( $A108&lt;&gt;$CD$14, OR( 'i1'!EO108=LEER, 'i1'!EM108&lt;&gt;LEER ) ), #N/A, 'i1'!EO108 )</f>
        <v>#N/A</v>
      </c>
      <c r="CE108" s="113">
        <f xml:space="preserve"> IF(   'i1'!EM108=LEER, #N/A,  'i1'!EM108 )</f>
        <v>4305.43</v>
      </c>
      <c r="CF108" s="114">
        <f xml:space="preserve"> IF(   'i1'!EL108=LEER, #N/A, 'i1'!EL108 + 'i1'!EM108 )</f>
        <v>16193.41</v>
      </c>
      <c r="CW108" s="104">
        <f xml:space="preserve"> 'i1'!FN108</f>
        <v>108</v>
      </c>
      <c r="CX108" s="106">
        <f xml:space="preserve"> IF(  INDEX( 'i1'!$FS108:$JO108, CX$13 ) = LEER,  #N/A,  INDEX( 'i1'!$FS108:$JO108, CX$13 )  )</f>
        <v>19164.86</v>
      </c>
      <c r="CY108" s="106">
        <f xml:space="preserve"> IF(  INDEX( 'i1'!$FS108:$JO108, CY$13 ) = LEER,  #N/A,  INDEX( 'i1'!$FS108:$JO108, CY$13 )  )</f>
        <v>18255.03</v>
      </c>
      <c r="CZ108" s="106">
        <f xml:space="preserve"> IF(  INDEX( 'i1'!$FS108:$JO108, CZ$13 ) = LEER,  #N/A,  INDEX( 'i1'!$FS108:$JO108, CZ$13 )  )</f>
        <v>17271.759999999998</v>
      </c>
      <c r="DA108" s="106">
        <f xml:space="preserve"> IF(  INDEX( 'i1'!$FS108:$JO108, DA$13 ) = LEER,  #N/A,  INDEX( 'i1'!$FS108:$JO108, DA$13 )  )</f>
        <v>16192.63</v>
      </c>
      <c r="DB108" s="106">
        <f xml:space="preserve"> IF(  INDEX( 'i1'!$FS108:$JO108, DB$13 ) = LEER,  #N/A,  INDEX( 'i1'!$FS108:$JO108, DB$13 )  )</f>
        <v>14984.65</v>
      </c>
      <c r="DC108" s="106">
        <f xml:space="preserve"> IF(  INDEX( 'i1'!$FS108:$JO108, DC$13 ) = LEER,  #N/A,  INDEX( 'i1'!$FS108:$JO108, DC$13 )  )</f>
        <v>13557.69</v>
      </c>
      <c r="DD108" s="106">
        <f xml:space="preserve"> IF(  INDEX( 'i1'!$FS108:$JO108, DD$13 ) = LEER,  #N/A,  INDEX( 'i1'!$FS108:$JO108, DD$13 )  )</f>
        <v>11887.98</v>
      </c>
      <c r="DE108" s="106">
        <f xml:space="preserve"> IF(  INDEX( 'i1'!$FS108:$JO108, DE$13 ) = LEER,  #N/A,  INDEX( 'i1'!$FS108:$JO108, DE$13 )  )</f>
        <v>10045.02</v>
      </c>
      <c r="DF108" s="106">
        <f xml:space="preserve"> IF(  INDEX( 'i1'!$FS108:$JO108, DF$13 ) = LEER,  #N/A,  INDEX( 'i1'!$FS108:$JO108, DF$13 )  )</f>
        <v>8082.44</v>
      </c>
      <c r="DG108" s="106">
        <f xml:space="preserve"> IF(  INDEX( 'i1'!$FS108:$JO108, DG$13 ) = LEER,  #N/A,  INDEX( 'i1'!$FS108:$JO108, DG$13 )  )</f>
        <v>6002.45</v>
      </c>
      <c r="DH108" s="106">
        <f xml:space="preserve"> IF(  INDEX( 'i1'!$FS108:$JO108, DH$13 ) = LEER,  #N/A,  INDEX( 'i1'!$FS108:$JO108, DH$13 )  )</f>
        <v>3992.39</v>
      </c>
      <c r="DI108" s="106">
        <f xml:space="preserve"> IF(  INDEX( 'i1'!$FS108:$JO108, DI$13 ) = LEER,  #N/A,  INDEX( 'i1'!$FS108:$JO108, DI$13 )  )</f>
        <v>2337.63</v>
      </c>
      <c r="DJ108" s="106">
        <f xml:space="preserve"> IF(  INDEX( 'i1'!$FS108:$JO108, DJ$13 ) = LEER,  #N/A,  INDEX( 'i1'!$FS108:$JO108, DJ$13 )  )</f>
        <v>944.53</v>
      </c>
      <c r="DK108" s="106">
        <f xml:space="preserve"> IF(  INDEX( 'i1'!$FS108:$JO108, DK$13 ) = LEER,  #N/A,  INDEX( 'i1'!$FS108:$JO108, DK$13 )  )</f>
        <v>300.74</v>
      </c>
      <c r="DL108" s="106">
        <f xml:space="preserve"> IF(  INDEX( 'i1'!$FS108:$JO108, DL$13 ) = LEER,  #N/A,  INDEX( 'i1'!$FS108:$JO108, DL$13 )  )</f>
        <v>224.67</v>
      </c>
      <c r="DM108" s="106">
        <f xml:space="preserve"> IF(  INDEX( 'i1'!$FS108:$JO108, DM$13 ) = LEER,  #N/A,  INDEX( 'i1'!$FS108:$JO108, DM$13 )  )</f>
        <v>197.84</v>
      </c>
      <c r="DN108" s="106">
        <f xml:space="preserve"> IF(  INDEX( 'i1'!$FS108:$JO108, DN$13 ) = LEER,  #N/A,  INDEX( 'i1'!$FS108:$JO108, DN$13 )  )</f>
        <v>162.22</v>
      </c>
    </row>
    <row r="109" spans="1:118" x14ac:dyDescent="0.2">
      <c r="A109" s="15">
        <f xml:space="preserve"> Basis!A109</f>
        <v>109</v>
      </c>
      <c r="C109" s="24" t="b">
        <f xml:space="preserve"> 'i1'!$O109</f>
        <v>1</v>
      </c>
      <c r="D109" s="24" t="b">
        <f xml:space="preserve"> 'i2'!$O109</f>
        <v>1</v>
      </c>
      <c r="E109" s="24" t="b">
        <f xml:space="preserve"> 'i3'!$O109</f>
        <v>1</v>
      </c>
      <c r="G109" s="27">
        <f xml:space="preserve"> IF( $C110,   IF( 'i1'!$P109=LEER,  #N/A,  'i1'!$P109  ),   #N/A  )</f>
        <v>0.31819999999999998</v>
      </c>
      <c r="H109" s="27">
        <f xml:space="preserve"> IF( $D110,   IF( 'i2'!$P109=LEER,  #N/A,  'i2'!$P109  ),   #N/A  )</f>
        <v>0.31819999999999998</v>
      </c>
      <c r="I109" s="27">
        <f xml:space="preserve"> IF( $E110,   IF( 'i3'!$P109=LEER,  #N/A,  'i3'!$P109  ),   #N/A  )</f>
        <v>0.31819999999999998</v>
      </c>
      <c r="J109" s="158"/>
      <c r="K109" s="27">
        <f xml:space="preserve"> IF( $C110,   IF( 'i1'!$G109=LEER,  #N/A,  'i1'!$G109  ),   #N/A  )</f>
        <v>1.4E-3</v>
      </c>
      <c r="L109" s="27">
        <f xml:space="preserve"> IF( $D110,   IF( 'i2'!$G109=LEER,  #N/A,  'i2'!$G109  ),   #N/A  )</f>
        <v>1.4E-3</v>
      </c>
      <c r="M109" s="27">
        <f xml:space="preserve"> IF( $E110,   IF( 'i3'!$G109=LEER,  #N/A,  'i3'!$G109  ),   #N/A  )</f>
        <v>1.4E-3</v>
      </c>
      <c r="N109" s="158"/>
      <c r="O109" s="158"/>
      <c r="Q109" s="28">
        <f t="shared" si="56"/>
        <v>1.1818</v>
      </c>
      <c r="R109" s="28">
        <f t="shared" si="57"/>
        <v>1.1818</v>
      </c>
      <c r="S109" s="28">
        <f t="shared" si="58"/>
        <v>1.1818</v>
      </c>
      <c r="U109" s="76">
        <f xml:space="preserve"> IF( $C108,   SUM('i1'!$R109),   #N/A  )</f>
        <v>1183</v>
      </c>
      <c r="V109" s="76">
        <f xml:space="preserve"> IF( $C108,   SUM('i2'!$R109),   #N/A  )</f>
        <v>1183</v>
      </c>
      <c r="W109" s="76">
        <f xml:space="preserve"> IF( $C108,   SUM('i3'!$R109),   #N/A  )</f>
        <v>1183</v>
      </c>
      <c r="Y109" s="33"/>
      <c r="Z109" s="22">
        <f xml:space="preserve"> IF( $C109,   IF( 'i1'!$J109=LEER,  #N/A,  'i1'!$J109  ),   #N/A  )</f>
        <v>5.5629999999999997</v>
      </c>
      <c r="AA109" s="22">
        <f xml:space="preserve"> IF( $D109,   IF( 'i2'!$J109=LEER,  #N/A,  'i2'!$J109  ),   #N/A  )</f>
        <v>5.5629999999999997</v>
      </c>
      <c r="AB109" s="22">
        <f xml:space="preserve"> IF( $E109,   IF( 'i3'!$J109=LEER,  #N/A,  'i3'!$J109  ),   #N/A  )</f>
        <v>5.5629999999999997</v>
      </c>
      <c r="AC109" s="75"/>
      <c r="AD109" s="26">
        <f t="shared" si="46"/>
        <v>11558.74577</v>
      </c>
      <c r="AE109" s="26">
        <f t="shared" si="47"/>
        <v>11558.74577</v>
      </c>
      <c r="AF109" s="26">
        <f t="shared" si="48"/>
        <v>11558.74577</v>
      </c>
      <c r="AG109" s="23"/>
      <c r="AH109" s="24">
        <f xml:space="preserve">    IF(  'i1'!$AK109=LEER,  #N/A,  ROUND( 'i1'!$AK109, AH$15 )  )</f>
        <v>1117.02</v>
      </c>
      <c r="AI109" s="24">
        <f xml:space="preserve">    IF(  'i2'!$AK109=LEER,  #N/A,  ROUND( 'i2'!$AK109, AI$15 )  )</f>
        <v>1117.02</v>
      </c>
      <c r="AJ109" s="24">
        <f xml:space="preserve">    IF(  'i3'!$AK109=LEER,  #N/A,  ROUND( 'i3'!$AK109, AJ$15 )  )</f>
        <v>1117.02</v>
      </c>
      <c r="AL109" s="102">
        <f t="shared" si="49"/>
        <v>1117.02</v>
      </c>
      <c r="AO109" s="24">
        <f xml:space="preserve">    IF( 'i1'!$AN109=LEER,  #N/A,  'i1'!$AN109  )</f>
        <v>12852.37</v>
      </c>
      <c r="AP109" s="24">
        <f xml:space="preserve">    IF( 'i2'!$AN109=LEER,  #N/A,  'i2'!$AN109  )</f>
        <v>12852.37</v>
      </c>
      <c r="AQ109" s="24">
        <f xml:space="preserve">    IF( 'i3'!$AN109=LEER,  #N/A,  'i3'!$AN109  )</f>
        <v>12852.37</v>
      </c>
      <c r="AS109" s="24">
        <f xml:space="preserve">    IF( 'i1'!$AO109=LEER,  #N/A,  'i1'!$AO109  )</f>
        <v>12775.57</v>
      </c>
      <c r="AT109" s="24">
        <f xml:space="preserve">    IF( 'i2'!$AO109=LEER,  #N/A,  'i2'!$AO109  )</f>
        <v>12775.57</v>
      </c>
      <c r="AU109" s="24">
        <f xml:space="preserve">    IF( 'i3'!$AO109=LEER,  #N/A,  'i3'!$AO109  )</f>
        <v>12775.57</v>
      </c>
      <c r="AW109" s="28">
        <f t="shared" si="59"/>
        <v>6.1856</v>
      </c>
      <c r="AX109" s="28">
        <f t="shared" si="50"/>
        <v>6.1856</v>
      </c>
      <c r="AY109" s="28">
        <f t="shared" si="51"/>
        <v>6.1856</v>
      </c>
      <c r="BA109" s="28">
        <f t="shared" si="52"/>
        <v>6.1486000000000001</v>
      </c>
      <c r="BB109" s="28">
        <f t="shared" si="53"/>
        <v>6.1486000000000001</v>
      </c>
      <c r="BC109" s="28">
        <f t="shared" si="54"/>
        <v>6.1486000000000001</v>
      </c>
      <c r="BG109" s="24">
        <f xml:space="preserve">    IF( 'i1'!BT109=LEER,  #N/A,  'i1'!BT109  )</f>
        <v>-7671.96</v>
      </c>
      <c r="BH109" s="24">
        <f xml:space="preserve">    IF( 'i1'!BR109=LEER,  #N/A,  'i1'!BR109  )</f>
        <v>16290.25</v>
      </c>
      <c r="BI109" s="111">
        <f t="shared" si="60"/>
        <v>8618.2900000000009</v>
      </c>
      <c r="BJ109" s="24">
        <f xml:space="preserve">    IF( 'i1'!BX109=LEER,  #N/A,  'i1'!BX109  )</f>
        <v>4234.08</v>
      </c>
      <c r="BL109" s="24">
        <f xml:space="preserve">    IF( 'i1'!CB109=LEER,  #N/A,  'i1'!CB109  )</f>
        <v>-7898.97</v>
      </c>
      <c r="BM109" s="24">
        <f xml:space="preserve">    IF( 'i1'!CC109=LEER,  #N/A,  'i1'!CC109  )</f>
        <v>321.31</v>
      </c>
      <c r="BN109" s="24">
        <f xml:space="preserve">    IF( 'i1'!CD109=LEER,  #N/A,  'i1'!CD109  )</f>
        <v>2463.3200000000002</v>
      </c>
      <c r="BO109" s="24">
        <f xml:space="preserve">    IF( 'i1'!CE109=LEER,  #N/A,  'i1'!CE109  )</f>
        <v>-5114.34</v>
      </c>
      <c r="BQ109" s="24">
        <f xml:space="preserve">    IF( 'i1'!CI109=LEER,  #N/A,  'i1'!CI109  )</f>
        <v>11558.75</v>
      </c>
      <c r="BR109" s="24">
        <f xml:space="preserve">    IF( 'i1'!CJ109=LEER,  #N/A,  'i1'!CJ109  )</f>
        <v>-5299.76</v>
      </c>
      <c r="BS109" s="24">
        <f xml:space="preserve">    IF( 'i1'!CK109=LEER,  #N/A,  'i1'!CK109  )</f>
        <v>-2403.2399999999998</v>
      </c>
      <c r="BT109" s="38">
        <f xml:space="preserve">    IF( 'i1'!CH109=LEER,  #N/A,  'i1'!CH109  )</f>
        <v>3852.4304390000002</v>
      </c>
      <c r="BV109" s="24">
        <f xml:space="preserve">    IF( 'i1'!CO109=LEER,  #N/A,  'i1'!CO109  )</f>
        <v>11558.75</v>
      </c>
      <c r="BW109" s="24">
        <f xml:space="preserve">    IF( 'i1'!CP109=LEER,  #N/A,  'i1'!CP109  )</f>
        <v>-5267.96</v>
      </c>
      <c r="BX109" s="24">
        <f xml:space="preserve">    IF( 'i1'!CQ109=LEER,  #N/A,  'i1'!CQ109  )</f>
        <v>-2388.92</v>
      </c>
      <c r="BY109" s="38">
        <f xml:space="preserve">    IF( 'i1'!CN109=LEER,  #N/A,  'i1'!CN109  )</f>
        <v>3898.5573770000001</v>
      </c>
      <c r="CD109" s="113" t="e">
        <f xml:space="preserve"> IF(  AND( $A109&lt;&gt;$CD$14, OR( 'i1'!EO109=LEER, 'i1'!EM109&lt;&gt;LEER ) ), #N/A, 'i1'!EO109 )</f>
        <v>#N/A</v>
      </c>
      <c r="CE109" s="113">
        <f xml:space="preserve"> IF(   'i1'!EM109=LEER, #N/A,  'i1'!EM109 )</f>
        <v>3386.73</v>
      </c>
      <c r="CF109" s="114">
        <f xml:space="preserve"> IF(   'i1'!EL109=LEER, #N/A, 'i1'!EL109 + 'i1'!EM109 )</f>
        <v>12776.189999999999</v>
      </c>
      <c r="CW109" s="104">
        <f xml:space="preserve"> 'i1'!FN109</f>
        <v>109</v>
      </c>
      <c r="CX109" s="106">
        <f xml:space="preserve"> IF(  INDEX( 'i1'!$FS109:$JO109, CX$13 ) = LEER,  #N/A,  INDEX( 'i1'!$FS109:$JO109, CX$13 )  )</f>
        <v>15113.58</v>
      </c>
      <c r="CY109" s="106">
        <f xml:space="preserve"> IF(  INDEX( 'i1'!$FS109:$JO109, CY$13 ) = LEER,  #N/A,  INDEX( 'i1'!$FS109:$JO109, CY$13 )  )</f>
        <v>14397.89</v>
      </c>
      <c r="CZ109" s="106">
        <f xml:space="preserve"> IF(  INDEX( 'i1'!$FS109:$JO109, CZ$13 ) = LEER,  #N/A,  INDEX( 'i1'!$FS109:$JO109, CZ$13 )  )</f>
        <v>13624.44</v>
      </c>
      <c r="DA109" s="106">
        <f xml:space="preserve"> IF(  INDEX( 'i1'!$FS109:$JO109, DA$13 ) = LEER,  #N/A,  INDEX( 'i1'!$FS109:$JO109, DA$13 )  )</f>
        <v>12775.57</v>
      </c>
      <c r="DB109" s="106">
        <f xml:space="preserve"> IF(  INDEX( 'i1'!$FS109:$JO109, DB$13 ) = LEER,  #N/A,  INDEX( 'i1'!$FS109:$JO109, DB$13 )  )</f>
        <v>11825.36</v>
      </c>
      <c r="DC109" s="106">
        <f xml:space="preserve"> IF(  INDEX( 'i1'!$FS109:$JO109, DC$13 ) = LEER,  #N/A,  INDEX( 'i1'!$FS109:$JO109, DC$13 )  )</f>
        <v>10702.88</v>
      </c>
      <c r="DD109" s="106">
        <f xml:space="preserve"> IF(  INDEX( 'i1'!$FS109:$JO109, DD$13 ) = LEER,  #N/A,  INDEX( 'i1'!$FS109:$JO109, DD$13 )  )</f>
        <v>9389.4599999999991</v>
      </c>
      <c r="DE109" s="106">
        <f xml:space="preserve"> IF(  INDEX( 'i1'!$FS109:$JO109, DE$13 ) = LEER,  #N/A,  INDEX( 'i1'!$FS109:$JO109, DE$13 )  )</f>
        <v>7939.75</v>
      </c>
      <c r="DF109" s="106">
        <f xml:space="preserve"> IF(  INDEX( 'i1'!$FS109:$JO109, DF$13 ) = LEER,  #N/A,  INDEX( 'i1'!$FS109:$JO109, DF$13 )  )</f>
        <v>6395.95</v>
      </c>
      <c r="DG109" s="106">
        <f xml:space="preserve"> IF(  INDEX( 'i1'!$FS109:$JO109, DG$13 ) = LEER,  #N/A,  INDEX( 'i1'!$FS109:$JO109, DG$13 )  )</f>
        <v>4759.79</v>
      </c>
      <c r="DH109" s="106">
        <f xml:space="preserve"> IF(  INDEX( 'i1'!$FS109:$JO109, DH$13 ) = LEER,  #N/A,  INDEX( 'i1'!$FS109:$JO109, DH$13 )  )</f>
        <v>3178.63</v>
      </c>
      <c r="DI109" s="106">
        <f xml:space="preserve"> IF(  INDEX( 'i1'!$FS109:$JO109, DI$13 ) = LEER,  #N/A,  INDEX( 'i1'!$FS109:$JO109, DI$13 )  )</f>
        <v>1876.97</v>
      </c>
      <c r="DJ109" s="106">
        <f xml:space="preserve"> IF(  INDEX( 'i1'!$FS109:$JO109, DJ$13 ) = LEER,  #N/A,  INDEX( 'i1'!$FS109:$JO109, DJ$13 )  )</f>
        <v>781.13</v>
      </c>
      <c r="DK109" s="106">
        <f xml:space="preserve"> IF(  INDEX( 'i1'!$FS109:$JO109, DK$13 ) = LEER,  #N/A,  INDEX( 'i1'!$FS109:$JO109, DK$13 )  )</f>
        <v>274.72000000000003</v>
      </c>
      <c r="DL109" s="106">
        <f xml:space="preserve"> IF(  INDEX( 'i1'!$FS109:$JO109, DL$13 ) = LEER,  #N/A,  INDEX( 'i1'!$FS109:$JO109, DL$13 )  )</f>
        <v>214.87</v>
      </c>
      <c r="DM109" s="106">
        <f xml:space="preserve"> IF(  INDEX( 'i1'!$FS109:$JO109, DM$13 ) = LEER,  #N/A,  INDEX( 'i1'!$FS109:$JO109, DM$13 )  )</f>
        <v>193.77</v>
      </c>
      <c r="DN109" s="106">
        <f xml:space="preserve"> IF(  INDEX( 'i1'!$FS109:$JO109, DN$13 ) = LEER,  #N/A,  INDEX( 'i1'!$FS109:$JO109, DN$13 )  )</f>
        <v>165.75</v>
      </c>
    </row>
    <row r="110" spans="1:118" x14ac:dyDescent="0.2">
      <c r="A110" s="15">
        <f xml:space="preserve"> Basis!A110</f>
        <v>110</v>
      </c>
      <c r="C110" s="24" t="b">
        <f xml:space="preserve"> 'i1'!$O110</f>
        <v>1</v>
      </c>
      <c r="D110" s="24" t="b">
        <f xml:space="preserve"> 'i2'!$O110</f>
        <v>1</v>
      </c>
      <c r="E110" s="24" t="b">
        <f xml:space="preserve"> 'i3'!$O110</f>
        <v>1</v>
      </c>
      <c r="G110" s="27" t="e">
        <f xml:space="preserve"> IF( $C111,   IF( 'i1'!$P110=LEER,  #N/A,  'i1'!$P110  ),   #N/A  )</f>
        <v>#N/A</v>
      </c>
      <c r="H110" s="27" t="e">
        <f xml:space="preserve"> IF( $D111,   IF( 'i2'!$P110=LEER,  #N/A,  'i2'!$P110  ),   #N/A  )</f>
        <v>#N/A</v>
      </c>
      <c r="I110" s="27" t="e">
        <f xml:space="preserve"> IF( $E111,   IF( 'i3'!$P110=LEER,  #N/A,  'i3'!$P110  ),   #N/A  )</f>
        <v>#N/A</v>
      </c>
      <c r="J110" s="158"/>
      <c r="K110" s="27" t="e">
        <f xml:space="preserve"> IF( $C111,   IF( 'i1'!$G110=LEER,  #N/A,  'i1'!$G110  ),   #N/A  )</f>
        <v>#N/A</v>
      </c>
      <c r="L110" s="27" t="e">
        <f xml:space="preserve"> IF( $D111,   IF( 'i2'!$G110=LEER,  #N/A,  'i2'!$G110  ),   #N/A  )</f>
        <v>#N/A</v>
      </c>
      <c r="M110" s="27" t="e">
        <f xml:space="preserve"> IF( $E111,   IF( 'i3'!$G110=LEER,  #N/A,  'i3'!$G110  ),   #N/A  )</f>
        <v>#N/A</v>
      </c>
      <c r="N110" s="158"/>
      <c r="O110" s="158"/>
      <c r="Q110" s="28">
        <f t="shared" si="56"/>
        <v>0.5</v>
      </c>
      <c r="R110" s="28">
        <f t="shared" si="57"/>
        <v>0.5</v>
      </c>
      <c r="S110" s="28">
        <f t="shared" si="58"/>
        <v>0.5</v>
      </c>
      <c r="U110" s="76">
        <f xml:space="preserve"> IF( $C109,   SUM('i1'!$R110),   #N/A  )</f>
        <v>806</v>
      </c>
      <c r="V110" s="76">
        <f xml:space="preserve"> IF( $C109,   SUM('i2'!$R110),   #N/A  )</f>
        <v>806</v>
      </c>
      <c r="W110" s="76">
        <f xml:space="preserve"> IF( $C109,   SUM('i3'!$R110),   #N/A  )</f>
        <v>806</v>
      </c>
      <c r="Y110" s="33"/>
      <c r="Z110" s="22">
        <f xml:space="preserve"> IF( $C110,   IF( 'i1'!$J110=LEER,  #N/A,  'i1'!$J110  ),   #N/A  )</f>
        <v>5.58</v>
      </c>
      <c r="AA110" s="22">
        <f xml:space="preserve"> IF( $D110,   IF( 'i2'!$J110=LEER,  #N/A,  'i2'!$J110  ),   #N/A  )</f>
        <v>5.58</v>
      </c>
      <c r="AB110" s="22">
        <f xml:space="preserve"> IF( $E110,   IF( 'i3'!$J110=LEER,  #N/A,  'i3'!$J110  ),   #N/A  )</f>
        <v>5.58</v>
      </c>
      <c r="AC110" s="75"/>
      <c r="AD110" s="26">
        <f t="shared" si="46"/>
        <v>11594.0682</v>
      </c>
      <c r="AE110" s="26">
        <f t="shared" si="47"/>
        <v>11594.0682</v>
      </c>
      <c r="AF110" s="26">
        <f t="shared" si="48"/>
        <v>11594.0682</v>
      </c>
      <c r="AG110" s="23"/>
      <c r="AH110" s="24">
        <f xml:space="preserve">    IF(  'i1'!$AK110=LEER,  #N/A,  ROUND( 'i1'!$AK110, AH$15 )  )</f>
        <v>1118.98</v>
      </c>
      <c r="AI110" s="24">
        <f xml:space="preserve">    IF(  'i2'!$AK110=LEER,  #N/A,  ROUND( 'i2'!$AK110, AI$15 )  )</f>
        <v>1118.98</v>
      </c>
      <c r="AJ110" s="24">
        <f xml:space="preserve">    IF(  'i3'!$AK110=LEER,  #N/A,  ROUND( 'i3'!$AK110, AJ$15 )  )</f>
        <v>1118.98</v>
      </c>
      <c r="AL110" s="102">
        <f t="shared" si="49"/>
        <v>1118.98</v>
      </c>
      <c r="AO110" s="24">
        <f xml:space="preserve">    IF( 'i1'!$AN110=LEER,  #N/A,  'i1'!$AN110  )</f>
        <v>7741.43</v>
      </c>
      <c r="AP110" s="24">
        <f xml:space="preserve">    IF( 'i2'!$AN110=LEER,  #N/A,  'i2'!$AN110  )</f>
        <v>7741.43</v>
      </c>
      <c r="AQ110" s="24">
        <f xml:space="preserve">    IF( 'i3'!$AN110=LEER,  #N/A,  'i3'!$AN110  )</f>
        <v>7741.43</v>
      </c>
      <c r="AS110" s="24">
        <f xml:space="preserve">    IF( 'i1'!$AO110=LEER,  #N/A,  'i1'!$AO110  )</f>
        <v>7695.3</v>
      </c>
      <c r="AT110" s="24">
        <f xml:space="preserve">    IF( 'i2'!$AO110=LEER,  #N/A,  'i2'!$AO110  )</f>
        <v>7695.3</v>
      </c>
      <c r="AU110" s="24">
        <f xml:space="preserve">    IF( 'i3'!$AO110=LEER,  #N/A,  'i3'!$AO110  )</f>
        <v>7695.3</v>
      </c>
      <c r="AW110" s="28">
        <f t="shared" si="59"/>
        <v>3.7258</v>
      </c>
      <c r="AX110" s="28">
        <f t="shared" si="50"/>
        <v>3.7258</v>
      </c>
      <c r="AY110" s="28">
        <f t="shared" si="51"/>
        <v>3.7258</v>
      </c>
      <c r="BA110" s="28">
        <f t="shared" si="52"/>
        <v>3.7035999999999998</v>
      </c>
      <c r="BB110" s="28">
        <f t="shared" si="53"/>
        <v>3.7035999999999998</v>
      </c>
      <c r="BC110" s="28">
        <f t="shared" si="54"/>
        <v>3.7035999999999998</v>
      </c>
      <c r="BG110" s="24">
        <f xml:space="preserve">    IF( 'i1'!BT110=LEER,  #N/A,  'i1'!BT110  )</f>
        <v>-7706.41</v>
      </c>
      <c r="BH110" s="24">
        <f xml:space="preserve">    IF( 'i1'!BR110=LEER,  #N/A,  'i1'!BR110  )</f>
        <v>12852.37</v>
      </c>
      <c r="BI110" s="111">
        <f t="shared" si="60"/>
        <v>5145.9600000000009</v>
      </c>
      <c r="BJ110" s="24">
        <f xml:space="preserve">    IF( 'i1'!BX110=LEER,  #N/A,  'i1'!BX110  )</f>
        <v>2595.4699999999993</v>
      </c>
      <c r="BL110" s="24">
        <f xml:space="preserve">    IF( 'i1'!CB110=LEER,  #N/A,  'i1'!CB110  )</f>
        <v>-7935.18</v>
      </c>
      <c r="BM110" s="24">
        <f xml:space="preserve">    IF( 'i1'!CC110=LEER,  #N/A,  'i1'!CC110  )</f>
        <v>193.54</v>
      </c>
      <c r="BN110" s="24">
        <f xml:space="preserve">    IF( 'i1'!CD110=LEER,  #N/A,  'i1'!CD110  )</f>
        <v>0</v>
      </c>
      <c r="BO110" s="24">
        <f xml:space="preserve">    IF( 'i1'!CE110=LEER,  #N/A,  'i1'!CE110  )</f>
        <v>-7741.64</v>
      </c>
      <c r="BQ110" s="24">
        <f xml:space="preserve">    IF( 'i1'!CI110=LEER,  #N/A,  'i1'!CI110  )</f>
        <v>11594.07</v>
      </c>
      <c r="BR110" s="24">
        <f xml:space="preserve">    IF( 'i1'!CJ110=LEER,  #N/A,  'i1'!CJ110  )</f>
        <v>-7741.43</v>
      </c>
      <c r="BS110" s="24">
        <f xml:space="preserve">    IF( 'i1'!CK110=LEER,  #N/A,  'i1'!CK110  )</f>
        <v>0</v>
      </c>
      <c r="BT110" s="38">
        <f xml:space="preserve">    IF( 'i1'!CH110=LEER,  #N/A,  'i1'!CH110  )</f>
        <v>3852.4304390000002</v>
      </c>
      <c r="BV110" s="24">
        <f xml:space="preserve">    IF( 'i1'!CO110=LEER,  #N/A,  'i1'!CO110  )</f>
        <v>11594.07</v>
      </c>
      <c r="BW110" s="24">
        <f xml:space="preserve">    IF( 'i1'!CP110=LEER,  #N/A,  'i1'!CP110  )</f>
        <v>-7695.3</v>
      </c>
      <c r="BX110" s="24">
        <f xml:space="preserve">    IF( 'i1'!CQ110=LEER,  #N/A,  'i1'!CQ110  )</f>
        <v>0</v>
      </c>
      <c r="BY110" s="38">
        <f xml:space="preserve">    IF( 'i1'!CN110=LEER,  #N/A,  'i1'!CN110  )</f>
        <v>3898.5573770000001</v>
      </c>
      <c r="CD110" s="113" t="e">
        <f xml:space="preserve"> IF(  AND( $A110&lt;&gt;$CD$14, OR( 'i1'!EO110=LEER, 'i1'!EM110&lt;&gt;LEER ) ), #N/A, 'i1'!EO110 )</f>
        <v>#N/A</v>
      </c>
      <c r="CE110" s="113">
        <f xml:space="preserve"> IF(   'i1'!EM110=LEER, #N/A,  'i1'!EM110 )</f>
        <v>2034.32</v>
      </c>
      <c r="CF110" s="114">
        <f xml:space="preserve"> IF(   'i1'!EL110=LEER, #N/A, 'i1'!EL110 + 'i1'!EM110 )</f>
        <v>7695.67</v>
      </c>
      <c r="CW110" s="104">
        <f xml:space="preserve"> 'i1'!FN110</f>
        <v>110</v>
      </c>
      <c r="CX110" s="106">
        <f xml:space="preserve"> IF(  INDEX( 'i1'!$FS110:$JO110, CX$13 ) = LEER,  #N/A,  INDEX( 'i1'!$FS110:$JO110, CX$13 )  )</f>
        <v>9099.68</v>
      </c>
      <c r="CY110" s="106">
        <f xml:space="preserve"> IF(  INDEX( 'i1'!$FS110:$JO110, CY$13 ) = LEER,  #N/A,  INDEX( 'i1'!$FS110:$JO110, CY$13 )  )</f>
        <v>8669.7900000000009</v>
      </c>
      <c r="CZ110" s="106">
        <f xml:space="preserve"> IF(  INDEX( 'i1'!$FS110:$JO110, CZ$13 ) = LEER,  #N/A,  INDEX( 'i1'!$FS110:$JO110, CZ$13 )  )</f>
        <v>8205.19</v>
      </c>
      <c r="DA110" s="106">
        <f xml:space="preserve"> IF(  INDEX( 'i1'!$FS110:$JO110, DA$13 ) = LEER,  #N/A,  INDEX( 'i1'!$FS110:$JO110, DA$13 )  )</f>
        <v>7695.3</v>
      </c>
      <c r="DB110" s="106">
        <f xml:space="preserve"> IF(  INDEX( 'i1'!$FS110:$JO110, DB$13 ) = LEER,  #N/A,  INDEX( 'i1'!$FS110:$JO110, DB$13 )  )</f>
        <v>7124.53</v>
      </c>
      <c r="DC110" s="106">
        <f xml:space="preserve"> IF(  INDEX( 'i1'!$FS110:$JO110, DC$13 ) = LEER,  #N/A,  INDEX( 'i1'!$FS110:$JO110, DC$13 )  )</f>
        <v>6450.29</v>
      </c>
      <c r="DD110" s="106">
        <f xml:space="preserve"> IF(  INDEX( 'i1'!$FS110:$JO110, DD$13 ) = LEER,  #N/A,  INDEX( 'i1'!$FS110:$JO110, DD$13 )  )</f>
        <v>5661.35</v>
      </c>
      <c r="DE110" s="106">
        <f xml:space="preserve"> IF(  INDEX( 'i1'!$FS110:$JO110, DE$13 ) = LEER,  #N/A,  INDEX( 'i1'!$FS110:$JO110, DE$13 )  )</f>
        <v>4790.55</v>
      </c>
      <c r="DF110" s="106">
        <f xml:space="preserve"> IF(  INDEX( 'i1'!$FS110:$JO110, DF$13 ) = LEER,  #N/A,  INDEX( 'i1'!$FS110:$JO110, DF$13 )  )</f>
        <v>3863.23</v>
      </c>
      <c r="DG110" s="106">
        <f xml:space="preserve"> IF(  INDEX( 'i1'!$FS110:$JO110, DG$13 ) = LEER,  #N/A,  INDEX( 'i1'!$FS110:$JO110, DG$13 )  )</f>
        <v>2880.44</v>
      </c>
      <c r="DH110" s="106">
        <f xml:space="preserve"> IF(  INDEX( 'i1'!$FS110:$JO110, DH$13 ) = LEER,  #N/A,  INDEX( 'i1'!$FS110:$JO110, DH$13 )  )</f>
        <v>1930.68</v>
      </c>
      <c r="DI110" s="106">
        <f xml:space="preserve"> IF(  INDEX( 'i1'!$FS110:$JO110, DI$13 ) = LEER,  #N/A,  INDEX( 'i1'!$FS110:$JO110, DI$13 )  )</f>
        <v>1148.81</v>
      </c>
      <c r="DJ110" s="106">
        <f xml:space="preserve"> IF(  INDEX( 'i1'!$FS110:$JO110, DJ$13 ) = LEER,  #N/A,  INDEX( 'i1'!$FS110:$JO110, DJ$13 )  )</f>
        <v>490.57</v>
      </c>
      <c r="DK110" s="106">
        <f xml:space="preserve"> IF(  INDEX( 'i1'!$FS110:$JO110, DK$13 ) = LEER,  #N/A,  INDEX( 'i1'!$FS110:$JO110, DK$13 )  )</f>
        <v>186.38</v>
      </c>
      <c r="DL110" s="106">
        <f xml:space="preserve"> IF(  INDEX( 'i1'!$FS110:$JO110, DL$13 ) = LEER,  #N/A,  INDEX( 'i1'!$FS110:$JO110, DL$13 )  )</f>
        <v>150.43</v>
      </c>
      <c r="DM110" s="106">
        <f xml:space="preserve"> IF(  INDEX( 'i1'!$FS110:$JO110, DM$13 ) = LEER,  #N/A,  INDEX( 'i1'!$FS110:$JO110, DM$13 )  )</f>
        <v>137.76</v>
      </c>
      <c r="DN110" s="106">
        <f xml:space="preserve"> IF(  INDEX( 'i1'!$FS110:$JO110, DN$13 ) = LEER,  #N/A,  INDEX( 'i1'!$FS110:$JO110, DN$13 )  )</f>
        <v>120.93</v>
      </c>
    </row>
    <row r="111" spans="1:118" x14ac:dyDescent="0.2">
      <c r="A111" s="15">
        <f xml:space="preserve"> Basis!A111</f>
        <v>111</v>
      </c>
      <c r="C111" s="24" t="b">
        <f xml:space="preserve"> 'i1'!$O111</f>
        <v>0</v>
      </c>
      <c r="D111" s="24" t="b">
        <f xml:space="preserve"> 'i2'!$O111</f>
        <v>0</v>
      </c>
      <c r="E111" s="24" t="b">
        <f xml:space="preserve"> 'i3'!$O111</f>
        <v>0</v>
      </c>
      <c r="G111" s="27" t="e">
        <f xml:space="preserve"> IF( $C112,   IF( 'i1'!$P111=LEER,  #N/A,  'i1'!$P111  ),   #N/A  )</f>
        <v>#N/A</v>
      </c>
      <c r="H111" s="27" t="e">
        <f xml:space="preserve"> IF( $D112,   IF( 'i2'!$P111=LEER,  #N/A,  'i2'!$P111  ),   #N/A  )</f>
        <v>#N/A</v>
      </c>
      <c r="I111" s="27" t="e">
        <f xml:space="preserve"> IF( $E112,   IF( 'i3'!$P111=LEER,  #N/A,  'i3'!$P111  ),   #N/A  )</f>
        <v>#N/A</v>
      </c>
      <c r="J111" s="158"/>
      <c r="K111" s="27" t="e">
        <f xml:space="preserve"> IF( $C112,   IF( 'i1'!$G111=LEER,  #N/A,  'i1'!$G111  ),   #N/A  )</f>
        <v>#N/A</v>
      </c>
      <c r="L111" s="27" t="e">
        <f xml:space="preserve"> IF( $D112,   IF( 'i2'!$G111=LEER,  #N/A,  'i2'!$G111  ),   #N/A  )</f>
        <v>#N/A</v>
      </c>
      <c r="M111" s="27" t="e">
        <f xml:space="preserve"> IF( $E112,   IF( 'i3'!$G111=LEER,  #N/A,  'i3'!$G111  ),   #N/A  )</f>
        <v>#N/A</v>
      </c>
      <c r="N111" s="158"/>
      <c r="O111" s="158"/>
      <c r="Q111" s="28" t="e">
        <f t="shared" si="56"/>
        <v>#N/A</v>
      </c>
      <c r="R111" s="28" t="e">
        <f t="shared" si="57"/>
        <v>#N/A</v>
      </c>
      <c r="S111" s="28" t="e">
        <f t="shared" si="58"/>
        <v>#N/A</v>
      </c>
      <c r="U111" s="76">
        <f xml:space="preserve"> IF( $C110,   SUM('i1'!$R111),   #N/A  )</f>
        <v>0</v>
      </c>
      <c r="V111" s="76">
        <f xml:space="preserve"> IF( $C110,   SUM('i2'!$R111),   #N/A  )</f>
        <v>0</v>
      </c>
      <c r="W111" s="76">
        <f xml:space="preserve"> IF( $C110,   SUM('i3'!$R111),   #N/A  )</f>
        <v>0</v>
      </c>
      <c r="Y111" s="33"/>
      <c r="Z111" s="22" t="e">
        <f xml:space="preserve"> IF( $C111,   IF( 'i1'!$J111=LEER,  #N/A,  'i1'!$J111  ),   #N/A  )</f>
        <v>#N/A</v>
      </c>
      <c r="AA111" s="22" t="e">
        <f xml:space="preserve"> IF( $D111,   IF( 'i2'!$J111=LEER,  #N/A,  'i2'!$J111  ),   #N/A  )</f>
        <v>#N/A</v>
      </c>
      <c r="AB111" s="22" t="e">
        <f xml:space="preserve"> IF( $E111,   IF( 'i3'!$J111=LEER,  #N/A,  'i3'!$J111  ),   #N/A  )</f>
        <v>#N/A</v>
      </c>
      <c r="AC111" s="75"/>
      <c r="AD111" s="26" t="e">
        <f t="shared" si="46"/>
        <v>#N/A</v>
      </c>
      <c r="AE111" s="26" t="e">
        <f t="shared" si="47"/>
        <v>#N/A</v>
      </c>
      <c r="AF111" s="26" t="e">
        <f t="shared" si="48"/>
        <v>#N/A</v>
      </c>
      <c r="AG111" s="23"/>
      <c r="AH111" s="24" t="e">
        <f xml:space="preserve">    IF(  'i1'!$AK111=LEER,  #N/A,  ROUND( 'i1'!$AK111, AH$15 )  )</f>
        <v>#N/A</v>
      </c>
      <c r="AI111" s="24" t="e">
        <f xml:space="preserve">    IF(  'i2'!$AK111=LEER,  #N/A,  ROUND( 'i2'!$AK111, AI$15 )  )</f>
        <v>#N/A</v>
      </c>
      <c r="AJ111" s="24" t="e">
        <f xml:space="preserve">    IF(  'i3'!$AK111=LEER,  #N/A,  ROUND( 'i3'!$AK111, AJ$15 )  )</f>
        <v>#N/A</v>
      </c>
      <c r="AL111" s="102" t="e">
        <f t="shared" si="49"/>
        <v>#N/A</v>
      </c>
      <c r="AO111" s="24" t="e">
        <f xml:space="preserve">    IF( 'i1'!$AN111=LEER,  #N/A,  'i1'!$AN111  )</f>
        <v>#N/A</v>
      </c>
      <c r="AP111" s="24" t="e">
        <f xml:space="preserve">    IF( 'i2'!$AN111=LEER,  #N/A,  'i2'!$AN111  )</f>
        <v>#N/A</v>
      </c>
      <c r="AQ111" s="24" t="e">
        <f xml:space="preserve">    IF( 'i3'!$AN111=LEER,  #N/A,  'i3'!$AN111  )</f>
        <v>#N/A</v>
      </c>
      <c r="AS111" s="24" t="e">
        <f xml:space="preserve">    IF( 'i1'!$AO111=LEER,  #N/A,  'i1'!$AO111  )</f>
        <v>#N/A</v>
      </c>
      <c r="AT111" s="24" t="e">
        <f xml:space="preserve">    IF( 'i2'!$AO111=LEER,  #N/A,  'i2'!$AO111  )</f>
        <v>#N/A</v>
      </c>
      <c r="AU111" s="24" t="e">
        <f xml:space="preserve">    IF( 'i3'!$AO111=LEER,  #N/A,  'i3'!$AO111  )</f>
        <v>#N/A</v>
      </c>
      <c r="AW111" s="28" t="e">
        <f t="shared" si="59"/>
        <v>#N/A</v>
      </c>
      <c r="AX111" s="28" t="e">
        <f t="shared" si="50"/>
        <v>#N/A</v>
      </c>
      <c r="AY111" s="28" t="e">
        <f t="shared" si="51"/>
        <v>#N/A</v>
      </c>
      <c r="BA111" s="28" t="e">
        <f t="shared" si="52"/>
        <v>#N/A</v>
      </c>
      <c r="BB111" s="28" t="e">
        <f t="shared" si="53"/>
        <v>#N/A</v>
      </c>
      <c r="BC111" s="28" t="e">
        <f t="shared" si="54"/>
        <v>#N/A</v>
      </c>
      <c r="BG111" s="24" t="e">
        <f xml:space="preserve">    IF( 'i1'!BT111=LEER,  #N/A,  'i1'!BT111  )</f>
        <v>#N/A</v>
      </c>
      <c r="BH111" s="24" t="e">
        <f xml:space="preserve">    IF( 'i1'!BR111=LEER,  #N/A,  'i1'!BR111  )</f>
        <v>#N/A</v>
      </c>
      <c r="BI111" s="111" t="e">
        <f t="shared" si="60"/>
        <v>#N/A</v>
      </c>
      <c r="BJ111" s="24" t="e">
        <f xml:space="preserve">    IF( 'i1'!BX111=LEER,  #N/A,  'i1'!BX111  )</f>
        <v>#N/A</v>
      </c>
      <c r="BL111" s="24" t="e">
        <f xml:space="preserve">    IF( 'i1'!CB111=LEER,  #N/A,  'i1'!CB111  )</f>
        <v>#N/A</v>
      </c>
      <c r="BM111" s="24" t="e">
        <f xml:space="preserve">    IF( 'i1'!CC111=LEER,  #N/A,  'i1'!CC111  )</f>
        <v>#N/A</v>
      </c>
      <c r="BN111" s="24" t="e">
        <f xml:space="preserve">    IF( 'i1'!CD111=LEER,  #N/A,  'i1'!CD111  )</f>
        <v>#N/A</v>
      </c>
      <c r="BO111" s="24" t="e">
        <f xml:space="preserve">    IF( 'i1'!CE111=LEER,  #N/A,  'i1'!CE111  )</f>
        <v>#N/A</v>
      </c>
      <c r="BQ111" s="24" t="e">
        <f xml:space="preserve">    IF( 'i1'!CI111=LEER,  #N/A,  'i1'!CI111  )</f>
        <v>#N/A</v>
      </c>
      <c r="BR111" s="24" t="e">
        <f xml:space="preserve">    IF( 'i1'!CJ111=LEER,  #N/A,  'i1'!CJ111  )</f>
        <v>#N/A</v>
      </c>
      <c r="BS111" s="24" t="e">
        <f xml:space="preserve">    IF( 'i1'!CK111=LEER,  #N/A,  'i1'!CK111  )</f>
        <v>#N/A</v>
      </c>
      <c r="BT111" s="38" t="e">
        <f xml:space="preserve">    IF( 'i1'!CH111=LEER,  #N/A,  'i1'!CH111  )</f>
        <v>#N/A</v>
      </c>
      <c r="BV111" s="24" t="e">
        <f xml:space="preserve">    IF( 'i1'!CO111=LEER,  #N/A,  'i1'!CO111  )</f>
        <v>#N/A</v>
      </c>
      <c r="BW111" s="24" t="e">
        <f xml:space="preserve">    IF( 'i1'!CP111=LEER,  #N/A,  'i1'!CP111  )</f>
        <v>#N/A</v>
      </c>
      <c r="BX111" s="24" t="e">
        <f xml:space="preserve">    IF( 'i1'!CQ111=LEER,  #N/A,  'i1'!CQ111  )</f>
        <v>#N/A</v>
      </c>
      <c r="BY111" s="38" t="e">
        <f xml:space="preserve">    IF( 'i1'!CN111=LEER,  #N/A,  'i1'!CN111  )</f>
        <v>#N/A</v>
      </c>
      <c r="CD111" s="113" t="e">
        <f xml:space="preserve"> IF(  AND( $A111&lt;&gt;$CD$14, OR( 'i1'!EO111=LEER, 'i1'!EM111&lt;&gt;LEER ) ), #N/A, 'i1'!EO111 )</f>
        <v>#N/A</v>
      </c>
      <c r="CE111" s="113" t="e">
        <f xml:space="preserve"> IF(   'i1'!EM111=LEER, #N/A,  'i1'!EM111 )</f>
        <v>#N/A</v>
      </c>
      <c r="CF111" s="114" t="e">
        <f xml:space="preserve"> IF(   'i1'!EL111=LEER, #N/A, 'i1'!EL111 + 'i1'!EM111 )</f>
        <v>#N/A</v>
      </c>
      <c r="CW111" s="104">
        <f xml:space="preserve"> 'i1'!FN111</f>
        <v>111</v>
      </c>
      <c r="CX111" s="106" t="e">
        <f xml:space="preserve"> IF(  INDEX( 'i1'!$FS111:$JO111, CX$13 ) = LEER,  #N/A,  INDEX( 'i1'!$FS111:$JO111, CX$13 )  )</f>
        <v>#N/A</v>
      </c>
      <c r="CY111" s="106" t="e">
        <f xml:space="preserve"> IF(  INDEX( 'i1'!$FS111:$JO111, CY$13 ) = LEER,  #N/A,  INDEX( 'i1'!$FS111:$JO111, CY$13 )  )</f>
        <v>#N/A</v>
      </c>
      <c r="CZ111" s="106" t="e">
        <f xml:space="preserve"> IF(  INDEX( 'i1'!$FS111:$JO111, CZ$13 ) = LEER,  #N/A,  INDEX( 'i1'!$FS111:$JO111, CZ$13 )  )</f>
        <v>#N/A</v>
      </c>
      <c r="DA111" s="106" t="e">
        <f xml:space="preserve"> IF(  INDEX( 'i1'!$FS111:$JO111, DA$13 ) = LEER,  #N/A,  INDEX( 'i1'!$FS111:$JO111, DA$13 )  )</f>
        <v>#N/A</v>
      </c>
      <c r="DB111" s="106" t="e">
        <f xml:space="preserve"> IF(  INDEX( 'i1'!$FS111:$JO111, DB$13 ) = LEER,  #N/A,  INDEX( 'i1'!$FS111:$JO111, DB$13 )  )</f>
        <v>#N/A</v>
      </c>
      <c r="DC111" s="106" t="e">
        <f xml:space="preserve"> IF(  INDEX( 'i1'!$FS111:$JO111, DC$13 ) = LEER,  #N/A,  INDEX( 'i1'!$FS111:$JO111, DC$13 )  )</f>
        <v>#N/A</v>
      </c>
      <c r="DD111" s="106" t="e">
        <f xml:space="preserve"> IF(  INDEX( 'i1'!$FS111:$JO111, DD$13 ) = LEER,  #N/A,  INDEX( 'i1'!$FS111:$JO111, DD$13 )  )</f>
        <v>#N/A</v>
      </c>
      <c r="DE111" s="106" t="e">
        <f xml:space="preserve"> IF(  INDEX( 'i1'!$FS111:$JO111, DE$13 ) = LEER,  #N/A,  INDEX( 'i1'!$FS111:$JO111, DE$13 )  )</f>
        <v>#N/A</v>
      </c>
      <c r="DF111" s="106" t="e">
        <f xml:space="preserve"> IF(  INDEX( 'i1'!$FS111:$JO111, DF$13 ) = LEER,  #N/A,  INDEX( 'i1'!$FS111:$JO111, DF$13 )  )</f>
        <v>#N/A</v>
      </c>
      <c r="DG111" s="106" t="e">
        <f xml:space="preserve"> IF(  INDEX( 'i1'!$FS111:$JO111, DG$13 ) = LEER,  #N/A,  INDEX( 'i1'!$FS111:$JO111, DG$13 )  )</f>
        <v>#N/A</v>
      </c>
      <c r="DH111" s="106" t="e">
        <f xml:space="preserve"> IF(  INDEX( 'i1'!$FS111:$JO111, DH$13 ) = LEER,  #N/A,  INDEX( 'i1'!$FS111:$JO111, DH$13 )  )</f>
        <v>#N/A</v>
      </c>
      <c r="DI111" s="106" t="e">
        <f xml:space="preserve"> IF(  INDEX( 'i1'!$FS111:$JO111, DI$13 ) = LEER,  #N/A,  INDEX( 'i1'!$FS111:$JO111, DI$13 )  )</f>
        <v>#N/A</v>
      </c>
      <c r="DJ111" s="106" t="e">
        <f xml:space="preserve"> IF(  INDEX( 'i1'!$FS111:$JO111, DJ$13 ) = LEER,  #N/A,  INDEX( 'i1'!$FS111:$JO111, DJ$13 )  )</f>
        <v>#N/A</v>
      </c>
      <c r="DK111" s="106" t="e">
        <f xml:space="preserve"> IF(  INDEX( 'i1'!$FS111:$JO111, DK$13 ) = LEER,  #N/A,  INDEX( 'i1'!$FS111:$JO111, DK$13 )  )</f>
        <v>#N/A</v>
      </c>
      <c r="DL111" s="106" t="e">
        <f xml:space="preserve"> IF(  INDEX( 'i1'!$FS111:$JO111, DL$13 ) = LEER,  #N/A,  INDEX( 'i1'!$FS111:$JO111, DL$13 )  )</f>
        <v>#N/A</v>
      </c>
      <c r="DM111" s="106" t="e">
        <f xml:space="preserve"> IF(  INDEX( 'i1'!$FS111:$JO111, DM$13 ) = LEER,  #N/A,  INDEX( 'i1'!$FS111:$JO111, DM$13 )  )</f>
        <v>#N/A</v>
      </c>
      <c r="DN111" s="106" t="e">
        <f xml:space="preserve"> IF(  INDEX( 'i1'!$FS111:$JO111, DN$13 ) = LEER,  #N/A,  INDEX( 'i1'!$FS111:$JO111, DN$13 )  )</f>
        <v>#N/A</v>
      </c>
    </row>
    <row r="112" spans="1:118" x14ac:dyDescent="0.2">
      <c r="A112" s="15">
        <f xml:space="preserve"> Basis!A112</f>
        <v>112</v>
      </c>
      <c r="C112" s="24" t="b">
        <f xml:space="preserve"> 'i1'!$O112</f>
        <v>0</v>
      </c>
      <c r="D112" s="24" t="b">
        <f xml:space="preserve"> 'i2'!$O112</f>
        <v>0</v>
      </c>
      <c r="E112" s="24" t="b">
        <f xml:space="preserve"> 'i3'!$O112</f>
        <v>0</v>
      </c>
      <c r="G112" s="27" t="e">
        <f xml:space="preserve"> IF( $C113,   IF( 'i1'!$P112=LEER,  #N/A,  'i1'!$P112  ),   #N/A  )</f>
        <v>#N/A</v>
      </c>
      <c r="H112" s="27" t="e">
        <f xml:space="preserve"> IF( $D113,   IF( 'i2'!$P112=LEER,  #N/A,  'i2'!$P112  ),   #N/A  )</f>
        <v>#N/A</v>
      </c>
      <c r="I112" s="27" t="e">
        <f xml:space="preserve"> IF( $E113,   IF( 'i3'!$P112=LEER,  #N/A,  'i3'!$P112  ),   #N/A  )</f>
        <v>#N/A</v>
      </c>
      <c r="J112" s="158"/>
      <c r="K112" s="27" t="e">
        <f xml:space="preserve"> IF( $C113,   IF( 'i1'!$G112=LEER,  #N/A,  'i1'!$G112  ),   #N/A  )</f>
        <v>#N/A</v>
      </c>
      <c r="L112" s="27" t="e">
        <f xml:space="preserve"> IF( $D113,   IF( 'i2'!$G112=LEER,  #N/A,  'i2'!$G112  ),   #N/A  )</f>
        <v>#N/A</v>
      </c>
      <c r="M112" s="27" t="e">
        <f xml:space="preserve"> IF( $E113,   IF( 'i3'!$G112=LEER,  #N/A,  'i3'!$G112  ),   #N/A  )</f>
        <v>#N/A</v>
      </c>
      <c r="N112" s="158"/>
      <c r="O112" s="158"/>
      <c r="Q112" s="28" t="e">
        <f t="shared" si="56"/>
        <v>#N/A</v>
      </c>
      <c r="R112" s="28" t="e">
        <f t="shared" si="57"/>
        <v>#N/A</v>
      </c>
      <c r="S112" s="28" t="e">
        <f t="shared" si="58"/>
        <v>#N/A</v>
      </c>
      <c r="U112" s="76" t="e">
        <f xml:space="preserve"> IF( $C111,   SUM('i1'!$R112),   #N/A  )</f>
        <v>#N/A</v>
      </c>
      <c r="V112" s="76" t="e">
        <f xml:space="preserve"> IF( $C111,   SUM('i2'!$R112),   #N/A  )</f>
        <v>#N/A</v>
      </c>
      <c r="W112" s="76" t="e">
        <f xml:space="preserve"> IF( $C111,   SUM('i3'!$R112),   #N/A  )</f>
        <v>#N/A</v>
      </c>
      <c r="Y112" s="33"/>
      <c r="Z112" s="22" t="e">
        <f xml:space="preserve"> IF( $C112,   IF( 'i1'!$J112=LEER,  #N/A,  'i1'!$J112  ),   #N/A  )</f>
        <v>#N/A</v>
      </c>
      <c r="AA112" s="22" t="e">
        <f xml:space="preserve"> IF( $D112,   IF( 'i2'!$J112=LEER,  #N/A,  'i2'!$J112  ),   #N/A  )</f>
        <v>#N/A</v>
      </c>
      <c r="AB112" s="22" t="e">
        <f xml:space="preserve"> IF( $E112,   IF( 'i3'!$J112=LEER,  #N/A,  'i3'!$J112  ),   #N/A  )</f>
        <v>#N/A</v>
      </c>
      <c r="AC112" s="75"/>
      <c r="AD112" s="26" t="e">
        <f t="shared" si="46"/>
        <v>#N/A</v>
      </c>
      <c r="AE112" s="26" t="e">
        <f t="shared" si="47"/>
        <v>#N/A</v>
      </c>
      <c r="AF112" s="26" t="e">
        <f t="shared" si="48"/>
        <v>#N/A</v>
      </c>
      <c r="AG112" s="23"/>
      <c r="AH112" s="24" t="e">
        <f xml:space="preserve">    IF(  'i1'!$AK112=LEER,  #N/A,  ROUND( 'i1'!$AK112, AH$15 )  )</f>
        <v>#N/A</v>
      </c>
      <c r="AI112" s="24" t="e">
        <f xml:space="preserve">    IF(  'i2'!$AK112=LEER,  #N/A,  ROUND( 'i2'!$AK112, AI$15 )  )</f>
        <v>#N/A</v>
      </c>
      <c r="AJ112" s="24" t="e">
        <f xml:space="preserve">    IF(  'i3'!$AK112=LEER,  #N/A,  ROUND( 'i3'!$AK112, AJ$15 )  )</f>
        <v>#N/A</v>
      </c>
      <c r="AL112" s="102" t="e">
        <f t="shared" si="49"/>
        <v>#N/A</v>
      </c>
      <c r="AO112" s="24" t="e">
        <f xml:space="preserve">    IF( 'i1'!$AN112=LEER,  #N/A,  'i1'!$AN112  )</f>
        <v>#N/A</v>
      </c>
      <c r="AP112" s="24" t="e">
        <f xml:space="preserve">    IF( 'i2'!$AN112=LEER,  #N/A,  'i2'!$AN112  )</f>
        <v>#N/A</v>
      </c>
      <c r="AQ112" s="24" t="e">
        <f xml:space="preserve">    IF( 'i3'!$AN112=LEER,  #N/A,  'i3'!$AN112  )</f>
        <v>#N/A</v>
      </c>
      <c r="AS112" s="24" t="e">
        <f xml:space="preserve">    IF( 'i1'!$AO112=LEER,  #N/A,  'i1'!$AO112  )</f>
        <v>#N/A</v>
      </c>
      <c r="AT112" s="24" t="e">
        <f xml:space="preserve">    IF( 'i2'!$AO112=LEER,  #N/A,  'i2'!$AO112  )</f>
        <v>#N/A</v>
      </c>
      <c r="AU112" s="24" t="e">
        <f xml:space="preserve">    IF( 'i3'!$AO112=LEER,  #N/A,  'i3'!$AO112  )</f>
        <v>#N/A</v>
      </c>
      <c r="AW112" s="28" t="e">
        <f t="shared" si="59"/>
        <v>#N/A</v>
      </c>
      <c r="AX112" s="28" t="e">
        <f t="shared" si="50"/>
        <v>#N/A</v>
      </c>
      <c r="AY112" s="28" t="e">
        <f t="shared" si="51"/>
        <v>#N/A</v>
      </c>
      <c r="BA112" s="28" t="e">
        <f t="shared" si="52"/>
        <v>#N/A</v>
      </c>
      <c r="BB112" s="28" t="e">
        <f t="shared" si="53"/>
        <v>#N/A</v>
      </c>
      <c r="BC112" s="28" t="e">
        <f t="shared" si="54"/>
        <v>#N/A</v>
      </c>
      <c r="BG112" s="24" t="e">
        <f xml:space="preserve">    IF( 'i1'!BT112=LEER,  #N/A,  'i1'!BT112  )</f>
        <v>#N/A</v>
      </c>
      <c r="BH112" s="24" t="e">
        <f xml:space="preserve">    IF( 'i1'!BR112=LEER,  #N/A,  'i1'!BR112  )</f>
        <v>#N/A</v>
      </c>
      <c r="BI112" s="111" t="e">
        <f t="shared" si="60"/>
        <v>#N/A</v>
      </c>
      <c r="BJ112" s="24" t="e">
        <f xml:space="preserve">    IF( 'i1'!BX112=LEER,  #N/A,  'i1'!BX112  )</f>
        <v>#N/A</v>
      </c>
      <c r="BL112" s="24" t="e">
        <f xml:space="preserve">    IF( 'i1'!CB112=LEER,  #N/A,  'i1'!CB112  )</f>
        <v>#N/A</v>
      </c>
      <c r="BM112" s="24" t="e">
        <f xml:space="preserve">    IF( 'i1'!CC112=LEER,  #N/A,  'i1'!CC112  )</f>
        <v>#N/A</v>
      </c>
      <c r="BN112" s="24" t="e">
        <f xml:space="preserve">    IF( 'i1'!CD112=LEER,  #N/A,  'i1'!CD112  )</f>
        <v>#N/A</v>
      </c>
      <c r="BO112" s="24" t="e">
        <f xml:space="preserve">    IF( 'i1'!CE112=LEER,  #N/A,  'i1'!CE112  )</f>
        <v>#N/A</v>
      </c>
      <c r="BQ112" s="24" t="e">
        <f xml:space="preserve">    IF( 'i1'!CI112=LEER,  #N/A,  'i1'!CI112  )</f>
        <v>#N/A</v>
      </c>
      <c r="BR112" s="24" t="e">
        <f xml:space="preserve">    IF( 'i1'!CJ112=LEER,  #N/A,  'i1'!CJ112  )</f>
        <v>#N/A</v>
      </c>
      <c r="BS112" s="24" t="e">
        <f xml:space="preserve">    IF( 'i1'!CK112=LEER,  #N/A,  'i1'!CK112  )</f>
        <v>#N/A</v>
      </c>
      <c r="BT112" s="38" t="e">
        <f xml:space="preserve">    IF( 'i1'!CH112=LEER,  #N/A,  'i1'!CH112  )</f>
        <v>#N/A</v>
      </c>
      <c r="BV112" s="24" t="e">
        <f xml:space="preserve">    IF( 'i1'!CO112=LEER,  #N/A,  'i1'!CO112  )</f>
        <v>#N/A</v>
      </c>
      <c r="BW112" s="24" t="e">
        <f xml:space="preserve">    IF( 'i1'!CP112=LEER,  #N/A,  'i1'!CP112  )</f>
        <v>#N/A</v>
      </c>
      <c r="BX112" s="24" t="e">
        <f xml:space="preserve">    IF( 'i1'!CQ112=LEER,  #N/A,  'i1'!CQ112  )</f>
        <v>#N/A</v>
      </c>
      <c r="BY112" s="38" t="e">
        <f xml:space="preserve">    IF( 'i1'!CN112=LEER,  #N/A,  'i1'!CN112  )</f>
        <v>#N/A</v>
      </c>
      <c r="CD112" s="113" t="e">
        <f xml:space="preserve"> IF(  AND( $A112&lt;&gt;$CD$14, OR( 'i1'!EO112=LEER, 'i1'!EM112&lt;&gt;LEER ) ), #N/A, 'i1'!EO112 )</f>
        <v>#N/A</v>
      </c>
      <c r="CE112" s="113" t="e">
        <f xml:space="preserve"> IF(   'i1'!EM112=LEER, #N/A,  'i1'!EM112 )</f>
        <v>#N/A</v>
      </c>
      <c r="CF112" s="114" t="e">
        <f xml:space="preserve"> IF(   'i1'!EL112=LEER, #N/A, 'i1'!EL112 + 'i1'!EM112 )</f>
        <v>#N/A</v>
      </c>
      <c r="CW112" s="104">
        <f xml:space="preserve"> 'i1'!FN112</f>
        <v>112</v>
      </c>
      <c r="CX112" s="106" t="e">
        <f xml:space="preserve"> IF(  INDEX( 'i1'!$FS112:$JO112, CX$13 ) = LEER,  #N/A,  INDEX( 'i1'!$FS112:$JO112, CX$13 )  )</f>
        <v>#N/A</v>
      </c>
      <c r="CY112" s="106" t="e">
        <f xml:space="preserve"> IF(  INDEX( 'i1'!$FS112:$JO112, CY$13 ) = LEER,  #N/A,  INDEX( 'i1'!$FS112:$JO112, CY$13 )  )</f>
        <v>#N/A</v>
      </c>
      <c r="CZ112" s="106" t="e">
        <f xml:space="preserve"> IF(  INDEX( 'i1'!$FS112:$JO112, CZ$13 ) = LEER,  #N/A,  INDEX( 'i1'!$FS112:$JO112, CZ$13 )  )</f>
        <v>#N/A</v>
      </c>
      <c r="DA112" s="106" t="e">
        <f xml:space="preserve"> IF(  INDEX( 'i1'!$FS112:$JO112, DA$13 ) = LEER,  #N/A,  INDEX( 'i1'!$FS112:$JO112, DA$13 )  )</f>
        <v>#N/A</v>
      </c>
      <c r="DB112" s="106" t="e">
        <f xml:space="preserve"> IF(  INDEX( 'i1'!$FS112:$JO112, DB$13 ) = LEER,  #N/A,  INDEX( 'i1'!$FS112:$JO112, DB$13 )  )</f>
        <v>#N/A</v>
      </c>
      <c r="DC112" s="106" t="e">
        <f xml:space="preserve"> IF(  INDEX( 'i1'!$FS112:$JO112, DC$13 ) = LEER,  #N/A,  INDEX( 'i1'!$FS112:$JO112, DC$13 )  )</f>
        <v>#N/A</v>
      </c>
      <c r="DD112" s="106" t="e">
        <f xml:space="preserve"> IF(  INDEX( 'i1'!$FS112:$JO112, DD$13 ) = LEER,  #N/A,  INDEX( 'i1'!$FS112:$JO112, DD$13 )  )</f>
        <v>#N/A</v>
      </c>
      <c r="DE112" s="106" t="e">
        <f xml:space="preserve"> IF(  INDEX( 'i1'!$FS112:$JO112, DE$13 ) = LEER,  #N/A,  INDEX( 'i1'!$FS112:$JO112, DE$13 )  )</f>
        <v>#N/A</v>
      </c>
      <c r="DF112" s="106" t="e">
        <f xml:space="preserve"> IF(  INDEX( 'i1'!$FS112:$JO112, DF$13 ) = LEER,  #N/A,  INDEX( 'i1'!$FS112:$JO112, DF$13 )  )</f>
        <v>#N/A</v>
      </c>
      <c r="DG112" s="106" t="e">
        <f xml:space="preserve"> IF(  INDEX( 'i1'!$FS112:$JO112, DG$13 ) = LEER,  #N/A,  INDEX( 'i1'!$FS112:$JO112, DG$13 )  )</f>
        <v>#N/A</v>
      </c>
      <c r="DH112" s="106" t="e">
        <f xml:space="preserve"> IF(  INDEX( 'i1'!$FS112:$JO112, DH$13 ) = LEER,  #N/A,  INDEX( 'i1'!$FS112:$JO112, DH$13 )  )</f>
        <v>#N/A</v>
      </c>
      <c r="DI112" s="106" t="e">
        <f xml:space="preserve"> IF(  INDEX( 'i1'!$FS112:$JO112, DI$13 ) = LEER,  #N/A,  INDEX( 'i1'!$FS112:$JO112, DI$13 )  )</f>
        <v>#N/A</v>
      </c>
      <c r="DJ112" s="106" t="e">
        <f xml:space="preserve"> IF(  INDEX( 'i1'!$FS112:$JO112, DJ$13 ) = LEER,  #N/A,  INDEX( 'i1'!$FS112:$JO112, DJ$13 )  )</f>
        <v>#N/A</v>
      </c>
      <c r="DK112" s="106" t="e">
        <f xml:space="preserve"> IF(  INDEX( 'i1'!$FS112:$JO112, DK$13 ) = LEER,  #N/A,  INDEX( 'i1'!$FS112:$JO112, DK$13 )  )</f>
        <v>#N/A</v>
      </c>
      <c r="DL112" s="106" t="e">
        <f xml:space="preserve"> IF(  INDEX( 'i1'!$FS112:$JO112, DL$13 ) = LEER,  #N/A,  INDEX( 'i1'!$FS112:$JO112, DL$13 )  )</f>
        <v>#N/A</v>
      </c>
      <c r="DM112" s="106" t="e">
        <f xml:space="preserve"> IF(  INDEX( 'i1'!$FS112:$JO112, DM$13 ) = LEER,  #N/A,  INDEX( 'i1'!$FS112:$JO112, DM$13 )  )</f>
        <v>#N/A</v>
      </c>
      <c r="DN112" s="106" t="e">
        <f xml:space="preserve"> IF(  INDEX( 'i1'!$FS112:$JO112, DN$13 ) = LEER,  #N/A,  INDEX( 'i1'!$FS112:$JO112, DN$13 )  )</f>
        <v>#N/A</v>
      </c>
    </row>
    <row r="113" spans="1:118" x14ac:dyDescent="0.2">
      <c r="A113" s="15">
        <f xml:space="preserve"> Basis!A113</f>
        <v>113</v>
      </c>
      <c r="C113" s="24" t="b">
        <f xml:space="preserve"> 'i1'!$O113</f>
        <v>0</v>
      </c>
      <c r="D113" s="24" t="b">
        <f xml:space="preserve"> 'i2'!$O113</f>
        <v>0</v>
      </c>
      <c r="E113" s="24" t="b">
        <f xml:space="preserve"> 'i3'!$O113</f>
        <v>0</v>
      </c>
      <c r="G113" s="27" t="e">
        <f xml:space="preserve"> IF( $C114,   IF( 'i1'!$P113=LEER,  #N/A,  'i1'!$P113  ),   #N/A  )</f>
        <v>#N/A</v>
      </c>
      <c r="H113" s="27" t="e">
        <f xml:space="preserve"> IF( $D114,   IF( 'i2'!$P113=LEER,  #N/A,  'i2'!$P113  ),   #N/A  )</f>
        <v>#N/A</v>
      </c>
      <c r="I113" s="27" t="e">
        <f xml:space="preserve"> IF( $E114,   IF( 'i3'!$P113=LEER,  #N/A,  'i3'!$P113  ),   #N/A  )</f>
        <v>#N/A</v>
      </c>
      <c r="J113" s="158"/>
      <c r="K113" s="27" t="e">
        <f xml:space="preserve"> IF( $C114,   IF( 'i1'!$G113=LEER,  #N/A,  'i1'!$G113  ),   #N/A  )</f>
        <v>#N/A</v>
      </c>
      <c r="L113" s="27" t="e">
        <f xml:space="preserve"> IF( $D114,   IF( 'i2'!$G113=LEER,  #N/A,  'i2'!$G113  ),   #N/A  )</f>
        <v>#N/A</v>
      </c>
      <c r="M113" s="27" t="e">
        <f xml:space="preserve"> IF( $E114,   IF( 'i3'!$G113=LEER,  #N/A,  'i3'!$G113  ),   #N/A  )</f>
        <v>#N/A</v>
      </c>
      <c r="N113" s="158"/>
      <c r="O113" s="158"/>
      <c r="Q113" s="28" t="e">
        <f t="shared" si="56"/>
        <v>#N/A</v>
      </c>
      <c r="R113" s="28" t="e">
        <f t="shared" si="57"/>
        <v>#N/A</v>
      </c>
      <c r="S113" s="28" t="e">
        <f t="shared" si="58"/>
        <v>#N/A</v>
      </c>
      <c r="U113" s="76" t="e">
        <f xml:space="preserve"> IF( $C112,   SUM('i1'!$R113),   #N/A  )</f>
        <v>#N/A</v>
      </c>
      <c r="V113" s="76" t="e">
        <f xml:space="preserve"> IF( $C112,   SUM('i2'!$R113),   #N/A  )</f>
        <v>#N/A</v>
      </c>
      <c r="W113" s="76" t="e">
        <f xml:space="preserve"> IF( $C112,   SUM('i3'!$R113),   #N/A  )</f>
        <v>#N/A</v>
      </c>
      <c r="Y113" s="33"/>
      <c r="Z113" s="22" t="e">
        <f xml:space="preserve"> IF( $C113,   IF( 'i1'!$J113=LEER,  #N/A,  'i1'!$J113  ),   #N/A  )</f>
        <v>#N/A</v>
      </c>
      <c r="AA113" s="22" t="e">
        <f xml:space="preserve"> IF( $D113,   IF( 'i2'!$J113=LEER,  #N/A,  'i2'!$J113  ),   #N/A  )</f>
        <v>#N/A</v>
      </c>
      <c r="AB113" s="22" t="e">
        <f xml:space="preserve"> IF( $E113,   IF( 'i3'!$J113=LEER,  #N/A,  'i3'!$J113  ),   #N/A  )</f>
        <v>#N/A</v>
      </c>
      <c r="AC113" s="75"/>
      <c r="AD113" s="26" t="e">
        <f t="shared" si="46"/>
        <v>#N/A</v>
      </c>
      <c r="AE113" s="26" t="e">
        <f t="shared" si="47"/>
        <v>#N/A</v>
      </c>
      <c r="AF113" s="26" t="e">
        <f t="shared" si="48"/>
        <v>#N/A</v>
      </c>
      <c r="AG113" s="23"/>
      <c r="AH113" s="24" t="e">
        <f xml:space="preserve">    IF(  'i1'!$AK113=LEER,  #N/A,  ROUND( 'i1'!$AK113, AH$15 )  )</f>
        <v>#N/A</v>
      </c>
      <c r="AI113" s="24" t="e">
        <f xml:space="preserve">    IF(  'i2'!$AK113=LEER,  #N/A,  ROUND( 'i2'!$AK113, AI$15 )  )</f>
        <v>#N/A</v>
      </c>
      <c r="AJ113" s="24" t="e">
        <f xml:space="preserve">    IF(  'i3'!$AK113=LEER,  #N/A,  ROUND( 'i3'!$AK113, AJ$15 )  )</f>
        <v>#N/A</v>
      </c>
      <c r="AL113" s="102" t="e">
        <f t="shared" si="49"/>
        <v>#N/A</v>
      </c>
      <c r="AO113" s="24" t="e">
        <f xml:space="preserve">    IF( 'i1'!$AN113=LEER,  #N/A,  'i1'!$AN113  )</f>
        <v>#N/A</v>
      </c>
      <c r="AP113" s="24" t="e">
        <f xml:space="preserve">    IF( 'i2'!$AN113=LEER,  #N/A,  'i2'!$AN113  )</f>
        <v>#N/A</v>
      </c>
      <c r="AQ113" s="24" t="e">
        <f xml:space="preserve">    IF( 'i3'!$AN113=LEER,  #N/A,  'i3'!$AN113  )</f>
        <v>#N/A</v>
      </c>
      <c r="AS113" s="24" t="e">
        <f xml:space="preserve">    IF( 'i1'!$AO113=LEER,  #N/A,  'i1'!$AO113  )</f>
        <v>#N/A</v>
      </c>
      <c r="AT113" s="24" t="e">
        <f xml:space="preserve">    IF( 'i2'!$AO113=LEER,  #N/A,  'i2'!$AO113  )</f>
        <v>#N/A</v>
      </c>
      <c r="AU113" s="24" t="e">
        <f xml:space="preserve">    IF( 'i3'!$AO113=LEER,  #N/A,  'i3'!$AO113  )</f>
        <v>#N/A</v>
      </c>
      <c r="AW113" s="28" t="e">
        <f t="shared" si="59"/>
        <v>#N/A</v>
      </c>
      <c r="AX113" s="28" t="e">
        <f t="shared" si="50"/>
        <v>#N/A</v>
      </c>
      <c r="AY113" s="28" t="e">
        <f t="shared" si="51"/>
        <v>#N/A</v>
      </c>
      <c r="BA113" s="28" t="e">
        <f t="shared" si="52"/>
        <v>#N/A</v>
      </c>
      <c r="BB113" s="28" t="e">
        <f t="shared" si="53"/>
        <v>#N/A</v>
      </c>
      <c r="BC113" s="28" t="e">
        <f t="shared" si="54"/>
        <v>#N/A</v>
      </c>
      <c r="BG113" s="24" t="e">
        <f xml:space="preserve">    IF( 'i1'!BT113=LEER,  #N/A,  'i1'!BT113  )</f>
        <v>#N/A</v>
      </c>
      <c r="BH113" s="24" t="e">
        <f xml:space="preserve">    IF( 'i1'!BR113=LEER,  #N/A,  'i1'!BR113  )</f>
        <v>#N/A</v>
      </c>
      <c r="BI113" s="111" t="e">
        <f t="shared" si="60"/>
        <v>#N/A</v>
      </c>
      <c r="BJ113" s="24" t="e">
        <f xml:space="preserve">    IF( 'i1'!BX113=LEER,  #N/A,  'i1'!BX113  )</f>
        <v>#N/A</v>
      </c>
      <c r="BL113" s="24" t="e">
        <f xml:space="preserve">    IF( 'i1'!CB113=LEER,  #N/A,  'i1'!CB113  )</f>
        <v>#N/A</v>
      </c>
      <c r="BM113" s="24" t="e">
        <f xml:space="preserve">    IF( 'i1'!CC113=LEER,  #N/A,  'i1'!CC113  )</f>
        <v>#N/A</v>
      </c>
      <c r="BN113" s="24" t="e">
        <f xml:space="preserve">    IF( 'i1'!CD113=LEER,  #N/A,  'i1'!CD113  )</f>
        <v>#N/A</v>
      </c>
      <c r="BO113" s="24" t="e">
        <f xml:space="preserve">    IF( 'i1'!CE113=LEER,  #N/A,  'i1'!CE113  )</f>
        <v>#N/A</v>
      </c>
      <c r="BQ113" s="24" t="e">
        <f xml:space="preserve">    IF( 'i1'!CI113=LEER,  #N/A,  'i1'!CI113  )</f>
        <v>#N/A</v>
      </c>
      <c r="BR113" s="24" t="e">
        <f xml:space="preserve">    IF( 'i1'!CJ113=LEER,  #N/A,  'i1'!CJ113  )</f>
        <v>#N/A</v>
      </c>
      <c r="BS113" s="24" t="e">
        <f xml:space="preserve">    IF( 'i1'!CK113=LEER,  #N/A,  'i1'!CK113  )</f>
        <v>#N/A</v>
      </c>
      <c r="BT113" s="38" t="e">
        <f xml:space="preserve">    IF( 'i1'!CH113=LEER,  #N/A,  'i1'!CH113  )</f>
        <v>#N/A</v>
      </c>
      <c r="BV113" s="24" t="e">
        <f xml:space="preserve">    IF( 'i1'!CO113=LEER,  #N/A,  'i1'!CO113  )</f>
        <v>#N/A</v>
      </c>
      <c r="BW113" s="24" t="e">
        <f xml:space="preserve">    IF( 'i1'!CP113=LEER,  #N/A,  'i1'!CP113  )</f>
        <v>#N/A</v>
      </c>
      <c r="BX113" s="24" t="e">
        <f xml:space="preserve">    IF( 'i1'!CQ113=LEER,  #N/A,  'i1'!CQ113  )</f>
        <v>#N/A</v>
      </c>
      <c r="BY113" s="38" t="e">
        <f xml:space="preserve">    IF( 'i1'!CN113=LEER,  #N/A,  'i1'!CN113  )</f>
        <v>#N/A</v>
      </c>
      <c r="CD113" s="113" t="e">
        <f xml:space="preserve"> IF(  AND( $A113&lt;&gt;$CD$14, OR( 'i1'!EO113=LEER, 'i1'!EM113&lt;&gt;LEER ) ), #N/A, 'i1'!EO113 )</f>
        <v>#N/A</v>
      </c>
      <c r="CE113" s="113" t="e">
        <f xml:space="preserve"> IF(   'i1'!EM113=LEER, #N/A,  'i1'!EM113 )</f>
        <v>#N/A</v>
      </c>
      <c r="CF113" s="114" t="e">
        <f xml:space="preserve"> IF(   'i1'!EL113=LEER, #N/A, 'i1'!EL113 + 'i1'!EM113 )</f>
        <v>#N/A</v>
      </c>
      <c r="CW113" s="104">
        <f xml:space="preserve"> 'i1'!FN113</f>
        <v>113</v>
      </c>
      <c r="CX113" s="106" t="e">
        <f xml:space="preserve"> IF(  INDEX( 'i1'!$FS113:$JO113, CX$13 ) = LEER,  #N/A,  INDEX( 'i1'!$FS113:$JO113, CX$13 )  )</f>
        <v>#N/A</v>
      </c>
      <c r="CY113" s="106" t="e">
        <f xml:space="preserve"> IF(  INDEX( 'i1'!$FS113:$JO113, CY$13 ) = LEER,  #N/A,  INDEX( 'i1'!$FS113:$JO113, CY$13 )  )</f>
        <v>#N/A</v>
      </c>
      <c r="CZ113" s="106" t="e">
        <f xml:space="preserve"> IF(  INDEX( 'i1'!$FS113:$JO113, CZ$13 ) = LEER,  #N/A,  INDEX( 'i1'!$FS113:$JO113, CZ$13 )  )</f>
        <v>#N/A</v>
      </c>
      <c r="DA113" s="106" t="e">
        <f xml:space="preserve"> IF(  INDEX( 'i1'!$FS113:$JO113, DA$13 ) = LEER,  #N/A,  INDEX( 'i1'!$FS113:$JO113, DA$13 )  )</f>
        <v>#N/A</v>
      </c>
      <c r="DB113" s="106" t="e">
        <f xml:space="preserve"> IF(  INDEX( 'i1'!$FS113:$JO113, DB$13 ) = LEER,  #N/A,  INDEX( 'i1'!$FS113:$JO113, DB$13 )  )</f>
        <v>#N/A</v>
      </c>
      <c r="DC113" s="106" t="e">
        <f xml:space="preserve"> IF(  INDEX( 'i1'!$FS113:$JO113, DC$13 ) = LEER,  #N/A,  INDEX( 'i1'!$FS113:$JO113, DC$13 )  )</f>
        <v>#N/A</v>
      </c>
      <c r="DD113" s="106" t="e">
        <f xml:space="preserve"> IF(  INDEX( 'i1'!$FS113:$JO113, DD$13 ) = LEER,  #N/A,  INDEX( 'i1'!$FS113:$JO113, DD$13 )  )</f>
        <v>#N/A</v>
      </c>
      <c r="DE113" s="106" t="e">
        <f xml:space="preserve"> IF(  INDEX( 'i1'!$FS113:$JO113, DE$13 ) = LEER,  #N/A,  INDEX( 'i1'!$FS113:$JO113, DE$13 )  )</f>
        <v>#N/A</v>
      </c>
      <c r="DF113" s="106" t="e">
        <f xml:space="preserve"> IF(  INDEX( 'i1'!$FS113:$JO113, DF$13 ) = LEER,  #N/A,  INDEX( 'i1'!$FS113:$JO113, DF$13 )  )</f>
        <v>#N/A</v>
      </c>
      <c r="DG113" s="106" t="e">
        <f xml:space="preserve"> IF(  INDEX( 'i1'!$FS113:$JO113, DG$13 ) = LEER,  #N/A,  INDEX( 'i1'!$FS113:$JO113, DG$13 )  )</f>
        <v>#N/A</v>
      </c>
      <c r="DH113" s="106" t="e">
        <f xml:space="preserve"> IF(  INDEX( 'i1'!$FS113:$JO113, DH$13 ) = LEER,  #N/A,  INDEX( 'i1'!$FS113:$JO113, DH$13 )  )</f>
        <v>#N/A</v>
      </c>
      <c r="DI113" s="106" t="e">
        <f xml:space="preserve"> IF(  INDEX( 'i1'!$FS113:$JO113, DI$13 ) = LEER,  #N/A,  INDEX( 'i1'!$FS113:$JO113, DI$13 )  )</f>
        <v>#N/A</v>
      </c>
      <c r="DJ113" s="106" t="e">
        <f xml:space="preserve"> IF(  INDEX( 'i1'!$FS113:$JO113, DJ$13 ) = LEER,  #N/A,  INDEX( 'i1'!$FS113:$JO113, DJ$13 )  )</f>
        <v>#N/A</v>
      </c>
      <c r="DK113" s="106" t="e">
        <f xml:space="preserve"> IF(  INDEX( 'i1'!$FS113:$JO113, DK$13 ) = LEER,  #N/A,  INDEX( 'i1'!$FS113:$JO113, DK$13 )  )</f>
        <v>#N/A</v>
      </c>
      <c r="DL113" s="106" t="e">
        <f xml:space="preserve"> IF(  INDEX( 'i1'!$FS113:$JO113, DL$13 ) = LEER,  #N/A,  INDEX( 'i1'!$FS113:$JO113, DL$13 )  )</f>
        <v>#N/A</v>
      </c>
      <c r="DM113" s="106" t="e">
        <f xml:space="preserve"> IF(  INDEX( 'i1'!$FS113:$JO113, DM$13 ) = LEER,  #N/A,  INDEX( 'i1'!$FS113:$JO113, DM$13 )  )</f>
        <v>#N/A</v>
      </c>
      <c r="DN113" s="106" t="e">
        <f xml:space="preserve"> IF(  INDEX( 'i1'!$FS113:$JO113, DN$13 ) = LEER,  #N/A,  INDEX( 'i1'!$FS113:$JO113, DN$13 )  )</f>
        <v>#N/A</v>
      </c>
    </row>
    <row r="114" spans="1:118" x14ac:dyDescent="0.2">
      <c r="A114" s="15">
        <f xml:space="preserve"> Basis!A114</f>
        <v>114</v>
      </c>
      <c r="C114" s="24" t="b">
        <f xml:space="preserve"> 'i1'!$O114</f>
        <v>0</v>
      </c>
      <c r="D114" s="24" t="b">
        <f xml:space="preserve"> 'i2'!$O114</f>
        <v>0</v>
      </c>
      <c r="E114" s="24" t="b">
        <f xml:space="preserve"> 'i3'!$O114</f>
        <v>0</v>
      </c>
      <c r="G114" s="27" t="e">
        <f xml:space="preserve"> IF( $C115,   IF( 'i1'!$P114=LEER,  #N/A,  'i1'!$P114  ),   #N/A  )</f>
        <v>#N/A</v>
      </c>
      <c r="H114" s="27" t="e">
        <f xml:space="preserve"> IF( $D115,   IF( 'i2'!$P114=LEER,  #N/A,  'i2'!$P114  ),   #N/A  )</f>
        <v>#N/A</v>
      </c>
      <c r="I114" s="27" t="e">
        <f xml:space="preserve"> IF( $E115,   IF( 'i3'!$P114=LEER,  #N/A,  'i3'!$P114  ),   #N/A  )</f>
        <v>#N/A</v>
      </c>
      <c r="J114" s="158"/>
      <c r="K114" s="27" t="e">
        <f xml:space="preserve"> IF( $C115,   IF( 'i1'!$G114=LEER,  #N/A,  'i1'!$G114  ),   #N/A  )</f>
        <v>#N/A</v>
      </c>
      <c r="L114" s="27" t="e">
        <f xml:space="preserve"> IF( $D115,   IF( 'i2'!$G114=LEER,  #N/A,  'i2'!$G114  ),   #N/A  )</f>
        <v>#N/A</v>
      </c>
      <c r="M114" s="27" t="e">
        <f xml:space="preserve"> IF( $E115,   IF( 'i3'!$G114=LEER,  #N/A,  'i3'!$G114  ),   #N/A  )</f>
        <v>#N/A</v>
      </c>
      <c r="N114" s="158"/>
      <c r="O114" s="158"/>
      <c r="Q114" s="28" t="e">
        <f t="shared" si="56"/>
        <v>#N/A</v>
      </c>
      <c r="R114" s="28" t="e">
        <f t="shared" si="57"/>
        <v>#N/A</v>
      </c>
      <c r="S114" s="28" t="e">
        <f t="shared" si="58"/>
        <v>#N/A</v>
      </c>
      <c r="U114" s="76" t="e">
        <f xml:space="preserve"> IF( $C113,   SUM('i1'!$R114),   #N/A  )</f>
        <v>#N/A</v>
      </c>
      <c r="V114" s="76" t="e">
        <f xml:space="preserve"> IF( $C113,   SUM('i2'!$R114),   #N/A  )</f>
        <v>#N/A</v>
      </c>
      <c r="W114" s="76" t="e">
        <f xml:space="preserve"> IF( $C113,   SUM('i3'!$R114),   #N/A  )</f>
        <v>#N/A</v>
      </c>
      <c r="Y114" s="33"/>
      <c r="Z114" s="22" t="e">
        <f xml:space="preserve"> IF( $C114,   IF( 'i1'!$J114=LEER,  #N/A,  'i1'!$J114  ),   #N/A  )</f>
        <v>#N/A</v>
      </c>
      <c r="AA114" s="22" t="e">
        <f xml:space="preserve"> IF( $D114,   IF( 'i2'!$J114=LEER,  #N/A,  'i2'!$J114  ),   #N/A  )</f>
        <v>#N/A</v>
      </c>
      <c r="AB114" s="22" t="e">
        <f xml:space="preserve"> IF( $E114,   IF( 'i3'!$J114=LEER,  #N/A,  'i3'!$J114  ),   #N/A  )</f>
        <v>#N/A</v>
      </c>
      <c r="AC114" s="75"/>
      <c r="AD114" s="26" t="e">
        <f t="shared" si="46"/>
        <v>#N/A</v>
      </c>
      <c r="AE114" s="26" t="e">
        <f t="shared" si="47"/>
        <v>#N/A</v>
      </c>
      <c r="AF114" s="26" t="e">
        <f t="shared" si="48"/>
        <v>#N/A</v>
      </c>
      <c r="AG114" s="23"/>
      <c r="AH114" s="24" t="e">
        <f xml:space="preserve">    IF(  'i1'!$AK114=LEER,  #N/A,  ROUND( 'i1'!$AK114, AH$15 )  )</f>
        <v>#N/A</v>
      </c>
      <c r="AI114" s="24" t="e">
        <f xml:space="preserve">    IF(  'i2'!$AK114=LEER,  #N/A,  ROUND( 'i2'!$AK114, AI$15 )  )</f>
        <v>#N/A</v>
      </c>
      <c r="AJ114" s="24" t="e">
        <f xml:space="preserve">    IF(  'i3'!$AK114=LEER,  #N/A,  ROUND( 'i3'!$AK114, AJ$15 )  )</f>
        <v>#N/A</v>
      </c>
      <c r="AL114" s="102" t="e">
        <f t="shared" si="49"/>
        <v>#N/A</v>
      </c>
      <c r="AO114" s="24" t="e">
        <f xml:space="preserve">    IF( 'i1'!$AN114=LEER,  #N/A,  'i1'!$AN114  )</f>
        <v>#N/A</v>
      </c>
      <c r="AP114" s="24" t="e">
        <f xml:space="preserve">    IF( 'i2'!$AN114=LEER,  #N/A,  'i2'!$AN114  )</f>
        <v>#N/A</v>
      </c>
      <c r="AQ114" s="24" t="e">
        <f xml:space="preserve">    IF( 'i3'!$AN114=LEER,  #N/A,  'i3'!$AN114  )</f>
        <v>#N/A</v>
      </c>
      <c r="AS114" s="24" t="e">
        <f xml:space="preserve">    IF( 'i1'!$AO114=LEER,  #N/A,  'i1'!$AO114  )</f>
        <v>#N/A</v>
      </c>
      <c r="AT114" s="24" t="e">
        <f xml:space="preserve">    IF( 'i2'!$AO114=LEER,  #N/A,  'i2'!$AO114  )</f>
        <v>#N/A</v>
      </c>
      <c r="AU114" s="24" t="e">
        <f xml:space="preserve">    IF( 'i3'!$AO114=LEER,  #N/A,  'i3'!$AO114  )</f>
        <v>#N/A</v>
      </c>
      <c r="AW114" s="28" t="e">
        <f t="shared" si="59"/>
        <v>#N/A</v>
      </c>
      <c r="AX114" s="28" t="e">
        <f t="shared" si="50"/>
        <v>#N/A</v>
      </c>
      <c r="AY114" s="28" t="e">
        <f t="shared" si="51"/>
        <v>#N/A</v>
      </c>
      <c r="BA114" s="28" t="e">
        <f t="shared" si="52"/>
        <v>#N/A</v>
      </c>
      <c r="BB114" s="28" t="e">
        <f t="shared" si="53"/>
        <v>#N/A</v>
      </c>
      <c r="BC114" s="28" t="e">
        <f t="shared" si="54"/>
        <v>#N/A</v>
      </c>
      <c r="BG114" s="24" t="e">
        <f xml:space="preserve">    IF( 'i1'!BT114=LEER,  #N/A,  'i1'!BT114  )</f>
        <v>#N/A</v>
      </c>
      <c r="BH114" s="24" t="e">
        <f xml:space="preserve">    IF( 'i1'!BR114=LEER,  #N/A,  'i1'!BR114  )</f>
        <v>#N/A</v>
      </c>
      <c r="BI114" s="111" t="e">
        <f t="shared" si="60"/>
        <v>#N/A</v>
      </c>
      <c r="BJ114" s="24" t="e">
        <f xml:space="preserve">    IF( 'i1'!BX114=LEER,  #N/A,  'i1'!BX114  )</f>
        <v>#N/A</v>
      </c>
      <c r="BL114" s="24" t="e">
        <f xml:space="preserve">    IF( 'i1'!CB114=LEER,  #N/A,  'i1'!CB114  )</f>
        <v>#N/A</v>
      </c>
      <c r="BM114" s="24" t="e">
        <f xml:space="preserve">    IF( 'i1'!CC114=LEER,  #N/A,  'i1'!CC114  )</f>
        <v>#N/A</v>
      </c>
      <c r="BN114" s="24" t="e">
        <f xml:space="preserve">    IF( 'i1'!CD114=LEER,  #N/A,  'i1'!CD114  )</f>
        <v>#N/A</v>
      </c>
      <c r="BO114" s="24" t="e">
        <f xml:space="preserve">    IF( 'i1'!CE114=LEER,  #N/A,  'i1'!CE114  )</f>
        <v>#N/A</v>
      </c>
      <c r="BQ114" s="24" t="e">
        <f xml:space="preserve">    IF( 'i1'!CI114=LEER,  #N/A,  'i1'!CI114  )</f>
        <v>#N/A</v>
      </c>
      <c r="BR114" s="24" t="e">
        <f xml:space="preserve">    IF( 'i1'!CJ114=LEER,  #N/A,  'i1'!CJ114  )</f>
        <v>#N/A</v>
      </c>
      <c r="BS114" s="24" t="e">
        <f xml:space="preserve">    IF( 'i1'!CK114=LEER,  #N/A,  'i1'!CK114  )</f>
        <v>#N/A</v>
      </c>
      <c r="BT114" s="38" t="e">
        <f xml:space="preserve">    IF( 'i1'!CH114=LEER,  #N/A,  'i1'!CH114  )</f>
        <v>#N/A</v>
      </c>
      <c r="BV114" s="24" t="e">
        <f xml:space="preserve">    IF( 'i1'!CO114=LEER,  #N/A,  'i1'!CO114  )</f>
        <v>#N/A</v>
      </c>
      <c r="BW114" s="24" t="e">
        <f xml:space="preserve">    IF( 'i1'!CP114=LEER,  #N/A,  'i1'!CP114  )</f>
        <v>#N/A</v>
      </c>
      <c r="BX114" s="24" t="e">
        <f xml:space="preserve">    IF( 'i1'!CQ114=LEER,  #N/A,  'i1'!CQ114  )</f>
        <v>#N/A</v>
      </c>
      <c r="BY114" s="38" t="e">
        <f xml:space="preserve">    IF( 'i1'!CN114=LEER,  #N/A,  'i1'!CN114  )</f>
        <v>#N/A</v>
      </c>
      <c r="CD114" s="113" t="e">
        <f xml:space="preserve"> IF(  AND( $A114&lt;&gt;$CD$14, OR( 'i1'!EO114=LEER, 'i1'!EM114&lt;&gt;LEER ) ), #N/A, 'i1'!EO114 )</f>
        <v>#N/A</v>
      </c>
      <c r="CE114" s="113" t="e">
        <f xml:space="preserve"> IF(   'i1'!EM114=LEER, #N/A,  'i1'!EM114 )</f>
        <v>#N/A</v>
      </c>
      <c r="CF114" s="114" t="e">
        <f xml:space="preserve"> IF(   'i1'!EL114=LEER, #N/A, 'i1'!EL114 + 'i1'!EM114 )</f>
        <v>#N/A</v>
      </c>
      <c r="CW114" s="104">
        <f xml:space="preserve"> 'i1'!FN114</f>
        <v>114</v>
      </c>
      <c r="CX114" s="106" t="e">
        <f xml:space="preserve"> IF(  INDEX( 'i1'!$FS114:$JO114, CX$13 ) = LEER,  #N/A,  INDEX( 'i1'!$FS114:$JO114, CX$13 )  )</f>
        <v>#N/A</v>
      </c>
      <c r="CY114" s="106" t="e">
        <f xml:space="preserve"> IF(  INDEX( 'i1'!$FS114:$JO114, CY$13 ) = LEER,  #N/A,  INDEX( 'i1'!$FS114:$JO114, CY$13 )  )</f>
        <v>#N/A</v>
      </c>
      <c r="CZ114" s="106" t="e">
        <f xml:space="preserve"> IF(  INDEX( 'i1'!$FS114:$JO114, CZ$13 ) = LEER,  #N/A,  INDEX( 'i1'!$FS114:$JO114, CZ$13 )  )</f>
        <v>#N/A</v>
      </c>
      <c r="DA114" s="106" t="e">
        <f xml:space="preserve"> IF(  INDEX( 'i1'!$FS114:$JO114, DA$13 ) = LEER,  #N/A,  INDEX( 'i1'!$FS114:$JO114, DA$13 )  )</f>
        <v>#N/A</v>
      </c>
      <c r="DB114" s="106" t="e">
        <f xml:space="preserve"> IF(  INDEX( 'i1'!$FS114:$JO114, DB$13 ) = LEER,  #N/A,  INDEX( 'i1'!$FS114:$JO114, DB$13 )  )</f>
        <v>#N/A</v>
      </c>
      <c r="DC114" s="106" t="e">
        <f xml:space="preserve"> IF(  INDEX( 'i1'!$FS114:$JO114, DC$13 ) = LEER,  #N/A,  INDEX( 'i1'!$FS114:$JO114, DC$13 )  )</f>
        <v>#N/A</v>
      </c>
      <c r="DD114" s="106" t="e">
        <f xml:space="preserve"> IF(  INDEX( 'i1'!$FS114:$JO114, DD$13 ) = LEER,  #N/A,  INDEX( 'i1'!$FS114:$JO114, DD$13 )  )</f>
        <v>#N/A</v>
      </c>
      <c r="DE114" s="106" t="e">
        <f xml:space="preserve"> IF(  INDEX( 'i1'!$FS114:$JO114, DE$13 ) = LEER,  #N/A,  INDEX( 'i1'!$FS114:$JO114, DE$13 )  )</f>
        <v>#N/A</v>
      </c>
      <c r="DF114" s="106" t="e">
        <f xml:space="preserve"> IF(  INDEX( 'i1'!$FS114:$JO114, DF$13 ) = LEER,  #N/A,  INDEX( 'i1'!$FS114:$JO114, DF$13 )  )</f>
        <v>#N/A</v>
      </c>
      <c r="DG114" s="106" t="e">
        <f xml:space="preserve"> IF(  INDEX( 'i1'!$FS114:$JO114, DG$13 ) = LEER,  #N/A,  INDEX( 'i1'!$FS114:$JO114, DG$13 )  )</f>
        <v>#N/A</v>
      </c>
      <c r="DH114" s="106" t="e">
        <f xml:space="preserve"> IF(  INDEX( 'i1'!$FS114:$JO114, DH$13 ) = LEER,  #N/A,  INDEX( 'i1'!$FS114:$JO114, DH$13 )  )</f>
        <v>#N/A</v>
      </c>
      <c r="DI114" s="106" t="e">
        <f xml:space="preserve"> IF(  INDEX( 'i1'!$FS114:$JO114, DI$13 ) = LEER,  #N/A,  INDEX( 'i1'!$FS114:$JO114, DI$13 )  )</f>
        <v>#N/A</v>
      </c>
      <c r="DJ114" s="106" t="e">
        <f xml:space="preserve"> IF(  INDEX( 'i1'!$FS114:$JO114, DJ$13 ) = LEER,  #N/A,  INDEX( 'i1'!$FS114:$JO114, DJ$13 )  )</f>
        <v>#N/A</v>
      </c>
      <c r="DK114" s="106" t="e">
        <f xml:space="preserve"> IF(  INDEX( 'i1'!$FS114:$JO114, DK$13 ) = LEER,  #N/A,  INDEX( 'i1'!$FS114:$JO114, DK$13 )  )</f>
        <v>#N/A</v>
      </c>
      <c r="DL114" s="106" t="e">
        <f xml:space="preserve"> IF(  INDEX( 'i1'!$FS114:$JO114, DL$13 ) = LEER,  #N/A,  INDEX( 'i1'!$FS114:$JO114, DL$13 )  )</f>
        <v>#N/A</v>
      </c>
      <c r="DM114" s="106" t="e">
        <f xml:space="preserve"> IF(  INDEX( 'i1'!$FS114:$JO114, DM$13 ) = LEER,  #N/A,  INDEX( 'i1'!$FS114:$JO114, DM$13 )  )</f>
        <v>#N/A</v>
      </c>
      <c r="DN114" s="106" t="e">
        <f xml:space="preserve"> IF(  INDEX( 'i1'!$FS114:$JO114, DN$13 ) = LEER,  #N/A,  INDEX( 'i1'!$FS114:$JO114, DN$13 )  )</f>
        <v>#N/A</v>
      </c>
    </row>
    <row r="115" spans="1:118" x14ac:dyDescent="0.2">
      <c r="A115" s="15">
        <f xml:space="preserve"> Basis!A115</f>
        <v>115</v>
      </c>
      <c r="C115" s="24" t="b">
        <f xml:space="preserve"> 'i1'!$O115</f>
        <v>0</v>
      </c>
      <c r="D115" s="24" t="b">
        <f xml:space="preserve"> 'i2'!$O115</f>
        <v>0</v>
      </c>
      <c r="E115" s="24" t="b">
        <f xml:space="preserve"> 'i3'!$O115</f>
        <v>0</v>
      </c>
      <c r="G115" s="27" t="e">
        <f xml:space="preserve"> IF( $C116,   IF( 'i1'!$P115=LEER,  #N/A,  'i1'!$P115  ),   #N/A  )</f>
        <v>#N/A</v>
      </c>
      <c r="H115" s="27" t="e">
        <f xml:space="preserve"> IF( $D116,   IF( 'i2'!$P115=LEER,  #N/A,  'i2'!$P115  ),   #N/A  )</f>
        <v>#N/A</v>
      </c>
      <c r="I115" s="27" t="e">
        <f xml:space="preserve"> IF( $E116,   IF( 'i3'!$P115=LEER,  #N/A,  'i3'!$P115  ),   #N/A  )</f>
        <v>#N/A</v>
      </c>
      <c r="J115" s="158"/>
      <c r="K115" s="27" t="e">
        <f xml:space="preserve"> IF( $C116,   IF( 'i1'!$G115=LEER,  #N/A,  'i1'!$G115  ),   #N/A  )</f>
        <v>#N/A</v>
      </c>
      <c r="L115" s="27" t="e">
        <f xml:space="preserve"> IF( $D116,   IF( 'i2'!$G115=LEER,  #N/A,  'i2'!$G115  ),   #N/A  )</f>
        <v>#N/A</v>
      </c>
      <c r="M115" s="27" t="e">
        <f xml:space="preserve"> IF( $E116,   IF( 'i3'!$G115=LEER,  #N/A,  'i3'!$G115  ),   #N/A  )</f>
        <v>#N/A</v>
      </c>
      <c r="N115" s="158"/>
      <c r="O115" s="158"/>
      <c r="Q115" s="28" t="e">
        <f t="shared" si="56"/>
        <v>#N/A</v>
      </c>
      <c r="R115" s="28" t="e">
        <f t="shared" si="57"/>
        <v>#N/A</v>
      </c>
      <c r="S115" s="28" t="e">
        <f t="shared" si="58"/>
        <v>#N/A</v>
      </c>
      <c r="U115" s="76" t="e">
        <f xml:space="preserve"> IF( $C114,   SUM('i1'!$R115),   #N/A  )</f>
        <v>#N/A</v>
      </c>
      <c r="V115" s="76" t="e">
        <f xml:space="preserve"> IF( $C114,   SUM('i2'!$R115),   #N/A  )</f>
        <v>#N/A</v>
      </c>
      <c r="W115" s="76" t="e">
        <f xml:space="preserve"> IF( $C114,   SUM('i3'!$R115),   #N/A  )</f>
        <v>#N/A</v>
      </c>
      <c r="Y115" s="33"/>
      <c r="Z115" s="22" t="e">
        <f xml:space="preserve"> IF( $C115,   IF( 'i1'!$J115=LEER,  #N/A,  'i1'!$J115  ),   #N/A  )</f>
        <v>#N/A</v>
      </c>
      <c r="AA115" s="22" t="e">
        <f xml:space="preserve"> IF( $D115,   IF( 'i2'!$J115=LEER,  #N/A,  'i2'!$J115  ),   #N/A  )</f>
        <v>#N/A</v>
      </c>
      <c r="AB115" s="22" t="e">
        <f xml:space="preserve"> IF( $E115,   IF( 'i3'!$J115=LEER,  #N/A,  'i3'!$J115  ),   #N/A  )</f>
        <v>#N/A</v>
      </c>
      <c r="AC115" s="75"/>
      <c r="AD115" s="26" t="e">
        <f t="shared" si="46"/>
        <v>#N/A</v>
      </c>
      <c r="AE115" s="26" t="e">
        <f t="shared" si="47"/>
        <v>#N/A</v>
      </c>
      <c r="AF115" s="26" t="e">
        <f t="shared" si="48"/>
        <v>#N/A</v>
      </c>
      <c r="AG115" s="23"/>
      <c r="AH115" s="24" t="e">
        <f xml:space="preserve">    IF(  'i1'!$AK115=LEER,  #N/A,  ROUND( 'i1'!$AK115, AH$15 )  )</f>
        <v>#N/A</v>
      </c>
      <c r="AI115" s="24" t="e">
        <f xml:space="preserve">    IF(  'i2'!$AK115=LEER,  #N/A,  ROUND( 'i2'!$AK115, AI$15 )  )</f>
        <v>#N/A</v>
      </c>
      <c r="AJ115" s="24" t="e">
        <f xml:space="preserve">    IF(  'i3'!$AK115=LEER,  #N/A,  ROUND( 'i3'!$AK115, AJ$15 )  )</f>
        <v>#N/A</v>
      </c>
      <c r="AL115" s="102" t="e">
        <f t="shared" si="49"/>
        <v>#N/A</v>
      </c>
      <c r="AO115" s="24" t="e">
        <f xml:space="preserve">    IF( 'i1'!$AN115=LEER,  #N/A,  'i1'!$AN115  )</f>
        <v>#N/A</v>
      </c>
      <c r="AP115" s="24" t="e">
        <f xml:space="preserve">    IF( 'i2'!$AN115=LEER,  #N/A,  'i2'!$AN115  )</f>
        <v>#N/A</v>
      </c>
      <c r="AQ115" s="24" t="e">
        <f xml:space="preserve">    IF( 'i3'!$AN115=LEER,  #N/A,  'i3'!$AN115  )</f>
        <v>#N/A</v>
      </c>
      <c r="AS115" s="24" t="e">
        <f xml:space="preserve">    IF( 'i1'!$AO115=LEER,  #N/A,  'i1'!$AO115  )</f>
        <v>#N/A</v>
      </c>
      <c r="AT115" s="24" t="e">
        <f xml:space="preserve">    IF( 'i2'!$AO115=LEER,  #N/A,  'i2'!$AO115  )</f>
        <v>#N/A</v>
      </c>
      <c r="AU115" s="24" t="e">
        <f xml:space="preserve">    IF( 'i3'!$AO115=LEER,  #N/A,  'i3'!$AO115  )</f>
        <v>#N/A</v>
      </c>
      <c r="AW115" s="28" t="e">
        <f t="shared" si="59"/>
        <v>#N/A</v>
      </c>
      <c r="AX115" s="28" t="e">
        <f t="shared" si="50"/>
        <v>#N/A</v>
      </c>
      <c r="AY115" s="28" t="e">
        <f t="shared" si="51"/>
        <v>#N/A</v>
      </c>
      <c r="BA115" s="28" t="e">
        <f t="shared" si="52"/>
        <v>#N/A</v>
      </c>
      <c r="BB115" s="28" t="e">
        <f t="shared" si="53"/>
        <v>#N/A</v>
      </c>
      <c r="BC115" s="28" t="e">
        <f t="shared" si="54"/>
        <v>#N/A</v>
      </c>
      <c r="BG115" s="24" t="e">
        <f xml:space="preserve">    IF( 'i1'!BT115=LEER,  #N/A,  'i1'!BT115  )</f>
        <v>#N/A</v>
      </c>
      <c r="BH115" s="24" t="e">
        <f xml:space="preserve">    IF( 'i1'!BR115=LEER,  #N/A,  'i1'!BR115  )</f>
        <v>#N/A</v>
      </c>
      <c r="BI115" s="111" t="e">
        <f t="shared" si="60"/>
        <v>#N/A</v>
      </c>
      <c r="BJ115" s="24" t="e">
        <f xml:space="preserve">    IF( 'i1'!BX115=LEER,  #N/A,  'i1'!BX115  )</f>
        <v>#N/A</v>
      </c>
      <c r="BL115" s="24" t="e">
        <f xml:space="preserve">    IF( 'i1'!CB115=LEER,  #N/A,  'i1'!CB115  )</f>
        <v>#N/A</v>
      </c>
      <c r="BM115" s="24" t="e">
        <f xml:space="preserve">    IF( 'i1'!CC115=LEER,  #N/A,  'i1'!CC115  )</f>
        <v>#N/A</v>
      </c>
      <c r="BN115" s="24" t="e">
        <f xml:space="preserve">    IF( 'i1'!CD115=LEER,  #N/A,  'i1'!CD115  )</f>
        <v>#N/A</v>
      </c>
      <c r="BO115" s="24" t="e">
        <f xml:space="preserve">    IF( 'i1'!CE115=LEER,  #N/A,  'i1'!CE115  )</f>
        <v>#N/A</v>
      </c>
      <c r="BQ115" s="24" t="e">
        <f xml:space="preserve">    IF( 'i1'!CI115=LEER,  #N/A,  'i1'!CI115  )</f>
        <v>#N/A</v>
      </c>
      <c r="BR115" s="24" t="e">
        <f xml:space="preserve">    IF( 'i1'!CJ115=LEER,  #N/A,  'i1'!CJ115  )</f>
        <v>#N/A</v>
      </c>
      <c r="BS115" s="24" t="e">
        <f xml:space="preserve">    IF( 'i1'!CK115=LEER,  #N/A,  'i1'!CK115  )</f>
        <v>#N/A</v>
      </c>
      <c r="BT115" s="38" t="e">
        <f xml:space="preserve">    IF( 'i1'!CH115=LEER,  #N/A,  'i1'!CH115  )</f>
        <v>#N/A</v>
      </c>
      <c r="BV115" s="24" t="e">
        <f xml:space="preserve">    IF( 'i1'!CO115=LEER,  #N/A,  'i1'!CO115  )</f>
        <v>#N/A</v>
      </c>
      <c r="BW115" s="24" t="e">
        <f xml:space="preserve">    IF( 'i1'!CP115=LEER,  #N/A,  'i1'!CP115  )</f>
        <v>#N/A</v>
      </c>
      <c r="BX115" s="24" t="e">
        <f xml:space="preserve">    IF( 'i1'!CQ115=LEER,  #N/A,  'i1'!CQ115  )</f>
        <v>#N/A</v>
      </c>
      <c r="BY115" s="38" t="e">
        <f xml:space="preserve">    IF( 'i1'!CN115=LEER,  #N/A,  'i1'!CN115  )</f>
        <v>#N/A</v>
      </c>
      <c r="CD115" s="113" t="e">
        <f xml:space="preserve"> IF(  AND( $A115&lt;&gt;$CD$14, OR( 'i1'!EO115=LEER, 'i1'!EM115&lt;&gt;LEER ) ), #N/A, 'i1'!EO115 )</f>
        <v>#N/A</v>
      </c>
      <c r="CE115" s="113" t="e">
        <f xml:space="preserve"> IF(   'i1'!EM115=LEER, #N/A,  'i1'!EM115 )</f>
        <v>#N/A</v>
      </c>
      <c r="CF115" s="114" t="e">
        <f xml:space="preserve"> IF(   'i1'!EL115=LEER, #N/A, 'i1'!EL115 + 'i1'!EM115 )</f>
        <v>#N/A</v>
      </c>
      <c r="CW115" s="104">
        <f xml:space="preserve"> 'i1'!FN115</f>
        <v>115</v>
      </c>
      <c r="CX115" s="106" t="e">
        <f xml:space="preserve"> IF(  INDEX( 'i1'!$FS115:$JO115, CX$13 ) = LEER,  #N/A,  INDEX( 'i1'!$FS115:$JO115, CX$13 )  )</f>
        <v>#N/A</v>
      </c>
      <c r="CY115" s="106" t="e">
        <f xml:space="preserve"> IF(  INDEX( 'i1'!$FS115:$JO115, CY$13 ) = LEER,  #N/A,  INDEX( 'i1'!$FS115:$JO115, CY$13 )  )</f>
        <v>#N/A</v>
      </c>
      <c r="CZ115" s="106" t="e">
        <f xml:space="preserve"> IF(  INDEX( 'i1'!$FS115:$JO115, CZ$13 ) = LEER,  #N/A,  INDEX( 'i1'!$FS115:$JO115, CZ$13 )  )</f>
        <v>#N/A</v>
      </c>
      <c r="DA115" s="106" t="e">
        <f xml:space="preserve"> IF(  INDEX( 'i1'!$FS115:$JO115, DA$13 ) = LEER,  #N/A,  INDEX( 'i1'!$FS115:$JO115, DA$13 )  )</f>
        <v>#N/A</v>
      </c>
      <c r="DB115" s="106" t="e">
        <f xml:space="preserve"> IF(  INDEX( 'i1'!$FS115:$JO115, DB$13 ) = LEER,  #N/A,  INDEX( 'i1'!$FS115:$JO115, DB$13 )  )</f>
        <v>#N/A</v>
      </c>
      <c r="DC115" s="106" t="e">
        <f xml:space="preserve"> IF(  INDEX( 'i1'!$FS115:$JO115, DC$13 ) = LEER,  #N/A,  INDEX( 'i1'!$FS115:$JO115, DC$13 )  )</f>
        <v>#N/A</v>
      </c>
      <c r="DD115" s="106" t="e">
        <f xml:space="preserve"> IF(  INDEX( 'i1'!$FS115:$JO115, DD$13 ) = LEER,  #N/A,  INDEX( 'i1'!$FS115:$JO115, DD$13 )  )</f>
        <v>#N/A</v>
      </c>
      <c r="DE115" s="106" t="e">
        <f xml:space="preserve"> IF(  INDEX( 'i1'!$FS115:$JO115, DE$13 ) = LEER,  #N/A,  INDEX( 'i1'!$FS115:$JO115, DE$13 )  )</f>
        <v>#N/A</v>
      </c>
      <c r="DF115" s="106" t="e">
        <f xml:space="preserve"> IF(  INDEX( 'i1'!$FS115:$JO115, DF$13 ) = LEER,  #N/A,  INDEX( 'i1'!$FS115:$JO115, DF$13 )  )</f>
        <v>#N/A</v>
      </c>
      <c r="DG115" s="106" t="e">
        <f xml:space="preserve"> IF(  INDEX( 'i1'!$FS115:$JO115, DG$13 ) = LEER,  #N/A,  INDEX( 'i1'!$FS115:$JO115, DG$13 )  )</f>
        <v>#N/A</v>
      </c>
      <c r="DH115" s="106" t="e">
        <f xml:space="preserve"> IF(  INDEX( 'i1'!$FS115:$JO115, DH$13 ) = LEER,  #N/A,  INDEX( 'i1'!$FS115:$JO115, DH$13 )  )</f>
        <v>#N/A</v>
      </c>
      <c r="DI115" s="106" t="e">
        <f xml:space="preserve"> IF(  INDEX( 'i1'!$FS115:$JO115, DI$13 ) = LEER,  #N/A,  INDEX( 'i1'!$FS115:$JO115, DI$13 )  )</f>
        <v>#N/A</v>
      </c>
      <c r="DJ115" s="106" t="e">
        <f xml:space="preserve"> IF(  INDEX( 'i1'!$FS115:$JO115, DJ$13 ) = LEER,  #N/A,  INDEX( 'i1'!$FS115:$JO115, DJ$13 )  )</f>
        <v>#N/A</v>
      </c>
      <c r="DK115" s="106" t="e">
        <f xml:space="preserve"> IF(  INDEX( 'i1'!$FS115:$JO115, DK$13 ) = LEER,  #N/A,  INDEX( 'i1'!$FS115:$JO115, DK$13 )  )</f>
        <v>#N/A</v>
      </c>
      <c r="DL115" s="106" t="e">
        <f xml:space="preserve"> IF(  INDEX( 'i1'!$FS115:$JO115, DL$13 ) = LEER,  #N/A,  INDEX( 'i1'!$FS115:$JO115, DL$13 )  )</f>
        <v>#N/A</v>
      </c>
      <c r="DM115" s="106" t="e">
        <f xml:space="preserve"> IF(  INDEX( 'i1'!$FS115:$JO115, DM$13 ) = LEER,  #N/A,  INDEX( 'i1'!$FS115:$JO115, DM$13 )  )</f>
        <v>#N/A</v>
      </c>
      <c r="DN115" s="106" t="e">
        <f xml:space="preserve"> IF(  INDEX( 'i1'!$FS115:$JO115, DN$13 ) = LEER,  #N/A,  INDEX( 'i1'!$FS115:$JO115, DN$13 )  )</f>
        <v>#N/A</v>
      </c>
    </row>
    <row r="116" spans="1:118" x14ac:dyDescent="0.2">
      <c r="A116" s="15">
        <f xml:space="preserve"> Basis!A116</f>
        <v>116</v>
      </c>
      <c r="C116" s="24" t="b">
        <f xml:space="preserve"> 'i1'!$O116</f>
        <v>0</v>
      </c>
      <c r="D116" s="24" t="b">
        <f xml:space="preserve"> 'i2'!$O116</f>
        <v>0</v>
      </c>
      <c r="E116" s="24" t="b">
        <f xml:space="preserve"> 'i3'!$O116</f>
        <v>0</v>
      </c>
      <c r="G116" s="27" t="e">
        <f xml:space="preserve"> IF( $C117,   IF( 'i1'!$P116=LEER,  #N/A,  'i1'!$P116  ),   #N/A  )</f>
        <v>#N/A</v>
      </c>
      <c r="H116" s="27" t="e">
        <f xml:space="preserve"> IF( $D117,   IF( 'i2'!$P116=LEER,  #N/A,  'i2'!$P116  ),   #N/A  )</f>
        <v>#N/A</v>
      </c>
      <c r="I116" s="27" t="e">
        <f xml:space="preserve"> IF( $E117,   IF( 'i3'!$P116=LEER,  #N/A,  'i3'!$P116  ),   #N/A  )</f>
        <v>#N/A</v>
      </c>
      <c r="J116" s="158"/>
      <c r="K116" s="27" t="e">
        <f xml:space="preserve"> IF( $C117,   IF( 'i1'!$G116=LEER,  #N/A,  'i1'!$G116  ),   #N/A  )</f>
        <v>#N/A</v>
      </c>
      <c r="L116" s="27" t="e">
        <f xml:space="preserve"> IF( $D117,   IF( 'i2'!$G116=LEER,  #N/A,  'i2'!$G116  ),   #N/A  )</f>
        <v>#N/A</v>
      </c>
      <c r="M116" s="27" t="e">
        <f xml:space="preserve"> IF( $E117,   IF( 'i3'!$G116=LEER,  #N/A,  'i3'!$G116  ),   #N/A  )</f>
        <v>#N/A</v>
      </c>
      <c r="N116" s="158"/>
      <c r="O116" s="158"/>
      <c r="Q116" s="28" t="e">
        <f t="shared" si="56"/>
        <v>#N/A</v>
      </c>
      <c r="R116" s="28" t="e">
        <f t="shared" si="57"/>
        <v>#N/A</v>
      </c>
      <c r="S116" s="28" t="e">
        <f t="shared" si="58"/>
        <v>#N/A</v>
      </c>
      <c r="U116" s="76" t="e">
        <f xml:space="preserve"> IF( $C115,   SUM('i1'!$R116),   #N/A  )</f>
        <v>#N/A</v>
      </c>
      <c r="V116" s="76" t="e">
        <f xml:space="preserve"> IF( $C115,   SUM('i2'!$R116),   #N/A  )</f>
        <v>#N/A</v>
      </c>
      <c r="W116" s="76" t="e">
        <f xml:space="preserve"> IF( $C115,   SUM('i3'!$R116),   #N/A  )</f>
        <v>#N/A</v>
      </c>
      <c r="Y116" s="33"/>
      <c r="Z116" s="22" t="e">
        <f xml:space="preserve"> IF( $C116,   IF( 'i1'!$J116=LEER,  #N/A,  'i1'!$J116  ),   #N/A  )</f>
        <v>#N/A</v>
      </c>
      <c r="AA116" s="22" t="e">
        <f xml:space="preserve"> IF( $D116,   IF( 'i2'!$J116=LEER,  #N/A,  'i2'!$J116  ),   #N/A  )</f>
        <v>#N/A</v>
      </c>
      <c r="AB116" s="22" t="e">
        <f xml:space="preserve"> IF( $E116,   IF( 'i3'!$J116=LEER,  #N/A,  'i3'!$J116  ),   #N/A  )</f>
        <v>#N/A</v>
      </c>
      <c r="AC116" s="75"/>
      <c r="AD116" s="26" t="e">
        <f t="shared" si="46"/>
        <v>#N/A</v>
      </c>
      <c r="AE116" s="26" t="e">
        <f t="shared" si="47"/>
        <v>#N/A</v>
      </c>
      <c r="AF116" s="26" t="e">
        <f t="shared" si="48"/>
        <v>#N/A</v>
      </c>
      <c r="AG116" s="23"/>
      <c r="AH116" s="24" t="e">
        <f xml:space="preserve">    IF(  'i1'!$AK116=LEER,  #N/A,  ROUND( 'i1'!$AK116, AH$15 )  )</f>
        <v>#N/A</v>
      </c>
      <c r="AI116" s="24" t="e">
        <f xml:space="preserve">    IF(  'i2'!$AK116=LEER,  #N/A,  ROUND( 'i2'!$AK116, AI$15 )  )</f>
        <v>#N/A</v>
      </c>
      <c r="AJ116" s="24" t="e">
        <f xml:space="preserve">    IF(  'i3'!$AK116=LEER,  #N/A,  ROUND( 'i3'!$AK116, AJ$15 )  )</f>
        <v>#N/A</v>
      </c>
      <c r="AL116" s="102" t="e">
        <f t="shared" si="49"/>
        <v>#N/A</v>
      </c>
      <c r="AO116" s="24" t="e">
        <f xml:space="preserve">    IF( 'i1'!$AN116=LEER,  #N/A,  'i1'!$AN116  )</f>
        <v>#N/A</v>
      </c>
      <c r="AP116" s="24" t="e">
        <f xml:space="preserve">    IF( 'i2'!$AN116=LEER,  #N/A,  'i2'!$AN116  )</f>
        <v>#N/A</v>
      </c>
      <c r="AQ116" s="24" t="e">
        <f xml:space="preserve">    IF( 'i3'!$AN116=LEER,  #N/A,  'i3'!$AN116  )</f>
        <v>#N/A</v>
      </c>
      <c r="AS116" s="24" t="e">
        <f xml:space="preserve">    IF( 'i1'!$AO116=LEER,  #N/A,  'i1'!$AO116  )</f>
        <v>#N/A</v>
      </c>
      <c r="AT116" s="24" t="e">
        <f xml:space="preserve">    IF( 'i2'!$AO116=LEER,  #N/A,  'i2'!$AO116  )</f>
        <v>#N/A</v>
      </c>
      <c r="AU116" s="24" t="e">
        <f xml:space="preserve">    IF( 'i3'!$AO116=LEER,  #N/A,  'i3'!$AO116  )</f>
        <v>#N/A</v>
      </c>
      <c r="AW116" s="28" t="e">
        <f t="shared" si="59"/>
        <v>#N/A</v>
      </c>
      <c r="AX116" s="28" t="e">
        <f t="shared" si="50"/>
        <v>#N/A</v>
      </c>
      <c r="AY116" s="28" t="e">
        <f t="shared" si="51"/>
        <v>#N/A</v>
      </c>
      <c r="BA116" s="28" t="e">
        <f t="shared" si="52"/>
        <v>#N/A</v>
      </c>
      <c r="BB116" s="28" t="e">
        <f t="shared" si="53"/>
        <v>#N/A</v>
      </c>
      <c r="BC116" s="28" t="e">
        <f t="shared" si="54"/>
        <v>#N/A</v>
      </c>
      <c r="BG116" s="24" t="e">
        <f xml:space="preserve">    IF( 'i1'!BT116=LEER,  #N/A,  'i1'!BT116  )</f>
        <v>#N/A</v>
      </c>
      <c r="BH116" s="24" t="e">
        <f xml:space="preserve">    IF( 'i1'!BR116=LEER,  #N/A,  'i1'!BR116  )</f>
        <v>#N/A</v>
      </c>
      <c r="BI116" s="111" t="e">
        <f t="shared" si="60"/>
        <v>#N/A</v>
      </c>
      <c r="BJ116" s="24" t="e">
        <f xml:space="preserve">    IF( 'i1'!BX116=LEER,  #N/A,  'i1'!BX116  )</f>
        <v>#N/A</v>
      </c>
      <c r="BL116" s="24" t="e">
        <f xml:space="preserve">    IF( 'i1'!CB116=LEER,  #N/A,  'i1'!CB116  )</f>
        <v>#N/A</v>
      </c>
      <c r="BM116" s="24" t="e">
        <f xml:space="preserve">    IF( 'i1'!CC116=LEER,  #N/A,  'i1'!CC116  )</f>
        <v>#N/A</v>
      </c>
      <c r="BN116" s="24" t="e">
        <f xml:space="preserve">    IF( 'i1'!CD116=LEER,  #N/A,  'i1'!CD116  )</f>
        <v>#N/A</v>
      </c>
      <c r="BO116" s="24" t="e">
        <f xml:space="preserve">    IF( 'i1'!CE116=LEER,  #N/A,  'i1'!CE116  )</f>
        <v>#N/A</v>
      </c>
      <c r="BQ116" s="24" t="e">
        <f xml:space="preserve">    IF( 'i1'!CI116=LEER,  #N/A,  'i1'!CI116  )</f>
        <v>#N/A</v>
      </c>
      <c r="BR116" s="24" t="e">
        <f xml:space="preserve">    IF( 'i1'!CJ116=LEER,  #N/A,  'i1'!CJ116  )</f>
        <v>#N/A</v>
      </c>
      <c r="BS116" s="24" t="e">
        <f xml:space="preserve">    IF( 'i1'!CK116=LEER,  #N/A,  'i1'!CK116  )</f>
        <v>#N/A</v>
      </c>
      <c r="BT116" s="38" t="e">
        <f xml:space="preserve">    IF( 'i1'!CH116=LEER,  #N/A,  'i1'!CH116  )</f>
        <v>#N/A</v>
      </c>
      <c r="BV116" s="24" t="e">
        <f xml:space="preserve">    IF( 'i1'!CO116=LEER,  #N/A,  'i1'!CO116  )</f>
        <v>#N/A</v>
      </c>
      <c r="BW116" s="24" t="e">
        <f xml:space="preserve">    IF( 'i1'!CP116=LEER,  #N/A,  'i1'!CP116  )</f>
        <v>#N/A</v>
      </c>
      <c r="BX116" s="24" t="e">
        <f xml:space="preserve">    IF( 'i1'!CQ116=LEER,  #N/A,  'i1'!CQ116  )</f>
        <v>#N/A</v>
      </c>
      <c r="BY116" s="38" t="e">
        <f xml:space="preserve">    IF( 'i1'!CN116=LEER,  #N/A,  'i1'!CN116  )</f>
        <v>#N/A</v>
      </c>
      <c r="CD116" s="113" t="e">
        <f xml:space="preserve"> IF(  AND( $A116&lt;&gt;$CD$14, OR( 'i1'!EO116=LEER, 'i1'!EM116&lt;&gt;LEER ) ), #N/A, 'i1'!EO116 )</f>
        <v>#N/A</v>
      </c>
      <c r="CE116" s="113" t="e">
        <f xml:space="preserve"> IF(   'i1'!EM116=LEER, #N/A,  'i1'!EM116 )</f>
        <v>#N/A</v>
      </c>
      <c r="CF116" s="114" t="e">
        <f xml:space="preserve"> IF(   'i1'!EL116=LEER, #N/A, 'i1'!EL116 + 'i1'!EM116 )</f>
        <v>#N/A</v>
      </c>
      <c r="CW116" s="104">
        <f xml:space="preserve"> 'i1'!FN116</f>
        <v>116</v>
      </c>
      <c r="CX116" s="106" t="e">
        <f xml:space="preserve"> IF(  INDEX( 'i1'!$FS116:$JO116, CX$13 ) = LEER,  #N/A,  INDEX( 'i1'!$FS116:$JO116, CX$13 )  )</f>
        <v>#N/A</v>
      </c>
      <c r="CY116" s="106" t="e">
        <f xml:space="preserve"> IF(  INDEX( 'i1'!$FS116:$JO116, CY$13 ) = LEER,  #N/A,  INDEX( 'i1'!$FS116:$JO116, CY$13 )  )</f>
        <v>#N/A</v>
      </c>
      <c r="CZ116" s="106" t="e">
        <f xml:space="preserve"> IF(  INDEX( 'i1'!$FS116:$JO116, CZ$13 ) = LEER,  #N/A,  INDEX( 'i1'!$FS116:$JO116, CZ$13 )  )</f>
        <v>#N/A</v>
      </c>
      <c r="DA116" s="106" t="e">
        <f xml:space="preserve"> IF(  INDEX( 'i1'!$FS116:$JO116, DA$13 ) = LEER,  #N/A,  INDEX( 'i1'!$FS116:$JO116, DA$13 )  )</f>
        <v>#N/A</v>
      </c>
      <c r="DB116" s="106" t="e">
        <f xml:space="preserve"> IF(  INDEX( 'i1'!$FS116:$JO116, DB$13 ) = LEER,  #N/A,  INDEX( 'i1'!$FS116:$JO116, DB$13 )  )</f>
        <v>#N/A</v>
      </c>
      <c r="DC116" s="106" t="e">
        <f xml:space="preserve"> IF(  INDEX( 'i1'!$FS116:$JO116, DC$13 ) = LEER,  #N/A,  INDEX( 'i1'!$FS116:$JO116, DC$13 )  )</f>
        <v>#N/A</v>
      </c>
      <c r="DD116" s="106" t="e">
        <f xml:space="preserve"> IF(  INDEX( 'i1'!$FS116:$JO116, DD$13 ) = LEER,  #N/A,  INDEX( 'i1'!$FS116:$JO116, DD$13 )  )</f>
        <v>#N/A</v>
      </c>
      <c r="DE116" s="106" t="e">
        <f xml:space="preserve"> IF(  INDEX( 'i1'!$FS116:$JO116, DE$13 ) = LEER,  #N/A,  INDEX( 'i1'!$FS116:$JO116, DE$13 )  )</f>
        <v>#N/A</v>
      </c>
      <c r="DF116" s="106" t="e">
        <f xml:space="preserve"> IF(  INDEX( 'i1'!$FS116:$JO116, DF$13 ) = LEER,  #N/A,  INDEX( 'i1'!$FS116:$JO116, DF$13 )  )</f>
        <v>#N/A</v>
      </c>
      <c r="DG116" s="106" t="e">
        <f xml:space="preserve"> IF(  INDEX( 'i1'!$FS116:$JO116, DG$13 ) = LEER,  #N/A,  INDEX( 'i1'!$FS116:$JO116, DG$13 )  )</f>
        <v>#N/A</v>
      </c>
      <c r="DH116" s="106" t="e">
        <f xml:space="preserve"> IF(  INDEX( 'i1'!$FS116:$JO116, DH$13 ) = LEER,  #N/A,  INDEX( 'i1'!$FS116:$JO116, DH$13 )  )</f>
        <v>#N/A</v>
      </c>
      <c r="DI116" s="106" t="e">
        <f xml:space="preserve"> IF(  INDEX( 'i1'!$FS116:$JO116, DI$13 ) = LEER,  #N/A,  INDEX( 'i1'!$FS116:$JO116, DI$13 )  )</f>
        <v>#N/A</v>
      </c>
      <c r="DJ116" s="106" t="e">
        <f xml:space="preserve"> IF(  INDEX( 'i1'!$FS116:$JO116, DJ$13 ) = LEER,  #N/A,  INDEX( 'i1'!$FS116:$JO116, DJ$13 )  )</f>
        <v>#N/A</v>
      </c>
      <c r="DK116" s="106" t="e">
        <f xml:space="preserve"> IF(  INDEX( 'i1'!$FS116:$JO116, DK$13 ) = LEER,  #N/A,  INDEX( 'i1'!$FS116:$JO116, DK$13 )  )</f>
        <v>#N/A</v>
      </c>
      <c r="DL116" s="106" t="e">
        <f xml:space="preserve"> IF(  INDEX( 'i1'!$FS116:$JO116, DL$13 ) = LEER,  #N/A,  INDEX( 'i1'!$FS116:$JO116, DL$13 )  )</f>
        <v>#N/A</v>
      </c>
      <c r="DM116" s="106" t="e">
        <f xml:space="preserve"> IF(  INDEX( 'i1'!$FS116:$JO116, DM$13 ) = LEER,  #N/A,  INDEX( 'i1'!$FS116:$JO116, DM$13 )  )</f>
        <v>#N/A</v>
      </c>
      <c r="DN116" s="106" t="e">
        <f xml:space="preserve"> IF(  INDEX( 'i1'!$FS116:$JO116, DN$13 ) = LEER,  #N/A,  INDEX( 'i1'!$FS116:$JO116, DN$13 )  )</f>
        <v>#N/A</v>
      </c>
    </row>
    <row r="117" spans="1:118" x14ac:dyDescent="0.2">
      <c r="A117" s="15">
        <f xml:space="preserve"> Basis!A117</f>
        <v>117</v>
      </c>
      <c r="C117" s="24" t="b">
        <f xml:space="preserve"> 'i1'!$O117</f>
        <v>0</v>
      </c>
      <c r="D117" s="24" t="b">
        <f xml:space="preserve"> 'i2'!$O117</f>
        <v>0</v>
      </c>
      <c r="E117" s="24" t="b">
        <f xml:space="preserve"> 'i3'!$O117</f>
        <v>0</v>
      </c>
      <c r="G117" s="27" t="e">
        <f xml:space="preserve"> IF( $C118,   IF( 'i1'!$P117=LEER,  #N/A,  'i1'!$P117  ),   #N/A  )</f>
        <v>#N/A</v>
      </c>
      <c r="H117" s="27" t="e">
        <f xml:space="preserve"> IF( $D118,   IF( 'i2'!$P117=LEER,  #N/A,  'i2'!$P117  ),   #N/A  )</f>
        <v>#N/A</v>
      </c>
      <c r="I117" s="27" t="e">
        <f xml:space="preserve"> IF( $E118,   IF( 'i3'!$P117=LEER,  #N/A,  'i3'!$P117  ),   #N/A  )</f>
        <v>#N/A</v>
      </c>
      <c r="J117" s="158"/>
      <c r="K117" s="27" t="e">
        <f xml:space="preserve"> IF( $C118,   IF( 'i1'!$G117=LEER,  #N/A,  'i1'!$G117  ),   #N/A  )</f>
        <v>#N/A</v>
      </c>
      <c r="L117" s="27" t="e">
        <f xml:space="preserve"> IF( $D118,   IF( 'i2'!$G117=LEER,  #N/A,  'i2'!$G117  ),   #N/A  )</f>
        <v>#N/A</v>
      </c>
      <c r="M117" s="27" t="e">
        <f xml:space="preserve"> IF( $E118,   IF( 'i3'!$G117=LEER,  #N/A,  'i3'!$G117  ),   #N/A  )</f>
        <v>#N/A</v>
      </c>
      <c r="N117" s="158"/>
      <c r="O117" s="158"/>
      <c r="Q117" s="28" t="e">
        <f t="shared" si="56"/>
        <v>#N/A</v>
      </c>
      <c r="R117" s="28" t="e">
        <f t="shared" si="57"/>
        <v>#N/A</v>
      </c>
      <c r="S117" s="28" t="e">
        <f t="shared" si="58"/>
        <v>#N/A</v>
      </c>
      <c r="U117" s="76" t="e">
        <f xml:space="preserve"> IF( $C116,   SUM('i1'!$R117),   #N/A  )</f>
        <v>#N/A</v>
      </c>
      <c r="V117" s="76" t="e">
        <f xml:space="preserve"> IF( $C116,   SUM('i2'!$R117),   #N/A  )</f>
        <v>#N/A</v>
      </c>
      <c r="W117" s="76" t="e">
        <f xml:space="preserve"> IF( $C116,   SUM('i3'!$R117),   #N/A  )</f>
        <v>#N/A</v>
      </c>
      <c r="Y117" s="33"/>
      <c r="Z117" s="22" t="e">
        <f xml:space="preserve"> IF( $C117,   IF( 'i1'!$J117=LEER,  #N/A,  'i1'!$J117  ),   #N/A  )</f>
        <v>#N/A</v>
      </c>
      <c r="AA117" s="22" t="e">
        <f xml:space="preserve"> IF( $D117,   IF( 'i2'!$J117=LEER,  #N/A,  'i2'!$J117  ),   #N/A  )</f>
        <v>#N/A</v>
      </c>
      <c r="AB117" s="22" t="e">
        <f xml:space="preserve"> IF( $E117,   IF( 'i3'!$J117=LEER,  #N/A,  'i3'!$J117  ),   #N/A  )</f>
        <v>#N/A</v>
      </c>
      <c r="AC117" s="75"/>
      <c r="AD117" s="26" t="e">
        <f t="shared" si="46"/>
        <v>#N/A</v>
      </c>
      <c r="AE117" s="26" t="e">
        <f t="shared" si="47"/>
        <v>#N/A</v>
      </c>
      <c r="AF117" s="26" t="e">
        <f t="shared" si="48"/>
        <v>#N/A</v>
      </c>
      <c r="AG117" s="23"/>
      <c r="AH117" s="24" t="e">
        <f xml:space="preserve">    IF(  'i1'!$AK117=LEER,  #N/A,  ROUND( 'i1'!$AK117, AH$15 )  )</f>
        <v>#N/A</v>
      </c>
      <c r="AI117" s="24" t="e">
        <f xml:space="preserve">    IF(  'i2'!$AK117=LEER,  #N/A,  ROUND( 'i2'!$AK117, AI$15 )  )</f>
        <v>#N/A</v>
      </c>
      <c r="AJ117" s="24" t="e">
        <f xml:space="preserve">    IF(  'i3'!$AK117=LEER,  #N/A,  ROUND( 'i3'!$AK117, AJ$15 )  )</f>
        <v>#N/A</v>
      </c>
      <c r="AL117" s="102" t="e">
        <f t="shared" si="49"/>
        <v>#N/A</v>
      </c>
      <c r="AO117" s="24" t="e">
        <f xml:space="preserve">    IF( 'i1'!$AN117=LEER,  #N/A,  'i1'!$AN117  )</f>
        <v>#N/A</v>
      </c>
      <c r="AP117" s="24" t="e">
        <f xml:space="preserve">    IF( 'i2'!$AN117=LEER,  #N/A,  'i2'!$AN117  )</f>
        <v>#N/A</v>
      </c>
      <c r="AQ117" s="24" t="e">
        <f xml:space="preserve">    IF( 'i3'!$AN117=LEER,  #N/A,  'i3'!$AN117  )</f>
        <v>#N/A</v>
      </c>
      <c r="AS117" s="24" t="e">
        <f xml:space="preserve">    IF( 'i1'!$AO117=LEER,  #N/A,  'i1'!$AO117  )</f>
        <v>#N/A</v>
      </c>
      <c r="AT117" s="24" t="e">
        <f xml:space="preserve">    IF( 'i2'!$AO117=LEER,  #N/A,  'i2'!$AO117  )</f>
        <v>#N/A</v>
      </c>
      <c r="AU117" s="24" t="e">
        <f xml:space="preserve">    IF( 'i3'!$AO117=LEER,  #N/A,  'i3'!$AO117  )</f>
        <v>#N/A</v>
      </c>
      <c r="AW117" s="28" t="e">
        <f t="shared" si="59"/>
        <v>#N/A</v>
      </c>
      <c r="AX117" s="28" t="e">
        <f t="shared" si="50"/>
        <v>#N/A</v>
      </c>
      <c r="AY117" s="28" t="e">
        <f t="shared" si="51"/>
        <v>#N/A</v>
      </c>
      <c r="BA117" s="28" t="e">
        <f t="shared" si="52"/>
        <v>#N/A</v>
      </c>
      <c r="BB117" s="28" t="e">
        <f t="shared" si="53"/>
        <v>#N/A</v>
      </c>
      <c r="BC117" s="28" t="e">
        <f t="shared" si="54"/>
        <v>#N/A</v>
      </c>
      <c r="BG117" s="24" t="e">
        <f xml:space="preserve">    IF( 'i1'!BT117=LEER,  #N/A,  'i1'!BT117  )</f>
        <v>#N/A</v>
      </c>
      <c r="BH117" s="24" t="e">
        <f xml:space="preserve">    IF( 'i1'!BR117=LEER,  #N/A,  'i1'!BR117  )</f>
        <v>#N/A</v>
      </c>
      <c r="BI117" s="111" t="e">
        <f t="shared" si="60"/>
        <v>#N/A</v>
      </c>
      <c r="BJ117" s="24" t="e">
        <f xml:space="preserve">    IF( 'i1'!BX117=LEER,  #N/A,  'i1'!BX117  )</f>
        <v>#N/A</v>
      </c>
      <c r="BL117" s="24" t="e">
        <f xml:space="preserve">    IF( 'i1'!CB117=LEER,  #N/A,  'i1'!CB117  )</f>
        <v>#N/A</v>
      </c>
      <c r="BM117" s="24" t="e">
        <f xml:space="preserve">    IF( 'i1'!CC117=LEER,  #N/A,  'i1'!CC117  )</f>
        <v>#N/A</v>
      </c>
      <c r="BN117" s="24" t="e">
        <f xml:space="preserve">    IF( 'i1'!CD117=LEER,  #N/A,  'i1'!CD117  )</f>
        <v>#N/A</v>
      </c>
      <c r="BO117" s="24" t="e">
        <f xml:space="preserve">    IF( 'i1'!CE117=LEER,  #N/A,  'i1'!CE117  )</f>
        <v>#N/A</v>
      </c>
      <c r="BQ117" s="24" t="e">
        <f xml:space="preserve">    IF( 'i1'!CI117=LEER,  #N/A,  'i1'!CI117  )</f>
        <v>#N/A</v>
      </c>
      <c r="BR117" s="24" t="e">
        <f xml:space="preserve">    IF( 'i1'!CJ117=LEER,  #N/A,  'i1'!CJ117  )</f>
        <v>#N/A</v>
      </c>
      <c r="BS117" s="24" t="e">
        <f xml:space="preserve">    IF( 'i1'!CK117=LEER,  #N/A,  'i1'!CK117  )</f>
        <v>#N/A</v>
      </c>
      <c r="BT117" s="38" t="e">
        <f xml:space="preserve">    IF( 'i1'!CH117=LEER,  #N/A,  'i1'!CH117  )</f>
        <v>#N/A</v>
      </c>
      <c r="BV117" s="24" t="e">
        <f xml:space="preserve">    IF( 'i1'!CO117=LEER,  #N/A,  'i1'!CO117  )</f>
        <v>#N/A</v>
      </c>
      <c r="BW117" s="24" t="e">
        <f xml:space="preserve">    IF( 'i1'!CP117=LEER,  #N/A,  'i1'!CP117  )</f>
        <v>#N/A</v>
      </c>
      <c r="BX117" s="24" t="e">
        <f xml:space="preserve">    IF( 'i1'!CQ117=LEER,  #N/A,  'i1'!CQ117  )</f>
        <v>#N/A</v>
      </c>
      <c r="BY117" s="38" t="e">
        <f xml:space="preserve">    IF( 'i1'!CN117=LEER,  #N/A,  'i1'!CN117  )</f>
        <v>#N/A</v>
      </c>
      <c r="CD117" s="113" t="e">
        <f xml:space="preserve"> IF(  AND( $A117&lt;&gt;$CD$14, OR( 'i1'!EO117=LEER, 'i1'!EM117&lt;&gt;LEER ) ), #N/A, 'i1'!EO117 )</f>
        <v>#N/A</v>
      </c>
      <c r="CE117" s="113" t="e">
        <f xml:space="preserve"> IF(   'i1'!EM117=LEER, #N/A,  'i1'!EM117 )</f>
        <v>#N/A</v>
      </c>
      <c r="CF117" s="114" t="e">
        <f xml:space="preserve"> IF(   'i1'!EL117=LEER, #N/A, 'i1'!EL117 + 'i1'!EM117 )</f>
        <v>#N/A</v>
      </c>
      <c r="CW117" s="104">
        <f xml:space="preserve"> 'i1'!FN117</f>
        <v>117</v>
      </c>
      <c r="CX117" s="106" t="e">
        <f xml:space="preserve"> IF(  INDEX( 'i1'!$FS117:$JO117, CX$13 ) = LEER,  #N/A,  INDEX( 'i1'!$FS117:$JO117, CX$13 )  )</f>
        <v>#N/A</v>
      </c>
      <c r="CY117" s="106" t="e">
        <f xml:space="preserve"> IF(  INDEX( 'i1'!$FS117:$JO117, CY$13 ) = LEER,  #N/A,  INDEX( 'i1'!$FS117:$JO117, CY$13 )  )</f>
        <v>#N/A</v>
      </c>
      <c r="CZ117" s="106" t="e">
        <f xml:space="preserve"> IF(  INDEX( 'i1'!$FS117:$JO117, CZ$13 ) = LEER,  #N/A,  INDEX( 'i1'!$FS117:$JO117, CZ$13 )  )</f>
        <v>#N/A</v>
      </c>
      <c r="DA117" s="106" t="e">
        <f xml:space="preserve"> IF(  INDEX( 'i1'!$FS117:$JO117, DA$13 ) = LEER,  #N/A,  INDEX( 'i1'!$FS117:$JO117, DA$13 )  )</f>
        <v>#N/A</v>
      </c>
      <c r="DB117" s="106" t="e">
        <f xml:space="preserve"> IF(  INDEX( 'i1'!$FS117:$JO117, DB$13 ) = LEER,  #N/A,  INDEX( 'i1'!$FS117:$JO117, DB$13 )  )</f>
        <v>#N/A</v>
      </c>
      <c r="DC117" s="106" t="e">
        <f xml:space="preserve"> IF(  INDEX( 'i1'!$FS117:$JO117, DC$13 ) = LEER,  #N/A,  INDEX( 'i1'!$FS117:$JO117, DC$13 )  )</f>
        <v>#N/A</v>
      </c>
      <c r="DD117" s="106" t="e">
        <f xml:space="preserve"> IF(  INDEX( 'i1'!$FS117:$JO117, DD$13 ) = LEER,  #N/A,  INDEX( 'i1'!$FS117:$JO117, DD$13 )  )</f>
        <v>#N/A</v>
      </c>
      <c r="DE117" s="106" t="e">
        <f xml:space="preserve"> IF(  INDEX( 'i1'!$FS117:$JO117, DE$13 ) = LEER,  #N/A,  INDEX( 'i1'!$FS117:$JO117, DE$13 )  )</f>
        <v>#N/A</v>
      </c>
      <c r="DF117" s="106" t="e">
        <f xml:space="preserve"> IF(  INDEX( 'i1'!$FS117:$JO117, DF$13 ) = LEER,  #N/A,  INDEX( 'i1'!$FS117:$JO117, DF$13 )  )</f>
        <v>#N/A</v>
      </c>
      <c r="DG117" s="106" t="e">
        <f xml:space="preserve"> IF(  INDEX( 'i1'!$FS117:$JO117, DG$13 ) = LEER,  #N/A,  INDEX( 'i1'!$FS117:$JO117, DG$13 )  )</f>
        <v>#N/A</v>
      </c>
      <c r="DH117" s="106" t="e">
        <f xml:space="preserve"> IF(  INDEX( 'i1'!$FS117:$JO117, DH$13 ) = LEER,  #N/A,  INDEX( 'i1'!$FS117:$JO117, DH$13 )  )</f>
        <v>#N/A</v>
      </c>
      <c r="DI117" s="106" t="e">
        <f xml:space="preserve"> IF(  INDEX( 'i1'!$FS117:$JO117, DI$13 ) = LEER,  #N/A,  INDEX( 'i1'!$FS117:$JO117, DI$13 )  )</f>
        <v>#N/A</v>
      </c>
      <c r="DJ117" s="106" t="e">
        <f xml:space="preserve"> IF(  INDEX( 'i1'!$FS117:$JO117, DJ$13 ) = LEER,  #N/A,  INDEX( 'i1'!$FS117:$JO117, DJ$13 )  )</f>
        <v>#N/A</v>
      </c>
      <c r="DK117" s="106" t="e">
        <f xml:space="preserve"> IF(  INDEX( 'i1'!$FS117:$JO117, DK$13 ) = LEER,  #N/A,  INDEX( 'i1'!$FS117:$JO117, DK$13 )  )</f>
        <v>#N/A</v>
      </c>
      <c r="DL117" s="106" t="e">
        <f xml:space="preserve"> IF(  INDEX( 'i1'!$FS117:$JO117, DL$13 ) = LEER,  #N/A,  INDEX( 'i1'!$FS117:$JO117, DL$13 )  )</f>
        <v>#N/A</v>
      </c>
      <c r="DM117" s="106" t="e">
        <f xml:space="preserve"> IF(  INDEX( 'i1'!$FS117:$JO117, DM$13 ) = LEER,  #N/A,  INDEX( 'i1'!$FS117:$JO117, DM$13 )  )</f>
        <v>#N/A</v>
      </c>
      <c r="DN117" s="106" t="e">
        <f xml:space="preserve"> IF(  INDEX( 'i1'!$FS117:$JO117, DN$13 ) = LEER,  #N/A,  INDEX( 'i1'!$FS117:$JO117, DN$13 )  )</f>
        <v>#N/A</v>
      </c>
    </row>
    <row r="118" spans="1:118" x14ac:dyDescent="0.2">
      <c r="A118" s="15">
        <f xml:space="preserve"> Basis!A118</f>
        <v>118</v>
      </c>
      <c r="C118" s="24" t="b">
        <f xml:space="preserve"> 'i1'!$O118</f>
        <v>0</v>
      </c>
      <c r="D118" s="24" t="b">
        <f xml:space="preserve"> 'i2'!$O118</f>
        <v>0</v>
      </c>
      <c r="E118" s="24" t="b">
        <f xml:space="preserve"> 'i3'!$O118</f>
        <v>0</v>
      </c>
      <c r="G118" s="27" t="e">
        <f xml:space="preserve"> IF( $C119,   IF( 'i1'!$P118=LEER,  #N/A,  'i1'!$P118  ),   #N/A  )</f>
        <v>#N/A</v>
      </c>
      <c r="H118" s="27" t="e">
        <f xml:space="preserve"> IF( $D119,   IF( 'i2'!$P118=LEER,  #N/A,  'i2'!$P118  ),   #N/A  )</f>
        <v>#N/A</v>
      </c>
      <c r="I118" s="27" t="e">
        <f xml:space="preserve"> IF( $E119,   IF( 'i3'!$P118=LEER,  #N/A,  'i3'!$P118  ),   #N/A  )</f>
        <v>#N/A</v>
      </c>
      <c r="J118" s="158"/>
      <c r="K118" s="27" t="e">
        <f xml:space="preserve"> IF( $C119,   IF( 'i1'!$G118=LEER,  #N/A,  'i1'!$G118  ),   #N/A  )</f>
        <v>#N/A</v>
      </c>
      <c r="L118" s="27" t="e">
        <f xml:space="preserve"> IF( $D119,   IF( 'i2'!$G118=LEER,  #N/A,  'i2'!$G118  ),   #N/A  )</f>
        <v>#N/A</v>
      </c>
      <c r="M118" s="27" t="e">
        <f xml:space="preserve"> IF( $E119,   IF( 'i3'!$G118=LEER,  #N/A,  'i3'!$G118  ),   #N/A  )</f>
        <v>#N/A</v>
      </c>
      <c r="N118" s="158"/>
      <c r="O118" s="158"/>
      <c r="Q118" s="28" t="e">
        <f t="shared" si="56"/>
        <v>#N/A</v>
      </c>
      <c r="R118" s="28" t="e">
        <f t="shared" si="57"/>
        <v>#N/A</v>
      </c>
      <c r="S118" s="28" t="e">
        <f t="shared" si="58"/>
        <v>#N/A</v>
      </c>
      <c r="U118" s="76" t="e">
        <f xml:space="preserve"> IF( $C117,   SUM('i1'!$R118),   #N/A  )</f>
        <v>#N/A</v>
      </c>
      <c r="V118" s="76" t="e">
        <f xml:space="preserve"> IF( $C117,   SUM('i2'!$R118),   #N/A  )</f>
        <v>#N/A</v>
      </c>
      <c r="W118" s="76" t="e">
        <f xml:space="preserve"> IF( $C117,   SUM('i3'!$R118),   #N/A  )</f>
        <v>#N/A</v>
      </c>
      <c r="Y118" s="33"/>
      <c r="Z118" s="22" t="e">
        <f xml:space="preserve"> IF( $C118,   IF( 'i1'!$J118=LEER,  #N/A,  'i1'!$J118  ),   #N/A  )</f>
        <v>#N/A</v>
      </c>
      <c r="AA118" s="22" t="e">
        <f xml:space="preserve"> IF( $D118,   IF( 'i2'!$J118=LEER,  #N/A,  'i2'!$J118  ),   #N/A  )</f>
        <v>#N/A</v>
      </c>
      <c r="AB118" s="22" t="e">
        <f xml:space="preserve"> IF( $E118,   IF( 'i3'!$J118=LEER,  #N/A,  'i3'!$J118  ),   #N/A  )</f>
        <v>#N/A</v>
      </c>
      <c r="AC118" s="75"/>
      <c r="AD118" s="26" t="e">
        <f t="shared" si="46"/>
        <v>#N/A</v>
      </c>
      <c r="AE118" s="26" t="e">
        <f t="shared" si="47"/>
        <v>#N/A</v>
      </c>
      <c r="AF118" s="26" t="e">
        <f t="shared" si="48"/>
        <v>#N/A</v>
      </c>
      <c r="AG118" s="23"/>
      <c r="AH118" s="24" t="e">
        <f xml:space="preserve">    IF(  'i1'!$AK118=LEER,  #N/A,  ROUND( 'i1'!$AK118, AH$15 )  )</f>
        <v>#N/A</v>
      </c>
      <c r="AI118" s="24" t="e">
        <f xml:space="preserve">    IF(  'i2'!$AK118=LEER,  #N/A,  ROUND( 'i2'!$AK118, AI$15 )  )</f>
        <v>#N/A</v>
      </c>
      <c r="AJ118" s="24" t="e">
        <f xml:space="preserve">    IF(  'i3'!$AK118=LEER,  #N/A,  ROUND( 'i3'!$AK118, AJ$15 )  )</f>
        <v>#N/A</v>
      </c>
      <c r="AL118" s="102" t="e">
        <f t="shared" si="49"/>
        <v>#N/A</v>
      </c>
      <c r="AO118" s="24" t="e">
        <f xml:space="preserve">    IF( 'i1'!$AN118=LEER,  #N/A,  'i1'!$AN118  )</f>
        <v>#N/A</v>
      </c>
      <c r="AP118" s="24" t="e">
        <f xml:space="preserve">    IF( 'i2'!$AN118=LEER,  #N/A,  'i2'!$AN118  )</f>
        <v>#N/A</v>
      </c>
      <c r="AQ118" s="24" t="e">
        <f xml:space="preserve">    IF( 'i3'!$AN118=LEER,  #N/A,  'i3'!$AN118  )</f>
        <v>#N/A</v>
      </c>
      <c r="AS118" s="24" t="e">
        <f xml:space="preserve">    IF( 'i1'!$AO118=LEER,  #N/A,  'i1'!$AO118  )</f>
        <v>#N/A</v>
      </c>
      <c r="AT118" s="24" t="e">
        <f xml:space="preserve">    IF( 'i2'!$AO118=LEER,  #N/A,  'i2'!$AO118  )</f>
        <v>#N/A</v>
      </c>
      <c r="AU118" s="24" t="e">
        <f xml:space="preserve">    IF( 'i3'!$AO118=LEER,  #N/A,  'i3'!$AO118  )</f>
        <v>#N/A</v>
      </c>
      <c r="AW118" s="28" t="e">
        <f t="shared" si="59"/>
        <v>#N/A</v>
      </c>
      <c r="AX118" s="28" t="e">
        <f t="shared" si="50"/>
        <v>#N/A</v>
      </c>
      <c r="AY118" s="28" t="e">
        <f t="shared" si="51"/>
        <v>#N/A</v>
      </c>
      <c r="BA118" s="28" t="e">
        <f t="shared" si="52"/>
        <v>#N/A</v>
      </c>
      <c r="BB118" s="28" t="e">
        <f t="shared" si="53"/>
        <v>#N/A</v>
      </c>
      <c r="BC118" s="28" t="e">
        <f t="shared" si="54"/>
        <v>#N/A</v>
      </c>
      <c r="BG118" s="24" t="e">
        <f xml:space="preserve">    IF( 'i1'!BT118=LEER,  #N/A,  'i1'!BT118  )</f>
        <v>#N/A</v>
      </c>
      <c r="BH118" s="24" t="e">
        <f xml:space="preserve">    IF( 'i1'!BR118=LEER,  #N/A,  'i1'!BR118  )</f>
        <v>#N/A</v>
      </c>
      <c r="BI118" s="111" t="e">
        <f t="shared" si="60"/>
        <v>#N/A</v>
      </c>
      <c r="BJ118" s="24" t="e">
        <f xml:space="preserve">    IF( 'i1'!BX118=LEER,  #N/A,  'i1'!BX118  )</f>
        <v>#N/A</v>
      </c>
      <c r="BL118" s="24" t="e">
        <f xml:space="preserve">    IF( 'i1'!CB118=LEER,  #N/A,  'i1'!CB118  )</f>
        <v>#N/A</v>
      </c>
      <c r="BM118" s="24" t="e">
        <f xml:space="preserve">    IF( 'i1'!CC118=LEER,  #N/A,  'i1'!CC118  )</f>
        <v>#N/A</v>
      </c>
      <c r="BN118" s="24" t="e">
        <f xml:space="preserve">    IF( 'i1'!CD118=LEER,  #N/A,  'i1'!CD118  )</f>
        <v>#N/A</v>
      </c>
      <c r="BO118" s="24" t="e">
        <f xml:space="preserve">    IF( 'i1'!CE118=LEER,  #N/A,  'i1'!CE118  )</f>
        <v>#N/A</v>
      </c>
      <c r="BQ118" s="24" t="e">
        <f xml:space="preserve">    IF( 'i1'!CI118=LEER,  #N/A,  'i1'!CI118  )</f>
        <v>#N/A</v>
      </c>
      <c r="BR118" s="24" t="e">
        <f xml:space="preserve">    IF( 'i1'!CJ118=LEER,  #N/A,  'i1'!CJ118  )</f>
        <v>#N/A</v>
      </c>
      <c r="BS118" s="24" t="e">
        <f xml:space="preserve">    IF( 'i1'!CK118=LEER,  #N/A,  'i1'!CK118  )</f>
        <v>#N/A</v>
      </c>
      <c r="BT118" s="38" t="e">
        <f xml:space="preserve">    IF( 'i1'!CH118=LEER,  #N/A,  'i1'!CH118  )</f>
        <v>#N/A</v>
      </c>
      <c r="BV118" s="24" t="e">
        <f xml:space="preserve">    IF( 'i1'!CO118=LEER,  #N/A,  'i1'!CO118  )</f>
        <v>#N/A</v>
      </c>
      <c r="BW118" s="24" t="e">
        <f xml:space="preserve">    IF( 'i1'!CP118=LEER,  #N/A,  'i1'!CP118  )</f>
        <v>#N/A</v>
      </c>
      <c r="BX118" s="24" t="e">
        <f xml:space="preserve">    IF( 'i1'!CQ118=LEER,  #N/A,  'i1'!CQ118  )</f>
        <v>#N/A</v>
      </c>
      <c r="BY118" s="38" t="e">
        <f xml:space="preserve">    IF( 'i1'!CN118=LEER,  #N/A,  'i1'!CN118  )</f>
        <v>#N/A</v>
      </c>
      <c r="CD118" s="113" t="e">
        <f xml:space="preserve"> IF(  AND( $A118&lt;&gt;$CD$14, OR( 'i1'!EO118=LEER, 'i1'!EM118&lt;&gt;LEER ) ), #N/A, 'i1'!EO118 )</f>
        <v>#N/A</v>
      </c>
      <c r="CE118" s="113" t="e">
        <f xml:space="preserve"> IF(   'i1'!EM118=LEER, #N/A,  'i1'!EM118 )</f>
        <v>#N/A</v>
      </c>
      <c r="CF118" s="114" t="e">
        <f xml:space="preserve"> IF(   'i1'!EL118=LEER, #N/A, 'i1'!EL118 + 'i1'!EM118 )</f>
        <v>#N/A</v>
      </c>
      <c r="CW118" s="104">
        <f xml:space="preserve"> 'i1'!FN118</f>
        <v>118</v>
      </c>
      <c r="CX118" s="106" t="e">
        <f xml:space="preserve"> IF(  INDEX( 'i1'!$FS118:$JO118, CX$13 ) = LEER,  #N/A,  INDEX( 'i1'!$FS118:$JO118, CX$13 )  )</f>
        <v>#N/A</v>
      </c>
      <c r="CY118" s="106" t="e">
        <f xml:space="preserve"> IF(  INDEX( 'i1'!$FS118:$JO118, CY$13 ) = LEER,  #N/A,  INDEX( 'i1'!$FS118:$JO118, CY$13 )  )</f>
        <v>#N/A</v>
      </c>
      <c r="CZ118" s="106" t="e">
        <f xml:space="preserve"> IF(  INDEX( 'i1'!$FS118:$JO118, CZ$13 ) = LEER,  #N/A,  INDEX( 'i1'!$FS118:$JO118, CZ$13 )  )</f>
        <v>#N/A</v>
      </c>
      <c r="DA118" s="106" t="e">
        <f xml:space="preserve"> IF(  INDEX( 'i1'!$FS118:$JO118, DA$13 ) = LEER,  #N/A,  INDEX( 'i1'!$FS118:$JO118, DA$13 )  )</f>
        <v>#N/A</v>
      </c>
      <c r="DB118" s="106" t="e">
        <f xml:space="preserve"> IF(  INDEX( 'i1'!$FS118:$JO118, DB$13 ) = LEER,  #N/A,  INDEX( 'i1'!$FS118:$JO118, DB$13 )  )</f>
        <v>#N/A</v>
      </c>
      <c r="DC118" s="106" t="e">
        <f xml:space="preserve"> IF(  INDEX( 'i1'!$FS118:$JO118, DC$13 ) = LEER,  #N/A,  INDEX( 'i1'!$FS118:$JO118, DC$13 )  )</f>
        <v>#N/A</v>
      </c>
      <c r="DD118" s="106" t="e">
        <f xml:space="preserve"> IF(  INDEX( 'i1'!$FS118:$JO118, DD$13 ) = LEER,  #N/A,  INDEX( 'i1'!$FS118:$JO118, DD$13 )  )</f>
        <v>#N/A</v>
      </c>
      <c r="DE118" s="106" t="e">
        <f xml:space="preserve"> IF(  INDEX( 'i1'!$FS118:$JO118, DE$13 ) = LEER,  #N/A,  INDEX( 'i1'!$FS118:$JO118, DE$13 )  )</f>
        <v>#N/A</v>
      </c>
      <c r="DF118" s="106" t="e">
        <f xml:space="preserve"> IF(  INDEX( 'i1'!$FS118:$JO118, DF$13 ) = LEER,  #N/A,  INDEX( 'i1'!$FS118:$JO118, DF$13 )  )</f>
        <v>#N/A</v>
      </c>
      <c r="DG118" s="106" t="e">
        <f xml:space="preserve"> IF(  INDEX( 'i1'!$FS118:$JO118, DG$13 ) = LEER,  #N/A,  INDEX( 'i1'!$FS118:$JO118, DG$13 )  )</f>
        <v>#N/A</v>
      </c>
      <c r="DH118" s="106" t="e">
        <f xml:space="preserve"> IF(  INDEX( 'i1'!$FS118:$JO118, DH$13 ) = LEER,  #N/A,  INDEX( 'i1'!$FS118:$JO118, DH$13 )  )</f>
        <v>#N/A</v>
      </c>
      <c r="DI118" s="106" t="e">
        <f xml:space="preserve"> IF(  INDEX( 'i1'!$FS118:$JO118, DI$13 ) = LEER,  #N/A,  INDEX( 'i1'!$FS118:$JO118, DI$13 )  )</f>
        <v>#N/A</v>
      </c>
      <c r="DJ118" s="106" t="e">
        <f xml:space="preserve"> IF(  INDEX( 'i1'!$FS118:$JO118, DJ$13 ) = LEER,  #N/A,  INDEX( 'i1'!$FS118:$JO118, DJ$13 )  )</f>
        <v>#N/A</v>
      </c>
      <c r="DK118" s="106" t="e">
        <f xml:space="preserve"> IF(  INDEX( 'i1'!$FS118:$JO118, DK$13 ) = LEER,  #N/A,  INDEX( 'i1'!$FS118:$JO118, DK$13 )  )</f>
        <v>#N/A</v>
      </c>
      <c r="DL118" s="106" t="e">
        <f xml:space="preserve"> IF(  INDEX( 'i1'!$FS118:$JO118, DL$13 ) = LEER,  #N/A,  INDEX( 'i1'!$FS118:$JO118, DL$13 )  )</f>
        <v>#N/A</v>
      </c>
      <c r="DM118" s="106" t="e">
        <f xml:space="preserve"> IF(  INDEX( 'i1'!$FS118:$JO118, DM$13 ) = LEER,  #N/A,  INDEX( 'i1'!$FS118:$JO118, DM$13 )  )</f>
        <v>#N/A</v>
      </c>
      <c r="DN118" s="106" t="e">
        <f xml:space="preserve"> IF(  INDEX( 'i1'!$FS118:$JO118, DN$13 ) = LEER,  #N/A,  INDEX( 'i1'!$FS118:$JO118, DN$13 )  )</f>
        <v>#N/A</v>
      </c>
    </row>
    <row r="119" spans="1:118" x14ac:dyDescent="0.2">
      <c r="A119" s="15">
        <f xml:space="preserve"> Basis!A119</f>
        <v>119</v>
      </c>
      <c r="C119" s="24" t="b">
        <f xml:space="preserve"> 'i1'!$O119</f>
        <v>0</v>
      </c>
      <c r="D119" s="24" t="b">
        <f xml:space="preserve"> 'i2'!$O119</f>
        <v>0</v>
      </c>
      <c r="E119" s="24" t="b">
        <f xml:space="preserve"> 'i3'!$O119</f>
        <v>0</v>
      </c>
      <c r="G119" s="27" t="e">
        <f xml:space="preserve"> IF( $C120,   IF( 'i1'!$P119=LEER,  #N/A,  'i1'!$P119  ),   #N/A  )</f>
        <v>#N/A</v>
      </c>
      <c r="H119" s="27" t="e">
        <f xml:space="preserve"> IF( $D120,   IF( 'i2'!$P119=LEER,  #N/A,  'i2'!$P119  ),   #N/A  )</f>
        <v>#N/A</v>
      </c>
      <c r="I119" s="27" t="e">
        <f xml:space="preserve"> IF( $E120,   IF( 'i3'!$P119=LEER,  #N/A,  'i3'!$P119  ),   #N/A  )</f>
        <v>#N/A</v>
      </c>
      <c r="J119" s="158"/>
      <c r="K119" s="27" t="e">
        <f xml:space="preserve"> IF( $C120,   IF( 'i1'!$G119=LEER,  #N/A,  'i1'!$G119  ),   #N/A  )</f>
        <v>#N/A</v>
      </c>
      <c r="L119" s="27" t="e">
        <f xml:space="preserve"> IF( $D120,   IF( 'i2'!$G119=LEER,  #N/A,  'i2'!$G119  ),   #N/A  )</f>
        <v>#N/A</v>
      </c>
      <c r="M119" s="27" t="e">
        <f xml:space="preserve"> IF( $E120,   IF( 'i3'!$G119=LEER,  #N/A,  'i3'!$G119  ),   #N/A  )</f>
        <v>#N/A</v>
      </c>
      <c r="N119" s="158"/>
      <c r="O119" s="158"/>
      <c r="Q119" s="28" t="e">
        <f t="shared" si="56"/>
        <v>#N/A</v>
      </c>
      <c r="R119" s="28" t="e">
        <f t="shared" si="57"/>
        <v>#N/A</v>
      </c>
      <c r="S119" s="28" t="e">
        <f t="shared" si="58"/>
        <v>#N/A</v>
      </c>
      <c r="U119" s="76" t="e">
        <f xml:space="preserve"> IF( $C118,   SUM('i1'!$R119),   #N/A  )</f>
        <v>#N/A</v>
      </c>
      <c r="V119" s="76" t="e">
        <f xml:space="preserve"> IF( $C118,   SUM('i2'!$R119),   #N/A  )</f>
        <v>#N/A</v>
      </c>
      <c r="W119" s="76" t="e">
        <f xml:space="preserve"> IF( $C118,   SUM('i3'!$R119),   #N/A  )</f>
        <v>#N/A</v>
      </c>
      <c r="Y119" s="33"/>
      <c r="Z119" s="22" t="e">
        <f xml:space="preserve"> IF( $C119,   IF( 'i1'!$J119=LEER,  #N/A,  'i1'!$J119  ),   #N/A  )</f>
        <v>#N/A</v>
      </c>
      <c r="AA119" s="22" t="e">
        <f xml:space="preserve"> IF( $D119,   IF( 'i2'!$J119=LEER,  #N/A,  'i2'!$J119  ),   #N/A  )</f>
        <v>#N/A</v>
      </c>
      <c r="AB119" s="22" t="e">
        <f xml:space="preserve"> IF( $E119,   IF( 'i3'!$J119=LEER,  #N/A,  'i3'!$J119  ),   #N/A  )</f>
        <v>#N/A</v>
      </c>
      <c r="AC119" s="75"/>
      <c r="AD119" s="26" t="e">
        <f t="shared" si="46"/>
        <v>#N/A</v>
      </c>
      <c r="AE119" s="26" t="e">
        <f t="shared" si="47"/>
        <v>#N/A</v>
      </c>
      <c r="AF119" s="26" t="e">
        <f t="shared" si="48"/>
        <v>#N/A</v>
      </c>
      <c r="AG119" s="23"/>
      <c r="AH119" s="24" t="e">
        <f xml:space="preserve">    IF(  'i1'!$AK119=LEER,  #N/A,  ROUND( 'i1'!$AK119, AH$15 )  )</f>
        <v>#N/A</v>
      </c>
      <c r="AI119" s="24" t="e">
        <f xml:space="preserve">    IF(  'i2'!$AK119=LEER,  #N/A,  ROUND( 'i2'!$AK119, AI$15 )  )</f>
        <v>#N/A</v>
      </c>
      <c r="AJ119" s="24" t="e">
        <f xml:space="preserve">    IF(  'i3'!$AK119=LEER,  #N/A,  ROUND( 'i3'!$AK119, AJ$15 )  )</f>
        <v>#N/A</v>
      </c>
      <c r="AL119" s="102" t="e">
        <f t="shared" si="49"/>
        <v>#N/A</v>
      </c>
      <c r="AO119" s="24" t="e">
        <f xml:space="preserve">    IF( 'i1'!$AN119=LEER,  #N/A,  'i1'!$AN119  )</f>
        <v>#N/A</v>
      </c>
      <c r="AP119" s="24" t="e">
        <f xml:space="preserve">    IF( 'i2'!$AN119=LEER,  #N/A,  'i2'!$AN119  )</f>
        <v>#N/A</v>
      </c>
      <c r="AQ119" s="24" t="e">
        <f xml:space="preserve">    IF( 'i3'!$AN119=LEER,  #N/A,  'i3'!$AN119  )</f>
        <v>#N/A</v>
      </c>
      <c r="AS119" s="24" t="e">
        <f xml:space="preserve">    IF( 'i1'!$AO119=LEER,  #N/A,  'i1'!$AO119  )</f>
        <v>#N/A</v>
      </c>
      <c r="AT119" s="24" t="e">
        <f xml:space="preserve">    IF( 'i2'!$AO119=LEER,  #N/A,  'i2'!$AO119  )</f>
        <v>#N/A</v>
      </c>
      <c r="AU119" s="24" t="e">
        <f xml:space="preserve">    IF( 'i3'!$AO119=LEER,  #N/A,  'i3'!$AO119  )</f>
        <v>#N/A</v>
      </c>
      <c r="AW119" s="28" t="e">
        <f t="shared" si="59"/>
        <v>#N/A</v>
      </c>
      <c r="AX119" s="28" t="e">
        <f t="shared" si="50"/>
        <v>#N/A</v>
      </c>
      <c r="AY119" s="28" t="e">
        <f t="shared" si="51"/>
        <v>#N/A</v>
      </c>
      <c r="BA119" s="28" t="e">
        <f t="shared" si="52"/>
        <v>#N/A</v>
      </c>
      <c r="BB119" s="28" t="e">
        <f t="shared" si="53"/>
        <v>#N/A</v>
      </c>
      <c r="BC119" s="28" t="e">
        <f t="shared" si="54"/>
        <v>#N/A</v>
      </c>
      <c r="BG119" s="24" t="e">
        <f xml:space="preserve">    IF( 'i1'!BT119=LEER,  #N/A,  'i1'!BT119  )</f>
        <v>#N/A</v>
      </c>
      <c r="BH119" s="24" t="e">
        <f xml:space="preserve">    IF( 'i1'!BR119=LEER,  #N/A,  'i1'!BR119  )</f>
        <v>#N/A</v>
      </c>
      <c r="BI119" s="111" t="e">
        <f t="shared" si="60"/>
        <v>#N/A</v>
      </c>
      <c r="BJ119" s="24" t="e">
        <f xml:space="preserve">    IF( 'i1'!BX119=LEER,  #N/A,  'i1'!BX119  )</f>
        <v>#N/A</v>
      </c>
      <c r="BL119" s="24" t="e">
        <f xml:space="preserve">    IF( 'i1'!CB119=LEER,  #N/A,  'i1'!CB119  )</f>
        <v>#N/A</v>
      </c>
      <c r="BM119" s="24" t="e">
        <f xml:space="preserve">    IF( 'i1'!CC119=LEER,  #N/A,  'i1'!CC119  )</f>
        <v>#N/A</v>
      </c>
      <c r="BN119" s="24" t="e">
        <f xml:space="preserve">    IF( 'i1'!CD119=LEER,  #N/A,  'i1'!CD119  )</f>
        <v>#N/A</v>
      </c>
      <c r="BO119" s="24" t="e">
        <f xml:space="preserve">    IF( 'i1'!CE119=LEER,  #N/A,  'i1'!CE119  )</f>
        <v>#N/A</v>
      </c>
      <c r="BQ119" s="24" t="e">
        <f xml:space="preserve">    IF( 'i1'!CI119=LEER,  #N/A,  'i1'!CI119  )</f>
        <v>#N/A</v>
      </c>
      <c r="BR119" s="24" t="e">
        <f xml:space="preserve">    IF( 'i1'!CJ119=LEER,  #N/A,  'i1'!CJ119  )</f>
        <v>#N/A</v>
      </c>
      <c r="BS119" s="24" t="e">
        <f xml:space="preserve">    IF( 'i1'!CK119=LEER,  #N/A,  'i1'!CK119  )</f>
        <v>#N/A</v>
      </c>
      <c r="BT119" s="38" t="e">
        <f xml:space="preserve">    IF( 'i1'!CH119=LEER,  #N/A,  'i1'!CH119  )</f>
        <v>#N/A</v>
      </c>
      <c r="BV119" s="24" t="e">
        <f xml:space="preserve">    IF( 'i1'!CO119=LEER,  #N/A,  'i1'!CO119  )</f>
        <v>#N/A</v>
      </c>
      <c r="BW119" s="24" t="e">
        <f xml:space="preserve">    IF( 'i1'!CP119=LEER,  #N/A,  'i1'!CP119  )</f>
        <v>#N/A</v>
      </c>
      <c r="BX119" s="24" t="e">
        <f xml:space="preserve">    IF( 'i1'!CQ119=LEER,  #N/A,  'i1'!CQ119  )</f>
        <v>#N/A</v>
      </c>
      <c r="BY119" s="38" t="e">
        <f xml:space="preserve">    IF( 'i1'!CN119=LEER,  #N/A,  'i1'!CN119  )</f>
        <v>#N/A</v>
      </c>
      <c r="CD119" s="113" t="e">
        <f xml:space="preserve"> IF(  AND( $A119&lt;&gt;$CD$14, OR( 'i1'!EO119=LEER, 'i1'!EM119&lt;&gt;LEER ) ), #N/A, 'i1'!EO119 )</f>
        <v>#N/A</v>
      </c>
      <c r="CE119" s="113" t="e">
        <f xml:space="preserve"> IF(   'i1'!EM119=LEER, #N/A,  'i1'!EM119 )</f>
        <v>#N/A</v>
      </c>
      <c r="CF119" s="114" t="e">
        <f xml:space="preserve"> IF(   'i1'!EL119=LEER, #N/A, 'i1'!EL119 + 'i1'!EM119 )</f>
        <v>#N/A</v>
      </c>
      <c r="CW119" s="104">
        <f xml:space="preserve"> 'i1'!FN119</f>
        <v>119</v>
      </c>
      <c r="CX119" s="106" t="e">
        <f xml:space="preserve"> IF(  INDEX( 'i1'!$FS119:$JO119, CX$13 ) = LEER,  #N/A,  INDEX( 'i1'!$FS119:$JO119, CX$13 )  )</f>
        <v>#N/A</v>
      </c>
      <c r="CY119" s="106" t="e">
        <f xml:space="preserve"> IF(  INDEX( 'i1'!$FS119:$JO119, CY$13 ) = LEER,  #N/A,  INDEX( 'i1'!$FS119:$JO119, CY$13 )  )</f>
        <v>#N/A</v>
      </c>
      <c r="CZ119" s="106" t="e">
        <f xml:space="preserve"> IF(  INDEX( 'i1'!$FS119:$JO119, CZ$13 ) = LEER,  #N/A,  INDEX( 'i1'!$FS119:$JO119, CZ$13 )  )</f>
        <v>#N/A</v>
      </c>
      <c r="DA119" s="106" t="e">
        <f xml:space="preserve"> IF(  INDEX( 'i1'!$FS119:$JO119, DA$13 ) = LEER,  #N/A,  INDEX( 'i1'!$FS119:$JO119, DA$13 )  )</f>
        <v>#N/A</v>
      </c>
      <c r="DB119" s="106" t="e">
        <f xml:space="preserve"> IF(  INDEX( 'i1'!$FS119:$JO119, DB$13 ) = LEER,  #N/A,  INDEX( 'i1'!$FS119:$JO119, DB$13 )  )</f>
        <v>#N/A</v>
      </c>
      <c r="DC119" s="106" t="e">
        <f xml:space="preserve"> IF(  INDEX( 'i1'!$FS119:$JO119, DC$13 ) = LEER,  #N/A,  INDEX( 'i1'!$FS119:$JO119, DC$13 )  )</f>
        <v>#N/A</v>
      </c>
      <c r="DD119" s="106" t="e">
        <f xml:space="preserve"> IF(  INDEX( 'i1'!$FS119:$JO119, DD$13 ) = LEER,  #N/A,  INDEX( 'i1'!$FS119:$JO119, DD$13 )  )</f>
        <v>#N/A</v>
      </c>
      <c r="DE119" s="106" t="e">
        <f xml:space="preserve"> IF(  INDEX( 'i1'!$FS119:$JO119, DE$13 ) = LEER,  #N/A,  INDEX( 'i1'!$FS119:$JO119, DE$13 )  )</f>
        <v>#N/A</v>
      </c>
      <c r="DF119" s="106" t="e">
        <f xml:space="preserve"> IF(  INDEX( 'i1'!$FS119:$JO119, DF$13 ) = LEER,  #N/A,  INDEX( 'i1'!$FS119:$JO119, DF$13 )  )</f>
        <v>#N/A</v>
      </c>
      <c r="DG119" s="106" t="e">
        <f xml:space="preserve"> IF(  INDEX( 'i1'!$FS119:$JO119, DG$13 ) = LEER,  #N/A,  INDEX( 'i1'!$FS119:$JO119, DG$13 )  )</f>
        <v>#N/A</v>
      </c>
      <c r="DH119" s="106" t="e">
        <f xml:space="preserve"> IF(  INDEX( 'i1'!$FS119:$JO119, DH$13 ) = LEER,  #N/A,  INDEX( 'i1'!$FS119:$JO119, DH$13 )  )</f>
        <v>#N/A</v>
      </c>
      <c r="DI119" s="106" t="e">
        <f xml:space="preserve"> IF(  INDEX( 'i1'!$FS119:$JO119, DI$13 ) = LEER,  #N/A,  INDEX( 'i1'!$FS119:$JO119, DI$13 )  )</f>
        <v>#N/A</v>
      </c>
      <c r="DJ119" s="106" t="e">
        <f xml:space="preserve"> IF(  INDEX( 'i1'!$FS119:$JO119, DJ$13 ) = LEER,  #N/A,  INDEX( 'i1'!$FS119:$JO119, DJ$13 )  )</f>
        <v>#N/A</v>
      </c>
      <c r="DK119" s="106" t="e">
        <f xml:space="preserve"> IF(  INDEX( 'i1'!$FS119:$JO119, DK$13 ) = LEER,  #N/A,  INDEX( 'i1'!$FS119:$JO119, DK$13 )  )</f>
        <v>#N/A</v>
      </c>
      <c r="DL119" s="106" t="e">
        <f xml:space="preserve"> IF(  INDEX( 'i1'!$FS119:$JO119, DL$13 ) = LEER,  #N/A,  INDEX( 'i1'!$FS119:$JO119, DL$13 )  )</f>
        <v>#N/A</v>
      </c>
      <c r="DM119" s="106" t="e">
        <f xml:space="preserve"> IF(  INDEX( 'i1'!$FS119:$JO119, DM$13 ) = LEER,  #N/A,  INDEX( 'i1'!$FS119:$JO119, DM$13 )  )</f>
        <v>#N/A</v>
      </c>
      <c r="DN119" s="106" t="e">
        <f xml:space="preserve"> IF(  INDEX( 'i1'!$FS119:$JO119, DN$13 ) = LEER,  #N/A,  INDEX( 'i1'!$FS119:$JO119, DN$13 )  )</f>
        <v>#N/A</v>
      </c>
    </row>
    <row r="120" spans="1:118" x14ac:dyDescent="0.2">
      <c r="A120" s="15">
        <f xml:space="preserve"> Basis!A120</f>
        <v>120</v>
      </c>
      <c r="C120" s="24" t="b">
        <f xml:space="preserve"> 'i1'!$O120</f>
        <v>0</v>
      </c>
      <c r="D120" s="24" t="b">
        <f xml:space="preserve"> 'i2'!$O120</f>
        <v>0</v>
      </c>
      <c r="E120" s="24" t="b">
        <f xml:space="preserve"> 'i3'!$O120</f>
        <v>0</v>
      </c>
      <c r="G120" s="27" t="e">
        <f xml:space="preserve"> IF( $C121,   IF( 'i1'!$P120=LEER,  #N/A,  'i1'!$P120  ),   #N/A  )</f>
        <v>#N/A</v>
      </c>
      <c r="H120" s="27" t="e">
        <f xml:space="preserve"> IF( $D121,   IF( 'i2'!$P120=LEER,  #N/A,  'i2'!$P120  ),   #N/A  )</f>
        <v>#N/A</v>
      </c>
      <c r="I120" s="27" t="e">
        <f xml:space="preserve"> IF( $E121,   IF( 'i3'!$P120=LEER,  #N/A,  'i3'!$P120  ),   #N/A  )</f>
        <v>#N/A</v>
      </c>
      <c r="J120" s="158"/>
      <c r="K120" s="27" t="e">
        <f xml:space="preserve"> IF( $C121,   IF( 'i1'!$G120=LEER,  #N/A,  'i1'!$G120  ),   #N/A  )</f>
        <v>#N/A</v>
      </c>
      <c r="L120" s="27" t="e">
        <f xml:space="preserve"> IF( $D121,   IF( 'i2'!$G120=LEER,  #N/A,  'i2'!$G120  ),   #N/A  )</f>
        <v>#N/A</v>
      </c>
      <c r="M120" s="27" t="e">
        <f xml:space="preserve"> IF( $E121,   IF( 'i3'!$G120=LEER,  #N/A,  'i3'!$G120  ),   #N/A  )</f>
        <v>#N/A</v>
      </c>
      <c r="N120" s="158"/>
      <c r="O120" s="158"/>
      <c r="Q120" s="28" t="e">
        <f t="shared" si="56"/>
        <v>#N/A</v>
      </c>
      <c r="R120" s="28" t="e">
        <f t="shared" si="57"/>
        <v>#N/A</v>
      </c>
      <c r="S120" s="28" t="e">
        <f t="shared" si="58"/>
        <v>#N/A</v>
      </c>
      <c r="U120" s="76" t="e">
        <f xml:space="preserve"> IF( $C119,   SUM('i1'!$R120),   #N/A  )</f>
        <v>#N/A</v>
      </c>
      <c r="V120" s="76" t="e">
        <f xml:space="preserve"> IF( $C119,   SUM('i2'!$R120),   #N/A  )</f>
        <v>#N/A</v>
      </c>
      <c r="W120" s="76" t="e">
        <f xml:space="preserve"> IF( $C119,   SUM('i3'!$R120),   #N/A  )</f>
        <v>#N/A</v>
      </c>
      <c r="Y120" s="33"/>
      <c r="Z120" s="22" t="e">
        <f xml:space="preserve"> IF( $C120,   IF( 'i1'!$J120=LEER,  #N/A,  'i1'!$J120  ),   #N/A  )</f>
        <v>#N/A</v>
      </c>
      <c r="AA120" s="22" t="e">
        <f xml:space="preserve"> IF( $D120,   IF( 'i2'!$J120=LEER,  #N/A,  'i2'!$J120  ),   #N/A  )</f>
        <v>#N/A</v>
      </c>
      <c r="AB120" s="22" t="e">
        <f xml:space="preserve"> IF( $E120,   IF( 'i3'!$J120=LEER,  #N/A,  'i3'!$J120  ),   #N/A  )</f>
        <v>#N/A</v>
      </c>
      <c r="AC120" s="75"/>
      <c r="AD120" s="26" t="e">
        <f t="shared" si="46"/>
        <v>#N/A</v>
      </c>
      <c r="AE120" s="26" t="e">
        <f t="shared" si="47"/>
        <v>#N/A</v>
      </c>
      <c r="AF120" s="26" t="e">
        <f t="shared" si="48"/>
        <v>#N/A</v>
      </c>
      <c r="AG120" s="23"/>
      <c r="AH120" s="24" t="e">
        <f xml:space="preserve">    IF(  'i1'!$AK120=LEER,  #N/A,  ROUND( 'i1'!$AK120, AH$15 )  )</f>
        <v>#N/A</v>
      </c>
      <c r="AI120" s="24" t="e">
        <f xml:space="preserve">    IF(  'i2'!$AK120=LEER,  #N/A,  ROUND( 'i2'!$AK120, AI$15 )  )</f>
        <v>#N/A</v>
      </c>
      <c r="AJ120" s="24" t="e">
        <f xml:space="preserve">    IF(  'i3'!$AK120=LEER,  #N/A,  ROUND( 'i3'!$AK120, AJ$15 )  )</f>
        <v>#N/A</v>
      </c>
      <c r="AL120" s="102" t="e">
        <f t="shared" si="49"/>
        <v>#N/A</v>
      </c>
      <c r="AO120" s="24" t="e">
        <f xml:space="preserve">    IF( 'i1'!$AN120=LEER,  #N/A,  'i1'!$AN120  )</f>
        <v>#N/A</v>
      </c>
      <c r="AP120" s="24" t="e">
        <f xml:space="preserve">    IF( 'i2'!$AN120=LEER,  #N/A,  'i2'!$AN120  )</f>
        <v>#N/A</v>
      </c>
      <c r="AQ120" s="24" t="e">
        <f xml:space="preserve">    IF( 'i3'!$AN120=LEER,  #N/A,  'i3'!$AN120  )</f>
        <v>#N/A</v>
      </c>
      <c r="AS120" s="24" t="e">
        <f xml:space="preserve">    IF( 'i1'!$AO120=LEER,  #N/A,  'i1'!$AO120  )</f>
        <v>#N/A</v>
      </c>
      <c r="AT120" s="24" t="e">
        <f xml:space="preserve">    IF( 'i2'!$AO120=LEER,  #N/A,  'i2'!$AO120  )</f>
        <v>#N/A</v>
      </c>
      <c r="AU120" s="24" t="e">
        <f xml:space="preserve">    IF( 'i3'!$AO120=LEER,  #N/A,  'i3'!$AO120  )</f>
        <v>#N/A</v>
      </c>
      <c r="AW120" s="28" t="e">
        <f t="shared" si="59"/>
        <v>#N/A</v>
      </c>
      <c r="AX120" s="28" t="e">
        <f t="shared" si="50"/>
        <v>#N/A</v>
      </c>
      <c r="AY120" s="28" t="e">
        <f t="shared" si="51"/>
        <v>#N/A</v>
      </c>
      <c r="BA120" s="28" t="e">
        <f t="shared" si="52"/>
        <v>#N/A</v>
      </c>
      <c r="BB120" s="28" t="e">
        <f t="shared" si="53"/>
        <v>#N/A</v>
      </c>
      <c r="BC120" s="28" t="e">
        <f t="shared" si="54"/>
        <v>#N/A</v>
      </c>
      <c r="BG120" s="24" t="e">
        <f xml:space="preserve">    IF( 'i1'!BT120=LEER,  #N/A,  'i1'!BT120  )</f>
        <v>#N/A</v>
      </c>
      <c r="BH120" s="24" t="e">
        <f xml:space="preserve">    IF( 'i1'!BR120=LEER,  #N/A,  'i1'!BR120  )</f>
        <v>#N/A</v>
      </c>
      <c r="BI120" s="111" t="e">
        <f t="shared" si="60"/>
        <v>#N/A</v>
      </c>
      <c r="BJ120" s="24" t="e">
        <f xml:space="preserve">    IF( 'i1'!BX120=LEER,  #N/A,  'i1'!BX120  )</f>
        <v>#N/A</v>
      </c>
      <c r="BL120" s="24" t="e">
        <f xml:space="preserve">    IF( 'i1'!CB120=LEER,  #N/A,  'i1'!CB120  )</f>
        <v>#N/A</v>
      </c>
      <c r="BM120" s="24" t="e">
        <f xml:space="preserve">    IF( 'i1'!CC120=LEER,  #N/A,  'i1'!CC120  )</f>
        <v>#N/A</v>
      </c>
      <c r="BN120" s="24" t="e">
        <f xml:space="preserve">    IF( 'i1'!CD120=LEER,  #N/A,  'i1'!CD120  )</f>
        <v>#N/A</v>
      </c>
      <c r="BO120" s="24" t="e">
        <f xml:space="preserve">    IF( 'i1'!CE120=LEER,  #N/A,  'i1'!CE120  )</f>
        <v>#N/A</v>
      </c>
      <c r="BQ120" s="24" t="e">
        <f xml:space="preserve">    IF( 'i1'!CI120=LEER,  #N/A,  'i1'!CI120  )</f>
        <v>#N/A</v>
      </c>
      <c r="BR120" s="24" t="e">
        <f xml:space="preserve">    IF( 'i1'!CJ120=LEER,  #N/A,  'i1'!CJ120  )</f>
        <v>#N/A</v>
      </c>
      <c r="BS120" s="24" t="e">
        <f xml:space="preserve">    IF( 'i1'!CK120=LEER,  #N/A,  'i1'!CK120  )</f>
        <v>#N/A</v>
      </c>
      <c r="BT120" s="38" t="e">
        <f xml:space="preserve">    IF( 'i1'!CH120=LEER,  #N/A,  'i1'!CH120  )</f>
        <v>#N/A</v>
      </c>
      <c r="BV120" s="24" t="e">
        <f xml:space="preserve">    IF( 'i1'!CO120=LEER,  #N/A,  'i1'!CO120  )</f>
        <v>#N/A</v>
      </c>
      <c r="BW120" s="24" t="e">
        <f xml:space="preserve">    IF( 'i1'!CP120=LEER,  #N/A,  'i1'!CP120  )</f>
        <v>#N/A</v>
      </c>
      <c r="BX120" s="24" t="e">
        <f xml:space="preserve">    IF( 'i1'!CQ120=LEER,  #N/A,  'i1'!CQ120  )</f>
        <v>#N/A</v>
      </c>
      <c r="BY120" s="38" t="e">
        <f xml:space="preserve">    IF( 'i1'!CN120=LEER,  #N/A,  'i1'!CN120  )</f>
        <v>#N/A</v>
      </c>
      <c r="CD120" s="113" t="e">
        <f xml:space="preserve"> IF(  AND( $A120&lt;&gt;$CD$14, OR( 'i1'!EO120=LEER, 'i1'!EM120&lt;&gt;LEER ) ), #N/A, 'i1'!EO120 )</f>
        <v>#N/A</v>
      </c>
      <c r="CE120" s="113" t="e">
        <f xml:space="preserve"> IF(   'i1'!EM120=LEER, #N/A,  'i1'!EM120 )</f>
        <v>#N/A</v>
      </c>
      <c r="CF120" s="114" t="e">
        <f xml:space="preserve"> IF(   'i1'!EL120=LEER, #N/A, 'i1'!EL120 + 'i1'!EM120 )</f>
        <v>#N/A</v>
      </c>
      <c r="CW120" s="104">
        <f xml:space="preserve"> 'i1'!FN120</f>
        <v>120</v>
      </c>
      <c r="CX120" s="106" t="e">
        <f xml:space="preserve"> IF(  INDEX( 'i1'!$FS120:$JO120, CX$13 ) = LEER,  #N/A,  INDEX( 'i1'!$FS120:$JO120, CX$13 )  )</f>
        <v>#N/A</v>
      </c>
      <c r="CY120" s="106" t="e">
        <f xml:space="preserve"> IF(  INDEX( 'i1'!$FS120:$JO120, CY$13 ) = LEER,  #N/A,  INDEX( 'i1'!$FS120:$JO120, CY$13 )  )</f>
        <v>#N/A</v>
      </c>
      <c r="CZ120" s="106" t="e">
        <f xml:space="preserve"> IF(  INDEX( 'i1'!$FS120:$JO120, CZ$13 ) = LEER,  #N/A,  INDEX( 'i1'!$FS120:$JO120, CZ$13 )  )</f>
        <v>#N/A</v>
      </c>
      <c r="DA120" s="106" t="e">
        <f xml:space="preserve"> IF(  INDEX( 'i1'!$FS120:$JO120, DA$13 ) = LEER,  #N/A,  INDEX( 'i1'!$FS120:$JO120, DA$13 )  )</f>
        <v>#N/A</v>
      </c>
      <c r="DB120" s="106" t="e">
        <f xml:space="preserve"> IF(  INDEX( 'i1'!$FS120:$JO120, DB$13 ) = LEER,  #N/A,  INDEX( 'i1'!$FS120:$JO120, DB$13 )  )</f>
        <v>#N/A</v>
      </c>
      <c r="DC120" s="106" t="e">
        <f xml:space="preserve"> IF(  INDEX( 'i1'!$FS120:$JO120, DC$13 ) = LEER,  #N/A,  INDEX( 'i1'!$FS120:$JO120, DC$13 )  )</f>
        <v>#N/A</v>
      </c>
      <c r="DD120" s="106" t="e">
        <f xml:space="preserve"> IF(  INDEX( 'i1'!$FS120:$JO120, DD$13 ) = LEER,  #N/A,  INDEX( 'i1'!$FS120:$JO120, DD$13 )  )</f>
        <v>#N/A</v>
      </c>
      <c r="DE120" s="106" t="e">
        <f xml:space="preserve"> IF(  INDEX( 'i1'!$FS120:$JO120, DE$13 ) = LEER,  #N/A,  INDEX( 'i1'!$FS120:$JO120, DE$13 )  )</f>
        <v>#N/A</v>
      </c>
      <c r="DF120" s="106" t="e">
        <f xml:space="preserve"> IF(  INDEX( 'i1'!$FS120:$JO120, DF$13 ) = LEER,  #N/A,  INDEX( 'i1'!$FS120:$JO120, DF$13 )  )</f>
        <v>#N/A</v>
      </c>
      <c r="DG120" s="106" t="e">
        <f xml:space="preserve"> IF(  INDEX( 'i1'!$FS120:$JO120, DG$13 ) = LEER,  #N/A,  INDEX( 'i1'!$FS120:$JO120, DG$13 )  )</f>
        <v>#N/A</v>
      </c>
      <c r="DH120" s="106" t="e">
        <f xml:space="preserve"> IF(  INDEX( 'i1'!$FS120:$JO120, DH$13 ) = LEER,  #N/A,  INDEX( 'i1'!$FS120:$JO120, DH$13 )  )</f>
        <v>#N/A</v>
      </c>
      <c r="DI120" s="106" t="e">
        <f xml:space="preserve"> IF(  INDEX( 'i1'!$FS120:$JO120, DI$13 ) = LEER,  #N/A,  INDEX( 'i1'!$FS120:$JO120, DI$13 )  )</f>
        <v>#N/A</v>
      </c>
      <c r="DJ120" s="106" t="e">
        <f xml:space="preserve"> IF(  INDEX( 'i1'!$FS120:$JO120, DJ$13 ) = LEER,  #N/A,  INDEX( 'i1'!$FS120:$JO120, DJ$13 )  )</f>
        <v>#N/A</v>
      </c>
      <c r="DK120" s="106" t="e">
        <f xml:space="preserve"> IF(  INDEX( 'i1'!$FS120:$JO120, DK$13 ) = LEER,  #N/A,  INDEX( 'i1'!$FS120:$JO120, DK$13 )  )</f>
        <v>#N/A</v>
      </c>
      <c r="DL120" s="106" t="e">
        <f xml:space="preserve"> IF(  INDEX( 'i1'!$FS120:$JO120, DL$13 ) = LEER,  #N/A,  INDEX( 'i1'!$FS120:$JO120, DL$13 )  )</f>
        <v>#N/A</v>
      </c>
      <c r="DM120" s="106" t="e">
        <f xml:space="preserve"> IF(  INDEX( 'i1'!$FS120:$JO120, DM$13 ) = LEER,  #N/A,  INDEX( 'i1'!$FS120:$JO120, DM$13 )  )</f>
        <v>#N/A</v>
      </c>
      <c r="DN120" s="106" t="e">
        <f xml:space="preserve"> IF(  INDEX( 'i1'!$FS120:$JO120, DN$13 ) = LEER,  #N/A,  INDEX( 'i1'!$FS120:$JO120, DN$13 )  )</f>
        <v>#N/A</v>
      </c>
    </row>
    <row r="121" spans="1:118" x14ac:dyDescent="0.2">
      <c r="Y121" s="33"/>
      <c r="AC121" s="33"/>
      <c r="AF121" s="1"/>
      <c r="AG121" s="1"/>
      <c r="AH121" s="1"/>
      <c r="AI121" s="1"/>
      <c r="AJ121" s="1"/>
    </row>
    <row r="122" spans="1:118" x14ac:dyDescent="0.2">
      <c r="Y122" s="33"/>
      <c r="Z122" s="22" t="str">
        <f xml:space="preserve">    IF( 'i1'!$AN7=LEER,  #N/A,  'i1'!$AN7  )</f>
        <v>p_35</v>
      </c>
      <c r="AC122" s="33"/>
      <c r="AD122" s="32" t="str">
        <f xml:space="preserve"> SUBSTITUTE( Z122, "p", "P" )</f>
        <v>P_35</v>
      </c>
      <c r="AF122" s="1"/>
      <c r="AG122" s="1"/>
      <c r="AH122" s="1"/>
      <c r="AI122" s="1"/>
      <c r="AJ122" s="1"/>
    </row>
    <row r="123" spans="1:118" x14ac:dyDescent="0.2">
      <c r="Y123" s="33">
        <f xml:space="preserve"> $A$20</f>
        <v>20</v>
      </c>
      <c r="Z123" s="22">
        <f xml:space="preserve">    IF( 'i1'!$AN8=LEER,  #N/A,  'i1'!$AN8  )</f>
        <v>1.8541000000000001</v>
      </c>
      <c r="AC123" s="33">
        <f xml:space="preserve"> $A$20</f>
        <v>20</v>
      </c>
      <c r="AD123" s="22">
        <f xml:space="preserve"> Z123 * Z19</f>
        <v>3852.4304390000002</v>
      </c>
      <c r="AF123" s="1"/>
      <c r="AG123" s="1"/>
      <c r="AH123" s="1"/>
      <c r="AI123" s="1"/>
      <c r="AJ123" s="1"/>
    </row>
    <row r="124" spans="1:118" x14ac:dyDescent="0.2">
      <c r="Y124" s="33">
        <f xml:space="preserve"> INDEX( $A$20:$A$120, MATCH( FALSE, C$20:C$120,  0 ) ) - 1</f>
        <v>110</v>
      </c>
      <c r="Z124" s="32">
        <f xml:space="preserve"> Z123</f>
        <v>1.8541000000000001</v>
      </c>
      <c r="AC124" s="33">
        <f xml:space="preserve"> INDEX( $A$20:$A$120, MATCH( FALSE, C$20:C$120,  0 ) ) - 1</f>
        <v>110</v>
      </c>
      <c r="AD124" s="32">
        <f xml:space="preserve"> AD123</f>
        <v>3852.4304390000002</v>
      </c>
      <c r="AF124" s="1"/>
      <c r="AG124" s="1"/>
      <c r="AH124" s="1"/>
      <c r="AI124" s="1"/>
      <c r="AJ124" s="1"/>
    </row>
    <row r="125" spans="1:118" x14ac:dyDescent="0.2">
      <c r="Y125" s="33"/>
      <c r="AC125" s="33"/>
      <c r="AF125" s="1"/>
      <c r="AG125" s="1"/>
      <c r="AH125" s="168">
        <v>20.05</v>
      </c>
      <c r="AI125" s="168">
        <v>600</v>
      </c>
      <c r="AJ125" s="1"/>
      <c r="AS125" s="168">
        <v>20.09</v>
      </c>
      <c r="AT125" s="168">
        <v>45000</v>
      </c>
    </row>
    <row r="126" spans="1:118" x14ac:dyDescent="0.2">
      <c r="Y126" s="33"/>
      <c r="AA126" s="22" t="str">
        <f xml:space="preserve">    IF( 'i2'!$AN7=LEER,  #N/A,  'i2'!$AN7  )</f>
        <v>p_35</v>
      </c>
      <c r="AC126" s="33"/>
      <c r="AE126" s="32" t="str">
        <f xml:space="preserve"> SUBSTITUTE( AA126, "p", "P" )</f>
        <v>P_35</v>
      </c>
      <c r="AF126" s="1"/>
      <c r="AG126" s="1"/>
      <c r="AH126" s="168">
        <v>60</v>
      </c>
      <c r="AI126" s="168">
        <f xml:space="preserve"> AI125</f>
        <v>600</v>
      </c>
      <c r="AJ126" s="1"/>
      <c r="AS126" s="168">
        <v>80</v>
      </c>
      <c r="AT126" s="168">
        <f xml:space="preserve"> AT125</f>
        <v>45000</v>
      </c>
    </row>
    <row r="127" spans="1:118" x14ac:dyDescent="0.2">
      <c r="Y127" s="33"/>
      <c r="Z127" s="33">
        <f xml:space="preserve"> $A$20</f>
        <v>20</v>
      </c>
      <c r="AA127" s="22">
        <f xml:space="preserve">    IF( 'i2'!$AN8=LEER,  #N/A,  'i2'!$AN8  )</f>
        <v>1.8541000000000001</v>
      </c>
      <c r="AC127" s="33"/>
      <c r="AE127" s="22">
        <f xml:space="preserve"> AA127 * AA19</f>
        <v>3852.4304390000002</v>
      </c>
      <c r="AF127" s="1"/>
      <c r="AG127" s="1"/>
      <c r="AH127" s="1"/>
      <c r="AI127" s="1"/>
      <c r="AJ127" s="1"/>
      <c r="AS127" s="168">
        <f xml:space="preserve"> AS126</f>
        <v>80</v>
      </c>
      <c r="AT127" s="168">
        <v>50000</v>
      </c>
    </row>
    <row r="128" spans="1:118" x14ac:dyDescent="0.2">
      <c r="Y128" s="33"/>
      <c r="Z128" s="33">
        <f xml:space="preserve"> INDEX( $A$20:$A$120, MATCH( FALSE, D$20:D$120,  0 ) ) - 1</f>
        <v>110</v>
      </c>
      <c r="AA128" s="32">
        <f xml:space="preserve"> AA127</f>
        <v>1.8541000000000001</v>
      </c>
      <c r="AC128" s="33"/>
      <c r="AD128" s="33">
        <f xml:space="preserve"> INDEX( $A$20:$A$120, MATCH( FALSE, D$20:D$120,  0 ) ) - 1</f>
        <v>110</v>
      </c>
      <c r="AE128" s="32">
        <f xml:space="preserve"> AE127</f>
        <v>3852.4304390000002</v>
      </c>
      <c r="AF128" s="1"/>
      <c r="AG128" s="1"/>
      <c r="AH128" s="1"/>
      <c r="AI128" s="1"/>
      <c r="AJ128" s="1"/>
      <c r="AS128" s="168">
        <f xml:space="preserve"> AS125</f>
        <v>20.09</v>
      </c>
      <c r="AT128" s="168">
        <f xml:space="preserve"> AT127</f>
        <v>50000</v>
      </c>
    </row>
    <row r="129" spans="11:46" x14ac:dyDescent="0.2">
      <c r="Y129" s="33"/>
      <c r="AC129" s="33"/>
      <c r="AF129" s="1"/>
      <c r="AG129" s="1"/>
      <c r="AH129" s="1"/>
      <c r="AI129" s="1"/>
      <c r="AJ129" s="1"/>
      <c r="AS129" s="168">
        <f xml:space="preserve"> AS127</f>
        <v>80</v>
      </c>
      <c r="AT129" s="168">
        <f xml:space="preserve"> AT127</f>
        <v>50000</v>
      </c>
    </row>
    <row r="130" spans="11:46" x14ac:dyDescent="0.2">
      <c r="Y130" s="33"/>
      <c r="AB130" s="22" t="str">
        <f xml:space="preserve">    IF( 'i3'!$AN7=LEER,  #N/A,  'i3'!$AN7  )</f>
        <v>p_35</v>
      </c>
      <c r="AC130" s="33"/>
      <c r="AF130" s="32" t="str">
        <f xml:space="preserve"> SUBSTITUTE( AB130, "p", "P" )</f>
        <v>P_35</v>
      </c>
      <c r="AG130" s="1"/>
      <c r="AH130" s="1"/>
      <c r="AI130" s="1"/>
      <c r="AJ130" s="1"/>
      <c r="AS130" s="168">
        <f xml:space="preserve"> AS129</f>
        <v>80</v>
      </c>
      <c r="AT130" s="168">
        <v>-5000</v>
      </c>
    </row>
    <row r="131" spans="11:46" x14ac:dyDescent="0.2">
      <c r="Y131" s="33"/>
      <c r="AA131" s="33">
        <f xml:space="preserve"> $A$20</f>
        <v>20</v>
      </c>
      <c r="AB131" s="22">
        <f xml:space="preserve">    IF( 'i3'!$AN8=LEER,  #N/A,  'i3'!$AN8  )</f>
        <v>1.8541000000000001</v>
      </c>
      <c r="AC131" s="33"/>
      <c r="AF131" s="22">
        <f xml:space="preserve"> AB131 * AB19</f>
        <v>3852.4304390000002</v>
      </c>
      <c r="AG131" s="1"/>
      <c r="AH131" s="1"/>
      <c r="AI131" s="1"/>
      <c r="AJ131" s="1"/>
      <c r="AS131" s="168">
        <f>AS125</f>
        <v>20.09</v>
      </c>
      <c r="AT131" s="168">
        <v>-5000</v>
      </c>
    </row>
    <row r="132" spans="11:46" x14ac:dyDescent="0.2">
      <c r="Y132" s="33"/>
      <c r="AA132" s="33">
        <f xml:space="preserve"> INDEX( $A$20:$A$120, MATCH( FALSE, E$20:E$120,  0 ) ) - 1</f>
        <v>110</v>
      </c>
      <c r="AB132" s="32">
        <f xml:space="preserve"> AB131</f>
        <v>1.8541000000000001</v>
      </c>
      <c r="AC132" s="33"/>
      <c r="AE132" s="33">
        <f xml:space="preserve"> INDEX( $A$20:$A$120, MATCH( FALSE, E$20:E$120,  0 ) ) - 1</f>
        <v>110</v>
      </c>
      <c r="AF132" s="32">
        <f xml:space="preserve"> AF131</f>
        <v>3852.4304390000002</v>
      </c>
      <c r="AG132" s="1"/>
      <c r="AH132" s="1"/>
      <c r="AI132" s="1"/>
      <c r="AJ132" s="1"/>
    </row>
    <row r="133" spans="11:46" x14ac:dyDescent="0.2">
      <c r="AF133" s="1"/>
      <c r="AG133" s="1"/>
      <c r="AH133" s="1"/>
      <c r="AI133" s="1"/>
      <c r="AJ133" s="1"/>
    </row>
    <row r="136" spans="11:46" x14ac:dyDescent="0.2">
      <c r="K136" s="168">
        <v>50</v>
      </c>
      <c r="L136" s="169">
        <f xml:space="preserve"> INDEX( K$20:K$120, $K136 - 20 + 1 )</f>
        <v>2.3900000000000001E-2</v>
      </c>
      <c r="AH136" s="168">
        <v>25</v>
      </c>
      <c r="AI136" s="169">
        <f xml:space="preserve"> INDEX( AH$20:AH$120, $AH136 - 20 + 1 )</f>
        <v>339.72</v>
      </c>
      <c r="AJ136" s="169">
        <f xml:space="preserve"> INDEX( AI$20:AI$120, $AH136 - 20 + 1 )</f>
        <v>339.72</v>
      </c>
    </row>
    <row r="137" spans="11:46" x14ac:dyDescent="0.2">
      <c r="K137" s="169">
        <f xml:space="preserve"> K136</f>
        <v>50</v>
      </c>
      <c r="L137" s="169">
        <f xml:space="preserve"> L136</f>
        <v>2.3900000000000001E-2</v>
      </c>
      <c r="AH137" s="168">
        <v>26</v>
      </c>
      <c r="AI137" s="169">
        <f xml:space="preserve"> INDEX( AH$20:AH$120, $AH137 - 20 + 1 )</f>
        <v>347.84</v>
      </c>
      <c r="AJ137" s="169">
        <f xml:space="preserve"> INDEX( AI$20:AI$120, $AH137 - 20 + 1 )</f>
        <v>347.84</v>
      </c>
    </row>
    <row r="138" spans="11:46" x14ac:dyDescent="0.2">
      <c r="AH138" s="168"/>
      <c r="AI138" s="168"/>
      <c r="AJ138" s="168"/>
    </row>
    <row r="139" spans="11:46" x14ac:dyDescent="0.2">
      <c r="AH139" s="169">
        <f xml:space="preserve"> AVERAGE( AH136:AH137 )</f>
        <v>25.5</v>
      </c>
      <c r="AI139" s="169">
        <f xml:space="preserve"> AVERAGE( AJ136:AJ137 )</f>
        <v>343.78</v>
      </c>
    </row>
    <row r="140" spans="11:46" x14ac:dyDescent="0.2">
      <c r="AH140" s="168">
        <v>50</v>
      </c>
      <c r="AI140" s="169">
        <f xml:space="preserve"> INDEX( AH$20:AH$120, $AH140 - 20 + 1 )</f>
        <v>614.02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Arbeitsblätter</vt:lpstr>
      </vt:variant>
      <vt:variant>
        <vt:i4>13</vt:i4>
      </vt:variant>
      <vt:variant>
        <vt:lpstr>Diagramme</vt:lpstr>
      </vt:variant>
      <vt:variant>
        <vt:i4>20</vt:i4>
      </vt:variant>
      <vt:variant>
        <vt:lpstr>Benannte Bereiche</vt:lpstr>
      </vt:variant>
      <vt:variant>
        <vt:i4>191</vt:i4>
      </vt:variant>
    </vt:vector>
  </HeadingPairs>
  <TitlesOfParts>
    <vt:vector size="224" baseType="lpstr">
      <vt:lpstr>AUSW</vt:lpstr>
      <vt:lpstr>i1</vt:lpstr>
      <vt:lpstr>i2</vt:lpstr>
      <vt:lpstr>i3</vt:lpstr>
      <vt:lpstr>WK2012</vt:lpstr>
      <vt:lpstr>WK2013</vt:lpstr>
      <vt:lpstr>WK2014</vt:lpstr>
      <vt:lpstr>WK2015</vt:lpstr>
      <vt:lpstr>qx</vt:lpstr>
      <vt:lpstr>wx</vt:lpstr>
      <vt:lpstr>Kx</vt:lpstr>
      <vt:lpstr>Basis</vt:lpstr>
      <vt:lpstr>DDat</vt:lpstr>
      <vt:lpstr>D_wx</vt:lpstr>
      <vt:lpstr>D_sx</vt:lpstr>
      <vt:lpstr>D_ex</vt:lpstr>
      <vt:lpstr>D_lx</vt:lpstr>
      <vt:lpstr>D_klkx</vt:lpstr>
      <vt:lpstr>D_GrKx</vt:lpstr>
      <vt:lpstr>D_Btrg</vt:lpstr>
      <vt:lpstr>D_Btrg_zahn</vt:lpstr>
      <vt:lpstr>D_Btrg_bis51</vt:lpstr>
      <vt:lpstr>D_ARn</vt:lpstr>
      <vt:lpstr>D_AR</vt:lpstr>
      <vt:lpstr>D_ARZn</vt:lpstr>
      <vt:lpstr>D_ARZ</vt:lpstr>
      <vt:lpstr>D_ARZ_bis56</vt:lpstr>
      <vt:lpstr>D_AR_TÄ</vt:lpstr>
      <vt:lpstr>D_i1_ARZ</vt:lpstr>
      <vt:lpstr>D_i1_ARFort</vt:lpstr>
      <vt:lpstr>D_i1_ARZuf</vt:lpstr>
      <vt:lpstr>D_i1_PAuft</vt:lpstr>
      <vt:lpstr>D_i1_ZPAuft</vt:lpstr>
      <vt:lpstr>Achtung</vt:lpstr>
      <vt:lpstr>alpham</vt:lpstr>
      <vt:lpstr>alphasigma</vt:lpstr>
      <vt:lpstr>alphau</vt:lpstr>
      <vt:lpstr>alphaZ</vt:lpstr>
      <vt:lpstr>alphaZGrenzalter</vt:lpstr>
      <vt:lpstr>alphaZSchritt</vt:lpstr>
      <vt:lpstr>alphaZx</vt:lpstr>
      <vt:lpstr>alphaZx_Rd</vt:lpstr>
      <vt:lpstr>ARx</vt:lpstr>
      <vt:lpstr>Auswahl_alphaZAbstufung</vt:lpstr>
      <vt:lpstr>Auswahl_alphaZGrenzalter</vt:lpstr>
      <vt:lpstr>Auswahl_alphaZMB</vt:lpstr>
      <vt:lpstr>Auswahl_ARx</vt:lpstr>
      <vt:lpstr>Auswahl_Beitragsmonotonisierung</vt:lpstr>
      <vt:lpstr>Auswahl_Deltajun</vt:lpstr>
      <vt:lpstr>Auswahl_Deltasen</vt:lpstr>
      <vt:lpstr>Auswahl_DeltaTildejun</vt:lpstr>
      <vt:lpstr>Auswahl_DeltaTildeKJ</vt:lpstr>
      <vt:lpstr>Auswahl_DeltaTildesen</vt:lpstr>
      <vt:lpstr>Auswahl_Gammaj</vt:lpstr>
      <vt:lpstr>Auswahl_Gammas</vt:lpstr>
      <vt:lpstr>Auswahl_Geschl</vt:lpstr>
      <vt:lpstr>Auswahl_Geschl_</vt:lpstr>
      <vt:lpstr>Auswahl_Kostensatz</vt:lpstr>
      <vt:lpstr>Auswahl_KS</vt:lpstr>
      <vt:lpstr>Auswahl_KSErhoehung</vt:lpstr>
      <vt:lpstr>Auswahl_KSMaximierung</vt:lpstr>
      <vt:lpstr>Auswahl_KSNormierung</vt:lpstr>
      <vt:lpstr>Auswahl_lambdaxVorsicht</vt:lpstr>
      <vt:lpstr>Auswahl_lxalpha</vt:lpstr>
      <vt:lpstr>Auswahl_Omega</vt:lpstr>
      <vt:lpstr>Auswahl_qx</vt:lpstr>
      <vt:lpstr>Auswahl_r</vt:lpstr>
      <vt:lpstr>Auswahl_Runden</vt:lpstr>
      <vt:lpstr>Auswahl_sigma</vt:lpstr>
      <vt:lpstr>Auswahl_TAExplusm</vt:lpstr>
      <vt:lpstr>Auswahl_TAExplusmplusk</vt:lpstr>
      <vt:lpstr>Auswahl_Tarife</vt:lpstr>
      <vt:lpstr>Auswahl_vSK</vt:lpstr>
      <vt:lpstr>Auswahl_wx</vt:lpstr>
      <vt:lpstr>Auswahl_xalpha</vt:lpstr>
      <vt:lpstr>Auswahl_xJ</vt:lpstr>
      <vt:lpstr>Auswahl_xKM</vt:lpstr>
      <vt:lpstr>Auswahl_xN</vt:lpstr>
      <vt:lpstr>Auswahl_xomega</vt:lpstr>
      <vt:lpstr>Auswahl_xr</vt:lpstr>
      <vt:lpstr>Auswahl_xsen</vt:lpstr>
      <vt:lpstr>BE_F</vt:lpstr>
      <vt:lpstr>BE_F_</vt:lpstr>
      <vt:lpstr>BE_J_</vt:lpstr>
      <vt:lpstr>BE_K_</vt:lpstr>
      <vt:lpstr>BE_KJ_</vt:lpstr>
      <vt:lpstr>BE_M</vt:lpstr>
      <vt:lpstr>BE_M_</vt:lpstr>
      <vt:lpstr>BE_MF</vt:lpstr>
      <vt:lpstr>BE_MF_</vt:lpstr>
      <vt:lpstr>Beitragsmonotonisierung</vt:lpstr>
      <vt:lpstr>beta</vt:lpstr>
      <vt:lpstr>br</vt:lpstr>
      <vt:lpstr>br_Rd</vt:lpstr>
      <vt:lpstr>Delta</vt:lpstr>
      <vt:lpstr>Delta_Rd</vt:lpstr>
      <vt:lpstr>DeltaTilde</vt:lpstr>
      <vt:lpstr>DeltaTilde_Rd</vt:lpstr>
      <vt:lpstr>Dx</vt:lpstr>
      <vt:lpstr>Dx_Rd</vt:lpstr>
      <vt:lpstr>EF_</vt:lpstr>
      <vt:lpstr>Erhöhung</vt:lpstr>
      <vt:lpstr>eta</vt:lpstr>
      <vt:lpstr>FEHLER</vt:lpstr>
      <vt:lpstr>G</vt:lpstr>
      <vt:lpstr>G_Rd</vt:lpstr>
      <vt:lpstr>Geschl</vt:lpstr>
      <vt:lpstr>Geschl_</vt:lpstr>
      <vt:lpstr>GrAx</vt:lpstr>
      <vt:lpstr>GrAx_Rd</vt:lpstr>
      <vt:lpstr>GrBTildeZx</vt:lpstr>
      <vt:lpstr>GrBTildeZx_Rd</vt:lpstr>
      <vt:lpstr>GrBZx</vt:lpstr>
      <vt:lpstr>GrBZx_Rd</vt:lpstr>
      <vt:lpstr>GrGamma</vt:lpstr>
      <vt:lpstr>GrGamma_Rd</vt:lpstr>
      <vt:lpstr>GrKx</vt:lpstr>
      <vt:lpstr>GrKx_Rd</vt:lpstr>
      <vt:lpstr>GrV_x_xplusm</vt:lpstr>
      <vt:lpstr>GrV_x_xplusm_Rd</vt:lpstr>
      <vt:lpstr>GrVZ_x_xplusm</vt:lpstr>
      <vt:lpstr>GrVZ_x_xplusm_Rd</vt:lpstr>
      <vt:lpstr>i1_</vt:lpstr>
      <vt:lpstr>i2_</vt:lpstr>
      <vt:lpstr>i3_</vt:lpstr>
      <vt:lpstr>iO</vt:lpstr>
      <vt:lpstr>JN_Auswahl</vt:lpstr>
      <vt:lpstr>JN_ja</vt:lpstr>
      <vt:lpstr>JN_nein</vt:lpstr>
      <vt:lpstr>jun</vt:lpstr>
      <vt:lpstr>kappax</vt:lpstr>
      <vt:lpstr>klax</vt:lpstr>
      <vt:lpstr>klax_Rd</vt:lpstr>
      <vt:lpstr>klbTildeZx</vt:lpstr>
      <vt:lpstr>klbTildeZx_rd</vt:lpstr>
      <vt:lpstr>klbZx</vt:lpstr>
      <vt:lpstr>klbZx_Rd</vt:lpstr>
      <vt:lpstr>kleinomega</vt:lpstr>
      <vt:lpstr>klgamma</vt:lpstr>
      <vt:lpstr>klgamma_Rd</vt:lpstr>
      <vt:lpstr>klkx</vt:lpstr>
      <vt:lpstr>klkx_rd</vt:lpstr>
      <vt:lpstr>klv_x_xplusm_Rd</vt:lpstr>
      <vt:lpstr>klvZ_x_xplusm_Rd</vt:lpstr>
      <vt:lpstr>Kostensatz_Auswahl</vt:lpstr>
      <vt:lpstr>Kostensatzdynam</vt:lpstr>
      <vt:lpstr>Kostensatzfest</vt:lpstr>
      <vt:lpstr>Kostensatzohne</vt:lpstr>
      <vt:lpstr>Kx_Auswahl</vt:lpstr>
      <vt:lpstr>l_xalpha</vt:lpstr>
      <vt:lpstr>lambdax</vt:lpstr>
      <vt:lpstr>lambdax_max</vt:lpstr>
      <vt:lpstr>lambdax_min</vt:lpstr>
      <vt:lpstr>lambdax_Rd</vt:lpstr>
      <vt:lpstr>lambdaxVorsicht</vt:lpstr>
      <vt:lpstr>LEER</vt:lpstr>
      <vt:lpstr>lx</vt:lpstr>
      <vt:lpstr>lx_Rd</vt:lpstr>
      <vt:lpstr>MajuskelBeta</vt:lpstr>
      <vt:lpstr>MajuskelOmikron</vt:lpstr>
      <vt:lpstr>Meldung</vt:lpstr>
      <vt:lpstr>mUEW</vt:lpstr>
      <vt:lpstr>my</vt:lpstr>
      <vt:lpstr>nix_Rd</vt:lpstr>
      <vt:lpstr>Numerik_Abweichungen</vt:lpstr>
      <vt:lpstr>Nx</vt:lpstr>
      <vt:lpstr>Nx_Rd</vt:lpstr>
      <vt:lpstr>Omega</vt:lpstr>
      <vt:lpstr>oUEW</vt:lpstr>
      <vt:lpstr>Ox</vt:lpstr>
      <vt:lpstr>Ox_Rd</vt:lpstr>
      <vt:lpstr>px</vt:lpstr>
      <vt:lpstr>px_Rd</vt:lpstr>
      <vt:lpstr>pZx</vt:lpstr>
      <vt:lpstr>pZx_Rd</vt:lpstr>
      <vt:lpstr>quer</vt:lpstr>
      <vt:lpstr>qx</vt:lpstr>
      <vt:lpstr>qx_Auswahl</vt:lpstr>
      <vt:lpstr>qx_Rd</vt:lpstr>
      <vt:lpstr>r_</vt:lpstr>
      <vt:lpstr>rho</vt:lpstr>
      <vt:lpstr>sen</vt:lpstr>
      <vt:lpstr>Setzung</vt:lpstr>
      <vt:lpstr>SetzungZillmerung</vt:lpstr>
      <vt:lpstr>sigma</vt:lpstr>
      <vt:lpstr>SML</vt:lpstr>
      <vt:lpstr>SML_Auswahl</vt:lpstr>
      <vt:lpstr>SML_mSML</vt:lpstr>
      <vt:lpstr>SML_oSML</vt:lpstr>
      <vt:lpstr>SML_vMLglvert</vt:lpstr>
      <vt:lpstr>SML_vSML</vt:lpstr>
      <vt:lpstr>SML_vSML_glvert</vt:lpstr>
      <vt:lpstr>sx</vt:lpstr>
      <vt:lpstr>sx_1</vt:lpstr>
      <vt:lpstr>sx_1_Rd</vt:lpstr>
      <vt:lpstr>sx_Rd</vt:lpstr>
      <vt:lpstr>Ux</vt:lpstr>
      <vt:lpstr>Ux_Rd</vt:lpstr>
      <vt:lpstr>v</vt:lpstr>
      <vt:lpstr>v_Rd</vt:lpstr>
      <vt:lpstr>VA_</vt:lpstr>
      <vt:lpstr>VA_GKVErg</vt:lpstr>
      <vt:lpstr>VA_Voll</vt:lpstr>
      <vt:lpstr>Vererbung</vt:lpstr>
      <vt:lpstr>VZins</vt:lpstr>
      <vt:lpstr>VZSparpr</vt:lpstr>
      <vt:lpstr>wx</vt:lpstr>
      <vt:lpstr>wx_Auswahl</vt:lpstr>
      <vt:lpstr>wx_GES</vt:lpstr>
      <vt:lpstr>wx_PKV</vt:lpstr>
      <vt:lpstr>wx_Rd</vt:lpstr>
      <vt:lpstr>x</vt:lpstr>
      <vt:lpstr>x0</vt:lpstr>
      <vt:lpstr>xalpha</vt:lpstr>
      <vt:lpstr>xJ</vt:lpstr>
      <vt:lpstr>xKM</vt:lpstr>
      <vt:lpstr>xN</vt:lpstr>
      <vt:lpstr>xomega</vt:lpstr>
      <vt:lpstr>xr</vt:lpstr>
      <vt:lpstr>xrel</vt:lpstr>
      <vt:lpstr>xs</vt:lpstr>
      <vt:lpstr>Zuführung</vt:lpstr>
      <vt:lpstr>zx</vt:lpstr>
      <vt:lpstr>zx_Rd</vt:lpstr>
    </vt:vector>
  </TitlesOfParts>
  <Company>Allianz Versicherungs-AG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p069179</dc:creator>
  <cp:lastModifiedBy>Opernzugspitze</cp:lastModifiedBy>
  <cp:lastPrinted>2013-06-16T14:30:55Z</cp:lastPrinted>
  <dcterms:created xsi:type="dcterms:W3CDTF">2007-05-18T14:09:06Z</dcterms:created>
  <dcterms:modified xsi:type="dcterms:W3CDTF">2017-07-10T13:57:02Z</dcterms:modified>
</cp:coreProperties>
</file>